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MMC\Documents\MMC2021\Stuseco\jan 20\"/>
    </mc:Choice>
  </mc:AlternateContent>
  <xr:revisionPtr revIDLastSave="0" documentId="13_ncr:1_{FF048F90-AA1C-4F15-BEA6-902FE16E5076}" xr6:coauthVersionLast="46" xr6:coauthVersionMax="46" xr10:uidLastSave="{00000000-0000-0000-0000-000000000000}"/>
  <bookViews>
    <workbookView xWindow="-120" yWindow="-120" windowWidth="19440" windowHeight="15000" tabRatio="923" firstSheet="3" activeTab="3" xr2:uid="{00000000-000D-0000-FFFF-FFFF00000000}"/>
  </bookViews>
  <sheets>
    <sheet name="ARTIKEL" sheetId="76" r:id="rId1"/>
    <sheet name="STAB" sheetId="74" r:id="rId2"/>
    <sheet name="Doorrekening CHP" sheetId="78" r:id="rId3"/>
    <sheet name="logbook" sheetId="53" r:id="rId4"/>
    <sheet name="Assumptions" sheetId="45" r:id="rId5"/>
    <sheet name="SOURCE" sheetId="52" r:id="rId6"/>
    <sheet name="varianten" sheetId="71" r:id="rId7"/>
    <sheet name="Model" sheetId="24" r:id="rId8"/>
    <sheet name="Key" sheetId="55" r:id="rId9"/>
    <sheet name="cambio koersen " sheetId="80" r:id="rId10"/>
    <sheet name="month" sheetId="79" r:id="rId11"/>
    <sheet name="grafieken" sheetId="62" r:id="rId12"/>
    <sheet name="variantenOUD" sheetId="65" r:id="rId13"/>
    <sheet name="tekortnorm" sheetId="68" r:id="rId14"/>
    <sheet name="scenarios 17" sheetId="69" r:id="rId15"/>
    <sheet name="RenR" sheetId="63" r:id="rId16"/>
    <sheet name="monetair" sheetId="64" r:id="rId17"/>
    <sheet name="Manual" sheetId="54" r:id="rId18"/>
    <sheet name="S1" sheetId="28" r:id="rId19"/>
    <sheet name="S2" sheetId="29" r:id="rId20"/>
    <sheet name="S3" sheetId="33" r:id="rId21"/>
    <sheet name="S4" sheetId="66" r:id="rId22"/>
    <sheet name="mamiabc" sheetId="61" r:id="rId23"/>
    <sheet name="beh.eq." sheetId="31" r:id="rId24"/>
    <sheet name="decompositie" sheetId="70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dpa1" localSheetId="9">#REF!</definedName>
    <definedName name="__dpa1" localSheetId="10">#REF!</definedName>
    <definedName name="__dpa1" localSheetId="6">#REF!</definedName>
    <definedName name="__dpa1">#REF!</definedName>
    <definedName name="__gra1" localSheetId="6">#REF!</definedName>
    <definedName name="__gra1">#REF!</definedName>
    <definedName name="__ina1" localSheetId="6">#REF!</definedName>
    <definedName name="__ina1">#REF!</definedName>
    <definedName name="__mta1" localSheetId="6">#REF!</definedName>
    <definedName name="__mta1">#REF!</definedName>
    <definedName name="_31._OGOWN" localSheetId="9">[1]MANUAL!$A$1351</definedName>
    <definedName name="_31._OGOWN" localSheetId="10">[2]MANUAL!$A$1351</definedName>
    <definedName name="_31._OGOWN">[3]MANUAL!$A$1351</definedName>
    <definedName name="_ftn1" localSheetId="23">'beh.eq.'!$A$12</definedName>
    <definedName name="_ftnref1" localSheetId="23">'beh.eq.'!$A$10</definedName>
    <definedName name="_GoBack" localSheetId="3">logbook!$A$305</definedName>
    <definedName name="_Hlk42597199" localSheetId="1">STAB!$A$53</definedName>
    <definedName name="_TAB15">[4]Original!$W$5:$AC$50</definedName>
    <definedName name="_TAB16">[4]Original!$A$1:$G$45</definedName>
    <definedName name="_TAB17">[4]Original!$L$5:$R$48</definedName>
    <definedName name="Accounts">[5]Output!$A$68</definedName>
    <definedName name="_xlnm.Print_Area" localSheetId="22">mamiabc!$BR$186:$BT$196</definedName>
    <definedName name="_xlnm.Print_Area" localSheetId="6">varianten!$A$8:$R$20</definedName>
    <definedName name="_xlnm.Print_Area">[4]Original!$W$5:$AF$49</definedName>
    <definedName name="_xlnm.Print_Titles" localSheetId="9">#REF!</definedName>
    <definedName name="_xlnm.Print_Titles" localSheetId="22">mamiabc!$A:$C</definedName>
    <definedName name="_xlnm.Print_Titles" localSheetId="10">#REF!</definedName>
    <definedName name="_xlnm.Print_Titles">#REF!</definedName>
    <definedName name="AgrEmployment" localSheetId="9">#REF!</definedName>
    <definedName name="AgrEmployment" localSheetId="10">#REF!</definedName>
    <definedName name="AgrEmployment" localSheetId="6">#REF!</definedName>
    <definedName name="AgrEmployment">#REF!</definedName>
    <definedName name="AgrValueAdded" localSheetId="6">#REF!</definedName>
    <definedName name="AgrValueAdded">#REF!</definedName>
    <definedName name="amt_1" localSheetId="6">#REF!</definedName>
    <definedName name="amt_1">#REF!</definedName>
    <definedName name="amt_10" localSheetId="6">#REF!</definedName>
    <definedName name="amt_10">#REF!</definedName>
    <definedName name="amt_11" localSheetId="6">#REF!</definedName>
    <definedName name="amt_11">#REF!</definedName>
    <definedName name="amt_12" localSheetId="6">#REF!</definedName>
    <definedName name="amt_12">#REF!</definedName>
    <definedName name="amt_13" localSheetId="6">#REF!</definedName>
    <definedName name="amt_13">#REF!</definedName>
    <definedName name="amt_14" localSheetId="6">#REF!</definedName>
    <definedName name="amt_14">#REF!</definedName>
    <definedName name="amt_15" localSheetId="6">#REF!</definedName>
    <definedName name="amt_15">#REF!</definedName>
    <definedName name="amt_16" localSheetId="6">#REF!</definedName>
    <definedName name="amt_16">#REF!</definedName>
    <definedName name="amt_17" localSheetId="6">#REF!</definedName>
    <definedName name="amt_17">#REF!</definedName>
    <definedName name="amt_18" localSheetId="6">#REF!</definedName>
    <definedName name="amt_18">#REF!</definedName>
    <definedName name="amt_19" localSheetId="6">#REF!</definedName>
    <definedName name="amt_19">#REF!</definedName>
    <definedName name="amt_2" localSheetId="6">#REF!</definedName>
    <definedName name="amt_2">#REF!</definedName>
    <definedName name="amt_3" localSheetId="6">#REF!</definedName>
    <definedName name="amt_3">#REF!</definedName>
    <definedName name="amt_4" localSheetId="6">#REF!</definedName>
    <definedName name="amt_4">#REF!</definedName>
    <definedName name="amt_5" localSheetId="6">#REF!</definedName>
    <definedName name="amt_5">#REF!</definedName>
    <definedName name="amt_6" localSheetId="6">#REF!</definedName>
    <definedName name="amt_6">#REF!</definedName>
    <definedName name="amt_7" localSheetId="6">#REF!</definedName>
    <definedName name="amt_7">#REF!</definedName>
    <definedName name="amt_8" localSheetId="6">#REF!</definedName>
    <definedName name="amt_8">#REF!</definedName>
    <definedName name="amt_9" localSheetId="6">#REF!</definedName>
    <definedName name="amt_9">#REF!</definedName>
    <definedName name="amta" localSheetId="6">#REF!</definedName>
    <definedName name="amta">#REF!</definedName>
    <definedName name="ASU_94_00" localSheetId="6">#REF!</definedName>
    <definedName name="ASU_94_00">#REF!</definedName>
    <definedName name="ASU_96_08" localSheetId="6">#REF!</definedName>
    <definedName name="ASU_96_08">#REF!</definedName>
    <definedName name="ASU_PAST" localSheetId="6">#REF!</definedName>
    <definedName name="ASU_PAST">#REF!</definedName>
    <definedName name="BaseYear">[6]SNAact!$B$72</definedName>
    <definedName name="Behav" localSheetId="9">#REF!</definedName>
    <definedName name="Behav" localSheetId="10">#REF!</definedName>
    <definedName name="Behav" localSheetId="6">#REF!</definedName>
    <definedName name="Behav">#REF!</definedName>
    <definedName name="BlockSectors">[5]Model!$A$406</definedName>
    <definedName name="BM_GSR_INYD_CN">[6]BOL!$B$26:$AJ$26</definedName>
    <definedName name="BM_TRF_PRVT_CN">[6]BOL!$B$42:$AJ$42</definedName>
    <definedName name="BN_KAC_EOMS_CN">[6]BOL!$B$70:$AJ$70</definedName>
    <definedName name="BN_RES_IMFT_CD">[6]BOL!$B$78:$AJ$78</definedName>
    <definedName name="BOL_94_00">[6]BOL!$R$5:$Y$89</definedName>
    <definedName name="BOL_96_08" localSheetId="9">#REF!</definedName>
    <definedName name="BOL_96_08" localSheetId="10">#REF!</definedName>
    <definedName name="BOL_96_08" localSheetId="6">#REF!</definedName>
    <definedName name="BOL_96_08">#REF!</definedName>
    <definedName name="BOL_PAST">[6]BOL!$N$5:$X$89</definedName>
    <definedName name="BOP">[5]Model!$A$236</definedName>
    <definedName name="BX_GSR_INYD_CN" localSheetId="6">[6]BOL!#REF!</definedName>
    <definedName name="BX_GSR_INYD_CN">[6]BOL!#REF!</definedName>
    <definedName name="BX_KLT_DINV_CN">[6]BOL!$B$50:$AJ$50</definedName>
    <definedName name="BX_TRF_PWKR_CN">[6]BOL!$B$35:$AJ$35</definedName>
    <definedName name="BX_TRF_PXWR_CN">[6]BOL!$B$34:$AJ$34</definedName>
    <definedName name="cat_1" localSheetId="9">#REF!</definedName>
    <definedName name="cat_1" localSheetId="10">#REF!</definedName>
    <definedName name="cat_1" localSheetId="6">#REF!</definedName>
    <definedName name="cat_1">#REF!</definedName>
    <definedName name="cat_10" localSheetId="6">#REF!</definedName>
    <definedName name="cat_10">#REF!</definedName>
    <definedName name="cat_11" localSheetId="6">#REF!</definedName>
    <definedName name="cat_11">#REF!</definedName>
    <definedName name="cat_12" localSheetId="6">#REF!</definedName>
    <definedName name="cat_12">#REF!</definedName>
    <definedName name="cat_13" localSheetId="6">#REF!</definedName>
    <definedName name="cat_13">#REF!</definedName>
    <definedName name="cat_14" localSheetId="6">#REF!</definedName>
    <definedName name="cat_14">#REF!</definedName>
    <definedName name="cat_15" localSheetId="6">#REF!</definedName>
    <definedName name="cat_15">#REF!</definedName>
    <definedName name="cat_16" localSheetId="6">#REF!</definedName>
    <definedName name="cat_16">#REF!</definedName>
    <definedName name="cat_17" localSheetId="6">#REF!</definedName>
    <definedName name="cat_17">#REF!</definedName>
    <definedName name="cat_18" localSheetId="6">#REF!</definedName>
    <definedName name="cat_18">#REF!</definedName>
    <definedName name="cat_19" localSheetId="6">#REF!</definedName>
    <definedName name="cat_19">#REF!</definedName>
    <definedName name="cat_2" localSheetId="6">#REF!</definedName>
    <definedName name="cat_2">#REF!</definedName>
    <definedName name="cat_3" localSheetId="6">#REF!</definedName>
    <definedName name="cat_3">#REF!</definedName>
    <definedName name="cat_4" localSheetId="6">#REF!</definedName>
    <definedName name="cat_4">#REF!</definedName>
    <definedName name="cat_5" localSheetId="6">#REF!</definedName>
    <definedName name="cat_5">#REF!</definedName>
    <definedName name="cat_6" localSheetId="6">#REF!</definedName>
    <definedName name="cat_6">#REF!</definedName>
    <definedName name="cat_7" localSheetId="6">#REF!</definedName>
    <definedName name="cat_7">#REF!</definedName>
    <definedName name="cat_8" localSheetId="6">#REF!</definedName>
    <definedName name="cat_8">#REF!</definedName>
    <definedName name="cat_9" localSheetId="6">#REF!</definedName>
    <definedName name="cat_9">#REF!</definedName>
    <definedName name="CDRom" localSheetId="6">#REF!</definedName>
    <definedName name="CDRom">#REF!</definedName>
    <definedName name="Closure">[6]ASU!$C$4</definedName>
    <definedName name="com_1" localSheetId="9">#REF!</definedName>
    <definedName name="com_1" localSheetId="10">#REF!</definedName>
    <definedName name="com_1" localSheetId="6">#REF!</definedName>
    <definedName name="com_1">#REF!</definedName>
    <definedName name="com_10" localSheetId="6">#REF!</definedName>
    <definedName name="com_10">#REF!</definedName>
    <definedName name="com_11" localSheetId="6">#REF!</definedName>
    <definedName name="com_11">#REF!</definedName>
    <definedName name="com_12" localSheetId="6">#REF!</definedName>
    <definedName name="com_12">#REF!</definedName>
    <definedName name="com_13" localSheetId="6">#REF!</definedName>
    <definedName name="com_13">#REF!</definedName>
    <definedName name="com_14" localSheetId="6">#REF!</definedName>
    <definedName name="com_14">#REF!</definedName>
    <definedName name="com_15" localSheetId="6">#REF!</definedName>
    <definedName name="com_15">#REF!</definedName>
    <definedName name="com_16" localSheetId="6">#REF!</definedName>
    <definedName name="com_16">#REF!</definedName>
    <definedName name="com_17" localSheetId="6">#REF!</definedName>
    <definedName name="com_17">#REF!</definedName>
    <definedName name="com_18" localSheetId="6">#REF!</definedName>
    <definedName name="com_18">#REF!</definedName>
    <definedName name="com_19" localSheetId="6">#REF!</definedName>
    <definedName name="com_19">#REF!</definedName>
    <definedName name="com_2" localSheetId="6">#REF!</definedName>
    <definedName name="com_2">#REF!</definedName>
    <definedName name="com_3" localSheetId="6">#REF!</definedName>
    <definedName name="com_3">#REF!</definedName>
    <definedName name="com_4" localSheetId="6">#REF!</definedName>
    <definedName name="com_4">#REF!</definedName>
    <definedName name="com_5" localSheetId="6">#REF!</definedName>
    <definedName name="com_5">#REF!</definedName>
    <definedName name="com_6" localSheetId="6">#REF!</definedName>
    <definedName name="com_6">#REF!</definedName>
    <definedName name="com_7" localSheetId="6">#REF!</definedName>
    <definedName name="com_7">#REF!</definedName>
    <definedName name="com_8" localSheetId="6">#REF!</definedName>
    <definedName name="com_8">#REF!</definedName>
    <definedName name="com_9" localSheetId="6">#REF!</definedName>
    <definedName name="com_9">#REF!</definedName>
    <definedName name="coma" localSheetId="6">#REF!</definedName>
    <definedName name="coma">#REF!</definedName>
    <definedName name="coma_r" localSheetId="6">#REF!</definedName>
    <definedName name="coma_r">#REF!</definedName>
    <definedName name="coma1" localSheetId="6">#REF!</definedName>
    <definedName name="coma1">#REF!</definedName>
    <definedName name="Cons" localSheetId="6">#REF!</definedName>
    <definedName name="Cons">#REF!</definedName>
    <definedName name="ConsPrice" localSheetId="6">#REF!</definedName>
    <definedName name="ConsPrice">#REF!</definedName>
    <definedName name="Consumption" localSheetId="6">#REF!</definedName>
    <definedName name="Consumption">#REF!</definedName>
    <definedName name="Definition" localSheetId="6">#REF!</definedName>
    <definedName name="Definition">#REF!</definedName>
    <definedName name="dis_1" localSheetId="6">#REF!</definedName>
    <definedName name="dis_1">#REF!</definedName>
    <definedName name="dis_10" localSheetId="6">#REF!</definedName>
    <definedName name="dis_10">#REF!</definedName>
    <definedName name="dis_11" localSheetId="6">#REF!</definedName>
    <definedName name="dis_11">#REF!</definedName>
    <definedName name="dis_12" localSheetId="6">#REF!</definedName>
    <definedName name="dis_12">#REF!</definedName>
    <definedName name="dis_13" localSheetId="6">#REF!</definedName>
    <definedName name="dis_13">#REF!</definedName>
    <definedName name="dis_14" localSheetId="6">#REF!</definedName>
    <definedName name="dis_14">#REF!</definedName>
    <definedName name="dis_15" localSheetId="6">#REF!</definedName>
    <definedName name="dis_15">#REF!</definedName>
    <definedName name="dis_16" localSheetId="6">#REF!</definedName>
    <definedName name="dis_16">#REF!</definedName>
    <definedName name="dis_17" localSheetId="6">#REF!</definedName>
    <definedName name="dis_17">#REF!</definedName>
    <definedName name="dis_18" localSheetId="6">#REF!</definedName>
    <definedName name="dis_18">#REF!</definedName>
    <definedName name="dis_19" localSheetId="6">#REF!</definedName>
    <definedName name="dis_19">#REF!</definedName>
    <definedName name="dis_2" localSheetId="6">#REF!</definedName>
    <definedName name="dis_2">#REF!</definedName>
    <definedName name="dis_3" localSheetId="6">#REF!</definedName>
    <definedName name="dis_3">#REF!</definedName>
    <definedName name="dis_4" localSheetId="6">#REF!</definedName>
    <definedName name="dis_4">#REF!</definedName>
    <definedName name="dis_5" localSheetId="6">#REF!</definedName>
    <definedName name="dis_5">#REF!</definedName>
    <definedName name="dis_6" localSheetId="6">#REF!</definedName>
    <definedName name="dis_6">#REF!</definedName>
    <definedName name="dis_7" localSheetId="6">#REF!</definedName>
    <definedName name="dis_7">#REF!</definedName>
    <definedName name="dis_8" localSheetId="6">#REF!</definedName>
    <definedName name="dis_8">#REF!</definedName>
    <definedName name="dis_9" localSheetId="6">#REF!</definedName>
    <definedName name="dis_9">#REF!</definedName>
    <definedName name="disa" localSheetId="6">#REF!</definedName>
    <definedName name="disa">#REF!</definedName>
    <definedName name="DIT_94_00">[6]DIT!$R$4:$Y$218</definedName>
    <definedName name="DIT_96_08" localSheetId="9">#REF!</definedName>
    <definedName name="DIT_96_08" localSheetId="10">#REF!</definedName>
    <definedName name="DIT_96_08" localSheetId="6">#REF!</definedName>
    <definedName name="DIT_96_08">#REF!</definedName>
    <definedName name="DIT_PAST">[6]DIT!$E$4:$X$219</definedName>
    <definedName name="dpa" localSheetId="9">#REF!</definedName>
    <definedName name="dpa" localSheetId="10">#REF!</definedName>
    <definedName name="dpa" localSheetId="6">#REF!</definedName>
    <definedName name="dpa">#REF!</definedName>
    <definedName name="dpa_1" localSheetId="6">#REF!</definedName>
    <definedName name="dpa_1">#REF!</definedName>
    <definedName name="dpa_10" localSheetId="6">#REF!</definedName>
    <definedName name="dpa_10">#REF!</definedName>
    <definedName name="dpa_11" localSheetId="6">#REF!</definedName>
    <definedName name="dpa_11">#REF!</definedName>
    <definedName name="dpa_12" localSheetId="6">#REF!</definedName>
    <definedName name="dpa_12">#REF!</definedName>
    <definedName name="dpa_13" localSheetId="6">#REF!</definedName>
    <definedName name="dpa_13">#REF!</definedName>
    <definedName name="dpa_14" localSheetId="6">#REF!</definedName>
    <definedName name="dpa_14">#REF!</definedName>
    <definedName name="dpa_15" localSheetId="6">#REF!</definedName>
    <definedName name="dpa_15">#REF!</definedName>
    <definedName name="dpa_16" localSheetId="6">#REF!</definedName>
    <definedName name="dpa_16">#REF!</definedName>
    <definedName name="dpa_17" localSheetId="6">#REF!</definedName>
    <definedName name="dpa_17">#REF!</definedName>
    <definedName name="dpa_18" localSheetId="6">#REF!</definedName>
    <definedName name="dpa_18">#REF!</definedName>
    <definedName name="dpa_19" localSheetId="6">#REF!</definedName>
    <definedName name="dpa_19">#REF!</definedName>
    <definedName name="dpa_2" localSheetId="6">#REF!</definedName>
    <definedName name="dpa_2">#REF!</definedName>
    <definedName name="dpa_3" localSheetId="6">#REF!</definedName>
    <definedName name="dpa_3">#REF!</definedName>
    <definedName name="dpa_4" localSheetId="6">#REF!</definedName>
    <definedName name="dpa_4">#REF!</definedName>
    <definedName name="dpa_5" localSheetId="6">#REF!</definedName>
    <definedName name="dpa_5">#REF!</definedName>
    <definedName name="dpa_6" localSheetId="6">#REF!</definedName>
    <definedName name="dpa_6">#REF!</definedName>
    <definedName name="dpa_7" localSheetId="6">#REF!</definedName>
    <definedName name="dpa_7">#REF!</definedName>
    <definedName name="dpa_8" localSheetId="6">#REF!</definedName>
    <definedName name="dpa_8">#REF!</definedName>
    <definedName name="dpa_9" localSheetId="6">#REF!</definedName>
    <definedName name="dpa_9">#REF!</definedName>
    <definedName name="dpa_r" localSheetId="6">#REF!</definedName>
    <definedName name="dpa_r">#REF!</definedName>
    <definedName name="DT_DIS_DSTC_CD">[6]BOP!$B$64:$AJ$64</definedName>
    <definedName name="Employment" localSheetId="9">#REF!</definedName>
    <definedName name="Employment" localSheetId="10">#REF!</definedName>
    <definedName name="Employment" localSheetId="6">#REF!</definedName>
    <definedName name="Employment">#REF!</definedName>
    <definedName name="ExchRate" localSheetId="6">#REF!</definedName>
    <definedName name="ExchRate">#REF!</definedName>
    <definedName name="ExportPrice" localSheetId="6">#REF!</definedName>
    <definedName name="ExportPrice">#REF!</definedName>
    <definedName name="ExportVol" localSheetId="6">#REF!</definedName>
    <definedName name="ExportVol">#REF!</definedName>
    <definedName name="ffff" localSheetId="6">[6]ASU!#REF!</definedName>
    <definedName name="ffff">[6]ASU!#REF!</definedName>
    <definedName name="FM_ASC_PRVT_CN">[6]MON!$B$34:$AK$34</definedName>
    <definedName name="FM_LBC_CURR_CN">[6]MON!$B$40:$AK$40</definedName>
    <definedName name="FM_LBC_DDPT_CN">[6]MON!$B$41:$AK$41</definedName>
    <definedName name="FM_LBC_MQMY_CN">[6]MON!$B$39:$AK$39</definedName>
    <definedName name="FM_LBC_TDPT_CN">[6]MON!$B$42:$AK$42</definedName>
    <definedName name="FM_XPC_INDD_CN" localSheetId="9">[6]MON!#REF!</definedName>
    <definedName name="FM_XPC_INDD_CN" localSheetId="10">[6]MON!#REF!</definedName>
    <definedName name="FM_XPC_INDD_CN" localSheetId="6">[6]MON!#REF!</definedName>
    <definedName name="FM_XPC_INDD_CN">[6]MON!#REF!</definedName>
    <definedName name="FM_XPC_INTD_CN">[6]MON!$B$15:$AK$15</definedName>
    <definedName name="FoodCropsPrice" localSheetId="9">#REF!</definedName>
    <definedName name="FoodCropsPrice" localSheetId="10">#REF!</definedName>
    <definedName name="FoodCropsPrice" localSheetId="6">#REF!</definedName>
    <definedName name="FoodCropsPrice">#REF!</definedName>
    <definedName name="FoodCropsVol" localSheetId="6">#REF!</definedName>
    <definedName name="FoodCropsVol">#REF!</definedName>
    <definedName name="FR_INR_DPST_DP" localSheetId="9">[6]DIT!#REF!</definedName>
    <definedName name="FR_INR_DPST_DP" localSheetId="10">[6]DIT!#REF!</definedName>
    <definedName name="FR_INR_DPST_DP" localSheetId="6">[6]DIT!#REF!</definedName>
    <definedName name="FR_INR_DPST_DP">[6]DIT!#REF!</definedName>
    <definedName name="FR_INR_DPST_TD">[6]DIT!$B$170:$AK$170</definedName>
    <definedName name="FR_INR_GBND" localSheetId="9">[6]DIT!#REF!</definedName>
    <definedName name="FR_INR_GBND" localSheetId="10">[6]DIT!#REF!</definedName>
    <definedName name="FR_INR_GBND" localSheetId="6">[6]DIT!#REF!</definedName>
    <definedName name="FR_INR_GBND">[6]DIT!#REF!</definedName>
    <definedName name="FR_INR_LEND" localSheetId="9">[6]DIT!#REF!</definedName>
    <definedName name="FR_INR_LEND" localSheetId="10">[6]DIT!#REF!</definedName>
    <definedName name="FR_INR_LEND" localSheetId="6">[6]DIT!#REF!</definedName>
    <definedName name="FR_INR_LEND">[6]DIT!#REF!</definedName>
    <definedName name="FRGOV">[5]Model!$A$8</definedName>
    <definedName name="GC_FIN_DNMS_CN">[6]GOVcy!$D$72:$AJ$72</definedName>
    <definedName name="GC_NTX_CIGR_CN">[6]GOVcy!$D$33:$AJ$33</definedName>
    <definedName name="GC_REV_KTOT_CN">[6]GOVcy!$D$37:$AJ$37</definedName>
    <definedName name="GC_TAX_DRCT_CN">[6]GOVcy!$D$12:$AJ$12</definedName>
    <definedName name="GC_XPC_INTP_CN">[6]GOVcy!$D$55:$AJ$55</definedName>
    <definedName name="GC_XPC_TRFO_CN">[6]GOVcy!$D$47:$AJ$47</definedName>
    <definedName name="GIR">[7]Original!$W$5:$AF$49</definedName>
    <definedName name="GOVCY_94_00">[6]GOVcy!$R$6:$Y$74</definedName>
    <definedName name="GOVCY_96_08" localSheetId="9">#REF!</definedName>
    <definedName name="GOVCY_96_08" localSheetId="10">#REF!</definedName>
    <definedName name="GOVCY_96_08" localSheetId="6">#REF!</definedName>
    <definedName name="GOVCY_96_08">#REF!</definedName>
    <definedName name="GOVCY_PAST">[6]GOVcy!$N$4:$Y$74</definedName>
    <definedName name="GOVFY_94_00">[6]GOVfy!$R$7:$Y$105</definedName>
    <definedName name="GOVFY_96_00" localSheetId="9">#REF!</definedName>
    <definedName name="GOVFY_96_00" localSheetId="10">#REF!</definedName>
    <definedName name="GOVFY_96_00" localSheetId="6">#REF!</definedName>
    <definedName name="GOVFY_96_00">#REF!</definedName>
    <definedName name="GOVFY_PAST">[6]GOVfy!$N$7:$W$105</definedName>
    <definedName name="gra" localSheetId="9">#REF!</definedName>
    <definedName name="gra" localSheetId="10">#REF!</definedName>
    <definedName name="gra" localSheetId="6">#REF!</definedName>
    <definedName name="gra">#REF!</definedName>
    <definedName name="gra_1" localSheetId="6">#REF!</definedName>
    <definedName name="gra_1">#REF!</definedName>
    <definedName name="gra_10" localSheetId="6">#REF!</definedName>
    <definedName name="gra_10">#REF!</definedName>
    <definedName name="gra_11" localSheetId="6">#REF!</definedName>
    <definedName name="gra_11">#REF!</definedName>
    <definedName name="gra_12" localSheetId="6">#REF!</definedName>
    <definedName name="gra_12">#REF!</definedName>
    <definedName name="gra_13" localSheetId="6">#REF!</definedName>
    <definedName name="gra_13">#REF!</definedName>
    <definedName name="gra_14" localSheetId="6">#REF!</definedName>
    <definedName name="gra_14">#REF!</definedName>
    <definedName name="gra_15" localSheetId="6">#REF!</definedName>
    <definedName name="gra_15">#REF!</definedName>
    <definedName name="gra_16" localSheetId="6">#REF!</definedName>
    <definedName name="gra_16">#REF!</definedName>
    <definedName name="gra_17" localSheetId="6">#REF!</definedName>
    <definedName name="gra_17">#REF!</definedName>
    <definedName name="gra_18" localSheetId="6">#REF!</definedName>
    <definedName name="gra_18">#REF!</definedName>
    <definedName name="gra_19" localSheetId="6">#REF!</definedName>
    <definedName name="gra_19">#REF!</definedName>
    <definedName name="gra_2" localSheetId="6">#REF!</definedName>
    <definedName name="gra_2">#REF!</definedName>
    <definedName name="gra_3" localSheetId="6">#REF!</definedName>
    <definedName name="gra_3">#REF!</definedName>
    <definedName name="gra_4" localSheetId="6">#REF!</definedName>
    <definedName name="gra_4">#REF!</definedName>
    <definedName name="gra_5" localSheetId="6">#REF!</definedName>
    <definedName name="gra_5">#REF!</definedName>
    <definedName name="gra_6" localSheetId="6">#REF!</definedName>
    <definedName name="gra_6">#REF!</definedName>
    <definedName name="gra_7" localSheetId="6">#REF!</definedName>
    <definedName name="gra_7">#REF!</definedName>
    <definedName name="gra_8" localSheetId="6">#REF!</definedName>
    <definedName name="gra_8">#REF!</definedName>
    <definedName name="gra_9" localSheetId="6">#REF!</definedName>
    <definedName name="gra_9">#REF!</definedName>
    <definedName name="Handbook" localSheetId="6">#REF!</definedName>
    <definedName name="Handbook">#REF!</definedName>
    <definedName name="HELP_for_the_simulation_runs_of_Curalyse" localSheetId="6">#REF!</definedName>
    <definedName name="HELP_for_the_simulation_runs_of_Curalyse">#REF!</definedName>
    <definedName name="HelpVar">[5]Model!$A$207</definedName>
    <definedName name="How_to_use_the_HELP_sheet" localSheetId="9">#REF!</definedName>
    <definedName name="How_to_use_the_HELP_sheet" localSheetId="10">#REF!</definedName>
    <definedName name="How_to_use_the_HELP_sheet" localSheetId="6">#REF!</definedName>
    <definedName name="How_to_use_the_HELP_sheet">#REF!</definedName>
    <definedName name="IAccounts">[5]Model!$A$132</definedName>
    <definedName name="ImportVol" localSheetId="9">#REF!</definedName>
    <definedName name="ImportVol" localSheetId="10">#REF!</definedName>
    <definedName name="ImportVol" localSheetId="6">#REF!</definedName>
    <definedName name="ImportVol">#REF!</definedName>
    <definedName name="in" localSheetId="6">#REF!</definedName>
    <definedName name="in">#REF!</definedName>
    <definedName name="in_r" localSheetId="6">#REF!</definedName>
    <definedName name="in_r">#REF!</definedName>
    <definedName name="inp_1" localSheetId="6">#REF!</definedName>
    <definedName name="inp_1">#REF!</definedName>
    <definedName name="inp_10" localSheetId="6">#REF!</definedName>
    <definedName name="inp_10">#REF!</definedName>
    <definedName name="inp_11" localSheetId="6">#REF!</definedName>
    <definedName name="inp_11">#REF!</definedName>
    <definedName name="inp_12" localSheetId="6">#REF!</definedName>
    <definedName name="inp_12">#REF!</definedName>
    <definedName name="inp_13" localSheetId="6">#REF!</definedName>
    <definedName name="inp_13">#REF!</definedName>
    <definedName name="inp_14" localSheetId="6">#REF!</definedName>
    <definedName name="inp_14">#REF!</definedName>
    <definedName name="inp_15" localSheetId="6">#REF!</definedName>
    <definedName name="inp_15">#REF!</definedName>
    <definedName name="inp_16" localSheetId="6">#REF!</definedName>
    <definedName name="inp_16">#REF!</definedName>
    <definedName name="inp_17" localSheetId="6">#REF!</definedName>
    <definedName name="inp_17">#REF!</definedName>
    <definedName name="inp_18" localSheetId="6">#REF!</definedName>
    <definedName name="inp_18">#REF!</definedName>
    <definedName name="inp_19" localSheetId="6">#REF!</definedName>
    <definedName name="inp_19">#REF!</definedName>
    <definedName name="inp_2" localSheetId="6">#REF!</definedName>
    <definedName name="inp_2">#REF!</definedName>
    <definedName name="inp_3" localSheetId="6">#REF!</definedName>
    <definedName name="inp_3">#REF!</definedName>
    <definedName name="inp_4" localSheetId="6">#REF!</definedName>
    <definedName name="inp_4">#REF!</definedName>
    <definedName name="inp_5" localSheetId="6">#REF!</definedName>
    <definedName name="inp_5">#REF!</definedName>
    <definedName name="inp_6" localSheetId="6">#REF!</definedName>
    <definedName name="inp_6">#REF!</definedName>
    <definedName name="inp_7" localSheetId="6">#REF!</definedName>
    <definedName name="inp_7">#REF!</definedName>
    <definedName name="inp_8" localSheetId="6">#REF!</definedName>
    <definedName name="inp_8">#REF!</definedName>
    <definedName name="inp_9" localSheetId="6">#REF!</definedName>
    <definedName name="inp_9">#REF!</definedName>
    <definedName name="inr_1" localSheetId="6">#REF!</definedName>
    <definedName name="inr_1">#REF!</definedName>
    <definedName name="inr_10" localSheetId="6">#REF!</definedName>
    <definedName name="inr_10">#REF!</definedName>
    <definedName name="inr_11" localSheetId="6">#REF!</definedName>
    <definedName name="inr_11">#REF!</definedName>
    <definedName name="inr_12" localSheetId="6">#REF!</definedName>
    <definedName name="inr_12">#REF!</definedName>
    <definedName name="inr_13" localSheetId="6">#REF!</definedName>
    <definedName name="inr_13">#REF!</definedName>
    <definedName name="inr_14" localSheetId="6">#REF!</definedName>
    <definedName name="inr_14">#REF!</definedName>
    <definedName name="inr_15" localSheetId="6">#REF!</definedName>
    <definedName name="inr_15">#REF!</definedName>
    <definedName name="inr_16" localSheetId="6">#REF!</definedName>
    <definedName name="inr_16">#REF!</definedName>
    <definedName name="inr_17" localSheetId="6">#REF!</definedName>
    <definedName name="inr_17">#REF!</definedName>
    <definedName name="inr_18" localSheetId="6">#REF!</definedName>
    <definedName name="inr_18">#REF!</definedName>
    <definedName name="inr_19" localSheetId="6">#REF!</definedName>
    <definedName name="inr_19">#REF!</definedName>
    <definedName name="inr_2" localSheetId="6">#REF!</definedName>
    <definedName name="inr_2">#REF!</definedName>
    <definedName name="inr_3" localSheetId="6">#REF!</definedName>
    <definedName name="inr_3">#REF!</definedName>
    <definedName name="inr_4" localSheetId="6">#REF!</definedName>
    <definedName name="inr_4">#REF!</definedName>
    <definedName name="inr_5" localSheetId="6">#REF!</definedName>
    <definedName name="inr_5">#REF!</definedName>
    <definedName name="inr_6" localSheetId="6">#REF!</definedName>
    <definedName name="inr_6">#REF!</definedName>
    <definedName name="inr_7" localSheetId="6">#REF!</definedName>
    <definedName name="inr_7">#REF!</definedName>
    <definedName name="inr_8" localSheetId="6">#REF!</definedName>
    <definedName name="inr_8">#REF!</definedName>
    <definedName name="inr_9" localSheetId="6">#REF!</definedName>
    <definedName name="inr_9">#REF!</definedName>
    <definedName name="inta" localSheetId="6">#REF!</definedName>
    <definedName name="inta">#REF!</definedName>
    <definedName name="Interest" localSheetId="6">#REF!</definedName>
    <definedName name="Interest">#REF!</definedName>
    <definedName name="Intro" localSheetId="6">#REF!</definedName>
    <definedName name="Intro">#REF!</definedName>
    <definedName name="InvPrice" localSheetId="6">#REF!</definedName>
    <definedName name="InvPrice">#REF!</definedName>
    <definedName name="Key_figures_Bonaire" localSheetId="6">#REF!</definedName>
    <definedName name="Key_figures_Bonaire">#REF!</definedName>
    <definedName name="Key_figures_Curacao" localSheetId="6">#REF!</definedName>
    <definedName name="Key_figures_Curacao">#REF!</definedName>
    <definedName name="Key_figures_Netherlands_Antilles" localSheetId="6">#REF!</definedName>
    <definedName name="Key_figures_Netherlands_Antilles">#REF!</definedName>
    <definedName name="Key_figures_St._Maarten" localSheetId="6">#REF!</definedName>
    <definedName name="Key_figures_St._Maarten">#REF!</definedName>
    <definedName name="KeyFig">[5]Output!$A$4</definedName>
    <definedName name="Labour">[5]Model!$A$270</definedName>
    <definedName name="LCScaleDlgCancel" localSheetId="9">'cambio koersen '!LCScaleDlgCancel</definedName>
    <definedName name="LCScaleDlgCancel" localSheetId="10">month!LCScaleDlgCancel</definedName>
    <definedName name="LCScaleDlgCancel" localSheetId="5">SOURCE!LCScaleDlgCancel</definedName>
    <definedName name="LCScaleDlgCancel" localSheetId="13">tekortnorm!LCScaleDlgCancel</definedName>
    <definedName name="LCScaleDlgCancel">[0]!LCScaleDlgCancel</definedName>
    <definedName name="LCScaleDlgOK" localSheetId="9">'cambio koersen '!LCScaleDlgOK</definedName>
    <definedName name="LCScaleDlgOK" localSheetId="10">month!LCScaleDlgOK</definedName>
    <definedName name="LCScaleDlgOK" localSheetId="5">SOURCE!LCScaleDlgOK</definedName>
    <definedName name="LCScaleDlgOK" localSheetId="13">tekortnorm!LCScaleDlgOK</definedName>
    <definedName name="LCScaleDlgOK">[0]!LCScaleDlgOK</definedName>
    <definedName name="Lit" localSheetId="9">#REF!</definedName>
    <definedName name="Lit" localSheetId="10">#REF!</definedName>
    <definedName name="Lit" localSheetId="5">#REF!</definedName>
    <definedName name="Lit" localSheetId="6">#REF!</definedName>
    <definedName name="Lit">#REF!</definedName>
    <definedName name="ln" localSheetId="5">#REF!</definedName>
    <definedName name="ln" localSheetId="6">#REF!</definedName>
    <definedName name="ln">#REF!</definedName>
    <definedName name="MAgrEmployment">[5]Model!$A$274</definedName>
    <definedName name="MAgrValueAdded">[5]Model!$A$427</definedName>
    <definedName name="Main" localSheetId="9">#REF!</definedName>
    <definedName name="Main" localSheetId="10">#REF!</definedName>
    <definedName name="Main" localSheetId="6">#REF!</definedName>
    <definedName name="Main">#REF!</definedName>
    <definedName name="MConsPrice">[5]Model!$A$198</definedName>
    <definedName name="MConsumption">[5]Model!$A$153</definedName>
    <definedName name="MEmployment">[5]Model!$A$272</definedName>
    <definedName name="MExchRate">[5]Model!$A$267</definedName>
    <definedName name="MExportPrice">[5]Model!$A$342</definedName>
    <definedName name="MExportvol">[5]Model!$A$159</definedName>
    <definedName name="MFoodCropsPrice">[5]Model!$A$401</definedName>
    <definedName name="MFoodCropsVol">[5]Model!$A$403</definedName>
    <definedName name="MicroBlock">[5]Model!$A$308</definedName>
    <definedName name="MImportprice">[5]Model!$A$200</definedName>
    <definedName name="MImportvol">[5]Model!$A$160</definedName>
    <definedName name="MInterest">[5]Model!$A$268</definedName>
    <definedName name="MInvPrice">[5]Model!$A$202</definedName>
    <definedName name="MMCKey">[5]Output!$A$15</definedName>
    <definedName name="MMoneySupply">[5]Model!$A$260</definedName>
    <definedName name="MON_94_00">[6]MON!$R$44:$Y$62</definedName>
    <definedName name="MON_96_08" localSheetId="9">#REF!</definedName>
    <definedName name="MON_96_08" localSheetId="10">#REF!</definedName>
    <definedName name="MON_96_08" localSheetId="6">#REF!</definedName>
    <definedName name="MON_96_08">#REF!</definedName>
    <definedName name="MON_PAST">[6]MON!$O$44:$X$62</definedName>
    <definedName name="Monetary">[5]Model!$A$250</definedName>
    <definedName name="MoneySupply" localSheetId="9">#REF!</definedName>
    <definedName name="MoneySupply" localSheetId="10">#REF!</definedName>
    <definedName name="MoneySupply" localSheetId="6">#REF!</definedName>
    <definedName name="MoneySupply">#REF!</definedName>
    <definedName name="MPrivInv">[5]Model!$A$156</definedName>
    <definedName name="mta" localSheetId="9">#REF!</definedName>
    <definedName name="mta" localSheetId="10">#REF!</definedName>
    <definedName name="mta" localSheetId="6">#REF!</definedName>
    <definedName name="mta">#REF!</definedName>
    <definedName name="mta_1" localSheetId="6">#REF!</definedName>
    <definedName name="mta_1">#REF!</definedName>
    <definedName name="mta_10" localSheetId="6">#REF!</definedName>
    <definedName name="mta_10">#REF!</definedName>
    <definedName name="mta_11" localSheetId="6">#REF!</definedName>
    <definedName name="mta_11">#REF!</definedName>
    <definedName name="mta_12" localSheetId="6">#REF!</definedName>
    <definedName name="mta_12">#REF!</definedName>
    <definedName name="mta_13" localSheetId="6">#REF!</definedName>
    <definedName name="mta_13">#REF!</definedName>
    <definedName name="mta_14" localSheetId="6">#REF!</definedName>
    <definedName name="mta_14">#REF!</definedName>
    <definedName name="mta_15" localSheetId="6">#REF!</definedName>
    <definedName name="mta_15">#REF!</definedName>
    <definedName name="mta_16" localSheetId="6">#REF!</definedName>
    <definedName name="mta_16">#REF!</definedName>
    <definedName name="mta_17" localSheetId="6">#REF!</definedName>
    <definedName name="mta_17">#REF!</definedName>
    <definedName name="mta_18" localSheetId="6">#REF!</definedName>
    <definedName name="mta_18">#REF!</definedName>
    <definedName name="mta_19" localSheetId="6">#REF!</definedName>
    <definedName name="mta_19">#REF!</definedName>
    <definedName name="mta_2" localSheetId="6">#REF!</definedName>
    <definedName name="mta_2">#REF!</definedName>
    <definedName name="mta_3" localSheetId="6">#REF!</definedName>
    <definedName name="mta_3">#REF!</definedName>
    <definedName name="mta_4" localSheetId="6">#REF!</definedName>
    <definedName name="mta_4">#REF!</definedName>
    <definedName name="mta_5" localSheetId="6">#REF!</definedName>
    <definedName name="mta_5">#REF!</definedName>
    <definedName name="mta_6" localSheetId="6">#REF!</definedName>
    <definedName name="mta_6">#REF!</definedName>
    <definedName name="mta_7" localSheetId="6">#REF!</definedName>
    <definedName name="mta_7">#REF!</definedName>
    <definedName name="mta_8" localSheetId="6">#REF!</definedName>
    <definedName name="mta_8">#REF!</definedName>
    <definedName name="mta_9" localSheetId="6">#REF!</definedName>
    <definedName name="mta_9">#REF!</definedName>
    <definedName name="MWageRateB">[5]Model!$A$172</definedName>
    <definedName name="n" localSheetId="9">#REF!</definedName>
    <definedName name="n" localSheetId="10">#REF!</definedName>
    <definedName name="n" localSheetId="6">#REF!</definedName>
    <definedName name="n">#REF!</definedName>
    <definedName name="n_1" localSheetId="6">#REF!</definedName>
    <definedName name="n_1">#REF!</definedName>
    <definedName name="n_10" localSheetId="6">#REF!</definedName>
    <definedName name="n_10">#REF!</definedName>
    <definedName name="n_11" localSheetId="6">#REF!</definedName>
    <definedName name="n_11">#REF!</definedName>
    <definedName name="n_12" localSheetId="6">#REF!</definedName>
    <definedName name="n_12">#REF!</definedName>
    <definedName name="n_13" localSheetId="6">#REF!</definedName>
    <definedName name="n_13">#REF!</definedName>
    <definedName name="n_14" localSheetId="6">#REF!</definedName>
    <definedName name="n_14">#REF!</definedName>
    <definedName name="n_15" localSheetId="6">#REF!</definedName>
    <definedName name="n_15">#REF!</definedName>
    <definedName name="n_16" localSheetId="6">#REF!</definedName>
    <definedName name="n_16">#REF!</definedName>
    <definedName name="n_17" localSheetId="6">#REF!</definedName>
    <definedName name="n_17">#REF!</definedName>
    <definedName name="n_18" localSheetId="6">#REF!</definedName>
    <definedName name="n_18">#REF!</definedName>
    <definedName name="n_19" localSheetId="6">#REF!</definedName>
    <definedName name="n_19">#REF!</definedName>
    <definedName name="n_2" localSheetId="6">#REF!</definedName>
    <definedName name="n_2">#REF!</definedName>
    <definedName name="n_3" localSheetId="6">#REF!</definedName>
    <definedName name="n_3">#REF!</definedName>
    <definedName name="n_4" localSheetId="6">#REF!</definedName>
    <definedName name="n_4">#REF!</definedName>
    <definedName name="n_5" localSheetId="6">#REF!</definedName>
    <definedName name="n_5">#REF!</definedName>
    <definedName name="n_6" localSheetId="6">#REF!</definedName>
    <definedName name="n_6">#REF!</definedName>
    <definedName name="n_7" localSheetId="6">#REF!</definedName>
    <definedName name="n_7">#REF!</definedName>
    <definedName name="n_8" localSheetId="6">#REF!</definedName>
    <definedName name="n_8">#REF!</definedName>
    <definedName name="n_9" localSheetId="6">#REF!</definedName>
    <definedName name="n_9">#REF!</definedName>
    <definedName name="NE_CON_PETC_CN">[6]PRS!$B$25:$AI$25</definedName>
    <definedName name="NE_GDI_PRVT_CN">[6]PRS!$B$28:$AJ$28</definedName>
    <definedName name="NY_GDS_PETC_CN">[6]PRS!$B$26:$AJ$26</definedName>
    <definedName name="OLE_LINK1" localSheetId="17">Manual!#REF!</definedName>
    <definedName name="OnShow" localSheetId="9">'cambio koersen '!OnShow</definedName>
    <definedName name="OnShow" localSheetId="10">month!OnShow</definedName>
    <definedName name="OnShow" localSheetId="5">SOURCE!OnShow</definedName>
    <definedName name="OnShow" localSheetId="13">tekortnorm!OnShow</definedName>
    <definedName name="OnShow">[0]!OnShow</definedName>
    <definedName name="Onshow2" localSheetId="9">'cambio koersen '!Onshow2</definedName>
    <definedName name="Onshow2" localSheetId="10">month!Onshow2</definedName>
    <definedName name="Onshow2" localSheetId="5">SOURCE!Onshow2</definedName>
    <definedName name="Onshow2" localSheetId="13">tekortnorm!Onshow2</definedName>
    <definedName name="Onshow2">[0]!Onshow2</definedName>
    <definedName name="PA_NUS_FCRF">[6]DIT!$B$60:$AK$60</definedName>
    <definedName name="Path_Data" localSheetId="9">#REF!</definedName>
    <definedName name="Path_Data" localSheetId="10">#REF!</definedName>
    <definedName name="Path_Data" localSheetId="6">#REF!</definedName>
    <definedName name="Path_Data">#REF!</definedName>
    <definedName name="Path_System" localSheetId="6">#REF!</definedName>
    <definedName name="Path_System">#REF!</definedName>
    <definedName name="PE_NUS_FCAE">[6]DIT!$B$62:$AK$62</definedName>
    <definedName name="PIT_94_00">[6]PIT!$R$4:$Y$63</definedName>
    <definedName name="PIT_96_08" localSheetId="9">#REF!</definedName>
    <definedName name="PIT_96_08" localSheetId="10">#REF!</definedName>
    <definedName name="PIT_96_08" localSheetId="6">#REF!</definedName>
    <definedName name="PIT_96_08">#REF!</definedName>
    <definedName name="PIT_PAST">[6]PIT!$D$4:$X$63</definedName>
    <definedName name="PrAnn" localSheetId="9">'cambio koersen '!PrAnn</definedName>
    <definedName name="PrAnn" localSheetId="10">month!PrAnn</definedName>
    <definedName name="PrAnn" localSheetId="5">SOURCE!PrAnn</definedName>
    <definedName name="PrAnn" localSheetId="13">tekortnorm!PrAnn</definedName>
    <definedName name="PrAnn">[0]!PrAnn</definedName>
    <definedName name="Prices">[5]Model!$A$196</definedName>
    <definedName name="PRINT_AREA_MI">[4]Original!$W$5:$AB$52</definedName>
    <definedName name="PrivInv" localSheetId="9">#REF!</definedName>
    <definedName name="PrivInv" localSheetId="10">#REF!</definedName>
    <definedName name="PrivInv" localSheetId="6">#REF!</definedName>
    <definedName name="PrivInv">#REF!</definedName>
    <definedName name="Proc" localSheetId="9">'cambio koersen '!Proc</definedName>
    <definedName name="Proc" localSheetId="10">month!Proc</definedName>
    <definedName name="Proc" localSheetId="5">SOURCE!Proc</definedName>
    <definedName name="Proc" localSheetId="13">tekortnorm!Proc</definedName>
    <definedName name="Proc">[0]!Proc</definedName>
    <definedName name="PX_REC_REER_XU">[6]DIT!$B$64:$AK$64</definedName>
    <definedName name="ran_1" localSheetId="9">#REF!</definedName>
    <definedName name="ran_1" localSheetId="10">#REF!</definedName>
    <definedName name="ran_1" localSheetId="6">#REF!</definedName>
    <definedName name="ran_1">#REF!</definedName>
    <definedName name="ran_10" localSheetId="6">#REF!</definedName>
    <definedName name="ran_10">#REF!</definedName>
    <definedName name="ran_11" localSheetId="6">#REF!</definedName>
    <definedName name="ran_11">#REF!</definedName>
    <definedName name="ran_12" localSheetId="6">#REF!</definedName>
    <definedName name="ran_12">#REF!</definedName>
    <definedName name="ran_13" localSheetId="6">#REF!</definedName>
    <definedName name="ran_13">#REF!</definedName>
    <definedName name="ran_14" localSheetId="6">#REF!</definedName>
    <definedName name="ran_14">#REF!</definedName>
    <definedName name="ran_15" localSheetId="6">#REF!</definedName>
    <definedName name="ran_15">#REF!</definedName>
    <definedName name="ran_16" localSheetId="6">#REF!</definedName>
    <definedName name="ran_16">#REF!</definedName>
    <definedName name="ran_17" localSheetId="6">#REF!</definedName>
    <definedName name="ran_17">#REF!</definedName>
    <definedName name="ran_18" localSheetId="6">#REF!</definedName>
    <definedName name="ran_18">#REF!</definedName>
    <definedName name="ran_19" localSheetId="6">#REF!</definedName>
    <definedName name="ran_19">#REF!</definedName>
    <definedName name="ran_2" localSheetId="6">#REF!</definedName>
    <definedName name="ran_2">#REF!</definedName>
    <definedName name="ran_3" localSheetId="6">#REF!</definedName>
    <definedName name="ran_3">#REF!</definedName>
    <definedName name="ran_4" localSheetId="6">#REF!</definedName>
    <definedName name="ran_4">#REF!</definedName>
    <definedName name="ran_5" localSheetId="6">#REF!</definedName>
    <definedName name="ran_5">#REF!</definedName>
    <definedName name="ran_6" localSheetId="6">#REF!</definedName>
    <definedName name="ran_6">#REF!</definedName>
    <definedName name="ran_7" localSheetId="6">#REF!</definedName>
    <definedName name="ran_7">#REF!</definedName>
    <definedName name="ran_8" localSheetId="6">#REF!</definedName>
    <definedName name="ran_8">#REF!</definedName>
    <definedName name="ran_9" localSheetId="6">#REF!</definedName>
    <definedName name="ran_9">#REF!</definedName>
    <definedName name="Sector" localSheetId="6">#REF!</definedName>
    <definedName name="Sector">#REF!</definedName>
    <definedName name="SemiB" localSheetId="6">#REF!</definedName>
    <definedName name="SemiB">#REF!</definedName>
    <definedName name="SheetTheory" localSheetId="6">#REF!</definedName>
    <definedName name="SheetTheory">#REF!</definedName>
    <definedName name="SNAACT_94_00">[6]SNAact!$R$4:$Y$139</definedName>
    <definedName name="SNAACT_96_08" localSheetId="9">#REF!</definedName>
    <definedName name="SNAACT_96_08" localSheetId="10">#REF!</definedName>
    <definedName name="SNAACT_96_08" localSheetId="6">#REF!</definedName>
    <definedName name="SNAACT_96_08">#REF!</definedName>
    <definedName name="SNAACT_PAST">[6]SNAact!$D$4:$X$172</definedName>
    <definedName name="SNAEXP_94_00">[6]SNAexp!$R$4:$Z$60</definedName>
    <definedName name="SNAEXP_96_08" localSheetId="9">#REF!</definedName>
    <definedName name="SNAEXP_96_08" localSheetId="10">#REF!</definedName>
    <definedName name="SNAEXP_96_08" localSheetId="6">#REF!</definedName>
    <definedName name="SNAEXP_96_08">#REF!</definedName>
    <definedName name="SNAEXP_PAST">[6]SNAexp!$D$4:$Y$60</definedName>
    <definedName name="Start" localSheetId="9">#REF!</definedName>
    <definedName name="Start" localSheetId="10">#REF!</definedName>
    <definedName name="Start" localSheetId="6">#REF!</definedName>
    <definedName name="Start">#REF!</definedName>
    <definedName name="SUMMARY_94_00">[6]SUMMARY!$R$3:$Y$169</definedName>
    <definedName name="SUMMARY_96_08">[6]SUMMARY!$T$3:$AG$169</definedName>
    <definedName name="SUMMARY_PAST">[6]SUMMARY!$D$3:$U$169</definedName>
    <definedName name="Tab_Assumptions">[6]ASU!$D$4:$AM$232</definedName>
    <definedName name="Tab_BoP_Debt">[6]BOL!$D$90:$AM$90</definedName>
    <definedName name="Tab_BoP_N">[6]BOL!$D$4:$AM$78</definedName>
    <definedName name="Tab_BoP_US">[6]BOP!$D$4:$AM$78</definedName>
    <definedName name="Tab_DIT">[6]DIT!$D$4:$AM$219</definedName>
    <definedName name="Tab_Exports_N">[6]TRA!$D$4:$AM$49</definedName>
    <definedName name="Tab_Exports_US">[6]TRA!$D$50:$AM$95</definedName>
    <definedName name="Tab_GDP_Act_constant">[6]SNAact!$D$72:$AM$105</definedName>
    <definedName name="Tab_GDP_Act_constant_growth_rate">[6]SNAact!$D$106:$AM$139</definedName>
    <definedName name="Tab_GDP_Act_current">[6]SNAact!$D$4:$AM$37</definedName>
    <definedName name="Tab_GDP_Act_current_percentage">[6]SNAact!$D$38:$AM$71</definedName>
    <definedName name="Tab_GDP_Act_deflator_annual_changes">[6]SNAact!$D$140:$AM$172</definedName>
    <definedName name="Tab_GDP_Exp_constant">[6]SNAexp!$D$42:$AM$60</definedName>
    <definedName name="Tab_GDP_Exp_current">[6]SNAexp!$D$4:$AM$40</definedName>
    <definedName name="Tab_Gov_cy">[6]GOVcy!$N$7:$AM$98</definedName>
    <definedName name="Tab_Gov_fy">[6]GOVfy!$N$7:$AM$110</definedName>
    <definedName name="Tab_Imports_constant_N">[6]TRA!$D$131:$AM$205</definedName>
    <definedName name="Tab_Imports_constant_US">[6]TRA!$D$240:$AM$273</definedName>
    <definedName name="Tab_Imports_current_N">[6]TRA!$D$96:$AM$130</definedName>
    <definedName name="Tab_Imports_current_US">[6]TRA!$D$206:$AM$239</definedName>
    <definedName name="Tab_Mon">[6]MON!$N$4:$AM$62</definedName>
    <definedName name="Tab_PIT">[6]PIT!$D$4:$AM$124</definedName>
    <definedName name="Tab_PRS">[6]PRS!$D$4:$AM$48</definedName>
    <definedName name="Tab_Summary">[6]SUMMARY!$D$4:$AM$163</definedName>
    <definedName name="Taxo" localSheetId="9">#REF!</definedName>
    <definedName name="Taxo" localSheetId="10">#REF!</definedName>
    <definedName name="Taxo" localSheetId="6">#REF!</definedName>
    <definedName name="Taxo">#REF!</definedName>
    <definedName name="TConsPrice" localSheetId="6">#REF!</definedName>
    <definedName name="TConsPrice">#REF!</definedName>
    <definedName name="TConsumption" localSheetId="6">#REF!</definedName>
    <definedName name="TConsumption">#REF!</definedName>
    <definedName name="TEmployment" localSheetId="6">#REF!</definedName>
    <definedName name="TEmployment">#REF!</definedName>
    <definedName name="TExchRate" localSheetId="6">#REF!</definedName>
    <definedName name="TExchRate">#REF!</definedName>
    <definedName name="TFoodPrice" localSheetId="6">#REF!</definedName>
    <definedName name="TFoodPrice">#REF!</definedName>
    <definedName name="Theory" localSheetId="6">#REF!</definedName>
    <definedName name="Theory">#REF!</definedName>
    <definedName name="TInterest" localSheetId="6">#REF!</definedName>
    <definedName name="TInterest">#REF!</definedName>
    <definedName name="TMoneySupply" localSheetId="6">#REF!</definedName>
    <definedName name="TMoneySupply">#REF!</definedName>
    <definedName name="tot_1" localSheetId="6">#REF!</definedName>
    <definedName name="tot_1">#REF!</definedName>
    <definedName name="tot_10" localSheetId="6">#REF!</definedName>
    <definedName name="tot_10">#REF!</definedName>
    <definedName name="tot_11" localSheetId="6">#REF!</definedName>
    <definedName name="tot_11">#REF!</definedName>
    <definedName name="tot_12" localSheetId="6">#REF!</definedName>
    <definedName name="tot_12">#REF!</definedName>
    <definedName name="tot_13" localSheetId="6">#REF!</definedName>
    <definedName name="tot_13">#REF!</definedName>
    <definedName name="tot_14" localSheetId="6">#REF!</definedName>
    <definedName name="tot_14">#REF!</definedName>
    <definedName name="tot_15" localSheetId="6">#REF!</definedName>
    <definedName name="tot_15">#REF!</definedName>
    <definedName name="tot_16" localSheetId="10">#REF!</definedName>
    <definedName name="tot_16" localSheetId="6">#REF!</definedName>
    <definedName name="tot_16">#REF!</definedName>
    <definedName name="tot_17" localSheetId="6">#REF!</definedName>
    <definedName name="tot_17">#REF!</definedName>
    <definedName name="tot_18" localSheetId="6">#REF!</definedName>
    <definedName name="tot_18">#REF!</definedName>
    <definedName name="tot_19" localSheetId="6">#REF!</definedName>
    <definedName name="tot_19">#REF!</definedName>
    <definedName name="tot_2" localSheetId="6">#REF!</definedName>
    <definedName name="tot_2">#REF!</definedName>
    <definedName name="tot_3" localSheetId="6">#REF!</definedName>
    <definedName name="tot_3">#REF!</definedName>
    <definedName name="tot_4" localSheetId="6">#REF!</definedName>
    <definedName name="tot_4">#REF!</definedName>
    <definedName name="tot_5" localSheetId="6">#REF!</definedName>
    <definedName name="tot_5">#REF!</definedName>
    <definedName name="tot_6" localSheetId="6">#REF!</definedName>
    <definedName name="tot_6">#REF!</definedName>
    <definedName name="tot_7" localSheetId="6">#REF!</definedName>
    <definedName name="tot_7">#REF!</definedName>
    <definedName name="tot_8" localSheetId="6">#REF!</definedName>
    <definedName name="tot_8">#REF!</definedName>
    <definedName name="tot_9" localSheetId="6">#REF!</definedName>
    <definedName name="tot_9">#REF!</definedName>
    <definedName name="TPrivInv" localSheetId="6">#REF!</definedName>
    <definedName name="TPrivInv">#REF!</definedName>
    <definedName name="TRA_94_00">[6]TRA!$R$4:$Y$274</definedName>
    <definedName name="TRA_96_08" localSheetId="9">#REF!</definedName>
    <definedName name="TRA_96_08" localSheetId="10">#REF!</definedName>
    <definedName name="TRA_96_08" localSheetId="6">#REF!</definedName>
    <definedName name="TRA_96_08">#REF!</definedName>
    <definedName name="TRA_PAST">[6]TRA!$D$4:$X$274</definedName>
    <definedName name="WageRateB" localSheetId="9">#REF!</definedName>
    <definedName name="WageRateB" localSheetId="10">#REF!</definedName>
    <definedName name="WageRateB" localSheetId="6">#REF!</definedName>
    <definedName name="WageRateB">#REF!</definedName>
    <definedName name="Years">[6]ASU!$D$1:$AN$1</definedName>
  </definedNames>
  <calcPr calcId="191029" iterate="1" iterateCount="2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471" i="52" l="1"/>
  <c r="BV471" i="52"/>
  <c r="BU21" i="45"/>
  <c r="BV13" i="45" l="1"/>
  <c r="BW13" i="45"/>
  <c r="BX13" i="45" s="1"/>
  <c r="BY13" i="45" s="1"/>
  <c r="BZ13" i="45" s="1"/>
  <c r="CA13" i="45" s="1"/>
  <c r="CB13" i="45" s="1"/>
  <c r="CC13" i="45" s="1"/>
  <c r="CD13" i="45" s="1"/>
  <c r="CE13" i="45" s="1"/>
  <c r="CF13" i="45" s="1"/>
  <c r="CG13" i="45" s="1"/>
  <c r="BX471" i="52"/>
  <c r="BY471" i="52"/>
  <c r="BZ471" i="52"/>
  <c r="CA471" i="52"/>
  <c r="CB471" i="52"/>
  <c r="CC471" i="52"/>
  <c r="CD471" i="52"/>
  <c r="CE471" i="52"/>
  <c r="CF471" i="52"/>
  <c r="CG471" i="52"/>
  <c r="BW471" i="52"/>
  <c r="O9" i="80"/>
  <c r="P9" i="80" s="1"/>
  <c r="N9" i="80"/>
  <c r="D9" i="80"/>
  <c r="E9" i="80" s="1"/>
  <c r="M8" i="80"/>
  <c r="N8" i="80" s="1"/>
  <c r="T7" i="79"/>
  <c r="T8" i="79"/>
  <c r="V8" i="79"/>
  <c r="T9" i="79"/>
  <c r="V9" i="79"/>
  <c r="T10" i="79"/>
  <c r="V10" i="79"/>
  <c r="T11" i="79"/>
  <c r="V11" i="79"/>
  <c r="T12" i="79"/>
  <c r="V12" i="79"/>
  <c r="T13" i="79"/>
  <c r="V13" i="79"/>
  <c r="T14" i="79"/>
  <c r="V14" i="79"/>
  <c r="T15" i="79"/>
  <c r="V15" i="79"/>
  <c r="T16" i="79"/>
  <c r="V16" i="79"/>
  <c r="T17" i="79"/>
  <c r="V17" i="79"/>
  <c r="T18" i="79"/>
  <c r="V18" i="79"/>
  <c r="T19" i="79"/>
  <c r="V19" i="79"/>
  <c r="T20" i="79"/>
  <c r="V20" i="79"/>
  <c r="T21" i="79"/>
  <c r="V21" i="79"/>
  <c r="T22" i="79"/>
  <c r="V22" i="79"/>
  <c r="T23" i="79"/>
  <c r="V23" i="79"/>
  <c r="T24" i="79"/>
  <c r="V24" i="79"/>
  <c r="T25" i="79"/>
  <c r="V25" i="79"/>
  <c r="T26" i="79"/>
  <c r="V26" i="79"/>
  <c r="T27" i="79"/>
  <c r="V27" i="79"/>
  <c r="T28" i="79"/>
  <c r="V28" i="79"/>
  <c r="M29" i="79"/>
  <c r="M75" i="79" s="1"/>
  <c r="N29" i="79"/>
  <c r="O29" i="79"/>
  <c r="O75" i="79" s="1"/>
  <c r="P29" i="79"/>
  <c r="Q29" i="79"/>
  <c r="Q75" i="79" s="1"/>
  <c r="R29" i="79"/>
  <c r="T29" i="79"/>
  <c r="V29" i="79"/>
  <c r="T31" i="79"/>
  <c r="T32" i="79"/>
  <c r="U32" i="79"/>
  <c r="V32" i="79"/>
  <c r="W32" i="79"/>
  <c r="T33" i="79"/>
  <c r="U33" i="79"/>
  <c r="V33" i="79"/>
  <c r="W33" i="79"/>
  <c r="T34" i="79"/>
  <c r="U34" i="79"/>
  <c r="V34" i="79"/>
  <c r="W34" i="79"/>
  <c r="K35" i="79"/>
  <c r="N35" i="79"/>
  <c r="R35" i="79"/>
  <c r="T35" i="79"/>
  <c r="V35" i="79"/>
  <c r="K36" i="79"/>
  <c r="V36" i="79"/>
  <c r="B37" i="79"/>
  <c r="D38" i="79" s="1"/>
  <c r="D37" i="79"/>
  <c r="T37" i="79"/>
  <c r="V37" i="79"/>
  <c r="B38" i="79"/>
  <c r="B39" i="79" s="1"/>
  <c r="D39" i="79"/>
  <c r="G40" i="79"/>
  <c r="H40" i="79"/>
  <c r="I40" i="79"/>
  <c r="J40" i="79"/>
  <c r="K40" i="79"/>
  <c r="L40" i="79"/>
  <c r="M40" i="79"/>
  <c r="N40" i="79"/>
  <c r="O40" i="79"/>
  <c r="P40" i="79"/>
  <c r="Q40" i="79"/>
  <c r="R40" i="79"/>
  <c r="G41" i="79"/>
  <c r="H41" i="79"/>
  <c r="I41" i="79"/>
  <c r="J41" i="79"/>
  <c r="K41" i="79"/>
  <c r="L41" i="79"/>
  <c r="M41" i="79"/>
  <c r="N41" i="79"/>
  <c r="O41" i="79"/>
  <c r="P41" i="79"/>
  <c r="Q41" i="79"/>
  <c r="R41" i="79"/>
  <c r="F42" i="79"/>
  <c r="G42" i="79"/>
  <c r="H42" i="79"/>
  <c r="I42" i="79"/>
  <c r="J42" i="79"/>
  <c r="K42" i="79"/>
  <c r="L42" i="79"/>
  <c r="M42" i="79"/>
  <c r="O42" i="79"/>
  <c r="P42" i="79"/>
  <c r="Q42" i="79"/>
  <c r="R42" i="79"/>
  <c r="G43" i="79"/>
  <c r="H43" i="79"/>
  <c r="I43" i="79"/>
  <c r="J43" i="79"/>
  <c r="K43" i="79"/>
  <c r="M43" i="79"/>
  <c r="N43" i="79"/>
  <c r="O43" i="79"/>
  <c r="P43" i="79"/>
  <c r="Q43" i="79"/>
  <c r="R43" i="79"/>
  <c r="G44" i="79"/>
  <c r="H44" i="79"/>
  <c r="I44" i="79"/>
  <c r="J44" i="79"/>
  <c r="K44" i="79"/>
  <c r="L44" i="79"/>
  <c r="M44" i="79"/>
  <c r="N44" i="79"/>
  <c r="O44" i="79"/>
  <c r="P44" i="79"/>
  <c r="Q44" i="79"/>
  <c r="R44" i="79"/>
  <c r="G46" i="79"/>
  <c r="H46" i="79"/>
  <c r="I46" i="79"/>
  <c r="J46" i="79"/>
  <c r="K46" i="79"/>
  <c r="L46" i="79"/>
  <c r="M46" i="79"/>
  <c r="N46" i="79"/>
  <c r="O46" i="79"/>
  <c r="P46" i="79"/>
  <c r="Q46" i="79"/>
  <c r="R46" i="79"/>
  <c r="G47" i="79"/>
  <c r="H47" i="79"/>
  <c r="I47" i="79"/>
  <c r="J47" i="79"/>
  <c r="K47" i="79"/>
  <c r="L47" i="79"/>
  <c r="M47" i="79"/>
  <c r="N47" i="79"/>
  <c r="O47" i="79"/>
  <c r="P47" i="79"/>
  <c r="Q47" i="79"/>
  <c r="R47" i="79"/>
  <c r="G48" i="79"/>
  <c r="H48" i="79"/>
  <c r="I48" i="79"/>
  <c r="J48" i="79"/>
  <c r="K48" i="79"/>
  <c r="L48" i="79"/>
  <c r="M48" i="79"/>
  <c r="N48" i="79"/>
  <c r="O48" i="79"/>
  <c r="P48" i="79"/>
  <c r="Q48" i="79"/>
  <c r="R48" i="79"/>
  <c r="G49" i="79"/>
  <c r="H49" i="79"/>
  <c r="I49" i="79"/>
  <c r="J49" i="79"/>
  <c r="K49" i="79"/>
  <c r="L49" i="79"/>
  <c r="M49" i="79"/>
  <c r="N49" i="79"/>
  <c r="O49" i="79"/>
  <c r="P49" i="79"/>
  <c r="Q49" i="79"/>
  <c r="R49" i="79"/>
  <c r="G50" i="79"/>
  <c r="H50" i="79"/>
  <c r="I50" i="79"/>
  <c r="J50" i="79"/>
  <c r="K50" i="79"/>
  <c r="L50" i="79"/>
  <c r="M50" i="79"/>
  <c r="N50" i="79"/>
  <c r="O50" i="79"/>
  <c r="P50" i="79"/>
  <c r="Q50" i="79"/>
  <c r="R50" i="79"/>
  <c r="G51" i="79"/>
  <c r="H51" i="79"/>
  <c r="I51" i="79"/>
  <c r="J51" i="79"/>
  <c r="K51" i="79"/>
  <c r="L51" i="79"/>
  <c r="N51" i="79"/>
  <c r="P51" i="79"/>
  <c r="R51" i="79"/>
  <c r="G53" i="79"/>
  <c r="H53" i="79"/>
  <c r="I53" i="79"/>
  <c r="J53" i="79"/>
  <c r="K53" i="79"/>
  <c r="L53" i="79"/>
  <c r="M53" i="79"/>
  <c r="N53" i="79"/>
  <c r="O53" i="79"/>
  <c r="P53" i="79"/>
  <c r="Q53" i="79"/>
  <c r="R53" i="79"/>
  <c r="G54" i="79"/>
  <c r="H54" i="79"/>
  <c r="I54" i="79"/>
  <c r="J54" i="79"/>
  <c r="K54" i="79"/>
  <c r="L54" i="79"/>
  <c r="M54" i="79"/>
  <c r="N54" i="79"/>
  <c r="O54" i="79"/>
  <c r="P54" i="79"/>
  <c r="Q54" i="79"/>
  <c r="R54" i="79"/>
  <c r="G55" i="79"/>
  <c r="H55" i="79"/>
  <c r="I55" i="79"/>
  <c r="J55" i="79"/>
  <c r="K55" i="79"/>
  <c r="L55" i="79"/>
  <c r="M55" i="79"/>
  <c r="N55" i="79"/>
  <c r="O55" i="79"/>
  <c r="P55" i="79"/>
  <c r="Q55" i="79"/>
  <c r="R55" i="79"/>
  <c r="G56" i="79"/>
  <c r="H56" i="79"/>
  <c r="I56" i="79"/>
  <c r="J56" i="79"/>
  <c r="K56" i="79"/>
  <c r="L56" i="79"/>
  <c r="M56" i="79"/>
  <c r="O56" i="79"/>
  <c r="P56" i="79"/>
  <c r="Q56" i="79"/>
  <c r="R56" i="79"/>
  <c r="G57" i="79"/>
  <c r="H57" i="79"/>
  <c r="I57" i="79"/>
  <c r="J57" i="79"/>
  <c r="K57" i="79"/>
  <c r="M57" i="79"/>
  <c r="O57" i="79"/>
  <c r="P57" i="79"/>
  <c r="Q57" i="79"/>
  <c r="R57" i="79"/>
  <c r="G58" i="79"/>
  <c r="H58" i="79"/>
  <c r="I58" i="79"/>
  <c r="J58" i="79"/>
  <c r="K58" i="79"/>
  <c r="M58" i="79"/>
  <c r="N58" i="79"/>
  <c r="O58" i="79"/>
  <c r="P58" i="79"/>
  <c r="Q58" i="79"/>
  <c r="R58" i="79"/>
  <c r="G59" i="79"/>
  <c r="H59" i="79"/>
  <c r="I59" i="79"/>
  <c r="J59" i="79"/>
  <c r="K59" i="79"/>
  <c r="L59" i="79"/>
  <c r="M59" i="79"/>
  <c r="N59" i="79"/>
  <c r="O59" i="79"/>
  <c r="P59" i="79"/>
  <c r="Q59" i="79"/>
  <c r="G62" i="79"/>
  <c r="H62" i="79"/>
  <c r="I62" i="79"/>
  <c r="J62" i="79"/>
  <c r="K62" i="79"/>
  <c r="L62" i="79"/>
  <c r="M62" i="79"/>
  <c r="N62" i="79"/>
  <c r="O62" i="79"/>
  <c r="P62" i="79"/>
  <c r="Q62" i="79"/>
  <c r="R62" i="79"/>
  <c r="T62" i="79"/>
  <c r="G63" i="79"/>
  <c r="H63" i="79"/>
  <c r="I63" i="79"/>
  <c r="J63" i="79"/>
  <c r="K63" i="79"/>
  <c r="L63" i="79"/>
  <c r="M63" i="79"/>
  <c r="N63" i="79"/>
  <c r="O63" i="79"/>
  <c r="P63" i="79"/>
  <c r="Q63" i="79"/>
  <c r="R63" i="79"/>
  <c r="G64" i="79"/>
  <c r="H64" i="79"/>
  <c r="I64" i="79"/>
  <c r="J64" i="79"/>
  <c r="K64" i="79"/>
  <c r="L64" i="79"/>
  <c r="M64" i="79"/>
  <c r="N64" i="79"/>
  <c r="O64" i="79"/>
  <c r="P64" i="79"/>
  <c r="Q64" i="79"/>
  <c r="R64" i="79"/>
  <c r="T64" i="79"/>
  <c r="G65" i="79"/>
  <c r="H65" i="79"/>
  <c r="I65" i="79"/>
  <c r="J65" i="79"/>
  <c r="K65" i="79"/>
  <c r="L65" i="79"/>
  <c r="M65" i="79"/>
  <c r="N65" i="79"/>
  <c r="O65" i="79"/>
  <c r="P65" i="79"/>
  <c r="Q65" i="79"/>
  <c r="R65" i="79"/>
  <c r="G66" i="79"/>
  <c r="H66" i="79"/>
  <c r="I66" i="79"/>
  <c r="J66" i="79"/>
  <c r="K66" i="79"/>
  <c r="L66" i="79"/>
  <c r="M66" i="79"/>
  <c r="N66" i="79"/>
  <c r="O66" i="79"/>
  <c r="P66" i="79"/>
  <c r="Q66" i="79"/>
  <c r="R66" i="79"/>
  <c r="T66" i="79"/>
  <c r="G67" i="79"/>
  <c r="H67" i="79"/>
  <c r="I67" i="79"/>
  <c r="J67" i="79"/>
  <c r="K67" i="79"/>
  <c r="L67" i="79"/>
  <c r="M67" i="79"/>
  <c r="N67" i="79"/>
  <c r="O67" i="79"/>
  <c r="P67" i="79"/>
  <c r="Q67" i="79"/>
  <c r="R67" i="79"/>
  <c r="G68" i="79"/>
  <c r="H68" i="79"/>
  <c r="I68" i="79"/>
  <c r="J68" i="79"/>
  <c r="K68" i="79"/>
  <c r="L68" i="79"/>
  <c r="M68" i="79"/>
  <c r="N68" i="79"/>
  <c r="O68" i="79"/>
  <c r="P68" i="79"/>
  <c r="Q68" i="79"/>
  <c r="R68" i="79"/>
  <c r="T68" i="79"/>
  <c r="G69" i="79"/>
  <c r="H69" i="79"/>
  <c r="I69" i="79"/>
  <c r="J69" i="79"/>
  <c r="K69" i="79"/>
  <c r="L69" i="79"/>
  <c r="M69" i="79"/>
  <c r="N69" i="79"/>
  <c r="O69" i="79"/>
  <c r="P69" i="79"/>
  <c r="Q69" i="79"/>
  <c r="R69" i="79"/>
  <c r="G70" i="79"/>
  <c r="H70" i="79"/>
  <c r="I70" i="79"/>
  <c r="J70" i="79"/>
  <c r="K70" i="79"/>
  <c r="L70" i="79"/>
  <c r="M70" i="79"/>
  <c r="N70" i="79"/>
  <c r="O70" i="79"/>
  <c r="P70" i="79"/>
  <c r="Q70" i="79"/>
  <c r="R70" i="79"/>
  <c r="T70" i="79"/>
  <c r="G71" i="79"/>
  <c r="H71" i="79"/>
  <c r="I71" i="79"/>
  <c r="J71" i="79"/>
  <c r="K71" i="79"/>
  <c r="L71" i="79"/>
  <c r="M71" i="79"/>
  <c r="N71" i="79"/>
  <c r="O71" i="79"/>
  <c r="P71" i="79"/>
  <c r="Q71" i="79"/>
  <c r="R71" i="79"/>
  <c r="G72" i="79"/>
  <c r="H72" i="79"/>
  <c r="I72" i="79"/>
  <c r="J72" i="79"/>
  <c r="K72" i="79"/>
  <c r="L72" i="79"/>
  <c r="M72" i="79"/>
  <c r="N72" i="79"/>
  <c r="O72" i="79"/>
  <c r="P72" i="79"/>
  <c r="Q72" i="79"/>
  <c r="R72" i="79"/>
  <c r="T72" i="79"/>
  <c r="G73" i="79"/>
  <c r="H73" i="79"/>
  <c r="I73" i="79"/>
  <c r="J73" i="79"/>
  <c r="K73" i="79"/>
  <c r="L73" i="79"/>
  <c r="M73" i="79"/>
  <c r="N73" i="79"/>
  <c r="O73" i="79"/>
  <c r="P73" i="79"/>
  <c r="Q73" i="79"/>
  <c r="R73" i="79"/>
  <c r="G74" i="79"/>
  <c r="H74" i="79"/>
  <c r="I74" i="79"/>
  <c r="J74" i="79"/>
  <c r="K74" i="79"/>
  <c r="L74" i="79"/>
  <c r="M74" i="79"/>
  <c r="N74" i="79"/>
  <c r="O74" i="79"/>
  <c r="P74" i="79"/>
  <c r="Q74" i="79"/>
  <c r="R74" i="79"/>
  <c r="T74" i="79"/>
  <c r="G75" i="79"/>
  <c r="H75" i="79"/>
  <c r="I75" i="79"/>
  <c r="J75" i="79"/>
  <c r="K75" i="79"/>
  <c r="L75" i="79"/>
  <c r="P75" i="79"/>
  <c r="G76" i="79"/>
  <c r="H76" i="79"/>
  <c r="I76" i="79"/>
  <c r="J76" i="79"/>
  <c r="K76" i="79"/>
  <c r="L76" i="79"/>
  <c r="M76" i="79"/>
  <c r="N76" i="79"/>
  <c r="O76" i="79"/>
  <c r="P76" i="79"/>
  <c r="Q76" i="79"/>
  <c r="R76" i="79"/>
  <c r="T76" i="79"/>
  <c r="G77" i="79"/>
  <c r="H77" i="79"/>
  <c r="I77" i="79"/>
  <c r="J77" i="79"/>
  <c r="K77" i="79"/>
  <c r="L77" i="79"/>
  <c r="M77" i="79"/>
  <c r="N77" i="79"/>
  <c r="O77" i="79"/>
  <c r="P77" i="79"/>
  <c r="Q77" i="79"/>
  <c r="R77" i="79"/>
  <c r="G78" i="79"/>
  <c r="H78" i="79"/>
  <c r="I78" i="79"/>
  <c r="J78" i="79"/>
  <c r="K78" i="79"/>
  <c r="L78" i="79"/>
  <c r="M78" i="79"/>
  <c r="N78" i="79"/>
  <c r="O78" i="79"/>
  <c r="P78" i="79"/>
  <c r="Q78" i="79"/>
  <c r="R78" i="79"/>
  <c r="T78" i="79"/>
  <c r="G79" i="79"/>
  <c r="H79" i="79"/>
  <c r="I79" i="79"/>
  <c r="J79" i="79"/>
  <c r="K79" i="79"/>
  <c r="L79" i="79"/>
  <c r="M79" i="79"/>
  <c r="N79" i="79"/>
  <c r="O79" i="79"/>
  <c r="P79" i="79"/>
  <c r="Q79" i="79"/>
  <c r="R79" i="79"/>
  <c r="G80" i="79"/>
  <c r="H80" i="79"/>
  <c r="I80" i="79"/>
  <c r="J80" i="79"/>
  <c r="K80" i="79"/>
  <c r="L80" i="79"/>
  <c r="M80" i="79"/>
  <c r="P80" i="79"/>
  <c r="Q80" i="79"/>
  <c r="R80" i="79"/>
  <c r="G81" i="79"/>
  <c r="H81" i="79"/>
  <c r="I81" i="79"/>
  <c r="J81" i="79"/>
  <c r="N81" i="79"/>
  <c r="O81" i="79"/>
  <c r="P81" i="79"/>
  <c r="Q81" i="79"/>
  <c r="R81" i="79"/>
  <c r="G82" i="79"/>
  <c r="H82" i="79"/>
  <c r="T82" i="79" s="1"/>
  <c r="I82" i="79"/>
  <c r="J82" i="79"/>
  <c r="K82" i="79"/>
  <c r="L82" i="79"/>
  <c r="M82" i="79"/>
  <c r="N82" i="79"/>
  <c r="O82" i="79"/>
  <c r="P82" i="79"/>
  <c r="Q82" i="79"/>
  <c r="R82" i="79"/>
  <c r="G83" i="79"/>
  <c r="H83" i="79"/>
  <c r="I83" i="79"/>
  <c r="J83" i="79"/>
  <c r="K83" i="79"/>
  <c r="L83" i="79"/>
  <c r="M83" i="79"/>
  <c r="N83" i="79"/>
  <c r="O83" i="79"/>
  <c r="P83" i="79"/>
  <c r="Q83" i="79"/>
  <c r="T85" i="79"/>
  <c r="T86" i="79"/>
  <c r="P87" i="79"/>
  <c r="Q87" i="79"/>
  <c r="R87" i="79" s="1"/>
  <c r="H88" i="79"/>
  <c r="I88" i="79"/>
  <c r="J88" i="79" s="1"/>
  <c r="Q90" i="79"/>
  <c r="R90" i="79"/>
  <c r="P92" i="79"/>
  <c r="Q92" i="79"/>
  <c r="R92" i="79"/>
  <c r="G93" i="79"/>
  <c r="H93" i="79"/>
  <c r="I93" i="79"/>
  <c r="J93" i="79"/>
  <c r="K93" i="79"/>
  <c r="L93" i="79"/>
  <c r="M93" i="79"/>
  <c r="N93" i="79"/>
  <c r="O93" i="79"/>
  <c r="P93" i="79"/>
  <c r="Q93" i="79"/>
  <c r="R93" i="79"/>
  <c r="T93" i="79"/>
  <c r="K98" i="79"/>
  <c r="L98" i="79"/>
  <c r="M98" i="79" s="1"/>
  <c r="N98" i="79" s="1"/>
  <c r="O98" i="79" s="1"/>
  <c r="P98" i="79" s="1"/>
  <c r="Q98" i="79" s="1"/>
  <c r="R98" i="79" s="1"/>
  <c r="N99" i="79"/>
  <c r="O99" i="79"/>
  <c r="P99" i="79"/>
  <c r="Q99" i="79"/>
  <c r="R99" i="79"/>
  <c r="F106" i="79"/>
  <c r="G106" i="79"/>
  <c r="H106" i="79"/>
  <c r="I106" i="79"/>
  <c r="J106" i="79"/>
  <c r="K106" i="79"/>
  <c r="L106" i="79"/>
  <c r="M106" i="79"/>
  <c r="N106" i="79"/>
  <c r="O106" i="79"/>
  <c r="P106" i="79"/>
  <c r="Q106" i="79"/>
  <c r="R106" i="79"/>
  <c r="G107" i="79"/>
  <c r="G110" i="79" s="1"/>
  <c r="G111" i="79" s="1"/>
  <c r="G112" i="79" s="1"/>
  <c r="H107" i="79"/>
  <c r="H104" i="79" s="1"/>
  <c r="I107" i="79"/>
  <c r="I110" i="79" s="1"/>
  <c r="J107" i="79"/>
  <c r="J104" i="79" s="1"/>
  <c r="K107" i="79"/>
  <c r="K110" i="79" s="1"/>
  <c r="L107" i="79"/>
  <c r="L104" i="79" s="1"/>
  <c r="M107" i="79"/>
  <c r="M110" i="79" s="1"/>
  <c r="N107" i="79"/>
  <c r="N104" i="79" s="1"/>
  <c r="O107" i="79"/>
  <c r="O110" i="79" s="1"/>
  <c r="P107" i="79"/>
  <c r="P104" i="79" s="1"/>
  <c r="Q107" i="79"/>
  <c r="Q110" i="79" s="1"/>
  <c r="R107" i="79"/>
  <c r="R104" i="79" s="1"/>
  <c r="G108" i="79"/>
  <c r="G166" i="79" s="1"/>
  <c r="H108" i="79"/>
  <c r="I108" i="79"/>
  <c r="I166" i="79" s="1"/>
  <c r="J108" i="79"/>
  <c r="K108" i="79"/>
  <c r="K166" i="79" s="1"/>
  <c r="O108" i="79"/>
  <c r="P108" i="79"/>
  <c r="Q108" i="79" s="1"/>
  <c r="H110" i="79"/>
  <c r="J110" i="79"/>
  <c r="L110" i="79"/>
  <c r="N110" i="79"/>
  <c r="P110" i="79"/>
  <c r="R110" i="79"/>
  <c r="H111" i="79"/>
  <c r="F112" i="79"/>
  <c r="F114" i="79"/>
  <c r="G114" i="79"/>
  <c r="H114" i="79"/>
  <c r="I114" i="79"/>
  <c r="J114" i="79"/>
  <c r="K114" i="79"/>
  <c r="L114" i="79"/>
  <c r="M114" i="79"/>
  <c r="N114" i="79"/>
  <c r="O114" i="79"/>
  <c r="P114" i="79"/>
  <c r="Q114" i="79"/>
  <c r="R114" i="79"/>
  <c r="F115" i="79"/>
  <c r="R115" i="79"/>
  <c r="G116" i="79"/>
  <c r="H116" i="79"/>
  <c r="I116" i="79"/>
  <c r="J116" i="79"/>
  <c r="K116" i="79"/>
  <c r="L116" i="79"/>
  <c r="M116" i="79"/>
  <c r="N116" i="79"/>
  <c r="O116" i="79"/>
  <c r="P116" i="79"/>
  <c r="Q116" i="79"/>
  <c r="R116" i="79"/>
  <c r="R117" i="79"/>
  <c r="Y121" i="79"/>
  <c r="T123" i="79"/>
  <c r="T128" i="79"/>
  <c r="G130" i="79"/>
  <c r="H130" i="79"/>
  <c r="I130" i="79"/>
  <c r="J130" i="79"/>
  <c r="K130" i="79"/>
  <c r="L130" i="79"/>
  <c r="M130" i="79"/>
  <c r="N130" i="79"/>
  <c r="O130" i="79"/>
  <c r="P130" i="79"/>
  <c r="Q130" i="79"/>
  <c r="R130" i="79"/>
  <c r="G131" i="79"/>
  <c r="H131" i="79"/>
  <c r="I131" i="79"/>
  <c r="J131" i="79"/>
  <c r="K131" i="79"/>
  <c r="L131" i="79"/>
  <c r="M131" i="79"/>
  <c r="N131" i="79"/>
  <c r="O131" i="79"/>
  <c r="P131" i="79"/>
  <c r="Q131" i="79"/>
  <c r="T131" i="79"/>
  <c r="T134" i="79"/>
  <c r="G140" i="79"/>
  <c r="H140" i="79"/>
  <c r="H145" i="79" s="1"/>
  <c r="I140" i="79"/>
  <c r="J140" i="79"/>
  <c r="J145" i="79" s="1"/>
  <c r="K140" i="79"/>
  <c r="L140" i="79"/>
  <c r="L145" i="79" s="1"/>
  <c r="O140" i="79"/>
  <c r="P140" i="79"/>
  <c r="P145" i="79" s="1"/>
  <c r="Q142" i="79"/>
  <c r="R144" i="79"/>
  <c r="G145" i="79"/>
  <c r="I145" i="79"/>
  <c r="K145" i="79"/>
  <c r="M145" i="79"/>
  <c r="N145" i="79"/>
  <c r="O145" i="79"/>
  <c r="Q145" i="79"/>
  <c r="G146" i="79"/>
  <c r="H146" i="79"/>
  <c r="I146" i="79"/>
  <c r="G147" i="79"/>
  <c r="H147" i="79"/>
  <c r="I147" i="79"/>
  <c r="J147" i="79"/>
  <c r="K147" i="79"/>
  <c r="L147" i="79"/>
  <c r="M147" i="79"/>
  <c r="N147" i="79"/>
  <c r="O147" i="79"/>
  <c r="P147" i="79"/>
  <c r="Q147" i="79"/>
  <c r="R147" i="79"/>
  <c r="G148" i="79"/>
  <c r="H148" i="79"/>
  <c r="I148" i="79"/>
  <c r="J148" i="79"/>
  <c r="K148" i="79"/>
  <c r="L148" i="79"/>
  <c r="M148" i="79"/>
  <c r="N148" i="79"/>
  <c r="R155" i="79"/>
  <c r="G160" i="79"/>
  <c r="H160" i="79"/>
  <c r="I160" i="79"/>
  <c r="J160" i="79"/>
  <c r="K160" i="79"/>
  <c r="L160" i="79"/>
  <c r="M160" i="79"/>
  <c r="N160" i="79"/>
  <c r="O160" i="79"/>
  <c r="P160" i="79"/>
  <c r="Q160" i="79"/>
  <c r="R160" i="79"/>
  <c r="G161" i="79"/>
  <c r="H161" i="79"/>
  <c r="I161" i="79"/>
  <c r="J161" i="79"/>
  <c r="K161" i="79"/>
  <c r="L161" i="79"/>
  <c r="M161" i="79"/>
  <c r="N161" i="79"/>
  <c r="O161" i="79"/>
  <c r="T161" i="79"/>
  <c r="R165" i="79"/>
  <c r="H166" i="79"/>
  <c r="J166" i="79"/>
  <c r="L166" i="79"/>
  <c r="M166" i="79"/>
  <c r="N166" i="79"/>
  <c r="O166" i="79"/>
  <c r="P166" i="79"/>
  <c r="B904" i="53"/>
  <c r="N7" i="80" l="1"/>
  <c r="O8" i="80"/>
  <c r="F9" i="80"/>
  <c r="E8" i="80"/>
  <c r="Q9" i="80"/>
  <c r="R9" i="80" s="1"/>
  <c r="S9" i="80" s="1"/>
  <c r="T9" i="80" s="1"/>
  <c r="U9" i="80" s="1"/>
  <c r="V9" i="80" s="1"/>
  <c r="W9" i="80" s="1"/>
  <c r="X9" i="80" s="1"/>
  <c r="Y9" i="80" s="1"/>
  <c r="Z9" i="80" s="1"/>
  <c r="AA9" i="80" s="1"/>
  <c r="D8" i="80"/>
  <c r="I111" i="79"/>
  <c r="H112" i="79"/>
  <c r="Q166" i="79"/>
  <c r="R108" i="79"/>
  <c r="T166" i="79"/>
  <c r="Q161" i="79"/>
  <c r="Y104" i="79"/>
  <c r="J146" i="79"/>
  <c r="K88" i="79"/>
  <c r="R145" i="79"/>
  <c r="T87" i="79"/>
  <c r="Q104" i="79"/>
  <c r="O104" i="79"/>
  <c r="M104" i="79"/>
  <c r="K104" i="79"/>
  <c r="I104" i="79"/>
  <c r="G104" i="79"/>
  <c r="T77" i="79"/>
  <c r="T71" i="79"/>
  <c r="T67" i="79"/>
  <c r="T63" i="79"/>
  <c r="T38" i="79"/>
  <c r="V38" i="79"/>
  <c r="G39" i="79"/>
  <c r="R59" i="79"/>
  <c r="L36" i="79"/>
  <c r="K81" i="79"/>
  <c r="U35" i="79"/>
  <c r="W35" i="79"/>
  <c r="N42" i="79"/>
  <c r="N56" i="79"/>
  <c r="N57" i="79"/>
  <c r="N80" i="79"/>
  <c r="T80" i="79" s="1"/>
  <c r="U29" i="79"/>
  <c r="W29" i="79"/>
  <c r="U28" i="79"/>
  <c r="W28" i="79"/>
  <c r="U27" i="79"/>
  <c r="W27" i="79"/>
  <c r="U26" i="79"/>
  <c r="W26" i="79"/>
  <c r="U25" i="79"/>
  <c r="W25" i="79"/>
  <c r="U24" i="79"/>
  <c r="W24" i="79"/>
  <c r="U23" i="79"/>
  <c r="W23" i="79"/>
  <c r="U22" i="79"/>
  <c r="W22" i="79"/>
  <c r="U21" i="79"/>
  <c r="W21" i="79"/>
  <c r="U20" i="79"/>
  <c r="W20" i="79"/>
  <c r="U19" i="79"/>
  <c r="W19" i="79"/>
  <c r="U18" i="79"/>
  <c r="W18" i="79"/>
  <c r="U17" i="79"/>
  <c r="W17" i="79"/>
  <c r="U16" i="79"/>
  <c r="W16" i="79"/>
  <c r="U15" i="79"/>
  <c r="W15" i="79"/>
  <c r="U14" i="79"/>
  <c r="W14" i="79"/>
  <c r="U13" i="79"/>
  <c r="W13" i="79"/>
  <c r="U12" i="79"/>
  <c r="W12" i="79"/>
  <c r="U11" i="79"/>
  <c r="W11" i="79"/>
  <c r="U10" i="79"/>
  <c r="W10" i="79"/>
  <c r="U9" i="79"/>
  <c r="W9" i="79"/>
  <c r="U8" i="79"/>
  <c r="W8" i="79"/>
  <c r="P161" i="79"/>
  <c r="R83" i="79"/>
  <c r="T83" i="79" s="1"/>
  <c r="O80" i="79"/>
  <c r="T79" i="79"/>
  <c r="R75" i="79"/>
  <c r="N75" i="79"/>
  <c r="T75" i="79" s="1"/>
  <c r="T73" i="79"/>
  <c r="T69" i="79"/>
  <c r="T65" i="79"/>
  <c r="Q51" i="79"/>
  <c r="O51" i="79"/>
  <c r="M51" i="79"/>
  <c r="W37" i="79"/>
  <c r="T36" i="79"/>
  <c r="BU15" i="45"/>
  <c r="P8" i="80" l="1"/>
  <c r="O7" i="80"/>
  <c r="C7" i="80" s="1"/>
  <c r="AB9" i="80"/>
  <c r="G9" i="80"/>
  <c r="F8" i="80"/>
  <c r="L88" i="79"/>
  <c r="K146" i="79"/>
  <c r="G109" i="79"/>
  <c r="R161" i="79"/>
  <c r="R166" i="79"/>
  <c r="U36" i="79"/>
  <c r="W36" i="79"/>
  <c r="U37" i="79"/>
  <c r="L43" i="79"/>
  <c r="L57" i="79"/>
  <c r="L58" i="79"/>
  <c r="M81" i="79"/>
  <c r="L81" i="79"/>
  <c r="T81" i="79" s="1"/>
  <c r="H39" i="79"/>
  <c r="I39" i="79" s="1"/>
  <c r="J39" i="79" s="1"/>
  <c r="K39" i="79" s="1"/>
  <c r="L39" i="79" s="1"/>
  <c r="M39" i="79" s="1"/>
  <c r="N39" i="79" s="1"/>
  <c r="O39" i="79" s="1"/>
  <c r="P39" i="79" s="1"/>
  <c r="Q39" i="79" s="1"/>
  <c r="R39" i="79" s="1"/>
  <c r="U38" i="79"/>
  <c r="W38" i="79"/>
  <c r="J111" i="79"/>
  <c r="I112" i="79"/>
  <c r="H9" i="80" l="1"/>
  <c r="G8" i="80"/>
  <c r="P7" i="80"/>
  <c r="Q8" i="80"/>
  <c r="K111" i="79"/>
  <c r="J112" i="79"/>
  <c r="V39" i="79"/>
  <c r="G162" i="79"/>
  <c r="G163" i="79"/>
  <c r="G164" i="79"/>
  <c r="H109" i="79"/>
  <c r="G167" i="79"/>
  <c r="L146" i="79"/>
  <c r="M88" i="79"/>
  <c r="T39" i="79"/>
  <c r="U39" i="79" s="1"/>
  <c r="BU33" i="45"/>
  <c r="BV20" i="45"/>
  <c r="L12" i="71"/>
  <c r="J5" i="55"/>
  <c r="M12" i="71" s="1"/>
  <c r="H5" i="55"/>
  <c r="K12" i="71" s="1"/>
  <c r="CA63" i="45"/>
  <c r="CB63" i="45" s="1"/>
  <c r="CC63" i="45" s="1"/>
  <c r="CD63" i="45" s="1"/>
  <c r="CE63" i="45" s="1"/>
  <c r="CF63" i="45" s="1"/>
  <c r="CG63" i="45" s="1"/>
  <c r="BU59" i="45"/>
  <c r="BW479" i="52"/>
  <c r="BV479" i="52"/>
  <c r="BV33" i="45" s="1"/>
  <c r="BU478" i="52"/>
  <c r="BV478" i="52"/>
  <c r="BW478" i="52"/>
  <c r="BT478" i="52"/>
  <c r="W39" i="79" l="1"/>
  <c r="R8" i="80"/>
  <c r="Q7" i="80"/>
  <c r="I9" i="80"/>
  <c r="H8" i="80"/>
  <c r="I109" i="79"/>
  <c r="H167" i="79"/>
  <c r="H162" i="79"/>
  <c r="H163" i="79"/>
  <c r="H164" i="79"/>
  <c r="N88" i="79"/>
  <c r="M146" i="79"/>
  <c r="K112" i="79"/>
  <c r="L111" i="79"/>
  <c r="BX479" i="52"/>
  <c r="BW33" i="45"/>
  <c r="BU37" i="45"/>
  <c r="BZ37" i="45"/>
  <c r="BT37" i="45"/>
  <c r="R7" i="80" l="1"/>
  <c r="S8" i="80"/>
  <c r="J9" i="80"/>
  <c r="I8" i="80"/>
  <c r="N146" i="79"/>
  <c r="O88" i="79"/>
  <c r="M111" i="79"/>
  <c r="L112" i="79"/>
  <c r="I162" i="79"/>
  <c r="I163" i="79"/>
  <c r="I164" i="79"/>
  <c r="J109" i="79"/>
  <c r="I167" i="79"/>
  <c r="BY479" i="52"/>
  <c r="BX33" i="45"/>
  <c r="BT374" i="52"/>
  <c r="T8" i="80" l="1"/>
  <c r="S7" i="80"/>
  <c r="K9" i="80"/>
  <c r="J8" i="80"/>
  <c r="N111" i="79"/>
  <c r="M112" i="79"/>
  <c r="P88" i="79"/>
  <c r="O146" i="79"/>
  <c r="K109" i="79"/>
  <c r="J167" i="79"/>
  <c r="J162" i="79"/>
  <c r="J163" i="79"/>
  <c r="J164" i="79"/>
  <c r="BZ479" i="52"/>
  <c r="BY33" i="45"/>
  <c r="K5" i="55"/>
  <c r="BX46" i="45"/>
  <c r="BV54" i="45"/>
  <c r="BV51" i="45"/>
  <c r="F834" i="53"/>
  <c r="E834" i="53"/>
  <c r="D834" i="53"/>
  <c r="L9" i="80" l="1"/>
  <c r="L8" i="80" s="1"/>
  <c r="K8" i="80"/>
  <c r="T7" i="80"/>
  <c r="U8" i="80"/>
  <c r="K162" i="79"/>
  <c r="K163" i="79"/>
  <c r="K164" i="79"/>
  <c r="L109" i="79"/>
  <c r="K167" i="79"/>
  <c r="P146" i="79"/>
  <c r="Q88" i="79"/>
  <c r="O111" i="79"/>
  <c r="N112" i="79"/>
  <c r="L5" i="55"/>
  <c r="N12" i="71"/>
  <c r="CA479" i="52"/>
  <c r="BZ33" i="45"/>
  <c r="Y7" i="71"/>
  <c r="AL11" i="71" s="1"/>
  <c r="V8" i="80" l="1"/>
  <c r="U7" i="80"/>
  <c r="C8" i="80"/>
  <c r="O112" i="79"/>
  <c r="P111" i="79"/>
  <c r="M109" i="79"/>
  <c r="L167" i="79"/>
  <c r="L162" i="79"/>
  <c r="L163" i="79"/>
  <c r="L164" i="79"/>
  <c r="R88" i="79"/>
  <c r="Q146" i="79"/>
  <c r="CB479" i="52"/>
  <c r="CA33" i="45"/>
  <c r="M5" i="55"/>
  <c r="O12" i="71"/>
  <c r="AL12" i="71"/>
  <c r="V7" i="80" l="1"/>
  <c r="W8" i="80"/>
  <c r="R146" i="79"/>
  <c r="T88" i="79"/>
  <c r="Q111" i="79"/>
  <c r="P112" i="79"/>
  <c r="M162" i="79"/>
  <c r="M163" i="79"/>
  <c r="M164" i="79"/>
  <c r="N109" i="79"/>
  <c r="M167" i="79"/>
  <c r="N5" i="55"/>
  <c r="O5" i="55" s="1"/>
  <c r="P5" i="55" s="1"/>
  <c r="Q5" i="55" s="1"/>
  <c r="P12" i="71"/>
  <c r="CC479" i="52"/>
  <c r="CB33" i="45"/>
  <c r="R5" i="55"/>
  <c r="BT330" i="52"/>
  <c r="BT263" i="52"/>
  <c r="BT261" i="52"/>
  <c r="BT260" i="52" s="1"/>
  <c r="BT239" i="52"/>
  <c r="BT241" i="52"/>
  <c r="BT240" i="52" s="1"/>
  <c r="BT242" i="52"/>
  <c r="BT244" i="52"/>
  <c r="BT245" i="52"/>
  <c r="BT247" i="52"/>
  <c r="BT248" i="52"/>
  <c r="BT249" i="52"/>
  <c r="BT251" i="52"/>
  <c r="BT252" i="52"/>
  <c r="BT253" i="52"/>
  <c r="BT254" i="52"/>
  <c r="BT238" i="52"/>
  <c r="BU237" i="52"/>
  <c r="BV237" i="52"/>
  <c r="BW237" i="52"/>
  <c r="BU240" i="52"/>
  <c r="BV240" i="52"/>
  <c r="BW240" i="52"/>
  <c r="BU243" i="52"/>
  <c r="BV243" i="52"/>
  <c r="BW243" i="52"/>
  <c r="BU246" i="52"/>
  <c r="BV246" i="52"/>
  <c r="BW246" i="52"/>
  <c r="BU250" i="52"/>
  <c r="BV250" i="52"/>
  <c r="BW250" i="52"/>
  <c r="BU230" i="52"/>
  <c r="BV230" i="52"/>
  <c r="BW230" i="52"/>
  <c r="BT227" i="52"/>
  <c r="BT228" i="52"/>
  <c r="BT231" i="52"/>
  <c r="BT232" i="52"/>
  <c r="BT230" i="52" s="1"/>
  <c r="BU226" i="52"/>
  <c r="BV226" i="52"/>
  <c r="BW226" i="52"/>
  <c r="BU223" i="52"/>
  <c r="BV223" i="52"/>
  <c r="BW223" i="52"/>
  <c r="BT225" i="52"/>
  <c r="BT224" i="52"/>
  <c r="BT223" i="52" s="1"/>
  <c r="BU213" i="52"/>
  <c r="BV213" i="52"/>
  <c r="BW213" i="52"/>
  <c r="BT221" i="52"/>
  <c r="BT220" i="52" s="1"/>
  <c r="BT222" i="52"/>
  <c r="BT219" i="52"/>
  <c r="BT217" i="52" s="1"/>
  <c r="BT218" i="52"/>
  <c r="BU220" i="52"/>
  <c r="BV220" i="52"/>
  <c r="BW220" i="52"/>
  <c r="BU217" i="52"/>
  <c r="BV217" i="52"/>
  <c r="BV216" i="52" s="1"/>
  <c r="BW217" i="52"/>
  <c r="BT215" i="52"/>
  <c r="BT214" i="52"/>
  <c r="BT117" i="24"/>
  <c r="BT114" i="24"/>
  <c r="X8" i="80" l="1"/>
  <c r="W7" i="80"/>
  <c r="O109" i="79"/>
  <c r="N162" i="79"/>
  <c r="N163" i="79"/>
  <c r="N164" i="79"/>
  <c r="R111" i="79"/>
  <c r="R112" i="79" s="1"/>
  <c r="Q112" i="79"/>
  <c r="BT250" i="52"/>
  <c r="BT213" i="52"/>
  <c r="BW216" i="52"/>
  <c r="BU216" i="52"/>
  <c r="BT246" i="52"/>
  <c r="BT243" i="52"/>
  <c r="CD479" i="52"/>
  <c r="CC33" i="45"/>
  <c r="S5" i="55"/>
  <c r="BT216" i="52"/>
  <c r="BV212" i="52"/>
  <c r="BV234" i="52" s="1"/>
  <c r="BV236" i="52"/>
  <c r="BT237" i="52"/>
  <c r="BT236" i="52" s="1"/>
  <c r="BW236" i="52"/>
  <c r="BT226" i="52"/>
  <c r="BT212" i="52" s="1"/>
  <c r="BT234" i="52" s="1"/>
  <c r="BU236" i="52"/>
  <c r="BV256" i="52"/>
  <c r="BW212" i="52"/>
  <c r="BW234" i="52" s="1"/>
  <c r="BU212" i="52"/>
  <c r="BU234" i="52" s="1"/>
  <c r="BT29" i="52"/>
  <c r="BT17" i="24" s="1"/>
  <c r="BT161" i="24"/>
  <c r="BT159" i="24"/>
  <c r="BT164" i="24"/>
  <c r="BT166" i="24"/>
  <c r="BT167" i="24"/>
  <c r="BT169" i="24"/>
  <c r="BT170" i="24"/>
  <c r="BT171" i="24"/>
  <c r="BT188" i="24"/>
  <c r="BT179" i="24"/>
  <c r="BT180" i="24"/>
  <c r="BT174" i="24"/>
  <c r="X7" i="80" l="1"/>
  <c r="Y8" i="80"/>
  <c r="O162" i="79"/>
  <c r="O163" i="79"/>
  <c r="P109" i="79"/>
  <c r="CE479" i="52"/>
  <c r="CD33" i="45"/>
  <c r="T5" i="55"/>
  <c r="BW256" i="52"/>
  <c r="BT256" i="52"/>
  <c r="BT258" i="52" s="1"/>
  <c r="BU256" i="52"/>
  <c r="BT178" i="24"/>
  <c r="BT168" i="24"/>
  <c r="BT160" i="24"/>
  <c r="BT165" i="24"/>
  <c r="BT196" i="24"/>
  <c r="BT82" i="24"/>
  <c r="BT83" i="24"/>
  <c r="BT84" i="24"/>
  <c r="BT85" i="24"/>
  <c r="BT96" i="24"/>
  <c r="BT97" i="24"/>
  <c r="BT99" i="24" s="1"/>
  <c r="BT90" i="24"/>
  <c r="BT91" i="24"/>
  <c r="BT92" i="24"/>
  <c r="BT329" i="52"/>
  <c r="BS329" i="52"/>
  <c r="BS328" i="52" s="1"/>
  <c r="BT328" i="52"/>
  <c r="Z8" i="80" l="1"/>
  <c r="Y7" i="80"/>
  <c r="Q109" i="79"/>
  <c r="P162" i="79"/>
  <c r="P163" i="79"/>
  <c r="CF479" i="52"/>
  <c r="CE33" i="45"/>
  <c r="U5" i="55"/>
  <c r="BT146" i="24"/>
  <c r="BT139" i="24"/>
  <c r="BT141" i="24"/>
  <c r="BT133" i="24"/>
  <c r="BT131" i="24"/>
  <c r="BT142" i="24"/>
  <c r="BT134" i="24"/>
  <c r="BT125" i="24"/>
  <c r="BT138" i="24"/>
  <c r="BT135" i="24"/>
  <c r="J22" i="71"/>
  <c r="F23" i="71"/>
  <c r="G23" i="71"/>
  <c r="H23" i="71"/>
  <c r="I23" i="71"/>
  <c r="E23" i="71"/>
  <c r="E839" i="53"/>
  <c r="F839" i="53"/>
  <c r="D839" i="53"/>
  <c r="E838" i="53"/>
  <c r="F838" i="53"/>
  <c r="D838" i="53"/>
  <c r="E837" i="53"/>
  <c r="F837" i="53"/>
  <c r="D837" i="53"/>
  <c r="I837" i="53" s="1"/>
  <c r="G2" i="61"/>
  <c r="H2" i="61"/>
  <c r="I2" i="61" s="1"/>
  <c r="J2" i="61" s="1"/>
  <c r="K2" i="61" s="1"/>
  <c r="L2" i="61" s="1"/>
  <c r="M2" i="61" s="1"/>
  <c r="N2" i="61" s="1"/>
  <c r="O2" i="61" s="1"/>
  <c r="P2" i="61" s="1"/>
  <c r="Q2" i="61" s="1"/>
  <c r="R2" i="61" s="1"/>
  <c r="S2" i="61" s="1"/>
  <c r="T2" i="61" s="1"/>
  <c r="U2" i="61" s="1"/>
  <c r="V2" i="61" s="1"/>
  <c r="W2" i="61" s="1"/>
  <c r="X2" i="61" s="1"/>
  <c r="Y2" i="61" s="1"/>
  <c r="Z2" i="61" s="1"/>
  <c r="AA2" i="61" s="1"/>
  <c r="AB2" i="61" s="1"/>
  <c r="AC2" i="61" s="1"/>
  <c r="AD2" i="61" s="1"/>
  <c r="AE2" i="61" s="1"/>
  <c r="AF2" i="61" s="1"/>
  <c r="AG2" i="61" s="1"/>
  <c r="AH2" i="61" s="1"/>
  <c r="AI2" i="61" s="1"/>
  <c r="AJ2" i="61" s="1"/>
  <c r="AK2" i="61" s="1"/>
  <c r="AL2" i="61" s="1"/>
  <c r="AM2" i="61" s="1"/>
  <c r="AN2" i="61" s="1"/>
  <c r="AO2" i="61" s="1"/>
  <c r="AP2" i="61" s="1"/>
  <c r="AQ2" i="61" s="1"/>
  <c r="AR2" i="61" s="1"/>
  <c r="AS2" i="61" s="1"/>
  <c r="AT2" i="61" s="1"/>
  <c r="AU2" i="61" s="1"/>
  <c r="AV2" i="61" s="1"/>
  <c r="AW2" i="61" s="1"/>
  <c r="AX2" i="61" s="1"/>
  <c r="AY2" i="61" s="1"/>
  <c r="AZ2" i="61" s="1"/>
  <c r="BA2" i="61" s="1"/>
  <c r="BB2" i="61" s="1"/>
  <c r="BC2" i="61" s="1"/>
  <c r="BD2" i="61" s="1"/>
  <c r="AV11" i="61"/>
  <c r="AW11" i="61"/>
  <c r="AW131" i="61" s="1"/>
  <c r="BQ11" i="61"/>
  <c r="BQ19" i="61"/>
  <c r="BE20" i="61"/>
  <c r="BF20" i="61"/>
  <c r="BS20" i="61" s="1"/>
  <c r="BQ20" i="61"/>
  <c r="BR20" i="61"/>
  <c r="BQ21" i="61"/>
  <c r="AP22" i="61"/>
  <c r="AP179" i="61" s="1"/>
  <c r="AP170" i="61" s="1"/>
  <c r="AQ22" i="61"/>
  <c r="AR22" i="61"/>
  <c r="AR179" i="61" s="1"/>
  <c r="AR170" i="61" s="1"/>
  <c r="AS22" i="61"/>
  <c r="AT22" i="61"/>
  <c r="AU22" i="61"/>
  <c r="AV22" i="61"/>
  <c r="AW22" i="61"/>
  <c r="AX22" i="61"/>
  <c r="BE22" i="61"/>
  <c r="BF22" i="61"/>
  <c r="BQ22" i="61"/>
  <c r="BR22" i="61"/>
  <c r="BQ23" i="61"/>
  <c r="BR23" i="61"/>
  <c r="BS23" i="61"/>
  <c r="BT23" i="61"/>
  <c r="BU23" i="61"/>
  <c r="BV23" i="61"/>
  <c r="BW23" i="61"/>
  <c r="BX23" i="61"/>
  <c r="BY23" i="61"/>
  <c r="BZ23" i="61"/>
  <c r="CA23" i="61"/>
  <c r="CB23" i="61"/>
  <c r="BQ24" i="61"/>
  <c r="BR24" i="61"/>
  <c r="BS24" i="61"/>
  <c r="BT24" i="61"/>
  <c r="BU24" i="61"/>
  <c r="BV24" i="61"/>
  <c r="BW24" i="61"/>
  <c r="BX24" i="61"/>
  <c r="BY24" i="61"/>
  <c r="BZ24" i="61"/>
  <c r="CA24" i="61"/>
  <c r="CB24" i="61"/>
  <c r="AP25" i="61"/>
  <c r="AQ25" i="61"/>
  <c r="AQ131" i="61" s="1"/>
  <c r="AQ172" i="61" s="1"/>
  <c r="AR25" i="61"/>
  <c r="AS25" i="61"/>
  <c r="AS131" i="61" s="1"/>
  <c r="AS172" i="61" s="1"/>
  <c r="AT25" i="61"/>
  <c r="AU25" i="61"/>
  <c r="AU131" i="61" s="1"/>
  <c r="AU172" i="61" s="1"/>
  <c r="AV25" i="61"/>
  <c r="AW25" i="61"/>
  <c r="AX25" i="61"/>
  <c r="BQ25" i="61"/>
  <c r="BQ28" i="61"/>
  <c r="BQ29" i="61"/>
  <c r="BQ30" i="61"/>
  <c r="BE36" i="61"/>
  <c r="BQ36" i="61"/>
  <c r="BE37" i="61"/>
  <c r="BQ37" i="61"/>
  <c r="BQ38" i="61"/>
  <c r="BQ39" i="61"/>
  <c r="BQ40" i="61"/>
  <c r="BQ41" i="61"/>
  <c r="BQ42" i="61"/>
  <c r="BQ43" i="61"/>
  <c r="BE44" i="61"/>
  <c r="BQ44" i="61"/>
  <c r="BQ45" i="61"/>
  <c r="BR45" i="61"/>
  <c r="BS45" i="61"/>
  <c r="BT45" i="61"/>
  <c r="BU45" i="61"/>
  <c r="BV45" i="61"/>
  <c r="BW45" i="61"/>
  <c r="BX45" i="61"/>
  <c r="BY45" i="61"/>
  <c r="BZ45" i="61"/>
  <c r="CA45" i="61"/>
  <c r="CB45" i="61"/>
  <c r="BE46" i="61"/>
  <c r="BQ46" i="61"/>
  <c r="BQ47" i="61"/>
  <c r="BQ48" i="61"/>
  <c r="BR48" i="61"/>
  <c r="BS48" i="61"/>
  <c r="BT48" i="61"/>
  <c r="BU48" i="61"/>
  <c r="BV48" i="61"/>
  <c r="BW48" i="61"/>
  <c r="BX48" i="61"/>
  <c r="BY48" i="61"/>
  <c r="BZ48" i="61"/>
  <c r="CA48" i="61"/>
  <c r="CB48" i="61"/>
  <c r="BQ51" i="61"/>
  <c r="BR51" i="61"/>
  <c r="BS51" i="61"/>
  <c r="BT51" i="61"/>
  <c r="BU51" i="61"/>
  <c r="BV51" i="61"/>
  <c r="BW51" i="61"/>
  <c r="BX51" i="61"/>
  <c r="BY51" i="61"/>
  <c r="BZ51" i="61"/>
  <c r="CA51" i="61"/>
  <c r="CB51" i="61"/>
  <c r="BD52" i="61"/>
  <c r="BE52" i="61"/>
  <c r="BQ52" i="61"/>
  <c r="BQ53" i="61"/>
  <c r="BQ54" i="61"/>
  <c r="BQ55" i="61"/>
  <c r="BQ56" i="61"/>
  <c r="BQ57" i="61"/>
  <c r="BE58" i="61"/>
  <c r="BF58" i="61"/>
  <c r="BQ58" i="61"/>
  <c r="BR58" i="61"/>
  <c r="BQ67" i="61"/>
  <c r="AW68" i="61"/>
  <c r="AX68" i="61"/>
  <c r="AX179" i="61" s="1"/>
  <c r="AX170" i="61" s="1"/>
  <c r="AY68" i="61"/>
  <c r="AZ68" i="61"/>
  <c r="AZ179" i="61" s="1"/>
  <c r="AZ170" i="61" s="1"/>
  <c r="BA68" i="61"/>
  <c r="BB68" i="61"/>
  <c r="BC68" i="61"/>
  <c r="BD68" i="61"/>
  <c r="BQ68" i="61" s="1"/>
  <c r="BQ71" i="61"/>
  <c r="BD72" i="61"/>
  <c r="BQ72" i="61" s="1"/>
  <c r="BC73" i="61"/>
  <c r="BD73" i="61" s="1"/>
  <c r="BQ73" i="61" s="1"/>
  <c r="BC74" i="61"/>
  <c r="BD74" i="61"/>
  <c r="BQ74" i="61" s="1"/>
  <c r="BQ75" i="61"/>
  <c r="BR75" i="61"/>
  <c r="BS75" i="61"/>
  <c r="BT75" i="61"/>
  <c r="BU75" i="61"/>
  <c r="BV75" i="61"/>
  <c r="BW75" i="61"/>
  <c r="BX75" i="61"/>
  <c r="BY75" i="61"/>
  <c r="BZ75" i="61"/>
  <c r="CA75" i="61"/>
  <c r="CB75" i="61"/>
  <c r="BC76" i="61"/>
  <c r="BD76" i="61"/>
  <c r="BQ76" i="61"/>
  <c r="BD77" i="61"/>
  <c r="BQ77" i="61"/>
  <c r="BQ80" i="61"/>
  <c r="AV85" i="61"/>
  <c r="AV82" i="61" s="1"/>
  <c r="AW85" i="61"/>
  <c r="AW82" i="61" s="1"/>
  <c r="AX85" i="61"/>
  <c r="AX82" i="61" s="1"/>
  <c r="AX189" i="61" s="1"/>
  <c r="AY85" i="61"/>
  <c r="AY82" i="61" s="1"/>
  <c r="AZ85" i="61"/>
  <c r="AZ82" i="61" s="1"/>
  <c r="AZ189" i="61" s="1"/>
  <c r="BA85" i="61"/>
  <c r="BA82" i="61" s="1"/>
  <c r="BB85" i="61"/>
  <c r="BB82" i="61" s="1"/>
  <c r="BB189" i="61" s="1"/>
  <c r="BC85" i="61"/>
  <c r="BC82" i="61" s="1"/>
  <c r="BC189" i="61" s="1"/>
  <c r="BD85" i="61"/>
  <c r="BE85" i="61"/>
  <c r="BF85" i="61"/>
  <c r="BG85" i="61"/>
  <c r="BH85" i="61"/>
  <c r="BI85" i="61"/>
  <c r="BJ85" i="61"/>
  <c r="BK85" i="61"/>
  <c r="BL85" i="61"/>
  <c r="BM85" i="61"/>
  <c r="BN85" i="61"/>
  <c r="BO85" i="61"/>
  <c r="BR85" i="61"/>
  <c r="BS85" i="61"/>
  <c r="BT85" i="61"/>
  <c r="BU85" i="61"/>
  <c r="BV85" i="61"/>
  <c r="BW85" i="61"/>
  <c r="BX85" i="61"/>
  <c r="BY85" i="61"/>
  <c r="BZ85" i="61"/>
  <c r="CA85" i="61"/>
  <c r="CB85" i="61"/>
  <c r="BQ86" i="61"/>
  <c r="BR86" i="61"/>
  <c r="BS86" i="61"/>
  <c r="BT86" i="61"/>
  <c r="BU86" i="61"/>
  <c r="BV86" i="61"/>
  <c r="BW86" i="61"/>
  <c r="BX86" i="61"/>
  <c r="BY86" i="61"/>
  <c r="BZ86" i="61"/>
  <c r="CA86" i="61"/>
  <c r="CB86" i="61"/>
  <c r="BQ89" i="61"/>
  <c r="AW90" i="61"/>
  <c r="BQ92" i="61"/>
  <c r="BC93" i="61"/>
  <c r="BD93" i="61" s="1"/>
  <c r="BC94" i="61"/>
  <c r="BD94" i="61" s="1"/>
  <c r="BQ94" i="61" s="1"/>
  <c r="BE94" i="61"/>
  <c r="BC95" i="61"/>
  <c r="BD95" i="61" s="1"/>
  <c r="AK97" i="61"/>
  <c r="AL97" i="61"/>
  <c r="AM97" i="61"/>
  <c r="AN97" i="61"/>
  <c r="AO97" i="61"/>
  <c r="AP97" i="61"/>
  <c r="AQ97" i="61"/>
  <c r="AR97" i="61"/>
  <c r="AS97" i="61"/>
  <c r="AT97" i="61"/>
  <c r="AU97" i="61"/>
  <c r="AV97" i="61"/>
  <c r="AW97" i="61"/>
  <c r="AX97" i="61"/>
  <c r="AY97" i="61"/>
  <c r="AZ97" i="61"/>
  <c r="BA97" i="61"/>
  <c r="BB97" i="61"/>
  <c r="BC97" i="61"/>
  <c r="BD97" i="61"/>
  <c r="F98" i="61"/>
  <c r="G98" i="61"/>
  <c r="H98" i="61"/>
  <c r="I98" i="61"/>
  <c r="J98" i="61"/>
  <c r="K98" i="61"/>
  <c r="L98" i="61"/>
  <c r="M98" i="61"/>
  <c r="N98" i="61"/>
  <c r="O98" i="61"/>
  <c r="P98" i="61"/>
  <c r="Q98" i="61"/>
  <c r="R98" i="61"/>
  <c r="S98" i="61"/>
  <c r="T98" i="61"/>
  <c r="U98" i="61"/>
  <c r="V98" i="61"/>
  <c r="W98" i="61"/>
  <c r="X98" i="61"/>
  <c r="Y98" i="61"/>
  <c r="Z98" i="61"/>
  <c r="AA98" i="61"/>
  <c r="AB98" i="61"/>
  <c r="AC98" i="61"/>
  <c r="AD98" i="61"/>
  <c r="AE98" i="61"/>
  <c r="AF98" i="61"/>
  <c r="AG98" i="61"/>
  <c r="AH98" i="61"/>
  <c r="AI98" i="61"/>
  <c r="AJ98" i="61"/>
  <c r="AK98" i="61"/>
  <c r="AL98" i="61"/>
  <c r="AM98" i="61"/>
  <c r="AN98" i="61"/>
  <c r="AO98" i="61"/>
  <c r="AP98" i="61"/>
  <c r="AQ98" i="61"/>
  <c r="AR98" i="61"/>
  <c r="AS98" i="61"/>
  <c r="AT98" i="61"/>
  <c r="AU98" i="61"/>
  <c r="AV98" i="61"/>
  <c r="AW98" i="61"/>
  <c r="AX98" i="61"/>
  <c r="AY98" i="61"/>
  <c r="AZ98" i="61"/>
  <c r="BA98" i="61"/>
  <c r="BB98" i="61"/>
  <c r="BC98" i="61"/>
  <c r="BD98" i="61"/>
  <c r="BQ98" i="61" s="1"/>
  <c r="BQ99" i="61"/>
  <c r="BE100" i="61"/>
  <c r="BQ100" i="61"/>
  <c r="BQ101" i="61"/>
  <c r="BR101" i="61"/>
  <c r="BS101" i="61"/>
  <c r="BT101" i="61"/>
  <c r="BU101" i="61"/>
  <c r="BV101" i="61"/>
  <c r="BW101" i="61"/>
  <c r="BX101" i="61"/>
  <c r="BY101" i="61"/>
  <c r="BZ101" i="61"/>
  <c r="CA101" i="61"/>
  <c r="CB101" i="61"/>
  <c r="BE102" i="61"/>
  <c r="BQ102" i="61"/>
  <c r="BC103" i="61"/>
  <c r="BD103" i="61" s="1"/>
  <c r="AQ105" i="61"/>
  <c r="AQ84" i="61" s="1"/>
  <c r="AQ81" i="61" s="1"/>
  <c r="AR105" i="61"/>
  <c r="AR84" i="61" s="1"/>
  <c r="AR81" i="61" s="1"/>
  <c r="AS105" i="61"/>
  <c r="AS84" i="61"/>
  <c r="AS81" i="61" s="1"/>
  <c r="AS191" i="61" s="1"/>
  <c r="AT105" i="61"/>
  <c r="AU105" i="61"/>
  <c r="AU84" i="61" s="1"/>
  <c r="AU81" i="61" s="1"/>
  <c r="AU191" i="61" s="1"/>
  <c r="AU211" i="61" s="1"/>
  <c r="AV105" i="61"/>
  <c r="AW105" i="61"/>
  <c r="AX105" i="61"/>
  <c r="AY105" i="61"/>
  <c r="AZ105" i="61"/>
  <c r="BA105" i="61"/>
  <c r="BB105" i="61"/>
  <c r="AR106" i="61"/>
  <c r="AS106" i="61"/>
  <c r="AT106" i="61"/>
  <c r="AU106" i="61"/>
  <c r="AV106" i="61"/>
  <c r="AW84" i="61" s="1"/>
  <c r="AW81" i="61" s="1"/>
  <c r="AW106" i="61"/>
  <c r="AX106" i="61"/>
  <c r="AY106" i="61"/>
  <c r="AZ106" i="61"/>
  <c r="BA84" i="61" s="1"/>
  <c r="BA81" i="61" s="1"/>
  <c r="BA106" i="61"/>
  <c r="BB106" i="61"/>
  <c r="AV107" i="61"/>
  <c r="AW107" i="61" s="1"/>
  <c r="AX107" i="61" s="1"/>
  <c r="AY107" i="61" s="1"/>
  <c r="AZ107" i="61" s="1"/>
  <c r="BA107" i="61" s="1"/>
  <c r="BB107" i="61" s="1"/>
  <c r="AW108" i="61"/>
  <c r="AX108" i="61" s="1"/>
  <c r="AY108" i="61" s="1"/>
  <c r="BQ109" i="61"/>
  <c r="BQ110" i="61"/>
  <c r="BR110" i="61"/>
  <c r="BE111" i="61"/>
  <c r="BQ111" i="61"/>
  <c r="BE112" i="61"/>
  <c r="BQ112" i="61"/>
  <c r="BC118" i="61"/>
  <c r="BD127" i="61"/>
  <c r="BQ127" i="61" s="1"/>
  <c r="BQ128" i="61"/>
  <c r="F130" i="61"/>
  <c r="G130" i="61"/>
  <c r="G176" i="61" s="1"/>
  <c r="H130" i="61"/>
  <c r="I130" i="61"/>
  <c r="I168" i="61" s="1"/>
  <c r="J130" i="61"/>
  <c r="K130" i="61"/>
  <c r="L130" i="61"/>
  <c r="M130" i="61"/>
  <c r="M168" i="61" s="1"/>
  <c r="N130" i="61"/>
  <c r="O130" i="61"/>
  <c r="O176" i="61" s="1"/>
  <c r="P130" i="61"/>
  <c r="Q130" i="61"/>
  <c r="Q168" i="61" s="1"/>
  <c r="R130" i="61"/>
  <c r="S130" i="61"/>
  <c r="T130" i="61"/>
  <c r="U130" i="61"/>
  <c r="U168" i="61" s="1"/>
  <c r="V130" i="61"/>
  <c r="W130" i="61"/>
  <c r="W176" i="61" s="1"/>
  <c r="X130" i="61"/>
  <c r="Y130" i="61"/>
  <c r="Y168" i="61" s="1"/>
  <c r="Z130" i="61"/>
  <c r="AA130" i="61"/>
  <c r="AB130" i="61"/>
  <c r="AC130" i="61"/>
  <c r="AC168" i="61" s="1"/>
  <c r="AD130" i="61"/>
  <c r="AE130" i="61"/>
  <c r="AE176" i="61" s="1"/>
  <c r="AE177" i="61" s="1"/>
  <c r="AF130" i="61"/>
  <c r="AG130" i="61"/>
  <c r="AG168" i="61" s="1"/>
  <c r="AH130" i="61"/>
  <c r="AI130" i="61"/>
  <c r="AJ130" i="61"/>
  <c r="AK130" i="61"/>
  <c r="AK168" i="61" s="1"/>
  <c r="AL130" i="61"/>
  <c r="AM130" i="61"/>
  <c r="AM176" i="61" s="1"/>
  <c r="AM177" i="61" s="1"/>
  <c r="AN130" i="61"/>
  <c r="AO130" i="61"/>
  <c r="AO168" i="61" s="1"/>
  <c r="AP130" i="61"/>
  <c r="AQ130" i="61"/>
  <c r="AR130" i="61"/>
  <c r="AS130" i="61"/>
  <c r="AS168" i="61" s="1"/>
  <c r="AT130" i="61"/>
  <c r="AU130" i="61"/>
  <c r="AU176" i="61" s="1"/>
  <c r="AU177" i="61" s="1"/>
  <c r="AV130" i="61"/>
  <c r="AW130" i="61"/>
  <c r="AX130" i="61"/>
  <c r="AY130" i="61"/>
  <c r="AY176" i="61" s="1"/>
  <c r="AY177" i="61" s="1"/>
  <c r="AZ130" i="61"/>
  <c r="BA130" i="61"/>
  <c r="BA176" i="61" s="1"/>
  <c r="BA177" i="61" s="1"/>
  <c r="BB130" i="61"/>
  <c r="F131" i="61"/>
  <c r="F168" i="61" s="1"/>
  <c r="G131" i="61"/>
  <c r="H131" i="61"/>
  <c r="I131" i="61"/>
  <c r="I159" i="61" s="1"/>
  <c r="J131" i="61"/>
  <c r="K131" i="61"/>
  <c r="L131" i="61"/>
  <c r="M131" i="61"/>
  <c r="M159" i="61" s="1"/>
  <c r="N131" i="61"/>
  <c r="O131" i="61"/>
  <c r="P131" i="61"/>
  <c r="Q131" i="61"/>
  <c r="Q159" i="61" s="1"/>
  <c r="R131" i="61"/>
  <c r="S131" i="61"/>
  <c r="T131" i="61"/>
  <c r="U131" i="61"/>
  <c r="U159" i="61" s="1"/>
  <c r="V131" i="61"/>
  <c r="W131" i="61"/>
  <c r="X131" i="61"/>
  <c r="Y131" i="61"/>
  <c r="Y159" i="61" s="1"/>
  <c r="Z131" i="61"/>
  <c r="AA131" i="61"/>
  <c r="AB131" i="61"/>
  <c r="AC131" i="61"/>
  <c r="AC159" i="61" s="1"/>
  <c r="AD131" i="61"/>
  <c r="AE131" i="61"/>
  <c r="AF131" i="61"/>
  <c r="AG131" i="61"/>
  <c r="AG159" i="61" s="1"/>
  <c r="AH131" i="61"/>
  <c r="AI131" i="61"/>
  <c r="AJ131" i="61"/>
  <c r="AK131" i="61"/>
  <c r="AK159" i="61" s="1"/>
  <c r="AL131" i="61"/>
  <c r="AM131" i="61"/>
  <c r="AN131" i="61"/>
  <c r="AO131" i="61"/>
  <c r="AO159" i="61" s="1"/>
  <c r="AP131" i="61"/>
  <c r="AR131" i="61"/>
  <c r="AR173" i="61" s="1"/>
  <c r="AT131" i="61"/>
  <c r="AT173" i="61" s="1"/>
  <c r="AV131" i="61"/>
  <c r="AV173" i="61" s="1"/>
  <c r="AX131" i="61"/>
  <c r="AX173" i="61" s="1"/>
  <c r="AY131" i="61"/>
  <c r="AZ131" i="61"/>
  <c r="BA131" i="61"/>
  <c r="BB131" i="61"/>
  <c r="BB172" i="61" s="1"/>
  <c r="BC132" i="61"/>
  <c r="AO135" i="61"/>
  <c r="AQ135" i="61"/>
  <c r="AR135" i="61" s="1"/>
  <c r="AS135" i="61" s="1"/>
  <c r="AT135" i="61" s="1"/>
  <c r="AU135" i="61" s="1"/>
  <c r="AV135" i="61" s="1"/>
  <c r="AW135" i="61" s="1"/>
  <c r="AX135" i="61" s="1"/>
  <c r="AY135" i="61" s="1"/>
  <c r="AZ135" i="61" s="1"/>
  <c r="AN136" i="61"/>
  <c r="AO136" i="61"/>
  <c r="AO137" i="61"/>
  <c r="AN137" i="61" s="1"/>
  <c r="AM137" i="61" s="1"/>
  <c r="AL137" i="61" s="1"/>
  <c r="AK137" i="61" s="1"/>
  <c r="AJ137" i="61" s="1"/>
  <c r="AI137" i="61" s="1"/>
  <c r="AH137" i="61" s="1"/>
  <c r="AG137" i="61" s="1"/>
  <c r="AF137" i="61" s="1"/>
  <c r="AE137" i="61" s="1"/>
  <c r="AD137" i="61" s="1"/>
  <c r="AC137" i="61" s="1"/>
  <c r="AB137" i="61" s="1"/>
  <c r="AA137" i="61" s="1"/>
  <c r="Z137" i="61" s="1"/>
  <c r="Y137" i="61" s="1"/>
  <c r="X137" i="61" s="1"/>
  <c r="W137" i="61" s="1"/>
  <c r="V137" i="61" s="1"/>
  <c r="U137" i="61" s="1"/>
  <c r="T137" i="61" s="1"/>
  <c r="S137" i="61" s="1"/>
  <c r="R137" i="61" s="1"/>
  <c r="Q137" i="61" s="1"/>
  <c r="P137" i="61" s="1"/>
  <c r="O137" i="61" s="1"/>
  <c r="N137" i="61" s="1"/>
  <c r="M137" i="61" s="1"/>
  <c r="L137" i="61" s="1"/>
  <c r="K137" i="61" s="1"/>
  <c r="J137" i="61" s="1"/>
  <c r="I137" i="61" s="1"/>
  <c r="H137" i="61" s="1"/>
  <c r="G137" i="61" s="1"/>
  <c r="F137" i="61" s="1"/>
  <c r="AQ137" i="61"/>
  <c r="AR137" i="61" s="1"/>
  <c r="AS137" i="61" s="1"/>
  <c r="AT137" i="61" s="1"/>
  <c r="AU137" i="61" s="1"/>
  <c r="AV137" i="61" s="1"/>
  <c r="AW137" i="61" s="1"/>
  <c r="AX137" i="61" s="1"/>
  <c r="AY137" i="61" s="1"/>
  <c r="AZ137" i="61" s="1"/>
  <c r="BA137" i="61" s="1"/>
  <c r="BB137" i="61" s="1"/>
  <c r="BC137" i="61" s="1"/>
  <c r="AO138" i="61"/>
  <c r="AN138" i="61" s="1"/>
  <c r="AM138" i="61" s="1"/>
  <c r="AL138" i="61" s="1"/>
  <c r="AK138" i="61" s="1"/>
  <c r="AJ138" i="61" s="1"/>
  <c r="AI138" i="61" s="1"/>
  <c r="AH138" i="61" s="1"/>
  <c r="AG138" i="61" s="1"/>
  <c r="AF138" i="61" s="1"/>
  <c r="AE138" i="61" s="1"/>
  <c r="AD138" i="61" s="1"/>
  <c r="AC138" i="61" s="1"/>
  <c r="AB138" i="61" s="1"/>
  <c r="AA138" i="61" s="1"/>
  <c r="Z138" i="61" s="1"/>
  <c r="Y138" i="61" s="1"/>
  <c r="X138" i="61" s="1"/>
  <c r="W138" i="61" s="1"/>
  <c r="V138" i="61" s="1"/>
  <c r="U138" i="61" s="1"/>
  <c r="T138" i="61" s="1"/>
  <c r="S138" i="61" s="1"/>
  <c r="R138" i="61" s="1"/>
  <c r="Q138" i="61" s="1"/>
  <c r="P138" i="61" s="1"/>
  <c r="O138" i="61" s="1"/>
  <c r="N138" i="61" s="1"/>
  <c r="M138" i="61" s="1"/>
  <c r="L138" i="61" s="1"/>
  <c r="K138" i="61" s="1"/>
  <c r="J138" i="61" s="1"/>
  <c r="I138" i="61" s="1"/>
  <c r="H138" i="61" s="1"/>
  <c r="G138" i="61" s="1"/>
  <c r="F138" i="61" s="1"/>
  <c r="AQ138" i="61"/>
  <c r="AR138" i="61"/>
  <c r="AS138" i="61" s="1"/>
  <c r="AT138" i="61" s="1"/>
  <c r="AU138" i="61" s="1"/>
  <c r="AV138" i="61" s="1"/>
  <c r="AW138" i="61" s="1"/>
  <c r="AX138" i="61" s="1"/>
  <c r="AY138" i="61" s="1"/>
  <c r="AZ138" i="61" s="1"/>
  <c r="BA138" i="61" s="1"/>
  <c r="BB138" i="61" s="1"/>
  <c r="AF140" i="61"/>
  <c r="AG140" i="61"/>
  <c r="AH140" i="61"/>
  <c r="AI140" i="61"/>
  <c r="AJ140" i="61"/>
  <c r="AK140" i="61"/>
  <c r="AL140" i="61"/>
  <c r="AM140" i="61"/>
  <c r="AN140" i="61"/>
  <c r="AO140" i="61"/>
  <c r="AP140" i="61"/>
  <c r="AQ140" i="61"/>
  <c r="AR140" i="61"/>
  <c r="AS140" i="61"/>
  <c r="AT140" i="61"/>
  <c r="AU140" i="61"/>
  <c r="AV140" i="61"/>
  <c r="AW140" i="61"/>
  <c r="AX140" i="61"/>
  <c r="AY140" i="61"/>
  <c r="AZ140" i="61"/>
  <c r="BA140" i="61"/>
  <c r="BB140" i="61"/>
  <c r="BC140" i="61"/>
  <c r="BD140" i="61"/>
  <c r="AE143" i="61"/>
  <c r="BQ143" i="61"/>
  <c r="AE144" i="61"/>
  <c r="AD144" i="61" s="1"/>
  <c r="BQ144" i="61"/>
  <c r="BQ145" i="61"/>
  <c r="AO146" i="61"/>
  <c r="BQ146" i="61"/>
  <c r="AQ147" i="61"/>
  <c r="AR147" i="61"/>
  <c r="AS147" i="61" s="1"/>
  <c r="AT147" i="61" s="1"/>
  <c r="AU147" i="61" s="1"/>
  <c r="AV147" i="61" s="1"/>
  <c r="AW147" i="61"/>
  <c r="AX147" i="61" s="1"/>
  <c r="AY147" i="61" s="1"/>
  <c r="AZ147" i="61" s="1"/>
  <c r="AP148" i="61"/>
  <c r="AO149" i="61"/>
  <c r="AN149" i="61" s="1"/>
  <c r="AM149" i="61" s="1"/>
  <c r="AL149" i="61" s="1"/>
  <c r="AK149" i="61" s="1"/>
  <c r="AJ149" i="61" s="1"/>
  <c r="AI149" i="61" s="1"/>
  <c r="AH149" i="61" s="1"/>
  <c r="AG149" i="61" s="1"/>
  <c r="AF149" i="61" s="1"/>
  <c r="AE149" i="61" s="1"/>
  <c r="AD149" i="61" s="1"/>
  <c r="AC149" i="61" s="1"/>
  <c r="AB149" i="61" s="1"/>
  <c r="AA149" i="61" s="1"/>
  <c r="Z149" i="61" s="1"/>
  <c r="Y149" i="61" s="1"/>
  <c r="X149" i="61" s="1"/>
  <c r="W149" i="61" s="1"/>
  <c r="V149" i="61" s="1"/>
  <c r="U149" i="61" s="1"/>
  <c r="T149" i="61" s="1"/>
  <c r="S149" i="61" s="1"/>
  <c r="R149" i="61" s="1"/>
  <c r="Q149" i="61" s="1"/>
  <c r="P149" i="61" s="1"/>
  <c r="O149" i="61" s="1"/>
  <c r="N149" i="61" s="1"/>
  <c r="M149" i="61" s="1"/>
  <c r="L149" i="61" s="1"/>
  <c r="K149" i="61" s="1"/>
  <c r="J149" i="61" s="1"/>
  <c r="I149" i="61" s="1"/>
  <c r="H149" i="61" s="1"/>
  <c r="G149" i="61" s="1"/>
  <c r="F149" i="61" s="1"/>
  <c r="AQ149" i="61"/>
  <c r="AR149" i="61"/>
  <c r="AS149" i="61" s="1"/>
  <c r="AT149" i="61" s="1"/>
  <c r="AU149" i="61" s="1"/>
  <c r="AV149" i="61" s="1"/>
  <c r="AW149" i="61" s="1"/>
  <c r="AX149" i="61" s="1"/>
  <c r="AY149" i="61" s="1"/>
  <c r="AZ149" i="61" s="1"/>
  <c r="BA149" i="61" s="1"/>
  <c r="BB149" i="61" s="1"/>
  <c r="BC149" i="61" s="1"/>
  <c r="BD149" i="61" s="1"/>
  <c r="BQ151" i="61"/>
  <c r="BR151" i="61"/>
  <c r="BS151" i="61"/>
  <c r="BT151" i="61"/>
  <c r="BU151" i="61"/>
  <c r="BV151" i="61"/>
  <c r="BW151" i="61"/>
  <c r="BX151" i="61"/>
  <c r="BY151" i="61"/>
  <c r="BZ151" i="61"/>
  <c r="CA151" i="61"/>
  <c r="CB151" i="61"/>
  <c r="G159" i="61"/>
  <c r="G160" i="61" s="1"/>
  <c r="K159" i="61"/>
  <c r="K160" i="61" s="1"/>
  <c r="O159" i="61"/>
  <c r="O160" i="61" s="1"/>
  <c r="S159" i="61"/>
  <c r="S160" i="61" s="1"/>
  <c r="W159" i="61"/>
  <c r="W160" i="61" s="1"/>
  <c r="AA159" i="61"/>
  <c r="AA160" i="61" s="1"/>
  <c r="AE159" i="61"/>
  <c r="AE160" i="61" s="1"/>
  <c r="AI159" i="61"/>
  <c r="AI160" i="61" s="1"/>
  <c r="AM159" i="61"/>
  <c r="AM160" i="61" s="1"/>
  <c r="I160" i="61"/>
  <c r="M160" i="61"/>
  <c r="Q160" i="61"/>
  <c r="U160" i="61"/>
  <c r="Y160" i="61"/>
  <c r="AC160" i="61"/>
  <c r="AG160" i="61"/>
  <c r="AK160" i="61"/>
  <c r="AO160" i="61"/>
  <c r="G163" i="61"/>
  <c r="G162" i="61" s="1"/>
  <c r="H163" i="61"/>
  <c r="H190" i="61" s="1"/>
  <c r="I163" i="61"/>
  <c r="I162" i="61" s="1"/>
  <c r="J163" i="61"/>
  <c r="J190" i="61" s="1"/>
  <c r="K163" i="61"/>
  <c r="K162" i="61"/>
  <c r="L163" i="61"/>
  <c r="M163" i="61"/>
  <c r="N163" i="61"/>
  <c r="O163" i="61"/>
  <c r="P163" i="61"/>
  <c r="Q163" i="61"/>
  <c r="Q162" i="61" s="1"/>
  <c r="R163" i="61"/>
  <c r="S163" i="61"/>
  <c r="S162" i="61"/>
  <c r="T163" i="61"/>
  <c r="U163" i="61"/>
  <c r="U162" i="61" s="1"/>
  <c r="V163" i="61"/>
  <c r="W163" i="61"/>
  <c r="W162" i="61" s="1"/>
  <c r="X163" i="61"/>
  <c r="X190" i="61" s="1"/>
  <c r="Y163" i="61"/>
  <c r="Y162" i="61" s="1"/>
  <c r="Z163" i="61"/>
  <c r="Z190" i="61" s="1"/>
  <c r="AA163" i="61"/>
  <c r="AA162" i="61"/>
  <c r="AB163" i="61"/>
  <c r="AC163" i="61"/>
  <c r="AD163" i="61"/>
  <c r="AE163" i="61"/>
  <c r="AF163" i="61"/>
  <c r="AG163" i="61"/>
  <c r="AG162" i="61" s="1"/>
  <c r="AH163" i="61"/>
  <c r="AI163" i="61"/>
  <c r="AI162" i="61"/>
  <c r="AJ163" i="61"/>
  <c r="AK163" i="61"/>
  <c r="AK162" i="61" s="1"/>
  <c r="AL163" i="61"/>
  <c r="AM163" i="61"/>
  <c r="AM162" i="61" s="1"/>
  <c r="AN163" i="61"/>
  <c r="AN190" i="61" s="1"/>
  <c r="AO163" i="61"/>
  <c r="AO162" i="61" s="1"/>
  <c r="AO139" i="61" s="1"/>
  <c r="AP163" i="61"/>
  <c r="AP190" i="61" s="1"/>
  <c r="AQ163" i="61"/>
  <c r="AR163" i="61"/>
  <c r="AR190" i="61" s="1"/>
  <c r="AS163" i="61"/>
  <c r="AT163" i="61"/>
  <c r="AT190" i="61" s="1"/>
  <c r="AU163" i="61"/>
  <c r="AV163" i="61"/>
  <c r="AV190" i="61" s="1"/>
  <c r="AW163" i="61"/>
  <c r="AX163" i="61"/>
  <c r="AX190" i="61" s="1"/>
  <c r="AY163" i="61"/>
  <c r="AZ163" i="61"/>
  <c r="AZ190" i="61" s="1"/>
  <c r="BA163" i="61"/>
  <c r="BB163" i="61"/>
  <c r="BB190" i="61" s="1"/>
  <c r="BC163" i="61"/>
  <c r="G164" i="61"/>
  <c r="G191" i="61" s="1"/>
  <c r="G211" i="61" s="1"/>
  <c r="H164" i="61"/>
  <c r="I164" i="61"/>
  <c r="I191" i="61" s="1"/>
  <c r="I211" i="61" s="1"/>
  <c r="J164" i="61"/>
  <c r="K164" i="61"/>
  <c r="L164" i="61"/>
  <c r="M164" i="61"/>
  <c r="M191" i="61" s="1"/>
  <c r="N164" i="61"/>
  <c r="O164" i="61"/>
  <c r="O191" i="61" s="1"/>
  <c r="O211" i="61" s="1"/>
  <c r="P164" i="61"/>
  <c r="Q164" i="61"/>
  <c r="Q191" i="61" s="1"/>
  <c r="Q211" i="61" s="1"/>
  <c r="R164" i="61"/>
  <c r="S164" i="61"/>
  <c r="T164" i="61"/>
  <c r="U164" i="61"/>
  <c r="U191" i="61" s="1"/>
  <c r="V164" i="61"/>
  <c r="W164" i="61"/>
  <c r="W191" i="61" s="1"/>
  <c r="W211" i="61" s="1"/>
  <c r="X164" i="61"/>
  <c r="Y164" i="61"/>
  <c r="Y191" i="61" s="1"/>
  <c r="Y211" i="61" s="1"/>
  <c r="Z164" i="61"/>
  <c r="AA164" i="61"/>
  <c r="AB164" i="61"/>
  <c r="AC164" i="61"/>
  <c r="AC191" i="61" s="1"/>
  <c r="AD164" i="61"/>
  <c r="AE164" i="61"/>
  <c r="AE191" i="61" s="1"/>
  <c r="AE211" i="61" s="1"/>
  <c r="AF164" i="61"/>
  <c r="AG164" i="61"/>
  <c r="AG191" i="61" s="1"/>
  <c r="AG211" i="61" s="1"/>
  <c r="AH164" i="61"/>
  <c r="AI164" i="61"/>
  <c r="AJ164" i="61"/>
  <c r="AK164" i="61"/>
  <c r="AK191" i="61" s="1"/>
  <c r="AL164" i="61"/>
  <c r="AM164" i="61"/>
  <c r="AM191" i="61" s="1"/>
  <c r="AM211" i="61" s="1"/>
  <c r="AN164" i="61"/>
  <c r="AO164" i="61"/>
  <c r="AO191" i="61" s="1"/>
  <c r="AO211" i="61" s="1"/>
  <c r="AS164" i="61"/>
  <c r="AT164" i="61"/>
  <c r="AV164" i="61"/>
  <c r="AW164" i="61"/>
  <c r="AW191" i="61" s="1"/>
  <c r="AW211" i="61" s="1"/>
  <c r="AX164" i="61"/>
  <c r="AY164" i="61"/>
  <c r="AZ164" i="61"/>
  <c r="BA164" i="61"/>
  <c r="BA191" i="61" s="1"/>
  <c r="BB164" i="61"/>
  <c r="BC164" i="61"/>
  <c r="BD164" i="61"/>
  <c r="BQ164" i="61" s="1"/>
  <c r="F165" i="61"/>
  <c r="G165" i="61"/>
  <c r="H165" i="61"/>
  <c r="I165" i="61"/>
  <c r="J165" i="61"/>
  <c r="K165" i="61"/>
  <c r="L165" i="61"/>
  <c r="M165" i="61"/>
  <c r="N165" i="61"/>
  <c r="O165" i="61"/>
  <c r="P165" i="61"/>
  <c r="Q165" i="61"/>
  <c r="R165" i="61"/>
  <c r="S165" i="61"/>
  <c r="T165" i="61"/>
  <c r="U165" i="61"/>
  <c r="V165" i="61"/>
  <c r="W165" i="61"/>
  <c r="X165" i="61"/>
  <c r="Y165" i="61"/>
  <c r="Z165" i="61"/>
  <c r="AA165" i="61"/>
  <c r="AB165" i="61"/>
  <c r="AC165" i="61"/>
  <c r="AD165" i="61"/>
  <c r="AE165" i="61"/>
  <c r="AF165" i="61"/>
  <c r="AG165" i="61"/>
  <c r="AH165" i="61"/>
  <c r="AH167" i="61" s="1"/>
  <c r="AI165" i="61"/>
  <c r="AJ165" i="61"/>
  <c r="AK165" i="61"/>
  <c r="AL165" i="61"/>
  <c r="AM165" i="61"/>
  <c r="AN165" i="61"/>
  <c r="AO165" i="61"/>
  <c r="AP165" i="61"/>
  <c r="AP167" i="61" s="1"/>
  <c r="AP212" i="61" s="1"/>
  <c r="AQ165" i="61"/>
  <c r="AR165" i="61"/>
  <c r="AS165" i="61"/>
  <c r="AT165" i="61"/>
  <c r="AU165" i="61"/>
  <c r="AV165" i="61"/>
  <c r="AW165" i="61"/>
  <c r="AX165" i="61"/>
  <c r="AX167" i="61" s="1"/>
  <c r="AX212" i="61" s="1"/>
  <c r="AY165" i="61"/>
  <c r="AZ165" i="61"/>
  <c r="BA165" i="61"/>
  <c r="BB165" i="61"/>
  <c r="BC165" i="61"/>
  <c r="AA167" i="61"/>
  <c r="G168" i="61"/>
  <c r="O168" i="61"/>
  <c r="W168" i="61"/>
  <c r="AE168" i="61"/>
  <c r="AM168" i="61"/>
  <c r="AU168" i="61"/>
  <c r="BD171" i="61"/>
  <c r="G172" i="61"/>
  <c r="G174" i="61" s="1"/>
  <c r="I172" i="61"/>
  <c r="I174" i="61" s="1"/>
  <c r="K172" i="61"/>
  <c r="K174" i="61" s="1"/>
  <c r="M172" i="61"/>
  <c r="M174" i="61" s="1"/>
  <c r="O172" i="61"/>
  <c r="O174" i="61" s="1"/>
  <c r="Q172" i="61"/>
  <c r="Q174" i="61" s="1"/>
  <c r="S172" i="61"/>
  <c r="S174" i="61" s="1"/>
  <c r="U172" i="61"/>
  <c r="U174" i="61" s="1"/>
  <c r="W172" i="61"/>
  <c r="W174" i="61" s="1"/>
  <c r="Y172" i="61"/>
  <c r="Y174" i="61" s="1"/>
  <c r="AA172" i="61"/>
  <c r="AA174" i="61" s="1"/>
  <c r="AC172" i="61"/>
  <c r="AC174" i="61" s="1"/>
  <c r="AE172" i="61"/>
  <c r="AE174" i="61" s="1"/>
  <c r="AG172" i="61"/>
  <c r="AG174" i="61" s="1"/>
  <c r="AI172" i="61"/>
  <c r="AI174" i="61" s="1"/>
  <c r="AK172" i="61"/>
  <c r="AK174" i="61" s="1"/>
  <c r="AM172" i="61"/>
  <c r="AM174" i="61" s="1"/>
  <c r="AO172" i="61"/>
  <c r="AO174" i="61" s="1"/>
  <c r="AR172" i="61"/>
  <c r="AT172" i="61"/>
  <c r="AV172" i="61"/>
  <c r="AV174" i="61" s="1"/>
  <c r="AX172" i="61"/>
  <c r="AY172" i="61"/>
  <c r="BA172" i="61"/>
  <c r="G173" i="61"/>
  <c r="I173" i="61"/>
  <c r="K173" i="61"/>
  <c r="M173" i="61"/>
  <c r="O173" i="61"/>
  <c r="Q173" i="61"/>
  <c r="S173" i="61"/>
  <c r="U173" i="61"/>
  <c r="W173" i="61"/>
  <c r="Y173" i="61"/>
  <c r="AA173" i="61"/>
  <c r="AC173" i="61"/>
  <c r="AE173" i="61"/>
  <c r="AG173" i="61"/>
  <c r="AI173" i="61"/>
  <c r="AK173" i="61"/>
  <c r="AM173" i="61"/>
  <c r="AO173" i="61"/>
  <c r="AQ173" i="61"/>
  <c r="AS173" i="61"/>
  <c r="AU173" i="61"/>
  <c r="AY173" i="61"/>
  <c r="BA173" i="61"/>
  <c r="BB173" i="61"/>
  <c r="AQ174" i="61"/>
  <c r="AR174" i="61"/>
  <c r="AS174" i="61"/>
  <c r="AT174" i="61"/>
  <c r="AX174" i="61"/>
  <c r="BA174" i="61"/>
  <c r="BB174" i="61"/>
  <c r="F175" i="61"/>
  <c r="F167" i="61"/>
  <c r="G175" i="61"/>
  <c r="G167" i="61" s="1"/>
  <c r="H175" i="61"/>
  <c r="I175" i="61"/>
  <c r="I167" i="61"/>
  <c r="J175" i="61"/>
  <c r="J167" i="61"/>
  <c r="J212" i="61" s="1"/>
  <c r="K175" i="61"/>
  <c r="K167" i="61" s="1"/>
  <c r="L175" i="61"/>
  <c r="M175" i="61"/>
  <c r="M167" i="61"/>
  <c r="N175" i="61"/>
  <c r="N167" i="61"/>
  <c r="O175" i="61"/>
  <c r="O167" i="61" s="1"/>
  <c r="P175" i="61"/>
  <c r="Q175" i="61"/>
  <c r="Q167" i="61"/>
  <c r="R175" i="61"/>
  <c r="R167" i="61"/>
  <c r="R212" i="61" s="1"/>
  <c r="S175" i="61"/>
  <c r="S167" i="61" s="1"/>
  <c r="T175" i="61"/>
  <c r="U175" i="61"/>
  <c r="U167" i="61"/>
  <c r="V175" i="61"/>
  <c r="V167" i="61"/>
  <c r="W175" i="61"/>
  <c r="W167" i="61" s="1"/>
  <c r="X175" i="61"/>
  <c r="Y175" i="61"/>
  <c r="Y167" i="61"/>
  <c r="Z175" i="61"/>
  <c r="Z167" i="61"/>
  <c r="Z212" i="61" s="1"/>
  <c r="AA175" i="61"/>
  <c r="AB175" i="61"/>
  <c r="AC175" i="61"/>
  <c r="AC167" i="61" s="1"/>
  <c r="AD175" i="61"/>
  <c r="AE175" i="61"/>
  <c r="AE167" i="61" s="1"/>
  <c r="AF175" i="61"/>
  <c r="AG175" i="61"/>
  <c r="AG167" i="61" s="1"/>
  <c r="AH175" i="61"/>
  <c r="AI175" i="61"/>
  <c r="AI167" i="61" s="1"/>
  <c r="AJ175" i="61"/>
  <c r="AK175" i="61"/>
  <c r="AK167" i="61" s="1"/>
  <c r="AL175" i="61"/>
  <c r="AM175" i="61"/>
  <c r="AM167" i="61" s="1"/>
  <c r="AN175" i="61"/>
  <c r="AO175" i="61"/>
  <c r="AO167" i="61" s="1"/>
  <c r="AP175" i="61"/>
  <c r="AQ175" i="61"/>
  <c r="AQ167" i="61" s="1"/>
  <c r="AR175" i="61"/>
  <c r="AS175" i="61"/>
  <c r="AS167" i="61" s="1"/>
  <c r="AT175" i="61"/>
  <c r="AU175" i="61"/>
  <c r="AU167" i="61" s="1"/>
  <c r="AV175" i="61"/>
  <c r="AW175" i="61"/>
  <c r="AW167" i="61" s="1"/>
  <c r="AX175" i="61"/>
  <c r="AY175" i="61"/>
  <c r="AY167" i="61" s="1"/>
  <c r="AZ175" i="61"/>
  <c r="BA175" i="61"/>
  <c r="BA167" i="61" s="1"/>
  <c r="BB175" i="61"/>
  <c r="BC175" i="61"/>
  <c r="BC167" i="61" s="1"/>
  <c r="F176" i="61"/>
  <c r="F177" i="61" s="1"/>
  <c r="H176" i="61"/>
  <c r="J176" i="61"/>
  <c r="J177" i="61" s="1"/>
  <c r="L176" i="61"/>
  <c r="L177" i="61" s="1"/>
  <c r="N176" i="61"/>
  <c r="N177" i="61" s="1"/>
  <c r="P176" i="61"/>
  <c r="R176" i="61"/>
  <c r="R177" i="61" s="1"/>
  <c r="T176" i="61"/>
  <c r="V176" i="61"/>
  <c r="V177" i="61" s="1"/>
  <c r="X176" i="61"/>
  <c r="Z176" i="61"/>
  <c r="Z177" i="61" s="1"/>
  <c r="AB176" i="61"/>
  <c r="AB177" i="61" s="1"/>
  <c r="AD176" i="61"/>
  <c r="AD177" i="61" s="1"/>
  <c r="AF176" i="61"/>
  <c r="AH176" i="61"/>
  <c r="AH177" i="61" s="1"/>
  <c r="AJ176" i="61"/>
  <c r="AL176" i="61"/>
  <c r="AL177" i="61" s="1"/>
  <c r="AN176" i="61"/>
  <c r="AN177" i="61" s="1"/>
  <c r="AP176" i="61"/>
  <c r="AP178" i="61" s="1"/>
  <c r="AR176" i="61"/>
  <c r="AT176" i="61"/>
  <c r="AT178" i="61" s="1"/>
  <c r="AV176" i="61"/>
  <c r="AX176" i="61"/>
  <c r="AX178" i="61" s="1"/>
  <c r="AZ176" i="61"/>
  <c r="BB176" i="61"/>
  <c r="BB178" i="61" s="1"/>
  <c r="AP177" i="61"/>
  <c r="AT177" i="61"/>
  <c r="AX177" i="61"/>
  <c r="BB177" i="61"/>
  <c r="AE178" i="61"/>
  <c r="AM178" i="61"/>
  <c r="AU178" i="61"/>
  <c r="AY178" i="61"/>
  <c r="AY233" i="61" s="1"/>
  <c r="G179" i="61"/>
  <c r="H179" i="61"/>
  <c r="I179" i="61"/>
  <c r="J179" i="61"/>
  <c r="K179" i="61"/>
  <c r="L179" i="61"/>
  <c r="M179" i="61"/>
  <c r="N179" i="61"/>
  <c r="O179" i="61"/>
  <c r="P179" i="61"/>
  <c r="Q179" i="61"/>
  <c r="R179" i="61"/>
  <c r="S179" i="61"/>
  <c r="T179" i="61"/>
  <c r="U179" i="61"/>
  <c r="V179" i="61"/>
  <c r="W179" i="61"/>
  <c r="X179" i="61"/>
  <c r="Y179" i="61"/>
  <c r="Z179" i="61"/>
  <c r="AA179" i="61"/>
  <c r="AB179" i="61"/>
  <c r="AC179" i="61"/>
  <c r="AD179" i="61"/>
  <c r="AE179" i="61"/>
  <c r="AF179" i="61"/>
  <c r="AF170" i="61" s="1"/>
  <c r="AG179" i="61"/>
  <c r="AG170" i="61"/>
  <c r="AH179" i="61"/>
  <c r="AH170" i="61" s="1"/>
  <c r="AI179" i="61"/>
  <c r="AI170" i="61" s="1"/>
  <c r="AJ179" i="61"/>
  <c r="AJ170" i="61" s="1"/>
  <c r="AK179" i="61"/>
  <c r="AK170" i="61" s="1"/>
  <c r="AL179" i="61"/>
  <c r="AL170" i="61" s="1"/>
  <c r="AM179" i="61"/>
  <c r="AM170" i="61" s="1"/>
  <c r="AN179" i="61"/>
  <c r="AN170" i="61" s="1"/>
  <c r="AO179" i="61"/>
  <c r="AO170" i="61"/>
  <c r="AQ179" i="61"/>
  <c r="AQ170" i="61" s="1"/>
  <c r="AS179" i="61"/>
  <c r="AS170" i="61" s="1"/>
  <c r="AT179" i="61"/>
  <c r="AT170" i="61" s="1"/>
  <c r="AU179" i="61"/>
  <c r="AU170" i="61" s="1"/>
  <c r="AV179" i="61"/>
  <c r="AV170" i="61" s="1"/>
  <c r="AW179" i="61"/>
  <c r="AW170" i="61"/>
  <c r="AY179" i="61"/>
  <c r="AY170" i="61" s="1"/>
  <c r="BA179" i="61"/>
  <c r="BA170" i="61" s="1"/>
  <c r="BB179" i="61"/>
  <c r="BB170" i="61" s="1"/>
  <c r="AT181" i="61"/>
  <c r="AT182" i="61" s="1"/>
  <c r="BB181" i="61"/>
  <c r="BB182" i="61" s="1"/>
  <c r="F187" i="61"/>
  <c r="G187" i="61"/>
  <c r="H187" i="61"/>
  <c r="I187" i="61"/>
  <c r="J187" i="61"/>
  <c r="K187" i="61"/>
  <c r="L187" i="61"/>
  <c r="M187" i="61"/>
  <c r="N187" i="61"/>
  <c r="O187" i="61"/>
  <c r="P187" i="61"/>
  <c r="Q187" i="61"/>
  <c r="R187" i="61"/>
  <c r="S187" i="61"/>
  <c r="T187" i="61"/>
  <c r="U187" i="61"/>
  <c r="V187" i="61"/>
  <c r="W187" i="61"/>
  <c r="X187" i="61"/>
  <c r="Y187" i="61"/>
  <c r="Z187" i="61"/>
  <c r="AA187" i="61"/>
  <c r="AB187" i="61"/>
  <c r="AC187" i="61"/>
  <c r="AD187" i="61"/>
  <c r="AE187" i="61"/>
  <c r="AF187" i="61"/>
  <c r="AG187" i="61"/>
  <c r="AH187" i="61"/>
  <c r="AI187" i="61"/>
  <c r="AJ187" i="61"/>
  <c r="AK187" i="61"/>
  <c r="AL187" i="61"/>
  <c r="AM187" i="61"/>
  <c r="AN187" i="61"/>
  <c r="AO187" i="61"/>
  <c r="AP187" i="61"/>
  <c r="F188" i="61"/>
  <c r="G188" i="61"/>
  <c r="H188" i="61"/>
  <c r="I188" i="61"/>
  <c r="J188" i="61"/>
  <c r="K188" i="61"/>
  <c r="L188" i="61"/>
  <c r="M188" i="61"/>
  <c r="N188" i="61"/>
  <c r="O188" i="61"/>
  <c r="P188" i="61"/>
  <c r="Q188" i="61"/>
  <c r="R188" i="61"/>
  <c r="S188" i="61"/>
  <c r="T188" i="61"/>
  <c r="U188" i="61"/>
  <c r="V188" i="61"/>
  <c r="W188" i="61"/>
  <c r="X188" i="61"/>
  <c r="Y188" i="61"/>
  <c r="Z188" i="61"/>
  <c r="AA188" i="61"/>
  <c r="AB188" i="61"/>
  <c r="AC188" i="61"/>
  <c r="AD188" i="61"/>
  <c r="AE188" i="61"/>
  <c r="AF188" i="61"/>
  <c r="AG188" i="61"/>
  <c r="AH188" i="61"/>
  <c r="AI188" i="61"/>
  <c r="AJ188" i="61"/>
  <c r="AK188" i="61"/>
  <c r="AL188" i="61"/>
  <c r="AM188" i="61"/>
  <c r="AN188" i="61"/>
  <c r="AO188" i="61"/>
  <c r="AP188" i="61"/>
  <c r="AQ188" i="61"/>
  <c r="AR188" i="61"/>
  <c r="AS188" i="61"/>
  <c r="AT188" i="61"/>
  <c r="AU188" i="61"/>
  <c r="AV188" i="61"/>
  <c r="AW188" i="61"/>
  <c r="AX188" i="61"/>
  <c r="AY188" i="61"/>
  <c r="AZ188" i="61"/>
  <c r="BA188" i="61"/>
  <c r="BB188" i="61"/>
  <c r="BC188" i="61"/>
  <c r="BD188" i="61"/>
  <c r="BQ188" i="61" s="1"/>
  <c r="F189" i="61"/>
  <c r="G189" i="61"/>
  <c r="H189" i="61"/>
  <c r="I189" i="61"/>
  <c r="J189" i="61"/>
  <c r="K189" i="61"/>
  <c r="L189" i="61"/>
  <c r="M189" i="61"/>
  <c r="N189" i="61"/>
  <c r="O189" i="61"/>
  <c r="P189" i="61"/>
  <c r="Q189" i="61"/>
  <c r="R189" i="61"/>
  <c r="S189" i="61"/>
  <c r="T189" i="61"/>
  <c r="U189" i="61"/>
  <c r="V189" i="61"/>
  <c r="W189" i="61"/>
  <c r="X189" i="61"/>
  <c r="Y189" i="61"/>
  <c r="Z189" i="61"/>
  <c r="AA189" i="61"/>
  <c r="AB189" i="61"/>
  <c r="AC189" i="61"/>
  <c r="AD189" i="61"/>
  <c r="AE189" i="61"/>
  <c r="AF189" i="61"/>
  <c r="AG189" i="61"/>
  <c r="AH189" i="61"/>
  <c r="AI189" i="61"/>
  <c r="AJ189" i="61"/>
  <c r="AK189" i="61"/>
  <c r="AL189" i="61"/>
  <c r="AM189" i="61"/>
  <c r="AN189" i="61"/>
  <c r="AO189" i="61"/>
  <c r="AP189" i="61"/>
  <c r="AQ189" i="61"/>
  <c r="AR189" i="61"/>
  <c r="AS189" i="61"/>
  <c r="AT189" i="61"/>
  <c r="AU189" i="61"/>
  <c r="AV189" i="61"/>
  <c r="F190" i="61"/>
  <c r="G190" i="61"/>
  <c r="I190" i="61"/>
  <c r="K190" i="61"/>
  <c r="L190" i="61"/>
  <c r="N190" i="61"/>
  <c r="P190" i="61"/>
  <c r="Q190" i="61"/>
  <c r="R190" i="61"/>
  <c r="S190" i="61"/>
  <c r="T190" i="61"/>
  <c r="U190" i="61"/>
  <c r="V190" i="61"/>
  <c r="W190" i="61"/>
  <c r="Y190" i="61"/>
  <c r="AA190" i="61"/>
  <c r="AB190" i="61"/>
  <c r="AD190" i="61"/>
  <c r="AF190" i="61"/>
  <c r="AG190" i="61"/>
  <c r="AH190" i="61"/>
  <c r="AI190" i="61"/>
  <c r="AJ190" i="61"/>
  <c r="AK190" i="61"/>
  <c r="AL190" i="61"/>
  <c r="AM190" i="61"/>
  <c r="AO190" i="61"/>
  <c r="AQ190" i="61"/>
  <c r="AS190" i="61"/>
  <c r="AU190" i="61"/>
  <c r="AW190" i="61"/>
  <c r="AY190" i="61"/>
  <c r="BA190" i="61"/>
  <c r="BC190" i="61"/>
  <c r="K191" i="61"/>
  <c r="K211" i="61" s="1"/>
  <c r="S191" i="61"/>
  <c r="S211" i="61" s="1"/>
  <c r="AA191" i="61"/>
  <c r="AA211" i="61" s="1"/>
  <c r="AI191" i="61"/>
  <c r="AI211" i="61" s="1"/>
  <c r="AQ191" i="61"/>
  <c r="AQ211" i="61" s="1"/>
  <c r="G192" i="61"/>
  <c r="H192" i="61"/>
  <c r="I192" i="61"/>
  <c r="J192" i="61"/>
  <c r="K192" i="61"/>
  <c r="L192" i="61"/>
  <c r="M192" i="61"/>
  <c r="N192" i="61"/>
  <c r="O192" i="61"/>
  <c r="P192" i="61"/>
  <c r="Q192" i="61"/>
  <c r="R192" i="61"/>
  <c r="S192" i="61"/>
  <c r="T192" i="61"/>
  <c r="U192" i="61"/>
  <c r="V192" i="61"/>
  <c r="W192" i="61"/>
  <c r="X192" i="61"/>
  <c r="Y192" i="61"/>
  <c r="Z192" i="61"/>
  <c r="AA192" i="61"/>
  <c r="AB192" i="61"/>
  <c r="AC192" i="61"/>
  <c r="AD192" i="61"/>
  <c r="AE192" i="61"/>
  <c r="AF192" i="61"/>
  <c r="AG192" i="61"/>
  <c r="AH192" i="61"/>
  <c r="AI192" i="61"/>
  <c r="AJ192" i="61"/>
  <c r="AK192" i="61"/>
  <c r="AL192" i="61"/>
  <c r="AM192" i="61"/>
  <c r="AN192" i="61"/>
  <c r="AO192" i="61"/>
  <c r="AP192" i="61"/>
  <c r="AQ192" i="61"/>
  <c r="AR192" i="61"/>
  <c r="AS192" i="61"/>
  <c r="AT192" i="61"/>
  <c r="AU192" i="61"/>
  <c r="AV192" i="61"/>
  <c r="AW192" i="61"/>
  <c r="AX192" i="61"/>
  <c r="AY192" i="61"/>
  <c r="AZ192" i="61"/>
  <c r="BA192" i="61"/>
  <c r="BB192" i="61"/>
  <c r="BC192" i="61"/>
  <c r="L193" i="61"/>
  <c r="AE194" i="61"/>
  <c r="AF194" i="61"/>
  <c r="AG194" i="61"/>
  <c r="AH194" i="61"/>
  <c r="AI194" i="61"/>
  <c r="AJ194" i="61"/>
  <c r="AK194" i="61"/>
  <c r="AL194" i="61"/>
  <c r="AM194" i="61"/>
  <c r="AN194" i="61"/>
  <c r="AO194" i="61"/>
  <c r="AP194" i="61"/>
  <c r="AQ194" i="61"/>
  <c r="AR194" i="61"/>
  <c r="AS194" i="61"/>
  <c r="AT194" i="61"/>
  <c r="AU194" i="61"/>
  <c r="AV194" i="61"/>
  <c r="AW194" i="61"/>
  <c r="AX194" i="61"/>
  <c r="AY194" i="61"/>
  <c r="AZ194" i="61"/>
  <c r="BA194" i="61"/>
  <c r="BB194" i="61"/>
  <c r="BC194" i="61"/>
  <c r="BD194" i="61"/>
  <c r="BQ194" i="61" s="1"/>
  <c r="AZ195" i="61"/>
  <c r="BA195" i="61"/>
  <c r="BB195" i="61"/>
  <c r="BC195" i="61"/>
  <c r="BD195" i="61"/>
  <c r="BQ195" i="61" s="1"/>
  <c r="F196" i="61"/>
  <c r="G196" i="61"/>
  <c r="I196" i="61"/>
  <c r="J196" i="61"/>
  <c r="K196" i="61"/>
  <c r="M196" i="61"/>
  <c r="N196" i="61"/>
  <c r="O196" i="61"/>
  <c r="Q196" i="61"/>
  <c r="R196" i="61"/>
  <c r="S196" i="61"/>
  <c r="U196" i="61"/>
  <c r="V196" i="61"/>
  <c r="W196" i="61"/>
  <c r="Y196" i="61"/>
  <c r="Z196" i="61"/>
  <c r="AA196" i="61"/>
  <c r="AC196" i="61"/>
  <c r="AE196" i="61"/>
  <c r="AF196" i="61"/>
  <c r="AG196" i="61"/>
  <c r="AH196" i="61"/>
  <c r="AI196" i="61"/>
  <c r="AJ196" i="61"/>
  <c r="AK196" i="61"/>
  <c r="AL196" i="61"/>
  <c r="AM196" i="61"/>
  <c r="AN196" i="61"/>
  <c r="AO196" i="61"/>
  <c r="AP196" i="61"/>
  <c r="AQ196" i="61"/>
  <c r="AS196" i="61"/>
  <c r="AU196" i="61"/>
  <c r="AV196" i="61"/>
  <c r="AW196" i="61"/>
  <c r="AX196" i="61"/>
  <c r="AY196" i="61"/>
  <c r="AZ196" i="61"/>
  <c r="BA196" i="61"/>
  <c r="BB196" i="61"/>
  <c r="G199" i="61"/>
  <c r="I199" i="61"/>
  <c r="K199" i="61"/>
  <c r="M199" i="61"/>
  <c r="O199" i="61"/>
  <c r="Q199" i="61"/>
  <c r="S199" i="61"/>
  <c r="U199" i="61"/>
  <c r="W199" i="61"/>
  <c r="Y199" i="61"/>
  <c r="AA199" i="61"/>
  <c r="AC199" i="61"/>
  <c r="AE199" i="61"/>
  <c r="AG199" i="61"/>
  <c r="AI199" i="61"/>
  <c r="AK199" i="61"/>
  <c r="AM199" i="61"/>
  <c r="AO199" i="61"/>
  <c r="AQ199" i="61"/>
  <c r="AS199" i="61"/>
  <c r="AU199" i="61"/>
  <c r="AW199" i="61"/>
  <c r="AY199" i="61"/>
  <c r="BA199" i="61"/>
  <c r="G200" i="61"/>
  <c r="H200" i="61"/>
  <c r="I200" i="61"/>
  <c r="J200" i="61"/>
  <c r="K200" i="61"/>
  <c r="L200" i="61"/>
  <c r="M200" i="61"/>
  <c r="N200" i="61"/>
  <c r="O200" i="61"/>
  <c r="P200" i="61"/>
  <c r="Q200" i="61"/>
  <c r="R200" i="61"/>
  <c r="S200" i="61"/>
  <c r="T200" i="61"/>
  <c r="U200" i="61"/>
  <c r="V200" i="61"/>
  <c r="W200" i="61"/>
  <c r="X200" i="61"/>
  <c r="Y200" i="61"/>
  <c r="Z200" i="61"/>
  <c r="AA200" i="61"/>
  <c r="AB200" i="61"/>
  <c r="AC200" i="61"/>
  <c r="AD200" i="61"/>
  <c r="AE200" i="61"/>
  <c r="AF200" i="61"/>
  <c r="AG200" i="61"/>
  <c r="AH200" i="61"/>
  <c r="AI200" i="61"/>
  <c r="AJ200" i="61"/>
  <c r="AK200" i="61"/>
  <c r="AL200" i="61"/>
  <c r="AM200" i="61"/>
  <c r="AN200" i="61"/>
  <c r="AO200" i="61"/>
  <c r="AP200" i="61"/>
  <c r="AQ200" i="61"/>
  <c r="AR200" i="61"/>
  <c r="AS200" i="61"/>
  <c r="AT200" i="61"/>
  <c r="AU200" i="61"/>
  <c r="AV200" i="61"/>
  <c r="AW200" i="61"/>
  <c r="AX200" i="61"/>
  <c r="AY200" i="61"/>
  <c r="AZ200" i="61"/>
  <c r="BA200" i="61"/>
  <c r="BB200" i="61"/>
  <c r="G201" i="61"/>
  <c r="H201" i="61"/>
  <c r="I201" i="61"/>
  <c r="J201" i="61"/>
  <c r="K201" i="61"/>
  <c r="L201" i="61"/>
  <c r="M201" i="61"/>
  <c r="N201" i="61"/>
  <c r="O201" i="61"/>
  <c r="P201" i="61"/>
  <c r="Q201" i="61"/>
  <c r="R201" i="61"/>
  <c r="S201" i="61"/>
  <c r="T201" i="61"/>
  <c r="U201" i="61"/>
  <c r="V201" i="61"/>
  <c r="W201" i="61"/>
  <c r="X201" i="61"/>
  <c r="Y201" i="61"/>
  <c r="Z201" i="61"/>
  <c r="AA201" i="61"/>
  <c r="AB201" i="61"/>
  <c r="AC201" i="61"/>
  <c r="AD201" i="61"/>
  <c r="AE201" i="61"/>
  <c r="AF201" i="61"/>
  <c r="AG201" i="61"/>
  <c r="AH201" i="61"/>
  <c r="AI201" i="61"/>
  <c r="AJ201" i="61"/>
  <c r="AK201" i="61"/>
  <c r="AL201" i="61"/>
  <c r="AM201" i="61"/>
  <c r="AN201" i="61"/>
  <c r="AO201" i="61"/>
  <c r="AP201" i="61"/>
  <c r="AQ201" i="61"/>
  <c r="AS201" i="61"/>
  <c r="AW201" i="61"/>
  <c r="BA201" i="61"/>
  <c r="G202" i="61"/>
  <c r="H202" i="61"/>
  <c r="I202" i="61"/>
  <c r="J202" i="61"/>
  <c r="K202" i="61"/>
  <c r="L202" i="61"/>
  <c r="M202" i="61"/>
  <c r="N202" i="61"/>
  <c r="O202" i="61"/>
  <c r="P202" i="61"/>
  <c r="Q202" i="61"/>
  <c r="R202" i="61"/>
  <c r="S202" i="61"/>
  <c r="T202" i="61"/>
  <c r="U202" i="61"/>
  <c r="V202" i="61"/>
  <c r="W202" i="61"/>
  <c r="X202" i="61"/>
  <c r="Y202" i="61"/>
  <c r="Z202" i="61"/>
  <c r="AA202" i="61"/>
  <c r="AB202" i="61"/>
  <c r="AC202" i="61"/>
  <c r="AD202" i="61"/>
  <c r="AE202" i="61"/>
  <c r="AF202" i="61"/>
  <c r="AG202" i="61"/>
  <c r="AH202" i="61"/>
  <c r="AI202" i="61"/>
  <c r="AJ202" i="61"/>
  <c r="AK202" i="61"/>
  <c r="AL202" i="61"/>
  <c r="AM202" i="61"/>
  <c r="AN202" i="61"/>
  <c r="AO202" i="61"/>
  <c r="AP202" i="61"/>
  <c r="AQ202" i="61"/>
  <c r="AR202" i="61"/>
  <c r="AS202" i="61"/>
  <c r="AT202" i="61"/>
  <c r="AU202" i="61"/>
  <c r="AV202" i="61"/>
  <c r="AZ202" i="61"/>
  <c r="G203" i="61"/>
  <c r="H203" i="61"/>
  <c r="I203" i="61"/>
  <c r="J203" i="61"/>
  <c r="K203" i="61"/>
  <c r="L203" i="61"/>
  <c r="M203" i="61"/>
  <c r="N203" i="61"/>
  <c r="O203" i="61"/>
  <c r="P203" i="61"/>
  <c r="Q203" i="61"/>
  <c r="R203" i="61"/>
  <c r="S203" i="61"/>
  <c r="T203" i="61"/>
  <c r="U203" i="61"/>
  <c r="V203" i="61"/>
  <c r="W203" i="61"/>
  <c r="X203" i="61"/>
  <c r="Y203" i="61"/>
  <c r="Z203" i="61"/>
  <c r="AA203" i="61"/>
  <c r="AB203" i="61"/>
  <c r="AC203" i="61"/>
  <c r="AD203" i="61"/>
  <c r="AE203" i="61"/>
  <c r="AF203" i="61"/>
  <c r="AG203" i="61"/>
  <c r="AH203" i="61"/>
  <c r="AI203" i="61"/>
  <c r="AJ203" i="61"/>
  <c r="AK203" i="61"/>
  <c r="AL203" i="61"/>
  <c r="AM203" i="61"/>
  <c r="AN203" i="61"/>
  <c r="AO203" i="61"/>
  <c r="AP203" i="61"/>
  <c r="AQ203" i="61"/>
  <c r="AR203" i="61"/>
  <c r="AS203" i="61"/>
  <c r="AT203" i="61"/>
  <c r="AU203" i="61"/>
  <c r="AV203" i="61"/>
  <c r="AW203" i="61"/>
  <c r="AX203" i="61"/>
  <c r="AY203" i="61"/>
  <c r="AZ203" i="61"/>
  <c r="BA203" i="61"/>
  <c r="BB203" i="61"/>
  <c r="G204" i="61"/>
  <c r="H204" i="61"/>
  <c r="I204" i="61"/>
  <c r="J204" i="61"/>
  <c r="K204" i="61"/>
  <c r="L204" i="61"/>
  <c r="M204" i="61"/>
  <c r="N204" i="61"/>
  <c r="O204" i="61"/>
  <c r="P204" i="61"/>
  <c r="Q204" i="61"/>
  <c r="R204" i="61"/>
  <c r="S204" i="61"/>
  <c r="T204" i="61"/>
  <c r="U204" i="61"/>
  <c r="V204" i="61"/>
  <c r="W204" i="61"/>
  <c r="X204" i="61"/>
  <c r="Y204" i="61"/>
  <c r="Z204" i="61"/>
  <c r="AA204" i="61"/>
  <c r="AB204" i="61"/>
  <c r="AC204" i="61"/>
  <c r="AD204" i="61"/>
  <c r="AE204" i="61"/>
  <c r="AF204" i="61"/>
  <c r="AG204" i="61"/>
  <c r="AH204" i="61"/>
  <c r="AI204" i="61"/>
  <c r="AJ204" i="61"/>
  <c r="AK204" i="61"/>
  <c r="AL204" i="61"/>
  <c r="AM204" i="61"/>
  <c r="AN204" i="61"/>
  <c r="AO204" i="61"/>
  <c r="AP204" i="61"/>
  <c r="AQ204" i="61"/>
  <c r="AR204" i="61"/>
  <c r="AS204" i="61"/>
  <c r="AT204" i="61"/>
  <c r="AU204" i="61"/>
  <c r="AV204" i="61"/>
  <c r="AW204" i="61"/>
  <c r="AX204" i="61"/>
  <c r="AY204" i="61"/>
  <c r="AZ204" i="61"/>
  <c r="BA204" i="61"/>
  <c r="BB204" i="61"/>
  <c r="G205" i="61"/>
  <c r="H205" i="61"/>
  <c r="I205" i="61"/>
  <c r="J205" i="61"/>
  <c r="K205" i="61"/>
  <c r="L205" i="61"/>
  <c r="M205" i="61"/>
  <c r="N205" i="61"/>
  <c r="O205" i="61"/>
  <c r="P205" i="61"/>
  <c r="Q205" i="61"/>
  <c r="R205" i="61"/>
  <c r="S205" i="61"/>
  <c r="T205" i="61"/>
  <c r="U205" i="61"/>
  <c r="V205" i="61"/>
  <c r="W205" i="61"/>
  <c r="X205" i="61"/>
  <c r="Y205" i="61"/>
  <c r="Z205" i="61"/>
  <c r="AA205" i="61"/>
  <c r="AB205" i="61"/>
  <c r="AC205" i="61"/>
  <c r="AD205" i="61"/>
  <c r="AE205" i="61"/>
  <c r="AF205" i="61"/>
  <c r="AG205" i="61"/>
  <c r="AH205" i="61"/>
  <c r="AI205" i="61"/>
  <c r="AJ205" i="61"/>
  <c r="AK205" i="61"/>
  <c r="AL205" i="61"/>
  <c r="AM205" i="61"/>
  <c r="AN205" i="61"/>
  <c r="AO205" i="61"/>
  <c r="AP205" i="61"/>
  <c r="AQ205" i="61"/>
  <c r="AR205" i="61"/>
  <c r="AS205" i="61"/>
  <c r="AT205" i="61"/>
  <c r="AU205" i="61"/>
  <c r="AV205" i="61"/>
  <c r="AW205" i="61"/>
  <c r="AX205" i="61"/>
  <c r="AY205" i="61"/>
  <c r="AZ205" i="61"/>
  <c r="BA205" i="61"/>
  <c r="BB205" i="61"/>
  <c r="G208" i="61"/>
  <c r="H208" i="61"/>
  <c r="I208" i="61"/>
  <c r="J208" i="61"/>
  <c r="K208" i="61"/>
  <c r="L208" i="61"/>
  <c r="M208" i="61"/>
  <c r="N208" i="61"/>
  <c r="O208" i="61"/>
  <c r="P208" i="61"/>
  <c r="Q208" i="61"/>
  <c r="R208" i="61"/>
  <c r="S208" i="61"/>
  <c r="T208" i="61"/>
  <c r="U208" i="61"/>
  <c r="V208" i="61"/>
  <c r="W208" i="61"/>
  <c r="X208" i="61"/>
  <c r="Y208" i="61"/>
  <c r="Z208" i="61"/>
  <c r="AA208" i="61"/>
  <c r="AB208" i="61"/>
  <c r="AC208" i="61"/>
  <c r="AD208" i="61"/>
  <c r="AE208" i="61"/>
  <c r="AF208" i="61"/>
  <c r="AG208" i="61"/>
  <c r="AH208" i="61"/>
  <c r="AI208" i="61"/>
  <c r="AJ208" i="61"/>
  <c r="AK208" i="61"/>
  <c r="AL208" i="61"/>
  <c r="AM208" i="61"/>
  <c r="AN208" i="61"/>
  <c r="AO208" i="61"/>
  <c r="AP208" i="61"/>
  <c r="AQ208" i="61"/>
  <c r="AR208" i="61"/>
  <c r="AS208" i="61"/>
  <c r="AT208" i="61"/>
  <c r="AU208" i="61"/>
  <c r="AV208" i="61"/>
  <c r="AW208" i="61"/>
  <c r="AX208" i="61"/>
  <c r="AY208" i="61"/>
  <c r="AZ208" i="61"/>
  <c r="BA208" i="61"/>
  <c r="BB208" i="61"/>
  <c r="BC208" i="61"/>
  <c r="BD208" i="61"/>
  <c r="BQ208" i="61"/>
  <c r="G209" i="61"/>
  <c r="H209" i="61"/>
  <c r="I209" i="61"/>
  <c r="J209" i="61"/>
  <c r="K209" i="61"/>
  <c r="L209" i="61"/>
  <c r="M209" i="61"/>
  <c r="N209" i="61"/>
  <c r="O209" i="61"/>
  <c r="P209" i="61"/>
  <c r="Q209" i="61"/>
  <c r="R209" i="61"/>
  <c r="S209" i="61"/>
  <c r="T209" i="61"/>
  <c r="U209" i="61"/>
  <c r="V209" i="61"/>
  <c r="W209" i="61"/>
  <c r="X209" i="61"/>
  <c r="Y209" i="61"/>
  <c r="Z209" i="61"/>
  <c r="AA209" i="61"/>
  <c r="AB209" i="61"/>
  <c r="AC209" i="61"/>
  <c r="AD209" i="61"/>
  <c r="AE209" i="61"/>
  <c r="AF209" i="61"/>
  <c r="AG209" i="61"/>
  <c r="AH209" i="61"/>
  <c r="AI209" i="61"/>
  <c r="AJ209" i="61"/>
  <c r="AK209" i="61"/>
  <c r="AL209" i="61"/>
  <c r="AM209" i="61"/>
  <c r="AN209" i="61"/>
  <c r="AO209" i="61"/>
  <c r="AP209" i="61"/>
  <c r="AQ209" i="61"/>
  <c r="AR209" i="61"/>
  <c r="AS209" i="61"/>
  <c r="AT209" i="61"/>
  <c r="AU209" i="61"/>
  <c r="AV209" i="61"/>
  <c r="AW209" i="61"/>
  <c r="AX209" i="61"/>
  <c r="AY209" i="61"/>
  <c r="AZ209" i="61"/>
  <c r="BA209" i="61"/>
  <c r="BB209" i="61"/>
  <c r="BC209" i="61"/>
  <c r="G210" i="61"/>
  <c r="H210" i="61"/>
  <c r="I210" i="61"/>
  <c r="J210" i="61"/>
  <c r="K210" i="61"/>
  <c r="L210" i="61"/>
  <c r="M210" i="61"/>
  <c r="N210" i="61"/>
  <c r="O210" i="61"/>
  <c r="P210" i="61"/>
  <c r="Q210" i="61"/>
  <c r="R210" i="61"/>
  <c r="S210" i="61"/>
  <c r="T210" i="61"/>
  <c r="U210" i="61"/>
  <c r="V210" i="61"/>
  <c r="W210" i="61"/>
  <c r="X210" i="61"/>
  <c r="Y210" i="61"/>
  <c r="Z210" i="61"/>
  <c r="AA210" i="61"/>
  <c r="AB210" i="61"/>
  <c r="AC210" i="61"/>
  <c r="AD210" i="61"/>
  <c r="AE210" i="61"/>
  <c r="AF210" i="61"/>
  <c r="AG210" i="61"/>
  <c r="AH210" i="61"/>
  <c r="AI210" i="61"/>
  <c r="AJ210" i="61"/>
  <c r="AK210" i="61"/>
  <c r="AL210" i="61"/>
  <c r="AM210" i="61"/>
  <c r="AN210" i="61"/>
  <c r="AO210" i="61"/>
  <c r="AP210" i="61"/>
  <c r="AQ210" i="61"/>
  <c r="AR210" i="61"/>
  <c r="AS210" i="61"/>
  <c r="AT210" i="61"/>
  <c r="AU210" i="61"/>
  <c r="AV210" i="61"/>
  <c r="AW210" i="61"/>
  <c r="AX210" i="61"/>
  <c r="AY210" i="61"/>
  <c r="AZ210" i="61"/>
  <c r="BA210" i="61"/>
  <c r="BB210" i="61"/>
  <c r="BC210" i="61"/>
  <c r="BD210" i="61"/>
  <c r="BQ210" i="61"/>
  <c r="M211" i="61"/>
  <c r="U211" i="61"/>
  <c r="AC211" i="61"/>
  <c r="AK211" i="61"/>
  <c r="AS211" i="61"/>
  <c r="BA211" i="61"/>
  <c r="N212" i="61"/>
  <c r="V212" i="61"/>
  <c r="AH212" i="61"/>
  <c r="F214" i="61"/>
  <c r="G214" i="61"/>
  <c r="H214" i="61"/>
  <c r="I214" i="61"/>
  <c r="J214" i="61"/>
  <c r="K214" i="61"/>
  <c r="L214" i="61"/>
  <c r="M214" i="61"/>
  <c r="N214" i="61"/>
  <c r="O214" i="61"/>
  <c r="P214" i="61"/>
  <c r="Q214" i="61"/>
  <c r="R214" i="61"/>
  <c r="S214" i="61"/>
  <c r="T214" i="61"/>
  <c r="U214" i="61"/>
  <c r="V214" i="61"/>
  <c r="W214" i="61"/>
  <c r="X214" i="61"/>
  <c r="Y214" i="61"/>
  <c r="Z214" i="61"/>
  <c r="AA214" i="61"/>
  <c r="AB214" i="61"/>
  <c r="AC214" i="61"/>
  <c r="AD214" i="61"/>
  <c r="AE214" i="61"/>
  <c r="AF214" i="61"/>
  <c r="AG214" i="61"/>
  <c r="AH214" i="61"/>
  <c r="AI214" i="61"/>
  <c r="AJ214" i="61"/>
  <c r="AK214" i="61"/>
  <c r="AL214" i="61"/>
  <c r="AM214" i="61"/>
  <c r="AN214" i="61"/>
  <c r="AO214" i="61"/>
  <c r="AP214" i="61"/>
  <c r="AQ214" i="61"/>
  <c r="AR214" i="61"/>
  <c r="AS214" i="61"/>
  <c r="AT214" i="61"/>
  <c r="AU214" i="61"/>
  <c r="AV214" i="61"/>
  <c r="F215" i="61"/>
  <c r="G215" i="61"/>
  <c r="H215" i="61"/>
  <c r="I215" i="61"/>
  <c r="J215" i="61"/>
  <c r="K215" i="61"/>
  <c r="L215" i="61"/>
  <c r="M215" i="61"/>
  <c r="N215" i="61"/>
  <c r="O215" i="61"/>
  <c r="P215" i="61"/>
  <c r="Q215" i="61"/>
  <c r="R215" i="61"/>
  <c r="S215" i="61"/>
  <c r="T215" i="61"/>
  <c r="U215" i="61"/>
  <c r="V215" i="61"/>
  <c r="W215" i="61"/>
  <c r="X215" i="61"/>
  <c r="Y215" i="61"/>
  <c r="Z215" i="61"/>
  <c r="AA215" i="61"/>
  <c r="AB215" i="61"/>
  <c r="AC215" i="61"/>
  <c r="AD215" i="61"/>
  <c r="AE215" i="61"/>
  <c r="AF215" i="61"/>
  <c r="AG215" i="61"/>
  <c r="AH215" i="61"/>
  <c r="AI215" i="61"/>
  <c r="AJ215" i="61"/>
  <c r="AK215" i="61"/>
  <c r="AL215" i="61"/>
  <c r="AM215" i="61"/>
  <c r="AN215" i="61"/>
  <c r="AO215" i="61"/>
  <c r="AP215" i="61"/>
  <c r="AQ215" i="61"/>
  <c r="AR215" i="61"/>
  <c r="AS215" i="61"/>
  <c r="AT215" i="61"/>
  <c r="AU215" i="61"/>
  <c r="AV215" i="61"/>
  <c r="AW215" i="61"/>
  <c r="AX215" i="61"/>
  <c r="AY215" i="61"/>
  <c r="AZ215" i="61"/>
  <c r="BA215" i="61"/>
  <c r="BB215" i="61"/>
  <c r="BC215" i="61"/>
  <c r="BD215" i="61"/>
  <c r="BQ215" i="61" s="1"/>
  <c r="J217" i="61"/>
  <c r="R217" i="61"/>
  <c r="Z217" i="61"/>
  <c r="AP217" i="61"/>
  <c r="AX217" i="61"/>
  <c r="AF218" i="61"/>
  <c r="AP219" i="61"/>
  <c r="AX219" i="61"/>
  <c r="H220" i="61"/>
  <c r="P220" i="61"/>
  <c r="X220" i="61"/>
  <c r="AF220" i="61"/>
  <c r="J221" i="61"/>
  <c r="R221" i="61"/>
  <c r="Z221" i="61"/>
  <c r="AP221" i="61"/>
  <c r="AX221" i="61"/>
  <c r="F222" i="61"/>
  <c r="G222" i="61"/>
  <c r="H222" i="61"/>
  <c r="I222" i="61"/>
  <c r="J222" i="61"/>
  <c r="K222" i="61"/>
  <c r="L222" i="61"/>
  <c r="M222" i="61"/>
  <c r="N222" i="61"/>
  <c r="O222" i="61"/>
  <c r="P222" i="61"/>
  <c r="Q222" i="61"/>
  <c r="R222" i="61"/>
  <c r="S222" i="61"/>
  <c r="T222" i="61"/>
  <c r="U222" i="61"/>
  <c r="V222" i="61"/>
  <c r="W222" i="61"/>
  <c r="X222" i="61"/>
  <c r="Y222" i="61"/>
  <c r="Z222" i="61"/>
  <c r="AA222" i="61"/>
  <c r="AB222" i="61"/>
  <c r="AC222" i="61"/>
  <c r="AD222" i="61"/>
  <c r="AE222" i="61"/>
  <c r="AF222" i="61"/>
  <c r="AG222" i="61"/>
  <c r="AH222" i="61"/>
  <c r="AI222" i="61"/>
  <c r="AJ222" i="61"/>
  <c r="AK222" i="61"/>
  <c r="AL222" i="61"/>
  <c r="AM222" i="61"/>
  <c r="AN222" i="61"/>
  <c r="AO222" i="61"/>
  <c r="AP222" i="61"/>
  <c r="AQ222" i="61"/>
  <c r="AR222" i="61"/>
  <c r="AS222" i="61"/>
  <c r="AT222" i="61"/>
  <c r="AU222" i="61"/>
  <c r="AV222" i="61"/>
  <c r="AW222" i="61"/>
  <c r="AX222" i="61"/>
  <c r="AY222" i="61"/>
  <c r="AZ222" i="61"/>
  <c r="BA222" i="61"/>
  <c r="BB222" i="61"/>
  <c r="BC222" i="61"/>
  <c r="BD222" i="61"/>
  <c r="BQ222" i="61" s="1"/>
  <c r="H224" i="61"/>
  <c r="P224" i="61"/>
  <c r="X224" i="61"/>
  <c r="AF224" i="61"/>
  <c r="F225" i="61"/>
  <c r="N225" i="61"/>
  <c r="V225" i="61"/>
  <c r="AD225" i="61"/>
  <c r="L226" i="61"/>
  <c r="T226" i="61"/>
  <c r="AB226" i="61"/>
  <c r="L227" i="61"/>
  <c r="T227" i="61"/>
  <c r="AB227" i="61"/>
  <c r="J229" i="61"/>
  <c r="R229" i="61"/>
  <c r="Z229" i="61"/>
  <c r="AP229" i="61"/>
  <c r="AX229" i="61"/>
  <c r="H230" i="61"/>
  <c r="P230" i="61"/>
  <c r="X230" i="61"/>
  <c r="AF230" i="61"/>
  <c r="AX233" i="61"/>
  <c r="BB233" i="61"/>
  <c r="G234" i="61"/>
  <c r="H234" i="61"/>
  <c r="I234" i="61"/>
  <c r="J234" i="61"/>
  <c r="K234" i="61"/>
  <c r="L234" i="61"/>
  <c r="M234" i="61"/>
  <c r="N234" i="61"/>
  <c r="O234" i="61"/>
  <c r="P234" i="61"/>
  <c r="Q234" i="61"/>
  <c r="R234" i="61"/>
  <c r="S234" i="61"/>
  <c r="T234" i="61"/>
  <c r="U234" i="61"/>
  <c r="V234" i="61"/>
  <c r="W234" i="61"/>
  <c r="X234" i="61"/>
  <c r="Y234" i="61"/>
  <c r="Z234" i="61"/>
  <c r="AA234" i="61"/>
  <c r="AB234" i="61"/>
  <c r="AC234" i="61"/>
  <c r="AD234" i="61"/>
  <c r="AE234" i="61"/>
  <c r="AF234" i="61"/>
  <c r="AG234" i="61"/>
  <c r="AH234" i="61"/>
  <c r="AI234" i="61"/>
  <c r="AJ234" i="61"/>
  <c r="AK234" i="61"/>
  <c r="AL234" i="61"/>
  <c r="AM234" i="61"/>
  <c r="AN234" i="61"/>
  <c r="AO234" i="61"/>
  <c r="AP234" i="61"/>
  <c r="AQ234" i="61"/>
  <c r="AR234" i="61"/>
  <c r="AS234" i="61"/>
  <c r="AT234" i="61"/>
  <c r="AU234" i="61"/>
  <c r="AV234" i="61"/>
  <c r="AW234" i="61"/>
  <c r="AX234" i="61"/>
  <c r="AY234" i="61"/>
  <c r="AZ234" i="61"/>
  <c r="BA234" i="61"/>
  <c r="BB234" i="61"/>
  <c r="F235" i="61"/>
  <c r="F193" i="61" s="1"/>
  <c r="G235" i="61"/>
  <c r="H235" i="61"/>
  <c r="I235" i="61"/>
  <c r="J235" i="61"/>
  <c r="J193" i="61" s="1"/>
  <c r="K235" i="61"/>
  <c r="L235" i="61"/>
  <c r="M235" i="61"/>
  <c r="N235" i="61"/>
  <c r="N193" i="61" s="1"/>
  <c r="O235" i="61"/>
  <c r="P235" i="61"/>
  <c r="Q235" i="61"/>
  <c r="R235" i="61"/>
  <c r="R193" i="61" s="1"/>
  <c r="S235" i="61"/>
  <c r="T235" i="61"/>
  <c r="U235" i="61"/>
  <c r="V235" i="61"/>
  <c r="V193" i="61" s="1"/>
  <c r="W235" i="61"/>
  <c r="X235" i="61"/>
  <c r="Y235" i="61"/>
  <c r="Z235" i="61"/>
  <c r="Z193" i="61" s="1"/>
  <c r="AA235" i="61"/>
  <c r="AB235" i="61"/>
  <c r="AC235" i="61"/>
  <c r="AD235" i="61"/>
  <c r="AD193" i="61" s="1"/>
  <c r="AE235" i="61"/>
  <c r="AF235" i="61"/>
  <c r="AF217" i="61" s="1"/>
  <c r="AF141" i="61"/>
  <c r="AG235" i="61"/>
  <c r="AH235" i="61"/>
  <c r="AI235" i="61"/>
  <c r="AJ235" i="61"/>
  <c r="AK235" i="61"/>
  <c r="AL235" i="61"/>
  <c r="AL193" i="61" s="1"/>
  <c r="AM235" i="61"/>
  <c r="AM141" i="61" s="1"/>
  <c r="AN235" i="61"/>
  <c r="AN217" i="61" s="1"/>
  <c r="AO235" i="61"/>
  <c r="AP235" i="61"/>
  <c r="AP193" i="61" s="1"/>
  <c r="AP141" i="61"/>
  <c r="AQ235" i="61"/>
  <c r="AR235" i="61"/>
  <c r="AS235" i="61"/>
  <c r="AT235" i="61"/>
  <c r="AU235" i="61"/>
  <c r="AV235" i="61"/>
  <c r="AV217" i="61" s="1"/>
  <c r="AW235" i="61"/>
  <c r="AX235" i="61"/>
  <c r="AX193" i="61" s="1"/>
  <c r="AX141" i="61"/>
  <c r="AY235" i="61"/>
  <c r="AZ235" i="61"/>
  <c r="BA235" i="61"/>
  <c r="BB235" i="61"/>
  <c r="BB227" i="61" s="1"/>
  <c r="BC235" i="61"/>
  <c r="BC141" i="61" s="1"/>
  <c r="BD235" i="61"/>
  <c r="BD218" i="61" s="1"/>
  <c r="BQ218" i="61" s="1"/>
  <c r="F241" i="61"/>
  <c r="G241" i="61"/>
  <c r="H241" i="61"/>
  <c r="I241" i="61"/>
  <c r="J241" i="61"/>
  <c r="K241" i="61"/>
  <c r="L241" i="61"/>
  <c r="M241" i="61"/>
  <c r="N241" i="61"/>
  <c r="O241" i="61"/>
  <c r="P241" i="61"/>
  <c r="Q241" i="61"/>
  <c r="R241" i="61"/>
  <c r="S241" i="61"/>
  <c r="T241" i="61"/>
  <c r="U241" i="61"/>
  <c r="V241" i="61"/>
  <c r="W241" i="61"/>
  <c r="X241" i="61"/>
  <c r="Y241" i="61"/>
  <c r="Z241" i="61"/>
  <c r="AA241" i="61"/>
  <c r="AB241" i="61"/>
  <c r="AC241" i="61"/>
  <c r="AD241" i="61"/>
  <c r="AE241" i="61"/>
  <c r="AF241" i="61"/>
  <c r="AG241" i="61"/>
  <c r="AH241" i="61"/>
  <c r="AI241" i="61"/>
  <c r="AJ241" i="61"/>
  <c r="AK241" i="61"/>
  <c r="AL241" i="61"/>
  <c r="AM241" i="61"/>
  <c r="AN241" i="61"/>
  <c r="AO241" i="61"/>
  <c r="AP241" i="61"/>
  <c r="AQ241" i="61"/>
  <c r="AR241" i="61"/>
  <c r="AS241" i="61"/>
  <c r="AT241" i="61"/>
  <c r="AU241" i="61"/>
  <c r="AV241" i="61"/>
  <c r="AW241" i="61"/>
  <c r="AX241" i="61"/>
  <c r="AY241" i="61"/>
  <c r="AZ241" i="61"/>
  <c r="BA241" i="61"/>
  <c r="BB241" i="61"/>
  <c r="BC241" i="61"/>
  <c r="BD241" i="61"/>
  <c r="BQ241" i="61" s="1"/>
  <c r="F242" i="61"/>
  <c r="G242" i="61"/>
  <c r="H242" i="61"/>
  <c r="I242" i="61"/>
  <c r="J242" i="61"/>
  <c r="K242" i="61"/>
  <c r="L242" i="61"/>
  <c r="M242" i="61"/>
  <c r="N242" i="61"/>
  <c r="O242" i="61"/>
  <c r="P242" i="61"/>
  <c r="Q242" i="61"/>
  <c r="R242" i="61"/>
  <c r="S242" i="61"/>
  <c r="T242" i="61"/>
  <c r="U242" i="61"/>
  <c r="V242" i="61"/>
  <c r="W242" i="61"/>
  <c r="X242" i="61"/>
  <c r="Y242" i="61"/>
  <c r="Z242" i="61"/>
  <c r="AA242" i="61"/>
  <c r="AB242" i="61"/>
  <c r="AC242" i="61"/>
  <c r="AD242" i="61"/>
  <c r="AE242" i="61"/>
  <c r="AF242" i="61"/>
  <c r="AG242" i="61"/>
  <c r="AH242" i="61"/>
  <c r="AI242" i="61"/>
  <c r="AJ242" i="61"/>
  <c r="AK242" i="61"/>
  <c r="AL242" i="61"/>
  <c r="AM242" i="61"/>
  <c r="AN242" i="61"/>
  <c r="AO242" i="61"/>
  <c r="AP242" i="61"/>
  <c r="AQ242" i="61"/>
  <c r="AR242" i="61"/>
  <c r="AS242" i="61"/>
  <c r="AT242" i="61"/>
  <c r="AU242" i="61"/>
  <c r="AV242" i="61"/>
  <c r="AW242" i="61"/>
  <c r="AX242" i="61"/>
  <c r="AY242" i="61"/>
  <c r="AZ242" i="61"/>
  <c r="BA242" i="61"/>
  <c r="BB242" i="61"/>
  <c r="BC242" i="61"/>
  <c r="BD242" i="61"/>
  <c r="BQ242" i="61" s="1"/>
  <c r="F243" i="61"/>
  <c r="G243" i="61"/>
  <c r="H243" i="61"/>
  <c r="I243" i="61"/>
  <c r="J243" i="61"/>
  <c r="K243" i="61"/>
  <c r="L243" i="61"/>
  <c r="M243" i="61"/>
  <c r="N243" i="61"/>
  <c r="O243" i="61"/>
  <c r="P243" i="61"/>
  <c r="Q243" i="61"/>
  <c r="R243" i="61"/>
  <c r="S243" i="61"/>
  <c r="T243" i="61"/>
  <c r="U243" i="61"/>
  <c r="V243" i="61"/>
  <c r="W243" i="61"/>
  <c r="X243" i="61"/>
  <c r="Y243" i="61"/>
  <c r="Z243" i="61"/>
  <c r="AA243" i="61"/>
  <c r="AB243" i="61"/>
  <c r="AC243" i="61"/>
  <c r="AD243" i="61"/>
  <c r="AE243" i="61"/>
  <c r="AF243" i="61"/>
  <c r="AG243" i="61"/>
  <c r="AH243" i="61"/>
  <c r="AI243" i="61"/>
  <c r="AJ243" i="61"/>
  <c r="AK243" i="61"/>
  <c r="AL243" i="61"/>
  <c r="AM243" i="61"/>
  <c r="AN243" i="61"/>
  <c r="AO243" i="61"/>
  <c r="AP243" i="61"/>
  <c r="AQ243" i="61"/>
  <c r="AR243" i="61"/>
  <c r="AS243" i="61"/>
  <c r="AT243" i="61"/>
  <c r="AU243" i="61"/>
  <c r="AV243" i="61"/>
  <c r="AW243" i="61"/>
  <c r="AX243" i="61"/>
  <c r="AY243" i="61"/>
  <c r="AZ243" i="61"/>
  <c r="BA243" i="61"/>
  <c r="BB243" i="61"/>
  <c r="BC243" i="61"/>
  <c r="BD243" i="61"/>
  <c r="BQ243" i="61" s="1"/>
  <c r="F244" i="61"/>
  <c r="G244" i="61"/>
  <c r="H244" i="61"/>
  <c r="I244" i="61"/>
  <c r="J244" i="61"/>
  <c r="K244" i="61"/>
  <c r="L244" i="61"/>
  <c r="M244" i="61"/>
  <c r="N244" i="61"/>
  <c r="O244" i="61"/>
  <c r="P244" i="61"/>
  <c r="Q244" i="61"/>
  <c r="R244" i="61"/>
  <c r="S244" i="61"/>
  <c r="T244" i="61"/>
  <c r="U244" i="61"/>
  <c r="V244" i="61"/>
  <c r="W244" i="61"/>
  <c r="X244" i="61"/>
  <c r="Y244" i="61"/>
  <c r="Z244" i="61"/>
  <c r="AA244" i="61"/>
  <c r="AB244" i="61"/>
  <c r="AC244" i="61"/>
  <c r="AD244" i="61"/>
  <c r="AE244" i="61"/>
  <c r="AF244" i="61"/>
  <c r="AG244" i="61"/>
  <c r="AH244" i="61"/>
  <c r="AI244" i="61"/>
  <c r="AJ244" i="61"/>
  <c r="AK244" i="61"/>
  <c r="AL244" i="61"/>
  <c r="AM244" i="61"/>
  <c r="AN244" i="61"/>
  <c r="AO244" i="61"/>
  <c r="AP244" i="61"/>
  <c r="AQ244" i="61"/>
  <c r="AR244" i="61"/>
  <c r="AS244" i="61"/>
  <c r="AT244" i="61"/>
  <c r="AU244" i="61"/>
  <c r="AV244" i="61"/>
  <c r="AW244" i="61"/>
  <c r="AX244" i="61"/>
  <c r="AY244" i="61"/>
  <c r="AZ244" i="61"/>
  <c r="BA244" i="61"/>
  <c r="BB244" i="61"/>
  <c r="BC244" i="61"/>
  <c r="BD244" i="61"/>
  <c r="BQ244" i="61"/>
  <c r="BQ245" i="61"/>
  <c r="BR245" i="61"/>
  <c r="BS245" i="61"/>
  <c r="BT245" i="61"/>
  <c r="BU245" i="61"/>
  <c r="BV245" i="61"/>
  <c r="BW245" i="61"/>
  <c r="BX245" i="61"/>
  <c r="BY245" i="61"/>
  <c r="BZ245" i="61"/>
  <c r="CA245" i="61"/>
  <c r="CB245" i="61"/>
  <c r="F247" i="61"/>
  <c r="G247" i="61"/>
  <c r="H247" i="61"/>
  <c r="I247" i="61"/>
  <c r="J247" i="61"/>
  <c r="K247" i="61"/>
  <c r="L247" i="61"/>
  <c r="M247" i="61"/>
  <c r="N247" i="61"/>
  <c r="O247" i="61"/>
  <c r="P247" i="61"/>
  <c r="Q247" i="61"/>
  <c r="R247" i="61"/>
  <c r="S247" i="61"/>
  <c r="T247" i="61"/>
  <c r="U247" i="61"/>
  <c r="V247" i="61"/>
  <c r="W247" i="61"/>
  <c r="X247" i="61"/>
  <c r="Y247" i="61"/>
  <c r="Z247" i="61"/>
  <c r="AA247" i="61"/>
  <c r="AB247" i="61"/>
  <c r="AC247" i="61"/>
  <c r="AD247" i="61"/>
  <c r="AE247" i="61"/>
  <c r="AF247" i="61"/>
  <c r="AG247" i="61"/>
  <c r="AH247" i="61"/>
  <c r="AI247" i="61"/>
  <c r="AJ247" i="61"/>
  <c r="AK247" i="61"/>
  <c r="AL247" i="61"/>
  <c r="AM247" i="61"/>
  <c r="AN247" i="61"/>
  <c r="AO247" i="61"/>
  <c r="AP247" i="61"/>
  <c r="AQ247" i="61"/>
  <c r="AR247" i="61"/>
  <c r="AS247" i="61"/>
  <c r="AT247" i="61"/>
  <c r="AU247" i="61"/>
  <c r="AV247" i="61"/>
  <c r="AW247" i="61"/>
  <c r="AX247" i="61"/>
  <c r="AY247" i="61"/>
  <c r="AZ247" i="61"/>
  <c r="BA247" i="61"/>
  <c r="BB247" i="61"/>
  <c r="BC247" i="61"/>
  <c r="BD247" i="61"/>
  <c r="BQ247" i="61" s="1"/>
  <c r="F248" i="61"/>
  <c r="G248" i="61"/>
  <c r="H248" i="61"/>
  <c r="H254" i="61" s="1"/>
  <c r="I248" i="61"/>
  <c r="J248" i="61"/>
  <c r="K248" i="61"/>
  <c r="L248" i="61"/>
  <c r="M248" i="61"/>
  <c r="N248" i="61"/>
  <c r="O248" i="61"/>
  <c r="P248" i="61"/>
  <c r="P254" i="61" s="1"/>
  <c r="Q248" i="61"/>
  <c r="R248" i="61"/>
  <c r="S248" i="61"/>
  <c r="T248" i="61"/>
  <c r="U248" i="61"/>
  <c r="V248" i="61"/>
  <c r="W248" i="61"/>
  <c r="X248" i="61"/>
  <c r="X254" i="61" s="1"/>
  <c r="Y248" i="61"/>
  <c r="Z248" i="61"/>
  <c r="AA248" i="61"/>
  <c r="AB248" i="61"/>
  <c r="AC248" i="61"/>
  <c r="AD248" i="61"/>
  <c r="AE248" i="61"/>
  <c r="AF248" i="61"/>
  <c r="AF254" i="61" s="1"/>
  <c r="AG248" i="61"/>
  <c r="AH248" i="61"/>
  <c r="AI248" i="61"/>
  <c r="AJ248" i="61"/>
  <c r="AK248" i="61"/>
  <c r="AL248" i="61"/>
  <c r="AM248" i="61"/>
  <c r="AN248" i="61"/>
  <c r="AN254" i="61" s="1"/>
  <c r="AO248" i="61"/>
  <c r="AP248" i="61"/>
  <c r="AQ248" i="61"/>
  <c r="AR248" i="61"/>
  <c r="AS248" i="61"/>
  <c r="AT248" i="61"/>
  <c r="AU248" i="61"/>
  <c r="AV248" i="61"/>
  <c r="AV254" i="61" s="1"/>
  <c r="AW248" i="61"/>
  <c r="AX248" i="61"/>
  <c r="AY248" i="61"/>
  <c r="AZ248" i="61"/>
  <c r="BA248" i="61"/>
  <c r="BB248" i="61"/>
  <c r="F249" i="61"/>
  <c r="G249" i="61"/>
  <c r="H249" i="61"/>
  <c r="I249" i="61"/>
  <c r="J249" i="61"/>
  <c r="K249" i="61"/>
  <c r="L249" i="61"/>
  <c r="M249" i="61"/>
  <c r="N249" i="61"/>
  <c r="O249" i="61"/>
  <c r="P249" i="61"/>
  <c r="Q249" i="61"/>
  <c r="R249" i="61"/>
  <c r="S249" i="61"/>
  <c r="T249" i="61"/>
  <c r="U249" i="61"/>
  <c r="V249" i="61"/>
  <c r="W249" i="61"/>
  <c r="X249" i="61"/>
  <c r="Y249" i="61"/>
  <c r="Z249" i="61"/>
  <c r="AA249" i="61"/>
  <c r="AB249" i="61"/>
  <c r="AC249" i="61"/>
  <c r="AD249" i="61"/>
  <c r="AE249" i="61"/>
  <c r="AF249" i="61"/>
  <c r="AG249" i="61"/>
  <c r="AH249" i="61"/>
  <c r="AI249" i="61"/>
  <c r="AJ249" i="61"/>
  <c r="AK249" i="61"/>
  <c r="AL249" i="61"/>
  <c r="AM249" i="61"/>
  <c r="AN249" i="61"/>
  <c r="AO249" i="61"/>
  <c r="AP249" i="61"/>
  <c r="AQ249" i="61"/>
  <c r="AR249" i="61"/>
  <c r="AS249" i="61"/>
  <c r="AT249" i="61"/>
  <c r="AU249" i="61"/>
  <c r="AV249" i="61"/>
  <c r="AW249" i="61"/>
  <c r="AX249" i="61"/>
  <c r="AY249" i="61"/>
  <c r="AZ249" i="61"/>
  <c r="BA249" i="61"/>
  <c r="BB249" i="61"/>
  <c r="F250" i="61"/>
  <c r="G250" i="61"/>
  <c r="H250" i="61"/>
  <c r="I250" i="61"/>
  <c r="J250" i="61"/>
  <c r="K250" i="61"/>
  <c r="L250" i="61"/>
  <c r="M250" i="61"/>
  <c r="N250" i="61"/>
  <c r="O250" i="61"/>
  <c r="P250" i="61"/>
  <c r="Q250" i="61"/>
  <c r="R250" i="61"/>
  <c r="S250" i="61"/>
  <c r="T250" i="61"/>
  <c r="U250" i="61"/>
  <c r="V250" i="61"/>
  <c r="W250" i="61"/>
  <c r="X250" i="61"/>
  <c r="Y250" i="61"/>
  <c r="Z250" i="61"/>
  <c r="AA250" i="61"/>
  <c r="AB250" i="61"/>
  <c r="AC250" i="61"/>
  <c r="AD250" i="61"/>
  <c r="AE250" i="61"/>
  <c r="AF250" i="61"/>
  <c r="AG250" i="61"/>
  <c r="AH250" i="61"/>
  <c r="AI250" i="61"/>
  <c r="AJ250" i="61"/>
  <c r="AK250" i="61"/>
  <c r="AL250" i="61"/>
  <c r="AM250" i="61"/>
  <c r="AN250" i="61"/>
  <c r="AO250" i="61"/>
  <c r="AP250" i="61"/>
  <c r="AQ250" i="61"/>
  <c r="AR250" i="61"/>
  <c r="AS250" i="61"/>
  <c r="AT250" i="61"/>
  <c r="AU250" i="61"/>
  <c r="AV250" i="61"/>
  <c r="AW250" i="61"/>
  <c r="AX250" i="61"/>
  <c r="AY250" i="61"/>
  <c r="AZ250" i="61"/>
  <c r="BA250" i="61"/>
  <c r="BB250" i="61"/>
  <c r="BC250" i="61"/>
  <c r="BD250" i="61"/>
  <c r="BQ250" i="61" s="1"/>
  <c r="F251" i="61"/>
  <c r="G251" i="61"/>
  <c r="H251" i="61"/>
  <c r="I251" i="61"/>
  <c r="J251" i="61"/>
  <c r="K251" i="61"/>
  <c r="L251" i="61"/>
  <c r="M251" i="61"/>
  <c r="N251" i="61"/>
  <c r="O251" i="61"/>
  <c r="P251" i="61"/>
  <c r="Q251" i="61"/>
  <c r="R251" i="61"/>
  <c r="S251" i="61"/>
  <c r="T251" i="61"/>
  <c r="U251" i="61"/>
  <c r="V251" i="61"/>
  <c r="W251" i="61"/>
  <c r="X251" i="61"/>
  <c r="Y251" i="61"/>
  <c r="Z251" i="61"/>
  <c r="AA251" i="61"/>
  <c r="AB251" i="61"/>
  <c r="AC251" i="61"/>
  <c r="AD251" i="61"/>
  <c r="AE251" i="61"/>
  <c r="AF251" i="61"/>
  <c r="AG251" i="61"/>
  <c r="AH251" i="61"/>
  <c r="AI251" i="61"/>
  <c r="AJ251" i="61"/>
  <c r="AK251" i="61"/>
  <c r="AL251" i="61"/>
  <c r="AM251" i="61"/>
  <c r="AN251" i="61"/>
  <c r="AO251" i="61"/>
  <c r="AP251" i="61"/>
  <c r="AQ251" i="61"/>
  <c r="AR251" i="61"/>
  <c r="AS251" i="61"/>
  <c r="AT251" i="61"/>
  <c r="AU251" i="61"/>
  <c r="AV251" i="61"/>
  <c r="AW251" i="61"/>
  <c r="AX251" i="61"/>
  <c r="AY251" i="61"/>
  <c r="AZ251" i="61"/>
  <c r="BA251" i="61"/>
  <c r="BB251" i="61"/>
  <c r="BC251" i="61"/>
  <c r="BD251" i="61"/>
  <c r="BQ251" i="61" s="1"/>
  <c r="F252" i="61"/>
  <c r="G252" i="61"/>
  <c r="H252" i="61"/>
  <c r="I252" i="61"/>
  <c r="J252" i="61"/>
  <c r="K252" i="61"/>
  <c r="L252" i="61"/>
  <c r="M252" i="61"/>
  <c r="N252" i="61"/>
  <c r="O252" i="61"/>
  <c r="P252" i="61"/>
  <c r="Q252" i="61"/>
  <c r="R252" i="61"/>
  <c r="S252" i="61"/>
  <c r="T252" i="61"/>
  <c r="U252" i="61"/>
  <c r="V252" i="61"/>
  <c r="W252" i="61"/>
  <c r="X252" i="61"/>
  <c r="Y252" i="61"/>
  <c r="Z252" i="61"/>
  <c r="AA252" i="61"/>
  <c r="AB252" i="61"/>
  <c r="AC252" i="61"/>
  <c r="AD252" i="61"/>
  <c r="AE252" i="61"/>
  <c r="AF252" i="61"/>
  <c r="AG252" i="61"/>
  <c r="AH252" i="61"/>
  <c r="AI252" i="61"/>
  <c r="AJ252" i="61"/>
  <c r="AK252" i="61"/>
  <c r="AL252" i="61"/>
  <c r="AM252" i="61"/>
  <c r="AN252" i="61"/>
  <c r="AO252" i="61"/>
  <c r="AP252" i="61"/>
  <c r="AQ252" i="61"/>
  <c r="AR252" i="61"/>
  <c r="AS252" i="61"/>
  <c r="AT252" i="61"/>
  <c r="AU252" i="61"/>
  <c r="AV252" i="61"/>
  <c r="AW252" i="61"/>
  <c r="AX252" i="61"/>
  <c r="AY252" i="61"/>
  <c r="AZ252" i="61"/>
  <c r="BA252" i="61"/>
  <c r="BB252" i="61"/>
  <c r="BC252" i="61"/>
  <c r="BD252" i="61"/>
  <c r="BQ252" i="61" s="1"/>
  <c r="BQ253" i="61"/>
  <c r="BR253" i="61"/>
  <c r="BS253" i="61"/>
  <c r="BT253" i="61"/>
  <c r="BU253" i="61"/>
  <c r="BV253" i="61"/>
  <c r="BW253" i="61"/>
  <c r="BX253" i="61"/>
  <c r="BY253" i="61"/>
  <c r="BZ253" i="61"/>
  <c r="CA253" i="61"/>
  <c r="CB253" i="61"/>
  <c r="L254" i="61"/>
  <c r="T254" i="61"/>
  <c r="AB254" i="61"/>
  <c r="AJ254" i="61"/>
  <c r="AR254" i="61"/>
  <c r="AZ254" i="61"/>
  <c r="F255" i="61"/>
  <c r="G255" i="61"/>
  <c r="H255" i="61"/>
  <c r="I255" i="61"/>
  <c r="J255" i="61"/>
  <c r="K255" i="61"/>
  <c r="L255" i="61"/>
  <c r="M255" i="61"/>
  <c r="N255" i="61"/>
  <c r="O255" i="61"/>
  <c r="P255" i="61"/>
  <c r="Q255" i="61"/>
  <c r="R255" i="61"/>
  <c r="S255" i="61"/>
  <c r="T255" i="61"/>
  <c r="U255" i="61"/>
  <c r="V255" i="61"/>
  <c r="W255" i="61"/>
  <c r="X255" i="61"/>
  <c r="Y255" i="61"/>
  <c r="Z255" i="61"/>
  <c r="AA255" i="61"/>
  <c r="AB255" i="61"/>
  <c r="AC255" i="61"/>
  <c r="AD255" i="61"/>
  <c r="AE255" i="61"/>
  <c r="AF255" i="61"/>
  <c r="AG255" i="61"/>
  <c r="AH255" i="61"/>
  <c r="AI255" i="61"/>
  <c r="AJ255" i="61"/>
  <c r="AK255" i="61"/>
  <c r="AL255" i="61"/>
  <c r="AM255" i="61"/>
  <c r="AN255" i="61"/>
  <c r="AO255" i="61"/>
  <c r="AP255" i="61"/>
  <c r="AQ255" i="61"/>
  <c r="AR255" i="61"/>
  <c r="AS255" i="61"/>
  <c r="AT255" i="61"/>
  <c r="AU255" i="61"/>
  <c r="AV255" i="61"/>
  <c r="AW255" i="61"/>
  <c r="AX255" i="61"/>
  <c r="AY255" i="61"/>
  <c r="AZ255" i="61"/>
  <c r="BA255" i="61"/>
  <c r="BB255" i="61"/>
  <c r="BC255" i="61"/>
  <c r="BD255" i="61"/>
  <c r="BQ255" i="61" s="1"/>
  <c r="G258" i="61"/>
  <c r="I258" i="61"/>
  <c r="K258" i="61"/>
  <c r="M258" i="61"/>
  <c r="O258" i="61"/>
  <c r="Q258" i="61"/>
  <c r="S258" i="61"/>
  <c r="U258" i="61"/>
  <c r="W258" i="61"/>
  <c r="Y258" i="61"/>
  <c r="AA258" i="61"/>
  <c r="AC258" i="61"/>
  <c r="AE258" i="61"/>
  <c r="AG258" i="61"/>
  <c r="AI258" i="61"/>
  <c r="AK258" i="61"/>
  <c r="AM258" i="61"/>
  <c r="AO258" i="61"/>
  <c r="AQ258" i="61"/>
  <c r="AS258" i="61"/>
  <c r="AU258" i="61"/>
  <c r="AY258" i="61"/>
  <c r="BA258" i="61"/>
  <c r="G259" i="61"/>
  <c r="I259" i="61"/>
  <c r="K259" i="61"/>
  <c r="M259" i="61"/>
  <c r="O259" i="61"/>
  <c r="Q259" i="61"/>
  <c r="S259" i="61"/>
  <c r="U259" i="61"/>
  <c r="W259" i="61"/>
  <c r="Y259" i="61"/>
  <c r="AA259" i="61"/>
  <c r="AC259" i="61"/>
  <c r="AE259" i="61"/>
  <c r="AG259" i="61"/>
  <c r="AI259" i="61"/>
  <c r="AK259" i="61"/>
  <c r="AM259" i="61"/>
  <c r="AO259" i="61"/>
  <c r="AQ259" i="61"/>
  <c r="AS259" i="61"/>
  <c r="AU259" i="61"/>
  <c r="AY259" i="61"/>
  <c r="BA259" i="61"/>
  <c r="G260" i="61"/>
  <c r="I260" i="61"/>
  <c r="K260" i="61"/>
  <c r="M260" i="61"/>
  <c r="O260" i="61"/>
  <c r="Q260" i="61"/>
  <c r="S260" i="61"/>
  <c r="U260" i="61"/>
  <c r="W260" i="61"/>
  <c r="Y260" i="61"/>
  <c r="AA260" i="61"/>
  <c r="AC260" i="61"/>
  <c r="AE260" i="61"/>
  <c r="AG260" i="61"/>
  <c r="AI260" i="61"/>
  <c r="AK260" i="61"/>
  <c r="AM260" i="61"/>
  <c r="AO260" i="61"/>
  <c r="AQ260" i="61"/>
  <c r="AS260" i="61"/>
  <c r="AU260" i="61"/>
  <c r="AY260" i="61"/>
  <c r="BA260" i="61"/>
  <c r="G261" i="61"/>
  <c r="I261" i="61"/>
  <c r="K261" i="61"/>
  <c r="M261" i="61"/>
  <c r="O261" i="61"/>
  <c r="Q261" i="61"/>
  <c r="S261" i="61"/>
  <c r="U261" i="61"/>
  <c r="W261" i="61"/>
  <c r="Y261" i="61"/>
  <c r="AA261" i="61"/>
  <c r="AC261" i="61"/>
  <c r="AE261" i="61"/>
  <c r="AG261" i="61"/>
  <c r="AI261" i="61"/>
  <c r="AK261" i="61"/>
  <c r="AM261" i="61"/>
  <c r="AO261" i="61"/>
  <c r="AQ261" i="61"/>
  <c r="AS261" i="61"/>
  <c r="AU261" i="61"/>
  <c r="AY261" i="61"/>
  <c r="BA261" i="61"/>
  <c r="A4" i="64"/>
  <c r="C4" i="64"/>
  <c r="C5" i="64"/>
  <c r="BF5" i="64"/>
  <c r="C6" i="64"/>
  <c r="A7" i="64"/>
  <c r="C7" i="64"/>
  <c r="A8" i="64"/>
  <c r="C8" i="64"/>
  <c r="A9" i="64"/>
  <c r="C9" i="64"/>
  <c r="C10" i="64"/>
  <c r="A11" i="64"/>
  <c r="C11" i="64"/>
  <c r="A12" i="64"/>
  <c r="C12" i="64"/>
  <c r="A13" i="64"/>
  <c r="C13" i="64"/>
  <c r="C14" i="64"/>
  <c r="AD34" i="64"/>
  <c r="AE34" i="64"/>
  <c r="AF34" i="64"/>
  <c r="AG34" i="64"/>
  <c r="AI34" i="64"/>
  <c r="AK34" i="64"/>
  <c r="AL34" i="64"/>
  <c r="AM34" i="64"/>
  <c r="AN34" i="64"/>
  <c r="AO34" i="64"/>
  <c r="AP34" i="64"/>
  <c r="AQ34" i="64"/>
  <c r="AS34" i="64"/>
  <c r="AU34" i="64"/>
  <c r="AV34" i="64"/>
  <c r="AW34" i="64"/>
  <c r="AX34" i="64"/>
  <c r="AY34" i="64"/>
  <c r="BA34" i="64"/>
  <c r="BC34" i="64"/>
  <c r="C1" i="63"/>
  <c r="C10" i="63"/>
  <c r="K4" i="69"/>
  <c r="K5" i="69"/>
  <c r="K6" i="69"/>
  <c r="K7" i="69"/>
  <c r="K8" i="69"/>
  <c r="K9" i="69"/>
  <c r="K10" i="69"/>
  <c r="K11" i="69"/>
  <c r="G13" i="69"/>
  <c r="I13" i="69"/>
  <c r="K13" i="69"/>
  <c r="L13" i="69" s="1"/>
  <c r="G14" i="69"/>
  <c r="I14" i="69"/>
  <c r="K14" i="69"/>
  <c r="L14" i="69" s="1"/>
  <c r="G15" i="69"/>
  <c r="I15" i="69"/>
  <c r="K15" i="69"/>
  <c r="L15" i="69" s="1"/>
  <c r="G16" i="69"/>
  <c r="I16" i="69"/>
  <c r="K16" i="69"/>
  <c r="L16" i="69" s="1"/>
  <c r="G17" i="69"/>
  <c r="I17" i="69"/>
  <c r="K17" i="69"/>
  <c r="L17" i="69" s="1"/>
  <c r="G18" i="69"/>
  <c r="I18" i="69"/>
  <c r="K18" i="69"/>
  <c r="L18" i="69" s="1"/>
  <c r="G19" i="69"/>
  <c r="I19" i="69"/>
  <c r="K19" i="69"/>
  <c r="L19" i="69" s="1"/>
  <c r="G20" i="69"/>
  <c r="G2" i="24"/>
  <c r="H2" i="24" s="1"/>
  <c r="I2" i="24" s="1"/>
  <c r="J2" i="24" s="1"/>
  <c r="K2" i="24" s="1"/>
  <c r="L2" i="24" s="1"/>
  <c r="M2" i="24" s="1"/>
  <c r="N2" i="24" s="1"/>
  <c r="O2" i="24" s="1"/>
  <c r="P2" i="24" s="1"/>
  <c r="Q2" i="24" s="1"/>
  <c r="R2" i="24" s="1"/>
  <c r="S2" i="24" s="1"/>
  <c r="T2" i="24" s="1"/>
  <c r="U2" i="24" s="1"/>
  <c r="V2" i="24" s="1"/>
  <c r="W2" i="24" s="1"/>
  <c r="X2" i="24" s="1"/>
  <c r="Y2" i="24" s="1"/>
  <c r="Z2" i="24" s="1"/>
  <c r="AA2" i="24" s="1"/>
  <c r="AB2" i="24" s="1"/>
  <c r="AC2" i="24" s="1"/>
  <c r="AD2" i="24" s="1"/>
  <c r="AE2" i="24" s="1"/>
  <c r="AF2" i="24" s="1"/>
  <c r="AG2" i="24" s="1"/>
  <c r="AH2" i="24" s="1"/>
  <c r="AI2" i="24" s="1"/>
  <c r="AJ2" i="24" s="1"/>
  <c r="AK2" i="24" s="1"/>
  <c r="AL2" i="24" s="1"/>
  <c r="AM2" i="24" s="1"/>
  <c r="AN2" i="24" s="1"/>
  <c r="AO2" i="24" s="1"/>
  <c r="AP2" i="24" s="1"/>
  <c r="AQ2" i="24" s="1"/>
  <c r="AR2" i="24" s="1"/>
  <c r="AS2" i="24" s="1"/>
  <c r="AT2" i="24" s="1"/>
  <c r="AU2" i="24" s="1"/>
  <c r="AV2" i="24" s="1"/>
  <c r="AW2" i="24" s="1"/>
  <c r="AX2" i="24" s="1"/>
  <c r="AY2" i="24" s="1"/>
  <c r="AZ2" i="24" s="1"/>
  <c r="BA2" i="24" s="1"/>
  <c r="BB2" i="24" s="1"/>
  <c r="BC2" i="24" s="1"/>
  <c r="BD2" i="24" s="1"/>
  <c r="BE2" i="24" s="1"/>
  <c r="BF2" i="24" s="1"/>
  <c r="BG2" i="24" s="1"/>
  <c r="BH2" i="24" s="1"/>
  <c r="BI2" i="24" s="1"/>
  <c r="BJ2" i="24" s="1"/>
  <c r="CJ2" i="24"/>
  <c r="CK2" i="24" s="1"/>
  <c r="CL2" i="24" s="1"/>
  <c r="CM2" i="24" s="1"/>
  <c r="CN2" i="24" s="1"/>
  <c r="CO2" i="24" s="1"/>
  <c r="CP2" i="24" s="1"/>
  <c r="CQ2" i="24" s="1"/>
  <c r="CR2" i="24" s="1"/>
  <c r="CS2" i="24" s="1"/>
  <c r="CT2" i="24" s="1"/>
  <c r="CU2" i="24" s="1"/>
  <c r="CV2" i="24" s="1"/>
  <c r="CW2" i="24" s="1"/>
  <c r="CX2" i="24" s="1"/>
  <c r="CY2" i="24" s="1"/>
  <c r="BC9" i="24"/>
  <c r="BD9" i="24"/>
  <c r="BE9" i="24"/>
  <c r="BF9" i="24"/>
  <c r="BG9" i="24"/>
  <c r="BH9" i="24"/>
  <c r="BI9" i="24"/>
  <c r="BJ9" i="24"/>
  <c r="BC13" i="24"/>
  <c r="BD13" i="24"/>
  <c r="BE13" i="24"/>
  <c r="BF13" i="24"/>
  <c r="BG13" i="24"/>
  <c r="BH13" i="24"/>
  <c r="BI13" i="24"/>
  <c r="BJ13" i="24"/>
  <c r="BC14" i="24"/>
  <c r="BD14" i="24"/>
  <c r="BE14" i="24"/>
  <c r="BE12" i="24" s="1"/>
  <c r="BF14" i="24"/>
  <c r="BG14" i="24"/>
  <c r="BH14" i="24"/>
  <c r="BI14" i="24"/>
  <c r="BI12" i="24" s="1"/>
  <c r="BJ14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AG15" i="24"/>
  <c r="AH15" i="24"/>
  <c r="AI15" i="24"/>
  <c r="AJ15" i="24"/>
  <c r="AK15" i="24"/>
  <c r="AL15" i="24"/>
  <c r="AM15" i="24"/>
  <c r="AN15" i="24"/>
  <c r="AO15" i="24"/>
  <c r="AP15" i="24"/>
  <c r="AQ15" i="24"/>
  <c r="AR15" i="24"/>
  <c r="AS15" i="24"/>
  <c r="AT15" i="24"/>
  <c r="AU15" i="24"/>
  <c r="AV15" i="24"/>
  <c r="AW15" i="24"/>
  <c r="AX15" i="24"/>
  <c r="AY15" i="24"/>
  <c r="AZ15" i="24"/>
  <c r="BA15" i="24"/>
  <c r="BB15" i="24"/>
  <c r="BC15" i="24"/>
  <c r="BD15" i="24"/>
  <c r="BE15" i="24"/>
  <c r="BF15" i="24"/>
  <c r="BG15" i="24"/>
  <c r="BH15" i="24"/>
  <c r="BI15" i="24"/>
  <c r="BJ15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AC252" i="24" s="1"/>
  <c r="AD16" i="24"/>
  <c r="AE16" i="24"/>
  <c r="AF16" i="24"/>
  <c r="AG16" i="24"/>
  <c r="AH16" i="24"/>
  <c r="AI16" i="24"/>
  <c r="AJ16" i="24"/>
  <c r="AK16" i="24"/>
  <c r="AK252" i="24" s="1"/>
  <c r="AL16" i="24"/>
  <c r="AM16" i="24"/>
  <c r="AN16" i="24"/>
  <c r="AO16" i="24"/>
  <c r="AP16" i="24"/>
  <c r="AQ16" i="24"/>
  <c r="AR16" i="24"/>
  <c r="AS16" i="24"/>
  <c r="AT16" i="24"/>
  <c r="AU16" i="24"/>
  <c r="AV16" i="24"/>
  <c r="AW16" i="24"/>
  <c r="AW252" i="24" s="1"/>
  <c r="AX16" i="24"/>
  <c r="AY16" i="24"/>
  <c r="AZ16" i="24"/>
  <c r="BA16" i="24"/>
  <c r="BA252" i="24" s="1"/>
  <c r="BB16" i="24"/>
  <c r="BC16" i="24"/>
  <c r="BD16" i="24"/>
  <c r="BE16" i="24"/>
  <c r="BE252" i="24" s="1"/>
  <c r="BF16" i="24"/>
  <c r="BG16" i="24"/>
  <c r="BH16" i="24"/>
  <c r="BI16" i="24"/>
  <c r="BI252" i="24" s="1"/>
  <c r="BJ16" i="24"/>
  <c r="BJ252" i="24" s="1"/>
  <c r="BL40" i="24"/>
  <c r="BM40" i="24"/>
  <c r="BN40" i="24"/>
  <c r="BO40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W41" i="24"/>
  <c r="X41" i="24"/>
  <c r="Y41" i="24"/>
  <c r="Z41" i="24"/>
  <c r="AA41" i="24"/>
  <c r="AB41" i="24"/>
  <c r="AC41" i="24"/>
  <c r="AD41" i="24"/>
  <c r="AE41" i="24"/>
  <c r="AF41" i="24"/>
  <c r="AG41" i="24"/>
  <c r="AH41" i="24"/>
  <c r="AI41" i="24"/>
  <c r="AJ41" i="24"/>
  <c r="AK41" i="24"/>
  <c r="AL41" i="24"/>
  <c r="AM41" i="24"/>
  <c r="AN41" i="24"/>
  <c r="AO41" i="24"/>
  <c r="AP41" i="24"/>
  <c r="AQ41" i="24"/>
  <c r="AR41" i="24"/>
  <c r="AS41" i="24"/>
  <c r="AU41" i="24"/>
  <c r="AV41" i="24"/>
  <c r="AV296" i="24" s="1"/>
  <c r="AW41" i="24"/>
  <c r="AW296" i="24" s="1"/>
  <c r="AX41" i="24"/>
  <c r="AX296" i="24" s="1"/>
  <c r="AY41" i="24"/>
  <c r="AZ41" i="24"/>
  <c r="AZ296" i="24" s="1"/>
  <c r="BA41" i="24"/>
  <c r="BA296" i="24" s="1"/>
  <c r="BB41" i="24"/>
  <c r="BB296" i="24" s="1"/>
  <c r="BC41" i="24"/>
  <c r="BD41" i="24"/>
  <c r="BD296" i="24" s="1"/>
  <c r="BE41" i="24"/>
  <c r="BE296" i="24" s="1"/>
  <c r="BF41" i="24"/>
  <c r="BF296" i="24" s="1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AS43" i="24"/>
  <c r="AT43" i="24"/>
  <c r="AU43" i="24"/>
  <c r="AV43" i="24"/>
  <c r="AW43" i="24"/>
  <c r="AX43" i="24"/>
  <c r="AY43" i="24"/>
  <c r="AZ43" i="24"/>
  <c r="BA43" i="24"/>
  <c r="BB43" i="24"/>
  <c r="BC43" i="24"/>
  <c r="F48" i="24"/>
  <c r="G48" i="24"/>
  <c r="H48" i="24"/>
  <c r="G369" i="24" s="1"/>
  <c r="I48" i="24"/>
  <c r="J48" i="24"/>
  <c r="K48" i="24"/>
  <c r="L48" i="24"/>
  <c r="L35" i="24" s="1"/>
  <c r="L38" i="24" s="1"/>
  <c r="L295" i="24" s="1"/>
  <c r="M48" i="24"/>
  <c r="M35" i="24" s="1"/>
  <c r="M38" i="24" s="1"/>
  <c r="M295" i="24" s="1"/>
  <c r="N48" i="24"/>
  <c r="O48" i="24"/>
  <c r="P48" i="24"/>
  <c r="P35" i="24" s="1"/>
  <c r="P38" i="24" s="1"/>
  <c r="P295" i="24" s="1"/>
  <c r="Q48" i="24"/>
  <c r="Q35" i="24" s="1"/>
  <c r="R48" i="24"/>
  <c r="S48" i="24"/>
  <c r="T48" i="24"/>
  <c r="T35" i="24" s="1"/>
  <c r="T292" i="24" s="1"/>
  <c r="U48" i="24"/>
  <c r="U35" i="24" s="1"/>
  <c r="U38" i="24" s="1"/>
  <c r="U295" i="24" s="1"/>
  <c r="V48" i="24"/>
  <c r="W48" i="24"/>
  <c r="X48" i="24"/>
  <c r="X35" i="24" s="1"/>
  <c r="Y48" i="24"/>
  <c r="Y35" i="24" s="1"/>
  <c r="Z48" i="24"/>
  <c r="AA48" i="24"/>
  <c r="AB48" i="24"/>
  <c r="AB35" i="24" s="1"/>
  <c r="AC48" i="24"/>
  <c r="AC35" i="24" s="1"/>
  <c r="AC292" i="24" s="1"/>
  <c r="AD48" i="24"/>
  <c r="AE48" i="24"/>
  <c r="AF48" i="24"/>
  <c r="AF35" i="24" s="1"/>
  <c r="AG48" i="24"/>
  <c r="AG35" i="24" s="1"/>
  <c r="AG292" i="24" s="1"/>
  <c r="AH48" i="24"/>
  <c r="AI48" i="24"/>
  <c r="AJ48" i="24"/>
  <c r="AJ35" i="24" s="1"/>
  <c r="AJ38" i="24" s="1"/>
  <c r="AJ295" i="24" s="1"/>
  <c r="AK48" i="24"/>
  <c r="AK35" i="24" s="1"/>
  <c r="AK292" i="24" s="1"/>
  <c r="AL48" i="24"/>
  <c r="AM48" i="24"/>
  <c r="AN48" i="24"/>
  <c r="AN35" i="24" s="1"/>
  <c r="AN38" i="24" s="1"/>
  <c r="AN295" i="24" s="1"/>
  <c r="AO48" i="24"/>
  <c r="AO35" i="24" s="1"/>
  <c r="AP48" i="24"/>
  <c r="AQ48" i="24"/>
  <c r="AR48" i="24"/>
  <c r="AR35" i="24" s="1"/>
  <c r="AR38" i="24" s="1"/>
  <c r="AR295" i="24" s="1"/>
  <c r="AS48" i="24"/>
  <c r="AS35" i="24" s="1"/>
  <c r="AS38" i="24" s="1"/>
  <c r="AS295" i="24" s="1"/>
  <c r="AT48" i="24"/>
  <c r="AU48" i="24"/>
  <c r="AV48" i="24"/>
  <c r="AV35" i="24" s="1"/>
  <c r="AV38" i="24" s="1"/>
  <c r="AV295" i="24" s="1"/>
  <c r="AW48" i="24"/>
  <c r="AW35" i="24" s="1"/>
  <c r="AW38" i="24" s="1"/>
  <c r="AW295" i="24" s="1"/>
  <c r="AX48" i="24"/>
  <c r="AY48" i="24"/>
  <c r="AZ48" i="24"/>
  <c r="AZ35" i="24" s="1"/>
  <c r="AZ292" i="24" s="1"/>
  <c r="BA48" i="24"/>
  <c r="BA35" i="24" s="1"/>
  <c r="BB48" i="24"/>
  <c r="BC48" i="24"/>
  <c r="BD48" i="24"/>
  <c r="BD35" i="24" s="1"/>
  <c r="BE48" i="24"/>
  <c r="BE35" i="24" s="1"/>
  <c r="BE38" i="24" s="1"/>
  <c r="BE295" i="24" s="1"/>
  <c r="BF48" i="24"/>
  <c r="BG48" i="24"/>
  <c r="BH48" i="24"/>
  <c r="BH35" i="24" s="1"/>
  <c r="BI48" i="24"/>
  <c r="BI35" i="24" s="1"/>
  <c r="BJ48" i="24"/>
  <c r="BK48" i="24"/>
  <c r="BL48" i="24"/>
  <c r="BL35" i="24" s="1"/>
  <c r="BM48" i="24"/>
  <c r="BM35" i="24" s="1"/>
  <c r="BM38" i="24" s="1"/>
  <c r="BM295" i="24" s="1"/>
  <c r="BN48" i="24"/>
  <c r="BO48" i="24"/>
  <c r="BP48" i="24"/>
  <c r="BP35" i="24" s="1"/>
  <c r="BP38" i="24" s="1"/>
  <c r="BQ48" i="24"/>
  <c r="BQ35" i="24" s="1"/>
  <c r="BR48" i="24"/>
  <c r="CJ48" i="24" s="1"/>
  <c r="BS48" i="24"/>
  <c r="F63" i="24"/>
  <c r="G63" i="24"/>
  <c r="H63" i="24"/>
  <c r="I63" i="24"/>
  <c r="J63" i="24"/>
  <c r="K63" i="24"/>
  <c r="L63" i="24"/>
  <c r="M63" i="24"/>
  <c r="N63" i="24"/>
  <c r="O63" i="24"/>
  <c r="P63" i="24"/>
  <c r="Q63" i="24"/>
  <c r="R63" i="24"/>
  <c r="S63" i="24"/>
  <c r="T63" i="24"/>
  <c r="U63" i="24"/>
  <c r="V63" i="24"/>
  <c r="W63" i="24"/>
  <c r="X63" i="24"/>
  <c r="Y63" i="24"/>
  <c r="Z63" i="24"/>
  <c r="AA63" i="24"/>
  <c r="AB63" i="24"/>
  <c r="AC63" i="24"/>
  <c r="AD63" i="24"/>
  <c r="AE63" i="24"/>
  <c r="AF63" i="24"/>
  <c r="AG63" i="24"/>
  <c r="AH63" i="24"/>
  <c r="AI63" i="24"/>
  <c r="AJ63" i="24"/>
  <c r="AK63" i="24"/>
  <c r="AL63" i="24"/>
  <c r="AM63" i="24"/>
  <c r="AN63" i="24"/>
  <c r="AO63" i="24"/>
  <c r="AP63" i="24"/>
  <c r="AQ63" i="24"/>
  <c r="AR63" i="24"/>
  <c r="AS63" i="24"/>
  <c r="AT63" i="24"/>
  <c r="AU63" i="24"/>
  <c r="AV63" i="24"/>
  <c r="AW63" i="24"/>
  <c r="AX63" i="24"/>
  <c r="AY63" i="24"/>
  <c r="AZ63" i="24"/>
  <c r="F64" i="24"/>
  <c r="G64" i="24"/>
  <c r="H64" i="24"/>
  <c r="I64" i="24"/>
  <c r="J64" i="24"/>
  <c r="K64" i="24"/>
  <c r="L64" i="24"/>
  <c r="M64" i="24"/>
  <c r="N64" i="24"/>
  <c r="O64" i="24"/>
  <c r="P64" i="24"/>
  <c r="Q64" i="24"/>
  <c r="R64" i="24"/>
  <c r="S64" i="24"/>
  <c r="T64" i="24"/>
  <c r="U64" i="24"/>
  <c r="V64" i="24"/>
  <c r="W64" i="24"/>
  <c r="X64" i="24"/>
  <c r="Y64" i="24"/>
  <c r="Z64" i="24"/>
  <c r="AA64" i="24"/>
  <c r="AB64" i="24"/>
  <c r="AC64" i="24"/>
  <c r="AD64" i="24"/>
  <c r="AE64" i="24"/>
  <c r="AF64" i="24"/>
  <c r="AG64" i="24"/>
  <c r="AH64" i="24"/>
  <c r="AI64" i="24"/>
  <c r="AJ64" i="24"/>
  <c r="AK64" i="24"/>
  <c r="AL64" i="24"/>
  <c r="AM64" i="24"/>
  <c r="AN64" i="24"/>
  <c r="AO64" i="24"/>
  <c r="AP64" i="24"/>
  <c r="AQ64" i="24"/>
  <c r="AR64" i="24"/>
  <c r="AS64" i="24"/>
  <c r="AT64" i="24"/>
  <c r="AU64" i="24"/>
  <c r="AV64" i="24"/>
  <c r="AW64" i="24"/>
  <c r="AX64" i="24"/>
  <c r="AY64" i="24"/>
  <c r="AZ64" i="24"/>
  <c r="BA64" i="24"/>
  <c r="BA253" i="24" s="1"/>
  <c r="BB64" i="24"/>
  <c r="BB253" i="24" s="1"/>
  <c r="BC64" i="24"/>
  <c r="BD64" i="24"/>
  <c r="BD253" i="24" s="1"/>
  <c r="BE64" i="24"/>
  <c r="BE253" i="24" s="1"/>
  <c r="BF64" i="24"/>
  <c r="BF253" i="24" s="1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W67" i="24"/>
  <c r="X67" i="24"/>
  <c r="Y67" i="24"/>
  <c r="Z67" i="24"/>
  <c r="AA67" i="24"/>
  <c r="AB67" i="24"/>
  <c r="AC67" i="24"/>
  <c r="AD67" i="24"/>
  <c r="AE67" i="24"/>
  <c r="AF67" i="24"/>
  <c r="AG67" i="24"/>
  <c r="AH67" i="24"/>
  <c r="AI67" i="24"/>
  <c r="AJ67" i="24"/>
  <c r="AK67" i="24"/>
  <c r="AL67" i="24"/>
  <c r="AM67" i="24"/>
  <c r="AN67" i="24"/>
  <c r="AO67" i="24"/>
  <c r="AP67" i="24"/>
  <c r="AQ67" i="24"/>
  <c r="AR67" i="24"/>
  <c r="AS67" i="24"/>
  <c r="AT67" i="24"/>
  <c r="AU67" i="24"/>
  <c r="AV67" i="24"/>
  <c r="AW67" i="24"/>
  <c r="AX67" i="24"/>
  <c r="AY67" i="24"/>
  <c r="AZ67" i="24"/>
  <c r="BA67" i="24"/>
  <c r="BB67" i="24"/>
  <c r="BC67" i="24"/>
  <c r="BD67" i="24"/>
  <c r="BE67" i="24"/>
  <c r="F82" i="24"/>
  <c r="G82" i="24"/>
  <c r="G60" i="24" s="1"/>
  <c r="H82" i="24"/>
  <c r="I82" i="24"/>
  <c r="I60" i="24"/>
  <c r="J82" i="24"/>
  <c r="K82" i="24"/>
  <c r="K60" i="24" s="1"/>
  <c r="L82" i="24"/>
  <c r="M82" i="24"/>
  <c r="M60" i="24"/>
  <c r="N82" i="24"/>
  <c r="O82" i="24"/>
  <c r="O60" i="24" s="1"/>
  <c r="P82" i="24"/>
  <c r="Q82" i="24"/>
  <c r="Q60" i="24"/>
  <c r="R82" i="24"/>
  <c r="S82" i="24"/>
  <c r="S60" i="24" s="1"/>
  <c r="T82" i="24"/>
  <c r="U82" i="24"/>
  <c r="U60" i="24"/>
  <c r="V82" i="24"/>
  <c r="W82" i="24"/>
  <c r="W60" i="24" s="1"/>
  <c r="X82" i="24"/>
  <c r="Y82" i="24"/>
  <c r="Y60" i="24"/>
  <c r="Z82" i="24"/>
  <c r="AA82" i="24"/>
  <c r="AA60" i="24" s="1"/>
  <c r="AB82" i="24"/>
  <c r="AC82" i="24"/>
  <c r="AC60" i="24"/>
  <c r="AD82" i="24"/>
  <c r="AE82" i="24"/>
  <c r="AE60" i="24" s="1"/>
  <c r="AF82" i="24"/>
  <c r="AG82" i="24"/>
  <c r="AG60" i="24"/>
  <c r="AH82" i="24"/>
  <c r="AI82" i="24"/>
  <c r="AI60" i="24" s="1"/>
  <c r="AJ82" i="24"/>
  <c r="AK82" i="24"/>
  <c r="AK60" i="24"/>
  <c r="AL82" i="24"/>
  <c r="AM82" i="24"/>
  <c r="AM60" i="24" s="1"/>
  <c r="AN82" i="24"/>
  <c r="AO82" i="24"/>
  <c r="AO60" i="24" s="1"/>
  <c r="AP82" i="24"/>
  <c r="AQ82" i="24"/>
  <c r="AQ60" i="24" s="1"/>
  <c r="AR82" i="24"/>
  <c r="AS82" i="24"/>
  <c r="AS60" i="24" s="1"/>
  <c r="AT82" i="24"/>
  <c r="AU82" i="24"/>
  <c r="AU60" i="24" s="1"/>
  <c r="AV82" i="24"/>
  <c r="AW82" i="24"/>
  <c r="AW60" i="24" s="1"/>
  <c r="AX82" i="24"/>
  <c r="AY82" i="24"/>
  <c r="AY60" i="24" s="1"/>
  <c r="AZ82" i="24"/>
  <c r="BA82" i="24"/>
  <c r="BA60" i="24" s="1"/>
  <c r="BB82" i="24"/>
  <c r="BC82" i="24"/>
  <c r="BC60" i="24" s="1"/>
  <c r="BD82" i="24"/>
  <c r="BF82" i="24"/>
  <c r="BF60" i="24" s="1"/>
  <c r="BG82" i="24"/>
  <c r="BG60" i="24" s="1"/>
  <c r="BH82" i="24"/>
  <c r="BH60" i="24" s="1"/>
  <c r="BI82" i="24"/>
  <c r="BI60" i="24" s="1"/>
  <c r="BJ82" i="24"/>
  <c r="BJ60" i="24" s="1"/>
  <c r="BK82" i="24"/>
  <c r="BK60" i="24" s="1"/>
  <c r="BL82" i="24"/>
  <c r="BL60" i="24" s="1"/>
  <c r="BM82" i="24"/>
  <c r="BM60" i="24" s="1"/>
  <c r="BN82" i="24"/>
  <c r="BN60" i="24" s="1"/>
  <c r="BO82" i="24"/>
  <c r="BO60" i="24" s="1"/>
  <c r="BP82" i="24"/>
  <c r="BQ82" i="24"/>
  <c r="BR82" i="24"/>
  <c r="BR60" i="24" s="1"/>
  <c r="CJ60" i="24" s="1"/>
  <c r="BS82" i="24"/>
  <c r="BS60" i="24" s="1"/>
  <c r="CK60" i="24" s="1"/>
  <c r="F83" i="24"/>
  <c r="G83" i="24"/>
  <c r="G59" i="24" s="1"/>
  <c r="H83" i="24"/>
  <c r="I83" i="24"/>
  <c r="I59" i="24" s="1"/>
  <c r="J83" i="24"/>
  <c r="K83" i="24"/>
  <c r="K59" i="24" s="1"/>
  <c r="L83" i="24"/>
  <c r="M83" i="24"/>
  <c r="M59" i="24" s="1"/>
  <c r="N83" i="24"/>
  <c r="O83" i="24"/>
  <c r="O59" i="24" s="1"/>
  <c r="P83" i="24"/>
  <c r="Q83" i="24"/>
  <c r="Q59" i="24" s="1"/>
  <c r="R83" i="24"/>
  <c r="S83" i="24"/>
  <c r="S59" i="24" s="1"/>
  <c r="T83" i="24"/>
  <c r="U83" i="24"/>
  <c r="U59" i="24" s="1"/>
  <c r="V83" i="24"/>
  <c r="W83" i="24"/>
  <c r="W59" i="24" s="1"/>
  <c r="X83" i="24"/>
  <c r="Y83" i="24"/>
  <c r="Y59" i="24" s="1"/>
  <c r="Z83" i="24"/>
  <c r="AA83" i="24"/>
  <c r="AA59" i="24" s="1"/>
  <c r="AB83" i="24"/>
  <c r="AC83" i="24"/>
  <c r="AC59" i="24" s="1"/>
  <c r="AD83" i="24"/>
  <c r="AE83" i="24"/>
  <c r="AE59" i="24" s="1"/>
  <c r="AF83" i="24"/>
  <c r="AG83" i="24"/>
  <c r="AG59" i="24" s="1"/>
  <c r="AH83" i="24"/>
  <c r="AI83" i="24"/>
  <c r="AI59" i="24" s="1"/>
  <c r="AJ83" i="24"/>
  <c r="AK83" i="24"/>
  <c r="AK59" i="24" s="1"/>
  <c r="AL83" i="24"/>
  <c r="AL59" i="24" s="1"/>
  <c r="AM83" i="24"/>
  <c r="AM59" i="24" s="1"/>
  <c r="AN83" i="24"/>
  <c r="AN59" i="24" s="1"/>
  <c r="AO83" i="24"/>
  <c r="AO59" i="24" s="1"/>
  <c r="AP83" i="24"/>
  <c r="AP59" i="24" s="1"/>
  <c r="AQ83" i="24"/>
  <c r="AQ59" i="24" s="1"/>
  <c r="AR83" i="24"/>
  <c r="AR59" i="24" s="1"/>
  <c r="AS83" i="24"/>
  <c r="AS59" i="24" s="1"/>
  <c r="AT83" i="24"/>
  <c r="AT59" i="24" s="1"/>
  <c r="AU83" i="24"/>
  <c r="AU59" i="24" s="1"/>
  <c r="AV83" i="24"/>
  <c r="AV59" i="24" s="1"/>
  <c r="AW83" i="24"/>
  <c r="AW59" i="24" s="1"/>
  <c r="AX83" i="24"/>
  <c r="AX59" i="24" s="1"/>
  <c r="AY83" i="24"/>
  <c r="AY59" i="24" s="1"/>
  <c r="AZ83" i="24"/>
  <c r="AZ59" i="24" s="1"/>
  <c r="BA83" i="24"/>
  <c r="BA59" i="24" s="1"/>
  <c r="BB83" i="24"/>
  <c r="BB59" i="24" s="1"/>
  <c r="BC83" i="24"/>
  <c r="BC59" i="24" s="1"/>
  <c r="BD83" i="24"/>
  <c r="BD59" i="24" s="1"/>
  <c r="BF83" i="24"/>
  <c r="BF59" i="24" s="1"/>
  <c r="BG83" i="24"/>
  <c r="BH83" i="24"/>
  <c r="BH59" i="24" s="1"/>
  <c r="BI83" i="24"/>
  <c r="BI59" i="24" s="1"/>
  <c r="BJ83" i="24"/>
  <c r="BJ59" i="24" s="1"/>
  <c r="BK83" i="24"/>
  <c r="BL83" i="24"/>
  <c r="BL59" i="24" s="1"/>
  <c r="BM83" i="24"/>
  <c r="BM59" i="24" s="1"/>
  <c r="BN83" i="24"/>
  <c r="BN59" i="24" s="1"/>
  <c r="BO83" i="24"/>
  <c r="BP83" i="24"/>
  <c r="BP59" i="24" s="1"/>
  <c r="BQ83" i="24"/>
  <c r="BR83" i="24"/>
  <c r="BR59" i="24" s="1"/>
  <c r="CJ59" i="24" s="1"/>
  <c r="BS83" i="24"/>
  <c r="F84" i="24"/>
  <c r="F58" i="24"/>
  <c r="G84" i="24"/>
  <c r="G58" i="24"/>
  <c r="H84" i="24"/>
  <c r="H58" i="24"/>
  <c r="I84" i="24"/>
  <c r="I58" i="24"/>
  <c r="J84" i="24"/>
  <c r="J58" i="24"/>
  <c r="K84" i="24"/>
  <c r="K58" i="24"/>
  <c r="L84" i="24"/>
  <c r="L58" i="24"/>
  <c r="M84" i="24"/>
  <c r="M58" i="24"/>
  <c r="N84" i="24"/>
  <c r="N58" i="24"/>
  <c r="O84" i="24"/>
  <c r="O58" i="24"/>
  <c r="P84" i="24"/>
  <c r="P58" i="24"/>
  <c r="Q84" i="24"/>
  <c r="Q58" i="24"/>
  <c r="R84" i="24"/>
  <c r="R58" i="24"/>
  <c r="S84" i="24"/>
  <c r="S58" i="24"/>
  <c r="T84" i="24"/>
  <c r="T58" i="24"/>
  <c r="U84" i="24"/>
  <c r="U58" i="24"/>
  <c r="V84" i="24"/>
  <c r="V58" i="24"/>
  <c r="W84" i="24"/>
  <c r="W58" i="24"/>
  <c r="X84" i="24"/>
  <c r="X58" i="24"/>
  <c r="Y84" i="24"/>
  <c r="Y58" i="24"/>
  <c r="Z84" i="24"/>
  <c r="Z58" i="24"/>
  <c r="AA84" i="24"/>
  <c r="AA58" i="24"/>
  <c r="AB84" i="24"/>
  <c r="AB58" i="24"/>
  <c r="AC84" i="24"/>
  <c r="AC58" i="24"/>
  <c r="AD84" i="24"/>
  <c r="AD58" i="24"/>
  <c r="AE84" i="24"/>
  <c r="AE58" i="24"/>
  <c r="AF84" i="24"/>
  <c r="AF58" i="24"/>
  <c r="AG84" i="24"/>
  <c r="AG58" i="24"/>
  <c r="AH84" i="24"/>
  <c r="AH58" i="24"/>
  <c r="AI84" i="24"/>
  <c r="AI58" i="24"/>
  <c r="AJ84" i="24"/>
  <c r="AJ58" i="24"/>
  <c r="AK84" i="24"/>
  <c r="AK58" i="24"/>
  <c r="AL84" i="24"/>
  <c r="AL58" i="24"/>
  <c r="AM84" i="24"/>
  <c r="AM58" i="24"/>
  <c r="AN84" i="24"/>
  <c r="AN58" i="24"/>
  <c r="AO84" i="24"/>
  <c r="AO58" i="24"/>
  <c r="AP84" i="24"/>
  <c r="AP58" i="24"/>
  <c r="AQ84" i="24"/>
  <c r="AQ58" i="24"/>
  <c r="AR84" i="24"/>
  <c r="AR58" i="24"/>
  <c r="AS84" i="24"/>
  <c r="AS58" i="24"/>
  <c r="AT84" i="24"/>
  <c r="AT58" i="24"/>
  <c r="AU84" i="24"/>
  <c r="AU58" i="24"/>
  <c r="AV84" i="24"/>
  <c r="AV58" i="24"/>
  <c r="AW84" i="24"/>
  <c r="AW58" i="24"/>
  <c r="AX84" i="24"/>
  <c r="AX58" i="24"/>
  <c r="AY84" i="24"/>
  <c r="AY58" i="24"/>
  <c r="AZ84" i="24"/>
  <c r="AZ58" i="24"/>
  <c r="BA84" i="24"/>
  <c r="BA58" i="24"/>
  <c r="BB84" i="24"/>
  <c r="BB58" i="24"/>
  <c r="BC84" i="24"/>
  <c r="BC58" i="24"/>
  <c r="BD84" i="24"/>
  <c r="BD58" i="24"/>
  <c r="BF84" i="24"/>
  <c r="BF58" i="24" s="1"/>
  <c r="BG84" i="24"/>
  <c r="BG58" i="24" s="1"/>
  <c r="BH84" i="24"/>
  <c r="BH58" i="24" s="1"/>
  <c r="BI84" i="24"/>
  <c r="BJ84" i="24"/>
  <c r="BJ58" i="24" s="1"/>
  <c r="BK84" i="24"/>
  <c r="BL84" i="24"/>
  <c r="BL58" i="24" s="1"/>
  <c r="BM84" i="24"/>
  <c r="BN84" i="24"/>
  <c r="BN58" i="24" s="1"/>
  <c r="BO84" i="24"/>
  <c r="BP84" i="24"/>
  <c r="BP58" i="24" s="1"/>
  <c r="BQ84" i="24"/>
  <c r="BR84" i="24"/>
  <c r="CJ84" i="24" s="1"/>
  <c r="BS84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W85" i="24"/>
  <c r="X85" i="24"/>
  <c r="Y85" i="24"/>
  <c r="Z85" i="24"/>
  <c r="AA85" i="24"/>
  <c r="AB85" i="24"/>
  <c r="AC85" i="24"/>
  <c r="AD85" i="24"/>
  <c r="AE85" i="24"/>
  <c r="AF85" i="24"/>
  <c r="AG85" i="24"/>
  <c r="AH85" i="24"/>
  <c r="AI85" i="24"/>
  <c r="AJ85" i="24"/>
  <c r="AK85" i="24"/>
  <c r="AL85" i="24"/>
  <c r="AM85" i="24"/>
  <c r="AN85" i="24"/>
  <c r="AO85" i="24"/>
  <c r="AP85" i="24"/>
  <c r="AQ85" i="24"/>
  <c r="AR85" i="24"/>
  <c r="AS85" i="24"/>
  <c r="AT85" i="24"/>
  <c r="AU85" i="24"/>
  <c r="AV85" i="24"/>
  <c r="AW85" i="24"/>
  <c r="AX85" i="24"/>
  <c r="AY85" i="24"/>
  <c r="AZ85" i="24"/>
  <c r="BA85" i="24"/>
  <c r="BB85" i="24"/>
  <c r="BC85" i="24"/>
  <c r="BD85" i="24"/>
  <c r="BF85" i="24"/>
  <c r="BG85" i="24"/>
  <c r="BH85" i="24"/>
  <c r="BI85" i="24"/>
  <c r="BJ85" i="24"/>
  <c r="BK85" i="24"/>
  <c r="BL85" i="24"/>
  <c r="BM85" i="24"/>
  <c r="BN85" i="24"/>
  <c r="BO85" i="24"/>
  <c r="BP85" i="24"/>
  <c r="BQ85" i="24"/>
  <c r="CI85" i="24" s="1"/>
  <c r="BR85" i="24"/>
  <c r="CJ85" i="24" s="1"/>
  <c r="BS85" i="24"/>
  <c r="CK85" i="24" s="1"/>
  <c r="F90" i="24"/>
  <c r="F54" i="24" s="1"/>
  <c r="G90" i="24"/>
  <c r="H90" i="24"/>
  <c r="I90" i="24"/>
  <c r="J90" i="24"/>
  <c r="J54" i="24"/>
  <c r="K90" i="24"/>
  <c r="L90" i="24"/>
  <c r="L54" i="24" s="1"/>
  <c r="M90" i="24"/>
  <c r="N90" i="24"/>
  <c r="N54" i="24" s="1"/>
  <c r="O90" i="24"/>
  <c r="P90" i="24"/>
  <c r="P54" i="24" s="1"/>
  <c r="Q90" i="24"/>
  <c r="R90" i="24"/>
  <c r="R54" i="24"/>
  <c r="S90" i="24"/>
  <c r="T90" i="24"/>
  <c r="T54" i="24" s="1"/>
  <c r="U90" i="24"/>
  <c r="V90" i="24"/>
  <c r="V54" i="24" s="1"/>
  <c r="W90" i="24"/>
  <c r="X90" i="24"/>
  <c r="X54" i="24" s="1"/>
  <c r="Y90" i="24"/>
  <c r="Z90" i="24"/>
  <c r="Z54" i="24"/>
  <c r="AA90" i="24"/>
  <c r="AB90" i="24"/>
  <c r="AB54" i="24" s="1"/>
  <c r="AC90" i="24"/>
  <c r="AD90" i="24"/>
  <c r="AD54" i="24" s="1"/>
  <c r="AE90" i="24"/>
  <c r="AF90" i="24"/>
  <c r="AF54" i="24" s="1"/>
  <c r="AG90" i="24"/>
  <c r="AH90" i="24"/>
  <c r="AH54" i="24"/>
  <c r="AI90" i="24"/>
  <c r="AJ90" i="24"/>
  <c r="AJ54" i="24" s="1"/>
  <c r="AK90" i="24"/>
  <c r="AL90" i="24"/>
  <c r="AL54" i="24" s="1"/>
  <c r="AM90" i="24"/>
  <c r="AN90" i="24"/>
  <c r="AN54" i="24" s="1"/>
  <c r="AO90" i="24"/>
  <c r="AP90" i="24"/>
  <c r="AP54" i="24"/>
  <c r="AQ90" i="24"/>
  <c r="AR90" i="24"/>
  <c r="AR54" i="24" s="1"/>
  <c r="AS90" i="24"/>
  <c r="AT90" i="24"/>
  <c r="AT54" i="24" s="1"/>
  <c r="AU90" i="24"/>
  <c r="AV90" i="24"/>
  <c r="AV54" i="24" s="1"/>
  <c r="AW90" i="24"/>
  <c r="AX90" i="24"/>
  <c r="AX54" i="24"/>
  <c r="AY90" i="24"/>
  <c r="AZ90" i="24"/>
  <c r="AZ54" i="24" s="1"/>
  <c r="BA90" i="24"/>
  <c r="BB90" i="24"/>
  <c r="BB54" i="24" s="1"/>
  <c r="BC90" i="24"/>
  <c r="BD90" i="24"/>
  <c r="BD54" i="24" s="1"/>
  <c r="BF90" i="24"/>
  <c r="BF54" i="24" s="1"/>
  <c r="BG90" i="24"/>
  <c r="BG54" i="24" s="1"/>
  <c r="BH90" i="24"/>
  <c r="BH54" i="24" s="1"/>
  <c r="BI90" i="24"/>
  <c r="BJ90" i="24"/>
  <c r="BJ54" i="24" s="1"/>
  <c r="BK90" i="24"/>
  <c r="BK54" i="24" s="1"/>
  <c r="BL90" i="24"/>
  <c r="BL54" i="24" s="1"/>
  <c r="BM90" i="24"/>
  <c r="BN90" i="24"/>
  <c r="BN54" i="24" s="1"/>
  <c r="BO90" i="24"/>
  <c r="BP90" i="24"/>
  <c r="BQ90" i="24"/>
  <c r="CI90" i="24" s="1"/>
  <c r="BR90" i="24"/>
  <c r="BS90" i="24"/>
  <c r="CK90" i="24" s="1"/>
  <c r="F91" i="24"/>
  <c r="G91" i="24"/>
  <c r="H91" i="24"/>
  <c r="I91" i="24"/>
  <c r="J91" i="24"/>
  <c r="J89" i="24" s="1"/>
  <c r="K91" i="24"/>
  <c r="L91" i="24"/>
  <c r="M91" i="24"/>
  <c r="N91" i="24"/>
  <c r="O91" i="24"/>
  <c r="P91" i="24"/>
  <c r="Q91" i="24"/>
  <c r="R91" i="24"/>
  <c r="S91" i="24"/>
  <c r="T91" i="24"/>
  <c r="U91" i="24"/>
  <c r="V91" i="24"/>
  <c r="W91" i="24"/>
  <c r="X91" i="24"/>
  <c r="Y91" i="24"/>
  <c r="Z91" i="24"/>
  <c r="AA91" i="24"/>
  <c r="AB91" i="24"/>
  <c r="AC91" i="24"/>
  <c r="AD91" i="24"/>
  <c r="AE91" i="24"/>
  <c r="AF91" i="24"/>
  <c r="AG91" i="24"/>
  <c r="AH91" i="24"/>
  <c r="AI91" i="24"/>
  <c r="AJ91" i="24"/>
  <c r="AK91" i="24"/>
  <c r="AL91" i="24"/>
  <c r="AM91" i="24"/>
  <c r="AN91" i="24"/>
  <c r="AO91" i="24"/>
  <c r="AP91" i="24"/>
  <c r="AQ91" i="24"/>
  <c r="AR91" i="24"/>
  <c r="AS91" i="24"/>
  <c r="AT91" i="24"/>
  <c r="AU91" i="24"/>
  <c r="AV91" i="24"/>
  <c r="AW91" i="24"/>
  <c r="AX91" i="24"/>
  <c r="AY91" i="24"/>
  <c r="AZ91" i="24"/>
  <c r="BA91" i="24"/>
  <c r="BB91" i="24"/>
  <c r="BC91" i="24"/>
  <c r="BF91" i="24"/>
  <c r="BG91" i="24"/>
  <c r="BH91" i="24"/>
  <c r="BI91" i="24"/>
  <c r="BJ91" i="24"/>
  <c r="BK91" i="24"/>
  <c r="BK10" i="24" s="1"/>
  <c r="BL91" i="24"/>
  <c r="BM91" i="24"/>
  <c r="BN91" i="24"/>
  <c r="BO91" i="24"/>
  <c r="F92" i="24"/>
  <c r="F57" i="24" s="1"/>
  <c r="G92" i="24"/>
  <c r="G57" i="24" s="1"/>
  <c r="H92" i="24"/>
  <c r="H57" i="24" s="1"/>
  <c r="I92" i="24"/>
  <c r="I57" i="24" s="1"/>
  <c r="J92" i="24"/>
  <c r="J57" i="24" s="1"/>
  <c r="K92" i="24"/>
  <c r="K57" i="24" s="1"/>
  <c r="L92" i="24"/>
  <c r="L57" i="24" s="1"/>
  <c r="M92" i="24"/>
  <c r="M57" i="24" s="1"/>
  <c r="N92" i="24"/>
  <c r="N57" i="24" s="1"/>
  <c r="O92" i="24"/>
  <c r="O57" i="24" s="1"/>
  <c r="P92" i="24"/>
  <c r="P57" i="24" s="1"/>
  <c r="Q92" i="24"/>
  <c r="Q57" i="24" s="1"/>
  <c r="R92" i="24"/>
  <c r="R57" i="24" s="1"/>
  <c r="S92" i="24"/>
  <c r="S57" i="24" s="1"/>
  <c r="T92" i="24"/>
  <c r="T57" i="24" s="1"/>
  <c r="U92" i="24"/>
  <c r="U57" i="24" s="1"/>
  <c r="V92" i="24"/>
  <c r="V57" i="24" s="1"/>
  <c r="W92" i="24"/>
  <c r="W57" i="24" s="1"/>
  <c r="X92" i="24"/>
  <c r="X57" i="24" s="1"/>
  <c r="Y92" i="24"/>
  <c r="Y57" i="24" s="1"/>
  <c r="Z92" i="24"/>
  <c r="Z57" i="24" s="1"/>
  <c r="AA92" i="24"/>
  <c r="AA57" i="24" s="1"/>
  <c r="AB92" i="24"/>
  <c r="AB57" i="24" s="1"/>
  <c r="AC92" i="24"/>
  <c r="AC57" i="24" s="1"/>
  <c r="AD92" i="24"/>
  <c r="AD57" i="24" s="1"/>
  <c r="AE92" i="24"/>
  <c r="AE57" i="24" s="1"/>
  <c r="AF92" i="24"/>
  <c r="AF57" i="24" s="1"/>
  <c r="AG92" i="24"/>
  <c r="AG57" i="24" s="1"/>
  <c r="AH92" i="24"/>
  <c r="AH57" i="24" s="1"/>
  <c r="AI92" i="24"/>
  <c r="AI57" i="24" s="1"/>
  <c r="AJ92" i="24"/>
  <c r="AJ57" i="24" s="1"/>
  <c r="AK92" i="24"/>
  <c r="AK57" i="24" s="1"/>
  <c r="AL92" i="24"/>
  <c r="AL57" i="24" s="1"/>
  <c r="AM92" i="24"/>
  <c r="AM57" i="24" s="1"/>
  <c r="AN92" i="24"/>
  <c r="AN57" i="24" s="1"/>
  <c r="AO92" i="24"/>
  <c r="AO57" i="24" s="1"/>
  <c r="AP92" i="24"/>
  <c r="AP57" i="24" s="1"/>
  <c r="AQ92" i="24"/>
  <c r="AQ57" i="24" s="1"/>
  <c r="AR92" i="24"/>
  <c r="AR57" i="24" s="1"/>
  <c r="AS92" i="24"/>
  <c r="AS57" i="24" s="1"/>
  <c r="AT92" i="24"/>
  <c r="AT57" i="24" s="1"/>
  <c r="AU92" i="24"/>
  <c r="AU57" i="24" s="1"/>
  <c r="AV92" i="24"/>
  <c r="AV57" i="24" s="1"/>
  <c r="AW92" i="24"/>
  <c r="AW57" i="24" s="1"/>
  <c r="AX92" i="24"/>
  <c r="AX57" i="24" s="1"/>
  <c r="AY92" i="24"/>
  <c r="AY57" i="24" s="1"/>
  <c r="AZ92" i="24"/>
  <c r="AZ57" i="24" s="1"/>
  <c r="BA92" i="24"/>
  <c r="BA57" i="24" s="1"/>
  <c r="BB92" i="24"/>
  <c r="BB57" i="24" s="1"/>
  <c r="BC92" i="24"/>
  <c r="BC57" i="24" s="1"/>
  <c r="BD92" i="24"/>
  <c r="BD57" i="24" s="1"/>
  <c r="BF92" i="24"/>
  <c r="BF57" i="24" s="1"/>
  <c r="BG92" i="24"/>
  <c r="BG57" i="24" s="1"/>
  <c r="BH92" i="24"/>
  <c r="BH57" i="24" s="1"/>
  <c r="BI92" i="24"/>
  <c r="BI57" i="24" s="1"/>
  <c r="BJ92" i="24"/>
  <c r="BK92" i="24"/>
  <c r="BK57" i="24" s="1"/>
  <c r="BL92" i="24"/>
  <c r="BL57" i="24" s="1"/>
  <c r="BM92" i="24"/>
  <c r="BM57" i="24" s="1"/>
  <c r="BN92" i="24"/>
  <c r="BN57" i="24" s="1"/>
  <c r="BO92" i="24"/>
  <c r="BO57" i="24" s="1"/>
  <c r="BP92" i="24"/>
  <c r="BP57" i="24" s="1"/>
  <c r="BQ92" i="24"/>
  <c r="BR92" i="24"/>
  <c r="BS92" i="24"/>
  <c r="CK92" i="24" s="1"/>
  <c r="CI94" i="24"/>
  <c r="CI95" i="24"/>
  <c r="F96" i="24"/>
  <c r="F56" i="24" s="1"/>
  <c r="G96" i="24"/>
  <c r="G56" i="24" s="1"/>
  <c r="H96" i="24"/>
  <c r="H56" i="24" s="1"/>
  <c r="I96" i="24"/>
  <c r="I56" i="24" s="1"/>
  <c r="J96" i="24"/>
  <c r="J56" i="24" s="1"/>
  <c r="K96" i="24"/>
  <c r="K56" i="24" s="1"/>
  <c r="L96" i="24"/>
  <c r="L56" i="24" s="1"/>
  <c r="M96" i="24"/>
  <c r="M56" i="24" s="1"/>
  <c r="N96" i="24"/>
  <c r="N56" i="24" s="1"/>
  <c r="O96" i="24"/>
  <c r="O56" i="24" s="1"/>
  <c r="P96" i="24"/>
  <c r="P56" i="24" s="1"/>
  <c r="Q96" i="24"/>
  <c r="Q56" i="24" s="1"/>
  <c r="R96" i="24"/>
  <c r="R56" i="24" s="1"/>
  <c r="S96" i="24"/>
  <c r="S56" i="24" s="1"/>
  <c r="T96" i="24"/>
  <c r="T56" i="24" s="1"/>
  <c r="U96" i="24"/>
  <c r="U56" i="24" s="1"/>
  <c r="V96" i="24"/>
  <c r="V56" i="24" s="1"/>
  <c r="W96" i="24"/>
  <c r="W56" i="24" s="1"/>
  <c r="X96" i="24"/>
  <c r="X56" i="24" s="1"/>
  <c r="Y96" i="24"/>
  <c r="Y56" i="24"/>
  <c r="Z96" i="24"/>
  <c r="Z56" i="24"/>
  <c r="AA96" i="24"/>
  <c r="AA56" i="24"/>
  <c r="AB96" i="24"/>
  <c r="AB56" i="24"/>
  <c r="AC96" i="24"/>
  <c r="AC56" i="24"/>
  <c r="AD96" i="24"/>
  <c r="AD56" i="24"/>
  <c r="AE96" i="24"/>
  <c r="AE56" i="24"/>
  <c r="AF96" i="24"/>
  <c r="AF56" i="24"/>
  <c r="AG96" i="24"/>
  <c r="AG56" i="24"/>
  <c r="AH96" i="24"/>
  <c r="AH56" i="24"/>
  <c r="AI96" i="24"/>
  <c r="AI56" i="24"/>
  <c r="AJ96" i="24"/>
  <c r="AJ56" i="24"/>
  <c r="AK96" i="24"/>
  <c r="AK56" i="24"/>
  <c r="AL96" i="24"/>
  <c r="AL56" i="24"/>
  <c r="AM96" i="24"/>
  <c r="AM56" i="24"/>
  <c r="AN96" i="24"/>
  <c r="AN56" i="24"/>
  <c r="AO96" i="24"/>
  <c r="AO56" i="24"/>
  <c r="AP96" i="24"/>
  <c r="AP56" i="24"/>
  <c r="AQ96" i="24"/>
  <c r="AQ56" i="24"/>
  <c r="AR96" i="24"/>
  <c r="AR56" i="24"/>
  <c r="AS96" i="24"/>
  <c r="AS56" i="24"/>
  <c r="AT96" i="24"/>
  <c r="AT56" i="24"/>
  <c r="AU96" i="24"/>
  <c r="AU56" i="24"/>
  <c r="AV96" i="24"/>
  <c r="AV56" i="24"/>
  <c r="AW96" i="24"/>
  <c r="AW56" i="24"/>
  <c r="AX96" i="24"/>
  <c r="AX56" i="24"/>
  <c r="AY96" i="24"/>
  <c r="AY56" i="24"/>
  <c r="AZ96" i="24"/>
  <c r="AZ56" i="24"/>
  <c r="BA96" i="24"/>
  <c r="BA56" i="24"/>
  <c r="BB96" i="24"/>
  <c r="BB56" i="24"/>
  <c r="BC96" i="24"/>
  <c r="BC56" i="24"/>
  <c r="BD96" i="24"/>
  <c r="BD56" i="24"/>
  <c r="BF96" i="24"/>
  <c r="BF56" i="24" s="1"/>
  <c r="BG96" i="24"/>
  <c r="BG56" i="24" s="1"/>
  <c r="BH96" i="24"/>
  <c r="BH56" i="24" s="1"/>
  <c r="BI96" i="24"/>
  <c r="BI56" i="24" s="1"/>
  <c r="BJ96" i="24"/>
  <c r="BJ56" i="24" s="1"/>
  <c r="BK96" i="24"/>
  <c r="BK56" i="24" s="1"/>
  <c r="BL96" i="24"/>
  <c r="BL56" i="24" s="1"/>
  <c r="BM96" i="24"/>
  <c r="BM56" i="24" s="1"/>
  <c r="BN96" i="24"/>
  <c r="BN56" i="24" s="1"/>
  <c r="BO96" i="24"/>
  <c r="BO56" i="24" s="1"/>
  <c r="BP96" i="24"/>
  <c r="BP56" i="24" s="1"/>
  <c r="BQ96" i="24"/>
  <c r="BQ56" i="24" s="1"/>
  <c r="CI56" i="24" s="1"/>
  <c r="BR96" i="24"/>
  <c r="BS96" i="24"/>
  <c r="CJ96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W97" i="24"/>
  <c r="X97" i="24"/>
  <c r="Y97" i="24"/>
  <c r="Z97" i="24"/>
  <c r="AA97" i="24"/>
  <c r="AB97" i="24"/>
  <c r="AC97" i="24"/>
  <c r="AD97" i="24"/>
  <c r="AE97" i="24"/>
  <c r="AF97" i="24"/>
  <c r="AG97" i="24"/>
  <c r="AH97" i="24"/>
  <c r="AI97" i="24"/>
  <c r="AJ97" i="24"/>
  <c r="AK97" i="24"/>
  <c r="AL97" i="24"/>
  <c r="AM97" i="24"/>
  <c r="AN97" i="24"/>
  <c r="AO97" i="24"/>
  <c r="AP97" i="24"/>
  <c r="AQ97" i="24"/>
  <c r="AR97" i="24"/>
  <c r="AS97" i="24"/>
  <c r="AT97" i="24"/>
  <c r="AU97" i="24"/>
  <c r="AV97" i="24"/>
  <c r="AW97" i="24"/>
  <c r="AX97" i="24"/>
  <c r="AY97" i="24"/>
  <c r="AZ97" i="24"/>
  <c r="BA97" i="24"/>
  <c r="BB97" i="24"/>
  <c r="BC97" i="24"/>
  <c r="BF97" i="24"/>
  <c r="BG97" i="24"/>
  <c r="BH97" i="24"/>
  <c r="BI97" i="24"/>
  <c r="BJ97" i="24"/>
  <c r="BK97" i="24"/>
  <c r="BK14" i="24" s="1"/>
  <c r="BL97" i="24"/>
  <c r="BL14" i="24" s="1"/>
  <c r="BM97" i="24"/>
  <c r="BM14" i="24" s="1"/>
  <c r="BN97" i="24"/>
  <c r="BN14" i="24" s="1"/>
  <c r="BO97" i="24"/>
  <c r="BP97" i="24"/>
  <c r="BQ97" i="24"/>
  <c r="BR97" i="24"/>
  <c r="BS97" i="24"/>
  <c r="CI98" i="24"/>
  <c r="BU101" i="24"/>
  <c r="BV101" i="24"/>
  <c r="BW101" i="24" s="1"/>
  <c r="CL101" i="24"/>
  <c r="CM101" i="24"/>
  <c r="F104" i="24"/>
  <c r="F103" i="24" s="1"/>
  <c r="G104" i="24"/>
  <c r="G103" i="24" s="1"/>
  <c r="H104" i="24"/>
  <c r="H103" i="24" s="1"/>
  <c r="I104" i="24"/>
  <c r="I103" i="24"/>
  <c r="J104" i="24"/>
  <c r="J103" i="24" s="1"/>
  <c r="K104" i="24"/>
  <c r="K103" i="24" s="1"/>
  <c r="L104" i="24"/>
  <c r="L103" i="24" s="1"/>
  <c r="M104" i="24"/>
  <c r="M103" i="24"/>
  <c r="N104" i="24"/>
  <c r="N103" i="24" s="1"/>
  <c r="O104" i="24"/>
  <c r="O103" i="24" s="1"/>
  <c r="P104" i="24"/>
  <c r="P103" i="24" s="1"/>
  <c r="Q104" i="24"/>
  <c r="Q103" i="24"/>
  <c r="R104" i="24"/>
  <c r="R103" i="24" s="1"/>
  <c r="S104" i="24"/>
  <c r="S103" i="24" s="1"/>
  <c r="T104" i="24"/>
  <c r="T103" i="24" s="1"/>
  <c r="U104" i="24"/>
  <c r="U103" i="24"/>
  <c r="V104" i="24"/>
  <c r="V103" i="24" s="1"/>
  <c r="W104" i="24"/>
  <c r="W103" i="24" s="1"/>
  <c r="X104" i="24"/>
  <c r="X103" i="24" s="1"/>
  <c r="Y104" i="24"/>
  <c r="Y103" i="24"/>
  <c r="Z104" i="24"/>
  <c r="Z103" i="24" s="1"/>
  <c r="AA104" i="24"/>
  <c r="AA103" i="24" s="1"/>
  <c r="AB104" i="24"/>
  <c r="AB103" i="24" s="1"/>
  <c r="AC104" i="24"/>
  <c r="AC103" i="24"/>
  <c r="AD104" i="24"/>
  <c r="AD103" i="24" s="1"/>
  <c r="AE104" i="24"/>
  <c r="AE103" i="24" s="1"/>
  <c r="AF104" i="24"/>
  <c r="AF103" i="24" s="1"/>
  <c r="AG104" i="24"/>
  <c r="AG103" i="24"/>
  <c r="AH104" i="24"/>
  <c r="AH103" i="24" s="1"/>
  <c r="AI104" i="24"/>
  <c r="AI103" i="24" s="1"/>
  <c r="AJ104" i="24"/>
  <c r="AJ103" i="24" s="1"/>
  <c r="AK104" i="24"/>
  <c r="AK103" i="24"/>
  <c r="AL104" i="24"/>
  <c r="AL103" i="24" s="1"/>
  <c r="AM104" i="24"/>
  <c r="AM103" i="24" s="1"/>
  <c r="AN104" i="24"/>
  <c r="AN103" i="24" s="1"/>
  <c r="AO104" i="24"/>
  <c r="AO103" i="24"/>
  <c r="AP104" i="24"/>
  <c r="AP103" i="24"/>
  <c r="AQ104" i="24"/>
  <c r="AQ103" i="24"/>
  <c r="AR104" i="24"/>
  <c r="AR103" i="24"/>
  <c r="AS104" i="24"/>
  <c r="AS103" i="24"/>
  <c r="AT104" i="24"/>
  <c r="AT103" i="24"/>
  <c r="AU104" i="24"/>
  <c r="AU103" i="24"/>
  <c r="AV104" i="24"/>
  <c r="AV103" i="24"/>
  <c r="AW104" i="24"/>
  <c r="AW103" i="24"/>
  <c r="AX104" i="24"/>
  <c r="AX103" i="24"/>
  <c r="AY104" i="24"/>
  <c r="AY103" i="24"/>
  <c r="AZ104" i="24"/>
  <c r="AZ103" i="24"/>
  <c r="BA104" i="24"/>
  <c r="BA103" i="24"/>
  <c r="BB104" i="24"/>
  <c r="BB103" i="24"/>
  <c r="BC104" i="24"/>
  <c r="BC103" i="24"/>
  <c r="BD104" i="24"/>
  <c r="BD103" i="24"/>
  <c r="BF104" i="24"/>
  <c r="BG104" i="24"/>
  <c r="BH104" i="24"/>
  <c r="BI104" i="24"/>
  <c r="BJ104" i="24"/>
  <c r="BK104" i="24"/>
  <c r="BL104" i="24"/>
  <c r="BM104" i="24"/>
  <c r="BN104" i="24"/>
  <c r="BO104" i="24"/>
  <c r="BP104" i="24"/>
  <c r="BQ104" i="24"/>
  <c r="CI104" i="24" s="1"/>
  <c r="BR104" i="24"/>
  <c r="BS104" i="24"/>
  <c r="CK104" i="24" s="1"/>
  <c r="CJ104" i="24"/>
  <c r="CL104" i="24"/>
  <c r="CM104" i="24"/>
  <c r="CN104" i="24"/>
  <c r="CO104" i="24"/>
  <c r="CP104" i="24"/>
  <c r="CQ104" i="24"/>
  <c r="CR104" i="24"/>
  <c r="CS104" i="24"/>
  <c r="CT104" i="24"/>
  <c r="CU104" i="24"/>
  <c r="CV104" i="24"/>
  <c r="CW104" i="24"/>
  <c r="CX104" i="24"/>
  <c r="CY104" i="24"/>
  <c r="BF105" i="24"/>
  <c r="BG105" i="24"/>
  <c r="BH105" i="24"/>
  <c r="BI105" i="24"/>
  <c r="BJ105" i="24"/>
  <c r="BK105" i="24"/>
  <c r="BL105" i="24"/>
  <c r="BM105" i="24"/>
  <c r="BN105" i="24"/>
  <c r="BO105" i="24"/>
  <c r="BP105" i="24"/>
  <c r="BQ105" i="24"/>
  <c r="BR105" i="24"/>
  <c r="CJ105" i="24" s="1"/>
  <c r="BS105" i="24"/>
  <c r="CK105" i="24" s="1"/>
  <c r="CL105" i="24"/>
  <c r="CM105" i="24"/>
  <c r="CN105" i="24"/>
  <c r="CO105" i="24"/>
  <c r="CP105" i="24"/>
  <c r="CQ105" i="24"/>
  <c r="CR105" i="24"/>
  <c r="CS105" i="24"/>
  <c r="CT105" i="24"/>
  <c r="CU105" i="24"/>
  <c r="CV105" i="24"/>
  <c r="CW105" i="24"/>
  <c r="CX105" i="24"/>
  <c r="CY105" i="24"/>
  <c r="F106" i="24"/>
  <c r="G106" i="24"/>
  <c r="H106" i="24"/>
  <c r="I106" i="24"/>
  <c r="J106" i="24"/>
  <c r="K106" i="24"/>
  <c r="L106" i="24"/>
  <c r="M106" i="24"/>
  <c r="N106" i="24"/>
  <c r="O106" i="24"/>
  <c r="P106" i="24"/>
  <c r="Q106" i="24"/>
  <c r="R106" i="24"/>
  <c r="S106" i="24"/>
  <c r="T106" i="24"/>
  <c r="U106" i="24"/>
  <c r="V106" i="24"/>
  <c r="W106" i="24"/>
  <c r="X106" i="24"/>
  <c r="Y106" i="24"/>
  <c r="Z106" i="24"/>
  <c r="AA106" i="24"/>
  <c r="AB106" i="24"/>
  <c r="AC106" i="24"/>
  <c r="AD106" i="24"/>
  <c r="AE106" i="24"/>
  <c r="AF106" i="24"/>
  <c r="AG106" i="24"/>
  <c r="AH106" i="24"/>
  <c r="AI106" i="24"/>
  <c r="AJ106" i="24"/>
  <c r="AK106" i="24"/>
  <c r="AL106" i="24"/>
  <c r="AM106" i="24"/>
  <c r="AN106" i="24"/>
  <c r="AO106" i="24"/>
  <c r="AP106" i="24"/>
  <c r="AQ106" i="24"/>
  <c r="AR106" i="24"/>
  <c r="AS106" i="24"/>
  <c r="AT106" i="24"/>
  <c r="AU106" i="24"/>
  <c r="AV106" i="24"/>
  <c r="AW106" i="24"/>
  <c r="AX106" i="24"/>
  <c r="AY106" i="24"/>
  <c r="AZ106" i="24"/>
  <c r="BA106" i="24"/>
  <c r="BB106" i="24"/>
  <c r="BC106" i="24"/>
  <c r="BD106" i="24"/>
  <c r="BF106" i="24"/>
  <c r="BG106" i="24"/>
  <c r="BH106" i="24"/>
  <c r="BI106" i="24"/>
  <c r="BJ106" i="24"/>
  <c r="BK106" i="24"/>
  <c r="BL106" i="24"/>
  <c r="BM106" i="24"/>
  <c r="BF108" i="24"/>
  <c r="BG108" i="24"/>
  <c r="BG107" i="24" s="1"/>
  <c r="BH108" i="24"/>
  <c r="BI108" i="24"/>
  <c r="BI107" i="24" s="1"/>
  <c r="BJ108" i="24"/>
  <c r="BK108" i="24"/>
  <c r="BK107" i="24" s="1"/>
  <c r="BL108" i="24"/>
  <c r="BM108" i="24"/>
  <c r="BM107" i="24" s="1"/>
  <c r="BN108" i="24"/>
  <c r="BO108" i="24"/>
  <c r="BP108" i="24"/>
  <c r="BQ108" i="24"/>
  <c r="BR108" i="24"/>
  <c r="BS108" i="24"/>
  <c r="BU108" i="24"/>
  <c r="BV108" i="24" s="1"/>
  <c r="BW108" i="24" s="1"/>
  <c r="BX108" i="24" s="1"/>
  <c r="BY108" i="24" s="1"/>
  <c r="BZ108" i="24" s="1"/>
  <c r="CA108" i="24" s="1"/>
  <c r="CB108" i="24" s="1"/>
  <c r="CC108" i="24" s="1"/>
  <c r="CD108" i="24" s="1"/>
  <c r="CE108" i="24" s="1"/>
  <c r="CF108" i="24" s="1"/>
  <c r="CG108" i="24" s="1"/>
  <c r="BP110" i="24"/>
  <c r="BQ110" i="24"/>
  <c r="BR110" i="24"/>
  <c r="CJ110" i="24" s="1"/>
  <c r="BS110" i="24"/>
  <c r="BV113" i="24"/>
  <c r="CN113" i="24" s="1"/>
  <c r="AP114" i="24"/>
  <c r="AQ114" i="24"/>
  <c r="AQ113" i="24" s="1"/>
  <c r="AR114" i="24"/>
  <c r="AS114" i="24"/>
  <c r="AS113" i="24" s="1"/>
  <c r="AT114" i="24"/>
  <c r="AU114" i="24"/>
  <c r="AU113" i="24" s="1"/>
  <c r="AV114" i="24"/>
  <c r="AW114" i="24"/>
  <c r="AW113" i="24" s="1"/>
  <c r="AX114" i="24"/>
  <c r="AY114" i="24"/>
  <c r="AY113" i="24" s="1"/>
  <c r="AZ114" i="24"/>
  <c r="BA114" i="24"/>
  <c r="BA113" i="24" s="1"/>
  <c r="BB114" i="24"/>
  <c r="BC114" i="24"/>
  <c r="BC113" i="24" s="1"/>
  <c r="BD114" i="24"/>
  <c r="BF114" i="24"/>
  <c r="BG114" i="24"/>
  <c r="BH114" i="24"/>
  <c r="BI114" i="24"/>
  <c r="BJ114" i="24"/>
  <c r="BK114" i="24"/>
  <c r="BL114" i="24"/>
  <c r="BM114" i="24"/>
  <c r="BN114" i="24"/>
  <c r="BO114" i="24"/>
  <c r="BY115" i="24"/>
  <c r="BZ115" i="24" s="1"/>
  <c r="CA115" i="24" s="1"/>
  <c r="CM115" i="24"/>
  <c r="CN115" i="24"/>
  <c r="CO115" i="24"/>
  <c r="CP115" i="24"/>
  <c r="CQ115" i="24"/>
  <c r="AO117" i="24"/>
  <c r="AO116" i="24"/>
  <c r="AP117" i="24"/>
  <c r="AP116" i="24"/>
  <c r="AQ117" i="24"/>
  <c r="AQ116" i="24"/>
  <c r="AR117" i="24"/>
  <c r="AR116" i="24"/>
  <c r="AS117" i="24"/>
  <c r="AS116" i="24"/>
  <c r="AT117" i="24"/>
  <c r="AT116" i="24"/>
  <c r="AU117" i="24"/>
  <c r="AU116" i="24"/>
  <c r="AV117" i="24"/>
  <c r="AV116" i="24"/>
  <c r="AW117" i="24"/>
  <c r="AW116" i="24"/>
  <c r="AX117" i="24"/>
  <c r="AX116" i="24"/>
  <c r="AY117" i="24"/>
  <c r="AY116" i="24"/>
  <c r="AZ117" i="24"/>
  <c r="AZ116" i="24"/>
  <c r="BA117" i="24"/>
  <c r="BA116" i="24"/>
  <c r="BB117" i="24"/>
  <c r="BB116" i="24"/>
  <c r="BC117" i="24"/>
  <c r="BC116" i="24"/>
  <c r="BD117" i="24"/>
  <c r="BD116" i="24"/>
  <c r="BF117" i="24"/>
  <c r="BG117" i="24"/>
  <c r="BG341" i="24" s="1"/>
  <c r="BH117" i="24"/>
  <c r="BI117" i="24"/>
  <c r="BJ117" i="24"/>
  <c r="BK117" i="24"/>
  <c r="BK341" i="24" s="1"/>
  <c r="BL117" i="24"/>
  <c r="BM117" i="24"/>
  <c r="BN117" i="24"/>
  <c r="BO117" i="24"/>
  <c r="BO341" i="24" s="1"/>
  <c r="AU118" i="24"/>
  <c r="BC118" i="24"/>
  <c r="F125" i="24"/>
  <c r="F122" i="24" s="1"/>
  <c r="G125" i="24"/>
  <c r="H125" i="24"/>
  <c r="I125" i="24"/>
  <c r="J125" i="24"/>
  <c r="J122" i="24" s="1"/>
  <c r="K125" i="24"/>
  <c r="L125" i="24"/>
  <c r="M125" i="24"/>
  <c r="N125" i="24"/>
  <c r="N122" i="24" s="1"/>
  <c r="O125" i="24"/>
  <c r="P125" i="24"/>
  <c r="Q125" i="24"/>
  <c r="R125" i="24"/>
  <c r="R122" i="24" s="1"/>
  <c r="S125" i="24"/>
  <c r="T125" i="24"/>
  <c r="U125" i="24"/>
  <c r="V125" i="24"/>
  <c r="V122" i="24" s="1"/>
  <c r="W125" i="24"/>
  <c r="X125" i="24"/>
  <c r="Y125" i="24"/>
  <c r="Z125" i="24"/>
  <c r="Z122" i="24" s="1"/>
  <c r="AA125" i="24"/>
  <c r="AB125" i="24"/>
  <c r="AC125" i="24"/>
  <c r="AD125" i="24"/>
  <c r="AD122" i="24" s="1"/>
  <c r="AE125" i="24"/>
  <c r="AF125" i="24"/>
  <c r="AG125" i="24"/>
  <c r="AH125" i="24"/>
  <c r="AH122" i="24" s="1"/>
  <c r="AI125" i="24"/>
  <c r="AJ125" i="24"/>
  <c r="AK125" i="24"/>
  <c r="AL125" i="24"/>
  <c r="AL122" i="24" s="1"/>
  <c r="AM125" i="24"/>
  <c r="AN125" i="24"/>
  <c r="AO125" i="24"/>
  <c r="AP125" i="24"/>
  <c r="AP122" i="24" s="1"/>
  <c r="AQ125" i="24"/>
  <c r="AR125" i="24"/>
  <c r="AS125" i="24"/>
  <c r="AT125" i="24"/>
  <c r="AT122" i="24" s="1"/>
  <c r="AU125" i="24"/>
  <c r="AV125" i="24"/>
  <c r="AW125" i="24"/>
  <c r="AX125" i="24"/>
  <c r="AX122" i="24" s="1"/>
  <c r="AY125" i="24"/>
  <c r="AZ125" i="24"/>
  <c r="BA125" i="24"/>
  <c r="BB125" i="24"/>
  <c r="BB122" i="24" s="1"/>
  <c r="BC125" i="24"/>
  <c r="BD125" i="24"/>
  <c r="BP127" i="24"/>
  <c r="AV128" i="24"/>
  <c r="AW128" i="24"/>
  <c r="AX128" i="24"/>
  <c r="AY128" i="24"/>
  <c r="AZ128" i="24"/>
  <c r="BA128" i="24"/>
  <c r="BB128" i="24"/>
  <c r="BC128" i="24"/>
  <c r="BD128" i="24"/>
  <c r="BE128" i="24"/>
  <c r="BF128" i="24"/>
  <c r="BG128" i="24"/>
  <c r="BH128" i="24"/>
  <c r="BI128" i="24"/>
  <c r="BJ128" i="24"/>
  <c r="BK128" i="24"/>
  <c r="BL128" i="24"/>
  <c r="BM128" i="24"/>
  <c r="BN128" i="24"/>
  <c r="BO128" i="24"/>
  <c r="BP128" i="24"/>
  <c r="BQ128" i="24"/>
  <c r="BR128" i="24"/>
  <c r="BS128" i="24"/>
  <c r="BT128" i="24"/>
  <c r="BT129" i="24" s="1"/>
  <c r="BT396" i="24" s="1"/>
  <c r="CL396" i="24" s="1"/>
  <c r="BU128" i="24"/>
  <c r="BV128" i="24"/>
  <c r="BW128" i="24"/>
  <c r="BX128" i="24"/>
  <c r="CI128" i="24"/>
  <c r="CJ128" i="24"/>
  <c r="CK128" i="24"/>
  <c r="CL128" i="24"/>
  <c r="CM128" i="24"/>
  <c r="CN128" i="24"/>
  <c r="CO128" i="24"/>
  <c r="CP128" i="24"/>
  <c r="F131" i="24"/>
  <c r="G131" i="24"/>
  <c r="H131" i="24"/>
  <c r="I131" i="24"/>
  <c r="J131" i="24"/>
  <c r="K131" i="24"/>
  <c r="L131" i="24"/>
  <c r="M131" i="24"/>
  <c r="N131" i="24"/>
  <c r="O131" i="24"/>
  <c r="P131" i="24"/>
  <c r="Q131" i="24"/>
  <c r="R131" i="24"/>
  <c r="S131" i="24"/>
  <c r="T131" i="24"/>
  <c r="U131" i="24"/>
  <c r="V131" i="24"/>
  <c r="W131" i="24"/>
  <c r="X131" i="24"/>
  <c r="Y131" i="24"/>
  <c r="Z131" i="24"/>
  <c r="AA131" i="24"/>
  <c r="AB131" i="24"/>
  <c r="AC131" i="24"/>
  <c r="AD131" i="24"/>
  <c r="AE131" i="24"/>
  <c r="AF131" i="24"/>
  <c r="AG131" i="24"/>
  <c r="AH131" i="24"/>
  <c r="AI131" i="24"/>
  <c r="AJ131" i="24"/>
  <c r="AK131" i="24"/>
  <c r="AL131" i="24"/>
  <c r="AM131" i="24"/>
  <c r="AN131" i="24"/>
  <c r="AO131" i="24"/>
  <c r="AP131" i="24"/>
  <c r="AQ131" i="24"/>
  <c r="AR131" i="24"/>
  <c r="AS131" i="24"/>
  <c r="AT131" i="24"/>
  <c r="AU131" i="24"/>
  <c r="AV131" i="24"/>
  <c r="AW131" i="24"/>
  <c r="AX131" i="24"/>
  <c r="AY131" i="24"/>
  <c r="AZ131" i="24"/>
  <c r="BA131" i="24"/>
  <c r="BB131" i="24"/>
  <c r="F133" i="24"/>
  <c r="G133" i="24"/>
  <c r="G132" i="24" s="1"/>
  <c r="G55" i="24" s="1"/>
  <c r="H133" i="24"/>
  <c r="I133" i="24"/>
  <c r="I132" i="24" s="1"/>
  <c r="I55" i="24" s="1"/>
  <c r="J133" i="24"/>
  <c r="K133" i="24"/>
  <c r="K132" i="24" s="1"/>
  <c r="K55" i="24" s="1"/>
  <c r="L133" i="24"/>
  <c r="M133" i="24"/>
  <c r="M132" i="24" s="1"/>
  <c r="M55" i="24" s="1"/>
  <c r="N133" i="24"/>
  <c r="O133" i="24"/>
  <c r="O132" i="24" s="1"/>
  <c r="O55" i="24" s="1"/>
  <c r="P133" i="24"/>
  <c r="Q133" i="24"/>
  <c r="Q132" i="24" s="1"/>
  <c r="Q55" i="24" s="1"/>
  <c r="R133" i="24"/>
  <c r="S133" i="24"/>
  <c r="S132" i="24" s="1"/>
  <c r="S55" i="24" s="1"/>
  <c r="T133" i="24"/>
  <c r="U133" i="24"/>
  <c r="U132" i="24" s="1"/>
  <c r="U55" i="24" s="1"/>
  <c r="V133" i="24"/>
  <c r="W133" i="24"/>
  <c r="W132" i="24" s="1"/>
  <c r="W55" i="24" s="1"/>
  <c r="X133" i="24"/>
  <c r="Y133" i="24"/>
  <c r="Y132" i="24" s="1"/>
  <c r="Y55" i="24" s="1"/>
  <c r="Z133" i="24"/>
  <c r="AA133" i="24"/>
  <c r="AA132" i="24" s="1"/>
  <c r="AA55" i="24" s="1"/>
  <c r="AB133" i="24"/>
  <c r="AC133" i="24"/>
  <c r="AC132" i="24" s="1"/>
  <c r="AC55" i="24" s="1"/>
  <c r="AD133" i="24"/>
  <c r="AE133" i="24"/>
  <c r="AE132" i="24" s="1"/>
  <c r="AE55" i="24" s="1"/>
  <c r="AF133" i="24"/>
  <c r="AG133" i="24"/>
  <c r="AG132" i="24" s="1"/>
  <c r="AG55" i="24" s="1"/>
  <c r="AH133" i="24"/>
  <c r="AI133" i="24"/>
  <c r="AI132" i="24" s="1"/>
  <c r="AI55" i="24" s="1"/>
  <c r="AJ133" i="24"/>
  <c r="AK133" i="24"/>
  <c r="AK132" i="24" s="1"/>
  <c r="AK55" i="24" s="1"/>
  <c r="AL133" i="24"/>
  <c r="AM133" i="24"/>
  <c r="AM132" i="24" s="1"/>
  <c r="AM55" i="24" s="1"/>
  <c r="AN133" i="24"/>
  <c r="AO133" i="24"/>
  <c r="AO132" i="24" s="1"/>
  <c r="AO55" i="24" s="1"/>
  <c r="AP133" i="24"/>
  <c r="AQ133" i="24"/>
  <c r="AQ132" i="24" s="1"/>
  <c r="AQ55" i="24" s="1"/>
  <c r="AR133" i="24"/>
  <c r="AS133" i="24"/>
  <c r="AS132" i="24" s="1"/>
  <c r="AS55" i="24" s="1"/>
  <c r="AT133" i="24"/>
  <c r="AU133" i="24"/>
  <c r="AU132" i="24" s="1"/>
  <c r="AU55" i="24" s="1"/>
  <c r="AV133" i="24"/>
  <c r="AW133" i="24"/>
  <c r="AX133" i="24"/>
  <c r="AY133" i="24"/>
  <c r="AZ133" i="24"/>
  <c r="BA133" i="24"/>
  <c r="BB133" i="24"/>
  <c r="BC133" i="24"/>
  <c r="BD133" i="24"/>
  <c r="F134" i="24"/>
  <c r="F132" i="24" s="1"/>
  <c r="F55" i="24" s="1"/>
  <c r="G134" i="24"/>
  <c r="H134" i="24"/>
  <c r="H132" i="24" s="1"/>
  <c r="H55" i="24" s="1"/>
  <c r="I134" i="24"/>
  <c r="J134" i="24"/>
  <c r="J132" i="24" s="1"/>
  <c r="J55" i="24" s="1"/>
  <c r="K134" i="24"/>
  <c r="L134" i="24"/>
  <c r="L132" i="24" s="1"/>
  <c r="L55" i="24" s="1"/>
  <c r="M134" i="24"/>
  <c r="N134" i="24"/>
  <c r="N132" i="24" s="1"/>
  <c r="N55" i="24" s="1"/>
  <c r="O134" i="24"/>
  <c r="P134" i="24"/>
  <c r="P132" i="24" s="1"/>
  <c r="P55" i="24" s="1"/>
  <c r="Q134" i="24"/>
  <c r="R134" i="24"/>
  <c r="R132" i="24" s="1"/>
  <c r="R55" i="24" s="1"/>
  <c r="S134" i="24"/>
  <c r="T134" i="24"/>
  <c r="T132" i="24" s="1"/>
  <c r="T55" i="24" s="1"/>
  <c r="U134" i="24"/>
  <c r="V134" i="24"/>
  <c r="V132" i="24" s="1"/>
  <c r="V55" i="24" s="1"/>
  <c r="W134" i="24"/>
  <c r="X134" i="24"/>
  <c r="X132" i="24" s="1"/>
  <c r="X55" i="24" s="1"/>
  <c r="Y134" i="24"/>
  <c r="Z134" i="24"/>
  <c r="Z132" i="24" s="1"/>
  <c r="Z55" i="24" s="1"/>
  <c r="AA134" i="24"/>
  <c r="AB134" i="24"/>
  <c r="AB132" i="24" s="1"/>
  <c r="AB55" i="24" s="1"/>
  <c r="AC134" i="24"/>
  <c r="AD134" i="24"/>
  <c r="AD132" i="24" s="1"/>
  <c r="AD55" i="24" s="1"/>
  <c r="AE134" i="24"/>
  <c r="AF134" i="24"/>
  <c r="AF132" i="24" s="1"/>
  <c r="AF55" i="24" s="1"/>
  <c r="AG134" i="24"/>
  <c r="AH134" i="24"/>
  <c r="AH132" i="24" s="1"/>
  <c r="AH55" i="24" s="1"/>
  <c r="AI134" i="24"/>
  <c r="AJ134" i="24"/>
  <c r="AJ132" i="24" s="1"/>
  <c r="AJ55" i="24" s="1"/>
  <c r="AK134" i="24"/>
  <c r="AL134" i="24"/>
  <c r="AL132" i="24" s="1"/>
  <c r="AL55" i="24" s="1"/>
  <c r="AM134" i="24"/>
  <c r="AN134" i="24"/>
  <c r="AN132" i="24" s="1"/>
  <c r="AN55" i="24" s="1"/>
  <c r="AO134" i="24"/>
  <c r="AP134" i="24"/>
  <c r="AP132" i="24" s="1"/>
  <c r="AP55" i="24" s="1"/>
  <c r="AQ134" i="24"/>
  <c r="AR134" i="24"/>
  <c r="AR132" i="24" s="1"/>
  <c r="AR55" i="24" s="1"/>
  <c r="AS134" i="24"/>
  <c r="AT134" i="24"/>
  <c r="AT132" i="24" s="1"/>
  <c r="AT55" i="24" s="1"/>
  <c r="AU134" i="24"/>
  <c r="AV134" i="24"/>
  <c r="AW134" i="24"/>
  <c r="AX134" i="24"/>
  <c r="AY134" i="24"/>
  <c r="AZ134" i="24"/>
  <c r="BA134" i="24"/>
  <c r="BB134" i="24"/>
  <c r="BC134" i="24"/>
  <c r="BD134" i="24"/>
  <c r="F135" i="24"/>
  <c r="G135" i="24"/>
  <c r="H135" i="24"/>
  <c r="I135" i="24"/>
  <c r="J135" i="24"/>
  <c r="K135" i="24"/>
  <c r="L135" i="24"/>
  <c r="M135" i="24"/>
  <c r="N135" i="24"/>
  <c r="O135" i="24"/>
  <c r="P135" i="24"/>
  <c r="Q135" i="24"/>
  <c r="R135" i="24"/>
  <c r="S135" i="24"/>
  <c r="T135" i="24"/>
  <c r="U135" i="24"/>
  <c r="V135" i="24"/>
  <c r="W135" i="24"/>
  <c r="X135" i="24"/>
  <c r="Y135" i="24"/>
  <c r="Z135" i="24"/>
  <c r="AA135" i="24"/>
  <c r="AB135" i="24"/>
  <c r="AC135" i="24"/>
  <c r="AD135" i="24"/>
  <c r="AE135" i="24"/>
  <c r="AF135" i="24"/>
  <c r="AG135" i="24"/>
  <c r="AH135" i="24"/>
  <c r="AI135" i="24"/>
  <c r="AJ135" i="24"/>
  <c r="AK135" i="24"/>
  <c r="AL135" i="24"/>
  <c r="AM135" i="24"/>
  <c r="AN135" i="24"/>
  <c r="AO135" i="24"/>
  <c r="AP135" i="24"/>
  <c r="AQ135" i="24"/>
  <c r="AR135" i="24"/>
  <c r="AS135" i="24"/>
  <c r="AT135" i="24"/>
  <c r="AU135" i="24"/>
  <c r="AV135" i="24"/>
  <c r="AW135" i="24"/>
  <c r="AX135" i="24"/>
  <c r="AY135" i="24"/>
  <c r="AZ135" i="24"/>
  <c r="BA135" i="24"/>
  <c r="BB135" i="24"/>
  <c r="BC135" i="24"/>
  <c r="BD135" i="24"/>
  <c r="F136" i="24"/>
  <c r="G136" i="24"/>
  <c r="H136" i="24"/>
  <c r="I136" i="24"/>
  <c r="J136" i="24"/>
  <c r="K136" i="24"/>
  <c r="L136" i="24"/>
  <c r="M136" i="24"/>
  <c r="N136" i="24"/>
  <c r="O136" i="24"/>
  <c r="P136" i="24"/>
  <c r="Q136" i="24"/>
  <c r="R136" i="24"/>
  <c r="S136" i="24"/>
  <c r="T136" i="24"/>
  <c r="U136" i="24"/>
  <c r="V136" i="24"/>
  <c r="W136" i="24"/>
  <c r="X136" i="24"/>
  <c r="Y136" i="24"/>
  <c r="Z136" i="24"/>
  <c r="AA136" i="24"/>
  <c r="AB136" i="24"/>
  <c r="AC136" i="24"/>
  <c r="AD136" i="24"/>
  <c r="AE136" i="24"/>
  <c r="AF136" i="24"/>
  <c r="AG136" i="24"/>
  <c r="AH136" i="24"/>
  <c r="AI136" i="24"/>
  <c r="AJ136" i="24"/>
  <c r="AK136" i="24"/>
  <c r="AL136" i="24"/>
  <c r="AM136" i="24"/>
  <c r="AN136" i="24"/>
  <c r="AO136" i="24"/>
  <c r="AP136" i="24"/>
  <c r="AQ136" i="24"/>
  <c r="AR136" i="24"/>
  <c r="AS136" i="24"/>
  <c r="AT136" i="24"/>
  <c r="AU136" i="24"/>
  <c r="AV136" i="24"/>
  <c r="AW136" i="24"/>
  <c r="AX136" i="24"/>
  <c r="AY136" i="24"/>
  <c r="AZ136" i="24"/>
  <c r="BA136" i="24"/>
  <c r="BB136" i="24"/>
  <c r="BC136" i="24"/>
  <c r="BD136" i="24"/>
  <c r="BV154" i="24"/>
  <c r="BW154" i="24"/>
  <c r="CO154" i="24" s="1"/>
  <c r="BX154" i="24"/>
  <c r="BY154" i="24"/>
  <c r="CQ154" i="24" s="1"/>
  <c r="BZ154" i="24"/>
  <c r="CA154" i="24"/>
  <c r="CS154" i="24" s="1"/>
  <c r="CB154" i="24"/>
  <c r="CT154" i="24" s="1"/>
  <c r="CC154" i="24"/>
  <c r="CU154" i="24"/>
  <c r="CD154" i="24"/>
  <c r="CE154" i="24"/>
  <c r="CW154" i="24" s="1"/>
  <c r="CF154" i="24"/>
  <c r="CG154" i="24"/>
  <c r="CY154" i="24" s="1"/>
  <c r="CN154" i="24"/>
  <c r="CP154" i="24"/>
  <c r="CR154" i="24"/>
  <c r="CV154" i="24"/>
  <c r="CX154" i="24"/>
  <c r="BV155" i="24"/>
  <c r="BW155" i="24"/>
  <c r="BX155" i="24" s="1"/>
  <c r="CL155" i="24"/>
  <c r="CM155" i="24"/>
  <c r="CN155" i="24"/>
  <c r="I159" i="24"/>
  <c r="J159" i="24"/>
  <c r="K159" i="24"/>
  <c r="L159" i="24"/>
  <c r="M159" i="24"/>
  <c r="N159" i="24"/>
  <c r="O159" i="24"/>
  <c r="P159" i="24"/>
  <c r="Q159" i="24"/>
  <c r="R159" i="24"/>
  <c r="S159" i="24"/>
  <c r="T159" i="24"/>
  <c r="U159" i="24"/>
  <c r="V159" i="24"/>
  <c r="W159" i="24"/>
  <c r="X159" i="24"/>
  <c r="Y159" i="24"/>
  <c r="Z159" i="24"/>
  <c r="AA159" i="24"/>
  <c r="AB159" i="24"/>
  <c r="AC159" i="24"/>
  <c r="AD159" i="24"/>
  <c r="AE159" i="24"/>
  <c r="AF159" i="24"/>
  <c r="AG159" i="24"/>
  <c r="AH159" i="24"/>
  <c r="AI159" i="24"/>
  <c r="AJ159" i="24"/>
  <c r="AK159" i="24"/>
  <c r="AL159" i="24"/>
  <c r="AM159" i="24"/>
  <c r="AN159" i="24"/>
  <c r="AO159" i="24"/>
  <c r="AP159" i="24"/>
  <c r="AQ159" i="24"/>
  <c r="AR159" i="24"/>
  <c r="AS159" i="24"/>
  <c r="AT159" i="24"/>
  <c r="AU159" i="24"/>
  <c r="AV159" i="24"/>
  <c r="AW159" i="24"/>
  <c r="AX159" i="24"/>
  <c r="AY159" i="24"/>
  <c r="AZ159" i="24"/>
  <c r="BA159" i="24"/>
  <c r="BB159" i="24"/>
  <c r="BC159" i="24"/>
  <c r="BD159" i="24"/>
  <c r="BE159" i="24"/>
  <c r="BF159" i="24"/>
  <c r="BG159" i="24"/>
  <c r="BH159" i="24"/>
  <c r="BI159" i="24"/>
  <c r="BJ159" i="24"/>
  <c r="BK159" i="24"/>
  <c r="BL159" i="24"/>
  <c r="BM159" i="24"/>
  <c r="BN159" i="24"/>
  <c r="BO159" i="24"/>
  <c r="BP159" i="24"/>
  <c r="BQ159" i="24"/>
  <c r="BR159" i="24"/>
  <c r="CJ159" i="24" s="1"/>
  <c r="BS159" i="24"/>
  <c r="CK159" i="24" s="1"/>
  <c r="Z6" i="55" s="1"/>
  <c r="BF161" i="24"/>
  <c r="BG161" i="24"/>
  <c r="BG307" i="24" s="1"/>
  <c r="BG67" i="45" s="1"/>
  <c r="BH161" i="24"/>
  <c r="BI161" i="24"/>
  <c r="BJ161" i="24"/>
  <c r="BK161" i="24"/>
  <c r="BK306" i="24" s="1"/>
  <c r="BL161" i="24"/>
  <c r="BL306" i="24" s="1"/>
  <c r="BM161" i="24"/>
  <c r="BN161" i="24"/>
  <c r="BO161" i="24"/>
  <c r="BO306" i="24" s="1"/>
  <c r="BP161" i="24"/>
  <c r="BP306" i="24" s="1"/>
  <c r="BQ161" i="24"/>
  <c r="CI161" i="24" s="1"/>
  <c r="BR161" i="24"/>
  <c r="BS161" i="24"/>
  <c r="AE164" i="24"/>
  <c r="AF164" i="24"/>
  <c r="AG164" i="24"/>
  <c r="AG308" i="24" s="1"/>
  <c r="AH164" i="24"/>
  <c r="AI164" i="24"/>
  <c r="AJ164" i="24"/>
  <c r="AK164" i="24"/>
  <c r="AK308" i="24" s="1"/>
  <c r="AL164" i="24"/>
  <c r="AM164" i="24"/>
  <c r="AN164" i="24"/>
  <c r="AO164" i="24"/>
  <c r="AO308" i="24" s="1"/>
  <c r="AP164" i="24"/>
  <c r="AQ164" i="24"/>
  <c r="AR164" i="24"/>
  <c r="AS164" i="24"/>
  <c r="AS308" i="24" s="1"/>
  <c r="AT164" i="24"/>
  <c r="AU164" i="24"/>
  <c r="AV164" i="24"/>
  <c r="AW164" i="24"/>
  <c r="AW308" i="24" s="1"/>
  <c r="AX164" i="24"/>
  <c r="AY164" i="24"/>
  <c r="AZ164" i="24"/>
  <c r="BA164" i="24"/>
  <c r="BA308" i="24" s="1"/>
  <c r="BB164" i="24"/>
  <c r="BC164" i="24"/>
  <c r="BD164" i="24"/>
  <c r="BF164" i="24"/>
  <c r="BG164" i="24"/>
  <c r="BH164" i="24"/>
  <c r="BI164" i="24"/>
  <c r="BJ164" i="24"/>
  <c r="BK164" i="24"/>
  <c r="BL164" i="24"/>
  <c r="BM164" i="24"/>
  <c r="BN164" i="24"/>
  <c r="BO164" i="24"/>
  <c r="BP423" i="24" s="1"/>
  <c r="BP164" i="24"/>
  <c r="BQ164" i="24"/>
  <c r="BR164" i="24"/>
  <c r="CJ164" i="24" s="1"/>
  <c r="BS164" i="24"/>
  <c r="CK164" i="24" s="1"/>
  <c r="BF166" i="24"/>
  <c r="BF8" i="64" s="1"/>
  <c r="BG166" i="24"/>
  <c r="BH166" i="24"/>
  <c r="BI166" i="24"/>
  <c r="BJ166" i="24"/>
  <c r="BK166" i="24"/>
  <c r="BL166" i="24"/>
  <c r="BM166" i="24"/>
  <c r="BN166" i="24"/>
  <c r="BO166" i="24"/>
  <c r="BP166" i="24"/>
  <c r="BQ166" i="24"/>
  <c r="CI166" i="24" s="1"/>
  <c r="BR166" i="24"/>
  <c r="CJ166" i="24" s="1"/>
  <c r="BS166" i="24"/>
  <c r="BF167" i="24"/>
  <c r="BG167" i="24"/>
  <c r="BH167" i="24"/>
  <c r="BI167" i="24"/>
  <c r="BJ167" i="24"/>
  <c r="BK167" i="24"/>
  <c r="BK165" i="24" s="1"/>
  <c r="BL167" i="24"/>
  <c r="BM167" i="24"/>
  <c r="BN167" i="24"/>
  <c r="BO167" i="24"/>
  <c r="BP167" i="24"/>
  <c r="BQ167" i="24"/>
  <c r="BR167" i="24"/>
  <c r="CJ167" i="24" s="1"/>
  <c r="BS167" i="24"/>
  <c r="CK167" i="24" s="1"/>
  <c r="A168" i="24"/>
  <c r="A10" i="64" s="1"/>
  <c r="BF169" i="24"/>
  <c r="BG169" i="24"/>
  <c r="BH169" i="24"/>
  <c r="BI169" i="24"/>
  <c r="BJ169" i="24"/>
  <c r="BK169" i="24"/>
  <c r="BK11" i="64" s="1"/>
  <c r="BL169" i="24"/>
  <c r="BM169" i="24"/>
  <c r="BN169" i="24"/>
  <c r="BO169" i="24"/>
  <c r="BP169" i="24"/>
  <c r="BQ169" i="24"/>
  <c r="BR169" i="24"/>
  <c r="BS169" i="24"/>
  <c r="BF170" i="24"/>
  <c r="BG170" i="24"/>
  <c r="BH170" i="24"/>
  <c r="BI170" i="24"/>
  <c r="BJ170" i="24"/>
  <c r="BK170" i="24"/>
  <c r="BL170" i="24"/>
  <c r="BM170" i="24"/>
  <c r="BN170" i="24"/>
  <c r="BO170" i="24"/>
  <c r="BP170" i="24"/>
  <c r="BQ170" i="24"/>
  <c r="BR170" i="24"/>
  <c r="BS170" i="24"/>
  <c r="BF171" i="24"/>
  <c r="BG171" i="24"/>
  <c r="BH171" i="24"/>
  <c r="BI171" i="24"/>
  <c r="BJ171" i="24"/>
  <c r="BK171" i="24"/>
  <c r="BL171" i="24"/>
  <c r="BM171" i="24"/>
  <c r="BN171" i="24"/>
  <c r="BO171" i="24"/>
  <c r="BP171" i="24"/>
  <c r="BQ171" i="24"/>
  <c r="BR171" i="24"/>
  <c r="BS171" i="24"/>
  <c r="A172" i="24"/>
  <c r="A14" i="64" s="1"/>
  <c r="A174" i="24"/>
  <c r="BF174" i="24"/>
  <c r="BF430" i="24" s="1"/>
  <c r="BG174" i="24"/>
  <c r="BH174" i="24"/>
  <c r="BI174" i="24"/>
  <c r="BJ174" i="24"/>
  <c r="BK174" i="24"/>
  <c r="BL174" i="24"/>
  <c r="BM174" i="24"/>
  <c r="BN174" i="24"/>
  <c r="BO174" i="24"/>
  <c r="BP174" i="24"/>
  <c r="BQ174" i="24"/>
  <c r="CI174" i="24" s="1"/>
  <c r="BR174" i="24"/>
  <c r="BS174" i="24"/>
  <c r="CK174" i="24" s="1"/>
  <c r="CJ174" i="24"/>
  <c r="I178" i="24"/>
  <c r="J178" i="24"/>
  <c r="K178" i="24"/>
  <c r="L178" i="24"/>
  <c r="M178" i="24"/>
  <c r="N178" i="24"/>
  <c r="O178" i="24"/>
  <c r="P178" i="24"/>
  <c r="Q178" i="24"/>
  <c r="R178" i="24"/>
  <c r="S178" i="24"/>
  <c r="T178" i="24"/>
  <c r="U178" i="24"/>
  <c r="V178" i="24"/>
  <c r="W178" i="24"/>
  <c r="X178" i="24"/>
  <c r="Y178" i="24"/>
  <c r="Z178" i="24"/>
  <c r="AA178" i="24"/>
  <c r="AB178" i="24"/>
  <c r="AC178" i="24"/>
  <c r="AD178" i="24"/>
  <c r="AE178" i="24"/>
  <c r="AF178" i="24"/>
  <c r="AG178" i="24"/>
  <c r="AH178" i="24"/>
  <c r="AI178" i="24"/>
  <c r="AJ178" i="24"/>
  <c r="AK178" i="24"/>
  <c r="AL178" i="24"/>
  <c r="AM178" i="24"/>
  <c r="AN178" i="24"/>
  <c r="AO178" i="24"/>
  <c r="AP178" i="24"/>
  <c r="AQ178" i="24"/>
  <c r="AR178" i="24"/>
  <c r="AS178" i="24"/>
  <c r="AT178" i="24"/>
  <c r="AU178" i="24"/>
  <c r="AV178" i="24"/>
  <c r="AW178" i="24"/>
  <c r="AX178" i="24"/>
  <c r="AY178" i="24"/>
  <c r="AZ178" i="24"/>
  <c r="BA178" i="24"/>
  <c r="BB178" i="24"/>
  <c r="BC178" i="24"/>
  <c r="BD178" i="24"/>
  <c r="BE178" i="24"/>
  <c r="AD179" i="24"/>
  <c r="AE179" i="24"/>
  <c r="AF179" i="24"/>
  <c r="AF180" i="24" s="1"/>
  <c r="AG179" i="24"/>
  <c r="AH179" i="24"/>
  <c r="AI179" i="24"/>
  <c r="AJ179" i="24"/>
  <c r="AJ180" i="24" s="1"/>
  <c r="AK179" i="24"/>
  <c r="AL179" i="24"/>
  <c r="AM179" i="24"/>
  <c r="AN179" i="24"/>
  <c r="AN180" i="24" s="1"/>
  <c r="AO179" i="24"/>
  <c r="AP179" i="24"/>
  <c r="AQ179" i="24"/>
  <c r="AR179" i="24"/>
  <c r="AR180" i="24" s="1"/>
  <c r="AS179" i="24"/>
  <c r="AT179" i="24"/>
  <c r="AU179" i="24"/>
  <c r="AV179" i="24"/>
  <c r="AV180" i="24" s="1"/>
  <c r="AW179" i="24"/>
  <c r="AX179" i="24"/>
  <c r="AY179" i="24"/>
  <c r="AZ179" i="24"/>
  <c r="AZ180" i="24" s="1"/>
  <c r="BA179" i="24"/>
  <c r="BB179" i="24"/>
  <c r="BB180" i="24" s="1"/>
  <c r="BC179" i="24"/>
  <c r="BD179" i="24"/>
  <c r="BD180" i="24" s="1"/>
  <c r="BF179" i="24"/>
  <c r="BG179" i="24"/>
  <c r="BH179" i="24"/>
  <c r="BI179" i="24"/>
  <c r="BJ179" i="24"/>
  <c r="BK179" i="24"/>
  <c r="BL179" i="24"/>
  <c r="BM179" i="24"/>
  <c r="BN179" i="24"/>
  <c r="BO179" i="24"/>
  <c r="BP179" i="24"/>
  <c r="BR179" i="24"/>
  <c r="BS179" i="24"/>
  <c r="CK179" i="24" s="1"/>
  <c r="BF180" i="24"/>
  <c r="BG180" i="24"/>
  <c r="BH180" i="24"/>
  <c r="BI180" i="24"/>
  <c r="BJ180" i="24"/>
  <c r="BK180" i="24"/>
  <c r="BL180" i="24"/>
  <c r="BM180" i="24"/>
  <c r="BN180" i="24"/>
  <c r="BO180" i="24"/>
  <c r="BP180" i="24"/>
  <c r="BQ180" i="24"/>
  <c r="BR180" i="24"/>
  <c r="CJ180" i="24" s="1"/>
  <c r="BS180" i="24"/>
  <c r="AR188" i="24"/>
  <c r="AS188" i="24"/>
  <c r="AT188" i="24"/>
  <c r="AU188" i="24"/>
  <c r="AU191" i="24" s="1"/>
  <c r="AV188" i="24"/>
  <c r="AW188" i="24"/>
  <c r="AX188" i="24"/>
  <c r="AY188" i="24"/>
  <c r="AY191" i="24" s="1"/>
  <c r="AZ188" i="24"/>
  <c r="BA188" i="24"/>
  <c r="BB188" i="24"/>
  <c r="BC188" i="24"/>
  <c r="BC191" i="24" s="1"/>
  <c r="BD188" i="24"/>
  <c r="BE188" i="24"/>
  <c r="BF188" i="24"/>
  <c r="BG188" i="24"/>
  <c r="BH188" i="24"/>
  <c r="BI188" i="24"/>
  <c r="BJ188" i="24"/>
  <c r="BK188" i="24"/>
  <c r="BL188" i="24"/>
  <c r="BM188" i="24"/>
  <c r="BN188" i="24"/>
  <c r="BO188" i="24"/>
  <c r="BP188" i="24"/>
  <c r="BQ188" i="24"/>
  <c r="BR431" i="24" s="1"/>
  <c r="CJ431" i="24" s="1"/>
  <c r="BR188" i="24"/>
  <c r="BS188" i="24"/>
  <c r="CL188" i="24" s="1"/>
  <c r="A192" i="24"/>
  <c r="A38" i="64"/>
  <c r="F192" i="24"/>
  <c r="G192" i="24"/>
  <c r="G346" i="24" s="1"/>
  <c r="H192" i="24"/>
  <c r="I192" i="24"/>
  <c r="I346" i="24" s="1"/>
  <c r="J192" i="24"/>
  <c r="K192" i="24"/>
  <c r="K346" i="24" s="1"/>
  <c r="L192" i="24"/>
  <c r="M192" i="24"/>
  <c r="M346" i="24" s="1"/>
  <c r="N192" i="24"/>
  <c r="O192" i="24"/>
  <c r="O346" i="24" s="1"/>
  <c r="P192" i="24"/>
  <c r="Q192" i="24"/>
  <c r="Q346" i="24" s="1"/>
  <c r="R192" i="24"/>
  <c r="S192" i="24"/>
  <c r="S346" i="24" s="1"/>
  <c r="T192" i="24"/>
  <c r="U192" i="24"/>
  <c r="U346" i="24" s="1"/>
  <c r="V192" i="24"/>
  <c r="W192" i="24"/>
  <c r="W346" i="24" s="1"/>
  <c r="X192" i="24"/>
  <c r="Y192" i="24"/>
  <c r="Y346" i="24" s="1"/>
  <c r="Z192" i="24"/>
  <c r="AA192" i="24"/>
  <c r="AA346" i="24" s="1"/>
  <c r="AB192" i="24"/>
  <c r="AC192" i="24"/>
  <c r="AC346" i="24" s="1"/>
  <c r="AD192" i="24"/>
  <c r="AE192" i="24"/>
  <c r="AE346" i="24" s="1"/>
  <c r="AF192" i="24"/>
  <c r="AG192" i="24"/>
  <c r="AG346" i="24" s="1"/>
  <c r="AH192" i="24"/>
  <c r="AI192" i="24"/>
  <c r="AI346" i="24" s="1"/>
  <c r="AJ192" i="24"/>
  <c r="AK192" i="24"/>
  <c r="AK346" i="24" s="1"/>
  <c r="AL192" i="24"/>
  <c r="AM192" i="24"/>
  <c r="AM346" i="24" s="1"/>
  <c r="AN192" i="24"/>
  <c r="AO192" i="24"/>
  <c r="AO346" i="24" s="1"/>
  <c r="AP192" i="24"/>
  <c r="AQ192" i="24"/>
  <c r="AQ346" i="24" s="1"/>
  <c r="AR192" i="24"/>
  <c r="AS192" i="24"/>
  <c r="AS346" i="24" s="1"/>
  <c r="AT192" i="24"/>
  <c r="AU192" i="24"/>
  <c r="AU346" i="24" s="1"/>
  <c r="AV192" i="24"/>
  <c r="AW192" i="24"/>
  <c r="AW346" i="24" s="1"/>
  <c r="AX192" i="24"/>
  <c r="AY192" i="24"/>
  <c r="AY346" i="24" s="1"/>
  <c r="AZ192" i="24"/>
  <c r="BA192" i="24"/>
  <c r="BA346" i="24" s="1"/>
  <c r="BB192" i="24"/>
  <c r="BC192" i="24"/>
  <c r="BC346" i="24" s="1"/>
  <c r="BD192" i="24"/>
  <c r="BE192" i="24"/>
  <c r="BE346" i="24" s="1"/>
  <c r="BF192" i="24"/>
  <c r="BF38" i="64"/>
  <c r="BG192" i="24"/>
  <c r="BG38" i="64"/>
  <c r="BH192" i="24"/>
  <c r="BH38" i="64"/>
  <c r="BI192" i="24"/>
  <c r="BI38" i="64"/>
  <c r="BJ192" i="24"/>
  <c r="BJ38" i="64"/>
  <c r="BK192" i="24"/>
  <c r="BK38" i="64"/>
  <c r="BL192" i="24"/>
  <c r="BL38" i="64"/>
  <c r="BM192" i="24"/>
  <c r="BM38" i="64"/>
  <c r="BN192" i="24"/>
  <c r="BN38" i="64"/>
  <c r="BO192" i="24"/>
  <c r="BO38" i="64"/>
  <c r="BP192" i="24"/>
  <c r="BP38" i="64"/>
  <c r="BQ192" i="24"/>
  <c r="BR192" i="24"/>
  <c r="CI192" i="24"/>
  <c r="A193" i="24"/>
  <c r="A39" i="64" s="1"/>
  <c r="BF193" i="24"/>
  <c r="BF39" i="64" s="1"/>
  <c r="BG193" i="24"/>
  <c r="BG39" i="64" s="1"/>
  <c r="BH193" i="24"/>
  <c r="BH39" i="64" s="1"/>
  <c r="BI193" i="24"/>
  <c r="BI39" i="64" s="1"/>
  <c r="BJ193" i="24"/>
  <c r="BJ39" i="64" s="1"/>
  <c r="BK193" i="24"/>
  <c r="BK39" i="64" s="1"/>
  <c r="BL193" i="24"/>
  <c r="BL39" i="64" s="1"/>
  <c r="BM193" i="24"/>
  <c r="BM39" i="64" s="1"/>
  <c r="BN193" i="24"/>
  <c r="BN39" i="64" s="1"/>
  <c r="BO193" i="24"/>
  <c r="BO39" i="64" s="1"/>
  <c r="BP193" i="24"/>
  <c r="BP39" i="64" s="1"/>
  <c r="BQ193" i="24"/>
  <c r="BQ39" i="64" s="1"/>
  <c r="BR193" i="24"/>
  <c r="BR39" i="64" s="1"/>
  <c r="F194" i="24"/>
  <c r="G194" i="24"/>
  <c r="H194" i="24"/>
  <c r="I194" i="24"/>
  <c r="J194" i="24"/>
  <c r="K194" i="24"/>
  <c r="L194" i="24"/>
  <c r="M194" i="24"/>
  <c r="N194" i="24"/>
  <c r="O194" i="24"/>
  <c r="P194" i="24"/>
  <c r="Q194" i="24"/>
  <c r="R194" i="24"/>
  <c r="S194" i="24"/>
  <c r="T194" i="24"/>
  <c r="U194" i="24"/>
  <c r="V194" i="24"/>
  <c r="W194" i="24"/>
  <c r="X194" i="24"/>
  <c r="Y194" i="24"/>
  <c r="Z194" i="24"/>
  <c r="AA194" i="24"/>
  <c r="AB194" i="24"/>
  <c r="AC194" i="24"/>
  <c r="AD194" i="24"/>
  <c r="AE194" i="24"/>
  <c r="AF194" i="24"/>
  <c r="AG194" i="24"/>
  <c r="AH194" i="24"/>
  <c r="AI194" i="24"/>
  <c r="AJ194" i="24"/>
  <c r="AK194" i="24"/>
  <c r="AL194" i="24"/>
  <c r="AM194" i="24"/>
  <c r="AN194" i="24"/>
  <c r="AO194" i="24"/>
  <c r="AP194" i="24"/>
  <c r="AQ194" i="24"/>
  <c r="AR194" i="24"/>
  <c r="AS194" i="24"/>
  <c r="AT194" i="24"/>
  <c r="AU194" i="24"/>
  <c r="AV194" i="24"/>
  <c r="AW194" i="24"/>
  <c r="AX194" i="24"/>
  <c r="AY194" i="24"/>
  <c r="AZ194" i="24"/>
  <c r="BA194" i="24"/>
  <c r="BB194" i="24"/>
  <c r="BC194" i="24"/>
  <c r="BD194" i="24"/>
  <c r="BE194" i="24"/>
  <c r="BF194" i="24"/>
  <c r="BG194" i="24"/>
  <c r="BH194" i="24"/>
  <c r="BI194" i="24"/>
  <c r="BJ194" i="24"/>
  <c r="BK194" i="24"/>
  <c r="BL194" i="24"/>
  <c r="BM194" i="24"/>
  <c r="BN194" i="24"/>
  <c r="BO194" i="24"/>
  <c r="BP194" i="24"/>
  <c r="BQ194" i="24"/>
  <c r="CI194" i="24"/>
  <c r="AN195" i="24"/>
  <c r="AO195" i="24"/>
  <c r="AO278" i="24" s="1"/>
  <c r="AP195" i="24"/>
  <c r="AQ195" i="24"/>
  <c r="AQ278" i="24" s="1"/>
  <c r="AR195" i="24"/>
  <c r="AS195" i="24"/>
  <c r="AS278" i="24" s="1"/>
  <c r="AT195" i="24"/>
  <c r="AU195" i="24"/>
  <c r="AU278" i="24" s="1"/>
  <c r="AV195" i="24"/>
  <c r="AW195" i="24"/>
  <c r="AW278" i="24" s="1"/>
  <c r="AX195" i="24"/>
  <c r="AY195" i="24"/>
  <c r="AY278" i="24" s="1"/>
  <c r="AZ195" i="24"/>
  <c r="BA195" i="24"/>
  <c r="BA278" i="24" s="1"/>
  <c r="BB195" i="24"/>
  <c r="BC195" i="24"/>
  <c r="BC278" i="24" s="1"/>
  <c r="BD195" i="24"/>
  <c r="BE195" i="24"/>
  <c r="BE278" i="24" s="1"/>
  <c r="BF195" i="24"/>
  <c r="BG195" i="24"/>
  <c r="BG278" i="24" s="1"/>
  <c r="BH195" i="24"/>
  <c r="BI195" i="24"/>
  <c r="BI278" i="24" s="1"/>
  <c r="BJ195" i="24"/>
  <c r="BK195" i="24"/>
  <c r="BK278" i="24" s="1"/>
  <c r="BL195" i="24"/>
  <c r="BM195" i="24"/>
  <c r="BM278" i="24" s="1"/>
  <c r="BN195" i="24"/>
  <c r="BO195" i="24"/>
  <c r="BO278" i="24" s="1"/>
  <c r="BP195" i="24"/>
  <c r="BQ195" i="24"/>
  <c r="BQ278" i="24" s="1"/>
  <c r="CI278" i="24" s="1"/>
  <c r="BS195" i="24"/>
  <c r="BT195" i="24"/>
  <c r="CL195" i="24" s="1"/>
  <c r="BP196" i="24"/>
  <c r="BP133" i="24" s="1"/>
  <c r="BQ196" i="24"/>
  <c r="BQ134" i="24" s="1"/>
  <c r="BQ401" i="24" s="1"/>
  <c r="CI401" i="24" s="1"/>
  <c r="BR196" i="24"/>
  <c r="BR133" i="24" s="1"/>
  <c r="BS196" i="24"/>
  <c r="BF207" i="24"/>
  <c r="BG207" i="24"/>
  <c r="BG67" i="24" s="1"/>
  <c r="BG93" i="24" s="1"/>
  <c r="BH207" i="24"/>
  <c r="BI207" i="24"/>
  <c r="BJ207" i="24"/>
  <c r="BK207" i="24"/>
  <c r="BK67" i="24" s="1"/>
  <c r="BL207" i="24"/>
  <c r="BM207" i="24"/>
  <c r="BN207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Z210" i="24"/>
  <c r="AA210" i="24"/>
  <c r="AB210" i="24"/>
  <c r="AC210" i="24"/>
  <c r="AD210" i="24"/>
  <c r="AE210" i="24"/>
  <c r="AF210" i="24"/>
  <c r="AG210" i="24"/>
  <c r="AH210" i="24"/>
  <c r="AI210" i="24"/>
  <c r="AJ210" i="24"/>
  <c r="AK210" i="24"/>
  <c r="AL210" i="24"/>
  <c r="AM210" i="24"/>
  <c r="AN210" i="24"/>
  <c r="AO210" i="24"/>
  <c r="AP210" i="24"/>
  <c r="AQ210" i="24"/>
  <c r="AR210" i="24"/>
  <c r="AS210" i="24"/>
  <c r="AT210" i="24"/>
  <c r="AU210" i="24"/>
  <c r="AV210" i="24"/>
  <c r="AW210" i="24"/>
  <c r="AX210" i="24"/>
  <c r="AY210" i="24"/>
  <c r="AZ210" i="24"/>
  <c r="BA210" i="24"/>
  <c r="BB210" i="24"/>
  <c r="BC210" i="24"/>
  <c r="BD210" i="24"/>
  <c r="BF210" i="24"/>
  <c r="BG210" i="24"/>
  <c r="BH210" i="24"/>
  <c r="BI210" i="24"/>
  <c r="BJ210" i="24"/>
  <c r="BK210" i="24"/>
  <c r="BL211" i="24" s="1"/>
  <c r="BL210" i="24"/>
  <c r="BM210" i="24"/>
  <c r="BN210" i="24"/>
  <c r="BO210" i="24"/>
  <c r="BP210" i="24"/>
  <c r="BQ210" i="24"/>
  <c r="BR210" i="24"/>
  <c r="CI210" i="24"/>
  <c r="CI213" i="24"/>
  <c r="CJ213" i="24"/>
  <c r="CK213" i="24"/>
  <c r="CL213" i="24"/>
  <c r="CM213" i="24"/>
  <c r="CN213" i="24"/>
  <c r="CO213" i="24"/>
  <c r="CP213" i="24"/>
  <c r="CQ213" i="24"/>
  <c r="CR213" i="24"/>
  <c r="CS213" i="24"/>
  <c r="CT213" i="24"/>
  <c r="CU213" i="24"/>
  <c r="CV213" i="24"/>
  <c r="CW213" i="24"/>
  <c r="CX213" i="24"/>
  <c r="CY213" i="24"/>
  <c r="BF232" i="24"/>
  <c r="BG232" i="24"/>
  <c r="BH232" i="24"/>
  <c r="BI232" i="24"/>
  <c r="BJ232" i="24"/>
  <c r="BK232" i="24"/>
  <c r="BL232" i="24"/>
  <c r="BM232" i="24"/>
  <c r="BN232" i="24"/>
  <c r="BO232" i="24"/>
  <c r="BP232" i="24"/>
  <c r="BQ232" i="24"/>
  <c r="BR232" i="24"/>
  <c r="BS232" i="24"/>
  <c r="G243" i="24"/>
  <c r="H243" i="24"/>
  <c r="I243" i="24"/>
  <c r="J243" i="24"/>
  <c r="K243" i="24"/>
  <c r="L243" i="24"/>
  <c r="M243" i="24"/>
  <c r="N243" i="24"/>
  <c r="O243" i="24"/>
  <c r="P243" i="24"/>
  <c r="Q243" i="24"/>
  <c r="R243" i="24"/>
  <c r="S243" i="24"/>
  <c r="T243" i="24"/>
  <c r="U243" i="24"/>
  <c r="V243" i="24"/>
  <c r="W243" i="24"/>
  <c r="X243" i="24"/>
  <c r="Y243" i="24"/>
  <c r="Z243" i="24"/>
  <c r="AA243" i="24"/>
  <c r="AB243" i="24"/>
  <c r="AC243" i="24"/>
  <c r="AD243" i="24"/>
  <c r="AE243" i="24"/>
  <c r="AF243" i="24"/>
  <c r="AG243" i="24"/>
  <c r="AH243" i="24"/>
  <c r="AI243" i="24"/>
  <c r="AJ243" i="24"/>
  <c r="AK243" i="24"/>
  <c r="AL243" i="24"/>
  <c r="AM243" i="24"/>
  <c r="AN243" i="24"/>
  <c r="AO243" i="24"/>
  <c r="AP243" i="24"/>
  <c r="AQ243" i="24"/>
  <c r="AR243" i="24"/>
  <c r="AS243" i="24"/>
  <c r="AT243" i="24"/>
  <c r="AU243" i="24"/>
  <c r="AV243" i="24"/>
  <c r="AW243" i="24"/>
  <c r="AX243" i="24"/>
  <c r="AY243" i="24"/>
  <c r="AZ243" i="24"/>
  <c r="BA243" i="24"/>
  <c r="BB243" i="24"/>
  <c r="BC243" i="24"/>
  <c r="BD243" i="24"/>
  <c r="BE243" i="24"/>
  <c r="BF243" i="24"/>
  <c r="BG243" i="24"/>
  <c r="BH243" i="24"/>
  <c r="BI243" i="24"/>
  <c r="BJ243" i="24"/>
  <c r="BK243" i="24"/>
  <c r="BL243" i="24"/>
  <c r="BM243" i="24"/>
  <c r="BN243" i="24"/>
  <c r="BO243" i="24"/>
  <c r="BP243" i="24"/>
  <c r="BQ243" i="24"/>
  <c r="BR243" i="24"/>
  <c r="CJ243" i="24"/>
  <c r="BS243" i="24"/>
  <c r="CI243" i="24"/>
  <c r="CK243" i="24"/>
  <c r="G252" i="24"/>
  <c r="K252" i="24"/>
  <c r="O252" i="24"/>
  <c r="Q252" i="24"/>
  <c r="S252" i="24"/>
  <c r="W252" i="24"/>
  <c r="AA252" i="24"/>
  <c r="AE252" i="24"/>
  <c r="AI252" i="24"/>
  <c r="AM252" i="24"/>
  <c r="AO252" i="24"/>
  <c r="AQ252" i="24"/>
  <c r="AU252" i="24"/>
  <c r="AY252" i="24"/>
  <c r="BC252" i="24"/>
  <c r="BG252" i="24"/>
  <c r="F253" i="24"/>
  <c r="G253" i="24"/>
  <c r="H253" i="24"/>
  <c r="I253" i="24"/>
  <c r="J253" i="24"/>
  <c r="K253" i="24"/>
  <c r="L253" i="24"/>
  <c r="M253" i="24"/>
  <c r="N253" i="24"/>
  <c r="O253" i="24"/>
  <c r="P253" i="24"/>
  <c r="Q253" i="24"/>
  <c r="R253" i="24"/>
  <c r="S253" i="24"/>
  <c r="T253" i="24"/>
  <c r="U253" i="24"/>
  <c r="V253" i="24"/>
  <c r="W253" i="24"/>
  <c r="X253" i="24"/>
  <c r="Y253" i="24"/>
  <c r="Z253" i="24"/>
  <c r="AA253" i="24"/>
  <c r="AB253" i="24"/>
  <c r="AC253" i="24"/>
  <c r="AD253" i="24"/>
  <c r="AE253" i="24"/>
  <c r="AF253" i="24"/>
  <c r="AG253" i="24"/>
  <c r="AH253" i="24"/>
  <c r="AI253" i="24"/>
  <c r="AJ253" i="24"/>
  <c r="AK253" i="24"/>
  <c r="AL253" i="24"/>
  <c r="AM253" i="24"/>
  <c r="AN253" i="24"/>
  <c r="AO253" i="24"/>
  <c r="AP253" i="24"/>
  <c r="AQ253" i="24"/>
  <c r="AR253" i="24"/>
  <c r="AS253" i="24"/>
  <c r="AT253" i="24"/>
  <c r="AU253" i="24"/>
  <c r="AV253" i="24"/>
  <c r="AW253" i="24"/>
  <c r="AX253" i="24"/>
  <c r="AY253" i="24"/>
  <c r="AZ253" i="24"/>
  <c r="BC253" i="24"/>
  <c r="BJ263" i="24"/>
  <c r="BK263" i="24" s="1"/>
  <c r="BL263" i="24" s="1"/>
  <c r="BM263" i="24" s="1"/>
  <c r="BN263" i="24" s="1"/>
  <c r="BO263" i="24" s="1"/>
  <c r="BP263" i="24" s="1"/>
  <c r="BQ263" i="24" s="1"/>
  <c r="BP274" i="24"/>
  <c r="F277" i="24"/>
  <c r="G277" i="24"/>
  <c r="H277" i="24"/>
  <c r="I277" i="24"/>
  <c r="J277" i="24"/>
  <c r="K277" i="24"/>
  <c r="L277" i="24"/>
  <c r="M277" i="24"/>
  <c r="N277" i="24"/>
  <c r="O277" i="24"/>
  <c r="P277" i="24"/>
  <c r="Q277" i="24"/>
  <c r="R277" i="24"/>
  <c r="S277" i="24"/>
  <c r="T277" i="24"/>
  <c r="U277" i="24"/>
  <c r="V277" i="24"/>
  <c r="W277" i="24"/>
  <c r="X277" i="24"/>
  <c r="Y277" i="24"/>
  <c r="Z277" i="24"/>
  <c r="AA277" i="24"/>
  <c r="AB277" i="24"/>
  <c r="AC277" i="24"/>
  <c r="AD277" i="24"/>
  <c r="AE277" i="24"/>
  <c r="AF277" i="24"/>
  <c r="AG277" i="24"/>
  <c r="AH277" i="24"/>
  <c r="AI277" i="24"/>
  <c r="AJ277" i="24"/>
  <c r="AK277" i="24"/>
  <c r="AL277" i="24"/>
  <c r="AM277" i="24"/>
  <c r="AN277" i="24"/>
  <c r="AO277" i="24"/>
  <c r="AP277" i="24"/>
  <c r="AQ277" i="24"/>
  <c r="AR277" i="24"/>
  <c r="AS277" i="24"/>
  <c r="AT277" i="24"/>
  <c r="AU277" i="24"/>
  <c r="AV277" i="24"/>
  <c r="AW277" i="24"/>
  <c r="AX277" i="24"/>
  <c r="AY277" i="24"/>
  <c r="AZ277" i="24"/>
  <c r="BA277" i="24"/>
  <c r="BB277" i="24"/>
  <c r="BC277" i="24"/>
  <c r="BD277" i="24"/>
  <c r="BE277" i="24"/>
  <c r="BF277" i="24"/>
  <c r="BG277" i="24"/>
  <c r="BH277" i="24"/>
  <c r="BI277" i="24"/>
  <c r="BJ277" i="24"/>
  <c r="BK277" i="24"/>
  <c r="BL277" i="24"/>
  <c r="BM277" i="24"/>
  <c r="BN277" i="24"/>
  <c r="BO277" i="24"/>
  <c r="BP277" i="24"/>
  <c r="BQ277" i="24"/>
  <c r="CI277" i="24" s="1"/>
  <c r="F278" i="24"/>
  <c r="G278" i="24"/>
  <c r="H278" i="24"/>
  <c r="I278" i="24"/>
  <c r="J278" i="24"/>
  <c r="K278" i="24"/>
  <c r="L278" i="24"/>
  <c r="M278" i="24"/>
  <c r="N278" i="24"/>
  <c r="O278" i="24"/>
  <c r="P278" i="24"/>
  <c r="Q278" i="24"/>
  <c r="R278" i="24"/>
  <c r="S278" i="24"/>
  <c r="T278" i="24"/>
  <c r="U278" i="24"/>
  <c r="V278" i="24"/>
  <c r="W278" i="24"/>
  <c r="X278" i="24"/>
  <c r="Y278" i="24"/>
  <c r="Z278" i="24"/>
  <c r="AA278" i="24"/>
  <c r="AB278" i="24"/>
  <c r="AC278" i="24"/>
  <c r="AD278" i="24"/>
  <c r="AE278" i="24"/>
  <c r="AF278" i="24"/>
  <c r="AG278" i="24"/>
  <c r="AH278" i="24"/>
  <c r="AI278" i="24"/>
  <c r="AJ278" i="24"/>
  <c r="AK278" i="24"/>
  <c r="AL278" i="24"/>
  <c r="AM278" i="24"/>
  <c r="AN278" i="24"/>
  <c r="AP278" i="24"/>
  <c r="AR278" i="24"/>
  <c r="AT278" i="24"/>
  <c r="AV278" i="24"/>
  <c r="AX278" i="24"/>
  <c r="AZ278" i="24"/>
  <c r="BB278" i="24"/>
  <c r="BD278" i="24"/>
  <c r="BF278" i="24"/>
  <c r="BH278" i="24"/>
  <c r="BJ278" i="24"/>
  <c r="BL278" i="24"/>
  <c r="BN278" i="24"/>
  <c r="BP278" i="24"/>
  <c r="BS278" i="24"/>
  <c r="CK278" i="24"/>
  <c r="C288" i="24"/>
  <c r="F294" i="24"/>
  <c r="F296" i="24"/>
  <c r="G296" i="24"/>
  <c r="H296" i="24"/>
  <c r="I296" i="24"/>
  <c r="J296" i="24"/>
  <c r="K296" i="24"/>
  <c r="L296" i="24"/>
  <c r="M296" i="24"/>
  <c r="N296" i="24"/>
  <c r="O296" i="24"/>
  <c r="P296" i="24"/>
  <c r="Q296" i="24"/>
  <c r="R296" i="24"/>
  <c r="S296" i="24"/>
  <c r="T296" i="24"/>
  <c r="U296" i="24"/>
  <c r="V296" i="24"/>
  <c r="W296" i="24"/>
  <c r="X296" i="24"/>
  <c r="Y296" i="24"/>
  <c r="Z296" i="24"/>
  <c r="AA296" i="24"/>
  <c r="AB296" i="24"/>
  <c r="AC296" i="24"/>
  <c r="AD296" i="24"/>
  <c r="AE296" i="24"/>
  <c r="AF296" i="24"/>
  <c r="AG296" i="24"/>
  <c r="AH296" i="24"/>
  <c r="AI296" i="24"/>
  <c r="AJ296" i="24"/>
  <c r="AK296" i="24"/>
  <c r="AL296" i="24"/>
  <c r="AM296" i="24"/>
  <c r="AN296" i="24"/>
  <c r="AO296" i="24"/>
  <c r="AP296" i="24"/>
  <c r="AQ296" i="24"/>
  <c r="AR296" i="24"/>
  <c r="AS296" i="24"/>
  <c r="AU296" i="24"/>
  <c r="AY296" i="24"/>
  <c r="BC296" i="24"/>
  <c r="F297" i="24"/>
  <c r="F306" i="24"/>
  <c r="G306" i="24"/>
  <c r="H306" i="24"/>
  <c r="BG306" i="24"/>
  <c r="BI306" i="24"/>
  <c r="BM306" i="24"/>
  <c r="BQ306" i="24"/>
  <c r="CI306" i="24" s="1"/>
  <c r="BI307" i="24"/>
  <c r="BI67" i="45" s="1"/>
  <c r="AE308" i="24"/>
  <c r="AI308" i="24"/>
  <c r="AM308" i="24"/>
  <c r="AQ308" i="24"/>
  <c r="AU308" i="24"/>
  <c r="AY308" i="24"/>
  <c r="BC308" i="24"/>
  <c r="C316" i="24"/>
  <c r="F316" i="24"/>
  <c r="F341" i="24"/>
  <c r="G341" i="24"/>
  <c r="H341" i="24"/>
  <c r="I341" i="24"/>
  <c r="J341" i="24"/>
  <c r="K341" i="24"/>
  <c r="L341" i="24"/>
  <c r="M341" i="24"/>
  <c r="N341" i="24"/>
  <c r="O341" i="24"/>
  <c r="P341" i="24"/>
  <c r="Q341" i="24"/>
  <c r="R341" i="24"/>
  <c r="S341" i="24"/>
  <c r="T341" i="24"/>
  <c r="U341" i="24"/>
  <c r="V341" i="24"/>
  <c r="W341" i="24"/>
  <c r="X341" i="24"/>
  <c r="Y341" i="24"/>
  <c r="Z341" i="24"/>
  <c r="AA341" i="24"/>
  <c r="AB341" i="24"/>
  <c r="AC341" i="24"/>
  <c r="AD341" i="24"/>
  <c r="AE341" i="24"/>
  <c r="AF341" i="24"/>
  <c r="AG341" i="24"/>
  <c r="AH341" i="24"/>
  <c r="AI341" i="24"/>
  <c r="AJ341" i="24"/>
  <c r="AK341" i="24"/>
  <c r="AL341" i="24"/>
  <c r="AM341" i="24"/>
  <c r="AN341" i="24"/>
  <c r="AP341" i="24"/>
  <c r="AQ341" i="24"/>
  <c r="AR341" i="24"/>
  <c r="AS341" i="24"/>
  <c r="AT341" i="24"/>
  <c r="AU341" i="24"/>
  <c r="AV341" i="24"/>
  <c r="AW341" i="24"/>
  <c r="AX341" i="24"/>
  <c r="AY341" i="24"/>
  <c r="AZ341" i="24"/>
  <c r="BA341" i="24"/>
  <c r="BB341" i="24"/>
  <c r="BC341" i="24"/>
  <c r="BD341" i="24"/>
  <c r="F344" i="24"/>
  <c r="G344" i="24"/>
  <c r="H344" i="24"/>
  <c r="I344" i="24"/>
  <c r="J344" i="24"/>
  <c r="K344" i="24"/>
  <c r="L344" i="24"/>
  <c r="M344" i="24"/>
  <c r="N344" i="24"/>
  <c r="O344" i="24"/>
  <c r="P344" i="24"/>
  <c r="Q344" i="24"/>
  <c r="R344" i="24"/>
  <c r="S344" i="24"/>
  <c r="T344" i="24"/>
  <c r="U344" i="24"/>
  <c r="V344" i="24"/>
  <c r="W344" i="24"/>
  <c r="X344" i="24"/>
  <c r="Y344" i="24"/>
  <c r="Z344" i="24"/>
  <c r="AA344" i="24"/>
  <c r="AB344" i="24"/>
  <c r="AC344" i="24"/>
  <c r="AD344" i="24"/>
  <c r="AE344" i="24"/>
  <c r="AF344" i="24"/>
  <c r="AG344" i="24"/>
  <c r="AH344" i="24"/>
  <c r="AI344" i="24"/>
  <c r="AJ344" i="24"/>
  <c r="AK344" i="24"/>
  <c r="AL344" i="24"/>
  <c r="AM344" i="24"/>
  <c r="AN344" i="24"/>
  <c r="AO344" i="24"/>
  <c r="AP344" i="24"/>
  <c r="AQ344" i="24"/>
  <c r="AR344" i="24"/>
  <c r="AS344" i="24"/>
  <c r="AT344" i="24"/>
  <c r="AU344" i="24"/>
  <c r="AV344" i="24"/>
  <c r="AW344" i="24"/>
  <c r="AX344" i="24"/>
  <c r="AY344" i="24"/>
  <c r="AZ344" i="24"/>
  <c r="BA344" i="24"/>
  <c r="BB344" i="24"/>
  <c r="BC344" i="24"/>
  <c r="BD344" i="24"/>
  <c r="BE344" i="24"/>
  <c r="F345" i="24"/>
  <c r="G345" i="24"/>
  <c r="H345" i="24"/>
  <c r="I345" i="24"/>
  <c r="J345" i="24"/>
  <c r="K345" i="24"/>
  <c r="L345" i="24"/>
  <c r="M345" i="24"/>
  <c r="N345" i="24"/>
  <c r="O345" i="24"/>
  <c r="P345" i="24"/>
  <c r="Q345" i="24"/>
  <c r="R345" i="24"/>
  <c r="S345" i="24"/>
  <c r="T345" i="24"/>
  <c r="U345" i="24"/>
  <c r="V345" i="24"/>
  <c r="W345" i="24"/>
  <c r="X345" i="24"/>
  <c r="Y345" i="24"/>
  <c r="Z345" i="24"/>
  <c r="AA345" i="24"/>
  <c r="AB345" i="24"/>
  <c r="AC345" i="24"/>
  <c r="AD345" i="24"/>
  <c r="AE345" i="24"/>
  <c r="AF345" i="24"/>
  <c r="AG345" i="24"/>
  <c r="AH345" i="24"/>
  <c r="AI345" i="24"/>
  <c r="AJ345" i="24"/>
  <c r="AK345" i="24"/>
  <c r="AL345" i="24"/>
  <c r="AM345" i="24"/>
  <c r="AN345" i="24"/>
  <c r="AO345" i="24"/>
  <c r="AP345" i="24"/>
  <c r="AQ345" i="24"/>
  <c r="AR345" i="24"/>
  <c r="AS345" i="24"/>
  <c r="AT345" i="24"/>
  <c r="AU345" i="24"/>
  <c r="AV345" i="24"/>
  <c r="AW345" i="24"/>
  <c r="AX345" i="24"/>
  <c r="AY345" i="24"/>
  <c r="AZ345" i="24"/>
  <c r="BA345" i="24"/>
  <c r="BB345" i="24"/>
  <c r="BC345" i="24"/>
  <c r="BD345" i="24"/>
  <c r="BE345" i="24"/>
  <c r="F346" i="24"/>
  <c r="H346" i="24"/>
  <c r="J346" i="24"/>
  <c r="L346" i="24"/>
  <c r="N346" i="24"/>
  <c r="P346" i="24"/>
  <c r="R346" i="24"/>
  <c r="T346" i="24"/>
  <c r="V346" i="24"/>
  <c r="X346" i="24"/>
  <c r="Z346" i="24"/>
  <c r="AB346" i="24"/>
  <c r="AD346" i="24"/>
  <c r="AF346" i="24"/>
  <c r="AH346" i="24"/>
  <c r="AJ346" i="24"/>
  <c r="AL346" i="24"/>
  <c r="AN346" i="24"/>
  <c r="AP346" i="24"/>
  <c r="AR346" i="24"/>
  <c r="AT346" i="24"/>
  <c r="AV346" i="24"/>
  <c r="AX346" i="24"/>
  <c r="AZ346" i="24"/>
  <c r="BB346" i="24"/>
  <c r="BD346" i="24"/>
  <c r="BF346" i="24"/>
  <c r="BG346" i="24"/>
  <c r="BH346" i="24"/>
  <c r="BI346" i="24"/>
  <c r="BJ346" i="24"/>
  <c r="BK346" i="24"/>
  <c r="BL346" i="24"/>
  <c r="BM346" i="24"/>
  <c r="BN346" i="24"/>
  <c r="BO346" i="24"/>
  <c r="BP346" i="24"/>
  <c r="BQ346" i="24"/>
  <c r="CI346" i="24" s="1"/>
  <c r="BR346" i="24"/>
  <c r="CJ346" i="24" s="1"/>
  <c r="A356" i="24"/>
  <c r="A361" i="24"/>
  <c r="CI364" i="24"/>
  <c r="CJ364" i="24"/>
  <c r="CK364" i="24"/>
  <c r="CL364" i="24"/>
  <c r="CM364" i="24"/>
  <c r="CN364" i="24"/>
  <c r="CO364" i="24"/>
  <c r="CP364" i="24"/>
  <c r="CQ364" i="24"/>
  <c r="CR364" i="24"/>
  <c r="CS364" i="24"/>
  <c r="CT364" i="24"/>
  <c r="CU364" i="24"/>
  <c r="CV364" i="24"/>
  <c r="CW364" i="24"/>
  <c r="CX364" i="24"/>
  <c r="CY364" i="24"/>
  <c r="H366" i="24"/>
  <c r="CI366" i="24"/>
  <c r="CJ366" i="24"/>
  <c r="CK366" i="24"/>
  <c r="CL366" i="24"/>
  <c r="CM366" i="24"/>
  <c r="CN366" i="24"/>
  <c r="CO366" i="24"/>
  <c r="CP366" i="24"/>
  <c r="CQ366" i="24"/>
  <c r="CR366" i="24"/>
  <c r="CS366" i="24"/>
  <c r="CT366" i="24"/>
  <c r="CU366" i="24"/>
  <c r="CV366" i="24"/>
  <c r="CW366" i="24"/>
  <c r="CX366" i="24"/>
  <c r="CY366" i="24"/>
  <c r="CI368" i="24"/>
  <c r="CJ368" i="24"/>
  <c r="CK368" i="24"/>
  <c r="CL368" i="24"/>
  <c r="CM368" i="24"/>
  <c r="CN368" i="24"/>
  <c r="CO368" i="24"/>
  <c r="CP368" i="24"/>
  <c r="CQ368" i="24"/>
  <c r="CR368" i="24"/>
  <c r="CS368" i="24"/>
  <c r="CT368" i="24"/>
  <c r="CU368" i="24"/>
  <c r="CV368" i="24"/>
  <c r="CW368" i="24"/>
  <c r="CX368" i="24"/>
  <c r="CY368" i="24"/>
  <c r="CJ374" i="24"/>
  <c r="CK374" i="24"/>
  <c r="CL374" i="24"/>
  <c r="CM374" i="24"/>
  <c r="CN374" i="24"/>
  <c r="CO374" i="24"/>
  <c r="CP374" i="24"/>
  <c r="CQ374" i="24"/>
  <c r="CR374" i="24"/>
  <c r="CS374" i="24"/>
  <c r="CT374" i="24"/>
  <c r="CU374" i="24"/>
  <c r="CV374" i="24"/>
  <c r="CW374" i="24"/>
  <c r="CX374" i="24"/>
  <c r="CY374" i="24"/>
  <c r="CJ375" i="24"/>
  <c r="CK375" i="24"/>
  <c r="CL375" i="24"/>
  <c r="CM375" i="24"/>
  <c r="CN375" i="24"/>
  <c r="CO375" i="24"/>
  <c r="CP375" i="24"/>
  <c r="CQ375" i="24"/>
  <c r="CR375" i="24"/>
  <c r="CS375" i="24"/>
  <c r="CT375" i="24"/>
  <c r="CU375" i="24"/>
  <c r="CV375" i="24"/>
  <c r="CW375" i="24"/>
  <c r="CX375" i="24"/>
  <c r="CY375" i="24"/>
  <c r="CI376" i="24"/>
  <c r="CJ376" i="24"/>
  <c r="CK376" i="24"/>
  <c r="CL376" i="24"/>
  <c r="CM376" i="24"/>
  <c r="CN376" i="24"/>
  <c r="CO376" i="24"/>
  <c r="CP376" i="24"/>
  <c r="CQ376" i="24"/>
  <c r="CR376" i="24"/>
  <c r="CS376" i="24"/>
  <c r="CT376" i="24"/>
  <c r="CU376" i="24"/>
  <c r="CV376" i="24"/>
  <c r="CW376" i="24"/>
  <c r="CX376" i="24"/>
  <c r="CY376" i="24"/>
  <c r="D382" i="24"/>
  <c r="E382" i="24"/>
  <c r="CI382" i="24"/>
  <c r="CJ382" i="24"/>
  <c r="CK382" i="24"/>
  <c r="CL382" i="24"/>
  <c r="CM382" i="24"/>
  <c r="CN382" i="24"/>
  <c r="CO382" i="24"/>
  <c r="CP382" i="24"/>
  <c r="CQ382" i="24"/>
  <c r="CR382" i="24"/>
  <c r="CS382" i="24"/>
  <c r="CT382" i="24"/>
  <c r="CU382" i="24"/>
  <c r="CV382" i="24"/>
  <c r="CW382" i="24"/>
  <c r="CX382" i="24"/>
  <c r="CY382" i="24"/>
  <c r="D383" i="24"/>
  <c r="E383" i="24"/>
  <c r="CI383" i="24"/>
  <c r="CJ383" i="24"/>
  <c r="CK383" i="24"/>
  <c r="CL383" i="24"/>
  <c r="CM383" i="24"/>
  <c r="CN383" i="24"/>
  <c r="CO383" i="24"/>
  <c r="CP383" i="24"/>
  <c r="CQ383" i="24"/>
  <c r="CR383" i="24"/>
  <c r="CS383" i="24"/>
  <c r="CT383" i="24"/>
  <c r="CU383" i="24"/>
  <c r="CV383" i="24"/>
  <c r="CW383" i="24"/>
  <c r="CX383" i="24"/>
  <c r="CY383" i="24"/>
  <c r="CI386" i="24"/>
  <c r="CJ386" i="24"/>
  <c r="CK386" i="24"/>
  <c r="CL386" i="24"/>
  <c r="CM386" i="24"/>
  <c r="CN386" i="24"/>
  <c r="CO386" i="24"/>
  <c r="CP386" i="24"/>
  <c r="CQ386" i="24"/>
  <c r="CR386" i="24"/>
  <c r="CS386" i="24"/>
  <c r="CT386" i="24"/>
  <c r="CU386" i="24"/>
  <c r="CV386" i="24"/>
  <c r="CW386" i="24"/>
  <c r="CX386" i="24"/>
  <c r="CY386" i="24"/>
  <c r="CI387" i="24"/>
  <c r="CJ387" i="24"/>
  <c r="CK387" i="24"/>
  <c r="CL387" i="24"/>
  <c r="CM387" i="24"/>
  <c r="CN387" i="24"/>
  <c r="CO387" i="24"/>
  <c r="CP387" i="24"/>
  <c r="CQ387" i="24"/>
  <c r="CR387" i="24"/>
  <c r="CS387" i="24"/>
  <c r="CT387" i="24"/>
  <c r="CU387" i="24"/>
  <c r="CV387" i="24"/>
  <c r="CW387" i="24"/>
  <c r="CX387" i="24"/>
  <c r="CY387" i="24"/>
  <c r="CI388" i="24"/>
  <c r="CJ388" i="24"/>
  <c r="CK388" i="24"/>
  <c r="CL388" i="24"/>
  <c r="CM388" i="24"/>
  <c r="CN388" i="24"/>
  <c r="CO388" i="24"/>
  <c r="CP388" i="24"/>
  <c r="CQ388" i="24"/>
  <c r="CR388" i="24"/>
  <c r="CS388" i="24"/>
  <c r="CT388" i="24"/>
  <c r="CU388" i="24"/>
  <c r="CV388" i="24"/>
  <c r="CW388" i="24"/>
  <c r="CX388" i="24"/>
  <c r="CY388" i="24"/>
  <c r="CI394" i="24"/>
  <c r="CJ394" i="24"/>
  <c r="CK394" i="24"/>
  <c r="CL394" i="24"/>
  <c r="CM394" i="24"/>
  <c r="CN394" i="24"/>
  <c r="CO394" i="24"/>
  <c r="CP394" i="24"/>
  <c r="CQ394" i="24"/>
  <c r="CR394" i="24"/>
  <c r="CS394" i="24"/>
  <c r="CT394" i="24"/>
  <c r="CU394" i="24"/>
  <c r="CV394" i="24"/>
  <c r="CW394" i="24"/>
  <c r="CX394" i="24"/>
  <c r="CY394" i="24"/>
  <c r="CI395" i="24"/>
  <c r="CJ395" i="24"/>
  <c r="CK395" i="24"/>
  <c r="CL395" i="24"/>
  <c r="CM395" i="24"/>
  <c r="CN395" i="24"/>
  <c r="CO395" i="24"/>
  <c r="CP395" i="24"/>
  <c r="CQ395" i="24"/>
  <c r="CR395" i="24"/>
  <c r="CS395" i="24"/>
  <c r="CT395" i="24"/>
  <c r="CU395" i="24"/>
  <c r="CV395" i="24"/>
  <c r="CW395" i="24"/>
  <c r="CX395" i="24"/>
  <c r="CY395" i="24"/>
  <c r="CI412" i="24"/>
  <c r="CJ412" i="24"/>
  <c r="CK412" i="24"/>
  <c r="CL412" i="24"/>
  <c r="CM412" i="24"/>
  <c r="CN412" i="24"/>
  <c r="CO412" i="24"/>
  <c r="CP412" i="24"/>
  <c r="CQ412" i="24"/>
  <c r="CR412" i="24"/>
  <c r="CS412" i="24"/>
  <c r="CT412" i="24"/>
  <c r="CU412" i="24"/>
  <c r="CV412" i="24"/>
  <c r="CW412" i="24"/>
  <c r="CX412" i="24"/>
  <c r="CY412" i="24"/>
  <c r="CI414" i="24"/>
  <c r="CJ414" i="24"/>
  <c r="CK414" i="24"/>
  <c r="CL414" i="24"/>
  <c r="CM414" i="24"/>
  <c r="CN414" i="24"/>
  <c r="CO414" i="24"/>
  <c r="CP414" i="24"/>
  <c r="CQ414" i="24"/>
  <c r="CR414" i="24"/>
  <c r="CS414" i="24"/>
  <c r="CT414" i="24"/>
  <c r="CU414" i="24"/>
  <c r="CV414" i="24"/>
  <c r="CW414" i="24"/>
  <c r="CX414" i="24"/>
  <c r="CY414" i="24"/>
  <c r="CI416" i="24"/>
  <c r="CJ416" i="24"/>
  <c r="CK416" i="24"/>
  <c r="CL416" i="24"/>
  <c r="CM416" i="24"/>
  <c r="CN416" i="24"/>
  <c r="CO416" i="24"/>
  <c r="CP416" i="24"/>
  <c r="CQ416" i="24"/>
  <c r="CR416" i="24"/>
  <c r="CS416" i="24"/>
  <c r="CT416" i="24"/>
  <c r="CU416" i="24"/>
  <c r="CV416" i="24"/>
  <c r="CW416" i="24"/>
  <c r="CX416" i="24"/>
  <c r="CY416" i="24"/>
  <c r="BF421" i="24"/>
  <c r="BG421" i="24"/>
  <c r="BH421" i="24"/>
  <c r="BI421" i="24"/>
  <c r="BJ421" i="24"/>
  <c r="BK421" i="24"/>
  <c r="BL421" i="24"/>
  <c r="BM421" i="24"/>
  <c r="BN421" i="24"/>
  <c r="BO421" i="24"/>
  <c r="BP421" i="24"/>
  <c r="BQ421" i="24"/>
  <c r="BR421" i="24"/>
  <c r="BS421" i="24"/>
  <c r="BT421" i="24"/>
  <c r="BU421" i="24"/>
  <c r="BV421" i="24"/>
  <c r="BW421" i="24"/>
  <c r="BX421" i="24"/>
  <c r="BY421" i="24"/>
  <c r="BZ421" i="24"/>
  <c r="CA421" i="24"/>
  <c r="CB421" i="24"/>
  <c r="CC421" i="24"/>
  <c r="CD421" i="24"/>
  <c r="CE421" i="24"/>
  <c r="CF421" i="24"/>
  <c r="CG421" i="24"/>
  <c r="BF424" i="24"/>
  <c r="A433" i="24"/>
  <c r="C433" i="24"/>
  <c r="C434" i="24"/>
  <c r="E1" i="55"/>
  <c r="F1" i="55" s="1"/>
  <c r="G1" i="55" s="1"/>
  <c r="H1" i="55"/>
  <c r="I1" i="55"/>
  <c r="J1" i="55"/>
  <c r="K1" i="55"/>
  <c r="L1" i="55"/>
  <c r="M1" i="55"/>
  <c r="N1" i="55"/>
  <c r="O1" i="55"/>
  <c r="P1" i="55"/>
  <c r="Q1" i="55"/>
  <c r="R1" i="55"/>
  <c r="S1" i="55"/>
  <c r="T1" i="55"/>
  <c r="U1" i="55"/>
  <c r="X1" i="55"/>
  <c r="Y1" i="55"/>
  <c r="Z1" i="55"/>
  <c r="AA1" i="55"/>
  <c r="AB1" i="55"/>
  <c r="AC1" i="55"/>
  <c r="AD1" i="55"/>
  <c r="AE1" i="55"/>
  <c r="AF1" i="55"/>
  <c r="AG1" i="55"/>
  <c r="AH1" i="55"/>
  <c r="AI1" i="55"/>
  <c r="AJ1" i="55"/>
  <c r="AK1" i="55"/>
  <c r="AL1" i="55"/>
  <c r="AM1" i="55"/>
  <c r="AN1" i="55"/>
  <c r="Y6" i="55"/>
  <c r="A7" i="55"/>
  <c r="A6" i="65" s="1"/>
  <c r="A10" i="55"/>
  <c r="A25" i="55"/>
  <c r="A26" i="55"/>
  <c r="A27" i="55"/>
  <c r="A28" i="55"/>
  <c r="A31" i="55"/>
  <c r="AO31" i="55"/>
  <c r="A32" i="55"/>
  <c r="AO32" i="55"/>
  <c r="AH2" i="71"/>
  <c r="AI2" i="71" s="1"/>
  <c r="AJ2" i="71" s="1"/>
  <c r="AA4" i="71"/>
  <c r="N9" i="71"/>
  <c r="P9" i="71"/>
  <c r="R9" i="71"/>
  <c r="T9" i="71"/>
  <c r="V9" i="71"/>
  <c r="AL10" i="71"/>
  <c r="W11" i="71"/>
  <c r="W12" i="71"/>
  <c r="AL13" i="71"/>
  <c r="AL14" i="71"/>
  <c r="AL15" i="71"/>
  <c r="AL16" i="71"/>
  <c r="AL17" i="71"/>
  <c r="AL18" i="71"/>
  <c r="AL19" i="71"/>
  <c r="AL20" i="71"/>
  <c r="AL21" i="71"/>
  <c r="AO2" i="52"/>
  <c r="AN2" i="52" s="1"/>
  <c r="AM2" i="52" s="1"/>
  <c r="AL2" i="52" s="1"/>
  <c r="AK2" i="52" s="1"/>
  <c r="AJ2" i="52" s="1"/>
  <c r="AI2" i="52" s="1"/>
  <c r="AH2" i="52" s="1"/>
  <c r="AG2" i="52" s="1"/>
  <c r="AF2" i="52" s="1"/>
  <c r="AE2" i="52" s="1"/>
  <c r="AD2" i="52" s="1"/>
  <c r="AC2" i="52" s="1"/>
  <c r="AB2" i="52" s="1"/>
  <c r="AA2" i="52" s="1"/>
  <c r="Z2" i="52" s="1"/>
  <c r="Y2" i="52" s="1"/>
  <c r="X2" i="52" s="1"/>
  <c r="W2" i="52" s="1"/>
  <c r="V2" i="52" s="1"/>
  <c r="U2" i="52" s="1"/>
  <c r="T2" i="52" s="1"/>
  <c r="S2" i="52" s="1"/>
  <c r="R2" i="52" s="1"/>
  <c r="Q2" i="52" s="1"/>
  <c r="P2" i="52" s="1"/>
  <c r="O2" i="52" s="1"/>
  <c r="N2" i="52" s="1"/>
  <c r="M2" i="52" s="1"/>
  <c r="L2" i="52" s="1"/>
  <c r="K2" i="52" s="1"/>
  <c r="J2" i="52" s="1"/>
  <c r="I2" i="52" s="1"/>
  <c r="H2" i="52" s="1"/>
  <c r="G2" i="52" s="1"/>
  <c r="F2" i="52" s="1"/>
  <c r="BR2" i="52"/>
  <c r="BS2" i="52" s="1"/>
  <c r="BT2" i="52" s="1"/>
  <c r="BU2" i="52" s="1"/>
  <c r="BV2" i="52" s="1"/>
  <c r="BW2" i="52" s="1"/>
  <c r="BX2" i="52" s="1"/>
  <c r="BY2" i="52" s="1"/>
  <c r="BZ2" i="52" s="1"/>
  <c r="CA2" i="52" s="1"/>
  <c r="CB2" i="52" s="1"/>
  <c r="CC2" i="52" s="1"/>
  <c r="CD2" i="52" s="1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AH20" i="52"/>
  <c r="AI20" i="52"/>
  <c r="AJ20" i="52"/>
  <c r="AK20" i="52"/>
  <c r="AL20" i="52"/>
  <c r="AM20" i="52"/>
  <c r="AN20" i="52"/>
  <c r="AO20" i="52"/>
  <c r="AP20" i="52"/>
  <c r="AQ20" i="52"/>
  <c r="AR20" i="52"/>
  <c r="AS20" i="52"/>
  <c r="AT20" i="52"/>
  <c r="AU20" i="52"/>
  <c r="AV20" i="52"/>
  <c r="AW20" i="52"/>
  <c r="AX20" i="52"/>
  <c r="AY20" i="52"/>
  <c r="AZ20" i="52"/>
  <c r="BA20" i="52"/>
  <c r="F21" i="52"/>
  <c r="F9" i="24" s="1"/>
  <c r="G21" i="52"/>
  <c r="G9" i="24" s="1"/>
  <c r="H21" i="52"/>
  <c r="H9" i="24" s="1"/>
  <c r="I21" i="52"/>
  <c r="J21" i="52"/>
  <c r="J9" i="24" s="1"/>
  <c r="K21" i="52"/>
  <c r="K9" i="24" s="1"/>
  <c r="L21" i="52"/>
  <c r="L9" i="24" s="1"/>
  <c r="M21" i="52"/>
  <c r="N21" i="52"/>
  <c r="N9" i="24" s="1"/>
  <c r="O21" i="52"/>
  <c r="P21" i="52"/>
  <c r="P9" i="24" s="1"/>
  <c r="Q21" i="52"/>
  <c r="R21" i="52"/>
  <c r="R9" i="24" s="1"/>
  <c r="S21" i="52"/>
  <c r="S9" i="24" s="1"/>
  <c r="T21" i="52"/>
  <c r="T9" i="24" s="1"/>
  <c r="U21" i="52"/>
  <c r="V21" i="52"/>
  <c r="V9" i="24" s="1"/>
  <c r="W21" i="52"/>
  <c r="X21" i="52"/>
  <c r="X9" i="24" s="1"/>
  <c r="Y21" i="52"/>
  <c r="Z21" i="52"/>
  <c r="Z9" i="24" s="1"/>
  <c r="AA21" i="52"/>
  <c r="AA9" i="24" s="1"/>
  <c r="AB21" i="52"/>
  <c r="AB9" i="24" s="1"/>
  <c r="AC21" i="52"/>
  <c r="AD21" i="52"/>
  <c r="AD9" i="24" s="1"/>
  <c r="AE21" i="52"/>
  <c r="AF21" i="52"/>
  <c r="AF9" i="24" s="1"/>
  <c r="AG21" i="52"/>
  <c r="AH21" i="52"/>
  <c r="AH9" i="24" s="1"/>
  <c r="AI21" i="52"/>
  <c r="AI9" i="24" s="1"/>
  <c r="AJ21" i="52"/>
  <c r="AJ9" i="24" s="1"/>
  <c r="AK21" i="52"/>
  <c r="AL21" i="52"/>
  <c r="AL9" i="24" s="1"/>
  <c r="AM21" i="52"/>
  <c r="AN21" i="52"/>
  <c r="AN9" i="24" s="1"/>
  <c r="AO21" i="52"/>
  <c r="AP21" i="52"/>
  <c r="AP9" i="24" s="1"/>
  <c r="AQ21" i="52"/>
  <c r="AQ9" i="24" s="1"/>
  <c r="AR21" i="52"/>
  <c r="AR9" i="24" s="1"/>
  <c r="AS21" i="52"/>
  <c r="AT21" i="52"/>
  <c r="AT9" i="24" s="1"/>
  <c r="AU21" i="52"/>
  <c r="AV21" i="52"/>
  <c r="AV9" i="24" s="1"/>
  <c r="AW21" i="52"/>
  <c r="AX21" i="52"/>
  <c r="AX9" i="24" s="1"/>
  <c r="AY21" i="52"/>
  <c r="AY9" i="24" s="1"/>
  <c r="AZ21" i="52"/>
  <c r="AZ9" i="24" s="1"/>
  <c r="BA21" i="52"/>
  <c r="BB21" i="52"/>
  <c r="BB9" i="24" s="1"/>
  <c r="F22" i="52"/>
  <c r="G22" i="52"/>
  <c r="H22" i="52"/>
  <c r="H13" i="24" s="1"/>
  <c r="I22" i="52"/>
  <c r="I13" i="24" s="1"/>
  <c r="J22" i="52"/>
  <c r="K22" i="52"/>
  <c r="K13" i="24" s="1"/>
  <c r="L22" i="52"/>
  <c r="M22" i="52"/>
  <c r="M13" i="24" s="1"/>
  <c r="N22" i="52"/>
  <c r="O22" i="52"/>
  <c r="O13" i="24" s="1"/>
  <c r="P22" i="52"/>
  <c r="P13" i="24" s="1"/>
  <c r="Q22" i="52"/>
  <c r="Q13" i="24" s="1"/>
  <c r="R22" i="52"/>
  <c r="S22" i="52"/>
  <c r="T22" i="52"/>
  <c r="U22" i="52"/>
  <c r="U13" i="24" s="1"/>
  <c r="V22" i="52"/>
  <c r="W22" i="52"/>
  <c r="W13" i="24" s="1"/>
  <c r="X22" i="52"/>
  <c r="Y22" i="52"/>
  <c r="Y13" i="24" s="1"/>
  <c r="Z22" i="52"/>
  <c r="AA22" i="52"/>
  <c r="AA13" i="24" s="1"/>
  <c r="AB22" i="52"/>
  <c r="AC22" i="52"/>
  <c r="AC13" i="24" s="1"/>
  <c r="AD22" i="52"/>
  <c r="AE22" i="52"/>
  <c r="AE13" i="24" s="1"/>
  <c r="AF22" i="52"/>
  <c r="AF13" i="24" s="1"/>
  <c r="AG22" i="52"/>
  <c r="AG13" i="24" s="1"/>
  <c r="AH22" i="52"/>
  <c r="AI22" i="52"/>
  <c r="AJ22" i="52"/>
  <c r="AK22" i="52"/>
  <c r="AK13" i="24" s="1"/>
  <c r="AL22" i="52"/>
  <c r="AM22" i="52"/>
  <c r="AM13" i="24" s="1"/>
  <c r="AN22" i="52"/>
  <c r="AO22" i="52"/>
  <c r="AO13" i="24" s="1"/>
  <c r="AP22" i="52"/>
  <c r="AQ22" i="52"/>
  <c r="AQ13" i="24" s="1"/>
  <c r="AR22" i="52"/>
  <c r="AS22" i="52"/>
  <c r="AS13" i="24" s="1"/>
  <c r="AT22" i="52"/>
  <c r="AU22" i="52"/>
  <c r="AU13" i="24" s="1"/>
  <c r="AV22" i="52"/>
  <c r="AV13" i="24" s="1"/>
  <c r="AW22" i="52"/>
  <c r="AW13" i="24" s="1"/>
  <c r="AX22" i="52"/>
  <c r="AY22" i="52"/>
  <c r="AZ22" i="52"/>
  <c r="BA22" i="52"/>
  <c r="BA13" i="24" s="1"/>
  <c r="BB22" i="52"/>
  <c r="BB13" i="24" s="1"/>
  <c r="F23" i="52"/>
  <c r="F14" i="24" s="1"/>
  <c r="G23" i="52"/>
  <c r="G14" i="24" s="1"/>
  <c r="H23" i="52"/>
  <c r="H14" i="24" s="1"/>
  <c r="I23" i="52"/>
  <c r="I14" i="24" s="1"/>
  <c r="J23" i="52"/>
  <c r="J14" i="24" s="1"/>
  <c r="K23" i="52"/>
  <c r="L23" i="52"/>
  <c r="L14" i="24" s="1"/>
  <c r="M23" i="52"/>
  <c r="M14" i="24" s="1"/>
  <c r="N23" i="52"/>
  <c r="N14" i="24" s="1"/>
  <c r="O23" i="52"/>
  <c r="O14" i="24" s="1"/>
  <c r="P23" i="52"/>
  <c r="P14" i="24" s="1"/>
  <c r="Q23" i="52"/>
  <c r="Q14" i="24" s="1"/>
  <c r="R23" i="52"/>
  <c r="R14" i="24" s="1"/>
  <c r="S23" i="52"/>
  <c r="S14" i="24" s="1"/>
  <c r="T23" i="52"/>
  <c r="T14" i="24" s="1"/>
  <c r="U23" i="52"/>
  <c r="U14" i="24" s="1"/>
  <c r="V23" i="52"/>
  <c r="V14" i="24" s="1"/>
  <c r="W23" i="52"/>
  <c r="W14" i="24" s="1"/>
  <c r="X23" i="52"/>
  <c r="X14" i="24" s="1"/>
  <c r="Y23" i="52"/>
  <c r="Y14" i="24" s="1"/>
  <c r="Z23" i="52"/>
  <c r="Z14" i="24" s="1"/>
  <c r="AA23" i="52"/>
  <c r="AA14" i="24" s="1"/>
  <c r="AB23" i="52"/>
  <c r="AB14" i="24" s="1"/>
  <c r="AC23" i="52"/>
  <c r="AC14" i="24" s="1"/>
  <c r="AD23" i="52"/>
  <c r="AD14" i="24" s="1"/>
  <c r="AE23" i="52"/>
  <c r="AE14" i="24" s="1"/>
  <c r="AF23" i="52"/>
  <c r="AF14" i="24" s="1"/>
  <c r="AG23" i="52"/>
  <c r="AG14" i="24" s="1"/>
  <c r="AH23" i="52"/>
  <c r="AH14" i="24" s="1"/>
  <c r="AI23" i="52"/>
  <c r="AI14" i="24" s="1"/>
  <c r="AJ23" i="52"/>
  <c r="AJ14" i="24" s="1"/>
  <c r="AK23" i="52"/>
  <c r="AK14" i="24" s="1"/>
  <c r="AL23" i="52"/>
  <c r="AL14" i="24" s="1"/>
  <c r="AM23" i="52"/>
  <c r="AM14" i="24" s="1"/>
  <c r="AN23" i="52"/>
  <c r="AN14" i="24" s="1"/>
  <c r="AO23" i="52"/>
  <c r="AO14" i="24" s="1"/>
  <c r="AP23" i="52"/>
  <c r="AP14" i="24" s="1"/>
  <c r="AQ23" i="52"/>
  <c r="AQ14" i="24" s="1"/>
  <c r="AR23" i="52"/>
  <c r="AR14" i="24" s="1"/>
  <c r="AS23" i="52"/>
  <c r="AS14" i="24" s="1"/>
  <c r="AT23" i="52"/>
  <c r="AT14" i="24" s="1"/>
  <c r="AU23" i="52"/>
  <c r="AU14" i="24" s="1"/>
  <c r="AV23" i="52"/>
  <c r="AV14" i="24" s="1"/>
  <c r="AW23" i="52"/>
  <c r="AW14" i="24" s="1"/>
  <c r="AX23" i="52"/>
  <c r="AX14" i="24" s="1"/>
  <c r="AY23" i="52"/>
  <c r="AY14" i="24" s="1"/>
  <c r="AZ23" i="52"/>
  <c r="AZ14" i="24" s="1"/>
  <c r="BA23" i="52"/>
  <c r="BA14" i="24" s="1"/>
  <c r="BB23" i="52"/>
  <c r="BB14" i="24" s="1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AE25" i="52"/>
  <c r="AF25" i="52"/>
  <c r="AG25" i="52"/>
  <c r="AH25" i="52"/>
  <c r="AI25" i="52"/>
  <c r="AJ25" i="52"/>
  <c r="AK25" i="52"/>
  <c r="AL25" i="52"/>
  <c r="AM25" i="52"/>
  <c r="AN25" i="52"/>
  <c r="AO25" i="52"/>
  <c r="AP25" i="52"/>
  <c r="AQ25" i="52"/>
  <c r="AR25" i="52"/>
  <c r="AS25" i="52"/>
  <c r="AT25" i="52"/>
  <c r="AU25" i="52"/>
  <c r="AV25" i="52"/>
  <c r="AW25" i="52"/>
  <c r="AX25" i="52"/>
  <c r="AY25" i="52"/>
  <c r="AZ25" i="52"/>
  <c r="BA25" i="52"/>
  <c r="BB25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B26" i="52"/>
  <c r="AC26" i="52"/>
  <c r="AD26" i="52"/>
  <c r="AE26" i="52"/>
  <c r="AF26" i="52"/>
  <c r="AG26" i="52"/>
  <c r="AH26" i="52"/>
  <c r="AI26" i="52"/>
  <c r="AJ26" i="52"/>
  <c r="AK26" i="52"/>
  <c r="AL26" i="52"/>
  <c r="AM26" i="52"/>
  <c r="AN26" i="52"/>
  <c r="AO26" i="52"/>
  <c r="AP26" i="52"/>
  <c r="AQ26" i="52"/>
  <c r="AR26" i="52"/>
  <c r="AS26" i="52"/>
  <c r="AT26" i="52"/>
  <c r="AU26" i="52"/>
  <c r="AV26" i="52"/>
  <c r="AW26" i="52"/>
  <c r="AX26" i="52"/>
  <c r="AY26" i="52"/>
  <c r="AZ26" i="52"/>
  <c r="BA26" i="52"/>
  <c r="BB26" i="52"/>
  <c r="BC27" i="52"/>
  <c r="BD27" i="52"/>
  <c r="BE27" i="52"/>
  <c r="BF27" i="52"/>
  <c r="BG27" i="52"/>
  <c r="BH27" i="52"/>
  <c r="BI27" i="52"/>
  <c r="BJ27" i="52"/>
  <c r="I29" i="52"/>
  <c r="J29" i="52"/>
  <c r="K29" i="52"/>
  <c r="L29" i="52"/>
  <c r="M29" i="52"/>
  <c r="N29" i="52"/>
  <c r="N17" i="24" s="1"/>
  <c r="O29" i="52"/>
  <c r="P29" i="52"/>
  <c r="Q29" i="52"/>
  <c r="R29" i="52"/>
  <c r="R17" i="24" s="1"/>
  <c r="S29" i="52"/>
  <c r="T29" i="52"/>
  <c r="U29" i="52"/>
  <c r="V29" i="52"/>
  <c r="W29" i="52"/>
  <c r="X29" i="52"/>
  <c r="Y29" i="52"/>
  <c r="Z29" i="52"/>
  <c r="AA29" i="52"/>
  <c r="AB29" i="52"/>
  <c r="AC29" i="52"/>
  <c r="AC17" i="24" s="1"/>
  <c r="AD29" i="52"/>
  <c r="AD17" i="24" s="1"/>
  <c r="AD337" i="24" s="1"/>
  <c r="AE29" i="52"/>
  <c r="AF29" i="52"/>
  <c r="AG29" i="52"/>
  <c r="AH29" i="52"/>
  <c r="AH17" i="24" s="1"/>
  <c r="AI29" i="52"/>
  <c r="AJ29" i="52"/>
  <c r="AK29" i="52"/>
  <c r="AL29" i="52"/>
  <c r="AL17" i="24" s="1"/>
  <c r="AM29" i="52"/>
  <c r="AN29" i="52"/>
  <c r="AO29" i="52"/>
  <c r="AP29" i="52"/>
  <c r="AQ29" i="52"/>
  <c r="AQ17" i="24" s="1"/>
  <c r="AR29" i="52"/>
  <c r="AR17" i="24" s="1"/>
  <c r="AR348" i="24" s="1"/>
  <c r="AS29" i="52"/>
  <c r="AS17" i="24" s="1"/>
  <c r="AS245" i="24" s="1"/>
  <c r="AT29" i="52"/>
  <c r="AT17" i="24" s="1"/>
  <c r="AT309" i="24" s="1"/>
  <c r="AT361" i="24" s="1"/>
  <c r="AU29" i="52"/>
  <c r="AU17" i="24" s="1"/>
  <c r="AV29" i="52"/>
  <c r="AV17" i="24" s="1"/>
  <c r="AV319" i="24" s="1"/>
  <c r="AW29" i="52"/>
  <c r="AW17" i="24" s="1"/>
  <c r="AX29" i="52"/>
  <c r="AX17" i="24" s="1"/>
  <c r="AY29" i="52"/>
  <c r="AY17" i="24" s="1"/>
  <c r="AZ29" i="52"/>
  <c r="AZ17" i="24" s="1"/>
  <c r="BA29" i="52"/>
  <c r="BA17" i="24" s="1"/>
  <c r="BB29" i="52"/>
  <c r="BB17" i="24" s="1"/>
  <c r="BC29" i="52"/>
  <c r="BC17" i="24" s="1"/>
  <c r="BD29" i="52"/>
  <c r="BD17" i="24" s="1"/>
  <c r="BE29" i="52"/>
  <c r="BE17" i="24" s="1"/>
  <c r="BF29" i="52"/>
  <c r="BF17" i="24" s="1"/>
  <c r="BF52" i="24" s="1"/>
  <c r="BF353" i="24" s="1"/>
  <c r="BG29" i="52"/>
  <c r="BG17" i="24" s="1"/>
  <c r="BG52" i="24" s="1"/>
  <c r="BH29" i="52"/>
  <c r="BH17" i="24" s="1"/>
  <c r="BH52" i="24" s="1"/>
  <c r="BI29" i="52"/>
  <c r="BI17" i="24" s="1"/>
  <c r="BI52" i="24" s="1"/>
  <c r="BJ29" i="52"/>
  <c r="BJ17" i="24" s="1"/>
  <c r="BJ332" i="24" s="1"/>
  <c r="BK29" i="52"/>
  <c r="BK17" i="24" s="1"/>
  <c r="BK52" i="24" s="1"/>
  <c r="BL29" i="52"/>
  <c r="BL17" i="24" s="1"/>
  <c r="BM29" i="52"/>
  <c r="BM17" i="24" s="1"/>
  <c r="BM18" i="24" s="1"/>
  <c r="BN29" i="52"/>
  <c r="BN17" i="24" s="1"/>
  <c r="BN52" i="24" s="1"/>
  <c r="BO29" i="52"/>
  <c r="BO17" i="24" s="1"/>
  <c r="BP29" i="52"/>
  <c r="BP17" i="24" s="1"/>
  <c r="BQ29" i="52"/>
  <c r="BQ17" i="24" s="1"/>
  <c r="BQ52" i="24" s="1"/>
  <c r="BR29" i="52"/>
  <c r="BR17" i="24" s="1"/>
  <c r="CJ17" i="24" s="1"/>
  <c r="BS29" i="52"/>
  <c r="BS17" i="24" s="1"/>
  <c r="AP36" i="52"/>
  <c r="AQ36" i="52"/>
  <c r="AR36" i="52"/>
  <c r="AS36" i="52"/>
  <c r="AT36" i="52"/>
  <c r="AU36" i="52"/>
  <c r="AV36" i="52"/>
  <c r="AW36" i="52"/>
  <c r="AX36" i="52"/>
  <c r="AY36" i="52"/>
  <c r="AZ36" i="52"/>
  <c r="BA36" i="52"/>
  <c r="BB36" i="52"/>
  <c r="BC36" i="52"/>
  <c r="BD36" i="52"/>
  <c r="H44" i="52"/>
  <c r="H45" i="52"/>
  <c r="I45" i="52" s="1"/>
  <c r="I47" i="52"/>
  <c r="J47" i="52" s="1"/>
  <c r="K47" i="52" s="1"/>
  <c r="L47" i="52" s="1"/>
  <c r="M47" i="52" s="1"/>
  <c r="N47" i="52" s="1"/>
  <c r="O47" i="52" s="1"/>
  <c r="P47" i="52" s="1"/>
  <c r="Q47" i="52" s="1"/>
  <c r="R47" i="52" s="1"/>
  <c r="S47" i="52" s="1"/>
  <c r="T47" i="52" s="1"/>
  <c r="U47" i="52" s="1"/>
  <c r="V47" i="52" s="1"/>
  <c r="W47" i="52" s="1"/>
  <c r="X47" i="52" s="1"/>
  <c r="Y47" i="52" s="1"/>
  <c r="Z47" i="52" s="1"/>
  <c r="AA47" i="52" s="1"/>
  <c r="AB47" i="52" s="1"/>
  <c r="AC47" i="52" s="1"/>
  <c r="AD47" i="52" s="1"/>
  <c r="AE47" i="52" s="1"/>
  <c r="AF47" i="52" s="1"/>
  <c r="AG47" i="52" s="1"/>
  <c r="AH47" i="52" s="1"/>
  <c r="AI47" i="52" s="1"/>
  <c r="AJ47" i="52" s="1"/>
  <c r="AK47" i="52" s="1"/>
  <c r="AL47" i="52" s="1"/>
  <c r="AM47" i="52" s="1"/>
  <c r="AN47" i="52" s="1"/>
  <c r="AO47" i="52" s="1"/>
  <c r="AP47" i="52" s="1"/>
  <c r="AQ47" i="52" s="1"/>
  <c r="AR47" i="52" s="1"/>
  <c r="AS47" i="52" s="1"/>
  <c r="AT47" i="52" s="1"/>
  <c r="AU47" i="52" s="1"/>
  <c r="AV47" i="52" s="1"/>
  <c r="AW47" i="52" s="1"/>
  <c r="AX47" i="52" s="1"/>
  <c r="AY47" i="52" s="1"/>
  <c r="AZ47" i="52" s="1"/>
  <c r="BA47" i="52" s="1"/>
  <c r="BB47" i="52" s="1"/>
  <c r="BC47" i="52" s="1"/>
  <c r="BD47" i="52" s="1"/>
  <c r="BE47" i="52" s="1"/>
  <c r="BF47" i="52" s="1"/>
  <c r="BG47" i="52" s="1"/>
  <c r="BH47" i="52" s="1"/>
  <c r="BI47" i="52" s="1"/>
  <c r="BJ47" i="52" s="1"/>
  <c r="BK47" i="52" s="1"/>
  <c r="BL47" i="52" s="1"/>
  <c r="BM47" i="52" s="1"/>
  <c r="BN47" i="52" s="1"/>
  <c r="BO47" i="52" s="1"/>
  <c r="W50" i="52"/>
  <c r="X50" i="52" s="1"/>
  <c r="Y50" i="52" s="1"/>
  <c r="Z50" i="52" s="1"/>
  <c r="AA50" i="52" s="1"/>
  <c r="AB52" i="52"/>
  <c r="AC52" i="52" s="1"/>
  <c r="AD52" i="52" s="1"/>
  <c r="AE52" i="52" s="1"/>
  <c r="AF52" i="52" s="1"/>
  <c r="F59" i="52"/>
  <c r="G59" i="52"/>
  <c r="H59" i="52"/>
  <c r="I59" i="52"/>
  <c r="J59" i="52"/>
  <c r="K59" i="52"/>
  <c r="L59" i="52"/>
  <c r="M59" i="52"/>
  <c r="N59" i="52"/>
  <c r="O59" i="52"/>
  <c r="P59" i="52"/>
  <c r="Q59" i="52"/>
  <c r="R59" i="52"/>
  <c r="S59" i="52"/>
  <c r="T59" i="52"/>
  <c r="U59" i="52"/>
  <c r="V59" i="52"/>
  <c r="W59" i="52"/>
  <c r="X59" i="52"/>
  <c r="Y59" i="52"/>
  <c r="Z59" i="52"/>
  <c r="AA59" i="52"/>
  <c r="AB59" i="52"/>
  <c r="AC59" i="52"/>
  <c r="AD59" i="52"/>
  <c r="AE59" i="52"/>
  <c r="AF59" i="52"/>
  <c r="AG59" i="52"/>
  <c r="AH59" i="52"/>
  <c r="AI59" i="52"/>
  <c r="AJ59" i="52"/>
  <c r="AK59" i="52"/>
  <c r="AL59" i="52"/>
  <c r="AM59" i="52"/>
  <c r="AN59" i="52"/>
  <c r="AO59" i="52"/>
  <c r="AP59" i="52"/>
  <c r="AQ59" i="52"/>
  <c r="AR59" i="52"/>
  <c r="AS59" i="52"/>
  <c r="AT59" i="52"/>
  <c r="AU59" i="52"/>
  <c r="AV59" i="52"/>
  <c r="AW59" i="52"/>
  <c r="AX59" i="52"/>
  <c r="AY59" i="52"/>
  <c r="AZ59" i="52"/>
  <c r="F60" i="52"/>
  <c r="G60" i="52"/>
  <c r="H60" i="52"/>
  <c r="I60" i="52"/>
  <c r="J60" i="52"/>
  <c r="K60" i="52"/>
  <c r="L60" i="52"/>
  <c r="M60" i="52"/>
  <c r="N60" i="52"/>
  <c r="O60" i="52"/>
  <c r="P60" i="52"/>
  <c r="Q60" i="52"/>
  <c r="R60" i="52"/>
  <c r="S60" i="52"/>
  <c r="T60" i="52"/>
  <c r="U60" i="52"/>
  <c r="V60" i="52"/>
  <c r="W60" i="52"/>
  <c r="X60" i="52"/>
  <c r="Y60" i="52"/>
  <c r="Z60" i="52"/>
  <c r="AA60" i="52"/>
  <c r="AB60" i="52"/>
  <c r="AC60" i="52"/>
  <c r="AD60" i="52"/>
  <c r="AE60" i="52"/>
  <c r="AF60" i="52"/>
  <c r="AG60" i="52"/>
  <c r="AH60" i="52"/>
  <c r="AI60" i="52"/>
  <c r="AJ60" i="52"/>
  <c r="AK60" i="52"/>
  <c r="AL60" i="52"/>
  <c r="AM60" i="52"/>
  <c r="AN60" i="52"/>
  <c r="AO60" i="52"/>
  <c r="AP60" i="52"/>
  <c r="AQ60" i="52"/>
  <c r="AR60" i="52"/>
  <c r="AS60" i="52"/>
  <c r="AT60" i="52"/>
  <c r="AU60" i="52"/>
  <c r="AV60" i="52"/>
  <c r="AW60" i="52"/>
  <c r="AX60" i="52"/>
  <c r="AY60" i="52"/>
  <c r="AZ60" i="52"/>
  <c r="BA60" i="52"/>
  <c r="BB60" i="52"/>
  <c r="BC60" i="52"/>
  <c r="BD60" i="52"/>
  <c r="BK123" i="52"/>
  <c r="BL123" i="52"/>
  <c r="BM123" i="52"/>
  <c r="BN123" i="52"/>
  <c r="BO123" i="52"/>
  <c r="BP123" i="52"/>
  <c r="BQ123" i="52"/>
  <c r="BR123" i="52"/>
  <c r="BG124" i="52"/>
  <c r="BH124" i="52"/>
  <c r="BI124" i="52"/>
  <c r="BJ124" i="52"/>
  <c r="BK124" i="52"/>
  <c r="BL124" i="52"/>
  <c r="BM124" i="52"/>
  <c r="BN124" i="52"/>
  <c r="BO124" i="52"/>
  <c r="BP124" i="52"/>
  <c r="BQ124" i="52"/>
  <c r="BR124" i="52"/>
  <c r="BS124" i="52"/>
  <c r="AP129" i="52"/>
  <c r="AP130" i="52"/>
  <c r="BA130" i="52"/>
  <c r="BA228" i="24" s="1"/>
  <c r="BB130" i="52"/>
  <c r="BB228" i="24" s="1"/>
  <c r="BC130" i="52"/>
  <c r="BC228" i="24" s="1"/>
  <c r="BD130" i="52"/>
  <c r="BD228" i="24" s="1"/>
  <c r="BE130" i="52"/>
  <c r="BE228" i="24" s="1"/>
  <c r="BF130" i="52"/>
  <c r="BF228" i="24" s="1"/>
  <c r="BG130" i="52"/>
  <c r="BG228" i="24" s="1"/>
  <c r="BH130" i="52"/>
  <c r="BH228" i="24" s="1"/>
  <c r="BI130" i="52"/>
  <c r="BI228" i="24" s="1"/>
  <c r="BJ130" i="52"/>
  <c r="BJ228" i="24" s="1"/>
  <c r="BK130" i="52"/>
  <c r="BK228" i="24" s="1"/>
  <c r="BL130" i="52"/>
  <c r="BL228" i="24" s="1"/>
  <c r="BM130" i="52"/>
  <c r="BM228" i="24" s="1"/>
  <c r="BN130" i="52"/>
  <c r="BN228" i="24" s="1"/>
  <c r="BT133" i="52"/>
  <c r="BT232" i="24" s="1"/>
  <c r="BO135" i="52"/>
  <c r="BO233" i="24" s="1"/>
  <c r="BR135" i="52"/>
  <c r="BR233" i="24" s="1"/>
  <c r="F138" i="52"/>
  <c r="G138" i="52"/>
  <c r="G204" i="24" s="1"/>
  <c r="H138" i="52"/>
  <c r="I138" i="52"/>
  <c r="I204" i="24" s="1"/>
  <c r="J138" i="52"/>
  <c r="J204" i="24" s="1"/>
  <c r="K138" i="52"/>
  <c r="K204" i="24" s="1"/>
  <c r="K229" i="24" s="1"/>
  <c r="L138" i="52"/>
  <c r="M138" i="52"/>
  <c r="M204" i="24" s="1"/>
  <c r="N138" i="52"/>
  <c r="O138" i="52"/>
  <c r="O204" i="24" s="1"/>
  <c r="P138" i="52"/>
  <c r="Q138" i="52"/>
  <c r="Q204" i="24" s="1"/>
  <c r="Q229" i="24" s="1"/>
  <c r="R138" i="52"/>
  <c r="R204" i="24" s="1"/>
  <c r="S138" i="52"/>
  <c r="S204" i="24" s="1"/>
  <c r="T138" i="52"/>
  <c r="U138" i="52"/>
  <c r="U204" i="24" s="1"/>
  <c r="V138" i="52"/>
  <c r="V204" i="24" s="1"/>
  <c r="V229" i="24" s="1"/>
  <c r="W138" i="52"/>
  <c r="W204" i="24" s="1"/>
  <c r="X138" i="52"/>
  <c r="Y138" i="52"/>
  <c r="Y204" i="24" s="1"/>
  <c r="Z138" i="52"/>
  <c r="AA138" i="52"/>
  <c r="AA204" i="24" s="1"/>
  <c r="AA229" i="24" s="1"/>
  <c r="AB138" i="52"/>
  <c r="AB204" i="24" s="1"/>
  <c r="AC138" i="52"/>
  <c r="AC204" i="24" s="1"/>
  <c r="AD138" i="52"/>
  <c r="AE138" i="52"/>
  <c r="AE204" i="24" s="1"/>
  <c r="AF138" i="52"/>
  <c r="AF204" i="24" s="1"/>
  <c r="AG138" i="52"/>
  <c r="AG204" i="24" s="1"/>
  <c r="AG229" i="24" s="1"/>
  <c r="AH138" i="52"/>
  <c r="AI138" i="52"/>
  <c r="AI204" i="24" s="1"/>
  <c r="AJ138" i="52"/>
  <c r="AJ204" i="24" s="1"/>
  <c r="AK138" i="52"/>
  <c r="AK204" i="24" s="1"/>
  <c r="AL138" i="52"/>
  <c r="AM138" i="52"/>
  <c r="AM204" i="24" s="1"/>
  <c r="AN138" i="52"/>
  <c r="AN204" i="24" s="1"/>
  <c r="AO138" i="52"/>
  <c r="AO204" i="24" s="1"/>
  <c r="AP138" i="52"/>
  <c r="AQ138" i="52"/>
  <c r="AQ204" i="24" s="1"/>
  <c r="AQ229" i="24" s="1"/>
  <c r="AR138" i="52"/>
  <c r="AR204" i="24" s="1"/>
  <c r="AS138" i="52"/>
  <c r="AS204" i="24" s="1"/>
  <c r="AT138" i="52"/>
  <c r="AU138" i="52"/>
  <c r="AU204" i="24" s="1"/>
  <c r="AV138" i="52"/>
  <c r="AV204" i="24" s="1"/>
  <c r="AW138" i="52"/>
  <c r="AX138" i="52"/>
  <c r="AX204" i="24" s="1"/>
  <c r="AY138" i="52"/>
  <c r="AY204" i="24" s="1"/>
  <c r="AZ138" i="52"/>
  <c r="AZ204" i="24" s="1"/>
  <c r="BA138" i="52"/>
  <c r="BA204" i="24" s="1"/>
  <c r="F139" i="52"/>
  <c r="F203" i="24" s="1"/>
  <c r="F228" i="24" s="1"/>
  <c r="G139" i="52"/>
  <c r="H139" i="52"/>
  <c r="H203" i="24" s="1"/>
  <c r="I139" i="52"/>
  <c r="I203" i="24" s="1"/>
  <c r="J139" i="52"/>
  <c r="J203" i="24" s="1"/>
  <c r="K139" i="52"/>
  <c r="L139" i="52"/>
  <c r="L203" i="24" s="1"/>
  <c r="M139" i="52"/>
  <c r="N139" i="52"/>
  <c r="N203" i="24" s="1"/>
  <c r="O139" i="52"/>
  <c r="P139" i="52"/>
  <c r="P203" i="24" s="1"/>
  <c r="P228" i="24" s="1"/>
  <c r="Q139" i="52"/>
  <c r="R139" i="52"/>
  <c r="R203" i="24" s="1"/>
  <c r="S139" i="52"/>
  <c r="T139" i="52"/>
  <c r="T203" i="24" s="1"/>
  <c r="U139" i="52"/>
  <c r="V139" i="52"/>
  <c r="V203" i="24" s="1"/>
  <c r="V228" i="24" s="1"/>
  <c r="W139" i="52"/>
  <c r="W203" i="24" s="1"/>
  <c r="X139" i="52"/>
  <c r="X203" i="24" s="1"/>
  <c r="Y139" i="52"/>
  <c r="Z139" i="52"/>
  <c r="Z203" i="24" s="1"/>
  <c r="AA139" i="52"/>
  <c r="AB139" i="52"/>
  <c r="AB203" i="24" s="1"/>
  <c r="AC139" i="52"/>
  <c r="AD139" i="52"/>
  <c r="AD203" i="24" s="1"/>
  <c r="AE139" i="52"/>
  <c r="AE203" i="24" s="1"/>
  <c r="AF139" i="52"/>
  <c r="AF203" i="24" s="1"/>
  <c r="AF228" i="24" s="1"/>
  <c r="AG139" i="52"/>
  <c r="AH139" i="52"/>
  <c r="AH203" i="24" s="1"/>
  <c r="AI139" i="52"/>
  <c r="AJ139" i="52"/>
  <c r="AJ203" i="24" s="1"/>
  <c r="AK139" i="52"/>
  <c r="AL139" i="52"/>
  <c r="AL203" i="24" s="1"/>
  <c r="AL228" i="24" s="1"/>
  <c r="AM139" i="52"/>
  <c r="AN139" i="52"/>
  <c r="AN203" i="24" s="1"/>
  <c r="AO139" i="52"/>
  <c r="AP139" i="52"/>
  <c r="AP203" i="24" s="1"/>
  <c r="AQ139" i="52"/>
  <c r="AR139" i="52"/>
  <c r="AR203" i="24" s="1"/>
  <c r="AS139" i="52"/>
  <c r="AT139" i="52"/>
  <c r="AT203" i="24" s="1"/>
  <c r="AU139" i="52"/>
  <c r="AV139" i="52"/>
  <c r="AV203" i="24" s="1"/>
  <c r="AV228" i="24" s="1"/>
  <c r="AW139" i="52"/>
  <c r="AW203" i="24" s="1"/>
  <c r="AX139" i="52"/>
  <c r="AX203" i="24" s="1"/>
  <c r="AY139" i="52"/>
  <c r="AY203" i="24" s="1"/>
  <c r="AZ139" i="52"/>
  <c r="AZ203" i="24" s="1"/>
  <c r="BA139" i="52"/>
  <c r="BA203" i="24" s="1"/>
  <c r="BA63" i="24" s="1"/>
  <c r="AE140" i="52"/>
  <c r="AE205" i="24" s="1"/>
  <c r="AE65" i="24" s="1"/>
  <c r="D151" i="52"/>
  <c r="Y153" i="52"/>
  <c r="BL162" i="52"/>
  <c r="BL60" i="52" s="1"/>
  <c r="BK162" i="52"/>
  <c r="BK139" i="52" s="1"/>
  <c r="BK203" i="24" s="1"/>
  <c r="BM162" i="52"/>
  <c r="BM60" i="52"/>
  <c r="BN162" i="52"/>
  <c r="BN60" i="52"/>
  <c r="BO162" i="52"/>
  <c r="BF163" i="52"/>
  <c r="BF140" i="52" s="1"/>
  <c r="BF205" i="24" s="1"/>
  <c r="BG163" i="52"/>
  <c r="BG140" i="52" s="1"/>
  <c r="BG205" i="24" s="1"/>
  <c r="BH163" i="52"/>
  <c r="BH140" i="52" s="1"/>
  <c r="BH205" i="24" s="1"/>
  <c r="BI163" i="52"/>
  <c r="BI140" i="52" s="1"/>
  <c r="BI205" i="24" s="1"/>
  <c r="BJ163" i="52"/>
  <c r="BJ140" i="52" s="1"/>
  <c r="BJ205" i="24" s="1"/>
  <c r="BK163" i="52"/>
  <c r="BK140" i="52" s="1"/>
  <c r="BK205" i="24" s="1"/>
  <c r="BL163" i="52"/>
  <c r="BL140" i="52" s="1"/>
  <c r="BL205" i="24" s="1"/>
  <c r="BM163" i="52"/>
  <c r="BM140" i="52" s="1"/>
  <c r="BM205" i="24" s="1"/>
  <c r="BN163" i="52"/>
  <c r="BN140" i="52" s="1"/>
  <c r="BN205" i="24" s="1"/>
  <c r="BO163" i="52"/>
  <c r="BO140" i="52" s="1"/>
  <c r="BO205" i="24" s="1"/>
  <c r="BP163" i="52"/>
  <c r="BP140" i="52" s="1"/>
  <c r="BP205" i="24" s="1"/>
  <c r="BQ163" i="52"/>
  <c r="BQ140" i="52" s="1"/>
  <c r="BQ205" i="24" s="1"/>
  <c r="BR163" i="52"/>
  <c r="BR140" i="52" s="1"/>
  <c r="BR205" i="24" s="1"/>
  <c r="CJ205" i="24" s="1"/>
  <c r="BF165" i="52"/>
  <c r="BF142" i="52" s="1"/>
  <c r="BG165" i="52"/>
  <c r="BG142" i="52" s="1"/>
  <c r="BH165" i="52"/>
  <c r="BH142" i="52" s="1"/>
  <c r="BJ173" i="52"/>
  <c r="BJ174" i="52"/>
  <c r="BA175" i="52"/>
  <c r="BA179" i="52" s="1"/>
  <c r="BA180" i="52" s="1"/>
  <c r="BA185" i="52" s="1"/>
  <c r="BB175" i="52"/>
  <c r="BB179" i="52" s="1"/>
  <c r="BB129" i="52" s="1"/>
  <c r="BB229" i="24" s="1"/>
  <c r="BC175" i="52"/>
  <c r="BC179" i="52" s="1"/>
  <c r="BD175" i="52"/>
  <c r="BE175" i="52"/>
  <c r="BF175" i="52"/>
  <c r="BG175" i="52"/>
  <c r="BG179" i="52" s="1"/>
  <c r="BG129" i="52" s="1"/>
  <c r="BG132" i="52" s="1"/>
  <c r="BG231" i="24" s="1"/>
  <c r="BH175" i="52"/>
  <c r="BI175" i="52"/>
  <c r="BI179" i="52" s="1"/>
  <c r="BI129" i="52" s="1"/>
  <c r="BK175" i="52"/>
  <c r="BL175" i="52"/>
  <c r="BM175" i="52"/>
  <c r="BN175" i="52"/>
  <c r="BO175" i="52"/>
  <c r="BO160" i="52" s="1"/>
  <c r="BP175" i="52"/>
  <c r="BP160" i="52" s="1"/>
  <c r="BQ175" i="52"/>
  <c r="BQ160" i="52" s="1"/>
  <c r="BO177" i="52"/>
  <c r="BP177" i="52" s="1"/>
  <c r="BQ177" i="52" s="1"/>
  <c r="BO178" i="52"/>
  <c r="BA181" i="52"/>
  <c r="BA186" i="52" s="1"/>
  <c r="BB181" i="52"/>
  <c r="BC181" i="52"/>
  <c r="BD181" i="52"/>
  <c r="BE181" i="52"/>
  <c r="BF181" i="52"/>
  <c r="BG181" i="52"/>
  <c r="BH181" i="52"/>
  <c r="BI181" i="52"/>
  <c r="BJ181" i="52"/>
  <c r="BK181" i="52"/>
  <c r="BL181" i="52"/>
  <c r="BM181" i="52"/>
  <c r="BN181" i="52"/>
  <c r="AQ187" i="52"/>
  <c r="AR187" i="52" s="1"/>
  <c r="AS187" i="52" s="1"/>
  <c r="AT187" i="52" s="1"/>
  <c r="AU187" i="52" s="1"/>
  <c r="AV187" i="52" s="1"/>
  <c r="AW187" i="52" s="1"/>
  <c r="AX187" i="52" s="1"/>
  <c r="AY187" i="52" s="1"/>
  <c r="AZ187" i="52" s="1"/>
  <c r="BA187" i="52" s="1"/>
  <c r="BF198" i="52"/>
  <c r="BG198" i="52"/>
  <c r="BH198" i="52"/>
  <c r="BI199" i="52"/>
  <c r="BI165" i="52" s="1"/>
  <c r="BI142" i="52" s="1"/>
  <c r="BJ199" i="52"/>
  <c r="BJ165" i="52" s="1"/>
  <c r="BJ142" i="52" s="1"/>
  <c r="BK199" i="52"/>
  <c r="BK165" i="52" s="1"/>
  <c r="BK142" i="52" s="1"/>
  <c r="BL199" i="52"/>
  <c r="BL165" i="52" s="1"/>
  <c r="BM199" i="52"/>
  <c r="BM165" i="52" s="1"/>
  <c r="BM142" i="52" s="1"/>
  <c r="BN199" i="52"/>
  <c r="BN165" i="52" s="1"/>
  <c r="BN142" i="52" s="1"/>
  <c r="BO199" i="52"/>
  <c r="BO165" i="52" s="1"/>
  <c r="BO142" i="52" s="1"/>
  <c r="BP199" i="52"/>
  <c r="BP165" i="52" s="1"/>
  <c r="BP142" i="52" s="1"/>
  <c r="BP202" i="24" s="1"/>
  <c r="BQ199" i="52"/>
  <c r="BQ165" i="52" s="1"/>
  <c r="BQ142" i="52" s="1"/>
  <c r="BQ202" i="24" s="1"/>
  <c r="BR199" i="52"/>
  <c r="BR165" i="52" s="1"/>
  <c r="BR142" i="52" s="1"/>
  <c r="BR202" i="24" s="1"/>
  <c r="BQ206" i="52"/>
  <c r="A207" i="52"/>
  <c r="BQ207" i="52"/>
  <c r="A208" i="52"/>
  <c r="BQ208" i="52"/>
  <c r="BQ213" i="52"/>
  <c r="BR213" i="52"/>
  <c r="BS213" i="52"/>
  <c r="BQ217" i="52"/>
  <c r="BR217" i="52"/>
  <c r="BS217" i="52"/>
  <c r="BQ220" i="52"/>
  <c r="BQ216" i="52" s="1"/>
  <c r="BR220" i="52"/>
  <c r="BS220" i="52"/>
  <c r="BS216" i="52" s="1"/>
  <c r="BQ223" i="52"/>
  <c r="BR223" i="52"/>
  <c r="BS223" i="52"/>
  <c r="BQ226" i="52"/>
  <c r="BR226" i="52"/>
  <c r="BS226" i="52"/>
  <c r="BR230" i="52"/>
  <c r="BS230" i="52"/>
  <c r="BQ231" i="52"/>
  <c r="BQ232" i="52"/>
  <c r="BP237" i="52"/>
  <c r="BQ237" i="52"/>
  <c r="BR237" i="52"/>
  <c r="BS238" i="52"/>
  <c r="BS237" i="52" s="1"/>
  <c r="BQ240" i="52"/>
  <c r="BR240" i="52"/>
  <c r="BS240" i="52"/>
  <c r="BR243" i="52"/>
  <c r="BS244" i="52"/>
  <c r="BS243" i="52" s="1"/>
  <c r="BQ245" i="52"/>
  <c r="BQ246" i="52"/>
  <c r="BR246" i="52"/>
  <c r="BS246" i="52"/>
  <c r="BQ250" i="52"/>
  <c r="BR250" i="52"/>
  <c r="BS250" i="52"/>
  <c r="BQ260" i="52"/>
  <c r="BR260" i="52"/>
  <c r="BS260" i="52"/>
  <c r="I294" i="52"/>
  <c r="J294" i="52"/>
  <c r="K294" i="52"/>
  <c r="L294" i="52"/>
  <c r="M294" i="52"/>
  <c r="N294" i="52"/>
  <c r="O294" i="52"/>
  <c r="P294" i="52"/>
  <c r="Q294" i="52"/>
  <c r="R294" i="52"/>
  <c r="S294" i="52"/>
  <c r="T294" i="52"/>
  <c r="U294" i="52"/>
  <c r="V294" i="52"/>
  <c r="W294" i="52"/>
  <c r="X294" i="52"/>
  <c r="Y294" i="52"/>
  <c r="Z294" i="52"/>
  <c r="AA294" i="52"/>
  <c r="AB294" i="52"/>
  <c r="AC294" i="52"/>
  <c r="AD294" i="52"/>
  <c r="AE294" i="52"/>
  <c r="AF294" i="52"/>
  <c r="AG294" i="52"/>
  <c r="AH294" i="52"/>
  <c r="AI294" i="52"/>
  <c r="AJ294" i="52"/>
  <c r="AK294" i="52"/>
  <c r="AL294" i="52"/>
  <c r="AM294" i="52"/>
  <c r="AN294" i="52"/>
  <c r="AO294" i="52"/>
  <c r="AP294" i="52"/>
  <c r="AQ294" i="52"/>
  <c r="AR294" i="52"/>
  <c r="AS294" i="52"/>
  <c r="AT294" i="52"/>
  <c r="AU294" i="52"/>
  <c r="AV294" i="52"/>
  <c r="AW294" i="52"/>
  <c r="AX294" i="52"/>
  <c r="AY294" i="52"/>
  <c r="AZ294" i="52"/>
  <c r="BA294" i="52"/>
  <c r="BB294" i="52"/>
  <c r="BC294" i="52"/>
  <c r="BD294" i="52"/>
  <c r="BE294" i="52"/>
  <c r="BF294" i="52"/>
  <c r="BG294" i="52"/>
  <c r="BH294" i="52"/>
  <c r="BI294" i="52"/>
  <c r="BJ294" i="52"/>
  <c r="BK294" i="52"/>
  <c r="BY315" i="52"/>
  <c r="BY128" i="24"/>
  <c r="CQ128" i="24" s="1"/>
  <c r="BN320" i="52"/>
  <c r="BO320" i="52"/>
  <c r="BP321" i="52"/>
  <c r="BP320" i="52" s="1"/>
  <c r="BQ321" i="52"/>
  <c r="BQ320" i="52" s="1"/>
  <c r="BR321" i="52"/>
  <c r="BR320" i="52" s="1"/>
  <c r="BS321" i="52"/>
  <c r="BS320" i="52" s="1"/>
  <c r="BT321" i="52"/>
  <c r="BT320" i="52" s="1"/>
  <c r="BT340" i="52" s="1"/>
  <c r="BN329" i="52"/>
  <c r="BN328" i="52" s="1"/>
  <c r="BN340" i="52" s="1"/>
  <c r="BO329" i="52"/>
  <c r="BO328" i="52" s="1"/>
  <c r="BP331" i="52"/>
  <c r="BQ331" i="52"/>
  <c r="BR331" i="52"/>
  <c r="BR91" i="24" s="1"/>
  <c r="BS91" i="24"/>
  <c r="BP344" i="52"/>
  <c r="BQ344" i="52"/>
  <c r="BR344" i="52"/>
  <c r="BR468" i="52" s="1"/>
  <c r="BS344" i="52"/>
  <c r="BT344" i="52"/>
  <c r="BT468" i="52" s="1"/>
  <c r="BN347" i="52"/>
  <c r="BO348" i="52"/>
  <c r="BP348" i="52"/>
  <c r="BQ348" i="52"/>
  <c r="BQ347" i="52" s="1"/>
  <c r="BR348" i="52"/>
  <c r="BS348" i="52"/>
  <c r="BT348" i="52"/>
  <c r="BR353" i="52"/>
  <c r="BQ355" i="52"/>
  <c r="BQ356" i="52"/>
  <c r="BR357" i="52"/>
  <c r="BR347" i="52" s="1"/>
  <c r="BR106" i="24" s="1"/>
  <c r="BM360" i="52"/>
  <c r="BN360" i="52"/>
  <c r="BQ360" i="52"/>
  <c r="BP114" i="24"/>
  <c r="BQ114" i="24"/>
  <c r="CI114" i="24" s="1"/>
  <c r="BR114" i="24"/>
  <c r="CJ114" i="24" s="1"/>
  <c r="BS114" i="24"/>
  <c r="CK114" i="24" s="1"/>
  <c r="BP117" i="24"/>
  <c r="BQ117" i="24"/>
  <c r="BS117" i="24"/>
  <c r="BP383" i="52"/>
  <c r="BQ388" i="52"/>
  <c r="BQ179" i="24" s="1"/>
  <c r="CI179" i="24" s="1"/>
  <c r="BP427" i="52"/>
  <c r="BQ427" i="52"/>
  <c r="BR427" i="52"/>
  <c r="BF430" i="52"/>
  <c r="BG430" i="52"/>
  <c r="BH430" i="52"/>
  <c r="BI430" i="52"/>
  <c r="BJ430" i="52"/>
  <c r="BK430" i="52"/>
  <c r="BL430" i="52"/>
  <c r="BM430" i="52"/>
  <c r="BN430" i="52"/>
  <c r="BO430" i="52"/>
  <c r="BP430" i="52"/>
  <c r="BP457" i="52"/>
  <c r="BQ457" i="52"/>
  <c r="BR457" i="52"/>
  <c r="BS457" i="52"/>
  <c r="BF462" i="52"/>
  <c r="BG462" i="52"/>
  <c r="BH462" i="52"/>
  <c r="BI462" i="52"/>
  <c r="BJ462" i="52"/>
  <c r="BK462" i="52"/>
  <c r="BL462" i="52"/>
  <c r="BM462" i="52"/>
  <c r="BN462" i="52"/>
  <c r="BO462" i="52"/>
  <c r="BP462" i="52"/>
  <c r="BQ462" i="52"/>
  <c r="G464" i="52"/>
  <c r="G196" i="24" s="1"/>
  <c r="F196" i="24" s="1"/>
  <c r="F279" i="24" s="1"/>
  <c r="H464" i="52"/>
  <c r="H196" i="24"/>
  <c r="I464" i="52"/>
  <c r="I196" i="24" s="1"/>
  <c r="I279" i="24" s="1"/>
  <c r="J464" i="52"/>
  <c r="J196" i="24" s="1"/>
  <c r="J279" i="24" s="1"/>
  <c r="K464" i="52"/>
  <c r="K196" i="24" s="1"/>
  <c r="L464" i="52"/>
  <c r="L196" i="24"/>
  <c r="L358" i="24" s="1"/>
  <c r="M464" i="52"/>
  <c r="M196" i="24" s="1"/>
  <c r="M279" i="24" s="1"/>
  <c r="N464" i="52"/>
  <c r="N196" i="24" s="1"/>
  <c r="O464" i="52"/>
  <c r="P464" i="52"/>
  <c r="P196" i="24"/>
  <c r="P7" i="70" s="1"/>
  <c r="Q464" i="52"/>
  <c r="R464" i="52"/>
  <c r="S464" i="52"/>
  <c r="S196" i="24" s="1"/>
  <c r="S279" i="24" s="1"/>
  <c r="T464" i="52"/>
  <c r="T196" i="24"/>
  <c r="T358" i="24" s="1"/>
  <c r="U464" i="52"/>
  <c r="U196" i="24" s="1"/>
  <c r="U279" i="24" s="1"/>
  <c r="V464" i="52"/>
  <c r="V196" i="24" s="1"/>
  <c r="W464" i="52"/>
  <c r="X464" i="52"/>
  <c r="X196" i="24"/>
  <c r="Y464" i="52"/>
  <c r="Z464" i="52"/>
  <c r="AA464" i="52"/>
  <c r="AB464" i="52"/>
  <c r="AB196" i="24"/>
  <c r="AB358" i="24" s="1"/>
  <c r="AC464" i="52"/>
  <c r="AC196" i="24" s="1"/>
  <c r="AC7" i="70" s="1"/>
  <c r="AD464" i="52"/>
  <c r="AD196" i="24" s="1"/>
  <c r="AD7" i="70" s="1"/>
  <c r="AE464" i="52"/>
  <c r="AF464" i="52"/>
  <c r="AF196" i="24"/>
  <c r="AG464" i="52"/>
  <c r="AG196" i="24" s="1"/>
  <c r="AH464" i="52"/>
  <c r="AH196" i="24" s="1"/>
  <c r="AI464" i="52"/>
  <c r="AJ464" i="52"/>
  <c r="AJ196" i="24"/>
  <c r="AJ358" i="24" s="1"/>
  <c r="AK464" i="52"/>
  <c r="AL464" i="52"/>
  <c r="AL196" i="24" s="1"/>
  <c r="AM464" i="52"/>
  <c r="AN464" i="52"/>
  <c r="AN196" i="24"/>
  <c r="AN7" i="70" s="1"/>
  <c r="AO464" i="52"/>
  <c r="AP464" i="52"/>
  <c r="AP196" i="24" s="1"/>
  <c r="AQ464" i="52"/>
  <c r="AQ196" i="24" s="1"/>
  <c r="AR464" i="52"/>
  <c r="AR196" i="24"/>
  <c r="AR358" i="24" s="1"/>
  <c r="AS464" i="52"/>
  <c r="AS196" i="24" s="1"/>
  <c r="AS279" i="24" s="1"/>
  <c r="AT464" i="52"/>
  <c r="AT196" i="24" s="1"/>
  <c r="AU464" i="52"/>
  <c r="AV464" i="52"/>
  <c r="AV196" i="24"/>
  <c r="AW464" i="52"/>
  <c r="AX464" i="52"/>
  <c r="AY464" i="52"/>
  <c r="AY196" i="24" s="1"/>
  <c r="AZ464" i="52"/>
  <c r="AZ196" i="24"/>
  <c r="BA464" i="52"/>
  <c r="BA302" i="52" s="1"/>
  <c r="BB464" i="52"/>
  <c r="BC464" i="52"/>
  <c r="BD464" i="52"/>
  <c r="BD196" i="24"/>
  <c r="A468" i="52"/>
  <c r="BF468" i="52"/>
  <c r="BG468" i="52"/>
  <c r="BH468" i="52"/>
  <c r="BI468" i="52"/>
  <c r="BJ468" i="52"/>
  <c r="BK468" i="52"/>
  <c r="BL468" i="52"/>
  <c r="BM468" i="52"/>
  <c r="BN468" i="52"/>
  <c r="BO468" i="52"/>
  <c r="BQ468" i="52"/>
  <c r="BS468" i="52"/>
  <c r="BU468" i="52"/>
  <c r="BV468" i="52"/>
  <c r="BW468" i="52"/>
  <c r="BX468" i="52"/>
  <c r="BP470" i="52"/>
  <c r="BQ470" i="52"/>
  <c r="BR470" i="52"/>
  <c r="BS470" i="52"/>
  <c r="BS471" i="52" s="1"/>
  <c r="BP471" i="52"/>
  <c r="BQ471" i="52"/>
  <c r="BR471" i="52"/>
  <c r="BT474" i="52"/>
  <c r="BU474" i="52" s="1"/>
  <c r="BQ11" i="45"/>
  <c r="BR11" i="45" s="1"/>
  <c r="BT11" i="45"/>
  <c r="BU11" i="45" s="1"/>
  <c r="BY11" i="45" s="1"/>
  <c r="BZ11" i="45" s="1"/>
  <c r="CA11" i="45" s="1"/>
  <c r="CB11" i="45" s="1"/>
  <c r="CC11" i="45" s="1"/>
  <c r="CD11" i="45" s="1"/>
  <c r="CE11" i="45" s="1"/>
  <c r="CF11" i="45" s="1"/>
  <c r="CG11" i="45" s="1"/>
  <c r="BR12" i="45"/>
  <c r="BS12" i="45" s="1"/>
  <c r="BT12" i="45"/>
  <c r="BU12" i="45" s="1"/>
  <c r="BV12" i="45" s="1"/>
  <c r="BW12" i="45" s="1"/>
  <c r="BX12" i="45" s="1"/>
  <c r="BY12" i="45" s="1"/>
  <c r="BZ12" i="45" s="1"/>
  <c r="CA12" i="45" s="1"/>
  <c r="CB12" i="45" s="1"/>
  <c r="CC12" i="45" s="1"/>
  <c r="CD12" i="45" s="1"/>
  <c r="CE12" i="45" s="1"/>
  <c r="CF12" i="45" s="1"/>
  <c r="CG12" i="45" s="1"/>
  <c r="BQ13" i="45"/>
  <c r="BQ127" i="24" s="1"/>
  <c r="CI127" i="24" s="1"/>
  <c r="BR13" i="45"/>
  <c r="BR127" i="24"/>
  <c r="CJ127" i="24" s="1"/>
  <c r="BS13" i="45"/>
  <c r="BS127" i="24" s="1"/>
  <c r="CK127" i="24" s="1"/>
  <c r="BT14" i="45"/>
  <c r="BW14" i="45"/>
  <c r="BX14" i="45" s="1"/>
  <c r="BY14" i="45" s="1"/>
  <c r="BZ14" i="45" s="1"/>
  <c r="CA14" i="45" s="1"/>
  <c r="CB14" i="45" s="1"/>
  <c r="CC14" i="45"/>
  <c r="CD14" i="45"/>
  <c r="CE14" i="45"/>
  <c r="CF14" i="45"/>
  <c r="CG14" i="45"/>
  <c r="BR15" i="45"/>
  <c r="BT15" i="45"/>
  <c r="BW15" i="45"/>
  <c r="BX15" i="45" s="1"/>
  <c r="BY15" i="45" s="1"/>
  <c r="BZ15" i="45" s="1"/>
  <c r="CA15" i="45" s="1"/>
  <c r="CB15" i="45" s="1"/>
  <c r="CC15" i="45" s="1"/>
  <c r="CD15" i="45" s="1"/>
  <c r="CE15" i="45" s="1"/>
  <c r="CF15" i="45" s="1"/>
  <c r="CG15" i="45" s="1"/>
  <c r="BR16" i="45"/>
  <c r="BT16" i="45"/>
  <c r="BW16" i="45"/>
  <c r="BX16" i="45" s="1"/>
  <c r="BY16" i="45" s="1"/>
  <c r="BZ16" i="45" s="1"/>
  <c r="CA16" i="45" s="1"/>
  <c r="CB16" i="45" s="1"/>
  <c r="CC16" i="45" s="1"/>
  <c r="CD16" i="45" s="1"/>
  <c r="CE16" i="45" s="1"/>
  <c r="CF16" i="45" s="1"/>
  <c r="CG16" i="45" s="1"/>
  <c r="BV17" i="45"/>
  <c r="BW17" i="45" s="1"/>
  <c r="BX17" i="45" s="1"/>
  <c r="BY17" i="45" s="1"/>
  <c r="BV18" i="45"/>
  <c r="BW18" i="45" s="1"/>
  <c r="BX18" i="45" s="1"/>
  <c r="BY18" i="45" s="1"/>
  <c r="BZ18" i="45" s="1"/>
  <c r="CA18" i="45" s="1"/>
  <c r="CB18" i="45" s="1"/>
  <c r="CC18" i="45" s="1"/>
  <c r="CD18" i="45" s="1"/>
  <c r="CE18" i="45" s="1"/>
  <c r="CF18" i="45" s="1"/>
  <c r="CG18" i="45" s="1"/>
  <c r="BQ19" i="45"/>
  <c r="BV19" i="45"/>
  <c r="BW19" i="45"/>
  <c r="BX19" i="45" s="1"/>
  <c r="BY19" i="45" s="1"/>
  <c r="BZ19" i="45" s="1"/>
  <c r="CA19" i="45" s="1"/>
  <c r="CB19" i="45" s="1"/>
  <c r="CC19" i="45" s="1"/>
  <c r="CD19" i="45" s="1"/>
  <c r="CE19" i="45" s="1"/>
  <c r="CF19" i="45" s="1"/>
  <c r="CG19" i="45" s="1"/>
  <c r="BW20" i="45"/>
  <c r="BX20" i="45" s="1"/>
  <c r="BY20" i="45" s="1"/>
  <c r="BZ20" i="45" s="1"/>
  <c r="CA20" i="45" s="1"/>
  <c r="CB20" i="45" s="1"/>
  <c r="CC20" i="45" s="1"/>
  <c r="CD20" i="45" s="1"/>
  <c r="CE20" i="45" s="1"/>
  <c r="CF20" i="45" s="1"/>
  <c r="CG20" i="45" s="1"/>
  <c r="BT21" i="45"/>
  <c r="BS22" i="45"/>
  <c r="BS192" i="24" s="1"/>
  <c r="BS346" i="24" s="1"/>
  <c r="CK346" i="24" s="1"/>
  <c r="BS23" i="45"/>
  <c r="BR24" i="45"/>
  <c r="BR194" i="24" s="1"/>
  <c r="CJ194" i="24" s="1"/>
  <c r="BS24" i="45"/>
  <c r="BR25" i="45"/>
  <c r="BR195" i="24" s="1"/>
  <c r="BU25" i="45"/>
  <c r="BJ26" i="45"/>
  <c r="BK26" i="45"/>
  <c r="BL26" i="45"/>
  <c r="BM26" i="45"/>
  <c r="BN26" i="45"/>
  <c r="BO26" i="45"/>
  <c r="BP26" i="45"/>
  <c r="BQ26" i="45"/>
  <c r="BR26" i="45"/>
  <c r="BS26" i="45"/>
  <c r="BT26" i="45"/>
  <c r="BU26" i="45"/>
  <c r="BV26" i="45"/>
  <c r="BW26" i="45"/>
  <c r="BX26" i="45"/>
  <c r="BP28" i="45"/>
  <c r="BT33" i="45"/>
  <c r="BZ36" i="45"/>
  <c r="CA36" i="45" s="1"/>
  <c r="CB36" i="45" s="1"/>
  <c r="CC36" i="45" s="1"/>
  <c r="CD36" i="45" s="1"/>
  <c r="CE36" i="45" s="1"/>
  <c r="CF36" i="45" s="1"/>
  <c r="CG36" i="45" s="1"/>
  <c r="BZ38" i="45"/>
  <c r="CA38" i="45" s="1"/>
  <c r="CB38" i="45" s="1"/>
  <c r="CC38" i="45" s="1"/>
  <c r="CD38" i="45" s="1"/>
  <c r="CE38" i="45" s="1"/>
  <c r="CF38" i="45" s="1"/>
  <c r="CG38" i="45" s="1"/>
  <c r="BX40" i="45"/>
  <c r="BW43" i="45"/>
  <c r="BY43" i="45"/>
  <c r="BZ43" i="45" s="1"/>
  <c r="CA43" i="45" s="1"/>
  <c r="CB43" i="45" s="1"/>
  <c r="CC43" i="45" s="1"/>
  <c r="CD43" i="45" s="1"/>
  <c r="CE43" i="45" s="1"/>
  <c r="CF43" i="45" s="1"/>
  <c r="CG43" i="45" s="1"/>
  <c r="BR45" i="45"/>
  <c r="BZ45" i="45"/>
  <c r="CA45" i="45" s="1"/>
  <c r="CB45" i="45" s="1"/>
  <c r="CC45" i="45" s="1"/>
  <c r="CD45" i="45" s="1"/>
  <c r="CE45" i="45" s="1"/>
  <c r="CF45" i="45" s="1"/>
  <c r="CG45" i="45" s="1"/>
  <c r="BQ46" i="45"/>
  <c r="BY46" i="45"/>
  <c r="BZ46" i="45" s="1"/>
  <c r="CA46" i="45" s="1"/>
  <c r="CB46" i="45" s="1"/>
  <c r="CC46" i="45" s="1"/>
  <c r="CD46" i="45" s="1"/>
  <c r="CE46" i="45" s="1"/>
  <c r="CF46" i="45" s="1"/>
  <c r="CG46" i="45" s="1"/>
  <c r="BT48" i="45"/>
  <c r="BU48" i="45" s="1"/>
  <c r="BV48" i="45" s="1"/>
  <c r="BW48" i="45" s="1"/>
  <c r="BX48" i="45" s="1"/>
  <c r="BY48" i="45" s="1"/>
  <c r="CE48" i="45"/>
  <c r="CF48" i="45" s="1"/>
  <c r="CG48" i="45" s="1"/>
  <c r="CA54" i="45"/>
  <c r="CB54" i="45" s="1"/>
  <c r="CC54" i="45" s="1"/>
  <c r="CD54" i="45" s="1"/>
  <c r="CE54" i="45" s="1"/>
  <c r="CF54" i="45" s="1"/>
  <c r="CG54" i="45" s="1"/>
  <c r="BQ55" i="45"/>
  <c r="BS55" i="45"/>
  <c r="BT55" i="45" s="1"/>
  <c r="BV55" i="45"/>
  <c r="BW55" i="45" s="1"/>
  <c r="BX55" i="45" s="1"/>
  <c r="BY55" i="45" s="1"/>
  <c r="BZ55" i="45" s="1"/>
  <c r="CA55" i="45" s="1"/>
  <c r="CB55" i="45" s="1"/>
  <c r="CC55" i="45" s="1"/>
  <c r="CD55" i="45" s="1"/>
  <c r="CE55" i="45" s="1"/>
  <c r="CF55" i="45" s="1"/>
  <c r="CG55" i="45" s="1"/>
  <c r="BV57" i="45"/>
  <c r="BV37" i="45" s="1"/>
  <c r="CA57" i="45"/>
  <c r="CA37" i="45" s="1"/>
  <c r="CB57" i="45"/>
  <c r="CB37" i="45" s="1"/>
  <c r="BV59" i="45"/>
  <c r="BW59" i="45" s="1"/>
  <c r="BX59" i="45" s="1"/>
  <c r="BY59" i="45" s="1"/>
  <c r="BZ59" i="45" s="1"/>
  <c r="BU64" i="45"/>
  <c r="BV64" i="45"/>
  <c r="BW64" i="45"/>
  <c r="BX64" i="45"/>
  <c r="BY64" i="45"/>
  <c r="BZ64" i="45"/>
  <c r="CA64" i="45"/>
  <c r="CB64" i="45"/>
  <c r="CC64" i="45"/>
  <c r="CD64" i="45"/>
  <c r="CE64" i="45"/>
  <c r="CF64" i="45"/>
  <c r="CG64" i="45"/>
  <c r="C67" i="45"/>
  <c r="CH70" i="45"/>
  <c r="CH71" i="45"/>
  <c r="CH72" i="45"/>
  <c r="G221" i="53"/>
  <c r="H221" i="53" s="1"/>
  <c r="I221" i="53" s="1"/>
  <c r="J221" i="53" s="1"/>
  <c r="A373" i="53"/>
  <c r="A374" i="53"/>
  <c r="A375" i="53"/>
  <c r="A376" i="53"/>
  <c r="A377" i="53"/>
  <c r="A378" i="53"/>
  <c r="A379" i="53"/>
  <c r="A382" i="53"/>
  <c r="A384" i="53"/>
  <c r="A385" i="53"/>
  <c r="H456" i="53"/>
  <c r="I456" i="53"/>
  <c r="N758" i="53"/>
  <c r="H759" i="53"/>
  <c r="J760" i="53"/>
  <c r="G761" i="53"/>
  <c r="D823" i="53"/>
  <c r="E823" i="53" s="1"/>
  <c r="F823" i="53" s="1"/>
  <c r="C833" i="53"/>
  <c r="D833" i="53"/>
  <c r="E833" i="53"/>
  <c r="F833" i="53"/>
  <c r="K834" i="53"/>
  <c r="D835" i="53"/>
  <c r="E835" i="53"/>
  <c r="F835" i="53"/>
  <c r="D836" i="53"/>
  <c r="E836" i="53"/>
  <c r="F836" i="53"/>
  <c r="D841" i="53"/>
  <c r="E841" i="53"/>
  <c r="F841" i="53"/>
  <c r="D842" i="53"/>
  <c r="E842" i="53"/>
  <c r="F842" i="53"/>
  <c r="D843" i="53"/>
  <c r="E843" i="53"/>
  <c r="F843" i="53"/>
  <c r="D844" i="53"/>
  <c r="E844" i="53"/>
  <c r="F844" i="53"/>
  <c r="D847" i="53"/>
  <c r="I847" i="53" s="1"/>
  <c r="E847" i="53"/>
  <c r="J847" i="53" s="1"/>
  <c r="F847" i="53"/>
  <c r="K847" i="53" s="1"/>
  <c r="D848" i="53"/>
  <c r="I848" i="53" s="1"/>
  <c r="E848" i="53"/>
  <c r="F848" i="53"/>
  <c r="BL142" i="52"/>
  <c r="BO202" i="24"/>
  <c r="BO221" i="24" s="1"/>
  <c r="AF279" i="24"/>
  <c r="BB428" i="52"/>
  <c r="BB161" i="24" s="1"/>
  <c r="BB306" i="24" s="1"/>
  <c r="AX428" i="52"/>
  <c r="AX161" i="24" s="1"/>
  <c r="AT428" i="52"/>
  <c r="AT161" i="24" s="1"/>
  <c r="AT306" i="24" s="1"/>
  <c r="AP428" i="52"/>
  <c r="AP161" i="24" s="1"/>
  <c r="AP306" i="24" s="1"/>
  <c r="AL428" i="52"/>
  <c r="AL161" i="24" s="1"/>
  <c r="AH428" i="52"/>
  <c r="AH161" i="24" s="1"/>
  <c r="AF428" i="52"/>
  <c r="AF161" i="24" s="1"/>
  <c r="AF306" i="24" s="1"/>
  <c r="AB428" i="52"/>
  <c r="AB161" i="24" s="1"/>
  <c r="AB306" i="24" s="1"/>
  <c r="X428" i="52"/>
  <c r="X161" i="24" s="1"/>
  <c r="T428" i="52"/>
  <c r="T161" i="24" s="1"/>
  <c r="P428" i="52"/>
  <c r="P161" i="24" s="1"/>
  <c r="P306" i="24" s="1"/>
  <c r="L428" i="52"/>
  <c r="L161" i="24" s="1"/>
  <c r="L306" i="24" s="1"/>
  <c r="BD302" i="52"/>
  <c r="AZ302" i="52"/>
  <c r="BI160" i="52"/>
  <c r="BN139" i="52"/>
  <c r="BN203" i="24" s="1"/>
  <c r="BL139" i="52"/>
  <c r="BL203" i="24" s="1"/>
  <c r="BL52" i="24"/>
  <c r="BL53" i="24" s="1"/>
  <c r="BD348" i="24"/>
  <c r="AZ52" i="24"/>
  <c r="AZ353" i="24" s="1"/>
  <c r="AZ322" i="24"/>
  <c r="AV332" i="24"/>
  <c r="AT333" i="24"/>
  <c r="AR327" i="24"/>
  <c r="AR323" i="24"/>
  <c r="AH337" i="24"/>
  <c r="R337" i="24"/>
  <c r="BT7" i="70"/>
  <c r="CL196" i="24"/>
  <c r="AA3" i="55" s="1"/>
  <c r="BT279" i="24"/>
  <c r="CL279" i="24" s="1"/>
  <c r="BR278" i="24"/>
  <c r="CJ278" i="24" s="1"/>
  <c r="BR277" i="24"/>
  <c r="CJ277" i="24" s="1"/>
  <c r="CK192" i="24"/>
  <c r="BT13" i="45"/>
  <c r="BU13" i="45" s="1"/>
  <c r="AY279" i="24"/>
  <c r="AS7" i="70"/>
  <c r="AC279" i="24"/>
  <c r="S7" i="70"/>
  <c r="M7" i="70"/>
  <c r="AY428" i="52"/>
  <c r="AY161" i="24" s="1"/>
  <c r="AY306" i="24" s="1"/>
  <c r="AS428" i="52"/>
  <c r="AS161" i="24" s="1"/>
  <c r="AS306" i="24" s="1"/>
  <c r="AQ428" i="52"/>
  <c r="AQ161" i="24" s="1"/>
  <c r="AQ306" i="24" s="1"/>
  <c r="AG428" i="52"/>
  <c r="AG161" i="24" s="1"/>
  <c r="AG306" i="24" s="1"/>
  <c r="AC428" i="52"/>
  <c r="AC161" i="24" s="1"/>
  <c r="AC306" i="24" s="1"/>
  <c r="M428" i="52"/>
  <c r="M161" i="24" s="1"/>
  <c r="M306" i="24" s="1"/>
  <c r="BS375" i="52"/>
  <c r="BQ375" i="52"/>
  <c r="BQ118" i="24"/>
  <c r="CI118" i="24" s="1"/>
  <c r="AV140" i="52"/>
  <c r="AV205" i="24" s="1"/>
  <c r="AN140" i="52"/>
  <c r="AN205" i="24" s="1"/>
  <c r="AN209" i="24" s="1"/>
  <c r="AO381" i="24" s="1"/>
  <c r="AF140" i="52"/>
  <c r="AF205" i="24" s="1"/>
  <c r="BM139" i="52"/>
  <c r="BM203" i="24" s="1"/>
  <c r="CL232" i="24"/>
  <c r="AD31" i="52"/>
  <c r="BO52" i="24"/>
  <c r="BE347" i="24"/>
  <c r="BC323" i="24"/>
  <c r="BC327" i="24"/>
  <c r="BA309" i="24"/>
  <c r="BA361" i="24" s="1"/>
  <c r="AY309" i="24"/>
  <c r="AY361" i="24" s="1"/>
  <c r="AY320" i="24"/>
  <c r="AW319" i="24"/>
  <c r="AU321" i="24"/>
  <c r="AU348" i="24"/>
  <c r="AU327" i="24"/>
  <c r="AS309" i="24"/>
  <c r="AS361" i="24" s="1"/>
  <c r="AQ52" i="24"/>
  <c r="AQ321" i="24"/>
  <c r="AQ348" i="24"/>
  <c r="AQ324" i="24"/>
  <c r="AQ347" i="24"/>
  <c r="AV27" i="52"/>
  <c r="P27" i="52"/>
  <c r="AS435" i="24"/>
  <c r="BB434" i="24"/>
  <c r="BD415" i="24"/>
  <c r="BD406" i="24"/>
  <c r="BD400" i="24"/>
  <c r="BD309" i="24"/>
  <c r="BD361" i="24" s="1"/>
  <c r="AZ309" i="24"/>
  <c r="AZ361" i="24" s="1"/>
  <c r="AV309" i="24"/>
  <c r="AV361" i="24" s="1"/>
  <c r="AR309" i="24"/>
  <c r="AR361" i="24" s="1"/>
  <c r="AL309" i="24"/>
  <c r="AL361" i="24" s="1"/>
  <c r="N309" i="24"/>
  <c r="N361" i="24" s="1"/>
  <c r="AD358" i="24"/>
  <c r="J7" i="70"/>
  <c r="BD428" i="52"/>
  <c r="BD161" i="24" s="1"/>
  <c r="AZ428" i="52"/>
  <c r="AZ161" i="24" s="1"/>
  <c r="AZ307" i="24" s="1"/>
  <c r="AV428" i="52"/>
  <c r="AV161" i="24" s="1"/>
  <c r="AV307" i="24" s="1"/>
  <c r="AR428" i="52"/>
  <c r="AR161" i="24" s="1"/>
  <c r="AR307" i="24" s="1"/>
  <c r="AN428" i="52"/>
  <c r="AN161" i="24" s="1"/>
  <c r="AJ428" i="52"/>
  <c r="AJ161" i="24" s="1"/>
  <c r="V428" i="52"/>
  <c r="V161" i="24" s="1"/>
  <c r="J428" i="52"/>
  <c r="J161" i="24" s="1"/>
  <c r="BD339" i="24"/>
  <c r="AZ339" i="24"/>
  <c r="AV339" i="24"/>
  <c r="CJ232" i="24"/>
  <c r="BP134" i="24"/>
  <c r="BP401" i="24" s="1"/>
  <c r="CK195" i="24"/>
  <c r="BD199" i="24"/>
  <c r="CJ210" i="24"/>
  <c r="BJ67" i="24"/>
  <c r="BJ93" i="24" s="1"/>
  <c r="BH67" i="24"/>
  <c r="CI195" i="24"/>
  <c r="BR38" i="64"/>
  <c r="CJ192" i="24"/>
  <c r="CK188" i="24"/>
  <c r="CI188" i="24"/>
  <c r="AW189" i="24"/>
  <c r="AS191" i="24"/>
  <c r="BY155" i="24"/>
  <c r="CP155" i="24"/>
  <c r="BS134" i="24"/>
  <c r="BS139" i="24"/>
  <c r="CK139" i="24" s="1"/>
  <c r="BQ38" i="64"/>
  <c r="BQ119" i="24"/>
  <c r="CI164" i="24"/>
  <c r="BP158" i="24"/>
  <c r="CO155" i="24"/>
  <c r="CR115" i="24"/>
  <c r="BD102" i="24"/>
  <c r="BD115" i="24"/>
  <c r="BB102" i="24"/>
  <c r="BB115" i="24"/>
  <c r="AZ102" i="24"/>
  <c r="AZ115" i="24"/>
  <c r="AX102" i="24"/>
  <c r="AX115" i="24"/>
  <c r="AV102" i="24"/>
  <c r="AV115" i="24"/>
  <c r="AT102" i="24"/>
  <c r="AT115" i="24"/>
  <c r="AR102" i="24"/>
  <c r="AR115" i="24"/>
  <c r="AP102" i="24"/>
  <c r="AP115" i="24"/>
  <c r="CI167" i="24"/>
  <c r="BL157" i="24"/>
  <c r="BC102" i="24"/>
  <c r="BC115" i="24"/>
  <c r="BA102" i="24"/>
  <c r="BA115" i="24"/>
  <c r="AY102" i="24"/>
  <c r="AY115" i="24"/>
  <c r="AW102" i="24"/>
  <c r="AW115" i="24"/>
  <c r="AU102" i="24"/>
  <c r="AU115" i="24"/>
  <c r="AS102" i="24"/>
  <c r="AS115" i="24"/>
  <c r="AQ102" i="24"/>
  <c r="AQ115" i="24"/>
  <c r="AO102" i="24"/>
  <c r="AO115" i="24"/>
  <c r="BX101" i="24"/>
  <c r="CP101" i="24" s="1"/>
  <c r="CO101" i="24"/>
  <c r="BU85" i="24"/>
  <c r="BV85" i="24" s="1"/>
  <c r="CN85" i="24" s="1"/>
  <c r="CL85" i="24"/>
  <c r="AU124" i="24"/>
  <c r="AS124" i="24"/>
  <c r="AS318" i="24" s="1"/>
  <c r="AQ124" i="24"/>
  <c r="AO124" i="24"/>
  <c r="AM124" i="24"/>
  <c r="AK124" i="24"/>
  <c r="AI124" i="24"/>
  <c r="AG124" i="24"/>
  <c r="AE124" i="24"/>
  <c r="AC124" i="24"/>
  <c r="AA124" i="24"/>
  <c r="Y124" i="24"/>
  <c r="W124" i="24"/>
  <c r="U124" i="24"/>
  <c r="S124" i="24"/>
  <c r="Q124" i="24"/>
  <c r="O124" i="24"/>
  <c r="M124" i="24"/>
  <c r="K124" i="24"/>
  <c r="I124" i="24"/>
  <c r="G124" i="24"/>
  <c r="BB89" i="24"/>
  <c r="BB88" i="24" s="1"/>
  <c r="BB87" i="24" s="1"/>
  <c r="AZ89" i="24"/>
  <c r="AZ88" i="24" s="1"/>
  <c r="AZ336" i="24" s="1"/>
  <c r="AX89" i="24"/>
  <c r="AX88" i="24" s="1"/>
  <c r="AV89" i="24"/>
  <c r="AV88" i="24" s="1"/>
  <c r="AT89" i="24"/>
  <c r="AT88" i="24" s="1"/>
  <c r="AT87" i="24" s="1"/>
  <c r="AR89" i="24"/>
  <c r="AR88" i="24" s="1"/>
  <c r="AR336" i="24" s="1"/>
  <c r="AP89" i="24"/>
  <c r="AP88" i="24" s="1"/>
  <c r="AN89" i="24"/>
  <c r="AN88" i="24" s="1"/>
  <c r="AL89" i="24"/>
  <c r="AL88" i="24" s="1"/>
  <c r="AL87" i="24" s="1"/>
  <c r="AJ89" i="24"/>
  <c r="AJ88" i="24" s="1"/>
  <c r="AH89" i="24"/>
  <c r="AH88" i="24" s="1"/>
  <c r="AF89" i="24"/>
  <c r="AF88" i="24" s="1"/>
  <c r="AD89" i="24"/>
  <c r="AD88" i="24" s="1"/>
  <c r="AD87" i="24" s="1"/>
  <c r="AB89" i="24"/>
  <c r="AB88" i="24" s="1"/>
  <c r="Z89" i="24"/>
  <c r="Z88" i="24" s="1"/>
  <c r="X89" i="24"/>
  <c r="X88" i="24" s="1"/>
  <c r="V89" i="24"/>
  <c r="V88" i="24" s="1"/>
  <c r="V87" i="24" s="1"/>
  <c r="T89" i="24"/>
  <c r="T88" i="24" s="1"/>
  <c r="R89" i="24"/>
  <c r="R88" i="24" s="1"/>
  <c r="P89" i="24"/>
  <c r="P88" i="24" s="1"/>
  <c r="N89" i="24"/>
  <c r="N88" i="24" s="1"/>
  <c r="N87" i="24" s="1"/>
  <c r="N335" i="24" s="1"/>
  <c r="L89" i="24"/>
  <c r="L88" i="24" s="1"/>
  <c r="BQ81" i="24"/>
  <c r="BQ80" i="24" s="1"/>
  <c r="CI80" i="24" s="1"/>
  <c r="BC81" i="24"/>
  <c r="BA81" i="24"/>
  <c r="AY81" i="24"/>
  <c r="AW81" i="24"/>
  <c r="AW80" i="24" s="1"/>
  <c r="AW264" i="24" s="1"/>
  <c r="AU81" i="24"/>
  <c r="AS81" i="24"/>
  <c r="AS80" i="24" s="1"/>
  <c r="AS264" i="24" s="1"/>
  <c r="AQ81" i="24"/>
  <c r="AO81" i="24"/>
  <c r="AM81" i="24"/>
  <c r="AK81" i="24"/>
  <c r="AK80" i="24" s="1"/>
  <c r="AI81" i="24"/>
  <c r="AG81" i="24"/>
  <c r="AE81" i="24"/>
  <c r="AC81" i="24"/>
  <c r="AC80" i="24" s="1"/>
  <c r="AA81" i="24"/>
  <c r="Y81" i="24"/>
  <c r="W81" i="24"/>
  <c r="U81" i="24"/>
  <c r="U80" i="24" s="1"/>
  <c r="S81" i="24"/>
  <c r="Q81" i="24"/>
  <c r="O81" i="24"/>
  <c r="M81" i="24"/>
  <c r="M80" i="24" s="1"/>
  <c r="M264" i="24" s="1"/>
  <c r="K81" i="24"/>
  <c r="I81" i="24"/>
  <c r="G81" i="24"/>
  <c r="BC69" i="24"/>
  <c r="BA69" i="24"/>
  <c r="AY69" i="24"/>
  <c r="AW69" i="24"/>
  <c r="AU69" i="24"/>
  <c r="AS69" i="24"/>
  <c r="AQ69" i="24"/>
  <c r="AO69" i="24"/>
  <c r="AM69" i="24"/>
  <c r="AK69" i="24"/>
  <c r="AI69" i="24"/>
  <c r="AG69" i="24"/>
  <c r="AE69" i="24"/>
  <c r="AC69" i="24"/>
  <c r="AA69" i="24"/>
  <c r="Y69" i="24"/>
  <c r="W69" i="24"/>
  <c r="U69" i="24"/>
  <c r="S69" i="24"/>
  <c r="Q69" i="24"/>
  <c r="O69" i="24"/>
  <c r="M69" i="24"/>
  <c r="K69" i="24"/>
  <c r="I69" i="24"/>
  <c r="G69" i="24"/>
  <c r="BP60" i="24"/>
  <c r="BD60" i="24"/>
  <c r="BB60" i="24"/>
  <c r="AZ60" i="24"/>
  <c r="AX60" i="24"/>
  <c r="AV60" i="24"/>
  <c r="AT60" i="24"/>
  <c r="AR60" i="24"/>
  <c r="AP60" i="24"/>
  <c r="AN60" i="24"/>
  <c r="AL60" i="24"/>
  <c r="AJ60" i="24"/>
  <c r="AH60" i="24"/>
  <c r="AF60" i="24"/>
  <c r="AD60" i="24"/>
  <c r="AB60" i="24"/>
  <c r="Z60" i="24"/>
  <c r="X60" i="24"/>
  <c r="V60" i="24"/>
  <c r="T60" i="24"/>
  <c r="R60" i="24"/>
  <c r="P60" i="24"/>
  <c r="N60" i="24"/>
  <c r="L60" i="24"/>
  <c r="J60" i="24"/>
  <c r="H60" i="24"/>
  <c r="F60" i="24"/>
  <c r="BR58" i="24"/>
  <c r="CJ58" i="24" s="1"/>
  <c r="BS57" i="24"/>
  <c r="CK57" i="24" s="1"/>
  <c r="BS35" i="24"/>
  <c r="CK35" i="24" s="1"/>
  <c r="BS36" i="24"/>
  <c r="BQ36" i="24"/>
  <c r="BQ2" i="70" s="1"/>
  <c r="BO35" i="24"/>
  <c r="BO292" i="24" s="1"/>
  <c r="BO36" i="24"/>
  <c r="BO293" i="24" s="1"/>
  <c r="C12" i="55" s="1"/>
  <c r="BK35" i="24"/>
  <c r="BK38" i="24" s="1"/>
  <c r="BK295" i="24" s="1"/>
  <c r="BK36" i="24"/>
  <c r="BG35" i="24"/>
  <c r="BG38" i="24" s="1"/>
  <c r="BG295" i="24" s="1"/>
  <c r="BG36" i="24"/>
  <c r="BG17" i="64" s="1"/>
  <c r="BE36" i="24"/>
  <c r="BE2" i="70" s="1"/>
  <c r="BC35" i="24"/>
  <c r="BC38" i="24" s="1"/>
  <c r="BC295" i="24" s="1"/>
  <c r="BC36" i="24"/>
  <c r="BA36" i="24"/>
  <c r="BA2" i="70" s="1"/>
  <c r="AY35" i="24"/>
  <c r="AY38" i="24" s="1"/>
  <c r="AY295" i="24" s="1"/>
  <c r="AY36" i="24"/>
  <c r="AY2" i="70" s="1"/>
  <c r="AU35" i="24"/>
  <c r="AU38" i="24" s="1"/>
  <c r="AU295" i="24" s="1"/>
  <c r="AU36" i="24"/>
  <c r="AU293" i="24" s="1"/>
  <c r="AQ35" i="24"/>
  <c r="AQ38" i="24" s="1"/>
  <c r="AQ295" i="24" s="1"/>
  <c r="AQ36" i="24"/>
  <c r="AQ2" i="70" s="1"/>
  <c r="AO36" i="24"/>
  <c r="AO2" i="70" s="1"/>
  <c r="AM35" i="24"/>
  <c r="AM292" i="24" s="1"/>
  <c r="AM36" i="24"/>
  <c r="AK36" i="24"/>
  <c r="AK2" i="70" s="1"/>
  <c r="AK8" i="70" s="1"/>
  <c r="AI35" i="24"/>
  <c r="AI36" i="24"/>
  <c r="AI2" i="70" s="1"/>
  <c r="AE35" i="24"/>
  <c r="AE292" i="24" s="1"/>
  <c r="AE36" i="24"/>
  <c r="AE293" i="24" s="1"/>
  <c r="AA35" i="24"/>
  <c r="AA36" i="24"/>
  <c r="AA2" i="70" s="1"/>
  <c r="Y36" i="24"/>
  <c r="Y2" i="70" s="1"/>
  <c r="W35" i="24"/>
  <c r="W38" i="24" s="1"/>
  <c r="W295" i="24" s="1"/>
  <c r="W36" i="24"/>
  <c r="U36" i="24"/>
  <c r="U2" i="70" s="1"/>
  <c r="S35" i="24"/>
  <c r="S38" i="24" s="1"/>
  <c r="S295" i="24" s="1"/>
  <c r="S36" i="24"/>
  <c r="S2" i="70" s="1"/>
  <c r="O35" i="24"/>
  <c r="O38" i="24" s="1"/>
  <c r="O295" i="24" s="1"/>
  <c r="O36" i="24"/>
  <c r="O293" i="24" s="1"/>
  <c r="K35" i="24"/>
  <c r="K38" i="24" s="1"/>
  <c r="K295" i="24" s="1"/>
  <c r="K36" i="24"/>
  <c r="K2" i="70" s="1"/>
  <c r="I36" i="24"/>
  <c r="I2" i="70" s="1"/>
  <c r="G35" i="24"/>
  <c r="G292" i="24" s="1"/>
  <c r="G36" i="24"/>
  <c r="G2" i="70" s="1"/>
  <c r="AT124" i="24"/>
  <c r="AR124" i="24"/>
  <c r="AP124" i="24"/>
  <c r="AN124" i="24"/>
  <c r="AL124" i="24"/>
  <c r="AJ124" i="24"/>
  <c r="AH124" i="24"/>
  <c r="AF124" i="24"/>
  <c r="AD124" i="24"/>
  <c r="AB124" i="24"/>
  <c r="Z124" i="24"/>
  <c r="X124" i="24"/>
  <c r="V124" i="24"/>
  <c r="T124" i="24"/>
  <c r="R124" i="24"/>
  <c r="P124" i="24"/>
  <c r="N124" i="24"/>
  <c r="L124" i="24"/>
  <c r="J124" i="24"/>
  <c r="H124" i="24"/>
  <c r="F124" i="24"/>
  <c r="CN101" i="24"/>
  <c r="BC89" i="24"/>
  <c r="BC88" i="24" s="1"/>
  <c r="BC336" i="24" s="1"/>
  <c r="BA89" i="24"/>
  <c r="BA88" i="24" s="1"/>
  <c r="BA87" i="24" s="1"/>
  <c r="AY89" i="24"/>
  <c r="AY88" i="24" s="1"/>
  <c r="AY336" i="24" s="1"/>
  <c r="AW89" i="24"/>
  <c r="AW88" i="24" s="1"/>
  <c r="AW87" i="24" s="1"/>
  <c r="AU89" i="24"/>
  <c r="AU88" i="24" s="1"/>
  <c r="AU336" i="24" s="1"/>
  <c r="AS89" i="24"/>
  <c r="AS88" i="24" s="1"/>
  <c r="AS87" i="24" s="1"/>
  <c r="AQ89" i="24"/>
  <c r="AQ88" i="24" s="1"/>
  <c r="AQ336" i="24" s="1"/>
  <c r="AO89" i="24"/>
  <c r="AO88" i="24" s="1"/>
  <c r="AO87" i="24" s="1"/>
  <c r="AM89" i="24"/>
  <c r="AM88" i="24" s="1"/>
  <c r="AM87" i="24" s="1"/>
  <c r="AK89" i="24"/>
  <c r="AK88" i="24" s="1"/>
  <c r="AK87" i="24" s="1"/>
  <c r="AI89" i="24"/>
  <c r="AI88" i="24" s="1"/>
  <c r="AG89" i="24"/>
  <c r="AG88" i="24" s="1"/>
  <c r="AG87" i="24" s="1"/>
  <c r="AE89" i="24"/>
  <c r="AE88" i="24" s="1"/>
  <c r="AC89" i="24"/>
  <c r="AC88" i="24" s="1"/>
  <c r="AC87" i="24" s="1"/>
  <c r="AA89" i="24"/>
  <c r="AA88" i="24" s="1"/>
  <c r="AA87" i="24" s="1"/>
  <c r="AA100" i="24" s="1"/>
  <c r="Y89" i="24"/>
  <c r="Y88" i="24" s="1"/>
  <c r="Y87" i="24" s="1"/>
  <c r="W89" i="24"/>
  <c r="W88" i="24" s="1"/>
  <c r="U89" i="24"/>
  <c r="U88" i="24" s="1"/>
  <c r="U87" i="24" s="1"/>
  <c r="S89" i="24"/>
  <c r="S88" i="24" s="1"/>
  <c r="Q89" i="24"/>
  <c r="Q88" i="24" s="1"/>
  <c r="Q87" i="24" s="1"/>
  <c r="O89" i="24"/>
  <c r="O88" i="24" s="1"/>
  <c r="M89" i="24"/>
  <c r="M88" i="24" s="1"/>
  <c r="M87" i="24" s="1"/>
  <c r="K89" i="24"/>
  <c r="K88" i="24" s="1"/>
  <c r="K87" i="24" s="1"/>
  <c r="K100" i="24" s="1"/>
  <c r="I89" i="24"/>
  <c r="I88" i="24" s="1"/>
  <c r="I87" i="24" s="1"/>
  <c r="G89" i="24"/>
  <c r="G88" i="24" s="1"/>
  <c r="BD69" i="24"/>
  <c r="BB69" i="24"/>
  <c r="AZ69" i="24"/>
  <c r="AX69" i="24"/>
  <c r="AV69" i="24"/>
  <c r="AT69" i="24"/>
  <c r="AR69" i="24"/>
  <c r="AP69" i="24"/>
  <c r="AN69" i="24"/>
  <c r="AL69" i="24"/>
  <c r="AJ69" i="24"/>
  <c r="AH69" i="24"/>
  <c r="AF69" i="24"/>
  <c r="AD69" i="24"/>
  <c r="AB69" i="24"/>
  <c r="Z69" i="24"/>
  <c r="X69" i="24"/>
  <c r="V69" i="24"/>
  <c r="T69" i="24"/>
  <c r="R69" i="24"/>
  <c r="P69" i="24"/>
  <c r="N69" i="24"/>
  <c r="L69" i="24"/>
  <c r="J69" i="24"/>
  <c r="H69" i="24"/>
  <c r="F69" i="24"/>
  <c r="BS54" i="24"/>
  <c r="CK54" i="24" s="1"/>
  <c r="BC54" i="24"/>
  <c r="BA54" i="24"/>
  <c r="AY54" i="24"/>
  <c r="AW54" i="24"/>
  <c r="AU54" i="24"/>
  <c r="AS54" i="24"/>
  <c r="AQ54" i="24"/>
  <c r="AO54" i="24"/>
  <c r="AM54" i="24"/>
  <c r="AK54" i="24"/>
  <c r="AI54" i="24"/>
  <c r="AG54" i="24"/>
  <c r="AE54" i="24"/>
  <c r="AC54" i="24"/>
  <c r="AA54" i="24"/>
  <c r="Y54" i="24"/>
  <c r="W54" i="24"/>
  <c r="U54" i="24"/>
  <c r="S54" i="24"/>
  <c r="Q54" i="24"/>
  <c r="O54" i="24"/>
  <c r="M54" i="24"/>
  <c r="K54" i="24"/>
  <c r="I54" i="24"/>
  <c r="G54" i="24"/>
  <c r="CK48" i="24"/>
  <c r="CI48" i="24"/>
  <c r="BP36" i="24"/>
  <c r="BP233" i="24" s="1"/>
  <c r="BL36" i="24"/>
  <c r="BH36" i="24"/>
  <c r="BH17" i="64" s="1"/>
  <c r="BD36" i="24"/>
  <c r="BD2" i="70" s="1"/>
  <c r="AZ36" i="24"/>
  <c r="AV36" i="24"/>
  <c r="AV2" i="70" s="1"/>
  <c r="AR36" i="24"/>
  <c r="AR2" i="70" s="1"/>
  <c r="AN36" i="24"/>
  <c r="AJ36" i="24"/>
  <c r="AF36" i="24"/>
  <c r="AF2" i="70" s="1"/>
  <c r="AB36" i="24"/>
  <c r="AB2" i="70" s="1"/>
  <c r="X36" i="24"/>
  <c r="X2" i="70" s="1"/>
  <c r="T36" i="24"/>
  <c r="P36" i="24"/>
  <c r="P2" i="70" s="1"/>
  <c r="L36" i="24"/>
  <c r="L2" i="70" s="1"/>
  <c r="H36" i="24"/>
  <c r="H2" i="70" s="1"/>
  <c r="F36" i="24"/>
  <c r="F35" i="24"/>
  <c r="BQ149" i="61"/>
  <c r="BA159" i="61"/>
  <c r="BA160" i="61" s="1"/>
  <c r="BA187" i="61"/>
  <c r="AW159" i="61"/>
  <c r="AW160" i="61" s="1"/>
  <c r="AW187" i="61"/>
  <c r="AU159" i="61"/>
  <c r="AU187" i="61"/>
  <c r="AS159" i="61"/>
  <c r="AS160" i="61"/>
  <c r="AS187" i="61"/>
  <c r="AQ159" i="61"/>
  <c r="AQ187" i="61"/>
  <c r="BQ2" i="61"/>
  <c r="BE2" i="61"/>
  <c r="BF2" i="61" s="1"/>
  <c r="BG2" i="61" s="1"/>
  <c r="BH2" i="61" s="1"/>
  <c r="BU2" i="61" s="1"/>
  <c r="BC217" i="61"/>
  <c r="BC218" i="61"/>
  <c r="BC219" i="61"/>
  <c r="BC220" i="61"/>
  <c r="BC221" i="61"/>
  <c r="BC226" i="61"/>
  <c r="BC228" i="61" s="1"/>
  <c r="BC227" i="61"/>
  <c r="BC229" i="61"/>
  <c r="BA141" i="61"/>
  <c r="BA193" i="61"/>
  <c r="BA217" i="61"/>
  <c r="BA218" i="61"/>
  <c r="BA219" i="61"/>
  <c r="BA220" i="61"/>
  <c r="BA221" i="61"/>
  <c r="BA224" i="61"/>
  <c r="BA225" i="61"/>
  <c r="BA226" i="61"/>
  <c r="BA228" i="61" s="1"/>
  <c r="BA227" i="61"/>
  <c r="BA229" i="61"/>
  <c r="BA230" i="61"/>
  <c r="AY193" i="61"/>
  <c r="AY217" i="61"/>
  <c r="AY218" i="61"/>
  <c r="AY219" i="61"/>
  <c r="AY220" i="61"/>
  <c r="AY221" i="61"/>
  <c r="AY224" i="61"/>
  <c r="AY225" i="61"/>
  <c r="AY226" i="61"/>
  <c r="AY228" i="61" s="1"/>
  <c r="AY227" i="61"/>
  <c r="AY229" i="61"/>
  <c r="AY230" i="61"/>
  <c r="AY141" i="61"/>
  <c r="AW141" i="61"/>
  <c r="AW217" i="61"/>
  <c r="AW218" i="61"/>
  <c r="AW219" i="61"/>
  <c r="AW220" i="61"/>
  <c r="AW221" i="61"/>
  <c r="AW224" i="61"/>
  <c r="AW225" i="61"/>
  <c r="AW226" i="61"/>
  <c r="AW227" i="61"/>
  <c r="AW228" i="61" s="1"/>
  <c r="AW229" i="61"/>
  <c r="AW230" i="61"/>
  <c r="AU193" i="61"/>
  <c r="AU217" i="61"/>
  <c r="AU218" i="61"/>
  <c r="AU219" i="61"/>
  <c r="AU220" i="61"/>
  <c r="AU221" i="61"/>
  <c r="AU224" i="61"/>
  <c r="AU225" i="61"/>
  <c r="AU226" i="61"/>
  <c r="AU227" i="61"/>
  <c r="AU229" i="61"/>
  <c r="AU230" i="61"/>
  <c r="AS141" i="61"/>
  <c r="AS217" i="61"/>
  <c r="AS218" i="61"/>
  <c r="AS219" i="61"/>
  <c r="AS220" i="61"/>
  <c r="AS221" i="61"/>
  <c r="AS224" i="61"/>
  <c r="AS225" i="61"/>
  <c r="AS226" i="61"/>
  <c r="AS228" i="61"/>
  <c r="AS227" i="61"/>
  <c r="AS229" i="61"/>
  <c r="AS230" i="61"/>
  <c r="AQ217" i="61"/>
  <c r="AQ218" i="61"/>
  <c r="AQ219" i="61"/>
  <c r="AQ220" i="61"/>
  <c r="AQ221" i="61"/>
  <c r="AQ224" i="61"/>
  <c r="AQ225" i="61"/>
  <c r="AQ226" i="61"/>
  <c r="AQ227" i="61"/>
  <c r="AQ229" i="61"/>
  <c r="AQ230" i="61"/>
  <c r="AQ141" i="61"/>
  <c r="AO141" i="61"/>
  <c r="AO217" i="61"/>
  <c r="AO218" i="61"/>
  <c r="AO219" i="61"/>
  <c r="AO220" i="61"/>
  <c r="AO221" i="61"/>
  <c r="AO224" i="61"/>
  <c r="AO225" i="61"/>
  <c r="AO226" i="61"/>
  <c r="AO228" i="61"/>
  <c r="AO227" i="61"/>
  <c r="AO229" i="61"/>
  <c r="AO230" i="61"/>
  <c r="AM193" i="61"/>
  <c r="AM217" i="61"/>
  <c r="AM218" i="61"/>
  <c r="AM219" i="61"/>
  <c r="AM220" i="61"/>
  <c r="AM221" i="61"/>
  <c r="AM224" i="61"/>
  <c r="AM225" i="61"/>
  <c r="AM226" i="61"/>
  <c r="AM227" i="61"/>
  <c r="AM229" i="61"/>
  <c r="AM230" i="61"/>
  <c r="AK141" i="61"/>
  <c r="AK217" i="61"/>
  <c r="AK218" i="61"/>
  <c r="AK219" i="61"/>
  <c r="AK220" i="61"/>
  <c r="AK221" i="61"/>
  <c r="AK224" i="61"/>
  <c r="AK225" i="61"/>
  <c r="AK226" i="61"/>
  <c r="AK228" i="61" s="1"/>
  <c r="AK227" i="61"/>
  <c r="AK229" i="61"/>
  <c r="AK230" i="61"/>
  <c r="AI217" i="61"/>
  <c r="AI218" i="61"/>
  <c r="AI219" i="61"/>
  <c r="AI220" i="61"/>
  <c r="AI221" i="61"/>
  <c r="AI224" i="61"/>
  <c r="AI225" i="61"/>
  <c r="AI226" i="61"/>
  <c r="AI228" i="61" s="1"/>
  <c r="AI227" i="61"/>
  <c r="AI229" i="61"/>
  <c r="AI230" i="61"/>
  <c r="AI141" i="61"/>
  <c r="AG141" i="61"/>
  <c r="AG217" i="61"/>
  <c r="AG218" i="61"/>
  <c r="AG219" i="61"/>
  <c r="AG220" i="61"/>
  <c r="AG221" i="61"/>
  <c r="AG224" i="61"/>
  <c r="AG225" i="61"/>
  <c r="AG226" i="61"/>
  <c r="AG227" i="61"/>
  <c r="AG229" i="61"/>
  <c r="AG230" i="61"/>
  <c r="AE193" i="61"/>
  <c r="AE217" i="61"/>
  <c r="AE218" i="61"/>
  <c r="AE219" i="61"/>
  <c r="AE220" i="61"/>
  <c r="AE221" i="61"/>
  <c r="AE224" i="61"/>
  <c r="AE225" i="61"/>
  <c r="AE226" i="61"/>
  <c r="AE227" i="61"/>
  <c r="AE229" i="61"/>
  <c r="AE230" i="61"/>
  <c r="AC217" i="61"/>
  <c r="AC220" i="61"/>
  <c r="AC221" i="61"/>
  <c r="AC224" i="61"/>
  <c r="AC225" i="61"/>
  <c r="AC226" i="61"/>
  <c r="AC228" i="61" s="1"/>
  <c r="AC227" i="61"/>
  <c r="AC229" i="61"/>
  <c r="AC230" i="61"/>
  <c r="AA217" i="61"/>
  <c r="AA220" i="61"/>
  <c r="AA221" i="61"/>
  <c r="AA224" i="61"/>
  <c r="AA225" i="61"/>
  <c r="AA226" i="61"/>
  <c r="AA228" i="61" s="1"/>
  <c r="AA227" i="61"/>
  <c r="AA229" i="61"/>
  <c r="AA230" i="61"/>
  <c r="Y217" i="61"/>
  <c r="Y220" i="61"/>
  <c r="Y221" i="61"/>
  <c r="Y224" i="61"/>
  <c r="Y225" i="61"/>
  <c r="Y226" i="61"/>
  <c r="Y227" i="61"/>
  <c r="Y228" i="61" s="1"/>
  <c r="Y229" i="61"/>
  <c r="Y230" i="61"/>
  <c r="W193" i="61"/>
  <c r="W217" i="61"/>
  <c r="W220" i="61"/>
  <c r="W221" i="61"/>
  <c r="W224" i="61"/>
  <c r="W225" i="61"/>
  <c r="W226" i="61"/>
  <c r="W227" i="61"/>
  <c r="W229" i="61"/>
  <c r="W230" i="61"/>
  <c r="U217" i="61"/>
  <c r="U220" i="61"/>
  <c r="U221" i="61"/>
  <c r="U224" i="61"/>
  <c r="U225" i="61"/>
  <c r="U226" i="61"/>
  <c r="U228" i="61" s="1"/>
  <c r="U227" i="61"/>
  <c r="U229" i="61"/>
  <c r="U230" i="61"/>
  <c r="S217" i="61"/>
  <c r="S220" i="61"/>
  <c r="S221" i="61"/>
  <c r="S224" i="61"/>
  <c r="S225" i="61"/>
  <c r="S226" i="61"/>
  <c r="S228" i="61" s="1"/>
  <c r="S227" i="61"/>
  <c r="S229" i="61"/>
  <c r="S230" i="61"/>
  <c r="Q217" i="61"/>
  <c r="Q220" i="61"/>
  <c r="Q221" i="61"/>
  <c r="Q224" i="61"/>
  <c r="Q225" i="61"/>
  <c r="Q226" i="61"/>
  <c r="Q227" i="61"/>
  <c r="Q229" i="61"/>
  <c r="Q230" i="61"/>
  <c r="O193" i="61"/>
  <c r="O217" i="61"/>
  <c r="O220" i="61"/>
  <c r="O221" i="61"/>
  <c r="O224" i="61"/>
  <c r="O225" i="61"/>
  <c r="O226" i="61"/>
  <c r="O227" i="61"/>
  <c r="O229" i="61"/>
  <c r="O230" i="61"/>
  <c r="M217" i="61"/>
  <c r="M220" i="61"/>
  <c r="M221" i="61"/>
  <c r="M224" i="61"/>
  <c r="M225" i="61"/>
  <c r="M226" i="61"/>
  <c r="M228" i="61" s="1"/>
  <c r="M227" i="61"/>
  <c r="M229" i="61"/>
  <c r="M230" i="61"/>
  <c r="K217" i="61"/>
  <c r="K220" i="61"/>
  <c r="K221" i="61"/>
  <c r="K224" i="61"/>
  <c r="K225" i="61"/>
  <c r="K226" i="61"/>
  <c r="K228" i="61" s="1"/>
  <c r="K227" i="61"/>
  <c r="K229" i="61"/>
  <c r="K230" i="61"/>
  <c r="I217" i="61"/>
  <c r="I220" i="61"/>
  <c r="I221" i="61"/>
  <c r="I224" i="61"/>
  <c r="I225" i="61"/>
  <c r="I226" i="61"/>
  <c r="I227" i="61"/>
  <c r="I228" i="61" s="1"/>
  <c r="I229" i="61"/>
  <c r="I230" i="61"/>
  <c r="G193" i="61"/>
  <c r="G217" i="61"/>
  <c r="G220" i="61"/>
  <c r="G221" i="61"/>
  <c r="G224" i="61"/>
  <c r="G225" i="61"/>
  <c r="G226" i="61"/>
  <c r="G227" i="61"/>
  <c r="G229" i="61"/>
  <c r="G230" i="61"/>
  <c r="AV181" i="61"/>
  <c r="AS181" i="61"/>
  <c r="AS182" i="61" s="1"/>
  <c r="AR181" i="61"/>
  <c r="AR182" i="61" s="1"/>
  <c r="AU141" i="61"/>
  <c r="AE141" i="61"/>
  <c r="AQ136" i="61"/>
  <c r="AM136" i="61"/>
  <c r="AL136" i="61" s="1"/>
  <c r="BA135" i="61"/>
  <c r="BB135" i="61" s="1"/>
  <c r="BC135" i="61" s="1"/>
  <c r="BD135" i="61" s="1"/>
  <c r="BQ135" i="61" s="1"/>
  <c r="AZ237" i="61"/>
  <c r="BA237" i="61" s="1"/>
  <c r="BB237" i="61" s="1"/>
  <c r="BB258" i="61"/>
  <c r="BB259" i="61"/>
  <c r="BB260" i="61"/>
  <c r="BB261" i="61"/>
  <c r="AX258" i="61"/>
  <c r="AX259" i="61"/>
  <c r="AX260" i="61"/>
  <c r="AX261" i="61"/>
  <c r="AV258" i="61"/>
  <c r="AV259" i="61"/>
  <c r="AV260" i="61"/>
  <c r="AV261" i="61"/>
  <c r="AT258" i="61"/>
  <c r="AT259" i="61"/>
  <c r="AT260" i="61"/>
  <c r="AT261" i="61"/>
  <c r="AR258" i="61"/>
  <c r="AR259" i="61"/>
  <c r="AR260" i="61"/>
  <c r="AR261" i="61"/>
  <c r="AO148" i="61"/>
  <c r="AN148" i="61" s="1"/>
  <c r="AM148" i="61" s="1"/>
  <c r="AL148" i="61" s="1"/>
  <c r="AK148" i="61" s="1"/>
  <c r="AJ148" i="61" s="1"/>
  <c r="AI148" i="61" s="1"/>
  <c r="AH148" i="61" s="1"/>
  <c r="AG148" i="61" s="1"/>
  <c r="AF148" i="61" s="1"/>
  <c r="AE148" i="61" s="1"/>
  <c r="AD148" i="61" s="1"/>
  <c r="AC148" i="61" s="1"/>
  <c r="AB148" i="61" s="1"/>
  <c r="AA148" i="61" s="1"/>
  <c r="Z148" i="61" s="1"/>
  <c r="Y148" i="61" s="1"/>
  <c r="X148" i="61" s="1"/>
  <c r="W148" i="61" s="1"/>
  <c r="V148" i="61" s="1"/>
  <c r="U148" i="61" s="1"/>
  <c r="T148" i="61" s="1"/>
  <c r="S148" i="61" s="1"/>
  <c r="R148" i="61" s="1"/>
  <c r="Q148" i="61" s="1"/>
  <c r="P148" i="61" s="1"/>
  <c r="O148" i="61" s="1"/>
  <c r="N148" i="61" s="1"/>
  <c r="M148" i="61" s="1"/>
  <c r="L148" i="61" s="1"/>
  <c r="K148" i="61" s="1"/>
  <c r="J148" i="61" s="1"/>
  <c r="I148" i="61" s="1"/>
  <c r="H148" i="61" s="1"/>
  <c r="G148" i="61" s="1"/>
  <c r="F148" i="61" s="1"/>
  <c r="AQ148" i="61"/>
  <c r="AR148" i="61" s="1"/>
  <c r="AS148" i="61" s="1"/>
  <c r="AT148" i="61" s="1"/>
  <c r="AU148" i="61" s="1"/>
  <c r="BB199" i="61"/>
  <c r="AZ199" i="61"/>
  <c r="AX168" i="61"/>
  <c r="AX199" i="61"/>
  <c r="AV168" i="61"/>
  <c r="AV199" i="61"/>
  <c r="AT168" i="61"/>
  <c r="AT199" i="61"/>
  <c r="AR168" i="61"/>
  <c r="AR191" i="61"/>
  <c r="AR211" i="61" s="1"/>
  <c r="AR199" i="61"/>
  <c r="AP153" i="61"/>
  <c r="AP159" i="61"/>
  <c r="AP160" i="61" s="1"/>
  <c r="AP168" i="61"/>
  <c r="AP191" i="61"/>
  <c r="AP211" i="61" s="1"/>
  <c r="AP199" i="61"/>
  <c r="AN159" i="61"/>
  <c r="AN160" i="61" s="1"/>
  <c r="AN168" i="61"/>
  <c r="AN191" i="61"/>
  <c r="AN211" i="61" s="1"/>
  <c r="AN199" i="61"/>
  <c r="AL159" i="61"/>
  <c r="AL168" i="61"/>
  <c r="AL191" i="61"/>
  <c r="AL211" i="61"/>
  <c r="AL199" i="61"/>
  <c r="AJ159" i="61"/>
  <c r="AJ160" i="61" s="1"/>
  <c r="AJ168" i="61"/>
  <c r="AJ191" i="61"/>
  <c r="AJ211" i="61" s="1"/>
  <c r="AJ199" i="61"/>
  <c r="AH159" i="61"/>
  <c r="AH160" i="61" s="1"/>
  <c r="AH168" i="61"/>
  <c r="AH191" i="61"/>
  <c r="AH211" i="61" s="1"/>
  <c r="AH199" i="61"/>
  <c r="AF159" i="61"/>
  <c r="AF160" i="61" s="1"/>
  <c r="AF168" i="61"/>
  <c r="AF191" i="61"/>
  <c r="AF211" i="61" s="1"/>
  <c r="AF199" i="61"/>
  <c r="AD159" i="61"/>
  <c r="AD168" i="61"/>
  <c r="AD191" i="61"/>
  <c r="AD211" i="61"/>
  <c r="AD199" i="61"/>
  <c r="AB159" i="61"/>
  <c r="AB160" i="61" s="1"/>
  <c r="AB168" i="61"/>
  <c r="AB191" i="61"/>
  <c r="AB211" i="61" s="1"/>
  <c r="AB199" i="61"/>
  <c r="Z159" i="61"/>
  <c r="Z160" i="61" s="1"/>
  <c r="AA91" i="61" s="1"/>
  <c r="AB91" i="61" s="1"/>
  <c r="AC91" i="61" s="1"/>
  <c r="AD91" i="61" s="1"/>
  <c r="AE91" i="61" s="1"/>
  <c r="AF91" i="61" s="1"/>
  <c r="AG91" i="61" s="1"/>
  <c r="AH91" i="61" s="1"/>
  <c r="AI91" i="61" s="1"/>
  <c r="AJ91" i="61" s="1"/>
  <c r="AK91" i="61" s="1"/>
  <c r="AL91" i="61" s="1"/>
  <c r="AM91" i="61" s="1"/>
  <c r="AN91" i="61" s="1"/>
  <c r="AO91" i="61" s="1"/>
  <c r="AP91" i="61" s="1"/>
  <c r="AQ91" i="61" s="1"/>
  <c r="Z168" i="61"/>
  <c r="Z191" i="61"/>
  <c r="Z211" i="61" s="1"/>
  <c r="Z199" i="61"/>
  <c r="X159" i="61"/>
  <c r="X160" i="61" s="1"/>
  <c r="X168" i="61"/>
  <c r="X191" i="61"/>
  <c r="X211" i="61" s="1"/>
  <c r="X199" i="61"/>
  <c r="V159" i="61"/>
  <c r="V168" i="61"/>
  <c r="V191" i="61"/>
  <c r="V211" i="61"/>
  <c r="V199" i="61"/>
  <c r="T159" i="61"/>
  <c r="T160" i="61" s="1"/>
  <c r="T168" i="61"/>
  <c r="T191" i="61"/>
  <c r="T211" i="61" s="1"/>
  <c r="T199" i="61"/>
  <c r="R159" i="61"/>
  <c r="R160" i="61" s="1"/>
  <c r="R168" i="61"/>
  <c r="R191" i="61"/>
  <c r="R211" i="61" s="1"/>
  <c r="R199" i="61"/>
  <c r="P159" i="61"/>
  <c r="P160" i="61" s="1"/>
  <c r="P168" i="61"/>
  <c r="P191" i="61"/>
  <c r="P211" i="61" s="1"/>
  <c r="P199" i="61"/>
  <c r="N159" i="61"/>
  <c r="N168" i="61"/>
  <c r="N191" i="61"/>
  <c r="N211" i="61"/>
  <c r="N199" i="61"/>
  <c r="L159" i="61"/>
  <c r="L160" i="61" s="1"/>
  <c r="L168" i="61"/>
  <c r="L191" i="61"/>
  <c r="L211" i="61" s="1"/>
  <c r="L199" i="61"/>
  <c r="J159" i="61"/>
  <c r="J160" i="61" s="1"/>
  <c r="J168" i="61"/>
  <c r="J191" i="61"/>
  <c r="J211" i="61" s="1"/>
  <c r="J199" i="61"/>
  <c r="H159" i="61"/>
  <c r="H160" i="61" s="1"/>
  <c r="H168" i="61"/>
  <c r="H191" i="61"/>
  <c r="H211" i="61" s="1"/>
  <c r="H199" i="61"/>
  <c r="BC117" i="61"/>
  <c r="BQ103" i="61"/>
  <c r="BE54" i="61"/>
  <c r="BR54" i="61" s="1"/>
  <c r="BF102" i="61"/>
  <c r="BG102" i="61" s="1"/>
  <c r="BH102" i="61" s="1"/>
  <c r="BU102" i="61" s="1"/>
  <c r="BR102" i="61"/>
  <c r="BA189" i="61"/>
  <c r="BA202" i="61"/>
  <c r="AY189" i="61"/>
  <c r="AY202" i="61"/>
  <c r="AW189" i="61"/>
  <c r="AW202" i="61"/>
  <c r="BF112" i="61"/>
  <c r="BS112" i="61" s="1"/>
  <c r="BR112" i="61"/>
  <c r="AX90" i="61"/>
  <c r="AW214" i="61"/>
  <c r="BA162" i="61"/>
  <c r="AW162" i="61"/>
  <c r="AS162" i="61"/>
  <c r="AD141" i="61"/>
  <c r="AC144" i="61"/>
  <c r="AN135" i="61"/>
  <c r="AO153" i="61"/>
  <c r="AO154" i="61"/>
  <c r="BC126" i="61"/>
  <c r="BC125" i="61" s="1"/>
  <c r="BC120" i="61"/>
  <c r="BC116" i="61"/>
  <c r="BQ95" i="61"/>
  <c r="BE95" i="61"/>
  <c r="BR94" i="61"/>
  <c r="BF94" i="61"/>
  <c r="BS94" i="61" s="1"/>
  <c r="BQ93" i="61"/>
  <c r="BB84" i="61"/>
  <c r="BB81" i="61" s="1"/>
  <c r="BB187" i="61" s="1"/>
  <c r="AZ84" i="61"/>
  <c r="AZ81" i="61" s="1"/>
  <c r="AZ159" i="61" s="1"/>
  <c r="AX84" i="61"/>
  <c r="AX81" i="61" s="1"/>
  <c r="AV84" i="61"/>
  <c r="AV81" i="61" s="1"/>
  <c r="AV159" i="61" s="1"/>
  <c r="AV162" i="61" s="1"/>
  <c r="AT84" i="61"/>
  <c r="AT81" i="61" s="1"/>
  <c r="AT187" i="61" s="1"/>
  <c r="BC115" i="61"/>
  <c r="J162" i="61"/>
  <c r="N160" i="61"/>
  <c r="N162" i="61"/>
  <c r="R162" i="61"/>
  <c r="V160" i="61"/>
  <c r="Z91" i="61" s="1"/>
  <c r="V162" i="61"/>
  <c r="Z162" i="61"/>
  <c r="AD160" i="61"/>
  <c r="AD162" i="61"/>
  <c r="AH162" i="61"/>
  <c r="AL160" i="61"/>
  <c r="AL162" i="61"/>
  <c r="F2" i="70"/>
  <c r="T38" i="24"/>
  <c r="T295" i="24" s="1"/>
  <c r="AZ38" i="24"/>
  <c r="AZ295" i="24" s="1"/>
  <c r="AZ237" i="24"/>
  <c r="S87" i="24"/>
  <c r="AI87" i="24"/>
  <c r="AQ87" i="24"/>
  <c r="AQ312" i="24" s="1"/>
  <c r="AU87" i="24"/>
  <c r="AU312" i="24" s="1"/>
  <c r="AY87" i="24"/>
  <c r="AY312" i="24" s="1"/>
  <c r="BC87" i="24"/>
  <c r="BC312" i="24" s="1"/>
  <c r="AL318" i="24"/>
  <c r="AM38" i="24"/>
  <c r="AM295" i="24" s="1"/>
  <c r="AV187" i="61"/>
  <c r="BR95" i="61"/>
  <c r="BG112" i="61"/>
  <c r="BH112" i="61" s="1"/>
  <c r="BI112" i="61" s="1"/>
  <c r="BV112" i="61" s="1"/>
  <c r="T162" i="61"/>
  <c r="AJ162" i="61"/>
  <c r="AP162" i="61"/>
  <c r="BE292" i="24"/>
  <c r="I80" i="24"/>
  <c r="Q80" i="24"/>
  <c r="Q264" i="24" s="1"/>
  <c r="Y80" i="24"/>
  <c r="AG80" i="24"/>
  <c r="AO80" i="24"/>
  <c r="AS331" i="24"/>
  <c r="BA80" i="24"/>
  <c r="BA264" i="24" s="1"/>
  <c r="R87" i="24"/>
  <c r="Z87" i="24"/>
  <c r="AH87" i="24"/>
  <c r="AP87" i="24"/>
  <c r="AX87" i="24"/>
  <c r="AX312" i="24" s="1"/>
  <c r="AC318" i="24"/>
  <c r="BY101" i="24"/>
  <c r="CQ101" i="24" s="1"/>
  <c r="CB115" i="24"/>
  <c r="CS115" i="24"/>
  <c r="BS406" i="24"/>
  <c r="CK406" i="24" s="1"/>
  <c r="AQ307" i="24"/>
  <c r="BT127" i="24"/>
  <c r="CL127" i="24" s="1"/>
  <c r="AX201" i="61"/>
  <c r="BG94" i="61"/>
  <c r="BH94" i="61" s="1"/>
  <c r="BU94" i="61" s="1"/>
  <c r="BC119" i="61"/>
  <c r="AC219" i="61"/>
  <c r="AC34" i="64"/>
  <c r="BS102" i="61"/>
  <c r="AP152" i="61"/>
  <c r="AZ191" i="61"/>
  <c r="AZ211" i="61" s="1"/>
  <c r="BB191" i="61"/>
  <c r="BB211" i="61" s="1"/>
  <c r="AN154" i="61"/>
  <c r="AR136" i="61"/>
  <c r="AS136" i="61" s="1"/>
  <c r="AQ153" i="61"/>
  <c r="AQ154" i="61"/>
  <c r="Q228" i="61"/>
  <c r="AG228" i="61"/>
  <c r="BA207" i="61"/>
  <c r="F38" i="24"/>
  <c r="F295" i="24"/>
  <c r="F292" i="24"/>
  <c r="AB379" i="24"/>
  <c r="AN2" i="70"/>
  <c r="BL17" i="64"/>
  <c r="AR318" i="24"/>
  <c r="AR305" i="24"/>
  <c r="G293" i="24"/>
  <c r="G379" i="24"/>
  <c r="I293" i="24"/>
  <c r="O2" i="70"/>
  <c r="S293" i="24"/>
  <c r="W2" i="70"/>
  <c r="W293" i="24"/>
  <c r="Y293" i="24"/>
  <c r="AE2" i="70"/>
  <c r="AI293" i="24"/>
  <c r="AM2" i="70"/>
  <c r="AM293" i="24"/>
  <c r="AO293" i="24"/>
  <c r="AU2" i="70"/>
  <c r="AY293" i="24"/>
  <c r="BC2" i="70"/>
  <c r="BC293" i="24"/>
  <c r="BE293" i="24"/>
  <c r="BO2" i="70"/>
  <c r="BN267" i="24"/>
  <c r="BS17" i="64"/>
  <c r="CK36" i="24"/>
  <c r="G80" i="24"/>
  <c r="K80" i="24"/>
  <c r="K264" i="24" s="1"/>
  <c r="O80" i="24"/>
  <c r="S80" i="24"/>
  <c r="S264" i="24" s="1"/>
  <c r="W80" i="24"/>
  <c r="W264" i="24" s="1"/>
  <c r="AA80" i="24"/>
  <c r="AA264" i="24" s="1"/>
  <c r="AE80" i="24"/>
  <c r="AI80" i="24"/>
  <c r="AI264" i="24" s="1"/>
  <c r="AM80" i="24"/>
  <c r="AQ80" i="24"/>
  <c r="AQ264" i="24" s="1"/>
  <c r="AQ331" i="24"/>
  <c r="AU80" i="24"/>
  <c r="AU331" i="24"/>
  <c r="AY80" i="24"/>
  <c r="AY264" i="24" s="1"/>
  <c r="AY331" i="24"/>
  <c r="BC80" i="24"/>
  <c r="BC331" i="24"/>
  <c r="L87" i="24"/>
  <c r="T87" i="24"/>
  <c r="AB87" i="24"/>
  <c r="AJ87" i="24"/>
  <c r="AR87" i="24"/>
  <c r="AR335" i="24" s="1"/>
  <c r="AZ87" i="24"/>
  <c r="AZ335" i="24" s="1"/>
  <c r="AQ318" i="24"/>
  <c r="AU318" i="24"/>
  <c r="CI119" i="24"/>
  <c r="BQ360" i="24"/>
  <c r="CI360" i="24" s="1"/>
  <c r="BZ155" i="24"/>
  <c r="CQ155" i="24"/>
  <c r="BM63" i="24"/>
  <c r="AZ53" i="24"/>
  <c r="AZ250" i="24" s="1"/>
  <c r="AZ258" i="24" s="1"/>
  <c r="BO203" i="24"/>
  <c r="BO214" i="24" s="1"/>
  <c r="X306" i="24"/>
  <c r="AL306" i="24"/>
  <c r="BG229" i="24"/>
  <c r="BI229" i="24"/>
  <c r="BI132" i="52"/>
  <c r="BI231" i="24" s="1"/>
  <c r="BI131" i="52"/>
  <c r="BI230" i="24" s="1"/>
  <c r="BW85" i="24"/>
  <c r="BX85" i="24" s="1"/>
  <c r="CP85" i="24" s="1"/>
  <c r="AR312" i="24"/>
  <c r="AW335" i="24"/>
  <c r="AR154" i="61"/>
  <c r="AR155" i="61" s="1"/>
  <c r="AR153" i="61"/>
  <c r="AR152" i="61" s="1"/>
  <c r="BU139" i="24"/>
  <c r="BV139" i="24" s="1"/>
  <c r="BW139" i="24" s="1"/>
  <c r="CO139" i="24" s="1"/>
  <c r="CL139" i="24"/>
  <c r="BT406" i="24"/>
  <c r="CL406" i="24" s="1"/>
  <c r="CC115" i="24"/>
  <c r="CU115" i="24" s="1"/>
  <c r="CT115" i="24"/>
  <c r="AV160" i="61"/>
  <c r="CA155" i="24"/>
  <c r="CB155" i="24" s="1"/>
  <c r="CR155" i="24"/>
  <c r="BC264" i="24"/>
  <c r="AY79" i="24"/>
  <c r="AY330" i="24"/>
  <c r="AU264" i="24"/>
  <c r="AQ79" i="24"/>
  <c r="AQ311" i="24" s="1"/>
  <c r="AM264" i="24"/>
  <c r="AI79" i="24"/>
  <c r="AA79" i="24"/>
  <c r="S79" i="24"/>
  <c r="K79" i="24"/>
  <c r="G264" i="24"/>
  <c r="AO155" i="61"/>
  <c r="BU127" i="24"/>
  <c r="CM127" i="24" s="1"/>
  <c r="AG264" i="24"/>
  <c r="BT112" i="61"/>
  <c r="BC335" i="24"/>
  <c r="BS2" i="61"/>
  <c r="BS186" i="61" s="1"/>
  <c r="CD115" i="24"/>
  <c r="CV115" i="24" s="1"/>
  <c r="AS153" i="61"/>
  <c r="AS154" i="61"/>
  <c r="AS155" i="61" s="1"/>
  <c r="BT2" i="61"/>
  <c r="BT186" i="61" s="1"/>
  <c r="AQ329" i="24"/>
  <c r="AY329" i="24"/>
  <c r="CS155" i="24"/>
  <c r="BI2" i="61"/>
  <c r="BV2" i="61" s="1"/>
  <c r="BJ112" i="61"/>
  <c r="BK112" i="61" s="1"/>
  <c r="BL112" i="61" s="1"/>
  <c r="BY112" i="61" s="1"/>
  <c r="BJ2" i="61"/>
  <c r="BW2" i="61" s="1"/>
  <c r="BX112" i="61"/>
  <c r="BK2" i="61"/>
  <c r="BX2" i="61" s="1"/>
  <c r="BL2" i="61"/>
  <c r="BM2" i="61" s="1"/>
  <c r="BZ2" i="61" s="1"/>
  <c r="BW57" i="45"/>
  <c r="K837" i="53" l="1"/>
  <c r="K844" i="53"/>
  <c r="K842" i="53"/>
  <c r="J841" i="53"/>
  <c r="K836" i="53"/>
  <c r="J835" i="53"/>
  <c r="Z7" i="80"/>
  <c r="AA8" i="80"/>
  <c r="Q162" i="79"/>
  <c r="Q163" i="79"/>
  <c r="R109" i="79"/>
  <c r="AZ162" i="61"/>
  <c r="AZ160" i="61"/>
  <c r="U264" i="24"/>
  <c r="U79" i="24"/>
  <c r="AC264" i="24"/>
  <c r="AC330" i="24"/>
  <c r="AK264" i="24"/>
  <c r="AK79" i="24"/>
  <c r="CC155" i="24"/>
  <c r="CT155" i="24"/>
  <c r="BU195" i="24"/>
  <c r="BV25" i="45"/>
  <c r="BS194" i="24"/>
  <c r="BT24" i="45"/>
  <c r="BS193" i="24"/>
  <c r="BT23" i="45"/>
  <c r="BB196" i="24"/>
  <c r="BB129" i="24" s="1"/>
  <c r="BB302" i="52"/>
  <c r="AT7" i="70"/>
  <c r="AT279" i="24"/>
  <c r="AI196" i="24"/>
  <c r="AI428" i="52"/>
  <c r="AI161" i="24" s="1"/>
  <c r="N7" i="70"/>
  <c r="N279" i="24"/>
  <c r="K7" i="70"/>
  <c r="K279" i="24"/>
  <c r="AT204" i="24"/>
  <c r="AT229" i="24" s="1"/>
  <c r="AT140" i="52"/>
  <c r="AT205" i="24" s="1"/>
  <c r="AT65" i="24" s="1"/>
  <c r="AP204" i="24"/>
  <c r="AP140" i="52"/>
  <c r="AP205" i="24" s="1"/>
  <c r="AL204" i="24"/>
  <c r="AL229" i="24" s="1"/>
  <c r="AL140" i="52"/>
  <c r="AL205" i="24" s="1"/>
  <c r="AH204" i="24"/>
  <c r="AH140" i="52"/>
  <c r="AH205" i="24" s="1"/>
  <c r="AD204" i="24"/>
  <c r="AD229" i="24" s="1"/>
  <c r="AD140" i="52"/>
  <c r="AD205" i="24" s="1"/>
  <c r="AD65" i="24" s="1"/>
  <c r="Z204" i="24"/>
  <c r="Z140" i="52"/>
  <c r="Z205" i="24" s="1"/>
  <c r="BE327" i="24"/>
  <c r="BE73" i="24"/>
  <c r="BC21" i="24"/>
  <c r="BC309" i="24"/>
  <c r="BC361" i="24" s="1"/>
  <c r="BC333" i="24"/>
  <c r="BC197" i="24"/>
  <c r="BD35" i="64" s="1"/>
  <c r="BC332" i="24"/>
  <c r="BC435" i="24"/>
  <c r="BA52" i="24"/>
  <c r="BA53" i="24" s="1"/>
  <c r="BA327" i="24"/>
  <c r="AY52" i="24"/>
  <c r="AY323" i="24"/>
  <c r="AY339" i="24"/>
  <c r="AY327" i="24"/>
  <c r="AY337" i="24"/>
  <c r="AW337" i="24"/>
  <c r="AW348" i="24"/>
  <c r="AU309" i="24"/>
  <c r="AU361" i="24" s="1"/>
  <c r="AU323" i="24"/>
  <c r="AU339" i="24"/>
  <c r="AU320" i="24"/>
  <c r="AU324" i="24"/>
  <c r="AU332" i="24"/>
  <c r="AU347" i="24"/>
  <c r="AQ21" i="24"/>
  <c r="AQ245" i="24"/>
  <c r="AQ246" i="24" s="1"/>
  <c r="AQ356" i="24" s="1"/>
  <c r="AQ319" i="24"/>
  <c r="AQ323" i="24"/>
  <c r="AQ339" i="24"/>
  <c r="AQ197" i="24"/>
  <c r="AR35" i="64" s="1"/>
  <c r="AQ322" i="24"/>
  <c r="AQ327" i="24"/>
  <c r="AQ337" i="24"/>
  <c r="AC323" i="24"/>
  <c r="AC321" i="24"/>
  <c r="AC327" i="24"/>
  <c r="U17" i="24"/>
  <c r="U31" i="52"/>
  <c r="AV73" i="24"/>
  <c r="AN13" i="24"/>
  <c r="AN27" i="52"/>
  <c r="AB13" i="24"/>
  <c r="AB27" i="52"/>
  <c r="L13" i="24"/>
  <c r="L27" i="52"/>
  <c r="O9" i="71"/>
  <c r="U9" i="71"/>
  <c r="BN2" i="61"/>
  <c r="BY2" i="61"/>
  <c r="BM112" i="61"/>
  <c r="BW112" i="61"/>
  <c r="CE115" i="24"/>
  <c r="AY311" i="24"/>
  <c r="AQ100" i="24"/>
  <c r="AQ326" i="24" s="1"/>
  <c r="BU112" i="61"/>
  <c r="AU335" i="24"/>
  <c r="BA79" i="24"/>
  <c r="AQ330" i="24"/>
  <c r="BZ101" i="24"/>
  <c r="BT102" i="61"/>
  <c r="BO235" i="24"/>
  <c r="C22" i="55" s="1"/>
  <c r="AU305" i="24"/>
  <c r="AQ305" i="24"/>
  <c r="BQ17" i="64"/>
  <c r="BO17" i="64"/>
  <c r="AT136" i="61"/>
  <c r="AB162" i="61"/>
  <c r="L162" i="61"/>
  <c r="AV201" i="61"/>
  <c r="G38" i="24"/>
  <c r="G295" i="24" s="1"/>
  <c r="AV191" i="61"/>
  <c r="AV211" i="61" s="1"/>
  <c r="AQ152" i="61"/>
  <c r="G228" i="61"/>
  <c r="O228" i="61"/>
  <c r="W228" i="61"/>
  <c r="AE228" i="61"/>
  <c r="AW190" i="24"/>
  <c r="AD428" i="52"/>
  <c r="AD161" i="24" s="1"/>
  <c r="AT358" i="24"/>
  <c r="H27" i="52"/>
  <c r="H29" i="52" s="1"/>
  <c r="H17" i="24" s="1"/>
  <c r="AF27" i="52"/>
  <c r="AC324" i="24"/>
  <c r="AQ332" i="24"/>
  <c r="AQ320" i="24"/>
  <c r="AQ333" i="24"/>
  <c r="AQ309" i="24"/>
  <c r="AQ361" i="24" s="1"/>
  <c r="AS347" i="24"/>
  <c r="AU337" i="24"/>
  <c r="AU322" i="24"/>
  <c r="AU333" i="24"/>
  <c r="AU52" i="24"/>
  <c r="AY332" i="24"/>
  <c r="AY333" i="24"/>
  <c r="AY18" i="24"/>
  <c r="BC337" i="24"/>
  <c r="BC339" i="24"/>
  <c r="BC52" i="24"/>
  <c r="BG21" i="24"/>
  <c r="CI17" i="24"/>
  <c r="AB140" i="52"/>
  <c r="AB205" i="24" s="1"/>
  <c r="AJ140" i="52"/>
  <c r="AJ205" i="24" s="1"/>
  <c r="AJ65" i="24" s="1"/>
  <c r="AR140" i="52"/>
  <c r="AR205" i="24" s="1"/>
  <c r="AR209" i="24" s="1"/>
  <c r="AS381" i="24" s="1"/>
  <c r="AY302" i="52"/>
  <c r="K428" i="52"/>
  <c r="K161" i="24" s="1"/>
  <c r="S428" i="52"/>
  <c r="S161" i="24" s="1"/>
  <c r="S306" i="24" s="1"/>
  <c r="N428" i="52"/>
  <c r="N161" i="24" s="1"/>
  <c r="N306" i="24" s="1"/>
  <c r="BT22" i="45"/>
  <c r="BT243" i="24"/>
  <c r="CL243" i="24" s="1"/>
  <c r="BD408" i="24"/>
  <c r="BD413" i="24"/>
  <c r="BD409" i="24"/>
  <c r="BD404" i="24"/>
  <c r="AX196" i="24"/>
  <c r="AX279" i="24" s="1"/>
  <c r="AX302" i="52"/>
  <c r="Z196" i="24"/>
  <c r="Z279" i="24" s="1"/>
  <c r="Z428" i="52"/>
  <c r="Z161" i="24" s="1"/>
  <c r="R196" i="24"/>
  <c r="R428" i="52"/>
  <c r="R161" i="24" s="1"/>
  <c r="BQ106" i="24"/>
  <c r="BQ343" i="52"/>
  <c r="BP91" i="24"/>
  <c r="BP329" i="52"/>
  <c r="BP328" i="52" s="1"/>
  <c r="BP340" i="52" s="1"/>
  <c r="AO301" i="24"/>
  <c r="AO377" i="24" s="1"/>
  <c r="AK215" i="24"/>
  <c r="AI238" i="24"/>
  <c r="AE215" i="24"/>
  <c r="AC31" i="52"/>
  <c r="AY197" i="24"/>
  <c r="AZ35" i="64" s="1"/>
  <c r="AU314" i="24"/>
  <c r="AQ435" i="24"/>
  <c r="BO157" i="24"/>
  <c r="BH158" i="24"/>
  <c r="AY118" i="24"/>
  <c r="AQ118" i="24"/>
  <c r="BS362" i="24"/>
  <c r="CK362" i="24" s="1"/>
  <c r="AL102" i="24"/>
  <c r="AH102" i="24"/>
  <c r="AD102" i="24"/>
  <c r="Z102" i="24"/>
  <c r="V102" i="24"/>
  <c r="R102" i="24"/>
  <c r="N102" i="24"/>
  <c r="J102" i="24"/>
  <c r="F102" i="24"/>
  <c r="BK333" i="24"/>
  <c r="BG333" i="24"/>
  <c r="AP307" i="24"/>
  <c r="N307" i="24"/>
  <c r="BC8" i="24"/>
  <c r="BC313" i="24" s="1"/>
  <c r="AY358" i="24"/>
  <c r="AQ358" i="24"/>
  <c r="AI358" i="24"/>
  <c r="BB254" i="61"/>
  <c r="AX254" i="61"/>
  <c r="AT254" i="61"/>
  <c r="AP254" i="61"/>
  <c r="AL254" i="61"/>
  <c r="AH254" i="61"/>
  <c r="AD254" i="61"/>
  <c r="Z254" i="61"/>
  <c r="V254" i="61"/>
  <c r="R254" i="61"/>
  <c r="N254" i="61"/>
  <c r="J254" i="61"/>
  <c r="F254" i="61"/>
  <c r="BQ235" i="61"/>
  <c r="AT193" i="61"/>
  <c r="AT219" i="61"/>
  <c r="AT221" i="61"/>
  <c r="AT227" i="61"/>
  <c r="AT229" i="61"/>
  <c r="AT141" i="61"/>
  <c r="AT34" i="64"/>
  <c r="AR217" i="61"/>
  <c r="AR34" i="64"/>
  <c r="AB228" i="61"/>
  <c r="L228" i="61"/>
  <c r="AT225" i="61"/>
  <c r="BC196" i="61"/>
  <c r="AB193" i="61"/>
  <c r="AT167" i="61"/>
  <c r="AT212" i="61" s="1"/>
  <c r="AT196" i="61"/>
  <c r="AT217" i="61"/>
  <c r="AR167" i="61"/>
  <c r="AR196" i="61"/>
  <c r="AU228" i="61"/>
  <c r="O758" i="53"/>
  <c r="P758" i="53" s="1"/>
  <c r="BQ113" i="24"/>
  <c r="CI113" i="24" s="1"/>
  <c r="BB186" i="52"/>
  <c r="BC186" i="52" s="1"/>
  <c r="BC180" i="52"/>
  <c r="AW237" i="24"/>
  <c r="AE228" i="24"/>
  <c r="W228" i="24"/>
  <c r="I214" i="24"/>
  <c r="AY238" i="24"/>
  <c r="J238" i="24"/>
  <c r="I48" i="52"/>
  <c r="R335" i="24"/>
  <c r="N312" i="24"/>
  <c r="AW73" i="24"/>
  <c r="BT278" i="24"/>
  <c r="CL278" i="24" s="1"/>
  <c r="BQ274" i="24"/>
  <c r="BR274" i="24" s="1"/>
  <c r="BS274" i="24" s="1"/>
  <c r="BT274" i="24" s="1"/>
  <c r="BU274" i="24" s="1"/>
  <c r="BI67" i="24"/>
  <c r="BI93" i="24" s="1"/>
  <c r="BS210" i="24"/>
  <c r="BC245" i="24"/>
  <c r="AY245" i="24"/>
  <c r="AU245" i="24"/>
  <c r="AR197" i="24"/>
  <c r="AS35" i="64" s="1"/>
  <c r="BH168" i="24"/>
  <c r="AX199" i="24"/>
  <c r="AP199" i="24"/>
  <c r="AL199" i="24"/>
  <c r="AH199" i="24"/>
  <c r="BD323" i="24"/>
  <c r="AZ323" i="24"/>
  <c r="AV323" i="24"/>
  <c r="BC322" i="24"/>
  <c r="AY322" i="24"/>
  <c r="BS129" i="24"/>
  <c r="CK129" i="24" s="1"/>
  <c r="AY129" i="24"/>
  <c r="BK309" i="24"/>
  <c r="BK361" i="24" s="1"/>
  <c r="BG309" i="24"/>
  <c r="BG361" i="24" s="1"/>
  <c r="BK327" i="24"/>
  <c r="BG327" i="24"/>
  <c r="AN102" i="24"/>
  <c r="AJ102" i="24"/>
  <c r="AF102" i="24"/>
  <c r="AB102" i="24"/>
  <c r="X102" i="24"/>
  <c r="T102" i="24"/>
  <c r="P102" i="24"/>
  <c r="L102" i="24"/>
  <c r="H102" i="24"/>
  <c r="AU123" i="24"/>
  <c r="AQ123" i="24"/>
  <c r="AO123" i="24"/>
  <c r="AM123" i="24"/>
  <c r="AI123" i="24"/>
  <c r="AE123" i="24"/>
  <c r="AA123" i="24"/>
  <c r="Y123" i="24"/>
  <c r="W123" i="24"/>
  <c r="S123" i="24"/>
  <c r="Q123" i="24"/>
  <c r="O123" i="24"/>
  <c r="K123" i="24"/>
  <c r="G123" i="24"/>
  <c r="AL358" i="24"/>
  <c r="AH358" i="24"/>
  <c r="R358" i="24"/>
  <c r="BA254" i="61"/>
  <c r="AY254" i="61"/>
  <c r="AW254" i="61"/>
  <c r="AU254" i="61"/>
  <c r="AS254" i="61"/>
  <c r="AQ254" i="61"/>
  <c r="AO254" i="61"/>
  <c r="AM254" i="61"/>
  <c r="AK254" i="61"/>
  <c r="AI254" i="61"/>
  <c r="AG254" i="61"/>
  <c r="AE254" i="61"/>
  <c r="AC254" i="61"/>
  <c r="AA254" i="61"/>
  <c r="Y254" i="61"/>
  <c r="W254" i="61"/>
  <c r="U254" i="61"/>
  <c r="S254" i="61"/>
  <c r="Q254" i="61"/>
  <c r="O254" i="61"/>
  <c r="M254" i="61"/>
  <c r="K254" i="61"/>
  <c r="I254" i="61"/>
  <c r="G254" i="61"/>
  <c r="BD219" i="61"/>
  <c r="BQ219" i="61" s="1"/>
  <c r="BD141" i="61"/>
  <c r="BD34" i="64"/>
  <c r="BB193" i="61"/>
  <c r="BB217" i="61"/>
  <c r="BB219" i="61"/>
  <c r="BB221" i="61"/>
  <c r="BB229" i="61"/>
  <c r="BB141" i="61"/>
  <c r="BB34" i="64"/>
  <c r="AZ217" i="61"/>
  <c r="AZ34" i="64"/>
  <c r="AJ217" i="61"/>
  <c r="AJ218" i="61"/>
  <c r="AJ220" i="61"/>
  <c r="AJ224" i="61"/>
  <c r="AJ230" i="61"/>
  <c r="AJ141" i="61"/>
  <c r="AJ34" i="64"/>
  <c r="AH193" i="61"/>
  <c r="AH34" i="64"/>
  <c r="AJ227" i="61"/>
  <c r="AJ226" i="61"/>
  <c r="T228" i="61"/>
  <c r="BB225" i="61"/>
  <c r="BD220" i="61"/>
  <c r="BQ220" i="61" s="1"/>
  <c r="AZ178" i="61"/>
  <c r="AZ233" i="61" s="1"/>
  <c r="AZ177" i="61"/>
  <c r="AV178" i="61"/>
  <c r="AV177" i="61"/>
  <c r="AR178" i="61"/>
  <c r="AR177" i="61"/>
  <c r="AJ177" i="61"/>
  <c r="AJ193" i="61"/>
  <c r="AF177" i="61"/>
  <c r="AF193" i="61"/>
  <c r="X177" i="61"/>
  <c r="X193" i="61"/>
  <c r="T177" i="61"/>
  <c r="T193" i="61"/>
  <c r="P177" i="61"/>
  <c r="P193" i="61"/>
  <c r="H177" i="61"/>
  <c r="H193" i="61"/>
  <c r="AD167" i="61"/>
  <c r="AD196" i="61"/>
  <c r="AD217" i="61"/>
  <c r="AB167" i="61"/>
  <c r="AB196" i="61"/>
  <c r="X167" i="61"/>
  <c r="Y212" i="61" s="1"/>
  <c r="X196" i="61"/>
  <c r="T167" i="61"/>
  <c r="T196" i="61"/>
  <c r="Q212" i="61"/>
  <c r="P167" i="61"/>
  <c r="P196" i="61"/>
  <c r="L167" i="61"/>
  <c r="L196" i="61"/>
  <c r="H167" i="61"/>
  <c r="I212" i="61" s="1"/>
  <c r="H196" i="61"/>
  <c r="AY181" i="61"/>
  <c r="AY182" i="61" s="1"/>
  <c r="AY174" i="61"/>
  <c r="AE162" i="61"/>
  <c r="AE190" i="61"/>
  <c r="AC162" i="61"/>
  <c r="AC190" i="61"/>
  <c r="O162" i="61"/>
  <c r="O190" i="61"/>
  <c r="M162" i="61"/>
  <c r="M190" i="61"/>
  <c r="AR159" i="61"/>
  <c r="BD82" i="61"/>
  <c r="BQ85" i="61"/>
  <c r="AB217" i="61"/>
  <c r="X217" i="61"/>
  <c r="T217" i="61"/>
  <c r="P217" i="61"/>
  <c r="L217" i="61"/>
  <c r="H217" i="61"/>
  <c r="AB230" i="61"/>
  <c r="T230" i="61"/>
  <c r="L230" i="61"/>
  <c r="AD229" i="61"/>
  <c r="V229" i="61"/>
  <c r="N229" i="61"/>
  <c r="F229" i="61"/>
  <c r="AD227" i="61"/>
  <c r="V227" i="61"/>
  <c r="N227" i="61"/>
  <c r="F227" i="61"/>
  <c r="AF226" i="61"/>
  <c r="X226" i="61"/>
  <c r="P226" i="61"/>
  <c r="H226" i="61"/>
  <c r="AX225" i="61"/>
  <c r="AP225" i="61"/>
  <c r="Z225" i="61"/>
  <c r="R225" i="61"/>
  <c r="J225" i="61"/>
  <c r="AB224" i="61"/>
  <c r="T224" i="61"/>
  <c r="L224" i="61"/>
  <c r="AD221" i="61"/>
  <c r="V221" i="61"/>
  <c r="N221" i="61"/>
  <c r="F221" i="61"/>
  <c r="AB220" i="61"/>
  <c r="T220" i="61"/>
  <c r="L220" i="61"/>
  <c r="AD219" i="61"/>
  <c r="V217" i="61"/>
  <c r="N217" i="61"/>
  <c r="F217" i="61"/>
  <c r="BB202" i="61"/>
  <c r="AX202" i="61"/>
  <c r="AU201" i="61"/>
  <c r="BB167" i="61"/>
  <c r="BB212" i="61" s="1"/>
  <c r="AZ167" i="61"/>
  <c r="BA212" i="61" s="1"/>
  <c r="AU212" i="61"/>
  <c r="AL167" i="61"/>
  <c r="AL212" i="61" s="1"/>
  <c r="AJ167" i="61"/>
  <c r="AK212" i="61" s="1"/>
  <c r="BE171" i="61"/>
  <c r="BQ171" i="61"/>
  <c r="AY168" i="61"/>
  <c r="AZ108" i="61"/>
  <c r="BG22" i="61"/>
  <c r="BS22" i="61"/>
  <c r="AW172" i="61"/>
  <c r="AW173" i="61"/>
  <c r="CG479" i="52"/>
  <c r="CG33" i="45" s="1"/>
  <c r="CF33" i="45"/>
  <c r="AY212" i="61"/>
  <c r="AV167" i="61"/>
  <c r="AN167" i="61"/>
  <c r="AI212" i="61"/>
  <c r="AF167" i="61"/>
  <c r="W212" i="61"/>
  <c r="S212" i="61"/>
  <c r="O212" i="61"/>
  <c r="K212" i="61"/>
  <c r="G212" i="61"/>
  <c r="AZ172" i="61"/>
  <c r="AZ173" i="61"/>
  <c r="AP154" i="61"/>
  <c r="AP172" i="61"/>
  <c r="AP173" i="61"/>
  <c r="AN172" i="61"/>
  <c r="AN173" i="61"/>
  <c r="AL172" i="61"/>
  <c r="AL173" i="61"/>
  <c r="AJ172" i="61"/>
  <c r="AJ173" i="61"/>
  <c r="AH172" i="61"/>
  <c r="AH173" i="61"/>
  <c r="AF172" i="61"/>
  <c r="AF173" i="61"/>
  <c r="AD172" i="61"/>
  <c r="AD173" i="61"/>
  <c r="AB172" i="61"/>
  <c r="AB173" i="61"/>
  <c r="Z172" i="61"/>
  <c r="Z173" i="61"/>
  <c r="X172" i="61"/>
  <c r="X173" i="61"/>
  <c r="V172" i="61"/>
  <c r="V173" i="61"/>
  <c r="T172" i="61"/>
  <c r="T173" i="61"/>
  <c r="R172" i="61"/>
  <c r="R173" i="61"/>
  <c r="P172" i="61"/>
  <c r="P173" i="61"/>
  <c r="N172" i="61"/>
  <c r="N173" i="61"/>
  <c r="L172" i="61"/>
  <c r="L173" i="61"/>
  <c r="J172" i="61"/>
  <c r="J173" i="61"/>
  <c r="H172" i="61"/>
  <c r="H173" i="61"/>
  <c r="AW168" i="61"/>
  <c r="AQ176" i="61"/>
  <c r="AQ168" i="61"/>
  <c r="AI176" i="61"/>
  <c r="AI168" i="61"/>
  <c r="AA176" i="61"/>
  <c r="AA193" i="61" s="1"/>
  <c r="AA168" i="61"/>
  <c r="S176" i="61"/>
  <c r="S193" i="61" s="1"/>
  <c r="S168" i="61"/>
  <c r="K176" i="61"/>
  <c r="K193" i="61" s="1"/>
  <c r="K168" i="61"/>
  <c r="AY84" i="61"/>
  <c r="AY81" i="61" s="1"/>
  <c r="BS58" i="61"/>
  <c r="BG58" i="61"/>
  <c r="BF46" i="61"/>
  <c r="BR46" i="61"/>
  <c r="BF37" i="61"/>
  <c r="BR37" i="61"/>
  <c r="AU181" i="61"/>
  <c r="AU182" i="61" s="1"/>
  <c r="J837" i="53"/>
  <c r="BX57" i="45"/>
  <c r="BX37" i="45" s="1"/>
  <c r="BW37" i="45"/>
  <c r="V5" i="55"/>
  <c r="W428" i="52"/>
  <c r="W161" i="24" s="1"/>
  <c r="W196" i="24"/>
  <c r="O428" i="52"/>
  <c r="O161" i="24" s="1"/>
  <c r="O196" i="24"/>
  <c r="O358" i="24" s="1"/>
  <c r="AX324" i="24"/>
  <c r="AX337" i="24"/>
  <c r="AX309" i="24"/>
  <c r="AX361" i="24" s="1"/>
  <c r="AX336" i="24"/>
  <c r="AL337" i="24"/>
  <c r="AL333" i="24"/>
  <c r="AL324" i="24"/>
  <c r="AL434" i="24"/>
  <c r="V17" i="24"/>
  <c r="V31" i="52"/>
  <c r="CL129" i="24"/>
  <c r="BK18" i="24"/>
  <c r="AH31" i="52"/>
  <c r="G279" i="24"/>
  <c r="R435" i="24"/>
  <c r="AT320" i="24"/>
  <c r="AL279" i="24"/>
  <c r="AL7" i="70"/>
  <c r="Y196" i="24"/>
  <c r="Y428" i="52"/>
  <c r="Y161" i="24" s="1"/>
  <c r="Y306" i="24" s="1"/>
  <c r="BL118" i="24"/>
  <c r="BH118" i="24"/>
  <c r="BF337" i="24"/>
  <c r="BH53" i="24"/>
  <c r="BH23" i="24" s="1"/>
  <c r="BH353" i="24"/>
  <c r="BN333" i="24"/>
  <c r="BF333" i="24"/>
  <c r="I369" i="24"/>
  <c r="I35" i="24"/>
  <c r="AS252" i="24"/>
  <c r="AS123" i="24"/>
  <c r="AG123" i="24"/>
  <c r="AG252" i="24"/>
  <c r="U252" i="24"/>
  <c r="U123" i="24"/>
  <c r="M252" i="24"/>
  <c r="M123" i="24"/>
  <c r="I123" i="24"/>
  <c r="I252" i="24"/>
  <c r="N358" i="24"/>
  <c r="BG73" i="24"/>
  <c r="BK17" i="64"/>
  <c r="BK2" i="70"/>
  <c r="CK134" i="24"/>
  <c r="BS401" i="24"/>
  <c r="CK401" i="24" s="1"/>
  <c r="BC428" i="52"/>
  <c r="BC161" i="24" s="1"/>
  <c r="BC196" i="24"/>
  <c r="BC129" i="24" s="1"/>
  <c r="AE428" i="52"/>
  <c r="AE161" i="24" s="1"/>
  <c r="AE196" i="24"/>
  <c r="AU215" i="24"/>
  <c r="AU301" i="24"/>
  <c r="AU377" i="24" s="1"/>
  <c r="N204" i="24"/>
  <c r="N229" i="24" s="1"/>
  <c r="N140" i="52"/>
  <c r="N205" i="24" s="1"/>
  <c r="N65" i="24" s="1"/>
  <c r="BB337" i="24"/>
  <c r="BB324" i="24"/>
  <c r="BB309" i="24"/>
  <c r="BB361" i="24" s="1"/>
  <c r="AP17" i="24"/>
  <c r="AP31" i="52"/>
  <c r="AH324" i="24"/>
  <c r="AH333" i="24"/>
  <c r="AH305" i="24"/>
  <c r="AH336" i="24"/>
  <c r="AH321" i="24"/>
  <c r="AH318" i="24"/>
  <c r="Z17" i="24"/>
  <c r="Z31" i="52"/>
  <c r="N320" i="24"/>
  <c r="N333" i="24"/>
  <c r="N324" i="24"/>
  <c r="N318" i="24"/>
  <c r="N336" i="24"/>
  <c r="J17" i="24"/>
  <c r="J314" i="24" s="1"/>
  <c r="J31" i="52"/>
  <c r="BF9" i="64"/>
  <c r="BF165" i="24"/>
  <c r="BB21" i="24"/>
  <c r="AT21" i="24"/>
  <c r="V21" i="24"/>
  <c r="AD312" i="24"/>
  <c r="AT312" i="24"/>
  <c r="J45" i="52"/>
  <c r="AT335" i="24"/>
  <c r="AT305" i="24"/>
  <c r="R318" i="24"/>
  <c r="R309" i="24"/>
  <c r="R361" i="24" s="1"/>
  <c r="BR329" i="52"/>
  <c r="BR328" i="52" s="1"/>
  <c r="BR340" i="52" s="1"/>
  <c r="AI306" i="24"/>
  <c r="AI307" i="24"/>
  <c r="AD321" i="24"/>
  <c r="BG160" i="52"/>
  <c r="AW196" i="24"/>
  <c r="AW7" i="70" s="1"/>
  <c r="AW428" i="52"/>
  <c r="AW161" i="24" s="1"/>
  <c r="AW306" i="24" s="1"/>
  <c r="AW302" i="52"/>
  <c r="AH335" i="24"/>
  <c r="AX335" i="24"/>
  <c r="BG131" i="52"/>
  <c r="BG230" i="24" s="1"/>
  <c r="BG65" i="24" s="1"/>
  <c r="F358" i="24"/>
  <c r="BQ293" i="24"/>
  <c r="BK293" i="24"/>
  <c r="AQ293" i="24"/>
  <c r="AA293" i="24"/>
  <c r="K293" i="24"/>
  <c r="I228" i="24"/>
  <c r="BC7" i="24"/>
  <c r="AY307" i="24"/>
  <c r="BB336" i="24"/>
  <c r="AP312" i="24"/>
  <c r="AD336" i="24"/>
  <c r="V335" i="24"/>
  <c r="AD318" i="24"/>
  <c r="N305" i="24"/>
  <c r="Q36" i="24"/>
  <c r="AG36" i="24"/>
  <c r="AW36" i="24"/>
  <c r="BM36" i="24"/>
  <c r="BM235" i="24" s="1"/>
  <c r="BS293" i="24"/>
  <c r="G12" i="55" s="1"/>
  <c r="BS2" i="70"/>
  <c r="BA75" i="24"/>
  <c r="BQ133" i="24"/>
  <c r="CI133" i="24" s="1"/>
  <c r="AY189" i="24"/>
  <c r="AY190" i="24" s="1"/>
  <c r="AD309" i="24"/>
  <c r="AD361" i="24" s="1"/>
  <c r="AY314" i="24"/>
  <c r="BG18" i="24"/>
  <c r="N31" i="52"/>
  <c r="AL31" i="52"/>
  <c r="V140" i="52"/>
  <c r="V205" i="24" s="1"/>
  <c r="V65" i="24" s="1"/>
  <c r="AF216" i="24"/>
  <c r="AF65" i="24"/>
  <c r="I428" i="52"/>
  <c r="I161" i="24" s="1"/>
  <c r="I306" i="24" s="1"/>
  <c r="U428" i="52"/>
  <c r="U161" i="24" s="1"/>
  <c r="G7" i="70"/>
  <c r="G6" i="70" s="1"/>
  <c r="U7" i="70"/>
  <c r="N337" i="24"/>
  <c r="AL321" i="24"/>
  <c r="BB333" i="24"/>
  <c r="AB238" i="24"/>
  <c r="Y252" i="24"/>
  <c r="AK123" i="24"/>
  <c r="AU428" i="52"/>
  <c r="AU161" i="24" s="1"/>
  <c r="AU196" i="24"/>
  <c r="AM428" i="52"/>
  <c r="AM161" i="24" s="1"/>
  <c r="AM196" i="24"/>
  <c r="AT321" i="24"/>
  <c r="AT324" i="24"/>
  <c r="AT337" i="24"/>
  <c r="AT318" i="24"/>
  <c r="AT336" i="24"/>
  <c r="AD320" i="24"/>
  <c r="AD333" i="24"/>
  <c r="R324" i="24"/>
  <c r="R320" i="24"/>
  <c r="R305" i="24"/>
  <c r="R336" i="24"/>
  <c r="R333" i="24"/>
  <c r="AP245" i="24"/>
  <c r="AP246" i="24" s="1"/>
  <c r="AP356" i="24" s="1"/>
  <c r="BC189" i="24"/>
  <c r="BC190" i="24" s="1"/>
  <c r="AU189" i="24"/>
  <c r="AU190" i="24" s="1"/>
  <c r="AU435" i="24"/>
  <c r="AL21" i="24"/>
  <c r="AX237" i="24"/>
  <c r="AH312" i="24"/>
  <c r="AD305" i="24"/>
  <c r="BG293" i="24"/>
  <c r="BG235" i="24"/>
  <c r="N321" i="24"/>
  <c r="AH320" i="24"/>
  <c r="BB126" i="24"/>
  <c r="BB130" i="24" s="1"/>
  <c r="BB7" i="70"/>
  <c r="AO196" i="24"/>
  <c r="AO428" i="52"/>
  <c r="AO161" i="24" s="1"/>
  <c r="AO306" i="24" s="1"/>
  <c r="AG7" i="70"/>
  <c r="AG279" i="24"/>
  <c r="V279" i="24"/>
  <c r="V7" i="70"/>
  <c r="V6" i="70" s="1"/>
  <c r="Q196" i="24"/>
  <c r="Q428" i="52"/>
  <c r="Q161" i="24" s="1"/>
  <c r="Q306" i="24" s="1"/>
  <c r="AL312" i="24"/>
  <c r="BB312" i="24"/>
  <c r="F7" i="70"/>
  <c r="CI36" i="24"/>
  <c r="BG2" i="70"/>
  <c r="BA293" i="24"/>
  <c r="AK293" i="24"/>
  <c r="U293" i="24"/>
  <c r="S307" i="24"/>
  <c r="BB335" i="24"/>
  <c r="AL336" i="24"/>
  <c r="AD335" i="24"/>
  <c r="R312" i="24"/>
  <c r="AL305" i="24"/>
  <c r="M36" i="24"/>
  <c r="AC36" i="24"/>
  <c r="AS36" i="24"/>
  <c r="BI36" i="24"/>
  <c r="BB279" i="24"/>
  <c r="AH309" i="24"/>
  <c r="AH361" i="24" s="1"/>
  <c r="AY435" i="24"/>
  <c r="AQ314" i="24"/>
  <c r="AU197" i="24"/>
  <c r="AV35" i="64" s="1"/>
  <c r="AU18" i="24"/>
  <c r="BA250" i="24"/>
  <c r="BA257" i="24" s="1"/>
  <c r="BC314" i="24"/>
  <c r="R31" i="52"/>
  <c r="BC302" i="52"/>
  <c r="I7" i="70"/>
  <c r="J6" i="70" s="1"/>
  <c r="R321" i="24"/>
  <c r="AD324" i="24"/>
  <c r="AL320" i="24"/>
  <c r="AX333" i="24"/>
  <c r="BC129" i="52"/>
  <c r="BC229" i="24" s="1"/>
  <c r="BA196" i="24"/>
  <c r="BA428" i="52"/>
  <c r="BA161" i="24" s="1"/>
  <c r="AX129" i="24"/>
  <c r="AX126" i="24"/>
  <c r="AX130" i="24" s="1"/>
  <c r="AX7" i="70"/>
  <c r="AX6" i="70" s="1"/>
  <c r="AP358" i="24"/>
  <c r="AP279" i="24"/>
  <c r="AK196" i="24"/>
  <c r="AK428" i="52"/>
  <c r="AK161" i="24" s="1"/>
  <c r="AH7" i="70"/>
  <c r="AH279" i="24"/>
  <c r="Z358" i="24"/>
  <c r="Z7" i="70"/>
  <c r="J358" i="24"/>
  <c r="BR236" i="52"/>
  <c r="K14" i="24"/>
  <c r="K27" i="52"/>
  <c r="AZ13" i="24"/>
  <c r="AZ27" i="52"/>
  <c r="AR13" i="24"/>
  <c r="AR73" i="24" s="1"/>
  <c r="AR27" i="52"/>
  <c r="AJ13" i="24"/>
  <c r="AJ27" i="52"/>
  <c r="X13" i="24"/>
  <c r="X27" i="52"/>
  <c r="T13" i="24"/>
  <c r="T27" i="52"/>
  <c r="BS306" i="24"/>
  <c r="CK306" i="24" s="1"/>
  <c r="CK161" i="24"/>
  <c r="AC123" i="24"/>
  <c r="AL335" i="24"/>
  <c r="Z312" i="24"/>
  <c r="AS246" i="24"/>
  <c r="AS356" i="24" s="1"/>
  <c r="AY7" i="70"/>
  <c r="AY126" i="24"/>
  <c r="AY130" i="24" s="1"/>
  <c r="AQ279" i="24"/>
  <c r="AQ7" i="70"/>
  <c r="AA196" i="24"/>
  <c r="AA428" i="52"/>
  <c r="AA161" i="24" s="1"/>
  <c r="BA348" i="24"/>
  <c r="BA324" i="24"/>
  <c r="BA435" i="24"/>
  <c r="BA331" i="24"/>
  <c r="AS18" i="24"/>
  <c r="AS314" i="24"/>
  <c r="AK17" i="24"/>
  <c r="AK435" i="24" s="1"/>
  <c r="AK31" i="52"/>
  <c r="U21" i="24"/>
  <c r="U323" i="24"/>
  <c r="U347" i="24"/>
  <c r="U305" i="24"/>
  <c r="M17" i="24"/>
  <c r="M347" i="24" s="1"/>
  <c r="M31" i="52"/>
  <c r="BO160" i="24"/>
  <c r="BO187" i="24" s="1"/>
  <c r="BK160" i="24"/>
  <c r="BK187" i="24" s="1"/>
  <c r="BG160" i="24"/>
  <c r="BG187" i="24" s="1"/>
  <c r="BB320" i="24"/>
  <c r="AX320" i="24"/>
  <c r="BE179" i="52"/>
  <c r="BE129" i="52" s="1"/>
  <c r="BE229" i="24" s="1"/>
  <c r="BE160" i="52"/>
  <c r="BA129" i="52"/>
  <c r="BA229" i="24" s="1"/>
  <c r="BB180" i="52"/>
  <c r="O203" i="24"/>
  <c r="O237" i="24" s="1"/>
  <c r="O37" i="24" s="1"/>
  <c r="O294" i="24" s="1"/>
  <c r="O140" i="52"/>
  <c r="O205" i="24" s="1"/>
  <c r="O65" i="24" s="1"/>
  <c r="BB73" i="24"/>
  <c r="AQ27" i="52"/>
  <c r="AA27" i="52"/>
  <c r="BC246" i="24"/>
  <c r="BC356" i="24" s="1"/>
  <c r="AY246" i="24"/>
  <c r="AY356" i="24" s="1"/>
  <c r="AU246" i="24"/>
  <c r="AU356" i="24" s="1"/>
  <c r="BL67" i="24"/>
  <c r="BL93" i="24" s="1"/>
  <c r="BP431" i="24"/>
  <c r="BL431" i="24"/>
  <c r="BH431" i="24"/>
  <c r="BP430" i="24"/>
  <c r="BL430" i="24"/>
  <c r="BH430" i="24"/>
  <c r="BG157" i="24"/>
  <c r="BZ315" i="52"/>
  <c r="BY26" i="45"/>
  <c r="AX300" i="24"/>
  <c r="O301" i="24"/>
  <c r="O377" i="24" s="1"/>
  <c r="BN434" i="24"/>
  <c r="BJ434" i="24"/>
  <c r="BF434" i="24"/>
  <c r="BE314" i="24"/>
  <c r="AW435" i="24"/>
  <c r="AS197" i="24"/>
  <c r="AT35" i="64" s="1"/>
  <c r="AC435" i="24"/>
  <c r="U197" i="24"/>
  <c r="V35" i="64" s="1"/>
  <c r="M197" i="24"/>
  <c r="N35" i="64" s="1"/>
  <c r="BI13" i="64"/>
  <c r="BG168" i="24"/>
  <c r="BH427" i="24" s="1"/>
  <c r="BN165" i="24"/>
  <c r="BO333" i="24"/>
  <c r="BK337" i="24"/>
  <c r="AT434" i="24"/>
  <c r="AP434" i="24"/>
  <c r="AD434" i="24"/>
  <c r="BB435" i="24"/>
  <c r="AX435" i="24"/>
  <c r="AP435" i="24"/>
  <c r="AL435" i="24"/>
  <c r="AH435" i="24"/>
  <c r="AD435" i="24"/>
  <c r="Z435" i="24"/>
  <c r="R197" i="24"/>
  <c r="S35" i="64" s="1"/>
  <c r="BK428" i="24"/>
  <c r="BN9" i="64"/>
  <c r="BH8" i="64"/>
  <c r="BJ158" i="24"/>
  <c r="BF158" i="24"/>
  <c r="BM160" i="24"/>
  <c r="BI160" i="24"/>
  <c r="AW129" i="24"/>
  <c r="BM341" i="24"/>
  <c r="BI341" i="24"/>
  <c r="BI309" i="24" s="1"/>
  <c r="BI361" i="24" s="1"/>
  <c r="BJ118" i="24"/>
  <c r="BA197" i="24"/>
  <c r="BB35" i="64" s="1"/>
  <c r="BA314" i="24"/>
  <c r="CM139" i="24"/>
  <c r="AS189" i="24"/>
  <c r="AS190" i="24" s="1"/>
  <c r="BE191" i="24"/>
  <c r="CK91" i="24"/>
  <c r="BS10" i="24"/>
  <c r="CK10" i="24" s="1"/>
  <c r="BI333" i="24"/>
  <c r="BI337" i="24"/>
  <c r="BI18" i="24"/>
  <c r="AW434" i="24"/>
  <c r="AW333" i="24"/>
  <c r="AW332" i="24"/>
  <c r="AW21" i="24"/>
  <c r="AW323" i="24"/>
  <c r="AW320" i="24"/>
  <c r="AW347" i="24"/>
  <c r="AW52" i="24"/>
  <c r="AW53" i="24" s="1"/>
  <c r="AW23" i="24" s="1"/>
  <c r="AW339" i="24"/>
  <c r="AW324" i="24"/>
  <c r="AS73" i="24"/>
  <c r="BR178" i="24"/>
  <c r="BR189" i="24" s="1"/>
  <c r="CJ179" i="24"/>
  <c r="AZ189" i="24"/>
  <c r="AZ314" i="24"/>
  <c r="BQ13" i="64"/>
  <c r="BO12" i="64"/>
  <c r="M312" i="24"/>
  <c r="U312" i="24"/>
  <c r="AC312" i="24"/>
  <c r="AW312" i="24"/>
  <c r="BS89" i="24"/>
  <c r="BS88" i="24" s="1"/>
  <c r="BS336" i="24" s="1"/>
  <c r="CK336" i="24" s="1"/>
  <c r="BQ8" i="64"/>
  <c r="BA191" i="24"/>
  <c r="BE189" i="24"/>
  <c r="BE190" i="24" s="1"/>
  <c r="BE435" i="24"/>
  <c r="M322" i="24"/>
  <c r="U337" i="24"/>
  <c r="U314" i="24"/>
  <c r="U321" i="24"/>
  <c r="AC314" i="24"/>
  <c r="AC197" i="24"/>
  <c r="AD35" i="64" s="1"/>
  <c r="AK322" i="24"/>
  <c r="AS327" i="24"/>
  <c r="AS333" i="24"/>
  <c r="AW327" i="24"/>
  <c r="AW309" i="24"/>
  <c r="AW361" i="24" s="1"/>
  <c r="BI21" i="24"/>
  <c r="BD7" i="70"/>
  <c r="BD110" i="24"/>
  <c r="BD411" i="24"/>
  <c r="BD407" i="24"/>
  <c r="BD402" i="24"/>
  <c r="BD358" i="24"/>
  <c r="AZ7" i="70"/>
  <c r="AZ279" i="24"/>
  <c r="AV279" i="24"/>
  <c r="AV129" i="24"/>
  <c r="AT6" i="70"/>
  <c r="AN358" i="24"/>
  <c r="AN279" i="24"/>
  <c r="AF358" i="24"/>
  <c r="AF7" i="70"/>
  <c r="AG6" i="70" s="1"/>
  <c r="X358" i="24"/>
  <c r="X7" i="70"/>
  <c r="X279" i="24"/>
  <c r="P358" i="24"/>
  <c r="P279" i="24"/>
  <c r="H358" i="24"/>
  <c r="H7" i="70"/>
  <c r="H279" i="24"/>
  <c r="BK237" i="24"/>
  <c r="BG237" i="24"/>
  <c r="BP52" i="24"/>
  <c r="BP332" i="24"/>
  <c r="BD324" i="24"/>
  <c r="BD347" i="24"/>
  <c r="BD319" i="24"/>
  <c r="AZ347" i="24"/>
  <c r="AZ327" i="24"/>
  <c r="AZ348" i="24"/>
  <c r="AZ332" i="24"/>
  <c r="AV52" i="24"/>
  <c r="AV347" i="24"/>
  <c r="AV322" i="24"/>
  <c r="AV348" i="24"/>
  <c r="AV327" i="24"/>
  <c r="AR52" i="24"/>
  <c r="AR347" i="24"/>
  <c r="AR332" i="24"/>
  <c r="AR339" i="24"/>
  <c r="AR319" i="24"/>
  <c r="AZ73" i="24"/>
  <c r="AW197" i="24"/>
  <c r="AX35" i="64" s="1"/>
  <c r="AW314" i="24"/>
  <c r="AK314" i="24"/>
  <c r="U435" i="24"/>
  <c r="BQ333" i="24"/>
  <c r="CI333" i="24" s="1"/>
  <c r="BQ362" i="24"/>
  <c r="CI362" i="24" s="1"/>
  <c r="BQ363" i="24"/>
  <c r="E29" i="55" s="1"/>
  <c r="BM245" i="24"/>
  <c r="BM52" i="24"/>
  <c r="BM333" i="24"/>
  <c r="BE52" i="24"/>
  <c r="BE348" i="24"/>
  <c r="BE21" i="24"/>
  <c r="BE324" i="24"/>
  <c r="BA434" i="24"/>
  <c r="BA333" i="24"/>
  <c r="BA332" i="24"/>
  <c r="BA18" i="24"/>
  <c r="BA319" i="24"/>
  <c r="BA245" i="24"/>
  <c r="BA337" i="24"/>
  <c r="BA21" i="24"/>
  <c r="BA323" i="24"/>
  <c r="BA320" i="24"/>
  <c r="BA347" i="24"/>
  <c r="AS434" i="24"/>
  <c r="AS21" i="24"/>
  <c r="AS319" i="24"/>
  <c r="AS339" i="24"/>
  <c r="AS320" i="24"/>
  <c r="AS332" i="24"/>
  <c r="AS52" i="24"/>
  <c r="AS53" i="24" s="1"/>
  <c r="AS321" i="24"/>
  <c r="AS348" i="24"/>
  <c r="AS322" i="24"/>
  <c r="AS337" i="24"/>
  <c r="AK434" i="24"/>
  <c r="AK321" i="24"/>
  <c r="AK324" i="24"/>
  <c r="AK323" i="24"/>
  <c r="AC309" i="24"/>
  <c r="AC361" i="24" s="1"/>
  <c r="AC333" i="24"/>
  <c r="AC320" i="24"/>
  <c r="AC332" i="24"/>
  <c r="AC21" i="24"/>
  <c r="AC319" i="24"/>
  <c r="AC339" i="24"/>
  <c r="AC322" i="24"/>
  <c r="AC337" i="24"/>
  <c r="U52" i="24"/>
  <c r="U333" i="24"/>
  <c r="U320" i="24"/>
  <c r="U332" i="24"/>
  <c r="M319" i="24"/>
  <c r="M320" i="24"/>
  <c r="BA73" i="24"/>
  <c r="BM13" i="64"/>
  <c r="BS12" i="64"/>
  <c r="BK12" i="64"/>
  <c r="BL423" i="24"/>
  <c r="BL4" i="64"/>
  <c r="BR14" i="24"/>
  <c r="CJ14" i="24" s="1"/>
  <c r="BA311" i="24"/>
  <c r="CO85" i="24"/>
  <c r="CM85" i="24"/>
  <c r="AW336" i="24"/>
  <c r="BP235" i="24"/>
  <c r="D22" i="55" s="1"/>
  <c r="AS305" i="24"/>
  <c r="AC305" i="24"/>
  <c r="M305" i="24"/>
  <c r="U331" i="24"/>
  <c r="U292" i="24"/>
  <c r="AS330" i="24"/>
  <c r="BS396" i="24"/>
  <c r="CK396" i="24" s="1"/>
  <c r="AK318" i="24"/>
  <c r="U318" i="24"/>
  <c r="AW331" i="24"/>
  <c r="AC331" i="24"/>
  <c r="BL379" i="24"/>
  <c r="BS160" i="24"/>
  <c r="AW191" i="24"/>
  <c r="BA189" i="24"/>
  <c r="BA190" i="24" s="1"/>
  <c r="CJ196" i="24"/>
  <c r="Y3" i="55" s="1"/>
  <c r="V358" i="24"/>
  <c r="AD279" i="24"/>
  <c r="AP7" i="70"/>
  <c r="AX358" i="24"/>
  <c r="BB358" i="24"/>
  <c r="BD405" i="24"/>
  <c r="BD410" i="24"/>
  <c r="BR434" i="24"/>
  <c r="M314" i="24"/>
  <c r="U327" i="24"/>
  <c r="U348" i="24"/>
  <c r="U319" i="24"/>
  <c r="AC347" i="24"/>
  <c r="AC348" i="24"/>
  <c r="AC52" i="24"/>
  <c r="AK320" i="24"/>
  <c r="AS324" i="24"/>
  <c r="AS323" i="24"/>
  <c r="AW245" i="24"/>
  <c r="AW246" i="24" s="1"/>
  <c r="AW356" i="24" s="1"/>
  <c r="AW18" i="24"/>
  <c r="BA339" i="24"/>
  <c r="BE197" i="24"/>
  <c r="BF35" i="64" s="1"/>
  <c r="AE301" i="24"/>
  <c r="AE377" i="24" s="1"/>
  <c r="AR322" i="24"/>
  <c r="AZ319" i="24"/>
  <c r="BH332" i="24"/>
  <c r="AZ126" i="24"/>
  <c r="AZ130" i="24" s="1"/>
  <c r="CK17" i="24"/>
  <c r="BS52" i="24"/>
  <c r="CK52" i="24" s="1"/>
  <c r="BC434" i="24"/>
  <c r="BC18" i="24"/>
  <c r="BC319" i="24"/>
  <c r="BC348" i="24"/>
  <c r="BC324" i="24"/>
  <c r="BC347" i="24"/>
  <c r="AY21" i="24"/>
  <c r="AY319" i="24"/>
  <c r="AY348" i="24"/>
  <c r="AY324" i="24"/>
  <c r="AY347" i="24"/>
  <c r="AU21" i="24"/>
  <c r="AU319" i="24"/>
  <c r="AK312" i="24"/>
  <c r="AS312" i="24"/>
  <c r="BA312" i="24"/>
  <c r="AV336" i="24"/>
  <c r="BN75" i="24"/>
  <c r="CI180" i="24"/>
  <c r="BQ178" i="24"/>
  <c r="BQ189" i="24" s="1"/>
  <c r="AY300" i="24"/>
  <c r="AY302" i="24" s="1"/>
  <c r="AE237" i="24"/>
  <c r="AE37" i="24" s="1"/>
  <c r="AE294" i="24" s="1"/>
  <c r="AP238" i="24"/>
  <c r="AJ238" i="24"/>
  <c r="AH238" i="24"/>
  <c r="AB215" i="24"/>
  <c r="Z238" i="24"/>
  <c r="BL237" i="24"/>
  <c r="BL37" i="24" s="1"/>
  <c r="BL294" i="24" s="1"/>
  <c r="BH237" i="24"/>
  <c r="BH37" i="24" s="1"/>
  <c r="BK235" i="24"/>
  <c r="BO207" i="24"/>
  <c r="BO218" i="24" s="1"/>
  <c r="U245" i="24"/>
  <c r="U246" i="24" s="1"/>
  <c r="U356" i="24" s="1"/>
  <c r="I211" i="24"/>
  <c r="BF67" i="24"/>
  <c r="BF93" i="24" s="1"/>
  <c r="BN431" i="24"/>
  <c r="BJ431" i="24"/>
  <c r="BF431" i="24"/>
  <c r="BF178" i="24"/>
  <c r="BD122" i="24"/>
  <c r="BD389" i="24" s="1"/>
  <c r="AZ122" i="24"/>
  <c r="AV122" i="24"/>
  <c r="AR122" i="24"/>
  <c r="AN122" i="24"/>
  <c r="AJ122" i="24"/>
  <c r="AF122" i="24"/>
  <c r="AB122" i="24"/>
  <c r="X122" i="24"/>
  <c r="T122" i="24"/>
  <c r="P122" i="24"/>
  <c r="L122" i="24"/>
  <c r="H122" i="24"/>
  <c r="BQ14" i="24"/>
  <c r="CI14" i="24" s="1"/>
  <c r="BR430" i="24"/>
  <c r="CJ430" i="24" s="1"/>
  <c r="BN430" i="24"/>
  <c r="BJ430" i="24"/>
  <c r="BN184" i="24"/>
  <c r="BS8" i="64"/>
  <c r="AV199" i="24"/>
  <c r="BA322" i="24"/>
  <c r="AW322" i="24"/>
  <c r="BD401" i="24"/>
  <c r="BM309" i="24"/>
  <c r="BM361" i="24" s="1"/>
  <c r="BP362" i="24"/>
  <c r="BM327" i="24"/>
  <c r="BI327" i="24"/>
  <c r="BP14" i="24"/>
  <c r="BR10" i="24"/>
  <c r="CJ10" i="24" s="1"/>
  <c r="BN353" i="24"/>
  <c r="BL333" i="24"/>
  <c r="F369" i="24"/>
  <c r="Y358" i="24"/>
  <c r="M358" i="24"/>
  <c r="BS99" i="24"/>
  <c r="BO14" i="24"/>
  <c r="J23" i="71"/>
  <c r="CA59" i="45"/>
  <c r="CB59" i="45" s="1"/>
  <c r="CC59" i="45" s="1"/>
  <c r="CD59" i="45" s="1"/>
  <c r="CE59" i="45" s="1"/>
  <c r="CF59" i="45" s="1"/>
  <c r="CG59" i="45" s="1"/>
  <c r="BR314" i="24"/>
  <c r="CJ314" i="24" s="1"/>
  <c r="T2" i="70"/>
  <c r="T379" i="24"/>
  <c r="AJ2" i="70"/>
  <c r="AJ379" i="24"/>
  <c r="I38" i="24"/>
  <c r="I295" i="24" s="1"/>
  <c r="I292" i="24"/>
  <c r="AA292" i="24"/>
  <c r="AA38" i="24"/>
  <c r="AA295" i="24" s="1"/>
  <c r="AI292" i="24"/>
  <c r="AI38" i="24"/>
  <c r="AI295" i="24" s="1"/>
  <c r="AO38" i="24"/>
  <c r="AO295" i="24" s="1"/>
  <c r="AO292" i="24"/>
  <c r="CI81" i="24"/>
  <c r="BQ331" i="24"/>
  <c r="CI331" i="24" s="1"/>
  <c r="AS203" i="24"/>
  <c r="AS140" i="52"/>
  <c r="AS205" i="24" s="1"/>
  <c r="AO203" i="24"/>
  <c r="AO140" i="52"/>
  <c r="AO205" i="24" s="1"/>
  <c r="AO216" i="24" s="1"/>
  <c r="AA203" i="24"/>
  <c r="AA140" i="52"/>
  <c r="AA205" i="24" s="1"/>
  <c r="AA65" i="24" s="1"/>
  <c r="Y203" i="24"/>
  <c r="Y140" i="52"/>
  <c r="Y205" i="24" s="1"/>
  <c r="Y209" i="24" s="1"/>
  <c r="I300" i="24"/>
  <c r="I302" i="24" s="1"/>
  <c r="J237" i="24"/>
  <c r="X204" i="24"/>
  <c r="Y301" i="24" s="1"/>
  <c r="X140" i="52"/>
  <c r="X205" i="24" s="1"/>
  <c r="X65" i="24" s="1"/>
  <c r="T204" i="24"/>
  <c r="T140" i="52"/>
  <c r="T205" i="24" s="1"/>
  <c r="R238" i="24"/>
  <c r="S238" i="24"/>
  <c r="P204" i="24"/>
  <c r="P140" i="52"/>
  <c r="P205" i="24" s="1"/>
  <c r="O215" i="24"/>
  <c r="L204" i="24"/>
  <c r="L140" i="52"/>
  <c r="L205" i="24" s="1"/>
  <c r="H204" i="24"/>
  <c r="H140" i="52"/>
  <c r="H205" i="24" s="1"/>
  <c r="H65" i="24" s="1"/>
  <c r="F204" i="24"/>
  <c r="F140" i="52"/>
  <c r="F205" i="24" s="1"/>
  <c r="F65" i="24" s="1"/>
  <c r="H46" i="52"/>
  <c r="G45" i="52"/>
  <c r="AX180" i="24"/>
  <c r="AX434" i="24"/>
  <c r="AH180" i="24"/>
  <c r="AH434" i="24"/>
  <c r="BD314" i="24"/>
  <c r="BD197" i="24"/>
  <c r="BE35" i="64" s="1"/>
  <c r="AV314" i="24"/>
  <c r="AV197" i="24"/>
  <c r="AW35" i="64" s="1"/>
  <c r="AT180" i="24"/>
  <c r="AT435" i="24"/>
  <c r="AR314" i="24"/>
  <c r="AR189" i="24"/>
  <c r="AR190" i="24" s="1"/>
  <c r="V435" i="24"/>
  <c r="V197" i="24"/>
  <c r="W35" i="64" s="1"/>
  <c r="N435" i="24"/>
  <c r="N197" i="24"/>
  <c r="O35" i="64" s="1"/>
  <c r="J435" i="24"/>
  <c r="BS428" i="24"/>
  <c r="CK428" i="24" s="1"/>
  <c r="CJ171" i="24"/>
  <c r="BF13" i="64"/>
  <c r="BF428" i="24"/>
  <c r="BP168" i="24"/>
  <c r="BF11" i="64"/>
  <c r="BF184" i="24"/>
  <c r="BM165" i="24"/>
  <c r="BI165" i="24"/>
  <c r="BR423" i="24"/>
  <c r="CJ423" i="24" s="1"/>
  <c r="BR4" i="64"/>
  <c r="BQ157" i="24"/>
  <c r="CI157" i="24" s="1"/>
  <c r="BR157" i="24"/>
  <c r="CJ157" i="24" s="1"/>
  <c r="BQ199" i="24"/>
  <c r="BN423" i="24"/>
  <c r="BN4" i="64"/>
  <c r="BM157" i="24"/>
  <c r="BN157" i="24"/>
  <c r="BJ423" i="24"/>
  <c r="BJ4" i="64"/>
  <c r="BI157" i="24"/>
  <c r="BJ157" i="24"/>
  <c r="BG158" i="24"/>
  <c r="BG308" i="24"/>
  <c r="BH423" i="24"/>
  <c r="BB199" i="24"/>
  <c r="AZ199" i="24"/>
  <c r="AT199" i="24"/>
  <c r="AR199" i="24"/>
  <c r="AN199" i="24"/>
  <c r="AJ199" i="24"/>
  <c r="AF199" i="24"/>
  <c r="CJ161" i="24"/>
  <c r="BR158" i="24"/>
  <c r="CJ158" i="24" s="1"/>
  <c r="BN306" i="24"/>
  <c r="BN158" i="24"/>
  <c r="CI159" i="24"/>
  <c r="X6" i="55" s="1"/>
  <c r="BQ160" i="24"/>
  <c r="BQ187" i="24" s="1"/>
  <c r="BO309" i="24"/>
  <c r="C32" i="55" s="1"/>
  <c r="BO339" i="24"/>
  <c r="BN118" i="24"/>
  <c r="BN341" i="24"/>
  <c r="BS56" i="24"/>
  <c r="CK56" i="24" s="1"/>
  <c r="CK96" i="24"/>
  <c r="BJ57" i="24"/>
  <c r="BJ69" i="24"/>
  <c r="BP54" i="24"/>
  <c r="BP89" i="24"/>
  <c r="BP88" i="24" s="1"/>
  <c r="BP10" i="24"/>
  <c r="CI83" i="24"/>
  <c r="BQ59" i="24"/>
  <c r="CI59" i="24" s="1"/>
  <c r="BR35" i="24"/>
  <c r="BR38" i="24" s="1"/>
  <c r="BR36" i="24"/>
  <c r="BN35" i="24"/>
  <c r="BN36" i="24"/>
  <c r="BM267" i="24" s="1"/>
  <c r="BL267" i="24" s="1"/>
  <c r="BK267" i="24" s="1"/>
  <c r="BJ267" i="24" s="1"/>
  <c r="BI267" i="24" s="1"/>
  <c r="BH267" i="24" s="1"/>
  <c r="BG267" i="24" s="1"/>
  <c r="BF267" i="24" s="1"/>
  <c r="BE267" i="24" s="1"/>
  <c r="BD267" i="24" s="1"/>
  <c r="BC267" i="24" s="1"/>
  <c r="BB267" i="24" s="1"/>
  <c r="BA267" i="24" s="1"/>
  <c r="AZ267" i="24" s="1"/>
  <c r="AY267" i="24" s="1"/>
  <c r="AX267" i="24" s="1"/>
  <c r="AW267" i="24" s="1"/>
  <c r="AV267" i="24" s="1"/>
  <c r="AU267" i="24" s="1"/>
  <c r="AT267" i="24" s="1"/>
  <c r="AS267" i="24" s="1"/>
  <c r="BJ35" i="24"/>
  <c r="BJ292" i="24" s="1"/>
  <c r="BJ36" i="24"/>
  <c r="BH292" i="24"/>
  <c r="BH38" i="24"/>
  <c r="BH295" i="24" s="1"/>
  <c r="BF35" i="24"/>
  <c r="BF292" i="24" s="1"/>
  <c r="BF36" i="24"/>
  <c r="BB35" i="24"/>
  <c r="BB292" i="24" s="1"/>
  <c r="BB36" i="24"/>
  <c r="AX35" i="24"/>
  <c r="AX38" i="24" s="1"/>
  <c r="AX295" i="24" s="1"/>
  <c r="AX36" i="24"/>
  <c r="AX379" i="24" s="1"/>
  <c r="AT35" i="24"/>
  <c r="AT36" i="24"/>
  <c r="AP35" i="24"/>
  <c r="AP36" i="24"/>
  <c r="AP379" i="24" s="1"/>
  <c r="AL35" i="24"/>
  <c r="AL36" i="24"/>
  <c r="AH35" i="24"/>
  <c r="AH36" i="24"/>
  <c r="AD35" i="24"/>
  <c r="AD292" i="24" s="1"/>
  <c r="AD36" i="24"/>
  <c r="AB292" i="24"/>
  <c r="AB38" i="24"/>
  <c r="AB295" i="24" s="1"/>
  <c r="Z35" i="24"/>
  <c r="Z292" i="24" s="1"/>
  <c r="Z36" i="24"/>
  <c r="V35" i="24"/>
  <c r="V292" i="24" s="1"/>
  <c r="V36" i="24"/>
  <c r="V379" i="24" s="1"/>
  <c r="R35" i="24"/>
  <c r="R36" i="24"/>
  <c r="N35" i="24"/>
  <c r="N38" i="24" s="1"/>
  <c r="N295" i="24" s="1"/>
  <c r="N36" i="24"/>
  <c r="N379" i="24" s="1"/>
  <c r="J35" i="24"/>
  <c r="J36" i="24"/>
  <c r="BJ12" i="24"/>
  <c r="AZ2" i="70"/>
  <c r="AZ379" i="24"/>
  <c r="BP17" i="64"/>
  <c r="BQ379" i="24"/>
  <c r="CI379" i="24" s="1"/>
  <c r="Q38" i="24"/>
  <c r="Q295" i="24" s="1"/>
  <c r="Q292" i="24"/>
  <c r="BA38" i="24"/>
  <c r="BA295" i="24" s="1"/>
  <c r="BA292" i="24"/>
  <c r="BI38" i="24"/>
  <c r="BI292" i="24"/>
  <c r="CI35" i="24"/>
  <c r="BQ38" i="24"/>
  <c r="CK160" i="24"/>
  <c r="BS187" i="24"/>
  <c r="K6" i="70"/>
  <c r="AW37" i="24"/>
  <c r="AW294" i="24" s="1"/>
  <c r="AU203" i="24"/>
  <c r="AV214" i="24" s="1"/>
  <c r="AU140" i="52"/>
  <c r="AU205" i="24" s="1"/>
  <c r="AQ203" i="24"/>
  <c r="AR237" i="24" s="1"/>
  <c r="AQ140" i="52"/>
  <c r="AQ205" i="24" s="1"/>
  <c r="AQ65" i="24" s="1"/>
  <c r="AM203" i="24"/>
  <c r="AN237" i="24" s="1"/>
  <c r="AN37" i="24" s="1"/>
  <c r="AN294" i="24" s="1"/>
  <c r="AM140" i="52"/>
  <c r="AM205" i="24" s="1"/>
  <c r="AK203" i="24"/>
  <c r="AK140" i="52"/>
  <c r="AK205" i="24" s="1"/>
  <c r="AI203" i="24"/>
  <c r="AJ300" i="24" s="1"/>
  <c r="AJ302" i="24" s="1"/>
  <c r="AI140" i="52"/>
  <c r="AI205" i="24" s="1"/>
  <c r="AG203" i="24"/>
  <c r="AG140" i="52"/>
  <c r="AG205" i="24" s="1"/>
  <c r="AG216" i="24" s="1"/>
  <c r="AC203" i="24"/>
  <c r="AD237" i="24" s="1"/>
  <c r="AD37" i="24" s="1"/>
  <c r="AD294" i="24" s="1"/>
  <c r="AC140" i="52"/>
  <c r="AC205" i="24" s="1"/>
  <c r="U203" i="24"/>
  <c r="U140" i="52"/>
  <c r="U205" i="24" s="1"/>
  <c r="S203" i="24"/>
  <c r="T300" i="24" s="1"/>
  <c r="T302" i="24" s="1"/>
  <c r="S140" i="52"/>
  <c r="S205" i="24" s="1"/>
  <c r="Q203" i="24"/>
  <c r="Q140" i="52"/>
  <c r="Q205" i="24" s="1"/>
  <c r="M203" i="24"/>
  <c r="M228" i="24" s="1"/>
  <c r="M140" i="52"/>
  <c r="M205" i="24" s="1"/>
  <c r="K203" i="24"/>
  <c r="L237" i="24" s="1"/>
  <c r="K140" i="52"/>
  <c r="K205" i="24" s="1"/>
  <c r="K65" i="24" s="1"/>
  <c r="G203" i="24"/>
  <c r="H214" i="24" s="1"/>
  <c r="G140" i="52"/>
  <c r="G205" i="24" s="1"/>
  <c r="AZ215" i="24"/>
  <c r="AZ238" i="24"/>
  <c r="AW204" i="24"/>
  <c r="AW229" i="24" s="1"/>
  <c r="AW140" i="52"/>
  <c r="AW205" i="24" s="1"/>
  <c r="AW216" i="24" s="1"/>
  <c r="AR238" i="24"/>
  <c r="AR215" i="24"/>
  <c r="BY85" i="24"/>
  <c r="BZ85" i="24" s="1"/>
  <c r="CR85" i="24" s="1"/>
  <c r="BA258" i="24"/>
  <c r="AN385" i="24"/>
  <c r="BN214" i="24"/>
  <c r="AS307" i="24"/>
  <c r="AC307" i="24"/>
  <c r="M307" i="24"/>
  <c r="AN65" i="24"/>
  <c r="AB209" i="24"/>
  <c r="AC381" i="24" s="1"/>
  <c r="AZ306" i="24"/>
  <c r="AW228" i="24"/>
  <c r="BH379" i="24"/>
  <c r="AR379" i="24"/>
  <c r="L379" i="24"/>
  <c r="I45" i="24"/>
  <c r="BM292" i="24"/>
  <c r="AW292" i="24"/>
  <c r="AS292" i="24"/>
  <c r="AE38" i="24"/>
  <c r="AE295" i="24" s="1"/>
  <c r="M292" i="24"/>
  <c r="W237" i="24"/>
  <c r="W37" i="24" s="1"/>
  <c r="W294" i="24" s="1"/>
  <c r="BH157" i="24"/>
  <c r="BP157" i="24"/>
  <c r="BK157" i="24"/>
  <c r="BS157" i="24"/>
  <c r="CK157" i="24" s="1"/>
  <c r="BL158" i="24"/>
  <c r="BH4" i="64"/>
  <c r="BP4" i="64"/>
  <c r="BG165" i="24"/>
  <c r="AZ197" i="24"/>
  <c r="BA35" i="64" s="1"/>
  <c r="N6" i="70"/>
  <c r="AD6" i="70"/>
  <c r="BB127" i="24"/>
  <c r="BD403" i="24"/>
  <c r="BK339" i="24"/>
  <c r="Y238" i="24"/>
  <c r="AO238" i="24"/>
  <c r="J140" i="52"/>
  <c r="J205" i="24" s="1"/>
  <c r="R140" i="52"/>
  <c r="R205" i="24" s="1"/>
  <c r="R65" i="24" s="1"/>
  <c r="BN337" i="24"/>
  <c r="H368" i="24"/>
  <c r="AJ215" i="24"/>
  <c r="BQ329" i="52"/>
  <c r="BQ328" i="52" s="1"/>
  <c r="BQ91" i="24"/>
  <c r="CI91" i="24" s="1"/>
  <c r="BO60" i="52"/>
  <c r="BO130" i="52"/>
  <c r="BO228" i="24" s="1"/>
  <c r="BO237" i="24" s="1"/>
  <c r="BO37" i="24" s="1"/>
  <c r="BO181" i="52"/>
  <c r="BO179" i="52"/>
  <c r="BM179" i="52"/>
  <c r="BM129" i="52" s="1"/>
  <c r="BM160" i="52"/>
  <c r="W140" i="52"/>
  <c r="W205" i="24" s="1"/>
  <c r="I140" i="52"/>
  <c r="I205" i="24" s="1"/>
  <c r="BJ341" i="24"/>
  <c r="CK232" i="24"/>
  <c r="BS235" i="24"/>
  <c r="BM241" i="24"/>
  <c r="BM67" i="24"/>
  <c r="BN235" i="24"/>
  <c r="BT210" i="24"/>
  <c r="BT211" i="24" s="1"/>
  <c r="CL211" i="24" s="1"/>
  <c r="BS245" i="24"/>
  <c r="CK245" i="24" s="1"/>
  <c r="CJ133" i="24"/>
  <c r="BR400" i="24"/>
  <c r="CJ400" i="24" s="1"/>
  <c r="BA237" i="24"/>
  <c r="BA37" i="24" s="1"/>
  <c r="AO303" i="24"/>
  <c r="BI235" i="24"/>
  <c r="BQ235" i="24"/>
  <c r="BD129" i="24"/>
  <c r="BD126" i="24"/>
  <c r="BD279" i="24"/>
  <c r="BD392" i="24"/>
  <c r="BD417" i="24"/>
  <c r="AZ129" i="24"/>
  <c r="AZ358" i="24"/>
  <c r="AZ6" i="70"/>
  <c r="AW279" i="24"/>
  <c r="AV7" i="70"/>
  <c r="AV358" i="24"/>
  <c r="AR7" i="70"/>
  <c r="AS6" i="70" s="1"/>
  <c r="AR279" i="24"/>
  <c r="AJ7" i="70"/>
  <c r="AJ279" i="24"/>
  <c r="AB7" i="70"/>
  <c r="AB279" i="24"/>
  <c r="T7" i="70"/>
  <c r="T6" i="70" s="1"/>
  <c r="T279" i="24"/>
  <c r="L7" i="70"/>
  <c r="L6" i="70" s="1"/>
  <c r="L279" i="24"/>
  <c r="BQ441" i="24"/>
  <c r="CI117" i="24"/>
  <c r="BO347" i="52"/>
  <c r="BO360" i="52"/>
  <c r="BO216" i="24"/>
  <c r="BK60" i="52"/>
  <c r="BJ162" i="52"/>
  <c r="AR214" i="24"/>
  <c r="AH300" i="24"/>
  <c r="X300" i="24"/>
  <c r="L214" i="24"/>
  <c r="BD191" i="24"/>
  <c r="BB191" i="24"/>
  <c r="AZ191" i="24"/>
  <c r="AX191" i="24"/>
  <c r="AV191" i="24"/>
  <c r="AT191" i="24"/>
  <c r="AR191" i="24"/>
  <c r="BL353" i="24"/>
  <c r="AO17" i="24"/>
  <c r="AO31" i="52"/>
  <c r="AG17" i="24"/>
  <c r="AG31" i="52"/>
  <c r="Y17" i="24"/>
  <c r="Y31" i="52"/>
  <c r="Q17" i="24"/>
  <c r="Q330" i="24" s="1"/>
  <c r="Q31" i="52"/>
  <c r="I17" i="24"/>
  <c r="I31" i="52"/>
  <c r="AY13" i="24"/>
  <c r="AY27" i="52"/>
  <c r="AI13" i="24"/>
  <c r="AI27" i="52"/>
  <c r="S13" i="24"/>
  <c r="S12" i="24" s="1"/>
  <c r="S27" i="52"/>
  <c r="G13" i="24"/>
  <c r="G27" i="52"/>
  <c r="G29" i="52" s="1"/>
  <c r="G17" i="24" s="1"/>
  <c r="G322" i="24" s="1"/>
  <c r="BI218" i="24"/>
  <c r="J369" i="24"/>
  <c r="K369" i="24" s="1"/>
  <c r="L369" i="24" s="1"/>
  <c r="M369" i="24" s="1"/>
  <c r="N369" i="24" s="1"/>
  <c r="O369" i="24" s="1"/>
  <c r="P369" i="24" s="1"/>
  <c r="Q369" i="24" s="1"/>
  <c r="R369" i="24" s="1"/>
  <c r="S369" i="24" s="1"/>
  <c r="T369" i="24" s="1"/>
  <c r="U369" i="24" s="1"/>
  <c r="V369" i="24" s="1"/>
  <c r="W369" i="24" s="1"/>
  <c r="X369" i="24" s="1"/>
  <c r="Y369" i="24" s="1"/>
  <c r="Z369" i="24" s="1"/>
  <c r="AA369" i="24" s="1"/>
  <c r="AB369" i="24" s="1"/>
  <c r="AC369" i="24" s="1"/>
  <c r="AD369" i="24" s="1"/>
  <c r="AE369" i="24" s="1"/>
  <c r="AF369" i="24" s="1"/>
  <c r="AG369" i="24" s="1"/>
  <c r="AH369" i="24" s="1"/>
  <c r="AI369" i="24" s="1"/>
  <c r="AJ369" i="24" s="1"/>
  <c r="AK369" i="24" s="1"/>
  <c r="AL369" i="24" s="1"/>
  <c r="AM369" i="24" s="1"/>
  <c r="AN369" i="24" s="1"/>
  <c r="AO369" i="24" s="1"/>
  <c r="AP369" i="24" s="1"/>
  <c r="AQ369" i="24" s="1"/>
  <c r="AR369" i="24" s="1"/>
  <c r="AS369" i="24" s="1"/>
  <c r="AT369" i="24" s="1"/>
  <c r="AU369" i="24" s="1"/>
  <c r="AV369" i="24" s="1"/>
  <c r="AW369" i="24" s="1"/>
  <c r="AX369" i="24" s="1"/>
  <c r="AY369" i="24" s="1"/>
  <c r="AZ369" i="24" s="1"/>
  <c r="BA369" i="24" s="1"/>
  <c r="BQ241" i="24"/>
  <c r="CI241" i="24" s="1"/>
  <c r="BI241" i="24"/>
  <c r="BQ245" i="24"/>
  <c r="AL245" i="24"/>
  <c r="AL246" i="24" s="1"/>
  <c r="AL356" i="24" s="1"/>
  <c r="AH245" i="24"/>
  <c r="AH246" i="24" s="1"/>
  <c r="AH356" i="24" s="1"/>
  <c r="AF211" i="24"/>
  <c r="AD245" i="24"/>
  <c r="AD246" i="24" s="1"/>
  <c r="AD356" i="24" s="1"/>
  <c r="Z245" i="24"/>
  <c r="Z246" i="24" s="1"/>
  <c r="Z356" i="24" s="1"/>
  <c r="V245" i="24"/>
  <c r="V246" i="24" s="1"/>
  <c r="V356" i="24" s="1"/>
  <c r="T211" i="24"/>
  <c r="R245" i="24"/>
  <c r="R246" i="24" s="1"/>
  <c r="R356" i="24" s="1"/>
  <c r="P211" i="24"/>
  <c r="N245" i="24"/>
  <c r="N246" i="24" s="1"/>
  <c r="N356" i="24" s="1"/>
  <c r="L211" i="24"/>
  <c r="H211" i="24"/>
  <c r="BL218" i="24"/>
  <c r="BM428" i="24"/>
  <c r="BK13" i="64"/>
  <c r="BI428" i="24"/>
  <c r="BQ12" i="64"/>
  <c r="BM12" i="64"/>
  <c r="BS11" i="64"/>
  <c r="BG11" i="64"/>
  <c r="K216" i="24"/>
  <c r="J65" i="24"/>
  <c r="BS118" i="24"/>
  <c r="CK118" i="24" s="1"/>
  <c r="BS341" i="24"/>
  <c r="BS339" i="24" s="1"/>
  <c r="CK339" i="24" s="1"/>
  <c r="CK117" i="24"/>
  <c r="BL292" i="24"/>
  <c r="BL38" i="24"/>
  <c r="BL295" i="24" s="1"/>
  <c r="BD292" i="24"/>
  <c r="BD38" i="24"/>
  <c r="BD295" i="24" s="1"/>
  <c r="AT38" i="24"/>
  <c r="AT295" i="24" s="1"/>
  <c r="AT292" i="24"/>
  <c r="AL38" i="24"/>
  <c r="AL295" i="24" s="1"/>
  <c r="AL292" i="24"/>
  <c r="AF292" i="24"/>
  <c r="AF38" i="24"/>
  <c r="AF295" i="24" s="1"/>
  <c r="X292" i="24"/>
  <c r="X38" i="24"/>
  <c r="X295" i="24" s="1"/>
  <c r="H379" i="24"/>
  <c r="P379" i="24"/>
  <c r="X379" i="24"/>
  <c r="AF379" i="24"/>
  <c r="AN379" i="24"/>
  <c r="AV379" i="24"/>
  <c r="BD379" i="24"/>
  <c r="BR191" i="24"/>
  <c r="CI178" i="24"/>
  <c r="BN67" i="24"/>
  <c r="BN93" i="24" s="1"/>
  <c r="BN218" i="24"/>
  <c r="BK218" i="24"/>
  <c r="BJ218" i="24"/>
  <c r="BG218" i="24"/>
  <c r="BH218" i="24"/>
  <c r="BS131" i="24"/>
  <c r="CK131" i="24" s="1"/>
  <c r="G3" i="55"/>
  <c r="BS42" i="24"/>
  <c r="BS7" i="70"/>
  <c r="BS138" i="24"/>
  <c r="BS405" i="24" s="1"/>
  <c r="CK405" i="24" s="1"/>
  <c r="BS133" i="24"/>
  <c r="BT42" i="24"/>
  <c r="BQ7" i="70"/>
  <c r="BQ129" i="24"/>
  <c r="CK180" i="24"/>
  <c r="BS178" i="24"/>
  <c r="BS189" i="24" s="1"/>
  <c r="CK189" i="24" s="1"/>
  <c r="CK171" i="24"/>
  <c r="BS13" i="64"/>
  <c r="CI171" i="24"/>
  <c r="BQ428" i="24"/>
  <c r="CI428" i="24" s="1"/>
  <c r="BO428" i="24"/>
  <c r="BO13" i="64"/>
  <c r="BG428" i="24"/>
  <c r="BG13" i="64"/>
  <c r="H35" i="24"/>
  <c r="H38" i="24" s="1"/>
  <c r="H295" i="24" s="1"/>
  <c r="CJ82" i="24"/>
  <c r="BK89" i="24"/>
  <c r="BK88" i="24" s="1"/>
  <c r="BK87" i="24" s="1"/>
  <c r="BK312" i="24" s="1"/>
  <c r="BH10" i="24"/>
  <c r="BH11" i="24" s="1"/>
  <c r="BH8" i="24" s="1"/>
  <c r="CI96" i="24"/>
  <c r="CJ97" i="24"/>
  <c r="BI81" i="24"/>
  <c r="BJ89" i="24"/>
  <c r="BJ88" i="24" s="1"/>
  <c r="BP132" i="24"/>
  <c r="BP321" i="24" s="1"/>
  <c r="BG339" i="24"/>
  <c r="BM339" i="24"/>
  <c r="BF53" i="24"/>
  <c r="BF23" i="24" s="1"/>
  <c r="BJ21" i="24"/>
  <c r="BL337" i="24"/>
  <c r="BN53" i="24"/>
  <c r="BL341" i="24"/>
  <c r="BL339" i="24" s="1"/>
  <c r="BH341" i="24"/>
  <c r="BH339" i="24" s="1"/>
  <c r="BD189" i="24"/>
  <c r="BD190" i="24" s="1"/>
  <c r="AV189" i="24"/>
  <c r="AL180" i="24"/>
  <c r="BS141" i="24"/>
  <c r="BS408" i="24" s="1"/>
  <c r="CK408" i="24" s="1"/>
  <c r="BS135" i="24"/>
  <c r="BS322" i="24" s="1"/>
  <c r="CK322" i="24" s="1"/>
  <c r="BQ135" i="24"/>
  <c r="BS125" i="24"/>
  <c r="BQ125" i="24"/>
  <c r="BC237" i="24"/>
  <c r="BC37" i="24" s="1"/>
  <c r="BH18" i="24"/>
  <c r="BF18" i="24"/>
  <c r="BO241" i="24"/>
  <c r="BK241" i="24"/>
  <c r="BG241" i="24"/>
  <c r="BR245" i="24"/>
  <c r="BH245" i="24"/>
  <c r="BF245" i="24"/>
  <c r="BJ178" i="24"/>
  <c r="BJ197" i="24" s="1"/>
  <c r="BK35" i="64" s="1"/>
  <c r="BJ13" i="64"/>
  <c r="BH12" i="64"/>
  <c r="BQ11" i="64"/>
  <c r="BM11" i="64"/>
  <c r="BP9" i="64"/>
  <c r="BL9" i="64"/>
  <c r="BJ9" i="64"/>
  <c r="BO8" i="64"/>
  <c r="BJ8" i="64"/>
  <c r="BM113" i="24"/>
  <c r="BK113" i="24"/>
  <c r="BI113" i="24"/>
  <c r="BG113" i="24"/>
  <c r="BS109" i="24"/>
  <c r="BL113" i="24"/>
  <c r="BJ113" i="24"/>
  <c r="BH113" i="24"/>
  <c r="BI103" i="24"/>
  <c r="BI102" i="24" s="1"/>
  <c r="BN10" i="24"/>
  <c r="BL89" i="24"/>
  <c r="BJ10" i="24"/>
  <c r="BJ11" i="24" s="1"/>
  <c r="BK11" i="24" s="1"/>
  <c r="BL11" i="24" s="1"/>
  <c r="BH89" i="24"/>
  <c r="BF89" i="24"/>
  <c r="BF88" i="24" s="1"/>
  <c r="BF336" i="24" s="1"/>
  <c r="BO10" i="24"/>
  <c r="CL141" i="24"/>
  <c r="BX139" i="24"/>
  <c r="CN139" i="24"/>
  <c r="CK293" i="24"/>
  <c r="Z12" i="55" s="1"/>
  <c r="BH250" i="24"/>
  <c r="BS241" i="24"/>
  <c r="CK241" i="24" s="1"/>
  <c r="BJ189" i="24"/>
  <c r="BJ190" i="24" s="1"/>
  <c r="BJ36" i="64" s="1"/>
  <c r="BJ191" i="24"/>
  <c r="BJ433" i="24" s="1"/>
  <c r="BP118" i="24"/>
  <c r="AU214" i="24"/>
  <c r="AO300" i="24"/>
  <c r="AO302" i="24" s="1"/>
  <c r="AO214" i="24"/>
  <c r="AE300" i="24"/>
  <c r="AE214" i="24"/>
  <c r="Y300" i="24"/>
  <c r="Y302" i="24" s="1"/>
  <c r="Y214" i="24"/>
  <c r="O214" i="24"/>
  <c r="AY434" i="24"/>
  <c r="AZ18" i="24"/>
  <c r="AU434" i="24"/>
  <c r="AV18" i="24"/>
  <c r="AQ434" i="24"/>
  <c r="AR18" i="24"/>
  <c r="AU73" i="24"/>
  <c r="AQ73" i="24"/>
  <c r="AO211" i="24"/>
  <c r="BS279" i="24"/>
  <c r="CK279" i="24" s="1"/>
  <c r="CK196" i="24"/>
  <c r="Z3" i="55" s="1"/>
  <c r="E3" i="55"/>
  <c r="E6" i="55" s="1"/>
  <c r="BQ131" i="24"/>
  <c r="BQ320" i="24" s="1"/>
  <c r="CI320" i="24" s="1"/>
  <c r="BQ141" i="24"/>
  <c r="BQ292" i="24"/>
  <c r="CI292" i="24" s="1"/>
  <c r="BK292" i="24"/>
  <c r="BG292" i="24"/>
  <c r="BC292" i="24"/>
  <c r="AY292" i="24"/>
  <c r="AU292" i="24"/>
  <c r="AQ292" i="24"/>
  <c r="AK38" i="24"/>
  <c r="AK295" i="24" s="1"/>
  <c r="AG38" i="24"/>
  <c r="AG295" i="24" s="1"/>
  <c r="AC38" i="24"/>
  <c r="AC295" i="24" s="1"/>
  <c r="W292" i="24"/>
  <c r="S292" i="24"/>
  <c r="O292" i="24"/>
  <c r="K292" i="24"/>
  <c r="AR37" i="24"/>
  <c r="AR27" i="24" s="1"/>
  <c r="AR283" i="24" s="1"/>
  <c r="L37" i="24"/>
  <c r="L27" i="24" s="1"/>
  <c r="L283" i="24" s="1"/>
  <c r="BP292" i="24"/>
  <c r="BB38" i="24"/>
  <c r="BB295" i="24" s="1"/>
  <c r="AV292" i="24"/>
  <c r="AR292" i="24"/>
  <c r="AN292" i="24"/>
  <c r="AJ292" i="24"/>
  <c r="AD38" i="24"/>
  <c r="AD295" i="24" s="1"/>
  <c r="Z38" i="24"/>
  <c r="Z295" i="24" s="1"/>
  <c r="P292" i="24"/>
  <c r="L292" i="24"/>
  <c r="CI232" i="24"/>
  <c r="BR241" i="24"/>
  <c r="CJ241" i="24" s="1"/>
  <c r="J211" i="24"/>
  <c r="J245" i="24"/>
  <c r="J246" i="24" s="1"/>
  <c r="J356" i="24" s="1"/>
  <c r="AJ209" i="24"/>
  <c r="AK381" i="24" s="1"/>
  <c r="AY39" i="24"/>
  <c r="BQ434" i="24"/>
  <c r="BS142" i="24"/>
  <c r="CK142" i="24" s="1"/>
  <c r="BQ138" i="24"/>
  <c r="BL216" i="24"/>
  <c r="K209" i="24"/>
  <c r="BT241" i="24"/>
  <c r="CL241" i="24" s="1"/>
  <c r="BQ211" i="24"/>
  <c r="CI211" i="24" s="1"/>
  <c r="BM211" i="24"/>
  <c r="BK245" i="24"/>
  <c r="BI245" i="24"/>
  <c r="BD211" i="24"/>
  <c r="BB245" i="24"/>
  <c r="BB246" i="24" s="1"/>
  <c r="BB356" i="24" s="1"/>
  <c r="AX245" i="24"/>
  <c r="AX246" i="24" s="1"/>
  <c r="AX356" i="24" s="1"/>
  <c r="AV211" i="24"/>
  <c r="AT245" i="24"/>
  <c r="AT246" i="24" s="1"/>
  <c r="AT356" i="24" s="1"/>
  <c r="AR211" i="24"/>
  <c r="AP211" i="24"/>
  <c r="AG211" i="24"/>
  <c r="AC245" i="24"/>
  <c r="AC246" i="24" s="1"/>
  <c r="AC356" i="24" s="1"/>
  <c r="AV190" i="24"/>
  <c r="BJ168" i="24"/>
  <c r="BI115" i="24"/>
  <c r="BG337" i="24"/>
  <c r="BK353" i="24"/>
  <c r="BQ431" i="24"/>
  <c r="CI431" i="24" s="1"/>
  <c r="BO431" i="24"/>
  <c r="BM431" i="24"/>
  <c r="BK431" i="24"/>
  <c r="BG431" i="24"/>
  <c r="BN178" i="24"/>
  <c r="BM178" i="24"/>
  <c r="BM191" i="24" s="1"/>
  <c r="BM433" i="24" s="1"/>
  <c r="BK178" i="24"/>
  <c r="BQ430" i="24"/>
  <c r="CI430" i="24" s="1"/>
  <c r="BO430" i="24"/>
  <c r="BM430" i="24"/>
  <c r="BK430" i="24"/>
  <c r="BI430" i="24"/>
  <c r="BG430" i="24"/>
  <c r="BP428" i="24"/>
  <c r="BJ428" i="24"/>
  <c r="BH428" i="24"/>
  <c r="BI8" i="64"/>
  <c r="BS423" i="24"/>
  <c r="CK423" i="24" s="1"/>
  <c r="BQ423" i="24"/>
  <c r="CI423" i="24" s="1"/>
  <c r="BM423" i="24"/>
  <c r="BG4" i="64"/>
  <c r="BG423" i="24"/>
  <c r="AS199" i="24"/>
  <c r="BA123" i="24"/>
  <c r="AY123" i="24"/>
  <c r="AW123" i="24"/>
  <c r="BO116" i="24"/>
  <c r="BF341" i="24"/>
  <c r="BF339" i="24" s="1"/>
  <c r="CK110" i="24"/>
  <c r="BD8" i="24"/>
  <c r="BD313" i="24" s="1"/>
  <c r="BJ73" i="24"/>
  <c r="BF12" i="24"/>
  <c r="BQ341" i="24"/>
  <c r="BQ309" i="24" s="1"/>
  <c r="CI309" i="24" s="1"/>
  <c r="X32" i="55" s="1"/>
  <c r="BS332" i="24"/>
  <c r="CK332" i="24" s="1"/>
  <c r="BS333" i="24"/>
  <c r="CK333" i="24" s="1"/>
  <c r="BS337" i="24"/>
  <c r="CK337" i="24" s="1"/>
  <c r="BS190" i="24"/>
  <c r="G31" i="55" s="1"/>
  <c r="BS314" i="24"/>
  <c r="CK314" i="24" s="1"/>
  <c r="BS434" i="24"/>
  <c r="BS430" i="24"/>
  <c r="CK430" i="24" s="1"/>
  <c r="BT400" i="24"/>
  <c r="CL400" i="24" s="1"/>
  <c r="BH93" i="24"/>
  <c r="BH69" i="24"/>
  <c r="BO245" i="24"/>
  <c r="BP211" i="24"/>
  <c r="AK211" i="24"/>
  <c r="AK245" i="24"/>
  <c r="AK246" i="24" s="1"/>
  <c r="AK356" i="24" s="1"/>
  <c r="BP279" i="24"/>
  <c r="D3" i="55"/>
  <c r="D6" i="55" s="1"/>
  <c r="BP141" i="24"/>
  <c r="BP408" i="24" s="1"/>
  <c r="BP7" i="70"/>
  <c r="BP131" i="24"/>
  <c r="BP135" i="24"/>
  <c r="BP125" i="24"/>
  <c r="BP138" i="24"/>
  <c r="BP146" i="24"/>
  <c r="BP413" i="24" s="1"/>
  <c r="BQ42" i="24"/>
  <c r="BH9" i="64"/>
  <c r="BH165" i="24"/>
  <c r="BL88" i="24"/>
  <c r="BH88" i="24"/>
  <c r="BQ89" i="24"/>
  <c r="BQ54" i="24"/>
  <c r="CI54" i="24" s="1"/>
  <c r="BI10" i="24"/>
  <c r="BI11" i="24" s="1"/>
  <c r="BI8" i="24" s="1"/>
  <c r="BI89" i="24"/>
  <c r="BI88" i="24" s="1"/>
  <c r="BI54" i="24"/>
  <c r="BQ58" i="24"/>
  <c r="CI58" i="24" s="1"/>
  <c r="CI84" i="24"/>
  <c r="BQ332" i="24"/>
  <c r="CI332" i="24" s="1"/>
  <c r="BM58" i="24"/>
  <c r="BM332" i="24"/>
  <c r="BK58" i="24"/>
  <c r="BK332" i="24"/>
  <c r="BI58" i="24"/>
  <c r="BI332" i="24"/>
  <c r="BS81" i="24"/>
  <c r="BS59" i="24"/>
  <c r="CK59" i="24" s="1"/>
  <c r="BF252" i="24"/>
  <c r="BF308" i="24"/>
  <c r="BD252" i="24"/>
  <c r="BD308" i="24"/>
  <c r="BB252" i="24"/>
  <c r="BB308" i="24"/>
  <c r="AX252" i="24"/>
  <c r="AX308" i="24"/>
  <c r="AV252" i="24"/>
  <c r="AV308" i="24"/>
  <c r="AT123" i="24"/>
  <c r="AT252" i="24"/>
  <c r="AT308" i="24"/>
  <c r="AR123" i="24"/>
  <c r="AR252" i="24"/>
  <c r="AR308" i="24"/>
  <c r="AR8" i="24"/>
  <c r="AP123" i="24"/>
  <c r="AP252" i="24"/>
  <c r="AP308" i="24"/>
  <c r="AP21" i="24"/>
  <c r="AN123" i="24"/>
  <c r="AN252" i="24"/>
  <c r="AN308" i="24"/>
  <c r="AL123" i="24"/>
  <c r="AL252" i="24"/>
  <c r="AL308" i="24"/>
  <c r="AJ123" i="24"/>
  <c r="AJ252" i="24"/>
  <c r="AJ308" i="24"/>
  <c r="AH123" i="24"/>
  <c r="AH252" i="24"/>
  <c r="AH308" i="24"/>
  <c r="AH21" i="24"/>
  <c r="AF123" i="24"/>
  <c r="AF252" i="24"/>
  <c r="AF308" i="24"/>
  <c r="AD123" i="24"/>
  <c r="AD252" i="24"/>
  <c r="AB123" i="24"/>
  <c r="AB252" i="24"/>
  <c r="Z123" i="24"/>
  <c r="Z252" i="24"/>
  <c r="Z21" i="24"/>
  <c r="X123" i="24"/>
  <c r="X252" i="24"/>
  <c r="V123" i="24"/>
  <c r="V252" i="24"/>
  <c r="T123" i="24"/>
  <c r="T252" i="24"/>
  <c r="R123" i="24"/>
  <c r="R252" i="24"/>
  <c r="R21" i="24"/>
  <c r="P123" i="24"/>
  <c r="P252" i="24"/>
  <c r="N123" i="24"/>
  <c r="N252" i="24"/>
  <c r="L123" i="24"/>
  <c r="L252" i="24"/>
  <c r="J123" i="24"/>
  <c r="J252" i="24"/>
  <c r="H123" i="24"/>
  <c r="H252" i="24"/>
  <c r="F123" i="24"/>
  <c r="F252" i="24"/>
  <c r="BE29" i="24"/>
  <c r="BE285" i="24" s="1"/>
  <c r="BF29" i="24"/>
  <c r="BF285" i="24" s="1"/>
  <c r="BE8" i="24"/>
  <c r="BC29" i="24"/>
  <c r="BC285" i="24" s="1"/>
  <c r="BD29" i="24"/>
  <c r="BD285" i="24" s="1"/>
  <c r="BA29" i="24"/>
  <c r="BA285" i="24" s="1"/>
  <c r="BB29" i="24"/>
  <c r="BB285" i="24" s="1"/>
  <c r="AY29" i="24"/>
  <c r="AY285" i="24" s="1"/>
  <c r="AZ29" i="24"/>
  <c r="AZ285" i="24" s="1"/>
  <c r="AW29" i="24"/>
  <c r="AW285" i="24" s="1"/>
  <c r="AX29" i="24"/>
  <c r="AX285" i="24" s="1"/>
  <c r="AU29" i="24"/>
  <c r="AU285" i="24" s="1"/>
  <c r="AV29" i="24"/>
  <c r="AV285" i="24" s="1"/>
  <c r="AS29" i="24"/>
  <c r="AS285" i="24" s="1"/>
  <c r="AS358" i="24"/>
  <c r="AQ29" i="24"/>
  <c r="AQ285" i="24" s="1"/>
  <c r="AR29" i="24"/>
  <c r="AR285" i="24" s="1"/>
  <c r="AQ8" i="24"/>
  <c r="AM29" i="24"/>
  <c r="AM285" i="24" s="1"/>
  <c r="AN29" i="24"/>
  <c r="AN285" i="24" s="1"/>
  <c r="AK29" i="24"/>
  <c r="AK285" i="24" s="1"/>
  <c r="AL29" i="24"/>
  <c r="AL285" i="24" s="1"/>
  <c r="AK358" i="24"/>
  <c r="AI29" i="24"/>
  <c r="AI285" i="24" s="1"/>
  <c r="AJ29" i="24"/>
  <c r="AJ285" i="24" s="1"/>
  <c r="AG29" i="24"/>
  <c r="AG285" i="24" s="1"/>
  <c r="AH29" i="24"/>
  <c r="AH285" i="24" s="1"/>
  <c r="AG358" i="24"/>
  <c r="AE29" i="24"/>
  <c r="AE285" i="24" s="1"/>
  <c r="AF29" i="24"/>
  <c r="AF285" i="24" s="1"/>
  <c r="AC29" i="24"/>
  <c r="AC285" i="24" s="1"/>
  <c r="AD29" i="24"/>
  <c r="AD285" i="24" s="1"/>
  <c r="AA29" i="24"/>
  <c r="AA285" i="24" s="1"/>
  <c r="AB29" i="24"/>
  <c r="AB285" i="24" s="1"/>
  <c r="AA358" i="24"/>
  <c r="Y29" i="24"/>
  <c r="Y285" i="24" s="1"/>
  <c r="Z29" i="24"/>
  <c r="Z285" i="24" s="1"/>
  <c r="W29" i="24"/>
  <c r="W285" i="24" s="1"/>
  <c r="X29" i="24"/>
  <c r="X285" i="24" s="1"/>
  <c r="W358" i="24"/>
  <c r="U29" i="24"/>
  <c r="U285" i="24" s="1"/>
  <c r="V29" i="24"/>
  <c r="V285" i="24" s="1"/>
  <c r="U358" i="24"/>
  <c r="S29" i="24"/>
  <c r="S285" i="24" s="1"/>
  <c r="T29" i="24"/>
  <c r="T285" i="24" s="1"/>
  <c r="Q29" i="24"/>
  <c r="Q285" i="24" s="1"/>
  <c r="R29" i="24"/>
  <c r="R285" i="24" s="1"/>
  <c r="Q358" i="24"/>
  <c r="O29" i="24"/>
  <c r="O285" i="24" s="1"/>
  <c r="P29" i="24"/>
  <c r="P285" i="24" s="1"/>
  <c r="M29" i="24"/>
  <c r="M285" i="24" s="1"/>
  <c r="N29" i="24"/>
  <c r="N285" i="24" s="1"/>
  <c r="K29" i="24"/>
  <c r="K285" i="24" s="1"/>
  <c r="L29" i="24"/>
  <c r="L285" i="24" s="1"/>
  <c r="K358" i="24"/>
  <c r="I29" i="24"/>
  <c r="J29" i="24"/>
  <c r="J285" i="24" s="1"/>
  <c r="G29" i="24"/>
  <c r="G285" i="24" s="1"/>
  <c r="H29" i="24"/>
  <c r="BH12" i="24"/>
  <c r="BD73" i="24"/>
  <c r="BD12" i="24"/>
  <c r="BO67" i="24"/>
  <c r="BO93" i="24" s="1"/>
  <c r="BP207" i="24"/>
  <c r="BP226" i="24" s="1"/>
  <c r="AN307" i="24"/>
  <c r="AN306" i="24"/>
  <c r="BD307" i="24"/>
  <c r="BD306" i="24"/>
  <c r="BG245" i="24"/>
  <c r="BH211" i="24"/>
  <c r="AM211" i="24"/>
  <c r="AN211" i="24"/>
  <c r="Y211" i="24"/>
  <c r="Z211" i="24"/>
  <c r="F3" i="55"/>
  <c r="BR131" i="24"/>
  <c r="BR141" i="24"/>
  <c r="BR42" i="24"/>
  <c r="BR129" i="24"/>
  <c r="BR139" i="24"/>
  <c r="BR138" i="24"/>
  <c r="BS43" i="24"/>
  <c r="BF12" i="64"/>
  <c r="BG12" i="64"/>
  <c r="BF168" i="24"/>
  <c r="BR184" i="24"/>
  <c r="BR168" i="24"/>
  <c r="CJ168" i="24" s="1"/>
  <c r="BN11" i="64"/>
  <c r="BN168" i="24"/>
  <c r="BH11" i="64"/>
  <c r="BH184" i="24"/>
  <c r="BI11" i="64"/>
  <c r="BP8" i="64"/>
  <c r="BP165" i="24"/>
  <c r="BP172" i="24" s="1"/>
  <c r="BL165" i="24"/>
  <c r="BQ103" i="24"/>
  <c r="BQ115" i="24" s="1"/>
  <c r="CI115" i="24" s="1"/>
  <c r="CI105" i="24"/>
  <c r="CI92" i="24"/>
  <c r="BQ57" i="24"/>
  <c r="CI57" i="24" s="1"/>
  <c r="BM10" i="24"/>
  <c r="BM89" i="24"/>
  <c r="BM88" i="24" s="1"/>
  <c r="BM54" i="24"/>
  <c r="BO58" i="24"/>
  <c r="BO332" i="24"/>
  <c r="BO59" i="24"/>
  <c r="BO81" i="24"/>
  <c r="BK59" i="24"/>
  <c r="BK81" i="24"/>
  <c r="BG59" i="24"/>
  <c r="BG81" i="24"/>
  <c r="BH252" i="24"/>
  <c r="BH257" i="24" s="1"/>
  <c r="BH308" i="24"/>
  <c r="AZ252" i="24"/>
  <c r="AZ257" i="24" s="1"/>
  <c r="AZ308" i="24"/>
  <c r="AZ8" i="24"/>
  <c r="AO29" i="24"/>
  <c r="AO285" i="24" s="1"/>
  <c r="AP29" i="24"/>
  <c r="AP285" i="24" s="1"/>
  <c r="BO69" i="24"/>
  <c r="AZ39" i="24"/>
  <c r="BN300" i="24"/>
  <c r="AY127" i="24"/>
  <c r="BK53" i="24"/>
  <c r="AX127" i="24"/>
  <c r="AR306" i="24"/>
  <c r="BT431" i="24"/>
  <c r="CL431" i="24" s="1"/>
  <c r="BS400" i="24"/>
  <c r="CK400" i="24" s="1"/>
  <c r="BG69" i="24"/>
  <c r="BA353" i="24"/>
  <c r="BC384" i="24"/>
  <c r="Z65" i="24"/>
  <c r="AV306" i="24"/>
  <c r="BP400" i="24"/>
  <c r="BO226" i="24"/>
  <c r="BT316" i="24"/>
  <c r="CL316" i="24" s="1"/>
  <c r="BF426" i="24"/>
  <c r="AB307" i="24"/>
  <c r="R38" i="24"/>
  <c r="R295" i="24" s="1"/>
  <c r="R292" i="24"/>
  <c r="BC353" i="24"/>
  <c r="BO54" i="24"/>
  <c r="BO353" i="24" s="1"/>
  <c r="C28" i="55" s="1"/>
  <c r="CK83" i="24"/>
  <c r="BG89" i="24"/>
  <c r="BG88" i="24" s="1"/>
  <c r="BO89" i="24"/>
  <c r="BO88" i="24" s="1"/>
  <c r="BF10" i="24"/>
  <c r="BF11" i="24" s="1"/>
  <c r="BF8" i="24" s="1"/>
  <c r="BL10" i="24"/>
  <c r="Y38" i="24"/>
  <c r="Y295" i="24" s="1"/>
  <c r="Y292" i="24"/>
  <c r="BO38" i="24"/>
  <c r="BN272" i="24"/>
  <c r="BS38" i="24"/>
  <c r="BS292" i="24"/>
  <c r="CK292" i="24" s="1"/>
  <c r="BI69" i="24"/>
  <c r="BM81" i="24"/>
  <c r="BN89" i="24"/>
  <c r="BN88" i="24" s="1"/>
  <c r="BN336" i="24" s="1"/>
  <c r="BG10" i="24"/>
  <c r="BG11" i="24" s="1"/>
  <c r="BG8" i="24" s="1"/>
  <c r="BJ165" i="24"/>
  <c r="BR165" i="24"/>
  <c r="BR9" i="64"/>
  <c r="BL168" i="24"/>
  <c r="BO11" i="64"/>
  <c r="BI12" i="64"/>
  <c r="BI143" i="24"/>
  <c r="BQ43" i="24"/>
  <c r="BP142" i="24"/>
  <c r="BP139" i="24"/>
  <c r="BP406" i="24" s="1"/>
  <c r="BP129" i="24"/>
  <c r="BR134" i="24"/>
  <c r="BR7" i="70"/>
  <c r="BG332" i="24"/>
  <c r="BM337" i="24"/>
  <c r="BO337" i="24"/>
  <c r="BQ337" i="24"/>
  <c r="CI337" i="24" s="1"/>
  <c r="AP65" i="24"/>
  <c r="BR142" i="24"/>
  <c r="G358" i="24"/>
  <c r="I358" i="24"/>
  <c r="S358" i="24"/>
  <c r="AC358" i="24"/>
  <c r="AE358" i="24"/>
  <c r="AM358" i="24"/>
  <c r="AU358" i="24"/>
  <c r="BC358" i="24"/>
  <c r="AV8" i="24"/>
  <c r="N21" i="24"/>
  <c r="AD21" i="24"/>
  <c r="AX21" i="24"/>
  <c r="BD21" i="24"/>
  <c r="L307" i="24"/>
  <c r="P307" i="24"/>
  <c r="T306" i="24"/>
  <c r="T307" i="24"/>
  <c r="X307" i="24"/>
  <c r="AF307" i="24"/>
  <c r="AH306" i="24"/>
  <c r="AH307" i="24"/>
  <c r="AL307" i="24"/>
  <c r="AT307" i="24"/>
  <c r="AX306" i="24"/>
  <c r="AX307" i="24"/>
  <c r="BB307" i="24"/>
  <c r="BJ308" i="24"/>
  <c r="BR279" i="24"/>
  <c r="CJ279" i="24" s="1"/>
  <c r="AZ37" i="24"/>
  <c r="CJ188" i="24"/>
  <c r="BS431" i="24"/>
  <c r="CK431" i="24" s="1"/>
  <c r="BH186" i="24"/>
  <c r="BI431" i="24"/>
  <c r="BB189" i="24"/>
  <c r="AX189" i="24"/>
  <c r="AX190" i="24" s="1"/>
  <c r="AT189" i="24"/>
  <c r="AT190" i="24" s="1"/>
  <c r="AP180" i="24"/>
  <c r="AD180" i="24"/>
  <c r="BR13" i="64"/>
  <c r="BR428" i="24"/>
  <c r="CJ428" i="24" s="1"/>
  <c r="BN13" i="64"/>
  <c r="BN428" i="24"/>
  <c r="BL13" i="64"/>
  <c r="BL428" i="24"/>
  <c r="BO158" i="24"/>
  <c r="BO423" i="24"/>
  <c r="BK4" i="64"/>
  <c r="BK423" i="24"/>
  <c r="BI308" i="24"/>
  <c r="BI423" i="24"/>
  <c r="BR160" i="24"/>
  <c r="BR306" i="24"/>
  <c r="CJ306" i="24" s="1"/>
  <c r="BJ306" i="24"/>
  <c r="BJ307" i="24"/>
  <c r="BJ67" i="45" s="1"/>
  <c r="BH306" i="24"/>
  <c r="BH307" i="24"/>
  <c r="BH67" i="45" s="1"/>
  <c r="BF306" i="24"/>
  <c r="BF307" i="24"/>
  <c r="BC122" i="24"/>
  <c r="BC389" i="24" s="1"/>
  <c r="BA122" i="24"/>
  <c r="AY122" i="24"/>
  <c r="AW122" i="24"/>
  <c r="AU122" i="24"/>
  <c r="AS122" i="24"/>
  <c r="AQ122" i="24"/>
  <c r="AO122" i="24"/>
  <c r="AM122" i="24"/>
  <c r="AK122" i="24"/>
  <c r="AI122" i="24"/>
  <c r="AG122" i="24"/>
  <c r="AE122" i="24"/>
  <c r="AC122" i="24"/>
  <c r="AA122" i="24"/>
  <c r="Y122" i="24"/>
  <c r="W122" i="24"/>
  <c r="U122" i="24"/>
  <c r="S122" i="24"/>
  <c r="Q122" i="24"/>
  <c r="O122" i="24"/>
  <c r="M122" i="24"/>
  <c r="K122" i="24"/>
  <c r="I122" i="24"/>
  <c r="G122" i="24"/>
  <c r="BR135" i="24"/>
  <c r="BP216" i="24"/>
  <c r="BH216" i="24"/>
  <c r="BO434" i="24"/>
  <c r="BM434" i="24"/>
  <c r="BK434" i="24"/>
  <c r="BI434" i="24"/>
  <c r="BG434" i="24"/>
  <c r="BC211" i="24"/>
  <c r="BA211" i="24"/>
  <c r="AW211" i="24"/>
  <c r="AB211" i="24"/>
  <c r="X211" i="24"/>
  <c r="U211" i="24"/>
  <c r="Q211" i="24"/>
  <c r="BK191" i="24"/>
  <c r="BK433" i="24" s="1"/>
  <c r="AO199" i="24"/>
  <c r="BP12" i="64"/>
  <c r="BL12" i="64"/>
  <c r="BJ12" i="64"/>
  <c r="BO9" i="64"/>
  <c r="BK9" i="64"/>
  <c r="BI9" i="64"/>
  <c r="BG9" i="64"/>
  <c r="BR8" i="64"/>
  <c r="BB123" i="24"/>
  <c r="AZ123" i="24"/>
  <c r="AX123" i="24"/>
  <c r="AV123" i="24"/>
  <c r="BQ109" i="24"/>
  <c r="CI110" i="24"/>
  <c r="BQ60" i="24"/>
  <c r="CI60" i="24" s="1"/>
  <c r="CI82" i="24"/>
  <c r="BP109" i="24"/>
  <c r="BP440" i="24" s="1"/>
  <c r="BP103" i="24"/>
  <c r="BP143" i="24" s="1"/>
  <c r="BP410" i="24" s="1"/>
  <c r="BN103" i="24"/>
  <c r="BL103" i="24"/>
  <c r="BJ103" i="24"/>
  <c r="BH103" i="24"/>
  <c r="BF103" i="24"/>
  <c r="BM103" i="24"/>
  <c r="J307" i="24"/>
  <c r="J306" i="24"/>
  <c r="V307" i="24"/>
  <c r="V306" i="24"/>
  <c r="AD307" i="24"/>
  <c r="AD306" i="24"/>
  <c r="BL214" i="24"/>
  <c r="BK63" i="24"/>
  <c r="CJ106" i="24"/>
  <c r="BR107" i="24"/>
  <c r="BR327" i="24" s="1"/>
  <c r="CI202" i="24"/>
  <c r="BB238" i="24"/>
  <c r="BM216" i="24"/>
  <c r="BN216" i="24"/>
  <c r="R307" i="24"/>
  <c r="R306" i="24"/>
  <c r="Z307" i="24"/>
  <c r="Z306" i="24"/>
  <c r="AJ307" i="24"/>
  <c r="AJ306" i="24"/>
  <c r="H318" i="24"/>
  <c r="H197" i="24"/>
  <c r="H324" i="24"/>
  <c r="H319" i="24"/>
  <c r="I32" i="24"/>
  <c r="I288" i="24" s="1"/>
  <c r="I365" i="24" s="1"/>
  <c r="H309" i="24"/>
  <c r="H361" i="24" s="1"/>
  <c r="H21" i="24"/>
  <c r="H320" i="24"/>
  <c r="H347" i="24"/>
  <c r="H323" i="24"/>
  <c r="P65" i="24"/>
  <c r="Q216" i="24"/>
  <c r="P216" i="24"/>
  <c r="AV216" i="24"/>
  <c r="AV65" i="24"/>
  <c r="BS202" i="24"/>
  <c r="BR221" i="24"/>
  <c r="CJ221" i="24" s="1"/>
  <c r="BQ216" i="24"/>
  <c r="CI216" i="24" s="1"/>
  <c r="BI216" i="24"/>
  <c r="BJ216" i="24"/>
  <c r="BP375" i="52"/>
  <c r="BR360" i="52"/>
  <c r="BO340" i="52"/>
  <c r="BQ244" i="52"/>
  <c r="BQ243" i="52" s="1"/>
  <c r="BP178" i="52"/>
  <c r="BI65" i="24"/>
  <c r="BB185" i="52"/>
  <c r="BC185" i="52" s="1"/>
  <c r="BC238" i="24"/>
  <c r="BD237" i="24"/>
  <c r="BD37" i="24" s="1"/>
  <c r="BP241" i="24"/>
  <c r="BN241" i="24"/>
  <c r="BL241" i="24"/>
  <c r="BJ241" i="24"/>
  <c r="BH241" i="24"/>
  <c r="BN211" i="24"/>
  <c r="BK211" i="24"/>
  <c r="AZ211" i="24"/>
  <c r="AX211" i="24"/>
  <c r="AU211" i="24"/>
  <c r="AJ211" i="24"/>
  <c r="AH211" i="24"/>
  <c r="AE211" i="24"/>
  <c r="R211" i="24"/>
  <c r="BC180" i="24"/>
  <c r="AU180" i="24"/>
  <c r="AS180" i="24"/>
  <c r="AM180" i="24"/>
  <c r="BR12" i="64"/>
  <c r="BO168" i="24"/>
  <c r="BR11" i="64"/>
  <c r="BS9" i="64"/>
  <c r="BQ9" i="64"/>
  <c r="BS4" i="64"/>
  <c r="BQ4" i="64"/>
  <c r="BO4" i="64"/>
  <c r="BS158" i="24"/>
  <c r="CK158" i="24" s="1"/>
  <c r="BK158" i="24"/>
  <c r="BD132" i="24"/>
  <c r="BB132" i="24"/>
  <c r="AZ132" i="24"/>
  <c r="AZ321" i="24" s="1"/>
  <c r="AX132" i="24"/>
  <c r="AV132" i="24"/>
  <c r="BF118" i="24"/>
  <c r="BO103" i="24"/>
  <c r="BG103" i="24"/>
  <c r="H48" i="52"/>
  <c r="BG178" i="24"/>
  <c r="BG191" i="24" s="1"/>
  <c r="BG433" i="24" s="1"/>
  <c r="BK103" i="24"/>
  <c r="AZ23" i="24"/>
  <c r="BG7" i="24"/>
  <c r="BG313" i="24"/>
  <c r="BT14" i="24"/>
  <c r="CL14" i="24" s="1"/>
  <c r="CL97" i="24"/>
  <c r="AX39" i="24"/>
  <c r="BG37" i="24"/>
  <c r="BC406" i="24"/>
  <c r="BC410" i="24"/>
  <c r="AE302" i="24"/>
  <c r="BC402" i="24"/>
  <c r="BR186" i="24"/>
  <c r="BA180" i="24"/>
  <c r="BA199" i="24"/>
  <c r="AW199" i="24"/>
  <c r="AW180" i="24"/>
  <c r="AK180" i="24"/>
  <c r="AK199" i="24"/>
  <c r="AG199" i="24"/>
  <c r="AG180" i="24"/>
  <c r="AE180" i="24"/>
  <c r="BP11" i="64"/>
  <c r="BP184" i="24"/>
  <c r="BM168" i="24"/>
  <c r="O303" i="24"/>
  <c r="AE303" i="24"/>
  <c r="AU303" i="24"/>
  <c r="BK37" i="24"/>
  <c r="BK294" i="24" s="1"/>
  <c r="BK216" i="24"/>
  <c r="BG216" i="24"/>
  <c r="AU12" i="24"/>
  <c r="AQ12" i="24"/>
  <c r="AM12" i="24"/>
  <c r="AI12" i="24"/>
  <c r="AE12" i="24"/>
  <c r="AA12" i="24"/>
  <c r="W12" i="24"/>
  <c r="O12" i="24"/>
  <c r="K12" i="24"/>
  <c r="G12" i="24"/>
  <c r="AZ12" i="24"/>
  <c r="AV12" i="24"/>
  <c r="AV28" i="24" s="1"/>
  <c r="AV284" i="24" s="1"/>
  <c r="AR12" i="24"/>
  <c r="AN12" i="24"/>
  <c r="AN28" i="24" s="1"/>
  <c r="AN284" i="24" s="1"/>
  <c r="AJ12" i="24"/>
  <c r="AF12" i="24"/>
  <c r="AF28" i="24" s="1"/>
  <c r="AF284" i="24" s="1"/>
  <c r="AB12" i="24"/>
  <c r="X12" i="24"/>
  <c r="X28" i="24" s="1"/>
  <c r="X284" i="24" s="1"/>
  <c r="T12" i="24"/>
  <c r="P12" i="24"/>
  <c r="P28" i="24" s="1"/>
  <c r="P284" i="24" s="1"/>
  <c r="L12" i="24"/>
  <c r="L28" i="24" s="1"/>
  <c r="L284" i="24" s="1"/>
  <c r="H12" i="24"/>
  <c r="BC408" i="24"/>
  <c r="BI211" i="24"/>
  <c r="AS211" i="24"/>
  <c r="AC211" i="24"/>
  <c r="M211" i="24"/>
  <c r="CI196" i="24"/>
  <c r="X3" i="55" s="1"/>
  <c r="BQ279" i="24"/>
  <c r="CI279" i="24" s="1"/>
  <c r="BI178" i="24"/>
  <c r="BP178" i="24"/>
  <c r="AO180" i="24"/>
  <c r="BJ11" i="64"/>
  <c r="BJ184" i="24"/>
  <c r="BN8" i="64"/>
  <c r="BL8" i="64"/>
  <c r="BC132" i="24"/>
  <c r="BC399" i="24" s="1"/>
  <c r="BA132" i="24"/>
  <c r="AY132" i="24"/>
  <c r="AW132" i="24"/>
  <c r="BS103" i="24"/>
  <c r="BS143" i="24" s="1"/>
  <c r="CI97" i="24"/>
  <c r="CJ83" i="24"/>
  <c r="BR211" i="24"/>
  <c r="CJ211" i="24" s="1"/>
  <c r="BO211" i="24"/>
  <c r="BJ211" i="24"/>
  <c r="BG211" i="24"/>
  <c r="BB211" i="24"/>
  <c r="AY211" i="24"/>
  <c r="AT211" i="24"/>
  <c r="AQ211" i="24"/>
  <c r="AL211" i="24"/>
  <c r="AI211" i="24"/>
  <c r="AD211" i="24"/>
  <c r="AA211" i="24"/>
  <c r="V211" i="24"/>
  <c r="S211" i="24"/>
  <c r="N211" i="24"/>
  <c r="K211" i="24"/>
  <c r="BM218" i="24"/>
  <c r="BF186" i="24"/>
  <c r="BL178" i="24"/>
  <c r="BH178" i="24"/>
  <c r="BP13" i="64"/>
  <c r="BH13" i="64"/>
  <c r="BN12" i="64"/>
  <c r="BK168" i="24"/>
  <c r="BL11" i="64"/>
  <c r="BM9" i="64"/>
  <c r="BQ165" i="24"/>
  <c r="BP160" i="24"/>
  <c r="BP99" i="24" s="1"/>
  <c r="BN160" i="24"/>
  <c r="BN156" i="24" s="1"/>
  <c r="BN5" i="64" s="1"/>
  <c r="BN6" i="64" s="1"/>
  <c r="BL160" i="24"/>
  <c r="BJ160" i="24"/>
  <c r="BJ183" i="24" s="1"/>
  <c r="BH160" i="24"/>
  <c r="BF160" i="24"/>
  <c r="BF187" i="24" s="1"/>
  <c r="BP81" i="24"/>
  <c r="BL81" i="24"/>
  <c r="BL80" i="24" s="1"/>
  <c r="BH81" i="24"/>
  <c r="BG12" i="24"/>
  <c r="BH28" i="24" s="1"/>
  <c r="BH284" i="24" s="1"/>
  <c r="BC12" i="24"/>
  <c r="BS440" i="24"/>
  <c r="CK109" i="24"/>
  <c r="CA85" i="24"/>
  <c r="BS441" i="24"/>
  <c r="CK82" i="24"/>
  <c r="BY57" i="45"/>
  <c r="BY37" i="45" s="1"/>
  <c r="U100" i="24"/>
  <c r="U329" i="24"/>
  <c r="BA100" i="24"/>
  <c r="BA329" i="24"/>
  <c r="BS36" i="64"/>
  <c r="BI22" i="24"/>
  <c r="BB187" i="52"/>
  <c r="BA189" i="52"/>
  <c r="BA188" i="52"/>
  <c r="BB369" i="24"/>
  <c r="BC369" i="24" s="1"/>
  <c r="AQ101" i="24"/>
  <c r="AQ310" i="24"/>
  <c r="AK100" i="24"/>
  <c r="AK329" i="24"/>
  <c r="CR101" i="24"/>
  <c r="CA101" i="24"/>
  <c r="BV127" i="24"/>
  <c r="CN127" i="24" s="1"/>
  <c r="BP203" i="24"/>
  <c r="BO300" i="24"/>
  <c r="BO302" i="24" s="1"/>
  <c r="AR385" i="24"/>
  <c r="BP347" i="24"/>
  <c r="BP344" i="24"/>
  <c r="AM79" i="24"/>
  <c r="AE79" i="24"/>
  <c r="W79" i="24"/>
  <c r="O79" i="24"/>
  <c r="AW79" i="24"/>
  <c r="AW330" i="24"/>
  <c r="AO79" i="24"/>
  <c r="AO330" i="24"/>
  <c r="AG79" i="24"/>
  <c r="Y79" i="24"/>
  <c r="Y330" i="24"/>
  <c r="Q79" i="24"/>
  <c r="I79" i="24"/>
  <c r="I330" i="24"/>
  <c r="AX187" i="61"/>
  <c r="AX191" i="61"/>
  <c r="AX211" i="61" s="1"/>
  <c r="AX159" i="61"/>
  <c r="BF95" i="61"/>
  <c r="BE149" i="61"/>
  <c r="AN153" i="61"/>
  <c r="AM135" i="61"/>
  <c r="AL135" i="61" s="1"/>
  <c r="AL154" i="61" s="1"/>
  <c r="AX140" i="52"/>
  <c r="AX205" i="24" s="1"/>
  <c r="AX214" i="61"/>
  <c r="BB159" i="61"/>
  <c r="AU160" i="61"/>
  <c r="AU162" i="61"/>
  <c r="BS53" i="24"/>
  <c r="BS353" i="24"/>
  <c r="BJ8" i="24"/>
  <c r="BD22" i="24"/>
  <c r="BG22" i="24"/>
  <c r="BI187" i="24"/>
  <c r="BM187" i="24"/>
  <c r="BK93" i="24"/>
  <c r="BK69" i="24"/>
  <c r="AQ353" i="24"/>
  <c r="AQ53" i="24"/>
  <c r="AY353" i="24"/>
  <c r="AY53" i="24"/>
  <c r="BG53" i="24"/>
  <c r="BG353" i="24"/>
  <c r="CI363" i="24"/>
  <c r="X29" i="55" s="1"/>
  <c r="BQ53" i="24"/>
  <c r="L65" i="24"/>
  <c r="L216" i="24"/>
  <c r="AH209" i="24"/>
  <c r="AH216" i="24"/>
  <c r="AL209" i="24"/>
  <c r="AL216" i="24"/>
  <c r="AR65" i="24"/>
  <c r="AR216" i="24"/>
  <c r="BL63" i="24"/>
  <c r="BL300" i="24"/>
  <c r="BL302" i="24" s="1"/>
  <c r="BM214" i="24"/>
  <c r="CC57" i="45"/>
  <c r="CC37" i="45" s="1"/>
  <c r="BD186" i="52"/>
  <c r="CI263" i="24"/>
  <c r="BR263" i="24"/>
  <c r="BP156" i="24"/>
  <c r="BN187" i="24"/>
  <c r="BH187" i="24"/>
  <c r="AY100" i="24"/>
  <c r="AI100" i="24"/>
  <c r="S100" i="24"/>
  <c r="AS152" i="61"/>
  <c r="BI102" i="61"/>
  <c r="BI94" i="61"/>
  <c r="AZ207" i="61"/>
  <c r="AQ335" i="24"/>
  <c r="AY335" i="24"/>
  <c r="I264" i="24"/>
  <c r="M79" i="24"/>
  <c r="U330" i="24"/>
  <c r="Y264" i="24"/>
  <c r="AC79" i="24"/>
  <c r="AK330" i="24"/>
  <c r="AO264" i="24"/>
  <c r="AS79" i="24"/>
  <c r="BA330" i="24"/>
  <c r="BT94" i="61"/>
  <c r="O264" i="24"/>
  <c r="AE264" i="24"/>
  <c r="BP175" i="24"/>
  <c r="BA23" i="24"/>
  <c r="BO222" i="24"/>
  <c r="AR294" i="24"/>
  <c r="M335" i="24"/>
  <c r="U335" i="24"/>
  <c r="AC335" i="24"/>
  <c r="AK335" i="24"/>
  <c r="AS335" i="24"/>
  <c r="BA335" i="24"/>
  <c r="BK335" i="24"/>
  <c r="AZ312" i="24"/>
  <c r="BS246" i="24"/>
  <c r="BQ233" i="24"/>
  <c r="BQ234" i="24" s="1"/>
  <c r="BP234" i="24"/>
  <c r="BT39" i="24"/>
  <c r="CL39" i="24" s="1"/>
  <c r="AW307" i="24"/>
  <c r="AO307" i="24"/>
  <c r="AG307" i="24"/>
  <c r="Y307" i="24"/>
  <c r="Q307" i="24"/>
  <c r="AB385" i="24"/>
  <c r="BM300" i="24"/>
  <c r="BM302" i="24" s="1"/>
  <c r="CI52" i="24"/>
  <c r="AV87" i="24"/>
  <c r="AN87" i="24"/>
  <c r="AF87" i="24"/>
  <c r="X87" i="24"/>
  <c r="P87" i="24"/>
  <c r="BQ79" i="24"/>
  <c r="BQ264" i="24"/>
  <c r="CI264" i="24" s="1"/>
  <c r="BQ330" i="24"/>
  <c r="CI330" i="24" s="1"/>
  <c r="BC79" i="24"/>
  <c r="BC330" i="24"/>
  <c r="AU79" i="24"/>
  <c r="AU330" i="24"/>
  <c r="G79" i="24"/>
  <c r="CK89" i="24"/>
  <c r="BK336" i="24"/>
  <c r="BA336" i="24"/>
  <c r="AS336" i="24"/>
  <c r="AK336" i="24"/>
  <c r="AC336" i="24"/>
  <c r="U336" i="24"/>
  <c r="M336" i="24"/>
  <c r="BL75" i="24"/>
  <c r="BA294" i="24"/>
  <c r="AY237" i="61"/>
  <c r="AY90" i="61"/>
  <c r="BE92" i="61"/>
  <c r="BB201" i="61"/>
  <c r="AL65" i="24"/>
  <c r="AH65" i="24"/>
  <c r="J45" i="24"/>
  <c r="I299" i="24"/>
  <c r="I367" i="24" s="1"/>
  <c r="I43" i="52"/>
  <c r="BC53" i="24"/>
  <c r="CI134" i="24"/>
  <c r="BQ132" i="24"/>
  <c r="BK172" i="24"/>
  <c r="BN87" i="24"/>
  <c r="AK136" i="61"/>
  <c r="AN162" i="61"/>
  <c r="AN139" i="61" s="1"/>
  <c r="AM139" i="61" s="1"/>
  <c r="AL139" i="61" s="1"/>
  <c r="AK139" i="61" s="1"/>
  <c r="AJ139" i="61" s="1"/>
  <c r="AI139" i="61" s="1"/>
  <c r="AH139" i="61" s="1"/>
  <c r="AG139" i="61" s="1"/>
  <c r="AF139" i="61" s="1"/>
  <c r="AE139" i="61" s="1"/>
  <c r="AD139" i="61" s="1"/>
  <c r="AC139" i="61" s="1"/>
  <c r="AB139" i="61" s="1"/>
  <c r="AA139" i="61" s="1"/>
  <c r="Z139" i="61" s="1"/>
  <c r="Y139" i="61" s="1"/>
  <c r="AF162" i="61"/>
  <c r="X162" i="61"/>
  <c r="P162" i="61"/>
  <c r="H162" i="61"/>
  <c r="AE87" i="24"/>
  <c r="W87" i="24"/>
  <c r="O87" i="24"/>
  <c r="G87" i="24"/>
  <c r="BP269" i="24"/>
  <c r="BQ269" i="24" s="1"/>
  <c r="BP295" i="24"/>
  <c r="BR2" i="61"/>
  <c r="BR186" i="61" s="1"/>
  <c r="BG384" i="24"/>
  <c r="AT159" i="61"/>
  <c r="AT191" i="61"/>
  <c r="AT211" i="61" s="1"/>
  <c r="AT201" i="61"/>
  <c r="AT41" i="24"/>
  <c r="AZ201" i="61"/>
  <c r="AZ187" i="61"/>
  <c r="AC141" i="61"/>
  <c r="AB144" i="61"/>
  <c r="AC179" i="24"/>
  <c r="AM154" i="61"/>
  <c r="AM228" i="61"/>
  <c r="AQ228" i="61"/>
  <c r="AQ160" i="61"/>
  <c r="AR91" i="61" s="1"/>
  <c r="AQ162" i="61"/>
  <c r="AQ139" i="61" s="1"/>
  <c r="BC22" i="24"/>
  <c r="F293" i="24"/>
  <c r="F317" i="24"/>
  <c r="H293" i="24"/>
  <c r="I379" i="24"/>
  <c r="J2" i="70"/>
  <c r="J379" i="24"/>
  <c r="L293" i="24"/>
  <c r="M379" i="24"/>
  <c r="P293" i="24"/>
  <c r="Q379" i="24"/>
  <c r="R2" i="70"/>
  <c r="R379" i="24"/>
  <c r="T293" i="24"/>
  <c r="U379" i="24"/>
  <c r="V2" i="70"/>
  <c r="X293" i="24"/>
  <c r="Y379" i="24"/>
  <c r="Z2" i="70"/>
  <c r="Z379" i="24"/>
  <c r="AB293" i="24"/>
  <c r="AC379" i="24"/>
  <c r="AD2" i="70"/>
  <c r="AD379" i="24"/>
  <c r="AF293" i="24"/>
  <c r="AH2" i="70"/>
  <c r="AJ293" i="24"/>
  <c r="AK379" i="24"/>
  <c r="AL2" i="70"/>
  <c r="AL8" i="70" s="1"/>
  <c r="AM8" i="70" s="1"/>
  <c r="AN8" i="70" s="1"/>
  <c r="AO8" i="70" s="1"/>
  <c r="AL379" i="24"/>
  <c r="AN293" i="24"/>
  <c r="AO379" i="24"/>
  <c r="AR293" i="24"/>
  <c r="AS379" i="24"/>
  <c r="AT2" i="70"/>
  <c r="AV293" i="24"/>
  <c r="AW379" i="24"/>
  <c r="AZ293" i="24"/>
  <c r="BA379" i="24"/>
  <c r="BB2" i="70"/>
  <c r="BB379" i="24"/>
  <c r="BD293" i="24"/>
  <c r="BE379" i="24"/>
  <c r="BF2" i="70"/>
  <c r="BH2" i="70"/>
  <c r="BH293" i="24"/>
  <c r="BH235" i="24"/>
  <c r="BI379" i="24"/>
  <c r="BL2" i="70"/>
  <c r="BL293" i="24"/>
  <c r="BL235" i="24"/>
  <c r="BM379" i="24"/>
  <c r="BN17" i="64"/>
  <c r="BN293" i="24"/>
  <c r="BO379" i="24"/>
  <c r="BP2" i="70"/>
  <c r="BP267" i="24"/>
  <c r="BQ267" i="24" s="1"/>
  <c r="BP293" i="24"/>
  <c r="D12" i="55" s="1"/>
  <c r="BP379" i="24"/>
  <c r="U228" i="24"/>
  <c r="U237" i="24"/>
  <c r="U37" i="24" s="1"/>
  <c r="U294" i="24" s="1"/>
  <c r="V237" i="24"/>
  <c r="V37" i="24" s="1"/>
  <c r="V294" i="24" s="1"/>
  <c r="U353" i="24"/>
  <c r="U53" i="24"/>
  <c r="AC237" i="24"/>
  <c r="AC37" i="24" s="1"/>
  <c r="AC294" i="24" s="1"/>
  <c r="AC353" i="24"/>
  <c r="AC53" i="24"/>
  <c r="AK228" i="24"/>
  <c r="AK237" i="24"/>
  <c r="AK37" i="24" s="1"/>
  <c r="AK294" i="24" s="1"/>
  <c r="AL237" i="24"/>
  <c r="AL37" i="24" s="1"/>
  <c r="AL294" i="24" s="1"/>
  <c r="AT237" i="24"/>
  <c r="AT37" i="24" s="1"/>
  <c r="AT294" i="24" s="1"/>
  <c r="AS353" i="24"/>
  <c r="BJ187" i="24"/>
  <c r="BS40" i="24"/>
  <c r="CK40" i="24" s="1"/>
  <c r="CK42" i="24"/>
  <c r="BP140" i="24"/>
  <c r="BP407" i="24" s="1"/>
  <c r="AY6" i="70"/>
  <c r="I73" i="24"/>
  <c r="H339" i="24"/>
  <c r="H305" i="24"/>
  <c r="H52" i="24"/>
  <c r="H245" i="24"/>
  <c r="H314" i="24"/>
  <c r="H322" i="24"/>
  <c r="H327" i="24"/>
  <c r="H332" i="24"/>
  <c r="H337" i="24"/>
  <c r="H321" i="24"/>
  <c r="H333" i="24"/>
  <c r="H348" i="24"/>
  <c r="I18" i="24"/>
  <c r="I368" i="24"/>
  <c r="I35" i="52"/>
  <c r="V209" i="24"/>
  <c r="V216" i="24"/>
  <c r="AB65" i="24"/>
  <c r="AB216" i="24"/>
  <c r="BO129" i="52"/>
  <c r="BO229" i="24" s="1"/>
  <c r="H8" i="24"/>
  <c r="AV7" i="24"/>
  <c r="AV384" i="24"/>
  <c r="AW46" i="24"/>
  <c r="X302" i="24"/>
  <c r="AW6" i="70"/>
  <c r="BU243" i="24"/>
  <c r="CM243" i="24" s="1"/>
  <c r="BV21" i="45"/>
  <c r="BS347" i="52"/>
  <c r="BS360" i="52"/>
  <c r="BP468" i="52"/>
  <c r="BQ139" i="24"/>
  <c r="BQ230" i="52"/>
  <c r="CK135" i="24"/>
  <c r="CI135" i="24"/>
  <c r="BQ402" i="24"/>
  <c r="CI402" i="24" s="1"/>
  <c r="BQ322" i="24"/>
  <c r="CI322" i="24" s="1"/>
  <c r="BS320" i="24"/>
  <c r="CK320" i="24" s="1"/>
  <c r="CI131" i="24"/>
  <c r="BQ398" i="24"/>
  <c r="CI398" i="24" s="1"/>
  <c r="BR216" i="52"/>
  <c r="BR212" i="52" s="1"/>
  <c r="BR125" i="24"/>
  <c r="BS212" i="52"/>
  <c r="BR224" i="24"/>
  <c r="CJ224" i="24" s="1"/>
  <c r="CJ202" i="24"/>
  <c r="BQ221" i="24"/>
  <c r="CI221" i="24" s="1"/>
  <c r="BQ224" i="24"/>
  <c r="CI224" i="24" s="1"/>
  <c r="BP221" i="24"/>
  <c r="BP224" i="24"/>
  <c r="AS209" i="24"/>
  <c r="AS65" i="24"/>
  <c r="AT216" i="24"/>
  <c r="AS216" i="24"/>
  <c r="AK209" i="24"/>
  <c r="AK65" i="24"/>
  <c r="AK216" i="24"/>
  <c r="AG209" i="24"/>
  <c r="AG65" i="24"/>
  <c r="AE209" i="24"/>
  <c r="AE216" i="24"/>
  <c r="AC65" i="24"/>
  <c r="AD216" i="24"/>
  <c r="Y65" i="24"/>
  <c r="U209" i="24"/>
  <c r="U65" i="24"/>
  <c r="U216" i="24"/>
  <c r="T216" i="24"/>
  <c r="Q209" i="24"/>
  <c r="Q65" i="24"/>
  <c r="O209" i="24"/>
  <c r="O216" i="24"/>
  <c r="N216" i="24"/>
  <c r="I209" i="24"/>
  <c r="I65" i="24"/>
  <c r="J216" i="24"/>
  <c r="BA214" i="24"/>
  <c r="BA300" i="24"/>
  <c r="BA302" i="24" s="1"/>
  <c r="AZ228" i="24"/>
  <c r="AZ300" i="24"/>
  <c r="AZ302" i="24" s="1"/>
  <c r="AZ214" i="24"/>
  <c r="AY214" i="24"/>
  <c r="AY228" i="24"/>
  <c r="AY237" i="24"/>
  <c r="AY37" i="24" s="1"/>
  <c r="AX214" i="24"/>
  <c r="AX228" i="24"/>
  <c r="AW300" i="24"/>
  <c r="AW302" i="24" s="1"/>
  <c r="AW214" i="24"/>
  <c r="AV209" i="24"/>
  <c r="AT228" i="24"/>
  <c r="AT209" i="24"/>
  <c r="AR228" i="24"/>
  <c r="AR300" i="24"/>
  <c r="AR302" i="24" s="1"/>
  <c r="AQ214" i="24"/>
  <c r="AQ300" i="24"/>
  <c r="AQ302" i="24" s="1"/>
  <c r="AQ228" i="24"/>
  <c r="AQ237" i="24"/>
  <c r="AQ37" i="24" s="1"/>
  <c r="AP214" i="24"/>
  <c r="AP228" i="24"/>
  <c r="AP300" i="24"/>
  <c r="AP209" i="24"/>
  <c r="AN228" i="24"/>
  <c r="AL300" i="24"/>
  <c r="AL302" i="24" s="1"/>
  <c r="AL214" i="24"/>
  <c r="AK214" i="24"/>
  <c r="AK300" i="24"/>
  <c r="AK302" i="24" s="1"/>
  <c r="AJ228" i="24"/>
  <c r="AH214" i="24"/>
  <c r="AH228" i="24"/>
  <c r="AG300" i="24"/>
  <c r="AG214" i="24"/>
  <c r="AF214" i="24"/>
  <c r="AF300" i="24"/>
  <c r="AF302" i="24" s="1"/>
  <c r="AF237" i="24"/>
  <c r="AF37" i="24" s="1"/>
  <c r="AF294" i="24" s="1"/>
  <c r="AF209" i="24"/>
  <c r="AD228" i="24"/>
  <c r="AD209" i="24"/>
  <c r="AB228" i="24"/>
  <c r="AA300" i="24"/>
  <c r="AA302" i="24" s="1"/>
  <c r="Z214" i="24"/>
  <c r="Z228" i="24"/>
  <c r="Z300" i="24"/>
  <c r="Z302" i="24" s="1"/>
  <c r="Z209" i="24"/>
  <c r="X214" i="24"/>
  <c r="X228" i="24"/>
  <c r="X237" i="24"/>
  <c r="X37" i="24" s="1"/>
  <c r="X294" i="24" s="1"/>
  <c r="W300" i="24"/>
  <c r="W302" i="24" s="1"/>
  <c r="W214" i="24"/>
  <c r="V300" i="24"/>
  <c r="V214" i="24"/>
  <c r="U214" i="24"/>
  <c r="U300" i="24"/>
  <c r="U302" i="24" s="1"/>
  <c r="T228" i="24"/>
  <c r="R214" i="24"/>
  <c r="R228" i="24"/>
  <c r="Q300" i="24"/>
  <c r="Q302" i="24" s="1"/>
  <c r="Q214" i="24"/>
  <c r="P300" i="24"/>
  <c r="P302" i="24" s="1"/>
  <c r="N228" i="24"/>
  <c r="N209" i="24"/>
  <c r="L228" i="24"/>
  <c r="L300" i="24"/>
  <c r="L302" i="24" s="1"/>
  <c r="K214" i="24"/>
  <c r="K300" i="24"/>
  <c r="K302" i="24" s="1"/>
  <c r="K228" i="24"/>
  <c r="K237" i="24"/>
  <c r="K37" i="24" s="1"/>
  <c r="J214" i="24"/>
  <c r="J228" i="24"/>
  <c r="J300" i="24"/>
  <c r="J302" i="24" s="1"/>
  <c r="J209" i="24"/>
  <c r="BA238" i="24"/>
  <c r="BA301" i="24"/>
  <c r="BA215" i="24"/>
  <c r="AZ229" i="24"/>
  <c r="AZ301" i="24"/>
  <c r="AY215" i="24"/>
  <c r="AY301" i="24"/>
  <c r="AY229" i="24"/>
  <c r="AX229" i="24"/>
  <c r="AV229" i="24"/>
  <c r="AV301" i="24"/>
  <c r="AV215" i="24"/>
  <c r="AV238" i="24"/>
  <c r="AU238" i="24"/>
  <c r="AU229" i="24"/>
  <c r="AT215" i="24"/>
  <c r="AT301" i="24"/>
  <c r="AT238" i="24"/>
  <c r="AS238" i="24"/>
  <c r="AS229" i="24"/>
  <c r="AS301" i="24"/>
  <c r="AS215" i="24"/>
  <c r="AR229" i="24"/>
  <c r="AR301" i="24"/>
  <c r="AQ215" i="24"/>
  <c r="AQ301" i="24"/>
  <c r="AQ238" i="24"/>
  <c r="AP215" i="24"/>
  <c r="AP301" i="24"/>
  <c r="AP229" i="24"/>
  <c r="AO215" i="24"/>
  <c r="AO229" i="24"/>
  <c r="AN229" i="24"/>
  <c r="AN301" i="24"/>
  <c r="AN215" i="24"/>
  <c r="AN238" i="24"/>
  <c r="AM238" i="24"/>
  <c r="AM229" i="24"/>
  <c r="AM215" i="24"/>
  <c r="AM301" i="24"/>
  <c r="AL215" i="24"/>
  <c r="AL301" i="24"/>
  <c r="AL238" i="24"/>
  <c r="AK238" i="24"/>
  <c r="AK229" i="24"/>
  <c r="AK301" i="24"/>
  <c r="AJ229" i="24"/>
  <c r="AJ301" i="24"/>
  <c r="AI215" i="24"/>
  <c r="AI301" i="24"/>
  <c r="AI229" i="24"/>
  <c r="AH215" i="24"/>
  <c r="AH301" i="24"/>
  <c r="AH229" i="24"/>
  <c r="AG215" i="24"/>
  <c r="AG238" i="24"/>
  <c r="AG301" i="24"/>
  <c r="AF229" i="24"/>
  <c r="AF301" i="24"/>
  <c r="AF215" i="24"/>
  <c r="AF238" i="24"/>
  <c r="AE238" i="24"/>
  <c r="AE229" i="24"/>
  <c r="AD215" i="24"/>
  <c r="AD301" i="24"/>
  <c r="AD238" i="24"/>
  <c r="AC238" i="24"/>
  <c r="AC229" i="24"/>
  <c r="AC301" i="24"/>
  <c r="AC215" i="24"/>
  <c r="AB229" i="24"/>
  <c r="AB301" i="24"/>
  <c r="AA215" i="24"/>
  <c r="AA301" i="24"/>
  <c r="AA238" i="24"/>
  <c r="Z215" i="24"/>
  <c r="Z301" i="24"/>
  <c r="Z229" i="24"/>
  <c r="Y215" i="24"/>
  <c r="Y229" i="24"/>
  <c r="X229" i="24"/>
  <c r="X301" i="24"/>
  <c r="X215" i="24"/>
  <c r="X238" i="24"/>
  <c r="W238" i="24"/>
  <c r="W229" i="24"/>
  <c r="W215" i="24"/>
  <c r="W301" i="24"/>
  <c r="V215" i="24"/>
  <c r="V301" i="24"/>
  <c r="V238" i="24"/>
  <c r="U229" i="24"/>
  <c r="T229" i="24"/>
  <c r="S215" i="24"/>
  <c r="S301" i="24"/>
  <c r="S229" i="24"/>
  <c r="R215" i="24"/>
  <c r="R301" i="24"/>
  <c r="R229" i="24"/>
  <c r="P229" i="24"/>
  <c r="P301" i="24"/>
  <c r="O238" i="24"/>
  <c r="O229" i="24"/>
  <c r="N215" i="24"/>
  <c r="N301" i="24"/>
  <c r="N238" i="24"/>
  <c r="M229" i="24"/>
  <c r="M215" i="24"/>
  <c r="K215" i="24"/>
  <c r="K301" i="24"/>
  <c r="K238" i="24"/>
  <c r="J215" i="24"/>
  <c r="J301" i="24"/>
  <c r="J229" i="24"/>
  <c r="I215" i="24"/>
  <c r="I229" i="24"/>
  <c r="H229" i="24"/>
  <c r="H301" i="24"/>
  <c r="H215" i="24"/>
  <c r="H238" i="24"/>
  <c r="G229" i="24"/>
  <c r="G215" i="24"/>
  <c r="BS233" i="24"/>
  <c r="BR234" i="24"/>
  <c r="BN233" i="24"/>
  <c r="BO234" i="24"/>
  <c r="BN237" i="24"/>
  <c r="BN37" i="24" s="1"/>
  <c r="BN294" i="24" s="1"/>
  <c r="BN63" i="24"/>
  <c r="BM237" i="24"/>
  <c r="BM37" i="24" s="1"/>
  <c r="BM294" i="24" s="1"/>
  <c r="BM75" i="24"/>
  <c r="BJ237" i="24"/>
  <c r="BI237" i="24"/>
  <c r="BI37" i="24" s="1"/>
  <c r="BF237" i="24"/>
  <c r="BE237" i="24"/>
  <c r="BB237" i="24"/>
  <c r="BB37" i="24" s="1"/>
  <c r="BB294" i="24" s="1"/>
  <c r="G4" i="55"/>
  <c r="G6" i="55"/>
  <c r="BS65" i="45"/>
  <c r="M9" i="71"/>
  <c r="S9" i="71"/>
  <c r="BM93" i="24"/>
  <c r="BM69" i="24"/>
  <c r="BO53" i="24"/>
  <c r="BQ212" i="52"/>
  <c r="BT6" i="70"/>
  <c r="BK75" i="24"/>
  <c r="H3" i="55"/>
  <c r="BU196" i="24"/>
  <c r="BU141" i="24" s="1"/>
  <c r="BT43" i="24"/>
  <c r="BT103" i="24"/>
  <c r="BT115" i="24" s="1"/>
  <c r="CL115" i="24" s="1"/>
  <c r="BR43" i="24"/>
  <c r="BR44" i="24" s="1"/>
  <c r="CJ195" i="24"/>
  <c r="BV474" i="52"/>
  <c r="BR117" i="24"/>
  <c r="BR341" i="24" s="1"/>
  <c r="BR375" i="52"/>
  <c r="BP116" i="24"/>
  <c r="BQ116" i="24"/>
  <c r="CI116" i="24" s="1"/>
  <c r="BP441" i="24"/>
  <c r="BR113" i="24"/>
  <c r="CJ113" i="24" s="1"/>
  <c r="BP341" i="24"/>
  <c r="BP347" i="52"/>
  <c r="BP106" i="24" s="1"/>
  <c r="BP360" i="52"/>
  <c r="BN106" i="24"/>
  <c r="BN343" i="52"/>
  <c r="BN342" i="52" s="1"/>
  <c r="CJ91" i="24"/>
  <c r="BR89" i="24"/>
  <c r="BS340" i="52"/>
  <c r="BS236" i="52"/>
  <c r="BK179" i="52"/>
  <c r="BK160" i="52"/>
  <c r="BH160" i="52"/>
  <c r="BH179" i="52"/>
  <c r="BF160" i="52"/>
  <c r="BF179" i="52"/>
  <c r="BD160" i="52"/>
  <c r="BD179" i="52"/>
  <c r="BJ175" i="52"/>
  <c r="BJ160" i="52" s="1"/>
  <c r="BO224" i="24"/>
  <c r="BR216" i="24"/>
  <c r="CJ216" i="24" s="1"/>
  <c r="CI205" i="24"/>
  <c r="BR18" i="24"/>
  <c r="CJ18" i="24" s="1"/>
  <c r="BR52" i="24"/>
  <c r="BR332" i="24"/>
  <c r="CJ332" i="24" s="1"/>
  <c r="BR337" i="24"/>
  <c r="CJ337" i="24" s="1"/>
  <c r="BR333" i="24"/>
  <c r="CJ333" i="24" s="1"/>
  <c r="BR362" i="24"/>
  <c r="CJ362" i="24" s="1"/>
  <c r="BS18" i="24"/>
  <c r="CK18" i="24" s="1"/>
  <c r="BP18" i="24"/>
  <c r="BP245" i="24"/>
  <c r="BP337" i="24"/>
  <c r="BP333" i="24"/>
  <c r="BP435" i="24"/>
  <c r="BQ18" i="24"/>
  <c r="CI18" i="24" s="1"/>
  <c r="BP434" i="24"/>
  <c r="BP197" i="24"/>
  <c r="BN18" i="24"/>
  <c r="BN245" i="24"/>
  <c r="BN332" i="24"/>
  <c r="BN309" i="24"/>
  <c r="BN361" i="24" s="1"/>
  <c r="BO18" i="24"/>
  <c r="BN339" i="24"/>
  <c r="BL18" i="24"/>
  <c r="BL245" i="24"/>
  <c r="BL332" i="24"/>
  <c r="BL331" i="24"/>
  <c r="BL435" i="24"/>
  <c r="BL434" i="24"/>
  <c r="BL197" i="24"/>
  <c r="BJ18" i="24"/>
  <c r="BJ52" i="24"/>
  <c r="BJ245" i="24"/>
  <c r="BJ337" i="24"/>
  <c r="BJ333" i="24"/>
  <c r="BJ309" i="24"/>
  <c r="BJ361" i="24" s="1"/>
  <c r="BJ339" i="24"/>
  <c r="BH21" i="24"/>
  <c r="BH73" i="24"/>
  <c r="BH337" i="24"/>
  <c r="BH333" i="24"/>
  <c r="BH435" i="24"/>
  <c r="BH309" i="24"/>
  <c r="BH361" i="24" s="1"/>
  <c r="BI73" i="24"/>
  <c r="BH434" i="24"/>
  <c r="BH197" i="24"/>
  <c r="BF21" i="24"/>
  <c r="BF73" i="24"/>
  <c r="BF332" i="24"/>
  <c r="BF309" i="24"/>
  <c r="BF361" i="24" s="1"/>
  <c r="BF314" i="24"/>
  <c r="BD18" i="24"/>
  <c r="BD52" i="24"/>
  <c r="BD245" i="24"/>
  <c r="BD322" i="24"/>
  <c r="BD327" i="24"/>
  <c r="BD332" i="24"/>
  <c r="BD321" i="24"/>
  <c r="BD333" i="24"/>
  <c r="BD435" i="24"/>
  <c r="BE18" i="24"/>
  <c r="BD434" i="24"/>
  <c r="BB18" i="24"/>
  <c r="BB52" i="24"/>
  <c r="BB314" i="24"/>
  <c r="BB322" i="24"/>
  <c r="BB327" i="24"/>
  <c r="BB332" i="24"/>
  <c r="BB347" i="24"/>
  <c r="BB319" i="24"/>
  <c r="BB323" i="24"/>
  <c r="BB348" i="24"/>
  <c r="BC73" i="24"/>
  <c r="BB339" i="24"/>
  <c r="BB190" i="24"/>
  <c r="BB197" i="24"/>
  <c r="BC35" i="64" s="1"/>
  <c r="AZ21" i="24"/>
  <c r="AZ245" i="24"/>
  <c r="AZ320" i="24"/>
  <c r="AZ324" i="24"/>
  <c r="AZ337" i="24"/>
  <c r="AZ333" i="24"/>
  <c r="AZ435" i="24"/>
  <c r="AZ434" i="24"/>
  <c r="AZ190" i="24"/>
  <c r="AX18" i="24"/>
  <c r="AX52" i="24"/>
  <c r="AX314" i="24"/>
  <c r="AX322" i="24"/>
  <c r="AX327" i="24"/>
  <c r="AX332" i="24"/>
  <c r="AX347" i="24"/>
  <c r="AX319" i="24"/>
  <c r="AX323" i="24"/>
  <c r="AX348" i="24"/>
  <c r="AX339" i="24"/>
  <c r="AX197" i="24"/>
  <c r="AY35" i="64" s="1"/>
  <c r="AV21" i="24"/>
  <c r="AV245" i="24"/>
  <c r="AV320" i="24"/>
  <c r="AV324" i="24"/>
  <c r="AV337" i="24"/>
  <c r="AV321" i="24"/>
  <c r="AV333" i="24"/>
  <c r="AV435" i="24"/>
  <c r="AV434" i="24"/>
  <c r="AT18" i="24"/>
  <c r="AT52" i="24"/>
  <c r="AT314" i="24"/>
  <c r="AT322" i="24"/>
  <c r="AT327" i="24"/>
  <c r="AT332" i="24"/>
  <c r="AT347" i="24"/>
  <c r="AT319" i="24"/>
  <c r="AT323" i="24"/>
  <c r="AT348" i="24"/>
  <c r="AT339" i="24"/>
  <c r="AT197" i="24"/>
  <c r="AU35" i="64" s="1"/>
  <c r="AR21" i="24"/>
  <c r="AR245" i="24"/>
  <c r="AR320" i="24"/>
  <c r="AR324" i="24"/>
  <c r="AR337" i="24"/>
  <c r="AR321" i="24"/>
  <c r="AR333" i="24"/>
  <c r="AR435" i="24"/>
  <c r="AR434" i="24"/>
  <c r="AP18" i="24"/>
  <c r="AP52" i="24"/>
  <c r="AP314" i="24"/>
  <c r="AP322" i="24"/>
  <c r="AP327" i="24"/>
  <c r="AP332" i="24"/>
  <c r="AP347" i="24"/>
  <c r="AP319" i="24"/>
  <c r="AP323" i="24"/>
  <c r="AP348" i="24"/>
  <c r="AP339" i="24"/>
  <c r="AP197" i="24"/>
  <c r="AQ35" i="64" s="1"/>
  <c r="AN17" i="24"/>
  <c r="AN31" i="52"/>
  <c r="AL18" i="24"/>
  <c r="AL52" i="24"/>
  <c r="AL314" i="24"/>
  <c r="AL322" i="24"/>
  <c r="AL327" i="24"/>
  <c r="AL332" i="24"/>
  <c r="AL347" i="24"/>
  <c r="AL319" i="24"/>
  <c r="AL323" i="24"/>
  <c r="AL348" i="24"/>
  <c r="AL339" i="24"/>
  <c r="AL197" i="24"/>
  <c r="AM35" i="64" s="1"/>
  <c r="AJ17" i="24"/>
  <c r="AJ312" i="24" s="1"/>
  <c r="AJ31" i="52"/>
  <c r="AH52" i="24"/>
  <c r="AH314" i="24"/>
  <c r="AH322" i="24"/>
  <c r="AH327" i="24"/>
  <c r="AH332" i="24"/>
  <c r="AH347" i="24"/>
  <c r="AH319" i="24"/>
  <c r="AH323" i="24"/>
  <c r="AH348" i="24"/>
  <c r="AH339" i="24"/>
  <c r="AH197" i="24"/>
  <c r="AI35" i="64" s="1"/>
  <c r="AF17" i="24"/>
  <c r="AF31" i="52"/>
  <c r="AD18" i="24"/>
  <c r="AD52" i="24"/>
  <c r="AD314" i="24"/>
  <c r="AD322" i="24"/>
  <c r="AD327" i="24"/>
  <c r="AD332" i="24"/>
  <c r="AD347" i="24"/>
  <c r="AD319" i="24"/>
  <c r="AD323" i="24"/>
  <c r="AD348" i="24"/>
  <c r="AD339" i="24"/>
  <c r="AD197" i="24"/>
  <c r="AE35" i="64" s="1"/>
  <c r="AB17" i="24"/>
  <c r="AB31" i="52"/>
  <c r="Z18" i="24"/>
  <c r="Z52" i="24"/>
  <c r="Z314" i="24"/>
  <c r="Z322" i="24"/>
  <c r="Z327" i="24"/>
  <c r="Z332" i="24"/>
  <c r="Z347" i="24"/>
  <c r="Z319" i="24"/>
  <c r="Z323" i="24"/>
  <c r="Z348" i="24"/>
  <c r="Z339" i="24"/>
  <c r="X17" i="24"/>
  <c r="X336" i="24" s="1"/>
  <c r="X31" i="52"/>
  <c r="V18" i="24"/>
  <c r="V52" i="24"/>
  <c r="V314" i="24"/>
  <c r="V322" i="24"/>
  <c r="V327" i="24"/>
  <c r="V332" i="24"/>
  <c r="V347" i="24"/>
  <c r="V319" i="24"/>
  <c r="V323" i="24"/>
  <c r="V348" i="24"/>
  <c r="V339" i="24"/>
  <c r="T17" i="24"/>
  <c r="T31" i="52"/>
  <c r="R52" i="24"/>
  <c r="R314" i="24"/>
  <c r="R322" i="24"/>
  <c r="R327" i="24"/>
  <c r="R332" i="24"/>
  <c r="R347" i="24"/>
  <c r="R319" i="24"/>
  <c r="R323" i="24"/>
  <c r="R348" i="24"/>
  <c r="R339" i="24"/>
  <c r="P17" i="24"/>
  <c r="P336" i="24" s="1"/>
  <c r="P31" i="52"/>
  <c r="N18" i="24"/>
  <c r="N52" i="24"/>
  <c r="N314" i="24"/>
  <c r="N322" i="24"/>
  <c r="N327" i="24"/>
  <c r="N332" i="24"/>
  <c r="N347" i="24"/>
  <c r="N319" i="24"/>
  <c r="N323" i="24"/>
  <c r="N348" i="24"/>
  <c r="N339" i="24"/>
  <c r="L17" i="24"/>
  <c r="L31" i="52"/>
  <c r="J18" i="24"/>
  <c r="J52" i="24"/>
  <c r="J320" i="24"/>
  <c r="J324" i="24"/>
  <c r="J347" i="24"/>
  <c r="J319" i="24"/>
  <c r="J323" i="24"/>
  <c r="J339" i="24"/>
  <c r="G319" i="24"/>
  <c r="BA12" i="24"/>
  <c r="BA28" i="24" s="1"/>
  <c r="BA284" i="24" s="1"/>
  <c r="AW12" i="24"/>
  <c r="AS12" i="24"/>
  <c r="AO12" i="24"/>
  <c r="AO28" i="24" s="1"/>
  <c r="AO284" i="24" s="1"/>
  <c r="AK12" i="24"/>
  <c r="AK28" i="24" s="1"/>
  <c r="AK284" i="24" s="1"/>
  <c r="AG12" i="24"/>
  <c r="AC12" i="24"/>
  <c r="Y12" i="24"/>
  <c r="U12" i="24"/>
  <c r="U28" i="24" s="1"/>
  <c r="U284" i="24" s="1"/>
  <c r="Q12" i="24"/>
  <c r="M12" i="24"/>
  <c r="I12" i="24"/>
  <c r="BB8" i="24"/>
  <c r="BB12" i="24"/>
  <c r="AX13" i="24"/>
  <c r="AX27" i="52"/>
  <c r="AT13" i="24"/>
  <c r="AT27" i="52"/>
  <c r="AP13" i="24"/>
  <c r="AP27" i="52"/>
  <c r="AL13" i="24"/>
  <c r="AL27" i="52"/>
  <c r="AH13" i="24"/>
  <c r="AH27" i="52"/>
  <c r="AD13" i="24"/>
  <c r="AD27" i="52"/>
  <c r="Z13" i="24"/>
  <c r="Z27" i="52"/>
  <c r="V13" i="24"/>
  <c r="V27" i="52"/>
  <c r="R13" i="24"/>
  <c r="R27" i="52"/>
  <c r="N13" i="24"/>
  <c r="N27" i="52"/>
  <c r="J13" i="24"/>
  <c r="J27" i="52"/>
  <c r="F13" i="24"/>
  <c r="F27" i="52"/>
  <c r="F29" i="52" s="1"/>
  <c r="F17" i="24" s="1"/>
  <c r="BA9" i="24"/>
  <c r="BA8" i="24" s="1"/>
  <c r="BA27" i="52"/>
  <c r="AW9" i="24"/>
  <c r="AW8" i="24" s="1"/>
  <c r="AW27" i="52"/>
  <c r="AU9" i="24"/>
  <c r="AU27" i="52"/>
  <c r="AS9" i="24"/>
  <c r="AS8" i="24" s="1"/>
  <c r="AS27" i="52"/>
  <c r="AO9" i="24"/>
  <c r="AO8" i="24" s="1"/>
  <c r="AO27" i="52"/>
  <c r="AM9" i="24"/>
  <c r="AM27" i="52"/>
  <c r="AK9" i="24"/>
  <c r="AK8" i="24" s="1"/>
  <c r="AK27" i="52"/>
  <c r="AG9" i="24"/>
  <c r="AG27" i="52"/>
  <c r="AE9" i="24"/>
  <c r="AE27" i="52"/>
  <c r="AC9" i="24"/>
  <c r="AC8" i="24" s="1"/>
  <c r="AC27" i="52"/>
  <c r="Y9" i="24"/>
  <c r="Y8" i="24" s="1"/>
  <c r="Y27" i="52"/>
  <c r="W9" i="24"/>
  <c r="W27" i="52"/>
  <c r="U9" i="24"/>
  <c r="U8" i="24" s="1"/>
  <c r="U27" i="52"/>
  <c r="Q9" i="24"/>
  <c r="Q27" i="52"/>
  <c r="O9" i="24"/>
  <c r="O27" i="52"/>
  <c r="M9" i="24"/>
  <c r="M8" i="24" s="1"/>
  <c r="M27" i="52"/>
  <c r="I9" i="24"/>
  <c r="I8" i="24" s="1"/>
  <c r="I27" i="52"/>
  <c r="J844" i="53"/>
  <c r="K841" i="53"/>
  <c r="J836" i="53"/>
  <c r="K835" i="53"/>
  <c r="J834" i="53"/>
  <c r="BC401" i="24"/>
  <c r="BC403" i="24"/>
  <c r="BC405" i="24"/>
  <c r="BC407" i="24"/>
  <c r="BC409" i="24"/>
  <c r="BC411" i="24"/>
  <c r="BT347" i="52"/>
  <c r="BT343" i="52" s="1"/>
  <c r="BT342" i="52" s="1"/>
  <c r="BT360" i="52"/>
  <c r="BR343" i="52"/>
  <c r="BR342" i="52" s="1"/>
  <c r="BQ340" i="52"/>
  <c r="BQ342" i="52" s="1"/>
  <c r="BN160" i="52"/>
  <c r="BN179" i="52"/>
  <c r="BO180" i="52" s="1"/>
  <c r="BL160" i="52"/>
  <c r="BL179" i="52"/>
  <c r="AM17" i="24"/>
  <c r="AM312" i="24" s="1"/>
  <c r="AM31" i="52"/>
  <c r="AI17" i="24"/>
  <c r="AI312" i="24" s="1"/>
  <c r="AI31" i="52"/>
  <c r="AE17" i="24"/>
  <c r="AE336" i="24" s="1"/>
  <c r="AE31" i="52"/>
  <c r="AA17" i="24"/>
  <c r="AA311" i="24" s="1"/>
  <c r="AA31" i="52"/>
  <c r="W17" i="24"/>
  <c r="W336" i="24" s="1"/>
  <c r="W31" i="52"/>
  <c r="S17" i="24"/>
  <c r="S312" i="24" s="1"/>
  <c r="S31" i="52"/>
  <c r="O17" i="24"/>
  <c r="O336" i="24" s="1"/>
  <c r="O31" i="52"/>
  <c r="K17" i="24"/>
  <c r="K310" i="24" s="1"/>
  <c r="K31" i="52"/>
  <c r="A11" i="65"/>
  <c r="A15" i="71"/>
  <c r="BC415" i="24"/>
  <c r="BC404" i="24"/>
  <c r="BC400" i="24"/>
  <c r="W211" i="24"/>
  <c r="O211" i="24"/>
  <c r="G211" i="24"/>
  <c r="CJ184" i="24"/>
  <c r="BL184" i="24"/>
  <c r="BP191" i="24"/>
  <c r="BP433" i="24" s="1"/>
  <c r="BS168" i="24"/>
  <c r="BS165" i="24"/>
  <c r="BS184" i="24"/>
  <c r="BG8" i="64"/>
  <c r="BG184" i="24"/>
  <c r="BM4" i="64"/>
  <c r="BM199" i="24"/>
  <c r="BM116" i="24"/>
  <c r="BM118" i="24"/>
  <c r="BK116" i="24"/>
  <c r="BK118" i="24"/>
  <c r="BI116" i="24"/>
  <c r="BI118" i="24"/>
  <c r="BG116" i="24"/>
  <c r="BG118" i="24"/>
  <c r="BO118" i="24"/>
  <c r="BL107" i="24"/>
  <c r="BJ107" i="24"/>
  <c r="BH107" i="24"/>
  <c r="BF107" i="24"/>
  <c r="BF327" i="24" s="1"/>
  <c r="J88" i="24"/>
  <c r="BR54" i="24"/>
  <c r="CJ90" i="24"/>
  <c r="H54" i="24"/>
  <c r="H89" i="24"/>
  <c r="H88" i="24" s="1"/>
  <c r="BS58" i="24"/>
  <c r="CK58" i="24" s="1"/>
  <c r="CK84" i="24"/>
  <c r="AJ81" i="24"/>
  <c r="AJ59" i="24"/>
  <c r="AH81" i="24"/>
  <c r="AH59" i="24"/>
  <c r="AF81" i="24"/>
  <c r="AF59" i="24"/>
  <c r="AD81" i="24"/>
  <c r="AD59" i="24"/>
  <c r="AB81" i="24"/>
  <c r="AB59" i="24"/>
  <c r="Z81" i="24"/>
  <c r="Z59" i="24"/>
  <c r="X81" i="24"/>
  <c r="X59" i="24"/>
  <c r="V81" i="24"/>
  <c r="V59" i="24"/>
  <c r="T81" i="24"/>
  <c r="T59" i="24"/>
  <c r="R81" i="24"/>
  <c r="R59" i="24"/>
  <c r="P81" i="24"/>
  <c r="P59" i="24"/>
  <c r="N81" i="24"/>
  <c r="N59" i="24"/>
  <c r="L81" i="24"/>
  <c r="L59" i="24"/>
  <c r="J81" i="24"/>
  <c r="J59" i="24"/>
  <c r="H81" i="24"/>
  <c r="H59" i="24"/>
  <c r="F81" i="24"/>
  <c r="F59" i="24"/>
  <c r="BB81" i="24"/>
  <c r="AT81" i="24"/>
  <c r="AL81" i="24"/>
  <c r="BO178" i="24"/>
  <c r="AY180" i="24"/>
  <c r="AQ180" i="24"/>
  <c r="AI180" i="24"/>
  <c r="BQ168" i="24"/>
  <c r="BQ184" i="24"/>
  <c r="BI168" i="24"/>
  <c r="BI184" i="24"/>
  <c r="CK166" i="24"/>
  <c r="BO165" i="24"/>
  <c r="BO184" i="24"/>
  <c r="BM8" i="64"/>
  <c r="BM184" i="24"/>
  <c r="BK8" i="64"/>
  <c r="BK184" i="24"/>
  <c r="BI4" i="64"/>
  <c r="BI199" i="24"/>
  <c r="BC199" i="24"/>
  <c r="AY199" i="24"/>
  <c r="AU199" i="24"/>
  <c r="AQ199" i="24"/>
  <c r="AM199" i="24"/>
  <c r="AI199" i="24"/>
  <c r="AE199" i="24"/>
  <c r="BQ158" i="24"/>
  <c r="CI158" i="24" s="1"/>
  <c r="BM158" i="24"/>
  <c r="BI158" i="24"/>
  <c r="AV130" i="24"/>
  <c r="BA118" i="24"/>
  <c r="AW118" i="24"/>
  <c r="AS118" i="24"/>
  <c r="BN116" i="24"/>
  <c r="BL116" i="24"/>
  <c r="BJ116" i="24"/>
  <c r="BH116" i="24"/>
  <c r="BD113" i="24"/>
  <c r="BD118" i="24"/>
  <c r="BB113" i="24"/>
  <c r="BB118" i="24"/>
  <c r="AZ113" i="24"/>
  <c r="AZ118" i="24"/>
  <c r="AX113" i="24"/>
  <c r="AX118" i="24"/>
  <c r="AV113" i="24"/>
  <c r="AV118" i="24"/>
  <c r="AT113" i="24"/>
  <c r="AT118" i="24"/>
  <c r="AR113" i="24"/>
  <c r="AR118" i="24"/>
  <c r="AP118" i="24"/>
  <c r="CM113" i="24"/>
  <c r="BW113" i="24"/>
  <c r="BR103" i="24"/>
  <c r="AM102" i="24"/>
  <c r="AK102" i="24"/>
  <c r="AI102" i="24"/>
  <c r="AG102" i="24"/>
  <c r="AE102" i="24"/>
  <c r="AC102" i="24"/>
  <c r="AA102" i="24"/>
  <c r="AA101" i="24" s="1"/>
  <c r="Y102" i="24"/>
  <c r="W102" i="24"/>
  <c r="U102" i="24"/>
  <c r="S102" i="24"/>
  <c r="Q102" i="24"/>
  <c r="O102" i="24"/>
  <c r="M102" i="24"/>
  <c r="K102" i="24"/>
  <c r="K101" i="24" s="1"/>
  <c r="I102" i="24"/>
  <c r="G102" i="24"/>
  <c r="BS14" i="24"/>
  <c r="CK97" i="24"/>
  <c r="BR56" i="24"/>
  <c r="CJ56" i="24" s="1"/>
  <c r="BR109" i="24"/>
  <c r="BR57" i="24"/>
  <c r="CJ57" i="24" s="1"/>
  <c r="CJ92" i="24"/>
  <c r="AX81" i="24"/>
  <c r="AP81" i="24"/>
  <c r="F89" i="24"/>
  <c r="F88" i="24" s="1"/>
  <c r="BR81" i="24"/>
  <c r="BN81" i="24"/>
  <c r="BJ81" i="24"/>
  <c r="BF81" i="24"/>
  <c r="BD81" i="24"/>
  <c r="AZ81" i="24"/>
  <c r="AV81" i="24"/>
  <c r="AR81" i="24"/>
  <c r="AN81" i="24"/>
  <c r="AZ230" i="61"/>
  <c r="AV230" i="61"/>
  <c r="AR230" i="61"/>
  <c r="AN230" i="61"/>
  <c r="AL229" i="61"/>
  <c r="AH229" i="61"/>
  <c r="AZ227" i="61"/>
  <c r="AR227" i="61"/>
  <c r="AL227" i="61"/>
  <c r="AZ226" i="61"/>
  <c r="AV226" i="61"/>
  <c r="AR226" i="61"/>
  <c r="AR228" i="61" s="1"/>
  <c r="AN226" i="61"/>
  <c r="AL225" i="61"/>
  <c r="AH225" i="61"/>
  <c r="AZ224" i="61"/>
  <c r="AV224" i="61"/>
  <c r="AR224" i="61"/>
  <c r="AN224" i="61"/>
  <c r="AL221" i="61"/>
  <c r="AH221" i="61"/>
  <c r="AZ220" i="61"/>
  <c r="AV220" i="61"/>
  <c r="AR220" i="61"/>
  <c r="AN220" i="61"/>
  <c r="AL219" i="61"/>
  <c r="AH219" i="61"/>
  <c r="AZ218" i="61"/>
  <c r="AV218" i="61"/>
  <c r="AR218" i="61"/>
  <c r="AN218" i="61"/>
  <c r="AL217" i="61"/>
  <c r="AH217" i="61"/>
  <c r="AZ193" i="61"/>
  <c r="AV193" i="61"/>
  <c r="AR193" i="61"/>
  <c r="AN193" i="61"/>
  <c r="AA177" i="61"/>
  <c r="AA178" i="61"/>
  <c r="W177" i="61"/>
  <c r="W178" i="61"/>
  <c r="S177" i="61"/>
  <c r="S178" i="61"/>
  <c r="O177" i="61"/>
  <c r="O178" i="61"/>
  <c r="K177" i="61"/>
  <c r="K178" i="61"/>
  <c r="G177" i="61"/>
  <c r="G178" i="61"/>
  <c r="AZ141" i="61"/>
  <c r="AV141" i="61"/>
  <c r="AR141" i="61"/>
  <c r="AN141" i="61"/>
  <c r="AL141" i="61"/>
  <c r="AH141" i="61"/>
  <c r="BB230" i="61"/>
  <c r="AX230" i="61"/>
  <c r="AT230" i="61"/>
  <c r="AP230" i="61"/>
  <c r="AL230" i="61"/>
  <c r="AH230" i="61"/>
  <c r="AD230" i="61"/>
  <c r="Z230" i="61"/>
  <c r="V230" i="61"/>
  <c r="R230" i="61"/>
  <c r="N230" i="61"/>
  <c r="J230" i="61"/>
  <c r="F230" i="61"/>
  <c r="BD229" i="61"/>
  <c r="BQ229" i="61" s="1"/>
  <c r="AZ229" i="61"/>
  <c r="AV229" i="61"/>
  <c r="AR229" i="61"/>
  <c r="AN229" i="61"/>
  <c r="AJ229" i="61"/>
  <c r="AF229" i="61"/>
  <c r="AB229" i="61"/>
  <c r="X229" i="61"/>
  <c r="T229" i="61"/>
  <c r="P229" i="61"/>
  <c r="L229" i="61"/>
  <c r="H229" i="61"/>
  <c r="AX227" i="61"/>
  <c r="AV227" i="61"/>
  <c r="AP227" i="61"/>
  <c r="AN227" i="61"/>
  <c r="AH227" i="61"/>
  <c r="AF227" i="61"/>
  <c r="AF228" i="61" s="1"/>
  <c r="Z227" i="61"/>
  <c r="X227" i="61"/>
  <c r="X228" i="61" s="1"/>
  <c r="R227" i="61"/>
  <c r="P227" i="61"/>
  <c r="P228" i="61" s="1"/>
  <c r="J227" i="61"/>
  <c r="H227" i="61"/>
  <c r="H228" i="61" s="1"/>
  <c r="BB226" i="61"/>
  <c r="BB228" i="61" s="1"/>
  <c r="AX226" i="61"/>
  <c r="AT226" i="61"/>
  <c r="AT228" i="61" s="1"/>
  <c r="AP226" i="61"/>
  <c r="AL226" i="61"/>
  <c r="AL228" i="61" s="1"/>
  <c r="AH226" i="61"/>
  <c r="AD226" i="61"/>
  <c r="AD228" i="61" s="1"/>
  <c r="Z226" i="61"/>
  <c r="V226" i="61"/>
  <c r="V228" i="61" s="1"/>
  <c r="R226" i="61"/>
  <c r="N226" i="61"/>
  <c r="N228" i="61" s="1"/>
  <c r="J226" i="61"/>
  <c r="F226" i="61"/>
  <c r="F228" i="61" s="1"/>
  <c r="AZ225" i="61"/>
  <c r="AV225" i="61"/>
  <c r="AR225" i="61"/>
  <c r="AN225" i="61"/>
  <c r="AJ225" i="61"/>
  <c r="AF225" i="61"/>
  <c r="AB225" i="61"/>
  <c r="X225" i="61"/>
  <c r="T225" i="61"/>
  <c r="P225" i="61"/>
  <c r="L225" i="61"/>
  <c r="H225" i="61"/>
  <c r="BB224" i="61"/>
  <c r="AX224" i="61"/>
  <c r="AT224" i="61"/>
  <c r="AP224" i="61"/>
  <c r="AL224" i="61"/>
  <c r="AH224" i="61"/>
  <c r="AD224" i="61"/>
  <c r="Z224" i="61"/>
  <c r="V224" i="61"/>
  <c r="R224" i="61"/>
  <c r="N224" i="61"/>
  <c r="J224" i="61"/>
  <c r="F224" i="61"/>
  <c r="BD221" i="61"/>
  <c r="BQ221" i="61" s="1"/>
  <c r="AZ221" i="61"/>
  <c r="AV221" i="61"/>
  <c r="AR221" i="61"/>
  <c r="AN221" i="61"/>
  <c r="AJ221" i="61"/>
  <c r="AF221" i="61"/>
  <c r="AB221" i="61"/>
  <c r="X221" i="61"/>
  <c r="T221" i="61"/>
  <c r="P221" i="61"/>
  <c r="L221" i="61"/>
  <c r="H221" i="61"/>
  <c r="BB220" i="61"/>
  <c r="AX220" i="61"/>
  <c r="AT220" i="61"/>
  <c r="AP220" i="61"/>
  <c r="AL220" i="61"/>
  <c r="AH220" i="61"/>
  <c r="AD220" i="61"/>
  <c r="Z220" i="61"/>
  <c r="V220" i="61"/>
  <c r="R220" i="61"/>
  <c r="N220" i="61"/>
  <c r="J220" i="61"/>
  <c r="F220" i="61"/>
  <c r="AZ219" i="61"/>
  <c r="AV219" i="61"/>
  <c r="AR219" i="61"/>
  <c r="AN219" i="61"/>
  <c r="AJ219" i="61"/>
  <c r="AF219" i="61"/>
  <c r="BB218" i="61"/>
  <c r="AX218" i="61"/>
  <c r="AT218" i="61"/>
  <c r="AP218" i="61"/>
  <c r="AL218" i="61"/>
  <c r="AH218" i="61"/>
  <c r="AZ212" i="61"/>
  <c r="AJ212" i="61"/>
  <c r="X212" i="61"/>
  <c r="T212" i="61"/>
  <c r="P212" i="61"/>
  <c r="L212" i="61"/>
  <c r="H212" i="61"/>
  <c r="AR201" i="61"/>
  <c r="AR187" i="61"/>
  <c r="BA178" i="61"/>
  <c r="BA233" i="61" s="1"/>
  <c r="U212" i="61"/>
  <c r="M212" i="61"/>
  <c r="AQ212" i="61"/>
  <c r="AA212" i="61"/>
  <c r="BF111" i="61"/>
  <c r="BR111" i="61"/>
  <c r="AN178" i="61"/>
  <c r="AL178" i="61"/>
  <c r="AJ178" i="61"/>
  <c r="AH178" i="61"/>
  <c r="AF178" i="61"/>
  <c r="AD178" i="61"/>
  <c r="AB178" i="61"/>
  <c r="Z178" i="61"/>
  <c r="X178" i="61"/>
  <c r="V178" i="61"/>
  <c r="T178" i="61"/>
  <c r="R178" i="61"/>
  <c r="P178" i="61"/>
  <c r="N178" i="61"/>
  <c r="L178" i="61"/>
  <c r="J178" i="61"/>
  <c r="H178" i="61"/>
  <c r="F178" i="61"/>
  <c r="AW176" i="61"/>
  <c r="AS176" i="61"/>
  <c r="AO176" i="61"/>
  <c r="AK176" i="61"/>
  <c r="AG176" i="61"/>
  <c r="AC176" i="61"/>
  <c r="Y176" i="61"/>
  <c r="U176" i="61"/>
  <c r="Q176" i="61"/>
  <c r="M176" i="61"/>
  <c r="I176" i="61"/>
  <c r="AU174" i="61"/>
  <c r="AV182" i="61" s="1"/>
  <c r="F173" i="61"/>
  <c r="F172" i="61"/>
  <c r="AV148" i="61"/>
  <c r="AW148" i="61" s="1"/>
  <c r="AX148" i="61" s="1"/>
  <c r="AY148" i="61" s="1"/>
  <c r="AZ148" i="61" s="1"/>
  <c r="BA148" i="61" s="1"/>
  <c r="BB148" i="61" s="1"/>
  <c r="AE140" i="61"/>
  <c r="AD143" i="61"/>
  <c r="BC122" i="61"/>
  <c r="BD132" i="61"/>
  <c r="BF52" i="61"/>
  <c r="BR52" i="61"/>
  <c r="BF44" i="61"/>
  <c r="BR44" i="61"/>
  <c r="BF100" i="61"/>
  <c r="BR100" i="61"/>
  <c r="BE99" i="61"/>
  <c r="BF36" i="61"/>
  <c r="BR36" i="61"/>
  <c r="BG20" i="61"/>
  <c r="AA7" i="80" l="1"/>
  <c r="AB7" i="80" s="1"/>
  <c r="AB8" i="80"/>
  <c r="R162" i="79"/>
  <c r="R163" i="79"/>
  <c r="CI189" i="24"/>
  <c r="BQ190" i="24"/>
  <c r="AQ216" i="24"/>
  <c r="BF69" i="24"/>
  <c r="BN302" i="24"/>
  <c r="CK88" i="24"/>
  <c r="AW358" i="24"/>
  <c r="J21" i="24"/>
  <c r="BQ10" i="24"/>
  <c r="CI10" i="24" s="1"/>
  <c r="BS199" i="24"/>
  <c r="AQ209" i="24"/>
  <c r="AS380" i="24" s="1"/>
  <c r="G321" i="24"/>
  <c r="BQ314" i="24"/>
  <c r="CI314" i="24" s="1"/>
  <c r="AW126" i="24"/>
  <c r="AA216" i="24"/>
  <c r="BI339" i="24"/>
  <c r="BO99" i="24"/>
  <c r="AK309" i="24"/>
  <c r="AK361" i="24" s="1"/>
  <c r="M323" i="24"/>
  <c r="M337" i="24"/>
  <c r="AK311" i="24"/>
  <c r="M332" i="24"/>
  <c r="M339" i="24"/>
  <c r="M52" i="24"/>
  <c r="AK327" i="24"/>
  <c r="AK347" i="24"/>
  <c r="AK348" i="24"/>
  <c r="AK52" i="24"/>
  <c r="AK197" i="24"/>
  <c r="AL35" i="64" s="1"/>
  <c r="BQ400" i="24"/>
  <c r="CI400" i="24" s="1"/>
  <c r="BI156" i="24"/>
  <c r="BN426" i="24"/>
  <c r="AH6" i="70"/>
  <c r="BT58" i="61"/>
  <c r="BH58" i="61"/>
  <c r="AY201" i="61"/>
  <c r="AY191" i="61"/>
  <c r="AY211" i="61" s="1"/>
  <c r="AY187" i="61"/>
  <c r="AY159" i="61"/>
  <c r="AI177" i="61"/>
  <c r="AI178" i="61"/>
  <c r="AI193" i="61"/>
  <c r="AQ177" i="61"/>
  <c r="AQ178" i="61"/>
  <c r="AQ193" i="61"/>
  <c r="H258" i="61"/>
  <c r="H260" i="61"/>
  <c r="H259" i="61"/>
  <c r="H261" i="61"/>
  <c r="J258" i="61"/>
  <c r="J260" i="61"/>
  <c r="J259" i="61"/>
  <c r="J261" i="61"/>
  <c r="L258" i="61"/>
  <c r="L260" i="61"/>
  <c r="L259" i="61"/>
  <c r="L261" i="61"/>
  <c r="N258" i="61"/>
  <c r="N260" i="61"/>
  <c r="N259" i="61"/>
  <c r="N261" i="61"/>
  <c r="P258" i="61"/>
  <c r="P260" i="61"/>
  <c r="P259" i="61"/>
  <c r="P261" i="61"/>
  <c r="R258" i="61"/>
  <c r="R260" i="61"/>
  <c r="R259" i="61"/>
  <c r="R261" i="61"/>
  <c r="T258" i="61"/>
  <c r="T260" i="61"/>
  <c r="T259" i="61"/>
  <c r="T261" i="61"/>
  <c r="V258" i="61"/>
  <c r="V260" i="61"/>
  <c r="V259" i="61"/>
  <c r="V261" i="61"/>
  <c r="X258" i="61"/>
  <c r="X260" i="61"/>
  <c r="X259" i="61"/>
  <c r="X261" i="61"/>
  <c r="Z258" i="61"/>
  <c r="Z260" i="61"/>
  <c r="Z259" i="61"/>
  <c r="Z261" i="61"/>
  <c r="AB258" i="61"/>
  <c r="AB260" i="61"/>
  <c r="AB259" i="61"/>
  <c r="AB261" i="61"/>
  <c r="AD258" i="61"/>
  <c r="AD260" i="61"/>
  <c r="AD259" i="61"/>
  <c r="AD261" i="61"/>
  <c r="AF258" i="61"/>
  <c r="AF260" i="61"/>
  <c r="AF259" i="61"/>
  <c r="AF261" i="61"/>
  <c r="AH258" i="61"/>
  <c r="AH260" i="61"/>
  <c r="AH259" i="61"/>
  <c r="AH261" i="61"/>
  <c r="AJ258" i="61"/>
  <c r="AJ260" i="61"/>
  <c r="AJ259" i="61"/>
  <c r="AJ261" i="61"/>
  <c r="AL258" i="61"/>
  <c r="AL260" i="61"/>
  <c r="AL259" i="61"/>
  <c r="AL261" i="61"/>
  <c r="AN258" i="61"/>
  <c r="AN260" i="61"/>
  <c r="AN259" i="61"/>
  <c r="AN261" i="61"/>
  <c r="AP258" i="61"/>
  <c r="AP260" i="61"/>
  <c r="AP259" i="61"/>
  <c r="AP261" i="61"/>
  <c r="AP155" i="61"/>
  <c r="AQ155" i="61"/>
  <c r="AZ174" i="61"/>
  <c r="BA181" i="61"/>
  <c r="BA182" i="61" s="1"/>
  <c r="AZ181" i="61"/>
  <c r="AZ182" i="61" s="1"/>
  <c r="AV212" i="61"/>
  <c r="AW212" i="61"/>
  <c r="AW258" i="61"/>
  <c r="AW259" i="61"/>
  <c r="AW260" i="61"/>
  <c r="AW261" i="61"/>
  <c r="AZ168" i="61"/>
  <c r="BA108" i="61"/>
  <c r="AR160" i="61"/>
  <c r="AR162" i="61"/>
  <c r="AR139" i="61" s="1"/>
  <c r="AS139" i="61" s="1"/>
  <c r="AB212" i="61"/>
  <c r="AC212" i="61"/>
  <c r="BC212" i="61"/>
  <c r="AJ228" i="61"/>
  <c r="AM212" i="61"/>
  <c r="AR212" i="61"/>
  <c r="AS212" i="61"/>
  <c r="BT192" i="24"/>
  <c r="BU22" i="45"/>
  <c r="AU353" i="24"/>
  <c r="AU53" i="24"/>
  <c r="BZ112" i="61"/>
  <c r="BN112" i="61"/>
  <c r="CA2" i="61"/>
  <c r="BO2" i="61"/>
  <c r="CB2" i="61" s="1"/>
  <c r="U339" i="24"/>
  <c r="U324" i="24"/>
  <c r="U322" i="24"/>
  <c r="U309" i="24"/>
  <c r="U361" i="24" s="1"/>
  <c r="AI279" i="24"/>
  <c r="AI7" i="70"/>
  <c r="AI6" i="70" s="1"/>
  <c r="CK194" i="24"/>
  <c r="BS277" i="24"/>
  <c r="CK277" i="24" s="1"/>
  <c r="CM195" i="24"/>
  <c r="BU278" i="24"/>
  <c r="CM278" i="24" s="1"/>
  <c r="U311" i="24"/>
  <c r="J228" i="61"/>
  <c r="R228" i="61"/>
  <c r="Z228" i="61"/>
  <c r="AH228" i="61"/>
  <c r="AP228" i="61"/>
  <c r="AX228" i="61"/>
  <c r="AS91" i="61"/>
  <c r="AT91" i="61" s="1"/>
  <c r="AX237" i="61"/>
  <c r="AW237" i="61" s="1"/>
  <c r="AV237" i="61" s="1"/>
  <c r="AU237" i="61" s="1"/>
  <c r="AT237" i="61" s="1"/>
  <c r="AS237" i="61" s="1"/>
  <c r="AR237" i="61" s="1"/>
  <c r="AQ237" i="61" s="1"/>
  <c r="AP237" i="61" s="1"/>
  <c r="AO237" i="61" s="1"/>
  <c r="AN237" i="61" s="1"/>
  <c r="AM237" i="61" s="1"/>
  <c r="AL237" i="61" s="1"/>
  <c r="AK237" i="61" s="1"/>
  <c r="AJ237" i="61" s="1"/>
  <c r="AI237" i="61" s="1"/>
  <c r="AH237" i="61" s="1"/>
  <c r="AG237" i="61" s="1"/>
  <c r="AF237" i="61" s="1"/>
  <c r="AE237" i="61" s="1"/>
  <c r="AD237" i="61" s="1"/>
  <c r="AC237" i="61" s="1"/>
  <c r="AB237" i="61" s="1"/>
  <c r="AA237" i="61" s="1"/>
  <c r="Z237" i="61" s="1"/>
  <c r="Y237" i="61" s="1"/>
  <c r="X237" i="61" s="1"/>
  <c r="W237" i="61" s="1"/>
  <c r="V237" i="61" s="1"/>
  <c r="U237" i="61" s="1"/>
  <c r="T237" i="61" s="1"/>
  <c r="S237" i="61" s="1"/>
  <c r="R237" i="61" s="1"/>
  <c r="Q237" i="61" s="1"/>
  <c r="P237" i="61" s="1"/>
  <c r="O237" i="61" s="1"/>
  <c r="N237" i="61" s="1"/>
  <c r="M237" i="61" s="1"/>
  <c r="L237" i="61" s="1"/>
  <c r="K237" i="61" s="1"/>
  <c r="J237" i="61" s="1"/>
  <c r="I237" i="61" s="1"/>
  <c r="H237" i="61" s="1"/>
  <c r="G237" i="61" s="1"/>
  <c r="F237" i="61" s="1"/>
  <c r="BP183" i="24"/>
  <c r="BS37" i="61"/>
  <c r="BG37" i="61"/>
  <c r="BS46" i="61"/>
  <c r="BG46" i="61"/>
  <c r="H174" i="61"/>
  <c r="I181" i="61"/>
  <c r="H181" i="61"/>
  <c r="H182" i="61" s="1"/>
  <c r="J181" i="61"/>
  <c r="J182" i="61" s="1"/>
  <c r="J174" i="61"/>
  <c r="K181" i="61"/>
  <c r="L174" i="61"/>
  <c r="L181" i="61"/>
  <c r="L182" i="61" s="1"/>
  <c r="M181" i="61"/>
  <c r="M182" i="61" s="1"/>
  <c r="N174" i="61"/>
  <c r="N181" i="61"/>
  <c r="N182" i="61" s="1"/>
  <c r="O181" i="61"/>
  <c r="O182" i="61" s="1"/>
  <c r="P174" i="61"/>
  <c r="Q181" i="61"/>
  <c r="P181" i="61"/>
  <c r="P182" i="61" s="1"/>
  <c r="R181" i="61"/>
  <c r="R182" i="61" s="1"/>
  <c r="R174" i="61"/>
  <c r="S181" i="61"/>
  <c r="T174" i="61"/>
  <c r="T181" i="61"/>
  <c r="T182" i="61" s="1"/>
  <c r="U181" i="61"/>
  <c r="U182" i="61" s="1"/>
  <c r="V174" i="61"/>
  <c r="V181" i="61"/>
  <c r="V182" i="61" s="1"/>
  <c r="W181" i="61"/>
  <c r="W182" i="61" s="1"/>
  <c r="X174" i="61"/>
  <c r="Y181" i="61"/>
  <c r="X181" i="61"/>
  <c r="X182" i="61" s="1"/>
  <c r="Z181" i="61"/>
  <c r="Z182" i="61" s="1"/>
  <c r="Z174" i="61"/>
  <c r="AA181" i="61"/>
  <c r="AB174" i="61"/>
  <c r="AB181" i="61"/>
  <c r="AB182" i="61" s="1"/>
  <c r="AC181" i="61"/>
  <c r="AC182" i="61" s="1"/>
  <c r="AD174" i="61"/>
  <c r="AD181" i="61"/>
  <c r="AD182" i="61" s="1"/>
  <c r="AE181" i="61"/>
  <c r="AE182" i="61" s="1"/>
  <c r="AF174" i="61"/>
  <c r="AG181" i="61"/>
  <c r="AF181" i="61"/>
  <c r="AF182" i="61" s="1"/>
  <c r="AH181" i="61"/>
  <c r="AH182" i="61" s="1"/>
  <c r="AH174" i="61"/>
  <c r="AI181" i="61"/>
  <c r="AJ174" i="61"/>
  <c r="AJ181" i="61"/>
  <c r="AJ182" i="61" s="1"/>
  <c r="AK181" i="61"/>
  <c r="AK182" i="61" s="1"/>
  <c r="AL174" i="61"/>
  <c r="AL181" i="61"/>
  <c r="AL182" i="61" s="1"/>
  <c r="AM181" i="61"/>
  <c r="AM182" i="61" s="1"/>
  <c r="AN174" i="61"/>
  <c r="AO181" i="61"/>
  <c r="AN181" i="61"/>
  <c r="AN182" i="61" s="1"/>
  <c r="AQ181" i="61"/>
  <c r="AP181" i="61"/>
  <c r="AP182" i="61" s="1"/>
  <c r="AP174" i="61"/>
  <c r="AQ182" i="61" s="1"/>
  <c r="AZ258" i="61"/>
  <c r="AZ260" i="61"/>
  <c r="AZ259" i="61"/>
  <c r="AZ261" i="61"/>
  <c r="AF212" i="61"/>
  <c r="AG212" i="61"/>
  <c r="AN212" i="61"/>
  <c r="AO212" i="61"/>
  <c r="AW174" i="61"/>
  <c r="AX181" i="61"/>
  <c r="AX182" i="61" s="1"/>
  <c r="AW181" i="61"/>
  <c r="AW182" i="61" s="1"/>
  <c r="BH22" i="61"/>
  <c r="BT22" i="61"/>
  <c r="BR171" i="61"/>
  <c r="BF171" i="61"/>
  <c r="BQ82" i="61"/>
  <c r="BD189" i="61"/>
  <c r="BQ189" i="61" s="1"/>
  <c r="BD43" i="24"/>
  <c r="BD137" i="61"/>
  <c r="BQ137" i="61" s="1"/>
  <c r="AE212" i="61"/>
  <c r="AD212" i="61"/>
  <c r="BS211" i="24"/>
  <c r="CK211" i="24" s="1"/>
  <c r="CK210" i="24"/>
  <c r="BQ107" i="24"/>
  <c r="BQ327" i="24" s="1"/>
  <c r="CI106" i="24"/>
  <c r="R279" i="24"/>
  <c r="R7" i="70"/>
  <c r="S6" i="70" s="1"/>
  <c r="K306" i="24"/>
  <c r="K307" i="24"/>
  <c r="AT153" i="61"/>
  <c r="AT152" i="61" s="1"/>
  <c r="AU136" i="61"/>
  <c r="AT154" i="61"/>
  <c r="AT155" i="61" s="1"/>
  <c r="CF115" i="24"/>
  <c r="CW115" i="24"/>
  <c r="BU23" i="45"/>
  <c r="BT193" i="24"/>
  <c r="BT194" i="24"/>
  <c r="BU24" i="45"/>
  <c r="BV195" i="24"/>
  <c r="BW25" i="45"/>
  <c r="CU155" i="24"/>
  <c r="CD155" i="24"/>
  <c r="BC39" i="24"/>
  <c r="BC396" i="24"/>
  <c r="BC27" i="24"/>
  <c r="BC283" i="24" s="1"/>
  <c r="BC294" i="24"/>
  <c r="AK306" i="24"/>
  <c r="AK307" i="24"/>
  <c r="BA7" i="70"/>
  <c r="BB6" i="70" s="1"/>
  <c r="BA126" i="24"/>
  <c r="BA279" i="24"/>
  <c r="AS2" i="70"/>
  <c r="AS293" i="24"/>
  <c r="AO279" i="24"/>
  <c r="AO7" i="70"/>
  <c r="AO6" i="70" s="1"/>
  <c r="AM306" i="24"/>
  <c r="AM307" i="24"/>
  <c r="AG2" i="70"/>
  <c r="AG293" i="24"/>
  <c r="J368" i="24"/>
  <c r="J48" i="52"/>
  <c r="BC306" i="24"/>
  <c r="BC307" i="24"/>
  <c r="Y7" i="70"/>
  <c r="Y279" i="24"/>
  <c r="O306" i="24"/>
  <c r="O307" i="24"/>
  <c r="BK14" i="64"/>
  <c r="Y28" i="24"/>
  <c r="Y284" i="24" s="1"/>
  <c r="G347" i="24"/>
  <c r="G309" i="24"/>
  <c r="G361" i="24" s="1"/>
  <c r="BP115" i="24"/>
  <c r="G214" i="24"/>
  <c r="P214" i="24"/>
  <c r="AM214" i="24"/>
  <c r="AV237" i="24"/>
  <c r="AV37" i="24" s="1"/>
  <c r="AV294" i="24" s="1"/>
  <c r="BS402" i="24"/>
  <c r="CK402" i="24" s="1"/>
  <c r="AC228" i="24"/>
  <c r="N237" i="24"/>
  <c r="N37" i="24" s="1"/>
  <c r="N294" i="24" s="1"/>
  <c r="AG379" i="24"/>
  <c r="I307" i="24"/>
  <c r="CI160" i="24"/>
  <c r="BN424" i="24"/>
  <c r="BN425" i="24" s="1"/>
  <c r="AJ28" i="24"/>
  <c r="AJ284" i="24" s="1"/>
  <c r="G8" i="24"/>
  <c r="G7" i="24" s="1"/>
  <c r="BR155" i="24"/>
  <c r="CJ155" i="24" s="1"/>
  <c r="BR292" i="24"/>
  <c r="CJ292" i="24" s="1"/>
  <c r="AX37" i="24"/>
  <c r="AX294" i="24" s="1"/>
  <c r="O300" i="24"/>
  <c r="O302" i="24" s="1"/>
  <c r="AU300" i="24"/>
  <c r="AU302" i="24" s="1"/>
  <c r="BR197" i="24"/>
  <c r="N292" i="24"/>
  <c r="BR199" i="24"/>
  <c r="AK319" i="24"/>
  <c r="AK339" i="24"/>
  <c r="AK332" i="24"/>
  <c r="AK337" i="24"/>
  <c r="AK333" i="24"/>
  <c r="AK331" i="24"/>
  <c r="AK305" i="24"/>
  <c r="AA306" i="24"/>
  <c r="AA307" i="24"/>
  <c r="AK279" i="24"/>
  <c r="AK7" i="70"/>
  <c r="AK6" i="70" s="1"/>
  <c r="AC2" i="70"/>
  <c r="AC293" i="24"/>
  <c r="AU279" i="24"/>
  <c r="AU7" i="70"/>
  <c r="Q2" i="70"/>
  <c r="Q293" i="24"/>
  <c r="Z321" i="24"/>
  <c r="Z320" i="24"/>
  <c r="Z309" i="24"/>
  <c r="Z361" i="24" s="1"/>
  <c r="Z305" i="24"/>
  <c r="Z336" i="24"/>
  <c r="Z324" i="24"/>
  <c r="Z333" i="24"/>
  <c r="Z197" i="24"/>
  <c r="AA35" i="64" s="1"/>
  <c r="Z318" i="24"/>
  <c r="Z337" i="24"/>
  <c r="Z335" i="24"/>
  <c r="AP321" i="24"/>
  <c r="AP333" i="24"/>
  <c r="AP309" i="24"/>
  <c r="AP361" i="24" s="1"/>
  <c r="AP305" i="24"/>
  <c r="AP336" i="24"/>
  <c r="AP320" i="24"/>
  <c r="AQ18" i="24"/>
  <c r="AP318" i="24"/>
  <c r="AP324" i="24"/>
  <c r="AP337" i="24"/>
  <c r="AP335" i="24"/>
  <c r="AE7" i="70"/>
  <c r="AE279" i="24"/>
  <c r="W279" i="24"/>
  <c r="W7" i="70"/>
  <c r="W6" i="70" s="1"/>
  <c r="BG199" i="24"/>
  <c r="G320" i="24"/>
  <c r="G300" i="24"/>
  <c r="G302" i="24" s="1"/>
  <c r="S228" i="24"/>
  <c r="AI228" i="24"/>
  <c r="AV300" i="24"/>
  <c r="AV302" i="24" s="1"/>
  <c r="AO65" i="24"/>
  <c r="R216" i="24"/>
  <c r="AT379" i="24"/>
  <c r="BD26" i="24"/>
  <c r="AR6" i="70"/>
  <c r="L294" i="24"/>
  <c r="BJ156" i="24"/>
  <c r="BP55" i="24"/>
  <c r="BK156" i="24"/>
  <c r="BS14" i="64"/>
  <c r="Y216" i="24"/>
  <c r="BP144" i="24"/>
  <c r="BP411" i="24" s="1"/>
  <c r="BL69" i="24"/>
  <c r="CJ35" i="24"/>
  <c r="AO358" i="24"/>
  <c r="BD7" i="24"/>
  <c r="BJ38" i="24"/>
  <c r="BJ295" i="24" s="1"/>
  <c r="BS44" i="24"/>
  <c r="AA7" i="70"/>
  <c r="AA6" i="70" s="1"/>
  <c r="AA279" i="24"/>
  <c r="AK21" i="24"/>
  <c r="M2" i="70"/>
  <c r="M293" i="24"/>
  <c r="Q279" i="24"/>
  <c r="Q7" i="70"/>
  <c r="AU306" i="24"/>
  <c r="AU307" i="24"/>
  <c r="BM293" i="24"/>
  <c r="BM17" i="64"/>
  <c r="BM2" i="70"/>
  <c r="J337" i="24"/>
  <c r="J327" i="24"/>
  <c r="J348" i="24"/>
  <c r="J309" i="24"/>
  <c r="J361" i="24" s="1"/>
  <c r="J197" i="24"/>
  <c r="K35" i="64" s="1"/>
  <c r="J305" i="24"/>
  <c r="J332" i="24"/>
  <c r="J321" i="24"/>
  <c r="J318" i="24"/>
  <c r="J333" i="24"/>
  <c r="J322" i="24"/>
  <c r="AE306" i="24"/>
  <c r="AE307" i="24"/>
  <c r="V337" i="24"/>
  <c r="V320" i="24"/>
  <c r="V321" i="24"/>
  <c r="V309" i="24"/>
  <c r="V361" i="24" s="1"/>
  <c r="V305" i="24"/>
  <c r="V312" i="24"/>
  <c r="V324" i="24"/>
  <c r="V333" i="24"/>
  <c r="V336" i="24"/>
  <c r="V318" i="24"/>
  <c r="W306" i="24"/>
  <c r="W307" i="24"/>
  <c r="BQ99" i="24"/>
  <c r="BZ26" i="45"/>
  <c r="CA315" i="52"/>
  <c r="BZ128" i="24"/>
  <c r="CR128" i="24" s="1"/>
  <c r="G197" i="24"/>
  <c r="BR118" i="24"/>
  <c r="CJ118" i="24" s="1"/>
  <c r="AW215" i="24"/>
  <c r="P237" i="24"/>
  <c r="P37" i="24" s="1"/>
  <c r="P294" i="24" s="1"/>
  <c r="S214" i="24"/>
  <c r="AG302" i="24"/>
  <c r="AI214" i="24"/>
  <c r="AN214" i="24"/>
  <c r="Z216" i="24"/>
  <c r="AO209" i="24"/>
  <c r="AO385" i="24" s="1"/>
  <c r="BS398" i="24"/>
  <c r="CK398" i="24" s="1"/>
  <c r="R209" i="24"/>
  <c r="BF87" i="24"/>
  <c r="K45" i="52"/>
  <c r="K45" i="24" s="1"/>
  <c r="K299" i="24" s="1"/>
  <c r="BG28" i="24"/>
  <c r="BG284" i="24" s="1"/>
  <c r="G330" i="24"/>
  <c r="H216" i="24"/>
  <c r="BP399" i="24"/>
  <c r="BO156" i="24"/>
  <c r="BD384" i="24"/>
  <c r="AW250" i="24"/>
  <c r="CQ85" i="24"/>
  <c r="BH14" i="64"/>
  <c r="BJ14" i="64"/>
  <c r="X209" i="24"/>
  <c r="BS409" i="24"/>
  <c r="CK409" i="24" s="1"/>
  <c r="BR156" i="24"/>
  <c r="BN172" i="24"/>
  <c r="BD28" i="24"/>
  <c r="BD284" i="24" s="1"/>
  <c r="BA358" i="24"/>
  <c r="G348" i="24"/>
  <c r="AR267" i="24"/>
  <c r="AQ267" i="24" s="1"/>
  <c r="AP267" i="24" s="1"/>
  <c r="AO267" i="24" s="1"/>
  <c r="AN267" i="24" s="1"/>
  <c r="AM267" i="24" s="1"/>
  <c r="AL267" i="24" s="1"/>
  <c r="AK267" i="24" s="1"/>
  <c r="AJ267" i="24" s="1"/>
  <c r="AI267" i="24" s="1"/>
  <c r="AH267" i="24" s="1"/>
  <c r="AG267" i="24" s="1"/>
  <c r="AF267" i="24" s="1"/>
  <c r="AE267" i="24" s="1"/>
  <c r="AD267" i="24" s="1"/>
  <c r="AC267" i="24" s="1"/>
  <c r="AB267" i="24" s="1"/>
  <c r="AA267" i="24" s="1"/>
  <c r="Z267" i="24" s="1"/>
  <c r="Y267" i="24" s="1"/>
  <c r="X267" i="24" s="1"/>
  <c r="W267" i="24" s="1"/>
  <c r="V267" i="24" s="1"/>
  <c r="U267" i="24" s="1"/>
  <c r="T267" i="24" s="1"/>
  <c r="S267" i="24" s="1"/>
  <c r="R267" i="24" s="1"/>
  <c r="Q267" i="24" s="1"/>
  <c r="P267" i="24" s="1"/>
  <c r="O267" i="24" s="1"/>
  <c r="N267" i="24" s="1"/>
  <c r="M267" i="24" s="1"/>
  <c r="L267" i="24" s="1"/>
  <c r="K267" i="24" s="1"/>
  <c r="J267" i="24" s="1"/>
  <c r="I267" i="24" s="1"/>
  <c r="H267" i="24" s="1"/>
  <c r="G267" i="24" s="1"/>
  <c r="F267" i="24" s="1"/>
  <c r="O228" i="24"/>
  <c r="AH379" i="24"/>
  <c r="BF183" i="24"/>
  <c r="BA246" i="24"/>
  <c r="BA356" i="24" s="1"/>
  <c r="BA129" i="24"/>
  <c r="M333" i="24"/>
  <c r="M348" i="24"/>
  <c r="M245" i="24"/>
  <c r="M246" i="24" s="1"/>
  <c r="M356" i="24" s="1"/>
  <c r="M318" i="24"/>
  <c r="M321" i="24"/>
  <c r="M327" i="24"/>
  <c r="M435" i="24"/>
  <c r="M331" i="24"/>
  <c r="M309" i="24"/>
  <c r="M361" i="24" s="1"/>
  <c r="M330" i="24"/>
  <c r="M324" i="24"/>
  <c r="M21" i="24"/>
  <c r="BA306" i="24"/>
  <c r="BA307" i="24"/>
  <c r="BI293" i="24"/>
  <c r="BI2" i="70"/>
  <c r="BI17" i="64"/>
  <c r="AM279" i="24"/>
  <c r="AM7" i="70"/>
  <c r="U306" i="24"/>
  <c r="U307" i="24"/>
  <c r="AW2" i="70"/>
  <c r="AW293" i="24"/>
  <c r="E12" i="55"/>
  <c r="CI293" i="24"/>
  <c r="X12" i="55" s="1"/>
  <c r="BC7" i="70"/>
  <c r="BC6" i="70" s="1"/>
  <c r="BC417" i="24"/>
  <c r="BC392" i="24"/>
  <c r="BC126" i="24"/>
  <c r="BC279" i="24"/>
  <c r="BC413" i="24"/>
  <c r="O7" i="70"/>
  <c r="O279" i="24"/>
  <c r="G313" i="24"/>
  <c r="R18" i="24"/>
  <c r="BD46" i="24"/>
  <c r="BC262" i="24"/>
  <c r="M209" i="24"/>
  <c r="M65" i="24"/>
  <c r="AC216" i="24"/>
  <c r="AC209" i="24"/>
  <c r="AI65" i="24"/>
  <c r="AJ216" i="24"/>
  <c r="AU65" i="24"/>
  <c r="AU209" i="24"/>
  <c r="AU216" i="24"/>
  <c r="BK379" i="24"/>
  <c r="BJ17" i="64"/>
  <c r="F229" i="24"/>
  <c r="F209" i="24"/>
  <c r="G380" i="24" s="1"/>
  <c r="G301" i="24"/>
  <c r="G238" i="24"/>
  <c r="L301" i="24"/>
  <c r="M301" i="24"/>
  <c r="M377" i="24" s="1"/>
  <c r="P209" i="24"/>
  <c r="Q238" i="24"/>
  <c r="P215" i="24"/>
  <c r="Q301" i="24"/>
  <c r="Q303" i="24" s="1"/>
  <c r="P238" i="24"/>
  <c r="U238" i="24"/>
  <c r="T301" i="24"/>
  <c r="AB237" i="24"/>
  <c r="AB37" i="24" s="1"/>
  <c r="AA228" i="24"/>
  <c r="AA209" i="24"/>
  <c r="AC380" i="24" s="1"/>
  <c r="AB300" i="24"/>
  <c r="AB302" i="24" s="1"/>
  <c r="AA237" i="24"/>
  <c r="AA37" i="24" s="1"/>
  <c r="AA27" i="24" s="1"/>
  <c r="AA283" i="24" s="1"/>
  <c r="AS250" i="24"/>
  <c r="AS61" i="24"/>
  <c r="AS23" i="24"/>
  <c r="H6" i="70"/>
  <c r="I6" i="70"/>
  <c r="AV127" i="24"/>
  <c r="AW39" i="24"/>
  <c r="Q8" i="24"/>
  <c r="Q7" i="24" s="1"/>
  <c r="AG8" i="24"/>
  <c r="M238" i="24"/>
  <c r="AW65" i="24"/>
  <c r="AP2" i="70"/>
  <c r="AP8" i="70" s="1"/>
  <c r="AQ8" i="70" s="1"/>
  <c r="AR8" i="70" s="1"/>
  <c r="AS8" i="70" s="1"/>
  <c r="AT8" i="70" s="1"/>
  <c r="AU8" i="70" s="1"/>
  <c r="AV8" i="70" s="1"/>
  <c r="AW8" i="70" s="1"/>
  <c r="AW130" i="24"/>
  <c r="AW127" i="24"/>
  <c r="BD396" i="24"/>
  <c r="BD39" i="24"/>
  <c r="BN186" i="24"/>
  <c r="BN183" i="24"/>
  <c r="AY8" i="24"/>
  <c r="AY12" i="24"/>
  <c r="AZ28" i="24" s="1"/>
  <c r="AZ284" i="24" s="1"/>
  <c r="AY73" i="24"/>
  <c r="AG245" i="24"/>
  <c r="AG246" i="24" s="1"/>
  <c r="AG356" i="24" s="1"/>
  <c r="AH18" i="24"/>
  <c r="AG330" i="24"/>
  <c r="BL156" i="24"/>
  <c r="BL187" i="24"/>
  <c r="BM156" i="24"/>
  <c r="AB28" i="24"/>
  <c r="AB284" i="24" s="1"/>
  <c r="W65" i="24"/>
  <c r="W209" i="24"/>
  <c r="W216" i="24"/>
  <c r="BG172" i="24"/>
  <c r="BG344" i="24" s="1"/>
  <c r="BG155" i="24"/>
  <c r="BG426" i="24"/>
  <c r="G65" i="24"/>
  <c r="G216" i="24"/>
  <c r="S65" i="24"/>
  <c r="S209" i="24"/>
  <c r="AM65" i="24"/>
  <c r="AM209" i="24"/>
  <c r="AO380" i="24" s="1"/>
  <c r="AO378" i="24" s="1"/>
  <c r="BI295" i="24"/>
  <c r="BI28" i="24"/>
  <c r="BI284" i="24" s="1"/>
  <c r="BF293" i="24"/>
  <c r="BG379" i="24"/>
  <c r="BR17" i="64"/>
  <c r="BR235" i="24"/>
  <c r="BR379" i="24"/>
  <c r="AT214" i="24"/>
  <c r="AS228" i="24"/>
  <c r="AS237" i="24"/>
  <c r="AS37" i="24" s="1"/>
  <c r="AT300" i="24"/>
  <c r="AT302" i="24" s="1"/>
  <c r="Q215" i="24"/>
  <c r="U301" i="24"/>
  <c r="AA214" i="24"/>
  <c r="S216" i="24"/>
  <c r="AI216" i="24"/>
  <c r="BP186" i="24"/>
  <c r="BP185" i="24"/>
  <c r="AX302" i="24"/>
  <c r="BT202" i="24"/>
  <c r="CL202" i="24" s="1"/>
  <c r="I28" i="24"/>
  <c r="I284" i="24" s="1"/>
  <c r="L229" i="24"/>
  <c r="V302" i="24"/>
  <c r="G209" i="24"/>
  <c r="M216" i="24"/>
  <c r="AI209" i="24"/>
  <c r="AM216" i="24"/>
  <c r="AW209" i="24"/>
  <c r="AX381" i="24" s="1"/>
  <c r="BS379" i="24"/>
  <c r="BJ293" i="24"/>
  <c r="AX2" i="70"/>
  <c r="N2" i="70"/>
  <c r="AN216" i="24"/>
  <c r="BI7" i="24"/>
  <c r="BI262" i="24"/>
  <c r="BI384" i="24"/>
  <c r="BI313" i="24"/>
  <c r="BO361" i="24"/>
  <c r="H292" i="24"/>
  <c r="BJ336" i="24"/>
  <c r="BJ87" i="24"/>
  <c r="AB214" i="24"/>
  <c r="BS6" i="70"/>
  <c r="BJ37" i="24"/>
  <c r="BJ27" i="24" s="1"/>
  <c r="BJ283" i="24" s="1"/>
  <c r="AW301" i="24"/>
  <c r="AX301" i="24"/>
  <c r="N300" i="24"/>
  <c r="N302" i="24" s="1"/>
  <c r="T214" i="24"/>
  <c r="AD300" i="24"/>
  <c r="AD302" i="24" s="1"/>
  <c r="AJ214" i="24"/>
  <c r="AM300" i="24"/>
  <c r="AM302" i="24" s="1"/>
  <c r="BP409" i="24"/>
  <c r="M237" i="24"/>
  <c r="M37" i="24" s="1"/>
  <c r="M294" i="24" s="1"/>
  <c r="I216" i="24"/>
  <c r="BE28" i="24"/>
  <c r="BE284" i="24" s="1"/>
  <c r="BG156" i="24"/>
  <c r="BG424" i="24" s="1"/>
  <c r="BG425" i="24" s="1"/>
  <c r="BQ353" i="24"/>
  <c r="BO63" i="24"/>
  <c r="BH183" i="24"/>
  <c r="BQ156" i="24"/>
  <c r="BQ424" i="24" s="1"/>
  <c r="T28" i="24"/>
  <c r="T284" i="24" s="1"/>
  <c r="BR6" i="70"/>
  <c r="AQ6" i="70"/>
  <c r="C17" i="55"/>
  <c r="C21" i="55" s="1"/>
  <c r="BO14" i="64"/>
  <c r="X216" i="24"/>
  <c r="H73" i="24"/>
  <c r="BF250" i="24"/>
  <c r="BF257" i="24" s="1"/>
  <c r="AX292" i="24"/>
  <c r="BQ6" i="70"/>
  <c r="BS435" i="24"/>
  <c r="BS197" i="24"/>
  <c r="G30" i="55" s="1"/>
  <c r="G245" i="24"/>
  <c r="G246" i="24" s="1"/>
  <c r="G356" i="24" s="1"/>
  <c r="H209" i="24"/>
  <c r="G337" i="24"/>
  <c r="N214" i="24"/>
  <c r="CJ178" i="24"/>
  <c r="BQ197" i="24"/>
  <c r="BQ435" i="24"/>
  <c r="BQ191" i="24"/>
  <c r="BR99" i="24"/>
  <c r="AR353" i="24"/>
  <c r="AR53" i="24"/>
  <c r="AC378" i="24"/>
  <c r="AH302" i="24"/>
  <c r="BG14" i="64"/>
  <c r="M28" i="24"/>
  <c r="M284" i="24" s="1"/>
  <c r="AC28" i="24"/>
  <c r="AC284" i="24" s="1"/>
  <c r="AS28" i="24"/>
  <c r="AS284" i="24" s="1"/>
  <c r="G332" i="24"/>
  <c r="G339" i="24"/>
  <c r="G52" i="24"/>
  <c r="G53" i="24" s="1"/>
  <c r="Q28" i="24"/>
  <c r="Q284" i="24" s="1"/>
  <c r="AG28" i="24"/>
  <c r="AG284" i="24" s="1"/>
  <c r="AW28" i="24"/>
  <c r="AW284" i="24" s="1"/>
  <c r="G324" i="24"/>
  <c r="G323" i="24"/>
  <c r="BL309" i="24"/>
  <c r="BL361" i="24" s="1"/>
  <c r="AW238" i="24"/>
  <c r="AX215" i="24"/>
  <c r="S237" i="24"/>
  <c r="S37" i="24" s="1"/>
  <c r="AI237" i="24"/>
  <c r="AI37" i="24" s="1"/>
  <c r="AP302" i="24"/>
  <c r="AP216" i="24"/>
  <c r="AV262" i="24"/>
  <c r="H18" i="24"/>
  <c r="AJ385" i="24"/>
  <c r="BG262" i="24"/>
  <c r="BO75" i="24"/>
  <c r="H28" i="24"/>
  <c r="H284" i="24" s="1"/>
  <c r="BQ14" i="64"/>
  <c r="BR14" i="64"/>
  <c r="AW353" i="24"/>
  <c r="BS191" i="24"/>
  <c r="BS433" i="24" s="1"/>
  <c r="V38" i="24"/>
  <c r="V295" i="24" s="1"/>
  <c r="BF38" i="24"/>
  <c r="BF295" i="24" s="1"/>
  <c r="CK178" i="24"/>
  <c r="AX238" i="24"/>
  <c r="BN69" i="24"/>
  <c r="BR435" i="24"/>
  <c r="AZ127" i="24"/>
  <c r="BF199" i="24"/>
  <c r="BF435" i="24"/>
  <c r="BF197" i="24"/>
  <c r="BG35" i="64" s="1"/>
  <c r="BF191" i="24"/>
  <c r="BF433" i="24" s="1"/>
  <c r="BF189" i="24"/>
  <c r="BF190" i="24" s="1"/>
  <c r="AV353" i="24"/>
  <c r="AV53" i="24"/>
  <c r="BS140" i="24"/>
  <c r="CK140" i="24" s="1"/>
  <c r="BT408" i="24"/>
  <c r="CL408" i="24" s="1"/>
  <c r="CK141" i="24"/>
  <c r="Y377" i="24"/>
  <c r="Y303" i="24"/>
  <c r="CI245" i="24"/>
  <c r="BQ246" i="24"/>
  <c r="I21" i="24"/>
  <c r="I197" i="24"/>
  <c r="J35" i="64" s="1"/>
  <c r="I319" i="24"/>
  <c r="I323" i="24"/>
  <c r="I339" i="24"/>
  <c r="I245" i="24"/>
  <c r="I246" i="24" s="1"/>
  <c r="I356" i="24" s="1"/>
  <c r="I320" i="24"/>
  <c r="I324" i="24"/>
  <c r="I332" i="24"/>
  <c r="I347" i="24"/>
  <c r="I435" i="24"/>
  <c r="I305" i="24"/>
  <c r="I309" i="24"/>
  <c r="I361" i="24" s="1"/>
  <c r="I333" i="24"/>
  <c r="I314" i="24"/>
  <c r="I327" i="24"/>
  <c r="I318" i="24"/>
  <c r="I335" i="24"/>
  <c r="I52" i="24"/>
  <c r="I348" i="24"/>
  <c r="I337" i="24"/>
  <c r="I331" i="24"/>
  <c r="I321" i="24"/>
  <c r="I322" i="24"/>
  <c r="I336" i="24"/>
  <c r="Q52" i="24"/>
  <c r="Q309" i="24"/>
  <c r="Q361" i="24" s="1"/>
  <c r="Q321" i="24"/>
  <c r="Q333" i="24"/>
  <c r="Q348" i="24"/>
  <c r="Q314" i="24"/>
  <c r="Q322" i="24"/>
  <c r="Q327" i="24"/>
  <c r="Q337" i="24"/>
  <c r="Q435" i="24"/>
  <c r="Q305" i="24"/>
  <c r="Q336" i="24"/>
  <c r="Q197" i="24"/>
  <c r="R35" i="64" s="1"/>
  <c r="Q323" i="24"/>
  <c r="Q245" i="24"/>
  <c r="Q246" i="24" s="1"/>
  <c r="Q356" i="24" s="1"/>
  <c r="Q324" i="24"/>
  <c r="Q347" i="24"/>
  <c r="Q21" i="24"/>
  <c r="Q339" i="24"/>
  <c r="Q331" i="24"/>
  <c r="Q319" i="24"/>
  <c r="Q320" i="24"/>
  <c r="Q332" i="24"/>
  <c r="Q318" i="24"/>
  <c r="Q335" i="24"/>
  <c r="Y52" i="24"/>
  <c r="Y309" i="24"/>
  <c r="Y361" i="24" s="1"/>
  <c r="Y321" i="24"/>
  <c r="Y333" i="24"/>
  <c r="Y348" i="24"/>
  <c r="Y314" i="24"/>
  <c r="Y322" i="24"/>
  <c r="Y327" i="24"/>
  <c r="Y337" i="24"/>
  <c r="Y435" i="24"/>
  <c r="Y305" i="24"/>
  <c r="Y197" i="24"/>
  <c r="Z35" i="64" s="1"/>
  <c r="Y323" i="24"/>
  <c r="Y245" i="24"/>
  <c r="Y246" i="24" s="1"/>
  <c r="Y356" i="24" s="1"/>
  <c r="Y324" i="24"/>
  <c r="Y347" i="24"/>
  <c r="Y318" i="24"/>
  <c r="Y336" i="24"/>
  <c r="Y335" i="24"/>
  <c r="Y21" i="24"/>
  <c r="Y339" i="24"/>
  <c r="Y332" i="24"/>
  <c r="Y331" i="24"/>
  <c r="Y319" i="24"/>
  <c r="Y320" i="24"/>
  <c r="AG434" i="24"/>
  <c r="AG52" i="24"/>
  <c r="AG309" i="24"/>
  <c r="AG361" i="24" s="1"/>
  <c r="AG321" i="24"/>
  <c r="AG333" i="24"/>
  <c r="AG348" i="24"/>
  <c r="AG320" i="24"/>
  <c r="AG324" i="24"/>
  <c r="AG332" i="24"/>
  <c r="AG347" i="24"/>
  <c r="AG435" i="24"/>
  <c r="AG305" i="24"/>
  <c r="AG336" i="24"/>
  <c r="AG21" i="24"/>
  <c r="AG319" i="24"/>
  <c r="AG339" i="24"/>
  <c r="AG322" i="24"/>
  <c r="AG337" i="24"/>
  <c r="AG323" i="24"/>
  <c r="AG327" i="24"/>
  <c r="AG331" i="24"/>
  <c r="AG318" i="24"/>
  <c r="AG335" i="24"/>
  <c r="AG197" i="24"/>
  <c r="AH35" i="64" s="1"/>
  <c r="AG314" i="24"/>
  <c r="AO434" i="24"/>
  <c r="AO21" i="24"/>
  <c r="AO197" i="24"/>
  <c r="AP35" i="64" s="1"/>
  <c r="AO321" i="24"/>
  <c r="AO333" i="24"/>
  <c r="AO245" i="24"/>
  <c r="AO246" i="24" s="1"/>
  <c r="AO356" i="24" s="1"/>
  <c r="AO320" i="24"/>
  <c r="AO324" i="24"/>
  <c r="AO332" i="24"/>
  <c r="AO347" i="24"/>
  <c r="AO435" i="24"/>
  <c r="AO305" i="24"/>
  <c r="AO52" i="24"/>
  <c r="AO323" i="24"/>
  <c r="AO314" i="24"/>
  <c r="AO327" i="24"/>
  <c r="AO318" i="24"/>
  <c r="AO335" i="24"/>
  <c r="AO348" i="24"/>
  <c r="AO337" i="24"/>
  <c r="AO331" i="24"/>
  <c r="AO319" i="24"/>
  <c r="AO322" i="24"/>
  <c r="AO336" i="24"/>
  <c r="BJ60" i="52"/>
  <c r="BJ139" i="52"/>
  <c r="BJ203" i="24" s="1"/>
  <c r="BI162" i="52"/>
  <c r="BO343" i="52"/>
  <c r="BO342" i="52" s="1"/>
  <c r="BO106" i="24"/>
  <c r="BD127" i="24"/>
  <c r="BD393" i="24"/>
  <c r="BD130" i="24"/>
  <c r="BD397" i="24" s="1"/>
  <c r="U6" i="70"/>
  <c r="CL210" i="24"/>
  <c r="BU210" i="24"/>
  <c r="CK235" i="24"/>
  <c r="G22" i="55"/>
  <c r="Z22" i="55" s="1"/>
  <c r="BM132" i="52"/>
  <c r="BM231" i="24" s="1"/>
  <c r="BM131" i="52"/>
  <c r="BM230" i="24" s="1"/>
  <c r="BM65" i="24" s="1"/>
  <c r="BM229" i="24"/>
  <c r="AO312" i="24"/>
  <c r="Y312" i="24"/>
  <c r="I312" i="24"/>
  <c r="BQ295" i="24"/>
  <c r="CI295" i="24" s="1"/>
  <c r="CI38" i="24"/>
  <c r="J38" i="24"/>
  <c r="J295" i="24" s="1"/>
  <c r="J292" i="24"/>
  <c r="AH38" i="24"/>
  <c r="AH295" i="24" s="1"/>
  <c r="AH292" i="24"/>
  <c r="AP38" i="24"/>
  <c r="AP295" i="24" s="1"/>
  <c r="AP292" i="24"/>
  <c r="BN38" i="24"/>
  <c r="BN295" i="24" s="1"/>
  <c r="BN292" i="24"/>
  <c r="CJ38" i="24"/>
  <c r="BR295" i="24"/>
  <c r="CJ295" i="24" s="1"/>
  <c r="I301" i="24"/>
  <c r="I238" i="24"/>
  <c r="L215" i="24"/>
  <c r="L238" i="24"/>
  <c r="T215" i="24"/>
  <c r="T238" i="24"/>
  <c r="U215" i="24"/>
  <c r="J37" i="24"/>
  <c r="J294" i="24" s="1"/>
  <c r="BR190" i="24"/>
  <c r="CJ189" i="24"/>
  <c r="G333" i="24"/>
  <c r="G327" i="24"/>
  <c r="G314" i="24"/>
  <c r="G331" i="24"/>
  <c r="G318" i="24"/>
  <c r="G305" i="24"/>
  <c r="G21" i="24"/>
  <c r="AC6" i="70"/>
  <c r="AJ6" i="70"/>
  <c r="E22" i="55"/>
  <c r="X22" i="55" s="1"/>
  <c r="CI235" i="24"/>
  <c r="BN268" i="24"/>
  <c r="BM268" i="24" s="1"/>
  <c r="BL268" i="24" s="1"/>
  <c r="BK268" i="24" s="1"/>
  <c r="BJ268" i="24" s="1"/>
  <c r="BO294" i="24"/>
  <c r="AG312" i="24"/>
  <c r="Q312" i="24"/>
  <c r="G336" i="24"/>
  <c r="G228" i="24"/>
  <c r="G237" i="24"/>
  <c r="G37" i="24" s="1"/>
  <c r="G27" i="24" s="1"/>
  <c r="G283" i="24" s="1"/>
  <c r="H300" i="24"/>
  <c r="H302" i="24" s="1"/>
  <c r="M214" i="24"/>
  <c r="M300" i="24"/>
  <c r="M302" i="24" s="1"/>
  <c r="R300" i="24"/>
  <c r="R302" i="24" s="1"/>
  <c r="Q228" i="24"/>
  <c r="R237" i="24"/>
  <c r="R37" i="24" s="1"/>
  <c r="R294" i="24" s="1"/>
  <c r="Q237" i="24"/>
  <c r="Q37" i="24" s="1"/>
  <c r="Q294" i="24" s="1"/>
  <c r="S300" i="24"/>
  <c r="S302" i="24" s="1"/>
  <c r="T237" i="24"/>
  <c r="T37" i="24" s="1"/>
  <c r="T27" i="24" s="1"/>
  <c r="T283" i="24" s="1"/>
  <c r="AC214" i="24"/>
  <c r="AC300" i="24"/>
  <c r="AC302" i="24" s="1"/>
  <c r="AD214" i="24"/>
  <c r="AG228" i="24"/>
  <c r="AH237" i="24"/>
  <c r="AH37" i="24" s="1"/>
  <c r="AH294" i="24" s="1"/>
  <c r="AG237" i="24"/>
  <c r="AG37" i="24" s="1"/>
  <c r="AG294" i="24" s="1"/>
  <c r="AJ237" i="24"/>
  <c r="AJ37" i="24" s="1"/>
  <c r="AJ294" i="24" s="1"/>
  <c r="AI300" i="24"/>
  <c r="AI302" i="24" s="1"/>
  <c r="AN300" i="24"/>
  <c r="AN302" i="24" s="1"/>
  <c r="AM228" i="24"/>
  <c r="AM237" i="24"/>
  <c r="AM37" i="24" s="1"/>
  <c r="AM294" i="24" s="1"/>
  <c r="AU237" i="24"/>
  <c r="AU37" i="24" s="1"/>
  <c r="AU294" i="24" s="1"/>
  <c r="AU228" i="24"/>
  <c r="M6" i="70"/>
  <c r="J293" i="24"/>
  <c r="K379" i="24"/>
  <c r="N293" i="24"/>
  <c r="O379" i="24"/>
  <c r="S379" i="24"/>
  <c r="R293" i="24"/>
  <c r="V293" i="24"/>
  <c r="W379" i="24"/>
  <c r="Z293" i="24"/>
  <c r="AA379" i="24"/>
  <c r="AD293" i="24"/>
  <c r="AE379" i="24"/>
  <c r="AI379" i="24"/>
  <c r="AH293" i="24"/>
  <c r="AL293" i="24"/>
  <c r="AM379" i="24"/>
  <c r="AP293" i="24"/>
  <c r="AQ379" i="24"/>
  <c r="AT293" i="24"/>
  <c r="AU379" i="24"/>
  <c r="AY379" i="24"/>
  <c r="AX293" i="24"/>
  <c r="BB293" i="24"/>
  <c r="BC379" i="24"/>
  <c r="BF17" i="64"/>
  <c r="BF379" i="24"/>
  <c r="BJ2" i="70"/>
  <c r="BJ379" i="24"/>
  <c r="BJ235" i="24"/>
  <c r="BN379" i="24"/>
  <c r="BN2" i="70"/>
  <c r="BR2" i="70"/>
  <c r="BR293" i="24"/>
  <c r="CJ36" i="24"/>
  <c r="BP353" i="24"/>
  <c r="D28" i="55" s="1"/>
  <c r="BP53" i="24"/>
  <c r="F45" i="52"/>
  <c r="G45" i="24" s="1"/>
  <c r="H45" i="24"/>
  <c r="L209" i="24"/>
  <c r="T65" i="24"/>
  <c r="T209" i="24"/>
  <c r="Y228" i="24"/>
  <c r="Z237" i="24"/>
  <c r="Z37" i="24" s="1"/>
  <c r="Z294" i="24" s="1"/>
  <c r="Y237" i="24"/>
  <c r="Y37" i="24" s="1"/>
  <c r="Y294" i="24" s="1"/>
  <c r="AO228" i="24"/>
  <c r="AP237" i="24"/>
  <c r="AP37" i="24" s="1"/>
  <c r="AP294" i="24" s="1"/>
  <c r="AO237" i="24"/>
  <c r="AO37" i="24" s="1"/>
  <c r="AO294" i="24" s="1"/>
  <c r="AS214" i="24"/>
  <c r="AS300" i="24"/>
  <c r="AS302" i="24" s="1"/>
  <c r="CJ245" i="24"/>
  <c r="BR246" i="24"/>
  <c r="BQ319" i="24"/>
  <c r="CI319" i="24" s="1"/>
  <c r="BQ392" i="24"/>
  <c r="CI392" i="24" s="1"/>
  <c r="CI125" i="24"/>
  <c r="BS132" i="24"/>
  <c r="CK133" i="24"/>
  <c r="CJ191" i="24"/>
  <c r="BR433" i="24"/>
  <c r="CK341" i="24"/>
  <c r="BS309" i="24"/>
  <c r="BJ435" i="24"/>
  <c r="BJ314" i="24"/>
  <c r="BJ199" i="24"/>
  <c r="BS319" i="24"/>
  <c r="CK319" i="24" s="1"/>
  <c r="CK125" i="24"/>
  <c r="BS392" i="24"/>
  <c r="CK392" i="24" s="1"/>
  <c r="BI331" i="24"/>
  <c r="BI80" i="24"/>
  <c r="BQ396" i="24"/>
  <c r="CI396" i="24" s="1"/>
  <c r="CI129" i="24"/>
  <c r="CL42" i="24"/>
  <c r="BT297" i="24"/>
  <c r="CL297" i="24" s="1"/>
  <c r="BS137" i="24"/>
  <c r="CK138" i="24"/>
  <c r="BS297" i="24"/>
  <c r="CK297" i="24" s="1"/>
  <c r="BS316" i="24"/>
  <c r="BS35" i="64"/>
  <c r="CJ197" i="24"/>
  <c r="Y30" i="55" s="1"/>
  <c r="BR198" i="24"/>
  <c r="CJ198" i="24" s="1"/>
  <c r="F30" i="55"/>
  <c r="BM314" i="24"/>
  <c r="BM189" i="24"/>
  <c r="BM190" i="24" s="1"/>
  <c r="BM36" i="64" s="1"/>
  <c r="BM197" i="24"/>
  <c r="BN35" i="64" s="1"/>
  <c r="BM435" i="24"/>
  <c r="AA385" i="24"/>
  <c r="AB381" i="24"/>
  <c r="BQ408" i="24"/>
  <c r="CI408" i="24" s="1"/>
  <c r="CI141" i="24"/>
  <c r="BK199" i="24"/>
  <c r="BK314" i="24"/>
  <c r="BK435" i="24"/>
  <c r="BK197" i="24"/>
  <c r="BL198" i="24" s="1"/>
  <c r="BK189" i="24"/>
  <c r="BK190" i="24" s="1"/>
  <c r="BK36" i="64" s="1"/>
  <c r="BN435" i="24"/>
  <c r="BN197" i="24"/>
  <c r="BN191" i="24"/>
  <c r="BN433" i="24" s="1"/>
  <c r="BN189" i="24"/>
  <c r="BN190" i="24" s="1"/>
  <c r="BN36" i="64" s="1"/>
  <c r="BN199" i="24"/>
  <c r="BN314" i="24"/>
  <c r="K385" i="24"/>
  <c r="L381" i="24"/>
  <c r="AQ385" i="24"/>
  <c r="AR381" i="24"/>
  <c r="CI138" i="24"/>
  <c r="BQ405" i="24"/>
  <c r="CI405" i="24" s="1"/>
  <c r="I381" i="24"/>
  <c r="H385" i="24"/>
  <c r="BJ28" i="24"/>
  <c r="BJ284" i="24" s="1"/>
  <c r="BY139" i="24"/>
  <c r="CP139" i="24"/>
  <c r="CI341" i="24"/>
  <c r="BQ361" i="24"/>
  <c r="CI361" i="24" s="1"/>
  <c r="BQ339" i="24"/>
  <c r="CI339" i="24" s="1"/>
  <c r="E32" i="55"/>
  <c r="CK190" i="24"/>
  <c r="Z31" i="55" s="1"/>
  <c r="CK191" i="24"/>
  <c r="CL133" i="24"/>
  <c r="BU103" i="24"/>
  <c r="BU117" i="24" s="1"/>
  <c r="BN345" i="24"/>
  <c r="BN175" i="24"/>
  <c r="BN344" i="24"/>
  <c r="BN185" i="24"/>
  <c r="BN176" i="24"/>
  <c r="BN347" i="24"/>
  <c r="BN348" i="24"/>
  <c r="BM102" i="24"/>
  <c r="BM143" i="24"/>
  <c r="BM115" i="24"/>
  <c r="BH102" i="24"/>
  <c r="BH143" i="24"/>
  <c r="BH115" i="24"/>
  <c r="BL102" i="24"/>
  <c r="BL143" i="24"/>
  <c r="BL115" i="24"/>
  <c r="CJ135" i="24"/>
  <c r="BR402" i="24"/>
  <c r="CJ402" i="24" s="1"/>
  <c r="BR322" i="24"/>
  <c r="CJ322" i="24" s="1"/>
  <c r="BP87" i="24"/>
  <c r="BP336" i="24"/>
  <c r="AJ27" i="24"/>
  <c r="AJ283" i="24" s="1"/>
  <c r="AZ27" i="24"/>
  <c r="AZ283" i="24" s="1"/>
  <c r="AZ294" i="24"/>
  <c r="BR409" i="24"/>
  <c r="CJ409" i="24" s="1"/>
  <c r="CJ142" i="24"/>
  <c r="BR401" i="24"/>
  <c r="CJ401" i="24" s="1"/>
  <c r="CJ134" i="24"/>
  <c r="CJ165" i="24"/>
  <c r="BR172" i="24"/>
  <c r="BR185" i="24" s="1"/>
  <c r="CJ185" i="24" s="1"/>
  <c r="BM331" i="24"/>
  <c r="BM80" i="24"/>
  <c r="BM272" i="24"/>
  <c r="BL272" i="24" s="1"/>
  <c r="BK272" i="24" s="1"/>
  <c r="C13" i="55"/>
  <c r="BO87" i="24"/>
  <c r="BO336" i="24"/>
  <c r="AZ22" i="24"/>
  <c r="AZ313" i="24"/>
  <c r="AZ26" i="24"/>
  <c r="AZ282" i="24" s="1"/>
  <c r="AZ7" i="24"/>
  <c r="AZ384" i="24"/>
  <c r="BM336" i="24"/>
  <c r="BM87" i="24"/>
  <c r="BL172" i="24"/>
  <c r="BL185" i="24" s="1"/>
  <c r="BM155" i="24"/>
  <c r="BL426" i="24"/>
  <c r="BM426" i="24"/>
  <c r="BG427" i="24"/>
  <c r="BF427" i="24"/>
  <c r="BR137" i="24"/>
  <c r="BR405" i="24"/>
  <c r="CJ405" i="24" s="1"/>
  <c r="CJ138" i="24"/>
  <c r="BS39" i="24"/>
  <c r="CK39" i="24" s="1"/>
  <c r="CJ129" i="24"/>
  <c r="BR39" i="24"/>
  <c r="CJ39" i="24" s="1"/>
  <c r="BR396" i="24"/>
  <c r="CJ396" i="24" s="1"/>
  <c r="CJ141" i="24"/>
  <c r="BR140" i="24"/>
  <c r="BR408" i="24"/>
  <c r="CJ408" i="24" s="1"/>
  <c r="F6" i="55"/>
  <c r="BR65" i="45"/>
  <c r="I285" i="24"/>
  <c r="I359" i="24"/>
  <c r="J359" i="24" s="1"/>
  <c r="K359" i="24" s="1"/>
  <c r="L359" i="24" s="1"/>
  <c r="M359" i="24" s="1"/>
  <c r="N359" i="24" s="1"/>
  <c r="O359" i="24" s="1"/>
  <c r="P359" i="24" s="1"/>
  <c r="Q359" i="24" s="1"/>
  <c r="R359" i="24" s="1"/>
  <c r="S359" i="24" s="1"/>
  <c r="T359" i="24" s="1"/>
  <c r="U359" i="24" s="1"/>
  <c r="V359" i="24" s="1"/>
  <c r="W359" i="24" s="1"/>
  <c r="X359" i="24" s="1"/>
  <c r="Y359" i="24" s="1"/>
  <c r="Z359" i="24" s="1"/>
  <c r="AA359" i="24" s="1"/>
  <c r="AB359" i="24" s="1"/>
  <c r="AC359" i="24" s="1"/>
  <c r="AD359" i="24" s="1"/>
  <c r="AE359" i="24" s="1"/>
  <c r="AF359" i="24" s="1"/>
  <c r="AG359" i="24" s="1"/>
  <c r="AH359" i="24" s="1"/>
  <c r="AI359" i="24" s="1"/>
  <c r="AJ359" i="24" s="1"/>
  <c r="AK359" i="24" s="1"/>
  <c r="AL359" i="24" s="1"/>
  <c r="AM359" i="24" s="1"/>
  <c r="AN359" i="24" s="1"/>
  <c r="AO359" i="24" s="1"/>
  <c r="AP359" i="24" s="1"/>
  <c r="AQ359" i="24" s="1"/>
  <c r="AR359" i="24" s="1"/>
  <c r="AS359" i="24" s="1"/>
  <c r="AQ22" i="24"/>
  <c r="AQ384" i="24"/>
  <c r="AQ7" i="24"/>
  <c r="AQ313" i="24"/>
  <c r="BI336" i="24"/>
  <c r="BI87" i="24"/>
  <c r="BL87" i="24"/>
  <c r="BL336" i="24"/>
  <c r="BP319" i="24"/>
  <c r="BP124" i="24"/>
  <c r="BP392" i="24"/>
  <c r="BP320" i="24"/>
  <c r="BP398" i="24"/>
  <c r="BF143" i="24"/>
  <c r="BF102" i="24"/>
  <c r="BJ115" i="24"/>
  <c r="BJ143" i="24"/>
  <c r="BJ102" i="24"/>
  <c r="BN115" i="24"/>
  <c r="BN143" i="24"/>
  <c r="CI109" i="24"/>
  <c r="BQ440" i="24"/>
  <c r="CJ160" i="24"/>
  <c r="BR187" i="24"/>
  <c r="BS156" i="24"/>
  <c r="G294" i="24"/>
  <c r="AV313" i="24"/>
  <c r="AV22" i="24"/>
  <c r="BP396" i="24"/>
  <c r="BQ39" i="24"/>
  <c r="CI39" i="24" s="1"/>
  <c r="BJ172" i="24"/>
  <c r="BJ185" i="24" s="1"/>
  <c r="BK155" i="24"/>
  <c r="BK426" i="24"/>
  <c r="BJ426" i="24"/>
  <c r="CK38" i="24"/>
  <c r="BS295" i="24"/>
  <c r="CK295" i="24" s="1"/>
  <c r="BN269" i="24"/>
  <c r="BM269" i="24" s="1"/>
  <c r="BL269" i="24" s="1"/>
  <c r="BK269" i="24" s="1"/>
  <c r="BJ269" i="24" s="1"/>
  <c r="BI269" i="24" s="1"/>
  <c r="BH269" i="24" s="1"/>
  <c r="BG269" i="24" s="1"/>
  <c r="BF269" i="24" s="1"/>
  <c r="BE269" i="24" s="1"/>
  <c r="BD269" i="24" s="1"/>
  <c r="BC269" i="24" s="1"/>
  <c r="BB269" i="24" s="1"/>
  <c r="BA269" i="24" s="1"/>
  <c r="AZ269" i="24" s="1"/>
  <c r="AY269" i="24" s="1"/>
  <c r="AX269" i="24" s="1"/>
  <c r="AW269" i="24" s="1"/>
  <c r="AV269" i="24" s="1"/>
  <c r="AU269" i="24" s="1"/>
  <c r="AT269" i="24" s="1"/>
  <c r="AS269" i="24" s="1"/>
  <c r="AR269" i="24" s="1"/>
  <c r="AQ269" i="24" s="1"/>
  <c r="AP269" i="24" s="1"/>
  <c r="BO295" i="24"/>
  <c r="BG87" i="24"/>
  <c r="BG336" i="24"/>
  <c r="BR132" i="24"/>
  <c r="BG331" i="24"/>
  <c r="BG80" i="24"/>
  <c r="BK331" i="24"/>
  <c r="BK80" i="24"/>
  <c r="BO331" i="24"/>
  <c r="BO80" i="24"/>
  <c r="BM353" i="24"/>
  <c r="BM53" i="24"/>
  <c r="CI103" i="24"/>
  <c r="BQ102" i="24"/>
  <c r="CI102" i="24" s="1"/>
  <c r="BQ143" i="24"/>
  <c r="BP348" i="24"/>
  <c r="BP345" i="24"/>
  <c r="BR183" i="24"/>
  <c r="BR406" i="24"/>
  <c r="CJ406" i="24" s="1"/>
  <c r="CJ139" i="24"/>
  <c r="BR40" i="24"/>
  <c r="CJ40" i="24" s="1"/>
  <c r="BR297" i="24"/>
  <c r="CJ297" i="24" s="1"/>
  <c r="CJ42" i="24"/>
  <c r="BR316" i="24"/>
  <c r="BR320" i="24"/>
  <c r="CJ320" i="24" s="1"/>
  <c r="CJ131" i="24"/>
  <c r="BR398" i="24"/>
  <c r="CJ398" i="24" s="1"/>
  <c r="BP67" i="24"/>
  <c r="BP218" i="24"/>
  <c r="BQ207" i="24"/>
  <c r="BF172" i="24"/>
  <c r="H285" i="24"/>
  <c r="G359" i="24"/>
  <c r="F359" i="24" s="1"/>
  <c r="BE22" i="24"/>
  <c r="BE313" i="24"/>
  <c r="BE26" i="24"/>
  <c r="BE282" i="24" s="1"/>
  <c r="BE7" i="24"/>
  <c r="AR7" i="24"/>
  <c r="AR26" i="24"/>
  <c r="AR282" i="24" s="1"/>
  <c r="AR384" i="24"/>
  <c r="AR22" i="24"/>
  <c r="AR313" i="24"/>
  <c r="CK81" i="24"/>
  <c r="BS331" i="24"/>
  <c r="CK331" i="24" s="1"/>
  <c r="BS80" i="24"/>
  <c r="BI53" i="24"/>
  <c r="BI353" i="24"/>
  <c r="CI89" i="24"/>
  <c r="BQ88" i="24"/>
  <c r="BH87" i="24"/>
  <c r="BH336" i="24"/>
  <c r="BH172" i="24"/>
  <c r="BH176" i="24" s="1"/>
  <c r="BI155" i="24"/>
  <c r="BI426" i="24"/>
  <c r="BH426" i="24"/>
  <c r="BQ44" i="24"/>
  <c r="BQ297" i="24"/>
  <c r="CI297" i="24" s="1"/>
  <c r="BQ40" i="24"/>
  <c r="CI40" i="24" s="1"/>
  <c r="BQ316" i="24"/>
  <c r="CI42" i="24"/>
  <c r="BP137" i="24"/>
  <c r="BP404" i="24" s="1"/>
  <c r="BP405" i="24"/>
  <c r="BP322" i="24"/>
  <c r="BP402" i="24"/>
  <c r="BK115" i="24"/>
  <c r="BK102" i="24"/>
  <c r="BK143" i="24"/>
  <c r="BG115" i="24"/>
  <c r="BG102" i="24"/>
  <c r="BG143" i="24"/>
  <c r="AX55" i="24"/>
  <c r="AX321" i="24"/>
  <c r="AX124" i="24"/>
  <c r="BB55" i="24"/>
  <c r="BB321" i="24"/>
  <c r="BB124" i="24"/>
  <c r="BO427" i="24"/>
  <c r="BP427" i="24"/>
  <c r="BD294" i="24"/>
  <c r="BD27" i="24"/>
  <c r="BD283" i="24" s="1"/>
  <c r="BP179" i="52"/>
  <c r="BQ178" i="52"/>
  <c r="BP130" i="52"/>
  <c r="BP228" i="24" s="1"/>
  <c r="BP237" i="24" s="1"/>
  <c r="BP181" i="52"/>
  <c r="Y381" i="24"/>
  <c r="X385" i="24"/>
  <c r="BN14" i="64"/>
  <c r="BG197" i="24"/>
  <c r="BG435" i="24"/>
  <c r="BG314" i="24"/>
  <c r="BG189" i="24"/>
  <c r="BG190" i="24" s="1"/>
  <c r="BG36" i="64" s="1"/>
  <c r="BO115" i="24"/>
  <c r="BO143" i="24"/>
  <c r="AV55" i="24"/>
  <c r="AV61" i="24" s="1"/>
  <c r="AV124" i="24"/>
  <c r="AZ55" i="24"/>
  <c r="AZ61" i="24" s="1"/>
  <c r="AZ124" i="24"/>
  <c r="BD55" i="24"/>
  <c r="BD399" i="24"/>
  <c r="BQ142" i="24"/>
  <c r="BQ236" i="52"/>
  <c r="BQ256" i="52" s="1"/>
  <c r="BQ258" i="52" s="1"/>
  <c r="BQ146" i="24" s="1"/>
  <c r="CK202" i="24"/>
  <c r="BS221" i="24"/>
  <c r="CK221" i="24" s="1"/>
  <c r="BH80" i="24"/>
  <c r="BH331" i="24"/>
  <c r="BP80" i="24"/>
  <c r="BP331" i="24"/>
  <c r="BK427" i="24"/>
  <c r="BL427" i="24"/>
  <c r="BH189" i="24"/>
  <c r="BH190" i="24" s="1"/>
  <c r="BH36" i="64" s="1"/>
  <c r="BH199" i="24"/>
  <c r="AY55" i="24"/>
  <c r="AY61" i="24" s="1"/>
  <c r="AY321" i="24"/>
  <c r="AY124" i="24"/>
  <c r="BC55" i="24"/>
  <c r="BC321" i="24"/>
  <c r="BP189" i="24"/>
  <c r="BP190" i="24" s="1"/>
  <c r="BP36" i="64" s="1"/>
  <c r="BP314" i="24"/>
  <c r="BP199" i="24"/>
  <c r="AR28" i="24"/>
  <c r="AR284" i="24" s="1"/>
  <c r="AR262" i="24"/>
  <c r="AZ262" i="24"/>
  <c r="AR46" i="24"/>
  <c r="AQ262" i="24"/>
  <c r="BG294" i="24"/>
  <c r="BG27" i="24"/>
  <c r="BG283" i="24" s="1"/>
  <c r="BH191" i="24"/>
  <c r="BH433" i="24" s="1"/>
  <c r="BH314" i="24"/>
  <c r="BK9" i="24"/>
  <c r="BK27" i="24" s="1"/>
  <c r="BK283" i="24" s="1"/>
  <c r="CK103" i="24"/>
  <c r="AS378" i="24"/>
  <c r="BA46" i="24"/>
  <c r="BH156" i="24"/>
  <c r="BH5" i="64" s="1"/>
  <c r="BH6" i="64" s="1"/>
  <c r="BP187" i="24"/>
  <c r="BP176" i="24"/>
  <c r="BL79" i="24"/>
  <c r="BL264" i="24"/>
  <c r="BL330" i="24"/>
  <c r="BK5" i="64"/>
  <c r="BK6" i="64" s="1"/>
  <c r="BK424" i="24"/>
  <c r="BK425" i="24" s="1"/>
  <c r="CI165" i="24"/>
  <c r="BR426" i="24"/>
  <c r="CJ426" i="24" s="1"/>
  <c r="BQ426" i="24"/>
  <c r="CI426" i="24" s="1"/>
  <c r="BL191" i="24"/>
  <c r="BL433" i="24" s="1"/>
  <c r="BL189" i="24"/>
  <c r="BL190" i="24" s="1"/>
  <c r="BL36" i="64" s="1"/>
  <c r="BL314" i="24"/>
  <c r="BL199" i="24"/>
  <c r="AW55" i="24"/>
  <c r="AW61" i="24" s="1"/>
  <c r="AW124" i="24"/>
  <c r="AW321" i="24"/>
  <c r="BA55" i="24"/>
  <c r="BA61" i="24" s="1"/>
  <c r="BA124" i="24"/>
  <c r="BA321" i="24"/>
  <c r="BL14" i="64"/>
  <c r="BJ186" i="24"/>
  <c r="BI191" i="24"/>
  <c r="BI433" i="24" s="1"/>
  <c r="BI197" i="24"/>
  <c r="BI198" i="24" s="1"/>
  <c r="BI314" i="24"/>
  <c r="BI435" i="24"/>
  <c r="BI189" i="24"/>
  <c r="BI190" i="24" s="1"/>
  <c r="BI36" i="64" s="1"/>
  <c r="BN427" i="24"/>
  <c r="BM172" i="24"/>
  <c r="BM427" i="24"/>
  <c r="BP14" i="64"/>
  <c r="BH294" i="24"/>
  <c r="BH27" i="24"/>
  <c r="BH283" i="24" s="1"/>
  <c r="BQ155" i="24"/>
  <c r="CI155" i="24" s="1"/>
  <c r="CB85" i="24"/>
  <c r="CS85" i="24"/>
  <c r="CL117" i="24"/>
  <c r="BT116" i="24"/>
  <c r="CL116" i="24" s="1"/>
  <c r="BT110" i="24"/>
  <c r="BE132" i="61"/>
  <c r="BD118" i="61"/>
  <c r="BD124" i="61"/>
  <c r="BD120" i="61"/>
  <c r="BD114" i="61"/>
  <c r="F259" i="61"/>
  <c r="F261" i="61"/>
  <c r="F260" i="61"/>
  <c r="F258" i="61"/>
  <c r="I177" i="61"/>
  <c r="I178" i="61"/>
  <c r="I193" i="61"/>
  <c r="Q177" i="61"/>
  <c r="Q178" i="61"/>
  <c r="Q193" i="61"/>
  <c r="Y177" i="61"/>
  <c r="Y178" i="61"/>
  <c r="Y193" i="61"/>
  <c r="AG177" i="61"/>
  <c r="AG178" i="61"/>
  <c r="AG193" i="61"/>
  <c r="AO177" i="61"/>
  <c r="AO145" i="61" s="1"/>
  <c r="AO114" i="24" s="1"/>
  <c r="AO178" i="61"/>
  <c r="AO193" i="61"/>
  <c r="AW177" i="61"/>
  <c r="AW178" i="61"/>
  <c r="AW193" i="61"/>
  <c r="BS111" i="61"/>
  <c r="BG111" i="61"/>
  <c r="AZ228" i="61"/>
  <c r="AN80" i="24"/>
  <c r="AN331" i="24"/>
  <c r="AV80" i="24"/>
  <c r="AV331" i="24"/>
  <c r="BD80" i="24"/>
  <c r="BD331" i="24"/>
  <c r="BJ80" i="24"/>
  <c r="BJ331" i="24"/>
  <c r="BR331" i="24"/>
  <c r="CJ331" i="24" s="1"/>
  <c r="CJ81" i="24"/>
  <c r="BR80" i="24"/>
  <c r="AP80" i="24"/>
  <c r="AP331" i="24"/>
  <c r="CJ109" i="24"/>
  <c r="BR440" i="24"/>
  <c r="CO113" i="24"/>
  <c r="BX113" i="24"/>
  <c r="BK183" i="24"/>
  <c r="BK186" i="24"/>
  <c r="BK185" i="24"/>
  <c r="BM186" i="24"/>
  <c r="BM183" i="24"/>
  <c r="BO186" i="24"/>
  <c r="BO183" i="24"/>
  <c r="BI427" i="24"/>
  <c r="BI172" i="24"/>
  <c r="BJ427" i="24"/>
  <c r="CI168" i="24"/>
  <c r="BQ172" i="24"/>
  <c r="BQ185" i="24" s="1"/>
  <c r="CI185" i="24" s="1"/>
  <c r="BQ427" i="24"/>
  <c r="CI427" i="24" s="1"/>
  <c r="BR427" i="24"/>
  <c r="CJ427" i="24" s="1"/>
  <c r="BO191" i="24"/>
  <c r="BO433" i="24" s="1"/>
  <c r="BO199" i="24"/>
  <c r="BO314" i="24"/>
  <c r="BO189" i="24"/>
  <c r="BO190" i="24" s="1"/>
  <c r="BO197" i="24"/>
  <c r="BO435" i="24"/>
  <c r="AT80" i="24"/>
  <c r="AT331" i="24"/>
  <c r="H87" i="24"/>
  <c r="H336" i="24"/>
  <c r="J87" i="24"/>
  <c r="J336" i="24"/>
  <c r="BH327" i="24"/>
  <c r="BH155" i="24"/>
  <c r="BL327" i="24"/>
  <c r="BL155" i="24"/>
  <c r="BG186" i="24"/>
  <c r="BG183" i="24"/>
  <c r="CK184" i="24"/>
  <c r="BS186" i="24"/>
  <c r="BS183" i="24"/>
  <c r="CK168" i="24"/>
  <c r="BS427" i="24"/>
  <c r="CK427" i="24" s="1"/>
  <c r="BL129" i="52"/>
  <c r="BL180" i="52"/>
  <c r="BM180" i="52"/>
  <c r="BN129" i="52"/>
  <c r="BN180" i="52"/>
  <c r="BR234" i="52"/>
  <c r="BR256" i="52"/>
  <c r="BR258" i="52" s="1"/>
  <c r="BR146" i="24" s="1"/>
  <c r="M27" i="24"/>
  <c r="M283" i="24" s="1"/>
  <c r="N27" i="24"/>
  <c r="N283" i="24" s="1"/>
  <c r="P27" i="24"/>
  <c r="P283" i="24" s="1"/>
  <c r="O27" i="24"/>
  <c r="O283" i="24" s="1"/>
  <c r="U27" i="24"/>
  <c r="U283" i="24" s="1"/>
  <c r="V27" i="24"/>
  <c r="V283" i="24" s="1"/>
  <c r="X27" i="24"/>
  <c r="X283" i="24" s="1"/>
  <c r="W27" i="24"/>
  <c r="W283" i="24" s="1"/>
  <c r="Y27" i="24"/>
  <c r="Y283" i="24" s="1"/>
  <c r="AC27" i="24"/>
  <c r="AC283" i="24" s="1"/>
  <c r="AD27" i="24"/>
  <c r="AD283" i="24" s="1"/>
  <c r="AF27" i="24"/>
  <c r="AF283" i="24" s="1"/>
  <c r="AE27" i="24"/>
  <c r="AE283" i="24" s="1"/>
  <c r="AK27" i="24"/>
  <c r="AK283" i="24" s="1"/>
  <c r="AL27" i="24"/>
  <c r="AL283" i="24" s="1"/>
  <c r="AN27" i="24"/>
  <c r="AN283" i="24" s="1"/>
  <c r="AM27" i="24"/>
  <c r="AM283" i="24" s="1"/>
  <c r="AP27" i="24"/>
  <c r="AP283" i="24" s="1"/>
  <c r="AS27" i="24"/>
  <c r="AS283" i="24" s="1"/>
  <c r="AT27" i="24"/>
  <c r="AT283" i="24" s="1"/>
  <c r="AV27" i="24"/>
  <c r="AV283" i="24" s="1"/>
  <c r="AU27" i="24"/>
  <c r="AU283" i="24" s="1"/>
  <c r="AU8" i="24"/>
  <c r="AW27" i="24"/>
  <c r="AW283" i="24" s="1"/>
  <c r="AX27" i="24"/>
  <c r="AX283" i="24" s="1"/>
  <c r="BB27" i="24"/>
  <c r="BB283" i="24" s="1"/>
  <c r="BA27" i="24"/>
  <c r="BA283" i="24" s="1"/>
  <c r="F12" i="24"/>
  <c r="G28" i="24" s="1"/>
  <c r="G284" i="24" s="1"/>
  <c r="F8" i="24"/>
  <c r="J8" i="24"/>
  <c r="J12" i="24"/>
  <c r="J73" i="24"/>
  <c r="N8" i="24"/>
  <c r="N12" i="24"/>
  <c r="N73" i="24"/>
  <c r="R8" i="24"/>
  <c r="R12" i="24"/>
  <c r="R73" i="24"/>
  <c r="V8" i="24"/>
  <c r="V12" i="24"/>
  <c r="V73" i="24"/>
  <c r="Z8" i="24"/>
  <c r="Z12" i="24"/>
  <c r="Z73" i="24"/>
  <c r="AD8" i="24"/>
  <c r="AD12" i="24"/>
  <c r="AD73" i="24"/>
  <c r="AH8" i="24"/>
  <c r="AH12" i="24"/>
  <c r="AH73" i="24"/>
  <c r="AL8" i="24"/>
  <c r="AL12" i="24"/>
  <c r="AL73" i="24"/>
  <c r="AP8" i="24"/>
  <c r="AP12" i="24"/>
  <c r="AP73" i="24"/>
  <c r="AT8" i="24"/>
  <c r="AT12" i="24"/>
  <c r="AT73" i="24"/>
  <c r="AX8" i="24"/>
  <c r="AX12" i="24"/>
  <c r="AX73" i="24"/>
  <c r="BB22" i="24"/>
  <c r="BB262" i="24"/>
  <c r="BB384" i="24"/>
  <c r="BC26" i="24"/>
  <c r="BC282" i="24" s="1"/>
  <c r="BB26" i="24"/>
  <c r="BB282" i="24" s="1"/>
  <c r="BB313" i="24"/>
  <c r="BB7" i="24"/>
  <c r="BC46" i="24"/>
  <c r="L21" i="24"/>
  <c r="L245" i="24"/>
  <c r="L320" i="24"/>
  <c r="L324" i="24"/>
  <c r="L337" i="24"/>
  <c r="L321" i="24"/>
  <c r="L333" i="24"/>
  <c r="L435" i="24"/>
  <c r="L52" i="24"/>
  <c r="L322" i="24"/>
  <c r="L332" i="24"/>
  <c r="L319" i="24"/>
  <c r="L8" i="24"/>
  <c r="M26" i="24" s="1"/>
  <c r="M282" i="24" s="1"/>
  <c r="M73" i="24"/>
  <c r="M18" i="24"/>
  <c r="L197" i="24"/>
  <c r="M35" i="64" s="1"/>
  <c r="L305" i="24"/>
  <c r="L314" i="24"/>
  <c r="L347" i="24"/>
  <c r="L348" i="24"/>
  <c r="L18" i="24"/>
  <c r="L327" i="24"/>
  <c r="L323" i="24"/>
  <c r="L73" i="24"/>
  <c r="L309" i="24"/>
  <c r="L361" i="24" s="1"/>
  <c r="L339" i="24"/>
  <c r="L318" i="24"/>
  <c r="L312" i="24"/>
  <c r="N353" i="24"/>
  <c r="N53" i="24"/>
  <c r="T21" i="24"/>
  <c r="T245" i="24"/>
  <c r="T320" i="24"/>
  <c r="T324" i="24"/>
  <c r="T337" i="24"/>
  <c r="T321" i="24"/>
  <c r="T333" i="24"/>
  <c r="T435" i="24"/>
  <c r="T52" i="24"/>
  <c r="T322" i="24"/>
  <c r="T332" i="24"/>
  <c r="T319" i="24"/>
  <c r="T8" i="24"/>
  <c r="U73" i="24"/>
  <c r="U18" i="24"/>
  <c r="T197" i="24"/>
  <c r="U35" i="64" s="1"/>
  <c r="T305" i="24"/>
  <c r="T314" i="24"/>
  <c r="T347" i="24"/>
  <c r="T348" i="24"/>
  <c r="T339" i="24"/>
  <c r="T18" i="24"/>
  <c r="T327" i="24"/>
  <c r="T323" i="24"/>
  <c r="T73" i="24"/>
  <c r="T309" i="24"/>
  <c r="T361" i="24" s="1"/>
  <c r="T318" i="24"/>
  <c r="V353" i="24"/>
  <c r="V53" i="24"/>
  <c r="AB21" i="24"/>
  <c r="AB245" i="24"/>
  <c r="AB320" i="24"/>
  <c r="AB324" i="24"/>
  <c r="AB337" i="24"/>
  <c r="AB321" i="24"/>
  <c r="AB333" i="24"/>
  <c r="AB435" i="24"/>
  <c r="AB52" i="24"/>
  <c r="AB322" i="24"/>
  <c r="AB332" i="24"/>
  <c r="AB319" i="24"/>
  <c r="AB8" i="24"/>
  <c r="AC26" i="24" s="1"/>
  <c r="AC282" i="24" s="1"/>
  <c r="AC73" i="24"/>
  <c r="AC18" i="24"/>
  <c r="AB197" i="24"/>
  <c r="AC35" i="64" s="1"/>
  <c r="AB305" i="24"/>
  <c r="AB314" i="24"/>
  <c r="AB347" i="24"/>
  <c r="AB348" i="24"/>
  <c r="AB18" i="24"/>
  <c r="AB327" i="24"/>
  <c r="AB323" i="24"/>
  <c r="AB73" i="24"/>
  <c r="AB309" i="24"/>
  <c r="AB361" i="24" s="1"/>
  <c r="AB339" i="24"/>
  <c r="AB318" i="24"/>
  <c r="AB312" i="24"/>
  <c r="AF21" i="24"/>
  <c r="AF245" i="24"/>
  <c r="AF320" i="24"/>
  <c r="AF324" i="24"/>
  <c r="AF337" i="24"/>
  <c r="AF321" i="24"/>
  <c r="AF333" i="24"/>
  <c r="AF435" i="24"/>
  <c r="AF434" i="24"/>
  <c r="AF18" i="24"/>
  <c r="AF314" i="24"/>
  <c r="AF327" i="24"/>
  <c r="AF347" i="24"/>
  <c r="AF323" i="24"/>
  <c r="AF348" i="24"/>
  <c r="AG73" i="24"/>
  <c r="AF339" i="24"/>
  <c r="AF305" i="24"/>
  <c r="AF52" i="24"/>
  <c r="AF332" i="24"/>
  <c r="AG18" i="24"/>
  <c r="AF73" i="24"/>
  <c r="AF318" i="24"/>
  <c r="AF322" i="24"/>
  <c r="AF319" i="24"/>
  <c r="AF8" i="24"/>
  <c r="AF309" i="24"/>
  <c r="AF361" i="24" s="1"/>
  <c r="AF197" i="24"/>
  <c r="AG35" i="64" s="1"/>
  <c r="AJ21" i="24"/>
  <c r="AJ245" i="24"/>
  <c r="AJ320" i="24"/>
  <c r="AJ324" i="24"/>
  <c r="AJ337" i="24"/>
  <c r="AJ321" i="24"/>
  <c r="AJ333" i="24"/>
  <c r="AJ435" i="24"/>
  <c r="AJ434" i="24"/>
  <c r="AJ52" i="24"/>
  <c r="AJ322" i="24"/>
  <c r="AJ332" i="24"/>
  <c r="AJ319" i="24"/>
  <c r="AJ8" i="24"/>
  <c r="AK26" i="24" s="1"/>
  <c r="AK282" i="24" s="1"/>
  <c r="AK73" i="24"/>
  <c r="AK18" i="24"/>
  <c r="AJ305" i="24"/>
  <c r="AJ314" i="24"/>
  <c r="AJ347" i="24"/>
  <c r="AJ348" i="24"/>
  <c r="AJ339" i="24"/>
  <c r="AJ18" i="24"/>
  <c r="AJ327" i="24"/>
  <c r="AJ323" i="24"/>
  <c r="AJ73" i="24"/>
  <c r="AJ309" i="24"/>
  <c r="AJ361" i="24" s="1"/>
  <c r="AJ197" i="24"/>
  <c r="AK35" i="64" s="1"/>
  <c r="AJ318" i="24"/>
  <c r="AN21" i="24"/>
  <c r="AN245" i="24"/>
  <c r="AN320" i="24"/>
  <c r="AN324" i="24"/>
  <c r="AN337" i="24"/>
  <c r="AN321" i="24"/>
  <c r="AN333" i="24"/>
  <c r="AN435" i="24"/>
  <c r="AN434" i="24"/>
  <c r="AN18" i="24"/>
  <c r="AN314" i="24"/>
  <c r="AN327" i="24"/>
  <c r="AN347" i="24"/>
  <c r="AN323" i="24"/>
  <c r="AN348" i="24"/>
  <c r="AO73" i="24"/>
  <c r="AN339" i="24"/>
  <c r="AN305" i="24"/>
  <c r="AN52" i="24"/>
  <c r="AN332" i="24"/>
  <c r="AN8" i="24"/>
  <c r="AO26" i="24" s="1"/>
  <c r="AO282" i="24" s="1"/>
  <c r="AN73" i="24"/>
  <c r="AN318" i="24"/>
  <c r="AN322" i="24"/>
  <c r="AN319" i="24"/>
  <c r="AO18" i="24"/>
  <c r="AN309" i="24"/>
  <c r="AN361" i="24" s="1"/>
  <c r="AN197" i="24"/>
  <c r="AO35" i="64" s="1"/>
  <c r="AT353" i="24"/>
  <c r="AT53" i="24"/>
  <c r="BD53" i="24"/>
  <c r="BD353" i="24"/>
  <c r="BF22" i="24"/>
  <c r="BF313" i="24"/>
  <c r="BF26" i="24"/>
  <c r="BF384" i="24"/>
  <c r="BF7" i="24"/>
  <c r="BF262" i="24"/>
  <c r="BI35" i="64"/>
  <c r="BH198" i="24"/>
  <c r="BQ35" i="64"/>
  <c r="D30" i="55"/>
  <c r="BQ198" i="24"/>
  <c r="CI198" i="24" s="1"/>
  <c r="BR53" i="24"/>
  <c r="CJ52" i="24"/>
  <c r="BJ179" i="52"/>
  <c r="BD129" i="52"/>
  <c r="BD229" i="24" s="1"/>
  <c r="BE180" i="52"/>
  <c r="BD180" i="52"/>
  <c r="BD185" i="52" s="1"/>
  <c r="BF129" i="52"/>
  <c r="BF180" i="52"/>
  <c r="BG180" i="52"/>
  <c r="BH129" i="52"/>
  <c r="BI180" i="52"/>
  <c r="BH180" i="52"/>
  <c r="CJ89" i="24"/>
  <c r="BR88" i="24"/>
  <c r="BP309" i="24"/>
  <c r="BP339" i="24"/>
  <c r="BR116" i="24"/>
  <c r="CJ116" i="24" s="1"/>
  <c r="BS116" i="24"/>
  <c r="CK116" i="24" s="1"/>
  <c r="CJ117" i="24"/>
  <c r="BR441" i="24"/>
  <c r="BU42" i="24"/>
  <c r="BU135" i="24" s="1"/>
  <c r="BV196" i="24"/>
  <c r="BV141" i="24" s="1"/>
  <c r="BU43" i="24"/>
  <c r="BU160" i="24"/>
  <c r="CM160" i="24" s="1"/>
  <c r="BU97" i="24"/>
  <c r="BU7" i="70"/>
  <c r="BU6" i="70" s="1"/>
  <c r="BU144" i="24"/>
  <c r="CM196" i="24"/>
  <c r="AB3" i="55" s="1"/>
  <c r="BU279" i="24"/>
  <c r="CM279" i="24" s="1"/>
  <c r="I3" i="55"/>
  <c r="L10" i="71" s="1"/>
  <c r="BU188" i="24"/>
  <c r="BU406" i="24"/>
  <c r="CM406" i="24" s="1"/>
  <c r="BU129" i="24"/>
  <c r="BI27" i="24"/>
  <c r="BI283" i="24" s="1"/>
  <c r="BI294" i="24"/>
  <c r="G303" i="24"/>
  <c r="G377" i="24"/>
  <c r="H303" i="24"/>
  <c r="H377" i="24"/>
  <c r="K377" i="24"/>
  <c r="K303" i="24"/>
  <c r="L377" i="24"/>
  <c r="L303" i="24"/>
  <c r="S377" i="24"/>
  <c r="S303" i="24"/>
  <c r="T377" i="24"/>
  <c r="T303" i="24"/>
  <c r="U377" i="24"/>
  <c r="U303" i="24"/>
  <c r="V377" i="24"/>
  <c r="V303" i="24"/>
  <c r="W303" i="24"/>
  <c r="W377" i="24"/>
  <c r="X303" i="24"/>
  <c r="X377" i="24"/>
  <c r="AA377" i="24"/>
  <c r="AA303" i="24"/>
  <c r="AB377" i="24"/>
  <c r="AB303" i="24"/>
  <c r="AI377" i="24"/>
  <c r="AI303" i="24"/>
  <c r="AJ377" i="24"/>
  <c r="AJ303" i="24"/>
  <c r="AK377" i="24"/>
  <c r="AK303" i="24"/>
  <c r="AL377" i="24"/>
  <c r="AL303" i="24"/>
  <c r="AM303" i="24"/>
  <c r="AM377" i="24"/>
  <c r="AN303" i="24"/>
  <c r="AN377" i="24"/>
  <c r="AQ377" i="24"/>
  <c r="AQ303" i="24"/>
  <c r="AR377" i="24"/>
  <c r="AR303" i="24"/>
  <c r="AY377" i="24"/>
  <c r="AY303" i="24"/>
  <c r="AZ377" i="24"/>
  <c r="AZ303" i="24"/>
  <c r="K380" i="24"/>
  <c r="K381" i="24"/>
  <c r="J385" i="24"/>
  <c r="L380" i="24"/>
  <c r="L378" i="24" s="1"/>
  <c r="K27" i="24"/>
  <c r="K283" i="24" s="1"/>
  <c r="K294" i="24"/>
  <c r="O381" i="24"/>
  <c r="N385" i="24"/>
  <c r="AA380" i="24"/>
  <c r="AA381" i="24"/>
  <c r="Z385" i="24"/>
  <c r="AB380" i="24"/>
  <c r="AB378" i="24" s="1"/>
  <c r="AE380" i="24"/>
  <c r="AE381" i="24"/>
  <c r="AD385" i="24"/>
  <c r="AQ380" i="24"/>
  <c r="AQ381" i="24"/>
  <c r="AP385" i="24"/>
  <c r="AR380" i="24"/>
  <c r="AQ27" i="24"/>
  <c r="AQ283" i="24" s="1"/>
  <c r="AQ294" i="24"/>
  <c r="AU380" i="24"/>
  <c r="AU381" i="24"/>
  <c r="AT385" i="24"/>
  <c r="S385" i="24"/>
  <c r="T381" i="24"/>
  <c r="T380" i="24"/>
  <c r="Y385" i="24"/>
  <c r="Z381" i="24"/>
  <c r="Z380" i="24"/>
  <c r="AC385" i="24"/>
  <c r="AD380" i="24"/>
  <c r="AD381" i="24"/>
  <c r="AE385" i="24"/>
  <c r="AF381" i="24"/>
  <c r="AF380" i="24"/>
  <c r="AG385" i="24"/>
  <c r="AH381" i="24"/>
  <c r="AH380" i="24"/>
  <c r="AK385" i="24"/>
  <c r="AL380" i="24"/>
  <c r="AL381" i="24"/>
  <c r="AM385" i="24"/>
  <c r="BS256" i="52"/>
  <c r="BS258" i="52" s="1"/>
  <c r="BS146" i="24" s="1"/>
  <c r="BS234" i="52"/>
  <c r="CL135" i="24"/>
  <c r="BT402" i="24"/>
  <c r="CL402" i="24" s="1"/>
  <c r="BQ406" i="24"/>
  <c r="CI406" i="24" s="1"/>
  <c r="CI139" i="24"/>
  <c r="BQ137" i="24"/>
  <c r="BP343" i="52"/>
  <c r="BP342" i="52" s="1"/>
  <c r="BS343" i="52"/>
  <c r="BS106" i="24"/>
  <c r="W380" i="24"/>
  <c r="W381" i="24"/>
  <c r="V385" i="24"/>
  <c r="S380" i="24"/>
  <c r="S381" i="24"/>
  <c r="R385" i="24"/>
  <c r="H246" i="24"/>
  <c r="H356" i="24" s="1"/>
  <c r="AS294" i="24"/>
  <c r="AS46" i="24"/>
  <c r="U250" i="24"/>
  <c r="U23" i="24"/>
  <c r="U61" i="24"/>
  <c r="CK379" i="24"/>
  <c r="F22" i="55"/>
  <c r="Y22" i="55" s="1"/>
  <c r="CJ235" i="24"/>
  <c r="CI267" i="24"/>
  <c r="BR267" i="24"/>
  <c r="AM153" i="61"/>
  <c r="AA144" i="61"/>
  <c r="AB219" i="61"/>
  <c r="AB34" i="64"/>
  <c r="AB141" i="61"/>
  <c r="AB179" i="24"/>
  <c r="AT29" i="24"/>
  <c r="AT296" i="24"/>
  <c r="BG26" i="24"/>
  <c r="BG282" i="24" s="1"/>
  <c r="BD116" i="61"/>
  <c r="BR269" i="24"/>
  <c r="CI269" i="24"/>
  <c r="G312" i="24"/>
  <c r="G335" i="24"/>
  <c r="W312" i="24"/>
  <c r="W335" i="24"/>
  <c r="BF312" i="24"/>
  <c r="BF335" i="24"/>
  <c r="BQ55" i="24"/>
  <c r="CI55" i="24" s="1"/>
  <c r="CI132" i="24"/>
  <c r="BQ399" i="24"/>
  <c r="CI399" i="24" s="1"/>
  <c r="BQ124" i="24"/>
  <c r="BQ321" i="24"/>
  <c r="CI321" i="24" s="1"/>
  <c r="I46" i="52"/>
  <c r="I44" i="52"/>
  <c r="J43" i="52"/>
  <c r="K368" i="24"/>
  <c r="AY214" i="61"/>
  <c r="AY140" i="52"/>
  <c r="AY205" i="24" s="1"/>
  <c r="AZ90" i="61"/>
  <c r="BD282" i="24"/>
  <c r="G100" i="24"/>
  <c r="G329" i="24"/>
  <c r="G311" i="24"/>
  <c r="AU311" i="24"/>
  <c r="AU100" i="24"/>
  <c r="AU329" i="24"/>
  <c r="BC100" i="24"/>
  <c r="BC329" i="24"/>
  <c r="BC311" i="24"/>
  <c r="P312" i="24"/>
  <c r="P335" i="24"/>
  <c r="AF312" i="24"/>
  <c r="AF335" i="24"/>
  <c r="AV312" i="24"/>
  <c r="AV335" i="24"/>
  <c r="CK246" i="24"/>
  <c r="Z25" i="55" s="1"/>
  <c r="BS356" i="24"/>
  <c r="CK356" i="24" s="1"/>
  <c r="G25" i="55"/>
  <c r="T312" i="24"/>
  <c r="BQ36" i="64"/>
  <c r="CI190" i="24"/>
  <c r="X31" i="55" s="1"/>
  <c r="E31" i="55"/>
  <c r="BT221" i="24"/>
  <c r="CL221" i="24" s="1"/>
  <c r="AC311" i="24"/>
  <c r="AC329" i="24"/>
  <c r="AC100" i="24"/>
  <c r="AA335" i="24"/>
  <c r="K335" i="24"/>
  <c r="BV102" i="61"/>
  <c r="BJ102" i="61"/>
  <c r="AI326" i="24"/>
  <c r="AI310" i="24"/>
  <c r="AI101" i="24"/>
  <c r="BS115" i="24"/>
  <c r="CK115" i="24" s="1"/>
  <c r="BH424" i="24"/>
  <c r="BH425" i="24" s="1"/>
  <c r="BL5" i="64"/>
  <c r="BL6" i="64" s="1"/>
  <c r="BL424" i="24"/>
  <c r="BL425" i="24" s="1"/>
  <c r="BO5" i="64"/>
  <c r="BO6" i="64" s="1"/>
  <c r="BO424" i="24"/>
  <c r="BO425" i="24" s="1"/>
  <c r="BS263" i="24"/>
  <c r="CJ263" i="24"/>
  <c r="CD57" i="45"/>
  <c r="CD37" i="45" s="1"/>
  <c r="CI53" i="24"/>
  <c r="AY250" i="24"/>
  <c r="AY23" i="24"/>
  <c r="AQ61" i="24"/>
  <c r="AQ23" i="24"/>
  <c r="AQ250" i="24"/>
  <c r="AN336" i="24"/>
  <c r="AF336" i="24"/>
  <c r="BL9" i="24"/>
  <c r="BM11" i="24"/>
  <c r="CK353" i="24"/>
  <c r="Z28" i="55" s="1"/>
  <c r="G28" i="55"/>
  <c r="BB207" i="61"/>
  <c r="BB162" i="61"/>
  <c r="BB160" i="61"/>
  <c r="AX209" i="24"/>
  <c r="AX65" i="24"/>
  <c r="AX216" i="24"/>
  <c r="AO152" i="61"/>
  <c r="AN152" i="61"/>
  <c r="BR149" i="61"/>
  <c r="BF149" i="61"/>
  <c r="AX207" i="61"/>
  <c r="AX162" i="61"/>
  <c r="AX160" i="61"/>
  <c r="I311" i="24"/>
  <c r="I100" i="24"/>
  <c r="I329" i="24"/>
  <c r="Q100" i="24"/>
  <c r="Q329" i="24"/>
  <c r="Q311" i="24"/>
  <c r="Y311" i="24"/>
  <c r="Y329" i="24"/>
  <c r="Y100" i="24"/>
  <c r="AG100" i="24"/>
  <c r="AG329" i="24"/>
  <c r="AG311" i="24"/>
  <c r="AO311" i="24"/>
  <c r="AO100" i="24"/>
  <c r="AO329" i="24"/>
  <c r="AW100" i="24"/>
  <c r="AW329" i="24"/>
  <c r="AW311" i="24"/>
  <c r="O311" i="24"/>
  <c r="O100" i="24"/>
  <c r="O329" i="24"/>
  <c r="W100" i="24"/>
  <c r="W329" i="24"/>
  <c r="W311" i="24"/>
  <c r="AE311" i="24"/>
  <c r="AE329" i="24"/>
  <c r="AE100" i="24"/>
  <c r="AM100" i="24"/>
  <c r="AM329" i="24"/>
  <c r="AM311" i="24"/>
  <c r="T335" i="24"/>
  <c r="AJ335" i="24"/>
  <c r="BQ203" i="24"/>
  <c r="BP222" i="24"/>
  <c r="BP300" i="24"/>
  <c r="BP302" i="24" s="1"/>
  <c r="BP214" i="24"/>
  <c r="BP75" i="24"/>
  <c r="AW257" i="24"/>
  <c r="AW258" i="24"/>
  <c r="BW127" i="24"/>
  <c r="CO127" i="24" s="1"/>
  <c r="CS101" i="24"/>
  <c r="CB101" i="24"/>
  <c r="BD369" i="24"/>
  <c r="BA101" i="24"/>
  <c r="BA310" i="24"/>
  <c r="BA326" i="24"/>
  <c r="U101" i="24"/>
  <c r="U310" i="24"/>
  <c r="U326" i="24"/>
  <c r="BT20" i="61"/>
  <c r="BH20" i="61"/>
  <c r="BS36" i="61"/>
  <c r="BG36" i="61"/>
  <c r="AC143" i="61"/>
  <c r="AD170" i="61"/>
  <c r="AE170" i="61"/>
  <c r="AD218" i="61"/>
  <c r="AD194" i="61"/>
  <c r="AD164" i="24"/>
  <c r="AD140" i="61"/>
  <c r="BE242" i="61"/>
  <c r="BR242" i="61" s="1"/>
  <c r="BE244" i="61"/>
  <c r="BR244" i="61" s="1"/>
  <c r="BE71" i="61"/>
  <c r="BF99" i="61"/>
  <c r="BE68" i="61"/>
  <c r="BR68" i="61" s="1"/>
  <c r="BR99" i="61"/>
  <c r="BE215" i="61"/>
  <c r="BR215" i="61" s="1"/>
  <c r="BE109" i="61"/>
  <c r="BE98" i="61"/>
  <c r="BE72" i="61"/>
  <c r="BE74" i="61"/>
  <c r="BE103" i="61"/>
  <c r="BE47" i="61"/>
  <c r="BE73" i="61"/>
  <c r="BE82" i="61"/>
  <c r="BE97" i="61"/>
  <c r="BF98" i="61"/>
  <c r="BS100" i="61"/>
  <c r="BG100" i="61"/>
  <c r="BF97" i="61"/>
  <c r="BG44" i="61"/>
  <c r="BS44" i="61"/>
  <c r="BG52" i="61"/>
  <c r="BS52" i="61"/>
  <c r="BC121" i="61"/>
  <c r="BD122" i="61"/>
  <c r="F174" i="61"/>
  <c r="G181" i="61"/>
  <c r="M177" i="61"/>
  <c r="M178" i="61"/>
  <c r="M193" i="61"/>
  <c r="U177" i="61"/>
  <c r="U178" i="61"/>
  <c r="U193" i="61"/>
  <c r="AC177" i="61"/>
  <c r="AC178" i="61"/>
  <c r="AC193" i="61"/>
  <c r="AK177" i="61"/>
  <c r="AK178" i="61"/>
  <c r="AK193" i="61"/>
  <c r="AS177" i="61"/>
  <c r="AS178" i="61"/>
  <c r="AS193" i="61"/>
  <c r="AN228" i="61"/>
  <c r="AV228" i="61"/>
  <c r="AR80" i="24"/>
  <c r="AR331" i="24"/>
  <c r="AZ80" i="24"/>
  <c r="AZ331" i="24"/>
  <c r="BF80" i="24"/>
  <c r="BF331" i="24"/>
  <c r="BN80" i="24"/>
  <c r="BN331" i="24"/>
  <c r="F87" i="24"/>
  <c r="F336" i="24"/>
  <c r="AX80" i="24"/>
  <c r="AX331" i="24"/>
  <c r="CK14" i="24"/>
  <c r="BR115" i="24"/>
  <c r="CJ115" i="24" s="1"/>
  <c r="BR143" i="24"/>
  <c r="BR102" i="24"/>
  <c r="CJ102" i="24" s="1"/>
  <c r="CJ103" i="24"/>
  <c r="BI14" i="64"/>
  <c r="BO172" i="24"/>
  <c r="BP426" i="24"/>
  <c r="BO426" i="24"/>
  <c r="BI183" i="24"/>
  <c r="BI186" i="24"/>
  <c r="BI185" i="24"/>
  <c r="CI184" i="24"/>
  <c r="BQ183" i="24"/>
  <c r="BQ186" i="24"/>
  <c r="AL80" i="24"/>
  <c r="AL331" i="24"/>
  <c r="BB80" i="24"/>
  <c r="BB331" i="24"/>
  <c r="F80" i="24"/>
  <c r="F331" i="24"/>
  <c r="H80" i="24"/>
  <c r="H331" i="24"/>
  <c r="J80" i="24"/>
  <c r="J331" i="24"/>
  <c r="L80" i="24"/>
  <c r="L331" i="24"/>
  <c r="N80" i="24"/>
  <c r="N331" i="24"/>
  <c r="P80" i="24"/>
  <c r="P331" i="24"/>
  <c r="R80" i="24"/>
  <c r="R331" i="24"/>
  <c r="T80" i="24"/>
  <c r="T331" i="24"/>
  <c r="V80" i="24"/>
  <c r="V331" i="24"/>
  <c r="X80" i="24"/>
  <c r="X331" i="24"/>
  <c r="Z80" i="24"/>
  <c r="Z331" i="24"/>
  <c r="AB80" i="24"/>
  <c r="AB331" i="24"/>
  <c r="AD80" i="24"/>
  <c r="AD331" i="24"/>
  <c r="AF80" i="24"/>
  <c r="AF331" i="24"/>
  <c r="AH80" i="24"/>
  <c r="AH331" i="24"/>
  <c r="AJ80" i="24"/>
  <c r="AJ331" i="24"/>
  <c r="H228" i="24"/>
  <c r="H237" i="24"/>
  <c r="H37" i="24" s="1"/>
  <c r="H353" i="24"/>
  <c r="I237" i="24"/>
  <c r="I37" i="24" s="1"/>
  <c r="I294" i="24" s="1"/>
  <c r="CJ54" i="24"/>
  <c r="BR353" i="24"/>
  <c r="BJ155" i="24"/>
  <c r="BJ327" i="24"/>
  <c r="BM14" i="64"/>
  <c r="BS172" i="24"/>
  <c r="BS185" i="24" s="1"/>
  <c r="CK185" i="24" s="1"/>
  <c r="CK165" i="24"/>
  <c r="BS426" i="24"/>
  <c r="CK426" i="24" s="1"/>
  <c r="BL186" i="24"/>
  <c r="BL183" i="24"/>
  <c r="K21" i="24"/>
  <c r="K245" i="24"/>
  <c r="K321" i="24"/>
  <c r="K333" i="24"/>
  <c r="K348" i="24"/>
  <c r="K320" i="24"/>
  <c r="K324" i="24"/>
  <c r="K332" i="24"/>
  <c r="K347" i="24"/>
  <c r="K18" i="24"/>
  <c r="K309" i="24"/>
  <c r="K361" i="24" s="1"/>
  <c r="K323" i="24"/>
  <c r="K197" i="24"/>
  <c r="L35" i="64" s="1"/>
  <c r="K322" i="24"/>
  <c r="K337" i="24"/>
  <c r="K8" i="24"/>
  <c r="K331" i="24"/>
  <c r="K318" i="24"/>
  <c r="K73" i="24"/>
  <c r="K319" i="24"/>
  <c r="K314" i="24"/>
  <c r="K305" i="24"/>
  <c r="K330" i="24"/>
  <c r="K52" i="24"/>
  <c r="K339" i="24"/>
  <c r="K327" i="24"/>
  <c r="K435" i="24"/>
  <c r="K329" i="24"/>
  <c r="K326" i="24"/>
  <c r="O21" i="24"/>
  <c r="O245" i="24"/>
  <c r="O321" i="24"/>
  <c r="O333" i="24"/>
  <c r="O348" i="24"/>
  <c r="O320" i="24"/>
  <c r="O324" i="24"/>
  <c r="O332" i="24"/>
  <c r="O347" i="24"/>
  <c r="O52" i="24"/>
  <c r="O319" i="24"/>
  <c r="O339" i="24"/>
  <c r="O314" i="24"/>
  <c r="O327" i="24"/>
  <c r="O331" i="24"/>
  <c r="O318" i="24"/>
  <c r="O18" i="24"/>
  <c r="O323" i="24"/>
  <c r="O322" i="24"/>
  <c r="O8" i="24"/>
  <c r="O73" i="24"/>
  <c r="O309" i="24"/>
  <c r="O361" i="24" s="1"/>
  <c r="O197" i="24"/>
  <c r="P35" i="64" s="1"/>
  <c r="O337" i="24"/>
  <c r="O435" i="24"/>
  <c r="O305" i="24"/>
  <c r="S21" i="24"/>
  <c r="S245" i="24"/>
  <c r="S321" i="24"/>
  <c r="S333" i="24"/>
  <c r="S348" i="24"/>
  <c r="S320" i="24"/>
  <c r="S324" i="24"/>
  <c r="S332" i="24"/>
  <c r="S347" i="24"/>
  <c r="S18" i="24"/>
  <c r="S309" i="24"/>
  <c r="S361" i="24" s="1"/>
  <c r="S323" i="24"/>
  <c r="S197" i="24"/>
  <c r="T35" i="64" s="1"/>
  <c r="S322" i="24"/>
  <c r="S337" i="24"/>
  <c r="S8" i="24"/>
  <c r="S331" i="24"/>
  <c r="S318" i="24"/>
  <c r="S73" i="24"/>
  <c r="S319" i="24"/>
  <c r="S314" i="24"/>
  <c r="S305" i="24"/>
  <c r="S329" i="24"/>
  <c r="S52" i="24"/>
  <c r="S339" i="24"/>
  <c r="S327" i="24"/>
  <c r="S435" i="24"/>
  <c r="S311" i="24"/>
  <c r="S330" i="24"/>
  <c r="W21" i="24"/>
  <c r="W245" i="24"/>
  <c r="W321" i="24"/>
  <c r="W333" i="24"/>
  <c r="W348" i="24"/>
  <c r="W320" i="24"/>
  <c r="W324" i="24"/>
  <c r="W332" i="24"/>
  <c r="W347" i="24"/>
  <c r="W52" i="24"/>
  <c r="W319" i="24"/>
  <c r="W339" i="24"/>
  <c r="W314" i="24"/>
  <c r="W327" i="24"/>
  <c r="W331" i="24"/>
  <c r="W318" i="24"/>
  <c r="W18" i="24"/>
  <c r="W323" i="24"/>
  <c r="W322" i="24"/>
  <c r="W73" i="24"/>
  <c r="W309" i="24"/>
  <c r="W361" i="24" s="1"/>
  <c r="W197" i="24"/>
  <c r="X35" i="64" s="1"/>
  <c r="W337" i="24"/>
  <c r="W8" i="24"/>
  <c r="W435" i="24"/>
  <c r="W305" i="24"/>
  <c r="AA21" i="24"/>
  <c r="AA245" i="24"/>
  <c r="AA321" i="24"/>
  <c r="AA333" i="24"/>
  <c r="AA348" i="24"/>
  <c r="AA320" i="24"/>
  <c r="AA324" i="24"/>
  <c r="AA332" i="24"/>
  <c r="AA347" i="24"/>
  <c r="AA18" i="24"/>
  <c r="AA309" i="24"/>
  <c r="AA361" i="24" s="1"/>
  <c r="AA323" i="24"/>
  <c r="AA197" i="24"/>
  <c r="AB35" i="64" s="1"/>
  <c r="AA322" i="24"/>
  <c r="AA337" i="24"/>
  <c r="AA8" i="24"/>
  <c r="AA331" i="24"/>
  <c r="AA318" i="24"/>
  <c r="AA73" i="24"/>
  <c r="AA319" i="24"/>
  <c r="AA314" i="24"/>
  <c r="AA305" i="24"/>
  <c r="AA330" i="24"/>
  <c r="AA52" i="24"/>
  <c r="AA339" i="24"/>
  <c r="AA327" i="24"/>
  <c r="AA435" i="24"/>
  <c r="AA329" i="24"/>
  <c r="AA310" i="24"/>
  <c r="AE434" i="24"/>
  <c r="AE21" i="24"/>
  <c r="AE245" i="24"/>
  <c r="AE321" i="24"/>
  <c r="AE333" i="24"/>
  <c r="AE348" i="24"/>
  <c r="AE320" i="24"/>
  <c r="AE324" i="24"/>
  <c r="AE332" i="24"/>
  <c r="AE347" i="24"/>
  <c r="AE52" i="24"/>
  <c r="AE319" i="24"/>
  <c r="AE339" i="24"/>
  <c r="AE314" i="24"/>
  <c r="AE327" i="24"/>
  <c r="AE331" i="24"/>
  <c r="AE318" i="24"/>
  <c r="AE18" i="24"/>
  <c r="AE323" i="24"/>
  <c r="AE322" i="24"/>
  <c r="AE8" i="24"/>
  <c r="AE73" i="24"/>
  <c r="AE309" i="24"/>
  <c r="AE361" i="24" s="1"/>
  <c r="AE197" i="24"/>
  <c r="AF35" i="64" s="1"/>
  <c r="AE337" i="24"/>
  <c r="AE435" i="24"/>
  <c r="AE305" i="24"/>
  <c r="AI434" i="24"/>
  <c r="AI21" i="24"/>
  <c r="AI245" i="24"/>
  <c r="AI321" i="24"/>
  <c r="AI333" i="24"/>
  <c r="AI348" i="24"/>
  <c r="AI320" i="24"/>
  <c r="AI324" i="24"/>
  <c r="AI332" i="24"/>
  <c r="AI347" i="24"/>
  <c r="AI18" i="24"/>
  <c r="AI309" i="24"/>
  <c r="AI361" i="24" s="1"/>
  <c r="AI323" i="24"/>
  <c r="AI197" i="24"/>
  <c r="AJ35" i="64" s="1"/>
  <c r="AI322" i="24"/>
  <c r="AI337" i="24"/>
  <c r="AI8" i="24"/>
  <c r="AI336" i="24"/>
  <c r="AI331" i="24"/>
  <c r="AI318" i="24"/>
  <c r="AI73" i="24"/>
  <c r="AI319" i="24"/>
  <c r="AI314" i="24"/>
  <c r="AI305" i="24"/>
  <c r="AI329" i="24"/>
  <c r="AI52" i="24"/>
  <c r="AI339" i="24"/>
  <c r="AI327" i="24"/>
  <c r="AI435" i="24"/>
  <c r="AI330" i="24"/>
  <c r="AI311" i="24"/>
  <c r="AM434" i="24"/>
  <c r="AM21" i="24"/>
  <c r="AM245" i="24"/>
  <c r="AM321" i="24"/>
  <c r="AM333" i="24"/>
  <c r="AM348" i="24"/>
  <c r="AM320" i="24"/>
  <c r="AM324" i="24"/>
  <c r="AM332" i="24"/>
  <c r="AM347" i="24"/>
  <c r="AM52" i="24"/>
  <c r="AM319" i="24"/>
  <c r="AM339" i="24"/>
  <c r="AM314" i="24"/>
  <c r="AM327" i="24"/>
  <c r="AM336" i="24"/>
  <c r="AM331" i="24"/>
  <c r="AM318" i="24"/>
  <c r="AM18" i="24"/>
  <c r="AM323" i="24"/>
  <c r="AM322" i="24"/>
  <c r="AM73" i="24"/>
  <c r="AM309" i="24"/>
  <c r="AM361" i="24" s="1"/>
  <c r="AM197" i="24"/>
  <c r="AN35" i="64" s="1"/>
  <c r="AM337" i="24"/>
  <c r="AM8" i="24"/>
  <c r="AM435" i="24"/>
  <c r="AM305" i="24"/>
  <c r="AM335" i="24"/>
  <c r="F339" i="24"/>
  <c r="F309" i="24"/>
  <c r="F361" i="24" s="1"/>
  <c r="F305" i="24"/>
  <c r="F197" i="24"/>
  <c r="F320" i="24"/>
  <c r="F324" i="24"/>
  <c r="F347" i="24"/>
  <c r="F319" i="24"/>
  <c r="F323" i="24"/>
  <c r="F318" i="24"/>
  <c r="F52" i="24"/>
  <c r="F314" i="24"/>
  <c r="F327" i="24"/>
  <c r="F337" i="24"/>
  <c r="F321" i="24"/>
  <c r="F333" i="24"/>
  <c r="G18" i="24"/>
  <c r="F245" i="24"/>
  <c r="F322" i="24"/>
  <c r="F332" i="24"/>
  <c r="F348" i="24"/>
  <c r="G73" i="24"/>
  <c r="BB28" i="24"/>
  <c r="BB284" i="24" s="1"/>
  <c r="BC28" i="24"/>
  <c r="BC284" i="24" s="1"/>
  <c r="I7" i="24"/>
  <c r="I26" i="24"/>
  <c r="I282" i="24" s="1"/>
  <c r="I262" i="24"/>
  <c r="I22" i="24"/>
  <c r="I313" i="24"/>
  <c r="I384" i="24"/>
  <c r="M7" i="24"/>
  <c r="N46" i="24"/>
  <c r="M262" i="24"/>
  <c r="M22" i="24"/>
  <c r="M313" i="24"/>
  <c r="M384" i="24"/>
  <c r="U7" i="24"/>
  <c r="U26" i="24"/>
  <c r="U282" i="24" s="1"/>
  <c r="U262" i="24"/>
  <c r="U22" i="24"/>
  <c r="U313" i="24"/>
  <c r="U384" i="24"/>
  <c r="Y7" i="24"/>
  <c r="Z46" i="24"/>
  <c r="Y262" i="24"/>
  <c r="Y22" i="24"/>
  <c r="Y313" i="24"/>
  <c r="Y384" i="24"/>
  <c r="AC7" i="24"/>
  <c r="AD46" i="24"/>
  <c r="AC262" i="24"/>
  <c r="AC22" i="24"/>
  <c r="AC313" i="24"/>
  <c r="AC384" i="24"/>
  <c r="AG7" i="24"/>
  <c r="AG26" i="24"/>
  <c r="AG282" i="24" s="1"/>
  <c r="AG262" i="24"/>
  <c r="AG22" i="24"/>
  <c r="AG313" i="24"/>
  <c r="AG384" i="24"/>
  <c r="AK7" i="24"/>
  <c r="AL46" i="24"/>
  <c r="AK262" i="24"/>
  <c r="AK22" i="24"/>
  <c r="AK313" i="24"/>
  <c r="AK384" i="24"/>
  <c r="AO7" i="24"/>
  <c r="AO262" i="24"/>
  <c r="AO22" i="24"/>
  <c r="AO313" i="24"/>
  <c r="AO384" i="24"/>
  <c r="AS7" i="24"/>
  <c r="AS26" i="24"/>
  <c r="AT46" i="24"/>
  <c r="AS262" i="24"/>
  <c r="AS22" i="24"/>
  <c r="AS313" i="24"/>
  <c r="AS384" i="24"/>
  <c r="AW7" i="24"/>
  <c r="AW26" i="24"/>
  <c r="AX46" i="24"/>
  <c r="AW262" i="24"/>
  <c r="AW22" i="24"/>
  <c r="AW313" i="24"/>
  <c r="AW384" i="24"/>
  <c r="BA7" i="24"/>
  <c r="BA26" i="24"/>
  <c r="BB46" i="24"/>
  <c r="BA262" i="24"/>
  <c r="BA22" i="24"/>
  <c r="BA313" i="24"/>
  <c r="BA384" i="24"/>
  <c r="J353" i="24"/>
  <c r="J53" i="24"/>
  <c r="P21" i="24"/>
  <c r="P245" i="24"/>
  <c r="P320" i="24"/>
  <c r="P324" i="24"/>
  <c r="P337" i="24"/>
  <c r="P321" i="24"/>
  <c r="P333" i="24"/>
  <c r="P435" i="24"/>
  <c r="P18" i="24"/>
  <c r="P314" i="24"/>
  <c r="P327" i="24"/>
  <c r="P347" i="24"/>
  <c r="P323" i="24"/>
  <c r="P348" i="24"/>
  <c r="Q73" i="24"/>
  <c r="P339" i="24"/>
  <c r="P197" i="24"/>
  <c r="Q35" i="64" s="1"/>
  <c r="P305" i="24"/>
  <c r="P52" i="24"/>
  <c r="P332" i="24"/>
  <c r="Q18" i="24"/>
  <c r="P73" i="24"/>
  <c r="P318" i="24"/>
  <c r="P322" i="24"/>
  <c r="P319" i="24"/>
  <c r="P8" i="24"/>
  <c r="P309" i="24"/>
  <c r="P361" i="24" s="1"/>
  <c r="R353" i="24"/>
  <c r="R53" i="24"/>
  <c r="X21" i="24"/>
  <c r="X245" i="24"/>
  <c r="X320" i="24"/>
  <c r="X324" i="24"/>
  <c r="X337" i="24"/>
  <c r="X321" i="24"/>
  <c r="X333" i="24"/>
  <c r="X435" i="24"/>
  <c r="X18" i="24"/>
  <c r="X314" i="24"/>
  <c r="X327" i="24"/>
  <c r="X347" i="24"/>
  <c r="X323" i="24"/>
  <c r="X348" i="24"/>
  <c r="Y73" i="24"/>
  <c r="X339" i="24"/>
  <c r="X197" i="24"/>
  <c r="Y35" i="64" s="1"/>
  <c r="X305" i="24"/>
  <c r="X52" i="24"/>
  <c r="X332" i="24"/>
  <c r="X8" i="24"/>
  <c r="Y18" i="24"/>
  <c r="X73" i="24"/>
  <c r="X318" i="24"/>
  <c r="X322" i="24"/>
  <c r="X319" i="24"/>
  <c r="X309" i="24"/>
  <c r="X361" i="24" s="1"/>
  <c r="Z353" i="24"/>
  <c r="Z53" i="24"/>
  <c r="AD353" i="24"/>
  <c r="AD53" i="24"/>
  <c r="AH353" i="24"/>
  <c r="AH53" i="24"/>
  <c r="AL353" i="24"/>
  <c r="AL53" i="24"/>
  <c r="AP353" i="24"/>
  <c r="AP53" i="24"/>
  <c r="AR246" i="24"/>
  <c r="AR356" i="24" s="1"/>
  <c r="AV246" i="24"/>
  <c r="AV356" i="24" s="1"/>
  <c r="AX353" i="24"/>
  <c r="AX53" i="24"/>
  <c r="AZ246" i="24"/>
  <c r="AZ356" i="24" s="1"/>
  <c r="BB353" i="24"/>
  <c r="BB53" i="24"/>
  <c r="BD246" i="24"/>
  <c r="BD356" i="24" s="1"/>
  <c r="BH22" i="24"/>
  <c r="BH313" i="24"/>
  <c r="BH7" i="24"/>
  <c r="BH262" i="24"/>
  <c r="BH26" i="24"/>
  <c r="BH384" i="24"/>
  <c r="BJ353" i="24"/>
  <c r="BJ53" i="24"/>
  <c r="BM35" i="64"/>
  <c r="BP246" i="24"/>
  <c r="BK129" i="52"/>
  <c r="BK180" i="52"/>
  <c r="BS342" i="52"/>
  <c r="BN107" i="24"/>
  <c r="BN113" i="24"/>
  <c r="BN102" i="24"/>
  <c r="BP107" i="24"/>
  <c r="BP102" i="24"/>
  <c r="BP113" i="24"/>
  <c r="BR309" i="24"/>
  <c r="BR339" i="24"/>
  <c r="CJ339" i="24" s="1"/>
  <c r="CJ341" i="24"/>
  <c r="BW474" i="52"/>
  <c r="CL103" i="24"/>
  <c r="BT143" i="24"/>
  <c r="BT144" i="24" s="1"/>
  <c r="CL144" i="24" s="1"/>
  <c r="CL160" i="24"/>
  <c r="BT156" i="24"/>
  <c r="BT187" i="24"/>
  <c r="K10" i="71"/>
  <c r="BT65" i="45"/>
  <c r="H4" i="55"/>
  <c r="K11" i="71" s="1"/>
  <c r="BQ234" i="52"/>
  <c r="BQ65" i="45"/>
  <c r="BP65" i="45"/>
  <c r="BN234" i="24"/>
  <c r="BM233" i="24"/>
  <c r="BS234" i="24"/>
  <c r="J303" i="24"/>
  <c r="J377" i="24"/>
  <c r="N377" i="24"/>
  <c r="N303" i="24"/>
  <c r="P303" i="24"/>
  <c r="P377" i="24"/>
  <c r="R303" i="24"/>
  <c r="R377" i="24"/>
  <c r="Z303" i="24"/>
  <c r="Z377" i="24"/>
  <c r="AC377" i="24"/>
  <c r="AC303" i="24"/>
  <c r="AD377" i="24"/>
  <c r="AD303" i="24"/>
  <c r="AF303" i="24"/>
  <c r="AF377" i="24"/>
  <c r="AG377" i="24"/>
  <c r="AG303" i="24"/>
  <c r="AH303" i="24"/>
  <c r="AH377" i="24"/>
  <c r="AP303" i="24"/>
  <c r="AP377" i="24"/>
  <c r="AS377" i="24"/>
  <c r="AS303" i="24"/>
  <c r="AT377" i="24"/>
  <c r="AT303" i="24"/>
  <c r="AV303" i="24"/>
  <c r="AV377" i="24"/>
  <c r="AW377" i="24"/>
  <c r="AW303" i="24"/>
  <c r="AX303" i="24"/>
  <c r="AX377" i="24"/>
  <c r="BA377" i="24"/>
  <c r="BA303" i="24"/>
  <c r="Q381" i="24"/>
  <c r="P385" i="24"/>
  <c r="Q380" i="24"/>
  <c r="Q378" i="24" s="1"/>
  <c r="S27" i="24"/>
  <c r="S283" i="24" s="1"/>
  <c r="S294" i="24"/>
  <c r="AG381" i="24"/>
  <c r="AF385" i="24"/>
  <c r="AG380" i="24"/>
  <c r="AI27" i="24"/>
  <c r="AI283" i="24" s="1"/>
  <c r="AI294" i="24"/>
  <c r="AW381" i="24"/>
  <c r="AV385" i="24"/>
  <c r="AW380" i="24"/>
  <c r="AY27" i="24"/>
  <c r="AY283" i="24" s="1"/>
  <c r="AY294" i="24"/>
  <c r="I385" i="24"/>
  <c r="J381" i="24"/>
  <c r="J380" i="24"/>
  <c r="M385" i="24"/>
  <c r="O385" i="24"/>
  <c r="P381" i="24"/>
  <c r="P380" i="24"/>
  <c r="Q385" i="24"/>
  <c r="R381" i="24"/>
  <c r="R380" i="24"/>
  <c r="U385" i="24"/>
  <c r="V380" i="24"/>
  <c r="V381" i="24"/>
  <c r="W385" i="24"/>
  <c r="Y380" i="24"/>
  <c r="X381" i="24"/>
  <c r="X380" i="24"/>
  <c r="AI385" i="24"/>
  <c r="AJ381" i="24"/>
  <c r="AJ380" i="24"/>
  <c r="AS385" i="24"/>
  <c r="AT380" i="24"/>
  <c r="AT381" i="24"/>
  <c r="AU385" i="24"/>
  <c r="AV381" i="24"/>
  <c r="AV380" i="24"/>
  <c r="CJ125" i="24"/>
  <c r="BR392" i="24"/>
  <c r="CJ392" i="24" s="1"/>
  <c r="BR319" i="24"/>
  <c r="CJ319" i="24" s="1"/>
  <c r="BR124" i="24"/>
  <c r="BV243" i="24"/>
  <c r="CN243" i="24" s="1"/>
  <c r="BW21" i="45"/>
  <c r="CJ327" i="24"/>
  <c r="Y10" i="55" s="1"/>
  <c r="F10" i="55"/>
  <c r="H7" i="24"/>
  <c r="H26" i="24"/>
  <c r="H262" i="24"/>
  <c r="H384" i="24"/>
  <c r="H22" i="24"/>
  <c r="H313" i="24"/>
  <c r="I33" i="24"/>
  <c r="J35" i="52"/>
  <c r="I366" i="24"/>
  <c r="H53" i="24"/>
  <c r="AC61" i="24"/>
  <c r="AC23" i="24"/>
  <c r="AC250" i="24"/>
  <c r="CJ379" i="24"/>
  <c r="Z378" i="24"/>
  <c r="AM155" i="61"/>
  <c r="AC434" i="24"/>
  <c r="AC180" i="24"/>
  <c r="AT160" i="61"/>
  <c r="AU91" i="61" s="1"/>
  <c r="AV91" i="61" s="1"/>
  <c r="AW91" i="61" s="1"/>
  <c r="AX91" i="61" s="1"/>
  <c r="AY91" i="61" s="1"/>
  <c r="AT162" i="61"/>
  <c r="BD126" i="61"/>
  <c r="O312" i="24"/>
  <c r="O335" i="24"/>
  <c r="AE312" i="24"/>
  <c r="AE335" i="24"/>
  <c r="X139" i="61"/>
  <c r="W139" i="61" s="1"/>
  <c r="V139" i="61" s="1"/>
  <c r="U139" i="61" s="1"/>
  <c r="T139" i="61" s="1"/>
  <c r="S139" i="61" s="1"/>
  <c r="R139" i="61" s="1"/>
  <c r="Q139" i="61" s="1"/>
  <c r="P139" i="61" s="1"/>
  <c r="O139" i="61" s="1"/>
  <c r="N139" i="61" s="1"/>
  <c r="M139" i="61" s="1"/>
  <c r="L139" i="61" s="1"/>
  <c r="K139" i="61" s="1"/>
  <c r="J139" i="61" s="1"/>
  <c r="I139" i="61" s="1"/>
  <c r="H139" i="61" s="1"/>
  <c r="G139" i="61" s="1"/>
  <c r="AJ136" i="61"/>
  <c r="BN312" i="24"/>
  <c r="BN335" i="24"/>
  <c r="BK175" i="24"/>
  <c r="BK344" i="24"/>
  <c r="BK345" i="24"/>
  <c r="BK176" i="24"/>
  <c r="BK347" i="24"/>
  <c r="BK348" i="24"/>
  <c r="BC61" i="24"/>
  <c r="BC250" i="24"/>
  <c r="BC23" i="24"/>
  <c r="J299" i="24"/>
  <c r="J367" i="24" s="1"/>
  <c r="J32" i="24"/>
  <c r="J288" i="24" s="1"/>
  <c r="J365" i="24" s="1"/>
  <c r="BE89" i="61"/>
  <c r="BF92" i="61"/>
  <c r="BE93" i="61"/>
  <c r="BE210" i="61"/>
  <c r="BR210" i="61" s="1"/>
  <c r="BR92" i="61"/>
  <c r="BE210" i="24"/>
  <c r="CI79" i="24"/>
  <c r="BQ311" i="24"/>
  <c r="CI311" i="24" s="1"/>
  <c r="BQ329" i="24"/>
  <c r="CI329" i="24" s="1"/>
  <c r="X312" i="24"/>
  <c r="X335" i="24"/>
  <c r="AN312" i="24"/>
  <c r="AN335" i="24"/>
  <c r="AK380" i="24"/>
  <c r="AK378" i="24" s="1"/>
  <c r="AS311" i="24"/>
  <c r="AS100" i="24"/>
  <c r="AS329" i="24"/>
  <c r="M311" i="24"/>
  <c r="M100" i="24"/>
  <c r="M329" i="24"/>
  <c r="AI335" i="24"/>
  <c r="S335" i="24"/>
  <c r="BV94" i="61"/>
  <c r="BJ94" i="61"/>
  <c r="S101" i="24"/>
  <c r="S310" i="24"/>
  <c r="S326" i="24"/>
  <c r="AY101" i="24"/>
  <c r="AY310" i="24"/>
  <c r="AY326" i="24"/>
  <c r="BS410" i="24"/>
  <c r="CK410" i="24" s="1"/>
  <c r="BS144" i="24"/>
  <c r="CK143" i="24"/>
  <c r="BJ5" i="64"/>
  <c r="BJ6" i="64" s="1"/>
  <c r="BJ424" i="24"/>
  <c r="BJ425" i="24" s="1"/>
  <c r="BP424" i="24"/>
  <c r="BP425" i="24" s="1"/>
  <c r="BP5" i="64"/>
  <c r="BP6" i="64" s="1"/>
  <c r="BE186" i="52"/>
  <c r="AM380" i="24"/>
  <c r="AM381" i="24"/>
  <c r="AL385" i="24"/>
  <c r="AI380" i="24"/>
  <c r="AI381" i="24"/>
  <c r="AH385" i="24"/>
  <c r="CI353" i="24"/>
  <c r="X28" i="55" s="1"/>
  <c r="E28" i="55"/>
  <c r="BG23" i="24"/>
  <c r="BG250" i="24"/>
  <c r="BR5" i="64"/>
  <c r="BR6" i="64" s="1"/>
  <c r="CJ156" i="24"/>
  <c r="BR424" i="24"/>
  <c r="BM5" i="64"/>
  <c r="BM6" i="64" s="1"/>
  <c r="BM424" i="24"/>
  <c r="BM425" i="24" s="1"/>
  <c r="BI5" i="64"/>
  <c r="BI6" i="64" s="1"/>
  <c r="BI424" i="24"/>
  <c r="BI425" i="24" s="1"/>
  <c r="AJ336" i="24"/>
  <c r="AB336" i="24"/>
  <c r="T336" i="24"/>
  <c r="L336" i="24"/>
  <c r="BJ7" i="24"/>
  <c r="BJ26" i="24"/>
  <c r="BJ262" i="24"/>
  <c r="BJ384" i="24"/>
  <c r="BJ22" i="24"/>
  <c r="BJ313" i="24"/>
  <c r="AA336" i="24"/>
  <c r="S336" i="24"/>
  <c r="K336" i="24"/>
  <c r="CK53" i="24"/>
  <c r="AK135" i="61"/>
  <c r="AJ135" i="61" s="1"/>
  <c r="AI135" i="61" s="1"/>
  <c r="AH135" i="61" s="1"/>
  <c r="AG135" i="61" s="1"/>
  <c r="AF135" i="61" s="1"/>
  <c r="AE135" i="61" s="1"/>
  <c r="AD135" i="61" s="1"/>
  <c r="AC135" i="61" s="1"/>
  <c r="AB135" i="61" s="1"/>
  <c r="AA135" i="61" s="1"/>
  <c r="Z135" i="61" s="1"/>
  <c r="Y135" i="61" s="1"/>
  <c r="X135" i="61" s="1"/>
  <c r="W135" i="61" s="1"/>
  <c r="V135" i="61" s="1"/>
  <c r="U135" i="61" s="1"/>
  <c r="T135" i="61" s="1"/>
  <c r="S135" i="61" s="1"/>
  <c r="R135" i="61" s="1"/>
  <c r="Q135" i="61" s="1"/>
  <c r="P135" i="61" s="1"/>
  <c r="O135" i="61" s="1"/>
  <c r="N135" i="61" s="1"/>
  <c r="M135" i="61" s="1"/>
  <c r="L135" i="61" s="1"/>
  <c r="K135" i="61" s="1"/>
  <c r="J135" i="61" s="1"/>
  <c r="I135" i="61" s="1"/>
  <c r="H135" i="61" s="1"/>
  <c r="G135" i="61" s="1"/>
  <c r="F135" i="61" s="1"/>
  <c r="AL153" i="61"/>
  <c r="BC105" i="61"/>
  <c r="BC84" i="61" s="1"/>
  <c r="BG95" i="61"/>
  <c r="BS95" i="61"/>
  <c r="K312" i="24"/>
  <c r="AA312" i="24"/>
  <c r="AN155" i="61"/>
  <c r="O330" i="24"/>
  <c r="W330" i="24"/>
  <c r="AE330" i="24"/>
  <c r="AM330" i="24"/>
  <c r="L335" i="24"/>
  <c r="AB335" i="24"/>
  <c r="BL429" i="24"/>
  <c r="K311" i="24"/>
  <c r="AK326" i="24"/>
  <c r="AK310" i="24"/>
  <c r="AK101" i="24"/>
  <c r="BC187" i="52"/>
  <c r="BB189" i="52"/>
  <c r="BB188" i="52"/>
  <c r="BI26" i="24"/>
  <c r="BI282" i="24" s="1"/>
  <c r="AA326" i="24"/>
  <c r="D379" i="24" l="1"/>
  <c r="CE155" i="24"/>
  <c r="CV155" i="24"/>
  <c r="CN195" i="24"/>
  <c r="BV278" i="24"/>
  <c r="CN278" i="24" s="1"/>
  <c r="CL194" i="24"/>
  <c r="BT277" i="24"/>
  <c r="CL277" i="24" s="1"/>
  <c r="BV23" i="45"/>
  <c r="BU193" i="24"/>
  <c r="CG115" i="24"/>
  <c r="CY115" i="24" s="1"/>
  <c r="CX115" i="24"/>
  <c r="AU153" i="61"/>
  <c r="AU152" i="61" s="1"/>
  <c r="AU154" i="61"/>
  <c r="AU155" i="61" s="1"/>
  <c r="AV136" i="61"/>
  <c r="BV274" i="24"/>
  <c r="BI22" i="61"/>
  <c r="BU22" i="61"/>
  <c r="BT346" i="24"/>
  <c r="CL346" i="24" s="1"/>
  <c r="CL192" i="24"/>
  <c r="AY162" i="61"/>
  <c r="AY160" i="61"/>
  <c r="AY207" i="61"/>
  <c r="BI58" i="61"/>
  <c r="BU58" i="61"/>
  <c r="AZ91" i="61"/>
  <c r="BA91" i="61" s="1"/>
  <c r="BB91" i="61" s="1"/>
  <c r="BC91" i="61" s="1"/>
  <c r="AT139" i="61"/>
  <c r="AU139" i="61" s="1"/>
  <c r="AV139" i="61" s="1"/>
  <c r="AW139" i="61" s="1"/>
  <c r="AX139" i="61" s="1"/>
  <c r="AY139" i="61" s="1"/>
  <c r="AZ139" i="61" s="1"/>
  <c r="BA139" i="61" s="1"/>
  <c r="BB139" i="61" s="1"/>
  <c r="G182" i="61"/>
  <c r="Y378" i="24"/>
  <c r="I380" i="24"/>
  <c r="I378" i="24" s="1"/>
  <c r="AX8" i="70"/>
  <c r="AY8" i="70" s="1"/>
  <c r="AZ8" i="70" s="1"/>
  <c r="BA8" i="70" s="1"/>
  <c r="BB8" i="70" s="1"/>
  <c r="BC8" i="70" s="1"/>
  <c r="BD8" i="70" s="1"/>
  <c r="BE8" i="70" s="1"/>
  <c r="BF8" i="70" s="1"/>
  <c r="BG8" i="70" s="1"/>
  <c r="BH8" i="70" s="1"/>
  <c r="BI8" i="70" s="1"/>
  <c r="AL6" i="70"/>
  <c r="BX25" i="45"/>
  <c r="BW195" i="24"/>
  <c r="BV24" i="45"/>
  <c r="BU194" i="24"/>
  <c r="CI327" i="24"/>
  <c r="X10" i="55" s="1"/>
  <c r="E10" i="55"/>
  <c r="BG171" i="61"/>
  <c r="BS171" i="61"/>
  <c r="AO182" i="61"/>
  <c r="AI182" i="61"/>
  <c r="AG182" i="61"/>
  <c r="AA182" i="61"/>
  <c r="Y182" i="61"/>
  <c r="S182" i="61"/>
  <c r="Q182" i="61"/>
  <c r="K182" i="61"/>
  <c r="I182" i="61"/>
  <c r="BT46" i="61"/>
  <c r="BH46" i="61"/>
  <c r="BT37" i="61"/>
  <c r="BH37" i="61"/>
  <c r="BO112" i="61"/>
  <c r="CB112" i="61" s="1"/>
  <c r="CA112" i="61"/>
  <c r="AU250" i="24"/>
  <c r="AU23" i="24"/>
  <c r="AU61" i="24"/>
  <c r="BV22" i="45"/>
  <c r="BU192" i="24"/>
  <c r="BB108" i="61"/>
  <c r="BA168" i="61"/>
  <c r="AK353" i="24"/>
  <c r="AK53" i="24"/>
  <c r="M53" i="24"/>
  <c r="M353" i="24"/>
  <c r="BV103" i="24"/>
  <c r="BV143" i="24" s="1"/>
  <c r="BK429" i="24"/>
  <c r="AP380" i="24"/>
  <c r="J378" i="24"/>
  <c r="AG378" i="24"/>
  <c r="BJ294" i="24"/>
  <c r="BM198" i="24"/>
  <c r="Q22" i="24"/>
  <c r="L45" i="52"/>
  <c r="L368" i="24" s="1"/>
  <c r="AR378" i="24"/>
  <c r="AO27" i="24"/>
  <c r="AO283" i="24" s="1"/>
  <c r="R27" i="24"/>
  <c r="R283" i="24" s="1"/>
  <c r="BP136" i="24"/>
  <c r="E379" i="24"/>
  <c r="AK9" i="70"/>
  <c r="AL9" i="70" s="1"/>
  <c r="AM9" i="70" s="1"/>
  <c r="AN9" i="70" s="1"/>
  <c r="AO9" i="70" s="1"/>
  <c r="AP9" i="70" s="1"/>
  <c r="AQ9" i="70" s="1"/>
  <c r="AR9" i="70" s="1"/>
  <c r="AS9" i="70" s="1"/>
  <c r="AT9" i="70" s="1"/>
  <c r="AU9" i="70" s="1"/>
  <c r="AV9" i="70" s="1"/>
  <c r="AW9" i="70" s="1"/>
  <c r="AX9" i="70" s="1"/>
  <c r="AY9" i="70" s="1"/>
  <c r="AZ9" i="70" s="1"/>
  <c r="BA9" i="70" s="1"/>
  <c r="BB9" i="70" s="1"/>
  <c r="BC9" i="70" s="1"/>
  <c r="BD9" i="70" s="1"/>
  <c r="G262" i="24"/>
  <c r="G384" i="24"/>
  <c r="P6" i="70"/>
  <c r="O6" i="70"/>
  <c r="BB39" i="24"/>
  <c r="BA39" i="24"/>
  <c r="BD6" i="70"/>
  <c r="BA6" i="70"/>
  <c r="Y6" i="70"/>
  <c r="Z6" i="70"/>
  <c r="BJ8" i="70"/>
  <c r="BK8" i="70" s="1"/>
  <c r="BL8" i="70" s="1"/>
  <c r="BM8" i="70" s="1"/>
  <c r="BN8" i="70" s="1"/>
  <c r="BO8" i="70" s="1"/>
  <c r="BP8" i="70" s="1"/>
  <c r="BQ8" i="70" s="1"/>
  <c r="BR8" i="70" s="1"/>
  <c r="BS8" i="70" s="1"/>
  <c r="BC127" i="24"/>
  <c r="BC130" i="24"/>
  <c r="BC397" i="24" s="1"/>
  <c r="BC393" i="24"/>
  <c r="BG5" i="64"/>
  <c r="BG6" i="64" s="1"/>
  <c r="AW385" i="24"/>
  <c r="AP381" i="24"/>
  <c r="AP378" i="24" s="1"/>
  <c r="V46" i="24"/>
  <c r="K48" i="52"/>
  <c r="G353" i="24"/>
  <c r="AH27" i="24"/>
  <c r="AH283" i="24" s="1"/>
  <c r="J27" i="24"/>
  <c r="J283" i="24" s="1"/>
  <c r="BF258" i="24"/>
  <c r="G22" i="24"/>
  <c r="AM6" i="70"/>
  <c r="AN6" i="70"/>
  <c r="Q6" i="70"/>
  <c r="R6" i="70"/>
  <c r="AE6" i="70"/>
  <c r="AF6" i="70"/>
  <c r="N380" i="24"/>
  <c r="Q377" i="24"/>
  <c r="AH46" i="24"/>
  <c r="CK146" i="24"/>
  <c r="BS413" i="24"/>
  <c r="CK413" i="24" s="1"/>
  <c r="H380" i="24"/>
  <c r="Z27" i="24"/>
  <c r="Z283" i="24" s="1"/>
  <c r="BT35" i="64"/>
  <c r="BP61" i="24"/>
  <c r="BG347" i="24"/>
  <c r="CB315" i="52"/>
  <c r="CA128" i="24"/>
  <c r="CS128" i="24" s="1"/>
  <c r="CA26" i="45"/>
  <c r="AB6" i="70"/>
  <c r="AV6" i="70"/>
  <c r="AU6" i="70"/>
  <c r="AP6" i="70"/>
  <c r="BA130" i="24"/>
  <c r="BA127" i="24"/>
  <c r="X6" i="70"/>
  <c r="BQ433" i="24"/>
  <c r="CI191" i="24"/>
  <c r="Q262" i="24"/>
  <c r="CI156" i="24"/>
  <c r="BU202" i="24"/>
  <c r="BD31" i="24"/>
  <c r="BD287" i="24" s="1"/>
  <c r="G385" i="24"/>
  <c r="BT411" i="24"/>
  <c r="CL411" i="24" s="1"/>
  <c r="BG185" i="24"/>
  <c r="AY262" i="24"/>
  <c r="BS198" i="24"/>
  <c r="CK198" i="24" s="1"/>
  <c r="BG348" i="24"/>
  <c r="AR23" i="24"/>
  <c r="AR61" i="24"/>
  <c r="AR250" i="24"/>
  <c r="AY313" i="24"/>
  <c r="AY22" i="24"/>
  <c r="AY7" i="24"/>
  <c r="AY384" i="24"/>
  <c r="M303" i="24"/>
  <c r="I42" i="24"/>
  <c r="N381" i="24"/>
  <c r="AW378" i="24"/>
  <c r="AN380" i="24"/>
  <c r="AA294" i="24"/>
  <c r="O380" i="24"/>
  <c r="AZ46" i="24"/>
  <c r="T294" i="24"/>
  <c r="CK197" i="24"/>
  <c r="Z30" i="55" s="1"/>
  <c r="F385" i="24"/>
  <c r="BG345" i="24"/>
  <c r="BG175" i="24"/>
  <c r="AV23" i="24"/>
  <c r="AV250" i="24"/>
  <c r="CI197" i="24"/>
  <c r="X30" i="55" s="1"/>
  <c r="E30" i="55"/>
  <c r="BR35" i="64"/>
  <c r="AB27" i="24"/>
  <c r="AB283" i="24" s="1"/>
  <c r="AB294" i="24"/>
  <c r="D31" i="55"/>
  <c r="AX380" i="24"/>
  <c r="AP46" i="24"/>
  <c r="Q384" i="24"/>
  <c r="R46" i="24"/>
  <c r="J42" i="24"/>
  <c r="K32" i="24"/>
  <c r="K288" i="24" s="1"/>
  <c r="BL27" i="24"/>
  <c r="BL283" i="24" s="1"/>
  <c r="BQ5" i="64"/>
  <c r="BQ6" i="64" s="1"/>
  <c r="I46" i="24"/>
  <c r="Q313" i="24"/>
  <c r="J46" i="24"/>
  <c r="BI268" i="24"/>
  <c r="BH268" i="24" s="1"/>
  <c r="BG268" i="24" s="1"/>
  <c r="BF268" i="24" s="1"/>
  <c r="BP63" i="24"/>
  <c r="AN381" i="24"/>
  <c r="H381" i="24"/>
  <c r="AG27" i="24"/>
  <c r="AG283" i="24" s="1"/>
  <c r="Q27" i="24"/>
  <c r="Q283" i="24" s="1"/>
  <c r="AR31" i="24"/>
  <c r="AR287" i="24" s="1"/>
  <c r="BG176" i="24"/>
  <c r="AO269" i="24"/>
  <c r="AN269" i="24" s="1"/>
  <c r="AM269" i="24" s="1"/>
  <c r="AL269" i="24" s="1"/>
  <c r="AK269" i="24" s="1"/>
  <c r="AJ269" i="24" s="1"/>
  <c r="AI269" i="24" s="1"/>
  <c r="AH269" i="24" s="1"/>
  <c r="AG269" i="24" s="1"/>
  <c r="AF269" i="24" s="1"/>
  <c r="AE269" i="24" s="1"/>
  <c r="AD269" i="24" s="1"/>
  <c r="AC269" i="24" s="1"/>
  <c r="AB269" i="24" s="1"/>
  <c r="AA269" i="24" s="1"/>
  <c r="Z269" i="24" s="1"/>
  <c r="Y269" i="24" s="1"/>
  <c r="X269" i="24" s="1"/>
  <c r="W269" i="24" s="1"/>
  <c r="V269" i="24" s="1"/>
  <c r="U269" i="24" s="1"/>
  <c r="T269" i="24" s="1"/>
  <c r="S269" i="24" s="1"/>
  <c r="R269" i="24" s="1"/>
  <c r="Q269" i="24" s="1"/>
  <c r="P269" i="24" s="1"/>
  <c r="O269" i="24" s="1"/>
  <c r="N269" i="24" s="1"/>
  <c r="M269" i="24" s="1"/>
  <c r="L269" i="24" s="1"/>
  <c r="K269" i="24" s="1"/>
  <c r="J269" i="24" s="1"/>
  <c r="I269" i="24" s="1"/>
  <c r="H269" i="24" s="1"/>
  <c r="G269" i="24" s="1"/>
  <c r="F269" i="24" s="1"/>
  <c r="G381" i="24"/>
  <c r="G378" i="24" s="1"/>
  <c r="BF28" i="24"/>
  <c r="BF284" i="24" s="1"/>
  <c r="BJ335" i="24"/>
  <c r="BJ312" i="24"/>
  <c r="AS258" i="24"/>
  <c r="AS257" i="24"/>
  <c r="BS136" i="24"/>
  <c r="BS323" i="24" s="1"/>
  <c r="CK323" i="24" s="1"/>
  <c r="BS407" i="24"/>
  <c r="CK407" i="24" s="1"/>
  <c r="G299" i="24"/>
  <c r="G32" i="24"/>
  <c r="G288" i="24" s="1"/>
  <c r="T385" i="24"/>
  <c r="U381" i="24"/>
  <c r="M381" i="24"/>
  <c r="L385" i="24"/>
  <c r="M380" i="24"/>
  <c r="M378" i="24" s="1"/>
  <c r="F31" i="55"/>
  <c r="CJ190" i="24"/>
  <c r="Y31" i="55" s="1"/>
  <c r="BR36" i="64"/>
  <c r="I377" i="24"/>
  <c r="I303" i="24"/>
  <c r="BU211" i="24"/>
  <c r="CM211" i="24" s="1"/>
  <c r="CM210" i="24"/>
  <c r="BV210" i="24"/>
  <c r="BV202" i="24" s="1"/>
  <c r="BO102" i="24"/>
  <c r="BO107" i="24"/>
  <c r="BO113" i="24"/>
  <c r="BI60" i="52"/>
  <c r="BH162" i="52"/>
  <c r="BI139" i="52"/>
  <c r="BI203" i="24" s="1"/>
  <c r="AO353" i="24"/>
  <c r="AO53" i="24"/>
  <c r="AG53" i="24"/>
  <c r="AG353" i="24"/>
  <c r="Y353" i="24"/>
  <c r="Y53" i="24"/>
  <c r="I353" i="24"/>
  <c r="I53" i="24"/>
  <c r="H299" i="24"/>
  <c r="G367" i="24" s="1"/>
  <c r="F367" i="24" s="1"/>
  <c r="H32" i="24"/>
  <c r="H288" i="24" s="1"/>
  <c r="CJ293" i="24"/>
  <c r="Y12" i="55" s="1"/>
  <c r="F12" i="55"/>
  <c r="BJ75" i="24"/>
  <c r="BJ300" i="24"/>
  <c r="BJ302" i="24" s="1"/>
  <c r="BK214" i="24"/>
  <c r="BK300" i="24"/>
  <c r="BK302" i="24" s="1"/>
  <c r="BJ63" i="24"/>
  <c r="Q53" i="24"/>
  <c r="Q353" i="24"/>
  <c r="CI246" i="24"/>
  <c r="X25" i="55" s="1"/>
  <c r="BQ356" i="24"/>
  <c r="CI356" i="24" s="1"/>
  <c r="E25" i="55"/>
  <c r="U380" i="24"/>
  <c r="U378" i="24" s="1"/>
  <c r="BS317" i="24"/>
  <c r="CK317" i="24" s="1"/>
  <c r="CK316" i="24"/>
  <c r="BU138" i="24"/>
  <c r="BT137" i="24"/>
  <c r="CL138" i="24"/>
  <c r="BT405" i="24"/>
  <c r="CL405" i="24" s="1"/>
  <c r="BS55" i="24"/>
  <c r="BS321" i="24"/>
  <c r="CK321" i="24" s="1"/>
  <c r="BS124" i="24"/>
  <c r="BS399" i="24"/>
  <c r="CK399" i="24" s="1"/>
  <c r="CK132" i="24"/>
  <c r="CJ246" i="24"/>
  <c r="Y25" i="55" s="1"/>
  <c r="F25" i="55"/>
  <c r="BR356" i="24"/>
  <c r="CJ356" i="24" s="1"/>
  <c r="BS404" i="24"/>
  <c r="CK404" i="24" s="1"/>
  <c r="CK137" i="24"/>
  <c r="BI264" i="24"/>
  <c r="BI330" i="24"/>
  <c r="BI79" i="24"/>
  <c r="CK309" i="24"/>
  <c r="Z32" i="55" s="1"/>
  <c r="BS361" i="24"/>
  <c r="CK361" i="24" s="1"/>
  <c r="G32" i="55"/>
  <c r="AX378" i="24"/>
  <c r="AT378" i="24"/>
  <c r="V378" i="24"/>
  <c r="R378" i="24"/>
  <c r="N378" i="24"/>
  <c r="BQ61" i="24"/>
  <c r="BL35" i="64"/>
  <c r="BK198" i="24"/>
  <c r="BZ139" i="24"/>
  <c r="CQ139" i="24"/>
  <c r="BN198" i="24"/>
  <c r="BO35" i="64"/>
  <c r="CM103" i="24"/>
  <c r="D10" i="65"/>
  <c r="E10" i="65" s="1"/>
  <c r="BU143" i="24"/>
  <c r="BU142" i="24" s="1"/>
  <c r="AZ31" i="24"/>
  <c r="AZ287" i="24" s="1"/>
  <c r="CI316" i="24"/>
  <c r="BQ317" i="24"/>
  <c r="CI317" i="24" s="1"/>
  <c r="CI88" i="24"/>
  <c r="BQ87" i="24"/>
  <c r="BQ336" i="24"/>
  <c r="CI336" i="24" s="1"/>
  <c r="BS264" i="24"/>
  <c r="CK264" i="24" s="1"/>
  <c r="CK80" i="24"/>
  <c r="BS79" i="24"/>
  <c r="BS330" i="24"/>
  <c r="CK330" i="24" s="1"/>
  <c r="BF347" i="24"/>
  <c r="BF348" i="24"/>
  <c r="BF185" i="24"/>
  <c r="BF176" i="24"/>
  <c r="BF345" i="24"/>
  <c r="BF344" i="24"/>
  <c r="BG429" i="24"/>
  <c r="BF175" i="24"/>
  <c r="BF429" i="24"/>
  <c r="BO264" i="24"/>
  <c r="BO79" i="24"/>
  <c r="BO330" i="24"/>
  <c r="BK264" i="24"/>
  <c r="BK330" i="24"/>
  <c r="BK79" i="24"/>
  <c r="BG79" i="24"/>
  <c r="BG264" i="24"/>
  <c r="BG330" i="24"/>
  <c r="BS424" i="24"/>
  <c r="BS5" i="64"/>
  <c r="BS6" i="64" s="1"/>
  <c r="CK156" i="24"/>
  <c r="BL335" i="24"/>
  <c r="BL312" i="24"/>
  <c r="CJ140" i="24"/>
  <c r="BR407" i="24"/>
  <c r="CJ407" i="24" s="1"/>
  <c r="CJ137" i="24"/>
  <c r="BR404" i="24"/>
  <c r="CJ404" i="24" s="1"/>
  <c r="BR136" i="24"/>
  <c r="BR148" i="24" s="1"/>
  <c r="BM312" i="24"/>
  <c r="BM335" i="24"/>
  <c r="BO312" i="24"/>
  <c r="BO335" i="24"/>
  <c r="BP335" i="24"/>
  <c r="BP312" i="24"/>
  <c r="BH175" i="24"/>
  <c r="BH347" i="24"/>
  <c r="BH344" i="24"/>
  <c r="BH429" i="24"/>
  <c r="BH348" i="24"/>
  <c r="BH345" i="24"/>
  <c r="BH335" i="24"/>
  <c r="BH312" i="24"/>
  <c r="BI250" i="24"/>
  <c r="BI257" i="24" s="1"/>
  <c r="BI23" i="24"/>
  <c r="BQ218" i="24"/>
  <c r="CI218" i="24" s="1"/>
  <c r="BR207" i="24"/>
  <c r="CI207" i="24"/>
  <c r="BQ226" i="24"/>
  <c r="CI226" i="24" s="1"/>
  <c r="BQ67" i="24"/>
  <c r="BP93" i="24"/>
  <c r="BP69" i="24"/>
  <c r="CJ316" i="24"/>
  <c r="BR317" i="24"/>
  <c r="CJ317" i="24" s="1"/>
  <c r="BQ410" i="24"/>
  <c r="CI410" i="24" s="1"/>
  <c r="CI143" i="24"/>
  <c r="BR399" i="24"/>
  <c r="CJ399" i="24" s="1"/>
  <c r="BR321" i="24"/>
  <c r="CJ321" i="24" s="1"/>
  <c r="BR55" i="24"/>
  <c r="CJ55" i="24" s="1"/>
  <c r="CJ132" i="24"/>
  <c r="BG312" i="24"/>
  <c r="BG335" i="24"/>
  <c r="BJ345" i="24"/>
  <c r="BJ175" i="24"/>
  <c r="BJ344" i="24"/>
  <c r="BJ347" i="24"/>
  <c r="BJ348" i="24"/>
  <c r="BJ176" i="24"/>
  <c r="BP391" i="24"/>
  <c r="BP318" i="24"/>
  <c r="BP305" i="24"/>
  <c r="BI312" i="24"/>
  <c r="BI335" i="24"/>
  <c r="BH185" i="24"/>
  <c r="BL175" i="24"/>
  <c r="BL347" i="24"/>
  <c r="BL345" i="24"/>
  <c r="BL176" i="24"/>
  <c r="BL344" i="24"/>
  <c r="BL348" i="24"/>
  <c r="BM264" i="24"/>
  <c r="BM330" i="24"/>
  <c r="BM79" i="24"/>
  <c r="BR345" i="24"/>
  <c r="CJ345" i="24" s="1"/>
  <c r="CJ172" i="24"/>
  <c r="BR176" i="24"/>
  <c r="CJ176" i="24" s="1"/>
  <c r="BR348" i="24"/>
  <c r="CJ348" i="24" s="1"/>
  <c r="BR175" i="24"/>
  <c r="BR347" i="24"/>
  <c r="CJ347" i="24" s="1"/>
  <c r="BR344" i="24"/>
  <c r="CJ344" i="24" s="1"/>
  <c r="AL378" i="24"/>
  <c r="AH378" i="24"/>
  <c r="AF378" i="24"/>
  <c r="AD378" i="24"/>
  <c r="AE378" i="24"/>
  <c r="BQ140" i="24"/>
  <c r="BQ136" i="24" s="1"/>
  <c r="CI142" i="24"/>
  <c r="BQ144" i="24"/>
  <c r="BQ409" i="24"/>
  <c r="CI409" i="24" s="1"/>
  <c r="D17" i="55"/>
  <c r="D21" i="55" s="1"/>
  <c r="BP37" i="24"/>
  <c r="BP180" i="52"/>
  <c r="BP129" i="52"/>
  <c r="BP229" i="24" s="1"/>
  <c r="BP238" i="24" s="1"/>
  <c r="D18" i="55" s="1"/>
  <c r="D23" i="55" s="1"/>
  <c r="BB305" i="24"/>
  <c r="BB318" i="24"/>
  <c r="AZ305" i="24"/>
  <c r="AZ318" i="24"/>
  <c r="AV305" i="24"/>
  <c r="AV318" i="24"/>
  <c r="BH35" i="64"/>
  <c r="BG198" i="24"/>
  <c r="CK136" i="24"/>
  <c r="BQ181" i="52"/>
  <c r="BQ179" i="52"/>
  <c r="BQ130" i="52"/>
  <c r="BQ228" i="24" s="1"/>
  <c r="AX305" i="24"/>
  <c r="AX318" i="24"/>
  <c r="BM175" i="24"/>
  <c r="BM345" i="24"/>
  <c r="BN429" i="24"/>
  <c r="BM344" i="24"/>
  <c r="BM176" i="24"/>
  <c r="BM347" i="24"/>
  <c r="BM429" i="24"/>
  <c r="BM348" i="24"/>
  <c r="AW305" i="24"/>
  <c r="AW318" i="24"/>
  <c r="BP79" i="24"/>
  <c r="BP264" i="24"/>
  <c r="BP330" i="24"/>
  <c r="BH79" i="24"/>
  <c r="BH264" i="24"/>
  <c r="BH330" i="24"/>
  <c r="AM378" i="24"/>
  <c r="S378" i="24"/>
  <c r="T378" i="24"/>
  <c r="AQ378" i="24"/>
  <c r="K378" i="24"/>
  <c r="BM185" i="24"/>
  <c r="BJ35" i="64"/>
  <c r="BJ198" i="24"/>
  <c r="BA305" i="24"/>
  <c r="BA318" i="24"/>
  <c r="BL329" i="24"/>
  <c r="BL100" i="24"/>
  <c r="BL311" i="24"/>
  <c r="AY305" i="24"/>
  <c r="AY318" i="24"/>
  <c r="CT85" i="24"/>
  <c r="CC85" i="24"/>
  <c r="K367" i="24"/>
  <c r="BF186" i="52"/>
  <c r="BS411" i="24"/>
  <c r="CK411" i="24" s="1"/>
  <c r="CK144" i="24"/>
  <c r="M326" i="24"/>
  <c r="M101" i="24"/>
  <c r="M310" i="24"/>
  <c r="BG92" i="61"/>
  <c r="BF210" i="61"/>
  <c r="BS210" i="61" s="1"/>
  <c r="BS92" i="61"/>
  <c r="BC258" i="24"/>
  <c r="BC257" i="24"/>
  <c r="AJ154" i="61"/>
  <c r="AI136" i="61"/>
  <c r="AJ153" i="61"/>
  <c r="H61" i="24"/>
  <c r="H23" i="24"/>
  <c r="H250" i="24"/>
  <c r="J366" i="24"/>
  <c r="J33" i="24"/>
  <c r="K35" i="52"/>
  <c r="CJ124" i="24"/>
  <c r="BR305" i="24"/>
  <c r="CJ305" i="24" s="1"/>
  <c r="BR391" i="24"/>
  <c r="CJ391" i="24" s="1"/>
  <c r="BR318" i="24"/>
  <c r="CJ318" i="24" s="1"/>
  <c r="I4" i="55"/>
  <c r="L11" i="71" s="1"/>
  <c r="D5" i="65"/>
  <c r="E5" i="65" s="1"/>
  <c r="BU65" i="45"/>
  <c r="CM97" i="24"/>
  <c r="BU14" i="24"/>
  <c r="CM14" i="24" s="1"/>
  <c r="BV406" i="24"/>
  <c r="CN406" i="24" s="1"/>
  <c r="CN196" i="24"/>
  <c r="AC3" i="55" s="1"/>
  <c r="BV97" i="24"/>
  <c r="BV43" i="24"/>
  <c r="BV160" i="24"/>
  <c r="CN160" i="24" s="1"/>
  <c r="J3" i="55"/>
  <c r="M10" i="71" s="1"/>
  <c r="BV144" i="24"/>
  <c r="BV279" i="24"/>
  <c r="CN279" i="24" s="1"/>
  <c r="BV42" i="24"/>
  <c r="BV135" i="24" s="1"/>
  <c r="BV129" i="24"/>
  <c r="BV7" i="70"/>
  <c r="BV6" i="70" s="1"/>
  <c r="BW196" i="24"/>
  <c r="BW141" i="24" s="1"/>
  <c r="D32" i="55"/>
  <c r="BP361" i="24"/>
  <c r="BF229" i="24"/>
  <c r="BF132" i="52"/>
  <c r="BF231" i="24" s="1"/>
  <c r="BG240" i="24" s="1"/>
  <c r="BF131" i="52"/>
  <c r="BF230" i="24" s="1"/>
  <c r="BJ129" i="52"/>
  <c r="BJ180" i="52"/>
  <c r="BR61" i="24"/>
  <c r="CJ53" i="24"/>
  <c r="BF282" i="24"/>
  <c r="BD61" i="24"/>
  <c r="BD23" i="24"/>
  <c r="BD250" i="24"/>
  <c r="AN246" i="24"/>
  <c r="AN356" i="24" s="1"/>
  <c r="AJ22" i="24"/>
  <c r="AJ313" i="24"/>
  <c r="AK31" i="24"/>
  <c r="AK287" i="24" s="1"/>
  <c r="AJ7" i="24"/>
  <c r="AJ262" i="24"/>
  <c r="AK46" i="24"/>
  <c r="AJ26" i="24"/>
  <c r="AJ282" i="24" s="1"/>
  <c r="AJ384" i="24"/>
  <c r="AJ353" i="24"/>
  <c r="AJ53" i="24"/>
  <c r="AJ246" i="24"/>
  <c r="AJ356" i="24" s="1"/>
  <c r="AF7" i="24"/>
  <c r="AF26" i="24"/>
  <c r="AF282" i="24" s="1"/>
  <c r="AF262" i="24"/>
  <c r="AF384" i="24"/>
  <c r="AG31" i="24"/>
  <c r="AG287" i="24" s="1"/>
  <c r="AG46" i="24"/>
  <c r="AF22" i="24"/>
  <c r="AF313" i="24"/>
  <c r="AF246" i="24"/>
  <c r="AF356" i="24" s="1"/>
  <c r="AB246" i="24"/>
  <c r="AB356" i="24" s="1"/>
  <c r="V61" i="24"/>
  <c r="V250" i="24"/>
  <c r="T22" i="24"/>
  <c r="T313" i="24"/>
  <c r="U31" i="24"/>
  <c r="U287" i="24" s="1"/>
  <c r="T7" i="24"/>
  <c r="T262" i="24"/>
  <c r="T26" i="24"/>
  <c r="T282" i="24" s="1"/>
  <c r="T384" i="24"/>
  <c r="U46" i="24"/>
  <c r="T353" i="24"/>
  <c r="T53" i="24"/>
  <c r="L22" i="24"/>
  <c r="L313" i="24"/>
  <c r="M46" i="24"/>
  <c r="L26" i="24"/>
  <c r="L282" i="24" s="1"/>
  <c r="L384" i="24"/>
  <c r="M31" i="24"/>
  <c r="M287" i="24" s="1"/>
  <c r="L7" i="24"/>
  <c r="L262" i="24"/>
  <c r="L353" i="24"/>
  <c r="L53" i="24"/>
  <c r="G250" i="24"/>
  <c r="G23" i="24"/>
  <c r="G61" i="24"/>
  <c r="AX22" i="24"/>
  <c r="AX262" i="24"/>
  <c r="AX384" i="24"/>
  <c r="AX26" i="24"/>
  <c r="AX313" i="24"/>
  <c r="AY26" i="24"/>
  <c r="AY282" i="24" s="1"/>
  <c r="AX7" i="24"/>
  <c r="AY46" i="24"/>
  <c r="AT22" i="24"/>
  <c r="AT262" i="24"/>
  <c r="AT384" i="24"/>
  <c r="AT26" i="24"/>
  <c r="AT313" i="24"/>
  <c r="AT7" i="24"/>
  <c r="AU46" i="24"/>
  <c r="AP22" i="24"/>
  <c r="AP262" i="24"/>
  <c r="AP384" i="24"/>
  <c r="AQ26" i="24"/>
  <c r="AQ282" i="24" s="1"/>
  <c r="AP26" i="24"/>
  <c r="AP313" i="24"/>
  <c r="AP7" i="24"/>
  <c r="AQ46" i="24"/>
  <c r="AL22" i="24"/>
  <c r="AL262" i="24"/>
  <c r="AL384" i="24"/>
  <c r="AL26" i="24"/>
  <c r="AL313" i="24"/>
  <c r="AL7" i="24"/>
  <c r="AM46" i="24"/>
  <c r="AH22" i="24"/>
  <c r="AH262" i="24"/>
  <c r="AH384" i="24"/>
  <c r="AH26" i="24"/>
  <c r="AH313" i="24"/>
  <c r="AH7" i="24"/>
  <c r="AI46" i="24"/>
  <c r="AD22" i="24"/>
  <c r="AD262" i="24"/>
  <c r="AD384" i="24"/>
  <c r="AD26" i="24"/>
  <c r="AD313" i="24"/>
  <c r="AD7" i="24"/>
  <c r="AE46" i="24"/>
  <c r="Z22" i="24"/>
  <c r="Z262" i="24"/>
  <c r="Z384" i="24"/>
  <c r="Z26" i="24"/>
  <c r="Z313" i="24"/>
  <c r="Z7" i="24"/>
  <c r="AA46" i="24"/>
  <c r="V22" i="24"/>
  <c r="V262" i="24"/>
  <c r="V384" i="24"/>
  <c r="V26" i="24"/>
  <c r="V313" i="24"/>
  <c r="V7" i="24"/>
  <c r="W46" i="24"/>
  <c r="R22" i="24"/>
  <c r="R262" i="24"/>
  <c r="R384" i="24"/>
  <c r="R26" i="24"/>
  <c r="R313" i="24"/>
  <c r="R7" i="24"/>
  <c r="S46" i="24"/>
  <c r="N22" i="24"/>
  <c r="N262" i="24"/>
  <c r="N384" i="24"/>
  <c r="N26" i="24"/>
  <c r="N313" i="24"/>
  <c r="N7" i="24"/>
  <c r="O46" i="24"/>
  <c r="J22" i="24"/>
  <c r="J262" i="24"/>
  <c r="J384" i="24"/>
  <c r="J26" i="24"/>
  <c r="J313" i="24"/>
  <c r="J7" i="24"/>
  <c r="K46" i="24"/>
  <c r="K42" i="24"/>
  <c r="CJ146" i="24"/>
  <c r="BR413" i="24"/>
  <c r="CJ413" i="24" s="1"/>
  <c r="BL131" i="52"/>
  <c r="BL230" i="24" s="1"/>
  <c r="BL132" i="52"/>
  <c r="BL231" i="24" s="1"/>
  <c r="BL229" i="24"/>
  <c r="BO198" i="24"/>
  <c r="C30" i="55"/>
  <c r="BP35" i="64"/>
  <c r="BI175" i="24"/>
  <c r="BI344" i="24"/>
  <c r="BI345" i="24"/>
  <c r="BI429" i="24"/>
  <c r="BJ429" i="24"/>
  <c r="BI176" i="24"/>
  <c r="BI347" i="24"/>
  <c r="BI348" i="24"/>
  <c r="AP79" i="24"/>
  <c r="AP264" i="24"/>
  <c r="AP330" i="24"/>
  <c r="BT111" i="61"/>
  <c r="BH111" i="61"/>
  <c r="BQ120" i="61"/>
  <c r="BD119" i="61"/>
  <c r="BE120" i="61"/>
  <c r="BE118" i="61"/>
  <c r="BD117" i="61"/>
  <c r="BQ118" i="61"/>
  <c r="CL110" i="24"/>
  <c r="BT441" i="24"/>
  <c r="BU110" i="24"/>
  <c r="BH95" i="61"/>
  <c r="BT95" i="61"/>
  <c r="BG257" i="24"/>
  <c r="BK94" i="61"/>
  <c r="BW94" i="61"/>
  <c r="BF211" i="24"/>
  <c r="BE211" i="24"/>
  <c r="BE245" i="24"/>
  <c r="AC258" i="24"/>
  <c r="AC257" i="24"/>
  <c r="I30" i="24"/>
  <c r="I286" i="24" s="1"/>
  <c r="I44" i="24"/>
  <c r="I316" i="24"/>
  <c r="I317" i="24" s="1"/>
  <c r="I297" i="24"/>
  <c r="BL233" i="24"/>
  <c r="BM234" i="24"/>
  <c r="CI146" i="24"/>
  <c r="BQ413" i="24"/>
  <c r="CI413" i="24" s="1"/>
  <c r="BT424" i="24"/>
  <c r="CL424" i="24" s="1"/>
  <c r="CL156" i="24"/>
  <c r="BP327" i="24"/>
  <c r="D10" i="55" s="1"/>
  <c r="BP155" i="24"/>
  <c r="BK132" i="52"/>
  <c r="BK231" i="24" s="1"/>
  <c r="BK131" i="52"/>
  <c r="BK230" i="24" s="1"/>
  <c r="BK229" i="24"/>
  <c r="D25" i="55"/>
  <c r="BP356" i="24"/>
  <c r="BJ23" i="24"/>
  <c r="BJ250" i="24"/>
  <c r="X246" i="24"/>
  <c r="X356" i="24" s="1"/>
  <c r="R61" i="24"/>
  <c r="R250" i="24"/>
  <c r="P353" i="24"/>
  <c r="P53" i="24"/>
  <c r="BA31" i="24"/>
  <c r="BA287" i="24" s="1"/>
  <c r="BA282" i="24"/>
  <c r="AS31" i="24"/>
  <c r="AS287" i="24" s="1"/>
  <c r="AS282" i="24"/>
  <c r="J297" i="24"/>
  <c r="J30" i="24"/>
  <c r="J286" i="24" s="1"/>
  <c r="J316" i="24"/>
  <c r="J317" i="24" s="1"/>
  <c r="J44" i="24"/>
  <c r="AM22" i="24"/>
  <c r="AM313" i="24"/>
  <c r="AM384" i="24"/>
  <c r="AM7" i="24"/>
  <c r="AN46" i="24"/>
  <c r="AM26" i="24"/>
  <c r="AM282" i="24" s="1"/>
  <c r="AM262" i="24"/>
  <c r="AI353" i="24"/>
  <c r="AI53" i="24"/>
  <c r="AA353" i="24"/>
  <c r="AA53" i="24"/>
  <c r="AA22" i="24"/>
  <c r="AA313" i="24"/>
  <c r="AA384" i="24"/>
  <c r="AA7" i="24"/>
  <c r="AB46" i="24"/>
  <c r="AA26" i="24"/>
  <c r="AA282" i="24" s="1"/>
  <c r="AA262" i="24"/>
  <c r="AA246" i="24"/>
  <c r="AA356" i="24" s="1"/>
  <c r="W22" i="24"/>
  <c r="W313" i="24"/>
  <c r="W384" i="24"/>
  <c r="W7" i="24"/>
  <c r="X46" i="24"/>
  <c r="W26" i="24"/>
  <c r="W282" i="24" s="1"/>
  <c r="W262" i="24"/>
  <c r="O22" i="24"/>
  <c r="O313" i="24"/>
  <c r="O384" i="24"/>
  <c r="O7" i="24"/>
  <c r="P46" i="24"/>
  <c r="O26" i="24"/>
  <c r="O282" i="24" s="1"/>
  <c r="O262" i="24"/>
  <c r="O353" i="24"/>
  <c r="O53" i="24"/>
  <c r="O246" i="24"/>
  <c r="O356" i="24" s="1"/>
  <c r="K22" i="24"/>
  <c r="K313" i="24"/>
  <c r="K384" i="24"/>
  <c r="K7" i="24"/>
  <c r="L46" i="24"/>
  <c r="K26" i="24"/>
  <c r="K282" i="24" s="1"/>
  <c r="K262" i="24"/>
  <c r="L31" i="24"/>
  <c r="L287" i="24" s="1"/>
  <c r="K246" i="24"/>
  <c r="K356" i="24" s="1"/>
  <c r="BS175" i="24"/>
  <c r="BS344" i="24"/>
  <c r="CK344" i="24" s="1"/>
  <c r="BS345" i="24"/>
  <c r="CK345" i="24" s="1"/>
  <c r="BS429" i="24"/>
  <c r="CK429" i="24" s="1"/>
  <c r="BS348" i="24"/>
  <c r="CK348" i="24" s="1"/>
  <c r="CK172" i="24"/>
  <c r="BS347" i="24"/>
  <c r="CK347" i="24" s="1"/>
  <c r="BS176" i="24"/>
  <c r="CK176" i="24" s="1"/>
  <c r="AJ79" i="24"/>
  <c r="AJ264" i="24"/>
  <c r="AJ330" i="24"/>
  <c r="AH79" i="24"/>
  <c r="AH264" i="24"/>
  <c r="AH330" i="24"/>
  <c r="AF79" i="24"/>
  <c r="AF264" i="24"/>
  <c r="AF330" i="24"/>
  <c r="AD79" i="24"/>
  <c r="AD264" i="24"/>
  <c r="AD330" i="24"/>
  <c r="AB79" i="24"/>
  <c r="AB264" i="24"/>
  <c r="AB330" i="24"/>
  <c r="Z79" i="24"/>
  <c r="Z264" i="24"/>
  <c r="Z330" i="24"/>
  <c r="X79" i="24"/>
  <c r="X264" i="24"/>
  <c r="X330" i="24"/>
  <c r="V79" i="24"/>
  <c r="V264" i="24"/>
  <c r="V330" i="24"/>
  <c r="T79" i="24"/>
  <c r="T264" i="24"/>
  <c r="T330" i="24"/>
  <c r="R79" i="24"/>
  <c r="R264" i="24"/>
  <c r="R330" i="24"/>
  <c r="P79" i="24"/>
  <c r="P264" i="24"/>
  <c r="P330" i="24"/>
  <c r="N79" i="24"/>
  <c r="N264" i="24"/>
  <c r="N330" i="24"/>
  <c r="L79" i="24"/>
  <c r="L264" i="24"/>
  <c r="L330" i="24"/>
  <c r="J79" i="24"/>
  <c r="J264" i="24"/>
  <c r="J330" i="24"/>
  <c r="H79" i="24"/>
  <c r="H264" i="24"/>
  <c r="H330" i="24"/>
  <c r="F79" i="24"/>
  <c r="F264" i="24"/>
  <c r="F330" i="24"/>
  <c r="BB79" i="24"/>
  <c r="BB264" i="24"/>
  <c r="BB330" i="24"/>
  <c r="AL79" i="24"/>
  <c r="AL264" i="24"/>
  <c r="AL330" i="24"/>
  <c r="CJ143" i="24"/>
  <c r="BR410" i="24"/>
  <c r="CJ410" i="24" s="1"/>
  <c r="BR144" i="24"/>
  <c r="BD121" i="61"/>
  <c r="BC106" i="61"/>
  <c r="BC81" i="61" s="1"/>
  <c r="BT52" i="61"/>
  <c r="BH52" i="61"/>
  <c r="BT44" i="61"/>
  <c r="BH44" i="61"/>
  <c r="BH100" i="61"/>
  <c r="BT100" i="61"/>
  <c r="BS98" i="61"/>
  <c r="BF464" i="52"/>
  <c r="BE43" i="24"/>
  <c r="BE137" i="61"/>
  <c r="BR82" i="61"/>
  <c r="BE189" i="61"/>
  <c r="BR189" i="61" s="1"/>
  <c r="BE67" i="61"/>
  <c r="BR47" i="61"/>
  <c r="BF47" i="61"/>
  <c r="BE85" i="24"/>
  <c r="BE333" i="24" s="1"/>
  <c r="BE77" i="61"/>
  <c r="BE146" i="61"/>
  <c r="BR74" i="61"/>
  <c r="BR98" i="61"/>
  <c r="BE464" i="52"/>
  <c r="BE104" i="24"/>
  <c r="BE103" i="24" s="1"/>
  <c r="BR71" i="61"/>
  <c r="AD308" i="24"/>
  <c r="AD199" i="24"/>
  <c r="BE369" i="24"/>
  <c r="CT101" i="24"/>
  <c r="CC101" i="24"/>
  <c r="AE326" i="24"/>
  <c r="AE310" i="24"/>
  <c r="AE101" i="24"/>
  <c r="Y326" i="24"/>
  <c r="Y310" i="24"/>
  <c r="Y101" i="24"/>
  <c r="AY380" i="24"/>
  <c r="AY381" i="24"/>
  <c r="AX385" i="24"/>
  <c r="BN11" i="24"/>
  <c r="BM9" i="24"/>
  <c r="BM27" i="24" s="1"/>
  <c r="BM283" i="24" s="1"/>
  <c r="CI424" i="24"/>
  <c r="BQ425" i="24"/>
  <c r="CI425" i="24" s="1"/>
  <c r="AY258" i="24"/>
  <c r="AY257" i="24"/>
  <c r="CI61" i="24"/>
  <c r="CE57" i="45"/>
  <c r="CE37" i="45" s="1"/>
  <c r="CM202" i="24"/>
  <c r="BU221" i="24"/>
  <c r="CM221" i="24" s="1"/>
  <c r="BC101" i="24"/>
  <c r="BC310" i="24"/>
  <c r="BC326" i="24"/>
  <c r="AU101" i="24"/>
  <c r="AU310" i="24"/>
  <c r="AU326" i="24"/>
  <c r="G326" i="24"/>
  <c r="G310" i="24"/>
  <c r="G101" i="24"/>
  <c r="AZ214" i="61"/>
  <c r="BA90" i="61"/>
  <c r="AZ140" i="52"/>
  <c r="AZ205" i="24" s="1"/>
  <c r="J44" i="52"/>
  <c r="J46" i="52"/>
  <c r="K43" i="52"/>
  <c r="BQ305" i="24"/>
  <c r="CI305" i="24" s="1"/>
  <c r="BQ318" i="24"/>
  <c r="CI318" i="24" s="1"/>
  <c r="BQ391" i="24"/>
  <c r="CI391" i="24" s="1"/>
  <c r="CI124" i="24"/>
  <c r="BQ116" i="61"/>
  <c r="BE116" i="61"/>
  <c r="BD115" i="61"/>
  <c r="AB180" i="24"/>
  <c r="AB434" i="24"/>
  <c r="Z144" i="61"/>
  <c r="AA141" i="61"/>
  <c r="AA179" i="24"/>
  <c r="AA219" i="61"/>
  <c r="AA34" i="64"/>
  <c r="CJ267" i="24"/>
  <c r="BS267" i="24"/>
  <c r="U257" i="24"/>
  <c r="U258" i="24"/>
  <c r="BS107" i="24"/>
  <c r="CK106" i="24"/>
  <c r="BS113" i="24"/>
  <c r="CK113" i="24" s="1"/>
  <c r="BS102" i="24"/>
  <c r="CK102" i="24" s="1"/>
  <c r="BD187" i="52"/>
  <c r="BC188" i="52"/>
  <c r="BC189" i="52"/>
  <c r="BJ282" i="24"/>
  <c r="CJ424" i="24"/>
  <c r="BR425" i="24"/>
  <c r="CJ425" i="24" s="1"/>
  <c r="AI378" i="24"/>
  <c r="AS326" i="24"/>
  <c r="AS310" i="24"/>
  <c r="AS101" i="24"/>
  <c r="BR93" i="61"/>
  <c r="BF93" i="61"/>
  <c r="BR89" i="61"/>
  <c r="BE208" i="61"/>
  <c r="BR208" i="61" s="1"/>
  <c r="BE222" i="61"/>
  <c r="BR222" i="61" s="1"/>
  <c r="BF89" i="61"/>
  <c r="K365" i="24"/>
  <c r="AK154" i="61"/>
  <c r="AK153" i="61"/>
  <c r="AK152" i="61" s="1"/>
  <c r="BQ126" i="61"/>
  <c r="BE126" i="61"/>
  <c r="BD125" i="61"/>
  <c r="H282" i="24"/>
  <c r="BX21" i="45"/>
  <c r="BW243" i="24"/>
  <c r="CO243" i="24" s="1"/>
  <c r="AV378" i="24"/>
  <c r="AJ378" i="24"/>
  <c r="X378" i="24"/>
  <c r="P378" i="24"/>
  <c r="CL166" i="24"/>
  <c r="BT184" i="24"/>
  <c r="BU166" i="24"/>
  <c r="BU169" i="24"/>
  <c r="CL143" i="24"/>
  <c r="BT410" i="24"/>
  <c r="CL410" i="24" s="1"/>
  <c r="BX474" i="52"/>
  <c r="CJ309" i="24"/>
  <c r="Y32" i="55" s="1"/>
  <c r="BR361" i="24"/>
  <c r="CJ361" i="24" s="1"/>
  <c r="F32" i="55"/>
  <c r="BN155" i="24"/>
  <c r="BN327" i="24"/>
  <c r="BH282" i="24"/>
  <c r="BB61" i="24"/>
  <c r="BB23" i="24"/>
  <c r="BB250" i="24"/>
  <c r="AX61" i="24"/>
  <c r="AX250" i="24"/>
  <c r="AP61" i="24"/>
  <c r="AP250" i="24"/>
  <c r="AL61" i="24"/>
  <c r="AL250" i="24"/>
  <c r="AH61" i="24"/>
  <c r="AH250" i="24"/>
  <c r="AD61" i="24"/>
  <c r="AD250" i="24"/>
  <c r="Z61" i="24"/>
  <c r="Z250" i="24"/>
  <c r="X7" i="24"/>
  <c r="X26" i="24"/>
  <c r="X282" i="24" s="1"/>
  <c r="X262" i="24"/>
  <c r="X384" i="24"/>
  <c r="X22" i="24"/>
  <c r="X313" i="24"/>
  <c r="Y46" i="24"/>
  <c r="X353" i="24"/>
  <c r="X53" i="24"/>
  <c r="P7" i="24"/>
  <c r="P26" i="24"/>
  <c r="P282" i="24" s="1"/>
  <c r="P262" i="24"/>
  <c r="P384" i="24"/>
  <c r="Q46" i="24"/>
  <c r="P22" i="24"/>
  <c r="P313" i="24"/>
  <c r="P246" i="24"/>
  <c r="P356" i="24" s="1"/>
  <c r="J61" i="24"/>
  <c r="J250" i="24"/>
  <c r="BB31" i="24"/>
  <c r="BB287" i="24" s="1"/>
  <c r="AW282" i="24"/>
  <c r="AW31" i="24"/>
  <c r="AW287" i="24" s="1"/>
  <c r="Y26" i="24"/>
  <c r="Y282" i="24" s="1"/>
  <c r="Q26" i="24"/>
  <c r="Q282" i="24" s="1"/>
  <c r="F246" i="24"/>
  <c r="F356" i="24" s="1"/>
  <c r="F353" i="24"/>
  <c r="F53" i="24"/>
  <c r="AM353" i="24"/>
  <c r="AM53" i="24"/>
  <c r="AM246" i="24"/>
  <c r="AM356" i="24" s="1"/>
  <c r="AI22" i="24"/>
  <c r="AI313" i="24"/>
  <c r="AI384" i="24"/>
  <c r="AI7" i="24"/>
  <c r="AJ46" i="24"/>
  <c r="AI26" i="24"/>
  <c r="AI282" i="24" s="1"/>
  <c r="AI262" i="24"/>
  <c r="AI246" i="24"/>
  <c r="AI356" i="24" s="1"/>
  <c r="AE22" i="24"/>
  <c r="AE313" i="24"/>
  <c r="AE384" i="24"/>
  <c r="AE7" i="24"/>
  <c r="AF46" i="24"/>
  <c r="AF31" i="24"/>
  <c r="AF287" i="24" s="1"/>
  <c r="AE26" i="24"/>
  <c r="AE282" i="24" s="1"/>
  <c r="AE262" i="24"/>
  <c r="AE353" i="24"/>
  <c r="AE53" i="24"/>
  <c r="AE246" i="24"/>
  <c r="AE356" i="24" s="1"/>
  <c r="W353" i="24"/>
  <c r="W53" i="24"/>
  <c r="W246" i="24"/>
  <c r="W356" i="24" s="1"/>
  <c r="S353" i="24"/>
  <c r="S53" i="24"/>
  <c r="S22" i="24"/>
  <c r="S313" i="24"/>
  <c r="S384" i="24"/>
  <c r="S7" i="24"/>
  <c r="T46" i="24"/>
  <c r="S26" i="24"/>
  <c r="S282" i="24" s="1"/>
  <c r="S262" i="24"/>
  <c r="T31" i="24"/>
  <c r="T287" i="24" s="1"/>
  <c r="S246" i="24"/>
  <c r="S356" i="24" s="1"/>
  <c r="K353" i="24"/>
  <c r="K53" i="24"/>
  <c r="CJ353" i="24"/>
  <c r="Y28" i="55" s="1"/>
  <c r="F28" i="55"/>
  <c r="H27" i="24"/>
  <c r="H283" i="24" s="1"/>
  <c r="H294" i="24"/>
  <c r="H42" i="24"/>
  <c r="H46" i="24"/>
  <c r="BO176" i="24"/>
  <c r="BO348" i="24"/>
  <c r="BO347" i="24"/>
  <c r="BO175" i="24"/>
  <c r="BO345" i="24"/>
  <c r="BO429" i="24"/>
  <c r="BO344" i="24"/>
  <c r="BP429" i="24"/>
  <c r="AX79" i="24"/>
  <c r="AX264" i="24"/>
  <c r="AX330" i="24"/>
  <c r="F312" i="24"/>
  <c r="F335" i="24"/>
  <c r="BN79" i="24"/>
  <c r="BN264" i="24"/>
  <c r="BN330" i="24"/>
  <c r="BF79" i="24"/>
  <c r="BF264" i="24"/>
  <c r="BF330" i="24"/>
  <c r="AZ79" i="24"/>
  <c r="AZ264" i="24"/>
  <c r="AZ330" i="24"/>
  <c r="AR79" i="24"/>
  <c r="AR264" i="24"/>
  <c r="AR330" i="24"/>
  <c r="BE122" i="61"/>
  <c r="BQ122" i="61"/>
  <c r="BR73" i="61"/>
  <c r="BF73" i="61"/>
  <c r="BR103" i="61"/>
  <c r="BF103" i="61"/>
  <c r="BF72" i="61"/>
  <c r="BE106" i="24"/>
  <c r="BR72" i="61"/>
  <c r="BR109" i="61"/>
  <c r="BG99" i="61"/>
  <c r="BG98" i="61" s="1"/>
  <c r="BF82" i="61"/>
  <c r="BS99" i="61"/>
  <c r="BF242" i="61"/>
  <c r="BS242" i="61" s="1"/>
  <c r="BF215" i="61"/>
  <c r="BS215" i="61" s="1"/>
  <c r="BF71" i="61"/>
  <c r="BS71" i="61" s="1"/>
  <c r="BF244" i="61"/>
  <c r="BS244" i="61" s="1"/>
  <c r="AC164" i="24"/>
  <c r="AC218" i="61"/>
  <c r="AC194" i="61"/>
  <c r="AC140" i="61"/>
  <c r="AB143" i="61"/>
  <c r="BT36" i="61"/>
  <c r="BH36" i="61"/>
  <c r="BI20" i="61"/>
  <c r="BU20" i="61"/>
  <c r="BX127" i="24"/>
  <c r="CP127" i="24" s="1"/>
  <c r="BQ63" i="24"/>
  <c r="CI203" i="24"/>
  <c r="BQ75" i="24"/>
  <c r="BQ222" i="24"/>
  <c r="CI222" i="24" s="1"/>
  <c r="BQ300" i="24"/>
  <c r="BR203" i="24"/>
  <c r="BQ214" i="24"/>
  <c r="CI214" i="24" s="1"/>
  <c r="AM326" i="24"/>
  <c r="AM101" i="24"/>
  <c r="AM310" i="24"/>
  <c r="W101" i="24"/>
  <c r="W310" i="24"/>
  <c r="W326" i="24"/>
  <c r="O101" i="24"/>
  <c r="O310" i="24"/>
  <c r="O326" i="24"/>
  <c r="AW326" i="24"/>
  <c r="AW310" i="24"/>
  <c r="AW101" i="24"/>
  <c r="AO101" i="24"/>
  <c r="AO310" i="24"/>
  <c r="AO326" i="24"/>
  <c r="AG101" i="24"/>
  <c r="AG310" i="24"/>
  <c r="AG326" i="24"/>
  <c r="Q326" i="24"/>
  <c r="Q101" i="24"/>
  <c r="Q310" i="24"/>
  <c r="I101" i="24"/>
  <c r="I310" i="24"/>
  <c r="I326" i="24"/>
  <c r="BS149" i="61"/>
  <c r="BG149" i="61"/>
  <c r="AQ258" i="24"/>
  <c r="AQ257" i="24"/>
  <c r="BT263" i="24"/>
  <c r="CK263" i="24"/>
  <c r="BK102" i="61"/>
  <c r="BW102" i="61"/>
  <c r="AC101" i="24"/>
  <c r="AC310" i="24"/>
  <c r="AC326" i="24"/>
  <c r="AY65" i="24"/>
  <c r="AY209" i="24"/>
  <c r="AY216" i="24"/>
  <c r="L48" i="52"/>
  <c r="BS269" i="24"/>
  <c r="CJ269" i="24"/>
  <c r="AT285" i="24"/>
  <c r="AT359" i="24"/>
  <c r="AU359" i="24" s="1"/>
  <c r="AV359" i="24" s="1"/>
  <c r="AW359" i="24" s="1"/>
  <c r="AX359" i="24" s="1"/>
  <c r="AY359" i="24" s="1"/>
  <c r="AZ359" i="24" s="1"/>
  <c r="BA359" i="24" s="1"/>
  <c r="BB359" i="24" s="1"/>
  <c r="BC359" i="24" s="1"/>
  <c r="BD359" i="24" s="1"/>
  <c r="BE359" i="24" s="1"/>
  <c r="BF359" i="24" s="1"/>
  <c r="AM152" i="61"/>
  <c r="W378" i="24"/>
  <c r="BQ404" i="24"/>
  <c r="CI404" i="24" s="1"/>
  <c r="CI137" i="24"/>
  <c r="CM135" i="24"/>
  <c r="BU402" i="24"/>
  <c r="CM402" i="24" s="1"/>
  <c r="H378" i="24"/>
  <c r="AU378" i="24"/>
  <c r="AA378" i="24"/>
  <c r="O378" i="24"/>
  <c r="CM129" i="24"/>
  <c r="BU396" i="24"/>
  <c r="CM396" i="24" s="1"/>
  <c r="BU39" i="24"/>
  <c r="CM39" i="24" s="1"/>
  <c r="BU431" i="24"/>
  <c r="CM431" i="24" s="1"/>
  <c r="CM188" i="24"/>
  <c r="BV188" i="24"/>
  <c r="BU187" i="24"/>
  <c r="BU411" i="24"/>
  <c r="CM411" i="24" s="1"/>
  <c r="CM144" i="24"/>
  <c r="BU408" i="24"/>
  <c r="CM408" i="24" s="1"/>
  <c r="CM141" i="24"/>
  <c r="CM42" i="24"/>
  <c r="BU133" i="24"/>
  <c r="BU297" i="24"/>
  <c r="CM297" i="24" s="1"/>
  <c r="BU316" i="24"/>
  <c r="BR336" i="24"/>
  <c r="CJ336" i="24" s="1"/>
  <c r="CJ88" i="24"/>
  <c r="BH131" i="52"/>
  <c r="BH230" i="24" s="1"/>
  <c r="BH132" i="52"/>
  <c r="BH231" i="24" s="1"/>
  <c r="BH229" i="24"/>
  <c r="BD188" i="52"/>
  <c r="BE185" i="52"/>
  <c r="BD238" i="24"/>
  <c r="BE238" i="24"/>
  <c r="BP198" i="24"/>
  <c r="AT61" i="24"/>
  <c r="AT250" i="24"/>
  <c r="AN7" i="24"/>
  <c r="AN26" i="24"/>
  <c r="AN282" i="24" s="1"/>
  <c r="AN262" i="24"/>
  <c r="AN384" i="24"/>
  <c r="AN22" i="24"/>
  <c r="AN313" i="24"/>
  <c r="AO31" i="24"/>
  <c r="AO287" i="24" s="1"/>
  <c r="AO46" i="24"/>
  <c r="AN353" i="24"/>
  <c r="AN53" i="24"/>
  <c r="AF353" i="24"/>
  <c r="AF53" i="24"/>
  <c r="AB22" i="24"/>
  <c r="AB313" i="24"/>
  <c r="AC46" i="24"/>
  <c r="AB26" i="24"/>
  <c r="AB282" i="24" s="1"/>
  <c r="AB384" i="24"/>
  <c r="AB7" i="24"/>
  <c r="AB262" i="24"/>
  <c r="AC31" i="24"/>
  <c r="AC287" i="24" s="1"/>
  <c r="AB353" i="24"/>
  <c r="AB53" i="24"/>
  <c r="T246" i="24"/>
  <c r="T356" i="24" s="1"/>
  <c r="N61" i="24"/>
  <c r="N250" i="24"/>
  <c r="L246" i="24"/>
  <c r="L356" i="24" s="1"/>
  <c r="BC31" i="24"/>
  <c r="BC287" i="24" s="1"/>
  <c r="AX23" i="24"/>
  <c r="AX28" i="24"/>
  <c r="AX284" i="24" s="1"/>
  <c r="AY28" i="24"/>
  <c r="AY284" i="24" s="1"/>
  <c r="AT23" i="24"/>
  <c r="AU28" i="24"/>
  <c r="AU284" i="24" s="1"/>
  <c r="AT28" i="24"/>
  <c r="AT284" i="24" s="1"/>
  <c r="AP23" i="24"/>
  <c r="AQ28" i="24"/>
  <c r="AQ284" i="24" s="1"/>
  <c r="AP28" i="24"/>
  <c r="AP284" i="24" s="1"/>
  <c r="AL23" i="24"/>
  <c r="AM28" i="24"/>
  <c r="AM284" i="24" s="1"/>
  <c r="AL28" i="24"/>
  <c r="AL284" i="24" s="1"/>
  <c r="AH23" i="24"/>
  <c r="AI28" i="24"/>
  <c r="AI284" i="24" s="1"/>
  <c r="AH28" i="24"/>
  <c r="AH284" i="24" s="1"/>
  <c r="AD23" i="24"/>
  <c r="AE28" i="24"/>
  <c r="AE284" i="24" s="1"/>
  <c r="AD28" i="24"/>
  <c r="AD284" i="24" s="1"/>
  <c r="Z23" i="24"/>
  <c r="AA28" i="24"/>
  <c r="AA284" i="24" s="1"/>
  <c r="Z28" i="24"/>
  <c r="Z284" i="24" s="1"/>
  <c r="V23" i="24"/>
  <c r="W28" i="24"/>
  <c r="W284" i="24" s="1"/>
  <c r="V28" i="24"/>
  <c r="V284" i="24" s="1"/>
  <c r="R23" i="24"/>
  <c r="S28" i="24"/>
  <c r="S284" i="24" s="1"/>
  <c r="R28" i="24"/>
  <c r="R284" i="24" s="1"/>
  <c r="N23" i="24"/>
  <c r="O28" i="24"/>
  <c r="O284" i="24" s="1"/>
  <c r="N28" i="24"/>
  <c r="N284" i="24" s="1"/>
  <c r="J23" i="24"/>
  <c r="K28" i="24"/>
  <c r="K284" i="24" s="1"/>
  <c r="J28" i="24"/>
  <c r="J284" i="24" s="1"/>
  <c r="G42" i="24"/>
  <c r="F262" i="24"/>
  <c r="F3" i="70" s="1"/>
  <c r="F313" i="24"/>
  <c r="F7" i="24"/>
  <c r="F384" i="24"/>
  <c r="G46" i="24"/>
  <c r="G26" i="24"/>
  <c r="G282" i="24" s="1"/>
  <c r="AU22" i="24"/>
  <c r="AU313" i="24"/>
  <c r="AU384" i="24"/>
  <c r="AU26" i="24"/>
  <c r="AU282" i="24" s="1"/>
  <c r="AU262" i="24"/>
  <c r="AU7" i="24"/>
  <c r="AV46" i="24"/>
  <c r="AV26" i="24"/>
  <c r="AV282" i="24" s="1"/>
  <c r="I27" i="24"/>
  <c r="BN229" i="24"/>
  <c r="BN132" i="52"/>
  <c r="BN231" i="24" s="1"/>
  <c r="BN131" i="52"/>
  <c r="BN230" i="24" s="1"/>
  <c r="J312" i="24"/>
  <c r="J335" i="24"/>
  <c r="H312" i="24"/>
  <c r="H335" i="24"/>
  <c r="AT79" i="24"/>
  <c r="AT264" i="24"/>
  <c r="AT330" i="24"/>
  <c r="C31" i="55"/>
  <c r="BO36" i="64"/>
  <c r="BQ344" i="24"/>
  <c r="CI344" i="24" s="1"/>
  <c r="BQ345" i="24"/>
  <c r="CI345" i="24" s="1"/>
  <c r="BQ348" i="24"/>
  <c r="CI348" i="24" s="1"/>
  <c r="CI172" i="24"/>
  <c r="BQ176" i="24"/>
  <c r="CI176" i="24" s="1"/>
  <c r="BQ347" i="24"/>
  <c r="CI347" i="24" s="1"/>
  <c r="BQ175" i="24"/>
  <c r="BR429" i="24"/>
  <c r="CJ429" i="24" s="1"/>
  <c r="BQ429" i="24"/>
  <c r="CI429" i="24" s="1"/>
  <c r="BO185" i="24"/>
  <c r="CP113" i="24"/>
  <c r="BY113" i="24"/>
  <c r="BR79" i="24"/>
  <c r="BR264" i="24"/>
  <c r="CJ264" i="24" s="1"/>
  <c r="BR330" i="24"/>
  <c r="CJ330" i="24" s="1"/>
  <c r="CJ80" i="24"/>
  <c r="BJ79" i="24"/>
  <c r="BJ264" i="24"/>
  <c r="BJ330" i="24"/>
  <c r="BD79" i="24"/>
  <c r="BD264" i="24"/>
  <c r="BD330" i="24"/>
  <c r="AV79" i="24"/>
  <c r="AV264" i="24"/>
  <c r="AV330" i="24"/>
  <c r="AN79" i="24"/>
  <c r="AN264" i="24"/>
  <c r="AN330" i="24"/>
  <c r="AO113" i="24"/>
  <c r="AO118" i="24"/>
  <c r="AO341" i="24"/>
  <c r="AP113" i="24"/>
  <c r="BD105" i="61"/>
  <c r="BD113" i="61"/>
  <c r="BE114" i="61"/>
  <c r="BQ114" i="61"/>
  <c r="BQ124" i="61"/>
  <c r="BE124" i="61"/>
  <c r="BD123" i="61"/>
  <c r="BE128" i="61"/>
  <c r="BF132" i="61"/>
  <c r="CM117" i="24"/>
  <c r="BU116" i="24"/>
  <c r="CM116" i="24" s="1"/>
  <c r="CN103" i="24" l="1"/>
  <c r="BV117" i="24"/>
  <c r="CN117" i="24" s="1"/>
  <c r="AN378" i="24"/>
  <c r="M23" i="24"/>
  <c r="M61" i="24"/>
  <c r="M250" i="24"/>
  <c r="BB168" i="61"/>
  <c r="BC108" i="61"/>
  <c r="BD108" i="61" s="1"/>
  <c r="BW22" i="45"/>
  <c r="BV192" i="24"/>
  <c r="BI37" i="61"/>
  <c r="BU37" i="61"/>
  <c r="BI46" i="61"/>
  <c r="BU46" i="61"/>
  <c r="BT171" i="61"/>
  <c r="BH171" i="61"/>
  <c r="BW24" i="45"/>
  <c r="BV194" i="24"/>
  <c r="BX195" i="24"/>
  <c r="BY25" i="45"/>
  <c r="BJ22" i="61"/>
  <c r="BV22" i="61"/>
  <c r="AW136" i="61"/>
  <c r="AV153" i="61"/>
  <c r="AV152" i="61" s="1"/>
  <c r="AV154" i="61"/>
  <c r="AV155" i="61" s="1"/>
  <c r="CF155" i="24"/>
  <c r="CW155" i="24"/>
  <c r="AK250" i="24"/>
  <c r="AK23" i="24"/>
  <c r="AK61" i="24"/>
  <c r="BU346" i="24"/>
  <c r="CM346" i="24" s="1"/>
  <c r="CM192" i="24"/>
  <c r="AU258" i="24"/>
  <c r="AU257" i="24"/>
  <c r="CM194" i="24"/>
  <c r="BU277" i="24"/>
  <c r="CM277" i="24" s="1"/>
  <c r="CO195" i="24"/>
  <c r="BW278" i="24"/>
  <c r="CO278" i="24" s="1"/>
  <c r="BV58" i="61"/>
  <c r="BJ58" i="61"/>
  <c r="BW274" i="24"/>
  <c r="BX274" i="24" s="1"/>
  <c r="BW23" i="45"/>
  <c r="BV193" i="24"/>
  <c r="BP403" i="24"/>
  <c r="BP148" i="24"/>
  <c r="BP323" i="24"/>
  <c r="M45" i="52"/>
  <c r="N45" i="52" s="1"/>
  <c r="L45" i="24"/>
  <c r="L42" i="24" s="1"/>
  <c r="CC315" i="52"/>
  <c r="CB26" i="45"/>
  <c r="CB128" i="24"/>
  <c r="CT128" i="24" s="1"/>
  <c r="AV258" i="24"/>
  <c r="AV257" i="24"/>
  <c r="AR258" i="24"/>
  <c r="AR257" i="24"/>
  <c r="AJ31" i="24"/>
  <c r="AJ287" i="24" s="1"/>
  <c r="CM143" i="24"/>
  <c r="BS403" i="24"/>
  <c r="CK403" i="24" s="1"/>
  <c r="AG250" i="24"/>
  <c r="AG61" i="24"/>
  <c r="AG23" i="24"/>
  <c r="BH60" i="52"/>
  <c r="BH139" i="52"/>
  <c r="BH203" i="24" s="1"/>
  <c r="BG162" i="52"/>
  <c r="Q250" i="24"/>
  <c r="Q23" i="24"/>
  <c r="Q61" i="24"/>
  <c r="I250" i="24"/>
  <c r="I23" i="24"/>
  <c r="I61" i="24"/>
  <c r="Y250" i="24"/>
  <c r="Y23" i="24"/>
  <c r="Y61" i="24"/>
  <c r="AO23" i="24"/>
  <c r="AO61" i="24"/>
  <c r="AO250" i="24"/>
  <c r="BJ214" i="24"/>
  <c r="BI63" i="24"/>
  <c r="BI75" i="24"/>
  <c r="BI300" i="24"/>
  <c r="BI302" i="24" s="1"/>
  <c r="BI214" i="24"/>
  <c r="BO327" i="24"/>
  <c r="C10" i="55" s="1"/>
  <c r="BO155" i="24"/>
  <c r="BV211" i="24"/>
  <c r="CN211" i="24" s="1"/>
  <c r="BW210" i="24"/>
  <c r="CN210" i="24"/>
  <c r="CL137" i="24"/>
  <c r="BT404" i="24"/>
  <c r="CL404" i="24" s="1"/>
  <c r="BI100" i="24"/>
  <c r="BI311" i="24"/>
  <c r="BI329" i="24"/>
  <c r="BS318" i="24"/>
  <c r="CK318" i="24" s="1"/>
  <c r="BS148" i="24"/>
  <c r="BS305" i="24"/>
  <c r="CK305" i="24" s="1"/>
  <c r="BS391" i="24"/>
  <c r="CK391" i="24" s="1"/>
  <c r="CK124" i="24"/>
  <c r="CK55" i="24"/>
  <c r="BS61" i="24"/>
  <c r="CK61" i="24" s="1"/>
  <c r="CM138" i="24"/>
  <c r="BU137" i="24"/>
  <c r="BV138" i="24"/>
  <c r="BU405" i="24"/>
  <c r="CM405" i="24" s="1"/>
  <c r="CA139" i="24"/>
  <c r="CR139" i="24"/>
  <c r="BU410" i="24"/>
  <c r="CM410" i="24" s="1"/>
  <c r="BS207" i="24"/>
  <c r="BR218" i="24"/>
  <c r="CJ218" i="24" s="1"/>
  <c r="BR67" i="24"/>
  <c r="BR226" i="24"/>
  <c r="CJ226" i="24" s="1"/>
  <c r="CJ207" i="24"/>
  <c r="BR323" i="24"/>
  <c r="CJ323" i="24" s="1"/>
  <c r="BR403" i="24"/>
  <c r="CJ403" i="24" s="1"/>
  <c r="CJ136" i="24"/>
  <c r="BG311" i="24"/>
  <c r="BG100" i="24"/>
  <c r="BG329" i="24"/>
  <c r="BM311" i="24"/>
  <c r="BM100" i="24"/>
  <c r="BM329" i="24"/>
  <c r="BQ93" i="24"/>
  <c r="CI93" i="24" s="1"/>
  <c r="BQ69" i="24"/>
  <c r="CI67" i="24"/>
  <c r="BS425" i="24"/>
  <c r="CK425" i="24" s="1"/>
  <c r="CK424" i="24"/>
  <c r="BK311" i="24"/>
  <c r="BK100" i="24"/>
  <c r="BK329" i="24"/>
  <c r="BO329" i="24"/>
  <c r="BO100" i="24"/>
  <c r="BO311" i="24"/>
  <c r="BS311" i="24"/>
  <c r="CK311" i="24" s="1"/>
  <c r="BS329" i="24"/>
  <c r="CK329" i="24" s="1"/>
  <c r="CK79" i="24"/>
  <c r="BQ335" i="24"/>
  <c r="CI335" i="24" s="1"/>
  <c r="BQ312" i="24"/>
  <c r="CI312" i="24" s="1"/>
  <c r="CI87" i="24"/>
  <c r="BQ100" i="24"/>
  <c r="BQ180" i="52"/>
  <c r="BQ129" i="52"/>
  <c r="BQ229" i="24" s="1"/>
  <c r="BQ411" i="24"/>
  <c r="CI411" i="24" s="1"/>
  <c r="CI144" i="24"/>
  <c r="CI140" i="24"/>
  <c r="BQ407" i="24"/>
  <c r="CI407" i="24" s="1"/>
  <c r="BQ237" i="24"/>
  <c r="CI228" i="24"/>
  <c r="BP294" i="24"/>
  <c r="BP268" i="24"/>
  <c r="P31" i="24"/>
  <c r="P287" i="24" s="1"/>
  <c r="BL310" i="24"/>
  <c r="BL326" i="24"/>
  <c r="BL101" i="24"/>
  <c r="BH311" i="24"/>
  <c r="BH100" i="24"/>
  <c r="BH329" i="24"/>
  <c r="G31" i="24"/>
  <c r="G287" i="24" s="1"/>
  <c r="Q31" i="24"/>
  <c r="Q287" i="24" s="1"/>
  <c r="BW103" i="24"/>
  <c r="BW143" i="24" s="1"/>
  <c r="AE31" i="24"/>
  <c r="AE287" i="24" s="1"/>
  <c r="BP311" i="24"/>
  <c r="BP100" i="24"/>
  <c r="BP329" i="24"/>
  <c r="CD85" i="24"/>
  <c r="CU85" i="24"/>
  <c r="BZ113" i="24"/>
  <c r="CQ113" i="24"/>
  <c r="I283" i="24"/>
  <c r="I31" i="24"/>
  <c r="I287" i="24" s="1"/>
  <c r="AT258" i="24"/>
  <c r="AT257" i="24"/>
  <c r="BH240" i="24"/>
  <c r="BI240" i="24"/>
  <c r="BU409" i="24"/>
  <c r="CM409" i="24" s="1"/>
  <c r="CM142" i="24"/>
  <c r="CN135" i="24"/>
  <c r="BV402" i="24"/>
  <c r="CN402" i="24" s="1"/>
  <c r="CK269" i="24"/>
  <c r="AY385" i="24"/>
  <c r="AZ380" i="24"/>
  <c r="AZ381" i="24"/>
  <c r="CL263" i="24"/>
  <c r="BU263" i="24"/>
  <c r="CI300" i="24"/>
  <c r="BQ302" i="24"/>
  <c r="CI302" i="24" s="1"/>
  <c r="CI63" i="24"/>
  <c r="AC199" i="24"/>
  <c r="AC308" i="24"/>
  <c r="BS82" i="61"/>
  <c r="BF43" i="24"/>
  <c r="BF189" i="61"/>
  <c r="BS189" i="61" s="1"/>
  <c r="BG72" i="61"/>
  <c r="BS72" i="61"/>
  <c r="BS73" i="61"/>
  <c r="BG73" i="61"/>
  <c r="AR311" i="24"/>
  <c r="AR329" i="24"/>
  <c r="AR100" i="24"/>
  <c r="BE127" i="61"/>
  <c r="BF128" i="61"/>
  <c r="BR128" i="61"/>
  <c r="BF124" i="61"/>
  <c r="BR124" i="61"/>
  <c r="BQ113" i="61"/>
  <c r="BE113" i="61"/>
  <c r="BD106" i="61"/>
  <c r="BE105" i="61"/>
  <c r="AN311" i="24"/>
  <c r="AN329" i="24"/>
  <c r="AN100" i="24"/>
  <c r="BD311" i="24"/>
  <c r="BD329" i="24"/>
  <c r="AT311" i="24"/>
  <c r="AT329" i="24"/>
  <c r="AT100" i="24"/>
  <c r="BN240" i="24"/>
  <c r="BO231" i="24"/>
  <c r="G30" i="24"/>
  <c r="G286" i="24" s="1"/>
  <c r="G44" i="24"/>
  <c r="G316" i="24"/>
  <c r="G317" i="24" s="1"/>
  <c r="G297" i="24"/>
  <c r="M368" i="24"/>
  <c r="BL102" i="61"/>
  <c r="BX102" i="61"/>
  <c r="BF311" i="24"/>
  <c r="BF100" i="24"/>
  <c r="BF329" i="24"/>
  <c r="AX311" i="24"/>
  <c r="AX329" i="24"/>
  <c r="AX100" i="24"/>
  <c r="H297" i="24"/>
  <c r="H30" i="24"/>
  <c r="H286" i="24" s="1"/>
  <c r="H316" i="24"/>
  <c r="H317" i="24" s="1"/>
  <c r="H44" i="24"/>
  <c r="S250" i="24"/>
  <c r="S23" i="24"/>
  <c r="S61" i="24"/>
  <c r="W250" i="24"/>
  <c r="W23" i="24"/>
  <c r="W61" i="24"/>
  <c r="J258" i="24"/>
  <c r="J257" i="24"/>
  <c r="Z258" i="24"/>
  <c r="Z257" i="24"/>
  <c r="AD258" i="24"/>
  <c r="AD257" i="24"/>
  <c r="AH258" i="24"/>
  <c r="AH257" i="24"/>
  <c r="AL258" i="24"/>
  <c r="AL257" i="24"/>
  <c r="AP258" i="24"/>
  <c r="AP257" i="24"/>
  <c r="AX258" i="24"/>
  <c r="AX257" i="24"/>
  <c r="BB258" i="24"/>
  <c r="BB257" i="24"/>
  <c r="BY474" i="52"/>
  <c r="BV169" i="24"/>
  <c r="BV166" i="24"/>
  <c r="BU184" i="24"/>
  <c r="CM166" i="24"/>
  <c r="BX243" i="24"/>
  <c r="CP243" i="24" s="1"/>
  <c r="BY21" i="45"/>
  <c r="BR126" i="61"/>
  <c r="BF126" i="61"/>
  <c r="BE115" i="61"/>
  <c r="BQ115" i="61"/>
  <c r="AZ209" i="24"/>
  <c r="AZ65" i="24"/>
  <c r="AZ216" i="24"/>
  <c r="BO11" i="24"/>
  <c r="BN9" i="24"/>
  <c r="BN27" i="24" s="1"/>
  <c r="BN283" i="24" s="1"/>
  <c r="CD101" i="24"/>
  <c r="CU101" i="24"/>
  <c r="BE102" i="24"/>
  <c r="BE117" i="24"/>
  <c r="BE55" i="61"/>
  <c r="BR146" i="61"/>
  <c r="BF74" i="61"/>
  <c r="BS74" i="61" s="1"/>
  <c r="BR137" i="61"/>
  <c r="BF137" i="61"/>
  <c r="BF196" i="24"/>
  <c r="BF299" i="52"/>
  <c r="BF301" i="52"/>
  <c r="BF303" i="52"/>
  <c r="BF297" i="52"/>
  <c r="BF302" i="52"/>
  <c r="BF300" i="52"/>
  <c r="BG464" i="52"/>
  <c r="BT98" i="61"/>
  <c r="BU44" i="61"/>
  <c r="BI44" i="61"/>
  <c r="BI52" i="61"/>
  <c r="BU52" i="61"/>
  <c r="BC201" i="61"/>
  <c r="BC187" i="61"/>
  <c r="CJ144" i="24"/>
  <c r="BR411" i="24"/>
  <c r="CJ411" i="24" s="1"/>
  <c r="BB100" i="24"/>
  <c r="BB311" i="24"/>
  <c r="BB329" i="24"/>
  <c r="H100" i="24"/>
  <c r="H311" i="24"/>
  <c r="H329" i="24"/>
  <c r="L311" i="24"/>
  <c r="L329" i="24"/>
  <c r="L100" i="24"/>
  <c r="P311" i="24"/>
  <c r="P329" i="24"/>
  <c r="P100" i="24"/>
  <c r="T311" i="24"/>
  <c r="T329" i="24"/>
  <c r="T100" i="24"/>
  <c r="X311" i="24"/>
  <c r="X329" i="24"/>
  <c r="X100" i="24"/>
  <c r="AB311" i="24"/>
  <c r="AB329" i="24"/>
  <c r="AB100" i="24"/>
  <c r="AF311" i="24"/>
  <c r="AF329" i="24"/>
  <c r="AF100" i="24"/>
  <c r="AJ311" i="24"/>
  <c r="AJ329" i="24"/>
  <c r="AJ100" i="24"/>
  <c r="L30" i="24"/>
  <c r="L286" i="24" s="1"/>
  <c r="L44" i="24"/>
  <c r="L316" i="24"/>
  <c r="L317" i="24" s="1"/>
  <c r="L297" i="24"/>
  <c r="AB31" i="24"/>
  <c r="AB287" i="24" s="1"/>
  <c r="AA61" i="24"/>
  <c r="AA23" i="24"/>
  <c r="AA250" i="24"/>
  <c r="AI250" i="24"/>
  <c r="AI61" i="24"/>
  <c r="AI23" i="24"/>
  <c r="P250" i="24"/>
  <c r="P23" i="24"/>
  <c r="P61" i="24"/>
  <c r="R258" i="24"/>
  <c r="R257" i="24"/>
  <c r="BV142" i="24"/>
  <c r="BV140" i="24" s="1"/>
  <c r="BV410" i="24"/>
  <c r="CN410" i="24" s="1"/>
  <c r="CN143" i="24"/>
  <c r="BU146" i="24"/>
  <c r="BT413" i="24"/>
  <c r="CL413" i="24" s="1"/>
  <c r="CL146" i="24"/>
  <c r="BK233" i="24"/>
  <c r="BL234" i="24"/>
  <c r="BQ117" i="61"/>
  <c r="BE117" i="61"/>
  <c r="BR120" i="61"/>
  <c r="BF120" i="61"/>
  <c r="BL238" i="24"/>
  <c r="BM238" i="24"/>
  <c r="BL239" i="24"/>
  <c r="BL65" i="24"/>
  <c r="BM239" i="24"/>
  <c r="K30" i="24"/>
  <c r="K286" i="24" s="1"/>
  <c r="K44" i="24"/>
  <c r="K316" i="24"/>
  <c r="K317" i="24" s="1"/>
  <c r="K297" i="24"/>
  <c r="J282" i="24"/>
  <c r="J31" i="24"/>
  <c r="J287" i="24" s="1"/>
  <c r="O31" i="24"/>
  <c r="O287" i="24" s="1"/>
  <c r="R282" i="24"/>
  <c r="R31" i="24"/>
  <c r="R287" i="24" s="1"/>
  <c r="W31" i="24"/>
  <c r="W287" i="24" s="1"/>
  <c r="Z282" i="24"/>
  <c r="Z31" i="24"/>
  <c r="Z287" i="24" s="1"/>
  <c r="AH282" i="24"/>
  <c r="AH31" i="24"/>
  <c r="AH287" i="24" s="1"/>
  <c r="AM31" i="24"/>
  <c r="AM287" i="24" s="1"/>
  <c r="AP282" i="24"/>
  <c r="AP31" i="24"/>
  <c r="AP287" i="24" s="1"/>
  <c r="AQ31" i="24"/>
  <c r="AQ287" i="24" s="1"/>
  <c r="AT282" i="24"/>
  <c r="AT31" i="24"/>
  <c r="AT287" i="24" s="1"/>
  <c r="AX282" i="24"/>
  <c r="AX31" i="24"/>
  <c r="AX287" i="24" s="1"/>
  <c r="L250" i="24"/>
  <c r="L61" i="24"/>
  <c r="L23" i="24"/>
  <c r="V258" i="24"/>
  <c r="V257" i="24"/>
  <c r="BD258" i="24"/>
  <c r="BD257" i="24"/>
  <c r="BF65" i="24"/>
  <c r="BG239" i="24"/>
  <c r="BF238" i="24"/>
  <c r="BG238" i="24"/>
  <c r="BV316" i="24"/>
  <c r="CN42" i="24"/>
  <c r="BV297" i="24"/>
  <c r="CN297" i="24" s="1"/>
  <c r="BV411" i="24"/>
  <c r="CN411" i="24" s="1"/>
  <c r="CN144" i="24"/>
  <c r="CN97" i="24"/>
  <c r="BV14" i="24"/>
  <c r="CN14" i="24" s="1"/>
  <c r="K366" i="24"/>
  <c r="K33" i="24"/>
  <c r="L35" i="52"/>
  <c r="AI154" i="61"/>
  <c r="AI153" i="61"/>
  <c r="AJ152" i="61" s="1"/>
  <c r="AH136" i="61"/>
  <c r="BF110" i="61"/>
  <c r="BG132" i="61"/>
  <c r="BH132" i="61" s="1"/>
  <c r="BI132" i="61" s="1"/>
  <c r="BJ132" i="61" s="1"/>
  <c r="BK132" i="61" s="1"/>
  <c r="BL132" i="61" s="1"/>
  <c r="BM132" i="61" s="1"/>
  <c r="BN132" i="61" s="1"/>
  <c r="BO132" i="61" s="1"/>
  <c r="BQ123" i="61"/>
  <c r="BE123" i="61"/>
  <c r="BF114" i="61"/>
  <c r="BR114" i="61"/>
  <c r="BD84" i="61"/>
  <c r="BQ84" i="61" s="1"/>
  <c r="BQ105" i="61"/>
  <c r="AO309" i="24"/>
  <c r="AO361" i="24" s="1"/>
  <c r="AO339" i="24"/>
  <c r="AV311" i="24"/>
  <c r="AV329" i="24"/>
  <c r="AV100" i="24"/>
  <c r="BJ329" i="24"/>
  <c r="BJ311" i="24"/>
  <c r="BJ100" i="24"/>
  <c r="CJ79" i="24"/>
  <c r="BR311" i="24"/>
  <c r="CJ311" i="24" s="1"/>
  <c r="BR329" i="24"/>
  <c r="CJ329" i="24" s="1"/>
  <c r="BN65" i="24"/>
  <c r="BO230" i="24"/>
  <c r="BN239" i="24"/>
  <c r="BN238" i="24"/>
  <c r="BO238" i="24"/>
  <c r="C18" i="55" s="1"/>
  <c r="C23" i="55" s="1"/>
  <c r="AV31" i="24"/>
  <c r="AV287" i="24" s="1"/>
  <c r="N258" i="24"/>
  <c r="N257" i="24"/>
  <c r="AB250" i="24"/>
  <c r="AB61" i="24"/>
  <c r="AB23" i="24"/>
  <c r="AF250" i="24"/>
  <c r="AF23" i="24"/>
  <c r="AF61" i="24"/>
  <c r="AN250" i="24"/>
  <c r="AN23" i="24"/>
  <c r="AN61" i="24"/>
  <c r="BF185" i="52"/>
  <c r="BH238" i="24"/>
  <c r="BI238" i="24"/>
  <c r="BH239" i="24"/>
  <c r="BI239" i="24"/>
  <c r="BH65" i="24"/>
  <c r="CM316" i="24"/>
  <c r="CM133" i="24"/>
  <c r="BU400" i="24"/>
  <c r="CM400" i="24" s="1"/>
  <c r="BV133" i="24"/>
  <c r="BU140" i="24"/>
  <c r="BV408" i="24"/>
  <c r="CN408" i="24" s="1"/>
  <c r="CN141" i="24"/>
  <c r="BV431" i="24"/>
  <c r="CN431" i="24" s="1"/>
  <c r="BW188" i="24"/>
  <c r="BV187" i="24"/>
  <c r="CN188" i="24"/>
  <c r="BQ323" i="24"/>
  <c r="CI323" i="24" s="1"/>
  <c r="BQ403" i="24"/>
  <c r="CI403" i="24" s="1"/>
  <c r="CI136" i="24"/>
  <c r="L299" i="24"/>
  <c r="L367" i="24" s="1"/>
  <c r="L32" i="24"/>
  <c r="L288" i="24" s="1"/>
  <c r="L365" i="24" s="1"/>
  <c r="BT149" i="61"/>
  <c r="BH149" i="61"/>
  <c r="CJ203" i="24"/>
  <c r="BS203" i="24"/>
  <c r="BR222" i="24"/>
  <c r="CJ222" i="24" s="1"/>
  <c r="BR214" i="24"/>
  <c r="CJ214" i="24" s="1"/>
  <c r="BR300" i="24"/>
  <c r="BY127" i="24"/>
  <c r="CQ127" i="24" s="1"/>
  <c r="BV20" i="61"/>
  <c r="BJ20" i="61"/>
  <c r="BU36" i="61"/>
  <c r="BI36" i="61"/>
  <c r="AA143" i="61"/>
  <c r="AB170" i="61" s="1"/>
  <c r="AB194" i="61"/>
  <c r="AB164" i="24"/>
  <c r="AB140" i="61"/>
  <c r="AB218" i="61"/>
  <c r="AC170" i="61"/>
  <c r="BG71" i="61"/>
  <c r="BT71" i="61" s="1"/>
  <c r="BH99" i="61"/>
  <c r="BG244" i="61"/>
  <c r="BT244" i="61" s="1"/>
  <c r="BG82" i="61"/>
  <c r="BG215" i="61"/>
  <c r="BT215" i="61" s="1"/>
  <c r="BT99" i="61"/>
  <c r="BG242" i="61"/>
  <c r="BT242" i="61" s="1"/>
  <c r="BS103" i="61"/>
  <c r="BG103" i="61"/>
  <c r="BF122" i="61"/>
  <c r="BR122" i="61"/>
  <c r="AZ311" i="24"/>
  <c r="AZ329" i="24"/>
  <c r="AZ100" i="24"/>
  <c r="BN311" i="24"/>
  <c r="BN100" i="24"/>
  <c r="BN329" i="24"/>
  <c r="K61" i="24"/>
  <c r="K23" i="24"/>
  <c r="K250" i="24"/>
  <c r="AE61" i="24"/>
  <c r="AE23" i="24"/>
  <c r="AE250" i="24"/>
  <c r="AM250" i="24"/>
  <c r="AM61" i="24"/>
  <c r="AM23" i="24"/>
  <c r="F250" i="24"/>
  <c r="F61" i="24"/>
  <c r="X250" i="24"/>
  <c r="X23" i="24"/>
  <c r="X61" i="24"/>
  <c r="Y31" i="24"/>
  <c r="Y287" i="24" s="1"/>
  <c r="BT409" i="24"/>
  <c r="CL409" i="24" s="1"/>
  <c r="CL142" i="24"/>
  <c r="BT140" i="24"/>
  <c r="BT186" i="24"/>
  <c r="BT183" i="24"/>
  <c r="CL184" i="24"/>
  <c r="H31" i="24"/>
  <c r="H287" i="24" s="1"/>
  <c r="BQ125" i="61"/>
  <c r="BE125" i="61"/>
  <c r="AK155" i="61"/>
  <c r="AL155" i="61"/>
  <c r="BS89" i="61"/>
  <c r="BF208" i="61"/>
  <c r="BS208" i="61" s="1"/>
  <c r="BG89" i="61"/>
  <c r="BF222" i="61"/>
  <c r="BS222" i="61" s="1"/>
  <c r="BS93" i="61"/>
  <c r="BG93" i="61"/>
  <c r="BE187" i="52"/>
  <c r="BE188" i="52" s="1"/>
  <c r="BD189" i="52"/>
  <c r="BS155" i="24"/>
  <c r="CK155" i="24" s="1"/>
  <c r="BS327" i="24"/>
  <c r="CK267" i="24"/>
  <c r="AA434" i="24"/>
  <c r="AA180" i="24"/>
  <c r="Y144" i="61"/>
  <c r="Z219" i="61"/>
  <c r="Z141" i="61"/>
  <c r="Z179" i="24"/>
  <c r="Z34" i="64"/>
  <c r="BR116" i="61"/>
  <c r="BF116" i="61"/>
  <c r="L43" i="52"/>
  <c r="K44" i="52"/>
  <c r="K46" i="52"/>
  <c r="BB90" i="61"/>
  <c r="BA140" i="52"/>
  <c r="BA205" i="24" s="1"/>
  <c r="BA214" i="61"/>
  <c r="BW202" i="24"/>
  <c r="BV221" i="24"/>
  <c r="CN221" i="24" s="1"/>
  <c r="CN202" i="24"/>
  <c r="CF57" i="45"/>
  <c r="CF37" i="45" s="1"/>
  <c r="AY378" i="24"/>
  <c r="BF369" i="24"/>
  <c r="BE302" i="52"/>
  <c r="BE428" i="52"/>
  <c r="BE161" i="24" s="1"/>
  <c r="BE196" i="24"/>
  <c r="BE246" i="24" s="1"/>
  <c r="BE356" i="24" s="1"/>
  <c r="BR77" i="61"/>
  <c r="BF77" i="61"/>
  <c r="BG47" i="61"/>
  <c r="BS47" i="61"/>
  <c r="BF67" i="61"/>
  <c r="BE255" i="61"/>
  <c r="BR255" i="61" s="1"/>
  <c r="BE136" i="24"/>
  <c r="BR67" i="61"/>
  <c r="BG97" i="61"/>
  <c r="BI100" i="61"/>
  <c r="BU100" i="61"/>
  <c r="BQ121" i="61"/>
  <c r="BE121" i="61"/>
  <c r="AL100" i="24"/>
  <c r="AL311" i="24"/>
  <c r="AL329" i="24"/>
  <c r="F100" i="24"/>
  <c r="F311" i="24"/>
  <c r="F329" i="24"/>
  <c r="J311" i="24"/>
  <c r="J329" i="24"/>
  <c r="J100" i="24"/>
  <c r="N311" i="24"/>
  <c r="N329" i="24"/>
  <c r="N100" i="24"/>
  <c r="R311" i="24"/>
  <c r="R329" i="24"/>
  <c r="R100" i="24"/>
  <c r="V100" i="24"/>
  <c r="V311" i="24"/>
  <c r="V329" i="24"/>
  <c r="Z311" i="24"/>
  <c r="Z329" i="24"/>
  <c r="Z100" i="24"/>
  <c r="AD311" i="24"/>
  <c r="AD329" i="24"/>
  <c r="AD100" i="24"/>
  <c r="AH311" i="24"/>
  <c r="AH329" i="24"/>
  <c r="AH100" i="24"/>
  <c r="O61" i="24"/>
  <c r="O23" i="24"/>
  <c r="O250" i="24"/>
  <c r="X31" i="24"/>
  <c r="X287" i="24" s="1"/>
  <c r="AN31" i="24"/>
  <c r="AN287" i="24" s="1"/>
  <c r="BJ257" i="24"/>
  <c r="BK65" i="24"/>
  <c r="BQ148" i="24"/>
  <c r="BL94" i="61"/>
  <c r="BX94" i="61"/>
  <c r="BU95" i="61"/>
  <c r="BI95" i="61"/>
  <c r="BU441" i="24"/>
  <c r="CM110" i="24"/>
  <c r="CL134" i="24"/>
  <c r="BT132" i="24"/>
  <c r="BT401" i="24"/>
  <c r="CL401" i="24" s="1"/>
  <c r="BU134" i="24"/>
  <c r="BU132" i="24" s="1"/>
  <c r="BF118" i="61"/>
  <c r="BR118" i="61"/>
  <c r="BE119" i="61"/>
  <c r="BQ119" i="61"/>
  <c r="BU111" i="61"/>
  <c r="BI111" i="61"/>
  <c r="AP311" i="24"/>
  <c r="AP329" i="24"/>
  <c r="AP100" i="24"/>
  <c r="BL240" i="24"/>
  <c r="BM240" i="24"/>
  <c r="CJ148" i="24"/>
  <c r="BR324" i="24"/>
  <c r="CJ324" i="24" s="1"/>
  <c r="BR415" i="24"/>
  <c r="CJ415" i="24" s="1"/>
  <c r="BR150" i="24"/>
  <c r="K31" i="24"/>
  <c r="K287" i="24" s="1"/>
  <c r="N282" i="24"/>
  <c r="N31" i="24"/>
  <c r="N287" i="24" s="1"/>
  <c r="S31" i="24"/>
  <c r="S287" i="24" s="1"/>
  <c r="V282" i="24"/>
  <c r="V31" i="24"/>
  <c r="V287" i="24" s="1"/>
  <c r="AA31" i="24"/>
  <c r="AA287" i="24" s="1"/>
  <c r="AD282" i="24"/>
  <c r="AD31" i="24"/>
  <c r="AD287" i="24" s="1"/>
  <c r="AI31" i="24"/>
  <c r="AI287" i="24" s="1"/>
  <c r="AL282" i="24"/>
  <c r="AL31" i="24"/>
  <c r="AL287" i="24" s="1"/>
  <c r="AU31" i="24"/>
  <c r="AU287" i="24" s="1"/>
  <c r="AY31" i="24"/>
  <c r="AY287" i="24" s="1"/>
  <c r="G258" i="24"/>
  <c r="G257" i="24"/>
  <c r="T250" i="24"/>
  <c r="T61" i="24"/>
  <c r="T23" i="24"/>
  <c r="AJ250" i="24"/>
  <c r="AJ61" i="24"/>
  <c r="AJ23" i="24"/>
  <c r="CJ61" i="24"/>
  <c r="BJ229" i="24"/>
  <c r="BJ131" i="52"/>
  <c r="BJ230" i="24" s="1"/>
  <c r="BK239" i="24" s="1"/>
  <c r="BJ132" i="52"/>
  <c r="BJ231" i="24" s="1"/>
  <c r="BJ240" i="24" s="1"/>
  <c r="CO196" i="24"/>
  <c r="AD3" i="55" s="1"/>
  <c r="BW160" i="24"/>
  <c r="CO160" i="24" s="1"/>
  <c r="BX196" i="24"/>
  <c r="BX141" i="24" s="1"/>
  <c r="BW144" i="24"/>
  <c r="BW42" i="24"/>
  <c r="BW135" i="24" s="1"/>
  <c r="BW406" i="24"/>
  <c r="CO406" i="24" s="1"/>
  <c r="BW279" i="24"/>
  <c r="CO279" i="24" s="1"/>
  <c r="K3" i="55"/>
  <c r="N10" i="71" s="1"/>
  <c r="BW7" i="70"/>
  <c r="BW6" i="70" s="1"/>
  <c r="BW129" i="24"/>
  <c r="BW43" i="24"/>
  <c r="BW97" i="24"/>
  <c r="CN129" i="24"/>
  <c r="BV396" i="24"/>
  <c r="CN396" i="24" s="1"/>
  <c r="BV39" i="24"/>
  <c r="CN39" i="24" s="1"/>
  <c r="J4" i="55"/>
  <c r="M11" i="71" s="1"/>
  <c r="BV65" i="45"/>
  <c r="R10" i="71"/>
  <c r="H257" i="24"/>
  <c r="H258" i="24"/>
  <c r="AJ155" i="61"/>
  <c r="BT92" i="61"/>
  <c r="BG210" i="61"/>
  <c r="BT210" i="61" s="1"/>
  <c r="BH92" i="61"/>
  <c r="BG186" i="52"/>
  <c r="AL152" i="61"/>
  <c r="BV116" i="24" l="1"/>
  <c r="CN116" i="24" s="1"/>
  <c r="BV110" i="24"/>
  <c r="BV441" i="24" s="1"/>
  <c r="BW58" i="61"/>
  <c r="BK58" i="61"/>
  <c r="AX136" i="61"/>
  <c r="AW153" i="61"/>
  <c r="AW152" i="61" s="1"/>
  <c r="AW154" i="61"/>
  <c r="AW155" i="61" s="1"/>
  <c r="BW22" i="61"/>
  <c r="BK22" i="61"/>
  <c r="BX278" i="24"/>
  <c r="CP278" i="24" s="1"/>
  <c r="CP195" i="24"/>
  <c r="BX24" i="45"/>
  <c r="BW194" i="24"/>
  <c r="BV46" i="61"/>
  <c r="BJ46" i="61"/>
  <c r="BJ37" i="61"/>
  <c r="BV37" i="61"/>
  <c r="BX22" i="45"/>
  <c r="BW192" i="24"/>
  <c r="BX23" i="45"/>
  <c r="BW193" i="24"/>
  <c r="AK258" i="24"/>
  <c r="AK257" i="24"/>
  <c r="CX155" i="24"/>
  <c r="CG155" i="24"/>
  <c r="CY155" i="24" s="1"/>
  <c r="BY195" i="24"/>
  <c r="BZ25" i="45"/>
  <c r="CN194" i="24"/>
  <c r="BV277" i="24"/>
  <c r="CN277" i="24" s="1"/>
  <c r="BI171" i="61"/>
  <c r="BU171" i="61"/>
  <c r="CN192" i="24"/>
  <c r="BV346" i="24"/>
  <c r="CN346" i="24" s="1"/>
  <c r="BQ108" i="61"/>
  <c r="BE108" i="61"/>
  <c r="M257" i="24"/>
  <c r="M258" i="24"/>
  <c r="M45" i="24"/>
  <c r="M299" i="24" s="1"/>
  <c r="M367" i="24" s="1"/>
  <c r="M48" i="52"/>
  <c r="CC128" i="24"/>
  <c r="CU128" i="24" s="1"/>
  <c r="CD315" i="52"/>
  <c r="CC26" i="45"/>
  <c r="BP324" i="24"/>
  <c r="BP415" i="24"/>
  <c r="BP150" i="24"/>
  <c r="BW117" i="24"/>
  <c r="BW110" i="24" s="1"/>
  <c r="CO103" i="24"/>
  <c r="AO257" i="24"/>
  <c r="AO258" i="24"/>
  <c r="I257" i="24"/>
  <c r="I258" i="24"/>
  <c r="BG60" i="52"/>
  <c r="BF162" i="52"/>
  <c r="BG159" i="52"/>
  <c r="BG139" i="52"/>
  <c r="BG203" i="24" s="1"/>
  <c r="BH214" i="24" s="1"/>
  <c r="CO210" i="24"/>
  <c r="BW211" i="24"/>
  <c r="CO211" i="24" s="1"/>
  <c r="BX210" i="24"/>
  <c r="Y257" i="24"/>
  <c r="Y258" i="24"/>
  <c r="Q257" i="24"/>
  <c r="Q258" i="24"/>
  <c r="BH63" i="24"/>
  <c r="BH75" i="24"/>
  <c r="AG257" i="24"/>
  <c r="AG258" i="24"/>
  <c r="CN138" i="24"/>
  <c r="BV405" i="24"/>
  <c r="CN405" i="24" s="1"/>
  <c r="BV137" i="24"/>
  <c r="BW138" i="24"/>
  <c r="CK148" i="24"/>
  <c r="BS324" i="24"/>
  <c r="CK324" i="24" s="1"/>
  <c r="BS150" i="24"/>
  <c r="BS415" i="24"/>
  <c r="CK415" i="24" s="1"/>
  <c r="BI101" i="24"/>
  <c r="BI326" i="24"/>
  <c r="BI310" i="24"/>
  <c r="BU404" i="24"/>
  <c r="CM404" i="24" s="1"/>
  <c r="CM137" i="24"/>
  <c r="CS139" i="24"/>
  <c r="CB139" i="24"/>
  <c r="BQ326" i="24"/>
  <c r="CI326" i="24" s="1"/>
  <c r="CI100" i="24"/>
  <c r="BQ101" i="24"/>
  <c r="CI101" i="24" s="1"/>
  <c r="BQ310" i="24"/>
  <c r="BO310" i="24"/>
  <c r="C9" i="55" s="1"/>
  <c r="BO326" i="24"/>
  <c r="BO101" i="24"/>
  <c r="BG101" i="24"/>
  <c r="BG326" i="24"/>
  <c r="BG310" i="24"/>
  <c r="BK101" i="24"/>
  <c r="BK326" i="24"/>
  <c r="BK310" i="24"/>
  <c r="BM326" i="24"/>
  <c r="BM310" i="24"/>
  <c r="BM101" i="24"/>
  <c r="BR69" i="24"/>
  <c r="CJ67" i="24"/>
  <c r="BR93" i="24"/>
  <c r="CK207" i="24"/>
  <c r="BS218" i="24"/>
  <c r="CK218" i="24" s="1"/>
  <c r="BS226" i="24"/>
  <c r="CK226" i="24" s="1"/>
  <c r="BS67" i="24"/>
  <c r="BT207" i="24"/>
  <c r="BQ238" i="24"/>
  <c r="CI229" i="24"/>
  <c r="E17" i="55"/>
  <c r="E21" i="55" s="1"/>
  <c r="X21" i="55" s="1"/>
  <c r="CI237" i="24"/>
  <c r="X17" i="55" s="1"/>
  <c r="BQ37" i="24"/>
  <c r="BH326" i="24"/>
  <c r="BH101" i="24"/>
  <c r="BH310" i="24"/>
  <c r="BK240" i="24"/>
  <c r="BP310" i="24"/>
  <c r="D9" i="55" s="1"/>
  <c r="BP101" i="24"/>
  <c r="BP326" i="24"/>
  <c r="CV85" i="24"/>
  <c r="CE85" i="24"/>
  <c r="BW402" i="24"/>
  <c r="CO402" i="24" s="1"/>
  <c r="CO135" i="24"/>
  <c r="BU399" i="24"/>
  <c r="CM399" i="24" s="1"/>
  <c r="CM132" i="24"/>
  <c r="BU55" i="24"/>
  <c r="CM55" i="24" s="1"/>
  <c r="S10" i="71"/>
  <c r="AJ258" i="24"/>
  <c r="AJ257" i="24"/>
  <c r="BT399" i="24"/>
  <c r="CL399" i="24" s="1"/>
  <c r="CL132" i="24"/>
  <c r="BT55" i="24"/>
  <c r="CL55" i="24" s="1"/>
  <c r="BM94" i="61"/>
  <c r="BY94" i="61"/>
  <c r="CI148" i="24"/>
  <c r="BQ324" i="24"/>
  <c r="CI324" i="24" s="1"/>
  <c r="BQ415" i="24"/>
  <c r="CI415" i="24" s="1"/>
  <c r="BQ150" i="24"/>
  <c r="V310" i="24"/>
  <c r="V326" i="24"/>
  <c r="V101" i="24"/>
  <c r="N101" i="24"/>
  <c r="N326" i="24"/>
  <c r="N310" i="24"/>
  <c r="F310" i="24"/>
  <c r="F101" i="24"/>
  <c r="F326" i="24"/>
  <c r="BE307" i="24"/>
  <c r="BE306" i="24"/>
  <c r="BC90" i="61"/>
  <c r="BB214" i="61"/>
  <c r="BS116" i="61"/>
  <c r="BG116" i="61"/>
  <c r="BH89" i="61"/>
  <c r="BG208" i="61"/>
  <c r="BT208" i="61" s="1"/>
  <c r="BT89" i="61"/>
  <c r="BG222" i="61"/>
  <c r="BT222" i="61" s="1"/>
  <c r="BR125" i="61"/>
  <c r="BF125" i="61"/>
  <c r="AE258" i="24"/>
  <c r="AE257" i="24"/>
  <c r="BG189" i="61"/>
  <c r="BT189" i="61" s="1"/>
  <c r="BT82" i="61"/>
  <c r="BH71" i="61"/>
  <c r="BU71" i="61" s="1"/>
  <c r="BU99" i="61"/>
  <c r="BH244" i="61"/>
  <c r="BU244" i="61" s="1"/>
  <c r="BH215" i="61"/>
  <c r="BU215" i="61" s="1"/>
  <c r="BH82" i="61"/>
  <c r="BI99" i="61"/>
  <c r="BH242" i="61"/>
  <c r="BU242" i="61" s="1"/>
  <c r="AB308" i="24"/>
  <c r="AB199" i="24"/>
  <c r="BV36" i="61"/>
  <c r="BJ36" i="61"/>
  <c r="CK203" i="24"/>
  <c r="BT203" i="24"/>
  <c r="BS300" i="24"/>
  <c r="BS214" i="24"/>
  <c r="CK214" i="24" s="1"/>
  <c r="BS222" i="24"/>
  <c r="CK222" i="24" s="1"/>
  <c r="BU149" i="61"/>
  <c r="BI149" i="61"/>
  <c r="BW408" i="24"/>
  <c r="CO408" i="24" s="1"/>
  <c r="CO141" i="24"/>
  <c r="AF258" i="24"/>
  <c r="AF257" i="24"/>
  <c r="BJ101" i="24"/>
  <c r="BJ326" i="24"/>
  <c r="BJ310" i="24"/>
  <c r="CN316" i="24"/>
  <c r="BJ233" i="24"/>
  <c r="BK234" i="24"/>
  <c r="BV146" i="24"/>
  <c r="CM146" i="24"/>
  <c r="BU413" i="24"/>
  <c r="CM413" i="24" s="1"/>
  <c r="P258" i="24"/>
  <c r="P257" i="24"/>
  <c r="AA258" i="24"/>
  <c r="AA257" i="24"/>
  <c r="AJ101" i="24"/>
  <c r="AJ326" i="24"/>
  <c r="AJ310" i="24"/>
  <c r="L310" i="24"/>
  <c r="L101" i="24"/>
  <c r="L326" i="24"/>
  <c r="BV44" i="61"/>
  <c r="BJ44" i="61"/>
  <c r="BF129" i="24"/>
  <c r="BF133" i="24"/>
  <c r="BF139" i="24"/>
  <c r="BF406" i="24" s="1"/>
  <c r="BF141" i="24"/>
  <c r="BF126" i="24"/>
  <c r="BF142" i="24"/>
  <c r="BF358" i="24"/>
  <c r="BF410" i="24"/>
  <c r="BF7" i="70"/>
  <c r="BF135" i="24"/>
  <c r="BF110" i="24"/>
  <c r="BF441" i="24" s="1"/>
  <c r="BF134" i="24"/>
  <c r="BF401" i="24" s="1"/>
  <c r="BF146" i="24"/>
  <c r="BF246" i="24"/>
  <c r="BF356" i="24" s="1"/>
  <c r="BF131" i="24"/>
  <c r="BF125" i="24"/>
  <c r="BF138" i="24"/>
  <c r="BF279" i="24"/>
  <c r="BG126" i="61"/>
  <c r="BS126" i="61"/>
  <c r="BU183" i="24"/>
  <c r="CM184" i="24"/>
  <c r="BU186" i="24"/>
  <c r="BZ474" i="52"/>
  <c r="S258" i="24"/>
  <c r="S257" i="24"/>
  <c r="BY102" i="61"/>
  <c r="BM102" i="61"/>
  <c r="BE84" i="61"/>
  <c r="BR84" i="61" s="1"/>
  <c r="BR105" i="61"/>
  <c r="BF113" i="61"/>
  <c r="BR113" i="61"/>
  <c r="BE106" i="61"/>
  <c r="BF127" i="61"/>
  <c r="BR127" i="61"/>
  <c r="AR310" i="24"/>
  <c r="AR101" i="24"/>
  <c r="AR326" i="24"/>
  <c r="BT72" i="61"/>
  <c r="BH72" i="61"/>
  <c r="AZ378" i="24"/>
  <c r="BH186" i="52"/>
  <c r="BW14" i="24"/>
  <c r="CO14" i="24" s="1"/>
  <c r="CO97" i="24"/>
  <c r="CO129" i="24"/>
  <c r="BW396" i="24"/>
  <c r="CO396" i="24" s="1"/>
  <c r="BW39" i="24"/>
  <c r="CO39" i="24" s="1"/>
  <c r="K4" i="55"/>
  <c r="N11" i="71" s="1"/>
  <c r="BW65" i="45"/>
  <c r="BW411" i="24"/>
  <c r="CO411" i="24" s="1"/>
  <c r="CO144" i="24"/>
  <c r="BJ238" i="24"/>
  <c r="CJ150" i="24"/>
  <c r="BR417" i="24"/>
  <c r="CJ417" i="24" s="1"/>
  <c r="BR154" i="24"/>
  <c r="AP101" i="24"/>
  <c r="AP326" i="24"/>
  <c r="AP310" i="24"/>
  <c r="BR119" i="61"/>
  <c r="BF119" i="61"/>
  <c r="BS118" i="61"/>
  <c r="BG118" i="61"/>
  <c r="BV95" i="61"/>
  <c r="BJ95" i="61"/>
  <c r="AH310" i="24"/>
  <c r="AH101" i="24"/>
  <c r="AH326" i="24"/>
  <c r="Z101" i="24"/>
  <c r="Z326" i="24"/>
  <c r="Z310" i="24"/>
  <c r="R310" i="24"/>
  <c r="R326" i="24"/>
  <c r="R101" i="24"/>
  <c r="J101" i="24"/>
  <c r="J326" i="24"/>
  <c r="J310" i="24"/>
  <c r="AL310" i="24"/>
  <c r="AL101" i="24"/>
  <c r="AL326" i="24"/>
  <c r="BR121" i="61"/>
  <c r="BF121" i="61"/>
  <c r="BH98" i="61"/>
  <c r="BH97" i="61"/>
  <c r="BE323" i="24"/>
  <c r="BE403" i="24"/>
  <c r="BS67" i="61"/>
  <c r="BF255" i="61"/>
  <c r="BS255" i="61" s="1"/>
  <c r="BH47" i="61"/>
  <c r="BT47" i="61"/>
  <c r="BG67" i="61"/>
  <c r="BG77" i="61"/>
  <c r="BS77" i="61"/>
  <c r="BE110" i="24"/>
  <c r="BE441" i="24" s="1"/>
  <c r="BE126" i="24"/>
  <c r="BE279" i="24"/>
  <c r="BE413" i="24"/>
  <c r="BE404" i="24"/>
  <c r="BE406" i="24"/>
  <c r="BE408" i="24"/>
  <c r="BE410" i="24"/>
  <c r="BE415" i="24"/>
  <c r="BE358" i="24"/>
  <c r="BE405" i="24"/>
  <c r="BE409" i="24"/>
  <c r="BE7" i="70"/>
  <c r="BE129" i="24"/>
  <c r="BE417" i="24"/>
  <c r="BE407" i="24"/>
  <c r="BE411" i="24"/>
  <c r="BG369" i="24"/>
  <c r="BA209" i="24"/>
  <c r="BA216" i="24"/>
  <c r="BA65" i="24"/>
  <c r="L44" i="52"/>
  <c r="L46" i="52"/>
  <c r="M43" i="52"/>
  <c r="Z434" i="24"/>
  <c r="Z180" i="24"/>
  <c r="BF187" i="52"/>
  <c r="BF188" i="52" s="1"/>
  <c r="BE189" i="52"/>
  <c r="BH93" i="61"/>
  <c r="BT93" i="61"/>
  <c r="CL140" i="24"/>
  <c r="BT407" i="24"/>
  <c r="CL407" i="24" s="1"/>
  <c r="BT136" i="24"/>
  <c r="BW142" i="24"/>
  <c r="BW140" i="24" s="1"/>
  <c r="BW410" i="24"/>
  <c r="CO410" i="24" s="1"/>
  <c r="CO143" i="24"/>
  <c r="X258" i="24"/>
  <c r="X257" i="24"/>
  <c r="AM257" i="24"/>
  <c r="AM258" i="24"/>
  <c r="K258" i="24"/>
  <c r="K257" i="24"/>
  <c r="BN310" i="24"/>
  <c r="BN101" i="24"/>
  <c r="BN326" i="24"/>
  <c r="AZ101" i="24"/>
  <c r="AZ326" i="24"/>
  <c r="AZ310" i="24"/>
  <c r="BH103" i="61"/>
  <c r="BT103" i="61"/>
  <c r="BR302" i="24"/>
  <c r="CJ302" i="24" s="1"/>
  <c r="CJ300" i="24"/>
  <c r="BW431" i="24"/>
  <c r="CO431" i="24" s="1"/>
  <c r="CO188" i="24"/>
  <c r="BX188" i="24"/>
  <c r="BW187" i="24"/>
  <c r="CN140" i="24"/>
  <c r="BV407" i="24"/>
  <c r="CN407" i="24" s="1"/>
  <c r="BV136" i="24"/>
  <c r="BU407" i="24"/>
  <c r="CM407" i="24" s="1"/>
  <c r="CM140" i="24"/>
  <c r="BU136" i="24"/>
  <c r="BG185" i="52"/>
  <c r="AN258" i="24"/>
  <c r="AN257" i="24"/>
  <c r="AB258" i="24"/>
  <c r="AB257" i="24"/>
  <c r="AV310" i="24"/>
  <c r="AV326" i="24"/>
  <c r="AV101" i="24"/>
  <c r="BS114" i="61"/>
  <c r="BG114" i="61"/>
  <c r="BG110" i="61"/>
  <c r="BS110" i="61"/>
  <c r="BF105" i="61"/>
  <c r="BF109" i="61"/>
  <c r="AG136" i="61"/>
  <c r="AH154" i="61"/>
  <c r="AH153" i="61"/>
  <c r="AI155" i="61"/>
  <c r="L33" i="24"/>
  <c r="M35" i="52"/>
  <c r="L366" i="24"/>
  <c r="L258" i="24"/>
  <c r="L257" i="24"/>
  <c r="BS120" i="61"/>
  <c r="BG120" i="61"/>
  <c r="BR117" i="61"/>
  <c r="BF117" i="61"/>
  <c r="BV409" i="24"/>
  <c r="CN409" i="24" s="1"/>
  <c r="CN142" i="24"/>
  <c r="BK238" i="24"/>
  <c r="AI258" i="24"/>
  <c r="AI257" i="24"/>
  <c r="AF310" i="24"/>
  <c r="AF101" i="24"/>
  <c r="AF326" i="24"/>
  <c r="X101" i="24"/>
  <c r="X326" i="24"/>
  <c r="X310" i="24"/>
  <c r="P310" i="24"/>
  <c r="P326" i="24"/>
  <c r="P101" i="24"/>
  <c r="H310" i="24"/>
  <c r="H101" i="24"/>
  <c r="H326" i="24"/>
  <c r="BJ52" i="61"/>
  <c r="BV52" i="61"/>
  <c r="BG196" i="24"/>
  <c r="BG299" i="52"/>
  <c r="BG309" i="52" s="1"/>
  <c r="BG300" i="52"/>
  <c r="BG310" i="52" s="1"/>
  <c r="BG301" i="52"/>
  <c r="BG311" i="52" s="1"/>
  <c r="BG303" i="52"/>
  <c r="BG302" i="52"/>
  <c r="BG312" i="52" s="1"/>
  <c r="BG297" i="52"/>
  <c r="BS137" i="61"/>
  <c r="BG137" i="61"/>
  <c r="BR55" i="61"/>
  <c r="BF146" i="61"/>
  <c r="BA381" i="24"/>
  <c r="BA380" i="24"/>
  <c r="AZ385" i="24"/>
  <c r="BR115" i="61"/>
  <c r="BF115" i="61"/>
  <c r="CN166" i="24"/>
  <c r="BV184" i="24"/>
  <c r="BW166" i="24"/>
  <c r="BW169" i="24"/>
  <c r="BX103" i="24"/>
  <c r="W257" i="24"/>
  <c r="W258" i="24"/>
  <c r="AX310" i="24"/>
  <c r="AX326" i="24"/>
  <c r="AX101" i="24"/>
  <c r="BF101" i="24"/>
  <c r="BF326" i="24"/>
  <c r="BF310" i="24"/>
  <c r="M32" i="24"/>
  <c r="M288" i="24" s="1"/>
  <c r="M365" i="24" s="1"/>
  <c r="N45" i="24"/>
  <c r="O45" i="52"/>
  <c r="N368" i="24"/>
  <c r="N48" i="52"/>
  <c r="BP231" i="24"/>
  <c r="BO240" i="24"/>
  <c r="AT101" i="24"/>
  <c r="AT326" i="24"/>
  <c r="AT310" i="24"/>
  <c r="AN101" i="24"/>
  <c r="AN326" i="24"/>
  <c r="AN310" i="24"/>
  <c r="BD81" i="61"/>
  <c r="BQ106" i="61"/>
  <c r="BS124" i="61"/>
  <c r="BG124" i="61"/>
  <c r="BS128" i="61"/>
  <c r="BG128" i="61"/>
  <c r="BT73" i="61"/>
  <c r="BH73" i="61"/>
  <c r="CM263" i="24"/>
  <c r="BV263" i="24"/>
  <c r="CA113" i="24"/>
  <c r="CR113" i="24"/>
  <c r="BU92" i="61"/>
  <c r="BH210" i="61"/>
  <c r="BU210" i="61" s="1"/>
  <c r="BI92" i="61"/>
  <c r="BW316" i="24"/>
  <c r="BW297" i="24"/>
  <c r="CO297" i="24" s="1"/>
  <c r="CO42" i="24"/>
  <c r="BX42" i="24"/>
  <c r="BY196" i="24"/>
  <c r="BY141" i="24" s="1"/>
  <c r="BX129" i="24"/>
  <c r="BX43" i="24"/>
  <c r="BX279" i="24"/>
  <c r="CP279" i="24" s="1"/>
  <c r="BX7" i="70"/>
  <c r="BX6" i="70" s="1"/>
  <c r="BX160" i="24"/>
  <c r="CP160" i="24" s="1"/>
  <c r="BX406" i="24"/>
  <c r="CP406" i="24" s="1"/>
  <c r="CP196" i="24"/>
  <c r="AE3" i="55" s="1"/>
  <c r="BX144" i="24"/>
  <c r="L3" i="55"/>
  <c r="O10" i="71" s="1"/>
  <c r="BX97" i="24"/>
  <c r="BJ239" i="24"/>
  <c r="BJ65" i="24"/>
  <c r="T258" i="24"/>
  <c r="T257" i="24"/>
  <c r="BJ111" i="61"/>
  <c r="BV111" i="61"/>
  <c r="BU401" i="24"/>
  <c r="CM401" i="24" s="1"/>
  <c r="CM134" i="24"/>
  <c r="O258" i="24"/>
  <c r="O257" i="24"/>
  <c r="AD101" i="24"/>
  <c r="AD326" i="24"/>
  <c r="AD310" i="24"/>
  <c r="BI98" i="61"/>
  <c r="BJ100" i="61"/>
  <c r="BV100" i="61"/>
  <c r="CG57" i="45"/>
  <c r="CG37" i="45" s="1"/>
  <c r="BX202" i="24"/>
  <c r="BW221" i="24"/>
  <c r="CO221" i="24" s="1"/>
  <c r="CO202" i="24"/>
  <c r="Y141" i="61"/>
  <c r="Y34" i="64"/>
  <c r="Y179" i="24"/>
  <c r="Y219" i="61"/>
  <c r="X144" i="61"/>
  <c r="G10" i="55"/>
  <c r="CK327" i="24"/>
  <c r="Z10" i="55" s="1"/>
  <c r="F257" i="24"/>
  <c r="F258" i="24"/>
  <c r="BG122" i="61"/>
  <c r="BS122" i="61"/>
  <c r="AA194" i="61"/>
  <c r="AA140" i="61"/>
  <c r="Z143" i="61"/>
  <c r="AA170" i="61" s="1"/>
  <c r="AA164" i="24"/>
  <c r="AA218" i="61"/>
  <c r="BW20" i="61"/>
  <c r="BK20" i="61"/>
  <c r="BZ127" i="24"/>
  <c r="CR127" i="24" s="1"/>
  <c r="BW133" i="24"/>
  <c r="BV400" i="24"/>
  <c r="CN400" i="24" s="1"/>
  <c r="CN133" i="24"/>
  <c r="BP230" i="24"/>
  <c r="BO65" i="24"/>
  <c r="BO239" i="24"/>
  <c r="BF123" i="61"/>
  <c r="BR123" i="61"/>
  <c r="AB310" i="24"/>
  <c r="AB326" i="24"/>
  <c r="AB101" i="24"/>
  <c r="T101" i="24"/>
  <c r="T326" i="24"/>
  <c r="T310" i="24"/>
  <c r="BB310" i="24"/>
  <c r="BB326" i="24"/>
  <c r="BB101" i="24"/>
  <c r="BF116" i="24"/>
  <c r="BE116" i="24"/>
  <c r="BF115" i="24"/>
  <c r="BE115" i="24"/>
  <c r="CE101" i="24"/>
  <c r="CV101" i="24"/>
  <c r="BP11" i="24"/>
  <c r="BO9" i="24"/>
  <c r="BO27" i="24" s="1"/>
  <c r="BO283" i="24" s="1"/>
  <c r="BZ21" i="45"/>
  <c r="BY243" i="24"/>
  <c r="CQ243" i="24" s="1"/>
  <c r="CN110" i="24" l="1"/>
  <c r="BV134" i="24"/>
  <c r="BW134" i="24" s="1"/>
  <c r="BW132" i="24" s="1"/>
  <c r="BJ171" i="61"/>
  <c r="BV171" i="61"/>
  <c r="BY278" i="24"/>
  <c r="CQ278" i="24" s="1"/>
  <c r="CQ195" i="24"/>
  <c r="BX193" i="24"/>
  <c r="BY23" i="45"/>
  <c r="BX192" i="24"/>
  <c r="BY22" i="45"/>
  <c r="BW37" i="61"/>
  <c r="BK37" i="61"/>
  <c r="BX194" i="24"/>
  <c r="BY24" i="45"/>
  <c r="BL58" i="61"/>
  <c r="BX58" i="61"/>
  <c r="M42" i="24"/>
  <c r="BF108" i="61"/>
  <c r="BR108" i="61"/>
  <c r="BZ195" i="24"/>
  <c r="CA25" i="45"/>
  <c r="BY274" i="24"/>
  <c r="BZ274" i="24" s="1"/>
  <c r="CO192" i="24"/>
  <c r="BW346" i="24"/>
  <c r="CO346" i="24" s="1"/>
  <c r="BW46" i="61"/>
  <c r="BK46" i="61"/>
  <c r="BW277" i="24"/>
  <c r="CO277" i="24" s="1"/>
  <c r="CO194" i="24"/>
  <c r="BX22" i="61"/>
  <c r="BL22" i="61"/>
  <c r="AX154" i="61"/>
  <c r="AX155" i="61" s="1"/>
  <c r="AX153" i="61"/>
  <c r="AX152" i="61" s="1"/>
  <c r="AY136" i="61"/>
  <c r="BX117" i="24"/>
  <c r="CP117" i="24" s="1"/>
  <c r="BP417" i="24"/>
  <c r="BP154" i="24"/>
  <c r="CD26" i="45"/>
  <c r="CE315" i="52"/>
  <c r="CD128" i="24"/>
  <c r="CV128" i="24" s="1"/>
  <c r="CO117" i="24"/>
  <c r="BW116" i="24"/>
  <c r="CO116" i="24" s="1"/>
  <c r="BH300" i="24"/>
  <c r="BH302" i="24" s="1"/>
  <c r="BG63" i="24"/>
  <c r="BG75" i="24"/>
  <c r="BF139" i="52"/>
  <c r="BF203" i="24" s="1"/>
  <c r="BF60" i="52"/>
  <c r="BE162" i="52"/>
  <c r="BF159" i="52"/>
  <c r="BY210" i="24"/>
  <c r="CP210" i="24"/>
  <c r="BX211" i="24"/>
  <c r="CP211" i="24" s="1"/>
  <c r="BG149" i="52"/>
  <c r="BG59" i="52" s="1"/>
  <c r="BG164" i="52"/>
  <c r="BG141" i="52" s="1"/>
  <c r="BG206" i="24" s="1"/>
  <c r="BG161" i="52"/>
  <c r="BG150" i="52"/>
  <c r="BH159" i="52"/>
  <c r="BG138" i="52"/>
  <c r="BG204" i="24" s="1"/>
  <c r="BX138" i="24"/>
  <c r="CO138" i="24"/>
  <c r="BW137" i="24"/>
  <c r="BW405" i="24"/>
  <c r="CO405" i="24" s="1"/>
  <c r="CK150" i="24"/>
  <c r="BS417" i="24"/>
  <c r="CK417" i="24" s="1"/>
  <c r="BS154" i="24"/>
  <c r="CK154" i="24" s="1"/>
  <c r="BV404" i="24"/>
  <c r="CN404" i="24" s="1"/>
  <c r="CN137" i="24"/>
  <c r="CC139" i="24"/>
  <c r="CT139" i="24"/>
  <c r="BT67" i="24"/>
  <c r="BU207" i="24"/>
  <c r="BT218" i="24"/>
  <c r="CL218" i="24" s="1"/>
  <c r="H840" i="53"/>
  <c r="I841" i="53" s="1"/>
  <c r="CL207" i="24"/>
  <c r="BT226" i="24"/>
  <c r="CL226" i="24" s="1"/>
  <c r="CI310" i="24"/>
  <c r="X9" i="55" s="1"/>
  <c r="E9" i="55"/>
  <c r="BS93" i="24"/>
  <c r="CK67" i="24"/>
  <c r="BS69" i="24"/>
  <c r="BR94" i="24"/>
  <c r="BR95" i="24" s="1"/>
  <c r="CJ95" i="24" s="1"/>
  <c r="CJ93" i="24"/>
  <c r="CI37" i="24"/>
  <c r="BQ294" i="24"/>
  <c r="CI294" i="24" s="1"/>
  <c r="BQ268" i="24"/>
  <c r="CI268" i="24" s="1"/>
  <c r="E18" i="55"/>
  <c r="E23" i="55" s="1"/>
  <c r="X23" i="55" s="1"/>
  <c r="CI238" i="24"/>
  <c r="X18" i="55" s="1"/>
  <c r="CW85" i="24"/>
  <c r="CF85" i="24"/>
  <c r="CA21" i="45"/>
  <c r="BZ243" i="24"/>
  <c r="CR243" i="24" s="1"/>
  <c r="CW101" i="24"/>
  <c r="CF101" i="24"/>
  <c r="BP239" i="24"/>
  <c r="BP65" i="24"/>
  <c r="BQ230" i="24"/>
  <c r="BW400" i="24"/>
  <c r="CO400" i="24" s="1"/>
  <c r="CO133" i="24"/>
  <c r="BX133" i="24"/>
  <c r="CA127" i="24"/>
  <c r="CS127" i="24" s="1"/>
  <c r="BL20" i="61"/>
  <c r="BX20" i="61"/>
  <c r="AA308" i="24"/>
  <c r="AA199" i="24"/>
  <c r="W144" i="61"/>
  <c r="X219" i="61"/>
  <c r="X141" i="61"/>
  <c r="X179" i="24"/>
  <c r="X34" i="64"/>
  <c r="Y180" i="24"/>
  <c r="Y434" i="24"/>
  <c r="BY202" i="24"/>
  <c r="BX221" i="24"/>
  <c r="CP221" i="24" s="1"/>
  <c r="CP202" i="24"/>
  <c r="BV98" i="61"/>
  <c r="BI464" i="52"/>
  <c r="BV401" i="24"/>
  <c r="CN401" i="24" s="1"/>
  <c r="BW111" i="61"/>
  <c r="BK111" i="61"/>
  <c r="BX14" i="24"/>
  <c r="CP14" i="24" s="1"/>
  <c r="CP97" i="24"/>
  <c r="BX411" i="24"/>
  <c r="CP411" i="24" s="1"/>
  <c r="CP144" i="24"/>
  <c r="BY144" i="24"/>
  <c r="BY7" i="70"/>
  <c r="BY6" i="70" s="1"/>
  <c r="BY406" i="24"/>
  <c r="CQ406" i="24" s="1"/>
  <c r="M3" i="55"/>
  <c r="P10" i="71" s="1"/>
  <c r="BZ196" i="24"/>
  <c r="BZ141" i="24" s="1"/>
  <c r="BY160" i="24"/>
  <c r="CQ160" i="24" s="1"/>
  <c r="BY279" i="24"/>
  <c r="CQ279" i="24" s="1"/>
  <c r="BY129" i="24"/>
  <c r="CQ196" i="24"/>
  <c r="AF3" i="55" s="1"/>
  <c r="BY97" i="24"/>
  <c r="BY42" i="24"/>
  <c r="BY43" i="24"/>
  <c r="BW263" i="24"/>
  <c r="CN263" i="24"/>
  <c r="BI73" i="61"/>
  <c r="BU73" i="61"/>
  <c r="BQ81" i="61"/>
  <c r="BD201" i="61"/>
  <c r="BQ201" i="61" s="1"/>
  <c r="BD187" i="61"/>
  <c r="BQ187" i="61" s="1"/>
  <c r="BP240" i="24"/>
  <c r="BQ231" i="24"/>
  <c r="N299" i="24"/>
  <c r="N367" i="24" s="1"/>
  <c r="N32" i="24"/>
  <c r="N288" i="24" s="1"/>
  <c r="N365" i="24" s="1"/>
  <c r="N42" i="24"/>
  <c r="CP103" i="24"/>
  <c r="BX143" i="24"/>
  <c r="BX169" i="24"/>
  <c r="BW184" i="24"/>
  <c r="CO166" i="24"/>
  <c r="BX166" i="24"/>
  <c r="BG115" i="61"/>
  <c r="BS115" i="61"/>
  <c r="BT137" i="61"/>
  <c r="BH137" i="61"/>
  <c r="BG307" i="52"/>
  <c r="BG126" i="24"/>
  <c r="BG142" i="24"/>
  <c r="BG131" i="24"/>
  <c r="BG135" i="24"/>
  <c r="BG146" i="24"/>
  <c r="BG358" i="24"/>
  <c r="BG410" i="24"/>
  <c r="BG7" i="70"/>
  <c r="BG6" i="70" s="1"/>
  <c r="BG125" i="24"/>
  <c r="BG138" i="24"/>
  <c r="BG133" i="24"/>
  <c r="BG141" i="24"/>
  <c r="BG43" i="24"/>
  <c r="BG110" i="24"/>
  <c r="BG441" i="24" s="1"/>
  <c r="BG134" i="24"/>
  <c r="BG401" i="24" s="1"/>
  <c r="BG129" i="24"/>
  <c r="BG139" i="24"/>
  <c r="BG406" i="24" s="1"/>
  <c r="BG279" i="24"/>
  <c r="BG246" i="24"/>
  <c r="BG356" i="24" s="1"/>
  <c r="BW52" i="61"/>
  <c r="BK52" i="61"/>
  <c r="AH152" i="61"/>
  <c r="AG153" i="61"/>
  <c r="AF136" i="61"/>
  <c r="AG154" i="61"/>
  <c r="BG109" i="61"/>
  <c r="BF106" i="61"/>
  <c r="BG105" i="61"/>
  <c r="BS109" i="61"/>
  <c r="BH114" i="61"/>
  <c r="BT114" i="61"/>
  <c r="BH185" i="52"/>
  <c r="CN136" i="24"/>
  <c r="BV403" i="24"/>
  <c r="CN403" i="24" s="1"/>
  <c r="BU103" i="61"/>
  <c r="BI103" i="61"/>
  <c r="BT403" i="24"/>
  <c r="CL403" i="24" s="1"/>
  <c r="CL136" i="24"/>
  <c r="N43" i="52"/>
  <c r="M44" i="52"/>
  <c r="M46" i="52"/>
  <c r="BB380" i="24"/>
  <c r="BA385" i="24"/>
  <c r="BB381" i="24"/>
  <c r="BE6" i="70"/>
  <c r="BE9" i="70"/>
  <c r="BF9" i="70" s="1"/>
  <c r="BT67" i="61"/>
  <c r="BG255" i="61"/>
  <c r="BT255" i="61" s="1"/>
  <c r="BI47" i="61"/>
  <c r="BH67" i="61"/>
  <c r="BU47" i="61"/>
  <c r="BG121" i="61"/>
  <c r="BS121" i="61"/>
  <c r="BK95" i="61"/>
  <c r="BW95" i="61"/>
  <c r="BT118" i="61"/>
  <c r="BH118" i="61"/>
  <c r="BS119" i="61"/>
  <c r="BG119" i="61"/>
  <c r="BI186" i="52"/>
  <c r="BE19" i="61"/>
  <c r="BE81" i="61"/>
  <c r="BR106" i="61"/>
  <c r="BS113" i="61"/>
  <c r="BG113" i="61"/>
  <c r="BN102" i="61"/>
  <c r="BZ102" i="61"/>
  <c r="CA474" i="52"/>
  <c r="BH126" i="61"/>
  <c r="BT126" i="61"/>
  <c r="BF130" i="24"/>
  <c r="BF397" i="24" s="1"/>
  <c r="BF319" i="24"/>
  <c r="BF122" i="24"/>
  <c r="BF389" i="24" s="1"/>
  <c r="BF392" i="24"/>
  <c r="BF402" i="24"/>
  <c r="BF322" i="24"/>
  <c r="BF144" i="24"/>
  <c r="BF411" i="24" s="1"/>
  <c r="BF409" i="24"/>
  <c r="BF140" i="24"/>
  <c r="BF407" i="24" s="1"/>
  <c r="BF408" i="24"/>
  <c r="BF132" i="24"/>
  <c r="BF400" i="24"/>
  <c r="BK44" i="61"/>
  <c r="BW44" i="61"/>
  <c r="BW407" i="24"/>
  <c r="CO407" i="24" s="1"/>
  <c r="CO140" i="24"/>
  <c r="BW136" i="24"/>
  <c r="BJ149" i="61"/>
  <c r="BV149" i="61"/>
  <c r="BU203" i="24"/>
  <c r="BT214" i="24"/>
  <c r="CL214" i="24" s="1"/>
  <c r="BT222" i="24"/>
  <c r="CL222" i="24" s="1"/>
  <c r="CL203" i="24"/>
  <c r="BV99" i="61"/>
  <c r="BJ99" i="61"/>
  <c r="BI82" i="61"/>
  <c r="BI71" i="61"/>
  <c r="BV71" i="61" s="1"/>
  <c r="BI215" i="61"/>
  <c r="BV215" i="61" s="1"/>
  <c r="BI244" i="61"/>
  <c r="BV244" i="61" s="1"/>
  <c r="BI242" i="61"/>
  <c r="BV242" i="61" s="1"/>
  <c r="BS125" i="61"/>
  <c r="BG125" i="61"/>
  <c r="BT116" i="61"/>
  <c r="BH116" i="61"/>
  <c r="BQ154" i="24"/>
  <c r="CI154" i="24" s="1"/>
  <c r="BQ417" i="24"/>
  <c r="CI417" i="24" s="1"/>
  <c r="CI150" i="24"/>
  <c r="BP9" i="24"/>
  <c r="BP27" i="24" s="1"/>
  <c r="BP283" i="24" s="1"/>
  <c r="BQ11" i="24"/>
  <c r="AI152" i="61"/>
  <c r="BG123" i="61"/>
  <c r="BS123" i="61"/>
  <c r="Z194" i="61"/>
  <c r="Y143" i="61"/>
  <c r="Z170" i="61"/>
  <c r="Z164" i="24"/>
  <c r="Z140" i="61"/>
  <c r="Z218" i="61"/>
  <c r="BH122" i="61"/>
  <c r="BT122" i="61"/>
  <c r="BI97" i="61"/>
  <c r="BK100" i="61"/>
  <c r="BJ97" i="61"/>
  <c r="BW100" i="61"/>
  <c r="BJ98" i="61"/>
  <c r="BX65" i="45"/>
  <c r="L4" i="55"/>
  <c r="O11" i="71" s="1"/>
  <c r="BX39" i="24"/>
  <c r="CP39" i="24" s="1"/>
  <c r="BX396" i="24"/>
  <c r="CP396" i="24" s="1"/>
  <c r="CP129" i="24"/>
  <c r="BX316" i="24"/>
  <c r="CP42" i="24"/>
  <c r="BX297" i="24"/>
  <c r="CP297" i="24" s="1"/>
  <c r="CO316" i="24"/>
  <c r="BV92" i="61"/>
  <c r="BI210" i="61"/>
  <c r="BV210" i="61" s="1"/>
  <c r="BJ92" i="61"/>
  <c r="CB113" i="24"/>
  <c r="CS113" i="24"/>
  <c r="BH128" i="61"/>
  <c r="BT128" i="61"/>
  <c r="BT124" i="61"/>
  <c r="BH124" i="61"/>
  <c r="O45" i="24"/>
  <c r="O48" i="52"/>
  <c r="O368" i="24"/>
  <c r="P45" i="52"/>
  <c r="M30" i="24"/>
  <c r="M286" i="24" s="1"/>
  <c r="M44" i="24"/>
  <c r="M316" i="24"/>
  <c r="M317" i="24" s="1"/>
  <c r="M297" i="24"/>
  <c r="BV183" i="24"/>
  <c r="CN184" i="24"/>
  <c r="BV186" i="24"/>
  <c r="BA378" i="24"/>
  <c r="BF55" i="61"/>
  <c r="BG74" i="61"/>
  <c r="BT74" i="61" s="1"/>
  <c r="BS146" i="61"/>
  <c r="BG117" i="61"/>
  <c r="BS117" i="61"/>
  <c r="BH120" i="61"/>
  <c r="BT120" i="61"/>
  <c r="M366" i="24"/>
  <c r="N35" i="52"/>
  <c r="M33" i="24"/>
  <c r="AH155" i="61"/>
  <c r="BS105" i="61"/>
  <c r="BF84" i="61"/>
  <c r="BS84" i="61" s="1"/>
  <c r="BT110" i="61"/>
  <c r="BH110" i="61"/>
  <c r="BU403" i="24"/>
  <c r="CM403" i="24" s="1"/>
  <c r="CM136" i="24"/>
  <c r="BX187" i="24"/>
  <c r="CP188" i="24"/>
  <c r="BX431" i="24"/>
  <c r="CP431" i="24" s="1"/>
  <c r="BY188" i="24"/>
  <c r="BW409" i="24"/>
  <c r="CO409" i="24" s="1"/>
  <c r="CO142" i="24"/>
  <c r="BI93" i="61"/>
  <c r="BU93" i="61"/>
  <c r="BG187" i="52"/>
  <c r="BF189" i="52"/>
  <c r="BH369" i="24"/>
  <c r="BE396" i="24"/>
  <c r="BE39" i="24"/>
  <c r="BE127" i="24"/>
  <c r="BE393" i="24"/>
  <c r="BT77" i="61"/>
  <c r="BH77" i="61"/>
  <c r="BU98" i="61"/>
  <c r="BH464" i="52"/>
  <c r="CO110" i="24"/>
  <c r="BW441" i="24"/>
  <c r="CJ154" i="24"/>
  <c r="T10" i="71"/>
  <c r="BU72" i="61"/>
  <c r="BI72" i="61"/>
  <c r="BG127" i="61"/>
  <c r="BS127" i="61"/>
  <c r="BY103" i="24"/>
  <c r="BF137" i="24"/>
  <c r="BF405" i="24"/>
  <c r="BF398" i="24"/>
  <c r="BF123" i="24"/>
  <c r="BF390" i="24" s="1"/>
  <c r="BF320" i="24"/>
  <c r="BF413" i="24"/>
  <c r="BF6" i="70"/>
  <c r="BF127" i="24"/>
  <c r="BF393" i="24"/>
  <c r="BF39" i="24"/>
  <c r="BF396" i="24"/>
  <c r="BW146" i="24"/>
  <c r="CN146" i="24"/>
  <c r="BV413" i="24"/>
  <c r="CN413" i="24" s="1"/>
  <c r="BI233" i="24"/>
  <c r="BJ234" i="24"/>
  <c r="BX408" i="24"/>
  <c r="CP408" i="24" s="1"/>
  <c r="CP141" i="24"/>
  <c r="BS302" i="24"/>
  <c r="CK302" i="24" s="1"/>
  <c r="CK300" i="24"/>
  <c r="BK36" i="61"/>
  <c r="BW36" i="61"/>
  <c r="BU82" i="61"/>
  <c r="BH189" i="61"/>
  <c r="BU189" i="61" s="1"/>
  <c r="BI89" i="61"/>
  <c r="BH208" i="61"/>
  <c r="BU208" i="61" s="1"/>
  <c r="BH222" i="61"/>
  <c r="BU222" i="61" s="1"/>
  <c r="BU89" i="61"/>
  <c r="BC214" i="61"/>
  <c r="BN94" i="61"/>
  <c r="BZ94" i="61"/>
  <c r="BX135" i="24"/>
  <c r="BV132" i="24" l="1"/>
  <c r="BV399" i="24" s="1"/>
  <c r="CN399" i="24" s="1"/>
  <c r="CN134" i="24"/>
  <c r="BY22" i="61"/>
  <c r="BM22" i="61"/>
  <c r="BX46" i="61"/>
  <c r="BL46" i="61"/>
  <c r="BZ278" i="24"/>
  <c r="CR278" i="24" s="1"/>
  <c r="CR195" i="24"/>
  <c r="BG108" i="61"/>
  <c r="BS108" i="61"/>
  <c r="BZ24" i="45"/>
  <c r="BY194" i="24"/>
  <c r="BX37" i="61"/>
  <c r="BL37" i="61"/>
  <c r="BY192" i="24"/>
  <c r="BZ22" i="45"/>
  <c r="BY193" i="24"/>
  <c r="BZ23" i="45"/>
  <c r="AZ136" i="61"/>
  <c r="AY153" i="61"/>
  <c r="AY152" i="61" s="1"/>
  <c r="AY154" i="61"/>
  <c r="AY155" i="61" s="1"/>
  <c r="CB25" i="45"/>
  <c r="CA195" i="24"/>
  <c r="BM58" i="61"/>
  <c r="BY58" i="61"/>
  <c r="BX277" i="24"/>
  <c r="CP277" i="24" s="1"/>
  <c r="CP194" i="24"/>
  <c r="CP192" i="24"/>
  <c r="BX346" i="24"/>
  <c r="CP346" i="24" s="1"/>
  <c r="BW171" i="61"/>
  <c r="BK171" i="61"/>
  <c r="BX116" i="24"/>
  <c r="CP116" i="24" s="1"/>
  <c r="BX110" i="24"/>
  <c r="CP110" i="24" s="1"/>
  <c r="BG9" i="70"/>
  <c r="CF315" i="52"/>
  <c r="CE128" i="24"/>
  <c r="CW128" i="24" s="1"/>
  <c r="CE26" i="45"/>
  <c r="BG66" i="24"/>
  <c r="BG254" i="24" s="1"/>
  <c r="BG259" i="24" s="1"/>
  <c r="BZ210" i="24"/>
  <c r="BY211" i="24"/>
  <c r="CQ211" i="24" s="1"/>
  <c r="CQ210" i="24"/>
  <c r="BE139" i="52"/>
  <c r="BE203" i="24" s="1"/>
  <c r="BF214" i="24" s="1"/>
  <c r="BE60" i="52"/>
  <c r="BE159" i="52"/>
  <c r="BD162" i="52"/>
  <c r="BG214" i="24"/>
  <c r="BF75" i="24"/>
  <c r="BF63" i="24"/>
  <c r="BG300" i="24"/>
  <c r="BG302" i="24" s="1"/>
  <c r="BH149" i="52"/>
  <c r="BH59" i="52" s="1"/>
  <c r="BH138" i="52"/>
  <c r="BH204" i="24" s="1"/>
  <c r="BH164" i="52"/>
  <c r="BH141" i="52" s="1"/>
  <c r="BH206" i="24" s="1"/>
  <c r="BI159" i="52"/>
  <c r="BH150" i="52"/>
  <c r="BH158" i="52"/>
  <c r="BH161" i="52"/>
  <c r="BF161" i="52"/>
  <c r="BF164" i="52"/>
  <c r="BF141" i="52" s="1"/>
  <c r="BF206" i="24" s="1"/>
  <c r="BF149" i="52"/>
  <c r="BF150" i="52"/>
  <c r="BF138" i="52"/>
  <c r="BF204" i="24" s="1"/>
  <c r="BG209" i="24"/>
  <c r="BG202" i="24"/>
  <c r="CO137" i="24"/>
  <c r="BW404" i="24"/>
  <c r="CO404" i="24" s="1"/>
  <c r="BY138" i="24"/>
  <c r="CP138" i="24"/>
  <c r="BX137" i="24"/>
  <c r="BX405" i="24"/>
  <c r="CP405" i="24" s="1"/>
  <c r="CU139" i="24"/>
  <c r="CD139" i="24"/>
  <c r="BZ103" i="24"/>
  <c r="CR103" i="24" s="1"/>
  <c r="CJ94" i="24"/>
  <c r="BS94" i="24"/>
  <c r="BS95" i="24" s="1"/>
  <c r="CK95" i="24" s="1"/>
  <c r="BV207" i="24"/>
  <c r="BU218" i="24"/>
  <c r="CM218" i="24" s="1"/>
  <c r="BU226" i="24"/>
  <c r="CM226" i="24" s="1"/>
  <c r="CM207" i="24"/>
  <c r="CK93" i="24"/>
  <c r="BT93" i="24"/>
  <c r="CL67" i="24"/>
  <c r="CG85" i="24"/>
  <c r="CY85" i="24" s="1"/>
  <c r="CX85" i="24"/>
  <c r="BW399" i="24"/>
  <c r="CO399" i="24" s="1"/>
  <c r="BW55" i="24"/>
  <c r="CO55" i="24" s="1"/>
  <c r="CO132" i="24"/>
  <c r="CA94" i="61"/>
  <c r="BO94" i="61"/>
  <c r="CB94" i="61" s="1"/>
  <c r="BX402" i="24"/>
  <c r="CP402" i="24" s="1"/>
  <c r="CP135" i="24"/>
  <c r="BY135" i="24"/>
  <c r="BX36" i="61"/>
  <c r="BL36" i="61"/>
  <c r="CQ141" i="24"/>
  <c r="BY408" i="24"/>
  <c r="CQ408" i="24" s="1"/>
  <c r="BH233" i="24"/>
  <c r="BI234" i="24"/>
  <c r="CO146" i="24"/>
  <c r="BX146" i="24"/>
  <c r="BW413" i="24"/>
  <c r="CO413" i="24" s="1"/>
  <c r="BF404" i="24"/>
  <c r="BF136" i="24"/>
  <c r="BT127" i="61"/>
  <c r="BH127" i="61"/>
  <c r="BU77" i="61"/>
  <c r="BI77" i="61"/>
  <c r="BI369" i="24"/>
  <c r="BH187" i="52"/>
  <c r="BG189" i="52"/>
  <c r="BJ93" i="61"/>
  <c r="BV93" i="61"/>
  <c r="BI120" i="61"/>
  <c r="BU120" i="61"/>
  <c r="BH117" i="61"/>
  <c r="BT117" i="61"/>
  <c r="BG146" i="61"/>
  <c r="BS55" i="61"/>
  <c r="O299" i="24"/>
  <c r="O367" i="24" s="1"/>
  <c r="O32" i="24"/>
  <c r="O288" i="24" s="1"/>
  <c r="O365" i="24" s="1"/>
  <c r="O42" i="24"/>
  <c r="BI128" i="61"/>
  <c r="BU128" i="61"/>
  <c r="BK92" i="61"/>
  <c r="BJ210" i="61"/>
  <c r="BW210" i="61" s="1"/>
  <c r="BW92" i="61"/>
  <c r="CP316" i="24"/>
  <c r="U10" i="71"/>
  <c r="BX100" i="61"/>
  <c r="BL100" i="61"/>
  <c r="Z308" i="24"/>
  <c r="Z199" i="24"/>
  <c r="X143" i="61"/>
  <c r="Y194" i="61"/>
  <c r="Y164" i="24"/>
  <c r="Y140" i="61"/>
  <c r="Y170" i="61"/>
  <c r="Y218" i="61"/>
  <c r="BV55" i="24"/>
  <c r="CN55" i="24" s="1"/>
  <c r="BH123" i="61"/>
  <c r="BT123" i="61"/>
  <c r="BK99" i="61"/>
  <c r="BJ71" i="61"/>
  <c r="BW71" i="61" s="1"/>
  <c r="BJ215" i="61"/>
  <c r="BW215" i="61" s="1"/>
  <c r="BJ82" i="61"/>
  <c r="BJ244" i="61"/>
  <c r="BW244" i="61" s="1"/>
  <c r="BW99" i="61"/>
  <c r="BJ242" i="61"/>
  <c r="BW242" i="61" s="1"/>
  <c r="BW403" i="24"/>
  <c r="CO403" i="24" s="1"/>
  <c r="CO136" i="24"/>
  <c r="BL44" i="61"/>
  <c r="BX44" i="61"/>
  <c r="BF399" i="24"/>
  <c r="BF55" i="24"/>
  <c r="BF61" i="24" s="1"/>
  <c r="BF321" i="24"/>
  <c r="BF124" i="24"/>
  <c r="CA102" i="61"/>
  <c r="BO102" i="61"/>
  <c r="BE187" i="61"/>
  <c r="BR187" i="61" s="1"/>
  <c r="BR81" i="61"/>
  <c r="BJ186" i="52"/>
  <c r="BL95" i="61"/>
  <c r="BX95" i="61"/>
  <c r="BH121" i="61"/>
  <c r="BT121" i="61"/>
  <c r="BH255" i="61"/>
  <c r="BU255" i="61" s="1"/>
  <c r="BU67" i="61"/>
  <c r="BB378" i="24"/>
  <c r="BG188" i="52"/>
  <c r="BI114" i="61"/>
  <c r="BU114" i="61"/>
  <c r="BG84" i="61"/>
  <c r="BT84" i="61" s="1"/>
  <c r="BT105" i="61"/>
  <c r="BH109" i="61"/>
  <c r="BH105" i="61"/>
  <c r="BT109" i="61"/>
  <c r="BG106" i="61"/>
  <c r="BG396" i="24"/>
  <c r="BG39" i="24"/>
  <c r="BG140" i="24"/>
  <c r="BG407" i="24" s="1"/>
  <c r="BG408" i="24"/>
  <c r="BG405" i="24"/>
  <c r="BG137" i="24"/>
  <c r="BG402" i="24"/>
  <c r="BG322" i="24"/>
  <c r="BG409" i="24"/>
  <c r="BG144" i="24"/>
  <c r="BG411" i="24" s="1"/>
  <c r="BX410" i="24"/>
  <c r="CP410" i="24" s="1"/>
  <c r="CP143" i="24"/>
  <c r="BX142" i="24"/>
  <c r="CI231" i="24"/>
  <c r="BQ240" i="24"/>
  <c r="CI240" i="24" s="1"/>
  <c r="BY14" i="24"/>
  <c r="CQ14" i="24" s="1"/>
  <c r="CQ97" i="24"/>
  <c r="BY39" i="24"/>
  <c r="CQ39" i="24" s="1"/>
  <c r="BY396" i="24"/>
  <c r="CQ396" i="24" s="1"/>
  <c r="CQ129" i="24"/>
  <c r="M4" i="55"/>
  <c r="P11" i="71" s="1"/>
  <c r="BY65" i="45"/>
  <c r="BX111" i="61"/>
  <c r="BL111" i="61"/>
  <c r="BI196" i="24"/>
  <c r="BI299" i="52"/>
  <c r="BI300" i="52"/>
  <c r="BI301" i="52"/>
  <c r="BI303" i="52"/>
  <c r="BI302" i="52"/>
  <c r="BI297" i="52"/>
  <c r="BZ202" i="24"/>
  <c r="BY221" i="24"/>
  <c r="CQ221" i="24" s="1"/>
  <c r="CQ202" i="24"/>
  <c r="X180" i="24"/>
  <c r="X434" i="24"/>
  <c r="BY20" i="61"/>
  <c r="BM20" i="61"/>
  <c r="CB127" i="24"/>
  <c r="CT127" i="24" s="1"/>
  <c r="CA243" i="24"/>
  <c r="CS243" i="24" s="1"/>
  <c r="CB21" i="45"/>
  <c r="BV89" i="61"/>
  <c r="BI208" i="61"/>
  <c r="BV208" i="61" s="1"/>
  <c r="BI222" i="61"/>
  <c r="BV222" i="61" s="1"/>
  <c r="BJ89" i="61"/>
  <c r="BY143" i="24"/>
  <c r="CQ103" i="24"/>
  <c r="BV72" i="61"/>
  <c r="BJ72" i="61"/>
  <c r="BH196" i="24"/>
  <c r="BH299" i="52"/>
  <c r="BH309" i="52" s="1"/>
  <c r="BH300" i="52"/>
  <c r="BH310" i="52" s="1"/>
  <c r="BH301" i="52"/>
  <c r="BH311" i="52" s="1"/>
  <c r="BH302" i="52"/>
  <c r="BH312" i="52" s="1"/>
  <c r="BH297" i="52"/>
  <c r="BH303" i="52"/>
  <c r="BY431" i="24"/>
  <c r="CQ431" i="24" s="1"/>
  <c r="BY187" i="24"/>
  <c r="CQ188" i="24"/>
  <c r="BZ188" i="24"/>
  <c r="BU110" i="61"/>
  <c r="BI110" i="61"/>
  <c r="N366" i="24"/>
  <c r="O35" i="52"/>
  <c r="N33" i="24"/>
  <c r="P45" i="24"/>
  <c r="Q45" i="52"/>
  <c r="P48" i="52"/>
  <c r="P368" i="24"/>
  <c r="BU124" i="61"/>
  <c r="BI124" i="61"/>
  <c r="CT113" i="24"/>
  <c r="CC113" i="24"/>
  <c r="BW98" i="61"/>
  <c r="BJ464" i="52"/>
  <c r="BI122" i="61"/>
  <c r="BU122" i="61"/>
  <c r="BQ9" i="24"/>
  <c r="BR11" i="24"/>
  <c r="CI11" i="24"/>
  <c r="BU116" i="61"/>
  <c r="BI116" i="61"/>
  <c r="BT125" i="61"/>
  <c r="BH125" i="61"/>
  <c r="BV82" i="61"/>
  <c r="BI189" i="61"/>
  <c r="BV189" i="61" s="1"/>
  <c r="BV203" i="24"/>
  <c r="BU222" i="24"/>
  <c r="CM222" i="24" s="1"/>
  <c r="BU214" i="24"/>
  <c r="CM214" i="24" s="1"/>
  <c r="CM203" i="24"/>
  <c r="BK149" i="61"/>
  <c r="BW149" i="61"/>
  <c r="BI126" i="61"/>
  <c r="BU126" i="61"/>
  <c r="CB474" i="52"/>
  <c r="BH113" i="61"/>
  <c r="BT113" i="61"/>
  <c r="BR19" i="61"/>
  <c r="BE201" i="61"/>
  <c r="BR201" i="61" s="1"/>
  <c r="BE241" i="61"/>
  <c r="BF19" i="61"/>
  <c r="BE125" i="24"/>
  <c r="BT119" i="61"/>
  <c r="BH119" i="61"/>
  <c r="BU118" i="61"/>
  <c r="BI118" i="61"/>
  <c r="BI67" i="61"/>
  <c r="BJ47" i="61"/>
  <c r="BV47" i="61"/>
  <c r="O43" i="52"/>
  <c r="N46" i="52"/>
  <c r="N44" i="52"/>
  <c r="BV103" i="61"/>
  <c r="BJ103" i="61"/>
  <c r="BI185" i="52"/>
  <c r="BH188" i="52"/>
  <c r="BS106" i="61"/>
  <c r="BF81" i="61"/>
  <c r="AE136" i="61"/>
  <c r="AF153" i="61"/>
  <c r="AF154" i="61"/>
  <c r="BX52" i="61"/>
  <c r="BL52" i="61"/>
  <c r="BG400" i="24"/>
  <c r="BG132" i="24"/>
  <c r="BG130" i="24"/>
  <c r="BG397" i="24" s="1"/>
  <c r="BG122" i="24"/>
  <c r="BG389" i="24" s="1"/>
  <c r="BG319" i="24"/>
  <c r="BG124" i="24"/>
  <c r="BG392" i="24"/>
  <c r="BG413" i="24"/>
  <c r="BG398" i="24"/>
  <c r="BG320" i="24"/>
  <c r="BG123" i="24"/>
  <c r="BG390" i="24" s="1"/>
  <c r="BG393" i="24"/>
  <c r="BG127" i="24"/>
  <c r="BG313" i="52"/>
  <c r="BG41" i="24" s="1"/>
  <c r="BG314" i="52"/>
  <c r="BG40" i="24" s="1"/>
  <c r="BI137" i="61"/>
  <c r="BU137" i="61"/>
  <c r="BT115" i="61"/>
  <c r="BH115" i="61"/>
  <c r="BX184" i="24"/>
  <c r="CP166" i="24"/>
  <c r="BY166" i="24"/>
  <c r="CO184" i="24"/>
  <c r="BW183" i="24"/>
  <c r="BW186" i="24"/>
  <c r="BY169" i="24"/>
  <c r="N297" i="24"/>
  <c r="N30" i="24"/>
  <c r="N286" i="24" s="1"/>
  <c r="N316" i="24"/>
  <c r="N317" i="24" s="1"/>
  <c r="N44" i="24"/>
  <c r="BY117" i="24"/>
  <c r="BV73" i="61"/>
  <c r="BJ73" i="61"/>
  <c r="CO263" i="24"/>
  <c r="BX263" i="24"/>
  <c r="BY316" i="24"/>
  <c r="BY297" i="24"/>
  <c r="CQ297" i="24" s="1"/>
  <c r="CQ42" i="24"/>
  <c r="CR196" i="24"/>
  <c r="AG3" i="55" s="1"/>
  <c r="BZ129" i="24"/>
  <c r="BZ406" i="24"/>
  <c r="CR406" i="24" s="1"/>
  <c r="N3" i="55"/>
  <c r="N4" i="55" s="1"/>
  <c r="BZ7" i="70"/>
  <c r="BZ6" i="70" s="1"/>
  <c r="BZ97" i="24"/>
  <c r="BZ279" i="24"/>
  <c r="CR279" i="24" s="1"/>
  <c r="CA196" i="24"/>
  <c r="CA141" i="24" s="1"/>
  <c r="BZ160" i="24"/>
  <c r="CR160" i="24" s="1"/>
  <c r="BZ144" i="24"/>
  <c r="BZ42" i="24"/>
  <c r="BZ43" i="24"/>
  <c r="BY411" i="24"/>
  <c r="CQ411" i="24" s="1"/>
  <c r="CQ144" i="24"/>
  <c r="BW401" i="24"/>
  <c r="CO401" i="24" s="1"/>
  <c r="CO134" i="24"/>
  <c r="W219" i="61"/>
  <c r="W34" i="64"/>
  <c r="W141" i="61"/>
  <c r="V144" i="61"/>
  <c r="W179" i="24"/>
  <c r="CP133" i="24"/>
  <c r="BX400" i="24"/>
  <c r="CP400" i="24" s="1"/>
  <c r="BY133" i="24"/>
  <c r="BQ65" i="24"/>
  <c r="CI65" i="24" s="1"/>
  <c r="BQ239" i="24"/>
  <c r="CI239" i="24" s="1"/>
  <c r="CI230" i="24"/>
  <c r="CG101" i="24"/>
  <c r="CX101" i="24"/>
  <c r="CN132" i="24" l="1"/>
  <c r="BX134" i="24"/>
  <c r="BX132" i="24" s="1"/>
  <c r="BX399" i="24" s="1"/>
  <c r="CP399" i="24" s="1"/>
  <c r="BX171" i="61"/>
  <c r="BL171" i="61"/>
  <c r="CS195" i="24"/>
  <c r="CA278" i="24"/>
  <c r="CS278" i="24" s="1"/>
  <c r="BA136" i="61"/>
  <c r="AZ153" i="61"/>
  <c r="AZ152" i="61" s="1"/>
  <c r="AZ154" i="61"/>
  <c r="AZ155" i="61" s="1"/>
  <c r="CQ192" i="24"/>
  <c r="BY346" i="24"/>
  <c r="CQ346" i="24" s="1"/>
  <c r="BZ194" i="24"/>
  <c r="CA24" i="45"/>
  <c r="BH108" i="61"/>
  <c r="BT108" i="61"/>
  <c r="BY46" i="61"/>
  <c r="BM46" i="61"/>
  <c r="BZ22" i="61"/>
  <c r="BN22" i="61"/>
  <c r="BN58" i="61"/>
  <c r="BZ58" i="61"/>
  <c r="CC25" i="45"/>
  <c r="CB195" i="24"/>
  <c r="BZ193" i="24"/>
  <c r="CA23" i="45"/>
  <c r="CA22" i="45"/>
  <c r="BZ192" i="24"/>
  <c r="BY37" i="61"/>
  <c r="BM37" i="61"/>
  <c r="CQ194" i="24"/>
  <c r="BY277" i="24"/>
  <c r="CQ277" i="24" s="1"/>
  <c r="CA274" i="24"/>
  <c r="CB274" i="24" s="1"/>
  <c r="BX441" i="24"/>
  <c r="BZ143" i="24"/>
  <c r="BZ410" i="24" s="1"/>
  <c r="CR410" i="24" s="1"/>
  <c r="CG315" i="52"/>
  <c r="CF128" i="24"/>
  <c r="CX128" i="24" s="1"/>
  <c r="CF26" i="45"/>
  <c r="BG226" i="24"/>
  <c r="BG224" i="24"/>
  <c r="BG221" i="24"/>
  <c r="BG222" i="24"/>
  <c r="BJ159" i="52"/>
  <c r="BI138" i="52"/>
  <c r="BI204" i="24" s="1"/>
  <c r="BI164" i="52"/>
  <c r="BI141" i="52" s="1"/>
  <c r="BI206" i="24" s="1"/>
  <c r="BI150" i="52"/>
  <c r="BI161" i="52"/>
  <c r="BI149" i="52"/>
  <c r="BI59" i="52" s="1"/>
  <c r="BI158" i="52"/>
  <c r="BH209" i="24"/>
  <c r="BH215" i="24"/>
  <c r="BH202" i="24"/>
  <c r="BE138" i="52"/>
  <c r="BE204" i="24" s="1"/>
  <c r="BE161" i="52"/>
  <c r="BE149" i="52"/>
  <c r="BE150" i="52"/>
  <c r="BE63" i="24"/>
  <c r="BG225" i="24"/>
  <c r="BG64" i="24"/>
  <c r="BG385" i="24"/>
  <c r="BH381" i="24"/>
  <c r="BF66" i="24"/>
  <c r="BF70" i="24" s="1"/>
  <c r="BF71" i="24" s="1"/>
  <c r="BH217" i="24"/>
  <c r="BH66" i="24"/>
  <c r="BH254" i="24" s="1"/>
  <c r="BH259" i="24" s="1"/>
  <c r="BH225" i="24"/>
  <c r="BF209" i="24"/>
  <c r="BF202" i="24"/>
  <c r="BF223" i="24" s="1"/>
  <c r="BD139" i="52"/>
  <c r="BD203" i="24" s="1"/>
  <c r="BD159" i="52"/>
  <c r="BC162" i="52"/>
  <c r="CA210" i="24"/>
  <c r="CR210" i="24"/>
  <c r="BZ211" i="24"/>
  <c r="CR211" i="24" s="1"/>
  <c r="BG217" i="24"/>
  <c r="BG215" i="24"/>
  <c r="BG223" i="24"/>
  <c r="CP137" i="24"/>
  <c r="BX404" i="24"/>
  <c r="CP404" i="24" s="1"/>
  <c r="BZ138" i="24"/>
  <c r="CQ138" i="24"/>
  <c r="BY137" i="24"/>
  <c r="BY405" i="24"/>
  <c r="CQ405" i="24" s="1"/>
  <c r="CL93" i="24"/>
  <c r="CV139" i="24"/>
  <c r="CE139" i="24"/>
  <c r="BT94" i="24"/>
  <c r="BT95" i="24" s="1"/>
  <c r="CK94" i="24"/>
  <c r="BV218" i="24"/>
  <c r="CN218" i="24" s="1"/>
  <c r="CN207" i="24"/>
  <c r="BW207" i="24"/>
  <c r="BV226" i="24"/>
  <c r="CN226" i="24" s="1"/>
  <c r="CA129" i="24"/>
  <c r="CA279" i="24"/>
  <c r="CS279" i="24" s="1"/>
  <c r="CS196" i="24"/>
  <c r="AH3" i="55" s="1"/>
  <c r="CA7" i="70"/>
  <c r="CA6" i="70" s="1"/>
  <c r="CA406" i="24"/>
  <c r="CS406" i="24" s="1"/>
  <c r="O3" i="55"/>
  <c r="CA97" i="24"/>
  <c r="CA160" i="24"/>
  <c r="CS160" i="24" s="1"/>
  <c r="CA144" i="24"/>
  <c r="CB196" i="24"/>
  <c r="CA42" i="24"/>
  <c r="CA43" i="24"/>
  <c r="BZ65" i="45"/>
  <c r="BZ39" i="24"/>
  <c r="CR39" i="24" s="1"/>
  <c r="CR129" i="24"/>
  <c r="BZ396" i="24"/>
  <c r="CR396" i="24" s="1"/>
  <c r="BY263" i="24"/>
  <c r="CP263" i="24"/>
  <c r="BW73" i="61"/>
  <c r="BK73" i="61"/>
  <c r="BY116" i="24"/>
  <c r="CQ116" i="24" s="1"/>
  <c r="BZ117" i="24"/>
  <c r="CQ117" i="24"/>
  <c r="BI115" i="61"/>
  <c r="BU115" i="61"/>
  <c r="BG318" i="24"/>
  <c r="BG305" i="24"/>
  <c r="BG391" i="24"/>
  <c r="BG55" i="24"/>
  <c r="BG61" i="24" s="1"/>
  <c r="BG321" i="24"/>
  <c r="BG399" i="24"/>
  <c r="BM52" i="61"/>
  <c r="BY52" i="61"/>
  <c r="AE154" i="61"/>
  <c r="AF155" i="61" s="1"/>
  <c r="AE153" i="61"/>
  <c r="AD136" i="61"/>
  <c r="BJ185" i="52"/>
  <c r="BI255" i="61"/>
  <c r="BV255" i="61" s="1"/>
  <c r="BV67" i="61"/>
  <c r="BG19" i="61"/>
  <c r="BF241" i="61"/>
  <c r="BS19" i="61"/>
  <c r="BF201" i="61"/>
  <c r="BS201" i="61" s="1"/>
  <c r="CA103" i="24"/>
  <c r="BI125" i="61"/>
  <c r="BU125" i="61"/>
  <c r="BJ116" i="61"/>
  <c r="BV116" i="61"/>
  <c r="CI9" i="24"/>
  <c r="BQ27" i="24"/>
  <c r="BV122" i="61"/>
  <c r="BJ122" i="61"/>
  <c r="P299" i="24"/>
  <c r="P367" i="24" s="1"/>
  <c r="P32" i="24"/>
  <c r="P288" i="24" s="1"/>
  <c r="P365" i="24" s="1"/>
  <c r="P42" i="24"/>
  <c r="CA188" i="24"/>
  <c r="BZ431" i="24"/>
  <c r="CR431" i="24" s="1"/>
  <c r="CR188" i="24"/>
  <c r="BZ187" i="24"/>
  <c r="BH307" i="52"/>
  <c r="BY410" i="24"/>
  <c r="CQ410" i="24" s="1"/>
  <c r="BY142" i="24"/>
  <c r="CQ143" i="24"/>
  <c r="BI307" i="52"/>
  <c r="BI310" i="52"/>
  <c r="BI126" i="24"/>
  <c r="BI142" i="24"/>
  <c r="BI131" i="24"/>
  <c r="BI135" i="24"/>
  <c r="BI146" i="24"/>
  <c r="BI358" i="24"/>
  <c r="BI246" i="24"/>
  <c r="BI356" i="24" s="1"/>
  <c r="BI410" i="24"/>
  <c r="BI110" i="24"/>
  <c r="BI441" i="24" s="1"/>
  <c r="BI134" i="24"/>
  <c r="BI401" i="24" s="1"/>
  <c r="BI129" i="24"/>
  <c r="BI139" i="24"/>
  <c r="BI406" i="24" s="1"/>
  <c r="BI279" i="24"/>
  <c r="BI7" i="70"/>
  <c r="BI125" i="24"/>
  <c r="BI138" i="24"/>
  <c r="BI133" i="24"/>
  <c r="BI141" i="24"/>
  <c r="BI43" i="24"/>
  <c r="BM111" i="61"/>
  <c r="BY111" i="61"/>
  <c r="Q12" i="71"/>
  <c r="V10" i="71"/>
  <c r="W10" i="71" s="1"/>
  <c r="Q10" i="71"/>
  <c r="BX409" i="24"/>
  <c r="CP409" i="24" s="1"/>
  <c r="CP142" i="24"/>
  <c r="BX140" i="24"/>
  <c r="AG155" i="61"/>
  <c r="BU109" i="61"/>
  <c r="BH106" i="61"/>
  <c r="BI105" i="61"/>
  <c r="BI109" i="61"/>
  <c r="BJ114" i="61"/>
  <c r="BV114" i="61"/>
  <c r="BU121" i="61"/>
  <c r="BI121" i="61"/>
  <c r="BY95" i="61"/>
  <c r="BM95" i="61"/>
  <c r="CB102" i="61"/>
  <c r="BF305" i="24"/>
  <c r="BF391" i="24"/>
  <c r="BF318" i="24"/>
  <c r="BK71" i="61"/>
  <c r="BX71" i="61" s="1"/>
  <c r="BL99" i="61"/>
  <c r="BK82" i="61"/>
  <c r="BK215" i="61"/>
  <c r="BX215" i="61" s="1"/>
  <c r="BX99" i="61"/>
  <c r="BK244" i="61"/>
  <c r="BX244" i="61" s="1"/>
  <c r="BK242" i="61"/>
  <c r="BX242" i="61" s="1"/>
  <c r="BU123" i="61"/>
  <c r="BI123" i="61"/>
  <c r="Y199" i="24"/>
  <c r="Y308" i="24"/>
  <c r="X140" i="61"/>
  <c r="X218" i="61"/>
  <c r="X194" i="61"/>
  <c r="W143" i="61"/>
  <c r="X170" i="61" s="1"/>
  <c r="X164" i="24"/>
  <c r="BK97" i="61"/>
  <c r="BX92" i="61"/>
  <c r="BK210" i="61"/>
  <c r="BX210" i="61" s="1"/>
  <c r="BL92" i="61"/>
  <c r="BJ128" i="61"/>
  <c r="BV128" i="61"/>
  <c r="BJ369" i="24"/>
  <c r="BJ77" i="61"/>
  <c r="BV77" i="61"/>
  <c r="BH234" i="24"/>
  <c r="BG233" i="24"/>
  <c r="CR141" i="24"/>
  <c r="BZ408" i="24"/>
  <c r="CR408" i="24" s="1"/>
  <c r="BM36" i="61"/>
  <c r="BY36" i="61"/>
  <c r="CY101" i="24"/>
  <c r="BY400" i="24"/>
  <c r="CQ400" i="24" s="1"/>
  <c r="CQ133" i="24"/>
  <c r="BZ133" i="24"/>
  <c r="V141" i="61"/>
  <c r="V34" i="64"/>
  <c r="V179" i="24"/>
  <c r="V219" i="61"/>
  <c r="U144" i="61"/>
  <c r="BZ411" i="24"/>
  <c r="CR411" i="24" s="1"/>
  <c r="CR144" i="24"/>
  <c r="BZ14" i="24"/>
  <c r="CR14" i="24" s="1"/>
  <c r="CR97" i="24"/>
  <c r="BX55" i="24"/>
  <c r="CP55" i="24" s="1"/>
  <c r="W180" i="24"/>
  <c r="W434" i="24"/>
  <c r="BZ316" i="24"/>
  <c r="BZ297" i="24"/>
  <c r="CR297" i="24" s="1"/>
  <c r="CR42" i="24"/>
  <c r="CQ316" i="24"/>
  <c r="BZ169" i="24"/>
  <c r="BZ166" i="24"/>
  <c r="BY184" i="24"/>
  <c r="CQ166" i="24"/>
  <c r="CP184" i="24"/>
  <c r="BX186" i="24"/>
  <c r="BX183" i="24"/>
  <c r="BV137" i="61"/>
  <c r="BJ137" i="61"/>
  <c r="BG296" i="24"/>
  <c r="BG29" i="24"/>
  <c r="BG46" i="24"/>
  <c r="AF152" i="61"/>
  <c r="BS81" i="61"/>
  <c r="BF187" i="61"/>
  <c r="BS187" i="61" s="1"/>
  <c r="BK103" i="61"/>
  <c r="BW103" i="61"/>
  <c r="P43" i="52"/>
  <c r="O44" i="52"/>
  <c r="O46" i="52"/>
  <c r="BW47" i="61"/>
  <c r="BJ67" i="61"/>
  <c r="BK47" i="61"/>
  <c r="BJ118" i="61"/>
  <c r="BV118" i="61"/>
  <c r="BU119" i="61"/>
  <c r="BI119" i="61"/>
  <c r="BE130" i="24"/>
  <c r="BE397" i="24" s="1"/>
  <c r="BE122" i="24"/>
  <c r="BE389" i="24" s="1"/>
  <c r="BE319" i="24"/>
  <c r="BE392" i="24"/>
  <c r="BR241" i="61"/>
  <c r="BU113" i="61"/>
  <c r="BI113" i="61"/>
  <c r="CC474" i="52"/>
  <c r="BV126" i="61"/>
  <c r="BJ126" i="61"/>
  <c r="BX149" i="61"/>
  <c r="BL149" i="61"/>
  <c r="BW203" i="24"/>
  <c r="BV214" i="24"/>
  <c r="CN214" i="24" s="1"/>
  <c r="BV222" i="24"/>
  <c r="CN222" i="24" s="1"/>
  <c r="CN203" i="24"/>
  <c r="CJ11" i="24"/>
  <c r="BR9" i="24"/>
  <c r="BS11" i="24"/>
  <c r="BJ196" i="24"/>
  <c r="BJ299" i="52"/>
  <c r="BJ309" i="52" s="1"/>
  <c r="BJ300" i="52"/>
  <c r="BJ310" i="52" s="1"/>
  <c r="BJ301" i="52"/>
  <c r="BJ311" i="52" s="1"/>
  <c r="BJ302" i="52"/>
  <c r="BJ312" i="52" s="1"/>
  <c r="BJ303" i="52"/>
  <c r="BJ297" i="52"/>
  <c r="CD113" i="24"/>
  <c r="CU113" i="24"/>
  <c r="BJ124" i="61"/>
  <c r="BV124" i="61"/>
  <c r="Q368" i="24"/>
  <c r="R45" i="52"/>
  <c r="Q48" i="52"/>
  <c r="Q45" i="24"/>
  <c r="O366" i="24"/>
  <c r="P35" i="52"/>
  <c r="O33" i="24"/>
  <c r="BV110" i="61"/>
  <c r="BJ110" i="61"/>
  <c r="BH129" i="24"/>
  <c r="BH133" i="24"/>
  <c r="BH139" i="24"/>
  <c r="BH406" i="24" s="1"/>
  <c r="BH141" i="24"/>
  <c r="BH126" i="24"/>
  <c r="BH142" i="24"/>
  <c r="BH358" i="24"/>
  <c r="BH43" i="24"/>
  <c r="BH246" i="24"/>
  <c r="BH356" i="24" s="1"/>
  <c r="BH131" i="24"/>
  <c r="BH125" i="24"/>
  <c r="BH138" i="24"/>
  <c r="BH279" i="24"/>
  <c r="BH7" i="70"/>
  <c r="BH135" i="24"/>
  <c r="BH110" i="24"/>
  <c r="BH441" i="24" s="1"/>
  <c r="BH134" i="24"/>
  <c r="BH401" i="24" s="1"/>
  <c r="BH146" i="24"/>
  <c r="BH410" i="24"/>
  <c r="BY110" i="24"/>
  <c r="BK72" i="61"/>
  <c r="BW72" i="61"/>
  <c r="BK89" i="61"/>
  <c r="BJ208" i="61"/>
  <c r="BW208" i="61" s="1"/>
  <c r="BJ222" i="61"/>
  <c r="BW222" i="61" s="1"/>
  <c r="BW89" i="61"/>
  <c r="CB243" i="24"/>
  <c r="CT243" i="24" s="1"/>
  <c r="CC21" i="45"/>
  <c r="CC127" i="24"/>
  <c r="CU127" i="24" s="1"/>
  <c r="BZ20" i="61"/>
  <c r="BN20" i="61"/>
  <c r="CR202" i="24"/>
  <c r="CA202" i="24"/>
  <c r="BZ221" i="24"/>
  <c r="CR221" i="24" s="1"/>
  <c r="BI312" i="52"/>
  <c r="BI311" i="52"/>
  <c r="BI309" i="52"/>
  <c r="BG136" i="24"/>
  <c r="BG404" i="24"/>
  <c r="AG152" i="61"/>
  <c r="BG81" i="61"/>
  <c r="BT106" i="61"/>
  <c r="BH84" i="61"/>
  <c r="BU84" i="61" s="1"/>
  <c r="BU105" i="61"/>
  <c r="BK186" i="52"/>
  <c r="BM44" i="61"/>
  <c r="BY44" i="61"/>
  <c r="BJ189" i="61"/>
  <c r="BW189" i="61" s="1"/>
  <c r="BW82" i="61"/>
  <c r="BM100" i="61"/>
  <c r="BL97" i="61"/>
  <c r="BL98" i="61"/>
  <c r="BY100" i="61"/>
  <c r="BK98" i="61"/>
  <c r="O30" i="24"/>
  <c r="O286" i="24" s="1"/>
  <c r="O44" i="24"/>
  <c r="O316" i="24"/>
  <c r="O317" i="24" s="1"/>
  <c r="O297" i="24"/>
  <c r="BG55" i="61"/>
  <c r="BH74" i="61"/>
  <c r="BU74" i="61" s="1"/>
  <c r="BT146" i="61"/>
  <c r="BI117" i="61"/>
  <c r="BU117" i="61"/>
  <c r="BJ120" i="61"/>
  <c r="BV120" i="61"/>
  <c r="BK93" i="61"/>
  <c r="BW93" i="61"/>
  <c r="BI187" i="52"/>
  <c r="BH189" i="52"/>
  <c r="BU127" i="61"/>
  <c r="BI127" i="61"/>
  <c r="BF403" i="24"/>
  <c r="BF323" i="24"/>
  <c r="BF148" i="24"/>
  <c r="BY146" i="24"/>
  <c r="CP146" i="24"/>
  <c r="BX413" i="24"/>
  <c r="CP413" i="24" s="1"/>
  <c r="BY402" i="24"/>
  <c r="CQ402" i="24" s="1"/>
  <c r="CQ135" i="24"/>
  <c r="BZ135" i="24"/>
  <c r="BY134" i="24" l="1"/>
  <c r="BX401" i="24"/>
  <c r="CP401" i="24" s="1"/>
  <c r="CP132" i="24"/>
  <c r="CP134" i="24"/>
  <c r="CA192" i="24"/>
  <c r="CB22" i="45"/>
  <c r="CD25" i="45"/>
  <c r="CC195" i="24"/>
  <c r="BO58" i="61"/>
  <c r="CB58" i="61" s="1"/>
  <c r="CA58" i="61"/>
  <c r="BU108" i="61"/>
  <c r="BI108" i="61"/>
  <c r="BZ277" i="24"/>
  <c r="CR277" i="24" s="1"/>
  <c r="CR194" i="24"/>
  <c r="BY171" i="61"/>
  <c r="BM171" i="61"/>
  <c r="BN37" i="61"/>
  <c r="BZ37" i="61"/>
  <c r="CR192" i="24"/>
  <c r="BZ346" i="24"/>
  <c r="CR346" i="24" s="1"/>
  <c r="CB23" i="45"/>
  <c r="CA193" i="24"/>
  <c r="CT195" i="24"/>
  <c r="CB278" i="24"/>
  <c r="CT278" i="24" s="1"/>
  <c r="BO22" i="61"/>
  <c r="CB22" i="61" s="1"/>
  <c r="CA22" i="61"/>
  <c r="BN46" i="61"/>
  <c r="BZ46" i="61"/>
  <c r="CB24" i="45"/>
  <c r="CA194" i="24"/>
  <c r="BB136" i="61"/>
  <c r="BA153" i="61"/>
  <c r="BA152" i="61" s="1"/>
  <c r="BA154" i="61"/>
  <c r="BA155" i="61" s="1"/>
  <c r="CR143" i="24"/>
  <c r="BZ142" i="24"/>
  <c r="CR142" i="24" s="1"/>
  <c r="CA65" i="45"/>
  <c r="O4" i="55"/>
  <c r="CB103" i="24"/>
  <c r="CB143" i="24" s="1"/>
  <c r="CB141" i="24"/>
  <c r="CG128" i="24"/>
  <c r="CY128" i="24" s="1"/>
  <c r="CG26" i="45"/>
  <c r="Q11" i="71"/>
  <c r="BC139" i="52"/>
  <c r="BC203" i="24" s="1"/>
  <c r="BD300" i="24" s="1"/>
  <c r="BD302" i="24" s="1"/>
  <c r="BB162" i="52"/>
  <c r="BC159" i="52"/>
  <c r="BC138" i="52" s="1"/>
  <c r="BD63" i="24"/>
  <c r="BD75" i="24"/>
  <c r="BH380" i="24"/>
  <c r="BH378" i="24" s="1"/>
  <c r="BG381" i="24"/>
  <c r="BF385" i="24"/>
  <c r="BF225" i="24"/>
  <c r="BG301" i="24"/>
  <c r="BG253" i="24"/>
  <c r="BH64" i="24"/>
  <c r="BG352" i="24"/>
  <c r="BG70" i="24"/>
  <c r="BG71" i="24" s="1"/>
  <c r="BE214" i="24"/>
  <c r="BH221" i="24"/>
  <c r="BH224" i="24"/>
  <c r="BH226" i="24"/>
  <c r="BH222" i="24"/>
  <c r="BH385" i="24"/>
  <c r="BI381" i="24"/>
  <c r="BI380" i="24"/>
  <c r="BI202" i="24"/>
  <c r="BI223" i="24" s="1"/>
  <c r="BI209" i="24"/>
  <c r="BI215" i="24"/>
  <c r="CB210" i="24"/>
  <c r="CB202" i="24" s="1"/>
  <c r="CS210" i="24"/>
  <c r="CA211" i="24"/>
  <c r="CS211" i="24" s="1"/>
  <c r="BD138" i="52"/>
  <c r="BD204" i="24" s="1"/>
  <c r="BE301" i="24" s="1"/>
  <c r="BD161" i="52"/>
  <c r="BD149" i="52"/>
  <c r="BF226" i="24"/>
  <c r="BF224" i="24"/>
  <c r="BE202" i="24"/>
  <c r="BE223" i="24" s="1"/>
  <c r="BF221" i="24"/>
  <c r="BF222" i="24"/>
  <c r="BF254" i="24"/>
  <c r="BF352" i="24"/>
  <c r="BF215" i="24"/>
  <c r="BF301" i="24"/>
  <c r="BH223" i="24"/>
  <c r="BI66" i="24"/>
  <c r="BI254" i="24" s="1"/>
  <c r="BI259" i="24" s="1"/>
  <c r="BI217" i="24"/>
  <c r="BJ150" i="52"/>
  <c r="BJ158" i="52"/>
  <c r="BJ161" i="52"/>
  <c r="BJ149" i="52"/>
  <c r="BJ59" i="52" s="1"/>
  <c r="BJ138" i="52"/>
  <c r="BJ204" i="24" s="1"/>
  <c r="BJ164" i="52"/>
  <c r="BJ141" i="52" s="1"/>
  <c r="BJ206" i="24" s="1"/>
  <c r="BK159" i="52"/>
  <c r="BY404" i="24"/>
  <c r="CQ404" i="24" s="1"/>
  <c r="CQ137" i="24"/>
  <c r="CR138" i="24"/>
  <c r="BZ405" i="24"/>
  <c r="CR405" i="24" s="1"/>
  <c r="BZ137" i="24"/>
  <c r="CA138" i="24"/>
  <c r="CF139" i="24"/>
  <c r="CW139" i="24"/>
  <c r="BX207" i="24"/>
  <c r="BW226" i="24"/>
  <c r="CO226" i="24" s="1"/>
  <c r="CO207" i="24"/>
  <c r="BW218" i="24"/>
  <c r="CO218" i="24" s="1"/>
  <c r="I842" i="53"/>
  <c r="CL94" i="24"/>
  <c r="BI314" i="52"/>
  <c r="BI40" i="24" s="1"/>
  <c r="CQ134" i="24"/>
  <c r="BY401" i="24"/>
  <c r="CQ401" i="24" s="1"/>
  <c r="BY132" i="24"/>
  <c r="BZ402" i="24"/>
  <c r="CR402" i="24" s="1"/>
  <c r="CA135" i="24"/>
  <c r="CR135" i="24"/>
  <c r="BJ127" i="61"/>
  <c r="BV127" i="61"/>
  <c r="BF150" i="24"/>
  <c r="BF415" i="24"/>
  <c r="BF324" i="24"/>
  <c r="BJ187" i="52"/>
  <c r="BI189" i="52"/>
  <c r="BL93" i="61"/>
  <c r="BX93" i="61"/>
  <c r="BK120" i="61"/>
  <c r="BW120" i="61"/>
  <c r="BV117" i="61"/>
  <c r="BJ117" i="61"/>
  <c r="BT55" i="61"/>
  <c r="BL186" i="52"/>
  <c r="BT81" i="61"/>
  <c r="BG187" i="61"/>
  <c r="BT187" i="61" s="1"/>
  <c r="CD127" i="24"/>
  <c r="CV127" i="24" s="1"/>
  <c r="CC243" i="24"/>
  <c r="CU243" i="24" s="1"/>
  <c r="CD21" i="45"/>
  <c r="BX72" i="61"/>
  <c r="BL72" i="61"/>
  <c r="BH402" i="24"/>
  <c r="BH322" i="24"/>
  <c r="BH130" i="24"/>
  <c r="BH397" i="24" s="1"/>
  <c r="BH319" i="24"/>
  <c r="BH122" i="24"/>
  <c r="BH389" i="24" s="1"/>
  <c r="BH392" i="24"/>
  <c r="BH127" i="24"/>
  <c r="BH393" i="24"/>
  <c r="BH39" i="24"/>
  <c r="BH396" i="24"/>
  <c r="BW110" i="61"/>
  <c r="BK110" i="61"/>
  <c r="P33" i="24"/>
  <c r="Q35" i="52"/>
  <c r="P366" i="24"/>
  <c r="Q299" i="24"/>
  <c r="Q367" i="24" s="1"/>
  <c r="Q32" i="24"/>
  <c r="Q288" i="24" s="1"/>
  <c r="Q365" i="24" s="1"/>
  <c r="Q42" i="24"/>
  <c r="R45" i="24"/>
  <c r="S45" i="52"/>
  <c r="R48" i="52"/>
  <c r="R368" i="24"/>
  <c r="BT11" i="24"/>
  <c r="BS9" i="24"/>
  <c r="CK11" i="24"/>
  <c r="CO203" i="24"/>
  <c r="BX203" i="24"/>
  <c r="BW214" i="24"/>
  <c r="CO214" i="24" s="1"/>
  <c r="BW222" i="24"/>
  <c r="CO222" i="24" s="1"/>
  <c r="CD474" i="52"/>
  <c r="BV119" i="61"/>
  <c r="BJ119" i="61"/>
  <c r="BL47" i="61"/>
  <c r="BX47" i="61"/>
  <c r="BK67" i="61"/>
  <c r="BZ184" i="24"/>
  <c r="CA166" i="24"/>
  <c r="CR166" i="24"/>
  <c r="CA169" i="24"/>
  <c r="CR316" i="24"/>
  <c r="CR133" i="24"/>
  <c r="BZ400" i="24"/>
  <c r="CR400" i="24" s="1"/>
  <c r="CA133" i="24"/>
  <c r="BN36" i="61"/>
  <c r="BZ36" i="61"/>
  <c r="BK369" i="24"/>
  <c r="BM92" i="61"/>
  <c r="BL210" i="61"/>
  <c r="BY210" i="61" s="1"/>
  <c r="BY92" i="61"/>
  <c r="V143" i="61"/>
  <c r="W194" i="61"/>
  <c r="W140" i="61"/>
  <c r="W164" i="24"/>
  <c r="W218" i="61"/>
  <c r="BM99" i="61"/>
  <c r="BY99" i="61"/>
  <c r="BL82" i="61"/>
  <c r="BL71" i="61"/>
  <c r="BY71" i="61" s="1"/>
  <c r="BL215" i="61"/>
  <c r="BY215" i="61" s="1"/>
  <c r="BL244" i="61"/>
  <c r="BY244" i="61" s="1"/>
  <c r="BL242" i="61"/>
  <c r="BY242" i="61" s="1"/>
  <c r="BW114" i="61"/>
  <c r="BK114" i="61"/>
  <c r="BI84" i="61"/>
  <c r="BV84" i="61" s="1"/>
  <c r="BV105" i="61"/>
  <c r="BX407" i="24"/>
  <c r="CP407" i="24" s="1"/>
  <c r="CP140" i="24"/>
  <c r="BX136" i="24"/>
  <c r="BZ111" i="61"/>
  <c r="BN111" i="61"/>
  <c r="BI140" i="24"/>
  <c r="BI407" i="24" s="1"/>
  <c r="BI408" i="24"/>
  <c r="BI405" i="24"/>
  <c r="BI137" i="24"/>
  <c r="BI6" i="70"/>
  <c r="BI402" i="24"/>
  <c r="BI322" i="24"/>
  <c r="BI409" i="24"/>
  <c r="BI144" i="24"/>
  <c r="BI411" i="24" s="1"/>
  <c r="BI313" i="52"/>
  <c r="BI41" i="24" s="1"/>
  <c r="CA431" i="24"/>
  <c r="CS431" i="24" s="1"/>
  <c r="CB188" i="24"/>
  <c r="CA187" i="24"/>
  <c r="CS188" i="24"/>
  <c r="P297" i="24"/>
  <c r="P44" i="24"/>
  <c r="P30" i="24"/>
  <c r="P286" i="24" s="1"/>
  <c r="P316" i="24"/>
  <c r="P317" i="24" s="1"/>
  <c r="BW122" i="61"/>
  <c r="BK122" i="61"/>
  <c r="BQ283" i="24"/>
  <c r="CI283" i="24" s="1"/>
  <c r="CI27" i="24"/>
  <c r="CA143" i="24"/>
  <c r="CS103" i="24"/>
  <c r="BH19" i="61"/>
  <c r="BG201" i="61"/>
  <c r="BT201" i="61" s="1"/>
  <c r="BT19" i="61"/>
  <c r="BG241" i="61"/>
  <c r="BI188" i="52"/>
  <c r="BN52" i="61"/>
  <c r="BZ52" i="61"/>
  <c r="BV115" i="61"/>
  <c r="BJ115" i="61"/>
  <c r="CR117" i="24"/>
  <c r="BZ116" i="24"/>
  <c r="CR116" i="24" s="1"/>
  <c r="CA117" i="24"/>
  <c r="BX73" i="61"/>
  <c r="BL73" i="61"/>
  <c r="CS42" i="24"/>
  <c r="CA297" i="24"/>
  <c r="CS297" i="24" s="1"/>
  <c r="CA316" i="24"/>
  <c r="CA411" i="24"/>
  <c r="CS411" i="24" s="1"/>
  <c r="CS144" i="24"/>
  <c r="CA14" i="24"/>
  <c r="CS14" i="24" s="1"/>
  <c r="CS97" i="24"/>
  <c r="CA396" i="24"/>
  <c r="CS396" i="24" s="1"/>
  <c r="CA39" i="24"/>
  <c r="CS39" i="24" s="1"/>
  <c r="CS129" i="24"/>
  <c r="BZ146" i="24"/>
  <c r="CQ146" i="24"/>
  <c r="BY413" i="24"/>
  <c r="CQ413" i="24" s="1"/>
  <c r="BH146" i="61"/>
  <c r="BX98" i="61"/>
  <c r="BK464" i="52"/>
  <c r="BL464" i="52"/>
  <c r="BY98" i="61"/>
  <c r="BM97" i="61"/>
  <c r="BZ100" i="61"/>
  <c r="BN100" i="61"/>
  <c r="BM98" i="61"/>
  <c r="BZ44" i="61"/>
  <c r="BN44" i="61"/>
  <c r="BG403" i="24"/>
  <c r="BG323" i="24"/>
  <c r="BG148" i="24"/>
  <c r="CS202" i="24"/>
  <c r="CA221" i="24"/>
  <c r="CS221" i="24" s="1"/>
  <c r="CA20" i="61"/>
  <c r="BO20" i="61"/>
  <c r="BX89" i="61"/>
  <c r="BK222" i="61"/>
  <c r="BX222" i="61" s="1"/>
  <c r="BK208" i="61"/>
  <c r="BX208" i="61" s="1"/>
  <c r="BL89" i="61"/>
  <c r="BY441" i="24"/>
  <c r="CQ110" i="24"/>
  <c r="BZ110" i="24"/>
  <c r="BH413" i="24"/>
  <c r="BH6" i="70"/>
  <c r="BH9" i="70"/>
  <c r="BI9" i="70" s="1"/>
  <c r="BH137" i="24"/>
  <c r="BH405" i="24"/>
  <c r="BH398" i="24"/>
  <c r="BH123" i="24"/>
  <c r="BH390" i="24" s="1"/>
  <c r="BH320" i="24"/>
  <c r="BH144" i="24"/>
  <c r="BH411" i="24" s="1"/>
  <c r="BH409" i="24"/>
  <c r="BH140" i="24"/>
  <c r="BH407" i="24" s="1"/>
  <c r="BH408" i="24"/>
  <c r="BH132" i="24"/>
  <c r="BH400" i="24"/>
  <c r="BK124" i="61"/>
  <c r="BW124" i="61"/>
  <c r="CE113" i="24"/>
  <c r="CV113" i="24"/>
  <c r="BJ307" i="52"/>
  <c r="BJ7" i="70"/>
  <c r="BJ6" i="70" s="1"/>
  <c r="BJ129" i="24"/>
  <c r="BJ133" i="24"/>
  <c r="BJ139" i="24"/>
  <c r="BJ406" i="24" s="1"/>
  <c r="BJ141" i="24"/>
  <c r="BJ126" i="24"/>
  <c r="BJ142" i="24"/>
  <c r="BJ358" i="24"/>
  <c r="BJ43" i="24"/>
  <c r="BJ131" i="24"/>
  <c r="BJ125" i="24"/>
  <c r="BJ138" i="24"/>
  <c r="BJ279" i="24"/>
  <c r="BJ135" i="24"/>
  <c r="BJ110" i="24"/>
  <c r="BJ441" i="24" s="1"/>
  <c r="BJ134" i="24"/>
  <c r="BJ401" i="24" s="1"/>
  <c r="BJ146" i="24"/>
  <c r="BJ410" i="24"/>
  <c r="BJ246" i="24"/>
  <c r="BJ356" i="24" s="1"/>
  <c r="CJ9" i="24"/>
  <c r="BM149" i="61"/>
  <c r="BY149" i="61"/>
  <c r="BW126" i="61"/>
  <c r="BK126" i="61"/>
  <c r="BJ113" i="61"/>
  <c r="BV113" i="61"/>
  <c r="BW118" i="61"/>
  <c r="BK118" i="61"/>
  <c r="BJ255" i="61"/>
  <c r="BW255" i="61" s="1"/>
  <c r="BW67" i="61"/>
  <c r="Q43" i="52"/>
  <c r="P44" i="52"/>
  <c r="P46" i="52"/>
  <c r="BX103" i="61"/>
  <c r="BL103" i="61"/>
  <c r="BG285" i="24"/>
  <c r="BG31" i="24"/>
  <c r="BG287" i="24" s="1"/>
  <c r="BG359" i="24"/>
  <c r="BK137" i="61"/>
  <c r="BW137" i="61"/>
  <c r="BY186" i="24"/>
  <c r="CQ184" i="24"/>
  <c r="BY183" i="24"/>
  <c r="U141" i="61"/>
  <c r="T144" i="61"/>
  <c r="U179" i="24"/>
  <c r="U34" i="64"/>
  <c r="U219" i="61"/>
  <c r="V180" i="24"/>
  <c r="V434" i="24"/>
  <c r="CA408" i="24"/>
  <c r="CS408" i="24" s="1"/>
  <c r="CS141" i="24"/>
  <c r="BF233" i="24"/>
  <c r="BF234" i="24" s="1"/>
  <c r="BG234" i="24"/>
  <c r="BK77" i="61"/>
  <c r="BW77" i="61"/>
  <c r="BK128" i="61"/>
  <c r="BW128" i="61"/>
  <c r="X199" i="24"/>
  <c r="X308" i="24"/>
  <c r="BJ123" i="61"/>
  <c r="BV123" i="61"/>
  <c r="BX82" i="61"/>
  <c r="BK189" i="61"/>
  <c r="BX189" i="61" s="1"/>
  <c r="BN95" i="61"/>
  <c r="BZ95" i="61"/>
  <c r="BJ121" i="61"/>
  <c r="BV121" i="61"/>
  <c r="BJ109" i="61"/>
  <c r="BJ105" i="61"/>
  <c r="BI106" i="61"/>
  <c r="BV109" i="61"/>
  <c r="BU106" i="61"/>
  <c r="BH81" i="61"/>
  <c r="BI400" i="24"/>
  <c r="BI132" i="24"/>
  <c r="BI130" i="24"/>
  <c r="BI397" i="24" s="1"/>
  <c r="BI122" i="24"/>
  <c r="BI389" i="24" s="1"/>
  <c r="BI319" i="24"/>
  <c r="BI124" i="24"/>
  <c r="BI392" i="24"/>
  <c r="BI396" i="24"/>
  <c r="BI39" i="24"/>
  <c r="BI413" i="24"/>
  <c r="BI398" i="24"/>
  <c r="BI320" i="24"/>
  <c r="BI123" i="24"/>
  <c r="BI390" i="24" s="1"/>
  <c r="BI393" i="24"/>
  <c r="BI127" i="24"/>
  <c r="BY409" i="24"/>
  <c r="CQ409" i="24" s="1"/>
  <c r="CQ142" i="24"/>
  <c r="BY140" i="24"/>
  <c r="BH314" i="52"/>
  <c r="BH40" i="24" s="1"/>
  <c r="BH313" i="52"/>
  <c r="BH41" i="24" s="1"/>
  <c r="BK116" i="61"/>
  <c r="BW116" i="61"/>
  <c r="BJ125" i="61"/>
  <c r="BV125" i="61"/>
  <c r="BS241" i="61"/>
  <c r="BJ188" i="52"/>
  <c r="BK185" i="52"/>
  <c r="AC136" i="61"/>
  <c r="AD154" i="61"/>
  <c r="AD153" i="61"/>
  <c r="AE155" i="61"/>
  <c r="BZ263" i="24"/>
  <c r="CQ263" i="24"/>
  <c r="CB129" i="24"/>
  <c r="CB406" i="24"/>
  <c r="CT406" i="24" s="1"/>
  <c r="CB279" i="24"/>
  <c r="CT279" i="24" s="1"/>
  <c r="CB160" i="24"/>
  <c r="CT160" i="24" s="1"/>
  <c r="P3" i="55"/>
  <c r="P4" i="55" s="1"/>
  <c r="CB7" i="70"/>
  <c r="CB6" i="70" s="1"/>
  <c r="CB144" i="24"/>
  <c r="CC196" i="24"/>
  <c r="CC141" i="24" s="1"/>
  <c r="CT196" i="24"/>
  <c r="AI3" i="55" s="1"/>
  <c r="CB97" i="24"/>
  <c r="CB43" i="24"/>
  <c r="CB42" i="24"/>
  <c r="BZ140" i="24" l="1"/>
  <c r="CR140" i="24" s="1"/>
  <c r="BZ409" i="24"/>
  <c r="CR409" i="24" s="1"/>
  <c r="BB154" i="61"/>
  <c r="BB155" i="61" s="1"/>
  <c r="BB153" i="61"/>
  <c r="BB152" i="61" s="1"/>
  <c r="BC136" i="61"/>
  <c r="BD136" i="61" s="1"/>
  <c r="CC24" i="45"/>
  <c r="CB194" i="24"/>
  <c r="CA46" i="61"/>
  <c r="BO46" i="61"/>
  <c r="CB46" i="61" s="1"/>
  <c r="CB193" i="24"/>
  <c r="CC23" i="45"/>
  <c r="BO37" i="61"/>
  <c r="CB37" i="61" s="1"/>
  <c r="CA37" i="61"/>
  <c r="CD195" i="24"/>
  <c r="CE25" i="45"/>
  <c r="CA346" i="24"/>
  <c r="CS346" i="24" s="1"/>
  <c r="CS192" i="24"/>
  <c r="BI378" i="24"/>
  <c r="CA277" i="24"/>
  <c r="CS277" i="24" s="1"/>
  <c r="CS194" i="24"/>
  <c r="BN171" i="61"/>
  <c r="BZ171" i="61"/>
  <c r="BJ108" i="61"/>
  <c r="BV108" i="61"/>
  <c r="CC278" i="24"/>
  <c r="CU278" i="24" s="1"/>
  <c r="CU195" i="24"/>
  <c r="CC22" i="45"/>
  <c r="CB192" i="24"/>
  <c r="CC274" i="24"/>
  <c r="CD274" i="24" s="1"/>
  <c r="CT103" i="24"/>
  <c r="BD214" i="24"/>
  <c r="BE215" i="24"/>
  <c r="BG242" i="24"/>
  <c r="BG20" i="24"/>
  <c r="BJ66" i="24"/>
  <c r="BJ254" i="24" s="1"/>
  <c r="BJ259" i="24" s="1"/>
  <c r="BJ217" i="24"/>
  <c r="BF303" i="24"/>
  <c r="BF377" i="24"/>
  <c r="BD202" i="24"/>
  <c r="BE221" i="24"/>
  <c r="BE226" i="24"/>
  <c r="BE222" i="24"/>
  <c r="CT210" i="24"/>
  <c r="CB211" i="24"/>
  <c r="CT211" i="24" s="1"/>
  <c r="CC210" i="24"/>
  <c r="BJ381" i="24"/>
  <c r="BI385" i="24"/>
  <c r="BJ380" i="24"/>
  <c r="BH301" i="24"/>
  <c r="BH253" i="24"/>
  <c r="BI64" i="24"/>
  <c r="BH352" i="24"/>
  <c r="BH70" i="24"/>
  <c r="BG377" i="24"/>
  <c r="BG303" i="24"/>
  <c r="BB159" i="52"/>
  <c r="BB138" i="52" s="1"/>
  <c r="BB139" i="52"/>
  <c r="BB203" i="24" s="1"/>
  <c r="BL159" i="52"/>
  <c r="BK158" i="52"/>
  <c r="BK138" i="52"/>
  <c r="BK204" i="24" s="1"/>
  <c r="BK164" i="52"/>
  <c r="BK141" i="52" s="1"/>
  <c r="BK206" i="24" s="1"/>
  <c r="BK161" i="52"/>
  <c r="BK150" i="52"/>
  <c r="BK149" i="52"/>
  <c r="BK59" i="52" s="1"/>
  <c r="BJ202" i="24"/>
  <c r="BJ215" i="24"/>
  <c r="BJ209" i="24"/>
  <c r="BE377" i="24"/>
  <c r="BE303" i="24"/>
  <c r="BF255" i="24"/>
  <c r="BF260" i="24" s="1"/>
  <c r="BF259" i="24"/>
  <c r="BD223" i="24"/>
  <c r="BI225" i="24"/>
  <c r="BI224" i="24"/>
  <c r="BI226" i="24"/>
  <c r="BI221" i="24"/>
  <c r="BI222" i="24"/>
  <c r="BG255" i="24"/>
  <c r="BG260" i="24" s="1"/>
  <c r="BG258" i="24"/>
  <c r="BC140" i="52"/>
  <c r="BC205" i="24" s="1"/>
  <c r="BC204" i="24"/>
  <c r="BD215" i="24" s="1"/>
  <c r="BC63" i="24"/>
  <c r="BC75" i="24"/>
  <c r="BC214" i="24"/>
  <c r="BZ404" i="24"/>
  <c r="CR404" i="24" s="1"/>
  <c r="CR137" i="24"/>
  <c r="CB138" i="24"/>
  <c r="CS138" i="24"/>
  <c r="CA137" i="24"/>
  <c r="CA405" i="24"/>
  <c r="CS405" i="24" s="1"/>
  <c r="CX139" i="24"/>
  <c r="CG139" i="24"/>
  <c r="CY139" i="24" s="1"/>
  <c r="BX218" i="24"/>
  <c r="CP218" i="24" s="1"/>
  <c r="CP207" i="24"/>
  <c r="BY207" i="24"/>
  <c r="BX226" i="24"/>
  <c r="CP226" i="24" s="1"/>
  <c r="CB65" i="45"/>
  <c r="AC154" i="61"/>
  <c r="AB136" i="61"/>
  <c r="AC153" i="61"/>
  <c r="AD152" i="61" s="1"/>
  <c r="BW125" i="61"/>
  <c r="BK125" i="61"/>
  <c r="BX116" i="61"/>
  <c r="BL116" i="61"/>
  <c r="BH29" i="24"/>
  <c r="BH46" i="24"/>
  <c r="BH296" i="24"/>
  <c r="BY407" i="24"/>
  <c r="CQ407" i="24" s="1"/>
  <c r="CQ140" i="24"/>
  <c r="BY136" i="24"/>
  <c r="BV106" i="61"/>
  <c r="BI81" i="61"/>
  <c r="BW109" i="61"/>
  <c r="BJ106" i="61"/>
  <c r="BK109" i="61"/>
  <c r="BK105" i="61"/>
  <c r="BW121" i="61"/>
  <c r="BK121" i="61"/>
  <c r="CA95" i="61"/>
  <c r="BO95" i="61"/>
  <c r="CB95" i="61" s="1"/>
  <c r="BW123" i="61"/>
  <c r="BK123" i="61"/>
  <c r="BX128" i="61"/>
  <c r="BL128" i="61"/>
  <c r="BX77" i="61"/>
  <c r="BL77" i="61"/>
  <c r="S144" i="61"/>
  <c r="T219" i="61"/>
  <c r="T141" i="61"/>
  <c r="T179" i="24"/>
  <c r="T34" i="64"/>
  <c r="BH359" i="24"/>
  <c r="BW113" i="61"/>
  <c r="BK113" i="61"/>
  <c r="BL126" i="61"/>
  <c r="BX126" i="61"/>
  <c r="BJ413" i="24"/>
  <c r="BJ130" i="24"/>
  <c r="BJ397" i="24" s="1"/>
  <c r="BJ319" i="24"/>
  <c r="BJ122" i="24"/>
  <c r="BJ392" i="24"/>
  <c r="BJ144" i="24"/>
  <c r="BJ411" i="24" s="1"/>
  <c r="BJ409" i="24"/>
  <c r="BJ408" i="24"/>
  <c r="BJ140" i="24"/>
  <c r="BJ407" i="24" s="1"/>
  <c r="BJ400" i="24"/>
  <c r="BJ132" i="24"/>
  <c r="BJ124" i="24" s="1"/>
  <c r="BJ313" i="52"/>
  <c r="BJ41" i="24" s="1"/>
  <c r="BJ314" i="52"/>
  <c r="BJ40" i="24" s="1"/>
  <c r="BH399" i="24"/>
  <c r="BH55" i="24"/>
  <c r="BH61" i="24" s="1"/>
  <c r="BH321" i="24"/>
  <c r="BJ9" i="70"/>
  <c r="BY89" i="61"/>
  <c r="BM89" i="61"/>
  <c r="BL222" i="61"/>
  <c r="BY222" i="61" s="1"/>
  <c r="BL208" i="61"/>
  <c r="BY208" i="61" s="1"/>
  <c r="CA44" i="61"/>
  <c r="BO44" i="61"/>
  <c r="CB44" i="61" s="1"/>
  <c r="BM464" i="52"/>
  <c r="BZ98" i="61"/>
  <c r="BK302" i="52"/>
  <c r="BK312" i="52" s="1"/>
  <c r="BK297" i="52"/>
  <c r="BK307" i="52" s="1"/>
  <c r="BK299" i="52"/>
  <c r="BK309" i="52" s="1"/>
  <c r="BK303" i="52"/>
  <c r="BK300" i="52"/>
  <c r="BK310" i="52" s="1"/>
  <c r="BK196" i="24"/>
  <c r="BK301" i="52"/>
  <c r="BK311" i="52" s="1"/>
  <c r="BU146" i="61"/>
  <c r="BI74" i="61"/>
  <c r="BV74" i="61" s="1"/>
  <c r="BH55" i="61"/>
  <c r="BI146" i="61"/>
  <c r="CR146" i="24"/>
  <c r="CA146" i="24"/>
  <c r="BZ413" i="24"/>
  <c r="CR413" i="24" s="1"/>
  <c r="CS316" i="24"/>
  <c r="BK115" i="61"/>
  <c r="BW115" i="61"/>
  <c r="AE152" i="61"/>
  <c r="BH241" i="61"/>
  <c r="BH201" i="61"/>
  <c r="BU201" i="61" s="1"/>
  <c r="BU19" i="61"/>
  <c r="BI19" i="61"/>
  <c r="CA410" i="24"/>
  <c r="CS410" i="24" s="1"/>
  <c r="CA142" i="24"/>
  <c r="CS143" i="24"/>
  <c r="BX403" i="24"/>
  <c r="CP403" i="24" s="1"/>
  <c r="CP136" i="24"/>
  <c r="BY82" i="61"/>
  <c r="BL189" i="61"/>
  <c r="BY189" i="61" s="1"/>
  <c r="BZ99" i="61"/>
  <c r="BM71" i="61"/>
  <c r="BZ71" i="61" s="1"/>
  <c r="BM215" i="61"/>
  <c r="BZ215" i="61" s="1"/>
  <c r="BN99" i="61"/>
  <c r="BM82" i="61"/>
  <c r="BM244" i="61"/>
  <c r="BZ244" i="61" s="1"/>
  <c r="BM242" i="61"/>
  <c r="BZ242" i="61" s="1"/>
  <c r="W199" i="24"/>
  <c r="W308" i="24"/>
  <c r="U143" i="61"/>
  <c r="V218" i="61"/>
  <c r="V140" i="61"/>
  <c r="V194" i="61"/>
  <c r="V170" i="61"/>
  <c r="V164" i="24"/>
  <c r="BZ92" i="61"/>
  <c r="BM210" i="61"/>
  <c r="BZ210" i="61" s="1"/>
  <c r="BN92" i="61"/>
  <c r="BZ407" i="24"/>
  <c r="CR407" i="24" s="1"/>
  <c r="CA400" i="24"/>
  <c r="CS400" i="24" s="1"/>
  <c r="CB133" i="24"/>
  <c r="CS133" i="24"/>
  <c r="CB169" i="24"/>
  <c r="CR184" i="24"/>
  <c r="BZ186" i="24"/>
  <c r="BZ183" i="24"/>
  <c r="BW119" i="61"/>
  <c r="BK119" i="61"/>
  <c r="CC103" i="24"/>
  <c r="BY203" i="24"/>
  <c r="BX214" i="24"/>
  <c r="CP214" i="24" s="1"/>
  <c r="BX222" i="24"/>
  <c r="CP222" i="24" s="1"/>
  <c r="CP203" i="24"/>
  <c r="CL11" i="24"/>
  <c r="BU11" i="24"/>
  <c r="R299" i="24"/>
  <c r="R367" i="24" s="1"/>
  <c r="R32" i="24"/>
  <c r="R288" i="24" s="1"/>
  <c r="R365" i="24" s="1"/>
  <c r="R42" i="24"/>
  <c r="BM186" i="52"/>
  <c r="BL120" i="61"/>
  <c r="BX120" i="61"/>
  <c r="BY93" i="61"/>
  <c r="BM93" i="61"/>
  <c r="BK187" i="52"/>
  <c r="BJ189" i="52"/>
  <c r="BF417" i="24"/>
  <c r="BW127" i="61"/>
  <c r="BK127" i="61"/>
  <c r="BY55" i="24"/>
  <c r="CQ55" i="24" s="1"/>
  <c r="BY399" i="24"/>
  <c r="CQ399" i="24" s="1"/>
  <c r="CQ132" i="24"/>
  <c r="CT144" i="24"/>
  <c r="CB411" i="24"/>
  <c r="CT411" i="24" s="1"/>
  <c r="CB39" i="24"/>
  <c r="CT39" i="24" s="1"/>
  <c r="CB396" i="24"/>
  <c r="CT396" i="24" s="1"/>
  <c r="CT129" i="24"/>
  <c r="CA263" i="24"/>
  <c r="CR263" i="24"/>
  <c r="CB297" i="24"/>
  <c r="CT297" i="24" s="1"/>
  <c r="CB316" i="24"/>
  <c r="CT42" i="24"/>
  <c r="CB14" i="24"/>
  <c r="CT14" i="24" s="1"/>
  <c r="CT97" i="24"/>
  <c r="CC279" i="24"/>
  <c r="CU279" i="24" s="1"/>
  <c r="CC406" i="24"/>
  <c r="CU406" i="24" s="1"/>
  <c r="CU196" i="24"/>
  <c r="AJ3" i="55" s="1"/>
  <c r="CC129" i="24"/>
  <c r="CC144" i="24"/>
  <c r="CC7" i="70"/>
  <c r="CC6" i="70" s="1"/>
  <c r="CC160" i="24"/>
  <c r="CU160" i="24" s="1"/>
  <c r="Q3" i="55"/>
  <c r="CD196" i="24"/>
  <c r="CD141" i="24" s="1"/>
  <c r="CC97" i="24"/>
  <c r="CC42" i="24"/>
  <c r="CC43" i="24"/>
  <c r="AD155" i="61"/>
  <c r="BL185" i="52"/>
  <c r="BK188" i="52"/>
  <c r="BI318" i="24"/>
  <c r="BI305" i="24"/>
  <c r="BI391" i="24"/>
  <c r="BI55" i="24"/>
  <c r="BI61" i="24" s="1"/>
  <c r="BI321" i="24"/>
  <c r="BI399" i="24"/>
  <c r="BU81" i="61"/>
  <c r="BH187" i="61"/>
  <c r="BU187" i="61" s="1"/>
  <c r="BJ84" i="61"/>
  <c r="BW84" i="61" s="1"/>
  <c r="BW105" i="61"/>
  <c r="CB408" i="24"/>
  <c r="CT408" i="24" s="1"/>
  <c r="CT141" i="24"/>
  <c r="U434" i="24"/>
  <c r="U180" i="24"/>
  <c r="BL137" i="61"/>
  <c r="BX137" i="61"/>
  <c r="BM103" i="61"/>
  <c r="BY103" i="61"/>
  <c r="R43" i="52"/>
  <c r="Q44" i="52"/>
  <c r="Q46" i="52"/>
  <c r="BL118" i="61"/>
  <c r="BX118" i="61"/>
  <c r="CB410" i="24"/>
  <c r="CT410" i="24" s="1"/>
  <c r="CB142" i="24"/>
  <c r="CT143" i="24"/>
  <c r="BZ149" i="61"/>
  <c r="BN149" i="61"/>
  <c r="BJ322" i="24"/>
  <c r="BJ402" i="24"/>
  <c r="BJ405" i="24"/>
  <c r="BJ137" i="24"/>
  <c r="BJ123" i="24"/>
  <c r="BJ398" i="24"/>
  <c r="BJ320" i="24"/>
  <c r="BJ393" i="24"/>
  <c r="BJ127" i="24"/>
  <c r="BJ396" i="24"/>
  <c r="BJ39" i="24"/>
  <c r="CW113" i="24"/>
  <c r="CF113" i="24"/>
  <c r="BL124" i="61"/>
  <c r="BX124" i="61"/>
  <c r="BH404" i="24"/>
  <c r="BH136" i="24"/>
  <c r="CR110" i="24"/>
  <c r="BZ441" i="24"/>
  <c r="CA110" i="24"/>
  <c r="CB20" i="61"/>
  <c r="CT202" i="24"/>
  <c r="CB221" i="24"/>
  <c r="CT221" i="24" s="1"/>
  <c r="CC202" i="24"/>
  <c r="BG150" i="24"/>
  <c r="BG415" i="24"/>
  <c r="BG324" i="24"/>
  <c r="BN98" i="61"/>
  <c r="CA100" i="61"/>
  <c r="BN97" i="61"/>
  <c r="BO100" i="61"/>
  <c r="BL293" i="52"/>
  <c r="BL196" i="24"/>
  <c r="BY73" i="61"/>
  <c r="BM73" i="61"/>
  <c r="CS117" i="24"/>
  <c r="CA116" i="24"/>
  <c r="CS116" i="24" s="1"/>
  <c r="CB117" i="24"/>
  <c r="CA52" i="61"/>
  <c r="BO52" i="61"/>
  <c r="CB52" i="61" s="1"/>
  <c r="BT241" i="61"/>
  <c r="BL122" i="61"/>
  <c r="BX122" i="61"/>
  <c r="CB187" i="24"/>
  <c r="CT188" i="24"/>
  <c r="CB431" i="24"/>
  <c r="CT431" i="24" s="1"/>
  <c r="CC188" i="24"/>
  <c r="BI296" i="24"/>
  <c r="BI29" i="24"/>
  <c r="BI46" i="24"/>
  <c r="BI136" i="24"/>
  <c r="BI404" i="24"/>
  <c r="BO111" i="61"/>
  <c r="CB111" i="61" s="1"/>
  <c r="CA111" i="61"/>
  <c r="BX114" i="61"/>
  <c r="BL114" i="61"/>
  <c r="W170" i="61"/>
  <c r="BL369" i="24"/>
  <c r="CA36" i="61"/>
  <c r="BO36" i="61"/>
  <c r="CA184" i="24"/>
  <c r="CS166" i="24"/>
  <c r="CB166" i="24"/>
  <c r="BX67" i="61"/>
  <c r="BK255" i="61"/>
  <c r="BX255" i="61" s="1"/>
  <c r="BM47" i="61"/>
  <c r="BL67" i="61"/>
  <c r="BY47" i="61"/>
  <c r="CE474" i="52"/>
  <c r="CK9" i="24"/>
  <c r="S368" i="24"/>
  <c r="T45" i="52"/>
  <c r="S45" i="24"/>
  <c r="S48" i="52"/>
  <c r="Q297" i="24"/>
  <c r="Q30" i="24"/>
  <c r="Q286" i="24" s="1"/>
  <c r="Q316" i="24"/>
  <c r="Q317" i="24" s="1"/>
  <c r="Q44" i="24"/>
  <c r="Q366" i="24"/>
  <c r="Q33" i="24"/>
  <c r="R35" i="52"/>
  <c r="BL110" i="61"/>
  <c r="BX110" i="61"/>
  <c r="BH124" i="24"/>
  <c r="BY72" i="61"/>
  <c r="BM72" i="61"/>
  <c r="CD243" i="24"/>
  <c r="CV243" i="24" s="1"/>
  <c r="CE21" i="45"/>
  <c r="CE127" i="24"/>
  <c r="CW127" i="24" s="1"/>
  <c r="BW117" i="61"/>
  <c r="BK117" i="61"/>
  <c r="CB135" i="24"/>
  <c r="CA402" i="24"/>
  <c r="CS402" i="24" s="1"/>
  <c r="CS135" i="24"/>
  <c r="BZ134" i="24"/>
  <c r="BZ136" i="24" l="1"/>
  <c r="CT192" i="24"/>
  <c r="CB346" i="24"/>
  <c r="CT346" i="24" s="1"/>
  <c r="CV195" i="24"/>
  <c r="CD278" i="24"/>
  <c r="CV278" i="24" s="1"/>
  <c r="CD24" i="45"/>
  <c r="CC194" i="24"/>
  <c r="CD22" i="45"/>
  <c r="CC192" i="24"/>
  <c r="BW108" i="61"/>
  <c r="BK108" i="61"/>
  <c r="CA171" i="61"/>
  <c r="BO171" i="61"/>
  <c r="CB171" i="61" s="1"/>
  <c r="CF25" i="45"/>
  <c r="CE195" i="24"/>
  <c r="CC193" i="24"/>
  <c r="CD23" i="45"/>
  <c r="CB277" i="24"/>
  <c r="CT277" i="24" s="1"/>
  <c r="CT194" i="24"/>
  <c r="BE136" i="61"/>
  <c r="BQ136" i="61"/>
  <c r="CC65" i="45"/>
  <c r="Q4" i="55"/>
  <c r="BJ378" i="24"/>
  <c r="BH71" i="24"/>
  <c r="BC209" i="24"/>
  <c r="BC65" i="24"/>
  <c r="BJ226" i="24"/>
  <c r="BJ222" i="24"/>
  <c r="BJ221" i="24"/>
  <c r="BJ224" i="24"/>
  <c r="BK217" i="24"/>
  <c r="BK66" i="24"/>
  <c r="BK254" i="24" s="1"/>
  <c r="BC300" i="24"/>
  <c r="BC302" i="24" s="1"/>
  <c r="BB214" i="24"/>
  <c r="BB75" i="24"/>
  <c r="BB63" i="24"/>
  <c r="BB300" i="24"/>
  <c r="BB302" i="24" s="1"/>
  <c r="BI301" i="24"/>
  <c r="BI253" i="24"/>
  <c r="BJ64" i="24"/>
  <c r="BI70" i="24"/>
  <c r="BI71" i="24" s="1"/>
  <c r="BI352" i="24"/>
  <c r="BH303" i="24"/>
  <c r="BH377" i="24"/>
  <c r="CC211" i="24"/>
  <c r="CU211" i="24" s="1"/>
  <c r="CU210" i="24"/>
  <c r="CD210" i="24"/>
  <c r="BD226" i="24"/>
  <c r="BC202" i="24"/>
  <c r="BC223" i="24" s="1"/>
  <c r="BD221" i="24"/>
  <c r="BD222" i="24"/>
  <c r="BD301" i="24"/>
  <c r="BK380" i="24"/>
  <c r="BK381" i="24"/>
  <c r="BJ385" i="24"/>
  <c r="BJ223" i="24"/>
  <c r="BK202" i="24"/>
  <c r="BK223" i="24" s="1"/>
  <c r="BK215" i="24"/>
  <c r="BK209" i="24"/>
  <c r="BL150" i="52"/>
  <c r="BL158" i="52"/>
  <c r="BL161" i="52"/>
  <c r="BL149" i="52"/>
  <c r="BL59" i="52" s="1"/>
  <c r="BL138" i="52"/>
  <c r="BL204" i="24" s="1"/>
  <c r="BL164" i="52"/>
  <c r="BL141" i="52" s="1"/>
  <c r="BL206" i="24" s="1"/>
  <c r="BM159" i="52"/>
  <c r="BB140" i="52"/>
  <c r="BB205" i="24" s="1"/>
  <c r="BC216" i="24" s="1"/>
  <c r="BB204" i="24"/>
  <c r="BH258" i="24"/>
  <c r="BH255" i="24"/>
  <c r="BH260" i="24" s="1"/>
  <c r="BJ225" i="24"/>
  <c r="CA404" i="24"/>
  <c r="CS404" i="24" s="1"/>
  <c r="CS137" i="24"/>
  <c r="CT138" i="24"/>
  <c r="CC138" i="24"/>
  <c r="CB137" i="24"/>
  <c r="CB405" i="24"/>
  <c r="CT405" i="24" s="1"/>
  <c r="CD103" i="24"/>
  <c r="CD143" i="24" s="1"/>
  <c r="BZ207" i="24"/>
  <c r="BY218" i="24"/>
  <c r="CQ218" i="24" s="1"/>
  <c r="BY226" i="24"/>
  <c r="CQ226" i="24" s="1"/>
  <c r="CQ207" i="24"/>
  <c r="BL126" i="24"/>
  <c r="BL393" i="24" s="1"/>
  <c r="BH305" i="24"/>
  <c r="BH318" i="24"/>
  <c r="BH391" i="24"/>
  <c r="R33" i="24"/>
  <c r="S35" i="52"/>
  <c r="R366" i="24"/>
  <c r="T45" i="24"/>
  <c r="U45" i="52"/>
  <c r="T368" i="24"/>
  <c r="T48" i="52"/>
  <c r="BN47" i="61"/>
  <c r="BZ47" i="61"/>
  <c r="BM67" i="61"/>
  <c r="BM114" i="61"/>
  <c r="BY114" i="61"/>
  <c r="BM122" i="61"/>
  <c r="BY122" i="61"/>
  <c r="CT117" i="24"/>
  <c r="CC117" i="24"/>
  <c r="CB116" i="24"/>
  <c r="CT116" i="24" s="1"/>
  <c r="BM124" i="61"/>
  <c r="BY124" i="61"/>
  <c r="BJ404" i="24"/>
  <c r="BJ136" i="24"/>
  <c r="BO149" i="61"/>
  <c r="CB149" i="61" s="1"/>
  <c r="CA149" i="61"/>
  <c r="CR134" i="24"/>
  <c r="BZ401" i="24"/>
  <c r="CR401" i="24" s="1"/>
  <c r="CA134" i="24"/>
  <c r="BZ132" i="24"/>
  <c r="CT135" i="24"/>
  <c r="CB402" i="24"/>
  <c r="CT402" i="24" s="1"/>
  <c r="CC135" i="24"/>
  <c r="BL117" i="61"/>
  <c r="BX117" i="61"/>
  <c r="CE243" i="24"/>
  <c r="CW243" i="24" s="1"/>
  <c r="CF21" i="45"/>
  <c r="BY110" i="61"/>
  <c r="BM110" i="61"/>
  <c r="S299" i="24"/>
  <c r="S367" i="24" s="1"/>
  <c r="S32" i="24"/>
  <c r="S288" i="24" s="1"/>
  <c r="S365" i="24" s="1"/>
  <c r="S42" i="24"/>
  <c r="CF474" i="52"/>
  <c r="BL255" i="61"/>
  <c r="BY255" i="61" s="1"/>
  <c r="BY67" i="61"/>
  <c r="CC166" i="24"/>
  <c r="CB184" i="24"/>
  <c r="CT166" i="24"/>
  <c r="CA183" i="24"/>
  <c r="CA186" i="24"/>
  <c r="CS184" i="24"/>
  <c r="CB36" i="61"/>
  <c r="BM369" i="24"/>
  <c r="BI403" i="24"/>
  <c r="BI323" i="24"/>
  <c r="BI148" i="24"/>
  <c r="CU188" i="24"/>
  <c r="CC187" i="24"/>
  <c r="CC431" i="24"/>
  <c r="CU431" i="24" s="1"/>
  <c r="CD188" i="24"/>
  <c r="BZ73" i="61"/>
  <c r="BN73" i="61"/>
  <c r="BL7" i="70"/>
  <c r="BL129" i="24"/>
  <c r="BL133" i="24"/>
  <c r="BL139" i="24"/>
  <c r="BL406" i="24" s="1"/>
  <c r="BL141" i="24"/>
  <c r="BL134" i="24"/>
  <c r="BL401" i="24" s="1"/>
  <c r="BL138" i="24"/>
  <c r="BL146" i="24"/>
  <c r="BL43" i="24"/>
  <c r="BL135" i="24"/>
  <c r="BL110" i="24"/>
  <c r="BL441" i="24" s="1"/>
  <c r="BL279" i="24"/>
  <c r="BL410" i="24"/>
  <c r="BL131" i="24"/>
  <c r="BL125" i="24"/>
  <c r="BL142" i="24"/>
  <c r="BL246" i="24"/>
  <c r="BL356" i="24" s="1"/>
  <c r="CB100" i="61"/>
  <c r="BG417" i="24"/>
  <c r="BG154" i="24"/>
  <c r="CD202" i="24"/>
  <c r="CC221" i="24"/>
  <c r="CU221" i="24" s="1"/>
  <c r="CU202" i="24"/>
  <c r="CB110" i="24"/>
  <c r="CA441" i="24"/>
  <c r="CS110" i="24"/>
  <c r="CG113" i="24"/>
  <c r="CY113" i="24" s="1"/>
  <c r="CX113" i="24"/>
  <c r="BK123" i="24"/>
  <c r="BJ390" i="24"/>
  <c r="CB409" i="24"/>
  <c r="CT409" i="24" s="1"/>
  <c r="CT142" i="24"/>
  <c r="S43" i="52"/>
  <c r="R46" i="52"/>
  <c r="R44" i="52"/>
  <c r="BN103" i="61"/>
  <c r="BZ103" i="61"/>
  <c r="BM137" i="61"/>
  <c r="BY137" i="61"/>
  <c r="CB140" i="24"/>
  <c r="CC297" i="24"/>
  <c r="CU297" i="24" s="1"/>
  <c r="CU42" i="24"/>
  <c r="CC316" i="24"/>
  <c r="CD144" i="24"/>
  <c r="R3" i="55"/>
  <c r="CD279" i="24"/>
  <c r="CV279" i="24" s="1"/>
  <c r="CV196" i="24"/>
  <c r="AK3" i="55" s="1"/>
  <c r="CD7" i="70"/>
  <c r="CD6" i="70" s="1"/>
  <c r="CE196" i="24"/>
  <c r="CE141" i="24" s="1"/>
  <c r="CD160" i="24"/>
  <c r="CV160" i="24" s="1"/>
  <c r="CD406" i="24"/>
  <c r="CV406" i="24" s="1"/>
  <c r="CD129" i="24"/>
  <c r="CD97" i="24"/>
  <c r="CD42" i="24"/>
  <c r="CD43" i="24"/>
  <c r="CU144" i="24"/>
  <c r="CC411" i="24"/>
  <c r="CU411" i="24" s="1"/>
  <c r="CT316" i="24"/>
  <c r="BL187" i="52"/>
  <c r="BK189" i="52"/>
  <c r="BY120" i="61"/>
  <c r="BM120" i="61"/>
  <c r="BN186" i="52"/>
  <c r="CM11" i="24"/>
  <c r="BV11" i="24"/>
  <c r="CU103" i="24"/>
  <c r="CC143" i="24"/>
  <c r="CC169" i="24"/>
  <c r="CA92" i="61"/>
  <c r="BN210" i="61"/>
  <c r="CA210" i="61" s="1"/>
  <c r="BO92" i="61"/>
  <c r="U218" i="61"/>
  <c r="T143" i="61"/>
  <c r="U164" i="24"/>
  <c r="U194" i="61"/>
  <c r="U140" i="61"/>
  <c r="BO99" i="61"/>
  <c r="BN71" i="61"/>
  <c r="CA71" i="61" s="1"/>
  <c r="BN215" i="61"/>
  <c r="CA215" i="61" s="1"/>
  <c r="BN82" i="61"/>
  <c r="CA99" i="61"/>
  <c r="BN244" i="61"/>
  <c r="CA244" i="61" s="1"/>
  <c r="BN242" i="61"/>
  <c r="CA242" i="61" s="1"/>
  <c r="CA409" i="24"/>
  <c r="CS409" i="24" s="1"/>
  <c r="CS142" i="24"/>
  <c r="CA140" i="24"/>
  <c r="BV19" i="61"/>
  <c r="BI201" i="61"/>
  <c r="BV201" i="61" s="1"/>
  <c r="BI241" i="61"/>
  <c r="BJ19" i="61"/>
  <c r="BL115" i="61"/>
  <c r="BX115" i="61"/>
  <c r="BU55" i="61"/>
  <c r="BK7" i="70"/>
  <c r="BK6" i="70" s="1"/>
  <c r="BK126" i="24"/>
  <c r="BK142" i="24"/>
  <c r="BK131" i="24"/>
  <c r="BK135" i="24"/>
  <c r="BK146" i="24"/>
  <c r="BK43" i="24"/>
  <c r="BK125" i="24"/>
  <c r="BK138" i="24"/>
  <c r="BK133" i="24"/>
  <c r="BK141" i="24"/>
  <c r="BK246" i="24"/>
  <c r="BK356" i="24" s="1"/>
  <c r="BK110" i="24"/>
  <c r="BK441" i="24" s="1"/>
  <c r="BK134" i="24"/>
  <c r="BK401" i="24" s="1"/>
  <c r="BK129" i="24"/>
  <c r="BK139" i="24"/>
  <c r="BK406" i="24" s="1"/>
  <c r="BK279" i="24"/>
  <c r="BK410" i="24"/>
  <c r="BK313" i="52"/>
  <c r="BK41" i="24" s="1"/>
  <c r="BK314" i="52"/>
  <c r="BK40" i="24" s="1"/>
  <c r="BJ272" i="24" s="1"/>
  <c r="BI272" i="24" s="1"/>
  <c r="BH272" i="24" s="1"/>
  <c r="BG272" i="24" s="1"/>
  <c r="BF272" i="24" s="1"/>
  <c r="BZ89" i="61"/>
  <c r="BM208" i="61"/>
  <c r="BZ208" i="61" s="1"/>
  <c r="BM222" i="61"/>
  <c r="BZ222" i="61" s="1"/>
  <c r="BN89" i="61"/>
  <c r="BK9" i="70"/>
  <c r="BH242" i="24"/>
  <c r="BH20" i="24"/>
  <c r="BJ399" i="24"/>
  <c r="BJ321" i="24"/>
  <c r="BJ55" i="24"/>
  <c r="BJ61" i="24" s="1"/>
  <c r="BL113" i="61"/>
  <c r="BX113" i="61"/>
  <c r="BI359" i="24"/>
  <c r="T434" i="24"/>
  <c r="T180" i="24"/>
  <c r="BL109" i="61"/>
  <c r="BL105" i="61"/>
  <c r="BK106" i="61"/>
  <c r="BX109" i="61"/>
  <c r="BY403" i="24"/>
  <c r="CQ403" i="24" s="1"/>
  <c r="CQ136" i="24"/>
  <c r="BH285" i="24"/>
  <c r="BH31" i="24"/>
  <c r="BH287" i="24" s="1"/>
  <c r="BM116" i="61"/>
  <c r="BY116" i="61"/>
  <c r="BL125" i="61"/>
  <c r="BX125" i="61"/>
  <c r="CF127" i="24"/>
  <c r="CX127" i="24" s="1"/>
  <c r="CG127" i="24"/>
  <c r="CY127" i="24" s="1"/>
  <c r="BN72" i="61"/>
  <c r="BZ72" i="61"/>
  <c r="BI285" i="24"/>
  <c r="BI31" i="24"/>
  <c r="BI287" i="24" s="1"/>
  <c r="CA98" i="61"/>
  <c r="BN464" i="52"/>
  <c r="BH323" i="24"/>
  <c r="BH403" i="24"/>
  <c r="BH148" i="24"/>
  <c r="BM118" i="61"/>
  <c r="BY118" i="61"/>
  <c r="CU141" i="24"/>
  <c r="CC408" i="24"/>
  <c r="CU408" i="24" s="1"/>
  <c r="BM185" i="52"/>
  <c r="BL188" i="52"/>
  <c r="CC14" i="24"/>
  <c r="CU14" i="24" s="1"/>
  <c r="CU97" i="24"/>
  <c r="CC39" i="24"/>
  <c r="CU39" i="24" s="1"/>
  <c r="CC396" i="24"/>
  <c r="CU396" i="24" s="1"/>
  <c r="CU129" i="24"/>
  <c r="CS263" i="24"/>
  <c r="CB263" i="24"/>
  <c r="BX127" i="61"/>
  <c r="BL127" i="61"/>
  <c r="BN93" i="61"/>
  <c r="BZ93" i="61"/>
  <c r="R297" i="24"/>
  <c r="R44" i="24"/>
  <c r="R30" i="24"/>
  <c r="R286" i="24" s="1"/>
  <c r="R316" i="24"/>
  <c r="R317" i="24" s="1"/>
  <c r="BZ203" i="24"/>
  <c r="BY222" i="24"/>
  <c r="CQ222" i="24" s="1"/>
  <c r="BY214" i="24"/>
  <c r="CQ214" i="24" s="1"/>
  <c r="CQ203" i="24"/>
  <c r="BL119" i="61"/>
  <c r="BX119" i="61"/>
  <c r="CT133" i="24"/>
  <c r="CB400" i="24"/>
  <c r="CT400" i="24" s="1"/>
  <c r="CC133" i="24"/>
  <c r="BZ403" i="24"/>
  <c r="CR403" i="24" s="1"/>
  <c r="CR136" i="24"/>
  <c r="V308" i="24"/>
  <c r="V199" i="24"/>
  <c r="BM189" i="61"/>
  <c r="BZ189" i="61" s="1"/>
  <c r="BZ82" i="61"/>
  <c r="BU241" i="61"/>
  <c r="CS146" i="24"/>
  <c r="CB146" i="24"/>
  <c r="CA413" i="24"/>
  <c r="CS413" i="24" s="1"/>
  <c r="BV146" i="61"/>
  <c r="BI55" i="61"/>
  <c r="BJ74" i="61"/>
  <c r="BW74" i="61" s="1"/>
  <c r="BM196" i="24"/>
  <c r="BM293" i="52"/>
  <c r="BJ296" i="24"/>
  <c r="BJ29" i="24"/>
  <c r="BJ46" i="24"/>
  <c r="BJ305" i="24"/>
  <c r="BJ391" i="24"/>
  <c r="BJ318" i="24"/>
  <c r="BK122" i="24"/>
  <c r="BJ389" i="24"/>
  <c r="BM126" i="61"/>
  <c r="BY126" i="61"/>
  <c r="S219" i="61"/>
  <c r="S34" i="64"/>
  <c r="R144" i="61"/>
  <c r="S179" i="24"/>
  <c r="S141" i="61"/>
  <c r="BM77" i="61"/>
  <c r="BY77" i="61"/>
  <c r="BY128" i="61"/>
  <c r="BM128" i="61"/>
  <c r="BL123" i="61"/>
  <c r="BX123" i="61"/>
  <c r="BL121" i="61"/>
  <c r="BX121" i="61"/>
  <c r="BK84" i="61"/>
  <c r="BX84" i="61" s="1"/>
  <c r="BX105" i="61"/>
  <c r="BW106" i="61"/>
  <c r="BJ81" i="61"/>
  <c r="BV81" i="61"/>
  <c r="BI187" i="61"/>
  <c r="BV187" i="61" s="1"/>
  <c r="AA136" i="61"/>
  <c r="AB153" i="61"/>
  <c r="AB154" i="61"/>
  <c r="CE23" i="45" l="1"/>
  <c r="CD193" i="24"/>
  <c r="CE278" i="24"/>
  <c r="CW278" i="24" s="1"/>
  <c r="CW195" i="24"/>
  <c r="BX108" i="61"/>
  <c r="BL108" i="61"/>
  <c r="CU192" i="24"/>
  <c r="CC346" i="24"/>
  <c r="CU346" i="24" s="1"/>
  <c r="CE274" i="24"/>
  <c r="CE24" i="45"/>
  <c r="CD194" i="24"/>
  <c r="BF136" i="61"/>
  <c r="BR136" i="61"/>
  <c r="CG25" i="45"/>
  <c r="CG195" i="24" s="1"/>
  <c r="CF195" i="24"/>
  <c r="CE22" i="45"/>
  <c r="CD192" i="24"/>
  <c r="CC277" i="24"/>
  <c r="CU277" i="24" s="1"/>
  <c r="CU194" i="24"/>
  <c r="CD65" i="45"/>
  <c r="R4" i="55"/>
  <c r="BL127" i="24"/>
  <c r="BL9" i="70"/>
  <c r="BI242" i="24"/>
  <c r="BI20" i="24"/>
  <c r="BB301" i="24"/>
  <c r="BB215" i="24"/>
  <c r="BN159" i="52"/>
  <c r="BM138" i="52"/>
  <c r="BM204" i="24" s="1"/>
  <c r="BM164" i="52"/>
  <c r="BM141" i="52" s="1"/>
  <c r="BM206" i="24" s="1"/>
  <c r="BM150" i="52"/>
  <c r="BM161" i="52"/>
  <c r="BM149" i="52"/>
  <c r="BM59" i="52" s="1"/>
  <c r="BM158" i="52"/>
  <c r="BL202" i="24"/>
  <c r="BL223" i="24" s="1"/>
  <c r="BL215" i="24"/>
  <c r="BL209" i="24"/>
  <c r="BK221" i="24"/>
  <c r="BK226" i="24"/>
  <c r="BK224" i="24"/>
  <c r="BK222" i="24"/>
  <c r="BK378" i="24"/>
  <c r="BC215" i="24"/>
  <c r="BC301" i="24"/>
  <c r="BJ253" i="24"/>
  <c r="BJ301" i="24"/>
  <c r="BJ70" i="24"/>
  <c r="BJ71" i="24" s="1"/>
  <c r="BJ352" i="24"/>
  <c r="BK64" i="24"/>
  <c r="BI303" i="24"/>
  <c r="BI377" i="24"/>
  <c r="BK225" i="24"/>
  <c r="BD381" i="24"/>
  <c r="BC385" i="24"/>
  <c r="BB65" i="24"/>
  <c r="BB216" i="24"/>
  <c r="BB209" i="24"/>
  <c r="BL217" i="24"/>
  <c r="BL66" i="24"/>
  <c r="BL254" i="24" s="1"/>
  <c r="BL225" i="24"/>
  <c r="BL381" i="24"/>
  <c r="BL380" i="24"/>
  <c r="BK385" i="24"/>
  <c r="BD303" i="24"/>
  <c r="BD377" i="24"/>
  <c r="BC206" i="24"/>
  <c r="BC221" i="24"/>
  <c r="BB202" i="24"/>
  <c r="BB224" i="24" s="1"/>
  <c r="BC226" i="24"/>
  <c r="BC222" i="24"/>
  <c r="CD211" i="24"/>
  <c r="CV211" i="24" s="1"/>
  <c r="CE210" i="24"/>
  <c r="CE202" i="24" s="1"/>
  <c r="CV210" i="24"/>
  <c r="BI258" i="24"/>
  <c r="BI255" i="24"/>
  <c r="BI260" i="24" s="1"/>
  <c r="BC224" i="24"/>
  <c r="CU138" i="24"/>
  <c r="CC137" i="24"/>
  <c r="CD138" i="24"/>
  <c r="CC405" i="24"/>
  <c r="CU405" i="24" s="1"/>
  <c r="CB404" i="24"/>
  <c r="CT404" i="24" s="1"/>
  <c r="CT137" i="24"/>
  <c r="CV103" i="24"/>
  <c r="CA207" i="24"/>
  <c r="BZ226" i="24"/>
  <c r="CR226" i="24" s="1"/>
  <c r="BZ218" i="24"/>
  <c r="CR218" i="24" s="1"/>
  <c r="CR207" i="24"/>
  <c r="BW81" i="61"/>
  <c r="BJ187" i="61"/>
  <c r="BW187" i="61" s="1"/>
  <c r="BZ128" i="61"/>
  <c r="BN128" i="61"/>
  <c r="AA154" i="61"/>
  <c r="AA153" i="61"/>
  <c r="Z136" i="61"/>
  <c r="BM121" i="61"/>
  <c r="BY121" i="61"/>
  <c r="BM123" i="61"/>
  <c r="BY123" i="61"/>
  <c r="Q144" i="61"/>
  <c r="R219" i="61"/>
  <c r="R141" i="61"/>
  <c r="R179" i="24"/>
  <c r="R34" i="64"/>
  <c r="BZ126" i="61"/>
  <c r="BN126" i="61"/>
  <c r="BK389" i="24"/>
  <c r="BL122" i="24"/>
  <c r="BJ285" i="24"/>
  <c r="BJ31" i="24"/>
  <c r="BJ287" i="24" s="1"/>
  <c r="BM126" i="24"/>
  <c r="BJ146" i="61"/>
  <c r="CT146" i="24"/>
  <c r="CC146" i="24"/>
  <c r="CB413" i="24"/>
  <c r="CT413" i="24" s="1"/>
  <c r="CC400" i="24"/>
  <c r="CU400" i="24" s="1"/>
  <c r="CU133" i="24"/>
  <c r="CD133" i="24"/>
  <c r="BY119" i="61"/>
  <c r="BM119" i="61"/>
  <c r="CR203" i="24"/>
  <c r="BZ214" i="24"/>
  <c r="CR214" i="24" s="1"/>
  <c r="CA203" i="24"/>
  <c r="BZ222" i="24"/>
  <c r="CR222" i="24" s="1"/>
  <c r="BM127" i="61"/>
  <c r="BY127" i="61"/>
  <c r="CT263" i="24"/>
  <c r="CC263" i="24"/>
  <c r="BZ118" i="61"/>
  <c r="BN118" i="61"/>
  <c r="BN293" i="52"/>
  <c r="BN196" i="24"/>
  <c r="CD410" i="24"/>
  <c r="CV410" i="24" s="1"/>
  <c r="CV143" i="24"/>
  <c r="CD142" i="24"/>
  <c r="CD140" i="24" s="1"/>
  <c r="BO72" i="61"/>
  <c r="CB72" i="61" s="1"/>
  <c r="CA72" i="61"/>
  <c r="AC155" i="61"/>
  <c r="BL84" i="61"/>
  <c r="BY84" i="61" s="1"/>
  <c r="BY105" i="61"/>
  <c r="BJ359" i="24"/>
  <c r="BM113" i="61"/>
  <c r="BY113" i="61"/>
  <c r="BK296" i="24"/>
  <c r="BK46" i="24"/>
  <c r="BK39" i="24"/>
  <c r="BK396" i="24"/>
  <c r="BK140" i="24"/>
  <c r="BK407" i="24" s="1"/>
  <c r="BK408" i="24"/>
  <c r="BK13" i="24"/>
  <c r="BK137" i="24"/>
  <c r="BK405" i="24"/>
  <c r="BK322" i="24"/>
  <c r="BK402" i="24"/>
  <c r="BK144" i="24"/>
  <c r="BK411" i="24" s="1"/>
  <c r="BK409" i="24"/>
  <c r="BY115" i="61"/>
  <c r="BM115" i="61"/>
  <c r="BV241" i="61"/>
  <c r="CA407" i="24"/>
  <c r="CS407" i="24" s="1"/>
  <c r="CS140" i="24"/>
  <c r="CA136" i="24"/>
  <c r="BO82" i="61"/>
  <c r="BO71" i="61"/>
  <c r="CB71" i="61" s="1"/>
  <c r="CB99" i="61"/>
  <c r="BO215" i="61"/>
  <c r="CB215" i="61" s="1"/>
  <c r="BO244" i="61"/>
  <c r="CB244" i="61" s="1"/>
  <c r="BO242" i="61"/>
  <c r="CB242" i="61" s="1"/>
  <c r="T140" i="61"/>
  <c r="T218" i="61"/>
  <c r="T194" i="61"/>
  <c r="S143" i="61"/>
  <c r="T170" i="61" s="1"/>
  <c r="T164" i="24"/>
  <c r="U170" i="61"/>
  <c r="CU143" i="24"/>
  <c r="CC410" i="24"/>
  <c r="CU410" i="24" s="1"/>
  <c r="CC142" i="24"/>
  <c r="BW11" i="24"/>
  <c r="CN11" i="24"/>
  <c r="BO186" i="52"/>
  <c r="BN120" i="61"/>
  <c r="BZ120" i="61"/>
  <c r="CD14" i="24"/>
  <c r="CV14" i="24" s="1"/>
  <c r="CV97" i="24"/>
  <c r="CE406" i="24"/>
  <c r="CW406" i="24" s="1"/>
  <c r="CE160" i="24"/>
  <c r="CW160" i="24" s="1"/>
  <c r="CE279" i="24"/>
  <c r="CW279" i="24" s="1"/>
  <c r="CE7" i="70"/>
  <c r="CE6" i="70" s="1"/>
  <c r="CW196" i="24"/>
  <c r="AL3" i="55" s="1"/>
  <c r="S3" i="55"/>
  <c r="CF196" i="24"/>
  <c r="CF141" i="24" s="1"/>
  <c r="CE144" i="24"/>
  <c r="CE129" i="24"/>
  <c r="CE97" i="24"/>
  <c r="CE43" i="24"/>
  <c r="CE42" i="24"/>
  <c r="BZ137" i="61"/>
  <c r="BN137" i="61"/>
  <c r="BO103" i="61"/>
  <c r="CB103" i="61" s="1"/>
  <c r="CA103" i="61"/>
  <c r="BO98" i="61"/>
  <c r="BL144" i="24"/>
  <c r="BL411" i="24" s="1"/>
  <c r="BL409" i="24"/>
  <c r="BL320" i="24"/>
  <c r="BL398" i="24"/>
  <c r="BL402" i="24"/>
  <c r="BL322" i="24"/>
  <c r="BL413" i="24"/>
  <c r="BL39" i="24"/>
  <c r="BL396" i="24"/>
  <c r="CA73" i="61"/>
  <c r="BO73" i="61"/>
  <c r="CB73" i="61" s="1"/>
  <c r="CV188" i="24"/>
  <c r="CE188" i="24"/>
  <c r="CD187" i="24"/>
  <c r="CD431" i="24"/>
  <c r="CV431" i="24" s="1"/>
  <c r="BI150" i="24"/>
  <c r="BI415" i="24"/>
  <c r="BI324" i="24"/>
  <c r="BN369" i="24"/>
  <c r="CD166" i="24"/>
  <c r="CC184" i="24"/>
  <c r="CU166" i="24"/>
  <c r="CE103" i="24"/>
  <c r="S297" i="24"/>
  <c r="S30" i="24"/>
  <c r="S286" i="24" s="1"/>
  <c r="S316" i="24"/>
  <c r="S317" i="24" s="1"/>
  <c r="S44" i="24"/>
  <c r="CF243" i="24"/>
  <c r="CX243" i="24" s="1"/>
  <c r="CG21" i="45"/>
  <c r="CG243" i="24" s="1"/>
  <c r="CY243" i="24" s="1"/>
  <c r="BZ55" i="24"/>
  <c r="CR55" i="24" s="1"/>
  <c r="BZ399" i="24"/>
  <c r="CR399" i="24" s="1"/>
  <c r="CR132" i="24"/>
  <c r="BJ323" i="24"/>
  <c r="BJ403" i="24"/>
  <c r="BJ148" i="24"/>
  <c r="CC116" i="24"/>
  <c r="CU116" i="24" s="1"/>
  <c r="CU117" i="24"/>
  <c r="CD117" i="24"/>
  <c r="U368" i="24"/>
  <c r="V45" i="52"/>
  <c r="U45" i="24"/>
  <c r="U48" i="52"/>
  <c r="AB152" i="61"/>
  <c r="BZ77" i="61"/>
  <c r="BN77" i="61"/>
  <c r="S434" i="24"/>
  <c r="T5" i="70" s="1"/>
  <c r="S180" i="24"/>
  <c r="BM7" i="70"/>
  <c r="BM6" i="70" s="1"/>
  <c r="BM110" i="24"/>
  <c r="BM441" i="24" s="1"/>
  <c r="BM125" i="24"/>
  <c r="BM142" i="24"/>
  <c r="BM131" i="24"/>
  <c r="BM135" i="24"/>
  <c r="BM146" i="24"/>
  <c r="BM43" i="24"/>
  <c r="BM246" i="24"/>
  <c r="BM356" i="24" s="1"/>
  <c r="BM134" i="24"/>
  <c r="BM401" i="24" s="1"/>
  <c r="BM129" i="24"/>
  <c r="BM139" i="24"/>
  <c r="BM406" i="24" s="1"/>
  <c r="BM279" i="24"/>
  <c r="BM138" i="24"/>
  <c r="BM133" i="24"/>
  <c r="BM141" i="24"/>
  <c r="BM410" i="24"/>
  <c r="BV55" i="61"/>
  <c r="CA93" i="61"/>
  <c r="BO93" i="61"/>
  <c r="CB93" i="61" s="1"/>
  <c r="BN185" i="52"/>
  <c r="CV141" i="24"/>
  <c r="CD408" i="24"/>
  <c r="CV408" i="24" s="1"/>
  <c r="BH324" i="24"/>
  <c r="BH415" i="24"/>
  <c r="BH150" i="24"/>
  <c r="AC152" i="61"/>
  <c r="BY125" i="61"/>
  <c r="BM125" i="61"/>
  <c r="BZ116" i="61"/>
  <c r="BN116" i="61"/>
  <c r="BX106" i="61"/>
  <c r="BK81" i="61"/>
  <c r="BY109" i="61"/>
  <c r="BM105" i="61"/>
  <c r="BM109" i="61"/>
  <c r="BL106" i="61"/>
  <c r="CA89" i="61"/>
  <c r="BO89" i="61"/>
  <c r="BN222" i="61"/>
  <c r="CA222" i="61" s="1"/>
  <c r="BN208" i="61"/>
  <c r="CA208" i="61" s="1"/>
  <c r="BK132" i="24"/>
  <c r="BK124" i="24" s="1"/>
  <c r="BK400" i="24"/>
  <c r="BK392" i="24"/>
  <c r="BK319" i="24"/>
  <c r="BK130" i="24"/>
  <c r="BK397" i="24" s="1"/>
  <c r="BK15" i="24"/>
  <c r="BL41" i="24" s="1"/>
  <c r="BL296" i="24" s="1"/>
  <c r="BK413" i="24"/>
  <c r="BK320" i="24"/>
  <c r="BK16" i="24"/>
  <c r="BK398" i="24"/>
  <c r="BK127" i="24"/>
  <c r="BK393" i="24"/>
  <c r="BK19" i="61"/>
  <c r="BJ201" i="61"/>
  <c r="BW201" i="61" s="1"/>
  <c r="BJ241" i="61"/>
  <c r="BW19" i="61"/>
  <c r="CA82" i="61"/>
  <c r="BN189" i="61"/>
  <c r="CA189" i="61" s="1"/>
  <c r="U308" i="24"/>
  <c r="U199" i="24"/>
  <c r="BO210" i="61"/>
  <c r="CB210" i="61" s="1"/>
  <c r="CB92" i="61"/>
  <c r="CD169" i="24"/>
  <c r="BM187" i="52"/>
  <c r="BL189" i="52"/>
  <c r="CD297" i="24"/>
  <c r="CV297" i="24" s="1"/>
  <c r="CD316" i="24"/>
  <c r="CV42" i="24"/>
  <c r="CD39" i="24"/>
  <c r="CV39" i="24" s="1"/>
  <c r="CV129" i="24"/>
  <c r="CD396" i="24"/>
  <c r="CV396" i="24" s="1"/>
  <c r="CD411" i="24"/>
  <c r="CV411" i="24" s="1"/>
  <c r="CV144" i="24"/>
  <c r="CU316" i="24"/>
  <c r="CB407" i="24"/>
  <c r="CT407" i="24" s="1"/>
  <c r="CT140" i="24"/>
  <c r="CB136" i="24"/>
  <c r="S46" i="52"/>
  <c r="S44" i="52"/>
  <c r="T43" i="52"/>
  <c r="BL123" i="24"/>
  <c r="BL16" i="24" s="1"/>
  <c r="BK390" i="24"/>
  <c r="CT110" i="24"/>
  <c r="CB441" i="24"/>
  <c r="CC110" i="24"/>
  <c r="CD221" i="24"/>
  <c r="CV221" i="24" s="1"/>
  <c r="CV202" i="24"/>
  <c r="BO97" i="61"/>
  <c r="BL15" i="24"/>
  <c r="BL130" i="24"/>
  <c r="BL397" i="24" s="1"/>
  <c r="BL319" i="24"/>
  <c r="BL392" i="24"/>
  <c r="BL137" i="24"/>
  <c r="BL405" i="24"/>
  <c r="BL140" i="24"/>
  <c r="BL407" i="24" s="1"/>
  <c r="BL408" i="24"/>
  <c r="BL132" i="24"/>
  <c r="BL400" i="24"/>
  <c r="BL6" i="70"/>
  <c r="CB186" i="24"/>
  <c r="CT184" i="24"/>
  <c r="CB183" i="24"/>
  <c r="CG474" i="52"/>
  <c r="BZ110" i="61"/>
  <c r="BN110" i="61"/>
  <c r="BY117" i="61"/>
  <c r="BM117" i="61"/>
  <c r="CU135" i="24"/>
  <c r="CC402" i="24"/>
  <c r="CU402" i="24" s="1"/>
  <c r="CD135" i="24"/>
  <c r="CB134" i="24"/>
  <c r="CA401" i="24"/>
  <c r="CS401" i="24" s="1"/>
  <c r="CS134" i="24"/>
  <c r="CA132" i="24"/>
  <c r="BN124" i="61"/>
  <c r="BZ124" i="61"/>
  <c r="BZ122" i="61"/>
  <c r="BN122" i="61"/>
  <c r="BZ114" i="61"/>
  <c r="BN114" i="61"/>
  <c r="BZ67" i="61"/>
  <c r="BM255" i="61"/>
  <c r="BZ255" i="61" s="1"/>
  <c r="BO47" i="61"/>
  <c r="CA47" i="61"/>
  <c r="BN67" i="61"/>
  <c r="T299" i="24"/>
  <c r="T367" i="24" s="1"/>
  <c r="T32" i="24"/>
  <c r="T288" i="24" s="1"/>
  <c r="T365" i="24" s="1"/>
  <c r="T42" i="24"/>
  <c r="S33" i="24"/>
  <c r="T35" i="52"/>
  <c r="S366" i="24"/>
  <c r="CV192" i="24" l="1"/>
  <c r="CD346" i="24"/>
  <c r="CV346" i="24" s="1"/>
  <c r="CF278" i="24"/>
  <c r="CX278" i="24" s="1"/>
  <c r="CX195" i="24"/>
  <c r="CE194" i="24"/>
  <c r="CF24" i="45"/>
  <c r="BY108" i="61"/>
  <c r="BM108" i="61"/>
  <c r="CF22" i="45"/>
  <c r="CE192" i="24"/>
  <c r="CG278" i="24"/>
  <c r="CY278" i="24" s="1"/>
  <c r="CY195" i="24"/>
  <c r="BS136" i="61"/>
  <c r="BG136" i="61"/>
  <c r="CV194" i="24"/>
  <c r="CD277" i="24"/>
  <c r="CV277" i="24" s="1"/>
  <c r="CF274" i="24"/>
  <c r="CG274" i="24" s="1"/>
  <c r="CE193" i="24"/>
  <c r="CF23" i="45"/>
  <c r="CE65" i="45"/>
  <c r="S4" i="55"/>
  <c r="BJ242" i="24"/>
  <c r="BJ20" i="24"/>
  <c r="BC381" i="24"/>
  <c r="BC380" i="24"/>
  <c r="BC378" i="24" s="1"/>
  <c r="BB385" i="24"/>
  <c r="BD380" i="24"/>
  <c r="BD378" i="24" s="1"/>
  <c r="BK352" i="24"/>
  <c r="BL64" i="24"/>
  <c r="BK253" i="24"/>
  <c r="BK70" i="24"/>
  <c r="BK301" i="24"/>
  <c r="BJ255" i="24"/>
  <c r="BJ260" i="24" s="1"/>
  <c r="BJ258" i="24"/>
  <c r="BM217" i="24"/>
  <c r="BM66" i="24"/>
  <c r="BM254" i="24" s="1"/>
  <c r="BN150" i="52"/>
  <c r="BN158" i="52"/>
  <c r="BN161" i="52"/>
  <c r="BN149" i="52"/>
  <c r="BN59" i="52" s="1"/>
  <c r="BN138" i="52"/>
  <c r="BN204" i="24" s="1"/>
  <c r="BN164" i="52"/>
  <c r="BN141" i="52" s="1"/>
  <c r="BN206" i="24" s="1"/>
  <c r="BO159" i="52"/>
  <c r="BB377" i="24"/>
  <c r="BB303" i="24"/>
  <c r="CW210" i="24"/>
  <c r="CF210" i="24"/>
  <c r="CE211" i="24"/>
  <c r="CW211" i="24" s="1"/>
  <c r="BB223" i="24"/>
  <c r="BB206" i="24"/>
  <c r="BB226" i="24"/>
  <c r="BB222" i="24"/>
  <c r="BB221" i="24"/>
  <c r="BA202" i="24"/>
  <c r="BC225" i="24"/>
  <c r="BC66" i="24"/>
  <c r="BL378" i="24"/>
  <c r="BJ303" i="24"/>
  <c r="BJ377" i="24"/>
  <c r="BC303" i="24"/>
  <c r="BC377" i="24"/>
  <c r="BM381" i="24"/>
  <c r="BM380" i="24"/>
  <c r="BM378" i="24" s="1"/>
  <c r="BL385" i="24"/>
  <c r="BL221" i="24"/>
  <c r="BL224" i="24"/>
  <c r="BL226" i="24"/>
  <c r="BL222" i="24"/>
  <c r="BM202" i="24"/>
  <c r="BM215" i="24"/>
  <c r="BM209" i="24"/>
  <c r="CC404" i="24"/>
  <c r="CU404" i="24" s="1"/>
  <c r="CU137" i="24"/>
  <c r="CE138" i="24"/>
  <c r="CD137" i="24"/>
  <c r="CD136" i="24" s="1"/>
  <c r="CV138" i="24"/>
  <c r="CD405" i="24"/>
  <c r="CV405" i="24" s="1"/>
  <c r="CF103" i="24"/>
  <c r="CF143" i="24" s="1"/>
  <c r="CB207" i="24"/>
  <c r="CS207" i="24"/>
  <c r="CA218" i="24"/>
  <c r="CS218" i="24" s="1"/>
  <c r="CA226" i="24"/>
  <c r="CS226" i="24" s="1"/>
  <c r="BN126" i="24"/>
  <c r="BL252" i="24"/>
  <c r="BL307" i="24"/>
  <c r="BL67" i="45" s="1"/>
  <c r="BL21" i="24"/>
  <c r="BL308" i="24"/>
  <c r="BL250" i="24"/>
  <c r="BK305" i="24"/>
  <c r="BK391" i="24"/>
  <c r="BK318" i="24"/>
  <c r="T366" i="24"/>
  <c r="T33" i="24"/>
  <c r="U35" i="52"/>
  <c r="CA114" i="61"/>
  <c r="BO114" i="61"/>
  <c r="CB114" i="61" s="1"/>
  <c r="CA55" i="24"/>
  <c r="CS55" i="24" s="1"/>
  <c r="CA399" i="24"/>
  <c r="CS399" i="24" s="1"/>
  <c r="CS132" i="24"/>
  <c r="BN117" i="61"/>
  <c r="BZ117" i="61"/>
  <c r="CA67" i="61"/>
  <c r="BN255" i="61"/>
  <c r="CA255" i="61" s="1"/>
  <c r="CB47" i="61"/>
  <c r="BO67" i="61"/>
  <c r="BO124" i="61"/>
  <c r="CB124" i="61" s="1"/>
  <c r="CA124" i="61"/>
  <c r="CB401" i="24"/>
  <c r="CT401" i="24" s="1"/>
  <c r="CT134" i="24"/>
  <c r="CC134" i="24"/>
  <c r="CB132" i="24"/>
  <c r="CD402" i="24"/>
  <c r="CV402" i="24" s="1"/>
  <c r="CV135" i="24"/>
  <c r="CE135" i="24"/>
  <c r="BL358" i="24"/>
  <c r="BL29" i="24"/>
  <c r="BL285" i="24" s="1"/>
  <c r="T44" i="52"/>
  <c r="T46" i="52"/>
  <c r="U43" i="52"/>
  <c r="BN187" i="52"/>
  <c r="BN188" i="52" s="1"/>
  <c r="BM189" i="52"/>
  <c r="CE169" i="24"/>
  <c r="BW241" i="61"/>
  <c r="BX19" i="61"/>
  <c r="BK201" i="61"/>
  <c r="BX201" i="61" s="1"/>
  <c r="BK241" i="61"/>
  <c r="BL19" i="61"/>
  <c r="CB89" i="61"/>
  <c r="BO208" i="61"/>
  <c r="CB208" i="61" s="1"/>
  <c r="BO222" i="61"/>
  <c r="CB222" i="61" s="1"/>
  <c r="U5" i="70"/>
  <c r="BZ109" i="61"/>
  <c r="BM106" i="61"/>
  <c r="BN105" i="61"/>
  <c r="BN109" i="61"/>
  <c r="BH417" i="24"/>
  <c r="BH154" i="24"/>
  <c r="CD407" i="24"/>
  <c r="CV407" i="24" s="1"/>
  <c r="CV140" i="24"/>
  <c r="BO185" i="52"/>
  <c r="BM408" i="24"/>
  <c r="BM140" i="24"/>
  <c r="BM407" i="24" s="1"/>
  <c r="BM137" i="24"/>
  <c r="BM405" i="24"/>
  <c r="BM322" i="24"/>
  <c r="BM402" i="24"/>
  <c r="BM144" i="24"/>
  <c r="BM411" i="24" s="1"/>
  <c r="BM409" i="24"/>
  <c r="V368" i="24"/>
  <c r="V48" i="52"/>
  <c r="V45" i="24"/>
  <c r="W45" i="52"/>
  <c r="BJ150" i="24"/>
  <c r="BJ415" i="24"/>
  <c r="BJ324" i="24"/>
  <c r="CE143" i="24"/>
  <c r="CW103" i="24"/>
  <c r="CD184" i="24"/>
  <c r="CV166" i="24"/>
  <c r="CE166" i="24"/>
  <c r="BI154" i="24"/>
  <c r="BI417" i="24"/>
  <c r="CF188" i="24"/>
  <c r="CE187" i="24"/>
  <c r="CE431" i="24"/>
  <c r="CW431" i="24" s="1"/>
  <c r="CW188" i="24"/>
  <c r="CB98" i="61"/>
  <c r="BO464" i="52"/>
  <c r="CE396" i="24"/>
  <c r="CW396" i="24" s="1"/>
  <c r="CE39" i="24"/>
  <c r="CW39" i="24" s="1"/>
  <c r="CW129" i="24"/>
  <c r="CF279" i="24"/>
  <c r="CX279" i="24" s="1"/>
  <c r="CG196" i="24"/>
  <c r="CF406" i="24"/>
  <c r="CX406" i="24" s="1"/>
  <c r="CF144" i="24"/>
  <c r="T3" i="55"/>
  <c r="CF7" i="70"/>
  <c r="CF6" i="70" s="1"/>
  <c r="CF160" i="24"/>
  <c r="CX160" i="24" s="1"/>
  <c r="CX196" i="24"/>
  <c r="AM3" i="55" s="1"/>
  <c r="CF129" i="24"/>
  <c r="CF97" i="24"/>
  <c r="CF42" i="24"/>
  <c r="CF43" i="24"/>
  <c r="BP186" i="52"/>
  <c r="CC409" i="24"/>
  <c r="CU409" i="24" s="1"/>
  <c r="CU142" i="24"/>
  <c r="CC140" i="24"/>
  <c r="T199" i="24"/>
  <c r="T308" i="24"/>
  <c r="CA403" i="24"/>
  <c r="CS403" i="24" s="1"/>
  <c r="CS136" i="24"/>
  <c r="BK136" i="24"/>
  <c r="BK404" i="24"/>
  <c r="BN7" i="70"/>
  <c r="BN6" i="70" s="1"/>
  <c r="BN129" i="24"/>
  <c r="BN133" i="24"/>
  <c r="BN139" i="24"/>
  <c r="BN406" i="24" s="1"/>
  <c r="BN141" i="24"/>
  <c r="BN134" i="24"/>
  <c r="BN401" i="24" s="1"/>
  <c r="BN138" i="24"/>
  <c r="BN146" i="24"/>
  <c r="BN43" i="24"/>
  <c r="BN131" i="24"/>
  <c r="BN125" i="24"/>
  <c r="BN142" i="24"/>
  <c r="BN410" i="24"/>
  <c r="BN135" i="24"/>
  <c r="BN110" i="24"/>
  <c r="BN441" i="24" s="1"/>
  <c r="BN279" i="24"/>
  <c r="BN246" i="24"/>
  <c r="BN356" i="24" s="1"/>
  <c r="BZ127" i="61"/>
  <c r="BN127" i="61"/>
  <c r="CS203" i="24"/>
  <c r="CB203" i="24"/>
  <c r="CA214" i="24"/>
  <c r="CS214" i="24" s="1"/>
  <c r="CA222" i="24"/>
  <c r="CS222" i="24" s="1"/>
  <c r="BM127" i="24"/>
  <c r="BM393" i="24"/>
  <c r="R434" i="24"/>
  <c r="R180" i="24"/>
  <c r="Z153" i="61"/>
  <c r="Z154" i="61"/>
  <c r="Y136" i="61"/>
  <c r="AA155" i="61"/>
  <c r="BO128" i="61"/>
  <c r="CB128" i="61" s="1"/>
  <c r="CA128" i="61"/>
  <c r="T30" i="24"/>
  <c r="T286" i="24" s="1"/>
  <c r="T44" i="24"/>
  <c r="T316" i="24"/>
  <c r="T317" i="24" s="1"/>
  <c r="T297" i="24"/>
  <c r="BO122" i="61"/>
  <c r="CB122" i="61" s="1"/>
  <c r="CA122" i="61"/>
  <c r="CA110" i="61"/>
  <c r="BO110" i="61"/>
  <c r="CB110" i="61" s="1"/>
  <c r="BL399" i="24"/>
  <c r="BL321" i="24"/>
  <c r="BL55" i="24"/>
  <c r="BL61" i="24" s="1"/>
  <c r="BL404" i="24"/>
  <c r="BL136" i="24"/>
  <c r="BL124" i="24"/>
  <c r="CW202" i="24"/>
  <c r="CF202" i="24"/>
  <c r="CE221" i="24"/>
  <c r="CW221" i="24" s="1"/>
  <c r="CU110" i="24"/>
  <c r="CD110" i="24"/>
  <c r="CC441" i="24"/>
  <c r="BL390" i="24"/>
  <c r="BM123" i="24"/>
  <c r="BM16" i="24" s="1"/>
  <c r="CB403" i="24"/>
  <c r="CT403" i="24" s="1"/>
  <c r="CT136" i="24"/>
  <c r="CV316" i="24"/>
  <c r="BK252" i="24"/>
  <c r="BK307" i="24"/>
  <c r="BK67" i="45" s="1"/>
  <c r="BK21" i="24"/>
  <c r="BK308" i="24"/>
  <c r="BK250" i="24"/>
  <c r="BK29" i="24"/>
  <c r="BK285" i="24" s="1"/>
  <c r="BK358" i="24"/>
  <c r="BK55" i="24"/>
  <c r="BK61" i="24" s="1"/>
  <c r="BK71" i="24" s="1"/>
  <c r="BK321" i="24"/>
  <c r="BK399" i="24"/>
  <c r="BL81" i="61"/>
  <c r="BY106" i="61"/>
  <c r="BM84" i="61"/>
  <c r="BZ84" i="61" s="1"/>
  <c r="BZ105" i="61"/>
  <c r="BK187" i="61"/>
  <c r="BX187" i="61" s="1"/>
  <c r="BX81" i="61"/>
  <c r="CA116" i="61"/>
  <c r="BO116" i="61"/>
  <c r="CB116" i="61" s="1"/>
  <c r="BZ125" i="61"/>
  <c r="BN125" i="61"/>
  <c r="CE408" i="24"/>
  <c r="CW408" i="24" s="1"/>
  <c r="CW141" i="24"/>
  <c r="BM188" i="52"/>
  <c r="BM132" i="24"/>
  <c r="BM124" i="24" s="1"/>
  <c r="BM400" i="24"/>
  <c r="BM39" i="24"/>
  <c r="BM41" i="24" s="1"/>
  <c r="BM296" i="24" s="1"/>
  <c r="BM396" i="24"/>
  <c r="BM413" i="24"/>
  <c r="BM320" i="24"/>
  <c r="BM398" i="24"/>
  <c r="BM130" i="24"/>
  <c r="BM397" i="24" s="1"/>
  <c r="BM392" i="24"/>
  <c r="BM319" i="24"/>
  <c r="BO77" i="61"/>
  <c r="CA77" i="61"/>
  <c r="U299" i="24"/>
  <c r="U367" i="24" s="1"/>
  <c r="U32" i="24"/>
  <c r="U42" i="24"/>
  <c r="CE117" i="24"/>
  <c r="CD116" i="24"/>
  <c r="CV116" i="24" s="1"/>
  <c r="CV117" i="24"/>
  <c r="CC186" i="24"/>
  <c r="CU184" i="24"/>
  <c r="CC183" i="24"/>
  <c r="BO369" i="24"/>
  <c r="BO137" i="61"/>
  <c r="CB137" i="61" s="1"/>
  <c r="CA137" i="61"/>
  <c r="CE316" i="24"/>
  <c r="CE297" i="24"/>
  <c r="CW297" i="24" s="1"/>
  <c r="CW42" i="24"/>
  <c r="CW97" i="24"/>
  <c r="CE14" i="24"/>
  <c r="CW14" i="24" s="1"/>
  <c r="CE411" i="24"/>
  <c r="CW411" i="24" s="1"/>
  <c r="CW144" i="24"/>
  <c r="BO120" i="61"/>
  <c r="CB120" i="61" s="1"/>
  <c r="CA120" i="61"/>
  <c r="BX11" i="24"/>
  <c r="CO11" i="24"/>
  <c r="R143" i="61"/>
  <c r="S218" i="61"/>
  <c r="S164" i="24"/>
  <c r="S170" i="61"/>
  <c r="S140" i="61"/>
  <c r="S194" i="61"/>
  <c r="CB82" i="61"/>
  <c r="BO189" i="61"/>
  <c r="CB189" i="61" s="1"/>
  <c r="BZ115" i="61"/>
  <c r="BN115" i="61"/>
  <c r="BK12" i="24"/>
  <c r="BK28" i="24" s="1"/>
  <c r="BK284" i="24" s="1"/>
  <c r="BK73" i="24"/>
  <c r="BK8" i="24"/>
  <c r="BK23" i="24"/>
  <c r="BL13" i="24"/>
  <c r="BM9" i="70"/>
  <c r="BN113" i="61"/>
  <c r="BZ113" i="61"/>
  <c r="CD409" i="24"/>
  <c r="CV409" i="24" s="1"/>
  <c r="CV142" i="24"/>
  <c r="BN127" i="24"/>
  <c r="BN393" i="24"/>
  <c r="CA118" i="61"/>
  <c r="BO118" i="61"/>
  <c r="CB118" i="61" s="1"/>
  <c r="CU263" i="24"/>
  <c r="CD263" i="24"/>
  <c r="BN119" i="61"/>
  <c r="BZ119" i="61"/>
  <c r="CE133" i="24"/>
  <c r="CD400" i="24"/>
  <c r="CV400" i="24" s="1"/>
  <c r="CV133" i="24"/>
  <c r="CU146" i="24"/>
  <c r="CD146" i="24"/>
  <c r="CC413" i="24"/>
  <c r="CU413" i="24" s="1"/>
  <c r="BK74" i="61"/>
  <c r="BX74" i="61" s="1"/>
  <c r="BW146" i="61"/>
  <c r="BJ55" i="61"/>
  <c r="BL389" i="24"/>
  <c r="BM122" i="24"/>
  <c r="BO126" i="61"/>
  <c r="CB126" i="61" s="1"/>
  <c r="CA126" i="61"/>
  <c r="Q219" i="61"/>
  <c r="Q34" i="64"/>
  <c r="P144" i="61"/>
  <c r="Q141" i="61"/>
  <c r="Q179" i="24"/>
  <c r="BZ123" i="61"/>
  <c r="BN123" i="61"/>
  <c r="BZ121" i="61"/>
  <c r="BN121" i="61"/>
  <c r="AA152" i="61"/>
  <c r="AB155" i="61"/>
  <c r="CG23" i="45" l="1"/>
  <c r="CG193" i="24" s="1"/>
  <c r="CF193" i="24"/>
  <c r="BT136" i="61"/>
  <c r="BH136" i="61"/>
  <c r="CE346" i="24"/>
  <c r="CW346" i="24" s="1"/>
  <c r="CW192" i="24"/>
  <c r="BN108" i="61"/>
  <c r="BZ108" i="61"/>
  <c r="CG24" i="45"/>
  <c r="CG194" i="24" s="1"/>
  <c r="CF194" i="24"/>
  <c r="CF192" i="24"/>
  <c r="CG22" i="45"/>
  <c r="CG192" i="24" s="1"/>
  <c r="CW194" i="24"/>
  <c r="CE277" i="24"/>
  <c r="CW277" i="24" s="1"/>
  <c r="CF65" i="45"/>
  <c r="T4" i="55"/>
  <c r="CG103" i="24"/>
  <c r="CY103" i="24" s="1"/>
  <c r="CG141" i="24"/>
  <c r="BN9" i="70"/>
  <c r="BM224" i="24"/>
  <c r="BM222" i="24"/>
  <c r="BM221" i="24"/>
  <c r="BM226" i="24"/>
  <c r="BC254" i="24"/>
  <c r="BC352" i="24"/>
  <c r="BC70" i="24"/>
  <c r="BC71" i="24" s="1"/>
  <c r="BA226" i="24"/>
  <c r="BA206" i="24"/>
  <c r="BB217" i="24" s="1"/>
  <c r="BA223" i="24"/>
  <c r="AZ202" i="24"/>
  <c r="BA222" i="24"/>
  <c r="BA221" i="24"/>
  <c r="BA224" i="24"/>
  <c r="BB66" i="24"/>
  <c r="BB225" i="24"/>
  <c r="BN217" i="24"/>
  <c r="BN66" i="24"/>
  <c r="BN254" i="24" s="1"/>
  <c r="BM225" i="24"/>
  <c r="BM64" i="24"/>
  <c r="BL301" i="24"/>
  <c r="BL355" i="24"/>
  <c r="BL352" i="24"/>
  <c r="BL253" i="24"/>
  <c r="BL70" i="24"/>
  <c r="BL71" i="24"/>
  <c r="BL20" i="24" s="1"/>
  <c r="BN380" i="24"/>
  <c r="BM385" i="24"/>
  <c r="BN381" i="24"/>
  <c r="BM223" i="24"/>
  <c r="BC217" i="24"/>
  <c r="CF211" i="24"/>
  <c r="CX211" i="24" s="1"/>
  <c r="CG210" i="24"/>
  <c r="CX210" i="24"/>
  <c r="BP159" i="52"/>
  <c r="BO164" i="52"/>
  <c r="BO141" i="52" s="1"/>
  <c r="BO206" i="24" s="1"/>
  <c r="BO138" i="52"/>
  <c r="BN202" i="24"/>
  <c r="BN215" i="24"/>
  <c r="BN209" i="24"/>
  <c r="BK303" i="24"/>
  <c r="BK377" i="24"/>
  <c r="CD404" i="24"/>
  <c r="CV404" i="24" s="1"/>
  <c r="CV137" i="24"/>
  <c r="CW138" i="24"/>
  <c r="CE405" i="24"/>
  <c r="CW405" i="24" s="1"/>
  <c r="CE137" i="24"/>
  <c r="CF138" i="24"/>
  <c r="CX103" i="24"/>
  <c r="CC207" i="24"/>
  <c r="CB226" i="24"/>
  <c r="CT226" i="24" s="1"/>
  <c r="CB218" i="24"/>
  <c r="CT218" i="24" s="1"/>
  <c r="CT207" i="24"/>
  <c r="BO123" i="61"/>
  <c r="CB123" i="61" s="1"/>
  <c r="CA123" i="61"/>
  <c r="Q434" i="24"/>
  <c r="Q180" i="24"/>
  <c r="BM389" i="24"/>
  <c r="BN122" i="24"/>
  <c r="BN15" i="24" s="1"/>
  <c r="BK146" i="61"/>
  <c r="CE146" i="24"/>
  <c r="CV146" i="24"/>
  <c r="CD413" i="24"/>
  <c r="CV413" i="24" s="1"/>
  <c r="CE400" i="24"/>
  <c r="CW400" i="24" s="1"/>
  <c r="CF133" i="24"/>
  <c r="CW133" i="24"/>
  <c r="BO119" i="61"/>
  <c r="CB119" i="61" s="1"/>
  <c r="CA119" i="61"/>
  <c r="CA113" i="61"/>
  <c r="BO113" i="61"/>
  <c r="CB113" i="61" s="1"/>
  <c r="BL12" i="24"/>
  <c r="BL28" i="24" s="1"/>
  <c r="BL284" i="24" s="1"/>
  <c r="BL23" i="24"/>
  <c r="BM13" i="24"/>
  <c r="BL73" i="24"/>
  <c r="BL8" i="24"/>
  <c r="BK7" i="24"/>
  <c r="BK26" i="24"/>
  <c r="BK313" i="24"/>
  <c r="BK384" i="24"/>
  <c r="BK22" i="24"/>
  <c r="BK262" i="24"/>
  <c r="BL46" i="24"/>
  <c r="S199" i="24"/>
  <c r="S308" i="24"/>
  <c r="R140" i="61"/>
  <c r="R194" i="61"/>
  <c r="R164" i="24"/>
  <c r="R218" i="61"/>
  <c r="Q143" i="61"/>
  <c r="R170" i="61" s="1"/>
  <c r="CP11" i="24"/>
  <c r="BY11" i="24"/>
  <c r="BP369" i="24"/>
  <c r="U30" i="24"/>
  <c r="U286" i="24" s="1"/>
  <c r="U44" i="24"/>
  <c r="U316" i="24"/>
  <c r="U317" i="24" s="1"/>
  <c r="U297" i="24"/>
  <c r="BM252" i="24"/>
  <c r="BM250" i="24"/>
  <c r="BM307" i="24"/>
  <c r="BM67" i="45" s="1"/>
  <c r="BM21" i="24"/>
  <c r="BM308" i="24"/>
  <c r="BL187" i="61"/>
  <c r="BY187" i="61" s="1"/>
  <c r="BY81" i="61"/>
  <c r="BK257" i="24"/>
  <c r="BN123" i="24"/>
  <c r="BN16" i="24" s="1"/>
  <c r="BM390" i="24"/>
  <c r="CV110" i="24"/>
  <c r="CE110" i="24"/>
  <c r="CD441" i="24"/>
  <c r="CX202" i="24"/>
  <c r="CF221" i="24"/>
  <c r="CX221" i="24" s="1"/>
  <c r="CG202" i="24"/>
  <c r="BL305" i="24"/>
  <c r="BL318" i="24"/>
  <c r="BL391" i="24"/>
  <c r="BN130" i="24"/>
  <c r="BN397" i="24" s="1"/>
  <c r="BN319" i="24"/>
  <c r="BN392" i="24"/>
  <c r="BN405" i="24"/>
  <c r="BN137" i="24"/>
  <c r="BN140" i="24"/>
  <c r="BN407" i="24" s="1"/>
  <c r="BN408" i="24"/>
  <c r="BN132" i="24"/>
  <c r="BN400" i="24"/>
  <c r="CU140" i="24"/>
  <c r="CC407" i="24"/>
  <c r="CU407" i="24" s="1"/>
  <c r="CC136" i="24"/>
  <c r="CX42" i="24"/>
  <c r="CF297" i="24"/>
  <c r="CX297" i="24" s="1"/>
  <c r="CF316" i="24"/>
  <c r="CF396" i="24"/>
  <c r="CX396" i="24" s="1"/>
  <c r="CF39" i="24"/>
  <c r="CX39" i="24" s="1"/>
  <c r="CX129" i="24"/>
  <c r="BO293" i="52"/>
  <c r="BO196" i="24"/>
  <c r="BJ417" i="24"/>
  <c r="BJ154" i="24"/>
  <c r="V32" i="24"/>
  <c r="V299" i="24"/>
  <c r="V367" i="24" s="1"/>
  <c r="V42" i="24"/>
  <c r="BM136" i="24"/>
  <c r="BM404" i="24"/>
  <c r="BP185" i="52"/>
  <c r="BO109" i="61"/>
  <c r="BN106" i="61"/>
  <c r="CA109" i="61"/>
  <c r="BO105" i="61"/>
  <c r="BZ106" i="61"/>
  <c r="BM81" i="61"/>
  <c r="BM19" i="61"/>
  <c r="BL201" i="61"/>
  <c r="BY201" i="61" s="1"/>
  <c r="BL241" i="61"/>
  <c r="BY19" i="61"/>
  <c r="V43" i="52"/>
  <c r="U44" i="52"/>
  <c r="U46" i="52"/>
  <c r="CB55" i="24"/>
  <c r="CT55" i="24" s="1"/>
  <c r="CB399" i="24"/>
  <c r="CT399" i="24" s="1"/>
  <c r="CT132" i="24"/>
  <c r="BO255" i="61"/>
  <c r="CB255" i="61" s="1"/>
  <c r="CB67" i="61"/>
  <c r="CF142" i="24"/>
  <c r="CF140" i="24" s="1"/>
  <c r="CF410" i="24"/>
  <c r="CX410" i="24" s="1"/>
  <c r="CX143" i="24"/>
  <c r="BO117" i="61"/>
  <c r="CB117" i="61" s="1"/>
  <c r="CA117" i="61"/>
  <c r="BL257" i="24"/>
  <c r="BO121" i="61"/>
  <c r="CB121" i="61" s="1"/>
  <c r="CA121" i="61"/>
  <c r="P141" i="61"/>
  <c r="P34" i="64"/>
  <c r="P179" i="24"/>
  <c r="O144" i="61"/>
  <c r="P219" i="61"/>
  <c r="BW55" i="61"/>
  <c r="CV263" i="24"/>
  <c r="CE263" i="24"/>
  <c r="BO115" i="61"/>
  <c r="CB115" i="61" s="1"/>
  <c r="CA115" i="61"/>
  <c r="CW316" i="24"/>
  <c r="CW117" i="24"/>
  <c r="CE116" i="24"/>
  <c r="CW116" i="24" s="1"/>
  <c r="CF117" i="24"/>
  <c r="U288" i="24"/>
  <c r="U365" i="24" s="1"/>
  <c r="V5" i="70"/>
  <c r="CB77" i="61"/>
  <c r="BM15" i="24"/>
  <c r="BM318" i="24"/>
  <c r="BM391" i="24"/>
  <c r="BM305" i="24"/>
  <c r="BM55" i="24"/>
  <c r="BM61" i="24" s="1"/>
  <c r="BM321" i="24"/>
  <c r="BM399" i="24"/>
  <c r="CF408" i="24"/>
  <c r="CX408" i="24" s="1"/>
  <c r="CX141" i="24"/>
  <c r="BO125" i="61"/>
  <c r="CB125" i="61" s="1"/>
  <c r="CA125" i="61"/>
  <c r="BK242" i="24"/>
  <c r="BK20" i="24"/>
  <c r="BK255" i="24"/>
  <c r="BK260" i="24" s="1"/>
  <c r="BK259" i="24"/>
  <c r="BK258" i="24"/>
  <c r="BL323" i="24"/>
  <c r="BL403" i="24"/>
  <c r="BL148" i="24"/>
  <c r="Y154" i="61"/>
  <c r="X136" i="61"/>
  <c r="Y153" i="61"/>
  <c r="Z152" i="61"/>
  <c r="S5" i="70"/>
  <c r="CT203" i="24"/>
  <c r="CC203" i="24"/>
  <c r="CB222" i="24"/>
  <c r="CT222" i="24" s="1"/>
  <c r="CB214" i="24"/>
  <c r="CT214" i="24" s="1"/>
  <c r="BO127" i="61"/>
  <c r="CB127" i="61" s="1"/>
  <c r="CA127" i="61"/>
  <c r="BN402" i="24"/>
  <c r="BN322" i="24"/>
  <c r="BN409" i="24"/>
  <c r="BN144" i="24"/>
  <c r="BN411" i="24" s="1"/>
  <c r="BN398" i="24"/>
  <c r="BN320" i="24"/>
  <c r="BN413" i="24"/>
  <c r="BN39" i="24"/>
  <c r="BN396" i="24"/>
  <c r="BK359" i="24"/>
  <c r="BL359" i="24" s="1"/>
  <c r="BK403" i="24"/>
  <c r="BK323" i="24"/>
  <c r="BK148" i="24"/>
  <c r="BQ186" i="52"/>
  <c r="CF14" i="24"/>
  <c r="CX14" i="24" s="1"/>
  <c r="CX97" i="24"/>
  <c r="CF411" i="24"/>
  <c r="CX411" i="24" s="1"/>
  <c r="CX144" i="24"/>
  <c r="CG144" i="24"/>
  <c r="CG7" i="70"/>
  <c r="CG6" i="70" s="1"/>
  <c r="CG160" i="24"/>
  <c r="CY160" i="24" s="1"/>
  <c r="CG406" i="24"/>
  <c r="CY406" i="24" s="1"/>
  <c r="CG279" i="24"/>
  <c r="CY279" i="24" s="1"/>
  <c r="U3" i="55"/>
  <c r="U4" i="55" s="1"/>
  <c r="CY196" i="24"/>
  <c r="AN3" i="55" s="1"/>
  <c r="AO3" i="55" s="1"/>
  <c r="CG129" i="24"/>
  <c r="CG97" i="24"/>
  <c r="CG43" i="24"/>
  <c r="CG42" i="24"/>
  <c r="CF187" i="24"/>
  <c r="CF431" i="24"/>
  <c r="CX431" i="24" s="1"/>
  <c r="CX188" i="24"/>
  <c r="CG188" i="24"/>
  <c r="CF166" i="24"/>
  <c r="CW166" i="24"/>
  <c r="CE184" i="24"/>
  <c r="CD186" i="24"/>
  <c r="CD183" i="24"/>
  <c r="CV184" i="24"/>
  <c r="CW143" i="24"/>
  <c r="CE410" i="24"/>
  <c r="CW410" i="24" s="1"/>
  <c r="CE142" i="24"/>
  <c r="W368" i="24"/>
  <c r="X45" i="52"/>
  <c r="W48" i="52"/>
  <c r="W45" i="24"/>
  <c r="CD403" i="24"/>
  <c r="CV403" i="24" s="1"/>
  <c r="CV136" i="24"/>
  <c r="BN84" i="61"/>
  <c r="CA84" i="61" s="1"/>
  <c r="CA105" i="61"/>
  <c r="BX241" i="61"/>
  <c r="CF169" i="24"/>
  <c r="BO187" i="52"/>
  <c r="BN189" i="52"/>
  <c r="CF135" i="24"/>
  <c r="CE402" i="24"/>
  <c r="CW402" i="24" s="1"/>
  <c r="CW135" i="24"/>
  <c r="CC401" i="24"/>
  <c r="CU401" i="24" s="1"/>
  <c r="CU134" i="24"/>
  <c r="CD134" i="24"/>
  <c r="CC132" i="24"/>
  <c r="U366" i="24"/>
  <c r="V35" i="52"/>
  <c r="U33" i="24"/>
  <c r="BL255" i="24"/>
  <c r="BL260" i="24" s="1"/>
  <c r="BL259" i="24"/>
  <c r="BL258" i="24"/>
  <c r="CX192" i="24" l="1"/>
  <c r="CF346" i="24"/>
  <c r="CX346" i="24" s="1"/>
  <c r="CG277" i="24"/>
  <c r="CY277" i="24" s="1"/>
  <c r="CY194" i="24"/>
  <c r="CA108" i="61"/>
  <c r="BO108" i="61"/>
  <c r="CB108" i="61" s="1"/>
  <c r="CY192" i="24"/>
  <c r="CG346" i="24"/>
  <c r="CY346" i="24" s="1"/>
  <c r="CF277" i="24"/>
  <c r="CX277" i="24" s="1"/>
  <c r="CX194" i="24"/>
  <c r="BI136" i="61"/>
  <c r="BU136" i="61"/>
  <c r="CG143" i="24"/>
  <c r="CG410" i="24" s="1"/>
  <c r="CY410" i="24" s="1"/>
  <c r="BN41" i="24"/>
  <c r="BN296" i="24" s="1"/>
  <c r="BL242" i="24"/>
  <c r="BO381" i="24"/>
  <c r="BN385" i="24"/>
  <c r="BO380" i="24"/>
  <c r="BN223" i="24"/>
  <c r="BN221" i="24"/>
  <c r="BN222" i="24"/>
  <c r="BN226" i="24"/>
  <c r="BN224" i="24"/>
  <c r="BO225" i="24"/>
  <c r="BO217" i="24"/>
  <c r="BO66" i="24"/>
  <c r="BO254" i="24" s="1"/>
  <c r="BM253" i="24"/>
  <c r="BM355" i="24"/>
  <c r="BM354" i="24" s="1"/>
  <c r="BM352" i="24"/>
  <c r="BM301" i="24"/>
  <c r="BN64" i="24"/>
  <c r="BM70" i="24"/>
  <c r="BM71" i="24" s="1"/>
  <c r="BM242" i="24" s="1"/>
  <c r="BN225" i="24"/>
  <c r="BQ159" i="52"/>
  <c r="BQ138" i="52" s="1"/>
  <c r="BP138" i="52"/>
  <c r="CG211" i="24"/>
  <c r="CY211" i="24" s="1"/>
  <c r="CY210" i="24"/>
  <c r="BN378" i="24"/>
  <c r="BL377" i="24"/>
  <c r="BL303" i="24"/>
  <c r="BB352" i="24"/>
  <c r="BB254" i="24"/>
  <c r="BB70" i="24"/>
  <c r="BB71" i="24" s="1"/>
  <c r="BC20" i="24" s="1"/>
  <c r="AZ226" i="24"/>
  <c r="AZ222" i="24"/>
  <c r="AZ223" i="24"/>
  <c r="AZ224" i="24"/>
  <c r="AZ221" i="24"/>
  <c r="AZ206" i="24"/>
  <c r="BA217" i="24" s="1"/>
  <c r="AY202" i="24"/>
  <c r="BA66" i="24"/>
  <c r="BA225" i="24"/>
  <c r="BC259" i="24"/>
  <c r="BC255" i="24"/>
  <c r="BC260" i="24" s="1"/>
  <c r="CF137" i="24"/>
  <c r="CG138" i="24"/>
  <c r="CX138" i="24"/>
  <c r="CF405" i="24"/>
  <c r="CX405" i="24" s="1"/>
  <c r="CE404" i="24"/>
  <c r="CW404" i="24" s="1"/>
  <c r="CW137" i="24"/>
  <c r="CU207" i="24"/>
  <c r="CD207" i="24"/>
  <c r="CC226" i="24"/>
  <c r="CU226" i="24" s="1"/>
  <c r="CC218" i="24"/>
  <c r="CU218" i="24" s="1"/>
  <c r="CX135" i="24"/>
  <c r="CF402" i="24"/>
  <c r="CX402" i="24" s="1"/>
  <c r="CG135" i="24"/>
  <c r="BP187" i="52"/>
  <c r="BO189" i="52"/>
  <c r="CG169" i="24"/>
  <c r="W299" i="24"/>
  <c r="W367" i="24" s="1"/>
  <c r="W32" i="24"/>
  <c r="W42" i="24"/>
  <c r="X45" i="24"/>
  <c r="Y45" i="52"/>
  <c r="X368" i="24"/>
  <c r="X48" i="52"/>
  <c r="CE409" i="24"/>
  <c r="CW409" i="24" s="1"/>
  <c r="CW142" i="24"/>
  <c r="CE140" i="24"/>
  <c r="CE183" i="24"/>
  <c r="CW184" i="24"/>
  <c r="CE186" i="24"/>
  <c r="CX166" i="24"/>
  <c r="CF184" i="24"/>
  <c r="CG166" i="24"/>
  <c r="CG187" i="24"/>
  <c r="CG431" i="24"/>
  <c r="CY431" i="24" s="1"/>
  <c r="CY188" i="24"/>
  <c r="CG39" i="24"/>
  <c r="CY39" i="24" s="1"/>
  <c r="CG396" i="24"/>
  <c r="CY396" i="24" s="1"/>
  <c r="CY129" i="24"/>
  <c r="CG65" i="45"/>
  <c r="V3" i="55"/>
  <c r="V4" i="55" s="1"/>
  <c r="CD203" i="24"/>
  <c r="CC222" i="24"/>
  <c r="CU222" i="24" s="1"/>
  <c r="CC214" i="24"/>
  <c r="CU214" i="24" s="1"/>
  <c r="CU203" i="24"/>
  <c r="CF407" i="24"/>
  <c r="CX407" i="24" s="1"/>
  <c r="CX140" i="24"/>
  <c r="CF136" i="24"/>
  <c r="CF263" i="24"/>
  <c r="CW263" i="24"/>
  <c r="P434" i="24"/>
  <c r="P180" i="24"/>
  <c r="CF409" i="24"/>
  <c r="CX409" i="24" s="1"/>
  <c r="CX142" i="24"/>
  <c r="BM187" i="61"/>
  <c r="BZ187" i="61" s="1"/>
  <c r="BZ81" i="61"/>
  <c r="CB105" i="61"/>
  <c r="BO84" i="61"/>
  <c r="CB84" i="61" s="1"/>
  <c r="BN81" i="61"/>
  <c r="CA106" i="61"/>
  <c r="BO188" i="52"/>
  <c r="V30" i="24"/>
  <c r="V286" i="24" s="1"/>
  <c r="V44" i="24"/>
  <c r="V316" i="24"/>
  <c r="V317" i="24" s="1"/>
  <c r="V297" i="24"/>
  <c r="V288" i="24"/>
  <c r="W5" i="70"/>
  <c r="BO126" i="24"/>
  <c r="CC403" i="24"/>
  <c r="CU403" i="24" s="1"/>
  <c r="CU136" i="24"/>
  <c r="BN136" i="24"/>
  <c r="BN404" i="24"/>
  <c r="BN358" i="24"/>
  <c r="Z155" i="61"/>
  <c r="CW110" i="24"/>
  <c r="CE441" i="24"/>
  <c r="CF110" i="24"/>
  <c r="BM257" i="24"/>
  <c r="BZ11" i="24"/>
  <c r="CQ11" i="24"/>
  <c r="P143" i="61"/>
  <c r="Q170" i="61" s="1"/>
  <c r="Q194" i="61"/>
  <c r="Q164" i="24"/>
  <c r="Q218" i="61"/>
  <c r="Q140" i="61"/>
  <c r="CW146" i="24"/>
  <c r="CF146" i="24"/>
  <c r="CE413" i="24"/>
  <c r="CW413" i="24" s="1"/>
  <c r="BN389" i="24"/>
  <c r="BO122" i="24"/>
  <c r="CD401" i="24"/>
  <c r="CV401" i="24" s="1"/>
  <c r="CE134" i="24"/>
  <c r="CV134" i="24"/>
  <c r="CD132" i="24"/>
  <c r="V33" i="24"/>
  <c r="W35" i="52"/>
  <c r="V366" i="24"/>
  <c r="CC55" i="24"/>
  <c r="CU55" i="24" s="1"/>
  <c r="CC399" i="24"/>
  <c r="CU399" i="24" s="1"/>
  <c r="CU132" i="24"/>
  <c r="CY42" i="24"/>
  <c r="CG316" i="24"/>
  <c r="CG297" i="24"/>
  <c r="CY297" i="24" s="1"/>
  <c r="CG14" i="24"/>
  <c r="CY14" i="24" s="1"/>
  <c r="CY97" i="24"/>
  <c r="CG411" i="24"/>
  <c r="CY411" i="24" s="1"/>
  <c r="CY144" i="24"/>
  <c r="BK324" i="24"/>
  <c r="BK415" i="24"/>
  <c r="BK150" i="24"/>
  <c r="BN307" i="24"/>
  <c r="BN67" i="45" s="1"/>
  <c r="BN308" i="24"/>
  <c r="BN21" i="24"/>
  <c r="BN252" i="24"/>
  <c r="BN250" i="24"/>
  <c r="X154" i="61"/>
  <c r="X153" i="61"/>
  <c r="W136" i="61"/>
  <c r="BL150" i="24"/>
  <c r="BL415" i="24"/>
  <c r="BL324" i="24"/>
  <c r="CG408" i="24"/>
  <c r="CY408" i="24" s="1"/>
  <c r="CY141" i="24"/>
  <c r="BN29" i="24"/>
  <c r="BN285" i="24" s="1"/>
  <c r="BM358" i="24"/>
  <c r="BM29" i="24"/>
  <c r="BM285" i="24" s="1"/>
  <c r="V365" i="24"/>
  <c r="CG117" i="24"/>
  <c r="CX117" i="24"/>
  <c r="CF116" i="24"/>
  <c r="CX116" i="24" s="1"/>
  <c r="N144" i="61"/>
  <c r="O141" i="61"/>
  <c r="O179" i="24"/>
  <c r="O34" i="64"/>
  <c r="O219" i="61"/>
  <c r="V44" i="52"/>
  <c r="V46" i="52"/>
  <c r="W43" i="52"/>
  <c r="BY241" i="61"/>
  <c r="BN19" i="61"/>
  <c r="BZ19" i="61"/>
  <c r="BM241" i="61"/>
  <c r="BM201" i="61"/>
  <c r="BZ201" i="61" s="1"/>
  <c r="BO106" i="61"/>
  <c r="CB109" i="61"/>
  <c r="BQ185" i="52"/>
  <c r="BP188" i="52"/>
  <c r="BM323" i="24"/>
  <c r="BM403" i="24"/>
  <c r="BM148" i="24"/>
  <c r="BO110" i="24"/>
  <c r="BO441" i="24" s="1"/>
  <c r="BO125" i="24"/>
  <c r="BO142" i="24"/>
  <c r="BO131" i="24"/>
  <c r="BO135" i="24"/>
  <c r="BO146" i="24"/>
  <c r="C3" i="55"/>
  <c r="C6" i="55" s="1"/>
  <c r="BO43" i="24"/>
  <c r="BO410" i="24"/>
  <c r="BO138" i="24"/>
  <c r="BO133" i="24"/>
  <c r="BO141" i="24"/>
  <c r="BO246" i="24"/>
  <c r="BO7" i="70"/>
  <c r="BO134" i="24"/>
  <c r="BO401" i="24" s="1"/>
  <c r="BO129" i="24"/>
  <c r="BO139" i="24"/>
  <c r="BO406" i="24" s="1"/>
  <c r="BO279" i="24"/>
  <c r="BP43" i="24"/>
  <c r="CX316" i="24"/>
  <c r="BN55" i="24"/>
  <c r="BN61" i="24" s="1"/>
  <c r="BN321" i="24"/>
  <c r="BN399" i="24"/>
  <c r="BN124" i="24"/>
  <c r="CY202" i="24"/>
  <c r="CG221" i="24"/>
  <c r="CY221" i="24" s="1"/>
  <c r="BN390" i="24"/>
  <c r="BO123" i="24"/>
  <c r="BM255" i="24"/>
  <c r="BM260" i="24" s="1"/>
  <c r="BM259" i="24"/>
  <c r="BM258" i="24"/>
  <c r="BQ369" i="24"/>
  <c r="BP371" i="24" s="1"/>
  <c r="R308" i="24"/>
  <c r="R199" i="24"/>
  <c r="BK282" i="24"/>
  <c r="BK31" i="24"/>
  <c r="BK287" i="24" s="1"/>
  <c r="BL7" i="24"/>
  <c r="BL26" i="24"/>
  <c r="BM46" i="24"/>
  <c r="BL313" i="24"/>
  <c r="BL384" i="24"/>
  <c r="BL22" i="24"/>
  <c r="BL262" i="24"/>
  <c r="BM23" i="24"/>
  <c r="BN13" i="24"/>
  <c r="BM8" i="24"/>
  <c r="BM12" i="24"/>
  <c r="BM28" i="24" s="1"/>
  <c r="BM284" i="24" s="1"/>
  <c r="BM73" i="24"/>
  <c r="CG133" i="24"/>
  <c r="CF400" i="24"/>
  <c r="CX400" i="24" s="1"/>
  <c r="CX133" i="24"/>
  <c r="BK55" i="61"/>
  <c r="BX146" i="61"/>
  <c r="BL74" i="61"/>
  <c r="BY74" i="61" s="1"/>
  <c r="R5" i="70"/>
  <c r="CG142" i="24" l="1"/>
  <c r="CG140" i="24" s="1"/>
  <c r="CY140" i="24" s="1"/>
  <c r="BJ136" i="61"/>
  <c r="BV136" i="61"/>
  <c r="CY143" i="24"/>
  <c r="BO378" i="24"/>
  <c r="BM20" i="24"/>
  <c r="AX202" i="24"/>
  <c r="AY222" i="24"/>
  <c r="AY223" i="24"/>
  <c r="AY224" i="24"/>
  <c r="AY206" i="24"/>
  <c r="AZ217" i="24" s="1"/>
  <c r="AY221" i="24"/>
  <c r="AY226" i="24"/>
  <c r="BB255" i="24"/>
  <c r="BB260" i="24" s="1"/>
  <c r="BB259" i="24"/>
  <c r="BN253" i="24"/>
  <c r="BN258" i="24" s="1"/>
  <c r="BN301" i="24"/>
  <c r="BN70" i="24"/>
  <c r="BN71" i="24" s="1"/>
  <c r="BN352" i="24"/>
  <c r="BN355" i="24"/>
  <c r="BN354" i="24" s="1"/>
  <c r="BA352" i="24"/>
  <c r="BA70" i="24"/>
  <c r="BA71" i="24" s="1"/>
  <c r="BB242" i="24" s="1"/>
  <c r="BA254" i="24"/>
  <c r="AZ225" i="24"/>
  <c r="AZ66" i="24"/>
  <c r="BC242" i="24"/>
  <c r="BM377" i="24"/>
  <c r="BM303" i="24"/>
  <c r="CY138" i="24"/>
  <c r="CG405" i="24"/>
  <c r="CY405" i="24" s="1"/>
  <c r="CG137" i="24"/>
  <c r="CG136" i="24" s="1"/>
  <c r="CF404" i="24"/>
  <c r="CX404" i="24" s="1"/>
  <c r="CX137" i="24"/>
  <c r="CV207" i="24"/>
  <c r="CE207" i="24"/>
  <c r="CD218" i="24"/>
  <c r="CV218" i="24" s="1"/>
  <c r="CD226" i="24"/>
  <c r="CV226" i="24" s="1"/>
  <c r="BL282" i="24"/>
  <c r="BL31" i="24"/>
  <c r="BL287" i="24" s="1"/>
  <c r="BR369" i="24"/>
  <c r="CI369" i="24"/>
  <c r="F371" i="24"/>
  <c r="BA370" i="24"/>
  <c r="Y370" i="24"/>
  <c r="W370" i="24"/>
  <c r="K371" i="24"/>
  <c r="AQ371" i="24"/>
  <c r="AL371" i="24"/>
  <c r="AF370" i="24"/>
  <c r="AG370" i="24"/>
  <c r="AU370" i="24"/>
  <c r="O370" i="24"/>
  <c r="AG371" i="24"/>
  <c r="N371" i="24"/>
  <c r="AT371" i="24"/>
  <c r="AV370" i="24"/>
  <c r="F370" i="24"/>
  <c r="BB370" i="24"/>
  <c r="AO370" i="24"/>
  <c r="I370" i="24"/>
  <c r="AM370" i="24"/>
  <c r="G370" i="24"/>
  <c r="Q371" i="24"/>
  <c r="AW371" i="24"/>
  <c r="V371" i="24"/>
  <c r="V370" i="24"/>
  <c r="AW370" i="24"/>
  <c r="Q370" i="24"/>
  <c r="AE370" i="24"/>
  <c r="AA371" i="24"/>
  <c r="AD371" i="24"/>
  <c r="P370" i="24"/>
  <c r="AL370" i="24"/>
  <c r="BC370" i="24"/>
  <c r="BA371" i="24"/>
  <c r="BB371" i="24"/>
  <c r="I371" i="24"/>
  <c r="M371" i="24"/>
  <c r="R371" i="24"/>
  <c r="R372" i="24" s="1"/>
  <c r="Y371" i="24"/>
  <c r="AC371" i="24"/>
  <c r="AH371" i="24"/>
  <c r="AO371" i="24"/>
  <c r="AS371" i="24"/>
  <c r="AX371" i="24"/>
  <c r="T370" i="24"/>
  <c r="Z370" i="24"/>
  <c r="AI370" i="24"/>
  <c r="AN370" i="24"/>
  <c r="AZ370" i="24"/>
  <c r="AK370" i="24"/>
  <c r="U370" i="24"/>
  <c r="BC371" i="24"/>
  <c r="H371" i="24"/>
  <c r="O371" i="24"/>
  <c r="O372" i="24" s="1"/>
  <c r="T371" i="24"/>
  <c r="X371" i="24"/>
  <c r="AE371" i="24"/>
  <c r="AJ371" i="24"/>
  <c r="AN371" i="24"/>
  <c r="AU371" i="24"/>
  <c r="AZ371" i="24"/>
  <c r="L370" i="24"/>
  <c r="AA370" i="24"/>
  <c r="AD370" i="24"/>
  <c r="AH370" i="24"/>
  <c r="AR370" i="24"/>
  <c r="AS370" i="24"/>
  <c r="AC370" i="24"/>
  <c r="M370" i="24"/>
  <c r="BQ370" i="24"/>
  <c r="CI370" i="24" s="1"/>
  <c r="L371" i="24"/>
  <c r="U371" i="24"/>
  <c r="AB371" i="24"/>
  <c r="AB372" i="24" s="1"/>
  <c r="AI371" i="24"/>
  <c r="AI372" i="24" s="1"/>
  <c r="AK371" i="24"/>
  <c r="K370" i="24"/>
  <c r="R370" i="24"/>
  <c r="AB370" i="24"/>
  <c r="AT370" i="24"/>
  <c r="AX370" i="24"/>
  <c r="G371" i="24"/>
  <c r="G372" i="24" s="1"/>
  <c r="J371" i="24"/>
  <c r="J372" i="24" s="1"/>
  <c r="P371" i="24"/>
  <c r="W371" i="24"/>
  <c r="W372" i="24" s="1"/>
  <c r="Z371" i="24"/>
  <c r="AF371" i="24"/>
  <c r="AF372" i="24" s="1"/>
  <c r="AM371" i="24"/>
  <c r="AM372" i="24" s="1"/>
  <c r="AP371" i="24"/>
  <c r="AV371" i="24"/>
  <c r="J370" i="24"/>
  <c r="S370" i="24"/>
  <c r="X370" i="24"/>
  <c r="AJ370" i="24"/>
  <c r="AP370" i="24"/>
  <c r="AY370" i="24"/>
  <c r="S371" i="24"/>
  <c r="AR371" i="24"/>
  <c r="AY371" i="24"/>
  <c r="AY372" i="24" s="1"/>
  <c r="N370" i="24"/>
  <c r="AQ370" i="24"/>
  <c r="H370" i="24"/>
  <c r="BQ371" i="24"/>
  <c r="BD370" i="24"/>
  <c r="BD371" i="24"/>
  <c r="BD372" i="24" s="1"/>
  <c r="BE370" i="24"/>
  <c r="BE371" i="24"/>
  <c r="BE372" i="24" s="1"/>
  <c r="BF371" i="24"/>
  <c r="BF370" i="24"/>
  <c r="BG371" i="24"/>
  <c r="BG370" i="24"/>
  <c r="BH370" i="24"/>
  <c r="BH371" i="24"/>
  <c r="BI371" i="24"/>
  <c r="BI370" i="24"/>
  <c r="BJ371" i="24"/>
  <c r="BJ370" i="24"/>
  <c r="BK370" i="24"/>
  <c r="BK371" i="24"/>
  <c r="BL370" i="24"/>
  <c r="BL371" i="24"/>
  <c r="BM370" i="24"/>
  <c r="BM371" i="24"/>
  <c r="BM372" i="24" s="1"/>
  <c r="BN370" i="24"/>
  <c r="BN371" i="24"/>
  <c r="BO371" i="24"/>
  <c r="BO370" i="24"/>
  <c r="BN318" i="24"/>
  <c r="BN391" i="24"/>
  <c r="BN305" i="24"/>
  <c r="C25" i="55"/>
  <c r="BO356" i="24"/>
  <c r="BO132" i="24"/>
  <c r="BO124" i="24" s="1"/>
  <c r="BO400" i="24"/>
  <c r="BO402" i="24"/>
  <c r="BO322" i="24"/>
  <c r="BO409" i="24"/>
  <c r="BO144" i="24"/>
  <c r="BO411" i="24" s="1"/>
  <c r="O434" i="24"/>
  <c r="O180" i="24"/>
  <c r="N141" i="61"/>
  <c r="N34" i="64"/>
  <c r="N179" i="24"/>
  <c r="N219" i="61"/>
  <c r="M144" i="61"/>
  <c r="CG407" i="24"/>
  <c r="CY407" i="24" s="1"/>
  <c r="W154" i="61"/>
  <c r="V136" i="61"/>
  <c r="W153" i="61"/>
  <c r="BN259" i="24"/>
  <c r="W33" i="24"/>
  <c r="X35" i="52"/>
  <c r="W366" i="24"/>
  <c r="CD55" i="24"/>
  <c r="CV55" i="24" s="1"/>
  <c r="CV132" i="24"/>
  <c r="CD399" i="24"/>
  <c r="CV399" i="24" s="1"/>
  <c r="CW134" i="24"/>
  <c r="CE401" i="24"/>
  <c r="CW401" i="24" s="1"/>
  <c r="CF134" i="24"/>
  <c r="CE132" i="24"/>
  <c r="CG409" i="24"/>
  <c r="CY409" i="24" s="1"/>
  <c r="CF441" i="24"/>
  <c r="CX110" i="24"/>
  <c r="CG110" i="24"/>
  <c r="BN403" i="24"/>
  <c r="BN323" i="24"/>
  <c r="BN148" i="24"/>
  <c r="Y155" i="61"/>
  <c r="BM359" i="24"/>
  <c r="BN359" i="24" s="1"/>
  <c r="CG184" i="24"/>
  <c r="CY166" i="24"/>
  <c r="Y368" i="24"/>
  <c r="Z45" i="52"/>
  <c r="Y45" i="24"/>
  <c r="Y48" i="52"/>
  <c r="W30" i="24"/>
  <c r="W286" i="24" s="1"/>
  <c r="W44" i="24"/>
  <c r="W316" i="24"/>
  <c r="W317" i="24" s="1"/>
  <c r="W297" i="24"/>
  <c r="BQ187" i="52"/>
  <c r="BQ189" i="52" s="1"/>
  <c r="BP189" i="52"/>
  <c r="BM22" i="24"/>
  <c r="BN46" i="24"/>
  <c r="BM262" i="24"/>
  <c r="BM7" i="24"/>
  <c r="BM313" i="24"/>
  <c r="BM26" i="24"/>
  <c r="BM384" i="24"/>
  <c r="BL146" i="61"/>
  <c r="BX55" i="61"/>
  <c r="CG400" i="24"/>
  <c r="CY400" i="24" s="1"/>
  <c r="CY133" i="24"/>
  <c r="BN12" i="24"/>
  <c r="BN28" i="24" s="1"/>
  <c r="BN284" i="24" s="1"/>
  <c r="BN23" i="24"/>
  <c r="BO13" i="24"/>
  <c r="BN73" i="24"/>
  <c r="BN8" i="24"/>
  <c r="BP370" i="24"/>
  <c r="BP123" i="24"/>
  <c r="BO390" i="24"/>
  <c r="BO39" i="24"/>
  <c r="BO41" i="24" s="1"/>
  <c r="BP39" i="24"/>
  <c r="BO396" i="24"/>
  <c r="BP6" i="70"/>
  <c r="BO6" i="70"/>
  <c r="BO9" i="70"/>
  <c r="BP9" i="70" s="1"/>
  <c r="BQ9" i="70" s="1"/>
  <c r="BR9" i="70" s="1"/>
  <c r="BS9" i="70" s="1"/>
  <c r="BO140" i="24"/>
  <c r="BO407" i="24" s="1"/>
  <c r="BO408" i="24"/>
  <c r="BO405" i="24"/>
  <c r="BO137" i="24"/>
  <c r="BO413" i="24"/>
  <c r="BO398" i="24"/>
  <c r="BO16" i="24"/>
  <c r="BO320" i="24"/>
  <c r="BO392" i="24"/>
  <c r="BO15" i="24"/>
  <c r="BO130" i="24"/>
  <c r="BO397" i="24" s="1"/>
  <c r="BO319" i="24"/>
  <c r="BM150" i="24"/>
  <c r="BM415" i="24"/>
  <c r="BM324" i="24"/>
  <c r="BQ188" i="52"/>
  <c r="CB106" i="61"/>
  <c r="BO81" i="61"/>
  <c r="BZ241" i="61"/>
  <c r="BO19" i="61"/>
  <c r="BN201" i="61"/>
  <c r="CA201" i="61" s="1"/>
  <c r="BN241" i="61"/>
  <c r="CA19" i="61"/>
  <c r="X43" i="52"/>
  <c r="W44" i="52"/>
  <c r="W46" i="52"/>
  <c r="CG116" i="24"/>
  <c r="CY116" i="24" s="1"/>
  <c r="CY117" i="24"/>
  <c r="BL154" i="24"/>
  <c r="BL417" i="24"/>
  <c r="X152" i="61"/>
  <c r="BN257" i="24"/>
  <c r="BK417" i="24"/>
  <c r="BK154" i="24"/>
  <c r="CY316" i="24"/>
  <c r="BP122" i="24"/>
  <c r="BO389" i="24"/>
  <c r="CG146" i="24"/>
  <c r="CX146" i="24"/>
  <c r="CF413" i="24"/>
  <c r="CX413" i="24" s="1"/>
  <c r="Q308" i="24"/>
  <c r="Q199" i="24"/>
  <c r="O143" i="61"/>
  <c r="P194" i="61"/>
  <c r="P164" i="24"/>
  <c r="P140" i="61"/>
  <c r="P218" i="61"/>
  <c r="CR11" i="24"/>
  <c r="CA11" i="24"/>
  <c r="BO127" i="24"/>
  <c r="BP126" i="24" s="1"/>
  <c r="BO393" i="24"/>
  <c r="CA81" i="61"/>
  <c r="BN187" i="61"/>
  <c r="CA187" i="61" s="1"/>
  <c r="Q5" i="70"/>
  <c r="CX263" i="24"/>
  <c r="CG263" i="24"/>
  <c r="CY263" i="24" s="1"/>
  <c r="CF403" i="24"/>
  <c r="CX403" i="24" s="1"/>
  <c r="CX136" i="24"/>
  <c r="Y152" i="61"/>
  <c r="CE203" i="24"/>
  <c r="CD214" i="24"/>
  <c r="CV214" i="24" s="1"/>
  <c r="CD222" i="24"/>
  <c r="CV222" i="24" s="1"/>
  <c r="CV203" i="24"/>
  <c r="CX184" i="24"/>
  <c r="CF186" i="24"/>
  <c r="CF183" i="24"/>
  <c r="CE407" i="24"/>
  <c r="CW407" i="24" s="1"/>
  <c r="CW140" i="24"/>
  <c r="CE136" i="24"/>
  <c r="X299" i="24"/>
  <c r="X367" i="24" s="1"/>
  <c r="X32" i="24"/>
  <c r="X42" i="24"/>
  <c r="W288" i="24"/>
  <c r="W365" i="24" s="1"/>
  <c r="X5" i="70"/>
  <c r="CG402" i="24"/>
  <c r="CY402" i="24" s="1"/>
  <c r="CY135" i="24"/>
  <c r="CY142" i="24" l="1"/>
  <c r="BK136" i="61"/>
  <c r="BW136" i="61"/>
  <c r="BN255" i="24"/>
  <c r="BN260" i="24" s="1"/>
  <c r="S372" i="24"/>
  <c r="AP372" i="24"/>
  <c r="AU372" i="24"/>
  <c r="BJ372" i="24"/>
  <c r="L372" i="24"/>
  <c r="BG372" i="24"/>
  <c r="Z372" i="24"/>
  <c r="BN372" i="24"/>
  <c r="BL372" i="24"/>
  <c r="BH372" i="24"/>
  <c r="U372" i="24"/>
  <c r="BC372" i="24"/>
  <c r="AX372" i="24"/>
  <c r="BN20" i="24"/>
  <c r="BN242" i="24"/>
  <c r="AZ254" i="24"/>
  <c r="AZ352" i="24"/>
  <c r="AZ70" i="24"/>
  <c r="AZ71" i="24" s="1"/>
  <c r="BA20" i="24" s="1"/>
  <c r="BA255" i="24"/>
  <c r="BA260" i="24" s="1"/>
  <c r="BA259" i="24"/>
  <c r="BN377" i="24"/>
  <c r="BN303" i="24"/>
  <c r="AY225" i="24"/>
  <c r="AY66" i="24"/>
  <c r="AX206" i="24"/>
  <c r="AX222" i="24"/>
  <c r="AX226" i="24"/>
  <c r="AX224" i="24"/>
  <c r="AX221" i="24"/>
  <c r="AW202" i="24"/>
  <c r="AX223" i="24"/>
  <c r="BB20" i="24"/>
  <c r="CG404" i="24"/>
  <c r="CY404" i="24" s="1"/>
  <c r="CY137" i="24"/>
  <c r="AR372" i="24"/>
  <c r="AV372" i="24"/>
  <c r="P372" i="24"/>
  <c r="AK372" i="24"/>
  <c r="AE372" i="24"/>
  <c r="AH372" i="24"/>
  <c r="CF207" i="24"/>
  <c r="CW207" i="24"/>
  <c r="CE218" i="24"/>
  <c r="CW218" i="24" s="1"/>
  <c r="CE226" i="24"/>
  <c r="CW226" i="24" s="1"/>
  <c r="BO372" i="24"/>
  <c r="BI372" i="24"/>
  <c r="BF372" i="24"/>
  <c r="BB372" i="24"/>
  <c r="BP393" i="24"/>
  <c r="BQ126" i="24"/>
  <c r="BP130" i="24"/>
  <c r="BP397" i="24" s="1"/>
  <c r="O170" i="61"/>
  <c r="O218" i="61"/>
  <c r="O140" i="61"/>
  <c r="N143" i="61"/>
  <c r="O164" i="24"/>
  <c r="O194" i="61"/>
  <c r="CY146" i="24"/>
  <c r="CG413" i="24"/>
  <c r="CY413" i="24" s="1"/>
  <c r="BQ122" i="24"/>
  <c r="BP15" i="24"/>
  <c r="BP389" i="24"/>
  <c r="X44" i="52"/>
  <c r="X46" i="52"/>
  <c r="Y43" i="52"/>
  <c r="CA241" i="61"/>
  <c r="CB19" i="61"/>
  <c r="BO241" i="61"/>
  <c r="BO201" i="61"/>
  <c r="CB201" i="61" s="1"/>
  <c r="CB81" i="61"/>
  <c r="BO187" i="61"/>
  <c r="CB187" i="61" s="1"/>
  <c r="BO21" i="24"/>
  <c r="BO308" i="24"/>
  <c r="BO252" i="24"/>
  <c r="BO307" i="24"/>
  <c r="BO250" i="24"/>
  <c r="BO136" i="24"/>
  <c r="BO404" i="24"/>
  <c r="BM282" i="24"/>
  <c r="BM31" i="24"/>
  <c r="BM287" i="24" s="1"/>
  <c r="Y299" i="24"/>
  <c r="Y367" i="24" s="1"/>
  <c r="Y32" i="24"/>
  <c r="Y42" i="24"/>
  <c r="BN324" i="24"/>
  <c r="BN150" i="24"/>
  <c r="BN415" i="24"/>
  <c r="CY110" i="24"/>
  <c r="CG441" i="24"/>
  <c r="CF401" i="24"/>
  <c r="CX401" i="24" s="1"/>
  <c r="CG134" i="24"/>
  <c r="CX134" i="24"/>
  <c r="CF132" i="24"/>
  <c r="X33" i="24"/>
  <c r="Y35" i="52"/>
  <c r="X366" i="24"/>
  <c r="M141" i="61"/>
  <c r="L144" i="61"/>
  <c r="M179" i="24"/>
  <c r="M34" i="64"/>
  <c r="M219" i="61"/>
  <c r="N180" i="24"/>
  <c r="N434" i="24"/>
  <c r="O5" i="70" s="1"/>
  <c r="P5" i="70"/>
  <c r="BO55" i="24"/>
  <c r="BO61" i="24" s="1"/>
  <c r="BO321" i="24"/>
  <c r="BO399" i="24"/>
  <c r="BK372" i="24"/>
  <c r="CI371" i="24"/>
  <c r="BQ372" i="24"/>
  <c r="CI372" i="24" s="1"/>
  <c r="AJ372" i="24"/>
  <c r="X372" i="24"/>
  <c r="AO372" i="24"/>
  <c r="AC372" i="24"/>
  <c r="I372" i="24"/>
  <c r="BA372" i="24"/>
  <c r="AD372" i="24"/>
  <c r="V372" i="24"/>
  <c r="Q372" i="24"/>
  <c r="AT372" i="24"/>
  <c r="AG372" i="24"/>
  <c r="AQ372" i="24"/>
  <c r="BP372" i="24"/>
  <c r="X30" i="24"/>
  <c r="X286" i="24" s="1"/>
  <c r="X44" i="24"/>
  <c r="X316" i="24"/>
  <c r="X317" i="24" s="1"/>
  <c r="X297" i="24"/>
  <c r="P308" i="24"/>
  <c r="P199" i="24"/>
  <c r="X288" i="24"/>
  <c r="X365" i="24" s="1"/>
  <c r="Y5" i="70"/>
  <c r="CE403" i="24"/>
  <c r="CW403" i="24" s="1"/>
  <c r="CW136" i="24"/>
  <c r="CW203" i="24"/>
  <c r="CE214" i="24"/>
  <c r="CW214" i="24" s="1"/>
  <c r="CE222" i="24"/>
  <c r="CW222" i="24" s="1"/>
  <c r="CF203" i="24"/>
  <c r="CS11" i="24"/>
  <c r="CB11" i="24"/>
  <c r="P170" i="61"/>
  <c r="BM417" i="24"/>
  <c r="BM154" i="24"/>
  <c r="BO318" i="24"/>
  <c r="BO305" i="24"/>
  <c r="BO391" i="24"/>
  <c r="BO358" i="24"/>
  <c r="BO29" i="24"/>
  <c r="BO285" i="24" s="1"/>
  <c r="BO296" i="24"/>
  <c r="BN270" i="24"/>
  <c r="BQ123" i="24"/>
  <c r="BP16" i="24"/>
  <c r="BP390" i="24"/>
  <c r="BN22" i="24"/>
  <c r="BO46" i="24"/>
  <c r="BN313" i="24"/>
  <c r="BN7" i="24"/>
  <c r="BN262" i="24"/>
  <c r="BN26" i="24"/>
  <c r="BN384" i="24"/>
  <c r="BO12" i="24"/>
  <c r="BO28" i="24" s="1"/>
  <c r="BO284" i="24" s="1"/>
  <c r="BO73" i="24"/>
  <c r="BO23" i="24"/>
  <c r="BP13" i="24"/>
  <c r="BO8" i="24"/>
  <c r="BY146" i="61"/>
  <c r="BL55" i="61"/>
  <c r="BM74" i="61"/>
  <c r="BZ74" i="61" s="1"/>
  <c r="Z45" i="24"/>
  <c r="AA45" i="52"/>
  <c r="Z48" i="52"/>
  <c r="Z368" i="24"/>
  <c r="CG183" i="24"/>
  <c r="CG186" i="24"/>
  <c r="CY184" i="24"/>
  <c r="CE399" i="24"/>
  <c r="CW399" i="24" s="1"/>
  <c r="CW132" i="24"/>
  <c r="CE55" i="24"/>
  <c r="CW55" i="24" s="1"/>
  <c r="X155" i="61"/>
  <c r="U136" i="61"/>
  <c r="V154" i="61"/>
  <c r="V153" i="61"/>
  <c r="W152" i="61" s="1"/>
  <c r="CG403" i="24"/>
  <c r="CY403" i="24" s="1"/>
  <c r="CY136" i="24"/>
  <c r="AZ372" i="24"/>
  <c r="AN372" i="24"/>
  <c r="T372" i="24"/>
  <c r="H372" i="24"/>
  <c r="AS372" i="24"/>
  <c r="Y372" i="24"/>
  <c r="M372" i="24"/>
  <c r="AA372" i="24"/>
  <c r="AW372" i="24"/>
  <c r="N372" i="24"/>
  <c r="AL372" i="24"/>
  <c r="K372" i="24"/>
  <c r="CJ369" i="24"/>
  <c r="BS369" i="24"/>
  <c r="BX136" i="61" l="1"/>
  <c r="BL136" i="61"/>
  <c r="AX66" i="24"/>
  <c r="AX225" i="24"/>
  <c r="AY254" i="24"/>
  <c r="AY70" i="24"/>
  <c r="AY71" i="24" s="1"/>
  <c r="AZ20" i="24" s="1"/>
  <c r="AY352" i="24"/>
  <c r="BA242" i="24"/>
  <c r="AW206" i="24"/>
  <c r="AV202" i="24"/>
  <c r="AW226" i="24"/>
  <c r="AW221" i="24"/>
  <c r="AW223" i="24"/>
  <c r="AW222" i="24"/>
  <c r="AW224" i="24"/>
  <c r="AY217" i="24"/>
  <c r="AZ255" i="24"/>
  <c r="AZ260" i="24" s="1"/>
  <c r="AZ259" i="24"/>
  <c r="CG207" i="24"/>
  <c r="CF218" i="24"/>
  <c r="CX218" i="24" s="1"/>
  <c r="CX207" i="24"/>
  <c r="CF226" i="24"/>
  <c r="CX226" i="24" s="1"/>
  <c r="Z32" i="24"/>
  <c r="Z299" i="24"/>
  <c r="Z367" i="24" s="1"/>
  <c r="Z42" i="24"/>
  <c r="BP12" i="24"/>
  <c r="BP28" i="24" s="1"/>
  <c r="BP284" i="24" s="1"/>
  <c r="BP23" i="24"/>
  <c r="BP8" i="24"/>
  <c r="BP73" i="24"/>
  <c r="BQ13" i="24"/>
  <c r="BP21" i="24"/>
  <c r="BP308" i="24"/>
  <c r="BP252" i="24"/>
  <c r="BP250" i="24"/>
  <c r="BP307" i="24"/>
  <c r="BM270" i="24"/>
  <c r="M434" i="24"/>
  <c r="M180" i="24"/>
  <c r="Y33" i="24"/>
  <c r="Z35" i="52"/>
  <c r="Y366" i="24"/>
  <c r="CF399" i="24"/>
  <c r="CX399" i="24" s="1"/>
  <c r="CF55" i="24"/>
  <c r="CX55" i="24" s="1"/>
  <c r="CX132" i="24"/>
  <c r="CY134" i="24"/>
  <c r="CG401" i="24"/>
  <c r="CY401" i="24" s="1"/>
  <c r="CG132" i="24"/>
  <c r="Y30" i="24"/>
  <c r="Y286" i="24" s="1"/>
  <c r="Y44" i="24"/>
  <c r="Y316" i="24"/>
  <c r="Y317" i="24" s="1"/>
  <c r="Y297" i="24"/>
  <c r="BO259" i="24"/>
  <c r="BO67" i="45"/>
  <c r="C8" i="55"/>
  <c r="BO66" i="45"/>
  <c r="C7" i="55"/>
  <c r="BP358" i="24"/>
  <c r="O308" i="24"/>
  <c r="O199" i="24"/>
  <c r="U154" i="61"/>
  <c r="U153" i="61"/>
  <c r="T136" i="61"/>
  <c r="CK369" i="24"/>
  <c r="V155" i="61"/>
  <c r="AA368" i="24"/>
  <c r="AB45" i="52"/>
  <c r="AA45" i="24"/>
  <c r="AA48" i="52"/>
  <c r="BM146" i="61"/>
  <c r="BY55" i="61"/>
  <c r="BO7" i="24"/>
  <c r="BO26" i="24"/>
  <c r="BO262" i="24"/>
  <c r="BO22" i="24"/>
  <c r="BO384" i="24"/>
  <c r="BO313" i="24"/>
  <c r="BN282" i="24"/>
  <c r="BN31" i="24"/>
  <c r="BN287" i="24" s="1"/>
  <c r="BR123" i="24"/>
  <c r="BQ390" i="24"/>
  <c r="CI390" i="24" s="1"/>
  <c r="BQ16" i="24"/>
  <c r="CI123" i="24"/>
  <c r="CT11" i="24"/>
  <c r="CC11" i="24"/>
  <c r="CG203" i="24"/>
  <c r="CF214" i="24"/>
  <c r="CX214" i="24" s="1"/>
  <c r="CF222" i="24"/>
  <c r="CX222" i="24" s="1"/>
  <c r="CX203" i="24"/>
  <c r="K144" i="61"/>
  <c r="L219" i="61"/>
  <c r="L141" i="61"/>
  <c r="L179" i="24"/>
  <c r="L34" i="64"/>
  <c r="W155" i="61"/>
  <c r="BN417" i="24"/>
  <c r="BN154" i="24"/>
  <c r="BO359" i="24"/>
  <c r="Y288" i="24"/>
  <c r="Y365" i="24" s="1"/>
  <c r="Z5" i="70"/>
  <c r="BO403" i="24"/>
  <c r="BO323" i="24"/>
  <c r="BO148" i="24"/>
  <c r="BO257" i="24"/>
  <c r="CB241" i="61"/>
  <c r="Z43" i="52"/>
  <c r="Y44" i="52"/>
  <c r="Y46" i="52"/>
  <c r="CI122" i="24"/>
  <c r="BR122" i="24"/>
  <c r="BQ15" i="24"/>
  <c r="BQ389" i="24"/>
  <c r="CI389" i="24" s="1"/>
  <c r="N194" i="61"/>
  <c r="N164" i="24"/>
  <c r="N140" i="61"/>
  <c r="N218" i="61"/>
  <c r="M143" i="61"/>
  <c r="N170" i="61" s="1"/>
  <c r="BQ41" i="24"/>
  <c r="BR126" i="24"/>
  <c r="BQ393" i="24"/>
  <c r="CI393" i="24" s="1"/>
  <c r="BQ130" i="24"/>
  <c r="BR41" i="24"/>
  <c r="CI126" i="24"/>
  <c r="BY136" i="61" l="1"/>
  <c r="BM136" i="61"/>
  <c r="AX217" i="24"/>
  <c r="AW66" i="24"/>
  <c r="AW225" i="24"/>
  <c r="AZ242" i="24"/>
  <c r="AV221" i="24"/>
  <c r="AV206" i="24"/>
  <c r="AV224" i="24"/>
  <c r="AV226" i="24"/>
  <c r="AV222" i="24"/>
  <c r="AV223" i="24"/>
  <c r="AU202" i="24"/>
  <c r="AY259" i="24"/>
  <c r="AY255" i="24"/>
  <c r="AY260" i="24" s="1"/>
  <c r="AX254" i="24"/>
  <c r="AX352" i="24"/>
  <c r="AX70" i="24"/>
  <c r="AX71" i="24" s="1"/>
  <c r="AY20" i="24" s="1"/>
  <c r="CG226" i="24"/>
  <c r="CY226" i="24" s="1"/>
  <c r="CY207" i="24"/>
  <c r="CG218" i="24"/>
  <c r="CY218" i="24" s="1"/>
  <c r="BR296" i="24"/>
  <c r="CJ296" i="24" s="1"/>
  <c r="CJ41" i="24"/>
  <c r="BQ296" i="24"/>
  <c r="CI296" i="24" s="1"/>
  <c r="CI41" i="24"/>
  <c r="M218" i="61"/>
  <c r="M194" i="61"/>
  <c r="L143" i="61"/>
  <c r="M170" i="61" s="1"/>
  <c r="M164" i="24"/>
  <c r="M140" i="61"/>
  <c r="CI15" i="24"/>
  <c r="BQ358" i="24"/>
  <c r="CI358" i="24" s="1"/>
  <c r="BO324" i="24"/>
  <c r="BO150" i="24"/>
  <c r="BO415" i="24"/>
  <c r="J144" i="61"/>
  <c r="K141" i="61"/>
  <c r="K179" i="24"/>
  <c r="K219" i="61"/>
  <c r="K34" i="64"/>
  <c r="CY203" i="24"/>
  <c r="CG222" i="24"/>
  <c r="CY222" i="24" s="1"/>
  <c r="CG214" i="24"/>
  <c r="CY214" i="24" s="1"/>
  <c r="AB368" i="24"/>
  <c r="AB48" i="52"/>
  <c r="AB45" i="24"/>
  <c r="AC45" i="52"/>
  <c r="V152" i="61"/>
  <c r="BQ29" i="24"/>
  <c r="N5" i="70"/>
  <c r="BL270" i="24"/>
  <c r="D8" i="55"/>
  <c r="BP67" i="45"/>
  <c r="BP257" i="24"/>
  <c r="Z297" i="24"/>
  <c r="Z30" i="24"/>
  <c r="Z286" i="24" s="1"/>
  <c r="Z44" i="24"/>
  <c r="Z316" i="24"/>
  <c r="Z317" i="24" s="1"/>
  <c r="Z288" i="24"/>
  <c r="Z365" i="24" s="1"/>
  <c r="AA5" i="70"/>
  <c r="BQ397" i="24"/>
  <c r="CI397" i="24" s="1"/>
  <c r="CI130" i="24"/>
  <c r="BS126" i="24"/>
  <c r="BR393" i="24"/>
  <c r="CJ393" i="24" s="1"/>
  <c r="BR98" i="24"/>
  <c r="CJ126" i="24"/>
  <c r="BR130" i="24"/>
  <c r="N308" i="24"/>
  <c r="N199" i="24"/>
  <c r="BS122" i="24"/>
  <c r="BR389" i="24"/>
  <c r="CJ389" i="24" s="1"/>
  <c r="CJ122" i="24"/>
  <c r="BR15" i="24"/>
  <c r="Z44" i="52"/>
  <c r="Z46" i="52"/>
  <c r="AA43" i="52"/>
  <c r="L180" i="24"/>
  <c r="L434" i="24"/>
  <c r="CU11" i="24"/>
  <c r="CD11" i="24"/>
  <c r="BQ21" i="24"/>
  <c r="CI21" i="24" s="1"/>
  <c r="BQ30" i="24"/>
  <c r="BQ307" i="24"/>
  <c r="BQ308" i="24"/>
  <c r="CI16" i="24"/>
  <c r="BQ252" i="24"/>
  <c r="BQ250" i="24"/>
  <c r="CJ123" i="24"/>
  <c r="BS123" i="24"/>
  <c r="BR16" i="24"/>
  <c r="BR390" i="24"/>
  <c r="CJ390" i="24" s="1"/>
  <c r="BO282" i="24"/>
  <c r="BO31" i="24"/>
  <c r="BO287" i="24" s="1"/>
  <c r="BM55" i="61"/>
  <c r="BZ146" i="61"/>
  <c r="BN74" i="61"/>
  <c r="CA74" i="61" s="1"/>
  <c r="AA299" i="24"/>
  <c r="AA367" i="24" s="1"/>
  <c r="AA32" i="24"/>
  <c r="AA42" i="24"/>
  <c r="T154" i="61"/>
  <c r="U155" i="61" s="1"/>
  <c r="S136" i="61"/>
  <c r="T153" i="61"/>
  <c r="CG55" i="24"/>
  <c r="CY55" i="24" s="1"/>
  <c r="CG399" i="24"/>
  <c r="CY399" i="24" s="1"/>
  <c r="CY132" i="24"/>
  <c r="Z33" i="24"/>
  <c r="AA35" i="52"/>
  <c r="Z366" i="24"/>
  <c r="BP66" i="45"/>
  <c r="D7" i="55"/>
  <c r="BR13" i="24"/>
  <c r="BQ73" i="24"/>
  <c r="BQ12" i="24"/>
  <c r="BQ23" i="24"/>
  <c r="CI23" i="24" s="1"/>
  <c r="CI13" i="24"/>
  <c r="BQ8" i="24"/>
  <c r="BP7" i="24"/>
  <c r="BP26" i="24"/>
  <c r="BP262" i="24"/>
  <c r="BP384" i="24"/>
  <c r="BP22" i="24"/>
  <c r="BP313" i="24"/>
  <c r="BQ46" i="24"/>
  <c r="BZ136" i="61" l="1"/>
  <c r="BN136" i="61"/>
  <c r="AX255" i="24"/>
  <c r="AX260" i="24" s="1"/>
  <c r="AX259" i="24"/>
  <c r="AV66" i="24"/>
  <c r="AV225" i="24"/>
  <c r="AY242" i="24"/>
  <c r="AW352" i="24"/>
  <c r="AW254" i="24"/>
  <c r="AW70" i="24"/>
  <c r="AW71" i="24" s="1"/>
  <c r="AT202" i="24"/>
  <c r="AU224" i="24"/>
  <c r="AU221" i="24"/>
  <c r="AU226" i="24"/>
  <c r="AU206" i="24"/>
  <c r="AU223" i="24"/>
  <c r="AU222" i="24"/>
  <c r="AW217" i="24"/>
  <c r="M5" i="70"/>
  <c r="BQ22" i="24"/>
  <c r="CI22" i="24" s="1"/>
  <c r="BQ26" i="24"/>
  <c r="BQ7" i="24"/>
  <c r="CI7" i="24" s="1"/>
  <c r="BQ262" i="24"/>
  <c r="CI262" i="24" s="1"/>
  <c r="CI8" i="24"/>
  <c r="BQ313" i="24"/>
  <c r="CI313" i="24" s="1"/>
  <c r="BQ384" i="24"/>
  <c r="CI384" i="24" s="1"/>
  <c r="CI12" i="24"/>
  <c r="BQ28" i="24"/>
  <c r="BR12" i="24"/>
  <c r="CJ13" i="24"/>
  <c r="BR8" i="24"/>
  <c r="BS13" i="24"/>
  <c r="BR73" i="24"/>
  <c r="BR23" i="24"/>
  <c r="CJ23" i="24" s="1"/>
  <c r="AA33" i="24"/>
  <c r="AB35" i="52"/>
  <c r="AA366" i="24"/>
  <c r="S153" i="61"/>
  <c r="R136" i="61"/>
  <c r="S154" i="61"/>
  <c r="AA30" i="24"/>
  <c r="AA286" i="24" s="1"/>
  <c r="AA44" i="24"/>
  <c r="AA316" i="24"/>
  <c r="AA317" i="24" s="1"/>
  <c r="AA297" i="24"/>
  <c r="BN146" i="61"/>
  <c r="BR21" i="24"/>
  <c r="CJ21" i="24" s="1"/>
  <c r="BR30" i="24"/>
  <c r="BR308" i="24"/>
  <c r="CJ16" i="24"/>
  <c r="BR307" i="24"/>
  <c r="BR252" i="24"/>
  <c r="BR250" i="24"/>
  <c r="CI252" i="24"/>
  <c r="BQ257" i="24"/>
  <c r="CI308" i="24"/>
  <c r="BQ66" i="45"/>
  <c r="E7" i="55"/>
  <c r="BQ286" i="24"/>
  <c r="CI286" i="24" s="1"/>
  <c r="CI30" i="24"/>
  <c r="CE11" i="24"/>
  <c r="CV11" i="24"/>
  <c r="AA46" i="52"/>
  <c r="AB43" i="52"/>
  <c r="AA44" i="52"/>
  <c r="CJ15" i="24"/>
  <c r="BR358" i="24"/>
  <c r="CJ358" i="24" s="1"/>
  <c r="CJ130" i="24"/>
  <c r="BR397" i="24"/>
  <c r="CJ397" i="24" s="1"/>
  <c r="AC45" i="24"/>
  <c r="AC48" i="52"/>
  <c r="AC368" i="24"/>
  <c r="AD45" i="52"/>
  <c r="BR29" i="24"/>
  <c r="M308" i="24"/>
  <c r="M199" i="24"/>
  <c r="BP282" i="24"/>
  <c r="T152" i="61"/>
  <c r="T155" i="61"/>
  <c r="AA288" i="24"/>
  <c r="AA365" i="24" s="1"/>
  <c r="AB5" i="70"/>
  <c r="BZ55" i="61"/>
  <c r="BT123" i="24"/>
  <c r="BS390" i="24"/>
  <c r="CK390" i="24" s="1"/>
  <c r="BS16" i="24"/>
  <c r="CK123" i="24"/>
  <c r="CI250" i="24"/>
  <c r="BQ67" i="45"/>
  <c r="E8" i="55"/>
  <c r="CI307" i="24"/>
  <c r="X7" i="55" s="1"/>
  <c r="CK122" i="24"/>
  <c r="BT122" i="24"/>
  <c r="BS389" i="24"/>
  <c r="CK389" i="24" s="1"/>
  <c r="BS15" i="24"/>
  <c r="BS41" i="24"/>
  <c r="BR119" i="24"/>
  <c r="CJ98" i="24"/>
  <c r="BR87" i="24"/>
  <c r="BT126" i="24"/>
  <c r="BS393" i="24"/>
  <c r="CK393" i="24" s="1"/>
  <c r="BS130" i="24"/>
  <c r="CK126" i="24"/>
  <c r="BS98" i="24"/>
  <c r="BK270" i="24"/>
  <c r="CI29" i="24"/>
  <c r="BQ285" i="24"/>
  <c r="CI285" i="24" s="1"/>
  <c r="U152" i="61"/>
  <c r="AB299" i="24"/>
  <c r="AB367" i="24" s="1"/>
  <c r="AB32" i="24"/>
  <c r="AB42" i="24"/>
  <c r="K434" i="24"/>
  <c r="K180" i="24"/>
  <c r="J141" i="61"/>
  <c r="J34" i="64"/>
  <c r="J179" i="24"/>
  <c r="I144" i="61"/>
  <c r="J219" i="61"/>
  <c r="BO154" i="24"/>
  <c r="BO417" i="24"/>
  <c r="K143" i="61"/>
  <c r="L218" i="61"/>
  <c r="L170" i="61"/>
  <c r="L194" i="61"/>
  <c r="L140" i="61"/>
  <c r="L164" i="24"/>
  <c r="CA136" i="61" l="1"/>
  <c r="BO136" i="61"/>
  <c r="CB136" i="61" s="1"/>
  <c r="AU225" i="24"/>
  <c r="AU66" i="24"/>
  <c r="AT226" i="24"/>
  <c r="AT223" i="24"/>
  <c r="AT221" i="24"/>
  <c r="AT224" i="24"/>
  <c r="AS202" i="24"/>
  <c r="AT206" i="24"/>
  <c r="AT222" i="24"/>
  <c r="AV217" i="24"/>
  <c r="AV254" i="24"/>
  <c r="AV352" i="24"/>
  <c r="AV70" i="24"/>
  <c r="AV71" i="24" s="1"/>
  <c r="AX20" i="24"/>
  <c r="AW259" i="24"/>
  <c r="AW255" i="24"/>
  <c r="AW260" i="24" s="1"/>
  <c r="AX242" i="24"/>
  <c r="L308" i="24"/>
  <c r="L199" i="24"/>
  <c r="J434" i="24"/>
  <c r="J180" i="24"/>
  <c r="L5" i="70"/>
  <c r="AB297" i="24"/>
  <c r="AB30" i="24"/>
  <c r="AB286" i="24" s="1"/>
  <c r="AB44" i="24"/>
  <c r="AB316" i="24"/>
  <c r="AB317" i="24" s="1"/>
  <c r="BR312" i="24"/>
  <c r="CJ312" i="24" s="1"/>
  <c r="BR335" i="24"/>
  <c r="CJ335" i="24" s="1"/>
  <c r="CJ87" i="24"/>
  <c r="BR100" i="24"/>
  <c r="CJ119" i="24"/>
  <c r="BR360" i="24"/>
  <c r="CJ360" i="24" s="1"/>
  <c r="BS119" i="24"/>
  <c r="BS358" i="24"/>
  <c r="CK358" i="24" s="1"/>
  <c r="CK15" i="24"/>
  <c r="CL122" i="24"/>
  <c r="BU122" i="24"/>
  <c r="BT389" i="24"/>
  <c r="CL389" i="24" s="1"/>
  <c r="BS21" i="24"/>
  <c r="CK21" i="24" s="1"/>
  <c r="BS30" i="24"/>
  <c r="BS307" i="24"/>
  <c r="CK16" i="24"/>
  <c r="BS252" i="24"/>
  <c r="BS308" i="24"/>
  <c r="BS250" i="24"/>
  <c r="CL123" i="24"/>
  <c r="BU123" i="24"/>
  <c r="BT390" i="24"/>
  <c r="CL390" i="24" s="1"/>
  <c r="AC299" i="24"/>
  <c r="AC367" i="24" s="1"/>
  <c r="AC32" i="24"/>
  <c r="AC42" i="24"/>
  <c r="BS29" i="24"/>
  <c r="AC43" i="52"/>
  <c r="AB44" i="52"/>
  <c r="AB46" i="52"/>
  <c r="BR257" i="24"/>
  <c r="CJ252" i="24"/>
  <c r="CJ30" i="24"/>
  <c r="BR286" i="24"/>
  <c r="CJ286" i="24" s="1"/>
  <c r="BO74" i="61"/>
  <c r="CB74" i="61" s="1"/>
  <c r="CA146" i="61"/>
  <c r="BO146" i="61"/>
  <c r="BN55" i="61"/>
  <c r="AB33" i="24"/>
  <c r="AC35" i="52"/>
  <c r="AB366" i="24"/>
  <c r="CK13" i="24"/>
  <c r="BS23" i="24"/>
  <c r="CK23" i="24" s="1"/>
  <c r="BS73" i="24"/>
  <c r="BS12" i="24"/>
  <c r="BS8" i="24"/>
  <c r="CI28" i="24"/>
  <c r="BQ284" i="24"/>
  <c r="CI284" i="24" s="1"/>
  <c r="K194" i="61"/>
  <c r="K140" i="61"/>
  <c r="J143" i="61"/>
  <c r="K170" i="61" s="1"/>
  <c r="K164" i="24"/>
  <c r="K218" i="61"/>
  <c r="I219" i="61"/>
  <c r="H144" i="61"/>
  <c r="I141" i="61"/>
  <c r="I34" i="64"/>
  <c r="I179" i="24"/>
  <c r="AB288" i="24"/>
  <c r="AB365" i="24" s="1"/>
  <c r="AC5" i="70"/>
  <c r="BJ270" i="24"/>
  <c r="CK98" i="24"/>
  <c r="BS87" i="24"/>
  <c r="BS397" i="24"/>
  <c r="CK397" i="24" s="1"/>
  <c r="CK130" i="24"/>
  <c r="CL126" i="24"/>
  <c r="BT393" i="24"/>
  <c r="CL393" i="24" s="1"/>
  <c r="BU126" i="24"/>
  <c r="BT98" i="24"/>
  <c r="CL98" i="24" s="1"/>
  <c r="BS296" i="24"/>
  <c r="CK296" i="24" s="1"/>
  <c r="CK41" i="24"/>
  <c r="BR285" i="24"/>
  <c r="CJ285" i="24" s="1"/>
  <c r="CJ29" i="24"/>
  <c r="AD45" i="24"/>
  <c r="AE45" i="52"/>
  <c r="AD368" i="24"/>
  <c r="AD48" i="52"/>
  <c r="CW11" i="24"/>
  <c r="CF11" i="24"/>
  <c r="CI257" i="24"/>
  <c r="CJ250" i="24"/>
  <c r="BR67" i="45"/>
  <c r="CJ307" i="24"/>
  <c r="Y7" i="55" s="1"/>
  <c r="F8" i="55"/>
  <c r="F7" i="55"/>
  <c r="CJ308" i="24"/>
  <c r="BR66" i="45"/>
  <c r="Q136" i="61"/>
  <c r="R154" i="61"/>
  <c r="S155" i="61" s="1"/>
  <c r="R153" i="61"/>
  <c r="BR7" i="24"/>
  <c r="CJ7" i="24" s="1"/>
  <c r="CJ8" i="24"/>
  <c r="BR262" i="24"/>
  <c r="CJ262" i="24" s="1"/>
  <c r="BR313" i="24"/>
  <c r="CJ313" i="24" s="1"/>
  <c r="BR384" i="24"/>
  <c r="CJ384" i="24" s="1"/>
  <c r="BR22" i="24"/>
  <c r="CJ22" i="24" s="1"/>
  <c r="BR26" i="24"/>
  <c r="CJ12" i="24"/>
  <c r="BR28" i="24"/>
  <c r="BQ282" i="24"/>
  <c r="CI282" i="24" s="1"/>
  <c r="CI26" i="24"/>
  <c r="BQ31" i="24"/>
  <c r="AS206" i="24" l="1"/>
  <c r="AR202" i="24"/>
  <c r="AS222" i="24"/>
  <c r="AS221" i="24"/>
  <c r="AS223" i="24"/>
  <c r="AS226" i="24"/>
  <c r="AS224" i="24"/>
  <c r="AU70" i="24"/>
  <c r="AU71" i="24" s="1"/>
  <c r="AU254" i="24"/>
  <c r="AU352" i="24"/>
  <c r="AW20" i="24"/>
  <c r="AV242" i="24"/>
  <c r="AV255" i="24"/>
  <c r="AV260" i="24" s="1"/>
  <c r="AV259" i="24"/>
  <c r="AW242" i="24"/>
  <c r="AT225" i="24"/>
  <c r="AT66" i="24"/>
  <c r="AT217" i="24"/>
  <c r="AU217" i="24"/>
  <c r="Q153" i="61"/>
  <c r="R152" i="61" s="1"/>
  <c r="P136" i="61"/>
  <c r="Q154" i="61"/>
  <c r="CG11" i="24"/>
  <c r="CY11" i="24" s="1"/>
  <c r="CX11" i="24"/>
  <c r="AE45" i="24"/>
  <c r="AE48" i="52"/>
  <c r="AE368" i="24"/>
  <c r="AF45" i="52"/>
  <c r="CM126" i="24"/>
  <c r="BU393" i="24"/>
  <c r="CM393" i="24" s="1"/>
  <c r="BU98" i="24"/>
  <c r="CM98" i="24" s="1"/>
  <c r="BV126" i="24"/>
  <c r="CK87" i="24"/>
  <c r="BS335" i="24"/>
  <c r="CK335" i="24" s="1"/>
  <c r="BS312" i="24"/>
  <c r="CK312" i="24" s="1"/>
  <c r="BS100" i="24"/>
  <c r="G144" i="61"/>
  <c r="H219" i="61"/>
  <c r="H141" i="61"/>
  <c r="H34" i="64"/>
  <c r="H179" i="24"/>
  <c r="K199" i="24"/>
  <c r="K308" i="24"/>
  <c r="BS7" i="24"/>
  <c r="CK7" i="24" s="1"/>
  <c r="CK8" i="24"/>
  <c r="BS313" i="24"/>
  <c r="CK313" i="24" s="1"/>
  <c r="BS262" i="24"/>
  <c r="CK262" i="24" s="1"/>
  <c r="BS384" i="24"/>
  <c r="CK384" i="24" s="1"/>
  <c r="BS22" i="24"/>
  <c r="CK22" i="24" s="1"/>
  <c r="BS26" i="24"/>
  <c r="CK12" i="24"/>
  <c r="BS28" i="24"/>
  <c r="CB146" i="61"/>
  <c r="BO55" i="61"/>
  <c r="CJ257" i="24"/>
  <c r="CK29" i="24"/>
  <c r="BS285" i="24"/>
  <c r="CK285" i="24" s="1"/>
  <c r="AC297" i="24"/>
  <c r="AC30" i="24"/>
  <c r="AC286" i="24" s="1"/>
  <c r="AC44" i="24"/>
  <c r="AC316" i="24"/>
  <c r="AC317" i="24" s="1"/>
  <c r="BV123" i="24"/>
  <c r="BU390" i="24"/>
  <c r="CM390" i="24" s="1"/>
  <c r="CM123" i="24"/>
  <c r="CK250" i="24"/>
  <c r="BS257" i="24"/>
  <c r="CK252" i="24"/>
  <c r="BS67" i="45"/>
  <c r="CK307" i="24"/>
  <c r="Z7" i="55" s="1"/>
  <c r="G8" i="55"/>
  <c r="BR101" i="24"/>
  <c r="CJ101" i="24" s="1"/>
  <c r="BR310" i="24"/>
  <c r="CJ100" i="24"/>
  <c r="BR326" i="24"/>
  <c r="CJ326" i="24" s="1"/>
  <c r="K5" i="70"/>
  <c r="BQ287" i="24"/>
  <c r="CI287" i="24" s="1"/>
  <c r="CI31" i="24"/>
  <c r="BR284" i="24"/>
  <c r="CJ284" i="24" s="1"/>
  <c r="CJ28" i="24"/>
  <c r="CJ26" i="24"/>
  <c r="BR282" i="24"/>
  <c r="CJ282" i="24" s="1"/>
  <c r="R155" i="61"/>
  <c r="AD299" i="24"/>
  <c r="AD367" i="24" s="1"/>
  <c r="AD32" i="24"/>
  <c r="AD42" i="24"/>
  <c r="BI270" i="24"/>
  <c r="I180" i="24"/>
  <c r="I434" i="24"/>
  <c r="J5" i="70" s="1"/>
  <c r="J194" i="61"/>
  <c r="I143" i="61"/>
  <c r="J140" i="61"/>
  <c r="J218" i="61"/>
  <c r="J164" i="24"/>
  <c r="J170" i="61"/>
  <c r="AC33" i="24"/>
  <c r="AD35" i="52"/>
  <c r="AC366" i="24"/>
  <c r="S152" i="61"/>
  <c r="CA55" i="61"/>
  <c r="AD43" i="52"/>
  <c r="AC44" i="52"/>
  <c r="AC46" i="52"/>
  <c r="AC288" i="24"/>
  <c r="AC365" i="24" s="1"/>
  <c r="AD5" i="70"/>
  <c r="G7" i="55"/>
  <c r="CK308" i="24"/>
  <c r="BS66" i="45"/>
  <c r="BS286" i="24"/>
  <c r="CK286" i="24" s="1"/>
  <c r="CK30" i="24"/>
  <c r="CM122" i="24"/>
  <c r="BU389" i="24"/>
  <c r="CM389" i="24" s="1"/>
  <c r="BV122" i="24"/>
  <c r="CK119" i="24"/>
  <c r="BT119" i="24"/>
  <c r="BS360" i="24"/>
  <c r="CK360" i="24" s="1"/>
  <c r="AT254" i="24" l="1"/>
  <c r="AT70" i="24"/>
  <c r="AT71" i="24" s="1"/>
  <c r="AU242" i="24" s="1"/>
  <c r="AT352" i="24"/>
  <c r="AU20" i="24"/>
  <c r="AR226" i="24"/>
  <c r="AR222" i="24"/>
  <c r="AQ202" i="24"/>
  <c r="AR224" i="24"/>
  <c r="AR221" i="24"/>
  <c r="AR206" i="24"/>
  <c r="AS217" i="24" s="1"/>
  <c r="AR223" i="24"/>
  <c r="AV20" i="24"/>
  <c r="AU259" i="24"/>
  <c r="AU255" i="24"/>
  <c r="AU260" i="24" s="1"/>
  <c r="AS66" i="24"/>
  <c r="AS225" i="24"/>
  <c r="AD366" i="24"/>
  <c r="AD33" i="24"/>
  <c r="AE35" i="52"/>
  <c r="I218" i="61"/>
  <c r="H143" i="61"/>
  <c r="I194" i="61"/>
  <c r="I164" i="24"/>
  <c r="I140" i="61"/>
  <c r="BH270" i="24"/>
  <c r="AD288" i="24"/>
  <c r="AD365" i="24" s="1"/>
  <c r="AE5" i="70"/>
  <c r="BW123" i="24"/>
  <c r="CN123" i="24"/>
  <c r="BV390" i="24"/>
  <c r="CN390" i="24" s="1"/>
  <c r="CK26" i="24"/>
  <c r="BS282" i="24"/>
  <c r="CK282" i="24" s="1"/>
  <c r="AE299" i="24"/>
  <c r="AE367" i="24" s="1"/>
  <c r="AE32" i="24"/>
  <c r="AE42" i="24"/>
  <c r="O136" i="61"/>
  <c r="P153" i="61"/>
  <c r="P154" i="61"/>
  <c r="BU119" i="24"/>
  <c r="CL119" i="24"/>
  <c r="BW122" i="24"/>
  <c r="BV389" i="24"/>
  <c r="CN389" i="24" s="1"/>
  <c r="CN122" i="24"/>
  <c r="AD44" i="52"/>
  <c r="AD46" i="52"/>
  <c r="AE43" i="52"/>
  <c r="J308" i="24"/>
  <c r="J199" i="24"/>
  <c r="AD297" i="24"/>
  <c r="AD30" i="24"/>
  <c r="AD286" i="24" s="1"/>
  <c r="AD44" i="24"/>
  <c r="AD316" i="24"/>
  <c r="AD317" i="24" s="1"/>
  <c r="CJ310" i="24"/>
  <c r="Y9" i="55" s="1"/>
  <c r="F9" i="55"/>
  <c r="CK257" i="24"/>
  <c r="CB55" i="61"/>
  <c r="CK28" i="24"/>
  <c r="BS284" i="24"/>
  <c r="CK284" i="24" s="1"/>
  <c r="H434" i="24"/>
  <c r="H180" i="24"/>
  <c r="F144" i="61"/>
  <c r="G141" i="61"/>
  <c r="G179" i="24"/>
  <c r="G219" i="61"/>
  <c r="G34" i="64"/>
  <c r="BS101" i="24"/>
  <c r="CK101" i="24" s="1"/>
  <c r="BS326" i="24"/>
  <c r="CK326" i="24" s="1"/>
  <c r="BS310" i="24"/>
  <c r="CK100" i="24"/>
  <c r="BV98" i="24"/>
  <c r="CN98" i="24" s="1"/>
  <c r="CN126" i="24"/>
  <c r="BV393" i="24"/>
  <c r="CN393" i="24" s="1"/>
  <c r="BW126" i="24"/>
  <c r="AF45" i="24"/>
  <c r="AG45" i="52"/>
  <c r="AF368" i="24"/>
  <c r="AF48" i="52"/>
  <c r="Q155" i="61"/>
  <c r="Q152" i="61"/>
  <c r="AQ206" i="24" l="1"/>
  <c r="AQ223" i="24"/>
  <c r="AQ226" i="24"/>
  <c r="AP202" i="24"/>
  <c r="AQ224" i="24"/>
  <c r="AQ221" i="24"/>
  <c r="AQ222" i="24"/>
  <c r="AS254" i="24"/>
  <c r="AS70" i="24"/>
  <c r="AS71" i="24" s="1"/>
  <c r="AS352" i="24"/>
  <c r="AT20" i="24"/>
  <c r="AR66" i="24"/>
  <c r="AR225" i="24"/>
  <c r="AR217" i="24"/>
  <c r="AT255" i="24"/>
  <c r="AT260" i="24" s="1"/>
  <c r="AT259" i="24"/>
  <c r="AG45" i="24"/>
  <c r="AG48" i="52"/>
  <c r="AG368" i="24"/>
  <c r="AH45" i="52"/>
  <c r="BW393" i="24"/>
  <c r="CO393" i="24" s="1"/>
  <c r="BW98" i="24"/>
  <c r="CO98" i="24" s="1"/>
  <c r="CO126" i="24"/>
  <c r="BX126" i="24"/>
  <c r="AE46" i="52"/>
  <c r="AF43" i="52"/>
  <c r="AE44" i="52"/>
  <c r="BV119" i="24"/>
  <c r="CM119" i="24"/>
  <c r="AE30" i="24"/>
  <c r="AE286" i="24" s="1"/>
  <c r="AE44" i="24"/>
  <c r="AE316" i="24"/>
  <c r="AE317" i="24" s="1"/>
  <c r="AE297" i="24"/>
  <c r="AE33" i="24"/>
  <c r="AF35" i="52"/>
  <c r="AE366" i="24"/>
  <c r="AF299" i="24"/>
  <c r="AF367" i="24" s="1"/>
  <c r="AF32" i="24"/>
  <c r="AF42" i="24"/>
  <c r="CK310" i="24"/>
  <c r="Z9" i="55" s="1"/>
  <c r="G9" i="55"/>
  <c r="G180" i="24"/>
  <c r="G434" i="24"/>
  <c r="F141" i="61"/>
  <c r="F219" i="61"/>
  <c r="F34" i="64"/>
  <c r="F179" i="24"/>
  <c r="I5" i="70"/>
  <c r="BX122" i="24"/>
  <c r="BW389" i="24"/>
  <c r="CO389" i="24" s="1"/>
  <c r="CO122" i="24"/>
  <c r="O153" i="61"/>
  <c r="N136" i="61"/>
  <c r="O154" i="61"/>
  <c r="P155" i="61" s="1"/>
  <c r="AE288" i="24"/>
  <c r="AE365" i="24" s="1"/>
  <c r="AF5" i="70"/>
  <c r="BX123" i="24"/>
  <c r="BW390" i="24"/>
  <c r="CO390" i="24" s="1"/>
  <c r="CO123" i="24"/>
  <c r="BG270" i="24"/>
  <c r="I308" i="24"/>
  <c r="I199" i="24"/>
  <c r="G143" i="61"/>
  <c r="H194" i="61"/>
  <c r="H164" i="24"/>
  <c r="H140" i="61"/>
  <c r="H170" i="61"/>
  <c r="H218" i="61"/>
  <c r="I170" i="61"/>
  <c r="AR254" i="24" l="1"/>
  <c r="AR352" i="24"/>
  <c r="AR70" i="24"/>
  <c r="AR71" i="24" s="1"/>
  <c r="AS20" i="24" s="1"/>
  <c r="AS259" i="24"/>
  <c r="AS255" i="24"/>
  <c r="AS260" i="24" s="1"/>
  <c r="AP206" i="24"/>
  <c r="AP222" i="24"/>
  <c r="AP226" i="24"/>
  <c r="AP223" i="24"/>
  <c r="AP221" i="24"/>
  <c r="AP224" i="24"/>
  <c r="AO202" i="24"/>
  <c r="AT242" i="24"/>
  <c r="AQ225" i="24"/>
  <c r="AQ217" i="24"/>
  <c r="AQ66" i="24"/>
  <c r="F143" i="61"/>
  <c r="G218" i="61"/>
  <c r="G164" i="24"/>
  <c r="G194" i="61"/>
  <c r="G140" i="61"/>
  <c r="G170" i="61"/>
  <c r="BF270" i="24"/>
  <c r="M136" i="61"/>
  <c r="N154" i="61"/>
  <c r="N153" i="61"/>
  <c r="F180" i="24"/>
  <c r="F434" i="24"/>
  <c r="H5" i="70"/>
  <c r="AF288" i="24"/>
  <c r="AF365" i="24" s="1"/>
  <c r="AG5" i="70"/>
  <c r="BW119" i="24"/>
  <c r="CN119" i="24"/>
  <c r="AG43" i="52"/>
  <c r="AF44" i="52"/>
  <c r="AF46" i="52"/>
  <c r="AG299" i="24"/>
  <c r="AG367" i="24" s="1"/>
  <c r="AG32" i="24"/>
  <c r="AG42" i="24"/>
  <c r="BY123" i="24"/>
  <c r="CP123" i="24"/>
  <c r="BX390" i="24"/>
  <c r="CP390" i="24" s="1"/>
  <c r="O155" i="61"/>
  <c r="O152" i="61"/>
  <c r="CP122" i="24"/>
  <c r="BY122" i="24"/>
  <c r="BX389" i="24"/>
  <c r="CP389" i="24" s="1"/>
  <c r="AF30" i="24"/>
  <c r="AF286" i="24" s="1"/>
  <c r="AF44" i="24"/>
  <c r="AF316" i="24"/>
  <c r="AF317" i="24" s="1"/>
  <c r="AF297" i="24"/>
  <c r="AF366" i="24"/>
  <c r="AF33" i="24"/>
  <c r="AG35" i="52"/>
  <c r="P152" i="61"/>
  <c r="CP126" i="24"/>
  <c r="BY126" i="24"/>
  <c r="BX98" i="24"/>
  <c r="CP98" i="24" s="1"/>
  <c r="BX393" i="24"/>
  <c r="CP393" i="24" s="1"/>
  <c r="AH45" i="24"/>
  <c r="AI45" i="52"/>
  <c r="AH368" i="24"/>
  <c r="AH48" i="52"/>
  <c r="AS242" i="24" l="1"/>
  <c r="AO226" i="24"/>
  <c r="AO224" i="24"/>
  <c r="AO206" i="24"/>
  <c r="AP217" i="24" s="1"/>
  <c r="AN202" i="24"/>
  <c r="AO222" i="24"/>
  <c r="AO223" i="24"/>
  <c r="AO221" i="24"/>
  <c r="AP225" i="24"/>
  <c r="AP66" i="24"/>
  <c r="AQ254" i="24"/>
  <c r="AQ352" i="24"/>
  <c r="AQ70" i="24"/>
  <c r="AQ71" i="24" s="1"/>
  <c r="AR242" i="24" s="1"/>
  <c r="AR20" i="24"/>
  <c r="AR259" i="24"/>
  <c r="AR255" i="24"/>
  <c r="AR260" i="24" s="1"/>
  <c r="AG297" i="24"/>
  <c r="AG30" i="24"/>
  <c r="AG286" i="24" s="1"/>
  <c r="AG44" i="24"/>
  <c r="AG316" i="24"/>
  <c r="AG317" i="24" s="1"/>
  <c r="AG46" i="52"/>
  <c r="AH43" i="52"/>
  <c r="AG44" i="52"/>
  <c r="AI368" i="24"/>
  <c r="AJ45" i="52"/>
  <c r="AI45" i="24"/>
  <c r="AI48" i="52"/>
  <c r="CQ126" i="24"/>
  <c r="BY393" i="24"/>
  <c r="CQ393" i="24" s="1"/>
  <c r="BY98" i="24"/>
  <c r="CQ98" i="24" s="1"/>
  <c r="BZ126" i="24"/>
  <c r="AG33" i="24"/>
  <c r="AH35" i="52"/>
  <c r="AG366" i="24"/>
  <c r="AH299" i="24"/>
  <c r="AH367" i="24" s="1"/>
  <c r="AH32" i="24"/>
  <c r="AH42" i="24"/>
  <c r="CQ122" i="24"/>
  <c r="BY389" i="24"/>
  <c r="CQ389" i="24" s="1"/>
  <c r="BZ122" i="24"/>
  <c r="BZ123" i="24"/>
  <c r="BY390" i="24"/>
  <c r="CQ390" i="24" s="1"/>
  <c r="CQ123" i="24"/>
  <c r="AG288" i="24"/>
  <c r="AG365" i="24" s="1"/>
  <c r="AH5" i="70"/>
  <c r="CO119" i="24"/>
  <c r="BX119" i="24"/>
  <c r="M153" i="61"/>
  <c r="L136" i="61"/>
  <c r="M154" i="61"/>
  <c r="BE270" i="24"/>
  <c r="F218" i="61"/>
  <c r="F194" i="61"/>
  <c r="F164" i="24"/>
  <c r="F140" i="61"/>
  <c r="AM202" i="24" l="1"/>
  <c r="AN224" i="24"/>
  <c r="AN221" i="24"/>
  <c r="AN206" i="24"/>
  <c r="AN223" i="24"/>
  <c r="AN226" i="24"/>
  <c r="AN222" i="24"/>
  <c r="AQ259" i="24"/>
  <c r="AQ255" i="24"/>
  <c r="AQ260" i="24" s="1"/>
  <c r="AP352" i="24"/>
  <c r="AP254" i="24"/>
  <c r="AP70" i="24"/>
  <c r="AP71" i="24" s="1"/>
  <c r="AO225" i="24"/>
  <c r="AO66" i="24"/>
  <c r="CA123" i="24"/>
  <c r="BZ390" i="24"/>
  <c r="CR390" i="24" s="1"/>
  <c r="CR123" i="24"/>
  <c r="AH288" i="24"/>
  <c r="AH365" i="24" s="1"/>
  <c r="AI5" i="70"/>
  <c r="AI299" i="24"/>
  <c r="AI367" i="24" s="1"/>
  <c r="AI32" i="24"/>
  <c r="AI42" i="24"/>
  <c r="BD270" i="24"/>
  <c r="K136" i="61"/>
  <c r="L153" i="61"/>
  <c r="L154" i="61"/>
  <c r="N152" i="61"/>
  <c r="BY119" i="24"/>
  <c r="CP119" i="24"/>
  <c r="CR122" i="24"/>
  <c r="BZ389" i="24"/>
  <c r="CR389" i="24" s="1"/>
  <c r="CA122" i="24"/>
  <c r="AH30" i="24"/>
  <c r="AH286" i="24" s="1"/>
  <c r="AH44" i="24"/>
  <c r="AH316" i="24"/>
  <c r="AH317" i="24" s="1"/>
  <c r="AH297" i="24"/>
  <c r="AH366" i="24"/>
  <c r="AH33" i="24"/>
  <c r="AI35" i="52"/>
  <c r="CA126" i="24"/>
  <c r="BZ98" i="24"/>
  <c r="CR98" i="24" s="1"/>
  <c r="BZ393" i="24"/>
  <c r="CR393" i="24" s="1"/>
  <c r="CR126" i="24"/>
  <c r="AJ368" i="24"/>
  <c r="AJ48" i="52"/>
  <c r="AJ45" i="24"/>
  <c r="AK45" i="52"/>
  <c r="N155" i="61"/>
  <c r="AI43" i="52"/>
  <c r="AH44" i="52"/>
  <c r="AH46" i="52"/>
  <c r="AQ242" i="24" l="1"/>
  <c r="AO217" i="24"/>
  <c r="AN225" i="24"/>
  <c r="AN66" i="24"/>
  <c r="AO254" i="24"/>
  <c r="AO70" i="24"/>
  <c r="AO71" i="24" s="1"/>
  <c r="AO352" i="24"/>
  <c r="AP20" i="24"/>
  <c r="AQ20" i="24"/>
  <c r="AP255" i="24"/>
  <c r="AP260" i="24" s="1"/>
  <c r="AP259" i="24"/>
  <c r="AM221" i="24"/>
  <c r="AM222" i="24"/>
  <c r="AM206" i="24"/>
  <c r="AM223" i="24"/>
  <c r="AM226" i="24"/>
  <c r="AM224" i="24"/>
  <c r="AL202" i="24"/>
  <c r="CB126" i="24"/>
  <c r="CA98" i="24"/>
  <c r="CS98" i="24" s="1"/>
  <c r="CS126" i="24"/>
  <c r="CA393" i="24"/>
  <c r="CS393" i="24" s="1"/>
  <c r="BZ119" i="24"/>
  <c r="CQ119" i="24"/>
  <c r="K153" i="61"/>
  <c r="L152" i="61" s="1"/>
  <c r="J136" i="61"/>
  <c r="K154" i="61"/>
  <c r="L155" i="61" s="1"/>
  <c r="BC270" i="24"/>
  <c r="AI288" i="24"/>
  <c r="AI365" i="24" s="1"/>
  <c r="AJ5" i="70"/>
  <c r="M155" i="61"/>
  <c r="AJ299" i="24"/>
  <c r="AJ367" i="24" s="1"/>
  <c r="AJ32" i="24"/>
  <c r="AJ42" i="24"/>
  <c r="AI46" i="52"/>
  <c r="AJ43" i="52"/>
  <c r="AI44" i="52"/>
  <c r="AK45" i="24"/>
  <c r="AK48" i="52"/>
  <c r="AK368" i="24"/>
  <c r="AL45" i="52"/>
  <c r="AI33" i="24"/>
  <c r="AJ35" i="52"/>
  <c r="AI366" i="24"/>
  <c r="CS122" i="24"/>
  <c r="CA389" i="24"/>
  <c r="CS389" i="24" s="1"/>
  <c r="CB122" i="24"/>
  <c r="AI297" i="24"/>
  <c r="AI30" i="24"/>
  <c r="AI286" i="24" s="1"/>
  <c r="AI44" i="24"/>
  <c r="AI316" i="24"/>
  <c r="AI317" i="24" s="1"/>
  <c r="CS123" i="24"/>
  <c r="CA390" i="24"/>
  <c r="CS390" i="24" s="1"/>
  <c r="CB123" i="24"/>
  <c r="M152" i="61"/>
  <c r="AL226" i="24" l="1"/>
  <c r="AL223" i="24"/>
  <c r="AL221" i="24"/>
  <c r="AL224" i="24"/>
  <c r="AK202" i="24"/>
  <c r="AL206" i="24"/>
  <c r="AL222" i="24"/>
  <c r="AM225" i="24"/>
  <c r="AM66" i="24"/>
  <c r="AN217" i="24"/>
  <c r="AP242" i="24"/>
  <c r="AO255" i="24"/>
  <c r="AO260" i="24" s="1"/>
  <c r="AO259" i="24"/>
  <c r="AN352" i="24"/>
  <c r="AN70" i="24"/>
  <c r="AN71" i="24" s="1"/>
  <c r="AO242" i="24" s="1"/>
  <c r="AN254" i="24"/>
  <c r="CC122" i="24"/>
  <c r="CT122" i="24"/>
  <c r="CB389" i="24"/>
  <c r="CT389" i="24" s="1"/>
  <c r="CT123" i="24"/>
  <c r="CC123" i="24"/>
  <c r="CB390" i="24"/>
  <c r="CT390" i="24" s="1"/>
  <c r="AJ33" i="24"/>
  <c r="AK35" i="52"/>
  <c r="AJ366" i="24"/>
  <c r="AL45" i="24"/>
  <c r="AM45" i="52"/>
  <c r="AL368" i="24"/>
  <c r="AL48" i="52"/>
  <c r="AJ288" i="24"/>
  <c r="AJ365" i="24" s="1"/>
  <c r="AK5" i="70"/>
  <c r="BB270" i="24"/>
  <c r="I136" i="61"/>
  <c r="J154" i="61"/>
  <c r="J153" i="61"/>
  <c r="AK299" i="24"/>
  <c r="AK367" i="24" s="1"/>
  <c r="AK32" i="24"/>
  <c r="AK42" i="24"/>
  <c r="AK43" i="52"/>
  <c r="AJ44" i="52"/>
  <c r="AJ46" i="52"/>
  <c r="AJ297" i="24"/>
  <c r="AJ30" i="24"/>
  <c r="AJ286" i="24" s="1"/>
  <c r="AJ44" i="24"/>
  <c r="AJ316" i="24"/>
  <c r="AJ317" i="24" s="1"/>
  <c r="K155" i="61"/>
  <c r="K152" i="61"/>
  <c r="CA119" i="24"/>
  <c r="CR119" i="24"/>
  <c r="CB98" i="24"/>
  <c r="CT98" i="24" s="1"/>
  <c r="CT126" i="24"/>
  <c r="CB393" i="24"/>
  <c r="CT393" i="24" s="1"/>
  <c r="CC126" i="24"/>
  <c r="AO20" i="24" l="1"/>
  <c r="AM217" i="24"/>
  <c r="AL66" i="24"/>
  <c r="AL225" i="24"/>
  <c r="AN259" i="24"/>
  <c r="AN255" i="24"/>
  <c r="AN260" i="24" s="1"/>
  <c r="AM70" i="24"/>
  <c r="AM71" i="24" s="1"/>
  <c r="AN20" i="24" s="1"/>
  <c r="AM254" i="24"/>
  <c r="AM352" i="24"/>
  <c r="AK226" i="24"/>
  <c r="AK224" i="24"/>
  <c r="AK206" i="24"/>
  <c r="AL217" i="24" s="1"/>
  <c r="AJ202" i="24"/>
  <c r="AK222" i="24"/>
  <c r="AK221" i="24"/>
  <c r="AK223" i="24"/>
  <c r="AK30" i="24"/>
  <c r="AK286" i="24" s="1"/>
  <c r="AK44" i="24"/>
  <c r="AK316" i="24"/>
  <c r="AK317" i="24" s="1"/>
  <c r="AK297" i="24"/>
  <c r="AL299" i="24"/>
  <c r="AL367" i="24" s="1"/>
  <c r="AL32" i="24"/>
  <c r="AL42" i="24"/>
  <c r="AK33" i="24"/>
  <c r="AL35" i="52"/>
  <c r="AK366" i="24"/>
  <c r="CD123" i="24"/>
  <c r="CC390" i="24"/>
  <c r="CU390" i="24" s="1"/>
  <c r="CU123" i="24"/>
  <c r="CU122" i="24"/>
  <c r="CC389" i="24"/>
  <c r="CU389" i="24" s="1"/>
  <c r="CD122" i="24"/>
  <c r="CC393" i="24"/>
  <c r="CU393" i="24" s="1"/>
  <c r="CD126" i="24"/>
  <c r="CC98" i="24"/>
  <c r="CU98" i="24" s="1"/>
  <c r="CU126" i="24"/>
  <c r="CB119" i="24"/>
  <c r="CS119" i="24"/>
  <c r="AL43" i="52"/>
  <c r="AK44" i="52"/>
  <c r="AK46" i="52"/>
  <c r="AK288" i="24"/>
  <c r="AK365" i="24" s="1"/>
  <c r="AL5" i="70"/>
  <c r="I154" i="61"/>
  <c r="J155" i="61" s="1"/>
  <c r="I153" i="61"/>
  <c r="H136" i="61"/>
  <c r="BA270" i="24"/>
  <c r="AM45" i="24"/>
  <c r="AM48" i="52"/>
  <c r="AM368" i="24"/>
  <c r="AN45" i="52"/>
  <c r="AJ206" i="24" l="1"/>
  <c r="AJ223" i="24"/>
  <c r="AJ226" i="24"/>
  <c r="AJ222" i="24"/>
  <c r="AI202" i="24"/>
  <c r="AJ224" i="24"/>
  <c r="AJ221" i="24"/>
  <c r="AM259" i="24"/>
  <c r="AM255" i="24"/>
  <c r="AM260" i="24" s="1"/>
  <c r="AL254" i="24"/>
  <c r="AL352" i="24"/>
  <c r="AL70" i="24"/>
  <c r="AL71" i="24" s="1"/>
  <c r="AM20" i="24" s="1"/>
  <c r="AK66" i="24"/>
  <c r="AK225" i="24"/>
  <c r="AK217" i="24"/>
  <c r="AN242" i="24"/>
  <c r="AM299" i="24"/>
  <c r="AM367" i="24" s="1"/>
  <c r="AM32" i="24"/>
  <c r="AM42" i="24"/>
  <c r="AZ270" i="24"/>
  <c r="J152" i="61"/>
  <c r="AM43" i="52"/>
  <c r="AL44" i="52"/>
  <c r="AL46" i="52"/>
  <c r="CE126" i="24"/>
  <c r="CD393" i="24"/>
  <c r="CV393" i="24" s="1"/>
  <c r="CD98" i="24"/>
  <c r="CV98" i="24" s="1"/>
  <c r="CV126" i="24"/>
  <c r="CE123" i="24"/>
  <c r="CD390" i="24"/>
  <c r="CV390" i="24" s="1"/>
  <c r="CV123" i="24"/>
  <c r="AM5" i="70"/>
  <c r="AL288" i="24"/>
  <c r="AL365" i="24" s="1"/>
  <c r="AN368" i="24"/>
  <c r="AN48" i="52"/>
  <c r="AN45" i="24"/>
  <c r="AO45" i="52"/>
  <c r="G136" i="61"/>
  <c r="H153" i="61"/>
  <c r="H154" i="61"/>
  <c r="CC119" i="24"/>
  <c r="CT119" i="24"/>
  <c r="CV122" i="24"/>
  <c r="CD389" i="24"/>
  <c r="CV389" i="24" s="1"/>
  <c r="CE122" i="24"/>
  <c r="AL33" i="24"/>
  <c r="AM35" i="52"/>
  <c r="AL366" i="24"/>
  <c r="AL297" i="24"/>
  <c r="AL30" i="24"/>
  <c r="AL286" i="24" s="1"/>
  <c r="AL44" i="24"/>
  <c r="AL316" i="24"/>
  <c r="AL317" i="24" s="1"/>
  <c r="AM242" i="24" l="1"/>
  <c r="AK254" i="24"/>
  <c r="AK352" i="24"/>
  <c r="AK70" i="24"/>
  <c r="AK71" i="24" s="1"/>
  <c r="AL242" i="24" s="1"/>
  <c r="AL259" i="24"/>
  <c r="AL255" i="24"/>
  <c r="AL260" i="24" s="1"/>
  <c r="AM3" i="70" s="1"/>
  <c r="AM4" i="70" s="1"/>
  <c r="AH202" i="24"/>
  <c r="AI224" i="24"/>
  <c r="AI221" i="24"/>
  <c r="AI222" i="24"/>
  <c r="AI206" i="24"/>
  <c r="AI223" i="24"/>
  <c r="AI226" i="24"/>
  <c r="AJ225" i="24"/>
  <c r="AJ66" i="24"/>
  <c r="CU119" i="24"/>
  <c r="CD119" i="24"/>
  <c r="G153" i="61"/>
  <c r="F136" i="61"/>
  <c r="G154" i="61"/>
  <c r="H155" i="61" s="1"/>
  <c r="AN299" i="24"/>
  <c r="AN367" i="24" s="1"/>
  <c r="AN32" i="24"/>
  <c r="AN42" i="24"/>
  <c r="CF123" i="24"/>
  <c r="CE390" i="24"/>
  <c r="CW390" i="24" s="1"/>
  <c r="CW123" i="24"/>
  <c r="CW126" i="24"/>
  <c r="CE98" i="24"/>
  <c r="CW98" i="24" s="1"/>
  <c r="CE393" i="24"/>
  <c r="CW393" i="24" s="1"/>
  <c r="CF126" i="24"/>
  <c r="AM30" i="24"/>
  <c r="AM286" i="24" s="1"/>
  <c r="AM44" i="24"/>
  <c r="AM316" i="24"/>
  <c r="AM317" i="24" s="1"/>
  <c r="AM297" i="24"/>
  <c r="AM33" i="24"/>
  <c r="AN35" i="52"/>
  <c r="AM366" i="24"/>
  <c r="CW122" i="24"/>
  <c r="CE389" i="24"/>
  <c r="CW389" i="24" s="1"/>
  <c r="CF122" i="24"/>
  <c r="I155" i="61"/>
  <c r="H152" i="61"/>
  <c r="AO45" i="24"/>
  <c r="AO48" i="52"/>
  <c r="AO368" i="24"/>
  <c r="AP45" i="52"/>
  <c r="AN43" i="52"/>
  <c r="AM44" i="52"/>
  <c r="AM46" i="52"/>
  <c r="I152" i="61"/>
  <c r="AY270" i="24"/>
  <c r="AM288" i="24"/>
  <c r="AM365" i="24" s="1"/>
  <c r="AN5" i="70"/>
  <c r="AL20" i="24" l="1"/>
  <c r="AJ254" i="24"/>
  <c r="AJ352" i="24"/>
  <c r="AJ70" i="24"/>
  <c r="AJ71" i="24" s="1"/>
  <c r="AK242" i="24" s="1"/>
  <c r="AI225" i="24"/>
  <c r="AI66" i="24"/>
  <c r="AG202" i="24"/>
  <c r="AH206" i="24"/>
  <c r="AH222" i="24"/>
  <c r="AH223" i="24"/>
  <c r="AH224" i="24"/>
  <c r="AH226" i="24"/>
  <c r="AH221" i="24"/>
  <c r="AJ217" i="24"/>
  <c r="AK259" i="24"/>
  <c r="AK255" i="24"/>
  <c r="AK260" i="24" s="1"/>
  <c r="AO299" i="24"/>
  <c r="AO367" i="24" s="1"/>
  <c r="AO32" i="24"/>
  <c r="AO42" i="24"/>
  <c r="CX122" i="24"/>
  <c r="CG122" i="24"/>
  <c r="CF389" i="24"/>
  <c r="CX389" i="24" s="1"/>
  <c r="AN366" i="24"/>
  <c r="AN33" i="24"/>
  <c r="AO35" i="52"/>
  <c r="AN297" i="24"/>
  <c r="AN30" i="24"/>
  <c r="AN286" i="24" s="1"/>
  <c r="AN44" i="24"/>
  <c r="AN316" i="24"/>
  <c r="AN317" i="24" s="1"/>
  <c r="AN3" i="70"/>
  <c r="AN4" i="70" s="1"/>
  <c r="F154" i="61"/>
  <c r="F153" i="61"/>
  <c r="CV119" i="24"/>
  <c r="CE119" i="24"/>
  <c r="AX270" i="24"/>
  <c r="AO43" i="52"/>
  <c r="AN44" i="52"/>
  <c r="AN46" i="52"/>
  <c r="AP45" i="24"/>
  <c r="AQ45" i="52"/>
  <c r="AP368" i="24"/>
  <c r="AP48" i="52"/>
  <c r="CX126" i="24"/>
  <c r="CF393" i="24"/>
  <c r="CX393" i="24" s="1"/>
  <c r="CF98" i="24"/>
  <c r="CX98" i="24" s="1"/>
  <c r="CG126" i="24"/>
  <c r="CX123" i="24"/>
  <c r="CG123" i="24"/>
  <c r="CF390" i="24"/>
  <c r="CX390" i="24" s="1"/>
  <c r="AN288" i="24"/>
  <c r="AN365" i="24" s="1"/>
  <c r="AO5" i="70"/>
  <c r="G155" i="61"/>
  <c r="G152" i="61"/>
  <c r="AH225" i="24" l="1"/>
  <c r="AH66" i="24"/>
  <c r="AI217" i="24"/>
  <c r="AL3" i="70"/>
  <c r="AL4" i="70" s="1"/>
  <c r="AG206" i="24"/>
  <c r="AF202" i="24"/>
  <c r="AG222" i="24"/>
  <c r="AG221" i="24"/>
  <c r="AG223" i="24"/>
  <c r="AG226" i="24"/>
  <c r="AG224" i="24"/>
  <c r="AI254" i="24"/>
  <c r="AI352" i="24"/>
  <c r="AI70" i="24"/>
  <c r="AI71" i="24" s="1"/>
  <c r="AK20" i="24"/>
  <c r="AJ242" i="24"/>
  <c r="AJ259" i="24"/>
  <c r="AJ255" i="24"/>
  <c r="AJ260" i="24" s="1"/>
  <c r="AQ45" i="24"/>
  <c r="AQ48" i="52"/>
  <c r="AQ368" i="24"/>
  <c r="AR45" i="52"/>
  <c r="AW270" i="24"/>
  <c r="AO33" i="24"/>
  <c r="AP35" i="52"/>
  <c r="AO366" i="24"/>
  <c r="CY122" i="24"/>
  <c r="CG389" i="24"/>
  <c r="CY389" i="24" s="1"/>
  <c r="AO297" i="24"/>
  <c r="AO30" i="24"/>
  <c r="AO286" i="24" s="1"/>
  <c r="AO44" i="24"/>
  <c r="AO316" i="24"/>
  <c r="AO317" i="24" s="1"/>
  <c r="AO3" i="70"/>
  <c r="AO4" i="70" s="1"/>
  <c r="CY123" i="24"/>
  <c r="CG390" i="24"/>
  <c r="CY390" i="24" s="1"/>
  <c r="CG393" i="24"/>
  <c r="CY393" i="24" s="1"/>
  <c r="CY126" i="24"/>
  <c r="CG98" i="24"/>
  <c r="CY98" i="24" s="1"/>
  <c r="AP299" i="24"/>
  <c r="AP367" i="24" s="1"/>
  <c r="AP32" i="24"/>
  <c r="AP42" i="24"/>
  <c r="AP43" i="52"/>
  <c r="AO44" i="52"/>
  <c r="AO46" i="52"/>
  <c r="CF119" i="24"/>
  <c r="CW119" i="24"/>
  <c r="AP5" i="70"/>
  <c r="AO288" i="24"/>
  <c r="AO365" i="24" s="1"/>
  <c r="AK3" i="70" l="1"/>
  <c r="AK4" i="70" s="1"/>
  <c r="AG225" i="24"/>
  <c r="AG66" i="24"/>
  <c r="AH352" i="24"/>
  <c r="AH70" i="24"/>
  <c r="AH71" i="24" s="1"/>
  <c r="AH254" i="24"/>
  <c r="AI20" i="24"/>
  <c r="AJ20" i="24"/>
  <c r="AI242" i="24"/>
  <c r="AI255" i="24"/>
  <c r="AI260" i="24" s="1"/>
  <c r="AI259" i="24"/>
  <c r="AF224" i="24"/>
  <c r="AF206" i="24"/>
  <c r="AF223" i="24"/>
  <c r="AF226" i="24"/>
  <c r="AF222" i="24"/>
  <c r="AE202" i="24"/>
  <c r="AF221" i="24"/>
  <c r="AH217" i="24"/>
  <c r="CG119" i="24"/>
  <c r="CX119" i="24"/>
  <c r="AP44" i="52"/>
  <c r="AP46" i="52"/>
  <c r="AQ43" i="52"/>
  <c r="AQ5" i="70"/>
  <c r="AP288" i="24"/>
  <c r="AP365" i="24" s="1"/>
  <c r="AP33" i="24"/>
  <c r="AQ35" i="52"/>
  <c r="AP366" i="24"/>
  <c r="AQ299" i="24"/>
  <c r="AQ367" i="24" s="1"/>
  <c r="AQ32" i="24"/>
  <c r="AQ42" i="24"/>
  <c r="AP30" i="24"/>
  <c r="AP286" i="24" s="1"/>
  <c r="AP44" i="24"/>
  <c r="AP316" i="24"/>
  <c r="AP317" i="24" s="1"/>
  <c r="AP297" i="24"/>
  <c r="AP3" i="70"/>
  <c r="AP4" i="70" s="1"/>
  <c r="AV270" i="24"/>
  <c r="AR368" i="24"/>
  <c r="AR48" i="52"/>
  <c r="AR45" i="24"/>
  <c r="AS45" i="52"/>
  <c r="AE226" i="24" l="1"/>
  <c r="AD202" i="24"/>
  <c r="AE224" i="24"/>
  <c r="AE221" i="24"/>
  <c r="AE222" i="24"/>
  <c r="AE206" i="24"/>
  <c r="AE223" i="24"/>
  <c r="AF225" i="24"/>
  <c r="AF66" i="24"/>
  <c r="AF217" i="24"/>
  <c r="AJ3" i="70"/>
  <c r="AJ4" i="70" s="1"/>
  <c r="AG217" i="24"/>
  <c r="AH255" i="24"/>
  <c r="AH260" i="24" s="1"/>
  <c r="AH259" i="24"/>
  <c r="AG254" i="24"/>
  <c r="AG70" i="24"/>
  <c r="AG71" i="24" s="1"/>
  <c r="AH242" i="24" s="1"/>
  <c r="AG352" i="24"/>
  <c r="AR42" i="24"/>
  <c r="AR299" i="24"/>
  <c r="AR367" i="24" s="1"/>
  <c r="AR32" i="24"/>
  <c r="AU270" i="24"/>
  <c r="AQ288" i="24"/>
  <c r="AQ365" i="24" s="1"/>
  <c r="AR5" i="70"/>
  <c r="CY119" i="24"/>
  <c r="AS368" i="24"/>
  <c r="AT45" i="52"/>
  <c r="AS45" i="24"/>
  <c r="AS48" i="52"/>
  <c r="AQ297" i="24"/>
  <c r="AQ30" i="24"/>
  <c r="AQ286" i="24" s="1"/>
  <c r="AQ44" i="24"/>
  <c r="AQ316" i="24"/>
  <c r="AQ317" i="24" s="1"/>
  <c r="AQ3" i="70"/>
  <c r="AQ4" i="70" s="1"/>
  <c r="AQ366" i="24"/>
  <c r="AQ33" i="24"/>
  <c r="AR35" i="52"/>
  <c r="AR43" i="52"/>
  <c r="AQ44" i="52"/>
  <c r="AQ46" i="52"/>
  <c r="AI3" i="70" l="1"/>
  <c r="AI4" i="70" s="1"/>
  <c r="AH20" i="24"/>
  <c r="AE225" i="24"/>
  <c r="AE66" i="24"/>
  <c r="AC202" i="24"/>
  <c r="AD206" i="24"/>
  <c r="AD222" i="24"/>
  <c r="AD226" i="24"/>
  <c r="AD223" i="24"/>
  <c r="AD221" i="24"/>
  <c r="AD224" i="24"/>
  <c r="AG255" i="24"/>
  <c r="AG260" i="24" s="1"/>
  <c r="AG259" i="24"/>
  <c r="AF254" i="24"/>
  <c r="AF352" i="24"/>
  <c r="AF70" i="24"/>
  <c r="AF71" i="24" s="1"/>
  <c r="AG242" i="24" s="1"/>
  <c r="AS299" i="24"/>
  <c r="AS367" i="24" s="1"/>
  <c r="AS32" i="24"/>
  <c r="AS42" i="24"/>
  <c r="AR288" i="24"/>
  <c r="AR365" i="24" s="1"/>
  <c r="AS5" i="70"/>
  <c r="AR30" i="24"/>
  <c r="AR286" i="24" s="1"/>
  <c r="AR44" i="24"/>
  <c r="AR316" i="24"/>
  <c r="AR317" i="24" s="1"/>
  <c r="AR297" i="24"/>
  <c r="AR3" i="70"/>
  <c r="AR4" i="70" s="1"/>
  <c r="AR366" i="24"/>
  <c r="AR33" i="24"/>
  <c r="AS35" i="52"/>
  <c r="AS43" i="52"/>
  <c r="AR44" i="52"/>
  <c r="AR46" i="52"/>
  <c r="AT368" i="24"/>
  <c r="AT48" i="52"/>
  <c r="AT45" i="24"/>
  <c r="AU45" i="52"/>
  <c r="AT270" i="24"/>
  <c r="AG20" i="24" l="1"/>
  <c r="AH3" i="70"/>
  <c r="AH4" i="70" s="1"/>
  <c r="AC221" i="24"/>
  <c r="AC223" i="24"/>
  <c r="AC226" i="24"/>
  <c r="AC224" i="24"/>
  <c r="AC206" i="24"/>
  <c r="AB202" i="24"/>
  <c r="AC222" i="24"/>
  <c r="AE70" i="24"/>
  <c r="AE71" i="24" s="1"/>
  <c r="AF20" i="24" s="1"/>
  <c r="AE254" i="24"/>
  <c r="AE352" i="24"/>
  <c r="AF259" i="24"/>
  <c r="AF255" i="24"/>
  <c r="AF260" i="24" s="1"/>
  <c r="AD66" i="24"/>
  <c r="AD225" i="24"/>
  <c r="AD217" i="24"/>
  <c r="AE217" i="24"/>
  <c r="AU368" i="24"/>
  <c r="AV45" i="52"/>
  <c r="AU45" i="24"/>
  <c r="AU48" i="52"/>
  <c r="AT5" i="70"/>
  <c r="AS288" i="24"/>
  <c r="AS365" i="24" s="1"/>
  <c r="AS270" i="24"/>
  <c r="AT299" i="24"/>
  <c r="AT367" i="24" s="1"/>
  <c r="AT32" i="24"/>
  <c r="AT42" i="24"/>
  <c r="AS46" i="52"/>
  <c r="AT43" i="52"/>
  <c r="AS44" i="52"/>
  <c r="AS33" i="24"/>
  <c r="AT35" i="52"/>
  <c r="AS366" i="24"/>
  <c r="AS297" i="24"/>
  <c r="AS30" i="24"/>
  <c r="AS286" i="24" s="1"/>
  <c r="AS44" i="24"/>
  <c r="AS316" i="24"/>
  <c r="AS317" i="24" s="1"/>
  <c r="AS3" i="70"/>
  <c r="AS4" i="70" s="1"/>
  <c r="AG3" i="70" l="1"/>
  <c r="AG4" i="70" s="1"/>
  <c r="AD70" i="24"/>
  <c r="AD71" i="24" s="1"/>
  <c r="AD352" i="24"/>
  <c r="AD254" i="24"/>
  <c r="AE20" i="24"/>
  <c r="AF242" i="24"/>
  <c r="AE242" i="24"/>
  <c r="AB221" i="24"/>
  <c r="AB206" i="24"/>
  <c r="AB223" i="24"/>
  <c r="AB222" i="24"/>
  <c r="AB224" i="24"/>
  <c r="AB226" i="24"/>
  <c r="AA202" i="24"/>
  <c r="AE255" i="24"/>
  <c r="AE260" i="24" s="1"/>
  <c r="AE259" i="24"/>
  <c r="AC66" i="24"/>
  <c r="AC225" i="24"/>
  <c r="AT288" i="24"/>
  <c r="AT365" i="24" s="1"/>
  <c r="AU5" i="70"/>
  <c r="AR270" i="24"/>
  <c r="AV45" i="24"/>
  <c r="AW45" i="52"/>
  <c r="AV368" i="24"/>
  <c r="AV48" i="52"/>
  <c r="AT33" i="24"/>
  <c r="AU35" i="52"/>
  <c r="AT366" i="24"/>
  <c r="AT44" i="52"/>
  <c r="AT46" i="52"/>
  <c r="AU43" i="52"/>
  <c r="AT30" i="24"/>
  <c r="AT286" i="24" s="1"/>
  <c r="AT44" i="24"/>
  <c r="AT316" i="24"/>
  <c r="AT317" i="24" s="1"/>
  <c r="AT3" i="70"/>
  <c r="AT4" i="70" s="1"/>
  <c r="AT297" i="24"/>
  <c r="AU299" i="24"/>
  <c r="AU367" i="24" s="1"/>
  <c r="AU32" i="24"/>
  <c r="AU42" i="24"/>
  <c r="AC254" i="24" l="1"/>
  <c r="AC352" i="24"/>
  <c r="AC70" i="24"/>
  <c r="AC71" i="24" s="1"/>
  <c r="AD20" i="24"/>
  <c r="AC217" i="24"/>
  <c r="AB66" i="24"/>
  <c r="AB225" i="24"/>
  <c r="AF3" i="70"/>
  <c r="AF4" i="70" s="1"/>
  <c r="AA226" i="24"/>
  <c r="Z202" i="24"/>
  <c r="AA224" i="24"/>
  <c r="AA221" i="24"/>
  <c r="AA222" i="24"/>
  <c r="AA206" i="24"/>
  <c r="AA223" i="24"/>
  <c r="AD255" i="24"/>
  <c r="AD260" i="24" s="1"/>
  <c r="AD259" i="24"/>
  <c r="AU297" i="24"/>
  <c r="AU30" i="24"/>
  <c r="AU286" i="24" s="1"/>
  <c r="AU44" i="24"/>
  <c r="AU316" i="24"/>
  <c r="AU317" i="24" s="1"/>
  <c r="AU3" i="70"/>
  <c r="AU4" i="70" s="1"/>
  <c r="AU288" i="24"/>
  <c r="AU365" i="24" s="1"/>
  <c r="AV5" i="70"/>
  <c r="AU33" i="24"/>
  <c r="AV35" i="52"/>
  <c r="AU366" i="24"/>
  <c r="AV299" i="24"/>
  <c r="AV367" i="24" s="1"/>
  <c r="AV32" i="24"/>
  <c r="AV42" i="24"/>
  <c r="AV43" i="52"/>
  <c r="AU44" i="52"/>
  <c r="AU46" i="52"/>
  <c r="AW45" i="24"/>
  <c r="AW48" i="52"/>
  <c r="AW368" i="24"/>
  <c r="AX45" i="52"/>
  <c r="AQ270" i="24"/>
  <c r="AB217" i="24" l="1"/>
  <c r="AA225" i="24"/>
  <c r="AA66" i="24"/>
  <c r="Z206" i="24"/>
  <c r="AA217" i="24" s="1"/>
  <c r="Z222" i="24"/>
  <c r="Z226" i="24"/>
  <c r="Z223" i="24"/>
  <c r="Y202" i="24"/>
  <c r="Z221" i="24"/>
  <c r="Z224" i="24"/>
  <c r="AB352" i="24"/>
  <c r="AB70" i="24"/>
  <c r="AB71" i="24" s="1"/>
  <c r="AC20" i="24" s="1"/>
  <c r="AB254" i="24"/>
  <c r="AE3" i="70"/>
  <c r="AE4" i="70" s="1"/>
  <c r="AD242" i="24"/>
  <c r="AC255" i="24"/>
  <c r="AC260" i="24" s="1"/>
  <c r="AC259" i="24"/>
  <c r="AP270" i="24"/>
  <c r="AV44" i="52"/>
  <c r="AV46" i="52"/>
  <c r="AW43" i="52"/>
  <c r="AV297" i="24"/>
  <c r="AV30" i="24"/>
  <c r="AV286" i="24" s="1"/>
  <c r="AV44" i="24"/>
  <c r="AV316" i="24"/>
  <c r="AV317" i="24" s="1"/>
  <c r="AV3" i="70"/>
  <c r="AV4" i="70" s="1"/>
  <c r="AV366" i="24"/>
  <c r="AV33" i="24"/>
  <c r="AW35" i="52"/>
  <c r="AX368" i="24"/>
  <c r="AX48" i="52"/>
  <c r="AX45" i="24"/>
  <c r="AY45" i="52"/>
  <c r="AW32" i="24"/>
  <c r="AW299" i="24"/>
  <c r="AW367" i="24" s="1"/>
  <c r="AW42" i="24"/>
  <c r="AV288" i="24"/>
  <c r="AV365" i="24" s="1"/>
  <c r="AW5" i="70"/>
  <c r="AD3" i="70" l="1"/>
  <c r="AD4" i="70" s="1"/>
  <c r="AC242" i="24"/>
  <c r="AB255" i="24"/>
  <c r="AB260" i="24" s="1"/>
  <c r="AB259" i="24"/>
  <c r="Y221" i="24"/>
  <c r="Y223" i="24"/>
  <c r="Y226" i="24"/>
  <c r="Y224" i="24"/>
  <c r="Y206" i="24"/>
  <c r="X202" i="24"/>
  <c r="Y222" i="24"/>
  <c r="Z225" i="24"/>
  <c r="Z66" i="24"/>
  <c r="AA254" i="24"/>
  <c r="AA352" i="24"/>
  <c r="AA70" i="24"/>
  <c r="AA71" i="24" s="1"/>
  <c r="AW30" i="24"/>
  <c r="AW286" i="24" s="1"/>
  <c r="AW44" i="24"/>
  <c r="AW316" i="24"/>
  <c r="AW317" i="24" s="1"/>
  <c r="AW3" i="70"/>
  <c r="AW4" i="70" s="1"/>
  <c r="AW297" i="24"/>
  <c r="AX5" i="70"/>
  <c r="AW288" i="24"/>
  <c r="AW365" i="24" s="1"/>
  <c r="AX299" i="24"/>
  <c r="AX367" i="24" s="1"/>
  <c r="AX32" i="24"/>
  <c r="AX42" i="24"/>
  <c r="AW366" i="24"/>
  <c r="AW33" i="24"/>
  <c r="AX35" i="52"/>
  <c r="AO270" i="24"/>
  <c r="AY45" i="24"/>
  <c r="AY48" i="52"/>
  <c r="AY368" i="24"/>
  <c r="AZ45" i="52"/>
  <c r="AW46" i="52"/>
  <c r="AX43" i="52"/>
  <c r="AW44" i="52"/>
  <c r="AC3" i="70" l="1"/>
  <c r="AC4" i="70" s="1"/>
  <c r="AB242" i="24"/>
  <c r="AA255" i="24"/>
  <c r="AA260" i="24" s="1"/>
  <c r="AA259" i="24"/>
  <c r="X206" i="24"/>
  <c r="X223" i="24"/>
  <c r="X226" i="24"/>
  <c r="X222" i="24"/>
  <c r="W202" i="24"/>
  <c r="X224" i="24"/>
  <c r="X221" i="24"/>
  <c r="AB20" i="24"/>
  <c r="Z352" i="24"/>
  <c r="Z254" i="24"/>
  <c r="Z70" i="24"/>
  <c r="Z71" i="24" s="1"/>
  <c r="AA242" i="24" s="1"/>
  <c r="Z217" i="24"/>
  <c r="Y217" i="24"/>
  <c r="Y225" i="24"/>
  <c r="Y66" i="24"/>
  <c r="AX44" i="52"/>
  <c r="AX46" i="52"/>
  <c r="AY43" i="52"/>
  <c r="AY299" i="24"/>
  <c r="AY367" i="24" s="1"/>
  <c r="AY32" i="24"/>
  <c r="AY42" i="24"/>
  <c r="AN270" i="24"/>
  <c r="AY5" i="70"/>
  <c r="AX288" i="24"/>
  <c r="AX365" i="24" s="1"/>
  <c r="AZ368" i="24"/>
  <c r="AZ45" i="24"/>
  <c r="AZ48" i="52"/>
  <c r="AX33" i="24"/>
  <c r="AY35" i="52"/>
  <c r="AX366" i="24"/>
  <c r="AX30" i="24"/>
  <c r="AX286" i="24" s="1"/>
  <c r="AX44" i="24"/>
  <c r="AX316" i="24"/>
  <c r="AX317" i="24" s="1"/>
  <c r="AX297" i="24"/>
  <c r="AX3" i="70"/>
  <c r="AX4" i="70" s="1"/>
  <c r="AB3" i="70" l="1"/>
  <c r="AB4" i="70" s="1"/>
  <c r="Z255" i="24"/>
  <c r="Z260" i="24" s="1"/>
  <c r="Z259" i="24"/>
  <c r="Y352" i="24"/>
  <c r="Y70" i="24"/>
  <c r="Y71" i="24" s="1"/>
  <c r="Z20" i="24" s="1"/>
  <c r="Y254" i="24"/>
  <c r="AA20" i="24"/>
  <c r="W221" i="24"/>
  <c r="W222" i="24"/>
  <c r="W206" i="24"/>
  <c r="X217" i="24" s="1"/>
  <c r="W223" i="24"/>
  <c r="W226" i="24"/>
  <c r="V202" i="24"/>
  <c r="W224" i="24"/>
  <c r="X66" i="24"/>
  <c r="X225" i="24"/>
  <c r="AZ299" i="24"/>
  <c r="AZ367" i="24" s="1"/>
  <c r="AZ42" i="24"/>
  <c r="AZ32" i="24"/>
  <c r="AM270" i="24"/>
  <c r="AY30" i="24"/>
  <c r="AY286" i="24" s="1"/>
  <c r="AY44" i="24"/>
  <c r="AY316" i="24"/>
  <c r="AY317" i="24" s="1"/>
  <c r="AY297" i="24"/>
  <c r="AY3" i="70"/>
  <c r="AY4" i="70" s="1"/>
  <c r="AY366" i="24"/>
  <c r="AY33" i="24"/>
  <c r="AZ35" i="52"/>
  <c r="AY288" i="24"/>
  <c r="AY365" i="24" s="1"/>
  <c r="AZ5" i="70"/>
  <c r="AZ43" i="52"/>
  <c r="AY44" i="52"/>
  <c r="AY46" i="52"/>
  <c r="Z242" i="24" l="1"/>
  <c r="AA3" i="70"/>
  <c r="AA4" i="70" s="1"/>
  <c r="X254" i="24"/>
  <c r="X352" i="24"/>
  <c r="X70" i="24"/>
  <c r="X71" i="24" s="1"/>
  <c r="V226" i="24"/>
  <c r="V223" i="24"/>
  <c r="V221" i="24"/>
  <c r="V224" i="24"/>
  <c r="U202" i="24"/>
  <c r="V222" i="24"/>
  <c r="V206" i="24"/>
  <c r="Y20" i="24"/>
  <c r="W225" i="24"/>
  <c r="W66" i="24"/>
  <c r="W217" i="24"/>
  <c r="Y255" i="24"/>
  <c r="Y260" i="24" s="1"/>
  <c r="Y259" i="24"/>
  <c r="Z3" i="70" s="1"/>
  <c r="Z4" i="70" s="1"/>
  <c r="AZ366" i="24"/>
  <c r="AZ33" i="24"/>
  <c r="BA35" i="52"/>
  <c r="AL270" i="24"/>
  <c r="AZ288" i="24"/>
  <c r="AZ365" i="24" s="1"/>
  <c r="BA5" i="70"/>
  <c r="AZ44" i="52"/>
  <c r="AZ46" i="52"/>
  <c r="AZ297" i="24"/>
  <c r="AZ30" i="24"/>
  <c r="AZ286" i="24" s="1"/>
  <c r="AZ44" i="24"/>
  <c r="AZ316" i="24"/>
  <c r="AZ317" i="24" s="1"/>
  <c r="AZ3" i="70"/>
  <c r="AZ4" i="70" s="1"/>
  <c r="W254" i="24" l="1"/>
  <c r="W352" i="24"/>
  <c r="W70" i="24"/>
  <c r="W71" i="24" s="1"/>
  <c r="X20" i="24"/>
  <c r="V66" i="24"/>
  <c r="V225" i="24"/>
  <c r="T202" i="24"/>
  <c r="U222" i="24"/>
  <c r="U221" i="24"/>
  <c r="U223" i="24"/>
  <c r="U226" i="24"/>
  <c r="U224" i="24"/>
  <c r="U206" i="24"/>
  <c r="Y242" i="24"/>
  <c r="X242" i="24"/>
  <c r="X259" i="24"/>
  <c r="Y3" i="70" s="1"/>
  <c r="Y4" i="70" s="1"/>
  <c r="X255" i="24"/>
  <c r="X260" i="24" s="1"/>
  <c r="AK270" i="24"/>
  <c r="BA33" i="24"/>
  <c r="BB35" i="52"/>
  <c r="BA366" i="24"/>
  <c r="BA45" i="52"/>
  <c r="V217" i="24" l="1"/>
  <c r="U225" i="24"/>
  <c r="U66" i="24"/>
  <c r="T221" i="24"/>
  <c r="T206" i="24"/>
  <c r="T223" i="24"/>
  <c r="T226" i="24"/>
  <c r="T222" i="24"/>
  <c r="S202" i="24"/>
  <c r="T224" i="24"/>
  <c r="V352" i="24"/>
  <c r="V254" i="24"/>
  <c r="V70" i="24"/>
  <c r="V71" i="24" s="1"/>
  <c r="W242" i="24" s="1"/>
  <c r="W259" i="24"/>
  <c r="W255" i="24"/>
  <c r="W260" i="24" s="1"/>
  <c r="BA45" i="24"/>
  <c r="BA48" i="52"/>
  <c r="BA368" i="24"/>
  <c r="BB45" i="52"/>
  <c r="BB366" i="24"/>
  <c r="BB33" i="24"/>
  <c r="BC35" i="52"/>
  <c r="AJ270" i="24"/>
  <c r="S206" i="24" l="1"/>
  <c r="S223" i="24"/>
  <c r="S226" i="24"/>
  <c r="R202" i="24"/>
  <c r="S224" i="24"/>
  <c r="S221" i="24"/>
  <c r="S222" i="24"/>
  <c r="T66" i="24"/>
  <c r="T225" i="24"/>
  <c r="T217" i="24"/>
  <c r="U352" i="24"/>
  <c r="U70" i="24"/>
  <c r="U71" i="24" s="1"/>
  <c r="V242" i="24" s="1"/>
  <c r="U254" i="24"/>
  <c r="U217" i="24"/>
  <c r="X3" i="70"/>
  <c r="X4" i="70" s="1"/>
  <c r="W20" i="24"/>
  <c r="V259" i="24"/>
  <c r="V255" i="24"/>
  <c r="V260" i="24" s="1"/>
  <c r="AI270" i="24"/>
  <c r="BB368" i="24"/>
  <c r="BB48" i="52"/>
  <c r="BB45" i="24"/>
  <c r="BC45" i="52"/>
  <c r="BC366" i="24"/>
  <c r="BC33" i="24"/>
  <c r="BD35" i="52"/>
  <c r="BA299" i="24"/>
  <c r="BA367" i="24" s="1"/>
  <c r="BA32" i="24"/>
  <c r="BA42" i="24"/>
  <c r="BA43" i="52"/>
  <c r="W3" i="70" l="1"/>
  <c r="W4" i="70" s="1"/>
  <c r="V20" i="24"/>
  <c r="U255" i="24"/>
  <c r="U260" i="24" s="1"/>
  <c r="U259" i="24"/>
  <c r="S225" i="24"/>
  <c r="S66" i="24"/>
  <c r="T70" i="24"/>
  <c r="T71" i="24" s="1"/>
  <c r="T254" i="24"/>
  <c r="T352" i="24"/>
  <c r="R206" i="24"/>
  <c r="R222" i="24"/>
  <c r="R226" i="24"/>
  <c r="R223" i="24"/>
  <c r="R221" i="24"/>
  <c r="R224" i="24"/>
  <c r="Q202" i="24"/>
  <c r="BB43" i="52"/>
  <c r="BA44" i="52"/>
  <c r="BA46" i="52"/>
  <c r="BA288" i="24"/>
  <c r="BA365" i="24" s="1"/>
  <c r="BB5" i="70"/>
  <c r="BD33" i="24"/>
  <c r="BE35" i="52"/>
  <c r="BD366" i="24"/>
  <c r="BB299" i="24"/>
  <c r="BB32" i="24"/>
  <c r="BB42" i="24"/>
  <c r="AH270" i="24"/>
  <c r="BA297" i="24"/>
  <c r="BA30" i="24"/>
  <c r="BA286" i="24" s="1"/>
  <c r="BA44" i="24"/>
  <c r="BA316" i="24"/>
  <c r="BA317" i="24" s="1"/>
  <c r="BA3" i="70"/>
  <c r="BA4" i="70" s="1"/>
  <c r="BB367" i="24"/>
  <c r="BC45" i="24"/>
  <c r="BC48" i="52"/>
  <c r="BC368" i="24"/>
  <c r="BD45" i="52"/>
  <c r="V3" i="70" l="1"/>
  <c r="V4" i="70" s="1"/>
  <c r="Q226" i="24"/>
  <c r="Q224" i="24"/>
  <c r="Q206" i="24"/>
  <c r="R217" i="24" s="1"/>
  <c r="P202" i="24"/>
  <c r="Q222" i="24"/>
  <c r="Q221" i="24"/>
  <c r="Q223" i="24"/>
  <c r="R225" i="24"/>
  <c r="R66" i="24"/>
  <c r="U242" i="24"/>
  <c r="U20" i="24"/>
  <c r="S217" i="24"/>
  <c r="T255" i="24"/>
  <c r="T260" i="24" s="1"/>
  <c r="T259" i="24"/>
  <c r="S70" i="24"/>
  <c r="S71" i="24" s="1"/>
  <c r="S254" i="24"/>
  <c r="S352" i="24"/>
  <c r="BD368" i="24"/>
  <c r="BD48" i="52"/>
  <c r="BD45" i="24"/>
  <c r="BE45" i="52"/>
  <c r="BC5" i="70"/>
  <c r="BB288" i="24"/>
  <c r="BE33" i="24"/>
  <c r="BF35" i="52"/>
  <c r="BE366" i="24"/>
  <c r="BC43" i="52"/>
  <c r="BB44" i="52"/>
  <c r="BB46" i="52"/>
  <c r="BC299" i="24"/>
  <c r="BC367" i="24" s="1"/>
  <c r="BC32" i="24"/>
  <c r="BC42" i="24"/>
  <c r="AG270" i="24"/>
  <c r="BB30" i="24"/>
  <c r="BB286" i="24" s="1"/>
  <c r="BB44" i="24"/>
  <c r="BB316" i="24"/>
  <c r="BB317" i="24" s="1"/>
  <c r="BB3" i="70"/>
  <c r="BB4" i="70" s="1"/>
  <c r="BB297" i="24"/>
  <c r="BB365" i="24"/>
  <c r="U3" i="70" l="1"/>
  <c r="U4" i="70" s="1"/>
  <c r="P206" i="24"/>
  <c r="P223" i="24"/>
  <c r="P226" i="24"/>
  <c r="P222" i="24"/>
  <c r="O202" i="24"/>
  <c r="P224" i="24"/>
  <c r="P221" i="24"/>
  <c r="S259" i="24"/>
  <c r="T3" i="70" s="1"/>
  <c r="T4" i="70" s="1"/>
  <c r="S255" i="24"/>
  <c r="S260" i="24" s="1"/>
  <c r="T20" i="24"/>
  <c r="T242" i="24"/>
  <c r="R254" i="24"/>
  <c r="R70" i="24"/>
  <c r="R71" i="24" s="1"/>
  <c r="R352" i="24"/>
  <c r="S20" i="24"/>
  <c r="Q66" i="24"/>
  <c r="Q225" i="24"/>
  <c r="Q217" i="24"/>
  <c r="BC30" i="24"/>
  <c r="BC286" i="24" s="1"/>
  <c r="BC44" i="24"/>
  <c r="BC316" i="24"/>
  <c r="BC317" i="24" s="1"/>
  <c r="BC297" i="24"/>
  <c r="BC3" i="70"/>
  <c r="BC4" i="70" s="1"/>
  <c r="BD42" i="24"/>
  <c r="BD299" i="24"/>
  <c r="BD367" i="24" s="1"/>
  <c r="BD32" i="24"/>
  <c r="AF270" i="24"/>
  <c r="BC288" i="24"/>
  <c r="BC365" i="24" s="1"/>
  <c r="BD5" i="70"/>
  <c r="BC46" i="52"/>
  <c r="BD43" i="52"/>
  <c r="BC44" i="52"/>
  <c r="BF33" i="24"/>
  <c r="BG35" i="52"/>
  <c r="BF366" i="24"/>
  <c r="BF45" i="52"/>
  <c r="BE45" i="24"/>
  <c r="O221" i="24" l="1"/>
  <c r="O222" i="24"/>
  <c r="O206" i="24"/>
  <c r="P217" i="24" s="1"/>
  <c r="O223" i="24"/>
  <c r="O226" i="24"/>
  <c r="N202" i="24"/>
  <c r="O224" i="24"/>
  <c r="P225" i="24"/>
  <c r="P66" i="24"/>
  <c r="Q352" i="24"/>
  <c r="Q254" i="24"/>
  <c r="Q70" i="24"/>
  <c r="Q71" i="24" s="1"/>
  <c r="R259" i="24"/>
  <c r="R255" i="24"/>
  <c r="R260" i="24" s="1"/>
  <c r="S242" i="24"/>
  <c r="BG33" i="24"/>
  <c r="BH35" i="52"/>
  <c r="BG366" i="24"/>
  <c r="AE270" i="24"/>
  <c r="BE299" i="24"/>
  <c r="BE367" i="24" s="1"/>
  <c r="BE32" i="24"/>
  <c r="BE288" i="24" s="1"/>
  <c r="BG45" i="52"/>
  <c r="BF45" i="24"/>
  <c r="BE43" i="52"/>
  <c r="BD44" i="52"/>
  <c r="BD46" i="52"/>
  <c r="BD288" i="24"/>
  <c r="BD365" i="24" s="1"/>
  <c r="BE365" i="24" s="1"/>
  <c r="BE5" i="70"/>
  <c r="BD30" i="24"/>
  <c r="BD286" i="24" s="1"/>
  <c r="BD44" i="24"/>
  <c r="BD316" i="24"/>
  <c r="BD317" i="24" s="1"/>
  <c r="BD297" i="24"/>
  <c r="S3" i="70" l="1"/>
  <c r="S4" i="70" s="1"/>
  <c r="P254" i="24"/>
  <c r="P352" i="24"/>
  <c r="P70" i="24"/>
  <c r="P71" i="24" s="1"/>
  <c r="Q20" i="24" s="1"/>
  <c r="O66" i="24"/>
  <c r="O225" i="24"/>
  <c r="R20" i="24"/>
  <c r="Q255" i="24"/>
  <c r="Q260" i="24" s="1"/>
  <c r="Q259" i="24"/>
  <c r="N222" i="24"/>
  <c r="N206" i="24"/>
  <c r="M202" i="24"/>
  <c r="N221" i="24"/>
  <c r="N224" i="24"/>
  <c r="N226" i="24"/>
  <c r="N223" i="24"/>
  <c r="R242" i="24"/>
  <c r="BF43" i="52"/>
  <c r="BF299" i="24"/>
  <c r="BF367" i="24" s="1"/>
  <c r="BF32" i="24"/>
  <c r="BF288" i="24" s="1"/>
  <c r="BF365" i="24" s="1"/>
  <c r="AD270" i="24"/>
  <c r="BH33" i="24"/>
  <c r="BI35" i="52"/>
  <c r="BH366" i="24"/>
  <c r="BG45" i="24"/>
  <c r="BG43" i="52" s="1"/>
  <c r="BH45" i="52"/>
  <c r="R3" i="70" l="1"/>
  <c r="R4" i="70" s="1"/>
  <c r="O217" i="24"/>
  <c r="N66" i="24"/>
  <c r="N225" i="24"/>
  <c r="O352" i="24"/>
  <c r="O70" i="24"/>
  <c r="O71" i="24" s="1"/>
  <c r="O254" i="24"/>
  <c r="P20" i="24"/>
  <c r="P242" i="24"/>
  <c r="P255" i="24"/>
  <c r="P260" i="24" s="1"/>
  <c r="P259" i="24"/>
  <c r="Q3" i="70" s="1"/>
  <c r="Q4" i="70" s="1"/>
  <c r="M226" i="24"/>
  <c r="M224" i="24"/>
  <c r="M206" i="24"/>
  <c r="L202" i="24"/>
  <c r="M222" i="24"/>
  <c r="M221" i="24"/>
  <c r="M223" i="24"/>
  <c r="Q242" i="24"/>
  <c r="BH45" i="24"/>
  <c r="BI45" i="52"/>
  <c r="BI33" i="24"/>
  <c r="BJ35" i="52"/>
  <c r="BI366" i="24"/>
  <c r="BG299" i="24"/>
  <c r="BG367" i="24" s="1"/>
  <c r="BG32" i="24"/>
  <c r="BG42" i="24"/>
  <c r="AC270" i="24"/>
  <c r="L221" i="24" l="1"/>
  <c r="L206" i="24"/>
  <c r="L223" i="24"/>
  <c r="L226" i="24"/>
  <c r="L222" i="24"/>
  <c r="K202" i="24"/>
  <c r="L224" i="24"/>
  <c r="O259" i="24"/>
  <c r="O255" i="24"/>
  <c r="O260" i="24" s="1"/>
  <c r="N352" i="24"/>
  <c r="N254" i="24"/>
  <c r="N70" i="24"/>
  <c r="N71" i="24" s="1"/>
  <c r="O20" i="24" s="1"/>
  <c r="N217" i="24"/>
  <c r="M66" i="24"/>
  <c r="M225" i="24"/>
  <c r="M217" i="24"/>
  <c r="BH5" i="70"/>
  <c r="BG288" i="24"/>
  <c r="BG365" i="24" s="1"/>
  <c r="BG289" i="24"/>
  <c r="BJ45" i="52"/>
  <c r="BI45" i="24"/>
  <c r="AB270" i="24"/>
  <c r="BG30" i="24"/>
  <c r="BG286" i="24" s="1"/>
  <c r="BG44" i="24"/>
  <c r="BG316" i="24"/>
  <c r="BG317" i="24" s="1"/>
  <c r="BG297" i="24"/>
  <c r="BJ366" i="24"/>
  <c r="BJ33" i="24"/>
  <c r="BK35" i="52"/>
  <c r="BH299" i="24"/>
  <c r="BH367" i="24" s="1"/>
  <c r="BH32" i="24"/>
  <c r="BH42" i="24"/>
  <c r="BH43" i="52"/>
  <c r="BI43" i="52" s="1"/>
  <c r="P3" i="70" l="1"/>
  <c r="P4" i="70" s="1"/>
  <c r="O242" i="24"/>
  <c r="K226" i="24"/>
  <c r="J202" i="24"/>
  <c r="K224" i="24"/>
  <c r="K221" i="24"/>
  <c r="K222" i="24"/>
  <c r="K206" i="24"/>
  <c r="L217" i="24" s="1"/>
  <c r="K223" i="24"/>
  <c r="L66" i="24"/>
  <c r="L225" i="24"/>
  <c r="M352" i="24"/>
  <c r="M254" i="24"/>
  <c r="M70" i="24"/>
  <c r="M71" i="24" s="1"/>
  <c r="N20" i="24" s="1"/>
  <c r="N259" i="24"/>
  <c r="N255" i="24"/>
  <c r="N260" i="24" s="1"/>
  <c r="BK366" i="24"/>
  <c r="BK33" i="24"/>
  <c r="BL35" i="52"/>
  <c r="BI299" i="24"/>
  <c r="BI367" i="24" s="1"/>
  <c r="BI32" i="24"/>
  <c r="BI42" i="24"/>
  <c r="BH288" i="24"/>
  <c r="BH289" i="24"/>
  <c r="BI5" i="70"/>
  <c r="BH30" i="24"/>
  <c r="BH286" i="24" s="1"/>
  <c r="BH44" i="24"/>
  <c r="BH316" i="24"/>
  <c r="BH317" i="24" s="1"/>
  <c r="BH297" i="24"/>
  <c r="BH3" i="70"/>
  <c r="BH4" i="70" s="1"/>
  <c r="BH18" i="64"/>
  <c r="AA270" i="24"/>
  <c r="BK45" i="52"/>
  <c r="BJ45" i="24"/>
  <c r="BJ43" i="52" s="1"/>
  <c r="BH365" i="24"/>
  <c r="M255" i="24" l="1"/>
  <c r="M260" i="24" s="1"/>
  <c r="M259" i="24"/>
  <c r="N3" i="70" s="1"/>
  <c r="N4" i="70" s="1"/>
  <c r="L352" i="24"/>
  <c r="L70" i="24"/>
  <c r="L71" i="24" s="1"/>
  <c r="M242" i="24" s="1"/>
  <c r="L254" i="24"/>
  <c r="K225" i="24"/>
  <c r="K66" i="24"/>
  <c r="J221" i="24"/>
  <c r="J224" i="24"/>
  <c r="I202" i="24"/>
  <c r="J206" i="24"/>
  <c r="J222" i="24"/>
  <c r="J226" i="24"/>
  <c r="J223" i="24"/>
  <c r="O3" i="70"/>
  <c r="O4" i="70" s="1"/>
  <c r="N242" i="24"/>
  <c r="BL45" i="52"/>
  <c r="BK45" i="24"/>
  <c r="Z270" i="24"/>
  <c r="BI288" i="24"/>
  <c r="BI365" i="24" s="1"/>
  <c r="BI289" i="24"/>
  <c r="BJ5" i="70"/>
  <c r="BJ299" i="24"/>
  <c r="BJ367" i="24" s="1"/>
  <c r="BJ32" i="24"/>
  <c r="BJ42" i="24"/>
  <c r="BI30" i="24"/>
  <c r="BI286" i="24" s="1"/>
  <c r="BI44" i="24"/>
  <c r="BI316" i="24"/>
  <c r="BI317" i="24" s="1"/>
  <c r="BI18" i="64"/>
  <c r="BI297" i="24"/>
  <c r="BI3" i="70"/>
  <c r="BI4" i="70" s="1"/>
  <c r="BL33" i="24"/>
  <c r="BM35" i="52"/>
  <c r="BL366" i="24"/>
  <c r="M20" i="24" l="1"/>
  <c r="H202" i="24"/>
  <c r="I222" i="24"/>
  <c r="I221" i="24"/>
  <c r="I223" i="24"/>
  <c r="I226" i="24"/>
  <c r="I224" i="24"/>
  <c r="I206" i="24"/>
  <c r="K70" i="24"/>
  <c r="K71" i="24" s="1"/>
  <c r="K254" i="24"/>
  <c r="K352" i="24"/>
  <c r="L20" i="24"/>
  <c r="L242" i="24"/>
  <c r="J225" i="24"/>
  <c r="J66" i="24"/>
  <c r="J217" i="24"/>
  <c r="K217" i="24"/>
  <c r="L259" i="24"/>
  <c r="L255" i="24"/>
  <c r="L260" i="24" s="1"/>
  <c r="BM366" i="24"/>
  <c r="BM33" i="24"/>
  <c r="BN35" i="52"/>
  <c r="BJ297" i="24"/>
  <c r="BJ3" i="70"/>
  <c r="BJ4" i="70" s="1"/>
  <c r="BJ30" i="24"/>
  <c r="BJ286" i="24" s="1"/>
  <c r="BJ44" i="24"/>
  <c r="BJ316" i="24"/>
  <c r="BJ317" i="24" s="1"/>
  <c r="BJ18" i="64"/>
  <c r="Y270" i="24"/>
  <c r="BL45" i="24"/>
  <c r="BM45" i="52"/>
  <c r="BJ288" i="24"/>
  <c r="BJ365" i="24" s="1"/>
  <c r="BJ289" i="24"/>
  <c r="BK5" i="70"/>
  <c r="BK299" i="24"/>
  <c r="BK367" i="24" s="1"/>
  <c r="BK32" i="24"/>
  <c r="BK42" i="24"/>
  <c r="BK43" i="52"/>
  <c r="BL43" i="52" s="1"/>
  <c r="M3" i="70" l="1"/>
  <c r="M4" i="70" s="1"/>
  <c r="J254" i="24"/>
  <c r="J70" i="24"/>
  <c r="J71" i="24" s="1"/>
  <c r="K20" i="24" s="1"/>
  <c r="J352" i="24"/>
  <c r="K259" i="24"/>
  <c r="K255" i="24"/>
  <c r="K260" i="24" s="1"/>
  <c r="I225" i="24"/>
  <c r="I66" i="24"/>
  <c r="H221" i="24"/>
  <c r="H206" i="24"/>
  <c r="H223" i="24"/>
  <c r="H226" i="24"/>
  <c r="H222" i="24"/>
  <c r="G202" i="24"/>
  <c r="H224" i="24"/>
  <c r="BK297" i="24"/>
  <c r="BK44" i="24"/>
  <c r="BK316" i="24"/>
  <c r="BK317" i="24" s="1"/>
  <c r="BK3" i="70"/>
  <c r="BK4" i="70" s="1"/>
  <c r="BK18" i="64"/>
  <c r="BK30" i="24"/>
  <c r="BK286" i="24" s="1"/>
  <c r="BL299" i="24"/>
  <c r="BL367" i="24" s="1"/>
  <c r="BL32" i="24"/>
  <c r="BL42" i="24"/>
  <c r="X270" i="24"/>
  <c r="BK288" i="24"/>
  <c r="BK365" i="24" s="1"/>
  <c r="BK289" i="24"/>
  <c r="BL5" i="70"/>
  <c r="BN45" i="52"/>
  <c r="BM45" i="24"/>
  <c r="BM43" i="52" s="1"/>
  <c r="BN366" i="24"/>
  <c r="BN33" i="24"/>
  <c r="BO35" i="52"/>
  <c r="K242" i="24" l="1"/>
  <c r="I254" i="24"/>
  <c r="I70" i="24"/>
  <c r="I71" i="24" s="1"/>
  <c r="J242" i="24" s="1"/>
  <c r="I352" i="24"/>
  <c r="G221" i="24"/>
  <c r="G222" i="24"/>
  <c r="G206" i="24"/>
  <c r="G223" i="24"/>
  <c r="G224" i="24"/>
  <c r="G226" i="24"/>
  <c r="F202" i="24"/>
  <c r="H66" i="24"/>
  <c r="H225" i="24"/>
  <c r="I217" i="24"/>
  <c r="L3" i="70"/>
  <c r="L4" i="70" s="1"/>
  <c r="J259" i="24"/>
  <c r="J255" i="24"/>
  <c r="J260" i="24" s="1"/>
  <c r="BO33" i="24"/>
  <c r="BP35" i="52"/>
  <c r="BO366" i="24"/>
  <c r="BN45" i="24"/>
  <c r="BN43" i="52" s="1"/>
  <c r="BO45" i="52"/>
  <c r="W270" i="24"/>
  <c r="BL288" i="24"/>
  <c r="BL365" i="24" s="1"/>
  <c r="BL289" i="24"/>
  <c r="BM5" i="70"/>
  <c r="BM299" i="24"/>
  <c r="BM367" i="24" s="1"/>
  <c r="BM32" i="24"/>
  <c r="BM42" i="24"/>
  <c r="BL297" i="24"/>
  <c r="BL44" i="24"/>
  <c r="BL316" i="24"/>
  <c r="BL317" i="24" s="1"/>
  <c r="BL30" i="24"/>
  <c r="BL286" i="24" s="1"/>
  <c r="BL18" i="64"/>
  <c r="BL3" i="70"/>
  <c r="BL4" i="70" s="1"/>
  <c r="K3" i="70" l="1"/>
  <c r="K4" i="70" s="1"/>
  <c r="J20" i="24"/>
  <c r="H254" i="24"/>
  <c r="H352" i="24"/>
  <c r="H70" i="24"/>
  <c r="H71" i="24" s="1"/>
  <c r="I242" i="24" s="1"/>
  <c r="F226" i="24"/>
  <c r="F224" i="24"/>
  <c r="F223" i="24"/>
  <c r="F206" i="24"/>
  <c r="F222" i="24"/>
  <c r="F221" i="24"/>
  <c r="H217" i="24"/>
  <c r="G225" i="24"/>
  <c r="G66" i="24"/>
  <c r="I259" i="24"/>
  <c r="I255" i="24"/>
  <c r="I260" i="24" s="1"/>
  <c r="BM297" i="24"/>
  <c r="BM44" i="24"/>
  <c r="BM316" i="24"/>
  <c r="BM317" i="24" s="1"/>
  <c r="BM30" i="24"/>
  <c r="BM286" i="24" s="1"/>
  <c r="BM3" i="70"/>
  <c r="BM4" i="70" s="1"/>
  <c r="BM18" i="64"/>
  <c r="BP45" i="52"/>
  <c r="BO45" i="24"/>
  <c r="BO43" i="52" s="1"/>
  <c r="BM288" i="24"/>
  <c r="BM365" i="24" s="1"/>
  <c r="BM289" i="24"/>
  <c r="BN5" i="70"/>
  <c r="V270" i="24"/>
  <c r="BN299" i="24"/>
  <c r="BN367" i="24" s="1"/>
  <c r="BN32" i="24"/>
  <c r="BN42" i="24"/>
  <c r="BP366" i="24"/>
  <c r="BP33" i="24"/>
  <c r="BQ35" i="52"/>
  <c r="J3" i="70" l="1"/>
  <c r="J4" i="70" s="1"/>
  <c r="G217" i="24"/>
  <c r="F66" i="24"/>
  <c r="F225" i="24"/>
  <c r="G70" i="24"/>
  <c r="G71" i="24" s="1"/>
  <c r="H242" i="24" s="1"/>
  <c r="G254" i="24"/>
  <c r="G352" i="24"/>
  <c r="I20" i="24"/>
  <c r="H259" i="24"/>
  <c r="H255" i="24"/>
  <c r="H260" i="24" s="1"/>
  <c r="BQ33" i="24"/>
  <c r="BR35" i="52"/>
  <c r="BO5" i="70"/>
  <c r="BN288" i="24"/>
  <c r="BN365" i="24" s="1"/>
  <c r="BN289" i="24"/>
  <c r="U270" i="24"/>
  <c r="BN273" i="24"/>
  <c r="BM273" i="24" s="1"/>
  <c r="BL273" i="24" s="1"/>
  <c r="BK273" i="24" s="1"/>
  <c r="BJ273" i="24" s="1"/>
  <c r="BI273" i="24" s="1"/>
  <c r="BH273" i="24" s="1"/>
  <c r="BG273" i="24" s="1"/>
  <c r="BF273" i="24" s="1"/>
  <c r="BE273" i="24" s="1"/>
  <c r="BD273" i="24" s="1"/>
  <c r="BC273" i="24" s="1"/>
  <c r="BB273" i="24" s="1"/>
  <c r="BA273" i="24" s="1"/>
  <c r="AZ273" i="24" s="1"/>
  <c r="AY273" i="24" s="1"/>
  <c r="AX273" i="24" s="1"/>
  <c r="AW273" i="24" s="1"/>
  <c r="AV273" i="24" s="1"/>
  <c r="AU273" i="24" s="1"/>
  <c r="AT273" i="24" s="1"/>
  <c r="AS273" i="24" s="1"/>
  <c r="AR273" i="24" s="1"/>
  <c r="AQ273" i="24" s="1"/>
  <c r="AP273" i="24" s="1"/>
  <c r="AO273" i="24" s="1"/>
  <c r="AN273" i="24" s="1"/>
  <c r="AM273" i="24" s="1"/>
  <c r="AL273" i="24" s="1"/>
  <c r="AK273" i="24" s="1"/>
  <c r="AJ273" i="24" s="1"/>
  <c r="AI273" i="24" s="1"/>
  <c r="AH273" i="24" s="1"/>
  <c r="AG273" i="24" s="1"/>
  <c r="AF273" i="24" s="1"/>
  <c r="AE273" i="24" s="1"/>
  <c r="AD273" i="24" s="1"/>
  <c r="AC273" i="24" s="1"/>
  <c r="AB273" i="24" s="1"/>
  <c r="AA273" i="24" s="1"/>
  <c r="Z273" i="24" s="1"/>
  <c r="Y273" i="24" s="1"/>
  <c r="X273" i="24" s="1"/>
  <c r="W273" i="24" s="1"/>
  <c r="V273" i="24" s="1"/>
  <c r="U273" i="24" s="1"/>
  <c r="T273" i="24" s="1"/>
  <c r="S273" i="24" s="1"/>
  <c r="R273" i="24" s="1"/>
  <c r="Q273" i="24" s="1"/>
  <c r="P273" i="24" s="1"/>
  <c r="O273" i="24" s="1"/>
  <c r="N273" i="24" s="1"/>
  <c r="M273" i="24" s="1"/>
  <c r="L273" i="24" s="1"/>
  <c r="K273" i="24" s="1"/>
  <c r="J273" i="24" s="1"/>
  <c r="I273" i="24" s="1"/>
  <c r="H273" i="24" s="1"/>
  <c r="G273" i="24" s="1"/>
  <c r="F273" i="24" s="1"/>
  <c r="BO299" i="24"/>
  <c r="BO367" i="24" s="1"/>
  <c r="BO32" i="24"/>
  <c r="BO42" i="24"/>
  <c r="BN297" i="24"/>
  <c r="BN44" i="24"/>
  <c r="BN316" i="24"/>
  <c r="BN317" i="24" s="1"/>
  <c r="BN30" i="24"/>
  <c r="BN286" i="24" s="1"/>
  <c r="BN18" i="64"/>
  <c r="BN3" i="70"/>
  <c r="BN4" i="70" s="1"/>
  <c r="BQ45" i="52"/>
  <c r="BP45" i="24"/>
  <c r="F70" i="24" l="1"/>
  <c r="F71" i="24" s="1"/>
  <c r="G20" i="24" s="1"/>
  <c r="F352" i="24"/>
  <c r="F254" i="24"/>
  <c r="I3" i="70"/>
  <c r="I4" i="70" s="1"/>
  <c r="H20" i="24"/>
  <c r="G255" i="24"/>
  <c r="G260" i="24" s="1"/>
  <c r="G259" i="24"/>
  <c r="BR45" i="52"/>
  <c r="BQ45" i="24"/>
  <c r="BP5" i="70"/>
  <c r="BO288" i="24"/>
  <c r="C11" i="55" s="1"/>
  <c r="BO289" i="24"/>
  <c r="BO204" i="24"/>
  <c r="BP273" i="24"/>
  <c r="BP299" i="24"/>
  <c r="BP367" i="24" s="1"/>
  <c r="BP32" i="24"/>
  <c r="BO44" i="24"/>
  <c r="BO297" i="24"/>
  <c r="BN271" i="24"/>
  <c r="BM271" i="24" s="1"/>
  <c r="BL271" i="24" s="1"/>
  <c r="BK271" i="24" s="1"/>
  <c r="BJ271" i="24" s="1"/>
  <c r="BI271" i="24" s="1"/>
  <c r="BH271" i="24" s="1"/>
  <c r="BG271" i="24" s="1"/>
  <c r="BF271" i="24" s="1"/>
  <c r="BO316" i="24"/>
  <c r="BO317" i="24" s="1"/>
  <c r="BO30" i="24"/>
  <c r="BO286" i="24" s="1"/>
  <c r="BO3" i="70"/>
  <c r="BO4" i="70" s="1"/>
  <c r="BO18" i="64"/>
  <c r="T270" i="24"/>
  <c r="BR33" i="24"/>
  <c r="BS35" i="52"/>
  <c r="H3" i="70" l="1"/>
  <c r="H4" i="70" s="1"/>
  <c r="F259" i="24"/>
  <c r="F255" i="24"/>
  <c r="F260" i="24" s="1"/>
  <c r="BS33" i="24"/>
  <c r="BT35" i="52"/>
  <c r="BT33" i="24" s="1"/>
  <c r="G242" i="24"/>
  <c r="BQ273" i="24"/>
  <c r="CI273" i="24" s="1"/>
  <c r="S270" i="24"/>
  <c r="BP288" i="24"/>
  <c r="D11" i="55" s="1"/>
  <c r="BP289" i="24"/>
  <c r="BQ5" i="70"/>
  <c r="BR45" i="24"/>
  <c r="BS45" i="52"/>
  <c r="BS45" i="24" s="1"/>
  <c r="BO223" i="24"/>
  <c r="BP204" i="24"/>
  <c r="BO215" i="24"/>
  <c r="C14" i="55" s="1"/>
  <c r="BO209" i="24"/>
  <c r="BO64" i="24"/>
  <c r="BQ299" i="24"/>
  <c r="CI299" i="24" s="1"/>
  <c r="BQ32" i="24"/>
  <c r="CI45" i="24"/>
  <c r="BO365" i="24"/>
  <c r="BP365" i="24" l="1"/>
  <c r="G3" i="70"/>
  <c r="G4" i="70" s="1"/>
  <c r="CI32" i="24"/>
  <c r="BQ289" i="24"/>
  <c r="CI289" i="24" s="1"/>
  <c r="BR5" i="70"/>
  <c r="BQ288" i="24"/>
  <c r="BQ365" i="24" s="1"/>
  <c r="BP363" i="24"/>
  <c r="BP381" i="24"/>
  <c r="BP380" i="24"/>
  <c r="BO385" i="24"/>
  <c r="C15" i="55"/>
  <c r="BP215" i="24"/>
  <c r="D14" i="55" s="1"/>
  <c r="BQ204" i="24"/>
  <c r="BP223" i="24"/>
  <c r="BP209" i="24"/>
  <c r="BP206" i="24"/>
  <c r="CJ45" i="24"/>
  <c r="BR299" i="24"/>
  <c r="CJ299" i="24" s="1"/>
  <c r="BR32" i="24"/>
  <c r="BR273" i="24"/>
  <c r="BP64" i="24"/>
  <c r="BO301" i="24"/>
  <c r="BO253" i="24"/>
  <c r="BO352" i="24"/>
  <c r="C27" i="55" s="1"/>
  <c r="BO355" i="24"/>
  <c r="BO354" i="24" s="1"/>
  <c r="BO70" i="24"/>
  <c r="BO71" i="24" s="1"/>
  <c r="BO242" i="24" s="1"/>
  <c r="C19" i="55" s="1"/>
  <c r="C24" i="55" s="1"/>
  <c r="CK45" i="24"/>
  <c r="BS299" i="24"/>
  <c r="CK299" i="24" s="1"/>
  <c r="BS32" i="24"/>
  <c r="R270" i="24"/>
  <c r="BQ367" i="24"/>
  <c r="BP378" i="24" l="1"/>
  <c r="BS288" i="24"/>
  <c r="CK32" i="24"/>
  <c r="BS289" i="24"/>
  <c r="CK289" i="24" s="1"/>
  <c r="CI367" i="24"/>
  <c r="G357" i="24"/>
  <c r="BR367" i="24"/>
  <c r="BQ357" i="24"/>
  <c r="CI357" i="24" s="1"/>
  <c r="I357" i="24"/>
  <c r="H357" i="24"/>
  <c r="J357" i="24"/>
  <c r="F357" i="24"/>
  <c r="K357" i="24"/>
  <c r="L357" i="24"/>
  <c r="M357" i="24"/>
  <c r="N357" i="24"/>
  <c r="O357" i="24"/>
  <c r="P357" i="24"/>
  <c r="Q357" i="24"/>
  <c r="R357" i="24"/>
  <c r="S357" i="24"/>
  <c r="T357" i="24"/>
  <c r="U357" i="24"/>
  <c r="V357" i="24"/>
  <c r="W357" i="24"/>
  <c r="X357" i="24"/>
  <c r="Y357" i="24"/>
  <c r="Z357" i="24"/>
  <c r="AA357" i="24"/>
  <c r="AB357" i="24"/>
  <c r="AC357" i="24"/>
  <c r="AD357" i="24"/>
  <c r="AE357" i="24"/>
  <c r="AF357" i="24"/>
  <c r="AG357" i="24"/>
  <c r="AH357" i="24"/>
  <c r="AI357" i="24"/>
  <c r="AJ357" i="24"/>
  <c r="AK357" i="24"/>
  <c r="AL357" i="24"/>
  <c r="AM357" i="24"/>
  <c r="AN357" i="24"/>
  <c r="AO357" i="24"/>
  <c r="AP357" i="24"/>
  <c r="AQ357" i="24"/>
  <c r="AR357" i="24"/>
  <c r="AS357" i="24"/>
  <c r="AT357" i="24"/>
  <c r="AU357" i="24"/>
  <c r="AV357" i="24"/>
  <c r="AW357" i="24"/>
  <c r="AX357" i="24"/>
  <c r="AY357" i="24"/>
  <c r="AZ357" i="24"/>
  <c r="BA357" i="24"/>
  <c r="BB357" i="24"/>
  <c r="BC357" i="24"/>
  <c r="BD357" i="24"/>
  <c r="BE357" i="24"/>
  <c r="BF357" i="24"/>
  <c r="BG357" i="24"/>
  <c r="BH357" i="24"/>
  <c r="BI357" i="24"/>
  <c r="BJ357" i="24"/>
  <c r="BK357" i="24"/>
  <c r="BL357" i="24"/>
  <c r="BM357" i="24"/>
  <c r="BN357" i="24"/>
  <c r="BO357" i="24"/>
  <c r="BP357" i="24"/>
  <c r="Q270" i="24"/>
  <c r="BO20" i="24"/>
  <c r="C26" i="55"/>
  <c r="BO258" i="24"/>
  <c r="BO255" i="24"/>
  <c r="BO260" i="24" s="1"/>
  <c r="BQ64" i="24"/>
  <c r="BP301" i="24"/>
  <c r="BP253" i="24"/>
  <c r="BP355" i="24"/>
  <c r="BP354" i="24" s="1"/>
  <c r="BS273" i="24"/>
  <c r="CJ273" i="24"/>
  <c r="BP66" i="24"/>
  <c r="BP254" i="24" s="1"/>
  <c r="BP259" i="24" s="1"/>
  <c r="BP225" i="24"/>
  <c r="BP217" i="24"/>
  <c r="CI288" i="24"/>
  <c r="X11" i="55" s="1"/>
  <c r="E11" i="55"/>
  <c r="BO303" i="24"/>
  <c r="BO377" i="24"/>
  <c r="CI365" i="24"/>
  <c r="BR288" i="24"/>
  <c r="BR363" i="24"/>
  <c r="CJ32" i="24"/>
  <c r="BR289" i="24"/>
  <c r="CJ289" i="24" s="1"/>
  <c r="BS5" i="70"/>
  <c r="BQ380" i="24"/>
  <c r="BP385" i="24"/>
  <c r="BQ381" i="24"/>
  <c r="D15" i="55"/>
  <c r="BR204" i="24"/>
  <c r="BQ223" i="24"/>
  <c r="CI223" i="24" s="1"/>
  <c r="BQ215" i="24"/>
  <c r="CI204" i="24"/>
  <c r="BQ206" i="24"/>
  <c r="BQ209" i="24"/>
  <c r="D29" i="55"/>
  <c r="BO363" i="24"/>
  <c r="D26" i="55" l="1"/>
  <c r="CJ367" i="24"/>
  <c r="BS367" i="24"/>
  <c r="BR357" i="24"/>
  <c r="CJ357" i="24" s="1"/>
  <c r="CI206" i="24"/>
  <c r="BQ66" i="24"/>
  <c r="BQ225" i="24"/>
  <c r="CI225" i="24" s="1"/>
  <c r="BQ217" i="24"/>
  <c r="CI217" i="24" s="1"/>
  <c r="CI215" i="24"/>
  <c r="X14" i="55" s="1"/>
  <c r="E14" i="55"/>
  <c r="BR215" i="24"/>
  <c r="CJ204" i="24"/>
  <c r="BS204" i="24"/>
  <c r="BR223" i="24"/>
  <c r="CJ223" i="24" s="1"/>
  <c r="BR206" i="24"/>
  <c r="BR209" i="24"/>
  <c r="CI381" i="24"/>
  <c r="BQ378" i="24"/>
  <c r="CI380" i="24"/>
  <c r="BS363" i="24"/>
  <c r="CJ363" i="24"/>
  <c r="Y29" i="55" s="1"/>
  <c r="F29" i="55"/>
  <c r="CK273" i="24"/>
  <c r="BP352" i="24"/>
  <c r="D27" i="55" s="1"/>
  <c r="BP303" i="24"/>
  <c r="BP377" i="24"/>
  <c r="P270" i="24"/>
  <c r="BN363" i="24"/>
  <c r="BM363" i="24" s="1"/>
  <c r="BL363" i="24" s="1"/>
  <c r="BK363" i="24" s="1"/>
  <c r="BJ363" i="24" s="1"/>
  <c r="BI363" i="24" s="1"/>
  <c r="BH363" i="24" s="1"/>
  <c r="BG363" i="24" s="1"/>
  <c r="BF363" i="24" s="1"/>
  <c r="BE363" i="24" s="1"/>
  <c r="BD363" i="24" s="1"/>
  <c r="BC363" i="24" s="1"/>
  <c r="BB363" i="24" s="1"/>
  <c r="BA363" i="24" s="1"/>
  <c r="AZ363" i="24" s="1"/>
  <c r="AY363" i="24" s="1"/>
  <c r="AX363" i="24" s="1"/>
  <c r="AW363" i="24" s="1"/>
  <c r="AV363" i="24" s="1"/>
  <c r="AU363" i="24" s="1"/>
  <c r="AT363" i="24" s="1"/>
  <c r="AS363" i="24" s="1"/>
  <c r="AR363" i="24" s="1"/>
  <c r="AQ363" i="24" s="1"/>
  <c r="AP363" i="24" s="1"/>
  <c r="AO363" i="24" s="1"/>
  <c r="AN363" i="24" s="1"/>
  <c r="AM363" i="24" s="1"/>
  <c r="AL363" i="24" s="1"/>
  <c r="AK363" i="24" s="1"/>
  <c r="AJ363" i="24" s="1"/>
  <c r="AI363" i="24" s="1"/>
  <c r="AH363" i="24" s="1"/>
  <c r="AG363" i="24" s="1"/>
  <c r="AF363" i="24" s="1"/>
  <c r="AE363" i="24" s="1"/>
  <c r="AD363" i="24" s="1"/>
  <c r="AC363" i="24" s="1"/>
  <c r="AB363" i="24" s="1"/>
  <c r="AA363" i="24" s="1"/>
  <c r="Z363" i="24" s="1"/>
  <c r="Y363" i="24" s="1"/>
  <c r="X363" i="24" s="1"/>
  <c r="W363" i="24" s="1"/>
  <c r="V363" i="24" s="1"/>
  <c r="U363" i="24" s="1"/>
  <c r="T363" i="24" s="1"/>
  <c r="S363" i="24" s="1"/>
  <c r="R363" i="24" s="1"/>
  <c r="Q363" i="24" s="1"/>
  <c r="P363" i="24" s="1"/>
  <c r="O363" i="24" s="1"/>
  <c r="N363" i="24" s="1"/>
  <c r="M363" i="24" s="1"/>
  <c r="L363" i="24" s="1"/>
  <c r="K363" i="24" s="1"/>
  <c r="J363" i="24" s="1"/>
  <c r="I363" i="24" s="1"/>
  <c r="H363" i="24" s="1"/>
  <c r="G363" i="24" s="1"/>
  <c r="F363" i="24" s="1"/>
  <c r="C29" i="55"/>
  <c r="E15" i="55"/>
  <c r="CI209" i="24"/>
  <c r="X15" i="55" s="1"/>
  <c r="BQ385" i="24"/>
  <c r="CI385" i="24" s="1"/>
  <c r="BR380" i="24"/>
  <c r="BR381" i="24"/>
  <c r="CJ381" i="24" s="1"/>
  <c r="BR229" i="24"/>
  <c r="BR64" i="24" s="1"/>
  <c r="CJ288" i="24"/>
  <c r="Y11" i="55" s="1"/>
  <c r="F11" i="55"/>
  <c r="BR365" i="24"/>
  <c r="BP70" i="24"/>
  <c r="BP71" i="24" s="1"/>
  <c r="BP242" i="24" s="1"/>
  <c r="D19" i="55" s="1"/>
  <c r="D24" i="55" s="1"/>
  <c r="BP258" i="24"/>
  <c r="BP255" i="24"/>
  <c r="BP260" i="24" s="1"/>
  <c r="CI64" i="24"/>
  <c r="BQ301" i="24"/>
  <c r="BQ355" i="24"/>
  <c r="CI355" i="24" s="1"/>
  <c r="BQ253" i="24"/>
  <c r="BQ352" i="24"/>
  <c r="BQ70" i="24"/>
  <c r="CK288" i="24"/>
  <c r="Z11" i="55" s="1"/>
  <c r="G11" i="55"/>
  <c r="CI70" i="24" l="1"/>
  <c r="BQ71" i="24"/>
  <c r="CI352" i="24"/>
  <c r="X27" i="55" s="1"/>
  <c r="E27" i="55"/>
  <c r="BS365" i="24"/>
  <c r="CJ365" i="24"/>
  <c r="CJ64" i="24"/>
  <c r="BR301" i="24"/>
  <c r="BR253" i="24"/>
  <c r="BR355" i="24"/>
  <c r="CJ355" i="24" s="1"/>
  <c r="CI253" i="24"/>
  <c r="BQ258" i="24"/>
  <c r="BQ303" i="24"/>
  <c r="CI303" i="24" s="1"/>
  <c r="BQ377" i="24"/>
  <c r="CI301" i="24"/>
  <c r="BS229" i="24"/>
  <c r="BR238" i="24"/>
  <c r="CJ229" i="24"/>
  <c r="BR371" i="24"/>
  <c r="BR228" i="24"/>
  <c r="BR231" i="24"/>
  <c r="BR230" i="24"/>
  <c r="CJ380" i="24"/>
  <c r="BR378" i="24"/>
  <c r="CJ378" i="24" s="1"/>
  <c r="CK363" i="24"/>
  <c r="Z29" i="55" s="1"/>
  <c r="G29" i="55"/>
  <c r="CJ206" i="24"/>
  <c r="BR66" i="24"/>
  <c r="BR217" i="24"/>
  <c r="CJ217" i="24" s="1"/>
  <c r="BS206" i="24"/>
  <c r="BS205" i="24" s="1"/>
  <c r="BR225" i="24"/>
  <c r="CJ225" i="24" s="1"/>
  <c r="BS223" i="24"/>
  <c r="CK223" i="24" s="1"/>
  <c r="BS215" i="24"/>
  <c r="CK204" i="24"/>
  <c r="CJ215" i="24"/>
  <c r="Y14" i="55" s="1"/>
  <c r="F14" i="55"/>
  <c r="BS357" i="24"/>
  <c r="CK357" i="24" s="1"/>
  <c r="CK367" i="24"/>
  <c r="O270" i="24"/>
  <c r="BP20" i="24"/>
  <c r="CI378" i="24"/>
  <c r="BS381" i="24"/>
  <c r="CK381" i="24" s="1"/>
  <c r="BR385" i="24"/>
  <c r="CJ385" i="24" s="1"/>
  <c r="F15" i="55"/>
  <c r="CJ209" i="24"/>
  <c r="Y15" i="55" s="1"/>
  <c r="BS380" i="24"/>
  <c r="BQ254" i="24"/>
  <c r="CI66" i="24"/>
  <c r="BQ354" i="24"/>
  <c r="CK380" i="24" l="1"/>
  <c r="BS378" i="24"/>
  <c r="CK378" i="24" s="1"/>
  <c r="N270" i="24"/>
  <c r="BS216" i="24"/>
  <c r="CK216" i="24" s="1"/>
  <c r="BS224" i="24"/>
  <c r="CK224" i="24" s="1"/>
  <c r="BS209" i="24"/>
  <c r="CK205" i="24"/>
  <c r="BS225" i="24"/>
  <c r="CK225" i="24" s="1"/>
  <c r="BS217" i="24"/>
  <c r="CK217" i="24" s="1"/>
  <c r="CK206" i="24"/>
  <c r="CJ66" i="24"/>
  <c r="BR254" i="24"/>
  <c r="BR255" i="24" s="1"/>
  <c r="BR240" i="24"/>
  <c r="CJ240" i="24" s="1"/>
  <c r="BS231" i="24"/>
  <c r="CJ231" i="24"/>
  <c r="CJ371" i="24"/>
  <c r="BR372" i="24"/>
  <c r="CJ372" i="24" s="1"/>
  <c r="CJ238" i="24"/>
  <c r="Y18" i="55" s="1"/>
  <c r="F18" i="55"/>
  <c r="F23" i="55" s="1"/>
  <c r="Y23" i="55" s="1"/>
  <c r="CI258" i="24"/>
  <c r="BR352" i="24"/>
  <c r="BR258" i="24"/>
  <c r="CJ253" i="24"/>
  <c r="BR303" i="24"/>
  <c r="CJ303" i="24" s="1"/>
  <c r="BR377" i="24"/>
  <c r="CJ377" i="24" s="1"/>
  <c r="CJ301" i="24"/>
  <c r="CI71" i="24"/>
  <c r="BQ242" i="24"/>
  <c r="BQ20" i="24"/>
  <c r="CI20" i="24" s="1"/>
  <c r="BR354" i="24"/>
  <c r="CI354" i="24"/>
  <c r="X26" i="55" s="1"/>
  <c r="E26" i="55"/>
  <c r="BQ259" i="24"/>
  <c r="CI259" i="24" s="1"/>
  <c r="CI254" i="24"/>
  <c r="CK215" i="24"/>
  <c r="Z14" i="55" s="1"/>
  <c r="G14" i="55"/>
  <c r="BS230" i="24"/>
  <c r="BR239" i="24"/>
  <c r="CJ239" i="24" s="1"/>
  <c r="BR65" i="24"/>
  <c r="CJ65" i="24" s="1"/>
  <c r="CJ230" i="24"/>
  <c r="BS228" i="24"/>
  <c r="BR237" i="24"/>
  <c r="CJ228" i="24"/>
  <c r="BR370" i="24"/>
  <c r="CJ370" i="24" s="1"/>
  <c r="BR75" i="24"/>
  <c r="BR63" i="24"/>
  <c r="CK229" i="24"/>
  <c r="BS371" i="24"/>
  <c r="BS238" i="24"/>
  <c r="CI377" i="24"/>
  <c r="E377" i="24"/>
  <c r="D377" i="24"/>
  <c r="BQ255" i="24"/>
  <c r="BS64" i="24"/>
  <c r="CK365" i="24"/>
  <c r="CK238" i="24" l="1"/>
  <c r="Z18" i="55" s="1"/>
  <c r="G18" i="55"/>
  <c r="G23" i="55" s="1"/>
  <c r="Z23" i="55" s="1"/>
  <c r="CK228" i="24"/>
  <c r="BS237" i="24"/>
  <c r="BS370" i="24"/>
  <c r="CK370" i="24" s="1"/>
  <c r="BS75" i="24"/>
  <c r="BS63" i="24"/>
  <c r="BS239" i="24"/>
  <c r="CK239" i="24" s="1"/>
  <c r="CK230" i="24"/>
  <c r="CJ255" i="24"/>
  <c r="BR260" i="24"/>
  <c r="CJ260" i="24" s="1"/>
  <c r="CJ258" i="24"/>
  <c r="CK231" i="24"/>
  <c r="BS240" i="24"/>
  <c r="CK240" i="24" s="1"/>
  <c r="CJ254" i="24"/>
  <c r="BR259" i="24"/>
  <c r="CJ259" i="24" s="1"/>
  <c r="BS66" i="24"/>
  <c r="BS65" i="24"/>
  <c r="CK65" i="24" s="1"/>
  <c r="CK64" i="24"/>
  <c r="BS301" i="24"/>
  <c r="BS355" i="24"/>
  <c r="CK355" i="24" s="1"/>
  <c r="BS253" i="24"/>
  <c r="BS352" i="24"/>
  <c r="BQ260" i="24"/>
  <c r="CI260" i="24" s="1"/>
  <c r="CI255" i="24"/>
  <c r="BS372" i="24"/>
  <c r="CK372" i="24" s="1"/>
  <c r="CK371" i="24"/>
  <c r="BR70" i="24"/>
  <c r="CJ63" i="24"/>
  <c r="BR37" i="24"/>
  <c r="CJ237" i="24"/>
  <c r="Y17" i="55" s="1"/>
  <c r="F17" i="55"/>
  <c r="F21" i="55" s="1"/>
  <c r="Y21" i="55" s="1"/>
  <c r="BS354" i="24"/>
  <c r="CJ354" i="24"/>
  <c r="Y26" i="55" s="1"/>
  <c r="F26" i="55"/>
  <c r="CI242" i="24"/>
  <c r="X19" i="55" s="1"/>
  <c r="E19" i="55"/>
  <c r="E24" i="55" s="1"/>
  <c r="X24" i="55" s="1"/>
  <c r="CJ352" i="24"/>
  <c r="Y27" i="55" s="1"/>
  <c r="F27" i="55"/>
  <c r="BR3" i="70"/>
  <c r="BR4" i="70" s="1"/>
  <c r="BT380" i="24"/>
  <c r="CL380" i="24" s="1"/>
  <c r="CK209" i="24"/>
  <c r="Z15" i="55" s="1"/>
  <c r="BS385" i="24"/>
  <c r="CK385" i="24" s="1"/>
  <c r="BT381" i="24"/>
  <c r="CL381" i="24" s="1"/>
  <c r="G15" i="55"/>
  <c r="M270" i="24"/>
  <c r="L270" i="24" l="1"/>
  <c r="BR294" i="24"/>
  <c r="CJ294" i="24" s="1"/>
  <c r="CJ37" i="24"/>
  <c r="BR268" i="24"/>
  <c r="BR27" i="24"/>
  <c r="BR46" i="24"/>
  <c r="BS258" i="24"/>
  <c r="CK253" i="24"/>
  <c r="BS303" i="24"/>
  <c r="CK303" i="24" s="1"/>
  <c r="BS377" i="24"/>
  <c r="CK377" i="24" s="1"/>
  <c r="CK301" i="24"/>
  <c r="BS3" i="70"/>
  <c r="BS4" i="70" s="1"/>
  <c r="CK63" i="24"/>
  <c r="BS70" i="24"/>
  <c r="CK237" i="24"/>
  <c r="Z17" i="55" s="1"/>
  <c r="G17" i="55"/>
  <c r="G21" i="55" s="1"/>
  <c r="Z21" i="55" s="1"/>
  <c r="BS37" i="24"/>
  <c r="CK354" i="24"/>
  <c r="Z26" i="55" s="1"/>
  <c r="G26" i="55"/>
  <c r="CJ70" i="24"/>
  <c r="BR71" i="24"/>
  <c r="CK352" i="24"/>
  <c r="Z27" i="55" s="1"/>
  <c r="G27" i="55"/>
  <c r="CK66" i="24"/>
  <c r="BS254" i="24"/>
  <c r="BR18" i="64"/>
  <c r="BS18" i="64"/>
  <c r="BS259" i="24" l="1"/>
  <c r="CK259" i="24" s="1"/>
  <c r="CK254" i="24"/>
  <c r="BR242" i="24"/>
  <c r="CJ71" i="24"/>
  <c r="BR20" i="24"/>
  <c r="CJ20" i="24" s="1"/>
  <c r="CK70" i="24"/>
  <c r="BS71" i="24"/>
  <c r="BS255" i="24"/>
  <c r="CK258" i="24"/>
  <c r="CJ27" i="24"/>
  <c r="BR283" i="24"/>
  <c r="CJ283" i="24" s="1"/>
  <c r="BR31" i="24"/>
  <c r="BS294" i="24"/>
  <c r="CK294" i="24" s="1"/>
  <c r="CK37" i="24"/>
  <c r="BS27" i="24"/>
  <c r="BS46" i="24"/>
  <c r="BS268" i="24"/>
  <c r="CJ268" i="24"/>
  <c r="K270" i="24"/>
  <c r="CJ31" i="24" l="1"/>
  <c r="BR287" i="24"/>
  <c r="CJ287" i="24" s="1"/>
  <c r="CK255" i="24"/>
  <c r="BS260" i="24"/>
  <c r="CK260" i="24" s="1"/>
  <c r="J270" i="24"/>
  <c r="CK268" i="24"/>
  <c r="CK27" i="24"/>
  <c r="BS283" i="24"/>
  <c r="CK283" i="24" s="1"/>
  <c r="BS31" i="24"/>
  <c r="BS242" i="24"/>
  <c r="CK71" i="24"/>
  <c r="BS20" i="24"/>
  <c r="CK20" i="24" s="1"/>
  <c r="CJ242" i="24"/>
  <c r="Y19" i="55" s="1"/>
  <c r="F19" i="55"/>
  <c r="F24" i="55" s="1"/>
  <c r="Y24" i="55" s="1"/>
  <c r="CK242" i="24" l="1"/>
  <c r="Z19" i="55" s="1"/>
  <c r="G19" i="55"/>
  <c r="G24" i="55" s="1"/>
  <c r="Z24" i="55" s="1"/>
  <c r="CK31" i="24"/>
  <c r="BS287" i="24"/>
  <c r="CK287" i="24" s="1"/>
  <c r="I270" i="24"/>
  <c r="H270" i="24" l="1"/>
  <c r="G270" i="24" l="1"/>
  <c r="F270" i="24" l="1"/>
  <c r="BT300" i="24" l="1"/>
  <c r="BT57" i="24"/>
  <c r="CL57" i="24" s="1"/>
  <c r="CL92" i="24"/>
  <c r="BT69" i="24"/>
  <c r="CL91" i="24"/>
  <c r="K838" i="53"/>
  <c r="I844" i="53"/>
  <c r="CL90" i="24"/>
  <c r="BT10" i="24"/>
  <c r="BT89" i="24"/>
  <c r="CL89" i="24" s="1"/>
  <c r="BT54" i="24"/>
  <c r="CL54" i="24" s="1"/>
  <c r="CL10" i="24" l="1"/>
  <c r="BT9" i="24"/>
  <c r="CL300" i="24"/>
  <c r="CL9" i="24" l="1"/>
  <c r="CL96" i="24" l="1"/>
  <c r="BT56" i="24"/>
  <c r="CL56" i="24" s="1"/>
  <c r="CL95" i="24"/>
  <c r="I843" i="53"/>
  <c r="BT88" i="24"/>
  <c r="CL88" i="24" s="1"/>
  <c r="BT87" i="24" l="1"/>
  <c r="CL87" i="24" s="1"/>
  <c r="I834" i="53"/>
  <c r="I835" i="53"/>
  <c r="I836" i="53"/>
  <c r="BT58" i="24"/>
  <c r="CL58" i="24"/>
  <c r="BT59" i="24"/>
  <c r="CL59" i="24" s="1"/>
  <c r="BT60" i="24"/>
  <c r="CL60" i="24" s="1"/>
  <c r="BT81" i="24"/>
  <c r="BT80" i="24" s="1"/>
  <c r="BT264" i="24" s="1"/>
  <c r="CL264" i="24" s="1"/>
  <c r="CL82" i="24"/>
  <c r="CL83" i="24"/>
  <c r="CL84" i="24"/>
  <c r="CL81" i="24" l="1"/>
  <c r="CL80" i="24"/>
  <c r="BT79" i="24"/>
  <c r="CL79" i="24" l="1"/>
  <c r="BT100" i="24"/>
  <c r="CL100" i="24" l="1"/>
  <c r="BT102" i="24"/>
  <c r="CL102" i="24" l="1"/>
  <c r="BT106" i="24"/>
  <c r="BT113" i="24" s="1"/>
  <c r="CL113" i="24" s="1"/>
  <c r="CL106" i="24" l="1"/>
  <c r="BT107" i="24"/>
  <c r="BT109" i="24" l="1"/>
  <c r="BT118" i="24"/>
  <c r="CL118" i="24" s="1"/>
  <c r="BT341" i="24"/>
  <c r="CL114" i="24"/>
  <c r="CL341" i="24" l="1"/>
  <c r="CL109" i="24"/>
  <c r="BT440" i="24"/>
  <c r="CL167" i="24"/>
  <c r="CL165" i="24" l="1"/>
  <c r="BT426" i="24"/>
  <c r="CL426" i="24" s="1"/>
  <c r="CL174" i="24"/>
  <c r="BT430" i="24"/>
  <c r="CL430" i="24" s="1"/>
  <c r="CL178" i="24"/>
  <c r="CL179" i="24"/>
  <c r="CL180" i="24"/>
  <c r="BT189" i="24"/>
  <c r="CL189" i="24" s="1"/>
  <c r="BT191" i="24"/>
  <c r="CL191" i="24" l="1"/>
  <c r="BT433" i="24"/>
  <c r="H6" i="55"/>
  <c r="BU156" i="24"/>
  <c r="CM156" i="24" s="1"/>
  <c r="BT157" i="24"/>
  <c r="CL157" i="24"/>
  <c r="CL164" i="24"/>
  <c r="CL168" i="24"/>
  <c r="CL171" i="24"/>
  <c r="BT172" i="24"/>
  <c r="CL172" i="24" s="1"/>
  <c r="BT199" i="24"/>
  <c r="BT423" i="24"/>
  <c r="CL423" i="24" s="1"/>
  <c r="BT425" i="24"/>
  <c r="CL425" i="24" s="1"/>
  <c r="BT427" i="24"/>
  <c r="CL427" i="24" s="1"/>
  <c r="BT428" i="24"/>
  <c r="CL428" i="24" s="1"/>
  <c r="BT429" i="24"/>
  <c r="CL429" i="24" s="1"/>
  <c r="CL159" i="24"/>
  <c r="AA6" i="55" s="1"/>
  <c r="BT158" i="24"/>
  <c r="CL158" i="24" s="1"/>
  <c r="CL161" i="24"/>
  <c r="BT306" i="24"/>
  <c r="CL306" i="24" s="1"/>
  <c r="CL17" i="24"/>
  <c r="BT18" i="24"/>
  <c r="CL18" i="24" s="1"/>
  <c r="BT52" i="24"/>
  <c r="CL52" i="24" s="1"/>
  <c r="BT190" i="24"/>
  <c r="H31" i="55" s="1"/>
  <c r="K23" i="71" s="1"/>
  <c r="BT197" i="24"/>
  <c r="H30" i="55" s="1"/>
  <c r="BT245" i="24"/>
  <c r="CL245" i="24" s="1"/>
  <c r="BT309" i="24"/>
  <c r="BT310" i="24"/>
  <c r="H9" i="55" s="1"/>
  <c r="BT311" i="24"/>
  <c r="CL311" i="24" s="1"/>
  <c r="BT312" i="24"/>
  <c r="CL312" i="24" s="1"/>
  <c r="BT314" i="24"/>
  <c r="CL314" i="24" s="1"/>
  <c r="BT321" i="24"/>
  <c r="CL321" i="24" s="1"/>
  <c r="BT322" i="24"/>
  <c r="CL322" i="24" s="1"/>
  <c r="BT323" i="24"/>
  <c r="CL323" i="24" s="1"/>
  <c r="BT326" i="24"/>
  <c r="CL326" i="24" s="1"/>
  <c r="BT327" i="24"/>
  <c r="H10" i="55" s="1"/>
  <c r="K15" i="71" s="1"/>
  <c r="BT329" i="24"/>
  <c r="CL329" i="24" s="1"/>
  <c r="BT330" i="24"/>
  <c r="CL330" i="24" s="1"/>
  <c r="BT331" i="24"/>
  <c r="CL331" i="24" s="1"/>
  <c r="BT332" i="24"/>
  <c r="CL332" i="24" s="1"/>
  <c r="BT333" i="24"/>
  <c r="CL333" i="24" s="1"/>
  <c r="BT335" i="24"/>
  <c r="CL335" i="24" s="1"/>
  <c r="BT336" i="24"/>
  <c r="CL336" i="24" s="1"/>
  <c r="BT337" i="24"/>
  <c r="CL337" i="24" s="1"/>
  <c r="BT339" i="24"/>
  <c r="CL339" i="24" s="1"/>
  <c r="BT347" i="24"/>
  <c r="CL347" i="24" s="1"/>
  <c r="BT348" i="24"/>
  <c r="CL348" i="24" s="1"/>
  <c r="BT353" i="24"/>
  <c r="H28" i="55" s="1"/>
  <c r="BT360" i="24"/>
  <c r="CL360" i="24" s="1"/>
  <c r="BT362" i="24"/>
  <c r="CL362" i="24" s="1"/>
  <c r="BT434" i="24"/>
  <c r="BT435" i="24"/>
  <c r="BU35" i="64"/>
  <c r="BT53" i="24" l="1"/>
  <c r="CL53" i="24" s="1"/>
  <c r="BT185" i="24"/>
  <c r="CL185" i="24" s="1"/>
  <c r="BT36" i="64"/>
  <c r="BT345" i="24"/>
  <c r="CL345" i="24" s="1"/>
  <c r="BT344" i="24"/>
  <c r="CL344" i="24" s="1"/>
  <c r="BU424" i="24"/>
  <c r="CM424" i="24" s="1"/>
  <c r="CL353" i="24"/>
  <c r="AA28" i="55" s="1"/>
  <c r="CL310" i="24"/>
  <c r="AA9" i="55" s="1"/>
  <c r="BT61" i="24"/>
  <c r="CL61" i="24" s="1"/>
  <c r="BT176" i="24"/>
  <c r="CL176" i="24" s="1"/>
  <c r="BT246" i="24"/>
  <c r="CL246" i="24" s="1"/>
  <c r="AA25" i="55" s="1"/>
  <c r="BT198" i="24"/>
  <c r="CL198" i="24" s="1"/>
  <c r="BT175" i="24"/>
  <c r="CL327" i="24"/>
  <c r="AA10" i="55" s="1"/>
  <c r="CL197" i="24"/>
  <c r="AA30" i="55" s="1"/>
  <c r="CL190" i="24"/>
  <c r="AA31" i="55" s="1"/>
  <c r="H32" i="55"/>
  <c r="K22" i="71" s="1"/>
  <c r="CL309" i="24"/>
  <c r="AA32" i="55" s="1"/>
  <c r="BT361" i="24"/>
  <c r="CL361" i="24" s="1"/>
  <c r="H25" i="55" l="1"/>
  <c r="BT356" i="24"/>
  <c r="CL356" i="24" s="1"/>
  <c r="BT15" i="24"/>
  <c r="CL15" i="24"/>
  <c r="CL125" i="24"/>
  <c r="BT319" i="24"/>
  <c r="CL319" i="24" s="1"/>
  <c r="BT358" i="24"/>
  <c r="CL358" i="24" s="1"/>
  <c r="BT392" i="24"/>
  <c r="CL392" i="24"/>
  <c r="BT16" i="24"/>
  <c r="BT21" i="24" s="1"/>
  <c r="CL21" i="24" s="1"/>
  <c r="BT124" i="24"/>
  <c r="CL124" i="24" s="1"/>
  <c r="CL131" i="24"/>
  <c r="BT318" i="24"/>
  <c r="CL318" i="24" s="1"/>
  <c r="BT320" i="24"/>
  <c r="CL320" i="24" s="1"/>
  <c r="BT398" i="24"/>
  <c r="CL398" i="24" s="1"/>
  <c r="BT305" i="24" l="1"/>
  <c r="CL305" i="24" s="1"/>
  <c r="BT391" i="24"/>
  <c r="CL391" i="24" s="1"/>
  <c r="BT308" i="24"/>
  <c r="CL308" i="24" s="1"/>
  <c r="BT250" i="24"/>
  <c r="CL250" i="24" s="1"/>
  <c r="BT30" i="24"/>
  <c r="CL16" i="24"/>
  <c r="BT307" i="24"/>
  <c r="BT252" i="24"/>
  <c r="BT148" i="24"/>
  <c r="CL148" i="24" s="1"/>
  <c r="H7" i="55"/>
  <c r="BT66" i="45" l="1"/>
  <c r="BT286" i="24"/>
  <c r="CL286" i="24" s="1"/>
  <c r="CL30" i="24"/>
  <c r="K14" i="71"/>
  <c r="CL307" i="24"/>
  <c r="AA7" i="55" s="1"/>
  <c r="H8" i="55"/>
  <c r="BT67" i="45"/>
  <c r="CL252" i="24"/>
  <c r="BT257" i="24"/>
  <c r="CL257" i="24" s="1"/>
  <c r="BT324" i="24"/>
  <c r="CL324" i="24" s="1"/>
  <c r="BT150" i="24"/>
  <c r="BT417" i="24" s="1"/>
  <c r="CL417" i="24" s="1"/>
  <c r="BT415" i="24"/>
  <c r="CL415" i="24" s="1"/>
  <c r="BT154" i="24" l="1"/>
  <c r="CL150" i="24"/>
  <c r="CL154" i="24"/>
  <c r="BU154" i="24"/>
  <c r="CM154" i="24" l="1"/>
  <c r="F3" i="45" l="1"/>
  <c r="G3" i="45"/>
  <c r="H3" i="45"/>
  <c r="I3" i="45"/>
  <c r="J3" i="45"/>
  <c r="K3" i="45"/>
  <c r="L3" i="45"/>
  <c r="M3" i="45"/>
  <c r="N3" i="45"/>
  <c r="O3" i="45"/>
  <c r="P3" i="45"/>
  <c r="Q3" i="45"/>
  <c r="R3" i="45"/>
  <c r="S3" i="45"/>
  <c r="T3" i="45"/>
  <c r="U3" i="45"/>
  <c r="V3" i="45"/>
  <c r="W3" i="45"/>
  <c r="X3" i="45"/>
  <c r="Y3" i="45"/>
  <c r="Z3" i="45"/>
  <c r="AA3" i="45"/>
  <c r="AB3" i="45"/>
  <c r="AC3" i="45"/>
  <c r="AD3" i="45"/>
  <c r="AE3" i="45"/>
  <c r="AF3" i="45"/>
  <c r="AG3" i="45"/>
  <c r="AH3" i="45"/>
  <c r="AI3" i="45"/>
  <c r="AJ3" i="45"/>
  <c r="AK3" i="45"/>
  <c r="AL3" i="45"/>
  <c r="AM3" i="45"/>
  <c r="AN3" i="45"/>
  <c r="AO3" i="45"/>
  <c r="AP3" i="45"/>
  <c r="AQ3" i="45"/>
  <c r="AR3" i="45"/>
  <c r="AS3" i="45"/>
  <c r="AT3" i="45"/>
  <c r="AU3" i="45"/>
  <c r="AV3" i="45"/>
  <c r="AW3" i="45"/>
  <c r="AX3" i="45"/>
  <c r="AY3" i="45"/>
  <c r="AZ3" i="45"/>
  <c r="BA3" i="45"/>
  <c r="BB3" i="45"/>
  <c r="BC3" i="45"/>
  <c r="BD3" i="45"/>
  <c r="BE3" i="45"/>
  <c r="BF3" i="45"/>
  <c r="BG3" i="45"/>
  <c r="BH3" i="45"/>
  <c r="BI3" i="45"/>
  <c r="BJ3" i="45"/>
  <c r="BK3" i="45"/>
  <c r="BL3" i="45"/>
  <c r="BM3" i="45"/>
  <c r="BN3" i="45"/>
  <c r="BO3" i="45"/>
  <c r="BP3" i="45"/>
  <c r="BQ3" i="45"/>
  <c r="BR3" i="45"/>
  <c r="BS3" i="45"/>
  <c r="BT3" i="45"/>
  <c r="BU3" i="45"/>
  <c r="BV3" i="45"/>
  <c r="BW3" i="45"/>
  <c r="BX3" i="45"/>
  <c r="BY3" i="45"/>
  <c r="BZ3" i="45"/>
  <c r="CA3" i="45"/>
  <c r="CB3" i="45"/>
  <c r="CC3" i="45"/>
  <c r="CD3" i="45"/>
  <c r="CE3" i="45"/>
  <c r="CF3" i="45"/>
  <c r="CG3" i="45"/>
  <c r="BU66" i="45"/>
  <c r="BV66" i="45"/>
  <c r="BW66" i="45"/>
  <c r="BX66" i="45"/>
  <c r="BY66" i="45"/>
  <c r="BZ66" i="45"/>
  <c r="CA66" i="45"/>
  <c r="CB66" i="45"/>
  <c r="CC66" i="45"/>
  <c r="CD66" i="45"/>
  <c r="CE66" i="45"/>
  <c r="CF66" i="45"/>
  <c r="CG66" i="45"/>
  <c r="BU67" i="45"/>
  <c r="BV67" i="45"/>
  <c r="BW67" i="45"/>
  <c r="BX67" i="45"/>
  <c r="BY67" i="45"/>
  <c r="BZ67" i="45"/>
  <c r="CA67" i="45"/>
  <c r="CB67" i="45"/>
  <c r="CC67" i="45"/>
  <c r="CD67" i="45"/>
  <c r="CE67" i="45"/>
  <c r="CF67" i="45"/>
  <c r="CG67" i="45"/>
  <c r="BT2" i="70"/>
  <c r="BU2" i="70"/>
  <c r="BV2" i="70"/>
  <c r="BW2" i="70"/>
  <c r="BX2" i="70"/>
  <c r="BY2" i="70"/>
  <c r="BZ2" i="70"/>
  <c r="CA2" i="70"/>
  <c r="CB2" i="70"/>
  <c r="CC2" i="70"/>
  <c r="CD2" i="70"/>
  <c r="CE2" i="70"/>
  <c r="CF2" i="70"/>
  <c r="CG2" i="70"/>
  <c r="BD3" i="70"/>
  <c r="BE3" i="70"/>
  <c r="BF3" i="70"/>
  <c r="BG3" i="70"/>
  <c r="BP3" i="70"/>
  <c r="BQ3" i="70"/>
  <c r="BT3" i="70"/>
  <c r="BU3" i="70"/>
  <c r="BV3" i="70"/>
  <c r="BW3" i="70"/>
  <c r="BX3" i="70"/>
  <c r="BY3" i="70"/>
  <c r="BZ3" i="70"/>
  <c r="CA3" i="70"/>
  <c r="CB3" i="70"/>
  <c r="CC3" i="70"/>
  <c r="CD3" i="70"/>
  <c r="CE3" i="70"/>
  <c r="CF3" i="70"/>
  <c r="CG3" i="70"/>
  <c r="BD4" i="70"/>
  <c r="BE4" i="70"/>
  <c r="BF4" i="70"/>
  <c r="BG4" i="70"/>
  <c r="BP4" i="70"/>
  <c r="BQ4" i="70"/>
  <c r="BT4" i="70"/>
  <c r="BU4" i="70"/>
  <c r="BV4" i="70"/>
  <c r="BW4" i="70"/>
  <c r="BX4" i="70"/>
  <c r="BY4" i="70"/>
  <c r="BZ4" i="70"/>
  <c r="CA4" i="70"/>
  <c r="CB4" i="70"/>
  <c r="CC4" i="70"/>
  <c r="CD4" i="70"/>
  <c r="CE4" i="70"/>
  <c r="CF4" i="70"/>
  <c r="CG4" i="70"/>
  <c r="BF5" i="70"/>
  <c r="BG5" i="70"/>
  <c r="I6" i="55"/>
  <c r="J6" i="55"/>
  <c r="K6" i="55"/>
  <c r="L6" i="55"/>
  <c r="M6" i="55"/>
  <c r="N6" i="55"/>
  <c r="O6" i="55"/>
  <c r="P6" i="55"/>
  <c r="Q6" i="55"/>
  <c r="R6" i="55"/>
  <c r="S6" i="55"/>
  <c r="T6" i="55"/>
  <c r="U6" i="55"/>
  <c r="V6" i="55"/>
  <c r="AB6" i="55"/>
  <c r="AC6" i="55"/>
  <c r="AD6" i="55"/>
  <c r="AE6" i="55"/>
  <c r="AF6" i="55"/>
  <c r="AG6" i="55"/>
  <c r="AH6" i="55"/>
  <c r="AI6" i="55"/>
  <c r="AJ6" i="55"/>
  <c r="AK6" i="55"/>
  <c r="AL6" i="55"/>
  <c r="AM6" i="55"/>
  <c r="AN6" i="55"/>
  <c r="AO6" i="55"/>
  <c r="I7" i="55"/>
  <c r="J7" i="55"/>
  <c r="K7" i="55"/>
  <c r="L7" i="55"/>
  <c r="M7" i="55"/>
  <c r="N7" i="55"/>
  <c r="O7" i="55"/>
  <c r="P7" i="55"/>
  <c r="Q7" i="55"/>
  <c r="R7" i="55"/>
  <c r="S7" i="55"/>
  <c r="T7" i="55"/>
  <c r="U7" i="55"/>
  <c r="V7" i="55"/>
  <c r="AB7" i="55"/>
  <c r="AC7" i="55"/>
  <c r="AD7" i="55"/>
  <c r="AE7" i="55"/>
  <c r="AF7" i="55"/>
  <c r="AG7" i="55"/>
  <c r="AH7" i="55"/>
  <c r="AI7" i="55"/>
  <c r="AJ7" i="55"/>
  <c r="AK7" i="55"/>
  <c r="AL7" i="55"/>
  <c r="AM7" i="55"/>
  <c r="AN7" i="55"/>
  <c r="AO7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I9" i="55"/>
  <c r="J9" i="55"/>
  <c r="K9" i="55"/>
  <c r="L9" i="55"/>
  <c r="M9" i="55"/>
  <c r="N9" i="55"/>
  <c r="O9" i="55"/>
  <c r="P9" i="55"/>
  <c r="Q9" i="55"/>
  <c r="R9" i="55"/>
  <c r="S9" i="55"/>
  <c r="T9" i="55"/>
  <c r="U9" i="55"/>
  <c r="V9" i="55"/>
  <c r="AB9" i="55"/>
  <c r="AC9" i="55"/>
  <c r="AD9" i="55"/>
  <c r="AE9" i="55"/>
  <c r="AF9" i="55"/>
  <c r="AG9" i="55"/>
  <c r="AH9" i="55"/>
  <c r="AI9" i="55"/>
  <c r="AJ9" i="55"/>
  <c r="AK9" i="55"/>
  <c r="AL9" i="55"/>
  <c r="AM9" i="55"/>
  <c r="AN9" i="55"/>
  <c r="AO9" i="55"/>
  <c r="I10" i="55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AB10" i="55"/>
  <c r="AC10" i="55"/>
  <c r="AD10" i="55"/>
  <c r="AE10" i="55"/>
  <c r="AF10" i="55"/>
  <c r="AG10" i="55"/>
  <c r="AH10" i="55"/>
  <c r="AI10" i="55"/>
  <c r="AJ10" i="55"/>
  <c r="AK10" i="55"/>
  <c r="AL10" i="55"/>
  <c r="AM10" i="55"/>
  <c r="AN10" i="55"/>
  <c r="AO10" i="55"/>
  <c r="H11" i="55"/>
  <c r="I11" i="55"/>
  <c r="J11" i="55"/>
  <c r="K11" i="55"/>
  <c r="L11" i="55"/>
  <c r="M11" i="55"/>
  <c r="N11" i="55"/>
  <c r="O11" i="55"/>
  <c r="P11" i="55"/>
  <c r="Q11" i="55"/>
  <c r="R11" i="55"/>
  <c r="S11" i="55"/>
  <c r="T11" i="55"/>
  <c r="U11" i="55"/>
  <c r="V11" i="55"/>
  <c r="AA11" i="55"/>
  <c r="AB11" i="55"/>
  <c r="AC11" i="55"/>
  <c r="AD11" i="55"/>
  <c r="AE11" i="55"/>
  <c r="AF11" i="55"/>
  <c r="AG11" i="55"/>
  <c r="AH11" i="55"/>
  <c r="AI11" i="55"/>
  <c r="AJ11" i="55"/>
  <c r="AK11" i="55"/>
  <c r="AL11" i="55"/>
  <c r="AM11" i="55"/>
  <c r="AN11" i="55"/>
  <c r="AO11" i="55"/>
  <c r="H12" i="55"/>
  <c r="I12" i="55"/>
  <c r="J12" i="55"/>
  <c r="K12" i="55"/>
  <c r="L12" i="55"/>
  <c r="M12" i="55"/>
  <c r="N12" i="55"/>
  <c r="O12" i="55"/>
  <c r="P12" i="55"/>
  <c r="Q12" i="55"/>
  <c r="R12" i="55"/>
  <c r="S12" i="55"/>
  <c r="T12" i="55"/>
  <c r="U12" i="55"/>
  <c r="V12" i="55"/>
  <c r="AA12" i="55"/>
  <c r="AB12" i="55"/>
  <c r="AC12" i="55"/>
  <c r="AD12" i="55"/>
  <c r="AE12" i="55"/>
  <c r="AF12" i="55"/>
  <c r="AG12" i="55"/>
  <c r="AH12" i="55"/>
  <c r="AI12" i="55"/>
  <c r="AJ12" i="55"/>
  <c r="AK12" i="55"/>
  <c r="AL12" i="55"/>
  <c r="AM12" i="55"/>
  <c r="AN12" i="55"/>
  <c r="AO12" i="55"/>
  <c r="D13" i="55"/>
  <c r="E13" i="55"/>
  <c r="F13" i="55"/>
  <c r="G13" i="55"/>
  <c r="H13" i="55"/>
  <c r="I13" i="55"/>
  <c r="J13" i="55"/>
  <c r="K13" i="55"/>
  <c r="L13" i="55"/>
  <c r="M13" i="55"/>
  <c r="N13" i="55"/>
  <c r="O13" i="55"/>
  <c r="P13" i="55"/>
  <c r="Q13" i="55"/>
  <c r="R13" i="55"/>
  <c r="S13" i="55"/>
  <c r="T13" i="55"/>
  <c r="U13" i="55"/>
  <c r="V13" i="55"/>
  <c r="Y13" i="55"/>
  <c r="Z13" i="55"/>
  <c r="AA13" i="55"/>
  <c r="AB13" i="55"/>
  <c r="AC13" i="55"/>
  <c r="AD13" i="55"/>
  <c r="AE13" i="55"/>
  <c r="AF13" i="55"/>
  <c r="AG13" i="55"/>
  <c r="AH13" i="55"/>
  <c r="AI13" i="55"/>
  <c r="AJ13" i="55"/>
  <c r="AK13" i="55"/>
  <c r="AL13" i="55"/>
  <c r="AM13" i="55"/>
  <c r="AN13" i="55"/>
  <c r="AO13" i="55"/>
  <c r="H14" i="55"/>
  <c r="I14" i="55"/>
  <c r="J14" i="55"/>
  <c r="K14" i="55"/>
  <c r="L14" i="55"/>
  <c r="M14" i="55"/>
  <c r="N14" i="55"/>
  <c r="O14" i="55"/>
  <c r="P14" i="55"/>
  <c r="Q14" i="55"/>
  <c r="R14" i="55"/>
  <c r="S14" i="55"/>
  <c r="T14" i="55"/>
  <c r="U14" i="55"/>
  <c r="V14" i="55"/>
  <c r="AA14" i="55"/>
  <c r="AB14" i="55"/>
  <c r="AC14" i="55"/>
  <c r="AD14" i="55"/>
  <c r="AE14" i="55"/>
  <c r="AF14" i="55"/>
  <c r="AG14" i="55"/>
  <c r="AH14" i="55"/>
  <c r="AI14" i="55"/>
  <c r="AJ14" i="55"/>
  <c r="AK14" i="55"/>
  <c r="AL14" i="55"/>
  <c r="AM14" i="55"/>
  <c r="AN14" i="55"/>
  <c r="AO14" i="55"/>
  <c r="H15" i="55"/>
  <c r="I15" i="55"/>
  <c r="J15" i="55"/>
  <c r="K15" i="55"/>
  <c r="L15" i="55"/>
  <c r="M15" i="55"/>
  <c r="N15" i="55"/>
  <c r="O15" i="55"/>
  <c r="P15" i="55"/>
  <c r="Q15" i="55"/>
  <c r="R15" i="55"/>
  <c r="S15" i="55"/>
  <c r="T15" i="55"/>
  <c r="U15" i="55"/>
  <c r="V15" i="55"/>
  <c r="AA15" i="55"/>
  <c r="AB15" i="55"/>
  <c r="AC15" i="55"/>
  <c r="AD15" i="55"/>
  <c r="AE15" i="55"/>
  <c r="AF15" i="55"/>
  <c r="AG15" i="55"/>
  <c r="AH15" i="55"/>
  <c r="AI15" i="55"/>
  <c r="AJ15" i="55"/>
  <c r="AK15" i="55"/>
  <c r="AL15" i="55"/>
  <c r="AM15" i="55"/>
  <c r="AN15" i="55"/>
  <c r="AO15" i="55"/>
  <c r="H17" i="55"/>
  <c r="I17" i="55"/>
  <c r="J17" i="55"/>
  <c r="K17" i="55"/>
  <c r="L17" i="55"/>
  <c r="M17" i="55"/>
  <c r="N17" i="55"/>
  <c r="O17" i="55"/>
  <c r="P17" i="55"/>
  <c r="Q17" i="55"/>
  <c r="R17" i="55"/>
  <c r="S17" i="55"/>
  <c r="T17" i="55"/>
  <c r="U17" i="55"/>
  <c r="V17" i="55"/>
  <c r="AA17" i="55"/>
  <c r="AB17" i="55"/>
  <c r="AC17" i="55"/>
  <c r="AD17" i="55"/>
  <c r="AE17" i="55"/>
  <c r="AF17" i="55"/>
  <c r="AG17" i="55"/>
  <c r="AH17" i="55"/>
  <c r="AI17" i="55"/>
  <c r="AJ17" i="55"/>
  <c r="AK17" i="55"/>
  <c r="AL17" i="55"/>
  <c r="AM17" i="55"/>
  <c r="AN17" i="55"/>
  <c r="AO17" i="55"/>
  <c r="H18" i="55"/>
  <c r="I18" i="55"/>
  <c r="J18" i="55"/>
  <c r="K18" i="55"/>
  <c r="L18" i="55"/>
  <c r="M18" i="55"/>
  <c r="N18" i="55"/>
  <c r="O18" i="55"/>
  <c r="P18" i="55"/>
  <c r="Q18" i="55"/>
  <c r="R18" i="55"/>
  <c r="S18" i="55"/>
  <c r="T18" i="55"/>
  <c r="U18" i="55"/>
  <c r="V18" i="55"/>
  <c r="AA18" i="55"/>
  <c r="AB18" i="55"/>
  <c r="AC18" i="55"/>
  <c r="AD18" i="55"/>
  <c r="AE18" i="55"/>
  <c r="AF18" i="55"/>
  <c r="AG18" i="55"/>
  <c r="AH18" i="55"/>
  <c r="AI18" i="55"/>
  <c r="AJ18" i="55"/>
  <c r="AK18" i="55"/>
  <c r="AL18" i="55"/>
  <c r="AM18" i="55"/>
  <c r="AN18" i="55"/>
  <c r="AO18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AA19" i="55"/>
  <c r="AB19" i="55"/>
  <c r="AC19" i="55"/>
  <c r="AD19" i="55"/>
  <c r="AE19" i="55"/>
  <c r="AF19" i="55"/>
  <c r="AG19" i="55"/>
  <c r="AH19" i="55"/>
  <c r="AI19" i="55"/>
  <c r="AJ19" i="55"/>
  <c r="AK19" i="55"/>
  <c r="AL19" i="55"/>
  <c r="AM19" i="55"/>
  <c r="AN19" i="55"/>
  <c r="AO19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AA21" i="55"/>
  <c r="AB21" i="55"/>
  <c r="AC21" i="55"/>
  <c r="AD21" i="55"/>
  <c r="AE21" i="55"/>
  <c r="AF21" i="55"/>
  <c r="AG21" i="55"/>
  <c r="AH21" i="55"/>
  <c r="AI21" i="55"/>
  <c r="AJ21" i="55"/>
  <c r="AK21" i="55"/>
  <c r="AL21" i="55"/>
  <c r="AM21" i="55"/>
  <c r="AN21" i="55"/>
  <c r="AO21" i="55"/>
  <c r="H22" i="55"/>
  <c r="I22" i="55"/>
  <c r="J22" i="55"/>
  <c r="K22" i="55"/>
  <c r="L22" i="55"/>
  <c r="M22" i="55"/>
  <c r="N22" i="55"/>
  <c r="O22" i="55"/>
  <c r="P22" i="55"/>
  <c r="Q22" i="55"/>
  <c r="R22" i="55"/>
  <c r="S22" i="55"/>
  <c r="T22" i="55"/>
  <c r="U22" i="55"/>
  <c r="V22" i="55"/>
  <c r="AA22" i="55"/>
  <c r="AB22" i="55"/>
  <c r="AC22" i="55"/>
  <c r="AD22" i="55"/>
  <c r="AE22" i="55"/>
  <c r="AF22" i="55"/>
  <c r="AG22" i="55"/>
  <c r="AH22" i="55"/>
  <c r="AI22" i="55"/>
  <c r="AJ22" i="55"/>
  <c r="AK22" i="55"/>
  <c r="AL22" i="55"/>
  <c r="AM22" i="55"/>
  <c r="AN22" i="55"/>
  <c r="AO22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AA23" i="55"/>
  <c r="AB23" i="55"/>
  <c r="AC23" i="55"/>
  <c r="AD23" i="55"/>
  <c r="AE23" i="55"/>
  <c r="AF23" i="55"/>
  <c r="AG23" i="55"/>
  <c r="AH23" i="55"/>
  <c r="AI23" i="55"/>
  <c r="AJ23" i="55"/>
  <c r="AK23" i="55"/>
  <c r="AL23" i="55"/>
  <c r="AM23" i="55"/>
  <c r="AN23" i="55"/>
  <c r="AO23" i="55"/>
  <c r="H24" i="55"/>
  <c r="I24" i="55"/>
  <c r="J24" i="55"/>
  <c r="K24" i="55"/>
  <c r="L24" i="55"/>
  <c r="M24" i="55"/>
  <c r="N24" i="55"/>
  <c r="O24" i="55"/>
  <c r="P24" i="55"/>
  <c r="Q24" i="55"/>
  <c r="R24" i="55"/>
  <c r="S24" i="55"/>
  <c r="T24" i="55"/>
  <c r="U24" i="55"/>
  <c r="V24" i="55"/>
  <c r="AA24" i="55"/>
  <c r="AB24" i="55"/>
  <c r="AC24" i="55"/>
  <c r="AD24" i="55"/>
  <c r="AE24" i="55"/>
  <c r="AF24" i="55"/>
  <c r="AG24" i="55"/>
  <c r="AH24" i="55"/>
  <c r="AI24" i="55"/>
  <c r="AJ24" i="55"/>
  <c r="AK24" i="55"/>
  <c r="AL24" i="55"/>
  <c r="AM24" i="55"/>
  <c r="AN24" i="55"/>
  <c r="AO24" i="55"/>
  <c r="I25" i="55"/>
  <c r="J25" i="55"/>
  <c r="K25" i="55"/>
  <c r="L25" i="55"/>
  <c r="M25" i="55"/>
  <c r="N25" i="55"/>
  <c r="O25" i="55"/>
  <c r="P25" i="55"/>
  <c r="Q25" i="55"/>
  <c r="R25" i="55"/>
  <c r="S25" i="55"/>
  <c r="T25" i="55"/>
  <c r="U25" i="55"/>
  <c r="V25" i="55"/>
  <c r="AB25" i="55"/>
  <c r="AC25" i="55"/>
  <c r="AD25" i="55"/>
  <c r="AE25" i="55"/>
  <c r="AF25" i="55"/>
  <c r="AG25" i="55"/>
  <c r="AH25" i="55"/>
  <c r="AI25" i="55"/>
  <c r="AJ25" i="55"/>
  <c r="AK25" i="55"/>
  <c r="AL25" i="55"/>
  <c r="AM25" i="55"/>
  <c r="AN25" i="55"/>
  <c r="AO25" i="55"/>
  <c r="H26" i="55"/>
  <c r="I26" i="55"/>
  <c r="J26" i="55"/>
  <c r="K26" i="55"/>
  <c r="L26" i="55"/>
  <c r="M26" i="55"/>
  <c r="N26" i="55"/>
  <c r="O26" i="55"/>
  <c r="P26" i="55"/>
  <c r="Q26" i="55"/>
  <c r="R26" i="55"/>
  <c r="S26" i="55"/>
  <c r="T26" i="55"/>
  <c r="U26" i="55"/>
  <c r="V26" i="55"/>
  <c r="AA26" i="55"/>
  <c r="AB26" i="55"/>
  <c r="AC26" i="55"/>
  <c r="AD26" i="55"/>
  <c r="AE26" i="55"/>
  <c r="AF26" i="55"/>
  <c r="AG26" i="55"/>
  <c r="AH26" i="55"/>
  <c r="AI26" i="55"/>
  <c r="AJ26" i="55"/>
  <c r="AK26" i="55"/>
  <c r="AL26" i="55"/>
  <c r="AM26" i="55"/>
  <c r="AN26" i="55"/>
  <c r="AO26" i="55"/>
  <c r="H27" i="55"/>
  <c r="I27" i="55"/>
  <c r="J27" i="55"/>
  <c r="K27" i="55"/>
  <c r="L27" i="55"/>
  <c r="M27" i="55"/>
  <c r="N27" i="55"/>
  <c r="O27" i="55"/>
  <c r="P27" i="55"/>
  <c r="Q27" i="55"/>
  <c r="R27" i="55"/>
  <c r="S27" i="55"/>
  <c r="T27" i="55"/>
  <c r="U27" i="55"/>
  <c r="V27" i="55"/>
  <c r="AA27" i="55"/>
  <c r="AB27" i="55"/>
  <c r="AC27" i="55"/>
  <c r="AD27" i="55"/>
  <c r="AE27" i="55"/>
  <c r="AF27" i="55"/>
  <c r="AG27" i="55"/>
  <c r="AH27" i="55"/>
  <c r="AI27" i="55"/>
  <c r="AJ27" i="55"/>
  <c r="AK27" i="55"/>
  <c r="AL27" i="55"/>
  <c r="AM27" i="55"/>
  <c r="AN27" i="55"/>
  <c r="AO27" i="55"/>
  <c r="I28" i="55"/>
  <c r="J28" i="55"/>
  <c r="K28" i="55"/>
  <c r="L28" i="55"/>
  <c r="M28" i="55"/>
  <c r="N28" i="55"/>
  <c r="O28" i="55"/>
  <c r="P28" i="55"/>
  <c r="Q28" i="55"/>
  <c r="R28" i="55"/>
  <c r="S28" i="55"/>
  <c r="T28" i="55"/>
  <c r="U28" i="55"/>
  <c r="V28" i="55"/>
  <c r="AB28" i="55"/>
  <c r="AC28" i="55"/>
  <c r="AD28" i="55"/>
  <c r="AE28" i="55"/>
  <c r="AF28" i="55"/>
  <c r="AG28" i="55"/>
  <c r="AH28" i="55"/>
  <c r="AI28" i="55"/>
  <c r="AJ28" i="55"/>
  <c r="AK28" i="55"/>
  <c r="AL28" i="55"/>
  <c r="AM28" i="55"/>
  <c r="AN28" i="55"/>
  <c r="AO28" i="55"/>
  <c r="H29" i="55"/>
  <c r="I29" i="55"/>
  <c r="J29" i="55"/>
  <c r="K29" i="55"/>
  <c r="L29" i="55"/>
  <c r="M29" i="55"/>
  <c r="N29" i="55"/>
  <c r="O29" i="55"/>
  <c r="P29" i="55"/>
  <c r="Q29" i="55"/>
  <c r="R29" i="55"/>
  <c r="S29" i="55"/>
  <c r="T29" i="55"/>
  <c r="U29" i="55"/>
  <c r="V29" i="55"/>
  <c r="AA29" i="55"/>
  <c r="AB29" i="55"/>
  <c r="AC29" i="55"/>
  <c r="AD29" i="55"/>
  <c r="AE29" i="55"/>
  <c r="AF29" i="55"/>
  <c r="AG29" i="55"/>
  <c r="AH29" i="55"/>
  <c r="AI29" i="55"/>
  <c r="AJ29" i="55"/>
  <c r="AK29" i="55"/>
  <c r="AL29" i="55"/>
  <c r="AM29" i="55"/>
  <c r="AN29" i="55"/>
  <c r="AO29" i="55"/>
  <c r="I30" i="55"/>
  <c r="J30" i="55"/>
  <c r="K30" i="55"/>
  <c r="L30" i="55"/>
  <c r="M30" i="55"/>
  <c r="N30" i="55"/>
  <c r="O30" i="55"/>
  <c r="P30" i="55"/>
  <c r="Q30" i="55"/>
  <c r="R30" i="55"/>
  <c r="S30" i="55"/>
  <c r="T30" i="55"/>
  <c r="U30" i="55"/>
  <c r="V30" i="55"/>
  <c r="AB30" i="55"/>
  <c r="AC30" i="55"/>
  <c r="AD30" i="55"/>
  <c r="AE30" i="55"/>
  <c r="AF30" i="55"/>
  <c r="AG30" i="55"/>
  <c r="AH30" i="55"/>
  <c r="AI30" i="55"/>
  <c r="AJ30" i="55"/>
  <c r="AK30" i="55"/>
  <c r="AL30" i="55"/>
  <c r="AM30" i="55"/>
  <c r="AN30" i="55"/>
  <c r="AO30" i="55"/>
  <c r="I31" i="55"/>
  <c r="J31" i="55"/>
  <c r="K31" i="55"/>
  <c r="L31" i="55"/>
  <c r="M31" i="55"/>
  <c r="N31" i="55"/>
  <c r="O31" i="55"/>
  <c r="P31" i="55"/>
  <c r="Q31" i="55"/>
  <c r="R31" i="55"/>
  <c r="S31" i="55"/>
  <c r="T31" i="55"/>
  <c r="U31" i="55"/>
  <c r="V31" i="55"/>
  <c r="AB31" i="55"/>
  <c r="AC31" i="55"/>
  <c r="AD31" i="55"/>
  <c r="AE31" i="55"/>
  <c r="AF31" i="55"/>
  <c r="AG31" i="55"/>
  <c r="AH31" i="55"/>
  <c r="AI31" i="55"/>
  <c r="AJ31" i="55"/>
  <c r="AK31" i="55"/>
  <c r="AL31" i="55"/>
  <c r="AM31" i="55"/>
  <c r="AN31" i="55"/>
  <c r="I32" i="55"/>
  <c r="J32" i="55"/>
  <c r="K32" i="55"/>
  <c r="L32" i="55"/>
  <c r="M32" i="55"/>
  <c r="N32" i="55"/>
  <c r="O32" i="55"/>
  <c r="P32" i="55"/>
  <c r="Q32" i="55"/>
  <c r="R32" i="55"/>
  <c r="S32" i="55"/>
  <c r="T32" i="55"/>
  <c r="U32" i="55"/>
  <c r="V32" i="55"/>
  <c r="AB32" i="55"/>
  <c r="AC32" i="55"/>
  <c r="AD32" i="55"/>
  <c r="AE32" i="55"/>
  <c r="AF32" i="55"/>
  <c r="AG32" i="55"/>
  <c r="AH32" i="55"/>
  <c r="AI32" i="55"/>
  <c r="AJ32" i="55"/>
  <c r="AK32" i="55"/>
  <c r="AL32" i="55"/>
  <c r="AM32" i="55"/>
  <c r="AN32" i="55"/>
  <c r="J838" i="53"/>
  <c r="I840" i="53"/>
  <c r="J840" i="53"/>
  <c r="K840" i="53"/>
  <c r="BE11" i="61"/>
  <c r="BF11" i="61"/>
  <c r="BG11" i="61"/>
  <c r="BH11" i="61"/>
  <c r="BI11" i="61"/>
  <c r="BJ11" i="61"/>
  <c r="BK11" i="61"/>
  <c r="BL11" i="61"/>
  <c r="BM11" i="61"/>
  <c r="BN11" i="61"/>
  <c r="BO11" i="61"/>
  <c r="BR11" i="61"/>
  <c r="BS11" i="61"/>
  <c r="BT11" i="61"/>
  <c r="BU11" i="61"/>
  <c r="BV11" i="61"/>
  <c r="BW11" i="61"/>
  <c r="BX11" i="61"/>
  <c r="BY11" i="61"/>
  <c r="BZ11" i="61"/>
  <c r="CA11" i="61"/>
  <c r="CB11" i="61"/>
  <c r="BD12" i="61"/>
  <c r="BE12" i="61"/>
  <c r="BF12" i="61"/>
  <c r="BG12" i="61"/>
  <c r="BH12" i="61"/>
  <c r="BI12" i="61"/>
  <c r="BJ12" i="61"/>
  <c r="BK12" i="61"/>
  <c r="BL12" i="61"/>
  <c r="BM12" i="61"/>
  <c r="BN12" i="61"/>
  <c r="BO12" i="61"/>
  <c r="BQ12" i="61"/>
  <c r="BR12" i="61"/>
  <c r="BS12" i="61"/>
  <c r="BT12" i="61"/>
  <c r="BU12" i="61"/>
  <c r="BV12" i="61"/>
  <c r="BW12" i="61"/>
  <c r="BX12" i="61"/>
  <c r="BY12" i="61"/>
  <c r="BZ12" i="61"/>
  <c r="CA12" i="61"/>
  <c r="CB12" i="61"/>
  <c r="BD13" i="61"/>
  <c r="BE13" i="61"/>
  <c r="BF13" i="61"/>
  <c r="BG13" i="61"/>
  <c r="BH13" i="61"/>
  <c r="BI13" i="61"/>
  <c r="BJ13" i="61"/>
  <c r="BK13" i="61"/>
  <c r="BL13" i="61"/>
  <c r="BM13" i="61"/>
  <c r="BN13" i="61"/>
  <c r="BO13" i="61"/>
  <c r="BQ13" i="61"/>
  <c r="BR13" i="61"/>
  <c r="BS13" i="61"/>
  <c r="BT13" i="61"/>
  <c r="BU13" i="61"/>
  <c r="BV13" i="61"/>
  <c r="BW13" i="61"/>
  <c r="BX13" i="61"/>
  <c r="BY13" i="61"/>
  <c r="BZ13" i="61"/>
  <c r="CA13" i="61"/>
  <c r="CB13" i="61"/>
  <c r="BA14" i="61"/>
  <c r="BB14" i="61"/>
  <c r="BC14" i="61"/>
  <c r="BD14" i="61"/>
  <c r="BE14" i="61"/>
  <c r="BF14" i="61"/>
  <c r="BG14" i="61"/>
  <c r="BH14" i="61"/>
  <c r="BI14" i="61"/>
  <c r="BJ14" i="61"/>
  <c r="BK14" i="61"/>
  <c r="BL14" i="61"/>
  <c r="BM14" i="61"/>
  <c r="BN14" i="61"/>
  <c r="BO14" i="61"/>
  <c r="BQ14" i="61"/>
  <c r="BR14" i="61"/>
  <c r="BS14" i="61"/>
  <c r="BT14" i="61"/>
  <c r="BU14" i="61"/>
  <c r="BV14" i="61"/>
  <c r="BW14" i="61"/>
  <c r="BX14" i="61"/>
  <c r="BY14" i="61"/>
  <c r="BZ14" i="61"/>
  <c r="CA14" i="61"/>
  <c r="CB14" i="61"/>
  <c r="BE21" i="61"/>
  <c r="BF21" i="61"/>
  <c r="BG21" i="61"/>
  <c r="BH21" i="61"/>
  <c r="BI21" i="61"/>
  <c r="BJ21" i="61"/>
  <c r="BK21" i="61"/>
  <c r="BL21" i="61"/>
  <c r="BM21" i="61"/>
  <c r="BN21" i="61"/>
  <c r="BO21" i="61"/>
  <c r="BR21" i="61"/>
  <c r="BS21" i="61"/>
  <c r="BT21" i="61"/>
  <c r="BU21" i="61"/>
  <c r="BV21" i="61"/>
  <c r="BW21" i="61"/>
  <c r="BX21" i="61"/>
  <c r="BY21" i="61"/>
  <c r="BZ21" i="61"/>
  <c r="CA21" i="61"/>
  <c r="CB21" i="61"/>
  <c r="BE25" i="61"/>
  <c r="BF25" i="61"/>
  <c r="BG25" i="61"/>
  <c r="BH25" i="61"/>
  <c r="BI25" i="61"/>
  <c r="BJ25" i="61"/>
  <c r="BK25" i="61"/>
  <c r="BL25" i="61"/>
  <c r="BM25" i="61"/>
  <c r="BN25" i="61"/>
  <c r="BO25" i="61"/>
  <c r="BR25" i="61"/>
  <c r="BS25" i="61"/>
  <c r="BT25" i="61"/>
  <c r="BU25" i="61"/>
  <c r="BV25" i="61"/>
  <c r="BW25" i="61"/>
  <c r="BX25" i="61"/>
  <c r="BY25" i="61"/>
  <c r="BZ25" i="61"/>
  <c r="CA25" i="61"/>
  <c r="CB25" i="61"/>
  <c r="BC26" i="61"/>
  <c r="BD26" i="61"/>
  <c r="BE26" i="61"/>
  <c r="BF26" i="61"/>
  <c r="BG26" i="61"/>
  <c r="BH26" i="61"/>
  <c r="BI26" i="61"/>
  <c r="BJ26" i="61"/>
  <c r="BK26" i="61"/>
  <c r="BL26" i="61"/>
  <c r="BM26" i="61"/>
  <c r="BN26" i="61"/>
  <c r="BO26" i="61"/>
  <c r="BQ26" i="61"/>
  <c r="BR26" i="61"/>
  <c r="BS26" i="61"/>
  <c r="BT26" i="61"/>
  <c r="BU26" i="61"/>
  <c r="BV26" i="61"/>
  <c r="BW26" i="61"/>
  <c r="BX26" i="61"/>
  <c r="BY26" i="61"/>
  <c r="BZ26" i="61"/>
  <c r="CA26" i="61"/>
  <c r="CB26" i="61"/>
  <c r="BC27" i="61"/>
  <c r="BD27" i="61"/>
  <c r="BE27" i="61"/>
  <c r="BF27" i="61"/>
  <c r="BG27" i="61"/>
  <c r="BH27" i="61"/>
  <c r="BI27" i="61"/>
  <c r="BJ27" i="61"/>
  <c r="BK27" i="61"/>
  <c r="BL27" i="61"/>
  <c r="BM27" i="61"/>
  <c r="BN27" i="61"/>
  <c r="BO27" i="61"/>
  <c r="BQ27" i="61"/>
  <c r="BR27" i="61"/>
  <c r="BS27" i="61"/>
  <c r="BT27" i="61"/>
  <c r="BU27" i="61"/>
  <c r="BV27" i="61"/>
  <c r="BW27" i="61"/>
  <c r="BX27" i="61"/>
  <c r="BY27" i="61"/>
  <c r="BZ27" i="61"/>
  <c r="CA27" i="61"/>
  <c r="CB27" i="61"/>
  <c r="BE28" i="61"/>
  <c r="BF28" i="61"/>
  <c r="BG28" i="61"/>
  <c r="BH28" i="61"/>
  <c r="BI28" i="61"/>
  <c r="BJ28" i="61"/>
  <c r="BK28" i="61"/>
  <c r="BL28" i="61"/>
  <c r="BM28" i="61"/>
  <c r="BN28" i="61"/>
  <c r="BO28" i="61"/>
  <c r="BR28" i="61"/>
  <c r="BS28" i="61"/>
  <c r="BT28" i="61"/>
  <c r="BU28" i="61"/>
  <c r="BV28" i="61"/>
  <c r="BW28" i="61"/>
  <c r="BX28" i="61"/>
  <c r="BY28" i="61"/>
  <c r="BZ28" i="61"/>
  <c r="CA28" i="61"/>
  <c r="CB28" i="61"/>
  <c r="BE29" i="61"/>
  <c r="BF29" i="61"/>
  <c r="BG29" i="61"/>
  <c r="BH29" i="61"/>
  <c r="BI29" i="61"/>
  <c r="BJ29" i="61"/>
  <c r="BK29" i="61"/>
  <c r="BL29" i="61"/>
  <c r="BM29" i="61"/>
  <c r="BN29" i="61"/>
  <c r="BO29" i="61"/>
  <c r="BR29" i="61"/>
  <c r="BS29" i="61"/>
  <c r="BT29" i="61"/>
  <c r="BU29" i="61"/>
  <c r="BV29" i="61"/>
  <c r="BW29" i="61"/>
  <c r="BX29" i="61"/>
  <c r="BY29" i="61"/>
  <c r="BZ29" i="61"/>
  <c r="CA29" i="61"/>
  <c r="CB29" i="61"/>
  <c r="BE30" i="61"/>
  <c r="BF30" i="61"/>
  <c r="BG30" i="61"/>
  <c r="BH30" i="61"/>
  <c r="BI30" i="61"/>
  <c r="BJ30" i="61"/>
  <c r="BK30" i="61"/>
  <c r="BL30" i="61"/>
  <c r="BM30" i="61"/>
  <c r="BN30" i="61"/>
  <c r="BO30" i="61"/>
  <c r="BR30" i="61"/>
  <c r="BS30" i="61"/>
  <c r="BT30" i="61"/>
  <c r="BU30" i="61"/>
  <c r="BV30" i="61"/>
  <c r="BW30" i="61"/>
  <c r="BX30" i="61"/>
  <c r="BY30" i="61"/>
  <c r="BZ30" i="61"/>
  <c r="CA30" i="61"/>
  <c r="CB30" i="61"/>
  <c r="BE38" i="61"/>
  <c r="BF38" i="61"/>
  <c r="BG38" i="61"/>
  <c r="BH38" i="61"/>
  <c r="BI38" i="61"/>
  <c r="BJ38" i="61"/>
  <c r="BK38" i="61"/>
  <c r="BL38" i="61"/>
  <c r="BM38" i="61"/>
  <c r="BN38" i="61"/>
  <c r="BO38" i="61"/>
  <c r="BR38" i="61"/>
  <c r="BS38" i="61"/>
  <c r="BT38" i="61"/>
  <c r="BU38" i="61"/>
  <c r="BV38" i="61"/>
  <c r="BW38" i="61"/>
  <c r="BX38" i="61"/>
  <c r="BY38" i="61"/>
  <c r="BZ38" i="61"/>
  <c r="CA38" i="61"/>
  <c r="CB38" i="61"/>
  <c r="BE39" i="61"/>
  <c r="BF39" i="61"/>
  <c r="BG39" i="61"/>
  <c r="BH39" i="61"/>
  <c r="BI39" i="61"/>
  <c r="BJ39" i="61"/>
  <c r="BK39" i="61"/>
  <c r="BL39" i="61"/>
  <c r="BM39" i="61"/>
  <c r="BN39" i="61"/>
  <c r="BO39" i="61"/>
  <c r="BR39" i="61"/>
  <c r="BS39" i="61"/>
  <c r="BT39" i="61"/>
  <c r="BU39" i="61"/>
  <c r="BV39" i="61"/>
  <c r="BW39" i="61"/>
  <c r="BX39" i="61"/>
  <c r="BY39" i="61"/>
  <c r="BZ39" i="61"/>
  <c r="CA39" i="61"/>
  <c r="CB39" i="61"/>
  <c r="BE40" i="61"/>
  <c r="BF40" i="61"/>
  <c r="BG40" i="61"/>
  <c r="BH40" i="61"/>
  <c r="BI40" i="61"/>
  <c r="BJ40" i="61"/>
  <c r="BK40" i="61"/>
  <c r="BL40" i="61"/>
  <c r="BM40" i="61"/>
  <c r="BN40" i="61"/>
  <c r="BO40" i="61"/>
  <c r="BR40" i="61"/>
  <c r="BS40" i="61"/>
  <c r="BT40" i="61"/>
  <c r="BU40" i="61"/>
  <c r="BV40" i="61"/>
  <c r="BW40" i="61"/>
  <c r="BX40" i="61"/>
  <c r="BY40" i="61"/>
  <c r="BZ40" i="61"/>
  <c r="CA40" i="61"/>
  <c r="CB40" i="61"/>
  <c r="BE41" i="61"/>
  <c r="BF41" i="61"/>
  <c r="BG41" i="61"/>
  <c r="BH41" i="61"/>
  <c r="BI41" i="61"/>
  <c r="BJ41" i="61"/>
  <c r="BK41" i="61"/>
  <c r="BL41" i="61"/>
  <c r="BM41" i="61"/>
  <c r="BN41" i="61"/>
  <c r="BO41" i="61"/>
  <c r="BR41" i="61"/>
  <c r="BS41" i="61"/>
  <c r="BT41" i="61"/>
  <c r="BU41" i="61"/>
  <c r="BV41" i="61"/>
  <c r="BW41" i="61"/>
  <c r="BX41" i="61"/>
  <c r="BY41" i="61"/>
  <c r="BZ41" i="61"/>
  <c r="CA41" i="61"/>
  <c r="CB41" i="61"/>
  <c r="BE42" i="61"/>
  <c r="BF42" i="61"/>
  <c r="BG42" i="61"/>
  <c r="BH42" i="61"/>
  <c r="BI42" i="61"/>
  <c r="BJ42" i="61"/>
  <c r="BK42" i="61"/>
  <c r="BL42" i="61"/>
  <c r="BM42" i="61"/>
  <c r="BN42" i="61"/>
  <c r="BO42" i="61"/>
  <c r="BR42" i="61"/>
  <c r="BS42" i="61"/>
  <c r="BT42" i="61"/>
  <c r="BU42" i="61"/>
  <c r="BV42" i="61"/>
  <c r="BW42" i="61"/>
  <c r="BX42" i="61"/>
  <c r="BY42" i="61"/>
  <c r="BZ42" i="61"/>
  <c r="CA42" i="61"/>
  <c r="CB42" i="61"/>
  <c r="BE43" i="61"/>
  <c r="BF43" i="61"/>
  <c r="BG43" i="61"/>
  <c r="BH43" i="61"/>
  <c r="BI43" i="61"/>
  <c r="BJ43" i="61"/>
  <c r="BK43" i="61"/>
  <c r="BL43" i="61"/>
  <c r="BM43" i="61"/>
  <c r="BN43" i="61"/>
  <c r="BO43" i="61"/>
  <c r="BR43" i="61"/>
  <c r="BS43" i="61"/>
  <c r="BT43" i="61"/>
  <c r="BU43" i="61"/>
  <c r="BV43" i="61"/>
  <c r="BW43" i="61"/>
  <c r="BX43" i="61"/>
  <c r="BY43" i="61"/>
  <c r="BZ43" i="61"/>
  <c r="CA43" i="61"/>
  <c r="CB43" i="61"/>
  <c r="BD49" i="61"/>
  <c r="BE49" i="61"/>
  <c r="BF49" i="61"/>
  <c r="BG49" i="61"/>
  <c r="BH49" i="61"/>
  <c r="BI49" i="61"/>
  <c r="BJ49" i="61"/>
  <c r="BK49" i="61"/>
  <c r="BL49" i="61"/>
  <c r="BM49" i="61"/>
  <c r="BN49" i="61"/>
  <c r="BO49" i="61"/>
  <c r="BQ49" i="61"/>
  <c r="BR49" i="61"/>
  <c r="BS49" i="61"/>
  <c r="BT49" i="61"/>
  <c r="BU49" i="61"/>
  <c r="BV49" i="61"/>
  <c r="BW49" i="61"/>
  <c r="BX49" i="61"/>
  <c r="BY49" i="61"/>
  <c r="BZ49" i="61"/>
  <c r="CA49" i="61"/>
  <c r="CB49" i="61"/>
  <c r="BD50" i="61"/>
  <c r="BE50" i="61"/>
  <c r="BF50" i="61"/>
  <c r="BG50" i="61"/>
  <c r="BH50" i="61"/>
  <c r="BI50" i="61"/>
  <c r="BJ50" i="61"/>
  <c r="BK50" i="61"/>
  <c r="BL50" i="61"/>
  <c r="BM50" i="61"/>
  <c r="BN50" i="61"/>
  <c r="BO50" i="61"/>
  <c r="BQ50" i="61"/>
  <c r="BR50" i="61"/>
  <c r="BS50" i="61"/>
  <c r="BT50" i="61"/>
  <c r="BU50" i="61"/>
  <c r="BV50" i="61"/>
  <c r="BW50" i="61"/>
  <c r="BX50" i="61"/>
  <c r="BY50" i="61"/>
  <c r="BZ50" i="61"/>
  <c r="CA50" i="61"/>
  <c r="CB50" i="61"/>
  <c r="BE53" i="61"/>
  <c r="BF53" i="61"/>
  <c r="BG53" i="61"/>
  <c r="BH53" i="61"/>
  <c r="BI53" i="61"/>
  <c r="BJ53" i="61"/>
  <c r="BK53" i="61"/>
  <c r="BL53" i="61"/>
  <c r="BM53" i="61"/>
  <c r="BN53" i="61"/>
  <c r="BO53" i="61"/>
  <c r="BR53" i="61"/>
  <c r="BS53" i="61"/>
  <c r="BT53" i="61"/>
  <c r="BU53" i="61"/>
  <c r="BV53" i="61"/>
  <c r="BW53" i="61"/>
  <c r="BX53" i="61"/>
  <c r="BY53" i="61"/>
  <c r="BZ53" i="61"/>
  <c r="CA53" i="61"/>
  <c r="CB53" i="61"/>
  <c r="BF54" i="61"/>
  <c r="BG54" i="61"/>
  <c r="BH54" i="61"/>
  <c r="BI54" i="61"/>
  <c r="BJ54" i="61"/>
  <c r="BK54" i="61"/>
  <c r="BL54" i="61"/>
  <c r="BM54" i="61"/>
  <c r="BN54" i="61"/>
  <c r="BO54" i="61"/>
  <c r="BS54" i="61"/>
  <c r="BT54" i="61"/>
  <c r="BU54" i="61"/>
  <c r="BV54" i="61"/>
  <c r="BW54" i="61"/>
  <c r="BX54" i="61"/>
  <c r="BY54" i="61"/>
  <c r="BZ54" i="61"/>
  <c r="CA54" i="61"/>
  <c r="CB54" i="61"/>
  <c r="BE56" i="61"/>
  <c r="BF56" i="61"/>
  <c r="BG56" i="61"/>
  <c r="BH56" i="61"/>
  <c r="BI56" i="61"/>
  <c r="BJ56" i="61"/>
  <c r="BK56" i="61"/>
  <c r="BL56" i="61"/>
  <c r="BM56" i="61"/>
  <c r="BN56" i="61"/>
  <c r="BO56" i="61"/>
  <c r="BR56" i="61"/>
  <c r="BS56" i="61"/>
  <c r="BT56" i="61"/>
  <c r="BU56" i="61"/>
  <c r="BV56" i="61"/>
  <c r="BW56" i="61"/>
  <c r="BX56" i="61"/>
  <c r="BY56" i="61"/>
  <c r="BZ56" i="61"/>
  <c r="CA56" i="61"/>
  <c r="CB56" i="61"/>
  <c r="BE57" i="61"/>
  <c r="BF57" i="61"/>
  <c r="BG57" i="61"/>
  <c r="BH57" i="61"/>
  <c r="BI57" i="61"/>
  <c r="BJ57" i="61"/>
  <c r="BK57" i="61"/>
  <c r="BL57" i="61"/>
  <c r="BM57" i="61"/>
  <c r="BN57" i="61"/>
  <c r="BO57" i="61"/>
  <c r="BR57" i="61"/>
  <c r="BS57" i="61"/>
  <c r="BT57" i="61"/>
  <c r="BU57" i="61"/>
  <c r="BV57" i="61"/>
  <c r="BW57" i="61"/>
  <c r="BX57" i="61"/>
  <c r="BY57" i="61"/>
  <c r="BZ57" i="61"/>
  <c r="CA57" i="61"/>
  <c r="CB57" i="61"/>
  <c r="BF68" i="61"/>
  <c r="BG68" i="61"/>
  <c r="BH68" i="61"/>
  <c r="BI68" i="61"/>
  <c r="BJ68" i="61"/>
  <c r="BK68" i="61"/>
  <c r="BL68" i="61"/>
  <c r="BM68" i="61"/>
  <c r="BN68" i="61"/>
  <c r="BO68" i="61"/>
  <c r="BS68" i="61"/>
  <c r="BT68" i="61"/>
  <c r="BU68" i="61"/>
  <c r="BV68" i="61"/>
  <c r="BW68" i="61"/>
  <c r="BX68" i="61"/>
  <c r="BY68" i="61"/>
  <c r="BZ68" i="61"/>
  <c r="CA68" i="61"/>
  <c r="CB68" i="61"/>
  <c r="BE76" i="61"/>
  <c r="BF76" i="61"/>
  <c r="BG76" i="61"/>
  <c r="BH76" i="61"/>
  <c r="BI76" i="61"/>
  <c r="BJ76" i="61"/>
  <c r="BK76" i="61"/>
  <c r="BL76" i="61"/>
  <c r="BM76" i="61"/>
  <c r="BN76" i="61"/>
  <c r="BO76" i="61"/>
  <c r="BR76" i="61"/>
  <c r="BS76" i="61"/>
  <c r="BT76" i="61"/>
  <c r="BU76" i="61"/>
  <c r="BV76" i="61"/>
  <c r="BW76" i="61"/>
  <c r="BX76" i="61"/>
  <c r="BY76" i="61"/>
  <c r="BZ76" i="61"/>
  <c r="CA76" i="61"/>
  <c r="CB76" i="61"/>
  <c r="BE80" i="61"/>
  <c r="BF80" i="61"/>
  <c r="BG80" i="61"/>
  <c r="BH80" i="61"/>
  <c r="BI80" i="61"/>
  <c r="BJ80" i="61"/>
  <c r="BK80" i="61"/>
  <c r="BL80" i="61"/>
  <c r="BM80" i="61"/>
  <c r="BN80" i="61"/>
  <c r="BO80" i="61"/>
  <c r="BR80" i="61"/>
  <c r="BS80" i="61"/>
  <c r="BT80" i="61"/>
  <c r="BU80" i="61"/>
  <c r="BV80" i="61"/>
  <c r="BW80" i="61"/>
  <c r="BX80" i="61"/>
  <c r="BY80" i="61"/>
  <c r="BZ80" i="61"/>
  <c r="CA80" i="61"/>
  <c r="CB80" i="61"/>
  <c r="BC83" i="61"/>
  <c r="BD83" i="61"/>
  <c r="BE83" i="61"/>
  <c r="BF83" i="61"/>
  <c r="BG83" i="61"/>
  <c r="BH83" i="61"/>
  <c r="BI83" i="61"/>
  <c r="BJ83" i="61"/>
  <c r="BK83" i="61"/>
  <c r="BL83" i="61"/>
  <c r="BM83" i="61"/>
  <c r="BN83" i="61"/>
  <c r="BO83" i="61"/>
  <c r="BQ83" i="61"/>
  <c r="BR83" i="61"/>
  <c r="BS83" i="61"/>
  <c r="BT83" i="61"/>
  <c r="BU83" i="61"/>
  <c r="BV83" i="61"/>
  <c r="BW83" i="61"/>
  <c r="BX83" i="61"/>
  <c r="BY83" i="61"/>
  <c r="BZ83" i="61"/>
  <c r="CA83" i="61"/>
  <c r="CB83" i="61"/>
  <c r="BD88" i="61"/>
  <c r="BE88" i="61"/>
  <c r="BF88" i="61"/>
  <c r="BG88" i="61"/>
  <c r="BH88" i="61"/>
  <c r="BI88" i="61"/>
  <c r="BJ88" i="61"/>
  <c r="BK88" i="61"/>
  <c r="BL88" i="61"/>
  <c r="BM88" i="61"/>
  <c r="BN88" i="61"/>
  <c r="BO88" i="61"/>
  <c r="BQ88" i="61"/>
  <c r="BR88" i="61"/>
  <c r="BS88" i="61"/>
  <c r="BT88" i="61"/>
  <c r="BU88" i="61"/>
  <c r="BV88" i="61"/>
  <c r="BW88" i="61"/>
  <c r="BX88" i="61"/>
  <c r="BY88" i="61"/>
  <c r="BZ88" i="61"/>
  <c r="CA88" i="61"/>
  <c r="CB88" i="61"/>
  <c r="BD90" i="61"/>
  <c r="BE90" i="61"/>
  <c r="BF90" i="61"/>
  <c r="BG90" i="61"/>
  <c r="BH90" i="61"/>
  <c r="BI90" i="61"/>
  <c r="BJ90" i="61"/>
  <c r="BK90" i="61"/>
  <c r="BL90" i="61"/>
  <c r="BM90" i="61"/>
  <c r="BN90" i="61"/>
  <c r="BO90" i="61"/>
  <c r="BQ90" i="61"/>
  <c r="BR90" i="61"/>
  <c r="BS90" i="61"/>
  <c r="BT90" i="61"/>
  <c r="BU90" i="61"/>
  <c r="BV90" i="61"/>
  <c r="BW90" i="61"/>
  <c r="BX90" i="61"/>
  <c r="BY90" i="61"/>
  <c r="BZ90" i="61"/>
  <c r="CA90" i="61"/>
  <c r="CB90" i="61"/>
  <c r="BD91" i="61"/>
  <c r="BE91" i="61"/>
  <c r="BF91" i="61"/>
  <c r="BG91" i="61"/>
  <c r="BH91" i="61"/>
  <c r="BI91" i="61"/>
  <c r="BJ91" i="61"/>
  <c r="BK91" i="61"/>
  <c r="BL91" i="61"/>
  <c r="BM91" i="61"/>
  <c r="BN91" i="61"/>
  <c r="BO91" i="61"/>
  <c r="BQ91" i="61"/>
  <c r="BR91" i="61"/>
  <c r="BS91" i="61"/>
  <c r="BT91" i="61"/>
  <c r="BU91" i="61"/>
  <c r="BV91" i="61"/>
  <c r="BW91" i="61"/>
  <c r="BX91" i="61"/>
  <c r="BY91" i="61"/>
  <c r="BZ91" i="61"/>
  <c r="CA91" i="61"/>
  <c r="CB91" i="61"/>
  <c r="BC107" i="61"/>
  <c r="BD107" i="61"/>
  <c r="BE107" i="61"/>
  <c r="BF107" i="61"/>
  <c r="BG107" i="61"/>
  <c r="BH107" i="61"/>
  <c r="BI107" i="61"/>
  <c r="BJ107" i="61"/>
  <c r="BK107" i="61"/>
  <c r="BL107" i="61"/>
  <c r="BM107" i="61"/>
  <c r="BN107" i="61"/>
  <c r="BO107" i="61"/>
  <c r="BQ107" i="61"/>
  <c r="BR107" i="61"/>
  <c r="BS107" i="61"/>
  <c r="BT107" i="61"/>
  <c r="BU107" i="61"/>
  <c r="BV107" i="61"/>
  <c r="BW107" i="61"/>
  <c r="BX107" i="61"/>
  <c r="BY107" i="61"/>
  <c r="BZ107" i="61"/>
  <c r="CA107" i="61"/>
  <c r="CB107" i="61"/>
  <c r="BC130" i="61"/>
  <c r="BD130" i="61"/>
  <c r="BE130" i="61"/>
  <c r="BF130" i="61"/>
  <c r="BG130" i="61"/>
  <c r="BH130" i="61"/>
  <c r="BI130" i="61"/>
  <c r="BJ130" i="61"/>
  <c r="BK130" i="61"/>
  <c r="BL130" i="61"/>
  <c r="BM130" i="61"/>
  <c r="BN130" i="61"/>
  <c r="BO130" i="61"/>
  <c r="BQ130" i="61"/>
  <c r="BR130" i="61"/>
  <c r="BS130" i="61"/>
  <c r="BT130" i="61"/>
  <c r="BU130" i="61"/>
  <c r="BV130" i="61"/>
  <c r="BW130" i="61"/>
  <c r="BX130" i="61"/>
  <c r="BY130" i="61"/>
  <c r="BZ130" i="61"/>
  <c r="CA130" i="61"/>
  <c r="CB130" i="61"/>
  <c r="BC131" i="61"/>
  <c r="BD131" i="61"/>
  <c r="BE131" i="61"/>
  <c r="BF131" i="61"/>
  <c r="BG131" i="61"/>
  <c r="BH131" i="61"/>
  <c r="BI131" i="61"/>
  <c r="BJ131" i="61"/>
  <c r="BK131" i="61"/>
  <c r="BL131" i="61"/>
  <c r="BM131" i="61"/>
  <c r="BN131" i="61"/>
  <c r="BO131" i="61"/>
  <c r="BQ131" i="61"/>
  <c r="BR131" i="61"/>
  <c r="BS131" i="61"/>
  <c r="BT131" i="61"/>
  <c r="BU131" i="61"/>
  <c r="BV131" i="61"/>
  <c r="BW131" i="61"/>
  <c r="BX131" i="61"/>
  <c r="BY131" i="61"/>
  <c r="BZ131" i="61"/>
  <c r="CA131" i="61"/>
  <c r="CB131" i="61"/>
  <c r="BE135" i="61"/>
  <c r="BF135" i="61"/>
  <c r="BG135" i="61"/>
  <c r="BH135" i="61"/>
  <c r="BI135" i="61"/>
  <c r="BJ135" i="61"/>
  <c r="BK135" i="61"/>
  <c r="BL135" i="61"/>
  <c r="BM135" i="61"/>
  <c r="BN135" i="61"/>
  <c r="BO135" i="61"/>
  <c r="BR135" i="61"/>
  <c r="BS135" i="61"/>
  <c r="BT135" i="61"/>
  <c r="BU135" i="61"/>
  <c r="BV135" i="61"/>
  <c r="BW135" i="61"/>
  <c r="BX135" i="61"/>
  <c r="BY135" i="61"/>
  <c r="BZ135" i="61"/>
  <c r="CA135" i="61"/>
  <c r="CB135" i="61"/>
  <c r="BC138" i="61"/>
  <c r="BD138" i="61"/>
  <c r="BE138" i="61"/>
  <c r="BF138" i="61"/>
  <c r="BG138" i="61"/>
  <c r="BH138" i="61"/>
  <c r="BI138" i="61"/>
  <c r="BJ138" i="61"/>
  <c r="BK138" i="61"/>
  <c r="BL138" i="61"/>
  <c r="BM138" i="61"/>
  <c r="BN138" i="61"/>
  <c r="BO138" i="61"/>
  <c r="BQ138" i="61"/>
  <c r="BR138" i="61"/>
  <c r="BS138" i="61"/>
  <c r="BT138" i="61"/>
  <c r="BU138" i="61"/>
  <c r="BV138" i="61"/>
  <c r="BW138" i="61"/>
  <c r="BX138" i="61"/>
  <c r="BY138" i="61"/>
  <c r="BZ138" i="61"/>
  <c r="CA138" i="61"/>
  <c r="CB138" i="61"/>
  <c r="BC139" i="61"/>
  <c r="BD139" i="61"/>
  <c r="BE139" i="61"/>
  <c r="BF139" i="61"/>
  <c r="BG139" i="61"/>
  <c r="BH139" i="61"/>
  <c r="BI139" i="61"/>
  <c r="BJ139" i="61"/>
  <c r="BK139" i="61"/>
  <c r="BL139" i="61"/>
  <c r="BM139" i="61"/>
  <c r="BN139" i="61"/>
  <c r="BO139" i="61"/>
  <c r="BQ139" i="61"/>
  <c r="BR139" i="61"/>
  <c r="BS139" i="61"/>
  <c r="BT139" i="61"/>
  <c r="BU139" i="61"/>
  <c r="BV139" i="61"/>
  <c r="BW139" i="61"/>
  <c r="BX139" i="61"/>
  <c r="BY139" i="61"/>
  <c r="BZ139" i="61"/>
  <c r="CA139" i="61"/>
  <c r="CB139" i="61"/>
  <c r="BE140" i="61"/>
  <c r="BF140" i="61"/>
  <c r="BG140" i="61"/>
  <c r="BH140" i="61"/>
  <c r="BI140" i="61"/>
  <c r="BJ140" i="61"/>
  <c r="BK140" i="61"/>
  <c r="BL140" i="61"/>
  <c r="BM140" i="61"/>
  <c r="BN140" i="61"/>
  <c r="BO140" i="61"/>
  <c r="BE142" i="61"/>
  <c r="BF142" i="61"/>
  <c r="BG142" i="61"/>
  <c r="BH142" i="61"/>
  <c r="BI142" i="61"/>
  <c r="BJ142" i="61"/>
  <c r="BK142" i="61"/>
  <c r="BL142" i="61"/>
  <c r="BM142" i="61"/>
  <c r="BN142" i="61"/>
  <c r="BO142" i="61"/>
  <c r="BE143" i="61"/>
  <c r="BF143" i="61"/>
  <c r="BG143" i="61"/>
  <c r="BH143" i="61"/>
  <c r="BI143" i="61"/>
  <c r="BJ143" i="61"/>
  <c r="BK143" i="61"/>
  <c r="BL143" i="61"/>
  <c r="BM143" i="61"/>
  <c r="BN143" i="61"/>
  <c r="BO143" i="61"/>
  <c r="BR143" i="61"/>
  <c r="BS143" i="61"/>
  <c r="BT143" i="61"/>
  <c r="BU143" i="61"/>
  <c r="BV143" i="61"/>
  <c r="BW143" i="61"/>
  <c r="BX143" i="61"/>
  <c r="BY143" i="61"/>
  <c r="BZ143" i="61"/>
  <c r="CA143" i="61"/>
  <c r="CB143" i="61"/>
  <c r="BE144" i="61"/>
  <c r="BF144" i="61"/>
  <c r="BG144" i="61"/>
  <c r="BH144" i="61"/>
  <c r="BI144" i="61"/>
  <c r="BJ144" i="61"/>
  <c r="BK144" i="61"/>
  <c r="BL144" i="61"/>
  <c r="BM144" i="61"/>
  <c r="BN144" i="61"/>
  <c r="BO144" i="61"/>
  <c r="BR144" i="61"/>
  <c r="BS144" i="61"/>
  <c r="BT144" i="61"/>
  <c r="BU144" i="61"/>
  <c r="BV144" i="61"/>
  <c r="BW144" i="61"/>
  <c r="BX144" i="61"/>
  <c r="BY144" i="61"/>
  <c r="BZ144" i="61"/>
  <c r="CA144" i="61"/>
  <c r="CB144" i="61"/>
  <c r="BE145" i="61"/>
  <c r="BF145" i="61"/>
  <c r="BG145" i="61"/>
  <c r="BH145" i="61"/>
  <c r="BI145" i="61"/>
  <c r="BJ145" i="61"/>
  <c r="BK145" i="61"/>
  <c r="BL145" i="61"/>
  <c r="BM145" i="61"/>
  <c r="BN145" i="61"/>
  <c r="BO145" i="61"/>
  <c r="BR145" i="61"/>
  <c r="BS145" i="61"/>
  <c r="BT145" i="61"/>
  <c r="BU145" i="61"/>
  <c r="BV145" i="61"/>
  <c r="BW145" i="61"/>
  <c r="BX145" i="61"/>
  <c r="BY145" i="61"/>
  <c r="BZ145" i="61"/>
  <c r="CA145" i="61"/>
  <c r="CB145" i="61"/>
  <c r="BA147" i="61"/>
  <c r="BB147" i="61"/>
  <c r="BC147" i="61"/>
  <c r="BD147" i="61"/>
  <c r="BE147" i="61"/>
  <c r="BF147" i="61"/>
  <c r="BG147" i="61"/>
  <c r="BH147" i="61"/>
  <c r="BI147" i="61"/>
  <c r="BJ147" i="61"/>
  <c r="BK147" i="61"/>
  <c r="BL147" i="61"/>
  <c r="BM147" i="61"/>
  <c r="BN147" i="61"/>
  <c r="BO147" i="61"/>
  <c r="BQ147" i="61"/>
  <c r="BR147" i="61"/>
  <c r="BS147" i="61"/>
  <c r="BT147" i="61"/>
  <c r="BU147" i="61"/>
  <c r="BV147" i="61"/>
  <c r="BW147" i="61"/>
  <c r="BX147" i="61"/>
  <c r="BY147" i="61"/>
  <c r="BZ147" i="61"/>
  <c r="CA147" i="61"/>
  <c r="CB147" i="61"/>
  <c r="BC148" i="61"/>
  <c r="BD148" i="61"/>
  <c r="BE148" i="61"/>
  <c r="BF148" i="61"/>
  <c r="BG148" i="61"/>
  <c r="BH148" i="61"/>
  <c r="BI148" i="61"/>
  <c r="BJ148" i="61"/>
  <c r="BK148" i="61"/>
  <c r="BL148" i="61"/>
  <c r="BM148" i="61"/>
  <c r="BN148" i="61"/>
  <c r="BO148" i="61"/>
  <c r="BQ148" i="61"/>
  <c r="BR148" i="61"/>
  <c r="BS148" i="61"/>
  <c r="BT148" i="61"/>
  <c r="BU148" i="61"/>
  <c r="BV148" i="61"/>
  <c r="BW148" i="61"/>
  <c r="BX148" i="61"/>
  <c r="BY148" i="61"/>
  <c r="BZ148" i="61"/>
  <c r="CA148" i="61"/>
  <c r="CB148" i="61"/>
  <c r="BC152" i="61"/>
  <c r="BD152" i="61"/>
  <c r="BE152" i="61"/>
  <c r="BF152" i="61"/>
  <c r="BG152" i="61"/>
  <c r="BH152" i="61"/>
  <c r="BI152" i="61"/>
  <c r="BJ152" i="61"/>
  <c r="BK152" i="61"/>
  <c r="BL152" i="61"/>
  <c r="BM152" i="61"/>
  <c r="BN152" i="61"/>
  <c r="BO152" i="61"/>
  <c r="BQ152" i="61"/>
  <c r="BR152" i="61"/>
  <c r="BS152" i="61"/>
  <c r="BT152" i="61"/>
  <c r="BU152" i="61"/>
  <c r="BV152" i="61"/>
  <c r="BW152" i="61"/>
  <c r="BX152" i="61"/>
  <c r="BY152" i="61"/>
  <c r="BZ152" i="61"/>
  <c r="CA152" i="61"/>
  <c r="CB152" i="61"/>
  <c r="BC153" i="61"/>
  <c r="BD153" i="61"/>
  <c r="BE153" i="61"/>
  <c r="BF153" i="61"/>
  <c r="BG153" i="61"/>
  <c r="BH153" i="61"/>
  <c r="BI153" i="61"/>
  <c r="BJ153" i="61"/>
  <c r="BK153" i="61"/>
  <c r="BL153" i="61"/>
  <c r="BM153" i="61"/>
  <c r="BN153" i="61"/>
  <c r="BO153" i="61"/>
  <c r="BQ153" i="61"/>
  <c r="BR153" i="61"/>
  <c r="BS153" i="61"/>
  <c r="BT153" i="61"/>
  <c r="BU153" i="61"/>
  <c r="BV153" i="61"/>
  <c r="BW153" i="61"/>
  <c r="BX153" i="61"/>
  <c r="BY153" i="61"/>
  <c r="BZ153" i="61"/>
  <c r="CA153" i="61"/>
  <c r="CB153" i="61"/>
  <c r="BC154" i="61"/>
  <c r="BD154" i="61"/>
  <c r="BE154" i="61"/>
  <c r="BF154" i="61"/>
  <c r="BG154" i="61"/>
  <c r="BH154" i="61"/>
  <c r="BI154" i="61"/>
  <c r="BJ154" i="61"/>
  <c r="BK154" i="61"/>
  <c r="BL154" i="61"/>
  <c r="BM154" i="61"/>
  <c r="BN154" i="61"/>
  <c r="BO154" i="61"/>
  <c r="BQ154" i="61"/>
  <c r="BR154" i="61"/>
  <c r="BS154" i="61"/>
  <c r="BT154" i="61"/>
  <c r="BU154" i="61"/>
  <c r="BV154" i="61"/>
  <c r="BW154" i="61"/>
  <c r="BX154" i="61"/>
  <c r="BY154" i="61"/>
  <c r="BZ154" i="61"/>
  <c r="CA154" i="61"/>
  <c r="CB154" i="61"/>
  <c r="BC155" i="61"/>
  <c r="BD155" i="61"/>
  <c r="BE155" i="61"/>
  <c r="BF155" i="61"/>
  <c r="BG155" i="61"/>
  <c r="BH155" i="61"/>
  <c r="BI155" i="61"/>
  <c r="BJ155" i="61"/>
  <c r="BK155" i="61"/>
  <c r="BL155" i="61"/>
  <c r="BM155" i="61"/>
  <c r="BN155" i="61"/>
  <c r="BO155" i="61"/>
  <c r="BQ155" i="61"/>
  <c r="BR155" i="61"/>
  <c r="BS155" i="61"/>
  <c r="BT155" i="61"/>
  <c r="BU155" i="61"/>
  <c r="BV155" i="61"/>
  <c r="BW155" i="61"/>
  <c r="BX155" i="61"/>
  <c r="BY155" i="61"/>
  <c r="BZ155" i="61"/>
  <c r="CA155" i="61"/>
  <c r="CB155" i="61"/>
  <c r="BC159" i="61"/>
  <c r="BD159" i="61"/>
  <c r="BE159" i="61"/>
  <c r="BF159" i="61"/>
  <c r="BG159" i="61"/>
  <c r="BH159" i="61"/>
  <c r="BI159" i="61"/>
  <c r="BJ159" i="61"/>
  <c r="BK159" i="61"/>
  <c r="BL159" i="61"/>
  <c r="BM159" i="61"/>
  <c r="BN159" i="61"/>
  <c r="BO159" i="61"/>
  <c r="BQ159" i="61"/>
  <c r="BR159" i="61"/>
  <c r="BS159" i="61"/>
  <c r="BT159" i="61"/>
  <c r="BU159" i="61"/>
  <c r="BV159" i="61"/>
  <c r="BW159" i="61"/>
  <c r="BX159" i="61"/>
  <c r="BY159" i="61"/>
  <c r="BZ159" i="61"/>
  <c r="CA159" i="61"/>
  <c r="CB159" i="61"/>
  <c r="BC160" i="61"/>
  <c r="BD160" i="61"/>
  <c r="BE160" i="61"/>
  <c r="BF160" i="61"/>
  <c r="BG160" i="61"/>
  <c r="BH160" i="61"/>
  <c r="BI160" i="61"/>
  <c r="BJ160" i="61"/>
  <c r="BK160" i="61"/>
  <c r="BL160" i="61"/>
  <c r="BM160" i="61"/>
  <c r="BN160" i="61"/>
  <c r="BO160" i="61"/>
  <c r="BQ160" i="61"/>
  <c r="BR160" i="61"/>
  <c r="BS160" i="61"/>
  <c r="BT160" i="61"/>
  <c r="BU160" i="61"/>
  <c r="BV160" i="61"/>
  <c r="BW160" i="61"/>
  <c r="BX160" i="61"/>
  <c r="BY160" i="61"/>
  <c r="BZ160" i="61"/>
  <c r="CA160" i="61"/>
  <c r="CB160" i="61"/>
  <c r="BC162" i="61"/>
  <c r="BD162" i="61"/>
  <c r="BE162" i="61"/>
  <c r="BF162" i="61"/>
  <c r="BG162" i="61"/>
  <c r="BH162" i="61"/>
  <c r="BI162" i="61"/>
  <c r="BJ162" i="61"/>
  <c r="BK162" i="61"/>
  <c r="BL162" i="61"/>
  <c r="BM162" i="61"/>
  <c r="BN162" i="61"/>
  <c r="BO162" i="61"/>
  <c r="BQ162" i="61"/>
  <c r="BR162" i="61"/>
  <c r="BS162" i="61"/>
  <c r="BT162" i="61"/>
  <c r="BU162" i="61"/>
  <c r="BV162" i="61"/>
  <c r="BW162" i="61"/>
  <c r="BX162" i="61"/>
  <c r="BY162" i="61"/>
  <c r="BZ162" i="61"/>
  <c r="CA162" i="61"/>
  <c r="CB162" i="61"/>
  <c r="BD163" i="61"/>
  <c r="BE163" i="61"/>
  <c r="BF163" i="61"/>
  <c r="BG163" i="61"/>
  <c r="BH163" i="61"/>
  <c r="BI163" i="61"/>
  <c r="BJ163" i="61"/>
  <c r="BK163" i="61"/>
  <c r="BL163" i="61"/>
  <c r="BM163" i="61"/>
  <c r="BN163" i="61"/>
  <c r="BO163" i="61"/>
  <c r="BQ163" i="61"/>
  <c r="BR163" i="61"/>
  <c r="BS163" i="61"/>
  <c r="BT163" i="61"/>
  <c r="BU163" i="61"/>
  <c r="BV163" i="61"/>
  <c r="BW163" i="61"/>
  <c r="BX163" i="61"/>
  <c r="BY163" i="61"/>
  <c r="BZ163" i="61"/>
  <c r="CA163" i="61"/>
  <c r="CB163" i="61"/>
  <c r="BE164" i="61"/>
  <c r="BF164" i="61"/>
  <c r="BG164" i="61"/>
  <c r="BH164" i="61"/>
  <c r="BI164" i="61"/>
  <c r="BJ164" i="61"/>
  <c r="BK164" i="61"/>
  <c r="BL164" i="61"/>
  <c r="BM164" i="61"/>
  <c r="BN164" i="61"/>
  <c r="BO164" i="61"/>
  <c r="BR164" i="61"/>
  <c r="BS164" i="61"/>
  <c r="BT164" i="61"/>
  <c r="BU164" i="61"/>
  <c r="BV164" i="61"/>
  <c r="BW164" i="61"/>
  <c r="BX164" i="61"/>
  <c r="BY164" i="61"/>
  <c r="BZ164" i="61"/>
  <c r="CA164" i="61"/>
  <c r="CB164" i="61"/>
  <c r="BD165" i="61"/>
  <c r="BE165" i="61"/>
  <c r="BF165" i="61"/>
  <c r="BG165" i="61"/>
  <c r="BH165" i="61"/>
  <c r="BI165" i="61"/>
  <c r="BJ165" i="61"/>
  <c r="BK165" i="61"/>
  <c r="BL165" i="61"/>
  <c r="BM165" i="61"/>
  <c r="BN165" i="61"/>
  <c r="BO165" i="61"/>
  <c r="BQ165" i="61"/>
  <c r="BR165" i="61"/>
  <c r="BS165" i="61"/>
  <c r="BT165" i="61"/>
  <c r="BU165" i="61"/>
  <c r="BV165" i="61"/>
  <c r="BW165" i="61"/>
  <c r="BX165" i="61"/>
  <c r="BY165" i="61"/>
  <c r="BZ165" i="61"/>
  <c r="CA165" i="61"/>
  <c r="CB165" i="61"/>
  <c r="BD167" i="61"/>
  <c r="BE167" i="61"/>
  <c r="BF167" i="61"/>
  <c r="BG167" i="61"/>
  <c r="BH167" i="61"/>
  <c r="BI167" i="61"/>
  <c r="BJ167" i="61"/>
  <c r="BK167" i="61"/>
  <c r="BL167" i="61"/>
  <c r="BM167" i="61"/>
  <c r="BN167" i="61"/>
  <c r="BO167" i="61"/>
  <c r="BQ167" i="61"/>
  <c r="BR167" i="61"/>
  <c r="BS167" i="61"/>
  <c r="BT167" i="61"/>
  <c r="BU167" i="61"/>
  <c r="BV167" i="61"/>
  <c r="BW167" i="61"/>
  <c r="BX167" i="61"/>
  <c r="BY167" i="61"/>
  <c r="BZ167" i="61"/>
  <c r="CA167" i="61"/>
  <c r="CB167" i="61"/>
  <c r="BC168" i="61"/>
  <c r="BD168" i="61"/>
  <c r="BE168" i="61"/>
  <c r="BF168" i="61"/>
  <c r="BG168" i="61"/>
  <c r="BH168" i="61"/>
  <c r="BI168" i="61"/>
  <c r="BJ168" i="61"/>
  <c r="BK168" i="61"/>
  <c r="BL168" i="61"/>
  <c r="BM168" i="61"/>
  <c r="BN168" i="61"/>
  <c r="BO168" i="61"/>
  <c r="BQ168" i="61"/>
  <c r="BR168" i="61"/>
  <c r="BS168" i="61"/>
  <c r="BT168" i="61"/>
  <c r="BU168" i="61"/>
  <c r="BV168" i="61"/>
  <c r="BW168" i="61"/>
  <c r="BX168" i="61"/>
  <c r="BY168" i="61"/>
  <c r="BZ168" i="61"/>
  <c r="CA168" i="61"/>
  <c r="CB168" i="61"/>
  <c r="BC170" i="61"/>
  <c r="BD170" i="61"/>
  <c r="BE170" i="61"/>
  <c r="BF170" i="61"/>
  <c r="BG170" i="61"/>
  <c r="BH170" i="61"/>
  <c r="BI170" i="61"/>
  <c r="BJ170" i="61"/>
  <c r="BK170" i="61"/>
  <c r="BL170" i="61"/>
  <c r="BM170" i="61"/>
  <c r="BN170" i="61"/>
  <c r="BO170" i="61"/>
  <c r="BQ170" i="61"/>
  <c r="BR170" i="61"/>
  <c r="BS170" i="61"/>
  <c r="BT170" i="61"/>
  <c r="BU170" i="61"/>
  <c r="BV170" i="61"/>
  <c r="BW170" i="61"/>
  <c r="BX170" i="61"/>
  <c r="BY170" i="61"/>
  <c r="BZ170" i="61"/>
  <c r="CA170" i="61"/>
  <c r="CB170" i="61"/>
  <c r="BC172" i="61"/>
  <c r="BD172" i="61"/>
  <c r="BE172" i="61"/>
  <c r="BF172" i="61"/>
  <c r="BG172" i="61"/>
  <c r="BH172" i="61"/>
  <c r="BI172" i="61"/>
  <c r="BJ172" i="61"/>
  <c r="BK172" i="61"/>
  <c r="BL172" i="61"/>
  <c r="BM172" i="61"/>
  <c r="BN172" i="61"/>
  <c r="BO172" i="61"/>
  <c r="BQ172" i="61"/>
  <c r="BR172" i="61"/>
  <c r="BS172" i="61"/>
  <c r="BT172" i="61"/>
  <c r="BU172" i="61"/>
  <c r="BV172" i="61"/>
  <c r="BW172" i="61"/>
  <c r="BX172" i="61"/>
  <c r="BY172" i="61"/>
  <c r="BZ172" i="61"/>
  <c r="CA172" i="61"/>
  <c r="CB172" i="61"/>
  <c r="BC173" i="61"/>
  <c r="BD173" i="61"/>
  <c r="BE173" i="61"/>
  <c r="BF173" i="61"/>
  <c r="BG173" i="61"/>
  <c r="BH173" i="61"/>
  <c r="BI173" i="61"/>
  <c r="BJ173" i="61"/>
  <c r="BK173" i="61"/>
  <c r="BL173" i="61"/>
  <c r="BM173" i="61"/>
  <c r="BN173" i="61"/>
  <c r="BO173" i="61"/>
  <c r="BQ173" i="61"/>
  <c r="BR173" i="61"/>
  <c r="BS173" i="61"/>
  <c r="BT173" i="61"/>
  <c r="BU173" i="61"/>
  <c r="BV173" i="61"/>
  <c r="BW173" i="61"/>
  <c r="BX173" i="61"/>
  <c r="BY173" i="61"/>
  <c r="BZ173" i="61"/>
  <c r="CA173" i="61"/>
  <c r="CB173" i="61"/>
  <c r="BC174" i="61"/>
  <c r="BD174" i="61"/>
  <c r="BE174" i="61"/>
  <c r="BF174" i="61"/>
  <c r="BG174" i="61"/>
  <c r="BH174" i="61"/>
  <c r="BI174" i="61"/>
  <c r="BJ174" i="61"/>
  <c r="BK174" i="61"/>
  <c r="BL174" i="61"/>
  <c r="BM174" i="61"/>
  <c r="BN174" i="61"/>
  <c r="BO174" i="61"/>
  <c r="BQ174" i="61"/>
  <c r="BR174" i="61"/>
  <c r="BS174" i="61"/>
  <c r="BT174" i="61"/>
  <c r="BU174" i="61"/>
  <c r="BV174" i="61"/>
  <c r="BW174" i="61"/>
  <c r="BX174" i="61"/>
  <c r="BY174" i="61"/>
  <c r="BZ174" i="61"/>
  <c r="CA174" i="61"/>
  <c r="CB174" i="61"/>
  <c r="BD175" i="61"/>
  <c r="BE175" i="61"/>
  <c r="BF175" i="61"/>
  <c r="BG175" i="61"/>
  <c r="BH175" i="61"/>
  <c r="BI175" i="61"/>
  <c r="BJ175" i="61"/>
  <c r="BK175" i="61"/>
  <c r="BL175" i="61"/>
  <c r="BM175" i="61"/>
  <c r="BN175" i="61"/>
  <c r="BO175" i="61"/>
  <c r="BQ175" i="61"/>
  <c r="BR175" i="61"/>
  <c r="BS175" i="61"/>
  <c r="BT175" i="61"/>
  <c r="BU175" i="61"/>
  <c r="BV175" i="61"/>
  <c r="BW175" i="61"/>
  <c r="BX175" i="61"/>
  <c r="BY175" i="61"/>
  <c r="BZ175" i="61"/>
  <c r="CA175" i="61"/>
  <c r="CB175" i="61"/>
  <c r="BC176" i="61"/>
  <c r="BD176" i="61"/>
  <c r="BE176" i="61"/>
  <c r="BF176" i="61"/>
  <c r="BG176" i="61"/>
  <c r="BH176" i="61"/>
  <c r="BI176" i="61"/>
  <c r="BJ176" i="61"/>
  <c r="BK176" i="61"/>
  <c r="BL176" i="61"/>
  <c r="BM176" i="61"/>
  <c r="BN176" i="61"/>
  <c r="BO176" i="61"/>
  <c r="BQ176" i="61"/>
  <c r="BR176" i="61"/>
  <c r="BS176" i="61"/>
  <c r="BT176" i="61"/>
  <c r="BU176" i="61"/>
  <c r="BV176" i="61"/>
  <c r="BW176" i="61"/>
  <c r="BX176" i="61"/>
  <c r="BY176" i="61"/>
  <c r="BZ176" i="61"/>
  <c r="CA176" i="61"/>
  <c r="CB176" i="61"/>
  <c r="BC177" i="61"/>
  <c r="BD177" i="61"/>
  <c r="BE177" i="61"/>
  <c r="BF177" i="61"/>
  <c r="BG177" i="61"/>
  <c r="BH177" i="61"/>
  <c r="BI177" i="61"/>
  <c r="BJ177" i="61"/>
  <c r="BK177" i="61"/>
  <c r="BL177" i="61"/>
  <c r="BM177" i="61"/>
  <c r="BN177" i="61"/>
  <c r="BO177" i="61"/>
  <c r="BQ177" i="61"/>
  <c r="BR177" i="61"/>
  <c r="BS177" i="61"/>
  <c r="BT177" i="61"/>
  <c r="BU177" i="61"/>
  <c r="BV177" i="61"/>
  <c r="BW177" i="61"/>
  <c r="BX177" i="61"/>
  <c r="BY177" i="61"/>
  <c r="BZ177" i="61"/>
  <c r="CA177" i="61"/>
  <c r="CB177" i="61"/>
  <c r="BC178" i="61"/>
  <c r="BD178" i="61"/>
  <c r="BE178" i="61"/>
  <c r="BF178" i="61"/>
  <c r="BG178" i="61"/>
  <c r="BH178" i="61"/>
  <c r="BI178" i="61"/>
  <c r="BJ178" i="61"/>
  <c r="BK178" i="61"/>
  <c r="BL178" i="61"/>
  <c r="BM178" i="61"/>
  <c r="BN178" i="61"/>
  <c r="BO178" i="61"/>
  <c r="BQ178" i="61"/>
  <c r="BR178" i="61"/>
  <c r="BS178" i="61"/>
  <c r="BT178" i="61"/>
  <c r="BU178" i="61"/>
  <c r="BV178" i="61"/>
  <c r="BW178" i="61"/>
  <c r="BX178" i="61"/>
  <c r="BY178" i="61"/>
  <c r="BZ178" i="61"/>
  <c r="CA178" i="61"/>
  <c r="CB178" i="61"/>
  <c r="BC179" i="61"/>
  <c r="BD179" i="61"/>
  <c r="BE179" i="61"/>
  <c r="BF179" i="61"/>
  <c r="BG179" i="61"/>
  <c r="BH179" i="61"/>
  <c r="BI179" i="61"/>
  <c r="BJ179" i="61"/>
  <c r="BK179" i="61"/>
  <c r="BL179" i="61"/>
  <c r="BM179" i="61"/>
  <c r="BN179" i="61"/>
  <c r="BO179" i="61"/>
  <c r="BQ179" i="61"/>
  <c r="BR179" i="61"/>
  <c r="BS179" i="61"/>
  <c r="BT179" i="61"/>
  <c r="BU179" i="61"/>
  <c r="BV179" i="61"/>
  <c r="BW179" i="61"/>
  <c r="BX179" i="61"/>
  <c r="BY179" i="61"/>
  <c r="BZ179" i="61"/>
  <c r="CA179" i="61"/>
  <c r="CB179" i="61"/>
  <c r="BC181" i="61"/>
  <c r="BD181" i="61"/>
  <c r="BE181" i="61"/>
  <c r="BF181" i="61"/>
  <c r="BG181" i="61"/>
  <c r="BH181" i="61"/>
  <c r="BI181" i="61"/>
  <c r="BJ181" i="61"/>
  <c r="BK181" i="61"/>
  <c r="BL181" i="61"/>
  <c r="BM181" i="61"/>
  <c r="BN181" i="61"/>
  <c r="BO181" i="61"/>
  <c r="BQ181" i="61"/>
  <c r="BR181" i="61"/>
  <c r="BS181" i="61"/>
  <c r="BT181" i="61"/>
  <c r="BU181" i="61"/>
  <c r="BV181" i="61"/>
  <c r="BW181" i="61"/>
  <c r="BX181" i="61"/>
  <c r="BY181" i="61"/>
  <c r="BZ181" i="61"/>
  <c r="CA181" i="61"/>
  <c r="CB181" i="61"/>
  <c r="BC182" i="61"/>
  <c r="BD182" i="61"/>
  <c r="BE182" i="61"/>
  <c r="BF182" i="61"/>
  <c r="BG182" i="61"/>
  <c r="BH182" i="61"/>
  <c r="BI182" i="61"/>
  <c r="BJ182" i="61"/>
  <c r="BK182" i="61"/>
  <c r="BL182" i="61"/>
  <c r="BM182" i="61"/>
  <c r="BN182" i="61"/>
  <c r="BO182" i="61"/>
  <c r="BQ182" i="61"/>
  <c r="BR182" i="61"/>
  <c r="BS182" i="61"/>
  <c r="BT182" i="61"/>
  <c r="BU182" i="61"/>
  <c r="BV182" i="61"/>
  <c r="BW182" i="61"/>
  <c r="BX182" i="61"/>
  <c r="BY182" i="61"/>
  <c r="BZ182" i="61"/>
  <c r="CA182" i="61"/>
  <c r="CB182" i="61"/>
  <c r="BE188" i="61"/>
  <c r="BF188" i="61"/>
  <c r="BG188" i="61"/>
  <c r="BH188" i="61"/>
  <c r="BI188" i="61"/>
  <c r="BJ188" i="61"/>
  <c r="BK188" i="61"/>
  <c r="BL188" i="61"/>
  <c r="BM188" i="61"/>
  <c r="BN188" i="61"/>
  <c r="BO188" i="61"/>
  <c r="BR188" i="61"/>
  <c r="BS188" i="61"/>
  <c r="BT188" i="61"/>
  <c r="BU188" i="61"/>
  <c r="BV188" i="61"/>
  <c r="BW188" i="61"/>
  <c r="BX188" i="61"/>
  <c r="BY188" i="61"/>
  <c r="BZ188" i="61"/>
  <c r="CA188" i="61"/>
  <c r="CB188" i="61"/>
  <c r="BD190" i="61"/>
  <c r="BE190" i="61"/>
  <c r="BF190" i="61"/>
  <c r="BG190" i="61"/>
  <c r="BH190" i="61"/>
  <c r="BI190" i="61"/>
  <c r="BJ190" i="61"/>
  <c r="BK190" i="61"/>
  <c r="BL190" i="61"/>
  <c r="BM190" i="61"/>
  <c r="BN190" i="61"/>
  <c r="BO190" i="61"/>
  <c r="BQ190" i="61"/>
  <c r="BR190" i="61"/>
  <c r="BS190" i="61"/>
  <c r="BT190" i="61"/>
  <c r="BU190" i="61"/>
  <c r="BV190" i="61"/>
  <c r="BW190" i="61"/>
  <c r="BX190" i="61"/>
  <c r="BY190" i="61"/>
  <c r="BZ190" i="61"/>
  <c r="CA190" i="61"/>
  <c r="CB190" i="61"/>
  <c r="BC191" i="61"/>
  <c r="BD191" i="61"/>
  <c r="BE191" i="61"/>
  <c r="BF191" i="61"/>
  <c r="BG191" i="61"/>
  <c r="BH191" i="61"/>
  <c r="BI191" i="61"/>
  <c r="BJ191" i="61"/>
  <c r="BK191" i="61"/>
  <c r="BL191" i="61"/>
  <c r="BM191" i="61"/>
  <c r="BN191" i="61"/>
  <c r="BO191" i="61"/>
  <c r="BQ191" i="61"/>
  <c r="BR191" i="61"/>
  <c r="BS191" i="61"/>
  <c r="BT191" i="61"/>
  <c r="BU191" i="61"/>
  <c r="BV191" i="61"/>
  <c r="BW191" i="61"/>
  <c r="BX191" i="61"/>
  <c r="BY191" i="61"/>
  <c r="BZ191" i="61"/>
  <c r="CA191" i="61"/>
  <c r="CB191" i="61"/>
  <c r="BD192" i="61"/>
  <c r="BE192" i="61"/>
  <c r="BF192" i="61"/>
  <c r="BG192" i="61"/>
  <c r="BH192" i="61"/>
  <c r="BI192" i="61"/>
  <c r="BJ192" i="61"/>
  <c r="BK192" i="61"/>
  <c r="BL192" i="61"/>
  <c r="BM192" i="61"/>
  <c r="BN192" i="61"/>
  <c r="BO192" i="61"/>
  <c r="BQ192" i="61"/>
  <c r="BR192" i="61"/>
  <c r="BS192" i="61"/>
  <c r="BT192" i="61"/>
  <c r="BU192" i="61"/>
  <c r="BV192" i="61"/>
  <c r="BW192" i="61"/>
  <c r="BX192" i="61"/>
  <c r="BY192" i="61"/>
  <c r="BZ192" i="61"/>
  <c r="CA192" i="61"/>
  <c r="CB192" i="61"/>
  <c r="BC193" i="61"/>
  <c r="BD193" i="61"/>
  <c r="BE193" i="61"/>
  <c r="BF193" i="61"/>
  <c r="BG193" i="61"/>
  <c r="BH193" i="61"/>
  <c r="BI193" i="61"/>
  <c r="BJ193" i="61"/>
  <c r="BK193" i="61"/>
  <c r="BL193" i="61"/>
  <c r="BM193" i="61"/>
  <c r="BN193" i="61"/>
  <c r="BO193" i="61"/>
  <c r="BQ193" i="61"/>
  <c r="BR193" i="61"/>
  <c r="BS193" i="61"/>
  <c r="BT193" i="61"/>
  <c r="BU193" i="61"/>
  <c r="BV193" i="61"/>
  <c r="BW193" i="61"/>
  <c r="BX193" i="61"/>
  <c r="BY193" i="61"/>
  <c r="BZ193" i="61"/>
  <c r="CA193" i="61"/>
  <c r="CB193" i="61"/>
  <c r="BE194" i="61"/>
  <c r="BF194" i="61"/>
  <c r="BG194" i="61"/>
  <c r="BH194" i="61"/>
  <c r="BI194" i="61"/>
  <c r="BJ194" i="61"/>
  <c r="BK194" i="61"/>
  <c r="BL194" i="61"/>
  <c r="BM194" i="61"/>
  <c r="BN194" i="61"/>
  <c r="BO194" i="61"/>
  <c r="BR194" i="61"/>
  <c r="BS194" i="61"/>
  <c r="BT194" i="61"/>
  <c r="BU194" i="61"/>
  <c r="BV194" i="61"/>
  <c r="BW194" i="61"/>
  <c r="BX194" i="61"/>
  <c r="BY194" i="61"/>
  <c r="BZ194" i="61"/>
  <c r="CA194" i="61"/>
  <c r="CB194" i="61"/>
  <c r="BE195" i="61"/>
  <c r="BF195" i="61"/>
  <c r="BG195" i="61"/>
  <c r="BH195" i="61"/>
  <c r="BI195" i="61"/>
  <c r="BJ195" i="61"/>
  <c r="BK195" i="61"/>
  <c r="BL195" i="61"/>
  <c r="BM195" i="61"/>
  <c r="BN195" i="61"/>
  <c r="BO195" i="61"/>
  <c r="BR195" i="61"/>
  <c r="BS195" i="61"/>
  <c r="BT195" i="61"/>
  <c r="BU195" i="61"/>
  <c r="BV195" i="61"/>
  <c r="BW195" i="61"/>
  <c r="BX195" i="61"/>
  <c r="BY195" i="61"/>
  <c r="BZ195" i="61"/>
  <c r="CA195" i="61"/>
  <c r="CB195" i="61"/>
  <c r="BD196" i="61"/>
  <c r="BE196" i="61"/>
  <c r="BF196" i="61"/>
  <c r="BG196" i="61"/>
  <c r="BH196" i="61"/>
  <c r="BI196" i="61"/>
  <c r="BJ196" i="61"/>
  <c r="BK196" i="61"/>
  <c r="BL196" i="61"/>
  <c r="BM196" i="61"/>
  <c r="BN196" i="61"/>
  <c r="BO196" i="61"/>
  <c r="BQ196" i="61"/>
  <c r="BR196" i="61"/>
  <c r="BS196" i="61"/>
  <c r="BT196" i="61"/>
  <c r="BU196" i="61"/>
  <c r="BV196" i="61"/>
  <c r="BW196" i="61"/>
  <c r="BX196" i="61"/>
  <c r="BY196" i="61"/>
  <c r="BZ196" i="61"/>
  <c r="CA196" i="61"/>
  <c r="CB196" i="61"/>
  <c r="BC199" i="61"/>
  <c r="BD199" i="61"/>
  <c r="BE199" i="61"/>
  <c r="BF199" i="61"/>
  <c r="BG199" i="61"/>
  <c r="BH199" i="61"/>
  <c r="BI199" i="61"/>
  <c r="BJ199" i="61"/>
  <c r="BK199" i="61"/>
  <c r="BL199" i="61"/>
  <c r="BM199" i="61"/>
  <c r="BN199" i="61"/>
  <c r="BO199" i="61"/>
  <c r="BQ199" i="61"/>
  <c r="BR199" i="61"/>
  <c r="BS199" i="61"/>
  <c r="BT199" i="61"/>
  <c r="BU199" i="61"/>
  <c r="BV199" i="61"/>
  <c r="BW199" i="61"/>
  <c r="BX199" i="61"/>
  <c r="BY199" i="61"/>
  <c r="BZ199" i="61"/>
  <c r="CA199" i="61"/>
  <c r="CB199" i="61"/>
  <c r="BC200" i="61"/>
  <c r="BD200" i="61"/>
  <c r="BE200" i="61"/>
  <c r="BF200" i="61"/>
  <c r="BG200" i="61"/>
  <c r="BH200" i="61"/>
  <c r="BI200" i="61"/>
  <c r="BJ200" i="61"/>
  <c r="BK200" i="61"/>
  <c r="BL200" i="61"/>
  <c r="BM200" i="61"/>
  <c r="BN200" i="61"/>
  <c r="BO200" i="61"/>
  <c r="BQ200" i="61"/>
  <c r="BR200" i="61"/>
  <c r="BS200" i="61"/>
  <c r="BT200" i="61"/>
  <c r="BU200" i="61"/>
  <c r="BV200" i="61"/>
  <c r="BW200" i="61"/>
  <c r="BX200" i="61"/>
  <c r="BY200" i="61"/>
  <c r="BZ200" i="61"/>
  <c r="CA200" i="61"/>
  <c r="CB200" i="61"/>
  <c r="BC202" i="61"/>
  <c r="BD202" i="61"/>
  <c r="BE202" i="61"/>
  <c r="BF202" i="61"/>
  <c r="BG202" i="61"/>
  <c r="BH202" i="61"/>
  <c r="BI202" i="61"/>
  <c r="BJ202" i="61"/>
  <c r="BK202" i="61"/>
  <c r="BL202" i="61"/>
  <c r="BM202" i="61"/>
  <c r="BN202" i="61"/>
  <c r="BO202" i="61"/>
  <c r="BQ202" i="61"/>
  <c r="BR202" i="61"/>
  <c r="BS202" i="61"/>
  <c r="BT202" i="61"/>
  <c r="BU202" i="61"/>
  <c r="BV202" i="61"/>
  <c r="BW202" i="61"/>
  <c r="BX202" i="61"/>
  <c r="BY202" i="61"/>
  <c r="BZ202" i="61"/>
  <c r="CA202" i="61"/>
  <c r="CB202" i="61"/>
  <c r="BC203" i="61"/>
  <c r="BD203" i="61"/>
  <c r="BE203" i="61"/>
  <c r="BF203" i="61"/>
  <c r="BG203" i="61"/>
  <c r="BH203" i="61"/>
  <c r="BI203" i="61"/>
  <c r="BJ203" i="61"/>
  <c r="BK203" i="61"/>
  <c r="BL203" i="61"/>
  <c r="BM203" i="61"/>
  <c r="BN203" i="61"/>
  <c r="BO203" i="61"/>
  <c r="BQ203" i="61"/>
  <c r="BR203" i="61"/>
  <c r="BS203" i="61"/>
  <c r="BT203" i="61"/>
  <c r="BU203" i="61"/>
  <c r="BV203" i="61"/>
  <c r="BW203" i="61"/>
  <c r="BX203" i="61"/>
  <c r="BY203" i="61"/>
  <c r="BZ203" i="61"/>
  <c r="CA203" i="61"/>
  <c r="CB203" i="61"/>
  <c r="BC204" i="61"/>
  <c r="BD204" i="61"/>
  <c r="BE204" i="61"/>
  <c r="BF204" i="61"/>
  <c r="BG204" i="61"/>
  <c r="BH204" i="61"/>
  <c r="BI204" i="61"/>
  <c r="BJ204" i="61"/>
  <c r="BK204" i="61"/>
  <c r="BL204" i="61"/>
  <c r="BM204" i="61"/>
  <c r="BN204" i="61"/>
  <c r="BO204" i="61"/>
  <c r="BQ204" i="61"/>
  <c r="BR204" i="61"/>
  <c r="BS204" i="61"/>
  <c r="BT204" i="61"/>
  <c r="BU204" i="61"/>
  <c r="BV204" i="61"/>
  <c r="BW204" i="61"/>
  <c r="BX204" i="61"/>
  <c r="BY204" i="61"/>
  <c r="BZ204" i="61"/>
  <c r="CA204" i="61"/>
  <c r="CB204" i="61"/>
  <c r="BC205" i="61"/>
  <c r="BD205" i="61"/>
  <c r="BE205" i="61"/>
  <c r="BF205" i="61"/>
  <c r="BG205" i="61"/>
  <c r="BH205" i="61"/>
  <c r="BI205" i="61"/>
  <c r="BJ205" i="61"/>
  <c r="BK205" i="61"/>
  <c r="BL205" i="61"/>
  <c r="BM205" i="61"/>
  <c r="BN205" i="61"/>
  <c r="BO205" i="61"/>
  <c r="BQ205" i="61"/>
  <c r="BR205" i="61"/>
  <c r="BS205" i="61"/>
  <c r="BT205" i="61"/>
  <c r="BU205" i="61"/>
  <c r="BV205" i="61"/>
  <c r="BW205" i="61"/>
  <c r="BX205" i="61"/>
  <c r="BY205" i="61"/>
  <c r="BZ205" i="61"/>
  <c r="CA205" i="61"/>
  <c r="CB205" i="61"/>
  <c r="BC207" i="61"/>
  <c r="BD209" i="61"/>
  <c r="BE209" i="61"/>
  <c r="BF209" i="61"/>
  <c r="BG209" i="61"/>
  <c r="BH209" i="61"/>
  <c r="BI209" i="61"/>
  <c r="BJ209" i="61"/>
  <c r="BK209" i="61"/>
  <c r="BL209" i="61"/>
  <c r="BM209" i="61"/>
  <c r="BN209" i="61"/>
  <c r="BO209" i="61"/>
  <c r="BQ209" i="61"/>
  <c r="BR209" i="61"/>
  <c r="BS209" i="61"/>
  <c r="BT209" i="61"/>
  <c r="BU209" i="61"/>
  <c r="BV209" i="61"/>
  <c r="BW209" i="61"/>
  <c r="BX209" i="61"/>
  <c r="BY209" i="61"/>
  <c r="BZ209" i="61"/>
  <c r="CA209" i="61"/>
  <c r="CB209" i="61"/>
  <c r="BC211" i="61"/>
  <c r="BD211" i="61"/>
  <c r="BE211" i="61"/>
  <c r="BF211" i="61"/>
  <c r="BG211" i="61"/>
  <c r="BH211" i="61"/>
  <c r="BI211" i="61"/>
  <c r="BJ211" i="61"/>
  <c r="BK211" i="61"/>
  <c r="BL211" i="61"/>
  <c r="BM211" i="61"/>
  <c r="BN211" i="61"/>
  <c r="BO211" i="61"/>
  <c r="BQ211" i="61"/>
  <c r="BR211" i="61"/>
  <c r="BS211" i="61"/>
  <c r="BT211" i="61"/>
  <c r="BU211" i="61"/>
  <c r="BV211" i="61"/>
  <c r="BW211" i="61"/>
  <c r="BX211" i="61"/>
  <c r="BY211" i="61"/>
  <c r="BZ211" i="61"/>
  <c r="CA211" i="61"/>
  <c r="CB211" i="61"/>
  <c r="BD212" i="61"/>
  <c r="BE212" i="61"/>
  <c r="BF212" i="61"/>
  <c r="BG212" i="61"/>
  <c r="BH212" i="61"/>
  <c r="BI212" i="61"/>
  <c r="BJ212" i="61"/>
  <c r="BK212" i="61"/>
  <c r="BL212" i="61"/>
  <c r="BM212" i="61"/>
  <c r="BN212" i="61"/>
  <c r="BO212" i="61"/>
  <c r="BQ212" i="61"/>
  <c r="BR212" i="61"/>
  <c r="BS212" i="61"/>
  <c r="BT212" i="61"/>
  <c r="BU212" i="61"/>
  <c r="BV212" i="61"/>
  <c r="BW212" i="61"/>
  <c r="BX212" i="61"/>
  <c r="BY212" i="61"/>
  <c r="BZ212" i="61"/>
  <c r="CA212" i="61"/>
  <c r="CB212" i="61"/>
  <c r="BD214" i="61"/>
  <c r="BE214" i="61"/>
  <c r="BF214" i="61"/>
  <c r="BG214" i="61"/>
  <c r="BH214" i="61"/>
  <c r="BI214" i="61"/>
  <c r="BJ214" i="61"/>
  <c r="BK214" i="61"/>
  <c r="BL214" i="61"/>
  <c r="BM214" i="61"/>
  <c r="BN214" i="61"/>
  <c r="BO214" i="61"/>
  <c r="BQ214" i="61"/>
  <c r="BR214" i="61"/>
  <c r="BS214" i="61"/>
  <c r="BT214" i="61"/>
  <c r="BU214" i="61"/>
  <c r="BV214" i="61"/>
  <c r="BW214" i="61"/>
  <c r="BX214" i="61"/>
  <c r="BY214" i="61"/>
  <c r="BZ214" i="61"/>
  <c r="CA214" i="61"/>
  <c r="CB214" i="61"/>
  <c r="BD217" i="61"/>
  <c r="BE217" i="61"/>
  <c r="BF217" i="61"/>
  <c r="BG217" i="61"/>
  <c r="BH217" i="61"/>
  <c r="BI217" i="61"/>
  <c r="BJ217" i="61"/>
  <c r="BK217" i="61"/>
  <c r="BL217" i="61"/>
  <c r="BM217" i="61"/>
  <c r="BN217" i="61"/>
  <c r="BO217" i="61"/>
  <c r="BQ217" i="61"/>
  <c r="BR217" i="61"/>
  <c r="BS217" i="61"/>
  <c r="BT217" i="61"/>
  <c r="BU217" i="61"/>
  <c r="BV217" i="61"/>
  <c r="BW217" i="61"/>
  <c r="BX217" i="61"/>
  <c r="BY217" i="61"/>
  <c r="BZ217" i="61"/>
  <c r="CA217" i="61"/>
  <c r="CB217" i="61"/>
  <c r="BE218" i="61"/>
  <c r="BF218" i="61"/>
  <c r="BG218" i="61"/>
  <c r="BH218" i="61"/>
  <c r="BI218" i="61"/>
  <c r="BJ218" i="61"/>
  <c r="BK218" i="61"/>
  <c r="BL218" i="61"/>
  <c r="BM218" i="61"/>
  <c r="BN218" i="61"/>
  <c r="BO218" i="61"/>
  <c r="BR218" i="61"/>
  <c r="BS218" i="61"/>
  <c r="BT218" i="61"/>
  <c r="BU218" i="61"/>
  <c r="BV218" i="61"/>
  <c r="BW218" i="61"/>
  <c r="BX218" i="61"/>
  <c r="BY218" i="61"/>
  <c r="BZ218" i="61"/>
  <c r="CA218" i="61"/>
  <c r="CB218" i="61"/>
  <c r="BE219" i="61"/>
  <c r="BF219" i="61"/>
  <c r="BG219" i="61"/>
  <c r="BH219" i="61"/>
  <c r="BI219" i="61"/>
  <c r="BJ219" i="61"/>
  <c r="BK219" i="61"/>
  <c r="BL219" i="61"/>
  <c r="BM219" i="61"/>
  <c r="BN219" i="61"/>
  <c r="BO219" i="61"/>
  <c r="BR219" i="61"/>
  <c r="BS219" i="61"/>
  <c r="BT219" i="61"/>
  <c r="BU219" i="61"/>
  <c r="BV219" i="61"/>
  <c r="BW219" i="61"/>
  <c r="BX219" i="61"/>
  <c r="BY219" i="61"/>
  <c r="BZ219" i="61"/>
  <c r="CA219" i="61"/>
  <c r="CB219" i="61"/>
  <c r="BE220" i="61"/>
  <c r="BF220" i="61"/>
  <c r="BG220" i="61"/>
  <c r="BH220" i="61"/>
  <c r="BI220" i="61"/>
  <c r="BJ220" i="61"/>
  <c r="BK220" i="61"/>
  <c r="BL220" i="61"/>
  <c r="BM220" i="61"/>
  <c r="BN220" i="61"/>
  <c r="BO220" i="61"/>
  <c r="BR220" i="61"/>
  <c r="BS220" i="61"/>
  <c r="BT220" i="61"/>
  <c r="BU220" i="61"/>
  <c r="BV220" i="61"/>
  <c r="BW220" i="61"/>
  <c r="BX220" i="61"/>
  <c r="BY220" i="61"/>
  <c r="BZ220" i="61"/>
  <c r="CA220" i="61"/>
  <c r="CB220" i="61"/>
  <c r="BE221" i="61"/>
  <c r="BF221" i="61"/>
  <c r="BG221" i="61"/>
  <c r="BH221" i="61"/>
  <c r="BI221" i="61"/>
  <c r="BJ221" i="61"/>
  <c r="BK221" i="61"/>
  <c r="BL221" i="61"/>
  <c r="BM221" i="61"/>
  <c r="BN221" i="61"/>
  <c r="BO221" i="61"/>
  <c r="BR221" i="61"/>
  <c r="BS221" i="61"/>
  <c r="BT221" i="61"/>
  <c r="BU221" i="61"/>
  <c r="BV221" i="61"/>
  <c r="BW221" i="61"/>
  <c r="BX221" i="61"/>
  <c r="BY221" i="61"/>
  <c r="BZ221" i="61"/>
  <c r="CA221" i="61"/>
  <c r="CB221" i="61"/>
  <c r="BC224" i="61"/>
  <c r="BD224" i="61"/>
  <c r="BE224" i="61"/>
  <c r="BF224" i="61"/>
  <c r="BG224" i="61"/>
  <c r="BH224" i="61"/>
  <c r="BI224" i="61"/>
  <c r="BJ224" i="61"/>
  <c r="BK224" i="61"/>
  <c r="BL224" i="61"/>
  <c r="BM224" i="61"/>
  <c r="BN224" i="61"/>
  <c r="BO224" i="61"/>
  <c r="BQ224" i="61"/>
  <c r="BR224" i="61"/>
  <c r="BS224" i="61"/>
  <c r="BT224" i="61"/>
  <c r="BU224" i="61"/>
  <c r="BV224" i="61"/>
  <c r="BW224" i="61"/>
  <c r="BX224" i="61"/>
  <c r="BY224" i="61"/>
  <c r="BZ224" i="61"/>
  <c r="CA224" i="61"/>
  <c r="CB224" i="61"/>
  <c r="BC225" i="61"/>
  <c r="BD225" i="61"/>
  <c r="BE225" i="61"/>
  <c r="BF225" i="61"/>
  <c r="BG225" i="61"/>
  <c r="BH225" i="61"/>
  <c r="BI225" i="61"/>
  <c r="BJ225" i="61"/>
  <c r="BK225" i="61"/>
  <c r="BL225" i="61"/>
  <c r="BM225" i="61"/>
  <c r="BN225" i="61"/>
  <c r="BO225" i="61"/>
  <c r="BQ225" i="61"/>
  <c r="BR225" i="61"/>
  <c r="BS225" i="61"/>
  <c r="BT225" i="61"/>
  <c r="BU225" i="61"/>
  <c r="BV225" i="61"/>
  <c r="BW225" i="61"/>
  <c r="BX225" i="61"/>
  <c r="BY225" i="61"/>
  <c r="BZ225" i="61"/>
  <c r="CA225" i="61"/>
  <c r="CB225" i="61"/>
  <c r="BD226" i="61"/>
  <c r="BE226" i="61"/>
  <c r="BF226" i="61"/>
  <c r="BG226" i="61"/>
  <c r="BH226" i="61"/>
  <c r="BI226" i="61"/>
  <c r="BJ226" i="61"/>
  <c r="BK226" i="61"/>
  <c r="BL226" i="61"/>
  <c r="BM226" i="61"/>
  <c r="BN226" i="61"/>
  <c r="BO226" i="61"/>
  <c r="BQ226" i="61"/>
  <c r="BR226" i="61"/>
  <c r="BS226" i="61"/>
  <c r="BT226" i="61"/>
  <c r="BU226" i="61"/>
  <c r="BV226" i="61"/>
  <c r="BW226" i="61"/>
  <c r="BX226" i="61"/>
  <c r="BY226" i="61"/>
  <c r="BZ226" i="61"/>
  <c r="CA226" i="61"/>
  <c r="CB226" i="61"/>
  <c r="BD227" i="61"/>
  <c r="BE227" i="61"/>
  <c r="BF227" i="61"/>
  <c r="BG227" i="61"/>
  <c r="BH227" i="61"/>
  <c r="BI227" i="61"/>
  <c r="BJ227" i="61"/>
  <c r="BK227" i="61"/>
  <c r="BL227" i="61"/>
  <c r="BM227" i="61"/>
  <c r="BN227" i="61"/>
  <c r="BO227" i="61"/>
  <c r="BQ227" i="61"/>
  <c r="BR227" i="61"/>
  <c r="BS227" i="61"/>
  <c r="BT227" i="61"/>
  <c r="BU227" i="61"/>
  <c r="BV227" i="61"/>
  <c r="BW227" i="61"/>
  <c r="BX227" i="61"/>
  <c r="BY227" i="61"/>
  <c r="BZ227" i="61"/>
  <c r="CA227" i="61"/>
  <c r="CB227" i="61"/>
  <c r="BD228" i="61"/>
  <c r="BE228" i="61"/>
  <c r="BF228" i="61"/>
  <c r="BG228" i="61"/>
  <c r="BH228" i="61"/>
  <c r="BI228" i="61"/>
  <c r="BJ228" i="61"/>
  <c r="BK228" i="61"/>
  <c r="BL228" i="61"/>
  <c r="BM228" i="61"/>
  <c r="BN228" i="61"/>
  <c r="BO228" i="61"/>
  <c r="BQ228" i="61"/>
  <c r="BR228" i="61"/>
  <c r="BS228" i="61"/>
  <c r="BT228" i="61"/>
  <c r="BU228" i="61"/>
  <c r="BV228" i="61"/>
  <c r="BW228" i="61"/>
  <c r="BX228" i="61"/>
  <c r="BY228" i="61"/>
  <c r="BZ228" i="61"/>
  <c r="CA228" i="61"/>
  <c r="CB228" i="61"/>
  <c r="BE229" i="61"/>
  <c r="BF229" i="61"/>
  <c r="BG229" i="61"/>
  <c r="BH229" i="61"/>
  <c r="BI229" i="61"/>
  <c r="BJ229" i="61"/>
  <c r="BK229" i="61"/>
  <c r="BL229" i="61"/>
  <c r="BM229" i="61"/>
  <c r="BN229" i="61"/>
  <c r="BO229" i="61"/>
  <c r="BR229" i="61"/>
  <c r="BS229" i="61"/>
  <c r="BT229" i="61"/>
  <c r="BU229" i="61"/>
  <c r="BV229" i="61"/>
  <c r="BW229" i="61"/>
  <c r="BX229" i="61"/>
  <c r="BY229" i="61"/>
  <c r="BZ229" i="61"/>
  <c r="CA229" i="61"/>
  <c r="CB229" i="61"/>
  <c r="BC230" i="61"/>
  <c r="BD230" i="61"/>
  <c r="BE230" i="61"/>
  <c r="BF230" i="61"/>
  <c r="BG230" i="61"/>
  <c r="BH230" i="61"/>
  <c r="BI230" i="61"/>
  <c r="BJ230" i="61"/>
  <c r="BK230" i="61"/>
  <c r="BL230" i="61"/>
  <c r="BM230" i="61"/>
  <c r="BN230" i="61"/>
  <c r="BO230" i="61"/>
  <c r="BQ230" i="61"/>
  <c r="BR230" i="61"/>
  <c r="BS230" i="61"/>
  <c r="BT230" i="61"/>
  <c r="BU230" i="61"/>
  <c r="BV230" i="61"/>
  <c r="BW230" i="61"/>
  <c r="BX230" i="61"/>
  <c r="BY230" i="61"/>
  <c r="BZ230" i="61"/>
  <c r="CA230" i="61"/>
  <c r="CB230" i="61"/>
  <c r="BC233" i="61"/>
  <c r="BD233" i="61"/>
  <c r="BE233" i="61"/>
  <c r="BF233" i="61"/>
  <c r="BG233" i="61"/>
  <c r="BH233" i="61"/>
  <c r="BI233" i="61"/>
  <c r="BJ233" i="61"/>
  <c r="BK233" i="61"/>
  <c r="BL233" i="61"/>
  <c r="BM233" i="61"/>
  <c r="BN233" i="61"/>
  <c r="BO233" i="61"/>
  <c r="BQ233" i="61"/>
  <c r="BR233" i="61"/>
  <c r="BS233" i="61"/>
  <c r="BT233" i="61"/>
  <c r="BU233" i="61"/>
  <c r="BV233" i="61"/>
  <c r="BW233" i="61"/>
  <c r="BX233" i="61"/>
  <c r="BY233" i="61"/>
  <c r="BZ233" i="61"/>
  <c r="CA233" i="61"/>
  <c r="CB233" i="61"/>
  <c r="BC234" i="61"/>
  <c r="BD234" i="61"/>
  <c r="BE234" i="61"/>
  <c r="BF234" i="61"/>
  <c r="BG234" i="61"/>
  <c r="BH234" i="61"/>
  <c r="BI234" i="61"/>
  <c r="BJ234" i="61"/>
  <c r="BK234" i="61"/>
  <c r="BL234" i="61"/>
  <c r="BM234" i="61"/>
  <c r="BN234" i="61"/>
  <c r="BO234" i="61"/>
  <c r="BQ234" i="61"/>
  <c r="BR234" i="61"/>
  <c r="BS234" i="61"/>
  <c r="BT234" i="61"/>
  <c r="BU234" i="61"/>
  <c r="BV234" i="61"/>
  <c r="BW234" i="61"/>
  <c r="BX234" i="61"/>
  <c r="BY234" i="61"/>
  <c r="BZ234" i="61"/>
  <c r="CA234" i="61"/>
  <c r="CB234" i="61"/>
  <c r="BE235" i="61"/>
  <c r="BF235" i="61"/>
  <c r="BG235" i="61"/>
  <c r="BH235" i="61"/>
  <c r="BI235" i="61"/>
  <c r="BJ235" i="61"/>
  <c r="BK235" i="61"/>
  <c r="BL235" i="61"/>
  <c r="BM235" i="61"/>
  <c r="BN235" i="61"/>
  <c r="BO235" i="61"/>
  <c r="BR235" i="61"/>
  <c r="BS235" i="61"/>
  <c r="BT235" i="61"/>
  <c r="BU235" i="61"/>
  <c r="BV235" i="61"/>
  <c r="BW235" i="61"/>
  <c r="BX235" i="61"/>
  <c r="BY235" i="61"/>
  <c r="BZ235" i="61"/>
  <c r="CA235" i="61"/>
  <c r="CB235" i="61"/>
  <c r="BC237" i="61"/>
  <c r="BD237" i="61"/>
  <c r="BE237" i="61"/>
  <c r="BF237" i="61"/>
  <c r="BG237" i="61"/>
  <c r="BH237" i="61"/>
  <c r="BI237" i="61"/>
  <c r="BJ237" i="61"/>
  <c r="BK237" i="61"/>
  <c r="BL237" i="61"/>
  <c r="BM237" i="61"/>
  <c r="BN237" i="61"/>
  <c r="BO237" i="61"/>
  <c r="BQ237" i="61"/>
  <c r="BR237" i="61"/>
  <c r="BS237" i="61"/>
  <c r="BT237" i="61"/>
  <c r="BU237" i="61"/>
  <c r="BV237" i="61"/>
  <c r="BW237" i="61"/>
  <c r="BX237" i="61"/>
  <c r="BY237" i="61"/>
  <c r="BZ237" i="61"/>
  <c r="CA237" i="61"/>
  <c r="CB237" i="61"/>
  <c r="BE243" i="61"/>
  <c r="BF243" i="61"/>
  <c r="BG243" i="61"/>
  <c r="BH243" i="61"/>
  <c r="BI243" i="61"/>
  <c r="BJ243" i="61"/>
  <c r="BK243" i="61"/>
  <c r="BL243" i="61"/>
  <c r="BM243" i="61"/>
  <c r="BN243" i="61"/>
  <c r="BO243" i="61"/>
  <c r="BR243" i="61"/>
  <c r="BS243" i="61"/>
  <c r="BT243" i="61"/>
  <c r="BU243" i="61"/>
  <c r="BV243" i="61"/>
  <c r="BW243" i="61"/>
  <c r="BX243" i="61"/>
  <c r="BY243" i="61"/>
  <c r="BZ243" i="61"/>
  <c r="CA243" i="61"/>
  <c r="CB243" i="61"/>
  <c r="BE247" i="61"/>
  <c r="BF247" i="61"/>
  <c r="BG247" i="61"/>
  <c r="BH247" i="61"/>
  <c r="BI247" i="61"/>
  <c r="BJ247" i="61"/>
  <c r="BK247" i="61"/>
  <c r="BL247" i="61"/>
  <c r="BM247" i="61"/>
  <c r="BN247" i="61"/>
  <c r="BO247" i="61"/>
  <c r="BR247" i="61"/>
  <c r="BS247" i="61"/>
  <c r="BT247" i="61"/>
  <c r="BU247" i="61"/>
  <c r="BV247" i="61"/>
  <c r="BW247" i="61"/>
  <c r="BX247" i="61"/>
  <c r="BY247" i="61"/>
  <c r="BZ247" i="61"/>
  <c r="CA247" i="61"/>
  <c r="CB247" i="61"/>
  <c r="BC248" i="61"/>
  <c r="BD248" i="61"/>
  <c r="BE248" i="61"/>
  <c r="BF248" i="61"/>
  <c r="BG248" i="61"/>
  <c r="BH248" i="61"/>
  <c r="BI248" i="61"/>
  <c r="BJ248" i="61"/>
  <c r="BK248" i="61"/>
  <c r="BL248" i="61"/>
  <c r="BM248" i="61"/>
  <c r="BN248" i="61"/>
  <c r="BO248" i="61"/>
  <c r="BQ248" i="61"/>
  <c r="BR248" i="61"/>
  <c r="BS248" i="61"/>
  <c r="BT248" i="61"/>
  <c r="BU248" i="61"/>
  <c r="BV248" i="61"/>
  <c r="BW248" i="61"/>
  <c r="BX248" i="61"/>
  <c r="BY248" i="61"/>
  <c r="BZ248" i="61"/>
  <c r="CA248" i="61"/>
  <c r="CB248" i="61"/>
  <c r="BC249" i="61"/>
  <c r="BD249" i="61"/>
  <c r="BE249" i="61"/>
  <c r="BF249" i="61"/>
  <c r="BG249" i="61"/>
  <c r="BH249" i="61"/>
  <c r="BI249" i="61"/>
  <c r="BJ249" i="61"/>
  <c r="BK249" i="61"/>
  <c r="BL249" i="61"/>
  <c r="BM249" i="61"/>
  <c r="BN249" i="61"/>
  <c r="BO249" i="61"/>
  <c r="BQ249" i="61"/>
  <c r="BR249" i="61"/>
  <c r="BS249" i="61"/>
  <c r="BT249" i="61"/>
  <c r="BU249" i="61"/>
  <c r="BV249" i="61"/>
  <c r="BW249" i="61"/>
  <c r="BX249" i="61"/>
  <c r="BY249" i="61"/>
  <c r="BZ249" i="61"/>
  <c r="CA249" i="61"/>
  <c r="CB249" i="61"/>
  <c r="BE250" i="61"/>
  <c r="BF250" i="61"/>
  <c r="BG250" i="61"/>
  <c r="BH250" i="61"/>
  <c r="BI250" i="61"/>
  <c r="BJ250" i="61"/>
  <c r="BK250" i="61"/>
  <c r="BL250" i="61"/>
  <c r="BM250" i="61"/>
  <c r="BN250" i="61"/>
  <c r="BO250" i="61"/>
  <c r="BR250" i="61"/>
  <c r="BS250" i="61"/>
  <c r="BT250" i="61"/>
  <c r="BU250" i="61"/>
  <c r="BV250" i="61"/>
  <c r="BW250" i="61"/>
  <c r="BX250" i="61"/>
  <c r="BY250" i="61"/>
  <c r="BZ250" i="61"/>
  <c r="CA250" i="61"/>
  <c r="CB250" i="61"/>
  <c r="BE251" i="61"/>
  <c r="BF251" i="61"/>
  <c r="BG251" i="61"/>
  <c r="BH251" i="61"/>
  <c r="BI251" i="61"/>
  <c r="BJ251" i="61"/>
  <c r="BK251" i="61"/>
  <c r="BL251" i="61"/>
  <c r="BM251" i="61"/>
  <c r="BN251" i="61"/>
  <c r="BO251" i="61"/>
  <c r="BR251" i="61"/>
  <c r="BS251" i="61"/>
  <c r="BT251" i="61"/>
  <c r="BU251" i="61"/>
  <c r="BV251" i="61"/>
  <c r="BW251" i="61"/>
  <c r="BX251" i="61"/>
  <c r="BY251" i="61"/>
  <c r="BZ251" i="61"/>
  <c r="CA251" i="61"/>
  <c r="CB251" i="61"/>
  <c r="BE252" i="61"/>
  <c r="BF252" i="61"/>
  <c r="BG252" i="61"/>
  <c r="BH252" i="61"/>
  <c r="BI252" i="61"/>
  <c r="BJ252" i="61"/>
  <c r="BK252" i="61"/>
  <c r="BL252" i="61"/>
  <c r="BM252" i="61"/>
  <c r="BN252" i="61"/>
  <c r="BO252" i="61"/>
  <c r="BR252" i="61"/>
  <c r="BS252" i="61"/>
  <c r="BT252" i="61"/>
  <c r="BU252" i="61"/>
  <c r="BV252" i="61"/>
  <c r="BW252" i="61"/>
  <c r="BX252" i="61"/>
  <c r="BY252" i="61"/>
  <c r="BZ252" i="61"/>
  <c r="CA252" i="61"/>
  <c r="CB252" i="61"/>
  <c r="BC254" i="61"/>
  <c r="BD254" i="61"/>
  <c r="BE254" i="61"/>
  <c r="BF254" i="61"/>
  <c r="BG254" i="61"/>
  <c r="BH254" i="61"/>
  <c r="BI254" i="61"/>
  <c r="BJ254" i="61"/>
  <c r="BK254" i="61"/>
  <c r="BL254" i="61"/>
  <c r="BM254" i="61"/>
  <c r="BN254" i="61"/>
  <c r="BO254" i="61"/>
  <c r="BQ254" i="61"/>
  <c r="BR254" i="61"/>
  <c r="BS254" i="61"/>
  <c r="BT254" i="61"/>
  <c r="BU254" i="61"/>
  <c r="BV254" i="61"/>
  <c r="BW254" i="61"/>
  <c r="BX254" i="61"/>
  <c r="BY254" i="61"/>
  <c r="BZ254" i="61"/>
  <c r="CA254" i="61"/>
  <c r="CB254" i="61"/>
  <c r="BC258" i="61"/>
  <c r="BD258" i="61"/>
  <c r="BE258" i="61"/>
  <c r="BF258" i="61"/>
  <c r="BG258" i="61"/>
  <c r="BH258" i="61"/>
  <c r="BI258" i="61"/>
  <c r="BJ258" i="61"/>
  <c r="BK258" i="61"/>
  <c r="BL258" i="61"/>
  <c r="BM258" i="61"/>
  <c r="BN258" i="61"/>
  <c r="BO258" i="61"/>
  <c r="BQ258" i="61"/>
  <c r="BR258" i="61"/>
  <c r="BS258" i="61"/>
  <c r="BT258" i="61"/>
  <c r="BU258" i="61"/>
  <c r="BV258" i="61"/>
  <c r="BW258" i="61"/>
  <c r="BX258" i="61"/>
  <c r="BY258" i="61"/>
  <c r="BZ258" i="61"/>
  <c r="CA258" i="61"/>
  <c r="CB258" i="61"/>
  <c r="BC259" i="61"/>
  <c r="BD259" i="61"/>
  <c r="BE259" i="61"/>
  <c r="BF259" i="61"/>
  <c r="BG259" i="61"/>
  <c r="BH259" i="61"/>
  <c r="BI259" i="61"/>
  <c r="BJ259" i="61"/>
  <c r="BK259" i="61"/>
  <c r="BL259" i="61"/>
  <c r="BM259" i="61"/>
  <c r="BN259" i="61"/>
  <c r="BO259" i="61"/>
  <c r="BQ259" i="61"/>
  <c r="BR259" i="61"/>
  <c r="BS259" i="61"/>
  <c r="BT259" i="61"/>
  <c r="BU259" i="61"/>
  <c r="BV259" i="61"/>
  <c r="BW259" i="61"/>
  <c r="BX259" i="61"/>
  <c r="BY259" i="61"/>
  <c r="BZ259" i="61"/>
  <c r="CA259" i="61"/>
  <c r="CB259" i="61"/>
  <c r="BC260" i="61"/>
  <c r="BD260" i="61"/>
  <c r="BE260" i="61"/>
  <c r="BF260" i="61"/>
  <c r="BG260" i="61"/>
  <c r="BH260" i="61"/>
  <c r="BI260" i="61"/>
  <c r="BJ260" i="61"/>
  <c r="BK260" i="61"/>
  <c r="BL260" i="61"/>
  <c r="BM260" i="61"/>
  <c r="BN260" i="61"/>
  <c r="BO260" i="61"/>
  <c r="BQ260" i="61"/>
  <c r="BR260" i="61"/>
  <c r="BS260" i="61"/>
  <c r="BT260" i="61"/>
  <c r="BU260" i="61"/>
  <c r="BV260" i="61"/>
  <c r="BW260" i="61"/>
  <c r="BX260" i="61"/>
  <c r="BY260" i="61"/>
  <c r="BZ260" i="61"/>
  <c r="CA260" i="61"/>
  <c r="CB260" i="61"/>
  <c r="BC261" i="61"/>
  <c r="BD261" i="61"/>
  <c r="BE261" i="61"/>
  <c r="BF261" i="61"/>
  <c r="BG261" i="61"/>
  <c r="BH261" i="61"/>
  <c r="BI261" i="61"/>
  <c r="BJ261" i="61"/>
  <c r="BK261" i="61"/>
  <c r="BL261" i="61"/>
  <c r="BM261" i="61"/>
  <c r="BN261" i="61"/>
  <c r="BO261" i="61"/>
  <c r="BQ261" i="61"/>
  <c r="BR261" i="61"/>
  <c r="BS261" i="61"/>
  <c r="BT261" i="61"/>
  <c r="BU261" i="61"/>
  <c r="BV261" i="61"/>
  <c r="BW261" i="61"/>
  <c r="BX261" i="61"/>
  <c r="BY261" i="61"/>
  <c r="BZ261" i="61"/>
  <c r="CA261" i="61"/>
  <c r="CB261" i="61"/>
  <c r="BT7" i="24"/>
  <c r="BU7" i="24"/>
  <c r="BV7" i="24"/>
  <c r="BW7" i="24"/>
  <c r="BX7" i="24"/>
  <c r="BY7" i="24"/>
  <c r="BZ7" i="24"/>
  <c r="CA7" i="24"/>
  <c r="CB7" i="24"/>
  <c r="CC7" i="24"/>
  <c r="CD7" i="24"/>
  <c r="CE7" i="24"/>
  <c r="CF7" i="24"/>
  <c r="CG7" i="24"/>
  <c r="CL7" i="24"/>
  <c r="CM7" i="24"/>
  <c r="CN7" i="24"/>
  <c r="CO7" i="24"/>
  <c r="CP7" i="24"/>
  <c r="CQ7" i="24"/>
  <c r="CR7" i="24"/>
  <c r="CS7" i="24"/>
  <c r="CT7" i="24"/>
  <c r="CU7" i="24"/>
  <c r="CV7" i="24"/>
  <c r="CW7" i="24"/>
  <c r="CX7" i="24"/>
  <c r="CY7" i="24"/>
  <c r="BT8" i="24"/>
  <c r="BU8" i="24"/>
  <c r="BV8" i="24"/>
  <c r="BW8" i="24"/>
  <c r="BX8" i="24"/>
  <c r="BY8" i="24"/>
  <c r="BZ8" i="24"/>
  <c r="CA8" i="24"/>
  <c r="CB8" i="24"/>
  <c r="CC8" i="24"/>
  <c r="CD8" i="24"/>
  <c r="CE8" i="24"/>
  <c r="CF8" i="24"/>
  <c r="CG8" i="24"/>
  <c r="CL8" i="24"/>
  <c r="CM8" i="24"/>
  <c r="CN8" i="24"/>
  <c r="CO8" i="24"/>
  <c r="CP8" i="24"/>
  <c r="CQ8" i="24"/>
  <c r="CR8" i="24"/>
  <c r="CS8" i="24"/>
  <c r="CT8" i="24"/>
  <c r="CU8" i="24"/>
  <c r="CV8" i="24"/>
  <c r="CW8" i="24"/>
  <c r="CX8" i="24"/>
  <c r="CY8" i="24"/>
  <c r="BU9" i="24"/>
  <c r="BV9" i="24"/>
  <c r="BW9" i="24"/>
  <c r="BX9" i="24"/>
  <c r="BY9" i="24"/>
  <c r="BZ9" i="24"/>
  <c r="CA9" i="24"/>
  <c r="CB9" i="24"/>
  <c r="CC9" i="24"/>
  <c r="CD9" i="24"/>
  <c r="CE9" i="24"/>
  <c r="CF9" i="24"/>
  <c r="CG9" i="24"/>
  <c r="CM9" i="24"/>
  <c r="CN9" i="24"/>
  <c r="CO9" i="24"/>
  <c r="CP9" i="24"/>
  <c r="CQ9" i="24"/>
  <c r="CR9" i="24"/>
  <c r="CS9" i="24"/>
  <c r="CT9" i="24"/>
  <c r="CU9" i="24"/>
  <c r="CV9" i="24"/>
  <c r="CW9" i="24"/>
  <c r="CX9" i="24"/>
  <c r="CY9" i="24"/>
  <c r="BU10" i="24"/>
  <c r="BV10" i="24"/>
  <c r="BW10" i="24"/>
  <c r="BX10" i="24"/>
  <c r="BY10" i="24"/>
  <c r="BZ10" i="24"/>
  <c r="CA10" i="24"/>
  <c r="CB10" i="24"/>
  <c r="CC10" i="24"/>
  <c r="CD10" i="24"/>
  <c r="CE10" i="24"/>
  <c r="CF10" i="24"/>
  <c r="CG10" i="24"/>
  <c r="CM10" i="24"/>
  <c r="CN10" i="24"/>
  <c r="CO10" i="24"/>
  <c r="CP10" i="24"/>
  <c r="CQ10" i="24"/>
  <c r="CR10" i="24"/>
  <c r="CS10" i="24"/>
  <c r="CT10" i="24"/>
  <c r="CU10" i="24"/>
  <c r="CV10" i="24"/>
  <c r="CW10" i="24"/>
  <c r="CX10" i="24"/>
  <c r="CY10" i="24"/>
  <c r="BT12" i="24"/>
  <c r="BU12" i="24"/>
  <c r="BV12" i="24"/>
  <c r="BW12" i="24"/>
  <c r="BX12" i="24"/>
  <c r="BY12" i="24"/>
  <c r="BZ12" i="24"/>
  <c r="CA12" i="24"/>
  <c r="CB12" i="24"/>
  <c r="CC12" i="24"/>
  <c r="CD12" i="24"/>
  <c r="CE12" i="24"/>
  <c r="CF12" i="24"/>
  <c r="CG12" i="24"/>
  <c r="CL12" i="24"/>
  <c r="CM12" i="24"/>
  <c r="CN12" i="24"/>
  <c r="CO12" i="24"/>
  <c r="CP12" i="24"/>
  <c r="CQ12" i="24"/>
  <c r="CR12" i="24"/>
  <c r="CS12" i="24"/>
  <c r="CT12" i="24"/>
  <c r="CU12" i="24"/>
  <c r="CV12" i="24"/>
  <c r="CW12" i="24"/>
  <c r="CX12" i="24"/>
  <c r="CY12" i="24"/>
  <c r="BT13" i="24"/>
  <c r="BU13" i="24"/>
  <c r="BV13" i="24"/>
  <c r="BW13" i="24"/>
  <c r="BX13" i="24"/>
  <c r="BY13" i="24"/>
  <c r="BZ13" i="24"/>
  <c r="CA13" i="24"/>
  <c r="CB13" i="24"/>
  <c r="CC13" i="24"/>
  <c r="CD13" i="24"/>
  <c r="CE13" i="24"/>
  <c r="CF13" i="24"/>
  <c r="CG13" i="24"/>
  <c r="CL13" i="24"/>
  <c r="CM13" i="24"/>
  <c r="CN13" i="24"/>
  <c r="CO13" i="24"/>
  <c r="CP13" i="24"/>
  <c r="CQ13" i="24"/>
  <c r="CR13" i="24"/>
  <c r="CS13" i="24"/>
  <c r="CT13" i="24"/>
  <c r="CU13" i="24"/>
  <c r="CV13" i="24"/>
  <c r="CW13" i="24"/>
  <c r="CX13" i="24"/>
  <c r="CY13" i="24"/>
  <c r="BU15" i="24"/>
  <c r="BV15" i="24"/>
  <c r="BW15" i="24"/>
  <c r="BX15" i="24"/>
  <c r="BY15" i="24"/>
  <c r="BZ15" i="24"/>
  <c r="CA15" i="24"/>
  <c r="CB15" i="24"/>
  <c r="CC15" i="24"/>
  <c r="CD15" i="24"/>
  <c r="CE15" i="24"/>
  <c r="CF15" i="24"/>
  <c r="CG15" i="24"/>
  <c r="CM15" i="24"/>
  <c r="CN15" i="24"/>
  <c r="CO15" i="24"/>
  <c r="CP15" i="24"/>
  <c r="CQ15" i="24"/>
  <c r="CR15" i="24"/>
  <c r="CS15" i="24"/>
  <c r="CT15" i="24"/>
  <c r="CU15" i="24"/>
  <c r="CV15" i="24"/>
  <c r="CW15" i="24"/>
  <c r="CX15" i="24"/>
  <c r="CY15" i="24"/>
  <c r="BU16" i="24"/>
  <c r="BV16" i="24"/>
  <c r="BW16" i="24"/>
  <c r="BX16" i="24"/>
  <c r="BY16" i="24"/>
  <c r="BZ16" i="24"/>
  <c r="CA16" i="24"/>
  <c r="CB16" i="24"/>
  <c r="CC16" i="24"/>
  <c r="CD16" i="24"/>
  <c r="CE16" i="24"/>
  <c r="CF16" i="24"/>
  <c r="CG16" i="24"/>
  <c r="CM16" i="24"/>
  <c r="CN16" i="24"/>
  <c r="CO16" i="24"/>
  <c r="CP16" i="24"/>
  <c r="CQ16" i="24"/>
  <c r="CR16" i="24"/>
  <c r="CS16" i="24"/>
  <c r="CT16" i="24"/>
  <c r="CU16" i="24"/>
  <c r="CV16" i="24"/>
  <c r="CW16" i="24"/>
  <c r="CX16" i="24"/>
  <c r="CY16" i="24"/>
  <c r="BU17" i="24"/>
  <c r="BV17" i="24"/>
  <c r="BW17" i="24"/>
  <c r="BX17" i="24"/>
  <c r="BY17" i="24"/>
  <c r="BZ17" i="24"/>
  <c r="CA17" i="24"/>
  <c r="CB17" i="24"/>
  <c r="CC17" i="24"/>
  <c r="CD17" i="24"/>
  <c r="CE17" i="24"/>
  <c r="CF17" i="24"/>
  <c r="CG17" i="24"/>
  <c r="CM17" i="24"/>
  <c r="CN17" i="24"/>
  <c r="CO17" i="24"/>
  <c r="CP17" i="24"/>
  <c r="CQ17" i="24"/>
  <c r="CR17" i="24"/>
  <c r="CS17" i="24"/>
  <c r="CT17" i="24"/>
  <c r="CU17" i="24"/>
  <c r="CV17" i="24"/>
  <c r="CW17" i="24"/>
  <c r="CX17" i="24"/>
  <c r="CY17" i="24"/>
  <c r="BU18" i="24"/>
  <c r="BV18" i="24"/>
  <c r="BW18" i="24"/>
  <c r="BX18" i="24"/>
  <c r="BY18" i="24"/>
  <c r="BZ18" i="24"/>
  <c r="CA18" i="24"/>
  <c r="CB18" i="24"/>
  <c r="CC18" i="24"/>
  <c r="CD18" i="24"/>
  <c r="CE18" i="24"/>
  <c r="CF18" i="24"/>
  <c r="CG18" i="24"/>
  <c r="CM18" i="24"/>
  <c r="CN18" i="24"/>
  <c r="CO18" i="24"/>
  <c r="CP18" i="24"/>
  <c r="CQ18" i="24"/>
  <c r="CR18" i="24"/>
  <c r="CS18" i="24"/>
  <c r="CT18" i="24"/>
  <c r="CU18" i="24"/>
  <c r="CV18" i="24"/>
  <c r="CW18" i="24"/>
  <c r="CX18" i="24"/>
  <c r="CY18" i="24"/>
  <c r="BD20" i="24"/>
  <c r="BE20" i="24"/>
  <c r="BF20" i="24"/>
  <c r="BT20" i="24"/>
  <c r="BU20" i="24"/>
  <c r="BV20" i="24"/>
  <c r="BW20" i="24"/>
  <c r="BX20" i="24"/>
  <c r="BY20" i="24"/>
  <c r="BZ20" i="24"/>
  <c r="CA20" i="24"/>
  <c r="CB20" i="24"/>
  <c r="CC20" i="24"/>
  <c r="CD20" i="24"/>
  <c r="CE20" i="24"/>
  <c r="CF20" i="24"/>
  <c r="CG20" i="24"/>
  <c r="CL20" i="24"/>
  <c r="CM20" i="24"/>
  <c r="CN20" i="24"/>
  <c r="CO20" i="24"/>
  <c r="CP20" i="24"/>
  <c r="CQ20" i="24"/>
  <c r="CR20" i="24"/>
  <c r="CS20" i="24"/>
  <c r="CT20" i="24"/>
  <c r="CU20" i="24"/>
  <c r="CV20" i="24"/>
  <c r="CW20" i="24"/>
  <c r="CX20" i="24"/>
  <c r="CY20" i="24"/>
  <c r="BU21" i="24"/>
  <c r="BV21" i="24"/>
  <c r="BW21" i="24"/>
  <c r="BX21" i="24"/>
  <c r="BY21" i="24"/>
  <c r="BZ21" i="24"/>
  <c r="CA21" i="24"/>
  <c r="CB21" i="24"/>
  <c r="CC21" i="24"/>
  <c r="CD21" i="24"/>
  <c r="CE21" i="24"/>
  <c r="CF21" i="24"/>
  <c r="CG21" i="24"/>
  <c r="CM21" i="24"/>
  <c r="CN21" i="24"/>
  <c r="CO21" i="24"/>
  <c r="CP21" i="24"/>
  <c r="CQ21" i="24"/>
  <c r="CR21" i="24"/>
  <c r="CS21" i="24"/>
  <c r="CT21" i="24"/>
  <c r="CU21" i="24"/>
  <c r="CV21" i="24"/>
  <c r="CW21" i="24"/>
  <c r="CX21" i="24"/>
  <c r="CY21" i="24"/>
  <c r="BT22" i="24"/>
  <c r="BU22" i="24"/>
  <c r="BV22" i="24"/>
  <c r="BW22" i="24"/>
  <c r="BX22" i="24"/>
  <c r="BY22" i="24"/>
  <c r="BZ22" i="24"/>
  <c r="CA22" i="24"/>
  <c r="CB22" i="24"/>
  <c r="CC22" i="24"/>
  <c r="CD22" i="24"/>
  <c r="CE22" i="24"/>
  <c r="CF22" i="24"/>
  <c r="CG22" i="24"/>
  <c r="CL22" i="24"/>
  <c r="CM22" i="24"/>
  <c r="CN22" i="24"/>
  <c r="CO22" i="24"/>
  <c r="CP22" i="24"/>
  <c r="CQ22" i="24"/>
  <c r="CR22" i="24"/>
  <c r="CS22" i="24"/>
  <c r="CT22" i="24"/>
  <c r="CU22" i="24"/>
  <c r="CV22" i="24"/>
  <c r="CW22" i="24"/>
  <c r="CX22" i="24"/>
  <c r="CY22" i="24"/>
  <c r="BE23" i="24"/>
  <c r="BT23" i="24"/>
  <c r="BU23" i="24"/>
  <c r="BV23" i="24"/>
  <c r="BW23" i="24"/>
  <c r="BX23" i="24"/>
  <c r="BY23" i="24"/>
  <c r="BZ23" i="24"/>
  <c r="CA23" i="24"/>
  <c r="CB23" i="24"/>
  <c r="CC23" i="24"/>
  <c r="CD23" i="24"/>
  <c r="CE23" i="24"/>
  <c r="CF23" i="24"/>
  <c r="CG23" i="24"/>
  <c r="CL23" i="24"/>
  <c r="CM23" i="24"/>
  <c r="CN23" i="24"/>
  <c r="CO23" i="24"/>
  <c r="CP23" i="24"/>
  <c r="CQ23" i="24"/>
  <c r="CR23" i="24"/>
  <c r="CS23" i="24"/>
  <c r="CT23" i="24"/>
  <c r="CU23" i="24"/>
  <c r="CV23" i="24"/>
  <c r="CW23" i="24"/>
  <c r="CX23" i="24"/>
  <c r="CY23" i="24"/>
  <c r="BT26" i="24"/>
  <c r="BU26" i="24"/>
  <c r="BV26" i="24"/>
  <c r="BW26" i="24"/>
  <c r="BX26" i="24"/>
  <c r="BY26" i="24"/>
  <c r="BZ26" i="24"/>
  <c r="CA26" i="24"/>
  <c r="CB26" i="24"/>
  <c r="CC26" i="24"/>
  <c r="CD26" i="24"/>
  <c r="CE26" i="24"/>
  <c r="CF26" i="24"/>
  <c r="CG26" i="24"/>
  <c r="CL26" i="24"/>
  <c r="CM26" i="24"/>
  <c r="CN26" i="24"/>
  <c r="CO26" i="24"/>
  <c r="CP26" i="24"/>
  <c r="CQ26" i="24"/>
  <c r="CR26" i="24"/>
  <c r="CS26" i="24"/>
  <c r="CT26" i="24"/>
  <c r="CU26" i="24"/>
  <c r="CV26" i="24"/>
  <c r="CW26" i="24"/>
  <c r="CX26" i="24"/>
  <c r="CY26" i="24"/>
  <c r="BE27" i="24"/>
  <c r="BF27" i="24"/>
  <c r="BT27" i="24"/>
  <c r="BU27" i="24"/>
  <c r="BV27" i="24"/>
  <c r="BW27" i="24"/>
  <c r="BX27" i="24"/>
  <c r="BY27" i="24"/>
  <c r="BZ27" i="24"/>
  <c r="CA27" i="24"/>
  <c r="CB27" i="24"/>
  <c r="CC27" i="24"/>
  <c r="CD27" i="24"/>
  <c r="CE27" i="24"/>
  <c r="CF27" i="24"/>
  <c r="CG27" i="24"/>
  <c r="CL27" i="24"/>
  <c r="CM27" i="24"/>
  <c r="CN27" i="24"/>
  <c r="CO27" i="24"/>
  <c r="CP27" i="24"/>
  <c r="CQ27" i="24"/>
  <c r="CR27" i="24"/>
  <c r="CS27" i="24"/>
  <c r="CT27" i="24"/>
  <c r="CU27" i="24"/>
  <c r="CV27" i="24"/>
  <c r="CW27" i="24"/>
  <c r="CX27" i="24"/>
  <c r="CY27" i="24"/>
  <c r="BT28" i="24"/>
  <c r="BU28" i="24"/>
  <c r="BV28" i="24"/>
  <c r="BW28" i="24"/>
  <c r="BX28" i="24"/>
  <c r="BY28" i="24"/>
  <c r="BZ28" i="24"/>
  <c r="CA28" i="24"/>
  <c r="CB28" i="24"/>
  <c r="CC28" i="24"/>
  <c r="CD28" i="24"/>
  <c r="CE28" i="24"/>
  <c r="CF28" i="24"/>
  <c r="CG28" i="24"/>
  <c r="CL28" i="24"/>
  <c r="CM28" i="24"/>
  <c r="CN28" i="24"/>
  <c r="CO28" i="24"/>
  <c r="CP28" i="24"/>
  <c r="CQ28" i="24"/>
  <c r="CR28" i="24"/>
  <c r="CS28" i="24"/>
  <c r="CT28" i="24"/>
  <c r="CU28" i="24"/>
  <c r="CV28" i="24"/>
  <c r="CW28" i="24"/>
  <c r="CX28" i="24"/>
  <c r="CY28" i="24"/>
  <c r="BP29" i="24"/>
  <c r="BT29" i="24"/>
  <c r="BU29" i="24"/>
  <c r="BV29" i="24"/>
  <c r="BW29" i="24"/>
  <c r="BX29" i="24"/>
  <c r="BY29" i="24"/>
  <c r="BZ29" i="24"/>
  <c r="CA29" i="24"/>
  <c r="CB29" i="24"/>
  <c r="CC29" i="24"/>
  <c r="CD29" i="24"/>
  <c r="CE29" i="24"/>
  <c r="CF29" i="24"/>
  <c r="CG29" i="24"/>
  <c r="CL29" i="24"/>
  <c r="CM29" i="24"/>
  <c r="CN29" i="24"/>
  <c r="CO29" i="24"/>
  <c r="CP29" i="24"/>
  <c r="CQ29" i="24"/>
  <c r="CR29" i="24"/>
  <c r="CS29" i="24"/>
  <c r="CT29" i="24"/>
  <c r="CU29" i="24"/>
  <c r="CV29" i="24"/>
  <c r="CW29" i="24"/>
  <c r="CX29" i="24"/>
  <c r="CY29" i="24"/>
  <c r="BE30" i="24"/>
  <c r="BF30" i="24"/>
  <c r="BP30" i="24"/>
  <c r="BU30" i="24"/>
  <c r="BV30" i="24"/>
  <c r="BW30" i="24"/>
  <c r="BX30" i="24"/>
  <c r="BY30" i="24"/>
  <c r="BZ30" i="24"/>
  <c r="CA30" i="24"/>
  <c r="CB30" i="24"/>
  <c r="CC30" i="24"/>
  <c r="CD30" i="24"/>
  <c r="CE30" i="24"/>
  <c r="CF30" i="24"/>
  <c r="CG30" i="24"/>
  <c r="CM30" i="24"/>
  <c r="CN30" i="24"/>
  <c r="CO30" i="24"/>
  <c r="CP30" i="24"/>
  <c r="CQ30" i="24"/>
  <c r="CR30" i="24"/>
  <c r="CS30" i="24"/>
  <c r="CT30" i="24"/>
  <c r="CU30" i="24"/>
  <c r="CV30" i="24"/>
  <c r="CW30" i="24"/>
  <c r="CX30" i="24"/>
  <c r="CY30" i="24"/>
  <c r="BE31" i="24"/>
  <c r="BF31" i="24"/>
  <c r="BP31" i="24"/>
  <c r="BT31" i="24"/>
  <c r="BU31" i="24"/>
  <c r="BV31" i="24"/>
  <c r="BW31" i="24"/>
  <c r="BX31" i="24"/>
  <c r="BY31" i="24"/>
  <c r="BZ31" i="24"/>
  <c r="CA31" i="24"/>
  <c r="CB31" i="24"/>
  <c r="CC31" i="24"/>
  <c r="CD31" i="24"/>
  <c r="CE31" i="24"/>
  <c r="CF31" i="24"/>
  <c r="CG31" i="24"/>
  <c r="CL31" i="24"/>
  <c r="CM31" i="24"/>
  <c r="CN31" i="24"/>
  <c r="CO31" i="24"/>
  <c r="CP31" i="24"/>
  <c r="CQ31" i="24"/>
  <c r="CR31" i="24"/>
  <c r="CS31" i="24"/>
  <c r="CT31" i="24"/>
  <c r="CU31" i="24"/>
  <c r="CV31" i="24"/>
  <c r="CW31" i="24"/>
  <c r="CX31" i="24"/>
  <c r="CY31" i="24"/>
  <c r="BT32" i="24"/>
  <c r="BU32" i="24"/>
  <c r="BV32" i="24"/>
  <c r="BW32" i="24"/>
  <c r="BX32" i="24"/>
  <c r="BY32" i="24"/>
  <c r="BZ32" i="24"/>
  <c r="CA32" i="24"/>
  <c r="CB32" i="24"/>
  <c r="CC32" i="24"/>
  <c r="CD32" i="24"/>
  <c r="CE32" i="24"/>
  <c r="CF32" i="24"/>
  <c r="CG32" i="24"/>
  <c r="CL32" i="24"/>
  <c r="CM32" i="24"/>
  <c r="CN32" i="24"/>
  <c r="CO32" i="24"/>
  <c r="CP32" i="24"/>
  <c r="CQ32" i="24"/>
  <c r="CR32" i="24"/>
  <c r="CS32" i="24"/>
  <c r="CT32" i="24"/>
  <c r="CU32" i="24"/>
  <c r="CV32" i="24"/>
  <c r="CW32" i="24"/>
  <c r="CX32" i="24"/>
  <c r="CY32" i="24"/>
  <c r="BT35" i="24"/>
  <c r="BU35" i="24"/>
  <c r="BV35" i="24"/>
  <c r="BW35" i="24"/>
  <c r="BX35" i="24"/>
  <c r="BY35" i="24"/>
  <c r="BZ35" i="24"/>
  <c r="CA35" i="24"/>
  <c r="CB35" i="24"/>
  <c r="CC35" i="24"/>
  <c r="CD35" i="24"/>
  <c r="CE35" i="24"/>
  <c r="CF35" i="24"/>
  <c r="CG35" i="24"/>
  <c r="CL35" i="24"/>
  <c r="CM35" i="24"/>
  <c r="CN35" i="24"/>
  <c r="CO35" i="24"/>
  <c r="CP35" i="24"/>
  <c r="CQ35" i="24"/>
  <c r="CR35" i="24"/>
  <c r="CS35" i="24"/>
  <c r="CT35" i="24"/>
  <c r="CU35" i="24"/>
  <c r="CV35" i="24"/>
  <c r="CW35" i="24"/>
  <c r="CX35" i="24"/>
  <c r="CY35" i="24"/>
  <c r="BT36" i="24"/>
  <c r="BU36" i="24"/>
  <c r="BV36" i="24"/>
  <c r="BW36" i="24"/>
  <c r="BX36" i="24"/>
  <c r="BY36" i="24"/>
  <c r="BZ36" i="24"/>
  <c r="CA36" i="24"/>
  <c r="CB36" i="24"/>
  <c r="CC36" i="24"/>
  <c r="CD36" i="24"/>
  <c r="CE36" i="24"/>
  <c r="CF36" i="24"/>
  <c r="CG36" i="24"/>
  <c r="CL36" i="24"/>
  <c r="CM36" i="24"/>
  <c r="CN36" i="24"/>
  <c r="CO36" i="24"/>
  <c r="CP36" i="24"/>
  <c r="CQ36" i="24"/>
  <c r="CR36" i="24"/>
  <c r="CS36" i="24"/>
  <c r="CT36" i="24"/>
  <c r="CU36" i="24"/>
  <c r="CV36" i="24"/>
  <c r="CW36" i="24"/>
  <c r="CX36" i="24"/>
  <c r="CY36" i="24"/>
  <c r="BE37" i="24"/>
  <c r="BF37" i="24"/>
  <c r="BT37" i="24"/>
  <c r="BU37" i="24"/>
  <c r="BV37" i="24"/>
  <c r="BW37" i="24"/>
  <c r="BX37" i="24"/>
  <c r="BY37" i="24"/>
  <c r="BZ37" i="24"/>
  <c r="CA37" i="24"/>
  <c r="CB37" i="24"/>
  <c r="CC37" i="24"/>
  <c r="CD37" i="24"/>
  <c r="CE37" i="24"/>
  <c r="CF37" i="24"/>
  <c r="CG37" i="24"/>
  <c r="CL37" i="24"/>
  <c r="CM37" i="24"/>
  <c r="CN37" i="24"/>
  <c r="CO37" i="24"/>
  <c r="CP37" i="24"/>
  <c r="CQ37" i="24"/>
  <c r="CR37" i="24"/>
  <c r="CS37" i="24"/>
  <c r="CT37" i="24"/>
  <c r="CU37" i="24"/>
  <c r="CV37" i="24"/>
  <c r="CW37" i="24"/>
  <c r="CX37" i="24"/>
  <c r="CY37" i="24"/>
  <c r="BT38" i="24"/>
  <c r="BU38" i="24"/>
  <c r="BV38" i="24"/>
  <c r="BW38" i="24"/>
  <c r="BX38" i="24"/>
  <c r="BY38" i="24"/>
  <c r="BZ38" i="24"/>
  <c r="CA38" i="24"/>
  <c r="CB38" i="24"/>
  <c r="CC38" i="24"/>
  <c r="CD38" i="24"/>
  <c r="CE38" i="24"/>
  <c r="CF38" i="24"/>
  <c r="CG38" i="24"/>
  <c r="CL38" i="24"/>
  <c r="CM38" i="24"/>
  <c r="CN38" i="24"/>
  <c r="CO38" i="24"/>
  <c r="CP38" i="24"/>
  <c r="CQ38" i="24"/>
  <c r="CR38" i="24"/>
  <c r="CS38" i="24"/>
  <c r="CT38" i="24"/>
  <c r="CU38" i="24"/>
  <c r="CV38" i="24"/>
  <c r="CW38" i="24"/>
  <c r="CX38" i="24"/>
  <c r="CY38" i="24"/>
  <c r="BP40" i="24"/>
  <c r="BT40" i="24"/>
  <c r="BU40" i="24"/>
  <c r="BV40" i="24"/>
  <c r="BW40" i="24"/>
  <c r="BX40" i="24"/>
  <c r="BY40" i="24"/>
  <c r="BZ40" i="24"/>
  <c r="CA40" i="24"/>
  <c r="CB40" i="24"/>
  <c r="CC40" i="24"/>
  <c r="CD40" i="24"/>
  <c r="CE40" i="24"/>
  <c r="CF40" i="24"/>
  <c r="CG40" i="24"/>
  <c r="CL40" i="24"/>
  <c r="CM40" i="24"/>
  <c r="CN40" i="24"/>
  <c r="CO40" i="24"/>
  <c r="CP40" i="24"/>
  <c r="CQ40" i="24"/>
  <c r="CR40" i="24"/>
  <c r="CS40" i="24"/>
  <c r="CT40" i="24"/>
  <c r="CU40" i="24"/>
  <c r="CV40" i="24"/>
  <c r="CW40" i="24"/>
  <c r="CX40" i="24"/>
  <c r="CY40" i="24"/>
  <c r="BP41" i="24"/>
  <c r="BT41" i="24"/>
  <c r="BU41" i="24"/>
  <c r="BV41" i="24"/>
  <c r="BW41" i="24"/>
  <c r="BX41" i="24"/>
  <c r="BY41" i="24"/>
  <c r="BZ41" i="24"/>
  <c r="CA41" i="24"/>
  <c r="CB41" i="24"/>
  <c r="CC41" i="24"/>
  <c r="CD41" i="24"/>
  <c r="CE41" i="24"/>
  <c r="CF41" i="24"/>
  <c r="CG41" i="24"/>
  <c r="CL41" i="24"/>
  <c r="CM41" i="24"/>
  <c r="CN41" i="24"/>
  <c r="CO41" i="24"/>
  <c r="CP41" i="24"/>
  <c r="CQ41" i="24"/>
  <c r="CR41" i="24"/>
  <c r="CS41" i="24"/>
  <c r="CT41" i="24"/>
  <c r="CU41" i="24"/>
  <c r="CV41" i="24"/>
  <c r="CW41" i="24"/>
  <c r="CX41" i="24"/>
  <c r="CY41" i="24"/>
  <c r="BE42" i="24"/>
  <c r="BF42" i="24"/>
  <c r="BP42" i="24"/>
  <c r="BE44" i="24"/>
  <c r="BF44" i="24"/>
  <c r="BP44" i="24"/>
  <c r="BT45" i="24"/>
  <c r="BU45" i="24"/>
  <c r="BV45" i="24"/>
  <c r="BW45" i="24"/>
  <c r="BX45" i="24"/>
  <c r="BY45" i="24"/>
  <c r="BZ45" i="24"/>
  <c r="CA45" i="24"/>
  <c r="CB45" i="24"/>
  <c r="CC45" i="24"/>
  <c r="CD45" i="24"/>
  <c r="CE45" i="24"/>
  <c r="CF45" i="24"/>
  <c r="CG45" i="24"/>
  <c r="CL45" i="24"/>
  <c r="CM45" i="24"/>
  <c r="CN45" i="24"/>
  <c r="CO45" i="24"/>
  <c r="CP45" i="24"/>
  <c r="CQ45" i="24"/>
  <c r="CR45" i="24"/>
  <c r="CS45" i="24"/>
  <c r="CT45" i="24"/>
  <c r="CU45" i="24"/>
  <c r="CV45" i="24"/>
  <c r="CW45" i="24"/>
  <c r="CX45" i="24"/>
  <c r="CY45" i="24"/>
  <c r="BE46" i="24"/>
  <c r="BF46" i="24"/>
  <c r="BP46" i="24"/>
  <c r="BT46" i="24"/>
  <c r="BU46" i="24"/>
  <c r="BV46" i="24"/>
  <c r="BW46" i="24"/>
  <c r="BX46" i="24"/>
  <c r="BY46" i="24"/>
  <c r="BZ46" i="24"/>
  <c r="CA46" i="24"/>
  <c r="CB46" i="24"/>
  <c r="CC46" i="24"/>
  <c r="CD46" i="24"/>
  <c r="CE46" i="24"/>
  <c r="CF46" i="24"/>
  <c r="CG46" i="24"/>
  <c r="BT48" i="24"/>
  <c r="BU48" i="24"/>
  <c r="BV48" i="24"/>
  <c r="BW48" i="24"/>
  <c r="BX48" i="24"/>
  <c r="BY48" i="24"/>
  <c r="BZ48" i="24"/>
  <c r="CA48" i="24"/>
  <c r="CB48" i="24"/>
  <c r="CC48" i="24"/>
  <c r="CD48" i="24"/>
  <c r="CE48" i="24"/>
  <c r="CF48" i="24"/>
  <c r="CG48" i="24"/>
  <c r="CL48" i="24"/>
  <c r="CM48" i="24"/>
  <c r="CN48" i="24"/>
  <c r="CO48" i="24"/>
  <c r="CP48" i="24"/>
  <c r="CQ48" i="24"/>
  <c r="CR48" i="24"/>
  <c r="CS48" i="24"/>
  <c r="CT48" i="24"/>
  <c r="CU48" i="24"/>
  <c r="CV48" i="24"/>
  <c r="CW48" i="24"/>
  <c r="CX48" i="24"/>
  <c r="CY48" i="24"/>
  <c r="BU52" i="24"/>
  <c r="BV52" i="24"/>
  <c r="BW52" i="24"/>
  <c r="BX52" i="24"/>
  <c r="BY52" i="24"/>
  <c r="BZ52" i="24"/>
  <c r="CA52" i="24"/>
  <c r="CB52" i="24"/>
  <c r="CC52" i="24"/>
  <c r="CD52" i="24"/>
  <c r="CE52" i="24"/>
  <c r="CF52" i="24"/>
  <c r="CG52" i="24"/>
  <c r="CM52" i="24"/>
  <c r="CN52" i="24"/>
  <c r="CO52" i="24"/>
  <c r="CP52" i="24"/>
  <c r="CQ52" i="24"/>
  <c r="CR52" i="24"/>
  <c r="CS52" i="24"/>
  <c r="CT52" i="24"/>
  <c r="CU52" i="24"/>
  <c r="CV52" i="24"/>
  <c r="CW52" i="24"/>
  <c r="CX52" i="24"/>
  <c r="CY52" i="24"/>
  <c r="BE53" i="24"/>
  <c r="BU53" i="24"/>
  <c r="BV53" i="24"/>
  <c r="BW53" i="24"/>
  <c r="BX53" i="24"/>
  <c r="BY53" i="24"/>
  <c r="BZ53" i="24"/>
  <c r="CA53" i="24"/>
  <c r="CB53" i="24"/>
  <c r="CC53" i="24"/>
  <c r="CD53" i="24"/>
  <c r="CE53" i="24"/>
  <c r="CF53" i="24"/>
  <c r="CG53" i="24"/>
  <c r="CM53" i="24"/>
  <c r="CN53" i="24"/>
  <c r="CO53" i="24"/>
  <c r="CP53" i="24"/>
  <c r="CQ53" i="24"/>
  <c r="CR53" i="24"/>
  <c r="CS53" i="24"/>
  <c r="CT53" i="24"/>
  <c r="CU53" i="24"/>
  <c r="CV53" i="24"/>
  <c r="CW53" i="24"/>
  <c r="CX53" i="24"/>
  <c r="CY53" i="24"/>
  <c r="BE54" i="24"/>
  <c r="BU54" i="24"/>
  <c r="BV54" i="24"/>
  <c r="BW54" i="24"/>
  <c r="BX54" i="24"/>
  <c r="BY54" i="24"/>
  <c r="BZ54" i="24"/>
  <c r="CA54" i="24"/>
  <c r="CB54" i="24"/>
  <c r="CC54" i="24"/>
  <c r="CD54" i="24"/>
  <c r="CE54" i="24"/>
  <c r="CF54" i="24"/>
  <c r="CG54" i="24"/>
  <c r="CM54" i="24"/>
  <c r="CN54" i="24"/>
  <c r="CO54" i="24"/>
  <c r="CP54" i="24"/>
  <c r="CQ54" i="24"/>
  <c r="CR54" i="24"/>
  <c r="CS54" i="24"/>
  <c r="CT54" i="24"/>
  <c r="CU54" i="24"/>
  <c r="CV54" i="24"/>
  <c r="CW54" i="24"/>
  <c r="CX54" i="24"/>
  <c r="CY54" i="24"/>
  <c r="BE55" i="24"/>
  <c r="BE56" i="24"/>
  <c r="BU56" i="24"/>
  <c r="BV56" i="24"/>
  <c r="BW56" i="24"/>
  <c r="BX56" i="24"/>
  <c r="BY56" i="24"/>
  <c r="BZ56" i="24"/>
  <c r="CA56" i="24"/>
  <c r="CB56" i="24"/>
  <c r="CC56" i="24"/>
  <c r="CD56" i="24"/>
  <c r="CE56" i="24"/>
  <c r="CF56" i="24"/>
  <c r="CG56" i="24"/>
  <c r="CM56" i="24"/>
  <c r="CN56" i="24"/>
  <c r="CO56" i="24"/>
  <c r="CP56" i="24"/>
  <c r="CQ56" i="24"/>
  <c r="CR56" i="24"/>
  <c r="CS56" i="24"/>
  <c r="CT56" i="24"/>
  <c r="CU56" i="24"/>
  <c r="CV56" i="24"/>
  <c r="CW56" i="24"/>
  <c r="CX56" i="24"/>
  <c r="CY56" i="24"/>
  <c r="BE57" i="24"/>
  <c r="BU57" i="24"/>
  <c r="BV57" i="24"/>
  <c r="BW57" i="24"/>
  <c r="BX57" i="24"/>
  <c r="BY57" i="24"/>
  <c r="BZ57" i="24"/>
  <c r="CA57" i="24"/>
  <c r="CB57" i="24"/>
  <c r="CC57" i="24"/>
  <c r="CD57" i="24"/>
  <c r="CE57" i="24"/>
  <c r="CF57" i="24"/>
  <c r="CG57" i="24"/>
  <c r="CM57" i="24"/>
  <c r="CN57" i="24"/>
  <c r="CO57" i="24"/>
  <c r="CP57" i="24"/>
  <c r="CQ57" i="24"/>
  <c r="CR57" i="24"/>
  <c r="CS57" i="24"/>
  <c r="CT57" i="24"/>
  <c r="CU57" i="24"/>
  <c r="CV57" i="24"/>
  <c r="CW57" i="24"/>
  <c r="CX57" i="24"/>
  <c r="CY57" i="24"/>
  <c r="BE58" i="24"/>
  <c r="BU58" i="24"/>
  <c r="BV58" i="24"/>
  <c r="BW58" i="24"/>
  <c r="BX58" i="24"/>
  <c r="BY58" i="24"/>
  <c r="BZ58" i="24"/>
  <c r="CA58" i="24"/>
  <c r="CB58" i="24"/>
  <c r="CC58" i="24"/>
  <c r="CD58" i="24"/>
  <c r="CE58" i="24"/>
  <c r="CF58" i="24"/>
  <c r="CG58" i="24"/>
  <c r="CM58" i="24"/>
  <c r="CN58" i="24"/>
  <c r="CO58" i="24"/>
  <c r="CP58" i="24"/>
  <c r="CQ58" i="24"/>
  <c r="CR58" i="24"/>
  <c r="CS58" i="24"/>
  <c r="CT58" i="24"/>
  <c r="CU58" i="24"/>
  <c r="CV58" i="24"/>
  <c r="CW58" i="24"/>
  <c r="CX58" i="24"/>
  <c r="CY58" i="24"/>
  <c r="BE59" i="24"/>
  <c r="BU59" i="24"/>
  <c r="BV59" i="24"/>
  <c r="BW59" i="24"/>
  <c r="BX59" i="24"/>
  <c r="BY59" i="24"/>
  <c r="BZ59" i="24"/>
  <c r="CA59" i="24"/>
  <c r="CB59" i="24"/>
  <c r="CC59" i="24"/>
  <c r="CD59" i="24"/>
  <c r="CE59" i="24"/>
  <c r="CF59" i="24"/>
  <c r="CG59" i="24"/>
  <c r="CM59" i="24"/>
  <c r="CN59" i="24"/>
  <c r="CO59" i="24"/>
  <c r="CP59" i="24"/>
  <c r="CQ59" i="24"/>
  <c r="CR59" i="24"/>
  <c r="CS59" i="24"/>
  <c r="CT59" i="24"/>
  <c r="CU59" i="24"/>
  <c r="CV59" i="24"/>
  <c r="CW59" i="24"/>
  <c r="CX59" i="24"/>
  <c r="CY59" i="24"/>
  <c r="BE60" i="24"/>
  <c r="BU60" i="24"/>
  <c r="BV60" i="24"/>
  <c r="BW60" i="24"/>
  <c r="BX60" i="24"/>
  <c r="BY60" i="24"/>
  <c r="BZ60" i="24"/>
  <c r="CA60" i="24"/>
  <c r="CB60" i="24"/>
  <c r="CC60" i="24"/>
  <c r="CD60" i="24"/>
  <c r="CE60" i="24"/>
  <c r="CF60" i="24"/>
  <c r="CG60" i="24"/>
  <c r="CM60" i="24"/>
  <c r="CN60" i="24"/>
  <c r="CO60" i="24"/>
  <c r="CP60" i="24"/>
  <c r="CQ60" i="24"/>
  <c r="CR60" i="24"/>
  <c r="CS60" i="24"/>
  <c r="CT60" i="24"/>
  <c r="CU60" i="24"/>
  <c r="CV60" i="24"/>
  <c r="CW60" i="24"/>
  <c r="CX60" i="24"/>
  <c r="CY60" i="24"/>
  <c r="BE61" i="24"/>
  <c r="BU61" i="24"/>
  <c r="BV61" i="24"/>
  <c r="BW61" i="24"/>
  <c r="BX61" i="24"/>
  <c r="BY61" i="24"/>
  <c r="BZ61" i="24"/>
  <c r="CA61" i="24"/>
  <c r="CB61" i="24"/>
  <c r="CC61" i="24"/>
  <c r="CD61" i="24"/>
  <c r="CE61" i="24"/>
  <c r="CF61" i="24"/>
  <c r="CG61" i="24"/>
  <c r="CM61" i="24"/>
  <c r="CN61" i="24"/>
  <c r="CO61" i="24"/>
  <c r="CP61" i="24"/>
  <c r="CQ61" i="24"/>
  <c r="CR61" i="24"/>
  <c r="CS61" i="24"/>
  <c r="CT61" i="24"/>
  <c r="CU61" i="24"/>
  <c r="CV61" i="24"/>
  <c r="CW61" i="24"/>
  <c r="CX61" i="24"/>
  <c r="CY61" i="24"/>
  <c r="BT63" i="24"/>
  <c r="BU63" i="24"/>
  <c r="BV63" i="24"/>
  <c r="BW63" i="24"/>
  <c r="BX63" i="24"/>
  <c r="BY63" i="24"/>
  <c r="BZ63" i="24"/>
  <c r="CA63" i="24"/>
  <c r="CB63" i="24"/>
  <c r="CC63" i="24"/>
  <c r="CD63" i="24"/>
  <c r="CE63" i="24"/>
  <c r="CF63" i="24"/>
  <c r="CG63" i="24"/>
  <c r="CL63" i="24"/>
  <c r="CM63" i="24"/>
  <c r="CN63" i="24"/>
  <c r="CO63" i="24"/>
  <c r="CP63" i="24"/>
  <c r="CQ63" i="24"/>
  <c r="CR63" i="24"/>
  <c r="CS63" i="24"/>
  <c r="CT63" i="24"/>
  <c r="CU63" i="24"/>
  <c r="CV63" i="24"/>
  <c r="CW63" i="24"/>
  <c r="CX63" i="24"/>
  <c r="CY63" i="24"/>
  <c r="BT64" i="24"/>
  <c r="BU64" i="24"/>
  <c r="BV64" i="24"/>
  <c r="BW64" i="24"/>
  <c r="BX64" i="24"/>
  <c r="BY64" i="24"/>
  <c r="BZ64" i="24"/>
  <c r="CA64" i="24"/>
  <c r="CB64" i="24"/>
  <c r="CC64" i="24"/>
  <c r="CD64" i="24"/>
  <c r="CE64" i="24"/>
  <c r="CF64" i="24"/>
  <c r="CG64" i="24"/>
  <c r="CL64" i="24"/>
  <c r="CM64" i="24"/>
  <c r="CN64" i="24"/>
  <c r="CO64" i="24"/>
  <c r="CP64" i="24"/>
  <c r="CQ64" i="24"/>
  <c r="CR64" i="24"/>
  <c r="CS64" i="24"/>
  <c r="CT64" i="24"/>
  <c r="CU64" i="24"/>
  <c r="CV64" i="24"/>
  <c r="CW64" i="24"/>
  <c r="CX64" i="24"/>
  <c r="CY64" i="24"/>
  <c r="BD65" i="24"/>
  <c r="BE65" i="24"/>
  <c r="BT65" i="24"/>
  <c r="BU65" i="24"/>
  <c r="BV65" i="24"/>
  <c r="BW65" i="24"/>
  <c r="BX65" i="24"/>
  <c r="BY65" i="24"/>
  <c r="BZ65" i="24"/>
  <c r="CA65" i="24"/>
  <c r="CB65" i="24"/>
  <c r="CC65" i="24"/>
  <c r="CD65" i="24"/>
  <c r="CE65" i="24"/>
  <c r="CF65" i="24"/>
  <c r="CG65" i="24"/>
  <c r="CL65" i="24"/>
  <c r="CM65" i="24"/>
  <c r="CN65" i="24"/>
  <c r="CO65" i="24"/>
  <c r="CP65" i="24"/>
  <c r="CQ65" i="24"/>
  <c r="CR65" i="24"/>
  <c r="CS65" i="24"/>
  <c r="CT65" i="24"/>
  <c r="CU65" i="24"/>
  <c r="CV65" i="24"/>
  <c r="CW65" i="24"/>
  <c r="CX65" i="24"/>
  <c r="CY65" i="24"/>
  <c r="BD66" i="24"/>
  <c r="BE66" i="24"/>
  <c r="BT66" i="24"/>
  <c r="BU66" i="24"/>
  <c r="BV66" i="24"/>
  <c r="BW66" i="24"/>
  <c r="BX66" i="24"/>
  <c r="BY66" i="24"/>
  <c r="BZ66" i="24"/>
  <c r="CA66" i="24"/>
  <c r="CB66" i="24"/>
  <c r="CC66" i="24"/>
  <c r="CD66" i="24"/>
  <c r="CE66" i="24"/>
  <c r="CF66" i="24"/>
  <c r="CG66" i="24"/>
  <c r="CL66" i="24"/>
  <c r="CM66" i="24"/>
  <c r="CN66" i="24"/>
  <c r="CO66" i="24"/>
  <c r="CP66" i="24"/>
  <c r="CQ66" i="24"/>
  <c r="CR66" i="24"/>
  <c r="CS66" i="24"/>
  <c r="CT66" i="24"/>
  <c r="CU66" i="24"/>
  <c r="CV66" i="24"/>
  <c r="CW66" i="24"/>
  <c r="CX66" i="24"/>
  <c r="CY66" i="24"/>
  <c r="BU67" i="24"/>
  <c r="BV67" i="24"/>
  <c r="BW67" i="24"/>
  <c r="BX67" i="24"/>
  <c r="BY67" i="24"/>
  <c r="BZ67" i="24"/>
  <c r="CA67" i="24"/>
  <c r="CB67" i="24"/>
  <c r="CC67" i="24"/>
  <c r="CD67" i="24"/>
  <c r="CE67" i="24"/>
  <c r="CF67" i="24"/>
  <c r="CG67" i="24"/>
  <c r="CM67" i="24"/>
  <c r="CN67" i="24"/>
  <c r="CO67" i="24"/>
  <c r="CP67" i="24"/>
  <c r="CQ67" i="24"/>
  <c r="CR67" i="24"/>
  <c r="CS67" i="24"/>
  <c r="CT67" i="24"/>
  <c r="CU67" i="24"/>
  <c r="CV67" i="24"/>
  <c r="CW67" i="24"/>
  <c r="CX67" i="24"/>
  <c r="CY67" i="24"/>
  <c r="BE69" i="24"/>
  <c r="BU69" i="24"/>
  <c r="BV69" i="24"/>
  <c r="BW69" i="24"/>
  <c r="BX69" i="24"/>
  <c r="BY69" i="24"/>
  <c r="BZ69" i="24"/>
  <c r="CA69" i="24"/>
  <c r="CB69" i="24"/>
  <c r="CC69" i="24"/>
  <c r="CD69" i="24"/>
  <c r="CE69" i="24"/>
  <c r="CF69" i="24"/>
  <c r="CG69" i="24"/>
  <c r="BD70" i="24"/>
  <c r="BE70" i="24"/>
  <c r="BT70" i="24"/>
  <c r="BU70" i="24"/>
  <c r="BV70" i="24"/>
  <c r="BW70" i="24"/>
  <c r="BX70" i="24"/>
  <c r="BY70" i="24"/>
  <c r="BZ70" i="24"/>
  <c r="CA70" i="24"/>
  <c r="CB70" i="24"/>
  <c r="CC70" i="24"/>
  <c r="CD70" i="24"/>
  <c r="CE70" i="24"/>
  <c r="CF70" i="24"/>
  <c r="CG70" i="24"/>
  <c r="CL70" i="24"/>
  <c r="CM70" i="24"/>
  <c r="CN70" i="24"/>
  <c r="CO70" i="24"/>
  <c r="CP70" i="24"/>
  <c r="CQ70" i="24"/>
  <c r="CR70" i="24"/>
  <c r="CS70" i="24"/>
  <c r="CT70" i="24"/>
  <c r="CU70" i="24"/>
  <c r="CV70" i="24"/>
  <c r="CW70" i="24"/>
  <c r="CX70" i="24"/>
  <c r="CY70" i="24"/>
  <c r="BD71" i="24"/>
  <c r="BE71" i="24"/>
  <c r="BT71" i="24"/>
  <c r="BU71" i="24"/>
  <c r="BV71" i="24"/>
  <c r="BW71" i="24"/>
  <c r="BX71" i="24"/>
  <c r="BY71" i="24"/>
  <c r="BZ71" i="24"/>
  <c r="CA71" i="24"/>
  <c r="CB71" i="24"/>
  <c r="CC71" i="24"/>
  <c r="CD71" i="24"/>
  <c r="CE71" i="24"/>
  <c r="CF71" i="24"/>
  <c r="CG71" i="24"/>
  <c r="CL71" i="24"/>
  <c r="CM71" i="24"/>
  <c r="CN71" i="24"/>
  <c r="CO71" i="24"/>
  <c r="CP71" i="24"/>
  <c r="CQ71" i="24"/>
  <c r="CR71" i="24"/>
  <c r="CS71" i="24"/>
  <c r="CT71" i="24"/>
  <c r="CU71" i="24"/>
  <c r="CV71" i="24"/>
  <c r="CW71" i="24"/>
  <c r="CX71" i="24"/>
  <c r="CY71" i="24"/>
  <c r="BT73" i="24"/>
  <c r="BU73" i="24"/>
  <c r="BV73" i="24"/>
  <c r="BW73" i="24"/>
  <c r="BX73" i="24"/>
  <c r="BY73" i="24"/>
  <c r="BZ73" i="24"/>
  <c r="CA73" i="24"/>
  <c r="CB73" i="24"/>
  <c r="CC73" i="24"/>
  <c r="CD73" i="24"/>
  <c r="CE73" i="24"/>
  <c r="CF73" i="24"/>
  <c r="CG73" i="24"/>
  <c r="BE75" i="24"/>
  <c r="BT75" i="24"/>
  <c r="BU75" i="24"/>
  <c r="BV75" i="24"/>
  <c r="BW75" i="24"/>
  <c r="BX75" i="24"/>
  <c r="BY75" i="24"/>
  <c r="BZ75" i="24"/>
  <c r="CA75" i="24"/>
  <c r="CB75" i="24"/>
  <c r="CC75" i="24"/>
  <c r="CD75" i="24"/>
  <c r="CE75" i="24"/>
  <c r="CF75" i="24"/>
  <c r="CG75" i="24"/>
  <c r="BE79" i="24"/>
  <c r="BU79" i="24"/>
  <c r="BV79" i="24"/>
  <c r="BW79" i="24"/>
  <c r="BX79" i="24"/>
  <c r="BY79" i="24"/>
  <c r="BZ79" i="24"/>
  <c r="CA79" i="24"/>
  <c r="CB79" i="24"/>
  <c r="CC79" i="24"/>
  <c r="CD79" i="24"/>
  <c r="CE79" i="24"/>
  <c r="CF79" i="24"/>
  <c r="CG79" i="24"/>
  <c r="CM79" i="24"/>
  <c r="CN79" i="24"/>
  <c r="CO79" i="24"/>
  <c r="CP79" i="24"/>
  <c r="CQ79" i="24"/>
  <c r="CR79" i="24"/>
  <c r="CS79" i="24"/>
  <c r="CT79" i="24"/>
  <c r="CU79" i="24"/>
  <c r="CV79" i="24"/>
  <c r="CW79" i="24"/>
  <c r="CX79" i="24"/>
  <c r="CY79" i="24"/>
  <c r="BE80" i="24"/>
  <c r="BU80" i="24"/>
  <c r="BV80" i="24"/>
  <c r="BW80" i="24"/>
  <c r="BX80" i="24"/>
  <c r="BY80" i="24"/>
  <c r="BZ80" i="24"/>
  <c r="CA80" i="24"/>
  <c r="CB80" i="24"/>
  <c r="CC80" i="24"/>
  <c r="CD80" i="24"/>
  <c r="CE80" i="24"/>
  <c r="CF80" i="24"/>
  <c r="CG80" i="24"/>
  <c r="CM80" i="24"/>
  <c r="CN80" i="24"/>
  <c r="CO80" i="24"/>
  <c r="CP80" i="24"/>
  <c r="CQ80" i="24"/>
  <c r="CR80" i="24"/>
  <c r="CS80" i="24"/>
  <c r="CT80" i="24"/>
  <c r="CU80" i="24"/>
  <c r="CV80" i="24"/>
  <c r="CW80" i="24"/>
  <c r="CX80" i="24"/>
  <c r="CY80" i="24"/>
  <c r="BE81" i="24"/>
  <c r="BU81" i="24"/>
  <c r="BV81" i="24"/>
  <c r="BW81" i="24"/>
  <c r="BX81" i="24"/>
  <c r="BY81" i="24"/>
  <c r="BZ81" i="24"/>
  <c r="CA81" i="24"/>
  <c r="CB81" i="24"/>
  <c r="CC81" i="24"/>
  <c r="CD81" i="24"/>
  <c r="CE81" i="24"/>
  <c r="CF81" i="24"/>
  <c r="CG81" i="24"/>
  <c r="CM81" i="24"/>
  <c r="CN81" i="24"/>
  <c r="CO81" i="24"/>
  <c r="CP81" i="24"/>
  <c r="CQ81" i="24"/>
  <c r="CR81" i="24"/>
  <c r="CS81" i="24"/>
  <c r="CT81" i="24"/>
  <c r="CU81" i="24"/>
  <c r="CV81" i="24"/>
  <c r="CW81" i="24"/>
  <c r="CX81" i="24"/>
  <c r="CY81" i="24"/>
  <c r="BE82" i="24"/>
  <c r="BU82" i="24"/>
  <c r="BV82" i="24"/>
  <c r="BW82" i="24"/>
  <c r="BX82" i="24"/>
  <c r="BY82" i="24"/>
  <c r="BZ82" i="24"/>
  <c r="CA82" i="24"/>
  <c r="CB82" i="24"/>
  <c r="CC82" i="24"/>
  <c r="CD82" i="24"/>
  <c r="CE82" i="24"/>
  <c r="CF82" i="24"/>
  <c r="CG82" i="24"/>
  <c r="CM82" i="24"/>
  <c r="CN82" i="24"/>
  <c r="CO82" i="24"/>
  <c r="CP82" i="24"/>
  <c r="CQ82" i="24"/>
  <c r="CR82" i="24"/>
  <c r="CS82" i="24"/>
  <c r="CT82" i="24"/>
  <c r="CU82" i="24"/>
  <c r="CV82" i="24"/>
  <c r="CW82" i="24"/>
  <c r="CX82" i="24"/>
  <c r="CY82" i="24"/>
  <c r="BE83" i="24"/>
  <c r="BU83" i="24"/>
  <c r="BV83" i="24"/>
  <c r="BW83" i="24"/>
  <c r="BX83" i="24"/>
  <c r="BY83" i="24"/>
  <c r="BZ83" i="24"/>
  <c r="CA83" i="24"/>
  <c r="CB83" i="24"/>
  <c r="CC83" i="24"/>
  <c r="CD83" i="24"/>
  <c r="CE83" i="24"/>
  <c r="CF83" i="24"/>
  <c r="CG83" i="24"/>
  <c r="CM83" i="24"/>
  <c r="CN83" i="24"/>
  <c r="CO83" i="24"/>
  <c r="CP83" i="24"/>
  <c r="CQ83" i="24"/>
  <c r="CR83" i="24"/>
  <c r="CS83" i="24"/>
  <c r="CT83" i="24"/>
  <c r="CU83" i="24"/>
  <c r="CV83" i="24"/>
  <c r="CW83" i="24"/>
  <c r="CX83" i="24"/>
  <c r="CY83" i="24"/>
  <c r="BE84" i="24"/>
  <c r="BU84" i="24"/>
  <c r="BV84" i="24"/>
  <c r="BW84" i="24"/>
  <c r="BX84" i="24"/>
  <c r="BY84" i="24"/>
  <c r="BZ84" i="24"/>
  <c r="CA84" i="24"/>
  <c r="CB84" i="24"/>
  <c r="CC84" i="24"/>
  <c r="CD84" i="24"/>
  <c r="CE84" i="24"/>
  <c r="CF84" i="24"/>
  <c r="CG84" i="24"/>
  <c r="CM84" i="24"/>
  <c r="CN84" i="24"/>
  <c r="CO84" i="24"/>
  <c r="CP84" i="24"/>
  <c r="CQ84" i="24"/>
  <c r="CR84" i="24"/>
  <c r="CS84" i="24"/>
  <c r="CT84" i="24"/>
  <c r="CU84" i="24"/>
  <c r="CV84" i="24"/>
  <c r="CW84" i="24"/>
  <c r="CX84" i="24"/>
  <c r="CY84" i="24"/>
  <c r="BD87" i="24"/>
  <c r="BE87" i="24"/>
  <c r="BU87" i="24"/>
  <c r="BV87" i="24"/>
  <c r="BW87" i="24"/>
  <c r="BX87" i="24"/>
  <c r="BY87" i="24"/>
  <c r="BZ87" i="24"/>
  <c r="CA87" i="24"/>
  <c r="CB87" i="24"/>
  <c r="CC87" i="24"/>
  <c r="CD87" i="24"/>
  <c r="CE87" i="24"/>
  <c r="CF87" i="24"/>
  <c r="CG87" i="24"/>
  <c r="CM87" i="24"/>
  <c r="CN87" i="24"/>
  <c r="CO87" i="24"/>
  <c r="CP87" i="24"/>
  <c r="CQ87" i="24"/>
  <c r="CR87" i="24"/>
  <c r="CS87" i="24"/>
  <c r="CT87" i="24"/>
  <c r="CU87" i="24"/>
  <c r="CV87" i="24"/>
  <c r="CW87" i="24"/>
  <c r="CX87" i="24"/>
  <c r="CY87" i="24"/>
  <c r="BD88" i="24"/>
  <c r="BE88" i="24"/>
  <c r="BU88" i="24"/>
  <c r="BV88" i="24"/>
  <c r="BW88" i="24"/>
  <c r="BX88" i="24"/>
  <c r="BY88" i="24"/>
  <c r="BZ88" i="24"/>
  <c r="CA88" i="24"/>
  <c r="CB88" i="24"/>
  <c r="CC88" i="24"/>
  <c r="CD88" i="24"/>
  <c r="CE88" i="24"/>
  <c r="CF88" i="24"/>
  <c r="CG88" i="24"/>
  <c r="CM88" i="24"/>
  <c r="CN88" i="24"/>
  <c r="CO88" i="24"/>
  <c r="CP88" i="24"/>
  <c r="CQ88" i="24"/>
  <c r="CR88" i="24"/>
  <c r="CS88" i="24"/>
  <c r="CT88" i="24"/>
  <c r="CU88" i="24"/>
  <c r="CV88" i="24"/>
  <c r="CW88" i="24"/>
  <c r="CX88" i="24"/>
  <c r="CY88" i="24"/>
  <c r="BD89" i="24"/>
  <c r="BE89" i="24"/>
  <c r="BU89" i="24"/>
  <c r="BV89" i="24"/>
  <c r="BW89" i="24"/>
  <c r="BX89" i="24"/>
  <c r="BY89" i="24"/>
  <c r="BZ89" i="24"/>
  <c r="CA89" i="24"/>
  <c r="CB89" i="24"/>
  <c r="CC89" i="24"/>
  <c r="CD89" i="24"/>
  <c r="CE89" i="24"/>
  <c r="CF89" i="24"/>
  <c r="CG89" i="24"/>
  <c r="CM89" i="24"/>
  <c r="CN89" i="24"/>
  <c r="CO89" i="24"/>
  <c r="CP89" i="24"/>
  <c r="CQ89" i="24"/>
  <c r="CR89" i="24"/>
  <c r="CS89" i="24"/>
  <c r="CT89" i="24"/>
  <c r="CU89" i="24"/>
  <c r="CV89" i="24"/>
  <c r="CW89" i="24"/>
  <c r="CX89" i="24"/>
  <c r="CY89" i="24"/>
  <c r="BE90" i="24"/>
  <c r="BU90" i="24"/>
  <c r="BV90" i="24"/>
  <c r="BW90" i="24"/>
  <c r="BX90" i="24"/>
  <c r="BY90" i="24"/>
  <c r="BZ90" i="24"/>
  <c r="CA90" i="24"/>
  <c r="CB90" i="24"/>
  <c r="CC90" i="24"/>
  <c r="CD90" i="24"/>
  <c r="CE90" i="24"/>
  <c r="CF90" i="24"/>
  <c r="CG90" i="24"/>
  <c r="CM90" i="24"/>
  <c r="CN90" i="24"/>
  <c r="CO90" i="24"/>
  <c r="CP90" i="24"/>
  <c r="CQ90" i="24"/>
  <c r="CR90" i="24"/>
  <c r="CS90" i="24"/>
  <c r="CT90" i="24"/>
  <c r="CU90" i="24"/>
  <c r="CV90" i="24"/>
  <c r="CW90" i="24"/>
  <c r="CX90" i="24"/>
  <c r="CY90" i="24"/>
  <c r="BD91" i="24"/>
  <c r="BE91" i="24"/>
  <c r="BU91" i="24"/>
  <c r="BV91" i="24"/>
  <c r="BW91" i="24"/>
  <c r="BX91" i="24"/>
  <c r="BY91" i="24"/>
  <c r="BZ91" i="24"/>
  <c r="CA91" i="24"/>
  <c r="CB91" i="24"/>
  <c r="CC91" i="24"/>
  <c r="CD91" i="24"/>
  <c r="CE91" i="24"/>
  <c r="CF91" i="24"/>
  <c r="CG91" i="24"/>
  <c r="CM91" i="24"/>
  <c r="CN91" i="24"/>
  <c r="CO91" i="24"/>
  <c r="CP91" i="24"/>
  <c r="CQ91" i="24"/>
  <c r="CR91" i="24"/>
  <c r="CS91" i="24"/>
  <c r="CT91" i="24"/>
  <c r="CU91" i="24"/>
  <c r="CV91" i="24"/>
  <c r="CW91" i="24"/>
  <c r="CX91" i="24"/>
  <c r="CY91" i="24"/>
  <c r="BE92" i="24"/>
  <c r="BU92" i="24"/>
  <c r="BV92" i="24"/>
  <c r="BW92" i="24"/>
  <c r="BX92" i="24"/>
  <c r="BY92" i="24"/>
  <c r="BZ92" i="24"/>
  <c r="CA92" i="24"/>
  <c r="CB92" i="24"/>
  <c r="CC92" i="24"/>
  <c r="CD92" i="24"/>
  <c r="CE92" i="24"/>
  <c r="CF92" i="24"/>
  <c r="CG92" i="24"/>
  <c r="CM92" i="24"/>
  <c r="CN92" i="24"/>
  <c r="CO92" i="24"/>
  <c r="CP92" i="24"/>
  <c r="CQ92" i="24"/>
  <c r="CR92" i="24"/>
  <c r="CS92" i="24"/>
  <c r="CT92" i="24"/>
  <c r="CU92" i="24"/>
  <c r="CV92" i="24"/>
  <c r="CW92" i="24"/>
  <c r="CX92" i="24"/>
  <c r="CY92" i="24"/>
  <c r="BU93" i="24"/>
  <c r="BV93" i="24"/>
  <c r="BW93" i="24"/>
  <c r="BX93" i="24"/>
  <c r="BY93" i="24"/>
  <c r="BZ93" i="24"/>
  <c r="CA93" i="24"/>
  <c r="CB93" i="24"/>
  <c r="CC93" i="24"/>
  <c r="CD93" i="24"/>
  <c r="CE93" i="24"/>
  <c r="CF93" i="24"/>
  <c r="CG93" i="24"/>
  <c r="CM93" i="24"/>
  <c r="CN93" i="24"/>
  <c r="CO93" i="24"/>
  <c r="CP93" i="24"/>
  <c r="CQ93" i="24"/>
  <c r="CR93" i="24"/>
  <c r="CS93" i="24"/>
  <c r="CT93" i="24"/>
  <c r="CU93" i="24"/>
  <c r="CV93" i="24"/>
  <c r="CW93" i="24"/>
  <c r="CX93" i="24"/>
  <c r="CY93" i="24"/>
  <c r="BU94" i="24"/>
  <c r="BV94" i="24"/>
  <c r="BW94" i="24"/>
  <c r="BX94" i="24"/>
  <c r="BY94" i="24"/>
  <c r="BZ94" i="24"/>
  <c r="CA94" i="24"/>
  <c r="CB94" i="24"/>
  <c r="CC94" i="24"/>
  <c r="CD94" i="24"/>
  <c r="CE94" i="24"/>
  <c r="CF94" i="24"/>
  <c r="CG94" i="24"/>
  <c r="CM94" i="24"/>
  <c r="CN94" i="24"/>
  <c r="CO94" i="24"/>
  <c r="CP94" i="24"/>
  <c r="CQ94" i="24"/>
  <c r="CR94" i="24"/>
  <c r="CS94" i="24"/>
  <c r="CT94" i="24"/>
  <c r="CU94" i="24"/>
  <c r="CV94" i="24"/>
  <c r="CW94" i="24"/>
  <c r="CX94" i="24"/>
  <c r="CY94" i="24"/>
  <c r="BU95" i="24"/>
  <c r="BV95" i="24"/>
  <c r="BW95" i="24"/>
  <c r="BX95" i="24"/>
  <c r="BY95" i="24"/>
  <c r="BZ95" i="24"/>
  <c r="CA95" i="24"/>
  <c r="CB95" i="24"/>
  <c r="CC95" i="24"/>
  <c r="CD95" i="24"/>
  <c r="CE95" i="24"/>
  <c r="CF95" i="24"/>
  <c r="CG95" i="24"/>
  <c r="CM95" i="24"/>
  <c r="CN95" i="24"/>
  <c r="CO95" i="24"/>
  <c r="CP95" i="24"/>
  <c r="CQ95" i="24"/>
  <c r="CR95" i="24"/>
  <c r="CS95" i="24"/>
  <c r="CT95" i="24"/>
  <c r="CU95" i="24"/>
  <c r="CV95" i="24"/>
  <c r="CW95" i="24"/>
  <c r="CX95" i="24"/>
  <c r="CY95" i="24"/>
  <c r="BE96" i="24"/>
  <c r="BU96" i="24"/>
  <c r="BV96" i="24"/>
  <c r="BW96" i="24"/>
  <c r="BX96" i="24"/>
  <c r="BY96" i="24"/>
  <c r="BZ96" i="24"/>
  <c r="CA96" i="24"/>
  <c r="CB96" i="24"/>
  <c r="CC96" i="24"/>
  <c r="CD96" i="24"/>
  <c r="CE96" i="24"/>
  <c r="CF96" i="24"/>
  <c r="CG96" i="24"/>
  <c r="CM96" i="24"/>
  <c r="CN96" i="24"/>
  <c r="CO96" i="24"/>
  <c r="CP96" i="24"/>
  <c r="CQ96" i="24"/>
  <c r="CR96" i="24"/>
  <c r="CS96" i="24"/>
  <c r="CT96" i="24"/>
  <c r="CU96" i="24"/>
  <c r="CV96" i="24"/>
  <c r="CW96" i="24"/>
  <c r="CX96" i="24"/>
  <c r="CY96" i="24"/>
  <c r="BD97" i="24"/>
  <c r="BE97" i="24"/>
  <c r="BD100" i="24"/>
  <c r="BE100" i="24"/>
  <c r="BU100" i="24"/>
  <c r="BV100" i="24"/>
  <c r="BW100" i="24"/>
  <c r="BX100" i="24"/>
  <c r="BY100" i="24"/>
  <c r="BZ100" i="24"/>
  <c r="CA100" i="24"/>
  <c r="CB100" i="24"/>
  <c r="CC100" i="24"/>
  <c r="CD100" i="24"/>
  <c r="CE100" i="24"/>
  <c r="CF100" i="24"/>
  <c r="CG100" i="24"/>
  <c r="CM100" i="24"/>
  <c r="CN100" i="24"/>
  <c r="CO100" i="24"/>
  <c r="CP100" i="24"/>
  <c r="CQ100" i="24"/>
  <c r="CR100" i="24"/>
  <c r="CS100" i="24"/>
  <c r="CT100" i="24"/>
  <c r="CU100" i="24"/>
  <c r="CV100" i="24"/>
  <c r="CW100" i="24"/>
  <c r="CX100" i="24"/>
  <c r="CY100" i="24"/>
  <c r="BD101" i="24"/>
  <c r="BE101" i="24"/>
  <c r="BU102" i="24"/>
  <c r="BV102" i="24"/>
  <c r="BW102" i="24"/>
  <c r="BX102" i="24"/>
  <c r="BY102" i="24"/>
  <c r="BZ102" i="24"/>
  <c r="CA102" i="24"/>
  <c r="CB102" i="24"/>
  <c r="CC102" i="24"/>
  <c r="CD102" i="24"/>
  <c r="CE102" i="24"/>
  <c r="CF102" i="24"/>
  <c r="CG102" i="24"/>
  <c r="CM102" i="24"/>
  <c r="CN102" i="24"/>
  <c r="CO102" i="24"/>
  <c r="CP102" i="24"/>
  <c r="CQ102" i="24"/>
  <c r="CR102" i="24"/>
  <c r="CS102" i="24"/>
  <c r="CT102" i="24"/>
  <c r="CU102" i="24"/>
  <c r="CV102" i="24"/>
  <c r="CW102" i="24"/>
  <c r="CX102" i="24"/>
  <c r="CY102" i="24"/>
  <c r="BU106" i="24"/>
  <c r="BV106" i="24"/>
  <c r="BW106" i="24"/>
  <c r="BX106" i="24"/>
  <c r="BY106" i="24"/>
  <c r="BZ106" i="24"/>
  <c r="CA106" i="24"/>
  <c r="CB106" i="24"/>
  <c r="CC106" i="24"/>
  <c r="CD106" i="24"/>
  <c r="CE106" i="24"/>
  <c r="CF106" i="24"/>
  <c r="CG106" i="24"/>
  <c r="CM106" i="24"/>
  <c r="CN106" i="24"/>
  <c r="CO106" i="24"/>
  <c r="CP106" i="24"/>
  <c r="CQ106" i="24"/>
  <c r="CR106" i="24"/>
  <c r="CS106" i="24"/>
  <c r="CT106" i="24"/>
  <c r="CU106" i="24"/>
  <c r="CV106" i="24"/>
  <c r="CW106" i="24"/>
  <c r="CX106" i="24"/>
  <c r="CY106" i="24"/>
  <c r="BU107" i="24"/>
  <c r="BV107" i="24"/>
  <c r="BW107" i="24"/>
  <c r="BX107" i="24"/>
  <c r="BY107" i="24"/>
  <c r="BZ107" i="24"/>
  <c r="CA107" i="24"/>
  <c r="CB107" i="24"/>
  <c r="CC107" i="24"/>
  <c r="CD107" i="24"/>
  <c r="CE107" i="24"/>
  <c r="CF107" i="24"/>
  <c r="CG107" i="24"/>
  <c r="BU109" i="24"/>
  <c r="BV109" i="24"/>
  <c r="BW109" i="24"/>
  <c r="BX109" i="24"/>
  <c r="BY109" i="24"/>
  <c r="BZ109" i="24"/>
  <c r="CA109" i="24"/>
  <c r="CB109" i="24"/>
  <c r="CC109" i="24"/>
  <c r="CD109" i="24"/>
  <c r="CE109" i="24"/>
  <c r="CF109" i="24"/>
  <c r="CG109" i="24"/>
  <c r="CM109" i="24"/>
  <c r="CN109" i="24"/>
  <c r="CO109" i="24"/>
  <c r="CP109" i="24"/>
  <c r="CQ109" i="24"/>
  <c r="CR109" i="24"/>
  <c r="CS109" i="24"/>
  <c r="CT109" i="24"/>
  <c r="CU109" i="24"/>
  <c r="CV109" i="24"/>
  <c r="CW109" i="24"/>
  <c r="CX109" i="24"/>
  <c r="CY109" i="24"/>
  <c r="BE113" i="24"/>
  <c r="BF113" i="24"/>
  <c r="BE114" i="24"/>
  <c r="BU114" i="24"/>
  <c r="BV114" i="24"/>
  <c r="BW114" i="24"/>
  <c r="BX114" i="24"/>
  <c r="BY114" i="24"/>
  <c r="BZ114" i="24"/>
  <c r="CA114" i="24"/>
  <c r="CB114" i="24"/>
  <c r="CC114" i="24"/>
  <c r="CD114" i="24"/>
  <c r="CE114" i="24"/>
  <c r="CF114" i="24"/>
  <c r="CG114" i="24"/>
  <c r="CM114" i="24"/>
  <c r="CN114" i="24"/>
  <c r="CO114" i="24"/>
  <c r="CP114" i="24"/>
  <c r="CQ114" i="24"/>
  <c r="CR114" i="24"/>
  <c r="CS114" i="24"/>
  <c r="CT114" i="24"/>
  <c r="CU114" i="24"/>
  <c r="CV114" i="24"/>
  <c r="CW114" i="24"/>
  <c r="CX114" i="24"/>
  <c r="CY114" i="24"/>
  <c r="BE118" i="24"/>
  <c r="BU118" i="24"/>
  <c r="BV118" i="24"/>
  <c r="BW118" i="24"/>
  <c r="BX118" i="24"/>
  <c r="BY118" i="24"/>
  <c r="BZ118" i="24"/>
  <c r="CA118" i="24"/>
  <c r="CB118" i="24"/>
  <c r="CC118" i="24"/>
  <c r="CD118" i="24"/>
  <c r="CE118" i="24"/>
  <c r="CF118" i="24"/>
  <c r="CG118" i="24"/>
  <c r="CM118" i="24"/>
  <c r="CN118" i="24"/>
  <c r="CO118" i="24"/>
  <c r="CP118" i="24"/>
  <c r="CQ118" i="24"/>
  <c r="CR118" i="24"/>
  <c r="CS118" i="24"/>
  <c r="CT118" i="24"/>
  <c r="CU118" i="24"/>
  <c r="CV118" i="24"/>
  <c r="CW118" i="24"/>
  <c r="CX118" i="24"/>
  <c r="CY118" i="24"/>
  <c r="BC123" i="24"/>
  <c r="BD123" i="24"/>
  <c r="BE123" i="24"/>
  <c r="BC124" i="24"/>
  <c r="BD124" i="24"/>
  <c r="BE124" i="24"/>
  <c r="BU124" i="24"/>
  <c r="BV124" i="24"/>
  <c r="BW124" i="24"/>
  <c r="BX124" i="24"/>
  <c r="BY124" i="24"/>
  <c r="BZ124" i="24"/>
  <c r="CA124" i="24"/>
  <c r="CB124" i="24"/>
  <c r="CC124" i="24"/>
  <c r="CD124" i="24"/>
  <c r="CE124" i="24"/>
  <c r="CF124" i="24"/>
  <c r="CG124" i="24"/>
  <c r="CM124" i="24"/>
  <c r="CN124" i="24"/>
  <c r="CO124" i="24"/>
  <c r="CP124" i="24"/>
  <c r="CQ124" i="24"/>
  <c r="CR124" i="24"/>
  <c r="CS124" i="24"/>
  <c r="CT124" i="24"/>
  <c r="CU124" i="24"/>
  <c r="CV124" i="24"/>
  <c r="CW124" i="24"/>
  <c r="CX124" i="24"/>
  <c r="CY124" i="24"/>
  <c r="BU125" i="24"/>
  <c r="BV125" i="24"/>
  <c r="BW125" i="24"/>
  <c r="BX125" i="24"/>
  <c r="BY125" i="24"/>
  <c r="BZ125" i="24"/>
  <c r="CA125" i="24"/>
  <c r="CB125" i="24"/>
  <c r="CC125" i="24"/>
  <c r="CD125" i="24"/>
  <c r="CE125" i="24"/>
  <c r="CF125" i="24"/>
  <c r="CG125" i="24"/>
  <c r="CM125" i="24"/>
  <c r="CN125" i="24"/>
  <c r="CO125" i="24"/>
  <c r="CP125" i="24"/>
  <c r="CQ125" i="24"/>
  <c r="CR125" i="24"/>
  <c r="CS125" i="24"/>
  <c r="CT125" i="24"/>
  <c r="CU125" i="24"/>
  <c r="CV125" i="24"/>
  <c r="CW125" i="24"/>
  <c r="CX125" i="24"/>
  <c r="CY125" i="24"/>
  <c r="BT130" i="24"/>
  <c r="BU130" i="24"/>
  <c r="BV130" i="24"/>
  <c r="BW130" i="24"/>
  <c r="BX130" i="24"/>
  <c r="BY130" i="24"/>
  <c r="BZ130" i="24"/>
  <c r="CA130" i="24"/>
  <c r="CB130" i="24"/>
  <c r="CC130" i="24"/>
  <c r="CD130" i="24"/>
  <c r="CE130" i="24"/>
  <c r="CF130" i="24"/>
  <c r="CG130" i="24"/>
  <c r="CL130" i="24"/>
  <c r="CM130" i="24"/>
  <c r="CN130" i="24"/>
  <c r="CO130" i="24"/>
  <c r="CP130" i="24"/>
  <c r="CQ130" i="24"/>
  <c r="CR130" i="24"/>
  <c r="CS130" i="24"/>
  <c r="CT130" i="24"/>
  <c r="CU130" i="24"/>
  <c r="CV130" i="24"/>
  <c r="CW130" i="24"/>
  <c r="CX130" i="24"/>
  <c r="CY130" i="24"/>
  <c r="BC131" i="24"/>
  <c r="BD131" i="24"/>
  <c r="BE131" i="24"/>
  <c r="BU131" i="24"/>
  <c r="BV131" i="24"/>
  <c r="BW131" i="24"/>
  <c r="BX131" i="24"/>
  <c r="BY131" i="24"/>
  <c r="BZ131" i="24"/>
  <c r="CA131" i="24"/>
  <c r="CB131" i="24"/>
  <c r="CC131" i="24"/>
  <c r="CD131" i="24"/>
  <c r="CE131" i="24"/>
  <c r="CF131" i="24"/>
  <c r="CG131" i="24"/>
  <c r="CM131" i="24"/>
  <c r="CN131" i="24"/>
  <c r="CO131" i="24"/>
  <c r="CP131" i="24"/>
  <c r="CQ131" i="24"/>
  <c r="CR131" i="24"/>
  <c r="CS131" i="24"/>
  <c r="CT131" i="24"/>
  <c r="CU131" i="24"/>
  <c r="CV131" i="24"/>
  <c r="CW131" i="24"/>
  <c r="CX131" i="24"/>
  <c r="CY131" i="24"/>
  <c r="BE132" i="24"/>
  <c r="BE133" i="24"/>
  <c r="BE134" i="24"/>
  <c r="BE135" i="24"/>
  <c r="BU148" i="24"/>
  <c r="BV148" i="24"/>
  <c r="BW148" i="24"/>
  <c r="BX148" i="24"/>
  <c r="BY148" i="24"/>
  <c r="BZ148" i="24"/>
  <c r="CA148" i="24"/>
  <c r="CB148" i="24"/>
  <c r="CC148" i="24"/>
  <c r="CD148" i="24"/>
  <c r="CE148" i="24"/>
  <c r="CF148" i="24"/>
  <c r="CG148" i="24"/>
  <c r="CM148" i="24"/>
  <c r="CN148" i="24"/>
  <c r="CO148" i="24"/>
  <c r="CP148" i="24"/>
  <c r="CQ148" i="24"/>
  <c r="CR148" i="24"/>
  <c r="CS148" i="24"/>
  <c r="CT148" i="24"/>
  <c r="CU148" i="24"/>
  <c r="CV148" i="24"/>
  <c r="CW148" i="24"/>
  <c r="CX148" i="24"/>
  <c r="CY148" i="24"/>
  <c r="BU150" i="24"/>
  <c r="BV150" i="24"/>
  <c r="BW150" i="24"/>
  <c r="BX150" i="24"/>
  <c r="BY150" i="24"/>
  <c r="BZ150" i="24"/>
  <c r="CA150" i="24"/>
  <c r="CB150" i="24"/>
  <c r="CC150" i="24"/>
  <c r="CD150" i="24"/>
  <c r="CE150" i="24"/>
  <c r="CF150" i="24"/>
  <c r="CG150" i="24"/>
  <c r="CM150" i="24"/>
  <c r="CN150" i="24"/>
  <c r="CO150" i="24"/>
  <c r="CP150" i="24"/>
  <c r="CQ150" i="24"/>
  <c r="CR150" i="24"/>
  <c r="CS150" i="24"/>
  <c r="CT150" i="24"/>
  <c r="CU150" i="24"/>
  <c r="CV150" i="24"/>
  <c r="CW150" i="24"/>
  <c r="CX150" i="24"/>
  <c r="CY150" i="24"/>
  <c r="BF154" i="24"/>
  <c r="BV156" i="24"/>
  <c r="BW156" i="24"/>
  <c r="BX156" i="24"/>
  <c r="BY156" i="24"/>
  <c r="BZ156" i="24"/>
  <c r="CA156" i="24"/>
  <c r="CB156" i="24"/>
  <c r="CC156" i="24"/>
  <c r="CD156" i="24"/>
  <c r="CE156" i="24"/>
  <c r="CF156" i="24"/>
  <c r="CG156" i="24"/>
  <c r="CN156" i="24"/>
  <c r="CO156" i="24"/>
  <c r="CP156" i="24"/>
  <c r="CQ156" i="24"/>
  <c r="CR156" i="24"/>
  <c r="CS156" i="24"/>
  <c r="CT156" i="24"/>
  <c r="CU156" i="24"/>
  <c r="CV156" i="24"/>
  <c r="CW156" i="24"/>
  <c r="CX156" i="24"/>
  <c r="CY156" i="24"/>
  <c r="BF157" i="24"/>
  <c r="BU157" i="24"/>
  <c r="BV157" i="24"/>
  <c r="BW157" i="24"/>
  <c r="BX157" i="24"/>
  <c r="BY157" i="24"/>
  <c r="BZ157" i="24"/>
  <c r="CA157" i="24"/>
  <c r="CB157" i="24"/>
  <c r="CC157" i="24"/>
  <c r="CD157" i="24"/>
  <c r="CE157" i="24"/>
  <c r="CF157" i="24"/>
  <c r="CG157" i="24"/>
  <c r="CM157" i="24"/>
  <c r="CN157" i="24"/>
  <c r="CO157" i="24"/>
  <c r="CP157" i="24"/>
  <c r="CQ157" i="24"/>
  <c r="CR157" i="24"/>
  <c r="CS157" i="24"/>
  <c r="CT157" i="24"/>
  <c r="CU157" i="24"/>
  <c r="CV157" i="24"/>
  <c r="CW157" i="24"/>
  <c r="CX157" i="24"/>
  <c r="CY157" i="24"/>
  <c r="BU158" i="24"/>
  <c r="BV158" i="24"/>
  <c r="BW158" i="24"/>
  <c r="BX158" i="24"/>
  <c r="BY158" i="24"/>
  <c r="BZ158" i="24"/>
  <c r="CA158" i="24"/>
  <c r="CB158" i="24"/>
  <c r="CC158" i="24"/>
  <c r="CD158" i="24"/>
  <c r="CE158" i="24"/>
  <c r="CF158" i="24"/>
  <c r="CG158" i="24"/>
  <c r="CM158" i="24"/>
  <c r="CN158" i="24"/>
  <c r="CO158" i="24"/>
  <c r="CP158" i="24"/>
  <c r="CQ158" i="24"/>
  <c r="CR158" i="24"/>
  <c r="CS158" i="24"/>
  <c r="CT158" i="24"/>
  <c r="CU158" i="24"/>
  <c r="CV158" i="24"/>
  <c r="CW158" i="24"/>
  <c r="CX158" i="24"/>
  <c r="CY158" i="24"/>
  <c r="BU159" i="24"/>
  <c r="BV159" i="24"/>
  <c r="BW159" i="24"/>
  <c r="BX159" i="24"/>
  <c r="BY159" i="24"/>
  <c r="BZ159" i="24"/>
  <c r="CA159" i="24"/>
  <c r="CB159" i="24"/>
  <c r="CC159" i="24"/>
  <c r="CD159" i="24"/>
  <c r="CE159" i="24"/>
  <c r="CF159" i="24"/>
  <c r="CG159" i="24"/>
  <c r="CM159" i="24"/>
  <c r="CN159" i="24"/>
  <c r="CO159" i="24"/>
  <c r="CP159" i="24"/>
  <c r="CQ159" i="24"/>
  <c r="CR159" i="24"/>
  <c r="CS159" i="24"/>
  <c r="CT159" i="24"/>
  <c r="CU159" i="24"/>
  <c r="CV159" i="24"/>
  <c r="CW159" i="24"/>
  <c r="CX159" i="24"/>
  <c r="CY159" i="24"/>
  <c r="BU161" i="24"/>
  <c r="BV161" i="24"/>
  <c r="BW161" i="24"/>
  <c r="BX161" i="24"/>
  <c r="BY161" i="24"/>
  <c r="BZ161" i="24"/>
  <c r="CA161" i="24"/>
  <c r="CB161" i="24"/>
  <c r="CC161" i="24"/>
  <c r="CD161" i="24"/>
  <c r="CE161" i="24"/>
  <c r="CF161" i="24"/>
  <c r="CG161" i="24"/>
  <c r="CM161" i="24"/>
  <c r="CN161" i="24"/>
  <c r="CO161" i="24"/>
  <c r="CP161" i="24"/>
  <c r="CQ161" i="24"/>
  <c r="CR161" i="24"/>
  <c r="CS161" i="24"/>
  <c r="CT161" i="24"/>
  <c r="CU161" i="24"/>
  <c r="CV161" i="24"/>
  <c r="CW161" i="24"/>
  <c r="CX161" i="24"/>
  <c r="CY161" i="24"/>
  <c r="BE164" i="24"/>
  <c r="BU164" i="24"/>
  <c r="BV164" i="24"/>
  <c r="BW164" i="24"/>
  <c r="BX164" i="24"/>
  <c r="BY164" i="24"/>
  <c r="BZ164" i="24"/>
  <c r="CA164" i="24"/>
  <c r="CB164" i="24"/>
  <c r="CC164" i="24"/>
  <c r="CD164" i="24"/>
  <c r="CE164" i="24"/>
  <c r="CF164" i="24"/>
  <c r="CG164" i="24"/>
  <c r="CM164" i="24"/>
  <c r="CN164" i="24"/>
  <c r="CO164" i="24"/>
  <c r="CP164" i="24"/>
  <c r="CQ164" i="24"/>
  <c r="CR164" i="24"/>
  <c r="CS164" i="24"/>
  <c r="CT164" i="24"/>
  <c r="CU164" i="24"/>
  <c r="CV164" i="24"/>
  <c r="CW164" i="24"/>
  <c r="CX164" i="24"/>
  <c r="CY164" i="24"/>
  <c r="BU165" i="24"/>
  <c r="BV165" i="24"/>
  <c r="BW165" i="24"/>
  <c r="BX165" i="24"/>
  <c r="BY165" i="24"/>
  <c r="BZ165" i="24"/>
  <c r="CA165" i="24"/>
  <c r="CB165" i="24"/>
  <c r="CC165" i="24"/>
  <c r="CD165" i="24"/>
  <c r="CE165" i="24"/>
  <c r="CF165" i="24"/>
  <c r="CG165" i="24"/>
  <c r="CM165" i="24"/>
  <c r="CN165" i="24"/>
  <c r="CO165" i="24"/>
  <c r="CP165" i="24"/>
  <c r="CQ165" i="24"/>
  <c r="CR165" i="24"/>
  <c r="CS165" i="24"/>
  <c r="CT165" i="24"/>
  <c r="CU165" i="24"/>
  <c r="CV165" i="24"/>
  <c r="CW165" i="24"/>
  <c r="CX165" i="24"/>
  <c r="CY165" i="24"/>
  <c r="BU167" i="24"/>
  <c r="BV167" i="24"/>
  <c r="BW167" i="24"/>
  <c r="BX167" i="24"/>
  <c r="BY167" i="24"/>
  <c r="BZ167" i="24"/>
  <c r="CA167" i="24"/>
  <c r="CB167" i="24"/>
  <c r="CC167" i="24"/>
  <c r="CD167" i="24"/>
  <c r="CE167" i="24"/>
  <c r="CF167" i="24"/>
  <c r="CG167" i="24"/>
  <c r="CM167" i="24"/>
  <c r="CN167" i="24"/>
  <c r="CO167" i="24"/>
  <c r="CP167" i="24"/>
  <c r="CQ167" i="24"/>
  <c r="CR167" i="24"/>
  <c r="CS167" i="24"/>
  <c r="CT167" i="24"/>
  <c r="CU167" i="24"/>
  <c r="CV167" i="24"/>
  <c r="CW167" i="24"/>
  <c r="CX167" i="24"/>
  <c r="CY167" i="24"/>
  <c r="BU168" i="24"/>
  <c r="BV168" i="24"/>
  <c r="BW168" i="24"/>
  <c r="BX168" i="24"/>
  <c r="BY168" i="24"/>
  <c r="BZ168" i="24"/>
  <c r="CA168" i="24"/>
  <c r="CB168" i="24"/>
  <c r="CC168" i="24"/>
  <c r="CD168" i="24"/>
  <c r="CE168" i="24"/>
  <c r="CF168" i="24"/>
  <c r="CG168" i="24"/>
  <c r="CM168" i="24"/>
  <c r="CN168" i="24"/>
  <c r="CO168" i="24"/>
  <c r="CP168" i="24"/>
  <c r="CQ168" i="24"/>
  <c r="CR168" i="24"/>
  <c r="CS168" i="24"/>
  <c r="CT168" i="24"/>
  <c r="CU168" i="24"/>
  <c r="CV168" i="24"/>
  <c r="CW168" i="24"/>
  <c r="CX168" i="24"/>
  <c r="CY168" i="24"/>
  <c r="BU170" i="24"/>
  <c r="BV170" i="24"/>
  <c r="BW170" i="24"/>
  <c r="BX170" i="24"/>
  <c r="BY170" i="24"/>
  <c r="BZ170" i="24"/>
  <c r="CA170" i="24"/>
  <c r="CB170" i="24"/>
  <c r="CC170" i="24"/>
  <c r="CD170" i="24"/>
  <c r="CE170" i="24"/>
  <c r="CF170" i="24"/>
  <c r="CG170" i="24"/>
  <c r="BU171" i="24"/>
  <c r="BV171" i="24"/>
  <c r="BW171" i="24"/>
  <c r="BX171" i="24"/>
  <c r="BY171" i="24"/>
  <c r="BZ171" i="24"/>
  <c r="CA171" i="24"/>
  <c r="CB171" i="24"/>
  <c r="CC171" i="24"/>
  <c r="CD171" i="24"/>
  <c r="CE171" i="24"/>
  <c r="CF171" i="24"/>
  <c r="CG171" i="24"/>
  <c r="CM171" i="24"/>
  <c r="CN171" i="24"/>
  <c r="CO171" i="24"/>
  <c r="CP171" i="24"/>
  <c r="CQ171" i="24"/>
  <c r="CR171" i="24"/>
  <c r="CS171" i="24"/>
  <c r="CT171" i="24"/>
  <c r="CU171" i="24"/>
  <c r="CV171" i="24"/>
  <c r="CW171" i="24"/>
  <c r="CX171" i="24"/>
  <c r="CY171" i="24"/>
  <c r="BU172" i="24"/>
  <c r="BV172" i="24"/>
  <c r="BW172" i="24"/>
  <c r="BX172" i="24"/>
  <c r="BY172" i="24"/>
  <c r="BZ172" i="24"/>
  <c r="CA172" i="24"/>
  <c r="CB172" i="24"/>
  <c r="CC172" i="24"/>
  <c r="CD172" i="24"/>
  <c r="CE172" i="24"/>
  <c r="CF172" i="24"/>
  <c r="CG172" i="24"/>
  <c r="CM172" i="24"/>
  <c r="CN172" i="24"/>
  <c r="CO172" i="24"/>
  <c r="CP172" i="24"/>
  <c r="CQ172" i="24"/>
  <c r="CR172" i="24"/>
  <c r="CS172" i="24"/>
  <c r="CT172" i="24"/>
  <c r="CU172" i="24"/>
  <c r="CV172" i="24"/>
  <c r="CW172" i="24"/>
  <c r="CX172" i="24"/>
  <c r="CY172" i="24"/>
  <c r="BU174" i="24"/>
  <c r="BV174" i="24"/>
  <c r="BW174" i="24"/>
  <c r="BX174" i="24"/>
  <c r="BY174" i="24"/>
  <c r="BZ174" i="24"/>
  <c r="CA174" i="24"/>
  <c r="CB174" i="24"/>
  <c r="CC174" i="24"/>
  <c r="CD174" i="24"/>
  <c r="CE174" i="24"/>
  <c r="CF174" i="24"/>
  <c r="CG174" i="24"/>
  <c r="CM174" i="24"/>
  <c r="CN174" i="24"/>
  <c r="CO174" i="24"/>
  <c r="CP174" i="24"/>
  <c r="CQ174" i="24"/>
  <c r="CR174" i="24"/>
  <c r="CS174" i="24"/>
  <c r="CT174" i="24"/>
  <c r="CU174" i="24"/>
  <c r="CV174" i="24"/>
  <c r="CW174" i="24"/>
  <c r="CX174" i="24"/>
  <c r="CY174" i="24"/>
  <c r="BU175" i="24"/>
  <c r="BV175" i="24"/>
  <c r="BW175" i="24"/>
  <c r="BX175" i="24"/>
  <c r="BY175" i="24"/>
  <c r="BZ175" i="24"/>
  <c r="CA175" i="24"/>
  <c r="CB175" i="24"/>
  <c r="CC175" i="24"/>
  <c r="CD175" i="24"/>
  <c r="CE175" i="24"/>
  <c r="CF175" i="24"/>
  <c r="CG175" i="24"/>
  <c r="BU176" i="24"/>
  <c r="BV176" i="24"/>
  <c r="BW176" i="24"/>
  <c r="BX176" i="24"/>
  <c r="BY176" i="24"/>
  <c r="BZ176" i="24"/>
  <c r="CA176" i="24"/>
  <c r="CB176" i="24"/>
  <c r="CC176" i="24"/>
  <c r="CD176" i="24"/>
  <c r="CE176" i="24"/>
  <c r="CF176" i="24"/>
  <c r="CG176" i="24"/>
  <c r="CM176" i="24"/>
  <c r="CN176" i="24"/>
  <c r="CO176" i="24"/>
  <c r="CP176" i="24"/>
  <c r="CQ176" i="24"/>
  <c r="CR176" i="24"/>
  <c r="CS176" i="24"/>
  <c r="CT176" i="24"/>
  <c r="CU176" i="24"/>
  <c r="CV176" i="24"/>
  <c r="CW176" i="24"/>
  <c r="CX176" i="24"/>
  <c r="CY176" i="24"/>
  <c r="BU178" i="24"/>
  <c r="BV178" i="24"/>
  <c r="BW178" i="24"/>
  <c r="BX178" i="24"/>
  <c r="BY178" i="24"/>
  <c r="BZ178" i="24"/>
  <c r="CA178" i="24"/>
  <c r="CB178" i="24"/>
  <c r="CC178" i="24"/>
  <c r="CD178" i="24"/>
  <c r="CE178" i="24"/>
  <c r="CF178" i="24"/>
  <c r="CG178" i="24"/>
  <c r="CM178" i="24"/>
  <c r="CN178" i="24"/>
  <c r="CO178" i="24"/>
  <c r="CP178" i="24"/>
  <c r="CQ178" i="24"/>
  <c r="CR178" i="24"/>
  <c r="CS178" i="24"/>
  <c r="CT178" i="24"/>
  <c r="CU178" i="24"/>
  <c r="CV178" i="24"/>
  <c r="CW178" i="24"/>
  <c r="CX178" i="24"/>
  <c r="CY178" i="24"/>
  <c r="BE179" i="24"/>
  <c r="BU179" i="24"/>
  <c r="BV179" i="24"/>
  <c r="BW179" i="24"/>
  <c r="BX179" i="24"/>
  <c r="BY179" i="24"/>
  <c r="BZ179" i="24"/>
  <c r="CA179" i="24"/>
  <c r="CB179" i="24"/>
  <c r="CC179" i="24"/>
  <c r="CD179" i="24"/>
  <c r="CE179" i="24"/>
  <c r="CF179" i="24"/>
  <c r="CG179" i="24"/>
  <c r="CM179" i="24"/>
  <c r="CN179" i="24"/>
  <c r="CO179" i="24"/>
  <c r="CP179" i="24"/>
  <c r="CQ179" i="24"/>
  <c r="CR179" i="24"/>
  <c r="CS179" i="24"/>
  <c r="CT179" i="24"/>
  <c r="CU179" i="24"/>
  <c r="CV179" i="24"/>
  <c r="CW179" i="24"/>
  <c r="CX179" i="24"/>
  <c r="CY179" i="24"/>
  <c r="BE180" i="24"/>
  <c r="BU180" i="24"/>
  <c r="BV180" i="24"/>
  <c r="BW180" i="24"/>
  <c r="BX180" i="24"/>
  <c r="BY180" i="24"/>
  <c r="BZ180" i="24"/>
  <c r="CA180" i="24"/>
  <c r="CB180" i="24"/>
  <c r="CC180" i="24"/>
  <c r="CD180" i="24"/>
  <c r="CE180" i="24"/>
  <c r="CF180" i="24"/>
  <c r="CG180" i="24"/>
  <c r="CM180" i="24"/>
  <c r="CN180" i="24"/>
  <c r="CO180" i="24"/>
  <c r="CP180" i="24"/>
  <c r="CQ180" i="24"/>
  <c r="CR180" i="24"/>
  <c r="CS180" i="24"/>
  <c r="CT180" i="24"/>
  <c r="CU180" i="24"/>
  <c r="CV180" i="24"/>
  <c r="CW180" i="24"/>
  <c r="CX180" i="24"/>
  <c r="CY180" i="24"/>
  <c r="BU185" i="24"/>
  <c r="BV185" i="24"/>
  <c r="BW185" i="24"/>
  <c r="BX185" i="24"/>
  <c r="BY185" i="24"/>
  <c r="BZ185" i="24"/>
  <c r="CA185" i="24"/>
  <c r="CB185" i="24"/>
  <c r="CC185" i="24"/>
  <c r="CD185" i="24"/>
  <c r="CE185" i="24"/>
  <c r="CF185" i="24"/>
  <c r="CG185" i="24"/>
  <c r="CM185" i="24"/>
  <c r="CN185" i="24"/>
  <c r="CO185" i="24"/>
  <c r="CP185" i="24"/>
  <c r="CQ185" i="24"/>
  <c r="CR185" i="24"/>
  <c r="CS185" i="24"/>
  <c r="CT185" i="24"/>
  <c r="CU185" i="24"/>
  <c r="CV185" i="24"/>
  <c r="CW185" i="24"/>
  <c r="CX185" i="24"/>
  <c r="CY185" i="24"/>
  <c r="BU189" i="24"/>
  <c r="BV189" i="24"/>
  <c r="BW189" i="24"/>
  <c r="BX189" i="24"/>
  <c r="BY189" i="24"/>
  <c r="BZ189" i="24"/>
  <c r="CA189" i="24"/>
  <c r="CB189" i="24"/>
  <c r="CC189" i="24"/>
  <c r="CD189" i="24"/>
  <c r="CE189" i="24"/>
  <c r="CF189" i="24"/>
  <c r="CG189" i="24"/>
  <c r="CM189" i="24"/>
  <c r="CN189" i="24"/>
  <c r="CO189" i="24"/>
  <c r="CP189" i="24"/>
  <c r="CQ189" i="24"/>
  <c r="CR189" i="24"/>
  <c r="CS189" i="24"/>
  <c r="CT189" i="24"/>
  <c r="CU189" i="24"/>
  <c r="CV189" i="24"/>
  <c r="CW189" i="24"/>
  <c r="CX189" i="24"/>
  <c r="CY189" i="24"/>
  <c r="BU190" i="24"/>
  <c r="BV190" i="24"/>
  <c r="BW190" i="24"/>
  <c r="BX190" i="24"/>
  <c r="BY190" i="24"/>
  <c r="BZ190" i="24"/>
  <c r="CA190" i="24"/>
  <c r="CB190" i="24"/>
  <c r="CC190" i="24"/>
  <c r="CD190" i="24"/>
  <c r="CE190" i="24"/>
  <c r="CF190" i="24"/>
  <c r="CG190" i="24"/>
  <c r="CM190" i="24"/>
  <c r="CN190" i="24"/>
  <c r="CO190" i="24"/>
  <c r="CP190" i="24"/>
  <c r="CQ190" i="24"/>
  <c r="CR190" i="24"/>
  <c r="CS190" i="24"/>
  <c r="CT190" i="24"/>
  <c r="CU190" i="24"/>
  <c r="CV190" i="24"/>
  <c r="CW190" i="24"/>
  <c r="CX190" i="24"/>
  <c r="CY190" i="24"/>
  <c r="BU191" i="24"/>
  <c r="BV191" i="24"/>
  <c r="BW191" i="24"/>
  <c r="BX191" i="24"/>
  <c r="BY191" i="24"/>
  <c r="BZ191" i="24"/>
  <c r="CA191" i="24"/>
  <c r="CB191" i="24"/>
  <c r="CC191" i="24"/>
  <c r="CD191" i="24"/>
  <c r="CE191" i="24"/>
  <c r="CF191" i="24"/>
  <c r="CG191" i="24"/>
  <c r="CM191" i="24"/>
  <c r="CN191" i="24"/>
  <c r="CO191" i="24"/>
  <c r="CP191" i="24"/>
  <c r="CQ191" i="24"/>
  <c r="CR191" i="24"/>
  <c r="CS191" i="24"/>
  <c r="CT191" i="24"/>
  <c r="CU191" i="24"/>
  <c r="CV191" i="24"/>
  <c r="CW191" i="24"/>
  <c r="CX191" i="24"/>
  <c r="CY191" i="24"/>
  <c r="BU197" i="24"/>
  <c r="BV197" i="24"/>
  <c r="BW197" i="24"/>
  <c r="BX197" i="24"/>
  <c r="BY197" i="24"/>
  <c r="BZ197" i="24"/>
  <c r="CA197" i="24"/>
  <c r="CB197" i="24"/>
  <c r="CC197" i="24"/>
  <c r="CD197" i="24"/>
  <c r="CE197" i="24"/>
  <c r="CF197" i="24"/>
  <c r="CG197" i="24"/>
  <c r="CM197" i="24"/>
  <c r="CN197" i="24"/>
  <c r="CO197" i="24"/>
  <c r="CP197" i="24"/>
  <c r="CQ197" i="24"/>
  <c r="CR197" i="24"/>
  <c r="CS197" i="24"/>
  <c r="CT197" i="24"/>
  <c r="CU197" i="24"/>
  <c r="CV197" i="24"/>
  <c r="CW197" i="24"/>
  <c r="CX197" i="24"/>
  <c r="CY197" i="24"/>
  <c r="BU198" i="24"/>
  <c r="BV198" i="24"/>
  <c r="BW198" i="24"/>
  <c r="BX198" i="24"/>
  <c r="BY198" i="24"/>
  <c r="BZ198" i="24"/>
  <c r="CA198" i="24"/>
  <c r="CB198" i="24"/>
  <c r="CC198" i="24"/>
  <c r="CD198" i="24"/>
  <c r="CE198" i="24"/>
  <c r="CF198" i="24"/>
  <c r="CG198" i="24"/>
  <c r="CM198" i="24"/>
  <c r="CN198" i="24"/>
  <c r="CO198" i="24"/>
  <c r="CP198" i="24"/>
  <c r="CQ198" i="24"/>
  <c r="CR198" i="24"/>
  <c r="CS198" i="24"/>
  <c r="CT198" i="24"/>
  <c r="CU198" i="24"/>
  <c r="CV198" i="24"/>
  <c r="CW198" i="24"/>
  <c r="CX198" i="24"/>
  <c r="CY198" i="24"/>
  <c r="BE199" i="24"/>
  <c r="BU199" i="24"/>
  <c r="BV199" i="24"/>
  <c r="BW199" i="24"/>
  <c r="BX199" i="24"/>
  <c r="BY199" i="24"/>
  <c r="BZ199" i="24"/>
  <c r="CA199" i="24"/>
  <c r="CB199" i="24"/>
  <c r="CC199" i="24"/>
  <c r="CD199" i="24"/>
  <c r="CE199" i="24"/>
  <c r="CF199" i="24"/>
  <c r="CG199" i="24"/>
  <c r="BT204" i="24"/>
  <c r="BU204" i="24"/>
  <c r="BV204" i="24"/>
  <c r="BW204" i="24"/>
  <c r="BX204" i="24"/>
  <c r="BY204" i="24"/>
  <c r="BZ204" i="24"/>
  <c r="CA204" i="24"/>
  <c r="CB204" i="24"/>
  <c r="CC204" i="24"/>
  <c r="CD204" i="24"/>
  <c r="CE204" i="24"/>
  <c r="CF204" i="24"/>
  <c r="CG204" i="24"/>
  <c r="CL204" i="24"/>
  <c r="CM204" i="24"/>
  <c r="CN204" i="24"/>
  <c r="CO204" i="24"/>
  <c r="CP204" i="24"/>
  <c r="CQ204" i="24"/>
  <c r="CR204" i="24"/>
  <c r="CS204" i="24"/>
  <c r="CT204" i="24"/>
  <c r="CU204" i="24"/>
  <c r="CV204" i="24"/>
  <c r="CW204" i="24"/>
  <c r="CX204" i="24"/>
  <c r="CY204" i="24"/>
  <c r="BD205" i="24"/>
  <c r="BE205" i="24"/>
  <c r="BT205" i="24"/>
  <c r="BU205" i="24"/>
  <c r="BV205" i="24"/>
  <c r="BW205" i="24"/>
  <c r="BX205" i="24"/>
  <c r="BY205" i="24"/>
  <c r="BZ205" i="24"/>
  <c r="CA205" i="24"/>
  <c r="CB205" i="24"/>
  <c r="CC205" i="24"/>
  <c r="CD205" i="24"/>
  <c r="CE205" i="24"/>
  <c r="CF205" i="24"/>
  <c r="CG205" i="24"/>
  <c r="CL205" i="24"/>
  <c r="CM205" i="24"/>
  <c r="CN205" i="24"/>
  <c r="CO205" i="24"/>
  <c r="CP205" i="24"/>
  <c r="CQ205" i="24"/>
  <c r="CR205" i="24"/>
  <c r="CS205" i="24"/>
  <c r="CT205" i="24"/>
  <c r="CU205" i="24"/>
  <c r="CV205" i="24"/>
  <c r="CW205" i="24"/>
  <c r="CX205" i="24"/>
  <c r="CY205" i="24"/>
  <c r="BD206" i="24"/>
  <c r="BE206" i="24"/>
  <c r="BT206" i="24"/>
  <c r="BU206" i="24"/>
  <c r="BV206" i="24"/>
  <c r="BW206" i="24"/>
  <c r="BX206" i="24"/>
  <c r="BY206" i="24"/>
  <c r="BZ206" i="24"/>
  <c r="CA206" i="24"/>
  <c r="CB206" i="24"/>
  <c r="CC206" i="24"/>
  <c r="CD206" i="24"/>
  <c r="CE206" i="24"/>
  <c r="CF206" i="24"/>
  <c r="CG206" i="24"/>
  <c r="CL206" i="24"/>
  <c r="CM206" i="24"/>
  <c r="CN206" i="24"/>
  <c r="CO206" i="24"/>
  <c r="CP206" i="24"/>
  <c r="CQ206" i="24"/>
  <c r="CR206" i="24"/>
  <c r="CS206" i="24"/>
  <c r="CT206" i="24"/>
  <c r="CU206" i="24"/>
  <c r="CV206" i="24"/>
  <c r="CW206" i="24"/>
  <c r="CX206" i="24"/>
  <c r="CY206" i="24"/>
  <c r="BD209" i="24"/>
  <c r="BE209" i="24"/>
  <c r="BT209" i="24"/>
  <c r="BU209" i="24"/>
  <c r="BV209" i="24"/>
  <c r="BW209" i="24"/>
  <c r="BX209" i="24"/>
  <c r="BY209" i="24"/>
  <c r="BZ209" i="24"/>
  <c r="CA209" i="24"/>
  <c r="CB209" i="24"/>
  <c r="CC209" i="24"/>
  <c r="CD209" i="24"/>
  <c r="CE209" i="24"/>
  <c r="CF209" i="24"/>
  <c r="CG209" i="24"/>
  <c r="CL209" i="24"/>
  <c r="CM209" i="24"/>
  <c r="CN209" i="24"/>
  <c r="CO209" i="24"/>
  <c r="CP209" i="24"/>
  <c r="CQ209" i="24"/>
  <c r="CR209" i="24"/>
  <c r="CS209" i="24"/>
  <c r="CT209" i="24"/>
  <c r="CU209" i="24"/>
  <c r="CV209" i="24"/>
  <c r="CW209" i="24"/>
  <c r="CX209" i="24"/>
  <c r="CY209" i="24"/>
  <c r="BT215" i="24"/>
  <c r="BU215" i="24"/>
  <c r="BV215" i="24"/>
  <c r="BW215" i="24"/>
  <c r="BX215" i="24"/>
  <c r="BY215" i="24"/>
  <c r="BZ215" i="24"/>
  <c r="CA215" i="24"/>
  <c r="CB215" i="24"/>
  <c r="CC215" i="24"/>
  <c r="CD215" i="24"/>
  <c r="CE215" i="24"/>
  <c r="CF215" i="24"/>
  <c r="CG215" i="24"/>
  <c r="CL215" i="24"/>
  <c r="CM215" i="24"/>
  <c r="CN215" i="24"/>
  <c r="CO215" i="24"/>
  <c r="CP215" i="24"/>
  <c r="CQ215" i="24"/>
  <c r="CR215" i="24"/>
  <c r="CS215" i="24"/>
  <c r="CT215" i="24"/>
  <c r="CU215" i="24"/>
  <c r="CV215" i="24"/>
  <c r="CW215" i="24"/>
  <c r="CX215" i="24"/>
  <c r="CY215" i="24"/>
  <c r="BD216" i="24"/>
  <c r="BE216" i="24"/>
  <c r="BF216" i="24"/>
  <c r="BT216" i="24"/>
  <c r="BU216" i="24"/>
  <c r="BV216" i="24"/>
  <c r="BW216" i="24"/>
  <c r="BX216" i="24"/>
  <c r="BY216" i="24"/>
  <c r="BZ216" i="24"/>
  <c r="CA216" i="24"/>
  <c r="CB216" i="24"/>
  <c r="CC216" i="24"/>
  <c r="CD216" i="24"/>
  <c r="CE216" i="24"/>
  <c r="CF216" i="24"/>
  <c r="CG216" i="24"/>
  <c r="CL216" i="24"/>
  <c r="CM216" i="24"/>
  <c r="CN216" i="24"/>
  <c r="CO216" i="24"/>
  <c r="CP216" i="24"/>
  <c r="CQ216" i="24"/>
  <c r="CR216" i="24"/>
  <c r="CS216" i="24"/>
  <c r="CT216" i="24"/>
  <c r="CU216" i="24"/>
  <c r="CV216" i="24"/>
  <c r="CW216" i="24"/>
  <c r="CX216" i="24"/>
  <c r="CY216" i="24"/>
  <c r="BD217" i="24"/>
  <c r="BE217" i="24"/>
  <c r="BF217" i="24"/>
  <c r="BT217" i="24"/>
  <c r="BU217" i="24"/>
  <c r="BV217" i="24"/>
  <c r="BW217" i="24"/>
  <c r="BX217" i="24"/>
  <c r="BY217" i="24"/>
  <c r="BZ217" i="24"/>
  <c r="CA217" i="24"/>
  <c r="CB217" i="24"/>
  <c r="CC217" i="24"/>
  <c r="CD217" i="24"/>
  <c r="CE217" i="24"/>
  <c r="CF217" i="24"/>
  <c r="CG217" i="24"/>
  <c r="CL217" i="24"/>
  <c r="CM217" i="24"/>
  <c r="CN217" i="24"/>
  <c r="CO217" i="24"/>
  <c r="CP217" i="24"/>
  <c r="CQ217" i="24"/>
  <c r="CR217" i="24"/>
  <c r="CS217" i="24"/>
  <c r="CT217" i="24"/>
  <c r="CU217" i="24"/>
  <c r="CV217" i="24"/>
  <c r="CW217" i="24"/>
  <c r="CX217" i="24"/>
  <c r="CY217" i="24"/>
  <c r="BT223" i="24"/>
  <c r="BU223" i="24"/>
  <c r="BV223" i="24"/>
  <c r="BW223" i="24"/>
  <c r="BX223" i="24"/>
  <c r="BY223" i="24"/>
  <c r="BZ223" i="24"/>
  <c r="CA223" i="24"/>
  <c r="CB223" i="24"/>
  <c r="CC223" i="24"/>
  <c r="CD223" i="24"/>
  <c r="CE223" i="24"/>
  <c r="CF223" i="24"/>
  <c r="CG223" i="24"/>
  <c r="CL223" i="24"/>
  <c r="CM223" i="24"/>
  <c r="CN223" i="24"/>
  <c r="CO223" i="24"/>
  <c r="CP223" i="24"/>
  <c r="CQ223" i="24"/>
  <c r="CR223" i="24"/>
  <c r="CS223" i="24"/>
  <c r="CT223" i="24"/>
  <c r="CU223" i="24"/>
  <c r="CV223" i="24"/>
  <c r="CW223" i="24"/>
  <c r="CX223" i="24"/>
  <c r="CY223" i="24"/>
  <c r="BD224" i="24"/>
  <c r="BE224" i="24"/>
  <c r="BT224" i="24"/>
  <c r="BU224" i="24"/>
  <c r="BV224" i="24"/>
  <c r="BW224" i="24"/>
  <c r="BX224" i="24"/>
  <c r="BY224" i="24"/>
  <c r="BZ224" i="24"/>
  <c r="CA224" i="24"/>
  <c r="CB224" i="24"/>
  <c r="CC224" i="24"/>
  <c r="CD224" i="24"/>
  <c r="CE224" i="24"/>
  <c r="CF224" i="24"/>
  <c r="CG224" i="24"/>
  <c r="CL224" i="24"/>
  <c r="CM224" i="24"/>
  <c r="CN224" i="24"/>
  <c r="CO224" i="24"/>
  <c r="CP224" i="24"/>
  <c r="CQ224" i="24"/>
  <c r="CR224" i="24"/>
  <c r="CS224" i="24"/>
  <c r="CT224" i="24"/>
  <c r="CU224" i="24"/>
  <c r="CV224" i="24"/>
  <c r="CW224" i="24"/>
  <c r="CX224" i="24"/>
  <c r="CY224" i="24"/>
  <c r="BD225" i="24"/>
  <c r="BE225" i="24"/>
  <c r="BT225" i="24"/>
  <c r="BU225" i="24"/>
  <c r="BV225" i="24"/>
  <c r="BW225" i="24"/>
  <c r="BX225" i="24"/>
  <c r="BY225" i="24"/>
  <c r="BZ225" i="24"/>
  <c r="CA225" i="24"/>
  <c r="CB225" i="24"/>
  <c r="CC225" i="24"/>
  <c r="CD225" i="24"/>
  <c r="CE225" i="24"/>
  <c r="CF225" i="24"/>
  <c r="CG225" i="24"/>
  <c r="CL225" i="24"/>
  <c r="CM225" i="24"/>
  <c r="CN225" i="24"/>
  <c r="CO225" i="24"/>
  <c r="CP225" i="24"/>
  <c r="CQ225" i="24"/>
  <c r="CR225" i="24"/>
  <c r="CS225" i="24"/>
  <c r="CT225" i="24"/>
  <c r="CU225" i="24"/>
  <c r="CV225" i="24"/>
  <c r="CW225" i="24"/>
  <c r="CX225" i="24"/>
  <c r="CY225" i="24"/>
  <c r="BT228" i="24"/>
  <c r="BU228" i="24"/>
  <c r="BV228" i="24"/>
  <c r="BW228" i="24"/>
  <c r="BX228" i="24"/>
  <c r="BY228" i="24"/>
  <c r="BZ228" i="24"/>
  <c r="CA228" i="24"/>
  <c r="CB228" i="24"/>
  <c r="CC228" i="24"/>
  <c r="CD228" i="24"/>
  <c r="CE228" i="24"/>
  <c r="CF228" i="24"/>
  <c r="CG228" i="24"/>
  <c r="CL228" i="24"/>
  <c r="CM228" i="24"/>
  <c r="CN228" i="24"/>
  <c r="CO228" i="24"/>
  <c r="CP228" i="24"/>
  <c r="CQ228" i="24"/>
  <c r="CR228" i="24"/>
  <c r="CS228" i="24"/>
  <c r="CT228" i="24"/>
  <c r="CU228" i="24"/>
  <c r="CV228" i="24"/>
  <c r="CW228" i="24"/>
  <c r="CX228" i="24"/>
  <c r="CY228" i="24"/>
  <c r="BT229" i="24"/>
  <c r="BU229" i="24"/>
  <c r="BV229" i="24"/>
  <c r="BW229" i="24"/>
  <c r="BX229" i="24"/>
  <c r="BY229" i="24"/>
  <c r="BZ229" i="24"/>
  <c r="CA229" i="24"/>
  <c r="CB229" i="24"/>
  <c r="CC229" i="24"/>
  <c r="CD229" i="24"/>
  <c r="CE229" i="24"/>
  <c r="CF229" i="24"/>
  <c r="CG229" i="24"/>
  <c r="CL229" i="24"/>
  <c r="CM229" i="24"/>
  <c r="CN229" i="24"/>
  <c r="CO229" i="24"/>
  <c r="CP229" i="24"/>
  <c r="CQ229" i="24"/>
  <c r="CR229" i="24"/>
  <c r="CS229" i="24"/>
  <c r="CT229" i="24"/>
  <c r="CU229" i="24"/>
  <c r="CV229" i="24"/>
  <c r="CW229" i="24"/>
  <c r="CX229" i="24"/>
  <c r="CY229" i="24"/>
  <c r="BT230" i="24"/>
  <c r="BU230" i="24"/>
  <c r="BV230" i="24"/>
  <c r="BW230" i="24"/>
  <c r="BX230" i="24"/>
  <c r="BY230" i="24"/>
  <c r="BZ230" i="24"/>
  <c r="CA230" i="24"/>
  <c r="CB230" i="24"/>
  <c r="CC230" i="24"/>
  <c r="CD230" i="24"/>
  <c r="CE230" i="24"/>
  <c r="CF230" i="24"/>
  <c r="CG230" i="24"/>
  <c r="CL230" i="24"/>
  <c r="CM230" i="24"/>
  <c r="CN230" i="24"/>
  <c r="CO230" i="24"/>
  <c r="CP230" i="24"/>
  <c r="CQ230" i="24"/>
  <c r="CR230" i="24"/>
  <c r="CS230" i="24"/>
  <c r="CT230" i="24"/>
  <c r="CU230" i="24"/>
  <c r="CV230" i="24"/>
  <c r="CW230" i="24"/>
  <c r="CX230" i="24"/>
  <c r="CY230" i="24"/>
  <c r="BT231" i="24"/>
  <c r="BU231" i="24"/>
  <c r="BV231" i="24"/>
  <c r="BW231" i="24"/>
  <c r="BX231" i="24"/>
  <c r="BY231" i="24"/>
  <c r="BZ231" i="24"/>
  <c r="CA231" i="24"/>
  <c r="CB231" i="24"/>
  <c r="CC231" i="24"/>
  <c r="CD231" i="24"/>
  <c r="CE231" i="24"/>
  <c r="CF231" i="24"/>
  <c r="CG231" i="24"/>
  <c r="CL231" i="24"/>
  <c r="CM231" i="24"/>
  <c r="CN231" i="24"/>
  <c r="CO231" i="24"/>
  <c r="CP231" i="24"/>
  <c r="CQ231" i="24"/>
  <c r="CR231" i="24"/>
  <c r="CS231" i="24"/>
  <c r="CT231" i="24"/>
  <c r="CU231" i="24"/>
  <c r="CV231" i="24"/>
  <c r="CW231" i="24"/>
  <c r="CX231" i="24"/>
  <c r="CY231" i="24"/>
  <c r="BU232" i="24"/>
  <c r="BV232" i="24"/>
  <c r="BW232" i="24"/>
  <c r="BX232" i="24"/>
  <c r="BY232" i="24"/>
  <c r="BZ232" i="24"/>
  <c r="CA232" i="24"/>
  <c r="CB232" i="24"/>
  <c r="CC232" i="24"/>
  <c r="CD232" i="24"/>
  <c r="CE232" i="24"/>
  <c r="CF232" i="24"/>
  <c r="CG232" i="24"/>
  <c r="CM232" i="24"/>
  <c r="CN232" i="24"/>
  <c r="CO232" i="24"/>
  <c r="CP232" i="24"/>
  <c r="CQ232" i="24"/>
  <c r="CR232" i="24"/>
  <c r="CS232" i="24"/>
  <c r="CT232" i="24"/>
  <c r="CU232" i="24"/>
  <c r="CV232" i="24"/>
  <c r="CW232" i="24"/>
  <c r="CX232" i="24"/>
  <c r="CY232" i="24"/>
  <c r="BT233" i="24"/>
  <c r="BU233" i="24"/>
  <c r="BV233" i="24"/>
  <c r="BW233" i="24"/>
  <c r="BX233" i="24"/>
  <c r="BY233" i="24"/>
  <c r="BZ233" i="24"/>
  <c r="CA233" i="24"/>
  <c r="CB233" i="24"/>
  <c r="CC233" i="24"/>
  <c r="CD233" i="24"/>
  <c r="CE233" i="24"/>
  <c r="CF233" i="24"/>
  <c r="CG233" i="24"/>
  <c r="BT234" i="24"/>
  <c r="BU234" i="24"/>
  <c r="BV234" i="24"/>
  <c r="BW234" i="24"/>
  <c r="BX234" i="24"/>
  <c r="BY234" i="24"/>
  <c r="BZ234" i="24"/>
  <c r="CA234" i="24"/>
  <c r="CB234" i="24"/>
  <c r="CC234" i="24"/>
  <c r="CD234" i="24"/>
  <c r="CE234" i="24"/>
  <c r="CF234" i="24"/>
  <c r="CG234" i="24"/>
  <c r="BT235" i="24"/>
  <c r="BU235" i="24"/>
  <c r="BV235" i="24"/>
  <c r="BW235" i="24"/>
  <c r="BX235" i="24"/>
  <c r="BY235" i="24"/>
  <c r="BZ235" i="24"/>
  <c r="CA235" i="24"/>
  <c r="CB235" i="24"/>
  <c r="CC235" i="24"/>
  <c r="CD235" i="24"/>
  <c r="CE235" i="24"/>
  <c r="CF235" i="24"/>
  <c r="CG235" i="24"/>
  <c r="CL235" i="24"/>
  <c r="CM235" i="24"/>
  <c r="CN235" i="24"/>
  <c r="CO235" i="24"/>
  <c r="CP235" i="24"/>
  <c r="CQ235" i="24"/>
  <c r="CR235" i="24"/>
  <c r="CS235" i="24"/>
  <c r="CT235" i="24"/>
  <c r="CU235" i="24"/>
  <c r="CV235" i="24"/>
  <c r="CW235" i="24"/>
  <c r="CX235" i="24"/>
  <c r="CY235" i="24"/>
  <c r="BT237" i="24"/>
  <c r="BU237" i="24"/>
  <c r="BV237" i="24"/>
  <c r="BW237" i="24"/>
  <c r="BX237" i="24"/>
  <c r="BY237" i="24"/>
  <c r="BZ237" i="24"/>
  <c r="CA237" i="24"/>
  <c r="CB237" i="24"/>
  <c r="CC237" i="24"/>
  <c r="CD237" i="24"/>
  <c r="CE237" i="24"/>
  <c r="CF237" i="24"/>
  <c r="CG237" i="24"/>
  <c r="CL237" i="24"/>
  <c r="CM237" i="24"/>
  <c r="CN237" i="24"/>
  <c r="CO237" i="24"/>
  <c r="CP237" i="24"/>
  <c r="CQ237" i="24"/>
  <c r="CR237" i="24"/>
  <c r="CS237" i="24"/>
  <c r="CT237" i="24"/>
  <c r="CU237" i="24"/>
  <c r="CV237" i="24"/>
  <c r="CW237" i="24"/>
  <c r="CX237" i="24"/>
  <c r="CY237" i="24"/>
  <c r="BT238" i="24"/>
  <c r="BU238" i="24"/>
  <c r="BV238" i="24"/>
  <c r="BW238" i="24"/>
  <c r="BX238" i="24"/>
  <c r="BY238" i="24"/>
  <c r="BZ238" i="24"/>
  <c r="CA238" i="24"/>
  <c r="CB238" i="24"/>
  <c r="CC238" i="24"/>
  <c r="CD238" i="24"/>
  <c r="CE238" i="24"/>
  <c r="CF238" i="24"/>
  <c r="CG238" i="24"/>
  <c r="CL238" i="24"/>
  <c r="CM238" i="24"/>
  <c r="CN238" i="24"/>
  <c r="CO238" i="24"/>
  <c r="CP238" i="24"/>
  <c r="CQ238" i="24"/>
  <c r="CR238" i="24"/>
  <c r="CS238" i="24"/>
  <c r="CT238" i="24"/>
  <c r="CU238" i="24"/>
  <c r="CV238" i="24"/>
  <c r="CW238" i="24"/>
  <c r="CX238" i="24"/>
  <c r="CY238" i="24"/>
  <c r="BT239" i="24"/>
  <c r="BU239" i="24"/>
  <c r="BV239" i="24"/>
  <c r="BW239" i="24"/>
  <c r="BX239" i="24"/>
  <c r="BY239" i="24"/>
  <c r="BZ239" i="24"/>
  <c r="CA239" i="24"/>
  <c r="CB239" i="24"/>
  <c r="CC239" i="24"/>
  <c r="CD239" i="24"/>
  <c r="CE239" i="24"/>
  <c r="CF239" i="24"/>
  <c r="CG239" i="24"/>
  <c r="CL239" i="24"/>
  <c r="CM239" i="24"/>
  <c r="CN239" i="24"/>
  <c r="CO239" i="24"/>
  <c r="CP239" i="24"/>
  <c r="CQ239" i="24"/>
  <c r="CR239" i="24"/>
  <c r="CS239" i="24"/>
  <c r="CT239" i="24"/>
  <c r="CU239" i="24"/>
  <c r="CV239" i="24"/>
  <c r="CW239" i="24"/>
  <c r="CX239" i="24"/>
  <c r="CY239" i="24"/>
  <c r="BT240" i="24"/>
  <c r="BU240" i="24"/>
  <c r="BV240" i="24"/>
  <c r="BW240" i="24"/>
  <c r="BX240" i="24"/>
  <c r="BY240" i="24"/>
  <c r="BZ240" i="24"/>
  <c r="CA240" i="24"/>
  <c r="CB240" i="24"/>
  <c r="CC240" i="24"/>
  <c r="CD240" i="24"/>
  <c r="CE240" i="24"/>
  <c r="CF240" i="24"/>
  <c r="CG240" i="24"/>
  <c r="CL240" i="24"/>
  <c r="CM240" i="24"/>
  <c r="CN240" i="24"/>
  <c r="CO240" i="24"/>
  <c r="CP240" i="24"/>
  <c r="CQ240" i="24"/>
  <c r="CR240" i="24"/>
  <c r="CS240" i="24"/>
  <c r="CT240" i="24"/>
  <c r="CU240" i="24"/>
  <c r="CV240" i="24"/>
  <c r="CW240" i="24"/>
  <c r="CX240" i="24"/>
  <c r="CY240" i="24"/>
  <c r="BU241" i="24"/>
  <c r="BV241" i="24"/>
  <c r="BW241" i="24"/>
  <c r="BX241" i="24"/>
  <c r="BY241" i="24"/>
  <c r="BZ241" i="24"/>
  <c r="CA241" i="24"/>
  <c r="CB241" i="24"/>
  <c r="CC241" i="24"/>
  <c r="CD241" i="24"/>
  <c r="CE241" i="24"/>
  <c r="CF241" i="24"/>
  <c r="CG241" i="24"/>
  <c r="CM241" i="24"/>
  <c r="CN241" i="24"/>
  <c r="CO241" i="24"/>
  <c r="CP241" i="24"/>
  <c r="CQ241" i="24"/>
  <c r="CR241" i="24"/>
  <c r="CS241" i="24"/>
  <c r="CT241" i="24"/>
  <c r="CU241" i="24"/>
  <c r="CV241" i="24"/>
  <c r="CW241" i="24"/>
  <c r="CX241" i="24"/>
  <c r="CY241" i="24"/>
  <c r="BD242" i="24"/>
  <c r="BE242" i="24"/>
  <c r="BF242" i="24"/>
  <c r="BT242" i="24"/>
  <c r="BU242" i="24"/>
  <c r="BV242" i="24"/>
  <c r="BW242" i="24"/>
  <c r="BX242" i="24"/>
  <c r="BY242" i="24"/>
  <c r="BZ242" i="24"/>
  <c r="CA242" i="24"/>
  <c r="CB242" i="24"/>
  <c r="CC242" i="24"/>
  <c r="CD242" i="24"/>
  <c r="CE242" i="24"/>
  <c r="CF242" i="24"/>
  <c r="CG242" i="24"/>
  <c r="CL242" i="24"/>
  <c r="CM242" i="24"/>
  <c r="CN242" i="24"/>
  <c r="CO242" i="24"/>
  <c r="CP242" i="24"/>
  <c r="CQ242" i="24"/>
  <c r="CR242" i="24"/>
  <c r="CS242" i="24"/>
  <c r="CT242" i="24"/>
  <c r="CU242" i="24"/>
  <c r="CV242" i="24"/>
  <c r="CW242" i="24"/>
  <c r="CX242" i="24"/>
  <c r="CY242" i="24"/>
  <c r="BU245" i="24"/>
  <c r="BV245" i="24"/>
  <c r="BW245" i="24"/>
  <c r="BX245" i="24"/>
  <c r="BY245" i="24"/>
  <c r="BZ245" i="24"/>
  <c r="CA245" i="24"/>
  <c r="CB245" i="24"/>
  <c r="CC245" i="24"/>
  <c r="CD245" i="24"/>
  <c r="CE245" i="24"/>
  <c r="CF245" i="24"/>
  <c r="CG245" i="24"/>
  <c r="CM245" i="24"/>
  <c r="CN245" i="24"/>
  <c r="CO245" i="24"/>
  <c r="CP245" i="24"/>
  <c r="CQ245" i="24"/>
  <c r="CR245" i="24"/>
  <c r="CS245" i="24"/>
  <c r="CT245" i="24"/>
  <c r="CU245" i="24"/>
  <c r="CV245" i="24"/>
  <c r="CW245" i="24"/>
  <c r="CX245" i="24"/>
  <c r="CY245" i="24"/>
  <c r="BU246" i="24"/>
  <c r="BV246" i="24"/>
  <c r="BW246" i="24"/>
  <c r="BX246" i="24"/>
  <c r="BY246" i="24"/>
  <c r="BZ246" i="24"/>
  <c r="CA246" i="24"/>
  <c r="CB246" i="24"/>
  <c r="CC246" i="24"/>
  <c r="CD246" i="24"/>
  <c r="CE246" i="24"/>
  <c r="CF246" i="24"/>
  <c r="CG246" i="24"/>
  <c r="CM246" i="24"/>
  <c r="CN246" i="24"/>
  <c r="CO246" i="24"/>
  <c r="CP246" i="24"/>
  <c r="CQ246" i="24"/>
  <c r="CR246" i="24"/>
  <c r="CS246" i="24"/>
  <c r="CT246" i="24"/>
  <c r="CU246" i="24"/>
  <c r="CV246" i="24"/>
  <c r="CW246" i="24"/>
  <c r="CX246" i="24"/>
  <c r="CY246" i="24"/>
  <c r="BE250" i="24"/>
  <c r="BU250" i="24"/>
  <c r="BV250" i="24"/>
  <c r="BW250" i="24"/>
  <c r="BX250" i="24"/>
  <c r="BY250" i="24"/>
  <c r="BZ250" i="24"/>
  <c r="CA250" i="24"/>
  <c r="CB250" i="24"/>
  <c r="CC250" i="24"/>
  <c r="CD250" i="24"/>
  <c r="CE250" i="24"/>
  <c r="CF250" i="24"/>
  <c r="CG250" i="24"/>
  <c r="CM250" i="24"/>
  <c r="CN250" i="24"/>
  <c r="CO250" i="24"/>
  <c r="CP250" i="24"/>
  <c r="CQ250" i="24"/>
  <c r="CR250" i="24"/>
  <c r="CS250" i="24"/>
  <c r="CT250" i="24"/>
  <c r="CU250" i="24"/>
  <c r="CV250" i="24"/>
  <c r="CW250" i="24"/>
  <c r="CX250" i="24"/>
  <c r="CY250" i="24"/>
  <c r="BU252" i="24"/>
  <c r="BV252" i="24"/>
  <c r="BW252" i="24"/>
  <c r="BX252" i="24"/>
  <c r="BY252" i="24"/>
  <c r="BZ252" i="24"/>
  <c r="CA252" i="24"/>
  <c r="CB252" i="24"/>
  <c r="CC252" i="24"/>
  <c r="CD252" i="24"/>
  <c r="CE252" i="24"/>
  <c r="CF252" i="24"/>
  <c r="CG252" i="24"/>
  <c r="CM252" i="24"/>
  <c r="CN252" i="24"/>
  <c r="CO252" i="24"/>
  <c r="CP252" i="24"/>
  <c r="CQ252" i="24"/>
  <c r="CR252" i="24"/>
  <c r="CS252" i="24"/>
  <c r="CT252" i="24"/>
  <c r="CU252" i="24"/>
  <c r="CV252" i="24"/>
  <c r="CW252" i="24"/>
  <c r="CX252" i="24"/>
  <c r="CY252" i="24"/>
  <c r="BT253" i="24"/>
  <c r="BU253" i="24"/>
  <c r="BV253" i="24"/>
  <c r="BW253" i="24"/>
  <c r="BX253" i="24"/>
  <c r="BY253" i="24"/>
  <c r="BZ253" i="24"/>
  <c r="CA253" i="24"/>
  <c r="CB253" i="24"/>
  <c r="CC253" i="24"/>
  <c r="CD253" i="24"/>
  <c r="CE253" i="24"/>
  <c r="CF253" i="24"/>
  <c r="CG253" i="24"/>
  <c r="CL253" i="24"/>
  <c r="CM253" i="24"/>
  <c r="CN253" i="24"/>
  <c r="CO253" i="24"/>
  <c r="CP253" i="24"/>
  <c r="CQ253" i="24"/>
  <c r="CR253" i="24"/>
  <c r="CS253" i="24"/>
  <c r="CT253" i="24"/>
  <c r="CU253" i="24"/>
  <c r="CV253" i="24"/>
  <c r="CW253" i="24"/>
  <c r="CX253" i="24"/>
  <c r="CY253" i="24"/>
  <c r="BD254" i="24"/>
  <c r="BE254" i="24"/>
  <c r="BT254" i="24"/>
  <c r="BU254" i="24"/>
  <c r="BV254" i="24"/>
  <c r="BW254" i="24"/>
  <c r="BX254" i="24"/>
  <c r="BY254" i="24"/>
  <c r="BZ254" i="24"/>
  <c r="CA254" i="24"/>
  <c r="CB254" i="24"/>
  <c r="CC254" i="24"/>
  <c r="CD254" i="24"/>
  <c r="CE254" i="24"/>
  <c r="CF254" i="24"/>
  <c r="CG254" i="24"/>
  <c r="CL254" i="24"/>
  <c r="CM254" i="24"/>
  <c r="CN254" i="24"/>
  <c r="CO254" i="24"/>
  <c r="CP254" i="24"/>
  <c r="CQ254" i="24"/>
  <c r="CR254" i="24"/>
  <c r="CS254" i="24"/>
  <c r="CT254" i="24"/>
  <c r="CU254" i="24"/>
  <c r="CV254" i="24"/>
  <c r="CW254" i="24"/>
  <c r="CX254" i="24"/>
  <c r="CY254" i="24"/>
  <c r="BD255" i="24"/>
  <c r="BE255" i="24"/>
  <c r="BT255" i="24"/>
  <c r="BU255" i="24"/>
  <c r="BV255" i="24"/>
  <c r="BW255" i="24"/>
  <c r="BX255" i="24"/>
  <c r="BY255" i="24"/>
  <c r="BZ255" i="24"/>
  <c r="CA255" i="24"/>
  <c r="CB255" i="24"/>
  <c r="CC255" i="24"/>
  <c r="CD255" i="24"/>
  <c r="CE255" i="24"/>
  <c r="CF255" i="24"/>
  <c r="CG255" i="24"/>
  <c r="CL255" i="24"/>
  <c r="CM255" i="24"/>
  <c r="CN255" i="24"/>
  <c r="CO255" i="24"/>
  <c r="CP255" i="24"/>
  <c r="CQ255" i="24"/>
  <c r="CR255" i="24"/>
  <c r="CS255" i="24"/>
  <c r="CT255" i="24"/>
  <c r="CU255" i="24"/>
  <c r="CV255" i="24"/>
  <c r="CW255" i="24"/>
  <c r="CX255" i="24"/>
  <c r="CY255" i="24"/>
  <c r="BE257" i="24"/>
  <c r="BU257" i="24"/>
  <c r="BV257" i="24"/>
  <c r="BW257" i="24"/>
  <c r="BX257" i="24"/>
  <c r="BY257" i="24"/>
  <c r="BZ257" i="24"/>
  <c r="CA257" i="24"/>
  <c r="CB257" i="24"/>
  <c r="CC257" i="24"/>
  <c r="CD257" i="24"/>
  <c r="CE257" i="24"/>
  <c r="CF257" i="24"/>
  <c r="CG257" i="24"/>
  <c r="CM257" i="24"/>
  <c r="CN257" i="24"/>
  <c r="CO257" i="24"/>
  <c r="CP257" i="24"/>
  <c r="CQ257" i="24"/>
  <c r="CR257" i="24"/>
  <c r="CS257" i="24"/>
  <c r="CT257" i="24"/>
  <c r="CU257" i="24"/>
  <c r="CV257" i="24"/>
  <c r="CW257" i="24"/>
  <c r="CX257" i="24"/>
  <c r="CY257" i="24"/>
  <c r="BE258" i="24"/>
  <c r="BT258" i="24"/>
  <c r="BU258" i="24"/>
  <c r="BV258" i="24"/>
  <c r="BW258" i="24"/>
  <c r="BX258" i="24"/>
  <c r="BY258" i="24"/>
  <c r="BZ258" i="24"/>
  <c r="CA258" i="24"/>
  <c r="CB258" i="24"/>
  <c r="CC258" i="24"/>
  <c r="CD258" i="24"/>
  <c r="CE258" i="24"/>
  <c r="CF258" i="24"/>
  <c r="CG258" i="24"/>
  <c r="CL258" i="24"/>
  <c r="CM258" i="24"/>
  <c r="CN258" i="24"/>
  <c r="CO258" i="24"/>
  <c r="CP258" i="24"/>
  <c r="CQ258" i="24"/>
  <c r="CR258" i="24"/>
  <c r="CS258" i="24"/>
  <c r="CT258" i="24"/>
  <c r="CU258" i="24"/>
  <c r="CV258" i="24"/>
  <c r="CW258" i="24"/>
  <c r="CX258" i="24"/>
  <c r="CY258" i="24"/>
  <c r="BD259" i="24"/>
  <c r="BE259" i="24"/>
  <c r="BT259" i="24"/>
  <c r="BU259" i="24"/>
  <c r="BV259" i="24"/>
  <c r="BW259" i="24"/>
  <c r="BX259" i="24"/>
  <c r="BY259" i="24"/>
  <c r="BZ259" i="24"/>
  <c r="CA259" i="24"/>
  <c r="CB259" i="24"/>
  <c r="CC259" i="24"/>
  <c r="CD259" i="24"/>
  <c r="CE259" i="24"/>
  <c r="CF259" i="24"/>
  <c r="CG259" i="24"/>
  <c r="CL259" i="24"/>
  <c r="CM259" i="24"/>
  <c r="CN259" i="24"/>
  <c r="CO259" i="24"/>
  <c r="CP259" i="24"/>
  <c r="CQ259" i="24"/>
  <c r="CR259" i="24"/>
  <c r="CS259" i="24"/>
  <c r="CT259" i="24"/>
  <c r="CU259" i="24"/>
  <c r="CV259" i="24"/>
  <c r="CW259" i="24"/>
  <c r="CX259" i="24"/>
  <c r="CY259" i="24"/>
  <c r="BD260" i="24"/>
  <c r="BE260" i="24"/>
  <c r="BT260" i="24"/>
  <c r="BU260" i="24"/>
  <c r="BV260" i="24"/>
  <c r="BW260" i="24"/>
  <c r="BX260" i="24"/>
  <c r="BY260" i="24"/>
  <c r="BZ260" i="24"/>
  <c r="CA260" i="24"/>
  <c r="CB260" i="24"/>
  <c r="CC260" i="24"/>
  <c r="CD260" i="24"/>
  <c r="CE260" i="24"/>
  <c r="CF260" i="24"/>
  <c r="CG260" i="24"/>
  <c r="CL260" i="24"/>
  <c r="CM260" i="24"/>
  <c r="CN260" i="24"/>
  <c r="CO260" i="24"/>
  <c r="CP260" i="24"/>
  <c r="CQ260" i="24"/>
  <c r="CR260" i="24"/>
  <c r="CS260" i="24"/>
  <c r="CT260" i="24"/>
  <c r="CU260" i="24"/>
  <c r="CV260" i="24"/>
  <c r="CW260" i="24"/>
  <c r="CX260" i="24"/>
  <c r="CY260" i="24"/>
  <c r="BD262" i="24"/>
  <c r="BE262" i="24"/>
  <c r="BT262" i="24"/>
  <c r="BU262" i="24"/>
  <c r="BV262" i="24"/>
  <c r="BW262" i="24"/>
  <c r="BX262" i="24"/>
  <c r="BY262" i="24"/>
  <c r="BZ262" i="24"/>
  <c r="CA262" i="24"/>
  <c r="CB262" i="24"/>
  <c r="CC262" i="24"/>
  <c r="CD262" i="24"/>
  <c r="CE262" i="24"/>
  <c r="CF262" i="24"/>
  <c r="CG262" i="24"/>
  <c r="CL262" i="24"/>
  <c r="CM262" i="24"/>
  <c r="CN262" i="24"/>
  <c r="CO262" i="24"/>
  <c r="CP262" i="24"/>
  <c r="CQ262" i="24"/>
  <c r="CR262" i="24"/>
  <c r="CS262" i="24"/>
  <c r="CT262" i="24"/>
  <c r="CU262" i="24"/>
  <c r="CV262" i="24"/>
  <c r="CW262" i="24"/>
  <c r="CX262" i="24"/>
  <c r="CY262" i="24"/>
  <c r="BE264" i="24"/>
  <c r="BU264" i="24"/>
  <c r="BV264" i="24"/>
  <c r="BW264" i="24"/>
  <c r="BX264" i="24"/>
  <c r="BY264" i="24"/>
  <c r="BZ264" i="24"/>
  <c r="CA264" i="24"/>
  <c r="CB264" i="24"/>
  <c r="CC264" i="24"/>
  <c r="CD264" i="24"/>
  <c r="CE264" i="24"/>
  <c r="CF264" i="24"/>
  <c r="CG264" i="24"/>
  <c r="CM264" i="24"/>
  <c r="CN264" i="24"/>
  <c r="CO264" i="24"/>
  <c r="CP264" i="24"/>
  <c r="CQ264" i="24"/>
  <c r="CR264" i="24"/>
  <c r="CS264" i="24"/>
  <c r="CT264" i="24"/>
  <c r="CU264" i="24"/>
  <c r="CV264" i="24"/>
  <c r="CW264" i="24"/>
  <c r="CX264" i="24"/>
  <c r="CY264" i="24"/>
  <c r="BT267" i="24"/>
  <c r="BU267" i="24"/>
  <c r="BV267" i="24"/>
  <c r="BW267" i="24"/>
  <c r="BX267" i="24"/>
  <c r="BY267" i="24"/>
  <c r="BZ267" i="24"/>
  <c r="CA267" i="24"/>
  <c r="CB267" i="24"/>
  <c r="CC267" i="24"/>
  <c r="CD267" i="24"/>
  <c r="CE267" i="24"/>
  <c r="CF267" i="24"/>
  <c r="CG267" i="24"/>
  <c r="CL267" i="24"/>
  <c r="CM267" i="24"/>
  <c r="CN267" i="24"/>
  <c r="CO267" i="24"/>
  <c r="CP267" i="24"/>
  <c r="CQ267" i="24"/>
  <c r="CR267" i="24"/>
  <c r="CS267" i="24"/>
  <c r="CT267" i="24"/>
  <c r="CU267" i="24"/>
  <c r="CV267" i="24"/>
  <c r="CW267" i="24"/>
  <c r="CX267" i="24"/>
  <c r="CY267" i="24"/>
  <c r="F268" i="24"/>
  <c r="G268" i="24"/>
  <c r="H268" i="24"/>
  <c r="I268" i="24"/>
  <c r="J268" i="24"/>
  <c r="K268" i="24"/>
  <c r="L268" i="24"/>
  <c r="M268" i="24"/>
  <c r="N268" i="24"/>
  <c r="O268" i="24"/>
  <c r="P268" i="24"/>
  <c r="Q268" i="24"/>
  <c r="R268" i="24"/>
  <c r="S268" i="24"/>
  <c r="T268" i="24"/>
  <c r="U268" i="24"/>
  <c r="V268" i="24"/>
  <c r="W268" i="24"/>
  <c r="X268" i="24"/>
  <c r="Y268" i="24"/>
  <c r="Z268" i="24"/>
  <c r="AA268" i="24"/>
  <c r="AB268" i="24"/>
  <c r="AC268" i="24"/>
  <c r="AD268" i="24"/>
  <c r="AE268" i="24"/>
  <c r="AF268" i="24"/>
  <c r="AG268" i="24"/>
  <c r="AH268" i="24"/>
  <c r="AI268" i="24"/>
  <c r="AJ268" i="24"/>
  <c r="AK268" i="24"/>
  <c r="AL268" i="24"/>
  <c r="AM268" i="24"/>
  <c r="AN268" i="24"/>
  <c r="AO268" i="24"/>
  <c r="AP268" i="24"/>
  <c r="AQ268" i="24"/>
  <c r="AR268" i="24"/>
  <c r="AS268" i="24"/>
  <c r="AT268" i="24"/>
  <c r="AU268" i="24"/>
  <c r="AV268" i="24"/>
  <c r="AW268" i="24"/>
  <c r="AX268" i="24"/>
  <c r="AY268" i="24"/>
  <c r="AZ268" i="24"/>
  <c r="BA268" i="24"/>
  <c r="BB268" i="24"/>
  <c r="BC268" i="24"/>
  <c r="BD268" i="24"/>
  <c r="BE268" i="24"/>
  <c r="BT268" i="24"/>
  <c r="BU268" i="24"/>
  <c r="BV268" i="24"/>
  <c r="BW268" i="24"/>
  <c r="BX268" i="24"/>
  <c r="BY268" i="24"/>
  <c r="BZ268" i="24"/>
  <c r="CA268" i="24"/>
  <c r="CB268" i="24"/>
  <c r="CC268" i="24"/>
  <c r="CD268" i="24"/>
  <c r="CE268" i="24"/>
  <c r="CF268" i="24"/>
  <c r="CG268" i="24"/>
  <c r="CL268" i="24"/>
  <c r="CM268" i="24"/>
  <c r="CN268" i="24"/>
  <c r="CO268" i="24"/>
  <c r="CP268" i="24"/>
  <c r="CQ268" i="24"/>
  <c r="CR268" i="24"/>
  <c r="CS268" i="24"/>
  <c r="CT268" i="24"/>
  <c r="CU268" i="24"/>
  <c r="CV268" i="24"/>
  <c r="CW268" i="24"/>
  <c r="CX268" i="24"/>
  <c r="CY268" i="24"/>
  <c r="BT269" i="24"/>
  <c r="BU269" i="24"/>
  <c r="BV269" i="24"/>
  <c r="BW269" i="24"/>
  <c r="BX269" i="24"/>
  <c r="BY269" i="24"/>
  <c r="BZ269" i="24"/>
  <c r="CA269" i="24"/>
  <c r="CB269" i="24"/>
  <c r="CC269" i="24"/>
  <c r="CD269" i="24"/>
  <c r="CE269" i="24"/>
  <c r="CF269" i="24"/>
  <c r="CG269" i="24"/>
  <c r="CL269" i="24"/>
  <c r="CM269" i="24"/>
  <c r="CN269" i="24"/>
  <c r="CO269" i="24"/>
  <c r="CP269" i="24"/>
  <c r="CQ269" i="24"/>
  <c r="CR269" i="24"/>
  <c r="CS269" i="24"/>
  <c r="CT269" i="24"/>
  <c r="CU269" i="24"/>
  <c r="CV269" i="24"/>
  <c r="CW269" i="24"/>
  <c r="CX269" i="24"/>
  <c r="CY269" i="24"/>
  <c r="BP270" i="24"/>
  <c r="BQ270" i="24"/>
  <c r="BR270" i="24"/>
  <c r="BS270" i="24"/>
  <c r="BT270" i="24"/>
  <c r="BU270" i="24"/>
  <c r="BV270" i="24"/>
  <c r="BW270" i="24"/>
  <c r="BX270" i="24"/>
  <c r="BY270" i="24"/>
  <c r="BZ270" i="24"/>
  <c r="CA270" i="24"/>
  <c r="CB270" i="24"/>
  <c r="CC270" i="24"/>
  <c r="CD270" i="24"/>
  <c r="CE270" i="24"/>
  <c r="CF270" i="24"/>
  <c r="CG270" i="24"/>
  <c r="CI270" i="24"/>
  <c r="CJ270" i="24"/>
  <c r="CK270" i="24"/>
  <c r="CL270" i="24"/>
  <c r="CM270" i="24"/>
  <c r="CN270" i="24"/>
  <c r="CO270" i="24"/>
  <c r="CP270" i="24"/>
  <c r="CQ270" i="24"/>
  <c r="CR270" i="24"/>
  <c r="CS270" i="24"/>
  <c r="CT270" i="24"/>
  <c r="CU270" i="24"/>
  <c r="CV270" i="24"/>
  <c r="CW270" i="24"/>
  <c r="CX270" i="24"/>
  <c r="CY270" i="24"/>
  <c r="F271" i="24"/>
  <c r="G271" i="24"/>
  <c r="H271" i="24"/>
  <c r="I271" i="24"/>
  <c r="J271" i="24"/>
  <c r="K271" i="24"/>
  <c r="L271" i="24"/>
  <c r="M271" i="24"/>
  <c r="N271" i="24"/>
  <c r="O271" i="24"/>
  <c r="P271" i="24"/>
  <c r="Q271" i="24"/>
  <c r="R271" i="24"/>
  <c r="S271" i="24"/>
  <c r="T271" i="24"/>
  <c r="U271" i="24"/>
  <c r="V271" i="24"/>
  <c r="W271" i="24"/>
  <c r="X271" i="24"/>
  <c r="Y271" i="24"/>
  <c r="Z271" i="24"/>
  <c r="AA271" i="24"/>
  <c r="AB271" i="24"/>
  <c r="AC271" i="24"/>
  <c r="AD271" i="24"/>
  <c r="AE271" i="24"/>
  <c r="AF271" i="24"/>
  <c r="AG271" i="24"/>
  <c r="AH271" i="24"/>
  <c r="AI271" i="24"/>
  <c r="AJ271" i="24"/>
  <c r="AK271" i="24"/>
  <c r="AL271" i="24"/>
  <c r="AM271" i="24"/>
  <c r="AN271" i="24"/>
  <c r="AO271" i="24"/>
  <c r="AP271" i="24"/>
  <c r="AQ271" i="24"/>
  <c r="AR271" i="24"/>
  <c r="AS271" i="24"/>
  <c r="AT271" i="24"/>
  <c r="AU271" i="24"/>
  <c r="AV271" i="24"/>
  <c r="AW271" i="24"/>
  <c r="AX271" i="24"/>
  <c r="AY271" i="24"/>
  <c r="AZ271" i="24"/>
  <c r="BA271" i="24"/>
  <c r="BB271" i="24"/>
  <c r="BC271" i="24"/>
  <c r="BD271" i="24"/>
  <c r="BE271" i="24"/>
  <c r="BP271" i="24"/>
  <c r="BQ271" i="24"/>
  <c r="BR271" i="24"/>
  <c r="BS271" i="24"/>
  <c r="BT271" i="24"/>
  <c r="BU271" i="24"/>
  <c r="BV271" i="24"/>
  <c r="BW271" i="24"/>
  <c r="BX271" i="24"/>
  <c r="BY271" i="24"/>
  <c r="BZ271" i="24"/>
  <c r="CA271" i="24"/>
  <c r="CB271" i="24"/>
  <c r="CC271" i="24"/>
  <c r="CD271" i="24"/>
  <c r="CE271" i="24"/>
  <c r="CF271" i="24"/>
  <c r="CG271" i="24"/>
  <c r="CI271" i="24"/>
  <c r="CJ271" i="24"/>
  <c r="CK271" i="24"/>
  <c r="CL271" i="24"/>
  <c r="CM271" i="24"/>
  <c r="CN271" i="24"/>
  <c r="CO271" i="24"/>
  <c r="CP271" i="24"/>
  <c r="CQ271" i="24"/>
  <c r="CR271" i="24"/>
  <c r="CS271" i="24"/>
  <c r="CT271" i="24"/>
  <c r="CU271" i="24"/>
  <c r="CV271" i="24"/>
  <c r="CW271" i="24"/>
  <c r="CX271" i="24"/>
  <c r="CY271" i="24"/>
  <c r="BP272" i="24"/>
  <c r="BQ272" i="24"/>
  <c r="BR272" i="24"/>
  <c r="BS272" i="24"/>
  <c r="BT272" i="24"/>
  <c r="BU272" i="24"/>
  <c r="BV272" i="24"/>
  <c r="BW272" i="24"/>
  <c r="BX272" i="24"/>
  <c r="BY272" i="24"/>
  <c r="BZ272" i="24"/>
  <c r="CA272" i="24"/>
  <c r="CB272" i="24"/>
  <c r="CC272" i="24"/>
  <c r="CD272" i="24"/>
  <c r="CE272" i="24"/>
  <c r="CF272" i="24"/>
  <c r="CG272" i="24"/>
  <c r="CI272" i="24"/>
  <c r="CJ272" i="24"/>
  <c r="CK272" i="24"/>
  <c r="CL272" i="24"/>
  <c r="CM272" i="24"/>
  <c r="CN272" i="24"/>
  <c r="CO272" i="24"/>
  <c r="CP272" i="24"/>
  <c r="CQ272" i="24"/>
  <c r="CR272" i="24"/>
  <c r="CS272" i="24"/>
  <c r="CT272" i="24"/>
  <c r="CU272" i="24"/>
  <c r="CV272" i="24"/>
  <c r="CW272" i="24"/>
  <c r="CX272" i="24"/>
  <c r="CY272" i="24"/>
  <c r="BT273" i="24"/>
  <c r="BU273" i="24"/>
  <c r="BV273" i="24"/>
  <c r="BW273" i="24"/>
  <c r="BX273" i="24"/>
  <c r="BY273" i="24"/>
  <c r="BZ273" i="24"/>
  <c r="CA273" i="24"/>
  <c r="CB273" i="24"/>
  <c r="CC273" i="24"/>
  <c r="CD273" i="24"/>
  <c r="CE273" i="24"/>
  <c r="CF273" i="24"/>
  <c r="CG273" i="24"/>
  <c r="CL273" i="24"/>
  <c r="CM273" i="24"/>
  <c r="CN273" i="24"/>
  <c r="CO273" i="24"/>
  <c r="CP273" i="24"/>
  <c r="CQ273" i="24"/>
  <c r="CR273" i="24"/>
  <c r="CS273" i="24"/>
  <c r="CT273" i="24"/>
  <c r="CU273" i="24"/>
  <c r="CV273" i="24"/>
  <c r="CW273" i="24"/>
  <c r="CX273" i="24"/>
  <c r="CY273" i="24"/>
  <c r="BT282" i="24"/>
  <c r="BU282" i="24"/>
  <c r="BV282" i="24"/>
  <c r="BW282" i="24"/>
  <c r="BX282" i="24"/>
  <c r="BY282" i="24"/>
  <c r="BZ282" i="24"/>
  <c r="CA282" i="24"/>
  <c r="CB282" i="24"/>
  <c r="CC282" i="24"/>
  <c r="CD282" i="24"/>
  <c r="CE282" i="24"/>
  <c r="CF282" i="24"/>
  <c r="CG282" i="24"/>
  <c r="CL282" i="24"/>
  <c r="CM282" i="24"/>
  <c r="CN282" i="24"/>
  <c r="CO282" i="24"/>
  <c r="CP282" i="24"/>
  <c r="CQ282" i="24"/>
  <c r="CR282" i="24"/>
  <c r="CS282" i="24"/>
  <c r="CT282" i="24"/>
  <c r="CU282" i="24"/>
  <c r="CV282" i="24"/>
  <c r="CW282" i="24"/>
  <c r="CX282" i="24"/>
  <c r="CY282" i="24"/>
  <c r="BE283" i="24"/>
  <c r="BF283" i="24"/>
  <c r="BT283" i="24"/>
  <c r="BU283" i="24"/>
  <c r="BV283" i="24"/>
  <c r="BW283" i="24"/>
  <c r="BX283" i="24"/>
  <c r="BY283" i="24"/>
  <c r="BZ283" i="24"/>
  <c r="CA283" i="24"/>
  <c r="CB283" i="24"/>
  <c r="CC283" i="24"/>
  <c r="CD283" i="24"/>
  <c r="CE283" i="24"/>
  <c r="CF283" i="24"/>
  <c r="CG283" i="24"/>
  <c r="CL283" i="24"/>
  <c r="CM283" i="24"/>
  <c r="CN283" i="24"/>
  <c r="CO283" i="24"/>
  <c r="CP283" i="24"/>
  <c r="CQ283" i="24"/>
  <c r="CR283" i="24"/>
  <c r="CS283" i="24"/>
  <c r="CT283" i="24"/>
  <c r="CU283" i="24"/>
  <c r="CV283" i="24"/>
  <c r="CW283" i="24"/>
  <c r="CX283" i="24"/>
  <c r="CY283" i="24"/>
  <c r="BT284" i="24"/>
  <c r="BU284" i="24"/>
  <c r="BV284" i="24"/>
  <c r="BW284" i="24"/>
  <c r="BX284" i="24"/>
  <c r="BY284" i="24"/>
  <c r="BZ284" i="24"/>
  <c r="CA284" i="24"/>
  <c r="CB284" i="24"/>
  <c r="CC284" i="24"/>
  <c r="CD284" i="24"/>
  <c r="CE284" i="24"/>
  <c r="CF284" i="24"/>
  <c r="CG284" i="24"/>
  <c r="CL284" i="24"/>
  <c r="CM284" i="24"/>
  <c r="CN284" i="24"/>
  <c r="CO284" i="24"/>
  <c r="CP284" i="24"/>
  <c r="CQ284" i="24"/>
  <c r="CR284" i="24"/>
  <c r="CS284" i="24"/>
  <c r="CT284" i="24"/>
  <c r="CU284" i="24"/>
  <c r="CV284" i="24"/>
  <c r="CW284" i="24"/>
  <c r="CX284" i="24"/>
  <c r="CY284" i="24"/>
  <c r="BP285" i="24"/>
  <c r="BT285" i="24"/>
  <c r="BU285" i="24"/>
  <c r="BV285" i="24"/>
  <c r="BW285" i="24"/>
  <c r="BX285" i="24"/>
  <c r="BY285" i="24"/>
  <c r="BZ285" i="24"/>
  <c r="CA285" i="24"/>
  <c r="CB285" i="24"/>
  <c r="CC285" i="24"/>
  <c r="CD285" i="24"/>
  <c r="CE285" i="24"/>
  <c r="CF285" i="24"/>
  <c r="CG285" i="24"/>
  <c r="CL285" i="24"/>
  <c r="CM285" i="24"/>
  <c r="CN285" i="24"/>
  <c r="CO285" i="24"/>
  <c r="CP285" i="24"/>
  <c r="CQ285" i="24"/>
  <c r="CR285" i="24"/>
  <c r="CS285" i="24"/>
  <c r="CT285" i="24"/>
  <c r="CU285" i="24"/>
  <c r="CV285" i="24"/>
  <c r="CW285" i="24"/>
  <c r="CX285" i="24"/>
  <c r="CY285" i="24"/>
  <c r="BE286" i="24"/>
  <c r="BF286" i="24"/>
  <c r="BP286" i="24"/>
  <c r="BU286" i="24"/>
  <c r="BV286" i="24"/>
  <c r="BW286" i="24"/>
  <c r="BX286" i="24"/>
  <c r="BY286" i="24"/>
  <c r="BZ286" i="24"/>
  <c r="CA286" i="24"/>
  <c r="CB286" i="24"/>
  <c r="CC286" i="24"/>
  <c r="CD286" i="24"/>
  <c r="CE286" i="24"/>
  <c r="CF286" i="24"/>
  <c r="CG286" i="24"/>
  <c r="CM286" i="24"/>
  <c r="CN286" i="24"/>
  <c r="CO286" i="24"/>
  <c r="CP286" i="24"/>
  <c r="CQ286" i="24"/>
  <c r="CR286" i="24"/>
  <c r="CS286" i="24"/>
  <c r="CT286" i="24"/>
  <c r="CU286" i="24"/>
  <c r="CV286" i="24"/>
  <c r="CW286" i="24"/>
  <c r="CX286" i="24"/>
  <c r="CY286" i="24"/>
  <c r="BE287" i="24"/>
  <c r="BF287" i="24"/>
  <c r="BP287" i="24"/>
  <c r="BT287" i="24"/>
  <c r="BU287" i="24"/>
  <c r="BV287" i="24"/>
  <c r="BW287" i="24"/>
  <c r="BX287" i="24"/>
  <c r="BY287" i="24"/>
  <c r="BZ287" i="24"/>
  <c r="CA287" i="24"/>
  <c r="CB287" i="24"/>
  <c r="CC287" i="24"/>
  <c r="CD287" i="24"/>
  <c r="CE287" i="24"/>
  <c r="CF287" i="24"/>
  <c r="CG287" i="24"/>
  <c r="CL287" i="24"/>
  <c r="CM287" i="24"/>
  <c r="CN287" i="24"/>
  <c r="CO287" i="24"/>
  <c r="CP287" i="24"/>
  <c r="CQ287" i="24"/>
  <c r="CR287" i="24"/>
  <c r="CS287" i="24"/>
  <c r="CT287" i="24"/>
  <c r="CU287" i="24"/>
  <c r="CV287" i="24"/>
  <c r="CW287" i="24"/>
  <c r="CX287" i="24"/>
  <c r="CY287" i="24"/>
  <c r="BT288" i="24"/>
  <c r="BU288" i="24"/>
  <c r="BV288" i="24"/>
  <c r="BW288" i="24"/>
  <c r="BX288" i="24"/>
  <c r="BY288" i="24"/>
  <c r="BZ288" i="24"/>
  <c r="CA288" i="24"/>
  <c r="CB288" i="24"/>
  <c r="CC288" i="24"/>
  <c r="CD288" i="24"/>
  <c r="CE288" i="24"/>
  <c r="CF288" i="24"/>
  <c r="CG288" i="24"/>
  <c r="CL288" i="24"/>
  <c r="CM288" i="24"/>
  <c r="CN288" i="24"/>
  <c r="CO288" i="24"/>
  <c r="CP288" i="24"/>
  <c r="CQ288" i="24"/>
  <c r="CR288" i="24"/>
  <c r="CS288" i="24"/>
  <c r="CT288" i="24"/>
  <c r="CU288" i="24"/>
  <c r="CV288" i="24"/>
  <c r="CW288" i="24"/>
  <c r="CX288" i="24"/>
  <c r="CY288" i="24"/>
  <c r="BT289" i="24"/>
  <c r="BU289" i="24"/>
  <c r="BV289" i="24"/>
  <c r="BW289" i="24"/>
  <c r="BX289" i="24"/>
  <c r="BY289" i="24"/>
  <c r="BZ289" i="24"/>
  <c r="CA289" i="24"/>
  <c r="CB289" i="24"/>
  <c r="CC289" i="24"/>
  <c r="CD289" i="24"/>
  <c r="CE289" i="24"/>
  <c r="CF289" i="24"/>
  <c r="CG289" i="24"/>
  <c r="CL289" i="24"/>
  <c r="CM289" i="24"/>
  <c r="CN289" i="24"/>
  <c r="CO289" i="24"/>
  <c r="CP289" i="24"/>
  <c r="CQ289" i="24"/>
  <c r="CR289" i="24"/>
  <c r="CS289" i="24"/>
  <c r="CT289" i="24"/>
  <c r="CU289" i="24"/>
  <c r="CV289" i="24"/>
  <c r="CW289" i="24"/>
  <c r="CX289" i="24"/>
  <c r="CY289" i="24"/>
  <c r="BT292" i="24"/>
  <c r="BU292" i="24"/>
  <c r="BV292" i="24"/>
  <c r="BW292" i="24"/>
  <c r="BX292" i="24"/>
  <c r="BY292" i="24"/>
  <c r="BZ292" i="24"/>
  <c r="CA292" i="24"/>
  <c r="CB292" i="24"/>
  <c r="CC292" i="24"/>
  <c r="CD292" i="24"/>
  <c r="CE292" i="24"/>
  <c r="CF292" i="24"/>
  <c r="CG292" i="24"/>
  <c r="CL292" i="24"/>
  <c r="CM292" i="24"/>
  <c r="CN292" i="24"/>
  <c r="CO292" i="24"/>
  <c r="CP292" i="24"/>
  <c r="CQ292" i="24"/>
  <c r="CR292" i="24"/>
  <c r="CS292" i="24"/>
  <c r="CT292" i="24"/>
  <c r="CU292" i="24"/>
  <c r="CV292" i="24"/>
  <c r="CW292" i="24"/>
  <c r="CX292" i="24"/>
  <c r="CY292" i="24"/>
  <c r="BT293" i="24"/>
  <c r="BU293" i="24"/>
  <c r="BV293" i="24"/>
  <c r="BW293" i="24"/>
  <c r="BX293" i="24"/>
  <c r="BY293" i="24"/>
  <c r="BZ293" i="24"/>
  <c r="CA293" i="24"/>
  <c r="CB293" i="24"/>
  <c r="CC293" i="24"/>
  <c r="CD293" i="24"/>
  <c r="CE293" i="24"/>
  <c r="CF293" i="24"/>
  <c r="CG293" i="24"/>
  <c r="CL293" i="24"/>
  <c r="CM293" i="24"/>
  <c r="CN293" i="24"/>
  <c r="CO293" i="24"/>
  <c r="CP293" i="24"/>
  <c r="CQ293" i="24"/>
  <c r="CR293" i="24"/>
  <c r="CS293" i="24"/>
  <c r="CT293" i="24"/>
  <c r="CU293" i="24"/>
  <c r="CV293" i="24"/>
  <c r="CW293" i="24"/>
  <c r="CX293" i="24"/>
  <c r="CY293" i="24"/>
  <c r="BE294" i="24"/>
  <c r="BF294" i="24"/>
  <c r="BT294" i="24"/>
  <c r="BU294" i="24"/>
  <c r="BV294" i="24"/>
  <c r="BW294" i="24"/>
  <c r="BX294" i="24"/>
  <c r="BY294" i="24"/>
  <c r="BZ294" i="24"/>
  <c r="CA294" i="24"/>
  <c r="CB294" i="24"/>
  <c r="CC294" i="24"/>
  <c r="CD294" i="24"/>
  <c r="CE294" i="24"/>
  <c r="CF294" i="24"/>
  <c r="CG294" i="24"/>
  <c r="CL294" i="24"/>
  <c r="CM294" i="24"/>
  <c r="CN294" i="24"/>
  <c r="CO294" i="24"/>
  <c r="CP294" i="24"/>
  <c r="CQ294" i="24"/>
  <c r="CR294" i="24"/>
  <c r="CS294" i="24"/>
  <c r="CT294" i="24"/>
  <c r="CU294" i="24"/>
  <c r="CV294" i="24"/>
  <c r="CW294" i="24"/>
  <c r="CX294" i="24"/>
  <c r="CY294" i="24"/>
  <c r="BT295" i="24"/>
  <c r="BU295" i="24"/>
  <c r="BV295" i="24"/>
  <c r="BW295" i="24"/>
  <c r="BX295" i="24"/>
  <c r="BY295" i="24"/>
  <c r="BZ295" i="24"/>
  <c r="CA295" i="24"/>
  <c r="CB295" i="24"/>
  <c r="CC295" i="24"/>
  <c r="CD295" i="24"/>
  <c r="CE295" i="24"/>
  <c r="CF295" i="24"/>
  <c r="CG295" i="24"/>
  <c r="CL295" i="24"/>
  <c r="CM295" i="24"/>
  <c r="CN295" i="24"/>
  <c r="CO295" i="24"/>
  <c r="CP295" i="24"/>
  <c r="CQ295" i="24"/>
  <c r="CR295" i="24"/>
  <c r="CS295" i="24"/>
  <c r="CT295" i="24"/>
  <c r="CU295" i="24"/>
  <c r="CV295" i="24"/>
  <c r="CW295" i="24"/>
  <c r="CX295" i="24"/>
  <c r="CY295" i="24"/>
  <c r="BP296" i="24"/>
  <c r="BT296" i="24"/>
  <c r="BU296" i="24"/>
  <c r="BV296" i="24"/>
  <c r="BW296" i="24"/>
  <c r="BX296" i="24"/>
  <c r="BY296" i="24"/>
  <c r="BZ296" i="24"/>
  <c r="CA296" i="24"/>
  <c r="CB296" i="24"/>
  <c r="CC296" i="24"/>
  <c r="CD296" i="24"/>
  <c r="CE296" i="24"/>
  <c r="CF296" i="24"/>
  <c r="CG296" i="24"/>
  <c r="CL296" i="24"/>
  <c r="CM296" i="24"/>
  <c r="CN296" i="24"/>
  <c r="CO296" i="24"/>
  <c r="CP296" i="24"/>
  <c r="CQ296" i="24"/>
  <c r="CR296" i="24"/>
  <c r="CS296" i="24"/>
  <c r="CT296" i="24"/>
  <c r="CU296" i="24"/>
  <c r="CV296" i="24"/>
  <c r="CW296" i="24"/>
  <c r="CX296" i="24"/>
  <c r="CY296" i="24"/>
  <c r="BE297" i="24"/>
  <c r="BF297" i="24"/>
  <c r="BP297" i="24"/>
  <c r="BT299" i="24"/>
  <c r="BU299" i="24"/>
  <c r="BV299" i="24"/>
  <c r="BW299" i="24"/>
  <c r="BX299" i="24"/>
  <c r="BY299" i="24"/>
  <c r="BZ299" i="24"/>
  <c r="CA299" i="24"/>
  <c r="CB299" i="24"/>
  <c r="CC299" i="24"/>
  <c r="CD299" i="24"/>
  <c r="CE299" i="24"/>
  <c r="CF299" i="24"/>
  <c r="CG299" i="24"/>
  <c r="CL299" i="24"/>
  <c r="CM299" i="24"/>
  <c r="CN299" i="24"/>
  <c r="CO299" i="24"/>
  <c r="CP299" i="24"/>
  <c r="CQ299" i="24"/>
  <c r="CR299" i="24"/>
  <c r="CS299" i="24"/>
  <c r="CT299" i="24"/>
  <c r="CU299" i="24"/>
  <c r="CV299" i="24"/>
  <c r="CW299" i="24"/>
  <c r="CX299" i="24"/>
  <c r="CY299" i="24"/>
  <c r="BE300" i="24"/>
  <c r="BF300" i="24"/>
  <c r="BU300" i="24"/>
  <c r="BV300" i="24"/>
  <c r="BW300" i="24"/>
  <c r="BX300" i="24"/>
  <c r="BY300" i="24"/>
  <c r="BZ300" i="24"/>
  <c r="CA300" i="24"/>
  <c r="CB300" i="24"/>
  <c r="CC300" i="24"/>
  <c r="CD300" i="24"/>
  <c r="CE300" i="24"/>
  <c r="CF300" i="24"/>
  <c r="CG300" i="24"/>
  <c r="CM300" i="24"/>
  <c r="CN300" i="24"/>
  <c r="CO300" i="24"/>
  <c r="CP300" i="24"/>
  <c r="CQ300" i="24"/>
  <c r="CR300" i="24"/>
  <c r="CS300" i="24"/>
  <c r="CT300" i="24"/>
  <c r="CU300" i="24"/>
  <c r="CV300" i="24"/>
  <c r="CW300" i="24"/>
  <c r="CX300" i="24"/>
  <c r="CY300" i="24"/>
  <c r="BT301" i="24"/>
  <c r="BU301" i="24"/>
  <c r="BV301" i="24"/>
  <c r="BW301" i="24"/>
  <c r="BX301" i="24"/>
  <c r="BY301" i="24"/>
  <c r="BZ301" i="24"/>
  <c r="CA301" i="24"/>
  <c r="CB301" i="24"/>
  <c r="CC301" i="24"/>
  <c r="CD301" i="24"/>
  <c r="CE301" i="24"/>
  <c r="CF301" i="24"/>
  <c r="CG301" i="24"/>
  <c r="CL301" i="24"/>
  <c r="CM301" i="24"/>
  <c r="CN301" i="24"/>
  <c r="CO301" i="24"/>
  <c r="CP301" i="24"/>
  <c r="CQ301" i="24"/>
  <c r="CR301" i="24"/>
  <c r="CS301" i="24"/>
  <c r="CT301" i="24"/>
  <c r="CU301" i="24"/>
  <c r="CV301" i="24"/>
  <c r="CW301" i="24"/>
  <c r="CX301" i="24"/>
  <c r="CY301" i="24"/>
  <c r="BE302" i="24"/>
  <c r="BF302" i="24"/>
  <c r="BT302" i="24"/>
  <c r="BU302" i="24"/>
  <c r="BV302" i="24"/>
  <c r="BW302" i="24"/>
  <c r="BX302" i="24"/>
  <c r="BY302" i="24"/>
  <c r="BZ302" i="24"/>
  <c r="CA302" i="24"/>
  <c r="CB302" i="24"/>
  <c r="CC302" i="24"/>
  <c r="CD302" i="24"/>
  <c r="CE302" i="24"/>
  <c r="CF302" i="24"/>
  <c r="CG302" i="24"/>
  <c r="CL302" i="24"/>
  <c r="CM302" i="24"/>
  <c r="CN302" i="24"/>
  <c r="CO302" i="24"/>
  <c r="CP302" i="24"/>
  <c r="CQ302" i="24"/>
  <c r="CR302" i="24"/>
  <c r="CS302" i="24"/>
  <c r="CT302" i="24"/>
  <c r="CU302" i="24"/>
  <c r="CV302" i="24"/>
  <c r="CW302" i="24"/>
  <c r="CX302" i="24"/>
  <c r="CY302" i="24"/>
  <c r="BT303" i="24"/>
  <c r="BU303" i="24"/>
  <c r="BV303" i="24"/>
  <c r="BW303" i="24"/>
  <c r="BX303" i="24"/>
  <c r="BY303" i="24"/>
  <c r="BZ303" i="24"/>
  <c r="CA303" i="24"/>
  <c r="CB303" i="24"/>
  <c r="CC303" i="24"/>
  <c r="CD303" i="24"/>
  <c r="CE303" i="24"/>
  <c r="CF303" i="24"/>
  <c r="CG303" i="24"/>
  <c r="CL303" i="24"/>
  <c r="CM303" i="24"/>
  <c r="CN303" i="24"/>
  <c r="CO303" i="24"/>
  <c r="CP303" i="24"/>
  <c r="CQ303" i="24"/>
  <c r="CR303" i="24"/>
  <c r="CS303" i="24"/>
  <c r="CT303" i="24"/>
  <c r="CU303" i="24"/>
  <c r="CV303" i="24"/>
  <c r="CW303" i="24"/>
  <c r="CX303" i="24"/>
  <c r="CY303" i="24"/>
  <c r="BC305" i="24"/>
  <c r="BD305" i="24"/>
  <c r="BE305" i="24"/>
  <c r="BU305" i="24"/>
  <c r="BV305" i="24"/>
  <c r="BW305" i="24"/>
  <c r="BX305" i="24"/>
  <c r="BY305" i="24"/>
  <c r="BZ305" i="24"/>
  <c r="CA305" i="24"/>
  <c r="CB305" i="24"/>
  <c r="CC305" i="24"/>
  <c r="CD305" i="24"/>
  <c r="CE305" i="24"/>
  <c r="CF305" i="24"/>
  <c r="CG305" i="24"/>
  <c r="CM305" i="24"/>
  <c r="CN305" i="24"/>
  <c r="CO305" i="24"/>
  <c r="CP305" i="24"/>
  <c r="CQ305" i="24"/>
  <c r="CR305" i="24"/>
  <c r="CS305" i="24"/>
  <c r="CT305" i="24"/>
  <c r="CU305" i="24"/>
  <c r="CV305" i="24"/>
  <c r="CW305" i="24"/>
  <c r="CX305" i="24"/>
  <c r="CY305" i="24"/>
  <c r="BU306" i="24"/>
  <c r="BV306" i="24"/>
  <c r="BW306" i="24"/>
  <c r="BX306" i="24"/>
  <c r="BY306" i="24"/>
  <c r="BZ306" i="24"/>
  <c r="CA306" i="24"/>
  <c r="CB306" i="24"/>
  <c r="CC306" i="24"/>
  <c r="CD306" i="24"/>
  <c r="CE306" i="24"/>
  <c r="CF306" i="24"/>
  <c r="CG306" i="24"/>
  <c r="CM306" i="24"/>
  <c r="CN306" i="24"/>
  <c r="CO306" i="24"/>
  <c r="CP306" i="24"/>
  <c r="CQ306" i="24"/>
  <c r="CR306" i="24"/>
  <c r="CS306" i="24"/>
  <c r="CT306" i="24"/>
  <c r="CU306" i="24"/>
  <c r="CV306" i="24"/>
  <c r="CW306" i="24"/>
  <c r="CX306" i="24"/>
  <c r="CY306" i="24"/>
  <c r="BU307" i="24"/>
  <c r="BV307" i="24"/>
  <c r="BW307" i="24"/>
  <c r="BX307" i="24"/>
  <c r="BY307" i="24"/>
  <c r="BZ307" i="24"/>
  <c r="CA307" i="24"/>
  <c r="CB307" i="24"/>
  <c r="CC307" i="24"/>
  <c r="CD307" i="24"/>
  <c r="CE307" i="24"/>
  <c r="CF307" i="24"/>
  <c r="CG307" i="24"/>
  <c r="CM307" i="24"/>
  <c r="CN307" i="24"/>
  <c r="CO307" i="24"/>
  <c r="CP307" i="24"/>
  <c r="CQ307" i="24"/>
  <c r="CR307" i="24"/>
  <c r="CS307" i="24"/>
  <c r="CT307" i="24"/>
  <c r="CU307" i="24"/>
  <c r="CV307" i="24"/>
  <c r="CW307" i="24"/>
  <c r="CX307" i="24"/>
  <c r="CY307" i="24"/>
  <c r="BE308" i="24"/>
  <c r="BU308" i="24"/>
  <c r="BV308" i="24"/>
  <c r="BW308" i="24"/>
  <c r="BX308" i="24"/>
  <c r="BY308" i="24"/>
  <c r="BZ308" i="24"/>
  <c r="CA308" i="24"/>
  <c r="CB308" i="24"/>
  <c r="CC308" i="24"/>
  <c r="CD308" i="24"/>
  <c r="CE308" i="24"/>
  <c r="CF308" i="24"/>
  <c r="CG308" i="24"/>
  <c r="CM308" i="24"/>
  <c r="CN308" i="24"/>
  <c r="CO308" i="24"/>
  <c r="CP308" i="24"/>
  <c r="CQ308" i="24"/>
  <c r="CR308" i="24"/>
  <c r="CS308" i="24"/>
  <c r="CT308" i="24"/>
  <c r="CU308" i="24"/>
  <c r="CV308" i="24"/>
  <c r="CW308" i="24"/>
  <c r="CX308" i="24"/>
  <c r="CY308" i="24"/>
  <c r="BE309" i="24"/>
  <c r="BU309" i="24"/>
  <c r="BV309" i="24"/>
  <c r="BW309" i="24"/>
  <c r="BX309" i="24"/>
  <c r="BY309" i="24"/>
  <c r="BZ309" i="24"/>
  <c r="CA309" i="24"/>
  <c r="CB309" i="24"/>
  <c r="CC309" i="24"/>
  <c r="CD309" i="24"/>
  <c r="CE309" i="24"/>
  <c r="CF309" i="24"/>
  <c r="CG309" i="24"/>
  <c r="CM309" i="24"/>
  <c r="CN309" i="24"/>
  <c r="CO309" i="24"/>
  <c r="CP309" i="24"/>
  <c r="CQ309" i="24"/>
  <c r="CR309" i="24"/>
  <c r="CS309" i="24"/>
  <c r="CT309" i="24"/>
  <c r="CU309" i="24"/>
  <c r="CV309" i="24"/>
  <c r="CW309" i="24"/>
  <c r="CX309" i="24"/>
  <c r="CY309" i="24"/>
  <c r="BD310" i="24"/>
  <c r="BE310" i="24"/>
  <c r="BU310" i="24"/>
  <c r="BV310" i="24"/>
  <c r="BW310" i="24"/>
  <c r="BX310" i="24"/>
  <c r="BY310" i="24"/>
  <c r="BZ310" i="24"/>
  <c r="CA310" i="24"/>
  <c r="CB310" i="24"/>
  <c r="CC310" i="24"/>
  <c r="CD310" i="24"/>
  <c r="CE310" i="24"/>
  <c r="CF310" i="24"/>
  <c r="CG310" i="24"/>
  <c r="CM310" i="24"/>
  <c r="CN310" i="24"/>
  <c r="CO310" i="24"/>
  <c r="CP310" i="24"/>
  <c r="CQ310" i="24"/>
  <c r="CR310" i="24"/>
  <c r="CS310" i="24"/>
  <c r="CT310" i="24"/>
  <c r="CU310" i="24"/>
  <c r="CV310" i="24"/>
  <c r="CW310" i="24"/>
  <c r="CX310" i="24"/>
  <c r="CY310" i="24"/>
  <c r="BE311" i="24"/>
  <c r="BU311" i="24"/>
  <c r="BV311" i="24"/>
  <c r="BW311" i="24"/>
  <c r="BX311" i="24"/>
  <c r="BY311" i="24"/>
  <c r="BZ311" i="24"/>
  <c r="CA311" i="24"/>
  <c r="CB311" i="24"/>
  <c r="CC311" i="24"/>
  <c r="CD311" i="24"/>
  <c r="CE311" i="24"/>
  <c r="CF311" i="24"/>
  <c r="CG311" i="24"/>
  <c r="CM311" i="24"/>
  <c r="CN311" i="24"/>
  <c r="CO311" i="24"/>
  <c r="CP311" i="24"/>
  <c r="CQ311" i="24"/>
  <c r="CR311" i="24"/>
  <c r="CS311" i="24"/>
  <c r="CT311" i="24"/>
  <c r="CU311" i="24"/>
  <c r="CV311" i="24"/>
  <c r="CW311" i="24"/>
  <c r="CX311" i="24"/>
  <c r="CY311" i="24"/>
  <c r="BD312" i="24"/>
  <c r="BE312" i="24"/>
  <c r="BU312" i="24"/>
  <c r="BV312" i="24"/>
  <c r="BW312" i="24"/>
  <c r="BX312" i="24"/>
  <c r="BY312" i="24"/>
  <c r="BZ312" i="24"/>
  <c r="CA312" i="24"/>
  <c r="CB312" i="24"/>
  <c r="CC312" i="24"/>
  <c r="CD312" i="24"/>
  <c r="CE312" i="24"/>
  <c r="CF312" i="24"/>
  <c r="CG312" i="24"/>
  <c r="CM312" i="24"/>
  <c r="CN312" i="24"/>
  <c r="CO312" i="24"/>
  <c r="CP312" i="24"/>
  <c r="CQ312" i="24"/>
  <c r="CR312" i="24"/>
  <c r="CS312" i="24"/>
  <c r="CT312" i="24"/>
  <c r="CU312" i="24"/>
  <c r="CV312" i="24"/>
  <c r="CW312" i="24"/>
  <c r="CX312" i="24"/>
  <c r="CY312" i="24"/>
  <c r="BT313" i="24"/>
  <c r="BU313" i="24"/>
  <c r="BV313" i="24"/>
  <c r="BW313" i="24"/>
  <c r="BX313" i="24"/>
  <c r="BY313" i="24"/>
  <c r="BZ313" i="24"/>
  <c r="CA313" i="24"/>
  <c r="CB313" i="24"/>
  <c r="CC313" i="24"/>
  <c r="CD313" i="24"/>
  <c r="CE313" i="24"/>
  <c r="CF313" i="24"/>
  <c r="CG313" i="24"/>
  <c r="CL313" i="24"/>
  <c r="CM313" i="24"/>
  <c r="CN313" i="24"/>
  <c r="CO313" i="24"/>
  <c r="CP313" i="24"/>
  <c r="CQ313" i="24"/>
  <c r="CR313" i="24"/>
  <c r="CS313" i="24"/>
  <c r="CT313" i="24"/>
  <c r="CU313" i="24"/>
  <c r="CV313" i="24"/>
  <c r="CW313" i="24"/>
  <c r="CX313" i="24"/>
  <c r="CY313" i="24"/>
  <c r="BU314" i="24"/>
  <c r="BV314" i="24"/>
  <c r="BW314" i="24"/>
  <c r="BX314" i="24"/>
  <c r="BY314" i="24"/>
  <c r="BZ314" i="24"/>
  <c r="CA314" i="24"/>
  <c r="CB314" i="24"/>
  <c r="CC314" i="24"/>
  <c r="CD314" i="24"/>
  <c r="CE314" i="24"/>
  <c r="CF314" i="24"/>
  <c r="CG314" i="24"/>
  <c r="CM314" i="24"/>
  <c r="CN314" i="24"/>
  <c r="CO314" i="24"/>
  <c r="CP314" i="24"/>
  <c r="CQ314" i="24"/>
  <c r="CR314" i="24"/>
  <c r="CS314" i="24"/>
  <c r="CT314" i="24"/>
  <c r="CU314" i="24"/>
  <c r="CV314" i="24"/>
  <c r="CW314" i="24"/>
  <c r="CX314" i="24"/>
  <c r="CY314" i="24"/>
  <c r="BE316" i="24"/>
  <c r="BF316" i="24"/>
  <c r="BP316" i="24"/>
  <c r="BE317" i="24"/>
  <c r="BF317" i="24"/>
  <c r="BP317" i="24"/>
  <c r="BT317" i="24"/>
  <c r="BU317" i="24"/>
  <c r="BV317" i="24"/>
  <c r="BW317" i="24"/>
  <c r="BX317" i="24"/>
  <c r="BY317" i="24"/>
  <c r="BZ317" i="24"/>
  <c r="CA317" i="24"/>
  <c r="CB317" i="24"/>
  <c r="CC317" i="24"/>
  <c r="CD317" i="24"/>
  <c r="CE317" i="24"/>
  <c r="CF317" i="24"/>
  <c r="CG317" i="24"/>
  <c r="CL317" i="24"/>
  <c r="CM317" i="24"/>
  <c r="CN317" i="24"/>
  <c r="CO317" i="24"/>
  <c r="CP317" i="24"/>
  <c r="CQ317" i="24"/>
  <c r="CR317" i="24"/>
  <c r="CS317" i="24"/>
  <c r="CT317" i="24"/>
  <c r="CU317" i="24"/>
  <c r="CV317" i="24"/>
  <c r="CW317" i="24"/>
  <c r="CX317" i="24"/>
  <c r="CY317" i="24"/>
  <c r="BC318" i="24"/>
  <c r="BD318" i="24"/>
  <c r="BE318" i="24"/>
  <c r="BU318" i="24"/>
  <c r="BV318" i="24"/>
  <c r="BW318" i="24"/>
  <c r="BX318" i="24"/>
  <c r="BY318" i="24"/>
  <c r="BZ318" i="24"/>
  <c r="CA318" i="24"/>
  <c r="CB318" i="24"/>
  <c r="CC318" i="24"/>
  <c r="CD318" i="24"/>
  <c r="CE318" i="24"/>
  <c r="CF318" i="24"/>
  <c r="CG318" i="24"/>
  <c r="CM318" i="24"/>
  <c r="CN318" i="24"/>
  <c r="CO318" i="24"/>
  <c r="CP318" i="24"/>
  <c r="CQ318" i="24"/>
  <c r="CR318" i="24"/>
  <c r="CS318" i="24"/>
  <c r="CT318" i="24"/>
  <c r="CU318" i="24"/>
  <c r="CV318" i="24"/>
  <c r="CW318" i="24"/>
  <c r="CX318" i="24"/>
  <c r="CY318" i="24"/>
  <c r="BU319" i="24"/>
  <c r="BV319" i="24"/>
  <c r="BW319" i="24"/>
  <c r="BX319" i="24"/>
  <c r="BY319" i="24"/>
  <c r="BZ319" i="24"/>
  <c r="CA319" i="24"/>
  <c r="CB319" i="24"/>
  <c r="CC319" i="24"/>
  <c r="CD319" i="24"/>
  <c r="CE319" i="24"/>
  <c r="CF319" i="24"/>
  <c r="CG319" i="24"/>
  <c r="CM319" i="24"/>
  <c r="CN319" i="24"/>
  <c r="CO319" i="24"/>
  <c r="CP319" i="24"/>
  <c r="CQ319" i="24"/>
  <c r="CR319" i="24"/>
  <c r="CS319" i="24"/>
  <c r="CT319" i="24"/>
  <c r="CU319" i="24"/>
  <c r="CV319" i="24"/>
  <c r="CW319" i="24"/>
  <c r="CX319" i="24"/>
  <c r="CY319" i="24"/>
  <c r="BC320" i="24"/>
  <c r="BD320" i="24"/>
  <c r="BE320" i="24"/>
  <c r="BU320" i="24"/>
  <c r="BV320" i="24"/>
  <c r="BW320" i="24"/>
  <c r="BX320" i="24"/>
  <c r="BY320" i="24"/>
  <c r="BZ320" i="24"/>
  <c r="CA320" i="24"/>
  <c r="CB320" i="24"/>
  <c r="CC320" i="24"/>
  <c r="CD320" i="24"/>
  <c r="CE320" i="24"/>
  <c r="CF320" i="24"/>
  <c r="CG320" i="24"/>
  <c r="CM320" i="24"/>
  <c r="CN320" i="24"/>
  <c r="CO320" i="24"/>
  <c r="CP320" i="24"/>
  <c r="CQ320" i="24"/>
  <c r="CR320" i="24"/>
  <c r="CS320" i="24"/>
  <c r="CT320" i="24"/>
  <c r="CU320" i="24"/>
  <c r="CV320" i="24"/>
  <c r="CW320" i="24"/>
  <c r="CX320" i="24"/>
  <c r="CY320" i="24"/>
  <c r="BE321" i="24"/>
  <c r="BU321" i="24"/>
  <c r="BV321" i="24"/>
  <c r="BW321" i="24"/>
  <c r="BX321" i="24"/>
  <c r="BY321" i="24"/>
  <c r="BZ321" i="24"/>
  <c r="CA321" i="24"/>
  <c r="CB321" i="24"/>
  <c r="CC321" i="24"/>
  <c r="CD321" i="24"/>
  <c r="CE321" i="24"/>
  <c r="CF321" i="24"/>
  <c r="CG321" i="24"/>
  <c r="CM321" i="24"/>
  <c r="CN321" i="24"/>
  <c r="CO321" i="24"/>
  <c r="CP321" i="24"/>
  <c r="CQ321" i="24"/>
  <c r="CR321" i="24"/>
  <c r="CS321" i="24"/>
  <c r="CT321" i="24"/>
  <c r="CU321" i="24"/>
  <c r="CV321" i="24"/>
  <c r="CW321" i="24"/>
  <c r="CX321" i="24"/>
  <c r="CY321" i="24"/>
  <c r="BE322" i="24"/>
  <c r="BU322" i="24"/>
  <c r="BV322" i="24"/>
  <c r="BW322" i="24"/>
  <c r="BX322" i="24"/>
  <c r="BY322" i="24"/>
  <c r="BZ322" i="24"/>
  <c r="CA322" i="24"/>
  <c r="CB322" i="24"/>
  <c r="CC322" i="24"/>
  <c r="CD322" i="24"/>
  <c r="CE322" i="24"/>
  <c r="CF322" i="24"/>
  <c r="CG322" i="24"/>
  <c r="CM322" i="24"/>
  <c r="CN322" i="24"/>
  <c r="CO322" i="24"/>
  <c r="CP322" i="24"/>
  <c r="CQ322" i="24"/>
  <c r="CR322" i="24"/>
  <c r="CS322" i="24"/>
  <c r="CT322" i="24"/>
  <c r="CU322" i="24"/>
  <c r="CV322" i="24"/>
  <c r="CW322" i="24"/>
  <c r="CX322" i="24"/>
  <c r="CY322" i="24"/>
  <c r="BU323" i="24"/>
  <c r="BV323" i="24"/>
  <c r="BW323" i="24"/>
  <c r="BX323" i="24"/>
  <c r="BY323" i="24"/>
  <c r="BZ323" i="24"/>
  <c r="CA323" i="24"/>
  <c r="CB323" i="24"/>
  <c r="CC323" i="24"/>
  <c r="CD323" i="24"/>
  <c r="CE323" i="24"/>
  <c r="CF323" i="24"/>
  <c r="CG323" i="24"/>
  <c r="CM323" i="24"/>
  <c r="CN323" i="24"/>
  <c r="CO323" i="24"/>
  <c r="CP323" i="24"/>
  <c r="CQ323" i="24"/>
  <c r="CR323" i="24"/>
  <c r="CS323" i="24"/>
  <c r="CT323" i="24"/>
  <c r="CU323" i="24"/>
  <c r="CV323" i="24"/>
  <c r="CW323" i="24"/>
  <c r="CX323" i="24"/>
  <c r="CY323" i="24"/>
  <c r="BU324" i="24"/>
  <c r="BV324" i="24"/>
  <c r="BW324" i="24"/>
  <c r="BX324" i="24"/>
  <c r="BY324" i="24"/>
  <c r="BZ324" i="24"/>
  <c r="CA324" i="24"/>
  <c r="CB324" i="24"/>
  <c r="CC324" i="24"/>
  <c r="CD324" i="24"/>
  <c r="CE324" i="24"/>
  <c r="CF324" i="24"/>
  <c r="CG324" i="24"/>
  <c r="CM324" i="24"/>
  <c r="CN324" i="24"/>
  <c r="CO324" i="24"/>
  <c r="CP324" i="24"/>
  <c r="CQ324" i="24"/>
  <c r="CR324" i="24"/>
  <c r="CS324" i="24"/>
  <c r="CT324" i="24"/>
  <c r="CU324" i="24"/>
  <c r="CV324" i="24"/>
  <c r="CW324" i="24"/>
  <c r="CX324" i="24"/>
  <c r="CY324" i="24"/>
  <c r="BD326" i="24"/>
  <c r="BE326" i="24"/>
  <c r="BU326" i="24"/>
  <c r="BV326" i="24"/>
  <c r="BW326" i="24"/>
  <c r="BX326" i="24"/>
  <c r="BY326" i="24"/>
  <c r="BZ326" i="24"/>
  <c r="CA326" i="24"/>
  <c r="CB326" i="24"/>
  <c r="CC326" i="24"/>
  <c r="CD326" i="24"/>
  <c r="CE326" i="24"/>
  <c r="CF326" i="24"/>
  <c r="CG326" i="24"/>
  <c r="CM326" i="24"/>
  <c r="CN326" i="24"/>
  <c r="CO326" i="24"/>
  <c r="CP326" i="24"/>
  <c r="CQ326" i="24"/>
  <c r="CR326" i="24"/>
  <c r="CS326" i="24"/>
  <c r="CT326" i="24"/>
  <c r="CU326" i="24"/>
  <c r="CV326" i="24"/>
  <c r="CW326" i="24"/>
  <c r="CX326" i="24"/>
  <c r="CY326" i="24"/>
  <c r="BU327" i="24"/>
  <c r="BV327" i="24"/>
  <c r="BW327" i="24"/>
  <c r="BX327" i="24"/>
  <c r="BY327" i="24"/>
  <c r="BZ327" i="24"/>
  <c r="CA327" i="24"/>
  <c r="CB327" i="24"/>
  <c r="CC327" i="24"/>
  <c r="CD327" i="24"/>
  <c r="CE327" i="24"/>
  <c r="CF327" i="24"/>
  <c r="CG327" i="24"/>
  <c r="CM327" i="24"/>
  <c r="CN327" i="24"/>
  <c r="CO327" i="24"/>
  <c r="CP327" i="24"/>
  <c r="CQ327" i="24"/>
  <c r="CR327" i="24"/>
  <c r="CS327" i="24"/>
  <c r="CT327" i="24"/>
  <c r="CU327" i="24"/>
  <c r="CV327" i="24"/>
  <c r="CW327" i="24"/>
  <c r="CX327" i="24"/>
  <c r="CY327" i="24"/>
  <c r="BE329" i="24"/>
  <c r="BU329" i="24"/>
  <c r="BV329" i="24"/>
  <c r="BW329" i="24"/>
  <c r="BX329" i="24"/>
  <c r="BY329" i="24"/>
  <c r="BZ329" i="24"/>
  <c r="CA329" i="24"/>
  <c r="CB329" i="24"/>
  <c r="CC329" i="24"/>
  <c r="CD329" i="24"/>
  <c r="CE329" i="24"/>
  <c r="CF329" i="24"/>
  <c r="CG329" i="24"/>
  <c r="CM329" i="24"/>
  <c r="CN329" i="24"/>
  <c r="CO329" i="24"/>
  <c r="CP329" i="24"/>
  <c r="CQ329" i="24"/>
  <c r="CR329" i="24"/>
  <c r="CS329" i="24"/>
  <c r="CT329" i="24"/>
  <c r="CU329" i="24"/>
  <c r="CV329" i="24"/>
  <c r="CW329" i="24"/>
  <c r="CX329" i="24"/>
  <c r="CY329" i="24"/>
  <c r="BE330" i="24"/>
  <c r="BU330" i="24"/>
  <c r="BV330" i="24"/>
  <c r="BW330" i="24"/>
  <c r="BX330" i="24"/>
  <c r="BY330" i="24"/>
  <c r="BZ330" i="24"/>
  <c r="CA330" i="24"/>
  <c r="CB330" i="24"/>
  <c r="CC330" i="24"/>
  <c r="CD330" i="24"/>
  <c r="CE330" i="24"/>
  <c r="CF330" i="24"/>
  <c r="CG330" i="24"/>
  <c r="CM330" i="24"/>
  <c r="CN330" i="24"/>
  <c r="CO330" i="24"/>
  <c r="CP330" i="24"/>
  <c r="CQ330" i="24"/>
  <c r="CR330" i="24"/>
  <c r="CS330" i="24"/>
  <c r="CT330" i="24"/>
  <c r="CU330" i="24"/>
  <c r="CV330" i="24"/>
  <c r="CW330" i="24"/>
  <c r="CX330" i="24"/>
  <c r="CY330" i="24"/>
  <c r="BE331" i="24"/>
  <c r="BU331" i="24"/>
  <c r="BV331" i="24"/>
  <c r="BW331" i="24"/>
  <c r="BX331" i="24"/>
  <c r="BY331" i="24"/>
  <c r="BZ331" i="24"/>
  <c r="CA331" i="24"/>
  <c r="CB331" i="24"/>
  <c r="CC331" i="24"/>
  <c r="CD331" i="24"/>
  <c r="CE331" i="24"/>
  <c r="CF331" i="24"/>
  <c r="CG331" i="24"/>
  <c r="CM331" i="24"/>
  <c r="CN331" i="24"/>
  <c r="CO331" i="24"/>
  <c r="CP331" i="24"/>
  <c r="CQ331" i="24"/>
  <c r="CR331" i="24"/>
  <c r="CS331" i="24"/>
  <c r="CT331" i="24"/>
  <c r="CU331" i="24"/>
  <c r="CV331" i="24"/>
  <c r="CW331" i="24"/>
  <c r="CX331" i="24"/>
  <c r="CY331" i="24"/>
  <c r="BE332" i="24"/>
  <c r="BU332" i="24"/>
  <c r="BV332" i="24"/>
  <c r="BW332" i="24"/>
  <c r="BX332" i="24"/>
  <c r="BY332" i="24"/>
  <c r="BZ332" i="24"/>
  <c r="CA332" i="24"/>
  <c r="CB332" i="24"/>
  <c r="CC332" i="24"/>
  <c r="CD332" i="24"/>
  <c r="CE332" i="24"/>
  <c r="CF332" i="24"/>
  <c r="CG332" i="24"/>
  <c r="CM332" i="24"/>
  <c r="CN332" i="24"/>
  <c r="CO332" i="24"/>
  <c r="CP332" i="24"/>
  <c r="CQ332" i="24"/>
  <c r="CR332" i="24"/>
  <c r="CS332" i="24"/>
  <c r="CT332" i="24"/>
  <c r="CU332" i="24"/>
  <c r="CV332" i="24"/>
  <c r="CW332" i="24"/>
  <c r="CX332" i="24"/>
  <c r="CY332" i="24"/>
  <c r="BU333" i="24"/>
  <c r="BV333" i="24"/>
  <c r="BW333" i="24"/>
  <c r="BX333" i="24"/>
  <c r="BY333" i="24"/>
  <c r="BZ333" i="24"/>
  <c r="CA333" i="24"/>
  <c r="CB333" i="24"/>
  <c r="CC333" i="24"/>
  <c r="CD333" i="24"/>
  <c r="CE333" i="24"/>
  <c r="CF333" i="24"/>
  <c r="CG333" i="24"/>
  <c r="CM333" i="24"/>
  <c r="CN333" i="24"/>
  <c r="CO333" i="24"/>
  <c r="CP333" i="24"/>
  <c r="CQ333" i="24"/>
  <c r="CR333" i="24"/>
  <c r="CS333" i="24"/>
  <c r="CT333" i="24"/>
  <c r="CU333" i="24"/>
  <c r="CV333" i="24"/>
  <c r="CW333" i="24"/>
  <c r="CX333" i="24"/>
  <c r="CY333" i="24"/>
  <c r="BD335" i="24"/>
  <c r="BE335" i="24"/>
  <c r="BU335" i="24"/>
  <c r="BV335" i="24"/>
  <c r="BW335" i="24"/>
  <c r="BX335" i="24"/>
  <c r="BY335" i="24"/>
  <c r="BZ335" i="24"/>
  <c r="CA335" i="24"/>
  <c r="CB335" i="24"/>
  <c r="CC335" i="24"/>
  <c r="CD335" i="24"/>
  <c r="CE335" i="24"/>
  <c r="CF335" i="24"/>
  <c r="CG335" i="24"/>
  <c r="CM335" i="24"/>
  <c r="CN335" i="24"/>
  <c r="CO335" i="24"/>
  <c r="CP335" i="24"/>
  <c r="CQ335" i="24"/>
  <c r="CR335" i="24"/>
  <c r="CS335" i="24"/>
  <c r="CT335" i="24"/>
  <c r="CU335" i="24"/>
  <c r="CV335" i="24"/>
  <c r="CW335" i="24"/>
  <c r="CX335" i="24"/>
  <c r="CY335" i="24"/>
  <c r="BD336" i="24"/>
  <c r="BE336" i="24"/>
  <c r="BU336" i="24"/>
  <c r="BV336" i="24"/>
  <c r="BW336" i="24"/>
  <c r="BX336" i="24"/>
  <c r="BY336" i="24"/>
  <c r="BZ336" i="24"/>
  <c r="CA336" i="24"/>
  <c r="CB336" i="24"/>
  <c r="CC336" i="24"/>
  <c r="CD336" i="24"/>
  <c r="CE336" i="24"/>
  <c r="CF336" i="24"/>
  <c r="CG336" i="24"/>
  <c r="CM336" i="24"/>
  <c r="CN336" i="24"/>
  <c r="CO336" i="24"/>
  <c r="CP336" i="24"/>
  <c r="CQ336" i="24"/>
  <c r="CR336" i="24"/>
  <c r="CS336" i="24"/>
  <c r="CT336" i="24"/>
  <c r="CU336" i="24"/>
  <c r="CV336" i="24"/>
  <c r="CW336" i="24"/>
  <c r="CX336" i="24"/>
  <c r="CY336" i="24"/>
  <c r="BD337" i="24"/>
  <c r="BE337" i="24"/>
  <c r="BU337" i="24"/>
  <c r="BV337" i="24"/>
  <c r="BW337" i="24"/>
  <c r="BX337" i="24"/>
  <c r="BY337" i="24"/>
  <c r="BZ337" i="24"/>
  <c r="CA337" i="24"/>
  <c r="CB337" i="24"/>
  <c r="CC337" i="24"/>
  <c r="CD337" i="24"/>
  <c r="CE337" i="24"/>
  <c r="CF337" i="24"/>
  <c r="CG337" i="24"/>
  <c r="CM337" i="24"/>
  <c r="CN337" i="24"/>
  <c r="CO337" i="24"/>
  <c r="CP337" i="24"/>
  <c r="CQ337" i="24"/>
  <c r="CR337" i="24"/>
  <c r="CS337" i="24"/>
  <c r="CT337" i="24"/>
  <c r="CU337" i="24"/>
  <c r="CV337" i="24"/>
  <c r="CW337" i="24"/>
  <c r="CX337" i="24"/>
  <c r="CY337" i="24"/>
  <c r="BE339" i="24"/>
  <c r="BU339" i="24"/>
  <c r="BV339" i="24"/>
  <c r="BW339" i="24"/>
  <c r="BX339" i="24"/>
  <c r="BY339" i="24"/>
  <c r="BZ339" i="24"/>
  <c r="CA339" i="24"/>
  <c r="CB339" i="24"/>
  <c r="CC339" i="24"/>
  <c r="CD339" i="24"/>
  <c r="CE339" i="24"/>
  <c r="CF339" i="24"/>
  <c r="CG339" i="24"/>
  <c r="CM339" i="24"/>
  <c r="CN339" i="24"/>
  <c r="CO339" i="24"/>
  <c r="CP339" i="24"/>
  <c r="CQ339" i="24"/>
  <c r="CR339" i="24"/>
  <c r="CS339" i="24"/>
  <c r="CT339" i="24"/>
  <c r="CU339" i="24"/>
  <c r="CV339" i="24"/>
  <c r="CW339" i="24"/>
  <c r="CX339" i="24"/>
  <c r="CY339" i="24"/>
  <c r="BE341" i="24"/>
  <c r="BU341" i="24"/>
  <c r="BV341" i="24"/>
  <c r="BW341" i="24"/>
  <c r="BX341" i="24"/>
  <c r="BY341" i="24"/>
  <c r="BZ341" i="24"/>
  <c r="CA341" i="24"/>
  <c r="CB341" i="24"/>
  <c r="CC341" i="24"/>
  <c r="CD341" i="24"/>
  <c r="CE341" i="24"/>
  <c r="CF341" i="24"/>
  <c r="CG341" i="24"/>
  <c r="CM341" i="24"/>
  <c r="CN341" i="24"/>
  <c r="CO341" i="24"/>
  <c r="CP341" i="24"/>
  <c r="CQ341" i="24"/>
  <c r="CR341" i="24"/>
  <c r="CS341" i="24"/>
  <c r="CT341" i="24"/>
  <c r="CU341" i="24"/>
  <c r="CV341" i="24"/>
  <c r="CW341" i="24"/>
  <c r="CX341" i="24"/>
  <c r="CY341" i="24"/>
  <c r="BU344" i="24"/>
  <c r="BV344" i="24"/>
  <c r="BW344" i="24"/>
  <c r="BX344" i="24"/>
  <c r="BY344" i="24"/>
  <c r="BZ344" i="24"/>
  <c r="CA344" i="24"/>
  <c r="CB344" i="24"/>
  <c r="CC344" i="24"/>
  <c r="CD344" i="24"/>
  <c r="CE344" i="24"/>
  <c r="CF344" i="24"/>
  <c r="CG344" i="24"/>
  <c r="CM344" i="24"/>
  <c r="CN344" i="24"/>
  <c r="CO344" i="24"/>
  <c r="CP344" i="24"/>
  <c r="CQ344" i="24"/>
  <c r="CR344" i="24"/>
  <c r="CS344" i="24"/>
  <c r="CT344" i="24"/>
  <c r="CU344" i="24"/>
  <c r="CV344" i="24"/>
  <c r="CW344" i="24"/>
  <c r="CX344" i="24"/>
  <c r="CY344" i="24"/>
  <c r="BU345" i="24"/>
  <c r="BV345" i="24"/>
  <c r="BW345" i="24"/>
  <c r="BX345" i="24"/>
  <c r="BY345" i="24"/>
  <c r="BZ345" i="24"/>
  <c r="CA345" i="24"/>
  <c r="CB345" i="24"/>
  <c r="CC345" i="24"/>
  <c r="CD345" i="24"/>
  <c r="CE345" i="24"/>
  <c r="CF345" i="24"/>
  <c r="CG345" i="24"/>
  <c r="CM345" i="24"/>
  <c r="CN345" i="24"/>
  <c r="CO345" i="24"/>
  <c r="CP345" i="24"/>
  <c r="CQ345" i="24"/>
  <c r="CR345" i="24"/>
  <c r="CS345" i="24"/>
  <c r="CT345" i="24"/>
  <c r="CU345" i="24"/>
  <c r="CV345" i="24"/>
  <c r="CW345" i="24"/>
  <c r="CX345" i="24"/>
  <c r="CY345" i="24"/>
  <c r="BU347" i="24"/>
  <c r="BV347" i="24"/>
  <c r="BW347" i="24"/>
  <c r="BX347" i="24"/>
  <c r="BY347" i="24"/>
  <c r="BZ347" i="24"/>
  <c r="CA347" i="24"/>
  <c r="CB347" i="24"/>
  <c r="CC347" i="24"/>
  <c r="CD347" i="24"/>
  <c r="CE347" i="24"/>
  <c r="CF347" i="24"/>
  <c r="CG347" i="24"/>
  <c r="CM347" i="24"/>
  <c r="CN347" i="24"/>
  <c r="CO347" i="24"/>
  <c r="CP347" i="24"/>
  <c r="CQ347" i="24"/>
  <c r="CR347" i="24"/>
  <c r="CS347" i="24"/>
  <c r="CT347" i="24"/>
  <c r="CU347" i="24"/>
  <c r="CV347" i="24"/>
  <c r="CW347" i="24"/>
  <c r="CX347" i="24"/>
  <c r="CY347" i="24"/>
  <c r="BU348" i="24"/>
  <c r="BV348" i="24"/>
  <c r="BW348" i="24"/>
  <c r="BX348" i="24"/>
  <c r="BY348" i="24"/>
  <c r="BZ348" i="24"/>
  <c r="CA348" i="24"/>
  <c r="CB348" i="24"/>
  <c r="CC348" i="24"/>
  <c r="CD348" i="24"/>
  <c r="CE348" i="24"/>
  <c r="CF348" i="24"/>
  <c r="CG348" i="24"/>
  <c r="CM348" i="24"/>
  <c r="CN348" i="24"/>
  <c r="CO348" i="24"/>
  <c r="CP348" i="24"/>
  <c r="CQ348" i="24"/>
  <c r="CR348" i="24"/>
  <c r="CS348" i="24"/>
  <c r="CT348" i="24"/>
  <c r="CU348" i="24"/>
  <c r="CV348" i="24"/>
  <c r="CW348" i="24"/>
  <c r="CX348" i="24"/>
  <c r="CY348" i="24"/>
  <c r="BD352" i="24"/>
  <c r="BE352" i="24"/>
  <c r="BT352" i="24"/>
  <c r="BU352" i="24"/>
  <c r="BV352" i="24"/>
  <c r="BW352" i="24"/>
  <c r="BX352" i="24"/>
  <c r="BY352" i="24"/>
  <c r="BZ352" i="24"/>
  <c r="CA352" i="24"/>
  <c r="CB352" i="24"/>
  <c r="CC352" i="24"/>
  <c r="CD352" i="24"/>
  <c r="CE352" i="24"/>
  <c r="CF352" i="24"/>
  <c r="CG352" i="24"/>
  <c r="CL352" i="24"/>
  <c r="CM352" i="24"/>
  <c r="CN352" i="24"/>
  <c r="CO352" i="24"/>
  <c r="CP352" i="24"/>
  <c r="CQ352" i="24"/>
  <c r="CR352" i="24"/>
  <c r="CS352" i="24"/>
  <c r="CT352" i="24"/>
  <c r="CU352" i="24"/>
  <c r="CV352" i="24"/>
  <c r="CW352" i="24"/>
  <c r="CX352" i="24"/>
  <c r="CY352" i="24"/>
  <c r="BE353" i="24"/>
  <c r="BU353" i="24"/>
  <c r="BV353" i="24"/>
  <c r="BW353" i="24"/>
  <c r="BX353" i="24"/>
  <c r="BY353" i="24"/>
  <c r="BZ353" i="24"/>
  <c r="CA353" i="24"/>
  <c r="CB353" i="24"/>
  <c r="CC353" i="24"/>
  <c r="CD353" i="24"/>
  <c r="CE353" i="24"/>
  <c r="CF353" i="24"/>
  <c r="CG353" i="24"/>
  <c r="CM353" i="24"/>
  <c r="CN353" i="24"/>
  <c r="CO353" i="24"/>
  <c r="CP353" i="24"/>
  <c r="CQ353" i="24"/>
  <c r="CR353" i="24"/>
  <c r="CS353" i="24"/>
  <c r="CT353" i="24"/>
  <c r="CU353" i="24"/>
  <c r="CV353" i="24"/>
  <c r="CW353" i="24"/>
  <c r="CX353" i="24"/>
  <c r="CY353" i="24"/>
  <c r="BT354" i="24"/>
  <c r="BU354" i="24"/>
  <c r="BV354" i="24"/>
  <c r="BW354" i="24"/>
  <c r="BX354" i="24"/>
  <c r="BY354" i="24"/>
  <c r="BZ354" i="24"/>
  <c r="CA354" i="24"/>
  <c r="CB354" i="24"/>
  <c r="CC354" i="24"/>
  <c r="CD354" i="24"/>
  <c r="CE354" i="24"/>
  <c r="CF354" i="24"/>
  <c r="CG354" i="24"/>
  <c r="CL354" i="24"/>
  <c r="CM354" i="24"/>
  <c r="CN354" i="24"/>
  <c r="CO354" i="24"/>
  <c r="CP354" i="24"/>
  <c r="CQ354" i="24"/>
  <c r="CR354" i="24"/>
  <c r="CS354" i="24"/>
  <c r="CT354" i="24"/>
  <c r="CU354" i="24"/>
  <c r="CV354" i="24"/>
  <c r="CW354" i="24"/>
  <c r="CX354" i="24"/>
  <c r="CY354" i="24"/>
  <c r="BT355" i="24"/>
  <c r="BU355" i="24"/>
  <c r="BV355" i="24"/>
  <c r="BW355" i="24"/>
  <c r="BX355" i="24"/>
  <c r="BY355" i="24"/>
  <c r="BZ355" i="24"/>
  <c r="CA355" i="24"/>
  <c r="CB355" i="24"/>
  <c r="CC355" i="24"/>
  <c r="CD355" i="24"/>
  <c r="CE355" i="24"/>
  <c r="CF355" i="24"/>
  <c r="CG355" i="24"/>
  <c r="CL355" i="24"/>
  <c r="CM355" i="24"/>
  <c r="CN355" i="24"/>
  <c r="CO355" i="24"/>
  <c r="CP355" i="24"/>
  <c r="CQ355" i="24"/>
  <c r="CR355" i="24"/>
  <c r="CS355" i="24"/>
  <c r="CT355" i="24"/>
  <c r="CU355" i="24"/>
  <c r="CV355" i="24"/>
  <c r="CW355" i="24"/>
  <c r="CX355" i="24"/>
  <c r="CY355" i="24"/>
  <c r="BU356" i="24"/>
  <c r="BV356" i="24"/>
  <c r="BW356" i="24"/>
  <c r="BX356" i="24"/>
  <c r="BY356" i="24"/>
  <c r="BZ356" i="24"/>
  <c r="CA356" i="24"/>
  <c r="CB356" i="24"/>
  <c r="CC356" i="24"/>
  <c r="CD356" i="24"/>
  <c r="CE356" i="24"/>
  <c r="CF356" i="24"/>
  <c r="CG356" i="24"/>
  <c r="CM356" i="24"/>
  <c r="CN356" i="24"/>
  <c r="CO356" i="24"/>
  <c r="CP356" i="24"/>
  <c r="CQ356" i="24"/>
  <c r="CR356" i="24"/>
  <c r="CS356" i="24"/>
  <c r="CT356" i="24"/>
  <c r="CU356" i="24"/>
  <c r="CV356" i="24"/>
  <c r="CW356" i="24"/>
  <c r="CX356" i="24"/>
  <c r="CY356" i="24"/>
  <c r="BT357" i="24"/>
  <c r="BU357" i="24"/>
  <c r="BV357" i="24"/>
  <c r="BW357" i="24"/>
  <c r="BX357" i="24"/>
  <c r="BY357" i="24"/>
  <c r="BZ357" i="24"/>
  <c r="CA357" i="24"/>
  <c r="CB357" i="24"/>
  <c r="CC357" i="24"/>
  <c r="CD357" i="24"/>
  <c r="CE357" i="24"/>
  <c r="CF357" i="24"/>
  <c r="CG357" i="24"/>
  <c r="CL357" i="24"/>
  <c r="CM357" i="24"/>
  <c r="CN357" i="24"/>
  <c r="CO357" i="24"/>
  <c r="CP357" i="24"/>
  <c r="CQ357" i="24"/>
  <c r="CR357" i="24"/>
  <c r="CS357" i="24"/>
  <c r="CT357" i="24"/>
  <c r="CU357" i="24"/>
  <c r="CV357" i="24"/>
  <c r="CW357" i="24"/>
  <c r="CX357" i="24"/>
  <c r="CY357" i="24"/>
  <c r="BU358" i="24"/>
  <c r="BV358" i="24"/>
  <c r="BW358" i="24"/>
  <c r="BX358" i="24"/>
  <c r="BY358" i="24"/>
  <c r="BZ358" i="24"/>
  <c r="CA358" i="24"/>
  <c r="CB358" i="24"/>
  <c r="CC358" i="24"/>
  <c r="CD358" i="24"/>
  <c r="CE358" i="24"/>
  <c r="CF358" i="24"/>
  <c r="CG358" i="24"/>
  <c r="CM358" i="24"/>
  <c r="CN358" i="24"/>
  <c r="CO358" i="24"/>
  <c r="CP358" i="24"/>
  <c r="CQ358" i="24"/>
  <c r="CR358" i="24"/>
  <c r="CS358" i="24"/>
  <c r="CT358" i="24"/>
  <c r="CU358" i="24"/>
  <c r="CV358" i="24"/>
  <c r="CW358" i="24"/>
  <c r="CX358" i="24"/>
  <c r="CY358" i="24"/>
  <c r="BP359" i="24"/>
  <c r="BQ359" i="24"/>
  <c r="BR359" i="24"/>
  <c r="BS359" i="24"/>
  <c r="BT359" i="24"/>
  <c r="BU359" i="24"/>
  <c r="BV359" i="24"/>
  <c r="BW359" i="24"/>
  <c r="BX359" i="24"/>
  <c r="BY359" i="24"/>
  <c r="BZ359" i="24"/>
  <c r="CA359" i="24"/>
  <c r="CB359" i="24"/>
  <c r="CC359" i="24"/>
  <c r="CD359" i="24"/>
  <c r="CE359" i="24"/>
  <c r="CF359" i="24"/>
  <c r="CG359" i="24"/>
  <c r="CI359" i="24"/>
  <c r="CJ359" i="24"/>
  <c r="CK359" i="24"/>
  <c r="CL359" i="24"/>
  <c r="CM359" i="24"/>
  <c r="CN359" i="24"/>
  <c r="CO359" i="24"/>
  <c r="CP359" i="24"/>
  <c r="CQ359" i="24"/>
  <c r="CR359" i="24"/>
  <c r="CS359" i="24"/>
  <c r="CT359" i="24"/>
  <c r="CU359" i="24"/>
  <c r="CV359" i="24"/>
  <c r="CW359" i="24"/>
  <c r="CX359" i="24"/>
  <c r="CY359" i="24"/>
  <c r="BU360" i="24"/>
  <c r="BV360" i="24"/>
  <c r="BW360" i="24"/>
  <c r="BX360" i="24"/>
  <c r="BY360" i="24"/>
  <c r="BZ360" i="24"/>
  <c r="CA360" i="24"/>
  <c r="CB360" i="24"/>
  <c r="CC360" i="24"/>
  <c r="CD360" i="24"/>
  <c r="CE360" i="24"/>
  <c r="CF360" i="24"/>
  <c r="CG360" i="24"/>
  <c r="CM360" i="24"/>
  <c r="CN360" i="24"/>
  <c r="CO360" i="24"/>
  <c r="CP360" i="24"/>
  <c r="CQ360" i="24"/>
  <c r="CR360" i="24"/>
  <c r="CS360" i="24"/>
  <c r="CT360" i="24"/>
  <c r="CU360" i="24"/>
  <c r="CV360" i="24"/>
  <c r="CW360" i="24"/>
  <c r="CX360" i="24"/>
  <c r="CY360" i="24"/>
  <c r="BE361" i="24"/>
  <c r="BU361" i="24"/>
  <c r="BV361" i="24"/>
  <c r="BW361" i="24"/>
  <c r="BX361" i="24"/>
  <c r="BY361" i="24"/>
  <c r="BZ361" i="24"/>
  <c r="CA361" i="24"/>
  <c r="CB361" i="24"/>
  <c r="CC361" i="24"/>
  <c r="CD361" i="24"/>
  <c r="CE361" i="24"/>
  <c r="CF361" i="24"/>
  <c r="CG361" i="24"/>
  <c r="CM361" i="24"/>
  <c r="CN361" i="24"/>
  <c r="CO361" i="24"/>
  <c r="CP361" i="24"/>
  <c r="CQ361" i="24"/>
  <c r="CR361" i="24"/>
  <c r="CS361" i="24"/>
  <c r="CT361" i="24"/>
  <c r="CU361" i="24"/>
  <c r="CV361" i="24"/>
  <c r="CW361" i="24"/>
  <c r="CX361" i="24"/>
  <c r="CY361" i="24"/>
  <c r="BU362" i="24"/>
  <c r="BV362" i="24"/>
  <c r="BW362" i="24"/>
  <c r="BX362" i="24"/>
  <c r="BY362" i="24"/>
  <c r="BZ362" i="24"/>
  <c r="CA362" i="24"/>
  <c r="CB362" i="24"/>
  <c r="CC362" i="24"/>
  <c r="CD362" i="24"/>
  <c r="CE362" i="24"/>
  <c r="CF362" i="24"/>
  <c r="CG362" i="24"/>
  <c r="CM362" i="24"/>
  <c r="CN362" i="24"/>
  <c r="CO362" i="24"/>
  <c r="CP362" i="24"/>
  <c r="CQ362" i="24"/>
  <c r="CR362" i="24"/>
  <c r="CS362" i="24"/>
  <c r="CT362" i="24"/>
  <c r="CU362" i="24"/>
  <c r="CV362" i="24"/>
  <c r="CW362" i="24"/>
  <c r="CX362" i="24"/>
  <c r="CY362" i="24"/>
  <c r="BT363" i="24"/>
  <c r="BU363" i="24"/>
  <c r="BV363" i="24"/>
  <c r="BW363" i="24"/>
  <c r="BX363" i="24"/>
  <c r="BY363" i="24"/>
  <c r="BZ363" i="24"/>
  <c r="CA363" i="24"/>
  <c r="CB363" i="24"/>
  <c r="CC363" i="24"/>
  <c r="CD363" i="24"/>
  <c r="CE363" i="24"/>
  <c r="CF363" i="24"/>
  <c r="CG363" i="24"/>
  <c r="CL363" i="24"/>
  <c r="CM363" i="24"/>
  <c r="CN363" i="24"/>
  <c r="CO363" i="24"/>
  <c r="CP363" i="24"/>
  <c r="CQ363" i="24"/>
  <c r="CR363" i="24"/>
  <c r="CS363" i="24"/>
  <c r="CT363" i="24"/>
  <c r="CU363" i="24"/>
  <c r="CV363" i="24"/>
  <c r="CW363" i="24"/>
  <c r="CX363" i="24"/>
  <c r="CY363" i="24"/>
  <c r="BT365" i="24"/>
  <c r="BU365" i="24"/>
  <c r="BV365" i="24"/>
  <c r="BW365" i="24"/>
  <c r="BX365" i="24"/>
  <c r="BY365" i="24"/>
  <c r="BZ365" i="24"/>
  <c r="CA365" i="24"/>
  <c r="CB365" i="24"/>
  <c r="CC365" i="24"/>
  <c r="CD365" i="24"/>
  <c r="CE365" i="24"/>
  <c r="CF365" i="24"/>
  <c r="CG365" i="24"/>
  <c r="CL365" i="24"/>
  <c r="CM365" i="24"/>
  <c r="CN365" i="24"/>
  <c r="CO365" i="24"/>
  <c r="CP365" i="24"/>
  <c r="CQ365" i="24"/>
  <c r="CR365" i="24"/>
  <c r="CS365" i="24"/>
  <c r="CT365" i="24"/>
  <c r="CU365" i="24"/>
  <c r="CV365" i="24"/>
  <c r="CW365" i="24"/>
  <c r="CX365" i="24"/>
  <c r="CY365" i="24"/>
  <c r="BT367" i="24"/>
  <c r="BU367" i="24"/>
  <c r="BV367" i="24"/>
  <c r="BW367" i="24"/>
  <c r="BX367" i="24"/>
  <c r="BY367" i="24"/>
  <c r="BZ367" i="24"/>
  <c r="CA367" i="24"/>
  <c r="CB367" i="24"/>
  <c r="CC367" i="24"/>
  <c r="CD367" i="24"/>
  <c r="CE367" i="24"/>
  <c r="CF367" i="24"/>
  <c r="CG367" i="24"/>
  <c r="CL367" i="24"/>
  <c r="CM367" i="24"/>
  <c r="CN367" i="24"/>
  <c r="CO367" i="24"/>
  <c r="CP367" i="24"/>
  <c r="CQ367" i="24"/>
  <c r="CR367" i="24"/>
  <c r="CS367" i="24"/>
  <c r="CT367" i="24"/>
  <c r="CU367" i="24"/>
  <c r="CV367" i="24"/>
  <c r="CW367" i="24"/>
  <c r="CX367" i="24"/>
  <c r="CY367" i="24"/>
  <c r="BT369" i="24"/>
  <c r="BU369" i="24"/>
  <c r="BV369" i="24"/>
  <c r="BW369" i="24"/>
  <c r="BX369" i="24"/>
  <c r="BY369" i="24"/>
  <c r="BZ369" i="24"/>
  <c r="CA369" i="24"/>
  <c r="CB369" i="24"/>
  <c r="CC369" i="24"/>
  <c r="CD369" i="24"/>
  <c r="CE369" i="24"/>
  <c r="CF369" i="24"/>
  <c r="CG369" i="24"/>
  <c r="CL369" i="24"/>
  <c r="CM369" i="24"/>
  <c r="CN369" i="24"/>
  <c r="CO369" i="24"/>
  <c r="CP369" i="24"/>
  <c r="CQ369" i="24"/>
  <c r="CR369" i="24"/>
  <c r="CS369" i="24"/>
  <c r="CT369" i="24"/>
  <c r="CU369" i="24"/>
  <c r="CV369" i="24"/>
  <c r="CW369" i="24"/>
  <c r="CX369" i="24"/>
  <c r="CY369" i="24"/>
  <c r="BT370" i="24"/>
  <c r="BU370" i="24"/>
  <c r="BV370" i="24"/>
  <c r="BW370" i="24"/>
  <c r="BX370" i="24"/>
  <c r="BY370" i="24"/>
  <c r="BZ370" i="24"/>
  <c r="CA370" i="24"/>
  <c r="CB370" i="24"/>
  <c r="CC370" i="24"/>
  <c r="CD370" i="24"/>
  <c r="CE370" i="24"/>
  <c r="CF370" i="24"/>
  <c r="CG370" i="24"/>
  <c r="CL370" i="24"/>
  <c r="CM370" i="24"/>
  <c r="CN370" i="24"/>
  <c r="CO370" i="24"/>
  <c r="CP370" i="24"/>
  <c r="CQ370" i="24"/>
  <c r="CR370" i="24"/>
  <c r="CS370" i="24"/>
  <c r="CT370" i="24"/>
  <c r="CU370" i="24"/>
  <c r="CV370" i="24"/>
  <c r="CW370" i="24"/>
  <c r="CX370" i="24"/>
  <c r="CY370" i="24"/>
  <c r="BT371" i="24"/>
  <c r="BU371" i="24"/>
  <c r="BV371" i="24"/>
  <c r="BW371" i="24"/>
  <c r="BX371" i="24"/>
  <c r="BY371" i="24"/>
  <c r="BZ371" i="24"/>
  <c r="CA371" i="24"/>
  <c r="CB371" i="24"/>
  <c r="CC371" i="24"/>
  <c r="CD371" i="24"/>
  <c r="CE371" i="24"/>
  <c r="CF371" i="24"/>
  <c r="CG371" i="24"/>
  <c r="CL371" i="24"/>
  <c r="CM371" i="24"/>
  <c r="CN371" i="24"/>
  <c r="CO371" i="24"/>
  <c r="CP371" i="24"/>
  <c r="CQ371" i="24"/>
  <c r="CR371" i="24"/>
  <c r="CS371" i="24"/>
  <c r="CT371" i="24"/>
  <c r="CU371" i="24"/>
  <c r="CV371" i="24"/>
  <c r="CW371" i="24"/>
  <c r="CX371" i="24"/>
  <c r="CY371" i="24"/>
  <c r="BT372" i="24"/>
  <c r="BU372" i="24"/>
  <c r="BV372" i="24"/>
  <c r="BW372" i="24"/>
  <c r="BX372" i="24"/>
  <c r="BY372" i="24"/>
  <c r="BZ372" i="24"/>
  <c r="CA372" i="24"/>
  <c r="CB372" i="24"/>
  <c r="CC372" i="24"/>
  <c r="CD372" i="24"/>
  <c r="CE372" i="24"/>
  <c r="CF372" i="24"/>
  <c r="CG372" i="24"/>
  <c r="CL372" i="24"/>
  <c r="CM372" i="24"/>
  <c r="CN372" i="24"/>
  <c r="CO372" i="24"/>
  <c r="CP372" i="24"/>
  <c r="CQ372" i="24"/>
  <c r="CR372" i="24"/>
  <c r="CS372" i="24"/>
  <c r="CT372" i="24"/>
  <c r="CU372" i="24"/>
  <c r="CV372" i="24"/>
  <c r="CW372" i="24"/>
  <c r="CX372" i="24"/>
  <c r="CY372" i="24"/>
  <c r="F373" i="24"/>
  <c r="G373" i="24"/>
  <c r="H373" i="24"/>
  <c r="I373" i="24"/>
  <c r="J373" i="24"/>
  <c r="K373" i="24"/>
  <c r="L373" i="24"/>
  <c r="M373" i="24"/>
  <c r="N373" i="24"/>
  <c r="O373" i="24"/>
  <c r="P373" i="24"/>
  <c r="Q373" i="24"/>
  <c r="R373" i="24"/>
  <c r="S373" i="24"/>
  <c r="T373" i="24"/>
  <c r="U373" i="24"/>
  <c r="V373" i="24"/>
  <c r="W373" i="24"/>
  <c r="X373" i="24"/>
  <c r="Y373" i="24"/>
  <c r="Z373" i="24"/>
  <c r="AA373" i="24"/>
  <c r="AB373" i="24"/>
  <c r="AC373" i="24"/>
  <c r="AD373" i="24"/>
  <c r="AE373" i="24"/>
  <c r="AF373" i="24"/>
  <c r="AG373" i="24"/>
  <c r="AH373" i="24"/>
  <c r="AI373" i="24"/>
  <c r="AJ373" i="24"/>
  <c r="AK373" i="24"/>
  <c r="AL373" i="24"/>
  <c r="AM373" i="24"/>
  <c r="AN373" i="24"/>
  <c r="AO373" i="24"/>
  <c r="AP373" i="24"/>
  <c r="AQ373" i="24"/>
  <c r="AR373" i="24"/>
  <c r="AS373" i="24"/>
  <c r="AT373" i="24"/>
  <c r="AU373" i="24"/>
  <c r="AV373" i="24"/>
  <c r="AW373" i="24"/>
  <c r="AX373" i="24"/>
  <c r="AY373" i="24"/>
  <c r="AZ373" i="24"/>
  <c r="BA373" i="24"/>
  <c r="BB373" i="24"/>
  <c r="BC373" i="24"/>
  <c r="BD373" i="24"/>
  <c r="BE373" i="24"/>
  <c r="BF373" i="24"/>
  <c r="BG373" i="24"/>
  <c r="BH373" i="24"/>
  <c r="BI373" i="24"/>
  <c r="BJ373" i="24"/>
  <c r="BK373" i="24"/>
  <c r="BL373" i="24"/>
  <c r="BM373" i="24"/>
  <c r="BN373" i="24"/>
  <c r="BO373" i="24"/>
  <c r="BP373" i="24"/>
  <c r="BQ373" i="24"/>
  <c r="BR373" i="24"/>
  <c r="BS373" i="24"/>
  <c r="BT373" i="24"/>
  <c r="BU373" i="24"/>
  <c r="BV373" i="24"/>
  <c r="BW373" i="24"/>
  <c r="BX373" i="24"/>
  <c r="BY373" i="24"/>
  <c r="BZ373" i="24"/>
  <c r="CA373" i="24"/>
  <c r="CB373" i="24"/>
  <c r="CC373" i="24"/>
  <c r="CD373" i="24"/>
  <c r="CE373" i="24"/>
  <c r="CF373" i="24"/>
  <c r="CG373" i="24"/>
  <c r="CI373" i="24"/>
  <c r="CJ373" i="24"/>
  <c r="CK373" i="24"/>
  <c r="CL373" i="24"/>
  <c r="CM373" i="24"/>
  <c r="CN373" i="24"/>
  <c r="CO373" i="24"/>
  <c r="CP373" i="24"/>
  <c r="CQ373" i="24"/>
  <c r="CR373" i="24"/>
  <c r="CS373" i="24"/>
  <c r="CT373" i="24"/>
  <c r="CU373" i="24"/>
  <c r="CV373" i="24"/>
  <c r="CW373" i="24"/>
  <c r="CX373" i="24"/>
  <c r="CY373" i="24"/>
  <c r="E374" i="24"/>
  <c r="N374" i="24"/>
  <c r="U374" i="24"/>
  <c r="AF374" i="24"/>
  <c r="AQ374" i="24"/>
  <c r="AZ374" i="24"/>
  <c r="BH374" i="24"/>
  <c r="BP374" i="24"/>
  <c r="BQ374" i="24"/>
  <c r="CI374" i="24"/>
  <c r="E375" i="24"/>
  <c r="N375" i="24"/>
  <c r="U375" i="24"/>
  <c r="AF375" i="24"/>
  <c r="AQ375" i="24"/>
  <c r="AZ375" i="24"/>
  <c r="BH375" i="24"/>
  <c r="BP375" i="24"/>
  <c r="BQ375" i="24"/>
  <c r="CI375" i="24"/>
  <c r="BP376" i="24"/>
  <c r="BT377" i="24"/>
  <c r="BU377" i="24"/>
  <c r="BV377" i="24"/>
  <c r="BW377" i="24"/>
  <c r="BX377" i="24"/>
  <c r="BY377" i="24"/>
  <c r="BZ377" i="24"/>
  <c r="CA377" i="24"/>
  <c r="CB377" i="24"/>
  <c r="CC377" i="24"/>
  <c r="CD377" i="24"/>
  <c r="CE377" i="24"/>
  <c r="CF377" i="24"/>
  <c r="CG377" i="24"/>
  <c r="CL377" i="24"/>
  <c r="CM377" i="24"/>
  <c r="CN377" i="24"/>
  <c r="CO377" i="24"/>
  <c r="CP377" i="24"/>
  <c r="CQ377" i="24"/>
  <c r="CR377" i="24"/>
  <c r="CS377" i="24"/>
  <c r="CT377" i="24"/>
  <c r="CU377" i="24"/>
  <c r="CV377" i="24"/>
  <c r="CW377" i="24"/>
  <c r="CX377" i="24"/>
  <c r="CY377" i="24"/>
  <c r="D378" i="24"/>
  <c r="E378" i="24"/>
  <c r="BE378" i="24"/>
  <c r="BF378" i="24"/>
  <c r="BG378" i="24"/>
  <c r="BT378" i="24"/>
  <c r="BU378" i="24"/>
  <c r="BV378" i="24"/>
  <c r="BW378" i="24"/>
  <c r="BX378" i="24"/>
  <c r="BY378" i="24"/>
  <c r="BZ378" i="24"/>
  <c r="CA378" i="24"/>
  <c r="CB378" i="24"/>
  <c r="CC378" i="24"/>
  <c r="CD378" i="24"/>
  <c r="CE378" i="24"/>
  <c r="CF378" i="24"/>
  <c r="CG378" i="24"/>
  <c r="CL378" i="24"/>
  <c r="CM378" i="24"/>
  <c r="CN378" i="24"/>
  <c r="CO378" i="24"/>
  <c r="CP378" i="24"/>
  <c r="CQ378" i="24"/>
  <c r="CR378" i="24"/>
  <c r="CS378" i="24"/>
  <c r="CT378" i="24"/>
  <c r="CU378" i="24"/>
  <c r="CV378" i="24"/>
  <c r="CW378" i="24"/>
  <c r="CX378" i="24"/>
  <c r="CY378" i="24"/>
  <c r="BT379" i="24"/>
  <c r="BU379" i="24"/>
  <c r="BV379" i="24"/>
  <c r="BW379" i="24"/>
  <c r="BX379" i="24"/>
  <c r="BY379" i="24"/>
  <c r="BZ379" i="24"/>
  <c r="CA379" i="24"/>
  <c r="CB379" i="24"/>
  <c r="CC379" i="24"/>
  <c r="CD379" i="24"/>
  <c r="CE379" i="24"/>
  <c r="CF379" i="24"/>
  <c r="CG379" i="24"/>
  <c r="CL379" i="24"/>
  <c r="CM379" i="24"/>
  <c r="CN379" i="24"/>
  <c r="CO379" i="24"/>
  <c r="CP379" i="24"/>
  <c r="CQ379" i="24"/>
  <c r="CR379" i="24"/>
  <c r="CS379" i="24"/>
  <c r="CT379" i="24"/>
  <c r="CU379" i="24"/>
  <c r="CV379" i="24"/>
  <c r="CW379" i="24"/>
  <c r="CX379" i="24"/>
  <c r="CY379" i="24"/>
  <c r="D380" i="24"/>
  <c r="E380" i="24"/>
  <c r="BE380" i="24"/>
  <c r="BF380" i="24"/>
  <c r="BG380" i="24"/>
  <c r="BU380" i="24"/>
  <c r="BV380" i="24"/>
  <c r="BW380" i="24"/>
  <c r="BX380" i="24"/>
  <c r="BY380" i="24"/>
  <c r="BZ380" i="24"/>
  <c r="CA380" i="24"/>
  <c r="CB380" i="24"/>
  <c r="CC380" i="24"/>
  <c r="CD380" i="24"/>
  <c r="CE380" i="24"/>
  <c r="CF380" i="24"/>
  <c r="CG380" i="24"/>
  <c r="CM380" i="24"/>
  <c r="CN380" i="24"/>
  <c r="CO380" i="24"/>
  <c r="CP380" i="24"/>
  <c r="CQ380" i="24"/>
  <c r="CR380" i="24"/>
  <c r="CS380" i="24"/>
  <c r="CT380" i="24"/>
  <c r="CU380" i="24"/>
  <c r="CV380" i="24"/>
  <c r="CW380" i="24"/>
  <c r="CX380" i="24"/>
  <c r="CY380" i="24"/>
  <c r="D381" i="24"/>
  <c r="E381" i="24"/>
  <c r="BE381" i="24"/>
  <c r="BF381" i="24"/>
  <c r="BU381" i="24"/>
  <c r="BV381" i="24"/>
  <c r="BW381" i="24"/>
  <c r="BX381" i="24"/>
  <c r="BY381" i="24"/>
  <c r="BZ381" i="24"/>
  <c r="CA381" i="24"/>
  <c r="CB381" i="24"/>
  <c r="CC381" i="24"/>
  <c r="CD381" i="24"/>
  <c r="CE381" i="24"/>
  <c r="CF381" i="24"/>
  <c r="CG381" i="24"/>
  <c r="CM381" i="24"/>
  <c r="CN381" i="24"/>
  <c r="CO381" i="24"/>
  <c r="CP381" i="24"/>
  <c r="CQ381" i="24"/>
  <c r="CR381" i="24"/>
  <c r="CS381" i="24"/>
  <c r="CT381" i="24"/>
  <c r="CU381" i="24"/>
  <c r="CV381" i="24"/>
  <c r="CW381" i="24"/>
  <c r="CX381" i="24"/>
  <c r="CY381" i="24"/>
  <c r="BE384" i="24"/>
  <c r="BT384" i="24"/>
  <c r="BU384" i="24"/>
  <c r="BV384" i="24"/>
  <c r="BW384" i="24"/>
  <c r="BX384" i="24"/>
  <c r="BY384" i="24"/>
  <c r="BZ384" i="24"/>
  <c r="CA384" i="24"/>
  <c r="CB384" i="24"/>
  <c r="CC384" i="24"/>
  <c r="CD384" i="24"/>
  <c r="CE384" i="24"/>
  <c r="CF384" i="24"/>
  <c r="CG384" i="24"/>
  <c r="CL384" i="24"/>
  <c r="CM384" i="24"/>
  <c r="CN384" i="24"/>
  <c r="CO384" i="24"/>
  <c r="CP384" i="24"/>
  <c r="CQ384" i="24"/>
  <c r="CR384" i="24"/>
  <c r="CS384" i="24"/>
  <c r="CT384" i="24"/>
  <c r="CU384" i="24"/>
  <c r="CV384" i="24"/>
  <c r="CW384" i="24"/>
  <c r="CX384" i="24"/>
  <c r="CY384" i="24"/>
  <c r="BD385" i="24"/>
  <c r="BE385" i="24"/>
  <c r="BT385" i="24"/>
  <c r="BU385" i="24"/>
  <c r="BV385" i="24"/>
  <c r="BW385" i="24"/>
  <c r="BX385" i="24"/>
  <c r="BY385" i="24"/>
  <c r="BZ385" i="24"/>
  <c r="CA385" i="24"/>
  <c r="CB385" i="24"/>
  <c r="CC385" i="24"/>
  <c r="CD385" i="24"/>
  <c r="CE385" i="24"/>
  <c r="CF385" i="24"/>
  <c r="CG385" i="24"/>
  <c r="CL385" i="24"/>
  <c r="CM385" i="24"/>
  <c r="CN385" i="24"/>
  <c r="CO385" i="24"/>
  <c r="CP385" i="24"/>
  <c r="CQ385" i="24"/>
  <c r="CR385" i="24"/>
  <c r="CS385" i="24"/>
  <c r="CT385" i="24"/>
  <c r="CU385" i="24"/>
  <c r="CV385" i="24"/>
  <c r="CW385" i="24"/>
  <c r="CX385" i="24"/>
  <c r="CY385" i="24"/>
  <c r="BC390" i="24"/>
  <c r="BD390" i="24"/>
  <c r="BE390" i="24"/>
  <c r="BC391" i="24"/>
  <c r="BD391" i="24"/>
  <c r="BE391" i="24"/>
  <c r="BU391" i="24"/>
  <c r="BV391" i="24"/>
  <c r="BW391" i="24"/>
  <c r="BX391" i="24"/>
  <c r="BY391" i="24"/>
  <c r="BZ391" i="24"/>
  <c r="CA391" i="24"/>
  <c r="CB391" i="24"/>
  <c r="CC391" i="24"/>
  <c r="CD391" i="24"/>
  <c r="CE391" i="24"/>
  <c r="CF391" i="24"/>
  <c r="CG391" i="24"/>
  <c r="CM391" i="24"/>
  <c r="CN391" i="24"/>
  <c r="CO391" i="24"/>
  <c r="CP391" i="24"/>
  <c r="CQ391" i="24"/>
  <c r="CR391" i="24"/>
  <c r="CS391" i="24"/>
  <c r="CT391" i="24"/>
  <c r="CU391" i="24"/>
  <c r="CV391" i="24"/>
  <c r="CW391" i="24"/>
  <c r="CX391" i="24"/>
  <c r="CY391" i="24"/>
  <c r="BU392" i="24"/>
  <c r="BV392" i="24"/>
  <c r="BW392" i="24"/>
  <c r="BX392" i="24"/>
  <c r="BY392" i="24"/>
  <c r="BZ392" i="24"/>
  <c r="CA392" i="24"/>
  <c r="CB392" i="24"/>
  <c r="CC392" i="24"/>
  <c r="CD392" i="24"/>
  <c r="CE392" i="24"/>
  <c r="CF392" i="24"/>
  <c r="CG392" i="24"/>
  <c r="CM392" i="24"/>
  <c r="CN392" i="24"/>
  <c r="CO392" i="24"/>
  <c r="CP392" i="24"/>
  <c r="CQ392" i="24"/>
  <c r="CR392" i="24"/>
  <c r="CS392" i="24"/>
  <c r="CT392" i="24"/>
  <c r="CU392" i="24"/>
  <c r="CV392" i="24"/>
  <c r="CW392" i="24"/>
  <c r="CX392" i="24"/>
  <c r="CY392" i="24"/>
  <c r="BT397" i="24"/>
  <c r="BU397" i="24"/>
  <c r="BV397" i="24"/>
  <c r="BW397" i="24"/>
  <c r="BX397" i="24"/>
  <c r="BY397" i="24"/>
  <c r="BZ397" i="24"/>
  <c r="CA397" i="24"/>
  <c r="CB397" i="24"/>
  <c r="CC397" i="24"/>
  <c r="CD397" i="24"/>
  <c r="CE397" i="24"/>
  <c r="CF397" i="24"/>
  <c r="CG397" i="24"/>
  <c r="CL397" i="24"/>
  <c r="CM397" i="24"/>
  <c r="CN397" i="24"/>
  <c r="CO397" i="24"/>
  <c r="CP397" i="24"/>
  <c r="CQ397" i="24"/>
  <c r="CR397" i="24"/>
  <c r="CS397" i="24"/>
  <c r="CT397" i="24"/>
  <c r="CU397" i="24"/>
  <c r="CV397" i="24"/>
  <c r="CW397" i="24"/>
  <c r="CX397" i="24"/>
  <c r="CY397" i="24"/>
  <c r="BC398" i="24"/>
  <c r="BD398" i="24"/>
  <c r="BE398" i="24"/>
  <c r="BU398" i="24"/>
  <c r="BV398" i="24"/>
  <c r="BW398" i="24"/>
  <c r="BX398" i="24"/>
  <c r="BY398" i="24"/>
  <c r="BZ398" i="24"/>
  <c r="CA398" i="24"/>
  <c r="CB398" i="24"/>
  <c r="CC398" i="24"/>
  <c r="CD398" i="24"/>
  <c r="CE398" i="24"/>
  <c r="CF398" i="24"/>
  <c r="CG398" i="24"/>
  <c r="CM398" i="24"/>
  <c r="CN398" i="24"/>
  <c r="CO398" i="24"/>
  <c r="CP398" i="24"/>
  <c r="CQ398" i="24"/>
  <c r="CR398" i="24"/>
  <c r="CS398" i="24"/>
  <c r="CT398" i="24"/>
  <c r="CU398" i="24"/>
  <c r="CV398" i="24"/>
  <c r="CW398" i="24"/>
  <c r="CX398" i="24"/>
  <c r="CY398" i="24"/>
  <c r="BE399" i="24"/>
  <c r="BE400" i="24"/>
  <c r="BE401" i="24"/>
  <c r="BE402" i="24"/>
  <c r="BU415" i="24"/>
  <c r="BV415" i="24"/>
  <c r="BW415" i="24"/>
  <c r="BX415" i="24"/>
  <c r="BY415" i="24"/>
  <c r="BZ415" i="24"/>
  <c r="CA415" i="24"/>
  <c r="CB415" i="24"/>
  <c r="CC415" i="24"/>
  <c r="CD415" i="24"/>
  <c r="CE415" i="24"/>
  <c r="CF415" i="24"/>
  <c r="CG415" i="24"/>
  <c r="CM415" i="24"/>
  <c r="CN415" i="24"/>
  <c r="CO415" i="24"/>
  <c r="CP415" i="24"/>
  <c r="CQ415" i="24"/>
  <c r="CR415" i="24"/>
  <c r="CS415" i="24"/>
  <c r="CT415" i="24"/>
  <c r="CU415" i="24"/>
  <c r="CV415" i="24"/>
  <c r="CW415" i="24"/>
  <c r="CX415" i="24"/>
  <c r="CY415" i="24"/>
  <c r="BU417" i="24"/>
  <c r="BV417" i="24"/>
  <c r="BW417" i="24"/>
  <c r="BX417" i="24"/>
  <c r="BY417" i="24"/>
  <c r="BZ417" i="24"/>
  <c r="CA417" i="24"/>
  <c r="CB417" i="24"/>
  <c r="CC417" i="24"/>
  <c r="CD417" i="24"/>
  <c r="CE417" i="24"/>
  <c r="CF417" i="24"/>
  <c r="CG417" i="24"/>
  <c r="CM417" i="24"/>
  <c r="CN417" i="24"/>
  <c r="CO417" i="24"/>
  <c r="CP417" i="24"/>
  <c r="CQ417" i="24"/>
  <c r="CR417" i="24"/>
  <c r="CS417" i="24"/>
  <c r="CT417" i="24"/>
  <c r="CU417" i="24"/>
  <c r="CV417" i="24"/>
  <c r="CW417" i="24"/>
  <c r="CX417" i="24"/>
  <c r="CY417" i="24"/>
  <c r="BF423" i="24"/>
  <c r="BU423" i="24"/>
  <c r="BV423" i="24"/>
  <c r="BW423" i="24"/>
  <c r="BX423" i="24"/>
  <c r="BY423" i="24"/>
  <c r="BZ423" i="24"/>
  <c r="CA423" i="24"/>
  <c r="CB423" i="24"/>
  <c r="CC423" i="24"/>
  <c r="CD423" i="24"/>
  <c r="CE423" i="24"/>
  <c r="CF423" i="24"/>
  <c r="CG423" i="24"/>
  <c r="CM423" i="24"/>
  <c r="CN423" i="24"/>
  <c r="CO423" i="24"/>
  <c r="CP423" i="24"/>
  <c r="CQ423" i="24"/>
  <c r="CR423" i="24"/>
  <c r="CS423" i="24"/>
  <c r="CT423" i="24"/>
  <c r="CU423" i="24"/>
  <c r="CV423" i="24"/>
  <c r="CW423" i="24"/>
  <c r="CX423" i="24"/>
  <c r="CY423" i="24"/>
  <c r="BV424" i="24"/>
  <c r="BW424" i="24"/>
  <c r="BX424" i="24"/>
  <c r="BY424" i="24"/>
  <c r="BZ424" i="24"/>
  <c r="CA424" i="24"/>
  <c r="CB424" i="24"/>
  <c r="CC424" i="24"/>
  <c r="CD424" i="24"/>
  <c r="CE424" i="24"/>
  <c r="CF424" i="24"/>
  <c r="CG424" i="24"/>
  <c r="CN424" i="24"/>
  <c r="CO424" i="24"/>
  <c r="CP424" i="24"/>
  <c r="CQ424" i="24"/>
  <c r="CR424" i="24"/>
  <c r="CS424" i="24"/>
  <c r="CT424" i="24"/>
  <c r="CU424" i="24"/>
  <c r="CV424" i="24"/>
  <c r="CW424" i="24"/>
  <c r="CX424" i="24"/>
  <c r="CY424" i="24"/>
  <c r="BF425" i="24"/>
  <c r="BU425" i="24"/>
  <c r="BV425" i="24"/>
  <c r="BW425" i="24"/>
  <c r="BX425" i="24"/>
  <c r="BY425" i="24"/>
  <c r="BZ425" i="24"/>
  <c r="CA425" i="24"/>
  <c r="CB425" i="24"/>
  <c r="CC425" i="24"/>
  <c r="CD425" i="24"/>
  <c r="CE425" i="24"/>
  <c r="CF425" i="24"/>
  <c r="CG425" i="24"/>
  <c r="CM425" i="24"/>
  <c r="CN425" i="24"/>
  <c r="CO425" i="24"/>
  <c r="CP425" i="24"/>
  <c r="CQ425" i="24"/>
  <c r="CR425" i="24"/>
  <c r="CS425" i="24"/>
  <c r="CT425" i="24"/>
  <c r="CU425" i="24"/>
  <c r="CV425" i="24"/>
  <c r="CW425" i="24"/>
  <c r="CX425" i="24"/>
  <c r="CY425" i="24"/>
  <c r="BU426" i="24"/>
  <c r="BV426" i="24"/>
  <c r="BW426" i="24"/>
  <c r="BX426" i="24"/>
  <c r="BY426" i="24"/>
  <c r="BZ426" i="24"/>
  <c r="CA426" i="24"/>
  <c r="CB426" i="24"/>
  <c r="CC426" i="24"/>
  <c r="CD426" i="24"/>
  <c r="CE426" i="24"/>
  <c r="CF426" i="24"/>
  <c r="CG426" i="24"/>
  <c r="CM426" i="24"/>
  <c r="CN426" i="24"/>
  <c r="CO426" i="24"/>
  <c r="CP426" i="24"/>
  <c r="CQ426" i="24"/>
  <c r="CR426" i="24"/>
  <c r="CS426" i="24"/>
  <c r="CT426" i="24"/>
  <c r="CU426" i="24"/>
  <c r="CV426" i="24"/>
  <c r="CW426" i="24"/>
  <c r="CX426" i="24"/>
  <c r="CY426" i="24"/>
  <c r="BU427" i="24"/>
  <c r="BV427" i="24"/>
  <c r="BW427" i="24"/>
  <c r="BX427" i="24"/>
  <c r="BY427" i="24"/>
  <c r="BZ427" i="24"/>
  <c r="CA427" i="24"/>
  <c r="CB427" i="24"/>
  <c r="CC427" i="24"/>
  <c r="CD427" i="24"/>
  <c r="CE427" i="24"/>
  <c r="CF427" i="24"/>
  <c r="CG427" i="24"/>
  <c r="CM427" i="24"/>
  <c r="CN427" i="24"/>
  <c r="CO427" i="24"/>
  <c r="CP427" i="24"/>
  <c r="CQ427" i="24"/>
  <c r="CR427" i="24"/>
  <c r="CS427" i="24"/>
  <c r="CT427" i="24"/>
  <c r="CU427" i="24"/>
  <c r="CV427" i="24"/>
  <c r="CW427" i="24"/>
  <c r="CX427" i="24"/>
  <c r="CY427" i="24"/>
  <c r="BU428" i="24"/>
  <c r="BV428" i="24"/>
  <c r="BW428" i="24"/>
  <c r="BX428" i="24"/>
  <c r="BY428" i="24"/>
  <c r="BZ428" i="24"/>
  <c r="CA428" i="24"/>
  <c r="CB428" i="24"/>
  <c r="CC428" i="24"/>
  <c r="CD428" i="24"/>
  <c r="CE428" i="24"/>
  <c r="CF428" i="24"/>
  <c r="CG428" i="24"/>
  <c r="CM428" i="24"/>
  <c r="CN428" i="24"/>
  <c r="CO428" i="24"/>
  <c r="CP428" i="24"/>
  <c r="CQ428" i="24"/>
  <c r="CR428" i="24"/>
  <c r="CS428" i="24"/>
  <c r="CT428" i="24"/>
  <c r="CU428" i="24"/>
  <c r="CV428" i="24"/>
  <c r="CW428" i="24"/>
  <c r="CX428" i="24"/>
  <c r="CY428" i="24"/>
  <c r="BU429" i="24"/>
  <c r="BV429" i="24"/>
  <c r="BW429" i="24"/>
  <c r="BX429" i="24"/>
  <c r="BY429" i="24"/>
  <c r="BZ429" i="24"/>
  <c r="CA429" i="24"/>
  <c r="CB429" i="24"/>
  <c r="CC429" i="24"/>
  <c r="CD429" i="24"/>
  <c r="CE429" i="24"/>
  <c r="CF429" i="24"/>
  <c r="CG429" i="24"/>
  <c r="CM429" i="24"/>
  <c r="CN429" i="24"/>
  <c r="CO429" i="24"/>
  <c r="CP429" i="24"/>
  <c r="CQ429" i="24"/>
  <c r="CR429" i="24"/>
  <c r="CS429" i="24"/>
  <c r="CT429" i="24"/>
  <c r="CU429" i="24"/>
  <c r="CV429" i="24"/>
  <c r="CW429" i="24"/>
  <c r="CX429" i="24"/>
  <c r="CY429" i="24"/>
  <c r="BU430" i="24"/>
  <c r="BV430" i="24"/>
  <c r="BW430" i="24"/>
  <c r="BX430" i="24"/>
  <c r="BY430" i="24"/>
  <c r="BZ430" i="24"/>
  <c r="CA430" i="24"/>
  <c r="CB430" i="24"/>
  <c r="CC430" i="24"/>
  <c r="CD430" i="24"/>
  <c r="CE430" i="24"/>
  <c r="CF430" i="24"/>
  <c r="CG430" i="24"/>
  <c r="CM430" i="24"/>
  <c r="CN430" i="24"/>
  <c r="CO430" i="24"/>
  <c r="CP430" i="24"/>
  <c r="CQ430" i="24"/>
  <c r="CR430" i="24"/>
  <c r="CS430" i="24"/>
  <c r="CT430" i="24"/>
  <c r="CU430" i="24"/>
  <c r="CV430" i="24"/>
  <c r="CW430" i="24"/>
  <c r="CX430" i="24"/>
  <c r="CY430" i="24"/>
  <c r="BU433" i="24"/>
  <c r="BV433" i="24"/>
  <c r="BW433" i="24"/>
  <c r="BX433" i="24"/>
  <c r="BY433" i="24"/>
  <c r="BZ433" i="24"/>
  <c r="CA433" i="24"/>
  <c r="CB433" i="24"/>
  <c r="CC433" i="24"/>
  <c r="CD433" i="24"/>
  <c r="CE433" i="24"/>
  <c r="CF433" i="24"/>
  <c r="CG433" i="24"/>
  <c r="BE434" i="24"/>
  <c r="BU434" i="24"/>
  <c r="BV434" i="24"/>
  <c r="BW434" i="24"/>
  <c r="BX434" i="24"/>
  <c r="BY434" i="24"/>
  <c r="BZ434" i="24"/>
  <c r="CA434" i="24"/>
  <c r="CB434" i="24"/>
  <c r="CC434" i="24"/>
  <c r="CD434" i="24"/>
  <c r="CE434" i="24"/>
  <c r="CF434" i="24"/>
  <c r="CG434" i="24"/>
  <c r="BU435" i="24"/>
  <c r="BV435" i="24"/>
  <c r="BW435" i="24"/>
  <c r="BX435" i="24"/>
  <c r="BY435" i="24"/>
  <c r="BZ435" i="24"/>
  <c r="CA435" i="24"/>
  <c r="CB435" i="24"/>
  <c r="CC435" i="24"/>
  <c r="CD435" i="24"/>
  <c r="CE435" i="24"/>
  <c r="CF435" i="24"/>
  <c r="CG435" i="24"/>
  <c r="BU440" i="24"/>
  <c r="BV440" i="24"/>
  <c r="BW440" i="24"/>
  <c r="BX440" i="24"/>
  <c r="BY440" i="24"/>
  <c r="BZ440" i="24"/>
  <c r="CA440" i="24"/>
  <c r="CB440" i="24"/>
  <c r="CC440" i="24"/>
  <c r="CD440" i="24"/>
  <c r="CE440" i="24"/>
  <c r="CF440" i="24"/>
  <c r="CG440" i="24"/>
  <c r="BF4" i="64"/>
  <c r="BF6" i="64"/>
  <c r="BF14" i="64"/>
  <c r="BF18" i="64"/>
  <c r="BG18" i="64"/>
  <c r="BP18" i="64"/>
  <c r="BQ18" i="64"/>
  <c r="BE34" i="64"/>
  <c r="BF34" i="64"/>
  <c r="BG34" i="64"/>
  <c r="BV35" i="64"/>
  <c r="BW35" i="64"/>
  <c r="BX35" i="64"/>
  <c r="BY35" i="64"/>
  <c r="BZ35" i="64"/>
  <c r="CA35" i="64"/>
  <c r="CB35" i="64"/>
  <c r="CC35" i="64"/>
  <c r="CD35" i="64"/>
  <c r="CE35" i="64"/>
  <c r="CF35" i="64"/>
  <c r="CG35" i="64"/>
  <c r="BU36" i="64"/>
  <c r="BV36" i="64"/>
  <c r="BW36" i="64"/>
  <c r="BX36" i="64"/>
  <c r="BY36" i="64"/>
  <c r="BZ36" i="64"/>
  <c r="CA36" i="64"/>
  <c r="CB36" i="64"/>
  <c r="CC36" i="64"/>
  <c r="CD36" i="64"/>
  <c r="CE36" i="64"/>
  <c r="CF36" i="64"/>
  <c r="CG36" i="64"/>
  <c r="G115" i="79"/>
  <c r="H115" i="79"/>
  <c r="I115" i="79"/>
  <c r="J115" i="79"/>
  <c r="K115" i="79"/>
  <c r="L115" i="79"/>
  <c r="M115" i="79"/>
  <c r="N115" i="79"/>
  <c r="O115" i="79"/>
  <c r="P115" i="79"/>
  <c r="Q115" i="79"/>
  <c r="G117" i="79"/>
  <c r="H117" i="79"/>
  <c r="I117" i="79"/>
  <c r="J117" i="79"/>
  <c r="K117" i="79"/>
  <c r="L117" i="79"/>
  <c r="M117" i="79"/>
  <c r="N117" i="79"/>
  <c r="O117" i="79"/>
  <c r="P117" i="79"/>
  <c r="Q117" i="79"/>
  <c r="G139" i="79"/>
  <c r="H139" i="79"/>
  <c r="I139" i="79"/>
  <c r="J139" i="79"/>
  <c r="K139" i="79"/>
  <c r="L139" i="79"/>
  <c r="M139" i="79"/>
  <c r="N139" i="79"/>
  <c r="O139" i="79"/>
  <c r="P139" i="79"/>
  <c r="Q139" i="79"/>
  <c r="G144" i="79"/>
  <c r="H144" i="79"/>
  <c r="I144" i="79"/>
  <c r="J144" i="79"/>
  <c r="K144" i="79"/>
  <c r="L144" i="79"/>
  <c r="M144" i="79"/>
  <c r="N144" i="79"/>
  <c r="O144" i="79"/>
  <c r="P144" i="79"/>
  <c r="Q144" i="79"/>
  <c r="G155" i="79"/>
  <c r="H155" i="79"/>
  <c r="I155" i="79"/>
  <c r="J155" i="79"/>
  <c r="K155" i="79"/>
  <c r="L155" i="79"/>
  <c r="M155" i="79"/>
  <c r="N155" i="79"/>
  <c r="O155" i="79"/>
  <c r="P155" i="79"/>
  <c r="Q155" i="79"/>
  <c r="G165" i="79"/>
  <c r="H165" i="79"/>
  <c r="I165" i="79"/>
  <c r="J165" i="79"/>
  <c r="K165" i="79"/>
  <c r="L165" i="79"/>
  <c r="M165" i="79"/>
  <c r="N165" i="79"/>
  <c r="O165" i="79"/>
  <c r="P165" i="79"/>
  <c r="Q165" i="79"/>
  <c r="BB20" i="52"/>
  <c r="BB27" i="52"/>
  <c r="BD140" i="52"/>
  <c r="BE140" i="52"/>
  <c r="K13" i="71"/>
  <c r="L13" i="71"/>
  <c r="M13" i="71"/>
  <c r="N13" i="71"/>
  <c r="O13" i="71"/>
  <c r="P13" i="71"/>
  <c r="Q13" i="71"/>
  <c r="R13" i="71"/>
  <c r="S13" i="71"/>
  <c r="T13" i="71"/>
  <c r="U13" i="71"/>
  <c r="V13" i="71"/>
  <c r="W13" i="71"/>
  <c r="L14" i="71"/>
  <c r="M14" i="71"/>
  <c r="N14" i="71"/>
  <c r="O14" i="71"/>
  <c r="P14" i="71"/>
  <c r="Q14" i="71"/>
  <c r="R14" i="71"/>
  <c r="S14" i="71"/>
  <c r="T14" i="71"/>
  <c r="U14" i="71"/>
  <c r="V14" i="71"/>
  <c r="W14" i="71"/>
  <c r="L15" i="71"/>
  <c r="M15" i="71"/>
  <c r="N15" i="71"/>
  <c r="O15" i="71"/>
  <c r="P15" i="71"/>
  <c r="Q15" i="71"/>
  <c r="R15" i="71"/>
  <c r="S15" i="71"/>
  <c r="T15" i="71"/>
  <c r="U15" i="71"/>
  <c r="V15" i="71"/>
  <c r="W15" i="71"/>
  <c r="K16" i="71"/>
  <c r="L16" i="71"/>
  <c r="M16" i="71"/>
  <c r="N16" i="71"/>
  <c r="O16" i="71"/>
  <c r="P16" i="71"/>
  <c r="Q16" i="71"/>
  <c r="R16" i="71"/>
  <c r="S16" i="71"/>
  <c r="T16" i="71"/>
  <c r="U16" i="71"/>
  <c r="V16" i="71"/>
  <c r="W16" i="71"/>
  <c r="K17" i="71"/>
  <c r="L17" i="71"/>
  <c r="M17" i="71"/>
  <c r="N17" i="71"/>
  <c r="O17" i="71"/>
  <c r="P17" i="71"/>
  <c r="Q17" i="71"/>
  <c r="R17" i="71"/>
  <c r="S17" i="71"/>
  <c r="T17" i="71"/>
  <c r="U17" i="71"/>
  <c r="V17" i="71"/>
  <c r="W17" i="71"/>
  <c r="K18" i="71"/>
  <c r="L18" i="71"/>
  <c r="M18" i="71"/>
  <c r="N18" i="71"/>
  <c r="O18" i="71"/>
  <c r="P18" i="71"/>
  <c r="Q18" i="71"/>
  <c r="R18" i="71"/>
  <c r="S18" i="71"/>
  <c r="T18" i="71"/>
  <c r="U18" i="71"/>
  <c r="V18" i="71"/>
  <c r="W18" i="71"/>
  <c r="K19" i="71"/>
  <c r="L19" i="71"/>
  <c r="M19" i="71"/>
  <c r="N19" i="71"/>
  <c r="O19" i="71"/>
  <c r="P19" i="71"/>
  <c r="Q19" i="71"/>
  <c r="R19" i="71"/>
  <c r="S19" i="71"/>
  <c r="T19" i="71"/>
  <c r="U19" i="71"/>
  <c r="V19" i="71"/>
  <c r="W19" i="71"/>
  <c r="K20" i="71"/>
  <c r="L20" i="71"/>
  <c r="M20" i="71"/>
  <c r="N20" i="71"/>
  <c r="O20" i="71"/>
  <c r="P20" i="71"/>
  <c r="Q20" i="71"/>
  <c r="R20" i="71"/>
  <c r="S20" i="71"/>
  <c r="T20" i="71"/>
  <c r="U20" i="71"/>
  <c r="V20" i="71"/>
  <c r="W20" i="71"/>
  <c r="K21" i="71"/>
  <c r="L21" i="71"/>
  <c r="M21" i="71"/>
  <c r="N21" i="71"/>
  <c r="O21" i="71"/>
  <c r="P21" i="71"/>
  <c r="Q21" i="71"/>
  <c r="R21" i="71"/>
  <c r="S21" i="71"/>
  <c r="T21" i="71"/>
  <c r="U21" i="71"/>
  <c r="V21" i="71"/>
  <c r="W21" i="71"/>
  <c r="L22" i="71"/>
  <c r="M22" i="71"/>
  <c r="N22" i="71"/>
  <c r="O22" i="71"/>
  <c r="P22" i="71"/>
  <c r="Q22" i="71"/>
  <c r="R22" i="71"/>
  <c r="S22" i="71"/>
  <c r="T22" i="71"/>
  <c r="U22" i="71"/>
  <c r="V22" i="71"/>
  <c r="W22" i="71"/>
  <c r="L23" i="71"/>
  <c r="M23" i="71"/>
  <c r="N23" i="71"/>
  <c r="O23" i="71"/>
  <c r="P23" i="71"/>
  <c r="Q23" i="71"/>
  <c r="R23" i="71"/>
  <c r="S23" i="71"/>
  <c r="T23" i="71"/>
  <c r="U23" i="71"/>
  <c r="V23" i="71"/>
  <c r="W23" i="71"/>
  <c r="D6" i="65"/>
  <c r="E6" i="65"/>
  <c r="D7" i="65"/>
  <c r="E7" i="65"/>
  <c r="D8" i="65"/>
  <c r="E8" i="65"/>
  <c r="D9" i="65"/>
  <c r="E9" i="65"/>
  <c r="D11" i="65"/>
  <c r="E11" i="65"/>
  <c r="D12" i="65"/>
  <c r="E12" i="65"/>
  <c r="D13" i="65"/>
  <c r="E13" i="65"/>
  <c r="D14" i="65"/>
  <c r="E14" i="65"/>
  <c r="D15" i="65"/>
  <c r="E15" i="65"/>
  <c r="D16" i="65"/>
  <c r="E16" i="65"/>
  <c r="D17" i="65"/>
  <c r="E17" i="65"/>
  <c r="D18" i="65"/>
  <c r="E18" i="65"/>
  <c r="D19" i="65"/>
  <c r="E19" i="65"/>
  <c r="D20" i="65"/>
  <c r="E20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Mungroo Albert</author>
  </authors>
  <commentList>
    <comment ref="D80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  <comment ref="D80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Marein</author>
  </authors>
  <commentList>
    <comment ref="BQ1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er is verondersteld dat de investeringen in 2017 nog wat verder dalen
</t>
        </r>
      </text>
    </comment>
    <comment ref="BQ33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Q37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assumptie: 10% van de leningen in dit jaar is gebonden aan besteding</t>
        </r>
      </text>
    </comment>
    <comment ref="BQ4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lonen landsdienaren worden verondersteld 5% minder te stijgen dan in bedrijfsleven</t>
        </r>
      </text>
    </comment>
    <comment ref="BQ4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de lonen worden verwacht minder te stijgen dan uit de loonvergelijking volgt.</t>
        </r>
      </text>
    </comment>
    <comment ref="BU59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= vorig jaar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</author>
    <author>Marein van Schaaijk</author>
    <author>MMC</author>
  </authors>
  <commentList>
    <comment ref="BE3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10 % reele groei op basis bestedingen methode
</t>
        </r>
      </text>
    </comment>
    <comment ref="BO9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O12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S12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 xml:space="preserve">conform ABS en SPS
</t>
        </r>
      </text>
    </comment>
    <comment ref="BO302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F31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uit suryamodel op internet 8 jan 2016
</t>
        </r>
      </text>
    </comment>
    <comment ref="BO314" authorId="1" shapeId="0" xr:uid="{00000000-0006-0000-0600-000007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T330" authorId="2" shapeId="0" xr:uid="{00000000-0006-0000-0600-000008000000}">
      <text>
        <r>
          <rPr>
            <b/>
            <sz val="9"/>
            <color indexed="81"/>
            <rFont val="Tahoma"/>
            <family val="2"/>
          </rPr>
          <t>Hier stond 2580. Mar dat is niet plausibel</t>
        </r>
      </text>
    </comment>
    <comment ref="BS380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dec
</t>
        </r>
      </text>
    </comment>
    <comment ref="BT380" authorId="2" shapeId="0" xr:uid="{00000000-0006-0000-0600-00000A000000}">
      <text>
        <r>
          <rPr>
            <b/>
            <sz val="9"/>
            <color indexed="81"/>
            <rFont val="Tahoma"/>
            <family val="2"/>
          </rPr>
          <t>okt</t>
        </r>
      </text>
    </comment>
    <comment ref="BT387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 xml:space="preserve">  </t>
        </r>
      </text>
    </comment>
    <comment ref="BT388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89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0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1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2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471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 xml:space="preserve">bron IMF tabel 5 dec 2019
</t>
        </r>
      </text>
    </comment>
    <comment ref="BQ473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R473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>afgelezen in grafiek in Kwartaal raport Q1 2017 Bureau voor de Staatsschuld.
En 2 mld SRD lening met aflossing in 10 jar 30 mln US$ p.j.</t>
        </r>
      </text>
    </comment>
    <comment ref="BS47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 xml:space="preserve">conform Financiele nota 2018 tabel 1.1.1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A163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  <comment ref="A17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NB  de waarde van US$ en E chartaal geld is onbekend</t>
        </r>
      </text>
    </comment>
    <comment ref="A422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P133" authorId="0" shapeId="0" xr:uid="{AA0F68C7-BB6C-4F9C-B4CD-1F0F6FF8EDE1}">
      <text>
        <r>
          <rPr>
            <b/>
            <sz val="9"/>
            <color indexed="81"/>
            <rFont val="Tahoma"/>
            <family val="2"/>
          </rPr>
          <t xml:space="preserve">PM Obligatielening van 500 mln US$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A satisfied Microsoft Office user</author>
    <author>Nr</author>
    <author>MMC</author>
  </authors>
  <commentList>
    <comment ref="AT11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V11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P22" authorId="1" shapeId="0" xr:uid="{00000000-0006-0000-1700-000003000000}">
      <text>
        <r>
          <rPr>
            <sz val="8"/>
            <color indexed="81"/>
            <rFont val="Tahoma"/>
            <family val="2"/>
          </rPr>
          <t xml:space="preserve">Inclusief fin. EA-importen
</t>
        </r>
      </text>
    </comment>
    <comment ref="AP25" authorId="2" shapeId="0" xr:uid="{00000000-0006-0000-1700-000004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incl. EA import</t>
        </r>
      </text>
    </comment>
    <comment ref="BA25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 xml:space="preserve">correctiefactor ingevoegd want deze stijging is niet plausibel. Zie invoer in US$
</t>
        </r>
      </text>
    </comment>
    <comment ref="AP26" authorId="2" shapeId="0" xr:uid="{00000000-0006-0000-1700-000006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CBvS Betbal
dienstenverkeer
uitgaven : d
Overheidsdiensten</t>
        </r>
      </text>
    </comment>
    <comment ref="AP27" authorId="2" shapeId="0" xr:uid="{00000000-0006-0000-1700-000007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
dienstenverkeer
uitgaven: b
reisverkeer</t>
        </r>
      </text>
    </comment>
    <comment ref="AP36" authorId="1" shapeId="0" xr:uid="{00000000-0006-0000-1700-000008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Z36" authorId="1" shapeId="0" xr:uid="{00000000-0006-0000-1700-000009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P41" authorId="2" shapeId="0" xr:uid="{00000000-0006-0000-1700-00000A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inkomstenbelasting op lichamen</t>
        </r>
      </text>
    </comment>
    <comment ref="AP44" authorId="1" shapeId="0" xr:uid="{00000000-0006-0000-1700-00000B000000}">
      <text>
        <r>
          <rPr>
            <sz val="8"/>
            <color indexed="81"/>
            <rFont val="Tahoma"/>
            <family val="2"/>
          </rPr>
          <t xml:space="preserve">In NR niet apart onderscheiden tussen naar overheid en naar
 andere sectoren
</t>
        </r>
      </text>
    </comment>
    <comment ref="AP47" authorId="2" shapeId="0" xr:uid="{00000000-0006-0000-1700-00000C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 overheidsschenking</t>
        </r>
      </text>
    </comment>
    <comment ref="AP49" authorId="1" shapeId="0" xr:uid="{00000000-0006-0000-1700-00000D000000}">
      <text>
        <r>
          <rPr>
            <sz val="8"/>
            <color indexed="81"/>
            <rFont val="Tahoma"/>
            <family val="2"/>
          </rPr>
          <t xml:space="preserve">Investeringen plus netto materiele overheidsconsumptie
</t>
        </r>
      </text>
    </comment>
    <comment ref="AP58" authorId="1" shapeId="0" xr:uid="{00000000-0006-0000-1700-00000E000000}">
      <text>
        <r>
          <rPr>
            <sz val="8"/>
            <color indexed="81"/>
            <rFont val="Tahoma"/>
            <family val="2"/>
          </rPr>
          <t xml:space="preserve">In NR niet apart onderscheiden tussen van overheid en van andere sectoren
</t>
        </r>
      </text>
    </comment>
    <comment ref="AP72" authorId="1" shapeId="0" xr:uid="{00000000-0006-0000-1700-00000F000000}">
      <text>
        <r>
          <rPr>
            <sz val="8"/>
            <color indexed="81"/>
            <rFont val="Tahoma"/>
            <family val="2"/>
          </rPr>
          <t xml:space="preserve">inclusief ontwikkelingsleningen
</t>
        </r>
      </text>
    </comment>
    <comment ref="A81" authorId="1" shapeId="0" xr:uid="{00000000-0006-0000-1700-000010000000}">
      <text>
        <r>
          <rPr>
            <sz val="8"/>
            <color indexed="81"/>
            <rFont val="Tahoma"/>
            <family val="2"/>
          </rPr>
          <t xml:space="preserve">Voor 1991 tot 1994 berekend uit waardemutatie uitvoer en volumemutatie goederenuitvoer microblok
</t>
        </r>
      </text>
    </comment>
    <comment ref="A84" authorId="1" shapeId="0" xr:uid="{00000000-0006-0000-1700-000011000000}">
      <text>
        <r>
          <rPr>
            <sz val="8"/>
            <color indexed="81"/>
            <rFont val="Tahoma"/>
            <family val="2"/>
          </rPr>
          <t xml:space="preserve">Dit is geen primaire variabele maar een hulpvariabele
</t>
        </r>
      </text>
    </comment>
    <comment ref="AQ88" authorId="1" shapeId="0" xr:uid="{00000000-0006-0000-1700-000012000000}">
      <text>
        <r>
          <rPr>
            <sz val="8"/>
            <color indexed="81"/>
            <rFont val="Tahoma"/>
            <family val="2"/>
          </rPr>
          <t xml:space="preserve">berekend uit de raming voor 1990 maal de groei van de werkgelegenheid in bedrijven met 10 en meer werknemers conform ABS
</t>
        </r>
      </text>
    </comment>
    <comment ref="AR102" authorId="1" shapeId="0" xr:uid="{00000000-0006-0000-1700-000013000000}">
      <text>
        <r>
          <rPr>
            <sz val="8"/>
            <color indexed="81"/>
            <rFont val="Tahoma"/>
            <family val="2"/>
          </rPr>
          <t xml:space="preserve">average lendingrate
</t>
        </r>
      </text>
    </comment>
    <comment ref="BB105" authorId="3" shapeId="0" xr:uid="{00000000-0006-0000-1700-000014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106" authorId="1" shapeId="0" xr:uid="{00000000-0006-0000-1700-000015000000}">
      <text>
        <r>
          <rPr>
            <sz val="8"/>
            <color indexed="81"/>
            <rFont val="Tahoma"/>
            <family val="2"/>
          </rPr>
          <t xml:space="preserve">PM Dit is geen primaire variabele. Tzt elders plaatsen
</t>
        </r>
      </text>
    </comment>
    <comment ref="BB106" authorId="3" shapeId="0" xr:uid="{00000000-0006-0000-1700-000016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P108" authorId="1" shapeId="0" xr:uid="{00000000-0006-0000-1700-000017000000}">
      <text>
        <r>
          <rPr>
            <sz val="8"/>
            <color indexed="81"/>
            <rFont val="Tahoma"/>
            <family val="2"/>
          </rPr>
          <t xml:space="preserve">Retributie op bauxiet
</t>
        </r>
      </text>
    </comment>
    <comment ref="AT146" authorId="1" shapeId="0" xr:uid="{00000000-0006-0000-1700-000018000000}">
      <text>
        <r>
          <rPr>
            <sz val="8"/>
            <color indexed="81"/>
            <rFont val="Tahoma"/>
            <family val="2"/>
          </rPr>
          <t xml:space="preserve">tegen fictieve officiele koers
</t>
        </r>
      </text>
    </comment>
    <comment ref="AV148" authorId="1" shapeId="0" xr:uid="{00000000-0006-0000-1700-000019000000}">
      <text>
        <r>
          <rPr>
            <sz val="8"/>
            <color indexed="81"/>
            <rFont val="Tahoma"/>
            <family val="2"/>
          </rPr>
          <t>gesteld op een derde van waarde geinvesteerd vermogen</t>
        </r>
      </text>
    </comment>
    <comment ref="BD148" authorId="1" shapeId="0" xr:uid="{00000000-0006-0000-1700-00001A000000}">
      <text>
        <r>
          <rPr>
            <sz val="8"/>
            <color indexed="81"/>
            <rFont val="Tahoma"/>
            <family val="2"/>
          </rPr>
          <t>gesteld op de helft van van waarde geinvesteerd vermogen</t>
        </r>
      </text>
    </comment>
    <comment ref="AS247" authorId="3" shapeId="0" xr:uid="{00000000-0006-0000-1700-00001B000000}">
      <text>
        <r>
          <rPr>
            <sz val="8"/>
            <color indexed="81"/>
            <rFont val="Tahoma"/>
            <family val="2"/>
          </rPr>
          <t xml:space="preserve">pas op,juiste  koers onbekend
</t>
        </r>
      </text>
    </comment>
  </commentList>
</comments>
</file>

<file path=xl/sharedStrings.xml><?xml version="1.0" encoding="utf-8"?>
<sst xmlns="http://schemas.openxmlformats.org/spreadsheetml/2006/main" count="7129" uniqueCount="3853">
  <si>
    <t>loonvoet landsdienaren +25 % 1 sept 2018 is jaareffect in  2018 +7 en in 2019 +14% toevoegen in Assumpties BR en BS 42</t>
  </si>
  <si>
    <t>resultaat tov base line zonder stijging lonen landsdienaren:</t>
  </si>
  <si>
    <t>In 2020 en volgende jaren koersstijging. In 2020 van 7,5 naar 11,6</t>
  </si>
  <si>
    <t>Uiteindelijk wordt de rekening door de consumenten betaald door de hogere CPI in 2020, 2021 en 2022</t>
  </si>
  <si>
    <t>In vergelijking met de baseline zonder loonsverhoging landsdienaren, daalt de kopkracht van alle werknemers met 6% in 2020</t>
  </si>
  <si>
    <t>en het reele BBP zakt met 2% in 2020 tov baseline</t>
  </si>
  <si>
    <t>Zie verder in sheet Key kolom Y en verder</t>
  </si>
  <si>
    <t>de deviezenvoorraad neem in 2018 en 2019 af, maar blijft boven 3 maanden invoer, dus geen koerscorrectie in die jaren</t>
  </si>
  <si>
    <t>In 2018 en 2019 geen effect op CPI, maar in 2020 extra inflatie van 16% en in 2021 extra 10% CPI en 2022 +7%</t>
  </si>
  <si>
    <t>in mei 2018 stijgt de deviezenvoorrad met 2 miljard SRD.</t>
  </si>
  <si>
    <t>Conclusie:</t>
  </si>
  <si>
    <t>Dank zij de 2 miljard (omgerekend in SRD) buitenlandse lening, kan de deviezenvoorraad de lonsverhoging landsdienaren twee jaar opvangen. Darna volgt in 2020 en volgende jaren de afrekening.</t>
  </si>
  <si>
    <t>Als de deviezenvoorraad in de baseline boven 3 maanden invoerdekking zit, dan is er nu geen effect op de koers en geen effect op inflatie.</t>
  </si>
  <si>
    <t xml:space="preserve">De effecten van overheidslonen op de economie lopen via de betalingsbalans en wisselkoers, en zijn afhankelijk van de hoogte van de deviezenreserves in de baseline. </t>
  </si>
  <si>
    <t>Naast effect in 2018 en 2019 is er ook nog een effect  over enkele jaren als leningen moeten worden terug betaald.</t>
  </si>
  <si>
    <t xml:space="preserve">Bij verhoging van de overheidslonen stijgt de consumptie en neemt de invoer toe. Dat leidt tot een lagere dekking van de deviezen   voorraad. </t>
  </si>
  <si>
    <t>Als die onder de 3 maanden invoerdekking komt, zal de wisselkoers depreciëren totdat de deviezen op 3 maanden invoer dekking zit.  Door de hogere koers stijgt de kostprijs en neem CPI toe.</t>
  </si>
  <si>
    <t xml:space="preserve">Het is denkbaar dat loonsverhogingen voor landsdienaren de vakbonden in de particuliere sector op een idee brengen. Gaan de lonen in de particuliere sector ook omhoog, </t>
  </si>
  <si>
    <t>uitleg bij effecten verhoging overheidslonen.</t>
  </si>
  <si>
    <t>dan nog meer consumptie en invoer, dus nog meer depreciatie en inflatie. Dat is hier nog niet meegenomen.</t>
  </si>
  <si>
    <t>Dankzij honderden miljoenen US$ leningen in mei 2018 is de deviezenvoorraad in 2018 boven de 3 maanden.  Het is dus nodig om eerst een update van Suryamodel te maken.</t>
  </si>
  <si>
    <t xml:space="preserve">Als ondanks loonsverhogingen de deviezenvoorraad in 2018 en 2019 boven 3 maanden blijft, zal het effect van de huidige loonsverhogingen op de inflatie pas over enkele jaren </t>
  </si>
  <si>
    <t xml:space="preserve">zichtbaar worden. </t>
  </si>
  <si>
    <t>Als de lonen in bedrijven stijgen is er- anders dan bij de overheid- meteen efect op de inflatie. Want de lonen van bedrijven zijn een deel van de kostprijs</t>
  </si>
  <si>
    <t>, en ambtenaren slechts indirect (omdat die worden gefinancierd met belastingen).</t>
  </si>
  <si>
    <t>MacroabcSU 28 aug 2018.xls</t>
  </si>
  <si>
    <t>toeg.waarde excl. export %mut.</t>
  </si>
  <si>
    <t>YIWP</t>
  </si>
  <si>
    <t>OUTPUT (niet nodig voor draaien model)</t>
  </si>
  <si>
    <t xml:space="preserve">KERNGEGEVENS </t>
  </si>
  <si>
    <t xml:space="preserve">  % mutaties</t>
  </si>
  <si>
    <t>uitvoerprijs</t>
  </si>
  <si>
    <t>consumptieprijs</t>
  </si>
  <si>
    <t>invoerprijs</t>
  </si>
  <si>
    <t>reele groei BBP</t>
  </si>
  <si>
    <t>arbeidsplaatsen bedrijven</t>
  </si>
  <si>
    <t>financieringstekort in % BBP</t>
  </si>
  <si>
    <t>in % BBP</t>
  </si>
  <si>
    <t>Deviezenvoorraad</t>
  </si>
  <si>
    <t>Mln.US$.</t>
  </si>
  <si>
    <t>12*deviezen CBvS/invoer</t>
  </si>
  <si>
    <t>nr.month</t>
  </si>
  <si>
    <t>Winst Quote</t>
  </si>
  <si>
    <t>Quote</t>
  </si>
  <si>
    <t>OVERIGE OUTPUT:</t>
  </si>
  <si>
    <t>volume part.consumptie</t>
  </si>
  <si>
    <t>CGVP</t>
  </si>
  <si>
    <t>volume overheidsconsumptie</t>
  </si>
  <si>
    <t>CMOVP</t>
  </si>
  <si>
    <t>uitvoervolumemutatie</t>
  </si>
  <si>
    <t>BVP</t>
  </si>
  <si>
    <t>volume mutatie invoer</t>
  </si>
  <si>
    <t>MVP</t>
  </si>
  <si>
    <t>investeringen totaal</t>
  </si>
  <si>
    <t>IVP</t>
  </si>
  <si>
    <t xml:space="preserve">investeringen bedrijven </t>
  </si>
  <si>
    <t>IBVP</t>
  </si>
  <si>
    <t>investeringen  overheid</t>
  </si>
  <si>
    <t>IOVP</t>
  </si>
  <si>
    <t>vol.mut.btw.bedr.Bedrijfstakmethode</t>
  </si>
  <si>
    <t>statistisch verschil btw bedrijven</t>
  </si>
  <si>
    <t>arbeidsplaatsen overheid</t>
  </si>
  <si>
    <t>arbeidsplaatsen totaal</t>
  </si>
  <si>
    <t>bevolking</t>
  </si>
  <si>
    <t>reele groei BBP per hoofd</t>
  </si>
  <si>
    <t>loon koopkracht</t>
  </si>
  <si>
    <t xml:space="preserve">  quotes</t>
  </si>
  <si>
    <t>werkloosheidspercentage</t>
  </si>
  <si>
    <t>koers SRD/$ parrallelmarkt</t>
  </si>
  <si>
    <t xml:space="preserve">  in % BBP</t>
  </si>
  <si>
    <t>winst (cash flow)</t>
  </si>
  <si>
    <t>deviezenvoorraad</t>
  </si>
  <si>
    <t>geldhoeveelheid</t>
  </si>
  <si>
    <t>Nederlandse hulp</t>
  </si>
  <si>
    <t>loonsom  overheid in %BBP</t>
  </si>
  <si>
    <t>landsdienaren in % bevolking</t>
  </si>
  <si>
    <t xml:space="preserve">  aandelen in BBPin %</t>
  </si>
  <si>
    <t>Consumptie gezinnen</t>
  </si>
  <si>
    <t>Consumptie overheid</t>
  </si>
  <si>
    <t>Investeringen bedrijven</t>
  </si>
  <si>
    <t>Investeringen overheid</t>
  </si>
  <si>
    <t>Investeringen totaal</t>
  </si>
  <si>
    <t>Export</t>
  </si>
  <si>
    <t>Import</t>
  </si>
  <si>
    <t xml:space="preserve">  waarde in mln.SRD</t>
  </si>
  <si>
    <t>overall balance MinFIN</t>
  </si>
  <si>
    <t xml:space="preserve">Saldo Lopende rekening  </t>
  </si>
  <si>
    <t>SDLRWN</t>
  </si>
  <si>
    <t>BBP per hoofd cp 2000 in US$ 2001</t>
  </si>
  <si>
    <t>Betalingsbalans in MLN US$</t>
  </si>
  <si>
    <t>Saldo Lopende rekening</t>
  </si>
  <si>
    <t>Kapitaal rekening</t>
  </si>
  <si>
    <t>In % finale afzet bedrijven:</t>
  </si>
  <si>
    <t>Invoer</t>
  </si>
  <si>
    <t>Perunage</t>
  </si>
  <si>
    <t>Bruto toegev. Waarde bedrijven</t>
  </si>
  <si>
    <t>Loonsom bedrijven</t>
  </si>
  <si>
    <t>Winst</t>
  </si>
  <si>
    <t>groenten export mln.Sf</t>
  </si>
  <si>
    <t>Goud export in mln. SF</t>
  </si>
  <si>
    <t>,, 1000 KG</t>
  </si>
  <si>
    <t>deviezenvoorraad CBvS   in mln.Sf.</t>
  </si>
  <si>
    <t>MAMIABC2005,  een update en modernisering van Mamiabc, een spreadsheetversie van Macmic zie 'Een macro model van een micro economie', dr. Marein Van Schaaijk, 1989</t>
  </si>
  <si>
    <t>sheet mamiabc toegevoegd</t>
  </si>
  <si>
    <t xml:space="preserve">sources and presenting the results according to the needs and customs of </t>
  </si>
  <si>
    <t xml:space="preserve">various institutions. </t>
  </si>
  <si>
    <t xml:space="preserve">To use the model as a tool for forecasting, simulating policy options, and </t>
  </si>
  <si>
    <t xml:space="preserve">scenario building, we start with the above-mentioned 70 primary historical </t>
  </si>
  <si>
    <t xml:space="preserve">For example: the value of a wages tax in the current year is equal to (value </t>
  </si>
  <si>
    <t xml:space="preserve">of wages tax year before/value of wage bill year before) * value of wages </t>
  </si>
  <si>
    <t>in current year.</t>
  </si>
  <si>
    <t xml:space="preserve">The behavioural and institutional equations allow us to perform bookkeeping </t>
  </si>
  <si>
    <t xml:space="preserve">and more economic analysis. The set of these equations in Macroabc is </t>
  </si>
  <si>
    <t xml:space="preserve">deliberately limited. Of course, one may expand this set in any direction based </t>
  </si>
  <si>
    <t xml:space="preserve">on the questions to be addressed by the model, such as a more detailed </t>
  </si>
  <si>
    <t xml:space="preserve">The Foundation for stimulating the study of the Surinamese economy is an </t>
  </si>
  <si>
    <t xml:space="preserve">independent scientific institute founded in 1977. Stuseco generates its </t>
  </si>
  <si>
    <t xml:space="preserve">revenues partly from gifts of board members and partly from providing </t>
  </si>
  <si>
    <t xml:space="preserve">Stuseco undetakes research and training in macroeconomic modelling of </t>
  </si>
  <si>
    <t xml:space="preserve">Surinamese economists. See: Explanation of history and goals of Stuseco, </t>
  </si>
  <si>
    <t xml:space="preserve">published on www.stuseco.org. </t>
  </si>
  <si>
    <t xml:space="preserve">Stuseco supports the Surinamese Planning Office and the Institute for </t>
  </si>
  <si>
    <t xml:space="preserve">Graduate Studies and Research of the Anton de Kom University, Surinam, in </t>
  </si>
  <si>
    <t xml:space="preserve">the application and maintenance of the Surya model; Surinam’s </t>
  </si>
  <si>
    <t>Overall balance</t>
  </si>
  <si>
    <t>Real Sector</t>
  </si>
  <si>
    <t>macroabcmodel</t>
  </si>
  <si>
    <t>External Sector</t>
  </si>
  <si>
    <t xml:space="preserve">Monetary Sector </t>
  </si>
  <si>
    <t>Household consumption expenditure (including Non-profit institutions serving households)</t>
  </si>
  <si>
    <t>General government final consumption expenditure</t>
  </si>
  <si>
    <t>Gross fixed capital formation (including Acquisitions less disposals of valuables)</t>
  </si>
  <si>
    <t>Exports of goods and services</t>
  </si>
  <si>
    <t>Imports of goods and services</t>
  </si>
  <si>
    <t>Gross fixed cap formation private</t>
  </si>
  <si>
    <t>Statistical Discrepancy Gov. Consumption</t>
  </si>
  <si>
    <t>External</t>
  </si>
  <si>
    <t>Household</t>
  </si>
  <si>
    <t xml:space="preserve">Total Debt </t>
  </si>
  <si>
    <t>-</t>
  </si>
  <si>
    <t>competitiveness</t>
  </si>
  <si>
    <t>nominal income growth rates:</t>
  </si>
  <si>
    <t xml:space="preserve">Based on these 70-odd primary input variables, the model automatically, and </t>
  </si>
  <si>
    <t xml:space="preserve">consistently, calculates hundreds of other variables through definitional </t>
  </si>
  <si>
    <t>Merk op dat in deze baseline een forse intensivering van directe belastingen en majeure verhoging van indirecte belastingen is verondersteld</t>
  </si>
  <si>
    <t>Het gat om een verdubbeling van de tarieven indirecte belastingen medio 2017.</t>
  </si>
  <si>
    <t>Sector Buitenland: BoP</t>
  </si>
  <si>
    <t>Sector Overheidsfinancien</t>
  </si>
  <si>
    <t>Lopende Rekening</t>
  </si>
  <si>
    <t>overall balance</t>
  </si>
  <si>
    <t>Kapitaalrekening</t>
  </si>
  <si>
    <t>buitenlandse financiering</t>
  </si>
  <si>
    <t>Stat verschil</t>
  </si>
  <si>
    <t>binnenlandse financiering</t>
  </si>
  <si>
    <t>Saldo BoP</t>
  </si>
  <si>
    <t>Sector Monetair</t>
  </si>
  <si>
    <t>Reële sector</t>
  </si>
  <si>
    <t xml:space="preserve"> C en I (en vandaar naar Invoer)</t>
  </si>
  <si>
    <t>Koers</t>
  </si>
  <si>
    <t>Inflatie</t>
  </si>
  <si>
    <t>liquiditeitscreatie:</t>
  </si>
  <si>
    <t>uit het buitenland</t>
  </si>
  <si>
    <t>Overliquiditeit</t>
  </si>
  <si>
    <t>ten behoeve van de overheid</t>
  </si>
  <si>
    <t>ten behoeve van de private sector</t>
  </si>
  <si>
    <t>Totaal =M2</t>
  </si>
  <si>
    <t>rentevoet</t>
  </si>
  <si>
    <t>waarvan: vreemde valuta deposito's</t>
  </si>
  <si>
    <t>op v v</t>
  </si>
  <si>
    <t>waarvan SRD</t>
  </si>
  <si>
    <t>op SRD</t>
  </si>
  <si>
    <t>*) Excl. Programma efecten</t>
  </si>
  <si>
    <t>N.B. tzt bij aflossing van de schulden het spiegelbeeld van deze tabel.</t>
  </si>
  <si>
    <t>**) in SRD dus inclusief effect van depreciatie wisselkoers</t>
  </si>
  <si>
    <t>1000 troy oz.</t>
  </si>
  <si>
    <t>1000 barrels</t>
  </si>
  <si>
    <t>1000 Tonnes</t>
  </si>
  <si>
    <t xml:space="preserve">indicated by the green coloured   squares (the impact variable).    </t>
  </si>
  <si>
    <t xml:space="preserve">The most difficult, but most important, step in the quantification of the policy </t>
  </si>
  <si>
    <t xml:space="preserve">measures, is to identify the effects of the programs on the impact-relevant </t>
  </si>
  <si>
    <t xml:space="preserve">output indicators. This is indicated by the bold green arrows in the scheme (           </t>
  </si>
  <si>
    <t xml:space="preserve">). To do this one needs the expertise of the sectors, ranging from fiscal experts </t>
  </si>
  <si>
    <t xml:space="preserve">to other relevant expertise. </t>
  </si>
  <si>
    <t>Fiscal Sector (Government expenditures, revenues and deficits);</t>
  </si>
  <si>
    <t xml:space="preserve">getting a quick overview of the current state of affairs in the entire </t>
  </si>
  <si>
    <t xml:space="preserve">economy. </t>
  </si>
  <si>
    <t xml:space="preserve">In addition, the model is also a forecasting and simulation model. As such, it </t>
  </si>
  <si>
    <t xml:space="preserve">can make simulations, forecasts, and medium- and long-term scenarios. These </t>
  </si>
  <si>
    <t>Zie voor de baseline de belangrijkste assumpties in geel met opmerkingen in sheet Assumpties.</t>
  </si>
  <si>
    <t>Average income per person per annum</t>
  </si>
  <si>
    <t>Shares in total</t>
  </si>
  <si>
    <t xml:space="preserve">As starting values for the forecast preliminary data of statistical </t>
  </si>
  <si>
    <t>office are used which differ from the actual values (5%);</t>
  </si>
  <si>
    <t>Model coefficients are inaccurate (15%);</t>
  </si>
  <si>
    <t xml:space="preserve">Exogenous variables, such as the growth of world trade and world </t>
  </si>
  <si>
    <t xml:space="preserve">inflation (calculated by IMF, OECD, WB etc.) appear to be </t>
  </si>
  <si>
    <t>inaccurate; 50% of the uncertainty is caused by this factor;</t>
  </si>
  <si>
    <t>Shocks in individual equations (30%).</t>
  </si>
  <si>
    <t xml:space="preserve">As long as the World Bank, IMF, and other institutions are unable to produce </t>
  </si>
  <si>
    <t xml:space="preserve">variables and projected variables. As already noted, there are three types of </t>
  </si>
  <si>
    <t>Monetary Sector (Monetary survey and prices);</t>
  </si>
  <si>
    <t>Household Sector (Disposable income, labour market);</t>
  </si>
  <si>
    <t xml:space="preserve">A Sectors of industry (Sectorsabc translating GDP from expenditures </t>
  </si>
  <si>
    <t>approach to sectors of industry) might be added.</t>
  </si>
  <si>
    <t xml:space="preserve"> The consistency of the data is assured through a set of internal definitions and </t>
  </si>
  <si>
    <t xml:space="preserve">statistical discrepancy variables that compensate for data irregularities and, </t>
  </si>
  <si>
    <t xml:space="preserve">and easy tool for: </t>
  </si>
  <si>
    <t>MONITOR CONSUMPTIEPRIJSINDEX</t>
  </si>
  <si>
    <t>laatste update d.d.  :</t>
  </si>
  <si>
    <t>dec</t>
  </si>
  <si>
    <t xml:space="preserve">Gebruiksaanwijzing:   Vervang iedere maand het geraamde indexcijfer van de vorige maand door </t>
  </si>
  <si>
    <t>het realisatiecijfer. Vul daarna in cel J4 in hoeveel maandelijkse procentuele mutatie</t>
  </si>
  <si>
    <t>in de rest van het jaar wordt verwacht. Duw op toets F9.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</si>
  <si>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</si>
  <si>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</si>
  <si>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</si>
  <si>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</si>
  <si>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</si>
  <si>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</si>
  <si>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</si>
  <si>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</si>
  <si>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</si>
  <si>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</si>
  <si>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</si>
  <si>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jaargem.</t>
  </si>
  <si>
    <t>jaarmut</t>
  </si>
  <si>
    <t>dec/dec</t>
  </si>
  <si>
    <t>overloop</t>
  </si>
  <si>
    <t>inflatietempo</t>
  </si>
  <si>
    <t>% groei pm</t>
  </si>
  <si>
    <t>m.totm.</t>
  </si>
  <si>
    <t>Koers SRD/US$</t>
  </si>
  <si>
    <t>idem in %</t>
  </si>
  <si>
    <t xml:space="preserve">in Tilburg, 1972; Ph.D. in Groningen in 1991. Title of his thesis: A Macro </t>
  </si>
  <si>
    <t>Model of a Micro Economy (Surinam).</t>
  </si>
  <si>
    <t xml:space="preserve">1973-1976 Algemeen Bureau voor de Statistiek Suriname (ABS). He </t>
  </si>
  <si>
    <t xml:space="preserve">constructed the first National Accounts of Surinam, and he trained staff of </t>
  </si>
  <si>
    <t>ABS.</t>
  </si>
  <si>
    <t xml:space="preserve">1976-1994 Centraal Planbureau Netherlands, several scientific and </t>
  </si>
  <si>
    <t xml:space="preserve">ability to run a model in a standard spreadsheet increases its accessibility, as </t>
  </si>
  <si>
    <t xml:space="preserve">the spreadsheet models do not require multi-year specialised training in </t>
  </si>
  <si>
    <t xml:space="preserve">detailed computer programming languages. Therefore, policy experts can </t>
  </si>
  <si>
    <t>Gedurende 2016 steeg de waarde met 238  US$, zie in sheet Months regel 125</t>
  </si>
  <si>
    <t xml:space="preserve">source of different variables. For the remainder of the worksheets every </t>
  </si>
  <si>
    <t xml:space="preserve">column presents a different year, as shown in row 2. The different colours of </t>
  </si>
  <si>
    <t xml:space="preserve">the different cells in this model also have a role: </t>
  </si>
  <si>
    <t xml:space="preserve">Grey: These figures are directly obtained from sheet Data. </t>
  </si>
  <si>
    <t xml:space="preserve">Yellow: Estimates made based on certain assumptions. </t>
  </si>
  <si>
    <t>Loonsverhoging zodanig dat de koopkracht niet verder zakt en op niveau van december 2016 blijft</t>
  </si>
  <si>
    <t>Negatieve add factor in CPI omdat de feitelijke inflatie in december 2016 tot en met februari 2017 lager is dan verwacht.</t>
  </si>
  <si>
    <t xml:space="preserve">according to familiar concepts, and they are arranged in the form of standard </t>
  </si>
  <si>
    <t xml:space="preserve">given in English in column A.  Other columns are used to reflect the unit and </t>
  </si>
  <si>
    <t>berekend uit Paramaribo+Wanica</t>
  </si>
  <si>
    <t>Totaal economisch actieven</t>
  </si>
  <si>
    <t xml:space="preserve">point of view, is needed from them, they will be in a better position to </t>
  </si>
  <si>
    <t xml:space="preserve">homepage United Nations. From there to Bhutan. Actually, you get a new </t>
  </si>
  <si>
    <t xml:space="preserve">Macroabc for a country when you in a certain Macroabc replace the data sheet </t>
  </si>
  <si>
    <t xml:space="preserve">of that country by the data of another country. In the last quarter of 2016 that </t>
  </si>
  <si>
    <t xml:space="preserve">exercise was done for Suriname, starting with the Macroabc model of Bhutan, </t>
  </si>
  <si>
    <t>loading that with Surinamese data en changing several coefficients.</t>
  </si>
  <si>
    <t xml:space="preserve">Back home:   So the Original Macmic model Suriname from 1993 is not only </t>
  </si>
  <si>
    <t xml:space="preserve">the model of Suryamodel en CBMOD4 Suriname, but also for around twenty </t>
  </si>
  <si>
    <t xml:space="preserve">other countries. In each country we learned more, so country by country the </t>
  </si>
  <si>
    <t xml:space="preserve">In de versie van MacroabcSU van januari volgden we de assumptie van IMF Dec 2019 van 250 mln US$ buitenlandse financiering. </t>
  </si>
  <si>
    <t xml:space="preserve">Na januari hebben drie rating bureas hun rating van Suriname verlaagd. Dus lenen wordt moeilijker. </t>
  </si>
  <si>
    <t>N.B dit zijn slechts gissingen!  Het kan meer of minder worden!!</t>
  </si>
  <si>
    <t>aanpassing in regel 321</t>
  </si>
  <si>
    <t>formule in 163 aangepast.</t>
  </si>
  <si>
    <t>Overige export (transport en services)excl goud in Q2 en Q3  6% minder dan normaal, dus in 2020 gem. -3 en 2021 +3</t>
  </si>
  <si>
    <t>reëel loon bedrijven</t>
  </si>
  <si>
    <t xml:space="preserve">      verschil</t>
  </si>
  <si>
    <t>doelvariabelen</t>
  </si>
  <si>
    <t>variant nr</t>
  </si>
  <si>
    <t>omschrijving</t>
  </si>
  <si>
    <t>in sheet Assumpties</t>
  </si>
  <si>
    <t>gewicht in pakket</t>
  </si>
  <si>
    <t>depreciatie</t>
  </si>
  <si>
    <t>eenheid</t>
  </si>
  <si>
    <t>buitenlandse lening</t>
  </si>
  <si>
    <t>loonbelasting</t>
  </si>
  <si>
    <t>ind bel</t>
  </si>
  <si>
    <t>mat.overheidsconsumptie</t>
  </si>
  <si>
    <t>invest overheid</t>
  </si>
  <si>
    <t>import substitutie</t>
  </si>
  <si>
    <t>export</t>
  </si>
  <si>
    <t>met</t>
  </si>
  <si>
    <t>weging</t>
  </si>
  <si>
    <t>in regel 7</t>
  </si>
  <si>
    <t>aantal landsdienaren</t>
  </si>
  <si>
    <t>AsBT 13, 14, 15,16</t>
  </si>
  <si>
    <t>in AS BT18 de 5 verwijderd.</t>
  </si>
  <si>
    <t>Middenkoers SRD/$</t>
  </si>
  <si>
    <t>cambio koers SRD/US$</t>
  </si>
  <si>
    <t>CBvS koers</t>
  </si>
  <si>
    <t>in baseline geen tariefsverhoging ind. Bel.</t>
  </si>
  <si>
    <t>Vanwege de COVID19 brengen we een add factor van -5% in part. Consumptie en -15 in private investeringen in 2020 en herstel in 2021</t>
  </si>
  <si>
    <t>3. COVID19 geeft lagere export, consumptie en investeringen</t>
  </si>
  <si>
    <t>Basis: Het bovenstaande komt neer op een base line met:</t>
  </si>
  <si>
    <t xml:space="preserve">Dan is een pakket maatregelen nodig, enigerlei combinatie van </t>
  </si>
  <si>
    <t>belasting verzwaring</t>
  </si>
  <si>
    <t>uitgaven overheid verminderen</t>
  </si>
  <si>
    <t>minder consumptief krediet</t>
  </si>
  <si>
    <t>gem</t>
  </si>
  <si>
    <t>j</t>
  </si>
  <si>
    <t>s</t>
  </si>
  <si>
    <t>o</t>
  </si>
  <si>
    <t>n</t>
  </si>
  <si>
    <t>cambio koers per maand</t>
  </si>
  <si>
    <t>bank koers per maand</t>
  </si>
  <si>
    <t>MacroabcSU 28 april 2020 base line</t>
  </si>
  <si>
    <t>Extra sheet toegevoegd: Varianten 2</t>
  </si>
  <si>
    <t xml:space="preserve">Die is hier echter voorzichtigheidshalve op 0 gezet, want </t>
  </si>
  <si>
    <t>Bij een koers van gemiddeld 12 in 2020 (9 in het begin van het jaar, oplopend naar 16 eind 2020) en op 16 blijvend in 2021</t>
  </si>
  <si>
    <t>in 2020  4,5 en 4,5 in 2021</t>
  </si>
  <si>
    <t>Zie ook de grafiek onderin de sheet Maandkoersen.</t>
  </si>
  <si>
    <t>Voorts:</t>
  </si>
  <si>
    <t xml:space="preserve"> update BoP t/m Q4 2019</t>
  </si>
  <si>
    <t>2. De assumptie in IMF rapport december 2019 dat de overheid jaarlijks netto 250 mln USD$ in buitenland kan lenen, op 0 gezet.</t>
  </si>
  <si>
    <t>1. Trendmatige ontwikkelingen in exogenen en overheis uitgaven stijgen met inflatie en overheidsinkomsten gelijk op met de grondslag.</t>
  </si>
  <si>
    <t>en op langere termijn meer export en meer importvervanging door hogere productiviteit.</t>
  </si>
  <si>
    <t>Bekijk ook de sheets Key en Varianten2 en Maandkoersen.</t>
  </si>
  <si>
    <t xml:space="preserve">MacroabcSU 5 mei 2020 </t>
  </si>
  <si>
    <t>tov 28 april kleuren in varanten2 tabel</t>
  </si>
  <si>
    <t>target</t>
  </si>
  <si>
    <t>&lt;3%</t>
  </si>
  <si>
    <t>zo hoog mogelijk</t>
  </si>
  <si>
    <t>zo laag mogelijk</t>
  </si>
  <si>
    <t>verkeerde richting</t>
  </si>
  <si>
    <t>groen</t>
  </si>
  <si>
    <t>rood</t>
  </si>
  <si>
    <t>geen kleur</t>
  </si>
  <si>
    <t>klein effect</t>
  </si>
  <si>
    <t>&gt;3</t>
  </si>
  <si>
    <t>maanden dekking NFA</t>
  </si>
  <si>
    <t>maanden dekking IR</t>
  </si>
  <si>
    <t>Onder deze asumpties blijft de maanden deking van invoer in 2020 niet boven het niveau van 3 dus volgt depreciatie.</t>
  </si>
  <si>
    <t>We werken nu met NFA en IR, en zetten de norm op 3 voor IR</t>
  </si>
  <si>
    <t>Dat geeft middenkoers van 13 gemiddeld in 2020 en 18 in 2021</t>
  </si>
  <si>
    <t>en 9% monetaire financiering, en -13% reele loon in 2020</t>
  </si>
  <si>
    <t>MacroabcSU 9 mei 2020</t>
  </si>
  <si>
    <t>update arbeidsmarkt</t>
  </si>
  <si>
    <t>sheet exercities naar variantenOUD sheet</t>
  </si>
  <si>
    <t>Toelichting bij het draaien van deze varianten</t>
  </si>
  <si>
    <t>Zie Toelichting bij draaien regel  26  en volgende</t>
  </si>
  <si>
    <t>International Reserves CBvS</t>
  </si>
  <si>
    <t>Int. Reserves CBvS in maanden import</t>
  </si>
  <si>
    <t>reëel BBP</t>
  </si>
  <si>
    <t>werkgelegenheid bedrijven</t>
  </si>
  <si>
    <t>Scenario met minder depreciatie mogelijk?</t>
  </si>
  <si>
    <t xml:space="preserve">MacroabcSU 13 mei 2020 </t>
  </si>
  <si>
    <t>corecties in Asumpties BX43 +3  BX38 en BX39 +3</t>
  </si>
  <si>
    <t>in Model regel 111  =0</t>
  </si>
  <si>
    <t xml:space="preserve">MacroabcSU 16 mei 2020 </t>
  </si>
  <si>
    <t>update CPI maart</t>
  </si>
  <si>
    <t>other transfers en subsidies</t>
  </si>
  <si>
    <t>met correctie link van other transfers naar particuliere consumptie</t>
  </si>
  <si>
    <t>Dit geeft iets andere base line.</t>
  </si>
  <si>
    <t xml:space="preserve">MacroabcSU 24 mei 2020 base line </t>
  </si>
  <si>
    <t>MacroabcSU 24 mei 2020 Variant</t>
  </si>
  <si>
    <t>transfers + 800 in Assupties BT 39 +20</t>
  </si>
  <si>
    <t>dan koers in Ass BT60 52 nar 60</t>
  </si>
  <si>
    <t>dan CPI in 2020 +4,7% extra omhoog</t>
  </si>
  <si>
    <t>Investeringen overheid +50 mln US$ in BT54</t>
  </si>
  <si>
    <t>UpdateCPI april</t>
  </si>
  <si>
    <t>corectie in consumptie 2021</t>
  </si>
  <si>
    <t>MacroabcSU 7 juni 2020 base line</t>
  </si>
  <si>
    <t>Amortisations  gem per jaar IMF dec 2019table 3</t>
  </si>
  <si>
    <t>Amortisations conform IMF dec 2019 tabel3</t>
  </si>
  <si>
    <t>koers zodanig dat IR = 3 maanden invoer.</t>
  </si>
  <si>
    <t>concept  scenario's 15 mei 2020</t>
  </si>
  <si>
    <t>concept  baseline juni 2020</t>
  </si>
  <si>
    <t>Midden Wisselkoers SRD/$</t>
  </si>
  <si>
    <t>Cambio Wisselkoers SRD/$</t>
  </si>
  <si>
    <t>CBvS Wisselkoers SRD/$</t>
  </si>
  <si>
    <t>4. Verdubbeling AOV etc.</t>
  </si>
  <si>
    <t xml:space="preserve"> en meer export en meer importvervanging door hogere productiviteit.</t>
  </si>
  <si>
    <t>Bekijk ook de sheets Key en Varianten juni 2020 en Maandkoersen.</t>
  </si>
  <si>
    <t>daarbij te denken aan afschaffing van de monetaire financiering door verhoging overheids inkomsten</t>
  </si>
  <si>
    <t>en verlaging overheidsuitgaven.</t>
  </si>
  <si>
    <t>Scenario 2021-2025 mogelijk zonder verdere  depreciatie na eind 2020 mogelijk?</t>
  </si>
  <si>
    <t>Basis: Het bovenstaande komt neer op een base line ''business as usual'' met:</t>
  </si>
  <si>
    <t>Beleidsmaatregelen die de komende maanden zullen worden getroffen, zullen pas begn 2021 zichbare efecten hebben. In het bijzonder</t>
  </si>
  <si>
    <t>BU21 t/m BY21  +1</t>
  </si>
  <si>
    <t>Deze varianten zijn berekend met de modelvesie van 7 juni 2020</t>
  </si>
  <si>
    <t>in het model. Dat is t/m 2016 de saldo post.</t>
  </si>
  <si>
    <t xml:space="preserve">there is no model available to exactly establish how policy measures, via </t>
  </si>
  <si>
    <t xml:space="preserve">several channels, will eventually affect poverty. </t>
  </si>
  <si>
    <t xml:space="preserve">But one can try to construct a model, including a poverty module, which </t>
  </si>
  <si>
    <t xml:space="preserve">reflects the Surinamese economy as accurately as possible, to gain an idea of </t>
  </si>
  <si>
    <t xml:space="preserve">how policies may affect poverty. In fact, this is what we have done. </t>
  </si>
  <si>
    <t xml:space="preserve">First, a data consistency framework was made, including establishing all </t>
  </si>
  <si>
    <t xml:space="preserve">required variables and definition relations. Second, we injected, row by row, </t>
  </si>
  <si>
    <t xml:space="preserve">the behavioral equations. In the third stage, the model was tested by way of </t>
  </si>
  <si>
    <t xml:space="preserve">running many baselines as well as different scenarios. </t>
  </si>
  <si>
    <t xml:space="preserve">This model is close to IMF’s Financial Programming, however extended with </t>
  </si>
  <si>
    <t xml:space="preserve">three aspects: </t>
  </si>
  <si>
    <t>A breakdown of exports products;</t>
  </si>
  <si>
    <t>a household sector with income data;</t>
  </si>
  <si>
    <r>
      <rPr>
        <b/>
        <sz val="12"/>
        <color indexed="8"/>
        <rFont val="Times New Roman"/>
        <family val="1"/>
      </rPr>
      <t>6.   Export price %change:</t>
    </r>
    <r>
      <rPr>
        <sz val="12"/>
        <color indexed="8"/>
        <rFont val="Times New Roman"/>
        <family val="1"/>
      </rPr>
      <t xml:space="preserve"> 0,8* international price (=import price) + 0,2* cost price)* share non-gold + gold price * share gold </t>
    </r>
  </si>
  <si>
    <r>
      <rPr>
        <b/>
        <sz val="12"/>
        <color indexed="8"/>
        <rFont val="Times New Roman"/>
        <family val="1"/>
      </rPr>
      <t xml:space="preserve">15. Money supply: </t>
    </r>
    <r>
      <rPr>
        <sz val="12"/>
        <color indexed="8"/>
        <rFont val="Times New Roman"/>
        <family val="1"/>
      </rPr>
      <t xml:space="preserve">increases with nominal GDP </t>
    </r>
  </si>
  <si>
    <t>Main behavioural equations                                                                                                                                              (some coefficients have been borrowed from other Macroabc models)</t>
  </si>
  <si>
    <t xml:space="preserve">the same applies to the deficit of the Balance of Payments. The cost price is a </t>
  </si>
  <si>
    <t xml:space="preserve">crucial variable: if the domestic cost price is lower than the export price, this </t>
  </si>
  <si>
    <t xml:space="preserve">will stimulate a volume growth of exports. And a lower domestic cost price </t>
  </si>
  <si>
    <t xml:space="preserve">compared to the import price will stimulate domestic production. So, the </t>
  </si>
  <si>
    <t xml:space="preserve">lower cost price results in a higher GDP. The cost price is the result of import </t>
  </si>
  <si>
    <t xml:space="preserve">costs, indirect taxes, plus the wage rate minus productivity growth. </t>
  </si>
  <si>
    <t xml:space="preserve">The household sector includes a breakdown of the number of households and </t>
  </si>
  <si>
    <t>0.1 * represents the difference between internal and external inflation.</t>
  </si>
  <si>
    <t>Prices.</t>
  </si>
  <si>
    <t>Box 1: Uncertainty and other models</t>
  </si>
  <si>
    <t>This box is based on a text prepared by Dr. Free Huizinga</t>
  </si>
  <si>
    <t xml:space="preserve">Macroeconomic models appear to have a high degree of uncertainty: the </t>
  </si>
  <si>
    <t xml:space="preserve">actual values may differ from the model’s forecasts. Huizinga’s research of </t>
  </si>
  <si>
    <t xml:space="preserve">Statistisch Verschil Loonsom Overheid </t>
  </si>
  <si>
    <t>Macroabc 12 Juni</t>
  </si>
  <si>
    <t>In regel 100 Statisch verschil Loonsom gezet</t>
  </si>
  <si>
    <t>In regel R 169 (BO 169)Retied heeft mogelijk een fout</t>
  </si>
  <si>
    <t xml:space="preserve">Capital Expenditure govt. </t>
  </si>
  <si>
    <t>De Minister van FIN heeft dinsdag 20 juni (bron Starnieuws 21 juni 2017) de volgende cijfers aan DNA gegeven:</t>
  </si>
  <si>
    <t>Overheidstekort 2015 10%, 2016 5,6% en 2017 4,5%.</t>
  </si>
  <si>
    <t>Begin 2016 jaar zijn MINFIN en CBvS overeengekomen dat er geen monetaire financiering meer zal zijn.</t>
  </si>
  <si>
    <t>Als de monetaire financiering 0 is, dan is de toename buitenlandse leningen gelijk aan de overal balance.</t>
  </si>
  <si>
    <t>Tot op  heden gingen we uit van de cijfers die MINFIN 6 december 2016  aan DNA gaf: in 2017 133 mln US$ buitenlandse schuld aflossing.</t>
  </si>
  <si>
    <t>Door het wegvallen van de indirecte belastingen, komt de inflatie nu lager uit in 2017.</t>
  </si>
  <si>
    <t>Vervolgens veronderstellen we dat begin 2018 de BTW wordt ingevoerd met een zodanig tarief, dat het overheidstekort</t>
  </si>
  <si>
    <t>Update in MONTH CPI stijgt in mei tov april met 0,5 %</t>
  </si>
  <si>
    <t>MacroabcSU draait alleen op openbare cijfers plus assumpties. We maken geen gebruik van vertrouwelijke beleidsvoornemens.</t>
  </si>
  <si>
    <t xml:space="preserve">Daarom kunnen we met dit model geen projecties maken, maar slechts scenario,s, waarvan de voorspelkracht afhankelijk is </t>
  </si>
  <si>
    <t>van de juistheid van de assumpties.</t>
  </si>
  <si>
    <t>De detailcijfers betreffende de overheid, de goudprijs, de verandering in de bedrijfsinvesteringen, het zijn allemaal assumpties.</t>
  </si>
  <si>
    <t>En waar we gerealiseerde cijfers gebruiken, geldt dat die ook een onbekende nauwkeurigheid hebben.</t>
  </si>
  <si>
    <t>Een cruciale asumptie is ook de volume groei van de export. Die is op 3% per jaar gezet, het gemiddelde van de laatste 10 jaar.</t>
  </si>
  <si>
    <t>Maar, wie weet, komt de bauxietsector ooit weer terug? Of wordt er veel olie op zee gevonden?</t>
  </si>
  <si>
    <t xml:space="preserve">Het doel van MacroabcSU is niet het maken van een nauwkeurige projectie, maar aftasten wat een plausibele baselinescenario is, als </t>
  </si>
  <si>
    <t>basis voor gevoeligheids en beleidsanalyses.</t>
  </si>
  <si>
    <t>Zie regel 159 in model voor klein statistisch verschil (gem 60 mln SRD)+ domestic borowing - monetaire finamciering.</t>
  </si>
  <si>
    <t>Als het overheidstekort in 2017 4,5 % bedraagt en de monetaire financiering 0, dan is er een schuldtoename van 158 mln US$,</t>
  </si>
  <si>
    <t>Dus +291 in BW32 ten opzichte van eerdere cijfers. We veronderstellen dat die extra 291 mln US$ in 4 jaar wordt terug betaald, dus - 73 mln per jaar.</t>
  </si>
  <si>
    <t>Verder moet men bedenken dat buitenlandse leningen ongebonden kunnen zijn of gebonden, zoals te besteden voor overheidsinvesteringen.</t>
  </si>
  <si>
    <t>Voorlopig veronderstellen we hier dat die 291 US$ voor 75% gaat zitten in extra overheidsinvesteringen: In Asumpties BQ36 +0,75*291</t>
  </si>
  <si>
    <t>Een overheidstekort van 4,5 % in 2017 krijgen we als we enkele add factoren bij de overheid in 2017 aanpassen:</t>
  </si>
  <si>
    <t>terugbetaling in 7 jaar 2022 t/m 2028: zet in Asumptions BW:CB 52  -200  (=350*4/7)</t>
  </si>
  <si>
    <t>Daarom enkele gevoeligheidsvarianten:</t>
  </si>
  <si>
    <t>1a depreciatie :  in Asumpties BQ24  toevoegen +20, dus koers van 7,6 naar 8,9.</t>
  </si>
  <si>
    <t>Zie in Key V5 +0,15</t>
  </si>
  <si>
    <t>Zie resultaat in Key V%: -0,1.6  Dat wegwerken kost 20% depreciatie, zet in Asumpties BQ24 +20</t>
  </si>
  <si>
    <t>Zie</t>
  </si>
  <si>
    <t>MINFIN mededeling aan DNA 25 juli 2017: financieringstekort wordt in 2017 3% van BBP.</t>
  </si>
  <si>
    <t>Dus , gegeven monetaire financiering 0, netto buitenlandse leningen 3% van BBP</t>
  </si>
  <si>
    <t>Op jaarbasis geeft het model een stijging van de deviezenvoorraad, maar dat is niet zichtbaar in de maandcijfers t/m mei.</t>
  </si>
  <si>
    <t>Daarom een add factor van 1000 mln SRD in winst naar buitenland.  In assumptions 44</t>
  </si>
  <si>
    <t>In.bel add factor 2017 etc. is saldo post.</t>
  </si>
  <si>
    <t>NB dit is een voorwaardelijke vooruitberekening, geen prognose.</t>
  </si>
  <si>
    <t>Tabel in sheet Key uitgebreid</t>
  </si>
  <si>
    <t>1d exportprijs goud -4 % in 2017: zet -4 in Asumpties BQ29. Dan deviezenmaandendeking -0,15, zie in Key V5</t>
  </si>
  <si>
    <t>In Key AA7 etc. moet 0 komen. Dat kan door verhoging indirecte belastingen: in Assumptions in regel 50 toevoegen:</t>
  </si>
  <si>
    <t xml:space="preserve">BV </t>
  </si>
  <si>
    <t>BY</t>
  </si>
  <si>
    <t>CB</t>
  </si>
  <si>
    <t>CC</t>
  </si>
  <si>
    <t xml:space="preserve"> De CPI dus de kostprijs is  van 2022 t/m 2028  in totaal 7% hoger, dus 1% per jaar. Daarom in die 7 jaar jaarlijks -2 in exporten volumen</t>
  </si>
  <si>
    <t>Dat geeft minder inkomsten voor overheid, dud twede rimde van indirecte belasting verhoging, in Asumpties in BU50 +4 toevoegen.</t>
  </si>
  <si>
    <t xml:space="preserve">BX en BY +90 zeten, en in BZ tot CB +70 zetten. tot CA24  +100 zetten </t>
  </si>
  <si>
    <t>De leningen geven tijdelijk hoger BBP, maar uiteindelijk is BBP door de leningen in totaal circa 7% lager dan in basis scenario.</t>
  </si>
  <si>
    <t>werkloosheid in 2030  nog maar enkele procenten!</t>
  </si>
  <si>
    <t>Spaar- en stabilisatiefonds in 2030 14% van BBP</t>
  </si>
  <si>
    <t>De deviezenvoorraad zakt in 2014 onder de 3 manden import deking. Ceteris paribus is daar 5 maal een depreciatie voor nodig: in Asumpties</t>
  </si>
  <si>
    <t>MacroabcSU 25 juli 2017 productiviteit scenario 2.xlsx</t>
  </si>
  <si>
    <t>geen add factor in loonvoet</t>
  </si>
  <si>
    <t>BBP reeel in 2030  circa 21 % hoger dan in baseline</t>
  </si>
  <si>
    <t>reele loonsom bedrijven in 2030  39% hoger dan in 2015 en 75  % hoger dan in 2017</t>
  </si>
  <si>
    <t>MacroabcSU 25 juli 2017 basis scenario.xlsx</t>
  </si>
  <si>
    <t>MacroabcSU 25 juli 2017 combi scenario2.xlsx</t>
  </si>
  <si>
    <t>= productiviteitscenario 2 +</t>
  </si>
  <si>
    <t>De particuliere investeringen zijn voor 2011-2015 simpelweg geraaamd als reëel constant.</t>
  </si>
  <si>
    <t>Uit de onderstaande tabel met bestedingscomponenten, wordt in het model de particuliere consumptie niet gebruikt de sado post in de berekeninge t/m</t>
  </si>
  <si>
    <t>Imports of g&amp;s na correctie</t>
  </si>
  <si>
    <t>Imports of g&amp;s zonder correctie</t>
  </si>
  <si>
    <t>GDP deflator bestedingen zonder correctie</t>
  </si>
  <si>
    <t>deflator BBP (productiemethode)</t>
  </si>
  <si>
    <t>Total ec. Actieven (excl retired)</t>
  </si>
  <si>
    <t>Update overheidsfinancien jan/juli *12/7 in 2017</t>
  </si>
  <si>
    <t>Q3</t>
  </si>
  <si>
    <t>tot 2001 uit mamiabc, 2001-2006 uit ABS SIC 237, okt 2007</t>
  </si>
  <si>
    <t>reeel loon per arbeidsplaats, SRD prijzen 2017, overheid</t>
  </si>
  <si>
    <t>reeel loon per arbeidsplaats,SRD prijzen 2017, bedrijven</t>
  </si>
  <si>
    <t>GDP per capita prijzen 2017</t>
  </si>
  <si>
    <t>export mln SRD, prijzen 2017</t>
  </si>
  <si>
    <t>mutatie gem per jaar</t>
  </si>
  <si>
    <t>mutatie sprong</t>
  </si>
  <si>
    <t>Update CPI juli- nov 2017</t>
  </si>
  <si>
    <t>Zie in SOURCE toelichting op regel 5 en volgende.</t>
  </si>
  <si>
    <t>NB de Q1, 2017 BoP in SOURCE aangepast en kolom met Q2 en Q3 toegevoegd</t>
  </si>
  <si>
    <t xml:space="preserve">MacroabcSU was tot zover voornamelijk gebaserd op de recente jaren, als start voor vooruit berekeningen  voor heden en toekomst. </t>
  </si>
  <si>
    <t>Nu zijn de tijdreeksen zoveel mogelijk terug gerekend op basis Mamiabc2005, met tijdreeksen 1994-2002.</t>
  </si>
  <si>
    <t>en nieuwe reeksen BBP ABS en CBvS toegevoegd vanaf 1954</t>
  </si>
  <si>
    <t>in 2018 omslaat in een overschot van 5%. Dat is nodig vanwege de schuldaflossing in dat jaar, om monetaire financiering van 0 te verkrijgen.</t>
  </si>
  <si>
    <t>In assumpties BR50 zetten 70. Dat is een BTW tarief van circa 15%</t>
  </si>
  <si>
    <t>ten opzichte van de 12 juni versie:</t>
  </si>
  <si>
    <t>Deze versie van MacroabcSU kan worden gebruikt om leningen scenario's te vervaardigen.</t>
  </si>
  <si>
    <t>Daarbij rekening te houden met: % gebonden aan bestedingen</t>
  </si>
  <si>
    <t>Terugbetaling en rente</t>
  </si>
  <si>
    <t>Dus in beeld brengen wie voordeel heeft bij de bestedingen van de leningen, en wie opdraait voor de terugbetaling en rente (de</t>
  </si>
  <si>
    <t>belastingbetaler)</t>
  </si>
  <si>
    <t>Eventueel programma effect van overheidsinvesteringen op productiviteit en van daar op prijs/kostenquotes, en van daar op expprtgroei.</t>
  </si>
  <si>
    <t>Indirect taxes/ final demand businesses</t>
  </si>
  <si>
    <t>MacroabcSU 28 juni 2017 scenarioA.xlsx</t>
  </si>
  <si>
    <t>Correctie in regels 264 en 88 en 99</t>
  </si>
  <si>
    <t>Voorts in BQ19 - 40 zetten, omdat de constrctiesector het zo slecht doet. En +40 in 2018, dus herstel verondersteld.</t>
  </si>
  <si>
    <t>Percentage storting in Spaar- en Stabilisatie fonds</t>
  </si>
  <si>
    <t xml:space="preserve"> Storting in Spaar- en Stabilisatie fonds</t>
  </si>
  <si>
    <t>Spaar- en Stabilisatie fonds</t>
  </si>
  <si>
    <t>Introductie Spaar- en Stabilisatie fonds in Assumptions regel 51 en Model regels 100 (en 92) en 120</t>
  </si>
  <si>
    <t>ten opzichte van versie A;</t>
  </si>
  <si>
    <t>In deze baseline in X gesteld op 2</t>
  </si>
  <si>
    <t>We veronderstllen even dat de overheid een bedrag gelijk aan X% van de goudexportwaarde er in stopt.</t>
  </si>
  <si>
    <t>In BQ59 +25+12  (die 12 is het balancing item) BR50 19 naar 70, BS50 19 naar 11</t>
  </si>
  <si>
    <t>MacroabcSU 28 juni 2017 scenario D.xl2sx</t>
  </si>
  <si>
    <t>verbetering in formules aantal arbeidsmarkt</t>
  </si>
  <si>
    <t>interest overheid binnenlands deel geraamd</t>
  </si>
  <si>
    <t>interest overheid buitenlands deel geraamd</t>
  </si>
  <si>
    <t>uitsplitsing rente overheid in binnenlands en buitenlands</t>
  </si>
  <si>
    <t>Buitenlandse interst betalingen in US$</t>
  </si>
  <si>
    <t>mededeling MINFIN aan DNA 8-12-2016 op basis Sur. Dagblad 10-12-2016</t>
  </si>
  <si>
    <t>MINFIN</t>
  </si>
  <si>
    <t>berekening met model op basis rente 9%</t>
  </si>
  <si>
    <t>Overige sectoren</t>
  </si>
  <si>
    <t>Monetaire autoriteiten</t>
  </si>
  <si>
    <t>4. Overig financieel verkeer: activa</t>
  </si>
  <si>
    <t>Aandelen</t>
  </si>
  <si>
    <t>3. Beleggingen: passiva</t>
  </si>
  <si>
    <t>2. Beleggingen: activa</t>
  </si>
  <si>
    <t>Directe investeringen in Surinamea</t>
  </si>
  <si>
    <t>Directe investeringen in het buitenland</t>
  </si>
  <si>
    <t>1. Directe investeringen</t>
  </si>
  <si>
    <t>Financiële rekening, exclusief Groep E</t>
  </si>
  <si>
    <t>Totaal, Groep A plus Groep B</t>
  </si>
  <si>
    <t>Vermogensoverdrachtenrekening: debet</t>
  </si>
  <si>
    <t>Vermogensoverdrachtenrekening: credit</t>
  </si>
  <si>
    <t>Vermogensoverdrachtenrekening</t>
  </si>
  <si>
    <t>Inkomensoverdrachten: debet</t>
  </si>
  <si>
    <t>Inkomensoverdrachten: credit</t>
  </si>
  <si>
    <t>4. Saldo inkomensoverdrachtenrekening</t>
  </si>
  <si>
    <t>Inkomens: debet</t>
  </si>
  <si>
    <t>Inkomens: credit</t>
  </si>
  <si>
    <t>3. Saldo inkomensrekening</t>
  </si>
  <si>
    <t>Overige</t>
  </si>
  <si>
    <t>Transport</t>
  </si>
  <si>
    <t>CBvS tabel 23</t>
  </si>
  <si>
    <t>Diensten: debet</t>
  </si>
  <si>
    <t>CBvS tabel 22</t>
  </si>
  <si>
    <t xml:space="preserve">are needed to reduce poverty. The next question is then how to achieve this </t>
  </si>
  <si>
    <t xml:space="preserve">objective. To answer this question other specific expertise than purely </t>
  </si>
  <si>
    <t xml:space="preserve">macroeconomic expertise is required. So, additional expertise needs to be </t>
  </si>
  <si>
    <t>involved as well.</t>
  </si>
  <si>
    <t>One might think of a mixture of policy measures such as:</t>
  </si>
  <si>
    <t>Enabling a favorable business environment;</t>
  </si>
  <si>
    <t>average og high and low scenario ABS</t>
  </si>
  <si>
    <t>Unemployment rate</t>
  </si>
  <si>
    <t>Disposable Income Private Sector</t>
  </si>
  <si>
    <t>Of which:</t>
  </si>
  <si>
    <t>GDP</t>
  </si>
  <si>
    <t xml:space="preserve">investeringen in 2017 met  49% zijn gedaald. Als dat minder zou zijn geweest bijvoorbeeld -35, dan  zou het BBP op +5% uit komen. </t>
  </si>
  <si>
    <t>rechts boven En op:</t>
  </si>
  <si>
    <t>Kerngegevens  Raming &amp; Realisatie</t>
  </si>
  <si>
    <t>(4)</t>
  </si>
  <si>
    <t xml:space="preserve">4) Er werd voor 2017 5% reële groei BBP geraamd, de voorlopige realisatie is -1. Dat laatste als inderdaad de </t>
  </si>
  <si>
    <r>
      <rPr>
        <b/>
        <sz val="12"/>
        <rFont val="Times New Roman"/>
        <family val="1"/>
      </rPr>
      <t>Conclusie:</t>
    </r>
    <r>
      <rPr>
        <sz val="12"/>
        <rFont val="Times New Roman"/>
        <family val="1"/>
      </rPr>
      <t xml:space="preserve">  in beide jaren is de  loonstijging in bedrijven minder dan geraamd, bijgevolg ook lagere inflatie</t>
    </r>
  </si>
  <si>
    <t>Merk op dat de koers goed werd geraamd.</t>
  </si>
  <si>
    <t>koers</t>
  </si>
  <si>
    <t>1) raming voor scenario 7, zonder beleidspakket, met Suryamodel van SPS bij IGSR op 8-1-2016, zie Appendix1 in Jaarverslag 2016 op www.stuseco.org</t>
  </si>
  <si>
    <t>3) raming voor 2017 met MacroabcSU model van Stuseco, gepresenteerd bij IGSR op 9 en 10 januari 2017 uit Appendix 2 bij Jaarverslag Stuseco 2016 dec 2016</t>
  </si>
  <si>
    <t>unemployment</t>
  </si>
  <si>
    <t>Goud assumpties:</t>
  </si>
  <si>
    <t xml:space="preserve">Bearish </t>
  </si>
  <si>
    <t xml:space="preserve">Baseline </t>
  </si>
  <si>
    <t xml:space="preserve">Optimistic </t>
  </si>
  <si>
    <t>Total Gold Production in x(1000) Oz</t>
  </si>
  <si>
    <t>Baseline</t>
  </si>
  <si>
    <t>WB-Jan 2018 Forecast</t>
  </si>
  <si>
    <t>Optim. 1</t>
  </si>
  <si>
    <t>Ave 2013 thru 2017 + 1 Standard Deviation</t>
  </si>
  <si>
    <t>Optim. 2</t>
  </si>
  <si>
    <t>Ave 2013 thru 2017 + USD 100 every 4 years</t>
  </si>
  <si>
    <t>Optim. 3</t>
  </si>
  <si>
    <t xml:space="preserve">Ave 2010 thru 2017 + 1 Std for 5 years and +2 Std for the rest of the period. </t>
  </si>
  <si>
    <t>Deviezenvoorraad zakt en om dat te voorkomen is koerscorrectie nodig van 9%, dus koers +0,68</t>
  </si>
  <si>
    <t>Dan overall  balance in cel Varianten E7  -400 mln. SRD</t>
  </si>
  <si>
    <t>Dan overall  balance in cel Varianten E7  -532 mln. SRD</t>
  </si>
  <si>
    <t>Deviezenvoorraad zakt en om dat te voorkomen is koerscorrectie nodig van  14%, dus koers +1,15</t>
  </si>
  <si>
    <t>Deviezenvoorraad zakt en om dat te voorkomen is koerscorrectie nodig van  73%, dus koers +1,15</t>
  </si>
  <si>
    <t>Deviezenvoorraad zakt en om dat te voorkomen is koerscorrectie nodig van  23%, dus koers +1,73</t>
  </si>
  <si>
    <t>in cel Assumpties BS60 na itereren zetten +23</t>
  </si>
  <si>
    <t>In Assumpties BS34 toevoegen: - 525 (in US$)</t>
  </si>
  <si>
    <t>in cel Assumpties BS60 na itereren zetten +215</t>
  </si>
  <si>
    <t>Deviezenvoorraad zakt en om dat te voorkomen is koerscorrectie nodig van  215%, dus koers +16,19</t>
  </si>
  <si>
    <t>8a  kapitaal afvloeiing in mln.US$ -525 in Asumpties BS34</t>
  </si>
  <si>
    <t>8.b kapitaal afvloeiing in USD -525 mln in Assumptions BS34 en koers 215%</t>
  </si>
  <si>
    <t>In Assumpties toevoegen:  +1 in BS21 :CG 21  In BS14:CG16 +2   in BS18:CG18 -1</t>
  </si>
  <si>
    <t>in cel Assumpties BS60 na itereren zetten +14</t>
  </si>
  <si>
    <t>in cel Assumpties BS60 na itereren zetten +16</t>
  </si>
  <si>
    <t>in cel Assumpties BS60 na itereren zetten +67 om maand dekking op 3 te krijgen</t>
  </si>
  <si>
    <t>10. Geen verhoging Ind. Bel in 2019 en Kap . uitstroom 10% BBP of USD 525</t>
  </si>
  <si>
    <t>MacroabcSU 7 mrt 2019 baseline Lau Fernandes ultimate</t>
  </si>
  <si>
    <t>Deze versie van MacroabcSU is door IGSR gestuurd aan de 50 studenten die participeerden in de MacroabcSU training</t>
  </si>
  <si>
    <t>Zie sheets Exercities en Varianten.</t>
  </si>
  <si>
    <t>niet openbaar. MacroabcSU is geheel gebaseerd op openbare data en is zelf openbaar. Eens per jaar wordt en update</t>
  </si>
  <si>
    <t>als shareware gezet op www.stuseco.org</t>
  </si>
  <si>
    <t>Iedereen kan dit model gebruiken, aanpassen en bewaren onder zijn eigen naam. Met als enige voorwaarden:</t>
  </si>
  <si>
    <t>bronvermelding, en vermelding dat alle assumpties (en dus de uitkomten) de verantwoordelijkheid van de gebruiker zijn.</t>
  </si>
  <si>
    <t>Bij een norm van 3,0 zit er meer rek in.</t>
  </si>
  <si>
    <t>Deze versie van MacroabcSU is door Fernandes gestuurd aan de 52 personen die participeerden op 8 maart.</t>
  </si>
  <si>
    <t>Deze versie is gepresenteerd door Gerard Lau en Marein van Schaaijk op vrijdagavond 8 maart in Fernandes bakkerij voor 52 belangstellenden</t>
  </si>
  <si>
    <t xml:space="preserve">Soortgelijke exercities zijn gemaakt bij SPS met Suryamodel en bij CBvS met CBvSMOD. De modellen Surya en CBvSMOD zijn </t>
  </si>
  <si>
    <t>MacroabcSU 27 mrt 2019</t>
  </si>
  <si>
    <t>Bedenk, dat we in de monetaire varianten de koers zo laten stijgen, dat de maanden invoerdekking gelijk blijven aan het niveau van de baseline (hier 4,33)</t>
  </si>
  <si>
    <t>zelfde als 7 maart, plus sheet tekortnorm en de exercities in shet Varianten opnieuw gedraaid met nieuwe baseline.</t>
  </si>
  <si>
    <t>Financieringsnormen bij constante schuld- en liquiditeitsquote</t>
  </si>
  <si>
    <t>St</t>
  </si>
  <si>
    <t>Staatsschuld in jaar t</t>
  </si>
  <si>
    <t>M2t</t>
  </si>
  <si>
    <t>geldhoeveelheid in jaar t</t>
  </si>
  <si>
    <t>Yt</t>
  </si>
  <si>
    <t>bbp in jaar t</t>
  </si>
  <si>
    <t>g</t>
  </si>
  <si>
    <t>% groei BBP</t>
  </si>
  <si>
    <t>=(Yt-Yt-1)/Yt-1</t>
  </si>
  <si>
    <t>f= financieringstekort in % BBP</t>
  </si>
  <si>
    <t>m= liquiditeitstekort in % BBP</t>
  </si>
  <si>
    <t>f</t>
  </si>
  <si>
    <t>=(St-St-1)/Yt-1</t>
  </si>
  <si>
    <t>m</t>
  </si>
  <si>
    <t>=(M2t-M2t-1)/M2t-1</t>
  </si>
  <si>
    <t>Q</t>
  </si>
  <si>
    <t>schuldquote</t>
  </si>
  <si>
    <t>L</t>
  </si>
  <si>
    <t>liquiditeitsquote</t>
  </si>
  <si>
    <t>Veronderstel :</t>
  </si>
  <si>
    <t>St-1/Yt-1</t>
  </si>
  <si>
    <t>dan is:</t>
  </si>
  <si>
    <t xml:space="preserve">(St-St-1)/Yt-1   = (St-1/Yt-1) * (Yt- Yt-1)Yt-1   </t>
  </si>
  <si>
    <t>Q*g</t>
  </si>
  <si>
    <t>m=</t>
  </si>
  <si>
    <t>L*g</t>
  </si>
  <si>
    <t>f=3 als Q=0,6 en g = 2+3</t>
  </si>
  <si>
    <t>m=3 als L=0,6 en g =2+3</t>
  </si>
  <si>
    <t>Zie ook: Delano Pinas, IGSR, 2014: Schuldnormen en realiteiten. (afstudeer scriptie)</t>
  </si>
  <si>
    <t>update month</t>
  </si>
  <si>
    <t>MacroabcSU 4 juni 2019</t>
  </si>
  <si>
    <t>2022 t/m 2029</t>
  </si>
  <si>
    <t>2018 t/m 2029</t>
  </si>
  <si>
    <t>basisscenario</t>
  </si>
  <si>
    <t>lening met kwijtschelding in 2022</t>
  </si>
  <si>
    <t>met aflossing en 1/ICOR =0 en Tinbetgen 2 =0</t>
  </si>
  <si>
    <t>idem met Tinbergen 2 in periode 2022-2025</t>
  </si>
  <si>
    <t>idem met koers aanpasing</t>
  </si>
  <si>
    <t>idem en geen T2</t>
  </si>
  <si>
    <t>P productiviteit +1% E+2% M-1%</t>
  </si>
  <si>
    <t>effecten tov basis scenario:</t>
  </si>
  <si>
    <t>a. lening met kwijtschelding in 2022</t>
  </si>
  <si>
    <t>c. idem met Tinbergen 2 in periode 2022-2025 zonder koersaanpasing</t>
  </si>
  <si>
    <t>berg op</t>
  </si>
  <si>
    <t>berg af</t>
  </si>
  <si>
    <t>impuls</t>
  </si>
  <si>
    <t>Scenarios van augustus 2017</t>
  </si>
  <si>
    <t>2018 t/m 2021</t>
  </si>
  <si>
    <t>in MODEL in 2022 external debt -80*4*7,61</t>
  </si>
  <si>
    <t>Resultaat: BBP in totaal over 2018-2021 1,9 mld. SRD hoger, en in de jaren erna nagenoeg gelijk aan baseline.</t>
  </si>
  <si>
    <t>net als a, maar in plaats van kwijtschelding in 2022, van 2022 tot 2029 aflossing per jaar 40 mln US$  (4*80mln US$ /8 jaar)</t>
  </si>
  <si>
    <t>sheet Scenarios 2017 toegevoegd met de uitkomsten van de scenario's gedraaid in augustus 2017</t>
  </si>
  <si>
    <t>scenario a :  basis scenario plus 2018-2021 80 mln US$ per jaar  in Assumptions in foreign financing gov, en in capital expenditure gov. En</t>
  </si>
  <si>
    <t>en in 2022 de indirecte belastingen verhogen met 6% ter financiering rente en aflossing</t>
  </si>
  <si>
    <t>Resultaaat: in 2018-2021 BBP +1,9 mld SRD en 2022-2029 - 1,9 mld SRD</t>
  </si>
  <si>
    <t>tov b: met Tinbergen 2 in erbij:  CPI 2022-2025 stijgt gemideld 0,6%. Daarom in die periode exporten -1,2% toevoegen (Tinbergen 2)</t>
  </si>
  <si>
    <t>en koers +20% in 2024-2026 en +10 in 2027 en 0 in 2028  koers loopt op tot 14 in 2030</t>
  </si>
  <si>
    <t>en in 2030 ind bel -6%</t>
  </si>
  <si>
    <t>d. idem en ICOR = 3</t>
  </si>
  <si>
    <t>als scenario c en ICOR 3: 80 investering per jaar in US$ *7,6 koers/3  ICOR/17000 expoprtwaarde = +1,2 % per jaar extra in exporten 2018-2021</t>
  </si>
  <si>
    <t xml:space="preserve">                             GDP in prijzen 2018 in mln SRD</t>
  </si>
  <si>
    <t>scenario d:</t>
  </si>
  <si>
    <t>scenario p:</t>
  </si>
  <si>
    <t>t.o.v. base line:  jaarlijks vanaf 2018 productiviteit +1%, export +2%, importsubstitutie -1% per jaar</t>
  </si>
  <si>
    <t>a</t>
  </si>
  <si>
    <t>b</t>
  </si>
  <si>
    <t>c</t>
  </si>
  <si>
    <t>d</t>
  </si>
  <si>
    <t>e</t>
  </si>
  <si>
    <t>idem en ICOR =3</t>
  </si>
  <si>
    <t>b. met aflossing en ICOR =0 en T2 =0</t>
  </si>
  <si>
    <t>e. idem en geen T2</t>
  </si>
  <si>
    <t>P</t>
  </si>
  <si>
    <t>scenario e</t>
  </si>
  <si>
    <t>idem  en geen T2</t>
  </si>
  <si>
    <t>GDP in prijzen 2017</t>
  </si>
  <si>
    <t>BBP in prijzen 2017</t>
  </si>
  <si>
    <t>zelfde file als die van 7 maart, maar nu met extra toelichting. Plus sheet Tekortnorm</t>
  </si>
  <si>
    <t>koers in 2019 gemiddeld 8,2</t>
  </si>
  <si>
    <t>Vanaf 2024 jaarkijks gemideld 45% depreciatie, omdat leningen moeten worden terug betaald.</t>
  </si>
  <si>
    <t>Zie Microblokrijst14nov02.xls en de notitie Rijstblok14nov02.doc, beide op www.stuseco.org</t>
  </si>
  <si>
    <t>grafiek Export en BBP</t>
  </si>
  <si>
    <t>lonen bedrijven en overheid</t>
  </si>
  <si>
    <t>rijstblokje</t>
  </si>
  <si>
    <t xml:space="preserve"> voor 2015/2017 berekend uit lonen EKS Suriname  bron ABS Ec.Statistieken 2013-2017 SIC 339 sept 2018</t>
  </si>
  <si>
    <t>openbaaar bestuur</t>
  </si>
  <si>
    <t xml:space="preserve">geen BTW invoering in 2019, maar in 2021 </t>
  </si>
  <si>
    <t>Op deze baseline kan men bijvoorbeeld het volgende productiviteitsscenario draaien:</t>
  </si>
  <si>
    <t>In sheet Asumptions zet:</t>
  </si>
  <si>
    <t>1. productiviteit BT21 e.v. 0,5 vervangen door 2,5</t>
  </si>
  <si>
    <t>3. Importvervanging 1% per jaar in BT18 e.v. -1</t>
  </si>
  <si>
    <t>5. FDI 4% hoger in 2020 e.v. Dat is 6 mln US$. Zet in alleen BT20  +6</t>
  </si>
  <si>
    <t>6. Onder deze veronderstelingen komen er geen depreciaties: zet in BW60 t/m CG 60  nul</t>
  </si>
  <si>
    <t>MacroabcSU 25 juni 2019</t>
  </si>
  <si>
    <t>2. export non-gold 4% extra: in Bt14, 15 en 16 e.v. 4 vervangen door 8, en zet in BT13 =BR13*1,04, en kopieer naar rechts</t>
  </si>
  <si>
    <t>4. Investeringen bedrijven in BT19 e.v. +4</t>
  </si>
  <si>
    <t>update CPI</t>
  </si>
  <si>
    <t>M1/BBP rate</t>
  </si>
  <si>
    <t>CPI %</t>
  </si>
  <si>
    <t>Kostprijs %</t>
  </si>
  <si>
    <t>koers %</t>
  </si>
  <si>
    <t>koers SRD/$</t>
  </si>
  <si>
    <t>0,3*(M1/BBP -0,2)*100+0,3* M1%-reeel BBP)</t>
  </si>
  <si>
    <t>CPI 1984=100</t>
  </si>
  <si>
    <t>koers 1984=100</t>
  </si>
  <si>
    <t>M2/BBP rate</t>
  </si>
  <si>
    <t xml:space="preserve"> M2/GDP ratio </t>
  </si>
  <si>
    <t>gem koers SRD/$</t>
  </si>
  <si>
    <t>verhouding paralllel/officieeel (PKRSQ)</t>
  </si>
  <si>
    <t>update dec 2019</t>
  </si>
  <si>
    <t xml:space="preserve">    netto betalingsachterstanden</t>
  </si>
  <si>
    <t>in US$</t>
  </si>
  <si>
    <t>netto buit.actief CBvS+ODI's</t>
  </si>
  <si>
    <t>tot 2016 uit World Bank: Global Economic Monitor (GEM) Commodities van 1996-207 uit Suryamodel 8 jan 2016 darna uit IMF dec 2019</t>
  </si>
  <si>
    <t>US$ dollars</t>
  </si>
  <si>
    <t>bron fin nota 2020</t>
  </si>
  <si>
    <t>waarvan leningen door niet financiële instellingen</t>
  </si>
  <si>
    <t>GDP ABS reeel productiemethode</t>
  </si>
  <si>
    <t>St/Yt   =</t>
  </si>
  <si>
    <t>St/St-1=</t>
  </si>
  <si>
    <t xml:space="preserve">Yt/Yt-1 </t>
  </si>
  <si>
    <t>St/St-1    -1=</t>
  </si>
  <si>
    <t>Yt/Yt-1   -1</t>
  </si>
  <si>
    <t xml:space="preserve">(St-St-1)/St-1   = (Yt- Yt-1)/Yt-1   </t>
  </si>
  <si>
    <t>vermenigvuldig links en rechts met St-1/Yt-1, dan is:</t>
  </si>
  <si>
    <t>financiering overheid</t>
  </si>
  <si>
    <t>mln srd</t>
  </si>
  <si>
    <t>Tabel 19 CBvS Gov Fin</t>
  </si>
  <si>
    <t>net external financing</t>
  </si>
  <si>
    <t>IMF dec 2019</t>
  </si>
  <si>
    <t>oude reeks, op basis Bureau staatsschuld en Fin Nota 2018</t>
  </si>
  <si>
    <t>uit IMF dec 2019</t>
  </si>
  <si>
    <t>waarvan interest aan buitenland</t>
  </si>
  <si>
    <t xml:space="preserve">M2/BBP </t>
  </si>
  <si>
    <t>Extra</t>
  </si>
  <si>
    <t>gemiddelde rentevoet staatsschuld</t>
  </si>
  <si>
    <t>binnenland</t>
  </si>
  <si>
    <t>buitenland</t>
  </si>
  <si>
    <t>Monetaire data en Bop en BBP bedrijfstakken van www.CBvS.sr  meest actuele maand.</t>
  </si>
  <si>
    <t>gov.fin uit Financiele nota 2020 en heel 2019= (Q1+Q2+Q3)*12/5</t>
  </si>
  <si>
    <t>Nog te doen: Koers zodanig dat deviezendekking import &gt; of = 3</t>
  </si>
  <si>
    <t>In 2022 indirecte belastingen +ruim 1 mld SRD (introductie BTW)</t>
  </si>
  <si>
    <t>MacroabcSU nov/dec   2019</t>
  </si>
  <si>
    <t>BOP heel 2019 = (Q1+Q2+Q3 )*4/3 of +Q4 van vorig jaar</t>
  </si>
  <si>
    <t>volume export +2% per jaar bij goud, +3% per jar overige export</t>
  </si>
  <si>
    <t>goudprijs uit IMF art IV report, dec 2019</t>
  </si>
  <si>
    <t>Goudprijs na 2025 stijgt 3% per jaar</t>
  </si>
  <si>
    <t>idem copy/paste special/values</t>
  </si>
  <si>
    <t>Add factor investments private</t>
  </si>
  <si>
    <t>foreign fin. Private  (net)</t>
  </si>
  <si>
    <t>MacroabcSU 6 jan 2020</t>
  </si>
  <si>
    <t>in Asumpties regel 55 en 56 toegevoegd.</t>
  </si>
  <si>
    <t>Dan zal de koers deprecieren. Dat is nog niet ingevoerd in Asumpties regel 60</t>
  </si>
  <si>
    <t xml:space="preserve">In dit scenario blijft de koers 8,2 </t>
  </si>
  <si>
    <t>olie asumpties:</t>
  </si>
  <si>
    <t>De olie scenario assumpties in de vorm van input in MacroabcSU:</t>
  </si>
  <si>
    <t xml:space="preserve">Extra investeringen 800 mln US$ per jaar in 2021- 2025. Dat vereist extra FDI door </t>
  </si>
  <si>
    <t>Apache +Total 0,8*800= 640 mln US$ per jaar:</t>
  </si>
  <si>
    <t xml:space="preserve">De investeringen van Staats Olie zijn van 2021 t/m 2025 0,2*800= 160 mln US$ hoger. </t>
  </si>
  <si>
    <t>uit buitenlandse leningen: zet in BU56 +160 en in BZ56 -160</t>
  </si>
  <si>
    <t xml:space="preserve">Terugbetaling FDI en particuliere leningen in 10 jaar  5*800/10=  400 mln US$ </t>
  </si>
  <si>
    <t>via assumpties BZ56 -400 toevoegen</t>
  </si>
  <si>
    <t xml:space="preserve">Correctie in extra invoer nodig voor de privatie investeringen voor oliewinning op zee. </t>
  </si>
  <si>
    <t>800 in 2021 t/m 2025.  Niet 40%, maar stel 80 % import nodig. Dus extra</t>
  </si>
  <si>
    <t xml:space="preserve"> invoer 800*0,4= 320 mln US$</t>
  </si>
  <si>
    <t>Zet in Assumptions BU17 +320 en in BZ17 -320</t>
  </si>
  <si>
    <t xml:space="preserve">Winst transfers assumptie winsttransfers  van Apache+Total:  </t>
  </si>
  <si>
    <t xml:space="preserve"> in Assumptions BU20 voeg toe +640 en in BV20 zet de 10 terug. En in BZ20 -640 en in CA20 0 zetten. </t>
  </si>
  <si>
    <t>Dit werkt automatisch door in 640*8,2 =  5248 mln SRD    extra particuliere investeringen.</t>
  </si>
  <si>
    <t>In deze baseline zakt de deviezenvoorraad in 2022 en volgende jaren onder 3 maanden import.</t>
  </si>
  <si>
    <t>MacroabcSU 27 jan 2020 baseline</t>
  </si>
  <si>
    <t>Deze baseline heeft assumpties grosso modo in lijn met IMF rapport van dec 2019</t>
  </si>
  <si>
    <t>Dat geldt in het bijzonder voor de buitenlandse financiering van de overheid.</t>
  </si>
  <si>
    <t>MacroabcSU 27 jan 2020 olie scenario</t>
  </si>
  <si>
    <t>Hieronder staat hoe op deze basline een olie op zee scenario te draaien:</t>
  </si>
  <si>
    <t>Extra export van olie uit zee: we veronderstellen 120.000 barrels per dag, is 44 mln per jaar gedurende 10 jaar</t>
  </si>
  <si>
    <t>Assumptie: prijs is 60 US$ per barrel, dus exportwaarde 44*60 = 2,6 mld US$ per jaar, startend in 2026</t>
  </si>
  <si>
    <t>De ''overige export" in 2025 is 4230 mln SRD / 8,2= 515 mn US$ en 2600/515=503 %</t>
  </si>
  <si>
    <t xml:space="preserve">Extra export: in Sheet Assumptions in cel BZ15 toevoegen +503 en in CA15 de 3 terug zetten  </t>
  </si>
  <si>
    <t xml:space="preserve">Zet in Assumptions BU55 investeringen +160 en in BZ55 -160.  En financier die </t>
  </si>
  <si>
    <t>0,13*2,6 = 270 mln US$</t>
  </si>
  <si>
    <t xml:space="preserve">Zet in BZ45 270 </t>
  </si>
  <si>
    <t>Royalties    0,0625*2,6 = 162 mln US$   Zet in Asumptions in BZ48 +162</t>
  </si>
  <si>
    <t>kosten per barel</t>
  </si>
  <si>
    <t>Koeweit</t>
  </si>
  <si>
    <t>US</t>
  </si>
  <si>
    <t>Brazilie</t>
  </si>
  <si>
    <t>UK</t>
  </si>
  <si>
    <t>Venezuela</t>
  </si>
  <si>
    <t>Colombia</t>
  </si>
  <si>
    <t>Suriname</t>
  </si>
  <si>
    <t>Alleen oppompen, geen raffinage:</t>
  </si>
  <si>
    <t>PM kleine aapasing loonvergelijking</t>
  </si>
  <si>
    <t>????</t>
  </si>
  <si>
    <t xml:space="preserve">Overigens kent Macroabc, anders dan Suryamodel van SPS, geen micro blok voor de exprtsector,zodat de kostprijs van olie uit zee </t>
  </si>
  <si>
    <t>niet als input wordt ingevoerd.</t>
  </si>
  <si>
    <t>MacroabcSU 28 feb 2020 olie scenario</t>
  </si>
  <si>
    <t>deking M2 door net foreign assets  grafiek toegevoegd</t>
  </si>
  <si>
    <t>update deviezen IR</t>
  </si>
  <si>
    <t>is som CBvS en ODI's uit tabel 6</t>
  </si>
  <si>
    <t>Net Foreign Assets CBvS +ODI's in months imports</t>
  </si>
  <si>
    <t>in Model 301 NA/M/12 gezet</t>
  </si>
  <si>
    <t xml:space="preserve">nieuwe baseline </t>
  </si>
  <si>
    <t>MacroabcSU 18 maart 2020 base line</t>
  </si>
  <si>
    <t>MacroabcSU 25 maart 2020 base line</t>
  </si>
  <si>
    <t>cpi feb</t>
  </si>
  <si>
    <t>o.w. Other exports</t>
  </si>
  <si>
    <t>Direct Investment (net incurrance of liabilities)</t>
  </si>
  <si>
    <t>Totaal</t>
  </si>
  <si>
    <t>Aov Uitkering</t>
  </si>
  <si>
    <t>Income and Profit tax</t>
  </si>
  <si>
    <t>Export groei producten</t>
  </si>
  <si>
    <t>Volume</t>
  </si>
  <si>
    <t>Value</t>
  </si>
  <si>
    <t>In SRD</t>
  </si>
  <si>
    <t>Price Mutations in SRD</t>
  </si>
  <si>
    <t>USD/troy ounce</t>
  </si>
  <si>
    <t>Exports volume transport</t>
  </si>
  <si>
    <t>mln. US$</t>
  </si>
  <si>
    <t>Gold price USD</t>
  </si>
  <si>
    <t>Gold Price SRD</t>
  </si>
  <si>
    <t xml:space="preserve">exactly how the economy works; moreover, the data are estimates only. So </t>
  </si>
  <si>
    <t>leningen 175 in 2018 t/m 2021 en 7 jaar -100 terugbetalen.</t>
  </si>
  <si>
    <t>CPI 2021 -2027 stijgt 0,6 % per jaar extra.  Daarom export in die 7 jaar add factor -1,2</t>
  </si>
  <si>
    <t>resultaat tov base line:</t>
  </si>
  <si>
    <t>GDP +18%</t>
  </si>
  <si>
    <t>reele loonsom bedrijven in 2030  36% hoger dan in 2015 en 71% hoger dan in 2017</t>
  </si>
  <si>
    <t>2018-2021 80 mln US$ in Assumptions BR52 :BU53  en in 2022-2029 -40  (4*80/8)</t>
  </si>
  <si>
    <t>en in BV50 +6 toevoegen ter financiering rente en aflossing</t>
  </si>
  <si>
    <t>en ICOR 3: 80*7,6/3/17000 = +1,2 in exporten 2018-2021</t>
  </si>
  <si>
    <t>regel 25 toegevoegd in KEY  BBP in prijzen 2018 mln SDR.</t>
  </si>
  <si>
    <t>Op dit basis scenario kunnen diverse aflossingsscenario's worden gedraaid:</t>
  </si>
  <si>
    <t xml:space="preserve">scenario a :  basis scenario plus 2018-2021 80 mln US$ in Assumptions BR52 :BU53  en in </t>
  </si>
  <si>
    <t>MODEL BV197 -80*4*7,61</t>
  </si>
  <si>
    <t>In dit scenario wordt de schuld in 2022 kwijt gescholden.</t>
  </si>
  <si>
    <t>Resultaat: BBP in totaal over 2018-2021 2 mld. SRD hoger, en in de jaren erna nagenoeg gelijk aan baseline.</t>
  </si>
  <si>
    <t>scenario b:</t>
  </si>
  <si>
    <t>Resultaaat: in 2018-2021 BBP +2 mld SRD en 2022-2029 - 2 mld SRD</t>
  </si>
  <si>
    <t>scenario c:</t>
  </si>
  <si>
    <t>tov b: met tinbegen 2 in erbij CPI 2022-2025 stijgt gemideld 0,6%. Daarom in die periode exporten -1,2% toevoegen (Tinbergen 2)</t>
  </si>
  <si>
    <t>en koers +20% in 2024-2026 en +10 in 2027 en 0 in 2028  koers lopt op tot 14 in 2030</t>
  </si>
  <si>
    <t>en in 2030 ind bel -6</t>
  </si>
  <si>
    <t>sceanario d:</t>
  </si>
  <si>
    <t>tov scenario c: i/ICOR =0,33.  80*7.6*0,33/17000 = 1,2%</t>
  </si>
  <si>
    <t>geen koersaanpassing nodig</t>
  </si>
  <si>
    <t xml:space="preserve">Gross fixed capital formation </t>
  </si>
  <si>
    <t>Q1</t>
  </si>
  <si>
    <t>Q2</t>
  </si>
  <si>
    <t>asumpties regel 43 en 46 voor 2017 zetten op 0</t>
  </si>
  <si>
    <t>add factor private investeringen 2017 van-25 naar -18</t>
  </si>
  <si>
    <t>in model 165 werken met koers per ultimo</t>
  </si>
  <si>
    <t>in SOURCE overheidsfinancien jan-juni *2 = heel 2017</t>
  </si>
  <si>
    <t>update deviezen aug</t>
  </si>
  <si>
    <t>van TurboABS</t>
  </si>
  <si>
    <t>N.B.</t>
  </si>
  <si>
    <t xml:space="preserve">   Verschil  met base line</t>
  </si>
  <si>
    <t>unit</t>
  </si>
  <si>
    <t>YEAR</t>
  </si>
  <si>
    <t>PRIMAIRE INPUT</t>
  </si>
  <si>
    <t>________________________________</t>
  </si>
  <si>
    <t>BASIS INPUT SECTOR BEDRIJVEN:</t>
  </si>
  <si>
    <t>bruto toegev.waarde bedrijven(m)</t>
  </si>
  <si>
    <t>YWBN</t>
  </si>
  <si>
    <t>bruto investeringen bedrijven</t>
  </si>
  <si>
    <t>IBWN</t>
  </si>
  <si>
    <t xml:space="preserve">loonsom van de bedrijven                      </t>
  </si>
  <si>
    <t>LBWN</t>
  </si>
  <si>
    <t>afschrijvingen van de bedrijven</t>
  </si>
  <si>
    <t>DBWN</t>
  </si>
  <si>
    <t>BASIS INPUT SECTOR BUITENLAND:</t>
  </si>
  <si>
    <t xml:space="preserve">  lopende inkomsten:</t>
  </si>
  <si>
    <t>uitvoer goed.+dienst.door bedr.</t>
  </si>
  <si>
    <t>BWN</t>
  </si>
  <si>
    <t>loonsom uit buitenland</t>
  </si>
  <si>
    <t>LEGWN</t>
  </si>
  <si>
    <t>overiginkomen buitl.aan bedrijven</t>
  </si>
  <si>
    <t>ZEBWN</t>
  </si>
  <si>
    <t>ink.overdr.om n.uit buit.aan gez.</t>
  </si>
  <si>
    <t>OEGWN</t>
  </si>
  <si>
    <t>P.M.ink.overdrachten B&gt;O hieronder</t>
  </si>
  <si>
    <t xml:space="preserve">   lopende uitgaven:</t>
  </si>
  <si>
    <t>invoer goed+dienst.door bedrijven</t>
  </si>
  <si>
    <t>MBWN</t>
  </si>
  <si>
    <t>invoer goed.+dienst.door overheid</t>
  </si>
  <si>
    <t>MOWN</t>
  </si>
  <si>
    <t>invoer goed.+dienst.door gezin.</t>
  </si>
  <si>
    <t>MGWN</t>
  </si>
  <si>
    <t>loonsom naar buitenland</t>
  </si>
  <si>
    <t>LBEWN</t>
  </si>
  <si>
    <t xml:space="preserve">The macro models of Surinam entitled: 'Macmic' and ‘Surya model’, of </t>
  </si>
  <si>
    <t xml:space="preserve">Curaçao: 'Curalyse', the European Union: 'Euralyse', Poland: 'M98D', Kenya: </t>
  </si>
  <si>
    <t xml:space="preserve">‘KTMM’, Indonesia: ‘MODFI’, Aruba: ‘Maruba’, Zambia: ‘ZAMMOD’, </t>
  </si>
  <si>
    <t xml:space="preserve">Rwanda: ‘Marumo’, Namibia: ‘!Namtrimo’, and of Bhutan: ‘DrukMac </t>
  </si>
  <si>
    <t xml:space="preserve">model’, were all based on this Macroabc methodology. These models run in </t>
  </si>
  <si>
    <t xml:space="preserve">Excel or in solution programs like MicroTSP, EVIEWS, or SIMPC. The </t>
  </si>
  <si>
    <r>
      <rPr>
        <b/>
        <sz val="12"/>
        <color indexed="8"/>
        <rFont val="Times New Roman"/>
        <family val="1"/>
      </rPr>
      <t>2.  Import volume % growth:</t>
    </r>
    <r>
      <rPr>
        <sz val="12"/>
        <color indexed="8"/>
        <rFont val="Times New Roman"/>
        <family val="1"/>
      </rPr>
      <t xml:space="preserve"> 1,0*real final demand growth  -0,1*(domestic – international inflation)</t>
    </r>
  </si>
  <si>
    <r>
      <rPr>
        <b/>
        <sz val="12"/>
        <color indexed="8"/>
        <rFont val="Times New Roman"/>
        <family val="1"/>
      </rPr>
      <t xml:space="preserve">1.  Consumption: + </t>
    </r>
    <r>
      <rPr>
        <sz val="12"/>
        <color indexed="8"/>
        <rFont val="Times New Roman"/>
        <family val="1"/>
      </rPr>
      <t>0,80*((wages)*0,8 + wages (t-1) * 0,2) + 0,4*(income big companies*0,5 + income big companies (t-1) *0,5)</t>
    </r>
  </si>
  <si>
    <r>
      <rPr>
        <b/>
        <sz val="12"/>
        <color indexed="8"/>
        <rFont val="Times New Roman"/>
        <family val="1"/>
      </rPr>
      <t>8.   %ΔWage rate private sector:</t>
    </r>
    <r>
      <rPr>
        <sz val="12"/>
        <color indexed="8"/>
        <rFont val="Times New Roman"/>
        <family val="1"/>
      </rPr>
      <t xml:space="preserve"> 1,0 %</t>
    </r>
    <r>
      <rPr>
        <sz val="12"/>
        <color indexed="8"/>
        <rFont val="Calibri"/>
        <family val="2"/>
      </rPr>
      <t>Δ</t>
    </r>
    <r>
      <rPr>
        <sz val="12"/>
        <color indexed="8"/>
        <rFont val="Times New Roman"/>
        <family val="1"/>
      </rPr>
      <t xml:space="preserve">CPI, lag one quarter + general productivity trend </t>
    </r>
  </si>
  <si>
    <t>employment businesses</t>
  </si>
  <si>
    <t>rate</t>
  </si>
  <si>
    <t>Arrears</t>
  </si>
  <si>
    <t>Acquisitions Newmont share, loans to Staatsolie</t>
  </si>
  <si>
    <t>Update overheidsfinancien t/m 2016</t>
  </si>
  <si>
    <t>Stat.disc. Net dom. Borrowing banking system - change in net claims on gov</t>
  </si>
  <si>
    <t>Herwaardering door wisselkoersmutatie</t>
  </si>
  <si>
    <t>rate vv ingezetenen/ M2</t>
  </si>
  <si>
    <t xml:space="preserve">     idem/ broad money</t>
  </si>
  <si>
    <t xml:space="preserve">assumptions regarding the poverty indicators and other relevant indicators. </t>
  </si>
  <si>
    <t xml:space="preserve">integrating data from different sources, </t>
  </si>
  <si>
    <t xml:space="preserve">discussing the consistency requirements between these data sources, </t>
  </si>
  <si>
    <t xml:space="preserve">and, </t>
  </si>
  <si>
    <t xml:space="preserve">help of the identity equations. </t>
  </si>
  <si>
    <t xml:space="preserve">As explained above, to start the model one only needs values of the primary </t>
  </si>
  <si>
    <t xml:space="preserve">variables. In the standard version of the model, around 70 primary variables </t>
  </si>
  <si>
    <t xml:space="preserve">are identified. </t>
  </si>
  <si>
    <t>Nota bene:  Aangezien cruciale grootheden zoals de goudprijs niet nauwkeurig kunnen worden voorspeld, is een onvoorwardelijke macro raming nooit</t>
  </si>
  <si>
    <t>nauwkeurig. De baseline in deze modelversie staat en valt met de aannames in sheet Asumptions!</t>
  </si>
  <si>
    <t>Het model heeft als periode een jaar. Daarnaast wordt in sheet months een onderbouwing van inflatie, koersen, deviezen en</t>
  </si>
  <si>
    <t>lonen en koopkracht per maand gegeven.</t>
  </si>
  <si>
    <t>Dat kan reden geven tot extra voorzichtigheid:</t>
  </si>
  <si>
    <t>De lopende rekening BOP die lange tijd negatief was, vertoonde in Q4, 2016 een overschot van 43 mln. US$</t>
  </si>
  <si>
    <t>en in Q$ sloeg de daling van de deviezenvoorrad om in een toename van 34 mln US$ in Q4, 2016</t>
  </si>
  <si>
    <t xml:space="preserve">De baseline in deze modelversie laat een toename van 125 mln zien, dus gemiddeld 10 mln. US$ per maand. </t>
  </si>
  <si>
    <t xml:space="preserve">In januari was er een toename van 17. Dat past prima in het jaargemidelde, maar in februari </t>
  </si>
  <si>
    <t>daalde de deviezenvoorraad met 8 mln US$, en in de eerste weeek van maart was er een daling van 14 mln. Us$</t>
  </si>
  <si>
    <t>-63,9</t>
  </si>
  <si>
    <t>-146,1</t>
  </si>
  <si>
    <t>-208,4</t>
  </si>
  <si>
    <t>-38,5</t>
  </si>
  <si>
    <t>-35,0</t>
  </si>
  <si>
    <t>munten en muntbiljetten</t>
  </si>
  <si>
    <t>vreemde valuta deposito's van ingezetenen</t>
  </si>
  <si>
    <t>of which: net claims in foreign currency</t>
  </si>
  <si>
    <t xml:space="preserve">Total Foreign Assets (net)  </t>
  </si>
  <si>
    <t>Gross foreign assets CBvS  tabel 3</t>
  </si>
  <si>
    <t>Gross Int reserves CBvS in US$  tabel 6 en tabel OR</t>
  </si>
  <si>
    <t xml:space="preserve">    + share income informal sector in final demand *(%∆ wage rate informal sector – % ∆general productivity) + share profits in final demand *(%∆ CPI lagged as indicator for capital costs) </t>
  </si>
  <si>
    <t xml:space="preserve"> + (%∆Indirect taxes/private consumption (t) - %∆Indirect taxes/private consumption (t-1))*100  + add factor</t>
  </si>
  <si>
    <t>MacroabcSU 28 maart 2017.xls</t>
  </si>
  <si>
    <t>Effect indirecte belasting druk op CPI excl export</t>
  </si>
  <si>
    <t xml:space="preserve">Kapitaaluitgaven overheid in 2017 nominaal gelijk aan die van 2016. </t>
  </si>
  <si>
    <t>Zodanige verhoging indirecte belastingen (incl. government take in benzine prijs) dat overall balance positief is</t>
  </si>
  <si>
    <t>en groot genoeg om 133 mln. US$ af te lossen.</t>
  </si>
  <si>
    <t>Overall balance BoP</t>
  </si>
  <si>
    <t xml:space="preserve">Gov. Overall balance </t>
  </si>
  <si>
    <t>Gross fixed capital formation</t>
  </si>
  <si>
    <t>-599,9</t>
  </si>
  <si>
    <t>-552,3</t>
  </si>
  <si>
    <t>-760,9</t>
  </si>
  <si>
    <t>-674,3</t>
  </si>
  <si>
    <t>-536,4</t>
  </si>
  <si>
    <t>-63,1</t>
  </si>
  <si>
    <t>-65,6</t>
  </si>
  <si>
    <t>-90,0</t>
  </si>
  <si>
    <t>-73,4</t>
  </si>
  <si>
    <t>-101,8</t>
  </si>
  <si>
    <t>-96,1</t>
  </si>
  <si>
    <t>-98,1</t>
  </si>
  <si>
    <t>-89,0</t>
  </si>
  <si>
    <t>-80,1</t>
  </si>
  <si>
    <t>-206,2</t>
  </si>
  <si>
    <t>-252,3</t>
  </si>
  <si>
    <t>-317,2</t>
  </si>
  <si>
    <t>-222,2</t>
  </si>
  <si>
    <t>-185,7</t>
  </si>
  <si>
    <t>-460,7</t>
  </si>
  <si>
    <t>-503,8</t>
  </si>
  <si>
    <t>-454,2</t>
  </si>
  <si>
    <t>-671,8</t>
  </si>
  <si>
    <t>-594,2</t>
  </si>
  <si>
    <t>-54,5</t>
  </si>
  <si>
    <t>-2,6</t>
  </si>
  <si>
    <t>4,8</t>
  </si>
  <si>
    <t>-104,3</t>
  </si>
  <si>
    <t>-262,1</t>
  </si>
  <si>
    <t>-192,5</t>
  </si>
  <si>
    <t>-131,2</t>
  </si>
  <si>
    <t>-69,4</t>
  </si>
  <si>
    <t>-28,1</t>
  </si>
  <si>
    <t>-110,1</t>
  </si>
  <si>
    <t>25,0</t>
  </si>
  <si>
    <t>42,2</t>
  </si>
  <si>
    <t>29,8</t>
  </si>
  <si>
    <t>26,1</t>
  </si>
  <si>
    <t>16,2</t>
  </si>
  <si>
    <t>27,1</t>
  </si>
  <si>
    <t>21,6</t>
  </si>
  <si>
    <t>14,5</t>
  </si>
  <si>
    <t>20,6</t>
  </si>
  <si>
    <t>-79,5</t>
  </si>
  <si>
    <t>-46,2</t>
  </si>
  <si>
    <t>-21,8</t>
  </si>
  <si>
    <t>-25,0</t>
  </si>
  <si>
    <t>-130,4</t>
  </si>
  <si>
    <t>-278,3</t>
  </si>
  <si>
    <t>-219,6</t>
  </si>
  <si>
    <t>-158,3</t>
  </si>
  <si>
    <t>-91,1</t>
  </si>
  <si>
    <t>-42,6</t>
  </si>
  <si>
    <t>35,9</t>
  </si>
  <si>
    <t>77,4</t>
  </si>
  <si>
    <t>90,5</t>
  </si>
  <si>
    <t>94,0</t>
  </si>
  <si>
    <t>86,5</t>
  </si>
  <si>
    <t>87,3</t>
  </si>
  <si>
    <t>72,8</t>
  </si>
  <si>
    <t>66,6</t>
  </si>
  <si>
    <t>71,2</t>
  </si>
  <si>
    <t>65,3</t>
  </si>
  <si>
    <t>101,8</t>
  </si>
  <si>
    <t>73,5</t>
  </si>
  <si>
    <t>139,8</t>
  </si>
  <si>
    <t>141,0</t>
  </si>
  <si>
    <t>147,2</t>
  </si>
  <si>
    <t>141,8</t>
  </si>
  <si>
    <t>159,4</t>
  </si>
  <si>
    <t>145,5</t>
  </si>
  <si>
    <t>153,2</t>
  </si>
  <si>
    <t>151,4</t>
  </si>
  <si>
    <t>139,4</t>
  </si>
  <si>
    <t>161,5</t>
  </si>
  <si>
    <t>-37,6</t>
  </si>
  <si>
    <t>-62,4</t>
  </si>
  <si>
    <t>-50,5</t>
  </si>
  <si>
    <t>-53,2</t>
  </si>
  <si>
    <t>-55,3</t>
  </si>
  <si>
    <t>-72,1</t>
  </si>
  <si>
    <t>-72,8</t>
  </si>
  <si>
    <t>-86,6</t>
  </si>
  <si>
    <t>-80,2</t>
  </si>
  <si>
    <t>-74,1</t>
  </si>
  <si>
    <t>-59,7</t>
  </si>
  <si>
    <t>19,3</t>
  </si>
  <si>
    <t>8,1</t>
  </si>
  <si>
    <t>31,9</t>
  </si>
  <si>
    <t>87,4</t>
  </si>
  <si>
    <t>53,9</t>
  </si>
  <si>
    <t>35,0</t>
  </si>
  <si>
    <t>-7,0</t>
  </si>
  <si>
    <t>0,1</t>
  </si>
  <si>
    <t>-0,4</t>
  </si>
  <si>
    <t>1,3</t>
  </si>
  <si>
    <t>19,4</t>
  </si>
  <si>
    <t>87,9</t>
  </si>
  <si>
    <t>0,8</t>
  </si>
  <si>
    <t>0,0</t>
  </si>
  <si>
    <t>-0,5</t>
  </si>
  <si>
    <t>-7,8</t>
  </si>
  <si>
    <t>-0,6</t>
  </si>
  <si>
    <t>-0,1</t>
  </si>
  <si>
    <t>-163,4</t>
  </si>
  <si>
    <t>-246,7</t>
  </si>
  <si>
    <t>-231,4</t>
  </si>
  <si>
    <t>-93,4</t>
  </si>
  <si>
    <t>-247,7</t>
  </si>
  <si>
    <t>72,9</t>
  </si>
  <si>
    <t>172,8</t>
  </si>
  <si>
    <t>187,6</t>
  </si>
  <si>
    <t>164,1</t>
  </si>
  <si>
    <t>278,5</t>
  </si>
  <si>
    <t>3,1</t>
  </si>
  <si>
    <t>-0,9</t>
  </si>
  <si>
    <t>69,8</t>
  </si>
  <si>
    <t>173,7</t>
  </si>
  <si>
    <t>-15,2</t>
  </si>
  <si>
    <t>-9,9</t>
  </si>
  <si>
    <t>-2,3</t>
  </si>
  <si>
    <t>loonvoet landsdienaren 0 in  2018 en 2019</t>
  </si>
  <si>
    <t>Goudexport ingaande 2017 baseline scenario. Dus geen stijging in 2018 tov 2017: in Assumpties  BQ13 zet: =BQ67, en  naar rechts kopieren</t>
  </si>
  <si>
    <t>MacroabcSU baseline 24 aug 2018.xls</t>
  </si>
  <si>
    <t>geen add factor in goudprijs 2018 op 1300 gezet 2018-2033</t>
  </si>
  <si>
    <t>in 2020 -2033 add factor in Assumpties regel 60, zodanig dat maanden invoerdeking steeds op 3,0 komt</t>
  </si>
  <si>
    <t>baseline</t>
  </si>
  <si>
    <t>MacroabcSU scenario 24 aug 2018.xls</t>
  </si>
  <si>
    <t xml:space="preserve">all components of the model at the same time. </t>
  </si>
  <si>
    <t>Flow diagram of the Macroabc model</t>
  </si>
  <si>
    <t>The Macroabc model in detail</t>
  </si>
  <si>
    <t>The  model can be used for:</t>
  </si>
  <si>
    <t>historical analysis;</t>
  </si>
  <si>
    <t>forecasting/prognosis;</t>
  </si>
  <si>
    <t>policy simulations;</t>
  </si>
  <si>
    <t>constructing scenarios;</t>
  </si>
  <si>
    <t>monitoring and updating.</t>
  </si>
  <si>
    <t xml:space="preserve">National Accounts contain a large number of interdependent variables. Most </t>
  </si>
  <si>
    <t xml:space="preserve">of the macro data appear in the official records twice: a) as an asset, and b) </t>
  </si>
  <si>
    <t xml:space="preserve"> M2 en VV    uit tabel 5 CBvS Liquiditeitenmassa in ruime zin in mln SRD</t>
  </si>
  <si>
    <t>M2 en VV</t>
  </si>
  <si>
    <t xml:space="preserve">Deviezen </t>
  </si>
  <si>
    <t>wage bill private sector</t>
  </si>
  <si>
    <t>income unemployed</t>
  </si>
  <si>
    <t>47,3</t>
  </si>
  <si>
    <t>319,9</t>
  </si>
  <si>
    <t>61,4</t>
  </si>
  <si>
    <t>207,0</t>
  </si>
  <si>
    <t>468,1</t>
  </si>
  <si>
    <t>390,1</t>
  </si>
  <si>
    <t>-116,7</t>
  </si>
  <si>
    <t>126,3</t>
  </si>
  <si>
    <t>-2,7</t>
  </si>
  <si>
    <t>-0,8</t>
  </si>
  <si>
    <t>1,0</t>
  </si>
  <si>
    <t>161,0</t>
  </si>
  <si>
    <t>81,5</t>
  </si>
  <si>
    <t>-28,8</t>
  </si>
  <si>
    <t>12,2</t>
  </si>
  <si>
    <t>-5,9</t>
  </si>
  <si>
    <t>66,4</t>
  </si>
  <si>
    <t>120,7</t>
  </si>
  <si>
    <t>103,4</t>
  </si>
  <si>
    <t>164,9</t>
  </si>
  <si>
    <t>79,7</t>
  </si>
  <si>
    <t>74,0</t>
  </si>
  <si>
    <t>21,1</t>
  </si>
  <si>
    <t>-5,0</t>
  </si>
  <si>
    <t>2,9</t>
  </si>
  <si>
    <t>-1,5</t>
  </si>
  <si>
    <t>4,9</t>
  </si>
  <si>
    <t>21,0</t>
  </si>
  <si>
    <t>19,8</t>
  </si>
  <si>
    <t>-3,9</t>
  </si>
  <si>
    <t>-2,9</t>
  </si>
  <si>
    <t>-3,5</t>
  </si>
  <si>
    <t>-19,4</t>
  </si>
  <si>
    <t>201,4</t>
  </si>
  <si>
    <t>-47,8</t>
  </si>
  <si>
    <t>368,6</t>
  </si>
  <si>
    <t>157,9</t>
  </si>
  <si>
    <t>-15,6</t>
  </si>
  <si>
    <t>-33,7</t>
  </si>
  <si>
    <t>308,4</t>
  </si>
  <si>
    <t>57,4</t>
  </si>
  <si>
    <t>203,1</t>
  </si>
  <si>
    <t>381,4</t>
  </si>
  <si>
    <t>642,5</t>
  </si>
  <si>
    <t>233,3</t>
  </si>
  <si>
    <t>272,7</t>
  </si>
  <si>
    <t>-69,9</t>
  </si>
  <si>
    <t>196,9</t>
  </si>
  <si>
    <t xml:space="preserve">actively participate in model construction and execution. In addition, </t>
  </si>
  <si>
    <t>simultaneous models like Macroabc can be run in Excel.</t>
  </si>
  <si>
    <t xml:space="preserve">The methodology of Macroabc is similar to, but more advanced than, IMF’s </t>
  </si>
  <si>
    <t xml:space="preserve">Financial Programming, and to the Reduced Minimum Standard Model </t>
  </si>
  <si>
    <t xml:space="preserve">(RMSM-X) of the World Bank. </t>
  </si>
  <si>
    <t xml:space="preserve">The Macroabc models include a special block concerning the labour market. </t>
  </si>
  <si>
    <t xml:space="preserve">From a theoretical point of view, Macroabc is closely related to the models of </t>
  </si>
  <si>
    <t xml:space="preserve">the Netherlands’ CPB. </t>
  </si>
  <si>
    <t>The main sheets of the Macroabc Suriname model</t>
  </si>
  <si>
    <t xml:space="preserve">The model file contains several sheets of which brief explanations are </t>
  </si>
  <si>
    <t>provided below.</t>
  </si>
  <si>
    <t xml:space="preserve">Logbook – Documentation for changes and improvements of the model; </t>
  </si>
  <si>
    <t xml:space="preserve">SOURCE (or Data input) - Contains all data. The sheet is organised in </t>
  </si>
  <si>
    <t>such a way that the figures from different sources are in the same block;</t>
  </si>
  <si>
    <t>calculations take place, starting with data from sheet: Data input</t>
  </si>
  <si>
    <t xml:space="preserve">Assumptions - The user can insert figures that are automatically </t>
  </si>
  <si>
    <t xml:space="preserve">sector contains a breakdown between the number of income earners and </t>
  </si>
  <si>
    <t>classes of income and the main categories such as wage earners, self-</t>
  </si>
  <si>
    <t xml:space="preserve">subsistence agricultural sector, informal sector, etc. Subsequently the growth </t>
  </si>
  <si>
    <t xml:space="preserve">of numbers and incomes of the several groups have to be translated into an </t>
  </si>
  <si>
    <t xml:space="preserve">income module in order to calculate the change in the numbers below the </t>
  </si>
  <si>
    <t>poverty line. The scheme on the next page provides an idea of what is meant.</t>
  </si>
  <si>
    <t xml:space="preserve">The scheme on next page shows how a macro model can be used in </t>
  </si>
  <si>
    <t xml:space="preserve">combination with the income module to estimate the effects of a change in </t>
  </si>
  <si>
    <t>overall balance Gov. in % GDP</t>
  </si>
  <si>
    <t xml:space="preserve">National Accounts (expenditure approach of GDP in current prices and </t>
  </si>
  <si>
    <t>in constant prices);</t>
  </si>
  <si>
    <t>Balance of Payments;</t>
  </si>
  <si>
    <t xml:space="preserve">Government finance (with separate tables for revenues and </t>
  </si>
  <si>
    <t>expenditures);</t>
  </si>
  <si>
    <t xml:space="preserve">Monetary survey; </t>
  </si>
  <si>
    <t>Labor market survey;</t>
  </si>
  <si>
    <t xml:space="preserve">follow marginal costs (the combination of wage costs, import costs and capital </t>
  </si>
  <si>
    <t xml:space="preserve">costs). However, export prices of raw materials are set internationally. </t>
  </si>
  <si>
    <t xml:space="preserve">Concerning the consumer price we include the change in indirect taxes as one </t>
  </si>
  <si>
    <t xml:space="preserve">of the cost components: The change in the consumer price is a function of the </t>
  </si>
  <si>
    <t>change in costs and the change in the indirect tax rate.</t>
  </si>
  <si>
    <t>The export price:</t>
  </si>
  <si>
    <t>The changes in Surinam’s export prices are established internationally.</t>
  </si>
  <si>
    <t>The investment price:</t>
  </si>
  <si>
    <t xml:space="preserve">The change in the price of investment goods is a function of the change in </t>
  </si>
  <si>
    <t>Wage determination</t>
  </si>
  <si>
    <t>Exchange rate SRD/$</t>
  </si>
  <si>
    <t>Forex CBvS months covered</t>
  </si>
  <si>
    <t>verandering in M2/GDP ratio</t>
  </si>
  <si>
    <t>MacroabcSU 24 maart 2017.xls</t>
  </si>
  <si>
    <t>In monetaire blok de % groei M2/GDP toegevoegd.</t>
  </si>
  <si>
    <t>Tot zover, om het model overzichtelijk te houden, is de varandering van de liquiditeitsquote buiten de inflatievergelijking gelaten.</t>
  </si>
  <si>
    <t>De coefficient is op 0,1 gezet. Dat is laag, maar past bij het feit dat de  %CPI de laatste jaren dicht bij de % kostprijs zat.</t>
  </si>
  <si>
    <t>In deze versie is die toegevoegd in de formule van CPI en investeringsprijs, Regel 37 en 40 in sheet Model. Zie ook Macmic.</t>
  </si>
  <si>
    <t>of which claims to gov and residents  in foreign curency *regel 172)  en in vv deposito's ingezetenen, regel 181</t>
  </si>
  <si>
    <t>aanpassing formule in 169</t>
  </si>
  <si>
    <t>laten stijgen met wisselkoers. (Nog bezien of er een betere raming van vv deposito's kan worden gemaakt</t>
  </si>
  <si>
    <t xml:space="preserve">methodology, the  model focuses on the key variables. </t>
  </si>
  <si>
    <t xml:space="preserve">Box 2 below summarises the main behavioural equations of the  model  </t>
  </si>
  <si>
    <t>OVERVIEW OF THE MODEL</t>
  </si>
  <si>
    <t>THE MAIN SHEETS OF THE MODEL</t>
  </si>
  <si>
    <t>See sheet Manual</t>
  </si>
  <si>
    <t>Reele sector: BBP bestedingenmethode en inkomensmethode</t>
  </si>
  <si>
    <t>Reele sector: BBP per bedrijfstak</t>
  </si>
  <si>
    <t>one variable to another</t>
  </si>
  <si>
    <t xml:space="preserve">SPS and other Surinamese staff, plus several MMC experts discussed the </t>
  </si>
  <si>
    <t xml:space="preserve">theory behind these, and other, equations. In fact, improving a macroeconomic </t>
  </si>
  <si>
    <t>model never ends.</t>
  </si>
  <si>
    <t>Semi-Behavioural equations</t>
  </si>
  <si>
    <t xml:space="preserve">The institutional or semi-behavioural equations reflect the current institutional </t>
  </si>
  <si>
    <t xml:space="preserve">setting of the country concerned. Some of the most important equations of this </t>
  </si>
  <si>
    <t>type are:</t>
  </si>
  <si>
    <t xml:space="preserve">Import duties are equal to (the value of import duties/imports the year </t>
  </si>
  <si>
    <t xml:space="preserve">before) * value of imports current year. So, in the baseline we assume no </t>
  </si>
  <si>
    <t xml:space="preserve">change in tax rates. </t>
  </si>
  <si>
    <t xml:space="preserve">Actually the value of all taxes in the current year is equal to (the value of </t>
  </si>
  <si>
    <t xml:space="preserve">that tax year before/value of tax base year before) * value of tax base. So, </t>
  </si>
  <si>
    <t xml:space="preserve">in the baseline we assume no change in tax rates. Then, add factors in case </t>
  </si>
  <si>
    <t>of changes in tax rates.</t>
  </si>
  <si>
    <t xml:space="preserve">behavioural relationships. The model includes, among others, </t>
  </si>
  <si>
    <t xml:space="preserve">In this section we use the name of the methodology as well as that of the </t>
  </si>
  <si>
    <t xml:space="preserve">resulting model. It is a so-called aggregate demand, aggregate supply model </t>
  </si>
  <si>
    <t xml:space="preserve">(AD-AS model), or a ’structural model’ that combines modern </t>
  </si>
  <si>
    <t xml:space="preserve">macroeconomic theory with pragmatic modelling. It is easily adapted to fit the </t>
  </si>
  <si>
    <t xml:space="preserve">institutional and behavioural relationships obtaining in each specific country. </t>
  </si>
  <si>
    <t>Current account balance (including official transfers) in % GDP</t>
  </si>
  <si>
    <t>Capital and financial account (net) in % GDP</t>
  </si>
  <si>
    <t>PM voor de jren 2011 tot 2015 is de consumptie als  restpost berekend. Fouten in schatting particuliere inveteringen leiden dan tot fouten in de consumptieberekening.</t>
  </si>
  <si>
    <t>disposable profit income</t>
  </si>
  <si>
    <t>profit income</t>
  </si>
  <si>
    <t>wagebill private +informal/gdp private</t>
  </si>
  <si>
    <t>imodel regel348 wagebill private +informal/gdp private</t>
  </si>
  <si>
    <t>wagebill gov/gdp</t>
  </si>
  <si>
    <r>
      <t>Budget  Government (mln local currency) (</t>
    </r>
    <r>
      <rPr>
        <sz val="12"/>
        <rFont val="Times New Roman"/>
        <family val="1"/>
      </rPr>
      <t>Source: Ministry of Finance)</t>
    </r>
  </si>
  <si>
    <t xml:space="preserve">Other  data </t>
  </si>
  <si>
    <t>MacroabcModel Suriname Stuseco,xls  Dit is de versie van  21 Dec 2016 die staat op www.stuseco.org</t>
  </si>
  <si>
    <t>See overview of baseline in last four pages Jaarverslag Stuseco 2016 (in Dutch) on www.stuseco.org.</t>
  </si>
  <si>
    <t>BP165 een stap naar links gekopieerd.</t>
  </si>
  <si>
    <t>Deviezenvoorraad CBvS nu berekend voor ultimo 2016 met de koers van eind 2016 ipv de gemiddelde koers.</t>
  </si>
  <si>
    <t>Monetaire fin overheid in % BBP</t>
  </si>
  <si>
    <t xml:space="preserve">profits made from labour is established at 50% of labour income. </t>
  </si>
  <si>
    <t>Investment behaviour:</t>
  </si>
  <si>
    <t xml:space="preserve">Many investment theories are available (i.e., accelerator theory; neo-classical </t>
  </si>
  <si>
    <t xml:space="preserve">investment theory; vintage theory; adjustment cost models; Tobin’s Q); the </t>
  </si>
  <si>
    <t xml:space="preserve">finance approach; the Keynesian theory; supply factors). However, in practice </t>
  </si>
  <si>
    <t xml:space="preserve">it is quite difficult to find a theory with a high forecasting capacity. So, for the </t>
  </si>
  <si>
    <t xml:space="preserve">Green: Behavioural or exogenous equations. </t>
  </si>
  <si>
    <t>White (no colour): Definition equation.</t>
  </si>
  <si>
    <t xml:space="preserve">Features of the Macroabc  model </t>
  </si>
  <si>
    <t xml:space="preserve">The Macroabc model is an integrated data, forecasting, and simulation model </t>
  </si>
  <si>
    <t xml:space="preserve">designed to also run in Microsoft Excel. The data-model produces a </t>
  </si>
  <si>
    <t xml:space="preserve">comprehensive and consistent survey of the macro economy in the format of a </t>
  </si>
  <si>
    <t xml:space="preserve">country’s National Accounts; however, not only the National Accounts in a </t>
  </si>
  <si>
    <t xml:space="preserve">spreadsheet and on the basis of predetermined coefficients. For example, </t>
  </si>
  <si>
    <t xml:space="preserve">consumption may be calculated as a function of disposable income and the </t>
  </si>
  <si>
    <t xml:space="preserve">share of savings. The values of the behavioural coefficients are based on a </t>
  </si>
  <si>
    <t xml:space="preserve">combination of time series analysis, economic theory, and the plausibility of </t>
  </si>
  <si>
    <t xml:space="preserve">the total model results, comparative studies, and –most important- expert </t>
  </si>
  <si>
    <t xml:space="preserve">opinion. Historical research alone is not adequate because the available time </t>
  </si>
  <si>
    <t xml:space="preserve">series are not that long. Moreover, the process of development itself affects </t>
  </si>
  <si>
    <t xml:space="preserve">change in unemployment plus 30% of unemployment level actual minus equilibrium </t>
  </si>
  <si>
    <t>employment.</t>
  </si>
  <si>
    <t xml:space="preserve">Employment: </t>
  </si>
  <si>
    <t xml:space="preserve">relations within and between the fiscal sector, external sector, real sector, </t>
  </si>
  <si>
    <t xml:space="preserve">monetary sector, and household sector. For example, wages influence prices, </t>
  </si>
  <si>
    <t xml:space="preserve">and prices influence the wage rates. Government deficit affects money supply; </t>
  </si>
  <si>
    <t xml:space="preserve">macroeconomic definition and behavioural equations. So if one would add </t>
  </si>
  <si>
    <t xml:space="preserve">one, or more, factors into one or more of the exogenous or behavioural </t>
  </si>
  <si>
    <t>International inflation in dollar</t>
  </si>
  <si>
    <t>change in Gross international reserves</t>
  </si>
  <si>
    <t xml:space="preserve">      Imports, goods and services</t>
  </si>
  <si>
    <t xml:space="preserve">between the Surinamese Planning Office and Stuseco, as well as with IGSR, </t>
  </si>
  <si>
    <t>MacroabcSU 3 april 2017 B.xls</t>
  </si>
  <si>
    <t>Toelichting bij de baseline van 3 april, gebaseerd op de versie behandeld in de on line training van 3 april 2017:</t>
  </si>
  <si>
    <t>We bespreken hier alleen het jaar 2017. Zie kolom BQ  in sheet Asumpties en kolom E in sheet Key</t>
  </si>
  <si>
    <t>Nota bene, een onvoorwardelijke raming is onmogelijk omdat niemand weet wat o.a. de goudprijs zal doen.</t>
  </si>
  <si>
    <t>resulteert een toename van de deviezenvoorraad van 381 mln US$ eind 2016 naar 507 eind 2017</t>
  </si>
  <si>
    <t>Dus een toename van 126 mln US$ per jaar, dus gemideld 10 mln US$ per maand.</t>
  </si>
  <si>
    <t>Dat is meer dan 3 maanden invoerdeking.  Op 28 maart bedroeg de deviezenvoorraad echter maar 385 (zie regel 124 in sheet Months)</t>
  </si>
  <si>
    <t>Dus in Q1, 2017 was er geen verdere achteruitgang, maar nog geen stijging.  Dit is reden te meer om deze baseline niet</t>
  </si>
  <si>
    <t>Assumpties BQ32 laat zien dat er dit jaar 133 mln. US$ aan buitenlandse leningen moet worden afgelost.</t>
  </si>
  <si>
    <t>In Assumpties BQ24 is stijging van de koers met 17% verondersteld ten opzichte van gemidelde van 2016. Dat geeft de huidige</t>
  </si>
  <si>
    <t xml:space="preserve">In BQ42 is de assumptie dat de lonen in bedrijven 14% achter blijven bij de formule: loonmutatie is 100% van de inflatie </t>
  </si>
  <si>
    <t xml:space="preserve">In SOURCE BS266  is berekend dat de opbrengst loonbelasting +winstbelasting in tweede helft 2016 29% hoger was dan het </t>
  </si>
  <si>
    <t>Onder deze veronderstelingen resulteert, zie kolom E in shet Key:</t>
  </si>
  <si>
    <t>verhoging government take in bezine prijs eind maart. Deze beleidsveronderstelling is nodig om te verhinderen</t>
  </si>
  <si>
    <t>niveau van december 2016. Zie regel  in sheet Months regel 98 en 116</t>
  </si>
  <si>
    <t>april</t>
  </si>
  <si>
    <t>De gemiddelde koopkracht is in dit baseline scenario in 2017 lager dan die van 2016, maar de kopkracht daalt in 2017 niet meer onder het</t>
  </si>
  <si>
    <t>Bedenk, dat de loonsverhoging van de leraren (500*12/37731 =16%) met hun aandeel van 1/3 van de werkgelegenheid bij de overheid</t>
  </si>
  <si>
    <t>Dit baseline scenario kan worden gebruikt om loon- en wiselkors svenario's te draaien.</t>
  </si>
  <si>
    <t xml:space="preserve">narrow sense, but also -and consistent with it-, prices, an overview of the </t>
  </si>
  <si>
    <t xml:space="preserve">labour market, the monetary sector, and the public sector. Specifically, the </t>
  </si>
  <si>
    <t xml:space="preserve">data model produces information on the following sectors: </t>
  </si>
  <si>
    <t>Real Sector (GDP expenditure and income approach);</t>
  </si>
  <si>
    <t>External Sector (Balance of Payments);</t>
  </si>
  <si>
    <r>
      <t xml:space="preserve">17. Real government expenditures: </t>
    </r>
    <r>
      <rPr>
        <sz val="12"/>
        <color indexed="8"/>
        <rFont val="Times New Roman"/>
        <family val="1"/>
      </rPr>
      <t>follow either real population growth or real GDP growth</t>
    </r>
  </si>
  <si>
    <t>3. Own farm enterprise</t>
  </si>
  <si>
    <t>4. Own business</t>
  </si>
  <si>
    <t>5. Other</t>
  </si>
  <si>
    <t xml:space="preserve">2. Wages private sector </t>
  </si>
  <si>
    <t xml:space="preserve">1. Wages public sector </t>
  </si>
  <si>
    <t>Total public Debt</t>
  </si>
  <si>
    <t>Liabilities total</t>
  </si>
  <si>
    <t xml:space="preserve">   Grants</t>
  </si>
  <si>
    <t>Prices</t>
  </si>
  <si>
    <t>Volume growth</t>
  </si>
  <si>
    <t>% of GDP</t>
  </si>
  <si>
    <t xml:space="preserve">Gov. Overall balance, incl.grants </t>
  </si>
  <si>
    <t>Rates</t>
  </si>
  <si>
    <t>Foreign Exogenous and exchange rate</t>
  </si>
  <si>
    <t xml:space="preserve">Government Debt </t>
  </si>
  <si>
    <t>Gov. Revenue and grants</t>
  </si>
  <si>
    <t>Gov. Total expenditure</t>
  </si>
  <si>
    <t>Household Consumption</t>
  </si>
  <si>
    <t>M2/GDP</t>
  </si>
  <si>
    <t>index</t>
  </si>
  <si>
    <r>
      <t xml:space="preserve">Stocks </t>
    </r>
    <r>
      <rPr>
        <sz val="12"/>
        <rFont val="Times New Roman"/>
        <family val="1"/>
      </rPr>
      <t>(Source: Statistical Office &amp; Central Bank)</t>
    </r>
  </si>
  <si>
    <t>Overview of key variables.</t>
  </si>
  <si>
    <t xml:space="preserve">Of course, client-specific tables or modules can be added, such as the Poverty </t>
  </si>
  <si>
    <t xml:space="preserve">Module. In addition, the tables may be altered further to fit the needs of a </t>
  </si>
  <si>
    <t>Revenue and grants</t>
  </si>
  <si>
    <t>Capital expenditure</t>
  </si>
  <si>
    <t xml:space="preserve">   Domestic revenue </t>
  </si>
  <si>
    <t xml:space="preserve">Statistical Discrepancy </t>
  </si>
  <si>
    <t>Domestic Debt</t>
  </si>
  <si>
    <t>External Debt</t>
  </si>
  <si>
    <t>Total Debt</t>
  </si>
  <si>
    <t>Stat discrepancy overall balance and financing</t>
  </si>
  <si>
    <t xml:space="preserve">Stat disc. Domestic Public Debt </t>
  </si>
  <si>
    <t>Stat disc. External Public Debt</t>
  </si>
  <si>
    <t xml:space="preserve"> </t>
  </si>
  <si>
    <t>Consumer price</t>
  </si>
  <si>
    <t>REAL SECTOR</t>
  </si>
  <si>
    <t>Exports</t>
  </si>
  <si>
    <t>Imports</t>
  </si>
  <si>
    <t>%</t>
  </si>
  <si>
    <t>Monetary</t>
  </si>
  <si>
    <t xml:space="preserve">time being we use a rather simple investment function: investments in </t>
  </si>
  <si>
    <t xml:space="preserve">industries are a function of gross value added of industries (accelerator); the </t>
  </si>
  <si>
    <t xml:space="preserve">macroabc has improved. And now we rare back home in Suriname.  And </t>
  </si>
  <si>
    <t xml:space="preserve">during the years from country to country we learned our most important </t>
  </si>
  <si>
    <t xml:space="preserve">lesson: keep it as simple as possible otherwise the model will not be used </t>
  </si>
  <si>
    <t xml:space="preserve">anymore once the first generation of users of that model gets another job. So </t>
  </si>
  <si>
    <t xml:space="preserve">the author was not that surprised to see that the new Macroabc Suriname is not </t>
  </si>
  <si>
    <t xml:space="preserve">that far away from the original Mamiabc Suriname. And also close to the </t>
  </si>
  <si>
    <t xml:space="preserve">Suryamodel. Two differences are there: Macroabc has less detail, and </t>
  </si>
  <si>
    <t>Goudprijs in 2018 naar 1303 USD gebracht</t>
  </si>
  <si>
    <t>MacroabcSU 8 juni 2017.xls</t>
  </si>
  <si>
    <t>update Months</t>
  </si>
  <si>
    <t>export 3%, = gem 2007-2014</t>
  </si>
  <si>
    <t>Buitenlands (netto)</t>
  </si>
  <si>
    <t>Financiering</t>
  </si>
  <si>
    <t>Overschot/tekort</t>
  </si>
  <si>
    <t>Overige/Statistische verschillen</t>
  </si>
  <si>
    <t>Leningen u/g minus aflossingen</t>
  </si>
  <si>
    <t>Kapitaaluitgaven</t>
  </si>
  <si>
    <t>nieuwe baseline</t>
  </si>
  <si>
    <t>MacroabcSU 21 maart 2017.xls</t>
  </si>
  <si>
    <t xml:space="preserve">grote bedrijven </t>
  </si>
  <si>
    <t xml:space="preserve">concerned can suggest which level of assumptions is feasible and what it </t>
  </si>
  <si>
    <t xml:space="preserve">might cost to realize them. </t>
  </si>
  <si>
    <t>Outline of the Macroabc Suriname and the Surya model</t>
  </si>
  <si>
    <t xml:space="preserve">Th e Suryamodel is bi-lingual: various terms are given in English and in </t>
  </si>
  <si>
    <t xml:space="preserve">Dutch. The model file contains a sheet MANUAL with a description of this </t>
  </si>
  <si>
    <t xml:space="preserve">macroeconomic model in Dutch and in English. (In most countries a </t>
  </si>
  <si>
    <t xml:space="preserve">primary variables: (i) exogenous, (ii) behavioural, and (iii) institutional ones. </t>
  </si>
  <si>
    <t xml:space="preserve">Variables concerning external factors (e.g., the increase in import prices) are </t>
  </si>
  <si>
    <t xml:space="preserve">taken as exogenous, using the forecasts published by international institutions </t>
  </si>
  <si>
    <t xml:space="preserve">like the IMF and the World Bank. </t>
  </si>
  <si>
    <t xml:space="preserve">Behavioural variables are calculated on the basis of other variables in the </t>
  </si>
  <si>
    <t>MacroabcSU 26 sept 2018.xls</t>
  </si>
  <si>
    <t>en op www.stuseco.org</t>
  </si>
  <si>
    <t>Hiermee verder in de Skype van dinsdag 18 april 9.30 bij IGSR.</t>
  </si>
  <si>
    <t>We veronderstellen 1228 US$ per troy ounce. Onder deze en vele andere veronderstelingen (zie kolom BQ in Assumpties)</t>
  </si>
  <si>
    <t>als een voorspelling te zien, maar als een startpunt voor simulaties.</t>
  </si>
  <si>
    <t>koers van 7,6  (in E3 in sheet Key).  Die koers kan in dit baseline scenario stabiel blijven, gelet op de toename van de deviezenvorraad.</t>
  </si>
  <si>
    <t>met een kwartaal vertraging, en dat de lonen overheid 4% extra daarbij achter blijven.</t>
  </si>
  <si>
    <t>jaargemidddelde.  Mede omdat de winstbelasting behaalt door de export in 2016 pas in 2017 binnen komt, een add factor van 29%</t>
  </si>
  <si>
    <t>in Assumpties BQ47. En in BQ +25. Dat betekent een toename van de indirecte belasting tarieven met *1,5 in juli, inclusief</t>
  </si>
  <si>
    <t>dat de monetaire financiering meer dan 3% BBP zou worden.</t>
  </si>
  <si>
    <t>al een totaal efect is van 6%.  Dus in dit baseline scenario is er maar 10% te verdelen, in juli.</t>
  </si>
  <si>
    <t>Macroeconomic Analysis</t>
  </si>
  <si>
    <t>Poverty Analysis</t>
  </si>
  <si>
    <t>programmes</t>
  </si>
  <si>
    <t>Poverty</t>
  </si>
  <si>
    <t>module</t>
  </si>
  <si>
    <t>tax policy</t>
  </si>
  <si>
    <t>etc.</t>
  </si>
  <si>
    <t>arrow indicates effect from</t>
  </si>
  <si>
    <t>the output from macro model,</t>
  </si>
  <si>
    <t>no color</t>
  </si>
  <si>
    <t>Other (used to show where cells contain slightly different. Or in cases where non of the standard categories are applicable</t>
  </si>
  <si>
    <t>GDP Income approach</t>
  </si>
  <si>
    <t>GDP expenditures approach</t>
  </si>
  <si>
    <t xml:space="preserve">The changes in the wage rate can be explained by the outcome of a bargaining </t>
  </si>
  <si>
    <t xml:space="preserve">process. In this process the employers are most interested in gross wage costs, </t>
  </si>
  <si>
    <t>that is input in poverty module</t>
  </si>
  <si>
    <t>other output indicators</t>
  </si>
  <si>
    <t>The impact relevant output indicators</t>
  </si>
  <si>
    <t xml:space="preserve">13.   Money supply: increases with liquidity creation through foreign transactions (surplus </t>
  </si>
  <si>
    <t xml:space="preserve">BoP) + liquidity creation by government (budget deficit) plus exogenous credit to private </t>
  </si>
  <si>
    <t xml:space="preserve">sector. </t>
  </si>
  <si>
    <t xml:space="preserve">14.   Exchange rate: exogenous. However if the foreign exchange reserve stock would </t>
  </si>
  <si>
    <t xml:space="preserve">decrease below a certain level (for example: three months imports), then we can depreciate </t>
  </si>
  <si>
    <t xml:space="preserve">manually by trial and error; to the extent that the foreign exchange reserve stock does not </t>
  </si>
  <si>
    <t>decrease below the given minimum.</t>
  </si>
  <si>
    <t>15.   Interest rate: exogenous.</t>
  </si>
  <si>
    <t xml:space="preserve">During workshops in both Surinam and in Stuseco’s office in the Netherlands, </t>
  </si>
  <si>
    <t>Stichting ter bevordering van de studie van de Surinaamse economie</t>
  </si>
  <si>
    <t>Opgericht 16-12-1977, Stichtingenregister nr 41149657</t>
  </si>
  <si>
    <t>C.Jolstraat 50 ~ 2584 ET Den Haag ~Tel +31 (0)70 3523832 ~ bank NL60RABO0327014105</t>
  </si>
  <si>
    <t>E-mail: mmc@bart.nl ~Homepage www.stuseco.org</t>
  </si>
  <si>
    <t>Manual in English to the Macroabc model of Suriname</t>
  </si>
  <si>
    <t>Table of Contents</t>
  </si>
  <si>
    <t>INTRODUCTION TO THIS MANUAL</t>
  </si>
  <si>
    <t>THE UNDERPINNING OF THE ASSUMPTIONS</t>
  </si>
  <si>
    <t>MACROABC METHODOLOGY</t>
  </si>
  <si>
    <t>THEORY BEHIND THE BEHAVIOURAL EQUATIONS IN BRIEF</t>
  </si>
  <si>
    <t>MAIN BEHAVIOURAL EQUATIONS</t>
  </si>
  <si>
    <t>WHAT IS STUSECO AND CV</t>
  </si>
  <si>
    <t>Introduction to this Manual</t>
  </si>
  <si>
    <t>History:</t>
  </si>
  <si>
    <t xml:space="preserve">The first macro economic model of Suriname MACMIC made by Dr. Marein </t>
  </si>
  <si>
    <t xml:space="preserve">SIMPC.  A streamline version called Mamiabc running in Excel was made in </t>
  </si>
  <si>
    <t xml:space="preserve">1993 by Stuseco. That Mamiabc model has been the mother of three kinds of </t>
  </si>
  <si>
    <t xml:space="preserve">models: </t>
  </si>
  <si>
    <t xml:space="preserve">Macroabc Suriname is completely based on information on the Internet and </t>
  </si>
  <si>
    <t>revenues</t>
  </si>
  <si>
    <t>expenditures</t>
  </si>
  <si>
    <t>Deficit (residual)</t>
  </si>
  <si>
    <t>statistical discrepancy</t>
  </si>
  <si>
    <t>- financing of deficit</t>
  </si>
  <si>
    <t>investments government</t>
  </si>
  <si>
    <t>consumption government</t>
  </si>
  <si>
    <t>population &gt;15, 60&lt;</t>
  </si>
  <si>
    <t>minus: non-labour force</t>
  </si>
  <si>
    <t>total = labour force</t>
  </si>
  <si>
    <t>M1</t>
  </si>
  <si>
    <t>net foreign assets</t>
  </si>
  <si>
    <t>Sector huishoudens:</t>
  </si>
  <si>
    <t>BBP groei (in procenten)</t>
  </si>
  <si>
    <t>mln.SRD</t>
  </si>
  <si>
    <t>BBP tegen marktprijzen</t>
  </si>
  <si>
    <t>Indirecte belastingen minus subsidies op productie</t>
  </si>
  <si>
    <t>BBP tegen basisprijzen</t>
  </si>
  <si>
    <t>Gezondheidszorg</t>
  </si>
  <si>
    <t>Onderwijs</t>
  </si>
  <si>
    <t>Administratieve Overheid</t>
  </si>
  <si>
    <t xml:space="preserve">could be expanded back to 1954 using data from Mamiabc) for revenues and </t>
  </si>
  <si>
    <t>row nr.</t>
  </si>
  <si>
    <t>Manual Macroabc Suriname    Index, Table of contents</t>
  </si>
  <si>
    <t>This model is the property of Stuseco and is as shareware on www.stuseco.org</t>
  </si>
  <si>
    <t>With thanks to Sibren Vegter, at that time junior consultant at Micromacro Consultants,</t>
  </si>
  <si>
    <t xml:space="preserve">van Schaaijk, was there in February 1991 running in MicroTSP (Eviews) and </t>
  </si>
  <si>
    <t>See overview of baseline in last four pages Jaarverslag Styseco 2016 (in Dutch) on www.stuseco.org.</t>
  </si>
  <si>
    <t>Then during January 9 and 10 2017 this model was presented in a masterclass at IGSR, University of Suriname.</t>
  </si>
  <si>
    <t>And then step by step updated and improved:</t>
  </si>
  <si>
    <t>Box 2: List of main behavioural equations .    (See also sheet beh. Eq.)</t>
  </si>
  <si>
    <t>Update BoP en monetaire data 2016. Invoer daalt nog meer dan gedacht. Daarom negatieve add factor -26%  in particuliere  investeringen</t>
  </si>
  <si>
    <t xml:space="preserve">variables according to the identities. For future years the values of the </t>
  </si>
  <si>
    <t xml:space="preserve">endogenous (i.e., behavioural and institutional) primary variables are </t>
  </si>
  <si>
    <t xml:space="preserve">while employees (individuals and trade unions) are interested in net real </t>
  </si>
  <si>
    <t xml:space="preserve">wages. The change in strength of employers versus employees/unions is given </t>
  </si>
  <si>
    <t xml:space="preserve">by the change in the unemployment rate (i.e., a Phillips Curve effect). So, the </t>
  </si>
  <si>
    <t>juni</t>
  </si>
  <si>
    <t>juli</t>
  </si>
  <si>
    <t>M2  in mln SRD</t>
  </si>
  <si>
    <t>waarvan Totale v v deposito's van ingezetenen</t>
  </si>
  <si>
    <t>idem in mln  US$</t>
  </si>
  <si>
    <t>M2excl vv dep.ingezetenen</t>
  </si>
  <si>
    <t>koers eind maand</t>
  </si>
  <si>
    <t>herwaardering v v dep</t>
  </si>
  <si>
    <t>idem gecumuleerd</t>
  </si>
  <si>
    <t>Total internationale Reserves (in US$)</t>
  </si>
  <si>
    <t>uit CBvS tabel 6</t>
  </si>
  <si>
    <t xml:space="preserve">once as a liability. Also, a number of macro-economic variables are calculated </t>
  </si>
  <si>
    <t xml:space="preserve">based on other variables. As a result, an enormous volume of data is generated </t>
  </si>
  <si>
    <t xml:space="preserve">from a limited number of key variables. With the use of the Macroabc </t>
  </si>
  <si>
    <t xml:space="preserve">Accounts, a Model Team can construct a primary data set of about 70 primary </t>
  </si>
  <si>
    <t xml:space="preserve">variables, which provides sufficient information for the model to calculate the </t>
  </si>
  <si>
    <t xml:space="preserve">additional variables required for the output data, as well as to estimate the </t>
  </si>
  <si>
    <t xml:space="preserve">behavioral relations involved. </t>
  </si>
  <si>
    <t xml:space="preserve">Starting with the 70 variables, one can develop 70 factorial other variables. </t>
  </si>
  <si>
    <t xml:space="preserve">The possibilities are near-infinite. The current  model contains a few hundred </t>
  </si>
  <si>
    <t>rows; sufficient to accommodate a 70 primary variables model.</t>
  </si>
  <si>
    <t xml:space="preserve">The historical data is collected outside the model. All other cells are secondary </t>
  </si>
  <si>
    <t>SOURCE 202-206 Invoer ABS toegevoegd</t>
  </si>
  <si>
    <t>enkele updates.</t>
  </si>
  <si>
    <t>MacroabcSU27 feb 2019.xls</t>
  </si>
  <si>
    <t>update monetaire tabel 2018  t/m  nov</t>
  </si>
  <si>
    <t>koers even op 7,5 gehouden</t>
  </si>
  <si>
    <t>CBVS tabel 3, 5, 6, MINFIN tabel 2.0 voor 2017 en 1e helft 2018*2</t>
  </si>
  <si>
    <t>baseline in sheet varianten</t>
  </si>
  <si>
    <t>waarvan bankwezen</t>
  </si>
  <si>
    <t>diverse aanpassingen in monetair blok</t>
  </si>
  <si>
    <t>MacroabcSU 5 mrt 2019</t>
  </si>
  <si>
    <t>Ind bel 2019 +90%</t>
  </si>
  <si>
    <t>Dan financieringstekort 2019  = zoals in de Fin Nota 2019: 1,6 mld SRD</t>
  </si>
  <si>
    <t>400 mln SRD, 4 miljoen biljetten van100 SRD worden vanuit een helicopter uitgestrooid.</t>
  </si>
  <si>
    <t>Itereer in Assumpties BS60: 1, 2, 3 totdat in Assumpties BS63 weer staat: 4,33</t>
  </si>
  <si>
    <t>Ga terug naar Assumpties BS63 en zie daar nu staan 4,31</t>
  </si>
  <si>
    <t>Bezie de effecten van deze variant in Key E4 - 19</t>
  </si>
  <si>
    <t>Bewaar deze modelversie met naam Variant 1. Sluit die.</t>
  </si>
  <si>
    <t>En open de originele AmacroabcSU van .. Maart 2019</t>
  </si>
  <si>
    <t>Variant 2: lagere indirecte belastingen</t>
  </si>
  <si>
    <t>2. ind. Bel omlaag</t>
  </si>
  <si>
    <t>3. non tax revenues omlaag 27,5%</t>
  </si>
  <si>
    <t>4. lonen overheid omhoog 9,5%</t>
  </si>
  <si>
    <t>5. consumptie overheid omhoog 29%</t>
  </si>
  <si>
    <t>6. investeringen overheid omhoog 60 mln US$ *)</t>
  </si>
  <si>
    <t>7. aflossingen naar buitenland 384 mln. SRD</t>
  </si>
  <si>
    <t>formule eigen vermogen bankwezen aangepast voor effect herwaarderingsverschillen bij depreciatie.</t>
  </si>
  <si>
    <t>Deze belastingverhoging van 2 miljard SRD is een veronderstelling</t>
  </si>
  <si>
    <t>Als men in het model de opbrenst indirecte belastingen niet lat stijgen in 2019, dan zakt de deviezenvoorraad</t>
  </si>
  <si>
    <t>en kan een depreciatie volgen van 7,5 naar 9,5</t>
  </si>
  <si>
    <t>Bestand bewaren onder nieuwe naam, sluiten en origineel opnieuw openen.</t>
  </si>
  <si>
    <t>In Assumpties BS51 toevoegen -19</t>
  </si>
  <si>
    <t>Variant 3 Non tax revenues omlaag</t>
  </si>
  <si>
    <t>In Assumpties BS36  -23 zetten</t>
  </si>
  <si>
    <t>Dan overall  balance in cel Varianten E7  -384 mln. SRD</t>
  </si>
  <si>
    <t>In Assumpties BS42  +7,3 zetten</t>
  </si>
  <si>
    <t>In al deze varianten itereren we totdat de impuls een effect van  circa 380 heeft op de overall balance</t>
  </si>
  <si>
    <t xml:space="preserve">Variant 4 lonen landsdienaren omhoog </t>
  </si>
  <si>
    <t>in cel Assumpties BS60 na itereren zetten +9</t>
  </si>
  <si>
    <t xml:space="preserve">Variant 5 overheids netto materiele consumptie  omhoog </t>
  </si>
  <si>
    <t>In Assumpties BS38  +68 zetten</t>
  </si>
  <si>
    <t xml:space="preserve">Variant 6 overheids investeringen omhoog </t>
  </si>
  <si>
    <t>In Assumpties BS37  +60 zetten</t>
  </si>
  <si>
    <t>In Assumpties BS33 toevoegen: 384/7,5= 51</t>
  </si>
  <si>
    <t>Variant 7 extra aflossingen naar het buitenland</t>
  </si>
  <si>
    <t>Extra varianten:</t>
  </si>
  <si>
    <t>Variant 9 productiviteit en groei scenario</t>
  </si>
  <si>
    <t>en in BS13 zetten =  BR16*1,02  en dat naar rechts kopieren tot in CG13</t>
  </si>
  <si>
    <t>Variant 8 kapitaalafvloeing van 10% BBP naar het buitenland</t>
  </si>
  <si>
    <t>Variant 10 geen verhoging indirecte belastingen in 2019</t>
  </si>
  <si>
    <t>Verwijder in Asumpties BS51 +90% en zet er 0</t>
  </si>
  <si>
    <t>dan zakt de deviezenvoorraad</t>
  </si>
  <si>
    <t>Zie files inclusief video  clips voor  verdere training:</t>
  </si>
  <si>
    <t>ok</t>
  </si>
  <si>
    <t>Variant 1a  Helicoptergeld   (naar idee Milton Friedman)</t>
  </si>
  <si>
    <t>Ga naar Asumpties BS63 en noteer wat daar staat: 4,33</t>
  </si>
  <si>
    <t>Variant 1b  Helicoptergeld   (naar idee Milton Friedman)</t>
  </si>
  <si>
    <t>4000 mln SRD, 4 miljoen biljetten van100 SRD worden vanuit een helicopter uitgestrooid.</t>
  </si>
  <si>
    <t>Itereer in Assumpties BS60:  24 tot dat in Assumpties BS63 weer staat: 4,33</t>
  </si>
  <si>
    <t>1a. Helicopter Geld, het uitstrooien 400  mln SRD  (gem. SRD 666 pp)</t>
  </si>
  <si>
    <t>1b. Helicopter Geld, het uitstrooien 4000  mln SRD  (gem. SRD 6667 pp)</t>
  </si>
  <si>
    <t>Voeg in cel Model BS91 toe +400 en BT91 -400</t>
  </si>
  <si>
    <t>Voeg in cel Model BS91 toe +4000 en BT91-4000</t>
  </si>
  <si>
    <t>in cel Assumpties BS60 na itereren zetten +7</t>
  </si>
  <si>
    <t>Deviezenvoorraad zakt en om dat te voorkomen is koerscorrectie nodig van 7%, dus koers +0,53</t>
  </si>
  <si>
    <t>Dan overall  balance in cel Varianten E7  -395 mln. SRD</t>
  </si>
  <si>
    <t>in cel Assumpties BS60 na itereren zetten +3</t>
  </si>
  <si>
    <t>Deviezenvoorraad zakt en om dat te vorkomen is koerscorrectie nodig van 3%, dus koers +0,23</t>
  </si>
  <si>
    <t xml:space="preserve">scenarios. This exercise demonstrated that productivity growth is the main </t>
  </si>
  <si>
    <t xml:space="preserve">road to poverty reduction. And higher savings, higher direct taxes, and/or </t>
  </si>
  <si>
    <t xml:space="preserve">depreciation of the exchange rate are needed to prevent the foreign reserve </t>
  </si>
  <si>
    <t>stock from becoming negative.</t>
  </si>
  <si>
    <t xml:space="preserve">It is important to realize that the assumptions are inputs of the model. While </t>
  </si>
  <si>
    <t xml:space="preserve">applying ‘what-if‘simulations, we found what levels of productivity growth </t>
  </si>
  <si>
    <t xml:space="preserve"> The light blue squares in the middle part of the scheme indicate the </t>
  </si>
  <si>
    <t xml:space="preserve">impact-relevant output of the programs: more export, higher agricultural </t>
  </si>
  <si>
    <t xml:space="preserve">productivity, etc. that is inserted as input into the macro model. </t>
  </si>
  <si>
    <t xml:space="preserve">The light blue squares together with the yellow squares   constitute the </t>
  </si>
  <si>
    <t xml:space="preserve">macro model. The model (the block in the middle of the scheme) contains the </t>
  </si>
  <si>
    <t>Table II.V CBVS statistical compendium t/m 2011, Tabel II.2.9 Financiële Nota 2017 vanaf 2012</t>
  </si>
  <si>
    <t>mln SRD</t>
  </si>
  <si>
    <t>Table II.V CBVS statistical compendium</t>
  </si>
  <si>
    <t>Other</t>
  </si>
  <si>
    <t>Commercial</t>
  </si>
  <si>
    <t>Bilateral</t>
  </si>
  <si>
    <t>Multilateral</t>
  </si>
  <si>
    <t>Other  Private Sector</t>
  </si>
  <si>
    <t>Commercial Banks</t>
  </si>
  <si>
    <t>CBVS</t>
  </si>
  <si>
    <t>CBvS tabel 19</t>
  </si>
  <si>
    <t>Niet-financiële instellingen (2)</t>
  </si>
  <si>
    <t>Overige financiële instellingen</t>
  </si>
  <si>
    <t>Vorderingen op de overheid</t>
  </si>
  <si>
    <t>Overige depositonemende instellingen (1)</t>
  </si>
  <si>
    <t>CBvS (1)</t>
  </si>
  <si>
    <t>Binnenlands (netto)</t>
  </si>
  <si>
    <t>Minus: aflossingen</t>
  </si>
  <si>
    <t>Trekkingen</t>
  </si>
  <si>
    <t>base line</t>
  </si>
  <si>
    <t>add factor4  in lonen 2018-2021  Dan deviezen in 2021 =3 mnd en loonquote 2021 etc 0,60 zijnde gemiddelde 2006-2015</t>
  </si>
  <si>
    <t>In kostprijs vertraging van invoerprijs op kostprijs niet meer 1 kwartaal, mar 10%</t>
  </si>
  <si>
    <t>CPB Netherlands presents four reasons for uncertainty:</t>
  </si>
  <si>
    <t>THE MACROABC MODEL IN A NUTSHELL:</t>
  </si>
  <si>
    <t>FEATURES OF THE MODEL</t>
  </si>
  <si>
    <t>MODEL OPERATIONS</t>
  </si>
  <si>
    <t>Flow diagram of the model</t>
  </si>
  <si>
    <t>THE MODEL IN DETAIL</t>
  </si>
  <si>
    <t xml:space="preserve">the model in a consistent manner. Hence, the Macroabc model is a </t>
  </si>
  <si>
    <t xml:space="preserve">Model – This sheet is the heart of the model as in this sheet the </t>
  </si>
  <si>
    <t>Manual – Explanations about the  model;</t>
  </si>
  <si>
    <t xml:space="preserve">connection (Add: with other parameters?); so internal consistency is missing. </t>
  </si>
  <si>
    <t xml:space="preserve">No economic linkages are included, so the models cannot be used for </t>
  </si>
  <si>
    <t xml:space="preserve">economic impact analysis. Furthermore, these models have the same kind of </t>
  </si>
  <si>
    <t>inaccuracy as macroeconomic models</t>
  </si>
  <si>
    <t xml:space="preserve">Applied General Equilibrium (AGE) models can be applied for long-term </t>
  </si>
  <si>
    <t xml:space="preserve">analyses, but they are very complex. They lack dynamic elements: they </t>
  </si>
  <si>
    <t xml:space="preserve">provide an end-result but give no information about the way how to achieve it. </t>
  </si>
  <si>
    <t xml:space="preserve">It is like a night train that brings you from A to B without being able to see </t>
  </si>
  <si>
    <t>what is in between A and B.</t>
  </si>
  <si>
    <t xml:space="preserve">macroeconomic models are useful as instruments for policy simulation and </t>
  </si>
  <si>
    <t>scenario building, but not as forecasting tools.</t>
  </si>
  <si>
    <t xml:space="preserve">Besides the empirical macroeconomic models, two other approaches are </t>
  </si>
  <si>
    <t>Shares and other equity</t>
  </si>
  <si>
    <t>of which: in foreign currency</t>
  </si>
  <si>
    <t>Claims on other resident sectors</t>
  </si>
  <si>
    <t>Claims on non-financial public corporations</t>
  </si>
  <si>
    <t>Claims on other financial corporations</t>
  </si>
  <si>
    <t>Liabilities to government</t>
  </si>
  <si>
    <t>Claims on government</t>
  </si>
  <si>
    <t xml:space="preserve">regel 160 in model  doorwerking naar shee Key rgel 4 en </t>
  </si>
  <si>
    <t xml:space="preserve">Also good health is important for productivity. So, preventive and curative </t>
  </si>
  <si>
    <t xml:space="preserve">macroeconomic model. One can find many studies as of 1977 on </t>
  </si>
  <si>
    <t xml:space="preserve">www.stuseco.org, Contemporary studies include e.g., “Suriname scenario’s </t>
  </si>
  <si>
    <t xml:space="preserve">productivity. </t>
  </si>
  <si>
    <t xml:space="preserve">This applies to the other sectors presented in the scheme as well. For example, </t>
  </si>
  <si>
    <t xml:space="preserve">investment in infrastructure is also very important: without roads, the </t>
  </si>
  <si>
    <t xml:space="preserve">production undertaken in rural areas cannot be hauled to urban markets or be </t>
  </si>
  <si>
    <t xml:space="preserve">exported. And so is access to water. </t>
  </si>
  <si>
    <t>Access to energy, like electricity, also contributes to higher productivity.</t>
  </si>
  <si>
    <t xml:space="preserve">Agriculture has a special place in the scheme because it constitutes such an </t>
  </si>
  <si>
    <t xml:space="preserve">important part of the economy in many countries in Africa using Macroabc </t>
  </si>
  <si>
    <t xml:space="preserve">model. Very probably, improvement of productivity in agriculture is likely to </t>
  </si>
  <si>
    <t xml:space="preserve">be the most important factor to decrease poverty in most developing countries. </t>
  </si>
  <si>
    <t xml:space="preserve">So the activities of the Ministry of Agriculture are very important to take into </t>
  </si>
  <si>
    <t xml:space="preserve">account when constructing a growth and poverty reduction scenario. Besides </t>
  </si>
  <si>
    <t xml:space="preserve">agriculture, as highlighted above, all other sectors, all Ministries of the </t>
  </si>
  <si>
    <t xml:space="preserve">In 2016 is er add factor +10 nodig om CPI op realisatieniveau te krijgen (dit is het efect van de energieprijsstijging in november 2015)  </t>
  </si>
  <si>
    <t>Omdat de inflatie in december en januari lager is dan verwacht, een negatieve add factor in 2017</t>
  </si>
  <si>
    <t xml:space="preserve">between macro and sectoral experts. It is also based on our experiences in </t>
  </si>
  <si>
    <t>other countries like Curaçao and Zambia.</t>
  </si>
  <si>
    <t xml:space="preserve">Increasing productivity is a crucial factor to decrease poverty. In fact, many </t>
  </si>
  <si>
    <t xml:space="preserve">government activities are important to achieve poverty reduction. For </t>
  </si>
  <si>
    <t xml:space="preserve">example, better education will increase productivity, once the youngsters have </t>
  </si>
  <si>
    <t xml:space="preserve">finalised their schooling and enter the labour market. One can see the </t>
  </si>
  <si>
    <t xml:space="preserve">importance of education, because the wages of highly educated workers are on </t>
  </si>
  <si>
    <t xml:space="preserve">average higher than the wages of less well educated persons. So the </t>
  </si>
  <si>
    <t>M2 - v v dep. Ingezetenen</t>
  </si>
  <si>
    <t>M2 - v v dep. Ingezetenen/ GDP</t>
  </si>
  <si>
    <t xml:space="preserve">equations, all variables, except the exogenous ones, could change. So, using </t>
  </si>
  <si>
    <t xml:space="preserve">the additional factors, one can compare the results one obtains with the </t>
  </si>
  <si>
    <t xml:space="preserve">original baseline figures. The Macroabc Suriname model includes time series </t>
  </si>
  <si>
    <t xml:space="preserve">running from  2006 to 2030. </t>
  </si>
  <si>
    <t>Overview of the MacroabcSuriname  and the  Surya model</t>
  </si>
  <si>
    <t xml:space="preserve">We start with a brief description of the model, while underscoring the fact that </t>
  </si>
  <si>
    <t xml:space="preserve">macroeconomic models incorporate several inaccurate coefficients, so they </t>
  </si>
  <si>
    <t xml:space="preserve">health spending by the Ministry of Health contributes to a country’s </t>
  </si>
  <si>
    <t>Labour force</t>
  </si>
  <si>
    <t>Employees Government</t>
  </si>
  <si>
    <t>Employees businesses</t>
  </si>
  <si>
    <t>Unemployed</t>
  </si>
  <si>
    <t>Informal sector</t>
  </si>
  <si>
    <t>Retired</t>
  </si>
  <si>
    <t>Extra:</t>
  </si>
  <si>
    <t xml:space="preserve">                               deviations</t>
  </si>
  <si>
    <t>*The abbreviation HH stands for households</t>
  </si>
  <si>
    <r>
      <rPr>
        <b/>
        <sz val="12"/>
        <color indexed="8"/>
        <rFont val="Times New Roman"/>
        <family val="1"/>
      </rPr>
      <t>7.   Investment price % change:</t>
    </r>
    <r>
      <rPr>
        <sz val="12"/>
        <color indexed="8"/>
        <rFont val="Times New Roman"/>
        <family val="1"/>
      </rPr>
      <t xml:space="preserve"> follows cost price</t>
    </r>
  </si>
  <si>
    <r>
      <rPr>
        <b/>
        <sz val="12"/>
        <color indexed="8"/>
        <rFont val="Times New Roman"/>
        <family val="1"/>
      </rPr>
      <t>9.  Total households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</si>
  <si>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>10. Households Public sector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</si>
  <si>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 xml:space="preserve">11. Households Private sector %∆: </t>
    </r>
    <r>
      <rPr>
        <sz val="12"/>
        <color indexed="8"/>
        <rFont val="Times New Roman"/>
        <family val="1"/>
      </rPr>
      <t>follows real GDP growth -general productivity trend</t>
    </r>
  </si>
  <si>
    <t>Semi-behavioural equations:</t>
  </si>
  <si>
    <r>
      <t xml:space="preserve">16. Tax revenues: </t>
    </r>
    <r>
      <rPr>
        <sz val="12"/>
        <color indexed="8"/>
        <rFont val="Times New Roman"/>
        <family val="1"/>
      </rPr>
      <t>effective tax rate is assumed to remain unchanged; Tax revenues [t]= (Tax revenues[t-1]/Tax base[t-1]) * Tax base [t]</t>
    </r>
  </si>
  <si>
    <t>number of government employees</t>
  </si>
  <si>
    <t>Exports price excl gold</t>
  </si>
  <si>
    <t>International inflation in US$</t>
  </si>
  <si>
    <t xml:space="preserve">this reason we use a Cumulated Production Structure (CPS) Matrix of </t>
  </si>
  <si>
    <t xml:space="preserve">Surinam. This leads to the following equation: the change in the quantity of </t>
  </si>
  <si>
    <t xml:space="preserve">imports is a function of real final output re-weighted for import intensity, and </t>
  </si>
  <si>
    <t>correctie importprijs</t>
  </si>
  <si>
    <t>Exports 1956 =100</t>
  </si>
  <si>
    <t>MacroabcSU    www.stuseco.org</t>
  </si>
  <si>
    <t xml:space="preserve">BBP 1954-2016  nominaal, reeel en deflator </t>
  </si>
  <si>
    <t>BBP nominaal, reële en deflator TOELICHTING</t>
  </si>
  <si>
    <t>in 54-56 oude reeks +1,19 de ophoogfactor voor informele sector. Daarna BBP ABS SIC 215, oktober 2005   mp. 1990-2010 uit Compendium, dan 2011-2016 uit  CBvS tabel 22CBvS</t>
  </si>
  <si>
    <t>Bestedingen BBP oude reeks</t>
  </si>
  <si>
    <t xml:space="preserve">De onderstaande BBP naar bestedingen komt t/m 2002 uit Mamiabc, daarna ABS SIC251, t/m 2005  tabel 5, </t>
  </si>
  <si>
    <t>2006 - 2010 uit Stat comp CBvS</t>
  </si>
  <si>
    <t>De nieuwe reeks komt voor  54-56 oude reeks +1,19 de ophoogfactor voor informele sector. Daarna voor 1956 tot 1989 uit</t>
  </si>
  <si>
    <t>BBP ABS SIC 215, oktober 2005. Vervolgens voor 1990-2010 uit Compendium, dan 2011-2016 uit  CBvS tabel 22CBvS</t>
  </si>
  <si>
    <t xml:space="preserve">In de onderstande regels wordt gepresenteerd:  BBP in lopende prijzen in mln SRD, BBP constante prijzen index 1956 =100 </t>
  </si>
  <si>
    <t>En de deflator BBP ABS, gemaakt op basis van de productiemethode.</t>
  </si>
  <si>
    <t xml:space="preserve">Die wijkt af van een berekening in het model volgens de bestedingen methode.  Dat is opgelost door de prijs van de invoer als saldo </t>
  </si>
  <si>
    <t>te berekenen. Dat zorgt ervoor dat in het model de deflator bestedingen methode dezelfde uitkomst geeft als de productie methode.</t>
  </si>
  <si>
    <t xml:space="preserve">The scheme should be read from left to right, starting with a (set of) policy </t>
  </si>
  <si>
    <t xml:space="preserve">measures (orange rectangular) on the left. On the basis of these policy </t>
  </si>
  <si>
    <t>measures we calculate two types of indicators:</t>
  </si>
  <si>
    <t xml:space="preserve"> The dark blue squares below the red arrows (lower part of the left block) </t>
  </si>
  <si>
    <t xml:space="preserve">indicate the “other output indicators”. These are the indicators that are </t>
  </si>
  <si>
    <t xml:space="preserve">important in measuring the results of the programs. However, they are not </t>
  </si>
  <si>
    <t xml:space="preserve">relevant in calculating the impact of the programs on poverty. An example </t>
  </si>
  <si>
    <t xml:space="preserve">of this type of output indicator is the construction of a railway track. The </t>
  </si>
  <si>
    <t xml:space="preserve">track will not have any impact on poverty, unless it leads to an increase in </t>
  </si>
  <si>
    <t xml:space="preserve">the capacity to export. The impact-relevant indicator is therefore the “x% </t>
  </si>
  <si>
    <t xml:space="preserve">additional exports” transported by rail.   </t>
  </si>
  <si>
    <t>CBvS tabel 21</t>
  </si>
  <si>
    <t>Diensten: credit</t>
  </si>
  <si>
    <t>2. Saldo dienstenrekening</t>
  </si>
  <si>
    <t>Importen</t>
  </si>
  <si>
    <t>Exporten</t>
  </si>
  <si>
    <t>1. Saldo goederenrekening</t>
  </si>
  <si>
    <t>Lopende rekening</t>
  </si>
  <si>
    <t>Tabel 15. Suriname: Betalingsbalans</t>
  </si>
  <si>
    <t>mid jaar bevolking</t>
  </si>
  <si>
    <t>Totaal werkzaam + werkloos</t>
  </si>
  <si>
    <t>,,</t>
  </si>
  <si>
    <t>ontmoedigden</t>
  </si>
  <si>
    <t>werklozen</t>
  </si>
  <si>
    <t>ABS SIC321 tabel 8.1  en CBvS tabel 23</t>
  </si>
  <si>
    <t>werkzamen</t>
  </si>
  <si>
    <t>in Paramaribo + Wanica (in 2009 67% van de totale bevolking)</t>
  </si>
  <si>
    <t>Fin Nota 2017 tabel II.1.6.</t>
  </si>
  <si>
    <t>ambtenaren bestand (overheid)</t>
  </si>
  <si>
    <t>ABS SIC321 tabel 8.2</t>
  </si>
  <si>
    <t>totaal ambtenaren</t>
  </si>
  <si>
    <t xml:space="preserve">openbaar bestuur </t>
  </si>
  <si>
    <t xml:space="preserve">ABS  </t>
  </si>
  <si>
    <t xml:space="preserve">grote bedrijven excl openbaar bestuur </t>
  </si>
  <si>
    <t>SRD</t>
  </si>
  <si>
    <t>dus excl openbaar bestuur</t>
  </si>
  <si>
    <t>waarvan openbaar bestuur</t>
  </si>
  <si>
    <t>ABS SIC321 tabel 8.1 en SIC 250 tabel 8.1.a en SIC 244 tabel 2.1</t>
  </si>
  <si>
    <t>werknemers bij grote bedrijven en overheid</t>
  </si>
  <si>
    <t>bruto arbeidskosten</t>
  </si>
  <si>
    <t>ABS SIC321 tabel 8.1  en SIC 270, tabel 3.1 en 2.1</t>
  </si>
  <si>
    <t>aantal werknemers bij grote bedrijven en overheid</t>
  </si>
  <si>
    <t>aantal</t>
  </si>
  <si>
    <t>werkloosheid % (in % van arbeidsplaatsen plus werklozen)</t>
  </si>
  <si>
    <t>nominal wage rates:</t>
  </si>
  <si>
    <t>real wage rates:</t>
  </si>
  <si>
    <t>fmi</t>
  </si>
  <si>
    <t xml:space="preserve">all government activities reshuffled so as to contribute to higher </t>
  </si>
  <si>
    <t xml:space="preserve">productivity in the private sector (i.e., better roads, better educated </t>
  </si>
  <si>
    <t xml:space="preserve">employees, cutting red tape in the provision of licenses to starting </t>
  </si>
  <si>
    <t>firms, etc.);</t>
  </si>
  <si>
    <t xml:space="preserve">decreasing other government activities, resulting in lower taxes </t>
  </si>
  <si>
    <t>without an increase in government’s deficit;</t>
  </si>
  <si>
    <t xml:space="preserve">Promotion of foreign direct investments, while making sure that </t>
  </si>
  <si>
    <t>technology transfers take place;</t>
  </si>
  <si>
    <t xml:space="preserve">      Exports,goods and services </t>
  </si>
  <si>
    <t>of which:</t>
  </si>
  <si>
    <t>change in External public debt</t>
  </si>
  <si>
    <t>stock External public debt</t>
  </si>
  <si>
    <t xml:space="preserve">Fiscal Sector,  Central Government, </t>
  </si>
  <si>
    <t>HELP VARIABLES</t>
  </si>
  <si>
    <t xml:space="preserve">transfers to households </t>
  </si>
  <si>
    <t>Nontax revenues excluding grants</t>
  </si>
  <si>
    <t xml:space="preserve">indirect taxes </t>
  </si>
  <si>
    <t>FDI</t>
  </si>
  <si>
    <t xml:space="preserve">   Narrow money (M1)</t>
  </si>
  <si>
    <t xml:space="preserve">   Quasi-money</t>
  </si>
  <si>
    <t xml:space="preserve">Prices: </t>
  </si>
  <si>
    <t>Monetary variables:</t>
  </si>
  <si>
    <t>breakdown of medium term budgetary projections.</t>
  </si>
  <si>
    <t>Value Added Private sector</t>
  </si>
  <si>
    <t>wage bill government</t>
  </si>
  <si>
    <t>Factor income from abroad, net</t>
  </si>
  <si>
    <t>Explanation</t>
  </si>
  <si>
    <t>Gross Domestic Product (GDP)</t>
  </si>
  <si>
    <t>CPI</t>
  </si>
  <si>
    <t>Unit</t>
  </si>
  <si>
    <t>Source</t>
  </si>
  <si>
    <t>help variable consumption</t>
  </si>
  <si>
    <t xml:space="preserve">cannot be used to prove something. Yet they can be helpful to better </t>
  </si>
  <si>
    <t xml:space="preserve">understand economic processes (for more information about uncertainty and </t>
  </si>
  <si>
    <t xml:space="preserve">other models: see to the box on page 6). </t>
  </si>
  <si>
    <t xml:space="preserve">To be able to do macroeconomic impact analyses one needs a calculation </t>
  </si>
  <si>
    <t xml:space="preserve">framework consisting of assumptions that serve as inputs into a macro model. </t>
  </si>
  <si>
    <t xml:space="preserve">The model contains the relations within and between the fiscal sector, external </t>
  </si>
  <si>
    <t xml:space="preserve">sector, real sector, monetary sector and household sector. The household </t>
  </si>
  <si>
    <t xml:space="preserve">calculated with the help of formulas. The exogenous primary variables are </t>
  </si>
  <si>
    <t xml:space="preserve">given values based on external sources. Once the set of primary variables for </t>
  </si>
  <si>
    <t xml:space="preserve">the future is complete, future secondary variables are again calculated with the </t>
  </si>
  <si>
    <t xml:space="preserve">However, the economic science is not yet sufficiently developed that we know </t>
  </si>
  <si>
    <t>-prices for expenditure side National Accounts:</t>
  </si>
  <si>
    <t>Consumption</t>
  </si>
  <si>
    <t>Investments</t>
  </si>
  <si>
    <t>- price</t>
  </si>
  <si>
    <t>- production (numbers)</t>
  </si>
  <si>
    <t xml:space="preserve">Taking advantage of practical statistical experience in making National </t>
  </si>
  <si>
    <t>behavioral equation</t>
  </si>
  <si>
    <t>Endogenous elements of GDP:</t>
  </si>
  <si>
    <t xml:space="preserve">    share imports in final demand * % ∆ import price + share wage bill private sector in final demand*(%∆ wage rate private sector – % ∆general productivity) </t>
  </si>
  <si>
    <t>3.  Macro cost price % growth=</t>
  </si>
  <si>
    <t>Number of households in the various socio-economic groups:</t>
  </si>
  <si>
    <t>en 10% in juli, mede ter compensatie hogere prijzen vanwege verhoging indirecte belastingen en verlagen subsidies</t>
  </si>
  <si>
    <t>De opbrengst  directe belastingen is in tweede helft 2016 29% hoger dan het jaargemiddelde. Daarom ad factor 29</t>
  </si>
  <si>
    <t xml:space="preserve">Vedubbeling van de tarieven indirecte belastingen per 1 ju li </t>
  </si>
  <si>
    <t>werknemers  bedrijven</t>
  </si>
  <si>
    <t>Table I.1 CBVS statistical compendium t/m 2011, CBvS tabel 6 vanaf 2012</t>
  </si>
  <si>
    <t>CPI period-average</t>
  </si>
  <si>
    <t>CBvS tabel 6</t>
  </si>
  <si>
    <t>Internationale Reserves (in US$)(4)</t>
  </si>
  <si>
    <t>Internationale Reserves (I.A.1-I.B.1)(in SRD)</t>
  </si>
  <si>
    <t>Memorandum items</t>
  </si>
  <si>
    <t>Oveige depositonemende instellingen (3)</t>
  </si>
  <si>
    <t>Centrale Bank van Suriname (3)</t>
  </si>
  <si>
    <t>Vreemde valuta positie</t>
  </si>
  <si>
    <t>Passiva</t>
  </si>
  <si>
    <t>Activa</t>
  </si>
  <si>
    <t>2.  Netto vorderingen in vreemde valuta op ingezetenen</t>
  </si>
  <si>
    <t>waarvan: korte termijn</t>
  </si>
  <si>
    <t>waarvan: korte termijn (2)</t>
  </si>
  <si>
    <t>1.  Netto buitenlandse actief</t>
  </si>
  <si>
    <t>Oveige depositonemende instellingen</t>
  </si>
  <si>
    <t>2. Overige</t>
  </si>
  <si>
    <t>1. Met deviezenkarakter</t>
  </si>
  <si>
    <t>B. Buitenlandse passiva</t>
  </si>
  <si>
    <t>2. Overige buitenlandse activa (1)</t>
  </si>
  <si>
    <t>Reserve tranche positie in het IMF</t>
  </si>
  <si>
    <t>Effecten</t>
  </si>
  <si>
    <t>Deviezenvorderingen</t>
  </si>
  <si>
    <t>Buitenlandse kaswaarden</t>
  </si>
  <si>
    <t>Bijzondere trekkingsrechten in het IMF</t>
  </si>
  <si>
    <t>Monetair goud</t>
  </si>
  <si>
    <t>A. Buitenlandse activa</t>
  </si>
  <si>
    <t>1.  Netto buitenlands actief (A-B)</t>
  </si>
  <si>
    <t>Centrale Bank van Suriname</t>
  </si>
  <si>
    <t>Tabel 6. Suriname: Internationale Reserves en Vreemde Valuta Positie</t>
  </si>
  <si>
    <t>CBvS tabel 5</t>
  </si>
  <si>
    <t>Totale vreemde valuta deposito's van ingezetenen</t>
  </si>
  <si>
    <t>Effecten, andere dan aandelen (goudcertificaten)</t>
  </si>
  <si>
    <t>This mode lis the property of Stuseco and  is as shareware on www.stuseco.org</t>
  </si>
  <si>
    <t>This model is free to be used by everbody in Suriname, but the user</t>
  </si>
  <si>
    <t>has te acknowledge the source and mention that all assumptions so also all conclusions</t>
  </si>
  <si>
    <t>are the responsability of the user.</t>
  </si>
  <si>
    <t>Work in progress, under construction. Actually the improvements of models never ends.</t>
  </si>
  <si>
    <t xml:space="preserve">   Primary Income (net)</t>
  </si>
  <si>
    <t>Credit</t>
  </si>
  <si>
    <t>Debit</t>
  </si>
  <si>
    <t>Secondary Income (net)</t>
  </si>
  <si>
    <t>Capital Account</t>
  </si>
  <si>
    <t>Financial Account</t>
  </si>
  <si>
    <t xml:space="preserve">o.w. Central government </t>
  </si>
  <si>
    <t>overall balance Gov.</t>
  </si>
  <si>
    <t>% GDP</t>
  </si>
  <si>
    <t>M2 - v v dep. Ingez./ GDP</t>
  </si>
  <si>
    <t>wisselkoers depreciatie</t>
  </si>
  <si>
    <t>ja</t>
  </si>
  <si>
    <t xml:space="preserve">available: ARIMA and Applied General Equilibrium (AGE) models </t>
  </si>
  <si>
    <t xml:space="preserve">(including Dynamic Stochastic General equilibrium Models, DSGM). </t>
  </si>
  <si>
    <t>net income per household</t>
  </si>
  <si>
    <t xml:space="preserve">These are the variables in the model, </t>
  </si>
  <si>
    <t>The im-</t>
  </si>
  <si>
    <t>indicates how programs contrubute to</t>
  </si>
  <si>
    <t>including the outcome variables</t>
  </si>
  <si>
    <t>pact variable (decrease</t>
  </si>
  <si>
    <t>the impact relevat output indicators</t>
  </si>
  <si>
    <t>and the output to the povertymodule</t>
  </si>
  <si>
    <t>numbers below the poverty line</t>
  </si>
  <si>
    <t>Exports volume other</t>
  </si>
  <si>
    <t>cost price</t>
  </si>
  <si>
    <t>Trend in productivity general</t>
  </si>
  <si>
    <t>imports</t>
  </si>
  <si>
    <t>other (capital)</t>
  </si>
  <si>
    <t>rates</t>
  </si>
  <si>
    <t>Population growth</t>
  </si>
  <si>
    <t>Source: IMF Country Report</t>
  </si>
  <si>
    <t xml:space="preserve">Source: IMF Country Report </t>
  </si>
  <si>
    <t>Exogenous:</t>
  </si>
  <si>
    <t>Add factors:</t>
  </si>
  <si>
    <t>Transfers to gov. In BOP</t>
  </si>
  <si>
    <t>Transfers other in BOP</t>
  </si>
  <si>
    <t>Private consumption</t>
  </si>
  <si>
    <t>Income growth rates:</t>
  </si>
  <si>
    <t>Increase in tax rates:</t>
  </si>
  <si>
    <t>REVENUES</t>
  </si>
  <si>
    <t>EXPENDITURES</t>
  </si>
  <si>
    <t>BALANCE and FINANCING</t>
  </si>
  <si>
    <t>Final demand private sector</t>
  </si>
  <si>
    <r>
      <t>Monetary Overview</t>
    </r>
    <r>
      <rPr>
        <sz val="12"/>
        <rFont val="Times New Roman"/>
        <family val="1"/>
      </rPr>
      <t xml:space="preserve"> (Source: National Bank)</t>
    </r>
  </si>
  <si>
    <r>
      <t xml:space="preserve">Balance of Payments </t>
    </r>
    <r>
      <rPr>
        <sz val="12"/>
        <rFont val="Times New Roman"/>
        <family val="1"/>
      </rPr>
      <t>(Source: National Bank)</t>
    </r>
  </si>
  <si>
    <r>
      <t xml:space="preserve">Uses &amp; Resources National Accounts  (mln local currency) </t>
    </r>
    <r>
      <rPr>
        <sz val="12"/>
        <rFont val="Times New Roman"/>
        <family val="1"/>
      </rPr>
      <t>(Source: Statistical Office)</t>
    </r>
  </si>
  <si>
    <t>= GDP</t>
  </si>
  <si>
    <t>- Income distribution from Household Income &amp; Expenditure Survey</t>
  </si>
  <si>
    <t>-Tax rates</t>
  </si>
  <si>
    <r>
      <t xml:space="preserve">Labour market  (numbers) </t>
    </r>
    <r>
      <rPr>
        <sz val="12"/>
        <rFont val="Times New Roman"/>
        <family val="1"/>
      </rPr>
      <t>(Source: Statistical office)</t>
    </r>
  </si>
  <si>
    <t>Fiscal Sector</t>
  </si>
  <si>
    <t xml:space="preserve">Exports G&amp;S  NA-  BoP </t>
  </si>
  <si>
    <t>Imports, G&amp;S NA - BoP</t>
  </si>
  <si>
    <t>Imports/GDP</t>
  </si>
  <si>
    <t>Private consumption/GDP</t>
  </si>
  <si>
    <t>share</t>
  </si>
  <si>
    <t>numbers</t>
  </si>
  <si>
    <t>Population total</t>
  </si>
  <si>
    <t>number</t>
  </si>
  <si>
    <t>Expenditure approach</t>
  </si>
  <si>
    <t>Income approach</t>
  </si>
  <si>
    <t xml:space="preserve">relationships. These secondary variables are generally grouped together </t>
  </si>
  <si>
    <t>Households</t>
  </si>
  <si>
    <t xml:space="preserve">In this section we present the underpinning of the block “Programs”; the block </t>
  </si>
  <si>
    <t>on the left hand side of the three blocks in the scheme above.</t>
  </si>
  <si>
    <t xml:space="preserve">To run a growth and poverty reduction scenario, we need several assumptions, </t>
  </si>
  <si>
    <t xml:space="preserve">such as X% additional growth of productivity in general, and Y% of this </t>
  </si>
  <si>
    <t xml:space="preserve">growth in certain sectors, with Government costs of Z million. V% growth of </t>
  </si>
  <si>
    <t xml:space="preserve">non-traditional exports; W million cash transfers to the poor, etc. These V, W, </t>
  </si>
  <si>
    <t>Van 2011 - 2015 de particuliere consumptie als restpost berekend en investeringen bedrijven met formule</t>
  </si>
  <si>
    <t xml:space="preserve">In case of an ARIMA model the forecast of a variable is based on its past path; </t>
  </si>
  <si>
    <t xml:space="preserve">it is like an extrapolation of its past development. The disadvantages in this </t>
  </si>
  <si>
    <t xml:space="preserve">case are that forecasts of several variables done by ARIMA models have no </t>
  </si>
  <si>
    <t xml:space="preserve">inflation differs from international inflation. The direct, plus indirect, import </t>
  </si>
  <si>
    <t>CBvS tabel 15</t>
  </si>
  <si>
    <t>Internationale reserves (2)(3)</t>
  </si>
  <si>
    <t>Financierings items</t>
  </si>
  <si>
    <t>Statistische  verschillen</t>
  </si>
  <si>
    <t>Totaal, Groep A tot en met Groep C</t>
  </si>
  <si>
    <t>Overige sectorena</t>
  </si>
  <si>
    <t>Banken</t>
  </si>
  <si>
    <t>Centrale overheid (1)(2)a</t>
  </si>
  <si>
    <t>Monetaire autoriteitena</t>
  </si>
  <si>
    <t>5. Overige financieel verkeer: passiva</t>
  </si>
  <si>
    <t xml:space="preserve">                          deviations</t>
  </si>
  <si>
    <t xml:space="preserve">      Exports,goods and services</t>
  </si>
  <si>
    <t xml:space="preserve">   Imports, goods and services</t>
  </si>
  <si>
    <t>wages bill government</t>
  </si>
  <si>
    <t>BBP Compendium CBvS</t>
  </si>
  <si>
    <t>BBP ABS SIC 215, oktober 2005   mp</t>
  </si>
  <si>
    <t>real gdp 1954=100  abs</t>
  </si>
  <si>
    <t>CPI index 1953III=100</t>
  </si>
  <si>
    <t>abs sic 215</t>
  </si>
  <si>
    <t>Deflator BBP</t>
  </si>
  <si>
    <t>abs sic 216</t>
  </si>
  <si>
    <t>CPI index 1975=100</t>
  </si>
  <si>
    <t>Deflator BBP  1956 =100</t>
  </si>
  <si>
    <t>BBP ABS SIC 215, oktober 2005   bp</t>
  </si>
  <si>
    <t>BBP ABS SIC 215, oktober 2005   bp, prijzen 1990=100</t>
  </si>
  <si>
    <t>excl informele sector</t>
  </si>
  <si>
    <t>incl informele sector</t>
  </si>
  <si>
    <t>BBP ABS incl. informele sector, bp</t>
  </si>
  <si>
    <t>BBP ABS incl. informele sector, mp</t>
  </si>
  <si>
    <t>BBP ABS incl. informele sector, mp prijzen 1990</t>
  </si>
  <si>
    <t>BBP ABS incl. informele sector, bp, in prijzen 1990</t>
  </si>
  <si>
    <t>1956=100</t>
  </si>
  <si>
    <t>Deflator ABS, 1956=100</t>
  </si>
  <si>
    <t>Deflator/CPI</t>
  </si>
  <si>
    <t>Deflator bestedingen methode</t>
  </si>
  <si>
    <t>Deflator bestedingenmethode/ABS</t>
  </si>
  <si>
    <t>BBP reel, ABS, prijzen 1956 =100</t>
  </si>
  <si>
    <t xml:space="preserve">real gdp Model 1956=100 </t>
  </si>
  <si>
    <t>deflator BBP Model, 1956=100</t>
  </si>
  <si>
    <t>CPI 1956 =100</t>
  </si>
  <si>
    <t>incl informee/ excl informeel</t>
  </si>
  <si>
    <t>Gross Domestic Product (GDP) deflator</t>
  </si>
  <si>
    <t>deflator BBP ABS, 1956=100</t>
  </si>
  <si>
    <t>BBP oude reeks</t>
  </si>
  <si>
    <t>t/m 2002 uit Mamiabc, daarna ABS SIC251, t/m 2005  tabel 5, 2006 - 2010 uit Stat comp CBvS</t>
  </si>
  <si>
    <t>GDP marktprijzen</t>
  </si>
  <si>
    <t>BBP nieuwe reeks</t>
  </si>
  <si>
    <t>Update MONCPI, toegevoegd sheets varianten en monetair en S4</t>
  </si>
  <si>
    <t>Inkomsten</t>
  </si>
  <si>
    <t>Uitvoer</t>
  </si>
  <si>
    <t>Zie voor meer toelichting:</t>
  </si>
  <si>
    <t xml:space="preserve">average household incomes into the main socio-economic categories such as </t>
  </si>
  <si>
    <t xml:space="preserve">wage earners, self-subsistence farmers, and other self-employed (traders, etc.). </t>
  </si>
  <si>
    <t xml:space="preserve">The growth rate of the number of households and of the average household </t>
  </si>
  <si>
    <t xml:space="preserve">income of the socio-economic categories, constitute the output of the macro </t>
  </si>
  <si>
    <t>model.</t>
  </si>
  <si>
    <t xml:space="preserve">This output is an input into the poverty module. This is indicated by the pink </t>
  </si>
  <si>
    <t xml:space="preserve">squares   in the right block of the scheme. The pink squares affect the </t>
  </si>
  <si>
    <t xml:space="preserve">purple squares   in the poverty module; i.e., the net incomes of the groups, </t>
  </si>
  <si>
    <t>regel 109, 110, 138</t>
  </si>
  <si>
    <t>en corectie in assumpties 50  +30 -20</t>
  </si>
  <si>
    <t>Loonsom bedrijven in prijzen 2015, 2012=100</t>
  </si>
  <si>
    <t>US$</t>
  </si>
  <si>
    <t>$</t>
  </si>
  <si>
    <t>MacroabcSU 5 juli 2017 basis scenario.xlsx</t>
  </si>
  <si>
    <t>MacroabcSU 6 juli 2017 basis scenario.xlsx</t>
  </si>
  <si>
    <t>Verbetering in aflossingen overheid aan buitenland (excl van leningen in de  pipeline)</t>
  </si>
  <si>
    <t>op basis Q1, 2017 van Bureau voor de Statsschuld</t>
  </si>
  <si>
    <t>MacroabcSU 11 juli 2017 basis scenario.xlsx</t>
  </si>
  <si>
    <t xml:space="preserve">winst naar buitenland </t>
  </si>
  <si>
    <t>en idem in asumptions 43</t>
  </si>
  <si>
    <t>En in Asumptions regel 45 boeken: verschil verandering totale deviezenvoorrad en die van CBvS jan t/m mei *3  64*2,5= 140 mln US$</t>
  </si>
  <si>
    <t xml:space="preserve">Spaar- en Stabilisatie fonds </t>
  </si>
  <si>
    <t>rente aan buitenland in % BBP</t>
  </si>
  <si>
    <t>int reserves CBvS in % of total</t>
  </si>
  <si>
    <t>Add Foreign financing gov. (net)</t>
  </si>
  <si>
    <t>Update BoP 2016, Q! 2017  en MINFIN jan+feb 2017 in SOURCE toegevoegd ter orientatie.</t>
  </si>
  <si>
    <t>Verondersteld: slechts 10% van de lening trekkingen in 2017 is gebonden aan besteding in dat jaar</t>
  </si>
  <si>
    <t>dat wegwerken kost 20% koersstijging (van 7,6 naar 8,9) voeg in Asumpties BQ24 toe +20</t>
  </si>
  <si>
    <t>1c leningen 40 mln minder en investeringen -4 In asumpties BQ52 -40 en BQ53 -4</t>
  </si>
  <si>
    <t xml:space="preserve">Conclusie: de huidig koersstabiliteit is nog steeds heel kwetsbaar! </t>
  </si>
  <si>
    <t>1b  lonen +15 toevoegen in Asumpties BQ42. Zie resultat in sheet Key V5  -0,16</t>
  </si>
  <si>
    <t>update deviezen in month sheet</t>
  </si>
  <si>
    <t>juni -dec</t>
  </si>
  <si>
    <t>MacroabcSU 16 juli 2017 basis scenario.xlsx</t>
  </si>
  <si>
    <t>Zie regel 52 en 53 Asumptions en dependents van daar</t>
  </si>
  <si>
    <t xml:space="preserve">In Assumptions BR52 t/m BU53  +350  Dat betekent tov baseline 350 mln US$ per jaar meer leningen, </t>
  </si>
  <si>
    <t>besteed voor overheidsinvesteringen</t>
  </si>
  <si>
    <t>exports 3 naar 5</t>
  </si>
  <si>
    <t>productiviteit 0,5 naar 1,5</t>
  </si>
  <si>
    <t>investeringen bedrijven 3 naar 5</t>
  </si>
  <si>
    <t>FDI van 3  naar 5</t>
  </si>
  <si>
    <t>storting in spaarfonds 2 naar 6  in Asumptions BU51</t>
  </si>
  <si>
    <t>Resultaat:</t>
  </si>
  <si>
    <t>Pessimistic 1</t>
  </si>
  <si>
    <t>Ave 2005 thru 2017</t>
  </si>
  <si>
    <t>Pessimistic 2</t>
  </si>
  <si>
    <t>Ave 2013 thru 2017 - 1 Standard Deviation</t>
  </si>
  <si>
    <t>Gold price US$ troy ounce</t>
  </si>
  <si>
    <t>10 Oz</t>
  </si>
  <si>
    <t>export price gold</t>
  </si>
  <si>
    <t>US$ Oz</t>
  </si>
  <si>
    <t>Imports price in US$</t>
  </si>
  <si>
    <t>MacroabcSU 31 jan 2018.xlsx</t>
  </si>
  <si>
    <t>gem %</t>
  </si>
  <si>
    <t xml:space="preserve"> goud prijs blijft reëel  1350 US$ per troy ounce, goudexport stijgt gemiddeld 0,5% per jaar</t>
  </si>
  <si>
    <t>base line: Gematigd optimistisch goud scenario</t>
  </si>
  <si>
    <t>Spaar en stabilisatiefonds 2 naar 12 in Assumpties  BU51</t>
  </si>
  <si>
    <t>Deze file bevat:</t>
  </si>
  <si>
    <t>Zie in Assumpties regels 13 en 25 BS tot CG. Zie ook Assumpties regel 56 en 73</t>
  </si>
  <si>
    <t>Deze base line is geen voorspelling, want niemand kan goudprijs goed voorspellen.</t>
  </si>
  <si>
    <t>Dit is slechts een startpunt voor het maken van vele scenario's</t>
  </si>
  <si>
    <t>waarschijnlijk komt er binnenkort op Dropbox Stuseco 2018:</t>
  </si>
  <si>
    <t xml:space="preserve">een achtergrond paper bij scenario's die in februari 2018 worden gedraaid. </t>
  </si>
  <si>
    <t>verschil</t>
  </si>
  <si>
    <t>Lopende rekening en kapitaal rekening in mln SRD</t>
  </si>
  <si>
    <t>MacroabcSU 16 feb 2018.xlsx</t>
  </si>
  <si>
    <t>In Model BR138 etc. verwijderd -Asumptions bq33</t>
  </si>
  <si>
    <t>Dit is sceanrio met ind bel verzwaring</t>
  </si>
  <si>
    <t>real wage rate government</t>
  </si>
  <si>
    <t>Tot zover tot eind feb 2018.</t>
  </si>
  <si>
    <t>update month moncpi</t>
  </si>
  <si>
    <t>oftewel 13% van particuliere consumptie in juli 2018</t>
  </si>
  <si>
    <t>EXTERNAL SECTOR (BoP) in US$</t>
  </si>
  <si>
    <t xml:space="preserve">Gold Price </t>
  </si>
  <si>
    <t>US$/troy ounce</t>
  </si>
  <si>
    <t>In Model regel 145 leeg gemaakt (was dubbel)</t>
  </si>
  <si>
    <t>Financing (BOP (tabel 15) excl herwaardering change Gross international reserves ( – accumulation)</t>
  </si>
  <si>
    <t>ind belastingen in %  particuliere consumptie</t>
  </si>
  <si>
    <t>5,5</t>
  </si>
  <si>
    <t>-5,8</t>
  </si>
  <si>
    <t>-1,2</t>
  </si>
  <si>
    <t>0,6</t>
  </si>
  <si>
    <t>-9,5</t>
  </si>
  <si>
    <t>-42,1</t>
  </si>
  <si>
    <t>-1,1</t>
  </si>
  <si>
    <t>0,5</t>
  </si>
  <si>
    <t>-0,3</t>
  </si>
  <si>
    <t>-1,3</t>
  </si>
  <si>
    <t>-1,7</t>
  </si>
  <si>
    <t>-9,7</t>
  </si>
  <si>
    <t>459,9</t>
  </si>
  <si>
    <t>-88,6</t>
  </si>
  <si>
    <t>-37,2</t>
  </si>
  <si>
    <t>193,5</t>
  </si>
  <si>
    <t>-148,9</t>
  </si>
  <si>
    <t>-289,2</t>
  </si>
  <si>
    <t>-483,2</t>
  </si>
  <si>
    <t>258,7</t>
  </si>
  <si>
    <t>35,7</t>
  </si>
  <si>
    <t>55,9</t>
  </si>
  <si>
    <t>78,0</t>
  </si>
  <si>
    <t>-188,5</t>
  </si>
  <si>
    <t>-30,6</t>
  </si>
  <si>
    <t>-5,1</t>
  </si>
  <si>
    <t>-12,9</t>
  </si>
  <si>
    <t>-15,5</t>
  </si>
  <si>
    <t>0,7</t>
  </si>
  <si>
    <t>-57,9</t>
  </si>
  <si>
    <t>74,4</t>
  </si>
  <si>
    <t>2,0</t>
  </si>
  <si>
    <t>24,1</t>
  </si>
  <si>
    <t>-5,7</t>
  </si>
  <si>
    <t>-65,2</t>
  </si>
  <si>
    <t>-64,7</t>
  </si>
  <si>
    <t>-109,9</t>
  </si>
  <si>
    <t>36,9</t>
  </si>
  <si>
    <t>-137,0</t>
  </si>
  <si>
    <t>-11,3</t>
  </si>
  <si>
    <t>-77,4</t>
  </si>
  <si>
    <t>-96,6</t>
  </si>
  <si>
    <t>-96,0</t>
  </si>
  <si>
    <t>31,7</t>
  </si>
  <si>
    <t>20,1</t>
  </si>
  <si>
    <t>-11,6</t>
  </si>
  <si>
    <t>6,7</t>
  </si>
  <si>
    <t>77,8</t>
  </si>
  <si>
    <t>169,4</t>
  </si>
  <si>
    <t>3,6</t>
  </si>
  <si>
    <t>-278,5</t>
  </si>
  <si>
    <t>-347,9</t>
  </si>
  <si>
    <t>280,9</t>
  </si>
  <si>
    <t>129,8</t>
  </si>
  <si>
    <t>0,2</t>
  </si>
  <si>
    <t>63,6</t>
  </si>
  <si>
    <t>-3,2</t>
  </si>
  <si>
    <t>-81,2</t>
  </si>
  <si>
    <t>6,6</t>
  </si>
  <si>
    <t>111,9</t>
  </si>
  <si>
    <t>koers SRD/US$ einde van het jaar</t>
  </si>
  <si>
    <t>total of households income (via expenditures)</t>
  </si>
  <si>
    <t xml:space="preserve">therefore, produce consistent results. This makes the model a powerful </t>
  </si>
  <si>
    <t xml:space="preserve">Subsequently the data-model of the model calculates the secondary </t>
  </si>
  <si>
    <t xml:space="preserve">output tables. Some of the standard output tables produced by the model </t>
  </si>
  <si>
    <t>Transfers and subsidies</t>
  </si>
  <si>
    <t>EXTERNAL SECTOR (Balance of Payments)</t>
  </si>
  <si>
    <t>Output</t>
  </si>
  <si>
    <t>Determined by weighted average of the differential between changes in wage and productivity and change in effective indirect tax rate</t>
  </si>
  <si>
    <t xml:space="preserve">specific countries such as Curaçao, Poland, Kenya, Ethiopia, Indonesia, </t>
  </si>
  <si>
    <t xml:space="preserve">Namibia, Macedonia, Zambia, Ukraine, Rwanda, Bhutan, and Surinam. </t>
  </si>
  <si>
    <t xml:space="preserve">Stochastic Dynamic General Equilibrium Models are rather complicated. </t>
  </si>
  <si>
    <t xml:space="preserve">Actually, CPB in the Netherlands developed a Dynamic Stochastic Micro </t>
  </si>
  <si>
    <t xml:space="preserve">Simulation Model within one year, but it appeared too complicated to be </t>
  </si>
  <si>
    <t xml:space="preserve">applied in practice. One reason being that there were no empirically based </t>
  </si>
  <si>
    <t>coefficients for crucial equations which form part of the model.</t>
  </si>
  <si>
    <t xml:space="preserve">Summarizing, the Macroabc Suriname and the Surya model start from a </t>
  </si>
  <si>
    <t xml:space="preserve">consistent database taking into account data from several institutes (i.e., the </t>
  </si>
  <si>
    <t xml:space="preserve">Central Bureau of Statistics, the Central Bank, and the Ministry of Finance). </t>
  </si>
  <si>
    <t xml:space="preserve">This model provides a consistent set of figures for key variables for the next </t>
  </si>
  <si>
    <t xml:space="preserve">year, as well as for the years thereafter. It can help to do alternative policy </t>
  </si>
  <si>
    <t xml:space="preserve">simulations to find out the effect of measures on a complete set of key </t>
  </si>
  <si>
    <t xml:space="preserve">variables. It can be used for scenario building as well as for historical </t>
  </si>
  <si>
    <t xml:space="preserve">analyses. In addition, expert opinion can be inserted through add factors into </t>
  </si>
  <si>
    <t xml:space="preserve">helpful tool for macroeconomic and fiscal analyses, provided one takes into </t>
  </si>
  <si>
    <t>account that the baseline will always be inaccurate.</t>
  </si>
  <si>
    <t>The underpinning of the assumptions</t>
  </si>
  <si>
    <t xml:space="preserve">Handbook to Macroabc model contains around 500 pages, available on USB </t>
  </si>
  <si>
    <t xml:space="preserve">intensity of various final demand categories (C, I, several E) can differ. For </t>
  </si>
  <si>
    <t>Exports of goods and services (total)</t>
  </si>
  <si>
    <t>Total excl gold</t>
  </si>
  <si>
    <t xml:space="preserve">To start the model, we first insert historical data for the primary variables. </t>
  </si>
  <si>
    <t>EXTERNAL SECTOR</t>
  </si>
  <si>
    <t>FISCAL SECTOR</t>
  </si>
  <si>
    <t>HOUSEHOLD SECTOR</t>
  </si>
  <si>
    <t>MONETARY SECTOR</t>
  </si>
  <si>
    <t>Current account balance (including official transfers)</t>
  </si>
  <si>
    <t>Capital and financial account (net)</t>
  </si>
  <si>
    <t xml:space="preserve">behavioural equations for imports, employment, unemployment, wage </t>
  </si>
  <si>
    <t xml:space="preserve">formation, investment, consumption prices, money supply, net primary and </t>
  </si>
  <si>
    <t>secondary income transfers from abroad, etc.</t>
  </si>
  <si>
    <t xml:space="preserve">Institutional variables (also called semi-behavioural variables) comprise the </t>
  </si>
  <si>
    <t xml:space="preserve">last set of data. They include, for example, government variables such as </t>
  </si>
  <si>
    <t xml:space="preserve">direct taxes, indirect taxes, government wages, investment, and consumption. </t>
  </si>
  <si>
    <t xml:space="preserve">The model is, as noted before, based on the Macroabc methodology which </t>
  </si>
  <si>
    <t xml:space="preserve">was originally developed for Suriname and from there to other countries. To </t>
  </si>
  <si>
    <t xml:space="preserve">date the model has been successfully implemented in Surinam, Curaçao, the </t>
  </si>
  <si>
    <t xml:space="preserve">European Union, Poland, Kenya, Indonesia, Ethiopia, Macedonia, Namibia, </t>
  </si>
  <si>
    <t xml:space="preserve">  sector buitenland:</t>
  </si>
  <si>
    <t>saldo kapitaalrekening</t>
  </si>
  <si>
    <t>SDKRWN</t>
  </si>
  <si>
    <t>herwaardering goud-en deviezenvoorraad e.d.</t>
  </si>
  <si>
    <t>GOUWN</t>
  </si>
  <si>
    <t xml:space="preserve"> P.M.kapitaaloverdrachten om niet</t>
  </si>
  <si>
    <t xml:space="preserve">  sector overheid:</t>
  </si>
  <si>
    <t>netto ontwikkelingsleningen</t>
  </si>
  <si>
    <t>FIN/CBvS</t>
  </si>
  <si>
    <t>MIDWN</t>
  </si>
  <si>
    <t>netto particuliere leningen</t>
  </si>
  <si>
    <t>KOWN</t>
  </si>
  <si>
    <t xml:space="preserve">  w.v.kapitaal bedrijven aan overheid</t>
  </si>
  <si>
    <t>KBOWN</t>
  </si>
  <si>
    <t>herwaardering staatsschuld buitenland</t>
  </si>
  <si>
    <t>HSOEWN</t>
  </si>
  <si>
    <t xml:space="preserve">  verandering in geldhoeveelheid:</t>
  </si>
  <si>
    <t>primaire+secundaire liquiditeiten</t>
  </si>
  <si>
    <t>LIQWD</t>
  </si>
  <si>
    <t xml:space="preserve">Nederlandse ontwikkelingshulp </t>
  </si>
  <si>
    <t>PRIJZEN:</t>
  </si>
  <si>
    <t xml:space="preserve">consumptieprijsmutatie </t>
  </si>
  <si>
    <t>CGPP</t>
  </si>
  <si>
    <t>uitvoerprijsmutatie</t>
  </si>
  <si>
    <t>ABS/SPS</t>
  </si>
  <si>
    <t>BPP</t>
  </si>
  <si>
    <t>invoerprijsmutatie</t>
  </si>
  <si>
    <t>MPP</t>
  </si>
  <si>
    <t xml:space="preserve">investeringsprijsmutatie </t>
  </si>
  <si>
    <t>IPP</t>
  </si>
  <si>
    <t>volume mutatie goederenuitvoer</t>
  </si>
  <si>
    <t>Int. Inflatie in US$ tbv invoerprijs</t>
  </si>
  <si>
    <t>inflatie USA in US$</t>
  </si>
  <si>
    <t>ARBEIDSMARKT</t>
  </si>
  <si>
    <t>arbeidsplaatsen bedrijven  *1000</t>
  </si>
  <si>
    <t>*1000</t>
  </si>
  <si>
    <t>ABAN</t>
  </si>
  <si>
    <t>arbeidsplaatsen overheid   *1000</t>
  </si>
  <si>
    <t>AOAN</t>
  </si>
  <si>
    <t>werkloosheid %</t>
  </si>
  <si>
    <t>WWQN</t>
  </si>
  <si>
    <t>index trend arbeidsproductiviteit</t>
  </si>
  <si>
    <t>TA</t>
  </si>
  <si>
    <t>BEVAN</t>
  </si>
  <si>
    <t>B1664N</t>
  </si>
  <si>
    <t>natuurlijke aanwas ,,   in %</t>
  </si>
  <si>
    <t>B1664P</t>
  </si>
  <si>
    <t>emigratiesaldo             *1000</t>
  </si>
  <si>
    <t>MIGAN</t>
  </si>
  <si>
    <t>KOERSEN:</t>
  </si>
  <si>
    <t>gem koers Sf/$ officieel</t>
  </si>
  <si>
    <t>quote</t>
  </si>
  <si>
    <t>gem.koers Sf/$ op parallelmarkt</t>
  </si>
  <si>
    <t>rentevoet USA</t>
  </si>
  <si>
    <t>USAR</t>
  </si>
  <si>
    <t>rentevoet Suriname</t>
  </si>
  <si>
    <t>SURR</t>
  </si>
  <si>
    <t>EA-importen:marktwaarde- officiele waarde</t>
  </si>
  <si>
    <t>MICRO BLOK</t>
  </si>
  <si>
    <t>uitvoerwaarde producten prijzen voorafgaand jaar</t>
  </si>
  <si>
    <t>uitvoerwaarde prod. hieronder</t>
  </si>
  <si>
    <t>BMWN</t>
  </si>
  <si>
    <t>investeringen in exportsector</t>
  </si>
  <si>
    <t>IBMWN</t>
  </si>
  <si>
    <t>ind.bel.belangrijkste export</t>
  </si>
  <si>
    <t>TKBWN</t>
  </si>
  <si>
    <t>aluinaarde exportwaarde mln.SRD</t>
  </si>
  <si>
    <t>ALAEWN</t>
  </si>
  <si>
    <t xml:space="preserve"> ,, hoeveelheid in 1000MT</t>
  </si>
  <si>
    <t>1000MT</t>
  </si>
  <si>
    <t>ALAEMN</t>
  </si>
  <si>
    <t>aluminium exportwaarde in mln.SRD</t>
  </si>
  <si>
    <t>ALUEWN</t>
  </si>
  <si>
    <t>,, hoeveelheid in1000MT</t>
  </si>
  <si>
    <t>ALUEMN</t>
  </si>
  <si>
    <t>rijst exportwaarde in mln.SRD</t>
  </si>
  <si>
    <t>RIJEWN</t>
  </si>
  <si>
    <t>,, 1000MT</t>
  </si>
  <si>
    <t>RIJEDN</t>
  </si>
  <si>
    <t>bacoven en bananen export mln.SRD</t>
  </si>
  <si>
    <t>BACEWN</t>
  </si>
  <si>
    <t>BACEDN</t>
  </si>
  <si>
    <t>garnalen export mln.SRD</t>
  </si>
  <si>
    <t>GAREWN</t>
  </si>
  <si>
    <t>,, 1000KG</t>
  </si>
  <si>
    <t>1000KG</t>
  </si>
  <si>
    <t>GAREDN</t>
  </si>
  <si>
    <t>hout en houtproducten export mln.SRD</t>
  </si>
  <si>
    <t>HOUEWN</t>
  </si>
  <si>
    <t>, ,1000M3</t>
  </si>
  <si>
    <t>1000M3</t>
  </si>
  <si>
    <t>HOUEKN</t>
  </si>
  <si>
    <t>vis en visproducten export mln.SRD</t>
  </si>
  <si>
    <t>VISEWN</t>
  </si>
  <si>
    <t>VISEKN</t>
  </si>
  <si>
    <t>crude oil export mln.SRD</t>
  </si>
  <si>
    <t>AOLWN</t>
  </si>
  <si>
    <t>,, 1000LTR</t>
  </si>
  <si>
    <t>1000LRT</t>
  </si>
  <si>
    <t>AOLVN</t>
  </si>
  <si>
    <t xml:space="preserve">  secundair verleden, primair bij raming</t>
  </si>
  <si>
    <t>materiele consumptie overheid</t>
  </si>
  <si>
    <t>CMOWN</t>
  </si>
  <si>
    <t>waarde consumptie gezinnen</t>
  </si>
  <si>
    <t>CGWN</t>
  </si>
  <si>
    <t>SIM export</t>
  </si>
  <si>
    <t xml:space="preserve">  indices 1973=100</t>
  </si>
  <si>
    <t xml:space="preserve"> in startjaar (1990)hier exogeen!</t>
  </si>
  <si>
    <t>consumptieprijsindex</t>
  </si>
  <si>
    <t>CGPI</t>
  </si>
  <si>
    <t>uitvoerprijsindex</t>
  </si>
  <si>
    <t>BPI</t>
  </si>
  <si>
    <t>invoerprijsindex</t>
  </si>
  <si>
    <t>MPI</t>
  </si>
  <si>
    <t>investeringsprijsindex</t>
  </si>
  <si>
    <t>IPI</t>
  </si>
  <si>
    <t>loonkosten p.e.p.index</t>
  </si>
  <si>
    <t>HPEPWI</t>
  </si>
  <si>
    <t xml:space="preserve">   balansgrootheden</t>
  </si>
  <si>
    <t>deviezenvoorraad    in mln.SRD.</t>
  </si>
  <si>
    <t>DEVWN</t>
  </si>
  <si>
    <t>geldhoeveelheid          ,,</t>
  </si>
  <si>
    <t>LIQWN</t>
  </si>
  <si>
    <t>staatsschuld binnenland  ,,</t>
  </si>
  <si>
    <t>CBvS/FIN</t>
  </si>
  <si>
    <t>SOBWN</t>
  </si>
  <si>
    <t>staatsschuld buitenland  ,,</t>
  </si>
  <si>
    <t>SOEWN</t>
  </si>
  <si>
    <t>geinvesteerd vermogen bedrijven</t>
  </si>
  <si>
    <t>BVWN</t>
  </si>
  <si>
    <t>kapitaalimport bedrijven vanaf'90</t>
  </si>
  <si>
    <t>EKAP</t>
  </si>
  <si>
    <t>emigratiesaldo som vanaf'54</t>
  </si>
  <si>
    <t>MITAN</t>
  </si>
  <si>
    <t xml:space="preserve">   variabelen, gebaseerd op GPS</t>
  </si>
  <si>
    <t>hulpvariabele vraag naar arbeid</t>
  </si>
  <si>
    <t>HVNA1</t>
  </si>
  <si>
    <t>HVNA2</t>
  </si>
  <si>
    <t>hulpvariabele vraag naar invoer</t>
  </si>
  <si>
    <t>HVNI1</t>
  </si>
  <si>
    <t>HVNI2</t>
  </si>
  <si>
    <t xml:space="preserve">Aruba, St. Maarten, Zambia, Ukraine, Rwanda, and Bhutan. Our experience is </t>
  </si>
  <si>
    <t xml:space="preserve">that the Macroabc methodology of combining the core of the model’s </t>
  </si>
  <si>
    <t xml:space="preserve">components (i.e., the CPB model and other Macroabc models) with local </t>
  </si>
  <si>
    <t xml:space="preserve">expertise produces a practical and user-friendly instrument which is very </t>
  </si>
  <si>
    <t xml:space="preserve">helpful in policy discussions. </t>
  </si>
  <si>
    <t xml:space="preserve">A first version of MACROABC of a new country can already be running in a </t>
  </si>
  <si>
    <t xml:space="preserve">(University of Suriname), and Stuseco. Dr. Marein van Schaaijk is chairman </t>
  </si>
  <si>
    <t>of Stuseco.</t>
  </si>
  <si>
    <t xml:space="preserve">The model is a structural, empirical macroeconomic model, inspired by, and </t>
  </si>
  <si>
    <t xml:space="preserve">based upon, the macro model of the Centraal Planbureau, the Netherlands. The  </t>
  </si>
  <si>
    <t xml:space="preserve">Macroabc model is introduced in 20 countries, mainly running in Curaçao, St. </t>
  </si>
  <si>
    <t xml:space="preserve">Maarten, Aruba, Indonesia, Kenya, Rwanda, Zambia, Namibia, Country X, </t>
  </si>
  <si>
    <t>and Bhutan (see: www.micromacroconsultants.com).</t>
  </si>
  <si>
    <t xml:space="preserve">The Macroabc Suriname model consists of time series mainly 2006-2015 (and </t>
  </si>
  <si>
    <t xml:space="preserve">expenditures, and of the difference of total revenues and expenditures for the </t>
  </si>
  <si>
    <t xml:space="preserve">sectors: Real, Fiscal, External, and Monetary; in line with the Financial </t>
  </si>
  <si>
    <t xml:space="preserve">Programming of the IMF. In addition, the model contains a Household block </t>
  </si>
  <si>
    <t xml:space="preserve">and a Poverty module. The model also includes behavioural equations and </t>
  </si>
  <si>
    <t xml:space="preserve">statistical discrepancy variables. For the time being Macroabc has only a split </t>
  </si>
  <si>
    <t xml:space="preserve">of exports in gold and other. While the Suryamodel has a Micro block for the </t>
  </si>
  <si>
    <t xml:space="preserve">export sector; i.e., a breakdown of exports in main products like gold, oil, rice </t>
  </si>
  <si>
    <t xml:space="preserve">etc. For each individual product the volume, price and value of investments </t>
  </si>
  <si>
    <t xml:space="preserve">are included per annum. </t>
  </si>
  <si>
    <t xml:space="preserve">The time series are divided in exogenous variables, definitions, and </t>
  </si>
  <si>
    <t xml:space="preserve">behavioural equations. The variables are connected through the traditional </t>
  </si>
  <si>
    <t>income informal sector</t>
  </si>
  <si>
    <r>
      <t>waarvan: in vreemde valuta (2)</t>
    </r>
    <r>
      <rPr>
        <sz val="10"/>
        <rFont val="Times New Roman"/>
        <family val="1"/>
      </rPr>
      <t/>
    </r>
  </si>
  <si>
    <r>
      <t>waarvan: Schatkistbiljetten</t>
    </r>
    <r>
      <rPr>
        <sz val="10"/>
        <rFont val="Times New Roman"/>
        <family val="1"/>
      </rPr>
      <t/>
    </r>
  </si>
  <si>
    <r>
      <t>waarvan: in vreemde valuta (2)</t>
    </r>
    <r>
      <rPr>
        <sz val="10"/>
        <rFont val="Times New Roman"/>
        <family val="1"/>
      </rPr>
      <t/>
    </r>
  </si>
  <si>
    <t>Overige deposito's (3)</t>
  </si>
  <si>
    <t>Giraal geld (2)</t>
  </si>
  <si>
    <t>Chartaal geld</t>
  </si>
  <si>
    <t>Tabel 5.  Suriname: Liquiditeitenmassa in Ruime Zin</t>
  </si>
  <si>
    <t>Monetaire Sector</t>
  </si>
  <si>
    <t>nited%20Nations.html</t>
  </si>
  <si>
    <t xml:space="preserve">The Macroabc Suriname  model in a nutshell: </t>
  </si>
  <si>
    <t xml:space="preserve">The MACMIC model, the original model, was developed by Dr. Marein van </t>
  </si>
  <si>
    <t>Verplichtingen aan de overheid</t>
  </si>
  <si>
    <t>Buitenlandse passiva</t>
  </si>
  <si>
    <t>Buitenlandse activa</t>
  </si>
  <si>
    <t>loonsom per ambtenar in 2015 en 2016 aangepast aan realisaties. Voor 2017 toename lonen overheid 500 per maand (+16%) in2017</t>
  </si>
  <si>
    <t>lonen in april +6% en in juli +10%  Verder overig gemiddeld 0,8% permaand in 2017 en 1,8% per maand in 2018</t>
  </si>
  <si>
    <t>-124,1</t>
  </si>
  <si>
    <t>-180,1</t>
  </si>
  <si>
    <t>148,8</t>
  </si>
  <si>
    <t>150,2</t>
  </si>
  <si>
    <t>265,8</t>
  </si>
  <si>
    <t>-79,4</t>
  </si>
  <si>
    <t>-8,7</t>
  </si>
  <si>
    <t>-19,9</t>
  </si>
  <si>
    <t>9,1</t>
  </si>
  <si>
    <t>-16,0</t>
  </si>
  <si>
    <t>1,2</t>
  </si>
  <si>
    <t>-1,9</t>
  </si>
  <si>
    <t>80,9</t>
  </si>
  <si>
    <t>3,5</t>
  </si>
  <si>
    <t>29,1</t>
  </si>
  <si>
    <t>28,7</t>
  </si>
  <si>
    <t>Zakelijke diensten</t>
  </si>
  <si>
    <t>Financiёle Instellingen</t>
  </si>
  <si>
    <t>Hotels en Restaurants</t>
  </si>
  <si>
    <t>Handel</t>
  </si>
  <si>
    <t>Industrie/Fabricage</t>
  </si>
  <si>
    <t>Mijnbouw</t>
  </si>
  <si>
    <t>Visserij</t>
  </si>
  <si>
    <t>Bedrijven en Huishoudens</t>
  </si>
  <si>
    <t>Tabel 22. BBP per Bedrijfstak in prijzen 2007</t>
  </si>
  <si>
    <t>Tabel 21. BBP per Bedrijfstak in Lopende Prijzen</t>
  </si>
  <si>
    <t>fin nota tabel II.1.6.</t>
  </si>
  <si>
    <t>personelsuitgaven overheid</t>
  </si>
  <si>
    <t>loonsom overheid</t>
  </si>
  <si>
    <t>loonsom bedrijven</t>
  </si>
  <si>
    <t>BBP</t>
  </si>
  <si>
    <t>importen</t>
  </si>
  <si>
    <t>exporten</t>
  </si>
  <si>
    <t>voorraadverandering</t>
  </si>
  <si>
    <t>investeringen overheid</t>
  </si>
  <si>
    <t>investeringen bedrijven</t>
  </si>
  <si>
    <t>daarna Fin Nota 2017 tabel 1.9</t>
  </si>
  <si>
    <t>consumptie overheid</t>
  </si>
  <si>
    <t>ABS SIC251, t/m 2005  tabel 5</t>
  </si>
  <si>
    <t>consumptie huishoudens</t>
  </si>
  <si>
    <t>SOURCE</t>
  </si>
  <si>
    <t>Brief CV of Dr. Marein van Schaaijk</t>
  </si>
  <si>
    <t xml:space="preserve">Dr. Marinus L. J. H. A. van Schaaijk was born in 1947 in Schijndel, the </t>
  </si>
  <si>
    <t>Netherlands.</t>
  </si>
  <si>
    <t xml:space="preserve">Education: Gymnasium beta in 1966; Master Degree in Economics cum laude </t>
  </si>
  <si>
    <t>Exchange rate SRD/US$</t>
  </si>
  <si>
    <t>CBvS</t>
  </si>
  <si>
    <t>% increase Exchange rate SRD/$</t>
  </si>
  <si>
    <t>Price indices 2015=100</t>
  </si>
  <si>
    <t>Export volume Gold</t>
  </si>
  <si>
    <t>interest payments</t>
  </si>
  <si>
    <t>International interest rate</t>
  </si>
  <si>
    <t>Exchange rate (SRD Per US dollar)</t>
  </si>
  <si>
    <t>Exchange rate (SRD. Per US dollar)</t>
  </si>
  <si>
    <t>Exports volume services</t>
  </si>
  <si>
    <t>o.w. Gold exports (value)</t>
  </si>
  <si>
    <t>Volume Gold exports</t>
  </si>
  <si>
    <t>1000 oz.</t>
  </si>
  <si>
    <t>SRD/troy ounce</t>
  </si>
  <si>
    <t>Exports of goods and services (Excl. Gold)</t>
  </si>
  <si>
    <t>Gold Price in SRD</t>
  </si>
  <si>
    <t>Imports goods</t>
  </si>
  <si>
    <t>Schuld Overheid:</t>
  </si>
  <si>
    <t xml:space="preserve">Suriname Interest rate </t>
  </si>
  <si>
    <t>Wage rate private sector</t>
  </si>
  <si>
    <t>Real wage private sector</t>
  </si>
  <si>
    <t>Real wage govt.</t>
  </si>
  <si>
    <t>Growth figures</t>
  </si>
  <si>
    <t>Foreign reserve stock Central Bank</t>
  </si>
  <si>
    <t>Foreign reserve stock CB/Month imports</t>
  </si>
  <si>
    <t>Non-tax revenue</t>
  </si>
  <si>
    <t>international inflation in SRD</t>
  </si>
  <si>
    <t xml:space="preserve">formulate those assumptions. Should they be unrealistic, the experts </t>
  </si>
  <si>
    <t>non-gold export prijs volgt voor 10% kostprijs en 90% de int. prijs</t>
  </si>
  <si>
    <t xml:space="preserve">stick -or CDROM- providing the full text as well as model files). More </t>
  </si>
  <si>
    <t xml:space="preserve">information in English of Macroabc models can be found in </t>
  </si>
  <si>
    <t xml:space="preserve">www.micromacroconsultants.com </t>
  </si>
  <si>
    <t xml:space="preserve">The model consists of a database, using data of the National Accounts of the </t>
  </si>
  <si>
    <t xml:space="preserve">General Bureau of Statistics, Government revenues and expenditures from the </t>
  </si>
  <si>
    <t xml:space="preserve">Ministry of Finance, and the Balance of Payments and Monetary Survey of the </t>
  </si>
  <si>
    <t xml:space="preserve">Central Bank. These data are entered into a consistency framework. Initially, </t>
  </si>
  <si>
    <t xml:space="preserve">the coefficients in the behavioural equations were calibrated, using the time </t>
  </si>
  <si>
    <t xml:space="preserve">series: 1954-1987. Later on, several coefficients have been improved, having </t>
  </si>
  <si>
    <t xml:space="preserve">benefitted from many workshop discussions concerned. </t>
  </si>
  <si>
    <t xml:space="preserve">The methodology of Macroabc involves the construction of a combined </t>
  </si>
  <si>
    <t xml:space="preserve">instrument: a macroeconomic database and an analytical framework that uses </t>
  </si>
  <si>
    <t>Zonder die assumpties zou er monetaire financiering ontstaan, en dat is krachtens MoU van 25 april 2016 van CBvS met MINFIN verboden.</t>
  </si>
  <si>
    <t xml:space="preserve">presented in percentage growth rates. </t>
  </si>
  <si>
    <t>The third, and last, set of secondary variables includes output tables.</t>
  </si>
  <si>
    <t xml:space="preserve">For the future, we need forecasted values of the primary variables. Regarding </t>
  </si>
  <si>
    <t xml:space="preserve">the exogenous primary variables, these forecasts are taken from outside the </t>
  </si>
  <si>
    <t xml:space="preserve">model. As regards the endogenous (behavioral or institutional) variables, a </t>
  </si>
  <si>
    <t xml:space="preserve">formula is used to calculate the forecasted values. As input for these formulas, </t>
  </si>
  <si>
    <t xml:space="preserve">either only primary values are needed or variables of the first set of secondary </t>
  </si>
  <si>
    <t>bevolking                  *1000</t>
  </si>
  <si>
    <t>bevolking 16/64            *1000</t>
  </si>
  <si>
    <t>Bevolking 65+</t>
  </si>
  <si>
    <t>update CPI feb</t>
  </si>
  <si>
    <t>Government, can contribute to productivity growth.</t>
  </si>
  <si>
    <t xml:space="preserve">So far, productivity growth through government investment has been </t>
  </si>
  <si>
    <t xml:space="preserve">discussed. However, not only investment in education, infrastructure, etc., is </t>
  </si>
  <si>
    <t xml:space="preserve">important. Some productivity-enhancing activities are not that expensive; they </t>
  </si>
  <si>
    <t>Exports price gold</t>
  </si>
  <si>
    <t xml:space="preserve">components of the wage equation consist of the lagged consumption price, the </t>
  </si>
  <si>
    <t xml:space="preserve">labour productivity, and the level and change in the unemployment rate.  </t>
  </si>
  <si>
    <t xml:space="preserve">Furthermore, a 50% of the change in direct tax incidence has to be taken into </t>
  </si>
  <si>
    <t>consideration as well.</t>
  </si>
  <si>
    <t>Employment:</t>
  </si>
  <si>
    <t xml:space="preserve">production function with capital and labour, employment will follow the </t>
  </si>
  <si>
    <t xml:space="preserve">production growth minus productivity increase, and minus the growth of the </t>
  </si>
  <si>
    <t xml:space="preserve">costs of wages compared to other costs (for the time being the indicator is the </t>
  </si>
  <si>
    <t xml:space="preserve">consumer price). So, the growth of employment in industries is a function of </t>
  </si>
  <si>
    <t xml:space="preserve">growth of the final output and the labour productivity. Relative wage costs </t>
  </si>
  <si>
    <t>may be added as a function in future.</t>
  </si>
  <si>
    <t>Unemployment:</t>
  </si>
  <si>
    <t xml:space="preserve">The changes in the unemployment rate are the result of changes in supply and </t>
  </si>
  <si>
    <t xml:space="preserve">demand. The informal sector follows the growth of the labour force minus </t>
  </si>
  <si>
    <t xml:space="preserve">formal employment. The unemployment rate is the sum of the total labour </t>
  </si>
  <si>
    <t xml:space="preserve">force minus formal and informal employment.  </t>
  </si>
  <si>
    <t xml:space="preserve">The exchange rate </t>
  </si>
  <si>
    <t xml:space="preserve">The exchange rate is exogenous; however, it can be changed manually should </t>
  </si>
  <si>
    <t xml:space="preserve">the foreign exchange reserve stock drop below a certain level (such as a three </t>
  </si>
  <si>
    <t>months imports equivalent).</t>
  </si>
  <si>
    <t>Money Supply</t>
  </si>
  <si>
    <t xml:space="preserve">The money supply increases with liquidity creation through foreign </t>
  </si>
  <si>
    <t xml:space="preserve">transactions (surplus BoP) + liquidity creation by government (i.e., budget </t>
  </si>
  <si>
    <t xml:space="preserve">deficit), plus exogenous credit to the private sector. </t>
  </si>
  <si>
    <t>Elements of GDP (Lags not mentioned):</t>
  </si>
  <si>
    <t>1.   Consumption: changes with the growth of: (net disposable income wage earners (un-</t>
  </si>
  <si>
    <t xml:space="preserve">lagged) + 50% net disposable profit income (half year lag) of the running year)/ (the same as </t>
  </si>
  <si>
    <t>year before).</t>
  </si>
  <si>
    <t xml:space="preserve">2.   Private investments in exports exogenous, and private investments outside exports sector:  </t>
  </si>
  <si>
    <t xml:space="preserve">volume growth follows with half year lag real value added growth of the private sector. </t>
  </si>
  <si>
    <t xml:space="preserve">Exports per product in export sector are exogenous. </t>
  </si>
  <si>
    <t xml:space="preserve">3.   Export volumes are exogenous in the baseline, given for gold and the rest. </t>
  </si>
  <si>
    <t xml:space="preserve">4.   Import volume percentage growth follows real final demand growth, re-weighted for </t>
  </si>
  <si>
    <t>import intensity, plus 0.1* (domestic – international inflation).</t>
  </si>
  <si>
    <t>5.   Depreciation of capital: 9% of estimated value of capital stock.</t>
  </si>
  <si>
    <t>Prices:</t>
  </si>
  <si>
    <t>schatting informele sector, excl. werklozen</t>
  </si>
  <si>
    <t>werkloosheid</t>
  </si>
  <si>
    <t>ABS SIC 321 blz 86 tabel 8.2</t>
  </si>
  <si>
    <t xml:space="preserve">arbeidsplaatsen overheid  </t>
  </si>
  <si>
    <t>waarvan kleine bedrijven</t>
  </si>
  <si>
    <t>waarvan grote bedrijven</t>
  </si>
  <si>
    <t>Mamiabc</t>
  </si>
  <si>
    <t>arbeidsplaatsen bedrijven  Mamiabc</t>
  </si>
  <si>
    <t>ABS SIC250, tabel 8.1a</t>
  </si>
  <si>
    <t>real sector</t>
  </si>
  <si>
    <t>BoP</t>
  </si>
  <si>
    <t xml:space="preserve">Government </t>
  </si>
  <si>
    <t>monetary</t>
  </si>
  <si>
    <t>table of contents</t>
  </si>
  <si>
    <t>dekking m2 door int reserves totaal netto</t>
  </si>
  <si>
    <t>Crude Oil and Oil Refinery Products</t>
  </si>
  <si>
    <t>Bananas</t>
  </si>
  <si>
    <t>Rice Products</t>
  </si>
  <si>
    <t>Aluminium</t>
  </si>
  <si>
    <t>Alumina</t>
  </si>
  <si>
    <t>Bauxite</t>
  </si>
  <si>
    <t>Table I.11 CBVS statistical compendium</t>
  </si>
  <si>
    <t xml:space="preserve">the data of the database. The construction of this combined instrument is in </t>
  </si>
  <si>
    <t xml:space="preserve">most projects achieved through close co-operation between staff expertise of </t>
  </si>
  <si>
    <t>Macmic, Mamiabc, as well as on manuals of other macroabc models.</t>
  </si>
  <si>
    <t xml:space="preserve">The Surya model is a very well-documented model, written in Dutch. This </t>
  </si>
  <si>
    <t xml:space="preserve">model is based on the Macmic model of February 1991, as documented in the </t>
  </si>
  <si>
    <t xml:space="preserve">Ph.D. thesis of Marein van Schaaijk. An English translation entitled: “A macro </t>
  </si>
  <si>
    <t xml:space="preserve">model of a small economy”, is available which can be downloaded from </t>
  </si>
  <si>
    <t xml:space="preserve">www.stuseco.org (at the bottom of the website). </t>
  </si>
  <si>
    <t xml:space="preserve">An older version of the Surya model can also be downloaded as shareware </t>
  </si>
  <si>
    <t xml:space="preserve">from www.stuseco.org, and from www.planningofficesuriname.com (the 8 </t>
  </si>
  <si>
    <t>January 2016 version)</t>
  </si>
  <si>
    <t xml:space="preserve">This Manual is based on the Dutch Manuals of the Surya model and on the </t>
  </si>
  <si>
    <t xml:space="preserve">text of the Manual of the Country X model. If you want an English Manual for </t>
  </si>
  <si>
    <t xml:space="preserve">a macroabc model, you can read the one built by MMC for the United </t>
  </si>
  <si>
    <t xml:space="preserve">Nations. As shareware it is to be found on the UN homepage and on </t>
  </si>
  <si>
    <t>http://www.micromacroconsultants.com/Engels/Projects/United%20Nations/U</t>
  </si>
  <si>
    <t>220,6</t>
  </si>
  <si>
    <t>324,5</t>
  </si>
  <si>
    <t>324,7</t>
  </si>
  <si>
    <t>111,3</t>
  </si>
  <si>
    <t>650,8</t>
  </si>
  <si>
    <t>431,3</t>
  </si>
  <si>
    <t>162,4</t>
  </si>
  <si>
    <t>-196,0</t>
  </si>
  <si>
    <t>-415,5</t>
  </si>
  <si>
    <t>-808,3</t>
  </si>
  <si>
    <t>-156,8</t>
  </si>
  <si>
    <t>271,9</t>
  </si>
  <si>
    <t>314,2</t>
  </si>
  <si>
    <t>336,8</t>
  </si>
  <si>
    <t>11,1</t>
  </si>
  <si>
    <t>686,2</t>
  </si>
  <si>
    <t>967,8</t>
  </si>
  <si>
    <t>706,7</t>
  </si>
  <si>
    <t>242,5</t>
  </si>
  <si>
    <t>133,0</t>
  </si>
  <si>
    <t>-375,4</t>
  </si>
  <si>
    <t>202,7</t>
  </si>
  <si>
    <t>-902,6</t>
  </si>
  <si>
    <t>-32,7</t>
  </si>
  <si>
    <t>-64,5</t>
  </si>
  <si>
    <t>-123,0</t>
  </si>
  <si>
    <t>1,4</t>
  </si>
  <si>
    <t>-17,7</t>
  </si>
  <si>
    <t>-361,7</t>
  </si>
  <si>
    <t>-424,6</t>
  </si>
  <si>
    <t>-373,8</t>
  </si>
  <si>
    <t>-550,2</t>
  </si>
  <si>
    <t>-470,1</t>
  </si>
  <si>
    <t>-351,3</t>
  </si>
  <si>
    <t>236,6</t>
  </si>
  <si>
    <t>253,4</t>
  </si>
  <si>
    <t>284,2</t>
  </si>
  <si>
    <t>286,7</t>
  </si>
  <si>
    <t>241,4</t>
  </si>
  <si>
    <t>200,8</t>
  </si>
  <si>
    <t>175,3</t>
  </si>
  <si>
    <t>178,5</t>
  </si>
  <si>
    <t>210,7</t>
  </si>
  <si>
    <t>204,2</t>
  </si>
  <si>
    <t>185,1</t>
  </si>
  <si>
    <t>24,6</t>
  </si>
  <si>
    <t>20,4</t>
  </si>
  <si>
    <t>19,0</t>
  </si>
  <si>
    <t>31,0</t>
  </si>
  <si>
    <t>21,5</t>
  </si>
  <si>
    <t>28,3</t>
  </si>
  <si>
    <t>30,5</t>
  </si>
  <si>
    <t>37,5</t>
  </si>
  <si>
    <t>39,4</t>
  </si>
  <si>
    <t>43,6</t>
  </si>
  <si>
    <t>212,0</t>
  </si>
  <si>
    <t>233,1</t>
  </si>
  <si>
    <t>265,2</t>
  </si>
  <si>
    <t>267,7</t>
  </si>
  <si>
    <t>210,4</t>
  </si>
  <si>
    <t>179,4</t>
  </si>
  <si>
    <t>147,0</t>
  </si>
  <si>
    <t>148,0</t>
  </si>
  <si>
    <t>173,2</t>
  </si>
  <si>
    <t>164,7</t>
  </si>
  <si>
    <t>-269,3</t>
  </si>
  <si>
    <t>-317,9</t>
  </si>
  <si>
    <t>-407,2</t>
  </si>
  <si>
    <t>-285,3</t>
  </si>
  <si>
    <t>-259,1</t>
  </si>
  <si>
    <t>-562,5</t>
  </si>
  <si>
    <t xml:space="preserve">few months time. Later on, the model is expanded step-by-step in cooperation </t>
  </si>
  <si>
    <t xml:space="preserve">with local economists and MMC consultants. As the entire process goes </t>
  </si>
  <si>
    <t xml:space="preserve">through the hands of local economists during the workshops, they will master </t>
  </si>
  <si>
    <t>MacroabcSU 17 juli 2017 basis scenario.xlsx</t>
  </si>
  <si>
    <t xml:space="preserve">link to dropbox </t>
  </si>
  <si>
    <t>In deze  Dropbox directory staan:</t>
  </si>
  <si>
    <t>En op 5 augustus 2017 komt hier te staan:</t>
  </si>
  <si>
    <t>Achtergrondpaper bij seminar bij IGSR 5 augustus 2017</t>
  </si>
  <si>
    <t>link naar Dropbox directory MacroabcSU 5 augusustus 2017:</t>
  </si>
  <si>
    <t>1.       Video  met samenvatting van introductie tot MacroabcSU, zoals gegeven in een masterclass bij IGSR op 10 januari 2017</t>
  </si>
  <si>
    <t>3.       Productiviteit Rekenschema Suriname 16 juli 2017</t>
  </si>
  <si>
    <t>4.       Draaiboek MacroabcSU theorie</t>
  </si>
  <si>
    <t>5.       De meest recente versie van het model</t>
  </si>
  <si>
    <t>2.       De daarbij behorende modelversie van 20 december 2016</t>
  </si>
  <si>
    <t>Zie ook www.stuseco.org rechts bovenin.</t>
  </si>
  <si>
    <t>www.stuseco.org</t>
  </si>
  <si>
    <t>https://www.dropbox.com/sh/7f81yc39f3vkh12/AABS5YIhAp7vkcGFJYyqhSSfa?dl=0</t>
  </si>
  <si>
    <t>MacroabcSU 20 juli 2017 basis scenario.xlsx</t>
  </si>
  <si>
    <t>Coefficient liquiditeitsratio op consumentenprijs op nul</t>
  </si>
  <si>
    <t>Update CPI juni</t>
  </si>
  <si>
    <t>Leningen scenario X, hoe te draaien?</t>
  </si>
  <si>
    <t>MacroabcSU 27 dec 2017.xlsx</t>
  </si>
  <si>
    <t>MacroabcSU aanpassingen aug t/m december 2017:</t>
  </si>
  <si>
    <t>dat eind augustus is gezet op:</t>
  </si>
  <si>
    <t>Deze MacroabcSU is een basis scenario zoals staat beschreven in het paper: Suriname scenarios 2017 2030 25 aug 2017.doc</t>
  </si>
  <si>
    <t>Voor het hele model zie op www.stuseco.org Mamiabc2005.xls</t>
  </si>
  <si>
    <t xml:space="preserve">Zie voor gedetaillerde onderbouwing van de tijdreeksen 1954 - 1987 het boek Micromacrodataset Suriname, feb 1991 en </t>
  </si>
  <si>
    <t>de file Mamidat.xls met reeksen tot 2004. Beiden staan op www.stuseco.org</t>
  </si>
  <si>
    <t>opkomst aluinaarde (en aluminium)</t>
  </si>
  <si>
    <t>forse toename goudproductie</t>
  </si>
  <si>
    <t>in technische base line</t>
  </si>
  <si>
    <t>bauxiet export verdwijnt</t>
  </si>
  <si>
    <t>aluinaarde export daalt en verdwijnt geheel</t>
  </si>
  <si>
    <t>merian komt in productie</t>
  </si>
  <si>
    <t>Naast de baseline komt er een hoge goudproductie en en lage goudproductie scenario.</t>
  </si>
  <si>
    <t>ICOR</t>
  </si>
  <si>
    <t>formule FDI aangepast</t>
  </si>
  <si>
    <t>update monetair t/m okt/nov</t>
  </si>
  <si>
    <t>formule informele sector aangepast.</t>
  </si>
  <si>
    <t>reeel loon per arbeidsplaats % bedrijven</t>
  </si>
  <si>
    <t>wages Government</t>
  </si>
  <si>
    <t>wages businesses</t>
  </si>
  <si>
    <t>CPI kwartaal vertraagd</t>
  </si>
  <si>
    <t>toename ww%</t>
  </si>
  <si>
    <t>ww%</t>
  </si>
  <si>
    <t>raming loonvoet bedrijven</t>
  </si>
  <si>
    <t>productiviteit</t>
  </si>
  <si>
    <t>constante</t>
  </si>
  <si>
    <t>Key variables</t>
  </si>
  <si>
    <t>Investments private/Gross value added busineses</t>
  </si>
  <si>
    <t>54/17</t>
  </si>
  <si>
    <t>00/17</t>
  </si>
  <si>
    <t>In dit basis scenario zit de deviezenvoorraad net op het randje: iets minder en er kan weer depreciatie van de koers volgen!</t>
  </si>
  <si>
    <t>Goudprijs  US$ troy ounce</t>
  </si>
  <si>
    <t>idem reeel grote bedrijven</t>
  </si>
  <si>
    <t>idem reeel openbaar bestuur</t>
  </si>
  <si>
    <t>hele periode</t>
  </si>
  <si>
    <t>rijst, garnalen, spaanplaat, vis</t>
  </si>
  <si>
    <t>weinig groei</t>
  </si>
  <si>
    <t>periode</t>
  </si>
  <si>
    <t>lengte</t>
  </si>
  <si>
    <t>Koersberekeningen:</t>
  </si>
  <si>
    <t>BASE LINE:</t>
  </si>
  <si>
    <t>loonvergelijking aangepast. Plus add factor van 4 waardoor de lonen, ondanks hoge werklosheid, toch reeel constant blijven.</t>
  </si>
  <si>
    <t>in 2017 forse daling investeringen private sector verondersteld</t>
  </si>
  <si>
    <t xml:space="preserve">de non-gold pkq is vor 2015 op 100 gesteld. Daarna sijgt die omdat vanwege de depreciatie, maar in 2018-2020 </t>
  </si>
  <si>
    <t>daalt die door het inflatoire efect van de forse verhoging indirecte belastingen.</t>
  </si>
  <si>
    <t>Desondanks veronderstelen we dat het volume van de non-gold export met 3% per jaar groeit (= de lange termijn trend)</t>
  </si>
  <si>
    <t>semi-automatische endogene wisselkoers ingebouwd onder in sheet Assumpties.</t>
  </si>
  <si>
    <t>21/33</t>
  </si>
  <si>
    <t>non gold exportprice/costprice</t>
  </si>
  <si>
    <t xml:space="preserve">De gemiddelde jaarlijkse </t>
  </si>
  <si>
    <t>exportgroei was:</t>
  </si>
  <si>
    <t>In asumpties regel 50 de indirecte belastingen zodanig verhoogd, dat de monetaire financiering niet hoger dan 3% van BBP komt.</t>
  </si>
  <si>
    <t>(som van structurele 3% reele BBP groei plus 2% target inflation =5  *M2/BBP (0,66) =3 )</t>
  </si>
  <si>
    <t>ind bel add factor zodat mon fin niet hoger dan 3% van BBP</t>
  </si>
  <si>
    <t>https://www.dropbox.com/sh/obo49yt0h3cl5j6/AAA6gInSBtztzXrjNchhaiBEa?dl=0</t>
  </si>
  <si>
    <t>Link naar update en Achtergrond paper op Dropbox:</t>
  </si>
  <si>
    <t>MacroabcSU 27 jan 2018.xlsx</t>
  </si>
  <si>
    <t>lonen reel niet onder 0 in 2018 etc.</t>
  </si>
  <si>
    <t xml:space="preserve">Er is ook een sheet met grafieken toegevoegd met </t>
  </si>
  <si>
    <t>De reele niveaus van de export (prijzen 2017)</t>
  </si>
  <si>
    <t>raming (1)</t>
  </si>
  <si>
    <t>realisaties (2)</t>
  </si>
  <si>
    <t xml:space="preserve">2) Realisaties uit MacroabcSUJan2018.xlsx  </t>
  </si>
  <si>
    <t>nominal wage rate businesses</t>
  </si>
  <si>
    <t>real wage rate businesses</t>
  </si>
  <si>
    <t>sheet Raming &amp; Realisaties 2016 toegevoegd</t>
  </si>
  <si>
    <t>raming (3)</t>
  </si>
  <si>
    <t>Zie voor training in MacroabcSU met Video clips:</t>
  </si>
  <si>
    <t>https://www.dropbox.com/sh/4rmq1qyyxpcytil/AAAPrQYuUeYcc4rzYbk2YqWna?dl=0</t>
  </si>
  <si>
    <t>Net claims on government</t>
  </si>
  <si>
    <t>Shares and other equity and Other assets/liabilities (net)</t>
  </si>
  <si>
    <t>Transport, Opslag en Communicatie</t>
  </si>
  <si>
    <t>Constructie</t>
  </si>
  <si>
    <t>uit CBvS tabel 3</t>
  </si>
  <si>
    <t>mln US$</t>
  </si>
  <si>
    <t>,,, US$</t>
  </si>
  <si>
    <t>OUTLINE OF SURINAM’S MACROABC MODEL</t>
  </si>
  <si>
    <t>See sheets S, S2 and S3</t>
  </si>
  <si>
    <t>Stat discrepancy  incl. herwaardering</t>
  </si>
  <si>
    <t>Claims on the government (net)</t>
  </si>
  <si>
    <t>Foreign liabilities</t>
  </si>
  <si>
    <t>Foreign assets</t>
  </si>
  <si>
    <t>Foreign assets (net)</t>
  </si>
  <si>
    <t>Tabel 3. Suriname: Depository Corporations Survey (CBvS and other depository institutions) = Monetary Survey</t>
  </si>
  <si>
    <t xml:space="preserve">particular analysis. The model then becomes an instrument that offers a </t>
  </si>
  <si>
    <t xml:space="preserve">complete and consistent survey of the macro economy, budget variables, </t>
  </si>
  <si>
    <t xml:space="preserve">monetary indicators, and labor market, making use of figures from different </t>
  </si>
  <si>
    <t>Dus tot zover was er in Q1,2017 geen stijging.</t>
  </si>
  <si>
    <t>Als de toename van de deviezenvoorraad nog even op zich laat wachten, is het vanuit monetair oogpunt</t>
  </si>
  <si>
    <t>niet verantwoord om de lonen in april te laten stijgen met meer dan de CPI toename sedert december 2016</t>
  </si>
  <si>
    <t>De asumpties betrefende de lonstijging per maand in 2017 zijn zo gekozen, dat de koopkracht gedurende de maanden in 2017</t>
  </si>
  <si>
    <t>niet onder het niveau van december 2016 komt.   Omdat het niveau van december lager is dan het jaargemiddelde van 2016,</t>
  </si>
  <si>
    <t>betekent dit dat het jaargemiddelde van 2017 ondr het jaargemidelde van 2016 komt.</t>
  </si>
  <si>
    <t>real GDP</t>
  </si>
  <si>
    <t>mnd</t>
  </si>
  <si>
    <t xml:space="preserve">      base line</t>
  </si>
  <si>
    <t>foreign loans</t>
  </si>
  <si>
    <r>
      <rPr>
        <b/>
        <sz val="12"/>
        <color indexed="8"/>
        <rFont val="Times New Roman"/>
        <family val="1"/>
      </rPr>
      <t xml:space="preserve">12. Households unemployed % </t>
    </r>
    <r>
      <rPr>
        <b/>
        <sz val="12"/>
        <color indexed="8"/>
        <rFont val="Calibri"/>
        <family val="2"/>
      </rPr>
      <t>Δ =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</si>
  <si>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r>
      <rPr>
        <b/>
        <sz val="12"/>
        <color indexed="8"/>
        <rFont val="Times New Roman"/>
        <family val="1"/>
      </rPr>
      <t xml:space="preserve">13. Households Informal sector % ∆: </t>
    </r>
    <r>
      <rPr>
        <sz val="12"/>
        <color indexed="8"/>
        <rFont val="Times New Roman"/>
        <family val="1"/>
      </rPr>
      <t>follows real GDP growth - general productivity trend</t>
    </r>
  </si>
  <si>
    <r>
      <rPr>
        <b/>
        <sz val="12"/>
        <color indexed="8"/>
        <rFont val="Times New Roman"/>
        <family val="1"/>
      </rPr>
      <t>14. Housholds '65+' %</t>
    </r>
    <r>
      <rPr>
        <b/>
        <sz val="12"/>
        <color indexed="8"/>
        <rFont val="Calibri"/>
        <family val="2"/>
      </rPr>
      <t>Δ =</t>
    </r>
    <r>
      <rPr>
        <b/>
        <sz val="12"/>
        <color indexed="8"/>
        <rFont val="Times New Roman"/>
        <family val="1"/>
      </rPr>
      <t xml:space="preserve"> 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</si>
  <si>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t>15b. Exchange rate: Exogenous, however we can analyse exchange rate changes on months imports coverage ratio</t>
  </si>
  <si>
    <t>country Suriname</t>
  </si>
  <si>
    <t>productivity</t>
  </si>
  <si>
    <t>reference to sheet Source</t>
  </si>
  <si>
    <t>tov okt 2015</t>
  </si>
  <si>
    <t>check</t>
  </si>
  <si>
    <t>model regel 74 aaangepast. De consumptie coefficienten lopen voor 2014 niet in de pas met daarna.</t>
  </si>
  <si>
    <t xml:space="preserve">overig inkomen naar buitenland            </t>
  </si>
  <si>
    <t>ZEWN</t>
  </si>
  <si>
    <t>ink.over.om n.naar buit.van gezin</t>
  </si>
  <si>
    <t>OGEWN</t>
  </si>
  <si>
    <t>P.M.ink.overdrachten O&gt;B hieronder</t>
  </si>
  <si>
    <t>BASIS INPUT SECTOR OVERHEID:</t>
  </si>
  <si>
    <t>goed.en d.door overheid aan bedr.</t>
  </si>
  <si>
    <t>FIN</t>
  </si>
  <si>
    <t>GDOBWN</t>
  </si>
  <si>
    <t>goed.en d.door overheid aan gez.</t>
  </si>
  <si>
    <t>GDOGWN</t>
  </si>
  <si>
    <t>overig ink.naar overh.van bedr.</t>
  </si>
  <si>
    <t>ZBOWN</t>
  </si>
  <si>
    <t>indirecte belastingen</t>
  </si>
  <si>
    <t>TKWN</t>
  </si>
  <si>
    <t xml:space="preserve"> waarvan opbrengst invoerrechten</t>
  </si>
  <si>
    <t>TMWN</t>
  </si>
  <si>
    <t>directe belastingen van bedrijven</t>
  </si>
  <si>
    <t>TDBWN</t>
  </si>
  <si>
    <t>directe belastingen van gezinnen</t>
  </si>
  <si>
    <t>TDGWN</t>
  </si>
  <si>
    <t>inkomensoverdr.om niet van gezin.</t>
  </si>
  <si>
    <t>OGOWN</t>
  </si>
  <si>
    <t>inkomensoverdr.om niet van buitl.</t>
  </si>
  <si>
    <t>OEOWN</t>
  </si>
  <si>
    <t xml:space="preserve">   overige inkomsten:</t>
  </si>
  <si>
    <t>kapitaaloverdr.om niet van gezin.</t>
  </si>
  <si>
    <t>KNGOWN</t>
  </si>
  <si>
    <t>kapitaaloverdr.om niet van buitl.</t>
  </si>
  <si>
    <t>KNEOWN</t>
  </si>
  <si>
    <t xml:space="preserve">  uitgaven:</t>
  </si>
  <si>
    <t xml:space="preserve">  </t>
  </si>
  <si>
    <t>goed.en d.door bedr.aan overheid</t>
  </si>
  <si>
    <t>GDBOWN</t>
  </si>
  <si>
    <t xml:space="preserve">  waarvan bruto invest.overheid</t>
  </si>
  <si>
    <t>IOWN</t>
  </si>
  <si>
    <t xml:space="preserve">  P.M. directe invoer:zie boven</t>
  </si>
  <si>
    <t>afschrijvingen</t>
  </si>
  <si>
    <t>DOWN</t>
  </si>
  <si>
    <t>LOWN</t>
  </si>
  <si>
    <t>rente van overheid aan bedrijven</t>
  </si>
  <si>
    <t>ZOBWN</t>
  </si>
  <si>
    <t>rente van overheid aan buitenland</t>
  </si>
  <si>
    <t>ZOEWN</t>
  </si>
  <si>
    <t>prijsverlagende subsidies</t>
  </si>
  <si>
    <t>SUBWN</t>
  </si>
  <si>
    <t>inkomensoverdr.om niet aan gezin.</t>
  </si>
  <si>
    <t>OOGWN</t>
  </si>
  <si>
    <t>inkomensoverdr.om niet aan buitl.</t>
  </si>
  <si>
    <t>OOEWN</t>
  </si>
  <si>
    <t>De bovenstaande input is juist  voldoende om</t>
  </si>
  <si>
    <t>de Nationale Rekeningen plus Sectorrekeningen</t>
  </si>
  <si>
    <t>volledig in te kunnen vullen</t>
  </si>
  <si>
    <t>tbv MONETAIR OVERZICHT :</t>
  </si>
  <si>
    <t>MacroabcSU jan 2019.xls</t>
  </si>
  <si>
    <t>T6</t>
  </si>
  <si>
    <t>T3</t>
  </si>
  <si>
    <t>T5</t>
  </si>
  <si>
    <t>T6, Int. Reserves</t>
  </si>
  <si>
    <t>T3, Balans Deposito nemende Instelingen</t>
  </si>
  <si>
    <t>T5, liquiditeitenmasa in ruime zin</t>
  </si>
  <si>
    <t>dekking M2 door net foreign assets</t>
  </si>
  <si>
    <t>Uitvoer en Invoer ABS</t>
  </si>
  <si>
    <t>Uitvoer ABS</t>
  </si>
  <si>
    <t>Invoer ABS</t>
  </si>
  <si>
    <t>totaal</t>
  </si>
  <si>
    <t>nr.16 machines etc.</t>
  </si>
  <si>
    <t>nr17 vervoermaterieel</t>
  </si>
  <si>
    <t>Q4</t>
  </si>
  <si>
    <t>ABS SIC338, 2018 sept en SIC 337, maart 2018 en SIC 330, aug 2017</t>
  </si>
  <si>
    <t>HULPVARIABELEN nodig in gedragsvergelijkingen</t>
  </si>
  <si>
    <t xml:space="preserve">  volume % mutaties</t>
  </si>
  <si>
    <t>vol.mut. toegevoegde waarde bedr.</t>
  </si>
  <si>
    <t>YBVP</t>
  </si>
  <si>
    <t>arbeidsproductiviteit</t>
  </si>
  <si>
    <t xml:space="preserve">   prijs % mutatie</t>
  </si>
  <si>
    <t>loonkosten p.e.p. mutatie</t>
  </si>
  <si>
    <t>HPEPWP</t>
  </si>
  <si>
    <t>loonvoet bedrijven</t>
  </si>
  <si>
    <t>LBABPP</t>
  </si>
  <si>
    <t>loonvoet overheid</t>
  </si>
  <si>
    <t>LOAWP</t>
  </si>
  <si>
    <t>beschikbaar loon-steuninkomen</t>
  </si>
  <si>
    <t>LBESBWN</t>
  </si>
  <si>
    <t xml:space="preserve">   quoten (ratio's)</t>
  </si>
  <si>
    <t>complement directe belastingdruk</t>
  </si>
  <si>
    <t>TDGQ</t>
  </si>
  <si>
    <t>indirecte belastingdruk</t>
  </si>
  <si>
    <t>TKQ</t>
  </si>
  <si>
    <t xml:space="preserve">   waarde in mln.SRD.</t>
  </si>
  <si>
    <t xml:space="preserve">kas/transverschil buitenland  </t>
  </si>
  <si>
    <t>mln.SRD.</t>
  </si>
  <si>
    <t>KTEWN</t>
  </si>
  <si>
    <t>kas/transverschil overheid</t>
  </si>
  <si>
    <t>KASTWN</t>
  </si>
  <si>
    <t>afzetwaarde</t>
  </si>
  <si>
    <t>VWN</t>
  </si>
  <si>
    <t>afzetwaarde bedrijven</t>
  </si>
  <si>
    <t>toegevoegde waarde excl. export</t>
  </si>
  <si>
    <t>YIWN</t>
  </si>
  <si>
    <t>beschikbaar winstinkomen</t>
  </si>
  <si>
    <t>ZBESBWN</t>
  </si>
  <si>
    <t>middelenoverschotoverheid(+)</t>
  </si>
  <si>
    <t>MIDOWN</t>
  </si>
  <si>
    <t>monetaire financiering overheid</t>
  </si>
  <si>
    <t>MOOWN</t>
  </si>
  <si>
    <t>overall balance (overschot +)</t>
  </si>
  <si>
    <t xml:space="preserve">saldo betalingsbalans  Nog controleren!  </t>
  </si>
  <si>
    <t>SDBBWN</t>
  </si>
  <si>
    <t xml:space="preserve">   waarde % mutaties</t>
  </si>
  <si>
    <t>afzetwaarde %mut.</t>
  </si>
  <si>
    <t>VWP</t>
  </si>
  <si>
    <t>Goods and services government and subsidies: no add factors in asumptions</t>
  </si>
  <si>
    <t>In bel zet in BR50   180 op 90:  +1,4 mld SRD in 2018 en  idem in 2019.  Komt overeen met 6,5% van particuliere consumptie,</t>
  </si>
  <si>
    <t>In SS fonds Asumptions BU51 Etc 0</t>
  </si>
  <si>
    <t>De reele non-gold exportgroei in 2019 etc van 3 naar 4.</t>
  </si>
  <si>
    <t>En de liquiditeitsquote stijgt ieder jaar wat verder.</t>
  </si>
  <si>
    <t>assets FLOWS (Tabel 3 CBvS)</t>
  </si>
  <si>
    <t>Monetary FLOWS</t>
  </si>
  <si>
    <t>w.v. Herwaardering door wisselkoersmutatie</t>
  </si>
  <si>
    <t>w.v. excl. Herwaardering door wisselkoersmutatie</t>
  </si>
  <si>
    <t>Net Foreign Assets Total</t>
  </si>
  <si>
    <t>In assumptions 52 voor mln US$ 40 mln schuld herschikking per jaar.</t>
  </si>
  <si>
    <t xml:space="preserve">De deviezenvoorraad blijft dan toch nog net boven 3 maanden invoer. </t>
  </si>
  <si>
    <t>Minus: Shares and other equity and Other assets/liabilities (net)</t>
  </si>
  <si>
    <t>mld SRD</t>
  </si>
  <si>
    <t>MacroabcSU 27 maart 2018.xlsx</t>
  </si>
  <si>
    <t>IETS ANDERE BASELINE:</t>
  </si>
  <si>
    <t>UPDATE MONETAIR EIND 2017</t>
  </si>
  <si>
    <t>update in Month</t>
  </si>
  <si>
    <t xml:space="preserve"> ,, 2017</t>
  </si>
  <si>
    <t xml:space="preserve"> ,, 2018</t>
  </si>
  <si>
    <t>assets flows ACTUAL</t>
  </si>
  <si>
    <t>deviezen/m2</t>
  </si>
  <si>
    <t>Lopende rekening en kapitaal rekening in mln US$</t>
  </si>
  <si>
    <t>update 2017 BoP en MINFIN</t>
  </si>
  <si>
    <t>of which net in foreign curency</t>
  </si>
  <si>
    <t>of which in SRD</t>
  </si>
  <si>
    <t>of which valuation differences</t>
  </si>
  <si>
    <t>of which other</t>
  </si>
  <si>
    <t>Balans van de Deposito nemende Instelingen (CBvS en ODI's)</t>
  </si>
  <si>
    <t xml:space="preserve">verbeteringen in  Monetaire blok: </t>
  </si>
  <si>
    <t>total claims to gov +residents  in foreign curency</t>
  </si>
  <si>
    <t>Einde van de Balans van de Deposito nemende Instelingen (CBvS en ODI's)</t>
  </si>
  <si>
    <t>check: verschil assets en liabilities</t>
  </si>
  <si>
    <t xml:space="preserve">     idem/ vv deposito's ingezetenen</t>
  </si>
  <si>
    <t xml:space="preserve">Consumer price </t>
  </si>
  <si>
    <t>Actual</t>
  </si>
  <si>
    <t>Estimate</t>
  </si>
  <si>
    <t>Binnenlandse (=Mon) fin overheid in % BBP</t>
  </si>
  <si>
    <t>winstransfers naar buitenland stijgen in 2017 meer dan verwacht.</t>
  </si>
  <si>
    <t>Balans Deposito nemende Instellingen (CBvS en ODI's)+munten</t>
  </si>
  <si>
    <t>cbvs tabel 12 credit rente</t>
  </si>
  <si>
    <t>gem creditrente SRD deposito's</t>
  </si>
  <si>
    <t>gem creditrente US$ deposito's</t>
  </si>
  <si>
    <t>cbvs tabel 1a2 credit rente</t>
  </si>
  <si>
    <t>START: Macroabc Suriname version December2016</t>
  </si>
  <si>
    <t>liquiditeitsquote (M2/BBP vanaf 2007)</t>
  </si>
  <si>
    <t xml:space="preserve">which -in turn - affect the number of households below the poverty line as </t>
  </si>
  <si>
    <r>
      <t>Prices</t>
    </r>
    <r>
      <rPr>
        <sz val="12"/>
        <rFont val="Times New Roman"/>
        <family val="1"/>
      </rPr>
      <t xml:space="preserve"> (Source: Statistical Office &amp; Central Bank)</t>
    </r>
  </si>
  <si>
    <t xml:space="preserve">15c. Interest rate: Exogenous or follows international exchange rate </t>
  </si>
  <si>
    <t>Good and services government</t>
  </si>
  <si>
    <t>Transfer and subsides</t>
  </si>
  <si>
    <t xml:space="preserve">2015-2030”, published in October 2015. </t>
  </si>
  <si>
    <t>Work in progress april 2020</t>
  </si>
  <si>
    <t>NFA is Net Foreign Assets CBvS +ODI's</t>
  </si>
  <si>
    <t>In plaats van IR stellen we hier NFA centraal. Dat is een iets ruimer begrip dan IR. Daarom nemen we als norm 4 tot 6 ipv 3.</t>
  </si>
  <si>
    <t>De olie uit zee zit echter niet in deze versie van april 2020.</t>
  </si>
  <si>
    <t>Die versie van MacroabcSU staat als shareware op ww.stuseco.org rechts boven (onder het kopje 2018, maar het betreft jan 2020)</t>
  </si>
  <si>
    <t>Verder heeft COVID19 het buitenlandse toerisme in Suriname  lam gelegd.</t>
  </si>
  <si>
    <t>Dus in heel 2020 41% lager dan in 2019, en in 2021 68% hoger dan in 2020</t>
  </si>
  <si>
    <t>In 2019 is 13% van de totale export 2,5 mld SRD. Dat is 81% van other exports. Stel dat toerisme in Q2 en Q3 van 2020 op 0 staat:</t>
  </si>
  <si>
    <t>Varianten met zelfde effect op overall balance                          variant 1 t/m 10 zijn gedraaid 8 maart 2019 met IR ipv NFA</t>
  </si>
  <si>
    <t>Deze versie van MacroabcSU is grotendeels gelijk aan die van 27 januari 2020, zoals op 13 februari 2020 gepresenteerd bij Fernandes</t>
  </si>
  <si>
    <t xml:space="preserve">Volgens ABS, SIC 329, blz 92 bedragen de bestedingen van buitenlandse toeristen in Suriname 1,4 miljard SRD in 2016. Dat is 13 % van de totale export. </t>
  </si>
  <si>
    <t>Op basis van de genoemde assumpties en vele andere, zie in sheet Assumpties, maar met de wisselkoers in 2020 e.v.</t>
  </si>
  <si>
    <t xml:space="preserve">gezet op de ''middenkoers" (gemiddelde van officiële en cambio koers) van 2019 8,2 SRD/US$, resulteert </t>
  </si>
  <si>
    <t>een ''basis scenario'''met Net Foriegn Asets van CBvS +ODI's van 2,8 maanden invoer in 2020. En in 2021 nog lager.</t>
  </si>
  <si>
    <t>bij zo'n lage dekking van NFA zal de koers hoger komen liggen:</t>
  </si>
  <si>
    <t xml:space="preserve">en latere jaren, bedraagt onder de asumpties in dit scenario de dekking van NFA  in maanden invoer </t>
  </si>
  <si>
    <t>Startend met dit dit basis scenario kunnen diverse andere scenaio's worden gedraaid:</t>
  </si>
  <si>
    <t xml:space="preserve">investments per export product are exogenous items in the micro block of the </t>
  </si>
  <si>
    <t>exports.</t>
  </si>
  <si>
    <t>The export function:</t>
  </si>
  <si>
    <t xml:space="preserve">Exports are split into ten products. Production volumes, prices, and </t>
  </si>
  <si>
    <t xml:space="preserve">investments are exogenous in the baseline. Only for rice a separate </t>
  </si>
  <si>
    <t xml:space="preserve">endogenous block is included. However, when applying the model, we </t>
  </si>
  <si>
    <t xml:space="preserve">manually translate price/cost ratios (including productivity) into changes in </t>
  </si>
  <si>
    <t>The demand for imports function:</t>
  </si>
  <si>
    <t xml:space="preserve">For the production of final output of the private sector (i.e., Consumption + </t>
  </si>
  <si>
    <t xml:space="preserve">Investments + several Exports), domestic value added as well as imports are </t>
  </si>
  <si>
    <t xml:space="preserve">needed. The share of domestic value added to imports will change if domestic </t>
  </si>
  <si>
    <t xml:space="preserve">v v excl herwaardering </t>
  </si>
  <si>
    <t>dekking m2 door int reserves CBvS</t>
  </si>
  <si>
    <t>Electriciteit, Gas en Water</t>
  </si>
  <si>
    <t>Landbouw, Veeteelt en Bosbouw</t>
  </si>
  <si>
    <t>Overheid</t>
  </si>
  <si>
    <t>Overige Gemeenschaps-, Sociale en Persoonlijke diensten</t>
  </si>
  <si>
    <t>assets stocks (Tabel 3 CBvS)</t>
  </si>
  <si>
    <t>liabilities stocks  (tabel 5 CBvS)</t>
  </si>
  <si>
    <t xml:space="preserve">variables. Note: there is never feedback from the output part back to the core </t>
  </si>
  <si>
    <t>Theory behind the Behavioural equations in brief</t>
  </si>
  <si>
    <t xml:space="preserve">As noted above, behavioral variables are calculated based on assumed </t>
  </si>
  <si>
    <t xml:space="preserve">variables are utilized as explanatory variables, including the values of the </t>
  </si>
  <si>
    <t xml:space="preserve">behavioral coefficients, is determined by a combination of time series </t>
  </si>
  <si>
    <t xml:space="preserve">analysis, economic theory, feasibility of model results, and comparative </t>
  </si>
  <si>
    <t xml:space="preserve">with these latter components because the development process itself affects </t>
  </si>
  <si>
    <t xml:space="preserve">behavioral relationships, causing structural changes in the time series. Where </t>
  </si>
  <si>
    <t xml:space="preserve">possible, evidence from other countries is used to calibrate local statistics. </t>
  </si>
  <si>
    <t xml:space="preserve">A discussion of the most important behavioral equations, and their significant </t>
  </si>
  <si>
    <t xml:space="preserve">explanatory variables, is presented below (see the Flow Diagram for the </t>
  </si>
  <si>
    <t xml:space="preserve">official publications, so Macroabc does not contain any confidential data or </t>
  </si>
  <si>
    <t>preliminary policy views.</t>
  </si>
  <si>
    <t xml:space="preserve">So this manual can be used both for Macroabc Suriname and the Suryamodel. </t>
  </si>
  <si>
    <t xml:space="preserve">The Surya model is the fruit of collaboration, from 1991 up to the present, </t>
  </si>
  <si>
    <t xml:space="preserve">incorporated into the model forecasts. In this way it is easy to run simulations </t>
  </si>
  <si>
    <t>in the model.</t>
  </si>
  <si>
    <t>A schematic overview of the model is presented below:</t>
  </si>
  <si>
    <t xml:space="preserve">Colours and columns - Throughout this model the names of variables are </t>
  </si>
  <si>
    <t>De belangrijkste verschillen met de 21 dec 2016 versie zijn:</t>
  </si>
  <si>
    <t>Update BoP2016, Update BBP2016, update Overheidsfinancien 2016 update en verbetering monetair</t>
  </si>
  <si>
    <t>Gross Int reserves CBvS in US$  tabel 6 en OR</t>
  </si>
  <si>
    <t>Source: MacroabcSU www.stuseco.org</t>
  </si>
  <si>
    <t>landsdienaren</t>
  </si>
  <si>
    <t xml:space="preserve">calculations may serve as a basis for forecasting the government budget and </t>
  </si>
  <si>
    <t xml:space="preserve">for analysing macroeconomic policy issues. </t>
  </si>
  <si>
    <t xml:space="preserve">Our experience suggests that this purpose is easily achieved through the </t>
  </si>
  <si>
    <t xml:space="preserve">Macroabc approach, because the use of a spreadsheet facilitates an immediate </t>
  </si>
  <si>
    <t xml:space="preserve">and transparent connection between verbal discussions, modelled equations, </t>
  </si>
  <si>
    <t>and modelling output.</t>
  </si>
  <si>
    <t>Macroabc Suriname model operations</t>
  </si>
  <si>
    <t xml:space="preserve">As stressed above, the model runs in a spreadsheet. Every row includes </t>
  </si>
  <si>
    <t xml:space="preserve">information about one variable, and every column concerns one year, except </t>
  </si>
  <si>
    <t xml:space="preserve">for the first few columns, which contain the names of the variables, the unit, </t>
  </si>
  <si>
    <t xml:space="preserve">and the source. </t>
  </si>
  <si>
    <t xml:space="preserve">The model distinguishes between primary and secondary variables. Primary </t>
  </si>
  <si>
    <t xml:space="preserve">variables have the colour grey, green or yellow. Secondary variables, which </t>
  </si>
  <si>
    <t xml:space="preserve">are calculated by definition equations, have no colour. </t>
  </si>
  <si>
    <t xml:space="preserve">Primary variables form the core set of variables; once these variables are given </t>
  </si>
  <si>
    <t xml:space="preserve">a value, the remaining variables (the secondary variables) can all be calculated </t>
  </si>
  <si>
    <t xml:space="preserve">through simple definitions. </t>
  </si>
  <si>
    <t xml:space="preserve">Primary variables may be exogenous or endogenous. Endogenous variables </t>
  </si>
  <si>
    <t xml:space="preserve">may be further subdivided into behavioural and semi-behavioural </t>
  </si>
  <si>
    <t xml:space="preserve">(institutional) variables. Equations for behavioural variables are </t>
  </si>
  <si>
    <t xml:space="preserve">predominantly based on a theoretical foundation, while institutional variables </t>
  </si>
  <si>
    <t xml:space="preserve">reflect the institutional context of the country concerned. Secondary variables </t>
  </si>
  <si>
    <t xml:space="preserve">are all endogenous as their equations are identity relationships linking these </t>
  </si>
  <si>
    <t>secondary variables with the primary variables.</t>
  </si>
  <si>
    <t xml:space="preserve">10.   Employment businesses percentage change: real production growth -1.0*change in </t>
  </si>
  <si>
    <t>labour productivity trend.</t>
  </si>
  <si>
    <t xml:space="preserve">11.   Unemployment: increases with population growth minus change in formal and informal </t>
  </si>
  <si>
    <t xml:space="preserve">employment). </t>
  </si>
  <si>
    <t>12.   Net migration: exogenous; in the base line: zero.</t>
  </si>
  <si>
    <t>Total expenditure</t>
  </si>
  <si>
    <t>Financing</t>
  </si>
  <si>
    <t>Net errors and omissions</t>
  </si>
  <si>
    <t>GDP per capita</t>
  </si>
  <si>
    <t xml:space="preserve">   Income (net)</t>
  </si>
  <si>
    <t xml:space="preserve">   Current transfers (net)</t>
  </si>
  <si>
    <t>Wage bill private sector</t>
  </si>
  <si>
    <t>Consumption private (residual)</t>
  </si>
  <si>
    <t>Consumption government</t>
  </si>
  <si>
    <t>Investments private</t>
  </si>
  <si>
    <t>indirect taxes</t>
  </si>
  <si>
    <t>Investments government</t>
  </si>
  <si>
    <t>Profits (residual)</t>
  </si>
  <si>
    <t>minus:</t>
  </si>
  <si>
    <t>primary income from abroad, net</t>
  </si>
  <si>
    <t>transfers from abroad, net</t>
  </si>
  <si>
    <t>Capital account +stat.disc.</t>
  </si>
  <si>
    <t>Change in foreign reserves (net)</t>
  </si>
  <si>
    <t xml:space="preserve">relations between variables, and the box with 12 principal behavioral </t>
  </si>
  <si>
    <t>Government Debt</t>
  </si>
  <si>
    <t>of which foreign fin. Gov. (net)</t>
  </si>
  <si>
    <t>of which foreign fin. Private  (net)</t>
  </si>
  <si>
    <t>Foreign financing private (net)</t>
  </si>
  <si>
    <t>Foreign financing gov. (net)</t>
  </si>
  <si>
    <t>mln.US$</t>
  </si>
  <si>
    <t>Indices 1990=100</t>
  </si>
  <si>
    <t>arbeidsplaatsen bedrijven +overheid</t>
  </si>
  <si>
    <t>aantallen</t>
  </si>
  <si>
    <t>uit diverse bronnen te halen:</t>
  </si>
  <si>
    <t>Sf</t>
  </si>
  <si>
    <t>gemiddeld lon totaal</t>
  </si>
  <si>
    <t>Loonontwikkeling en Narionaal Loonbeleid, Min Arbeid, 1973:</t>
  </si>
  <si>
    <t>gemiddeld loon grote bedrijven</t>
  </si>
  <si>
    <t>depreciation enterprises</t>
  </si>
  <si>
    <t>of na correctie ?</t>
  </si>
  <si>
    <t>wage bill enterprises</t>
  </si>
  <si>
    <t>uit het oude from Mamiabc t/m 2003</t>
  </si>
  <si>
    <t>Berekeningen tbv blok arbeid:</t>
  </si>
  <si>
    <t>ABS</t>
  </si>
  <si>
    <t>aantal met AOV</t>
  </si>
  <si>
    <t xml:space="preserve">arbeidsplaatsen bedrijven  </t>
  </si>
  <si>
    <t>zetten op bv 0,75 * loon bedrijven</t>
  </si>
  <si>
    <t>zetten op bv 0,5 * loon bedrijven</t>
  </si>
  <si>
    <t>zie onder</t>
  </si>
  <si>
    <t>gemiddeld inkomen per jaar</t>
  </si>
  <si>
    <t>management positions.</t>
  </si>
  <si>
    <t xml:space="preserve">1994-present Director Micromacro Consultants (MMC). This bureau has </t>
  </si>
  <si>
    <t xml:space="preserve">constructed Macroabc models for 20 countries (Curaçao, St. Maarten, Aruba, </t>
  </si>
  <si>
    <t xml:space="preserve">Netherlands, Poland, Ukraine, Indonesia, Kenya, Ethiopia, Rwanda, Zambia, </t>
  </si>
  <si>
    <t xml:space="preserve">Namibia, EU15, Bhutan, etc.), see: www.micromacroconsultants.com MMC is </t>
  </si>
  <si>
    <t xml:space="preserve">a private firm and is owned by Marein van Schaaijk. </t>
  </si>
  <si>
    <t xml:space="preserve">1977-present: Chairman of the Stichting ter Bevordering Studie van de </t>
  </si>
  <si>
    <t xml:space="preserve">stock Domestic Public Debt </t>
  </si>
  <si>
    <t xml:space="preserve">only require proper organisation. One can think of all government activities </t>
  </si>
  <si>
    <t xml:space="preserve">which, put together, create an enabling business environment: protection of </t>
  </si>
  <si>
    <t xml:space="preserve">property rights, low interest rates for producers, access to affordable credit, </t>
  </si>
  <si>
    <t xml:space="preserve">stable exchange rates and prices; cutting red tape in obtaining licenses, etc. </t>
  </si>
  <si>
    <t xml:space="preserve">Other important factors are foreign direct investment and development aid. </t>
  </si>
  <si>
    <t>The scheme below provides an overview of impact-relevant indicators:</t>
  </si>
  <si>
    <t xml:space="preserve">It is suggested to present a draft growth scenario to sectoral experts, based on </t>
  </si>
  <si>
    <t xml:space="preserve">preliminary assumptions. This will show them what kind of sectoral </t>
  </si>
  <si>
    <t xml:space="preserve">assumptions are required and how important they are in scenario building. </t>
  </si>
  <si>
    <t xml:space="preserve">Once the sectoral experts better understand what information, from the macro </t>
  </si>
  <si>
    <t xml:space="preserve">accurate forecasts of world trade and world inflation, macro models are unable </t>
  </si>
  <si>
    <t xml:space="preserve">to produce reliable forecasts for individual countries. This means that one has </t>
  </si>
  <si>
    <t xml:space="preserve">to explicitly take these uncertainties into account. For this reason </t>
  </si>
  <si>
    <t xml:space="preserve">For instance, one needs agricultural experts to tell what the effects are of </t>
  </si>
  <si>
    <t xml:space="preserve">government programs that invest in e.g., higher quality seeds, irrigation, or </t>
  </si>
  <si>
    <t>credit to government</t>
  </si>
  <si>
    <t>credit to private sector</t>
  </si>
  <si>
    <t>M2</t>
  </si>
  <si>
    <t>Government debt</t>
  </si>
  <si>
    <t>Foreign Reserve stock</t>
  </si>
  <si>
    <t>exchange rate</t>
  </si>
  <si>
    <t>Interest rate</t>
  </si>
  <si>
    <t>wage rate private sector</t>
  </si>
  <si>
    <t>of which government</t>
  </si>
  <si>
    <t xml:space="preserve">equations for an overview of the formulas and levels of the preliminary </t>
  </si>
  <si>
    <t xml:space="preserve">coefficients). </t>
  </si>
  <si>
    <t xml:space="preserve">For a detailed discussion of economic theory, see: Van Schaaijk, M: A macro </t>
  </si>
  <si>
    <t xml:space="preserve">variables; their entries are calculated through definitional relationships based </t>
  </si>
  <si>
    <t xml:space="preserve">on the primary variables (however, sometimes indirectly, through an </t>
  </si>
  <si>
    <t xml:space="preserve">intermediary secondary variable). All of these secondary cells contain </t>
  </si>
  <si>
    <t xml:space="preserve">formulas. </t>
  </si>
  <si>
    <t xml:space="preserve">There are three types of secondary variables: </t>
  </si>
  <si>
    <t xml:space="preserve">The first types are balance variables, indices and help variables. These </t>
  </si>
  <si>
    <t xml:space="preserve">variables provide validity checks on the primary variables or are used as </t>
  </si>
  <si>
    <t xml:space="preserve">intermediary steps in the calculations of the formulas for the behavioral </t>
  </si>
  <si>
    <t xml:space="preserve">relationships later on. </t>
  </si>
  <si>
    <t xml:space="preserve">The second set of secondary variables is called key figures and gives the </t>
  </si>
  <si>
    <t xml:space="preserve">outcomes of the key figures for various years. Typically, these outcomes are </t>
  </si>
  <si>
    <t>MacroabcSU 2 april 2017.xls</t>
  </si>
  <si>
    <t>Echter een monetaire financiering van 3% van BBP is international geaccepteerd, omdat bij stijgend BBP er meer behoefte is aan liquiditeit</t>
  </si>
  <si>
    <t xml:space="preserve">Daarom in Asumpties BQ50 bij ind bel de +50 weggehaald </t>
  </si>
  <si>
    <t>In Key U:AJ22 link nar Model 355</t>
  </si>
  <si>
    <t>In Asumpties BT35 en 36 5 zetten en in BR36:BS37 33</t>
  </si>
  <si>
    <r>
      <rPr>
        <b/>
        <sz val="12"/>
        <color indexed="8"/>
        <rFont val="Times New Roman"/>
        <family val="1"/>
      </rPr>
      <t>5.   Consumption price % change</t>
    </r>
    <r>
      <rPr>
        <sz val="12"/>
        <color indexed="8"/>
        <rFont val="Times New Roman"/>
        <family val="1"/>
      </rPr>
      <t xml:space="preserve"> = follows cost price +0,1* chnge in liquidity ratio</t>
    </r>
  </si>
  <si>
    <t xml:space="preserve">from 2010 up to now.This Manual is essentially based upon documentation of </t>
  </si>
  <si>
    <t>Transfers and subsidies/domestic revenue</t>
  </si>
  <si>
    <t>GDP growth</t>
  </si>
  <si>
    <t>Other Investments (net)</t>
  </si>
  <si>
    <t>Interest</t>
  </si>
  <si>
    <t>Definition</t>
  </si>
  <si>
    <t>CBvS tabel 3</t>
  </si>
  <si>
    <t>mln. SRD</t>
  </si>
  <si>
    <t>Securities other than shares</t>
  </si>
  <si>
    <t>Other deposits</t>
  </si>
  <si>
    <t>Transferable deposits</t>
  </si>
  <si>
    <t>Currency outside depository corporations</t>
  </si>
  <si>
    <t>Broad money liabilities (I+II+III-IV-V)</t>
  </si>
  <si>
    <t>Other assets/liabilities (net)</t>
  </si>
  <si>
    <t xml:space="preserve">         Sales/Consumption taxes</t>
  </si>
  <si>
    <t>Excise Duty Refund</t>
  </si>
  <si>
    <t xml:space="preserve">Public consumption </t>
  </si>
  <si>
    <t xml:space="preserve">local institutions (Ministries, Central Bureau of Statistics, and Central Bank) </t>
  </si>
  <si>
    <t xml:space="preserve">and international consultants specialised in data handling and in instruments of </t>
  </si>
  <si>
    <t>vv/ M2</t>
  </si>
  <si>
    <t>vv/ net buit.actief CBvS en ODI's</t>
  </si>
  <si>
    <t xml:space="preserve">economie van Suriname (Stuseco). See www.stuseco.org  </t>
  </si>
  <si>
    <t>Paramaribo/The Hague, improved December  2016, by Dr. Marein van Schaaijk</t>
  </si>
  <si>
    <t xml:space="preserve">Marein van Schaaijk. These models have the common name ‘’Macroabc”: </t>
  </si>
  <si>
    <t xml:space="preserve">Mamiabc has been the starting point for the Curalyse model of Curaçao </t>
  </si>
  <si>
    <t xml:space="preserve">(starting 1996) and later for each of the islands in the Dutch Caribbean. And </t>
  </si>
  <si>
    <t xml:space="preserve">Macroabc Netherlands (1996). From there to Kenya (2000) and Indonesia </t>
  </si>
  <si>
    <t xml:space="preserve">(2000). From there to many other countries like Zambia (2008) and Rwanda </t>
  </si>
  <si>
    <t xml:space="preserve">and Namibia. In 2014 from there the Macroabc X, that is as shareware on </t>
  </si>
  <si>
    <t>Private consumption (including Non-profit institutions serving households)</t>
  </si>
  <si>
    <t>Nontax revenue</t>
  </si>
  <si>
    <t>Wage rate govt.</t>
  </si>
  <si>
    <t>Final Consumption expenditure</t>
  </si>
  <si>
    <t xml:space="preserve">Domestic revenue </t>
  </si>
  <si>
    <t>Tax revenue</t>
  </si>
  <si>
    <t>Income and profit taxes</t>
  </si>
  <si>
    <t>Sales/Consumption taxes</t>
  </si>
  <si>
    <t>Recurrent expenditure</t>
  </si>
  <si>
    <t>Primary recurrent expenditure</t>
  </si>
  <si>
    <t>Wages and salaries</t>
  </si>
  <si>
    <t>Goods and services</t>
  </si>
  <si>
    <t xml:space="preserve">Behavioral equations, including the role of incentives (cost price, </t>
  </si>
  <si>
    <t>productivity) in the exports block.</t>
  </si>
  <si>
    <t xml:space="preserve">Once the model was tested, as a first step a technical baseline was made based </t>
  </si>
  <si>
    <t xml:space="preserve">on trend assumptions. Subsequently, we ran several combinations of </t>
  </si>
  <si>
    <t xml:space="preserve">model for a small economy, The Hague, 1991. This document is available as </t>
  </si>
  <si>
    <t xml:space="preserve">shareware on www.stuseco.org. At the end of the document you find a section </t>
  </si>
  <si>
    <t>in English where you can download MACMIC EN.</t>
  </si>
  <si>
    <t xml:space="preserve">Main behavioural equations </t>
  </si>
  <si>
    <t>Consumer behaviour:</t>
  </si>
  <si>
    <t xml:space="preserve">Consumption is determined by inter-temporal optimisation. Given this, </t>
  </si>
  <si>
    <t xml:space="preserve">consumption is determined by the real disposable income, wealth, and interest </t>
  </si>
  <si>
    <t xml:space="preserve">rate. Since data on wealth was not available, we left out wealth and interest </t>
  </si>
  <si>
    <t xml:space="preserve">rate from the equation. In its place, we include a difference between the </t>
  </si>
  <si>
    <t xml:space="preserve">consumption rates of income from labour (un-lagged) on the one hand and </t>
  </si>
  <si>
    <t xml:space="preserve">profit income (half year lag) on the other hand. whereby the consumption of </t>
  </si>
  <si>
    <t>28 februari 2017,</t>
  </si>
  <si>
    <t>a  Herziene cijfers voor 2014 &amp; 2015 u,h,v, updates,</t>
  </si>
  <si>
    <t>(1)  Data van het Bureau Staatsschuld,</t>
  </si>
  <si>
    <t>(2)  Exclusief herwaarderingsverschillen,</t>
  </si>
  <si>
    <t>(3)  Een minteken duidt op een toename in reserves,</t>
  </si>
  <si>
    <t>(4)  Herwaarderingsverschillen inclusief (de)monitizatie van monetair goud,</t>
  </si>
  <si>
    <t>Note: Graag rekening houden met afrondingsverschillen bij handmatig optellen van de componenten,</t>
  </si>
  <si>
    <r>
      <t xml:space="preserve">Herwaarderingsverschillen  </t>
    </r>
    <r>
      <rPr>
        <i/>
        <vertAlign val="superscript"/>
        <sz val="5"/>
        <rFont val="Times New Roman"/>
        <family val="1"/>
      </rPr>
      <t>(3)(4)</t>
    </r>
  </si>
  <si>
    <r>
      <t>Bron: Centrale Bank van Suriname</t>
    </r>
    <r>
      <rPr>
        <b/>
        <sz val="8"/>
        <rFont val="Times New Roman"/>
        <family val="1"/>
      </rPr>
      <t/>
    </r>
  </si>
  <si>
    <r>
      <t>* Voorlopige cijfers</t>
    </r>
    <r>
      <rPr>
        <sz val="8"/>
        <rFont val="Times New Roman"/>
        <family val="1"/>
      </rPr>
      <t/>
    </r>
  </si>
  <si>
    <r>
      <t>Memorandum item</t>
    </r>
    <r>
      <rPr>
        <b/>
        <sz val="12"/>
        <rFont val="Times New Roman"/>
        <family val="1"/>
      </rPr>
      <t/>
    </r>
  </si>
  <si>
    <t>unemployment rate</t>
  </si>
  <si>
    <t>Total</t>
  </si>
  <si>
    <t>Macroabc Methodology</t>
  </si>
  <si>
    <t>cost shares:</t>
  </si>
  <si>
    <t xml:space="preserve">private wage bill </t>
  </si>
  <si>
    <t>informal sector</t>
  </si>
  <si>
    <t>perunage</t>
  </si>
  <si>
    <t>Real GDP per capita</t>
  </si>
  <si>
    <t>Broad money (M2)</t>
  </si>
  <si>
    <t>% GdP</t>
  </si>
  <si>
    <t>Assumptions: Exogenous, add factors</t>
  </si>
  <si>
    <t>OUTPUT</t>
  </si>
  <si>
    <t>Real GDP</t>
  </si>
  <si>
    <t>Grants</t>
  </si>
  <si>
    <t>Assets total</t>
  </si>
  <si>
    <t xml:space="preserve">investments of the Ministry of Education are very important in increasing a </t>
  </si>
  <si>
    <t xml:space="preserve">country’s productivity in the medium to long-term. Furthermore, education </t>
  </si>
  <si>
    <t xml:space="preserve">financed by the government implies a lower financial burden for the poor. </t>
  </si>
  <si>
    <t xml:space="preserve">After all, many poor students would not be able to go to school if the teachers </t>
  </si>
  <si>
    <t xml:space="preserve">and schools would not be financed by the government. Not only education of </t>
  </si>
  <si>
    <t xml:space="preserve">young people is important, this also goes for older people. Think of education </t>
  </si>
  <si>
    <t xml:space="preserve">in modern agricultural technology, communication technology, etc. </t>
  </si>
  <si>
    <t>gem.</t>
  </si>
  <si>
    <t>non-gold exportprice/ cost price index 2015=100</t>
  </si>
  <si>
    <t>Subsidies en bijdragen</t>
  </si>
  <si>
    <t>Overige goederen en dienten</t>
  </si>
  <si>
    <t>Personele uitgaven</t>
  </si>
  <si>
    <t>Lopende uitgaven</t>
  </si>
  <si>
    <t>Uitgaven</t>
  </si>
  <si>
    <t>Schenkingen</t>
  </si>
  <si>
    <t>Kapitaalontvangsten</t>
  </si>
  <si>
    <t>Niet-belastingontvangsten</t>
  </si>
  <si>
    <t>Indirecte belastingen</t>
  </si>
  <si>
    <t>Directe belastingen</t>
  </si>
  <si>
    <t>Belastingen</t>
  </si>
  <si>
    <t>Ontvangsten</t>
  </si>
  <si>
    <t>Tabel 19. Suriname: Staatsfinanciën</t>
  </si>
  <si>
    <t>Overheids Sector</t>
  </si>
  <si>
    <t>Table I.12 CBVS statistical compendium</t>
  </si>
  <si>
    <t>mln USD</t>
  </si>
  <si>
    <t>Gold</t>
  </si>
  <si>
    <t>External Sector (BOP)</t>
  </si>
  <si>
    <t xml:space="preserve">economic analyses in market economies. </t>
  </si>
  <si>
    <t xml:space="preserve">The Macroabc model benefits from the experience of the Central Planning </t>
  </si>
  <si>
    <t xml:space="preserve">Bureau of the Netherlands (CPB). The CPB is an independent government </t>
  </si>
  <si>
    <t xml:space="preserve">agency established 70 years ago by Dr. Jan Tinbergen. CPB’s main objective </t>
  </si>
  <si>
    <t xml:space="preserve">is to formulate, analyse, monitor, and forecast various policy scenarios for a </t>
  </si>
  <si>
    <t xml:space="preserve">well-developed market economy. The CPB has played a central, and unique, </t>
  </si>
  <si>
    <t xml:space="preserve">role in the Netherlands’ economic policy formation. In particular, CPB </t>
  </si>
  <si>
    <t xml:space="preserve">contributed to consensus building around economic policy negotiations </t>
  </si>
  <si>
    <t xml:space="preserve">between the government and major societal institutions (e.g., labour unions </t>
  </si>
  <si>
    <t xml:space="preserve">and employers' organisations). The Macroabc approach benefits a lot from </t>
  </si>
  <si>
    <t xml:space="preserve">Dutch best practice. </t>
  </si>
  <si>
    <t xml:space="preserve">Macroabc is a methodology to construct an integrated data, forecasting, and </t>
  </si>
  <si>
    <t xml:space="preserve">simulation model based upon the core of CPB’s macro models and on the </t>
  </si>
  <si>
    <t xml:space="preserve">experience gained in combining this knowledge with the requirements of </t>
  </si>
  <si>
    <t xml:space="preserve">Schaaijk in early 1991. During the 1990s, the model was used intensively by </t>
  </si>
  <si>
    <t xml:space="preserve">the Surinamese Planning Bureau (see on the bottom right on www.stuseco.org </t>
  </si>
  <si>
    <t xml:space="preserve">for an overview by ir. Christine de Rooy, former vice Director of SPS: </t>
  </si>
  <si>
    <t xml:space="preserve">Surinammodelworkshop.ppt). It is available as shareware on </t>
  </si>
  <si>
    <t xml:space="preserve">www.stuseco.org. Currently it is used in collaboration with SPS, IGSR </t>
  </si>
  <si>
    <t xml:space="preserve">8.   Investment price percentage change: 0.83*import price + 0.17* (wage rate minus trend in </t>
  </si>
  <si>
    <t>labour productivity) + change in indirect tax incidence.</t>
  </si>
  <si>
    <t xml:space="preserve">9.   Wage rate businesses: average of current consumer price change and that of one year </t>
  </si>
  <si>
    <t xml:space="preserve">before + 0.3*labour productivity trend + 50% of change in wage tax incidence + 90% of </t>
  </si>
  <si>
    <t xml:space="preserve">6.   Consumption price percentage change: 0.39*import price + 0.61* (wage rate minus trend </t>
  </si>
  <si>
    <t>in labour productivity) + change in indirect tax incidence.</t>
  </si>
  <si>
    <t>7.   Export price percentage change: weighted average of the ten export products.</t>
  </si>
  <si>
    <t>Other(mainly big companies and underreporting)</t>
  </si>
  <si>
    <t>Volume %</t>
  </si>
  <si>
    <t>Prices %</t>
  </si>
  <si>
    <t>statistical discrepancies:</t>
  </si>
  <si>
    <t xml:space="preserve">Cost price </t>
  </si>
  <si>
    <t>The End</t>
  </si>
  <si>
    <t>Coefficients:</t>
  </si>
  <si>
    <t xml:space="preserve">So far, coefficients have not been brought in sheet </t>
  </si>
  <si>
    <t>assumptions. But they are injected in sheet model,</t>
  </si>
  <si>
    <t>and an overview in sheet beh.eq.</t>
  </si>
  <si>
    <t>the end</t>
  </si>
  <si>
    <t xml:space="preserve">part. </t>
  </si>
  <si>
    <t xml:space="preserve">relationships with other variables that are present in the model. Which </t>
  </si>
  <si>
    <t xml:space="preserve">studies. </t>
  </si>
  <si>
    <t xml:space="preserve">In the case of developing economies, historical research must be augmented </t>
  </si>
  <si>
    <t xml:space="preserve">In a market economy with many competing firms the marginal prices will </t>
  </si>
  <si>
    <t>costs.</t>
  </si>
  <si>
    <t xml:space="preserve">If we assume that the production of the value added takes place in a CES </t>
  </si>
  <si>
    <t>are:</t>
  </si>
  <si>
    <t xml:space="preserve">fertilizer support. One needs to know to what extent these programs raise the </t>
  </si>
  <si>
    <t xml:space="preserve">productivity of the small farmers. Once this is known, the increase in </t>
  </si>
  <si>
    <t xml:space="preserve">agricultural productivity can be inserted into the macro model. The latter, in </t>
  </si>
  <si>
    <t xml:space="preserve">combination with the sectoral module and poverty module, simulates the </t>
  </si>
  <si>
    <t xml:space="preserve">effects on the outcome and on impact-relevant variables, such as poverty </t>
  </si>
  <si>
    <t xml:space="preserve">reduction.  </t>
  </si>
  <si>
    <t xml:space="preserve">Once one avails of the combination of policy assumptions, macro model, and </t>
  </si>
  <si>
    <t xml:space="preserve">poverty module, and loaded with the accurate data and the accurate </t>
  </si>
  <si>
    <t xml:space="preserve">coefficients in behavioral relations, one can answer the following questions: </t>
  </si>
  <si>
    <t xml:space="preserve">(i) how to accelerate economic growth, (ii) how to reduce poverty, and (iii) </t>
  </si>
  <si>
    <t xml:space="preserve">how to maintain monetary stability. </t>
  </si>
  <si>
    <t xml:space="preserve">      Tax revenue</t>
  </si>
  <si>
    <t xml:space="preserve">         Personal income tax</t>
  </si>
  <si>
    <t xml:space="preserve">      Nontax revenue</t>
  </si>
  <si>
    <t xml:space="preserve">   Recurrent expenditure</t>
  </si>
  <si>
    <t xml:space="preserve">   Capital expenditure</t>
  </si>
  <si>
    <t xml:space="preserve">   Foreign, net</t>
  </si>
  <si>
    <t xml:space="preserve">      Drawings</t>
  </si>
  <si>
    <t xml:space="preserve">      Amortization</t>
  </si>
  <si>
    <t xml:space="preserve">   Domestic, net</t>
  </si>
  <si>
    <t>Population, total</t>
  </si>
  <si>
    <t>Effects Analysis scheme</t>
  </si>
  <si>
    <t>Assumptions</t>
  </si>
  <si>
    <t>MacroABC 8 Mei</t>
  </si>
  <si>
    <t xml:space="preserve">In assumptions BQ 35 wordt plus 24, </t>
  </si>
  <si>
    <t>In assumptions BQ 50 plus 25, ivm government take in eind maart en juli conform lezin g Hoefdraad april IGSR</t>
  </si>
  <si>
    <t>Dan is de monetaire financiering nog maar 1% van BP</t>
  </si>
  <si>
    <t>9 maanden maal 20 plus 6 maanden maal 32 is SRD 380 miljoen in 2017</t>
  </si>
  <si>
    <t>Om de 1% naar nul te brengen is plus 5 in BQ 50</t>
  </si>
  <si>
    <t>Dus in totaal plus 30 in BQ50</t>
  </si>
  <si>
    <t>Loonsom bedrijven in prijzen 2015</t>
  </si>
  <si>
    <t>Macroabc 22 mei</t>
  </si>
  <si>
    <t>%GDP</t>
  </si>
  <si>
    <t>exportsvolume goud na 2019 volgt base line</t>
  </si>
  <si>
    <t xml:space="preserve">1 the Suryamodel of Stichting Planbureau Suriname (SPS) </t>
  </si>
  <si>
    <t>2. CBMOD4 of Central Bank Suriname</t>
  </si>
  <si>
    <t xml:space="preserve">3. Many models made by Micromacro Consultants, the company of Dr. </t>
  </si>
  <si>
    <t>Final demand</t>
  </si>
  <si>
    <t>exports</t>
  </si>
  <si>
    <t>investments</t>
  </si>
  <si>
    <t>nieuwe reeks april juni 2016 = 100</t>
  </si>
  <si>
    <t>gem daling april - okt 2015</t>
  </si>
  <si>
    <t>uit tabel official reserve assets</t>
  </si>
  <si>
    <t>'other foreign currency assets</t>
  </si>
  <si>
    <t>som</t>
  </si>
  <si>
    <t>uit weekstaten maand ultimo</t>
  </si>
  <si>
    <t>netto buit.actief CBvS   mln SRD</t>
  </si>
  <si>
    <t>netto buit.actief ODI  mln SRD</t>
  </si>
  <si>
    <t>netto buit.actief CBvS   mln US$</t>
  </si>
  <si>
    <t>netto buit.actief ODI  mln US$</t>
  </si>
  <si>
    <t>What is STUSECO and CV Dr. Marein van Schaaijk</t>
  </si>
  <si>
    <t>consultancy services to third parties. So in 2017 Stuseco exists 40 years.</t>
  </si>
  <si>
    <t>more information on www.stuseco.org</t>
  </si>
  <si>
    <t xml:space="preserve">Van Schaaijk has visited Suriname 46 times. The next visit is planned for early June </t>
  </si>
  <si>
    <t xml:space="preserve">  See also the paper: Draaiboek Theorie Macrabc (in Dutch, forthcoming in April 2017)</t>
  </si>
  <si>
    <t>who has loaded MacroabcX/ Bhutan with the Surinamese time series</t>
  </si>
  <si>
    <t>MacroabcSU  updates and improvements in January, February, March 2017R 3jan 2017</t>
  </si>
  <si>
    <t>wisselkoers in 2017 (BQ 24 : % wk verandering +17 en volgende jaren constant houden op 7,6</t>
  </si>
  <si>
    <t xml:space="preserve">X, Y, and Z are not outputs of the model; they are inputs to be inserted into </t>
  </si>
  <si>
    <t>the model; these inputs are to be provided by sectoral experts.</t>
  </si>
  <si>
    <t xml:space="preserve">This section is written to demonstrate the relevance of the cooperation </t>
  </si>
  <si>
    <t>amortisations conform tabel 3 in IMF dec 2019 op 0 mln US$ per jaar gezet.</t>
  </si>
  <si>
    <t>3. COVID19 geeft lagere export, consumptie en investeringen in 2020, met herstel in 2021</t>
  </si>
  <si>
    <t>Onder deze assumpties blijft de maanden deking van invoer in 2020 niet boven het niveau van 3 dus volgt depreciatie.</t>
  </si>
  <si>
    <t>Dat geeft middenkoers van 13,1 gemiddeld in 2020 en 21,6 in 2021</t>
  </si>
  <si>
    <t>en voortgaande monetaire fnanciering 12% in 2020  en -15% reele loon in 2020</t>
  </si>
  <si>
    <t>BU15 t/m BY15 +2</t>
  </si>
  <si>
    <t>BU16 t/m BY16 +2</t>
  </si>
  <si>
    <t>BU13 t/m BY13 +2</t>
  </si>
  <si>
    <t>BU14 t/m BY14 +2</t>
  </si>
  <si>
    <t>Opgericht 16-12-1977, Stichtingenregister nr 41149657, Fiscaal nr 009960387, banknr NL60RABO0327014105</t>
  </si>
  <si>
    <t>E-mail: mmc@bart.nl ~Home page www.stuseco.org</t>
  </si>
  <si>
    <t>Paramaribo en Den Haag 10 juni 2020</t>
  </si>
  <si>
    <t>Inleiding:</t>
  </si>
  <si>
    <t xml:space="preserve">Dit Stabilisatie Scenario is ontwikkeld en doorgerekend met MacroabcSU om te bezien hoe </t>
  </si>
  <si>
    <t xml:space="preserve">voor het eind van 2020 monetaire stabiliteit kan worden bereikt en daarna behouden worden. </t>
  </si>
  <si>
    <t xml:space="preserve">En of de op dit moment doorgaande verarming vervolgens tot stilstand kan worden gebracht. </t>
  </si>
  <si>
    <t>Dit scenario heeft minder pijnlijke gevolgen dan een Baseline met continuering van het</t>
  </si>
  <si>
    <t xml:space="preserve"> gevoerde beleid van de laatste jaren. Deze technische notitie kan behulpzaan zijn bij</t>
  </si>
  <si>
    <t xml:space="preserve"> het formuleren van het nieuwe monetaire, financiële en macro-economische beleid. </t>
  </si>
  <si>
    <t>Uitgangspunt:</t>
  </si>
  <si>
    <t>Is er een pakket van maatregelen mogelijk zodat de wisselkoers na eind 2020 niet verder stijgt?</t>
  </si>
  <si>
    <t>De baseline komt neer op ''business as usual'' met:</t>
  </si>
  <si>
    <t>1. Trendmatige ontwikkelingen in exogene variabelen en overheidsuitgaven die stijgen</t>
  </si>
  <si>
    <t>met inflatie en overheidsinkomsten stijgingen die gelijk opgaan met de grondslag.</t>
  </si>
  <si>
    <t>2. De assumptie in het IMF-rapport van 23 december 2019 dat de overheid jaarlijks</t>
  </si>
  <si>
    <t>netto US$ 250 mln. in het buitenland kan lenen, is hier op 0 gezet en ook de</t>
  </si>
  <si>
    <t>amortisaties is op US$ 0 mln. per jaar gezet. Dus de assumptie is dat Suriname</t>
  </si>
  <si>
    <t>vanwege de verloren kredietwaardigheid verder niet meer in het buitenland kan lenen.</t>
  </si>
  <si>
    <t>4. Omdat het jaar al gevorderd is, is de verdubbeling AOV etc. meegenomen in de baseline.</t>
  </si>
  <si>
    <t>De resultaten van de doelvariabelen van de baseline zien er als volgt uit:</t>
  </si>
  <si>
    <t>Bron: MacroabcSU. Staat als shareware rechts bovenin www.stuseco.org</t>
  </si>
  <si>
    <t>Onder deze assumpties blijft de maandendekking van invoer in 2020 ex ante niet boven</t>
  </si>
  <si>
    <t>het niveau van 3 maanden importdekking met als gevolg een depreciatie van de SRD,</t>
  </si>
  <si>
    <t>zodanig dat de 3-maanden dekking van invoer door deviezen wordt gehaald. Dat geeft</t>
  </si>
  <si>
    <t>een gemiddelde middenkoers (gemiddelde van CBvS en Cambio koers) van SRD/US$ 13,10</t>
  </si>
  <si>
    <t>in 2020 en SRD/US$ 21,60 in 2021 met een voortgaande monetaire financiering van 12%</t>
  </si>
  <si>
    <t>in 2020 en -15% reële loonstijging in 2020.</t>
  </si>
  <si>
    <t>De Koers Ontwikkeling:</t>
  </si>
  <si>
    <t>De assumpties in de baseline laten een middenkoers van SRD/US$ 13,10 gemiddeld over</t>
  </si>
  <si>
    <t>2020 zien. Eind december 2019 was die nog SRD/US$ 8,20. Rekening houdende met de</t>
  </si>
  <si>
    <t>al gerealiseerde koersen in de afgelopen maanden en bij lineaire interpolatie, hoort daar</t>
  </si>
  <si>
    <t>een koers bij van ongeveer SRD/US$ 16,00 of 17,00 in december 2020. Onder de assumpties</t>
  </si>
  <si>
    <t xml:space="preserve"> marktconforme uniforme zwevende koers. Net als gedaan in het jaar 2016, kan CBvS de</t>
  </si>
  <si>
    <t>vrij zwevende Cambio koers noteren.</t>
  </si>
  <si>
    <t>Het Stabilisatie Scenario:</t>
  </si>
  <si>
    <t>2021 zichtbare effecten hebben. We denken daarbij aan de afschaffing van de</t>
  </si>
  <si>
    <t>monetaire financiering door verhoging van de overheidsinkomsten en de verlaging</t>
  </si>
  <si>
    <t>van de overheidsuitgaven.</t>
  </si>
  <si>
    <t>Het jaar 2020 is al ver gevorderd. Daarom bezien we een pakket van maatregelen die in</t>
  </si>
  <si>
    <t>de tweede helft van 2020 worden voorbereid en in januari 2021 in werking zullen treden.</t>
  </si>
  <si>
    <t>Deze maatregelen hebben hier het karakter van een stelpost: de bedragen zijn assumpties,</t>
  </si>
  <si>
    <t>waar nog concretisering en invulling moet worden gegeven door de diverse instanties.</t>
  </si>
  <si>
    <t>Nu zoeken we naar een pakket van assumpties die tezamen ertoe zullen leiden dat vraag</t>
  </si>
  <si>
    <t>en aanbod van deviezen zodanig is dat bij een stabiele situatie, een marktconforme uniforme koers van SRD/USD 17,00 ontstaat en waarbij de deviezenvoorraad niet beneden de 3</t>
  </si>
  <si>
    <t>maanden invoerdekking komt. De volgende assumpties zijn geselecteerd om een stabilisatie</t>
  </si>
  <si>
    <t>van de wisselkoers vanaf 2021te realiseren.</t>
  </si>
  <si>
    <t>De extra exportgroei en de groei van de import vervangende industrie wordt gestimuleerd door</t>
  </si>
  <si>
    <t>de verbetering van de concurrentiepositie vanwege de depreciatie van de SRD. De stabilisatie</t>
  </si>
  <si>
    <t>van de wisselkoers is mogelijk door het verdwijnen van de monetaire financiering dankzij verhoging van de inkomsten en verlaging van de uitgaven van de overheid.</t>
  </si>
  <si>
    <t>Hogere Inkomsten en Lagere Uitgaven van de Overheid</t>
  </si>
  <si>
    <t xml:space="preserve">Variant </t>
  </si>
  <si>
    <t>Impuls in 2021</t>
  </si>
  <si>
    <t>Impuls in Latere Jaren</t>
  </si>
  <si>
    <t xml:space="preserve">1. </t>
  </si>
  <si>
    <t xml:space="preserve">Indirecte Belasting </t>
  </si>
  <si>
    <t>90% verhoging</t>
  </si>
  <si>
    <t>2.</t>
  </si>
  <si>
    <t>Matiging Overheidsconsumptie</t>
  </si>
  <si>
    <t>30% Verlaging</t>
  </si>
  <si>
    <t>3.</t>
  </si>
  <si>
    <t>Vermindering aantal Landsdienaren</t>
  </si>
  <si>
    <t xml:space="preserve">3% verlaging </t>
  </si>
  <si>
    <t xml:space="preserve">Per jaar </t>
  </si>
  <si>
    <t xml:space="preserve">4. </t>
  </si>
  <si>
    <t>Investering Overheid</t>
  </si>
  <si>
    <t xml:space="preserve">+USD 40M </t>
  </si>
  <si>
    <t> Blijft op hogere niveau</t>
  </si>
  <si>
    <t>Componenten van Groei</t>
  </si>
  <si>
    <t>5.</t>
  </si>
  <si>
    <t>Import Substitutie</t>
  </si>
  <si>
    <t xml:space="preserve">4% verlaging </t>
  </si>
  <si>
    <t>Per jaar extra</t>
  </si>
  <si>
    <t>6.</t>
  </si>
  <si>
    <t xml:space="preserve">Export </t>
  </si>
  <si>
    <t xml:space="preserve">2% verhoging </t>
  </si>
  <si>
    <t>7.</t>
  </si>
  <si>
    <t xml:space="preserve">Productiviteit </t>
  </si>
  <si>
    <t xml:space="preserve">1% verhoging </t>
  </si>
  <si>
    <t>8.</t>
  </si>
  <si>
    <t xml:space="preserve">Investeringen bedrijven </t>
  </si>
  <si>
    <t xml:space="preserve">6% verhoging </t>
  </si>
  <si>
    <t>Er zijn nog vele andere assumpties denkbaar, zoals:</t>
  </si>
  <si>
    <t>Loonbelasting</t>
  </si>
  <si>
    <t>Loonmatiging</t>
  </si>
  <si>
    <t>Belasting op export</t>
  </si>
  <si>
    <t>Beperking consumptief krediet</t>
  </si>
  <si>
    <t>Transfers van overheid aan gezinnen</t>
  </si>
  <si>
    <t>Stortingen in fonds natuurlijke hulpbronnen</t>
  </si>
  <si>
    <t>Olie op zee</t>
  </si>
  <si>
    <t>Terugkeer bauxietsector</t>
  </si>
  <si>
    <t>Resultaten van het Stabilisatie Scenario:</t>
  </si>
  <si>
    <t>Effectief 2021 zal de binnenlandse monetaire financiering zijn teruggebracht naar 2% en in</t>
  </si>
  <si>
    <t>de daaropvolgende jaren zal de deze negatief zijn, dus minder dan nul, en dat is een heel</t>
  </si>
  <si>
    <t>goed resultaat. De Internationale Reserve staat op 3 maandendekking. De naweeën van de</t>
  </si>
  <si>
    <t>inflatie zullen verder wegebben van 39% naar 5% in 2023. De koers blijft na begin 2021</t>
  </si>
  <si>
    <t>zweven rond SRD/USD 17,00.</t>
  </si>
  <si>
    <t>zien van gemiddeld 4% per jaar terwijl de werkeloosheid van rond de 15% per jaar naar 14% zakt.</t>
  </si>
  <si>
    <t>C.Jolstraat 50 ~ 2584 ET Den Haag ~Tel +31 (0)70 3523832 ~ Fax 3549589</t>
  </si>
  <si>
    <r>
      <t xml:space="preserve">Beleidsmaatregelen die de komende maanden zullen worden getroffen, zullen </t>
    </r>
    <r>
      <rPr>
        <u/>
        <sz val="12"/>
        <rFont val="Times New Roman"/>
        <family val="1"/>
      </rPr>
      <t>pas</t>
    </r>
    <r>
      <rPr>
        <sz val="12"/>
        <rFont val="Times New Roman"/>
        <family val="1"/>
      </rPr>
      <t xml:space="preserve"> begin</t>
    </r>
  </si>
  <si>
    <r>
      <t xml:space="preserve">Buitenlandse leningen </t>
    </r>
    <r>
      <rPr>
        <sz val="11"/>
        <rFont val="Times New Roman"/>
        <family val="1"/>
      </rPr>
      <t>(</t>
    </r>
    <r>
      <rPr>
        <sz val="10"/>
        <rFont val="Times New Roman"/>
        <family val="1"/>
      </rPr>
      <t>worden pas weer mogelijk als Suriname’s kredietwaardigheid is hersteld)</t>
    </r>
  </si>
  <si>
    <r>
      <t>Stabilisatie scenario 2020-2025 (Gerard Lau en Marein van Schaaijk)</t>
    </r>
    <r>
      <rPr>
        <i/>
        <sz val="16"/>
        <rFont val="Times New Roman"/>
        <family val="1"/>
      </rPr>
      <t xml:space="preserve"> </t>
    </r>
  </si>
  <si>
    <r>
      <t xml:space="preserve">van het stabilisatie scenario wordt </t>
    </r>
    <r>
      <rPr>
        <u/>
        <sz val="12"/>
        <rFont val="Times New Roman"/>
        <family val="1"/>
      </rPr>
      <t>geen</t>
    </r>
    <r>
      <rPr>
        <sz val="12"/>
        <rFont val="Times New Roman"/>
        <family val="1"/>
      </rPr>
      <t xml:space="preserve"> verdere koersstijging verwacht na december 2020 waardoor de </t>
    </r>
  </si>
  <si>
    <t>middenkoers ingaande januari 2021 op SRD/US$ 17,00 zal blijven staan.</t>
  </si>
  <si>
    <t xml:space="preserve">In dit scenario wordt verondersteld dat de CBvS koers, de Cambio koers en de Middenkoers </t>
  </si>
  <si>
    <t>(gemiddelde van CBvS en Cambio koersen) spoedig worden vervangen door een</t>
  </si>
  <si>
    <t xml:space="preserve">De reële BBP zal in de komende jaren komen op een groei van tussen de 5% en 6% per jaar. </t>
  </si>
  <si>
    <t>Belangrijk is dat vanaf 2022, de Reële lonen en de Werkgelegenheid een groei zullen laten</t>
  </si>
  <si>
    <t>Verschil</t>
  </si>
  <si>
    <t>Het stabilisatie scenario geeft niet alleen monetaire stabiliteit per eind 2020, maar ook voor</t>
  </si>
  <si>
    <t>alle doelvariabelen betere uitkomsten dan de baseline voor de jaren 2021-2025.  Het</t>
  </si>
  <si>
    <t>stabilisatie scenario kan echter het verleden en lopende jaar 2020 niet meer veranderen.</t>
  </si>
  <si>
    <t>Voor koopkracht herstel is het nodig dat de export en importvervangende industrie de</t>
  </si>
  <si>
    <t>komende jaren flink gaan groeien.</t>
  </si>
  <si>
    <t>Een stabilisatiepakket is mogelijk.</t>
  </si>
  <si>
    <t xml:space="preserve">Daarbij passen drie kanttekeningen. In de eerste plaats zijn de data over het verleden vaak onnauwkeurig. Zo ontbreken </t>
  </si>
  <si>
    <t>In de tweede plaats zijn vele gedrag relaties minder nauwkeurig bekend. In de derde plaats hebben onze veronderstellingen het karakter</t>
  </si>
  <si>
    <t xml:space="preserve">Nationale Rekeningen over de jaren na 2010. Die cijfers van na 2010 zijn geschat met behulp van het model. </t>
  </si>
  <si>
    <t>van een assumptie, waarbij een concrete onderbouwing nog moet worden gemaakt door de betreffende instanties</t>
  </si>
  <si>
    <t xml:space="preserve"> (zoals Stichting Planbureau Suriname). Onder deze omstandigheden zijn</t>
  </si>
  <si>
    <t xml:space="preserve">de gevonden uitkomsten van het model geen bewijs, maar slechts indicaties. </t>
  </si>
  <si>
    <t>Mede om die reden staat het complete, draaiende MacroabcSU model inclusief Manual als shareware op het</t>
  </si>
  <si>
    <t xml:space="preserve">Internet (rechts bovenin www.stuseo.org). De Stichting Planbureau Suriname kan met het uitgebreidere Suryamodel </t>
  </si>
  <si>
    <t>(inclusief het Micro blok voor ieder van de 10 belangrijkste exportproducten) en zijn toegang tot concrete beleidsvoornemens</t>
  </si>
  <si>
    <t xml:space="preserve"> in plaats van assumpties tezijnertijd meer gedetailleerde berekeningen worden uitgevoerd.</t>
  </si>
  <si>
    <t>directe belastingen</t>
  </si>
  <si>
    <t>AOV reëel %</t>
  </si>
  <si>
    <t>gemiddeld</t>
  </si>
  <si>
    <t>per saldo gen buitenlandse financiering, dus de buitenlandse staatsschuld blijft in US$ gelijk, blijft 1,6 mld US$</t>
  </si>
  <si>
    <t>Foreign Financing GOV zodanig dat de aflossingen kunen worden gefinancierd door de trekkingen, dus</t>
  </si>
  <si>
    <t>ASS56  foreign financing net private gezet op gemiddelde van afgelopen 10 jaar</t>
  </si>
  <si>
    <t>overige sociale uitkeringen</t>
  </si>
  <si>
    <t>AOV uitkering per persoon</t>
  </si>
  <si>
    <t>fin nota</t>
  </si>
  <si>
    <t>sociale uitkeringen en pensioen</t>
  </si>
  <si>
    <t>wv pensioen (AOV)</t>
  </si>
  <si>
    <t>wv sociaal</t>
  </si>
  <si>
    <t xml:space="preserve">wv  overig (subsidies) </t>
  </si>
  <si>
    <t>AOV (pensioen)</t>
  </si>
  <si>
    <t>sociaal</t>
  </si>
  <si>
    <t>overige subsidies e</t>
  </si>
  <si>
    <t>uitsplitsing subsidies en transfers in</t>
  </si>
  <si>
    <t>AOV</t>
  </si>
  <si>
    <t>overige</t>
  </si>
  <si>
    <t>armoedegrens 1 volwassene en 0 kinderen</t>
  </si>
  <si>
    <t>ABS SIC 342</t>
  </si>
  <si>
    <t>armoedegrens</t>
  </si>
  <si>
    <t>AOV in % armoedegrens</t>
  </si>
  <si>
    <t>aandeel</t>
  </si>
  <si>
    <t>Extra stijging van AOV en andere sociale transfers 20% per jaar in 2021 t/m 2024</t>
  </si>
  <si>
    <t>Dan is AOV op armoedegrens in 2024</t>
  </si>
  <si>
    <t>AOV uitkering in % armoedegrens</t>
  </si>
  <si>
    <t>in As BU63</t>
  </si>
  <si>
    <t>in AS Bu33</t>
  </si>
  <si>
    <t>in AS Bu51</t>
  </si>
  <si>
    <t>in AS Bu54</t>
  </si>
  <si>
    <t>in ASBu38</t>
  </si>
  <si>
    <t>As BU11</t>
  </si>
  <si>
    <t>in AS Bu57</t>
  </si>
  <si>
    <t>As Bu18</t>
  </si>
  <si>
    <t>As Bu21</t>
  </si>
  <si>
    <t>As Bu19</t>
  </si>
  <si>
    <t>foreign financing private</t>
  </si>
  <si>
    <t>in As Bu59</t>
  </si>
  <si>
    <t>2 t/m 12</t>
  </si>
  <si>
    <t>idem</t>
  </si>
  <si>
    <t>plus koersaaan[assimg</t>
  </si>
  <si>
    <t>Macroabc zonder pakket 24juli 2020</t>
  </si>
  <si>
    <t>in blauw de stabilisatie pakket DNA 18 sept 2020</t>
  </si>
  <si>
    <t>in geel: het ontwikkelingspakket van end sept 2020</t>
  </si>
  <si>
    <t>BU11 t/m BY11-3</t>
  </si>
  <si>
    <t>BV63 etc: zodanoig dat er 3 maanden deviezendeking voor de invoer is.</t>
  </si>
  <si>
    <t>Macroabc eind sept 2020 scenario</t>
  </si>
  <si>
    <t>exportgroei</t>
  </si>
  <si>
    <t>BU17 t/m BY17 -2</t>
  </si>
  <si>
    <t>investeringen</t>
  </si>
  <si>
    <t>foreign financing 0 ipv -107 mln US$</t>
  </si>
  <si>
    <t>groei aantal landsdienaren</t>
  </si>
  <si>
    <t>pariculiere kapitaalinstroom</t>
  </si>
  <si>
    <t>ASS 57 kapitaluitgaven overheid -100 mln US$, omdat er geen financiering meer voor is door buitenlandse leningen.</t>
  </si>
  <si>
    <t>Pakket  eind september 2020</t>
  </si>
  <si>
    <t>indirecte belasingen tarieven *1,2   + effect invoerechten berekend over de uniforme koers ipv CBvS koers.</t>
  </si>
  <si>
    <t>Bu59  etc. 67 mln US$</t>
  </si>
  <si>
    <t>in nieuwe baseline +koersaanpassing</t>
  </si>
  <si>
    <t>overheidsschuld in %BBP</t>
  </si>
  <si>
    <t>Dit is de nieuwe Baseline, dus zonder paket DNA en Ontwikelingspakket..</t>
  </si>
  <si>
    <t>32`1</t>
  </si>
  <si>
    <t xml:space="preserve">BU 40  tm BX40 +20% en BU41 +18% </t>
  </si>
  <si>
    <t xml:space="preserve">    Dat geeft in 2021  760 mln SRD extra transfers.</t>
  </si>
  <si>
    <t>BU38  -10 materiele overheidsconsumptie -10% in 2021</t>
  </si>
  <si>
    <t>BU51+ 18</t>
  </si>
  <si>
    <t>BU48 +18% =*1,18 effectieve tarieven</t>
  </si>
  <si>
    <t xml:space="preserve">  dat geeft in 2021 + 900 mln srd  Dat is totaal van hogere tarieven in LB en inkomsten bel op lichamen, inclusief hogere goud royalties</t>
  </si>
  <si>
    <t xml:space="preserve">    efect OB op importen 10 nar 12 % is 144 mln SRD. Efect unificatie koers 7,5 naar 14,2 =  (14,2-7,5)/7,5*740*0,93</t>
  </si>
  <si>
    <t>75% van energiesubsidies is 1100 mln SRD</t>
  </si>
  <si>
    <t xml:space="preserve">  en efect government take</t>
  </si>
  <si>
    <t>brandstof acijns was in 2019 147</t>
  </si>
  <si>
    <t>BU54 +26%</t>
  </si>
  <si>
    <t>Dat moet dorwerken in CPI:</t>
  </si>
  <si>
    <t>1100/ finale afzet =</t>
  </si>
  <si>
    <t>dus 1,6% ad factor in CPI</t>
  </si>
  <si>
    <t>in BU28 +1,6</t>
  </si>
  <si>
    <t>dus +170 buitenlande leningen voor herschiking schulden in 2021 en daarna 100 mln US$ per jaar.</t>
  </si>
  <si>
    <t>BU33 -107 vevangen door +70. en in BV t/m BY33  niets</t>
  </si>
  <si>
    <t>BU42  -38</t>
  </si>
  <si>
    <t>BU19   +6</t>
  </si>
  <si>
    <t>DOORREKENING DNA pakketvan 18/9/2020</t>
  </si>
  <si>
    <t>1.</t>
  </si>
  <si>
    <t>Inleiding</t>
  </si>
  <si>
    <t xml:space="preserve">Na bespreking van de nota ‘’Beleid tot Macro-economisch herstel “, MINFIN, Paramaribo 18 </t>
  </si>
  <si>
    <t xml:space="preserve">september 2020, heeft de DNA een motie aangenomen, waarbij de Regering ondersteund wordt </t>
  </si>
  <si>
    <t xml:space="preserve">om de diverse in de nota genoemde maatregelen te treffen. In deze notitie worden die </t>
  </si>
  <si>
    <t xml:space="preserve">maatregelen vertaald in input voor het Macroabc model, waarna het pakket tezamen met enkele </t>
  </si>
  <si>
    <t>aanvullende ontwikkelingsveronderstellingen is doorgerekend. (*)</t>
  </si>
  <si>
    <t xml:space="preserve">Het gaat om een deel 1 met lijst met assumpties van bezuinigingsmaatregelen (zoals </t>
  </si>
  <si>
    <t xml:space="preserve">belastingverzwaringen en personeelstop bij de overheid) en in een aanvullend deel2  om </t>
  </si>
  <si>
    <t xml:space="preserve">ontwikkelingsveronderstellingen (hogere productiviteit, extra groei van export en import </t>
  </si>
  <si>
    <t xml:space="preserve">vervangende landbouw en industrie). Deze zijn als input op de baseline van het MacroabcSU </t>
  </si>
  <si>
    <t xml:space="preserve">model gezet waarna de doelvariabelen voor het scenario opnieuw zijn berekend. De </t>
  </si>
  <si>
    <t xml:space="preserve">doelvariabelen zijn de wisselkoers, deviezenvoorraad (minimaal gelijk aan 3 maanden invoer), </t>
  </si>
  <si>
    <t xml:space="preserve">financieringstekort maximaal 3% van BBP, inflatie en werklosheid zo laag mogelijk, reële lonen </t>
  </si>
  <si>
    <t>en AOV en BBP stijging zo hoog mogelijk.</t>
  </si>
  <si>
    <t xml:space="preserve">De baseline geeft de uitkomsten voor 2021 t/m 2025 bij ongewijzigd beleid en het Scenario deel 1 </t>
  </si>
  <si>
    <t xml:space="preserve">+2 de uitkomsten bij invoering van de lijst van assumpties. </t>
  </si>
  <si>
    <t xml:space="preserve">De Baseline </t>
  </si>
  <si>
    <t>Die komt neer op ''business as usual'' met:</t>
  </si>
  <si>
    <t xml:space="preserve">Trendmatige ontwikkelingen in exogene variabelen en overheidsuitgaven die stijgen met </t>
  </si>
  <si>
    <t>inflatie en overheidsinkomsten stijgingen die gelijk opgaan met de grondslag.</t>
  </si>
  <si>
    <t xml:space="preserve">De assumptie in het IMF-rapport van 23 december 2019 dat de overheid jaarlijks US$ 250 </t>
  </si>
  <si>
    <t xml:space="preserve">mln. in het buitenland kan lenen, is hier op 0 gezet. Dus de assumptie is dat Suriname </t>
  </si>
  <si>
    <t xml:space="preserve">vanwege de verloren kredietwaardigheid geen of moeilijk nieuwe buitenlandse leningen </t>
  </si>
  <si>
    <t xml:space="preserve">zal kunnen afsluiten. Inmiddels is de kredietbeoordeling van Suriname verder gedaald </t>
  </si>
  <si>
    <t xml:space="preserve">naar de categorie RD en Caa3 door Fitch en Moody’s. Vanwege het meer vertrouwen </t>
  </si>
  <si>
    <t xml:space="preserve">hebben in de nieuwe regering is in korte tijd van slechts enkele dagen de RD-rating van </t>
  </si>
  <si>
    <t xml:space="preserve">Fitch weer naar boven bijgesteld op CC en S&amp;P Global van SD (Selective Default) naar </t>
  </si>
  <si>
    <t xml:space="preserve">CCC. </t>
  </si>
  <si>
    <t>COVID19 geeft lagere export, consumptie en investeringen in 2020, met herstel in 2021.</t>
  </si>
  <si>
    <t xml:space="preserve">Onder deze assumpties blijft de maandendekking van invoer in 2020 ex ante niet boven het </t>
  </si>
  <si>
    <t xml:space="preserve">niveau van 3 maanden importdekking met als gevolg een depreciatie van de SRD, zodanig dat de </t>
  </si>
  <si>
    <t xml:space="preserve">3-maanden dekking van invoer door deviezen wordt gehaald. Dat geeft een gemiddelde </t>
  </si>
  <si>
    <t xml:space="preserve">middenkoers (gemiddelde van CBvS en Cambio koers) van SRD/US$ 13 in 2020 en </t>
  </si>
  <si>
    <t xml:space="preserve">SRD/US$ 30 in 2021 en 169 in 2025 met een voortgaande monetaire financiering van 12% in </t>
  </si>
  <si>
    <t>2020 en 22% reële loondaling  in 2020.</t>
  </si>
  <si>
    <t xml:space="preserve">De resultaten van de doelvariabelen van de baseline zien er als volgt uit: </t>
  </si>
  <si>
    <t xml:space="preserve">De assumpties in de baseline laten een middenkoers van SRD/US$ 13 gemiddeld over 2020 zien. </t>
  </si>
  <si>
    <t xml:space="preserve">Eind december 2019 was die nog SRD/US$ 8,20. In de base line komt er geen unificatie van de </t>
  </si>
  <si>
    <t xml:space="preserve">koers In de baseline dreigt er ieder jaar een tekort aan deviezen, zodat de wisselkoers steeds </t>
  </si>
  <si>
    <t>verder stijgt, tot 2025 een middenkoers van 169 en cambio koers van 331. Zie in tabel 1.</t>
  </si>
  <si>
    <t>Scenario deel 1: Het pakket DNA 18 september 2020:</t>
  </si>
  <si>
    <t xml:space="preserve">De beleidsmaatregelen die in de komende maanden zullen worden getroffen, zullen begin 2021 </t>
  </si>
  <si>
    <t xml:space="preserve">zichtbare effecten hebben. Het gaat daarbij om het verlagen van de monetaire financiering door </t>
  </si>
  <si>
    <t xml:space="preserve">verhoging van de overheidsinkomsten en de verlaging van de overheidsuitgaven. Het jaar 2020 is </t>
  </si>
  <si>
    <t xml:space="preserve">al ver gevorderd. Daarom bezien we het pakket van maatregelen die in het derde kwartaal  van </t>
  </si>
  <si>
    <t xml:space="preserve">2020 zijn voorbereid en in het laatste kwartaal van 2020 in werking zullen treden. Deze </t>
  </si>
  <si>
    <t xml:space="preserve">maatregelen hebben hier het karakter van een voorlopige berekening: de bedragen zijn assumpties, </t>
  </si>
  <si>
    <t xml:space="preserve">waar nog verdere concretisering en invulling moet worden gegeven door de specialisten van de </t>
  </si>
  <si>
    <t>diverse instanties.</t>
  </si>
  <si>
    <t xml:space="preserve">Zie hieronder een lijst van de maatregelen die zo goed mogelijk zijn afgeleid uit het overzicht: </t>
  </si>
  <si>
    <t>‘’Beleid tot Macro-economisch herstel “, MINFIN, Paramaribo 18 september 2020.</t>
  </si>
  <si>
    <t>Deel 1 Bezuinigingsmaatregelen in 2021:</t>
  </si>
  <si>
    <t>(Zie voor details in sheet Logboek en Assumpties in Macroabc.xls)</t>
  </si>
  <si>
    <t xml:space="preserve">Directe belastingen: 900 mln SRD extra door hogere top tarieven en inkomstenbelasting </t>
  </si>
  <si>
    <t>en extra inkomsten van de kleinschalige goudwinning</t>
  </si>
  <si>
    <t xml:space="preserve">Indirecte belastingen: OB op importen van 10 naar 12 %, andere tarieven *1,2 </t>
  </si>
  <si>
    <t xml:space="preserve">invoerrechten berekenen op basis van de nieuwe uniforme koers, hogere government take </t>
  </si>
  <si>
    <t xml:space="preserve">in brandstofprijs, </t>
  </si>
  <si>
    <t>75% van de energiesubsidies verdwijnt. Dat geeft ook extra stijging CPI met 2%</t>
  </si>
  <si>
    <t>4.</t>
  </si>
  <si>
    <t xml:space="preserve">Ten behoeve van herschikking leningen in 2021 170 mln US$ buitenlandse lening en in </t>
  </si>
  <si>
    <t xml:space="preserve">latere jaren 100 mln US$. (Dat is nodig om de aflossingen van buitenlandse schulden te </t>
  </si>
  <si>
    <t>financieren). Hier is waarschijnlijk samenwerking met IMF voor nodig.</t>
  </si>
  <si>
    <t>Materiele overheidsconsumptie -10%</t>
  </si>
  <si>
    <t xml:space="preserve">AOV uitkeringen stijgen in 2021 en volgende jaren 20% extra. Overige uitkeringen 18% </t>
  </si>
  <si>
    <t xml:space="preserve">extra in 2021.  Hierdoor komt de reëel sterk gedaalde AOV in 2024 op niveau van de </t>
  </si>
  <si>
    <t>armoedegrens.</t>
  </si>
  <si>
    <t>Kapitaaluitgaven overheid -100 mln SRD per jaar omdat er minder leningen binnen komen</t>
  </si>
  <si>
    <t>Groei aantal landsdienaren -3% per jaar door personeelstop</t>
  </si>
  <si>
    <t>Resultaten van het Scenario deel 1:</t>
  </si>
  <si>
    <t>*</t>
  </si>
  <si>
    <t xml:space="preserve">Effectief 2021 zal de binnenlandse monetaire financiering zijn teruggebracht naar 0% van </t>
  </si>
  <si>
    <t xml:space="preserve">het BBP. </t>
  </si>
  <si>
    <t xml:space="preserve">De Internationale Reserve staat op minimaal 3 maanden dekking. </t>
  </si>
  <si>
    <t xml:space="preserve">De inflatie zullen is 24 tot 34%. </t>
  </si>
  <si>
    <t>De koers wordt 15 in 2021 en loopt geleidelijk op tot 40 in 2025 SRD per US$.</t>
  </si>
  <si>
    <t xml:space="preserve">De reële BBP zal dan in de komende jaren uitkomen op een groei van tussen de 2% en 3% </t>
  </si>
  <si>
    <t xml:space="preserve">per jaar. </t>
  </si>
  <si>
    <t>De werkgelegenheid laat vanaf 2022 een groei zien van gemiddeld 2% per jaar.</t>
  </si>
  <si>
    <t>De reële lonen zullen met 1 tot 6% per jaar dalen, vrijwel gelijk aan de baseline.</t>
  </si>
  <si>
    <t xml:space="preserve">Tabel 2 Model Resultaten Scenario deel 1. </t>
  </si>
  <si>
    <t>Scenario deel 2: De ontwikkelingsveronderstellingen</t>
  </si>
  <si>
    <t>Deel 2, de ontwikkelingsassumpties:</t>
  </si>
  <si>
    <t>Extra productiviteit stijging 1% per jaar</t>
  </si>
  <si>
    <t>Extra export 2% per jaar</t>
  </si>
  <si>
    <t>Minder import 2% per jaar door importvervanging</t>
  </si>
  <si>
    <t>Investeringsniveau bedrijven +6% in 2021</t>
  </si>
  <si>
    <t xml:space="preserve"> We gaan uit van de optimistische veronderstelling dat Suriname zijn omvangrijke </t>
  </si>
  <si>
    <t xml:space="preserve">overheidsapparaat gaat inzetten voor de toename van de productiviteit in bedrijven. De stijging </t>
  </si>
  <si>
    <t xml:space="preserve">van het inkomen per hoofd van de bevolking is immers per definitie gelijk aan de stijging van de </t>
  </si>
  <si>
    <t xml:space="preserve">productiviteit, het BNP per werkende (als het aantal werkenden even hard stijgt als de bevolking). </t>
  </si>
  <si>
    <t xml:space="preserve">Zo leidt beter onderwijs tot meer kennis, betere infrastructuur tot minder reistijdverlies, een </t>
  </si>
  <si>
    <t xml:space="preserve">werkend pompgemaal in Wakay tot meer rijstproductie per hectare, etc. Zie Suriname scenario </t>
  </si>
  <si>
    <t xml:space="preserve">2015-2030 op www.stuseco.org. Het Surinaamse planbureau kan in samenwerking met ieder </t>
  </si>
  <si>
    <t xml:space="preserve">ministerie in kaart brengen welke directe en indirecte bijdrage dat ministerie kan leveren aan de </t>
  </si>
  <si>
    <t xml:space="preserve">nationale productiviteitsverbetering. We nemen als target 1% per jaar. Als de productiviteit stijgt, </t>
  </si>
  <si>
    <t xml:space="preserve">dan neemt per definitie de prijs/kostenquote af. Anders gezegd, de concurrentiepositie verbetert </t>
  </si>
  <si>
    <t xml:space="preserve">en dat stimuleert de groei van de export en importvervanging. We nemen als vuistregel dat 1% </t>
  </si>
  <si>
    <t xml:space="preserve">productiviteitstoename per jaar kan leiden tot 2% meer export en 2% meer import vervanging per </t>
  </si>
  <si>
    <t xml:space="preserve">jaar. We veronderstellen dat dit een 6% hoger niveau van investeringen in bedrijven vergt. De </t>
  </si>
  <si>
    <t xml:space="preserve">productiviteitsgroei, exportgroei, importvervanging en hoger niveau van bedrijfsinvesteringen zijn </t>
  </si>
  <si>
    <t xml:space="preserve">als input in het MacroabcSU model opgenomen. Daarmee kunnen de gevolgen voor de export, de </t>
  </si>
  <si>
    <t>toename van investeringen, meer deviezen, minder wisselkoersstijging berekend worden.</t>
  </si>
  <si>
    <t xml:space="preserve">Let wel de uitkomsten zijn even onnauwkeurig als de input. Dus het model levert geen bewijs dat </t>
  </si>
  <si>
    <t xml:space="preserve">productiviteitsgroei leidt tot ontwikkeling, maar illustreert deze samenhang wel. Overigens </t>
  </si>
  <si>
    <t xml:space="preserve">kunnen met behulp van het Macroabc, Surya en/of CBvSMOD model gemakkelijk </t>
  </si>
  <si>
    <t xml:space="preserve">gevoeligheidsscenario’s worden berekend. De extra exportgroei en de groei van de import </t>
  </si>
  <si>
    <t xml:space="preserve">vervangende industrie wordt ook gestimuleerd door de verbetering van de concurrentiepositie </t>
  </si>
  <si>
    <t xml:space="preserve">vanwege de depreciatie van de SRD. </t>
  </si>
  <si>
    <t xml:space="preserve">Op ww.stuseco.org staat ook het Paper “Suriname scenario 2015-2030” met een uiteenzetting </t>
  </si>
  <si>
    <t xml:space="preserve">over het belang van stabilisatie van de economie en de rol van productiviteitstijging als basis voor </t>
  </si>
  <si>
    <t xml:space="preserve">de ontwikkeling van Suriname. </t>
  </si>
  <si>
    <t xml:space="preserve">Tabel 3 Model Resultaten Scenario deel 1+2. </t>
  </si>
  <si>
    <t>Resultaten van het Scenario deel 1+2:</t>
  </si>
  <si>
    <t xml:space="preserve">Het scenario deel 1+2 geeft niet alleen koersstabiliteit per 2021, maar ook voor alle doelvariabelen </t>
  </si>
  <si>
    <t xml:space="preserve">betere uitkomsten dan de baseline voor de jaren 2021-2025. In het Scenario worden er dus </t>
  </si>
  <si>
    <t xml:space="preserve">minder offers gebracht dan in de baseline. Het scenario kan echter het verleden en het lopende </t>
  </si>
  <si>
    <t xml:space="preserve">jaar 2020 niet meer veranderen. </t>
  </si>
  <si>
    <t xml:space="preserve">De resultaten geven aan dat, nu een uniforme marktconforme zwevende koers is geïmplementeerd </t>
  </si>
  <si>
    <t xml:space="preserve">en in de komende maanden een beleid van verzwaring van de belastingen, vermindering van de </t>
  </si>
  <si>
    <t xml:space="preserve">energiesubsidies en vermindering van de overheidsuitgaven wordt ingezet, en er enige extra groei </t>
  </si>
  <si>
    <t xml:space="preserve">van export en importvervanging wordt gerealiseerd, er in 2021 koers stabiliteit kan worden </t>
  </si>
  <si>
    <t xml:space="preserve">bereikt, dat de deviezenvoorraad boven de 3 maanden invoer komt en de inflatie weg ebt. De </t>
  </si>
  <si>
    <t xml:space="preserve">monetaire financiering door de overheid zal afnemen tot minder dan 3% van BBP, terwijl de </t>
  </si>
  <si>
    <t xml:space="preserve">inflatie na 2022 zal wegebben naar gemiddeld 4% per jaar. De reële lonen zullen na 2021 niet </t>
  </si>
  <si>
    <t xml:space="preserve">verder zakken en het reële BBP kan met 6 tot 7% per jaar stijgen. </t>
  </si>
  <si>
    <t xml:space="preserve">Kanttekeningen. </t>
  </si>
  <si>
    <t xml:space="preserve">In de eerste plaats zijn de data over het verleden vaak minder accuraat. In de tweede plaats zijn </t>
  </si>
  <si>
    <t xml:space="preserve">vele gedragsrelaties minder nauwkeurig bekend. In de derde plaats hebben onze </t>
  </si>
  <si>
    <t xml:space="preserve">veronderstellingen het karakter van een assumptie, waarbij een concrete onderbouwing nog moet </t>
  </si>
  <si>
    <t xml:space="preserve">worden gemaakt door de betreffende instanties (zoals Stichting Planbureau Suriname). Onder </t>
  </si>
  <si>
    <t xml:space="preserve">deze omstandigheden zijn de gevonden uitkomsten van het model geen bewijs, maar slechts </t>
  </si>
  <si>
    <t xml:space="preserve">indicaties. Mede om die reden staat het complete, draaiende MacroabcSU model inclusief Manual </t>
  </si>
  <si>
    <t xml:space="preserve">als shareware op het Internet (rechts bovenin www.stuseco.org). De Stichting Planbureau </t>
  </si>
  <si>
    <t xml:space="preserve">Suriname kan met het uitgebreidere Suryamodel (inclusief het Micro blok voor ieder van de 10 </t>
  </si>
  <si>
    <t xml:space="preserve">belangrijkste exportproducten, en de grotere detaillering in belastingen) en zijn toegang tot </t>
  </si>
  <si>
    <t xml:space="preserve">concrete beleidsvoornemens in plaats van assumpties tezijnertijd meer gedetailleerde </t>
  </si>
  <si>
    <t>berekeningen uitvoeren.</t>
  </si>
  <si>
    <t>Aandachtspunten:</t>
  </si>
  <si>
    <t xml:space="preserve">De belastingen moeten al in het vierde kwartaal van 2020 worden verhoogd. Ook de </t>
  </si>
  <si>
    <t xml:space="preserve">energiesubsidies moeten worden verlaagd, en er moet onmiddellijk een personeelstop bij </t>
  </si>
  <si>
    <t xml:space="preserve">de overheid worden ingevoerd. </t>
  </si>
  <si>
    <t xml:space="preserve">De unificatie van de wisselkoersen is meteen na 18 september uitgevoerd. Het beoogd </t>
  </si>
  <si>
    <t xml:space="preserve">effect is dat de invoerrechten automatisch omhooggaan want die werden  voordien </t>
  </si>
  <si>
    <t xml:space="preserve">berekend op de lage CBvS koers. Effectief hogere invoerrechten verbeteren ook de </t>
  </si>
  <si>
    <t xml:space="preserve">concurrentiepositie van de import vervangende landbouw en industrie.  </t>
  </si>
  <si>
    <t xml:space="preserve">De verdere onderbouwing van de assumpties moeten door specialisten van het Planbureau </t>
  </si>
  <si>
    <t xml:space="preserve">CBvS en de Ministeries worden gemaakt en worden doorgerekend met het Suryamodel </t>
  </si>
  <si>
    <t xml:space="preserve">door SPS. (Het Surya model kent meer detail in de belastingen en export per product en </t>
  </si>
  <si>
    <t xml:space="preserve">het SPS heeft de beschikken over niet publiekelijk toegankelijke informatie.) </t>
  </si>
  <si>
    <t xml:space="preserve">In deze doorrekening is geen rekening gehouden met winning van olie op zee, want dat </t>
  </si>
  <si>
    <t xml:space="preserve">start pas in of rond 2026. (Maar kan nu al bijdragen tot herstel van de kredietwaardigheid </t>
  </si>
  <si>
    <t>van Suriname).</t>
  </si>
  <si>
    <t xml:space="preserve">Deze notitie geeft een indicatieve doorrekening van het door de DNA op 18 september </t>
  </si>
  <si>
    <t xml:space="preserve">goedgekeurde pakket van maatregelen, en aanvullende veronderstellingen betreffende groei van </t>
  </si>
  <si>
    <t xml:space="preserve">export en importvervanging. </t>
  </si>
  <si>
    <t>Gevoeligheidsvariant:</t>
  </si>
  <si>
    <t xml:space="preserve">Zoals gezegd kennen dit soort modelberekeningen onnauwkeurigheden. Dat geldt in het </t>
  </si>
  <si>
    <t xml:space="preserve">bijzonder voor de wisselkoers berekeningen. Die kan niet alleen veranderen wegens </t>
  </si>
  <si>
    <t xml:space="preserve">veranderingen in de lopende rekening van de Betalingsbalans (daar wordt rekening mee </t>
  </si>
  <si>
    <t xml:space="preserve">gehouden), maar ook door veranderingen in toestroom dan wel afvloeiingen van kapitaal </t>
  </si>
  <si>
    <t xml:space="preserve">vanwege veranderingen in de liquiditeitsquote (daar wordt niet automatisch rekening mee </t>
  </si>
  <si>
    <t xml:space="preserve">gehouden). </t>
  </si>
  <si>
    <t xml:space="preserve">De modelaannames zijn deels provisorisch en de uitkomsten zijn daarom slechts indicatief. Dit </t>
  </si>
  <si>
    <t xml:space="preserve">zijn conceptberekeningen die nadere precisering vereisen door onderbouwing van de assumpties </t>
  </si>
  <si>
    <t xml:space="preserve">terzake concretisering van diverse belastingen en exportproducten door Planbureau met zijn meer </t>
  </si>
  <si>
    <t>gedetailleerde Suryamodel.</t>
  </si>
  <si>
    <t xml:space="preserve">(*) Het Macroabc model staat draaiend als shareware op www.stuseco.org Zie rechts bovenin klik </t>
  </si>
  <si>
    <t>op MacroabcJan2020. In dat model staat een sheet ARTIKEL met deze notitie.</t>
  </si>
  <si>
    <t>Bijlage: technische toelichting bij wisselkoers methodiek.</t>
  </si>
  <si>
    <t xml:space="preserve">Voor uitleg over Macroabc , zie sheet Manual. Technisch gezien is de wisselkoers exogeen, </t>
  </si>
  <si>
    <t xml:space="preserve">gebaseerd op de assumptie dat die gelijk is aan die van het voorafgaande jaar. Dat was ook zo in </t>
  </si>
  <si>
    <t xml:space="preserve">de jaren tot 1987, 1995-1998, 2003-2015, 2017-2019. In de tussenliggende periodes waren er </t>
  </si>
  <si>
    <t xml:space="preserve">vele depreciaties. In de jaren waarin de koers beweegt (altijd naar boven  alleen in 1996 een beetje </t>
  </si>
  <si>
    <t xml:space="preserve">naar beneden) hanteren we een semi-automatische endogene raming van de wisselkoers. Dat </t>
  </si>
  <si>
    <t xml:space="preserve">werkt als volgt: als bij het maken van een raming ex ante de deviezenvoorraad minder dan 3 </t>
  </si>
  <si>
    <t xml:space="preserve">maanden invoer is, voegen we een add factor toe aan de koers. Dat geeft een hogere koers. </t>
  </si>
  <si>
    <t xml:space="preserve">Daardoor stijgen de prijzen en daardoor neemt de invoer af.  Als de deviezenvoorraad dan nog </t>
  </si>
  <si>
    <t xml:space="preserve">steeds minder dan 3 maanden invoer is, volgt er opnieuw met de hand een hogere koers, net zo </t>
  </si>
  <si>
    <t xml:space="preserve">lang totdat de deviezenvoorraad gelijk is aan 3 maanden invoer. Dankzij dit iteratieve handmatig </t>
  </si>
  <si>
    <t xml:space="preserve">bijsturen is de koers niet meer exogeen, maar endogeen. Aldus kan men met Macroabc en </t>
  </si>
  <si>
    <t xml:space="preserve">Suryamodel en CBMOD wisselkoers ramingen maken. Die ramingen komen slechts uit als alle </t>
  </si>
  <si>
    <t xml:space="preserve">assumpties kloppen met de realisaties. Eén van die assumpties is de goudprijs.  Die laat zich niet </t>
  </si>
  <si>
    <t xml:space="preserve">nauwkeurig ramen. En dat werkt door in vrijwel alle variabelen van het model.  Daarnaast kan een </t>
  </si>
  <si>
    <t xml:space="preserve">eventuele overliquiditeit leiden tot kapitaalafvloeiing. Dat heeft gevolgen voor de </t>
  </si>
  <si>
    <t>deviezenvoorraad, en dat werkt dan weer door in de wisselkoers.</t>
  </si>
  <si>
    <t>Artikel in Starnieuws 24 september 2020</t>
  </si>
  <si>
    <t>Gerard Lau en Marein van Schaaijk, Paramaribo en Den Haag 24 sept  2020</t>
  </si>
  <si>
    <t>Macroabc 28 dec 2020 A</t>
  </si>
  <si>
    <t>MacroabcSU 24 sept 2020 op homepage Stuseco Model Suriname</t>
  </si>
  <si>
    <t>gelijk aan bovenstaande</t>
  </si>
  <si>
    <t>Macroabc 28 dec 2020 B</t>
  </si>
  <si>
    <t>Gelijk aan  bovenstaande, maar met DNA1+2 pakket verwijderd, dus de oude base line</t>
  </si>
  <si>
    <t>TOELICHTING</t>
  </si>
  <si>
    <t>Zie TOELICHTING</t>
  </si>
  <si>
    <t>MacroabcSU 28 dec  2020</t>
  </si>
  <si>
    <t xml:space="preserve">SRD Millions </t>
  </si>
  <si>
    <t>Budget impact</t>
  </si>
  <si>
    <t>A. Revenue increasing measures</t>
  </si>
  <si>
    <t>SRDm</t>
  </si>
  <si>
    <t>Adjustment of royalties in small-scale gold mining from 2.75% to 7.5%</t>
  </si>
  <si>
    <t>Adjustment of the sales tax on imports from 10% to 12%</t>
  </si>
  <si>
    <t>Introduction of BTW</t>
  </si>
  <si>
    <r>
      <t>Tax collection arrears</t>
    </r>
    <r>
      <rPr>
        <sz val="8"/>
        <color indexed="53"/>
        <rFont val="Arial"/>
        <family val="2"/>
      </rPr>
      <t xml:space="preserve"> &amp; Outstanding Taxes (consider split)</t>
    </r>
  </si>
  <si>
    <t>Solidarity levy of 10%</t>
  </si>
  <si>
    <t>Recast exemptions on capital investments and semi-finished products</t>
  </si>
  <si>
    <t>Land lease fee</t>
  </si>
  <si>
    <t>Land lease conversion &amp; sales</t>
  </si>
  <si>
    <t>Continuation of tax credit of SRD 750.00 per month until the moment of introduction of the Value Added Tax (VAT)</t>
  </si>
  <si>
    <t>B. Expenditure reducing measures</t>
  </si>
  <si>
    <t>BAZO plus health care rationalization</t>
  </si>
  <si>
    <t>Re-employment Civil servants in other (private) sectors</t>
  </si>
  <si>
    <t>Reduction of the electricity subsidies</t>
  </si>
  <si>
    <t>Total fiscal consolidation (A+B)</t>
  </si>
  <si>
    <t>C. Social measures</t>
  </si>
  <si>
    <t xml:space="preserve">Social measures without salary increase </t>
  </si>
  <si>
    <t>Shift from object to subject subsidy for electricity only</t>
  </si>
  <si>
    <t>Increase of general old-day provision (AOV) from SRD 525.00 to SRD 750.00 per month as from November 1, 2020.</t>
  </si>
  <si>
    <t>Increase of general child benefit from SRD 50.00 to SRD 75.00 per month as of November 1, 2020</t>
  </si>
  <si>
    <t>Increase of financial assistance from SRD 375.00 to SRD 500.00 per month as of November 1, 2020</t>
  </si>
  <si>
    <t>Make SRD 200 million available for the food packages</t>
  </si>
  <si>
    <t>COVID support</t>
  </si>
  <si>
    <t>Wage and salary increase civil servants with 25%</t>
  </si>
  <si>
    <t>Net impact (A+B+C)</t>
  </si>
  <si>
    <t>Wisselkoers voor de USD in de baseline</t>
  </si>
  <si>
    <t>Wisselkoers voor de USD in het beleidspakket</t>
  </si>
  <si>
    <t xml:space="preserve">Scenario-1 : beleidspakket incl subsidie aan EBS + jaarlijks additionele investeringen voor de overheid USD 110 mln en voor de particuliere sector USD 185 mln </t>
  </si>
  <si>
    <t xml:space="preserve">Scenario-2 : beleidspakket incl. subsidie aan EBS + jaarlijks additionele investeringen voor de overheid USD 150 mln en voor de particuliere sector USD 300 mln </t>
  </si>
  <si>
    <t xml:space="preserve">Scenario-3 : beleidspakket excl. subsidie aan EBS + jaarlijks additionele investeringen voor de overheid USD 110 mln en voor de particuliere sector USD 185 mln </t>
  </si>
  <si>
    <t xml:space="preserve">Scenario-4 : beleidspakket excl. subsidie aan EBS + jaarlijks additionele investeringen voor de overheid USD 150 mln en voor de particuliere sector USD 300 mln </t>
  </si>
  <si>
    <t>(de gehanteerde wisselkoers voor de additionele investerringen is 14,29 voor USD1)</t>
  </si>
  <si>
    <t>Beleidspakket SHP</t>
  </si>
  <si>
    <t>Na herschiking van bovenstaande tabel</t>
  </si>
  <si>
    <t>grond belasting</t>
  </si>
  <si>
    <t>materiele overheid consumptie</t>
  </si>
  <si>
    <t>reemployment civil servants</t>
  </si>
  <si>
    <t>elektriciteitssubsidies</t>
  </si>
  <si>
    <t>pensioen</t>
  </si>
  <si>
    <t>BU40</t>
  </si>
  <si>
    <t>sociale subsidies</t>
  </si>
  <si>
    <t>overige subsidies</t>
  </si>
  <si>
    <t>BU41</t>
  </si>
  <si>
    <t>loonsverhoging landsdienaren</t>
  </si>
  <si>
    <t>efecten op het budget:</t>
  </si>
  <si>
    <t>investeringen overheid extra</t>
  </si>
  <si>
    <t>investeringen bedrijven extra</t>
  </si>
  <si>
    <t>BU51</t>
  </si>
  <si>
    <t>BU54</t>
  </si>
  <si>
    <t>BU36</t>
  </si>
  <si>
    <t>BU38</t>
  </si>
  <si>
    <t>BU11</t>
  </si>
  <si>
    <t>BU45</t>
  </si>
  <si>
    <t>Bu57</t>
  </si>
  <si>
    <t>BU58</t>
  </si>
  <si>
    <t>BU33</t>
  </si>
  <si>
    <t>?</t>
  </si>
  <si>
    <t>en in logboek SHP pakket ingevoerd.</t>
  </si>
  <si>
    <t>Macroabc 28 dec 2020 C</t>
  </si>
  <si>
    <t>berekeningen in logboek uitgevoerd.</t>
  </si>
  <si>
    <t xml:space="preserve">pensioen uitkeringen totaaal mln </t>
  </si>
  <si>
    <t>BV</t>
  </si>
  <si>
    <t>BW</t>
  </si>
  <si>
    <t>BU</t>
  </si>
  <si>
    <t>BT</t>
  </si>
  <si>
    <t>add factor via sheet ASSUMPTIES</t>
  </si>
  <si>
    <t>Macroabc 28 dec 2020 D</t>
  </si>
  <si>
    <t>Add factoren van logboek naaar Assumpties gebracht</t>
  </si>
  <si>
    <t>foreign financing gov.: netto op nul gezet  De 107 mln US$ aflossingen dus precies gefinancird door  extra leningen</t>
  </si>
  <si>
    <t xml:space="preserve">in </t>
  </si>
  <si>
    <t>e.v. Sheet SOURCE 474 *0</t>
  </si>
  <si>
    <t>Wel:</t>
  </si>
  <si>
    <t xml:space="preserve">foreign financing gov.: zie hironder </t>
  </si>
  <si>
    <t>Koersen aangepast</t>
  </si>
  <si>
    <t>die zit er al in in de base line, dus niet meeenemen</t>
  </si>
  <si>
    <t>hier, maar in 2022 etc.</t>
  </si>
  <si>
    <t xml:space="preserve">zie hieronder </t>
  </si>
  <si>
    <t>x</t>
  </si>
  <si>
    <t>in de base line zit al  900   mln US$ aan particuliee investeringen.</t>
  </si>
  <si>
    <t>Koers in deze technische baseline even gezet op 18 in 2021 e.v.  (-+37% in 2021)</t>
  </si>
  <si>
    <t>en voralsnog niet:</t>
  </si>
  <si>
    <t>investeringen bedrijven extra, want dat zit al in de base line.</t>
  </si>
  <si>
    <t>Resultaten. Zie sheet Doorekening SHP vor SPS</t>
  </si>
  <si>
    <t>vooralsnog niet meegenomen:</t>
  </si>
  <si>
    <t>M2-vv/BBP toegevoegd in sheet varianten</t>
  </si>
  <si>
    <t>BU33c idem</t>
  </si>
  <si>
    <t>add factoren in</t>
  </si>
  <si>
    <t>Macroabc DNA1</t>
  </si>
  <si>
    <t>BU 40  tm BX40 +20% en</t>
  </si>
  <si>
    <t xml:space="preserve"> BU41 +18% </t>
  </si>
  <si>
    <t>BU42 en BU28 +1,6</t>
  </si>
  <si>
    <t>is deel van BU42</t>
  </si>
  <si>
    <t>nvt</t>
  </si>
  <si>
    <t>verbetering doorrekening elektriciteitssubsidies</t>
  </si>
  <si>
    <t xml:space="preserve">Macroabc 31 dec 2020 </t>
  </si>
  <si>
    <t>Macroabc 1 jan 2021</t>
  </si>
  <si>
    <t>Zie sheet doorekening vergelijking</t>
  </si>
  <si>
    <t>Macroabc 8 jan 2021 B</t>
  </si>
  <si>
    <t>uit tabel 1 financieringsoverzicht op kasnasis in stukken VES</t>
  </si>
  <si>
    <t>update ovrheidsinkomsten en uitgaven met tabel 1, financieringsoverzicht op kasbassis vr 2019 en 2020  VES stukken sept 2020</t>
  </si>
  <si>
    <t>ad factors 2020 opnieuw berekend</t>
  </si>
  <si>
    <t>update midden koers 2020</t>
  </si>
  <si>
    <t>Total bron vanaf 2010 Bureau Staatsschuld</t>
  </si>
  <si>
    <t>QI</t>
  </si>
  <si>
    <t>=(Q1+Q2+Q3)+Q3</t>
  </si>
  <si>
    <t xml:space="preserve">aflossingen </t>
  </si>
  <si>
    <t>Bureau vor de staatsschuld</t>
  </si>
  <si>
    <t>Aflosingen uit Bureau vor de Statsschuld gehaald</t>
  </si>
  <si>
    <t>aflosingen voor 50% gedekt door nieuwe leningen. In 4 jaar is dat 518 mln US$</t>
  </si>
  <si>
    <t>Macroabc 14 jan 2021 B</t>
  </si>
  <si>
    <r>
      <t xml:space="preserve">geen add factor in lonen overheid </t>
    </r>
    <r>
      <rPr>
        <b/>
        <sz val="12"/>
        <rFont val="Times New Roman"/>
        <family val="1"/>
      </rPr>
      <t>45</t>
    </r>
  </si>
  <si>
    <t>of which foreign fin. Private  (net)  voor 2021  etc. gezet op  0 via asssumpties 59</t>
  </si>
  <si>
    <t>capital expenditure is 3-5 % BBP tot 2020, daarna 7%</t>
  </si>
  <si>
    <t>geen veerandering, dus gee effect</t>
  </si>
  <si>
    <t>regel 802 geen verandering dus geen efect.</t>
  </si>
  <si>
    <t>vooralsnog niet meegenomen er zit al een groot bedrag in.</t>
  </si>
  <si>
    <t xml:space="preserve">In 2022 wordt overall balance +6 Daarom wordtt verondesteld dat in 2023 de belastingen niet worden verhoogd. </t>
  </si>
  <si>
    <t>n in 2022 -10%</t>
  </si>
  <si>
    <t>in gov.consumptie de -50 halveren</t>
  </si>
  <si>
    <t>loonen na 2022 extra omhoog</t>
  </si>
  <si>
    <t>Wisselkoers</t>
  </si>
  <si>
    <t>gehanteerde wisselkoers</t>
  </si>
  <si>
    <t>Asumpties BV41: BW42 naar 0</t>
  </si>
  <si>
    <t>cap.exp. Gov latste 5 jar gemideld 125 mln US$ per jaar</t>
  </si>
  <si>
    <t>Amortizations</t>
  </si>
  <si>
    <t>mln  US$</t>
  </si>
  <si>
    <t>gem 278</t>
  </si>
  <si>
    <t>bron CHP</t>
  </si>
  <si>
    <t>waarvan in model</t>
  </si>
  <si>
    <t>Aflossngen gezet op 278 mln uS$ per jaar, zie in sheet SOURCE</t>
  </si>
  <si>
    <t>leningen uit buitenland daaraan gelijk gesteld. Dus de schuld blijft in US$  constant.</t>
  </si>
  <si>
    <t>FDI in behoedzaam scenario op 0 gezet.</t>
  </si>
  <si>
    <t>in Model 144  in 2021 = waardein2020  (tekort van 185 mln US$ )</t>
  </si>
  <si>
    <t>Igov +209 mln US$</t>
  </si>
  <si>
    <t xml:space="preserve">Buitenlandse leningen oveheid  </t>
  </si>
  <si>
    <t>mln US$ extra</t>
  </si>
  <si>
    <t>in Ass. BU57</t>
  </si>
  <si>
    <t>Export  2% p.j. extra vanaf 2022</t>
  </si>
  <si>
    <t>Importvervanging  ,,      ,,</t>
  </si>
  <si>
    <t>productiviteit  1% per jaar extra  ,,</t>
  </si>
  <si>
    <t>in SOURCE BU471  +140</t>
  </si>
  <si>
    <t>Doorrekening CHP januari 2021</t>
  </si>
  <si>
    <t>Einde</t>
  </si>
  <si>
    <t>CBvS Koers SRD/US$</t>
  </si>
  <si>
    <t>cambio koersen</t>
  </si>
  <si>
    <t>jaargem2020</t>
  </si>
  <si>
    <t>trend jan/okt</t>
  </si>
  <si>
    <t>midden koers per maand weging 50/50</t>
  </si>
  <si>
    <t xml:space="preserve">     oude  baseline</t>
  </si>
  <si>
    <t xml:space="preserve">      verschil met oude baseline</t>
  </si>
  <si>
    <t>baseline nieuw gemaakt (kopieer 2017 t/m 2033 naar rechts in shet Model en sheet Key)</t>
  </si>
  <si>
    <t>update moncpi</t>
  </si>
  <si>
    <t>FDI +8 mln US$</t>
  </si>
  <si>
    <t>behoedzaam  scenario CHP</t>
  </si>
  <si>
    <t>Macroabc 23 jan 2021 Behoedzaam</t>
  </si>
  <si>
    <t>Macroabc 23 jan 2021 Optimistisch</t>
  </si>
  <si>
    <t>Sheet doorrekeningen vergelijking is verwijderd.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</si>
</sst>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-* #,##0.00_-;\-* #,##0.00_-;_-* &quot;-&quot;??_-;_-@_-"/>
    <numFmt numFmtId="171" formatCode="_-* #,##0.00\ _€_-;\-* #,##0.00\ _€_-;_-* &quot;-&quot;??\ _€_-;_-@_-"/>
    <numFmt numFmtId="172" formatCode="#,##0.0"/>
    <numFmt numFmtId="173" formatCode="0.0"/>
    <numFmt numFmtId="174" formatCode="#,##0.000"/>
    <numFmt numFmtId="175" formatCode="0.0_)"/>
    <numFmt numFmtId="176" formatCode="0.0%"/>
    <numFmt numFmtId="177" formatCode="#,##0.0000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#,##0.0_);\(#,##0.0\)"/>
    <numFmt numFmtId="184" formatCode="mmmm\-yy"/>
    <numFmt numFmtId="185" formatCode="_-&quot;$&quot;* #,##0_-;\-&quot;$&quot;* #,##0_-;_-&quot;$&quot;* &quot;-&quot;_-;_-@_-"/>
    <numFmt numFmtId="186" formatCode="0.0000%"/>
    <numFmt numFmtId="187" formatCode="#,##0\ &quot;F&quot;;[Red]\-#,##0\ &quot;F&quot;"/>
    <numFmt numFmtId="188" formatCode="#,##0.00\ &quot;F&quot;;\-#,##0.00\ &quot;F&quot;"/>
    <numFmt numFmtId="189" formatCode="[Black]#,##0.0;[Black]\-#,##0.0;;"/>
    <numFmt numFmtId="190" formatCode="[Black][&gt;0.05]#,##0.0;[Black][&lt;-0.05]\-#,##0.0;;"/>
    <numFmt numFmtId="191" formatCode="[Black][&gt;0.5]#,##0;[Black][&lt;-0.5]\-#,##0;;"/>
    <numFmt numFmtId="192" formatCode="_-&quot;$&quot;* #,##0.00_-;\-&quot;$&quot;* #,##0.00_-;_-&quot;$&quot;* &quot;-&quot;??_-;_-@_-"/>
    <numFmt numFmtId="193" formatCode="#,##0&quot;£&quot;_);\(#,##0&quot;£&quot;\)"/>
    <numFmt numFmtId="194" formatCode="0.000000"/>
    <numFmt numFmtId="195" formatCode="_-* #,##0.00_-;_-* #,##0.00\-;_-* &quot;-&quot;??_-;_-@_-"/>
    <numFmt numFmtId="196" formatCode="[&gt;=0.05]#,##0.0;[&lt;=-0.05]\-#,##0.0;?0.0"/>
    <numFmt numFmtId="197" formatCode="_([$€-2]* #,##0.00_);_([$€-2]* \(#,##0.00\);_([$€-2]* &quot;-&quot;??_)"/>
    <numFmt numFmtId="198" formatCode="0.00_)"/>
    <numFmt numFmtId="199" formatCode="_-* #,##0.00_-;\-* #,##0.00_-;_-* \-??_-;_-@_-"/>
    <numFmt numFmtId="200" formatCode="_(* #,##0.00_);_(* \(#,##0.00\);_(* \-??_);_(@_)"/>
    <numFmt numFmtId="201" formatCode="_(* #,##0_);_(* \(#,##0\);_(* \-??_);_(@_)"/>
    <numFmt numFmtId="202" formatCode="#,##0;[Red]\(#,##0\)"/>
    <numFmt numFmtId="203" formatCode="_(* #,##0.0_);_(* \(#,##0.0\);_(* \-??_);_(@_)"/>
    <numFmt numFmtId="204" formatCode="_([$€-2]* #,##0.00_);_([$€-2]* \(#,##0.00\);_([$€-2]* \-??_)"/>
    <numFmt numFmtId="205" formatCode="_-* #,##0.0000000_-;\-* #,##0.0000000_-;_-* \-??_-;_-@_-"/>
    <numFmt numFmtId="206" formatCode="\ #,##0.00\ ;&quot; (&quot;#,##0.00\);&quot; -&quot;#\ ;\ @\ "/>
    <numFmt numFmtId="207" formatCode="_-* #,##0_-;\-* #,##0_-;_-* \-_-;_-@_-"/>
    <numFmt numFmtId="208" formatCode="\ #,##0.00\ ;\-#,##0.00\ ;&quot; -&quot;#\ ;\ @\ "/>
    <numFmt numFmtId="209" formatCode="_ * #,##0.00_ ;_ * \-#,##0.00_ ;_ * \-??_ ;_ @_ "/>
    <numFmt numFmtId="210" formatCode="_-* #,##0.0_-;\-* #,##0.0_-;_-* \-??_-;_-@_-"/>
    <numFmt numFmtId="211" formatCode="_(\$* #,##0.00_);_(\$* \(#,##0.00\);_(\$* \-??_);_(@_)"/>
    <numFmt numFmtId="212" formatCode="\$#,##0_);&quot;($&quot;#,##0\)"/>
    <numFmt numFmtId="213" formatCode="General_)"/>
    <numFmt numFmtId="214" formatCode="#,#00"/>
    <numFmt numFmtId="215" formatCode="#,"/>
    <numFmt numFmtId="216" formatCode="mmm\ d&quot;, &quot;yy"/>
    <numFmt numFmtId="217" formatCode="_(* #,##0_);_(* \(#,##0\);_(* \-_);_(@_)"/>
    <numFmt numFmtId="218" formatCode="&quot;Cr$&quot;#,##0_);[Red]&quot;(Cr$&quot;#,##0\)"/>
    <numFmt numFmtId="219" formatCode="&quot;Cr$&quot;#,##0.00_);[Red]&quot;(Cr$&quot;#,##0.00\)"/>
    <numFmt numFmtId="220" formatCode="\$#,"/>
    <numFmt numFmtId="221" formatCode="_(\$* #,##0_);_(\$* \(#,##0\);_(\$* \-_);_(@_)"/>
    <numFmt numFmtId="222" formatCode="\$#,#00"/>
    <numFmt numFmtId="223" formatCode="\ [$€]#,##0.00\ ;\ [$€]\(#,##0.00\);\ [$€]\-#\ "/>
    <numFmt numFmtId="224" formatCode="\ #,##0.00000\ ;\-#,##0.00000\ ;&quot; -&quot;#\ ;\ @\ "/>
    <numFmt numFmtId="225" formatCode="#,##0.000000_);\(#,##0.000000\)"/>
    <numFmt numFmtId="226" formatCode="#,##0.0;\-#,##0.0;\-"/>
    <numFmt numFmtId="227" formatCode="0.000"/>
    <numFmt numFmtId="228" formatCode="#,##0.00000"/>
    <numFmt numFmtId="229" formatCode="_-* #,##0.0_-;_-* #,##0.0\-;_-* &quot;-&quot;??_-;_-@_-"/>
    <numFmt numFmtId="230" formatCode="&quot;€ &quot;#,##0;&quot;€ &quot;\(#,##0\);&quot;-&quot;"/>
    <numFmt numFmtId="231" formatCode="#,##0;\(#,##0\);&quot;-&quot;"/>
  </numFmts>
  <fonts count="170">
    <font>
      <sz val="8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u/>
      <sz val="11"/>
      <color indexed="12"/>
      <name val="Calibri"/>
      <family val="2"/>
    </font>
    <font>
      <sz val="8"/>
      <name val="Calibri"/>
      <family val="2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sz val="10"/>
      <name val="Courier"/>
      <family val="3"/>
    </font>
    <font>
      <b/>
      <sz val="16"/>
      <color indexed="8"/>
      <name val="Times New Roman"/>
      <family val="1"/>
    </font>
    <font>
      <sz val="9"/>
      <name val="Times New Roman"/>
      <family val="1"/>
    </font>
    <font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0"/>
      <name val="Arial Narrow"/>
      <family val="2"/>
    </font>
    <font>
      <b/>
      <sz val="10"/>
      <color indexed="8"/>
      <name val="Times New Roman"/>
      <family val="1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ms Rmn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ms Rmn"/>
    </font>
    <font>
      <u/>
      <sz val="11"/>
      <color indexed="39"/>
      <name val="Calibri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Verdana"/>
      <family val="2"/>
    </font>
    <font>
      <sz val="1"/>
      <color indexed="8"/>
      <name val="Courier New"/>
      <family val="3"/>
    </font>
    <font>
      <i/>
      <sz val="1"/>
      <color indexed="8"/>
      <name val="Courier New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b/>
      <sz val="1"/>
      <color indexed="8"/>
      <name val="Courier New"/>
      <family val="3"/>
    </font>
    <font>
      <u/>
      <sz val="10"/>
      <color indexed="12"/>
      <name val="Courier New"/>
      <family val="3"/>
    </font>
    <font>
      <u/>
      <sz val="10"/>
      <color indexed="20"/>
      <name val="Courier New"/>
      <family val="3"/>
    </font>
    <font>
      <u/>
      <sz val="5"/>
      <color indexed="12"/>
      <name val="Courier New"/>
      <family val="3"/>
    </font>
    <font>
      <u/>
      <sz val="10"/>
      <color indexed="20"/>
      <name val="Arial"/>
      <family val="2"/>
    </font>
    <font>
      <sz val="10"/>
      <color indexed="8"/>
      <name val="Arial1"/>
    </font>
    <font>
      <sz val="12"/>
      <name val="Helv"/>
    </font>
    <font>
      <sz val="13"/>
      <name val="Helv"/>
    </font>
    <font>
      <b/>
      <sz val="8"/>
      <color indexed="9"/>
      <name val="Arial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indexed="39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Sylfaen"/>
      <family val="1"/>
    </font>
    <font>
      <u/>
      <sz val="11"/>
      <color indexed="12"/>
      <name val="Sylfaen"/>
      <family val="1"/>
    </font>
    <font>
      <sz val="11"/>
      <color indexed="8"/>
      <name val="Sylfaen"/>
      <family val="1"/>
    </font>
    <font>
      <i/>
      <sz val="11"/>
      <color indexed="8"/>
      <name val="Sylfaen"/>
      <family val="1"/>
    </font>
    <font>
      <b/>
      <i/>
      <sz val="11"/>
      <color indexed="8"/>
      <name val="Sylfaen"/>
      <family val="1"/>
    </font>
    <font>
      <i/>
      <sz val="12"/>
      <name val="Times New Roman"/>
      <family val="1"/>
    </font>
    <font>
      <u/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9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59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i/>
      <vertAlign val="superscript"/>
      <sz val="5"/>
      <name val="Times New Roman"/>
      <family val="1"/>
    </font>
    <font>
      <sz val="8"/>
      <name val="Times New Roman"/>
      <family val="1"/>
    </font>
    <font>
      <sz val="12"/>
      <color indexed="10"/>
      <name val="Calibri"/>
      <family val="2"/>
    </font>
    <font>
      <sz val="18"/>
      <color indexed="56"/>
      <name val="Cambria"/>
      <family val="2"/>
    </font>
    <font>
      <sz val="12"/>
      <color indexed="62"/>
      <name val="Times New Roman"/>
      <family val="1"/>
    </font>
    <font>
      <u/>
      <sz val="7.55"/>
      <color indexed="12"/>
      <name val="Helv"/>
    </font>
    <font>
      <sz val="11"/>
      <color indexed="9"/>
      <name val="Times New Roman"/>
      <family val="1"/>
    </font>
    <font>
      <sz val="6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4"/>
      <color indexed="12"/>
      <name val="Calibri"/>
      <family val="2"/>
    </font>
    <font>
      <b/>
      <sz val="12"/>
      <name val="Calibri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color indexed="62"/>
      <name val="Times New Roman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sz val="9"/>
      <color indexed="10"/>
      <name val="Calibri"/>
      <family val="2"/>
    </font>
    <font>
      <sz val="8"/>
      <color indexed="10"/>
      <name val="Calibri"/>
      <family val="2"/>
    </font>
    <font>
      <sz val="12"/>
      <name val="Calibri"/>
      <family val="2"/>
    </font>
    <font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i/>
      <sz val="14"/>
      <name val="Times New Roman"/>
      <family val="1"/>
    </font>
    <font>
      <u/>
      <sz val="11"/>
      <name val="Calibri"/>
      <family val="2"/>
    </font>
    <font>
      <u/>
      <sz val="12"/>
      <name val="Times New Roman"/>
      <family val="1"/>
    </font>
    <font>
      <b/>
      <sz val="11"/>
      <name val="Calibri"/>
      <family val="2"/>
    </font>
    <font>
      <i/>
      <sz val="16"/>
      <name val="Times New Roman"/>
      <family val="1"/>
    </font>
    <font>
      <sz val="14"/>
      <name val="Calibri"/>
      <family val="2"/>
    </font>
    <font>
      <b/>
      <sz val="14"/>
      <name val="Calibri"/>
      <family val="2"/>
    </font>
    <font>
      <sz val="14"/>
      <color indexed="10"/>
      <name val="Calibri"/>
      <family val="2"/>
    </font>
    <font>
      <b/>
      <sz val="14"/>
      <color indexed="10"/>
      <name val="Calibri"/>
      <family val="2"/>
    </font>
    <font>
      <b/>
      <sz val="20"/>
      <color indexed="10"/>
      <name val="Garamond"/>
      <family val="1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color indexed="53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indexed="62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FF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1"/>
        <bgColor indexed="40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15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6"/>
      </patternFill>
    </fill>
    <fill>
      <patternFill patternType="solid">
        <fgColor indexed="62"/>
        <bgColor indexed="56"/>
      </patternFill>
    </fill>
    <fill>
      <patternFill patternType="solid">
        <fgColor indexed="19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9"/>
        <bgColor indexed="34"/>
      </patternFill>
    </fill>
    <fill>
      <patternFill patternType="solid">
        <fgColor indexed="24"/>
        <bgColor indexed="46"/>
      </patternFill>
    </fill>
    <fill>
      <patternFill patternType="solid">
        <fgColor indexed="41"/>
        <bgColor indexed="27"/>
      </patternFill>
    </fill>
    <fill>
      <patternFill patternType="solid">
        <fgColor indexed="34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22"/>
      </patternFill>
    </fill>
    <fill>
      <patternFill patternType="solid">
        <fgColor indexed="52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68">
    <xf numFmtId="0" fontId="0" fillId="0" borderId="0"/>
    <xf numFmtId="0" fontId="63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21" fillId="0" borderId="0"/>
    <xf numFmtId="178" fontId="21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1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4" fillId="0" borderId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50" fillId="2" borderId="0" applyNumberFormat="0" applyBorder="0" applyAlignment="0" applyProtection="0"/>
    <xf numFmtId="0" fontId="15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50" fillId="2" borderId="0" applyNumberFormat="0" applyBorder="0" applyAlignment="0" applyProtection="0"/>
    <xf numFmtId="0" fontId="2" fillId="9" borderId="0" applyNumberFormat="0" applyBorder="0" applyAlignment="0" applyProtection="0"/>
    <xf numFmtId="0" fontId="150" fillId="10" borderId="0" applyNumberFormat="0" applyBorder="0" applyAlignment="0" applyProtection="0"/>
    <xf numFmtId="0" fontId="150" fillId="2" borderId="0" applyNumberFormat="0" applyBorder="0" applyAlignment="0" applyProtection="0"/>
    <xf numFmtId="0" fontId="150" fillId="3" borderId="0" applyNumberFormat="0" applyBorder="0" applyAlignment="0" applyProtection="0"/>
    <xf numFmtId="0" fontId="150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0" fillId="3" borderId="0" applyNumberFormat="0" applyBorder="0" applyAlignment="0" applyProtection="0"/>
    <xf numFmtId="0" fontId="2" fillId="12" borderId="0" applyNumberFormat="0" applyBorder="0" applyAlignment="0" applyProtection="0"/>
    <xf numFmtId="0" fontId="150" fillId="7" borderId="0" applyNumberFormat="0" applyBorder="0" applyAlignment="0" applyProtection="0"/>
    <xf numFmtId="0" fontId="150" fillId="3" borderId="0" applyNumberFormat="0" applyBorder="0" applyAlignment="0" applyProtection="0"/>
    <xf numFmtId="0" fontId="150" fillId="4" borderId="0" applyNumberFormat="0" applyBorder="0" applyAlignment="0" applyProtection="0"/>
    <xf numFmtId="0" fontId="150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0" fillId="4" borderId="0" applyNumberFormat="0" applyBorder="0" applyAlignment="0" applyProtection="0"/>
    <xf numFmtId="0" fontId="2" fillId="14" borderId="0" applyNumberFormat="0" applyBorder="0" applyAlignment="0" applyProtection="0"/>
    <xf numFmtId="0" fontId="150" fillId="13" borderId="0" applyNumberFormat="0" applyBorder="0" applyAlignment="0" applyProtection="0"/>
    <xf numFmtId="0" fontId="150" fillId="4" borderId="0" applyNumberFormat="0" applyBorder="0" applyAlignment="0" applyProtection="0"/>
    <xf numFmtId="0" fontId="150" fillId="5" borderId="0" applyNumberFormat="0" applyBorder="0" applyAlignment="0" applyProtection="0"/>
    <xf numFmtId="0" fontId="15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0" fillId="5" borderId="0" applyNumberFormat="0" applyBorder="0" applyAlignment="0" applyProtection="0"/>
    <xf numFmtId="0" fontId="2" fillId="15" borderId="0" applyNumberFormat="0" applyBorder="0" applyAlignment="0" applyProtection="0"/>
    <xf numFmtId="0" fontId="150" fillId="10" borderId="0" applyNumberFormat="0" applyBorder="0" applyAlignment="0" applyProtection="0"/>
    <xf numFmtId="0" fontId="150" fillId="5" borderId="0" applyNumberFormat="0" applyBorder="0" applyAlignment="0" applyProtection="0"/>
    <xf numFmtId="0" fontId="150" fillId="9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0" fillId="92" borderId="0" applyNumberFormat="0" applyBorder="0" applyAlignment="0" applyProtection="0"/>
    <xf numFmtId="0" fontId="150" fillId="9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80" fontId="21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4" fillId="0" borderId="0" applyFill="0" applyBorder="0" applyAlignment="0" applyProtection="0"/>
    <xf numFmtId="181" fontId="21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4" fillId="0" borderId="0" applyFill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9" borderId="0" applyNumberFormat="0" applyBorder="0" applyAlignment="0" applyProtection="0"/>
    <xf numFmtId="0" fontId="150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0" fillId="20" borderId="0" applyNumberFormat="0" applyBorder="0" applyAlignment="0" applyProtection="0"/>
    <xf numFmtId="0" fontId="150" fillId="9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50" fillId="18" borderId="0" applyNumberFormat="0" applyBorder="0" applyAlignment="0" applyProtection="0"/>
    <xf numFmtId="0" fontId="2" fillId="24" borderId="0" applyNumberFormat="0" applyBorder="0" applyAlignment="0" applyProtection="0"/>
    <xf numFmtId="0" fontId="150" fillId="23" borderId="0" applyNumberFormat="0" applyBorder="0" applyAlignment="0" applyProtection="0"/>
    <xf numFmtId="0" fontId="150" fillId="18" borderId="0" applyNumberFormat="0" applyBorder="0" applyAlignment="0" applyProtection="0"/>
    <xf numFmtId="0" fontId="150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0" fillId="20" borderId="0" applyNumberFormat="0" applyBorder="0" applyAlignment="0" applyProtection="0"/>
    <xf numFmtId="0" fontId="150" fillId="9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0" fillId="95" borderId="0" applyNumberFormat="0" applyBorder="0" applyAlignment="0" applyProtection="0"/>
    <xf numFmtId="0" fontId="150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0" fillId="7" borderId="0" applyNumberFormat="0" applyBorder="0" applyAlignment="0" applyProtection="0"/>
    <xf numFmtId="182" fontId="21" fillId="0" borderId="0" applyFont="0" applyFill="0" applyBorder="0" applyAlignment="0" applyProtection="0"/>
    <xf numFmtId="182" fontId="4" fillId="0" borderId="0" applyFill="0" applyBorder="0" applyAlignment="0" applyProtection="0"/>
    <xf numFmtId="0" fontId="151" fillId="26" borderId="0" applyNumberFormat="0" applyBorder="0" applyAlignment="0" applyProtection="0"/>
    <xf numFmtId="0" fontId="34" fillId="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51" fillId="26" borderId="0" applyNumberFormat="0" applyBorder="0" applyAlignment="0" applyProtection="0"/>
    <xf numFmtId="0" fontId="151" fillId="96" borderId="0" applyNumberFormat="0" applyBorder="0" applyAlignment="0" applyProtection="0"/>
    <xf numFmtId="0" fontId="34" fillId="2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51" fillId="18" borderId="0" applyNumberFormat="0" applyBorder="0" applyAlignment="0" applyProtection="0"/>
    <xf numFmtId="0" fontId="34" fillId="24" borderId="0" applyNumberFormat="0" applyBorder="0" applyAlignment="0" applyProtection="0"/>
    <xf numFmtId="0" fontId="151" fillId="23" borderId="0" applyNumberFormat="0" applyBorder="0" applyAlignment="0" applyProtection="0"/>
    <xf numFmtId="0" fontId="151" fillId="18" borderId="0" applyNumberFormat="0" applyBorder="0" applyAlignment="0" applyProtection="0"/>
    <xf numFmtId="0" fontId="151" fillId="29" borderId="0" applyNumberFormat="0" applyBorder="0" applyAlignment="0" applyProtection="0"/>
    <xf numFmtId="0" fontId="151" fillId="29" borderId="0" applyNumberFormat="0" applyBorder="0" applyAlignment="0" applyProtection="0"/>
    <xf numFmtId="0" fontId="34" fillId="3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1" fillId="29" borderId="0" applyNumberFormat="0" applyBorder="0" applyAlignment="0" applyProtection="0"/>
    <xf numFmtId="0" fontId="34" fillId="30" borderId="0" applyNumberFormat="0" applyBorder="0" applyAlignment="0" applyProtection="0"/>
    <xf numFmtId="0" fontId="151" fillId="20" borderId="0" applyNumberFormat="0" applyBorder="0" applyAlignment="0" applyProtection="0"/>
    <xf numFmtId="0" fontId="151" fillId="29" borderId="0" applyNumberFormat="0" applyBorder="0" applyAlignment="0" applyProtection="0"/>
    <xf numFmtId="0" fontId="151" fillId="97" borderId="0" applyNumberFormat="0" applyBorder="0" applyAlignment="0" applyProtection="0"/>
    <xf numFmtId="0" fontId="34" fillId="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1" fillId="97" borderId="0" applyNumberFormat="0" applyBorder="0" applyAlignment="0" applyProtection="0"/>
    <xf numFmtId="0" fontId="151" fillId="32" borderId="0" applyNumberFormat="0" applyBorder="0" applyAlignment="0" applyProtection="0"/>
    <xf numFmtId="0" fontId="151" fillId="32" borderId="0" applyNumberFormat="0" applyBorder="0" applyAlignment="0" applyProtection="0"/>
    <xf numFmtId="0" fontId="34" fillId="1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51" fillId="32" borderId="0" applyNumberFormat="0" applyBorder="0" applyAlignment="0" applyProtection="0"/>
    <xf numFmtId="0" fontId="34" fillId="33" borderId="0" applyNumberFormat="0" applyBorder="0" applyAlignment="0" applyProtection="0"/>
    <xf numFmtId="0" fontId="151" fillId="7" borderId="0" applyNumberFormat="0" applyBorder="0" applyAlignment="0" applyProtection="0"/>
    <xf numFmtId="0" fontId="151" fillId="32" borderId="0" applyNumberFormat="0" applyBorder="0" applyAlignment="0" applyProtection="0"/>
    <xf numFmtId="0" fontId="151" fillId="2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5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4" borderId="0" applyNumberFormat="0" applyBorder="0" applyAlignment="0" applyProtection="0"/>
    <xf numFmtId="0" fontId="34" fillId="38" borderId="0" applyNumberFormat="0" applyBorder="0" applyAlignment="0" applyProtection="0"/>
    <xf numFmtId="0" fontId="34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51" fillId="42" borderId="0" applyNumberFormat="0" applyBorder="0" applyAlignment="0" applyProtection="0"/>
    <xf numFmtId="0" fontId="2" fillId="9" borderId="0" applyNumberFormat="0" applyBorder="0" applyAlignment="0" applyProtection="0"/>
    <xf numFmtId="0" fontId="2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98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2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1" fillId="99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51" fillId="3" borderId="0" applyNumberFormat="0" applyBorder="0" applyAlignment="0" applyProtection="0"/>
    <xf numFmtId="0" fontId="51" fillId="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2" fontId="64" fillId="0" borderId="0">
      <protection locked="0"/>
    </xf>
    <xf numFmtId="2" fontId="65" fillId="0" borderId="0">
      <protection locked="0"/>
    </xf>
    <xf numFmtId="204" fontId="64" fillId="0" borderId="0">
      <protection locked="0"/>
    </xf>
    <xf numFmtId="204" fontId="64" fillId="0" borderId="0">
      <protection locked="0"/>
    </xf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 applyFill="0" applyBorder="0" applyAlignment="0"/>
    <xf numFmtId="183" fontId="19" fillId="0" borderId="0" applyFill="0" applyBorder="0" applyAlignment="0"/>
    <xf numFmtId="184" fontId="4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35" fillId="20" borderId="1" applyNumberFormat="0" applyAlignment="0" applyProtection="0"/>
    <xf numFmtId="0" fontId="53" fillId="10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152" fillId="10" borderId="69" applyNumberFormat="0" applyAlignment="0" applyProtection="0"/>
    <xf numFmtId="0" fontId="36" fillId="45" borderId="2" applyNumberFormat="0" applyAlignment="0" applyProtection="0"/>
    <xf numFmtId="0" fontId="36" fillId="45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202" fontId="4" fillId="0" borderId="0"/>
    <xf numFmtId="204" fontId="66" fillId="46" borderId="3">
      <alignment horizontal="right" vertical="center"/>
    </xf>
    <xf numFmtId="204" fontId="67" fillId="46" borderId="3">
      <alignment horizontal="right" vertical="center"/>
    </xf>
    <xf numFmtId="204" fontId="4" fillId="46" borderId="4"/>
    <xf numFmtId="204" fontId="68" fillId="17" borderId="3">
      <alignment horizontal="center" vertical="center"/>
    </xf>
    <xf numFmtId="204" fontId="66" fillId="46" borderId="3">
      <alignment horizontal="right" vertical="center"/>
    </xf>
    <xf numFmtId="204" fontId="4" fillId="46" borderId="0"/>
    <xf numFmtId="204" fontId="69" fillId="46" borderId="3">
      <alignment horizontal="left" vertical="center"/>
    </xf>
    <xf numFmtId="204" fontId="69" fillId="46" borderId="5">
      <alignment vertical="center"/>
    </xf>
    <xf numFmtId="204" fontId="70" fillId="46" borderId="6">
      <alignment vertical="center"/>
    </xf>
    <xf numFmtId="204" fontId="69" fillId="46" borderId="3"/>
    <xf numFmtId="204" fontId="67" fillId="46" borderId="3">
      <alignment horizontal="right" vertical="center"/>
    </xf>
    <xf numFmtId="204" fontId="71" fillId="47" borderId="3">
      <alignment horizontal="left" vertical="center"/>
    </xf>
    <xf numFmtId="204" fontId="71" fillId="47" borderId="3">
      <alignment horizontal="left" vertical="center"/>
    </xf>
    <xf numFmtId="204" fontId="72" fillId="46" borderId="3">
      <alignment horizontal="left" vertical="center"/>
    </xf>
    <xf numFmtId="204" fontId="48" fillId="46" borderId="4"/>
    <xf numFmtId="204" fontId="68" fillId="38" borderId="3">
      <alignment horizontal="left" vertical="center"/>
    </xf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5" fontId="4" fillId="0" borderId="0" applyFill="0" applyBorder="0" applyAlignment="0" applyProtection="0"/>
    <xf numFmtId="206" fontId="2" fillId="0" borderId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9" fontId="4" fillId="0" borderId="0" applyFill="0" applyBorder="0" applyAlignment="0" applyProtection="0"/>
    <xf numFmtId="165" fontId="5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194" fontId="4" fillId="0" borderId="0" applyFill="0" applyBorder="0" applyAlignment="0" applyProtection="0"/>
    <xf numFmtId="194" fontId="4" fillId="0" borderId="0" applyFill="0" applyBorder="0" applyAlignment="0" applyProtection="0"/>
    <xf numFmtId="194" fontId="4" fillId="0" borderId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165" fontId="4" fillId="0" borderId="0" applyFont="0" applyFill="0" applyBorder="0" applyAlignment="0" applyProtection="0"/>
    <xf numFmtId="20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" fillId="0" borderId="0"/>
    <xf numFmtId="176" fontId="4" fillId="0" borderId="0" applyFill="0" applyBorder="0" applyAlignment="0" applyProtection="0"/>
    <xf numFmtId="200" fontId="4" fillId="0" borderId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8" fontId="2" fillId="0" borderId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71" fontId="3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57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4" fillId="0" borderId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65" fontId="1" fillId="0" borderId="0" applyFont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4" fontId="4" fillId="0" borderId="0" applyFill="0" applyBorder="0" applyAlignment="0" applyProtection="0"/>
    <xf numFmtId="199" fontId="4" fillId="0" borderId="0" applyFill="0" applyBorder="0" applyAlignment="0" applyProtection="0"/>
    <xf numFmtId="165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9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10" fontId="4" fillId="0" borderId="0" applyFill="0" applyBorder="0" applyAlignment="0" applyProtection="0"/>
    <xf numFmtId="171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0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210" fontId="4" fillId="0" borderId="0" applyFill="0" applyBorder="0" applyAlignment="0" applyProtection="0"/>
    <xf numFmtId="43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01" fontId="4" fillId="0" borderId="0" applyFill="0" applyBorder="0" applyAlignment="0" applyProtection="0"/>
    <xf numFmtId="165" fontId="5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3" fontId="4" fillId="0" borderId="0" applyFill="0" applyBorder="0" applyAlignment="0" applyProtection="0"/>
    <xf numFmtId="0" fontId="6" fillId="0" borderId="0" applyFont="0" applyFill="0" applyBorder="0" applyAlignment="0" applyProtection="0"/>
    <xf numFmtId="0" fontId="4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16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12" fontId="4" fillId="0" borderId="0" applyFill="0" applyBorder="0" applyAlignment="0" applyProtection="0"/>
    <xf numFmtId="2" fontId="64" fillId="0" borderId="0">
      <protection locked="0"/>
    </xf>
    <xf numFmtId="204" fontId="4" fillId="0" borderId="0" applyFill="0" applyBorder="0" applyAlignment="0" applyProtection="0"/>
    <xf numFmtId="14" fontId="28" fillId="0" borderId="0" applyFill="0" applyBorder="0" applyAlignment="0"/>
    <xf numFmtId="173" fontId="21" fillId="0" borderId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97" fontId="4" fillId="0" borderId="0" applyFont="0" applyFill="0" applyBorder="0" applyAlignment="0" applyProtection="0"/>
    <xf numFmtId="204" fontId="4" fillId="0" borderId="0" applyFill="0" applyBorder="0" applyAlignment="0" applyProtection="0"/>
    <xf numFmtId="213" fontId="5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204" fontId="58" fillId="0" borderId="0"/>
    <xf numFmtId="204" fontId="64" fillId="0" borderId="0">
      <protection locked="0"/>
    </xf>
    <xf numFmtId="214" fontId="64" fillId="0" borderId="0">
      <protection locked="0"/>
    </xf>
    <xf numFmtId="2" fontId="4" fillId="0" borderId="0" applyFill="0" applyBorder="0" applyAlignment="0" applyProtection="0"/>
    <xf numFmtId="214" fontId="64" fillId="0" borderId="0">
      <protection locked="0"/>
    </xf>
    <xf numFmtId="0" fontId="38" fillId="4" borderId="0" applyNumberFormat="0" applyBorder="0" applyAlignment="0" applyProtection="0"/>
    <xf numFmtId="0" fontId="38" fillId="6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38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72" fontId="81" fillId="51" borderId="0" applyNumberFormat="0" applyBorder="0" applyProtection="0">
      <alignment horizontal="center" vertical="center" wrapText="1"/>
    </xf>
    <xf numFmtId="0" fontId="60" fillId="0" borderId="9" applyNumberFormat="0" applyFill="0" applyAlignment="0" applyProtection="0"/>
    <xf numFmtId="0" fontId="39" fillId="0" borderId="1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0" fillId="0" borderId="9" applyNumberFormat="0" applyFill="0" applyAlignment="0" applyProtection="0"/>
    <xf numFmtId="0" fontId="82" fillId="0" borderId="11" applyNumberFormat="0" applyFill="0" applyAlignment="0" applyProtection="0"/>
    <xf numFmtId="0" fontId="61" fillId="0" borderId="12" applyNumberFormat="0" applyFill="0" applyAlignment="0" applyProtection="0"/>
    <xf numFmtId="0" fontId="40" fillId="0" borderId="13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1" fillId="0" borderId="12" applyNumberFormat="0" applyFill="0" applyAlignment="0" applyProtection="0"/>
    <xf numFmtId="0" fontId="153" fillId="0" borderId="70" applyNumberFormat="0" applyFill="0" applyAlignment="0" applyProtection="0"/>
    <xf numFmtId="0" fontId="62" fillId="0" borderId="14" applyNumberFormat="0" applyFill="0" applyAlignment="0" applyProtection="0"/>
    <xf numFmtId="0" fontId="41" fillId="0" borderId="15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83" fillId="0" borderId="16" applyNumberFormat="0" applyFill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15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172" fontId="21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4" fillId="0" borderId="0" applyFill="0" applyBorder="0" applyAlignment="0" applyProtection="0"/>
    <xf numFmtId="3" fontId="21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4" fillId="0" borderId="0" applyFill="0" applyBorder="0" applyAlignment="0" applyProtection="0"/>
    <xf numFmtId="0" fontId="42" fillId="7" borderId="1" applyNumberFormat="0" applyAlignment="0" applyProtection="0"/>
    <xf numFmtId="10" fontId="29" fillId="52" borderId="17" applyNumberFormat="0" applyBorder="0" applyAlignment="0" applyProtection="0"/>
    <xf numFmtId="0" fontId="29" fillId="46" borderId="0" applyNumberFormat="0" applyBorder="0" applyAlignment="0" applyProtection="0"/>
    <xf numFmtId="0" fontId="42" fillId="23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216" fontId="4" fillId="0" borderId="0"/>
    <xf numFmtId="195" fontId="4" fillId="0" borderId="0" applyFont="0" applyFill="0" applyBorder="0" applyAlignment="0" applyProtection="0"/>
    <xf numFmtId="49" fontId="29" fillId="53" borderId="0" applyNumberFormat="0" applyFont="0" applyBorder="0" applyAlignment="0" applyProtection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3" fillId="0" borderId="18" applyNumberFormat="0" applyFill="0" applyAlignment="0" applyProtection="0"/>
    <xf numFmtId="0" fontId="47" fillId="0" borderId="19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9" fillId="0" borderId="0" applyNumberFormat="0">
      <alignment horizontal="center"/>
    </xf>
    <xf numFmtId="217" fontId="4" fillId="0" borderId="0" applyFill="0" applyBorder="0" applyAlignment="0" applyProtection="0"/>
    <xf numFmtId="200" fontId="4" fillId="0" borderId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18" fontId="4" fillId="0" borderId="0" applyFill="0" applyBorder="0" applyAlignment="0" applyProtection="0"/>
    <xf numFmtId="219" fontId="4" fillId="0" borderId="0" applyFill="0" applyBorder="0" applyAlignment="0" applyProtection="0"/>
    <xf numFmtId="220" fontId="64" fillId="0" borderId="0">
      <protection locked="0"/>
    </xf>
    <xf numFmtId="221" fontId="4" fillId="0" borderId="0" applyFill="0" applyBorder="0" applyAlignment="0" applyProtection="0"/>
    <xf numFmtId="211" fontId="4" fillId="0" borderId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22" fontId="64" fillId="0" borderId="0">
      <protection locked="0"/>
    </xf>
    <xf numFmtId="220" fontId="64" fillId="0" borderId="0">
      <protection locked="0"/>
    </xf>
    <xf numFmtId="0" fontId="44" fillId="23" borderId="0" applyNumberFormat="0" applyBorder="0" applyAlignment="0" applyProtection="0"/>
    <xf numFmtId="0" fontId="54" fillId="23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204" fontId="57" fillId="0" borderId="0"/>
    <xf numFmtId="187" fontId="4" fillId="0" borderId="0"/>
    <xf numFmtId="0" fontId="55" fillId="0" borderId="0"/>
    <xf numFmtId="204" fontId="5" fillId="0" borderId="0"/>
    <xf numFmtId="204" fontId="49" fillId="0" borderId="0"/>
    <xf numFmtId="204" fontId="57" fillId="0" borderId="0"/>
    <xf numFmtId="204" fontId="57" fillId="0" borderId="0"/>
    <xf numFmtId="0" fontId="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198" fontId="1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5" fillId="0" borderId="0"/>
    <xf numFmtId="204" fontId="5" fillId="0" borderId="0"/>
    <xf numFmtId="204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2" fontId="4" fillId="0" borderId="0"/>
    <xf numFmtId="181" fontId="4" fillId="0" borderId="0"/>
    <xf numFmtId="202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2" fillId="0" borderId="0"/>
    <xf numFmtId="223" fontId="78" fillId="0" borderId="0"/>
    <xf numFmtId="0" fontId="2" fillId="0" borderId="0"/>
    <xf numFmtId="225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83" fontId="7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83" fontId="7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50" fillId="0" borderId="0"/>
    <xf numFmtId="0" fontId="2" fillId="0" borderId="0"/>
    <xf numFmtId="0" fontId="150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9" fontId="80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4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4" fillId="0" borderId="0"/>
    <xf numFmtId="0" fontId="1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224" fontId="78" fillId="0" borderId="0"/>
    <xf numFmtId="204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226" fontId="29" fillId="0" borderId="0"/>
    <xf numFmtId="0" fontId="5" fillId="0" borderId="0"/>
    <xf numFmtId="183" fontId="79" fillId="0" borderId="0"/>
    <xf numFmtId="0" fontId="4" fillId="0" borderId="0"/>
    <xf numFmtId="0" fontId="2" fillId="0" borderId="0"/>
    <xf numFmtId="204" fontId="4" fillId="0" borderId="0"/>
    <xf numFmtId="0" fontId="2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0" fontId="4" fillId="0" borderId="0"/>
    <xf numFmtId="204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150" fillId="0" borderId="0"/>
    <xf numFmtId="0" fontId="150" fillId="0" borderId="0"/>
    <xf numFmtId="0" fontId="2" fillId="0" borderId="0"/>
    <xf numFmtId="0" fontId="2" fillId="0" borderId="0"/>
    <xf numFmtId="0" fontId="4" fillId="0" borderId="0"/>
    <xf numFmtId="204" fontId="4" fillId="0" borderId="0"/>
    <xf numFmtId="0" fontId="2" fillId="0" borderId="0"/>
    <xf numFmtId="0" fontId="2" fillId="0" borderId="0"/>
    <xf numFmtId="0" fontId="2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4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9" fontId="80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4" fillId="0" borderId="0"/>
    <xf numFmtId="0" fontId="154" fillId="0" borderId="0"/>
    <xf numFmtId="0" fontId="150" fillId="0" borderId="0"/>
    <xf numFmtId="0" fontId="150" fillId="0" borderId="0"/>
    <xf numFmtId="0" fontId="150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154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150" fillId="0" borderId="0"/>
    <xf numFmtId="0" fontId="4" fillId="0" borderId="0"/>
    <xf numFmtId="0" fontId="130" fillId="0" borderId="0"/>
    <xf numFmtId="0" fontId="155" fillId="0" borderId="0"/>
    <xf numFmtId="0" fontId="150" fillId="0" borderId="0"/>
    <xf numFmtId="0" fontId="150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ill="0" applyBorder="0" applyProtection="0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3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75" fontId="79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39" fontId="79" fillId="0" borderId="0"/>
    <xf numFmtId="0" fontId="15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1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79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04" fontId="4" fillId="0" borderId="0"/>
    <xf numFmtId="198" fontId="19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15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198" fontId="19" fillId="0" borderId="0"/>
    <xf numFmtId="183" fontId="79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79" fillId="0" borderId="0"/>
    <xf numFmtId="0" fontId="4" fillId="0" borderId="0">
      <alignment wrapText="1"/>
    </xf>
    <xf numFmtId="204" fontId="2" fillId="0" borderId="0"/>
    <xf numFmtId="0" fontId="4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0" fontId="4" fillId="0" borderId="0"/>
    <xf numFmtId="198" fontId="19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4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198" fontId="19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63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25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6" fontId="5" fillId="0" borderId="0" applyFill="0" applyBorder="0" applyAlignment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5" fillId="13" borderId="20" applyNumberFormat="0" applyFont="0" applyAlignment="0" applyProtection="0"/>
    <xf numFmtId="0" fontId="25" fillId="100" borderId="71" applyNumberFormat="0" applyFont="0" applyAlignment="0" applyProtection="0"/>
    <xf numFmtId="0" fontId="2" fillId="100" borderId="71" applyNumberFormat="0" applyFont="0" applyAlignment="0" applyProtection="0"/>
    <xf numFmtId="0" fontId="4" fillId="0" borderId="0"/>
    <xf numFmtId="0" fontId="19" fillId="13" borderId="20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19" fillId="100" borderId="71" applyNumberFormat="0" applyFont="0" applyAlignment="0" applyProtection="0"/>
    <xf numFmtId="0" fontId="45" fillId="20" borderId="21" applyNumberFormat="0" applyAlignment="0" applyProtection="0"/>
    <xf numFmtId="0" fontId="45" fillId="10" borderId="2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6" fillId="10" borderId="72" applyNumberFormat="0" applyAlignment="0" applyProtection="0"/>
    <xf numFmtId="0" fontId="4" fillId="0" borderId="0"/>
    <xf numFmtId="18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58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2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21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4" fillId="0" borderId="0"/>
    <xf numFmtId="190" fontId="21" fillId="0" borderId="0" applyFont="0" applyFill="0" applyBorder="0" applyAlignment="0" applyProtection="0"/>
    <xf numFmtId="0" fontId="4" fillId="0" borderId="0"/>
    <xf numFmtId="191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49" fontId="28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0" fontId="10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9" fillId="0" borderId="22" applyNumberFormat="0" applyFill="0" applyAlignment="0" applyProtection="0"/>
    <xf numFmtId="0" fontId="9" fillId="0" borderId="2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7" fillId="0" borderId="24" applyNumberFormat="0" applyFill="0" applyAlignment="0" applyProtection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8" fillId="0" borderId="0" applyNumberFormat="0" applyFill="0" applyBorder="0" applyAlignment="0" applyProtection="0"/>
    <xf numFmtId="0" fontId="159" fillId="0" borderId="73" applyNumberFormat="0" applyFill="0" applyAlignment="0" applyProtection="0"/>
    <xf numFmtId="0" fontId="160" fillId="0" borderId="70" applyNumberFormat="0" applyFill="0" applyAlignment="0" applyProtection="0"/>
    <xf numFmtId="0" fontId="161" fillId="0" borderId="74" applyNumberFormat="0" applyFill="0" applyAlignment="0" applyProtection="0"/>
    <xf numFmtId="0" fontId="161" fillId="0" borderId="0" applyNumberFormat="0" applyFill="0" applyBorder="0" applyAlignment="0" applyProtection="0"/>
    <xf numFmtId="0" fontId="162" fillId="101" borderId="0" applyNumberFormat="0" applyBorder="0" applyAlignment="0" applyProtection="0"/>
    <xf numFmtId="0" fontId="163" fillId="102" borderId="0" applyNumberFormat="0" applyBorder="0" applyAlignment="0" applyProtection="0"/>
    <xf numFmtId="0" fontId="164" fillId="103" borderId="0" applyNumberFormat="0" applyBorder="0" applyAlignment="0" applyProtection="0"/>
    <xf numFmtId="0" fontId="165" fillId="104" borderId="69" applyNumberFormat="0" applyAlignment="0" applyProtection="0"/>
    <xf numFmtId="0" fontId="156" fillId="105" borderId="72" applyNumberFormat="0" applyAlignment="0" applyProtection="0"/>
    <xf numFmtId="0" fontId="152" fillId="105" borderId="69" applyNumberFormat="0" applyAlignment="0" applyProtection="0"/>
    <xf numFmtId="0" fontId="166" fillId="0" borderId="75" applyNumberFormat="0" applyFill="0" applyAlignment="0" applyProtection="0"/>
    <xf numFmtId="0" fontId="167" fillId="106" borderId="76" applyNumberFormat="0" applyAlignment="0" applyProtection="0"/>
    <xf numFmtId="0" fontId="168" fillId="0" borderId="0" applyNumberFormat="0" applyFill="0" applyBorder="0" applyAlignment="0" applyProtection="0"/>
    <xf numFmtId="0" fontId="125" fillId="100" borderId="71" applyNumberFormat="0" applyFont="0" applyAlignment="0" applyProtection="0"/>
    <xf numFmtId="0" fontId="169" fillId="0" borderId="0" applyNumberFormat="0" applyFill="0" applyBorder="0" applyAlignment="0" applyProtection="0"/>
    <xf numFmtId="0" fontId="157" fillId="0" borderId="77" applyNumberFormat="0" applyFill="0" applyAlignment="0" applyProtection="0"/>
    <xf numFmtId="0" fontId="4" fillId="0" borderId="0"/>
    <xf numFmtId="0" fontId="4" fillId="0" borderId="0"/>
  </cellStyleXfs>
  <cellXfs count="952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Border="1"/>
    <xf numFmtId="0" fontId="0" fillId="55" borderId="0" xfId="0" applyFill="1"/>
    <xf numFmtId="0" fontId="12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56" borderId="27" xfId="0" applyFont="1" applyFill="1" applyBorder="1"/>
    <xf numFmtId="0" fontId="6" fillId="57" borderId="0" xfId="0" applyFont="1" applyFill="1"/>
    <xf numFmtId="0" fontId="6" fillId="0" borderId="0" xfId="0" quotePrefix="1" applyFont="1"/>
    <xf numFmtId="0" fontId="6" fillId="58" borderId="26" xfId="0" applyFont="1" applyFill="1" applyBorder="1"/>
    <xf numFmtId="0" fontId="6" fillId="59" borderId="0" xfId="0" applyFont="1" applyFill="1"/>
    <xf numFmtId="0" fontId="6" fillId="60" borderId="0" xfId="0" applyFont="1" applyFill="1" applyBorder="1"/>
    <xf numFmtId="0" fontId="6" fillId="61" borderId="0" xfId="0" applyFont="1" applyFill="1" applyBorder="1"/>
    <xf numFmtId="0" fontId="6" fillId="62" borderId="0" xfId="0" quotePrefix="1" applyFont="1" applyFill="1"/>
    <xf numFmtId="0" fontId="6" fillId="62" borderId="0" xfId="0" applyFont="1" applyFill="1"/>
    <xf numFmtId="0" fontId="6" fillId="0" borderId="0" xfId="0" applyFont="1" applyFill="1" applyBorder="1"/>
    <xf numFmtId="0" fontId="6" fillId="63" borderId="0" xfId="0" applyFont="1" applyFill="1"/>
    <xf numFmtId="0" fontId="6" fillId="64" borderId="0" xfId="0" applyFont="1" applyFill="1"/>
    <xf numFmtId="0" fontId="12" fillId="0" borderId="0" xfId="0" applyFont="1" applyBorder="1"/>
    <xf numFmtId="0" fontId="13" fillId="0" borderId="26" xfId="0" applyFont="1" applyBorder="1"/>
    <xf numFmtId="0" fontId="6" fillId="0" borderId="8" xfId="0" applyFont="1" applyBorder="1"/>
    <xf numFmtId="0" fontId="7" fillId="0" borderId="28" xfId="0" applyFont="1" applyBorder="1" applyAlignment="1">
      <alignment horizontal="justify" vertical="top" wrapText="1"/>
    </xf>
    <xf numFmtId="0" fontId="7" fillId="0" borderId="29" xfId="0" applyFont="1" applyBorder="1" applyAlignment="1">
      <alignment horizontal="justify" vertical="top" wrapText="1"/>
    </xf>
    <xf numFmtId="0" fontId="7" fillId="0" borderId="0" xfId="0" applyFont="1"/>
    <xf numFmtId="0" fontId="8" fillId="0" borderId="0" xfId="0" applyFont="1"/>
    <xf numFmtId="0" fontId="18" fillId="0" borderId="0" xfId="0" applyFont="1"/>
    <xf numFmtId="0" fontId="8" fillId="0" borderId="30" xfId="0" applyFont="1" applyBorder="1"/>
    <xf numFmtId="0" fontId="8" fillId="0" borderId="31" xfId="0" applyFont="1" applyBorder="1"/>
    <xf numFmtId="0" fontId="8" fillId="0" borderId="0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  <xf numFmtId="0" fontId="8" fillId="65" borderId="0" xfId="0" applyFont="1" applyFill="1" applyBorder="1"/>
    <xf numFmtId="0" fontId="8" fillId="0" borderId="35" xfId="0" applyFont="1" applyBorder="1"/>
    <xf numFmtId="0" fontId="8" fillId="66" borderId="0" xfId="0" applyFont="1" applyFill="1" applyBorder="1"/>
    <xf numFmtId="0" fontId="8" fillId="67" borderId="0" xfId="0" applyFont="1" applyFill="1" applyBorder="1"/>
    <xf numFmtId="0" fontId="8" fillId="68" borderId="0" xfId="0" applyFont="1" applyFill="1" applyBorder="1"/>
    <xf numFmtId="0" fontId="8" fillId="59" borderId="0" xfId="0" applyFont="1" applyFill="1" applyBorder="1"/>
    <xf numFmtId="0" fontId="8" fillId="69" borderId="0" xfId="0" applyFont="1" applyFill="1" applyBorder="1"/>
    <xf numFmtId="0" fontId="8" fillId="0" borderId="36" xfId="0" applyFont="1" applyBorder="1"/>
    <xf numFmtId="0" fontId="8" fillId="0" borderId="37" xfId="0" applyFont="1" applyBorder="1"/>
    <xf numFmtId="0" fontId="8" fillId="70" borderId="0" xfId="0" applyFont="1" applyFill="1"/>
    <xf numFmtId="0" fontId="8" fillId="68" borderId="0" xfId="0" applyFont="1" applyFill="1"/>
    <xf numFmtId="0" fontId="8" fillId="69" borderId="0" xfId="0" applyFont="1" applyFill="1"/>
    <xf numFmtId="0" fontId="6" fillId="0" borderId="38" xfId="0" applyFont="1" applyBorder="1"/>
    <xf numFmtId="0" fontId="6" fillId="0" borderId="39" xfId="0" applyFont="1" applyBorder="1"/>
    <xf numFmtId="3" fontId="20" fillId="67" borderId="7" xfId="0" applyNumberFormat="1" applyFont="1" applyFill="1" applyBorder="1" applyAlignment="1"/>
    <xf numFmtId="0" fontId="13" fillId="0" borderId="40" xfId="0" applyFont="1" applyBorder="1"/>
    <xf numFmtId="0" fontId="6" fillId="64" borderId="38" xfId="0" applyFont="1" applyFill="1" applyBorder="1"/>
    <xf numFmtId="0" fontId="6" fillId="61" borderId="27" xfId="0" applyFont="1" applyFill="1" applyBorder="1"/>
    <xf numFmtId="0" fontId="6" fillId="56" borderId="38" xfId="0" applyFont="1" applyFill="1" applyBorder="1"/>
    <xf numFmtId="0" fontId="6" fillId="60" borderId="27" xfId="0" applyFont="1" applyFill="1" applyBorder="1"/>
    <xf numFmtId="0" fontId="6" fillId="58" borderId="27" xfId="0" applyFont="1" applyFill="1" applyBorder="1"/>
    <xf numFmtId="0" fontId="6" fillId="57" borderId="27" xfId="0" applyFont="1" applyFill="1" applyBorder="1"/>
    <xf numFmtId="0" fontId="6" fillId="0" borderId="41" xfId="0" applyFont="1" applyBorder="1"/>
    <xf numFmtId="0" fontId="6" fillId="0" borderId="25" xfId="0" quotePrefix="1" applyFont="1" applyBorder="1"/>
    <xf numFmtId="0" fontId="22" fillId="64" borderId="0" xfId="0" applyFont="1" applyFill="1"/>
    <xf numFmtId="0" fontId="22" fillId="0" borderId="0" xfId="0" applyFont="1"/>
    <xf numFmtId="0" fontId="7" fillId="0" borderId="42" xfId="0" applyFont="1" applyBorder="1" applyAlignment="1">
      <alignment horizontal="justify" vertical="top" wrapText="1"/>
    </xf>
    <xf numFmtId="0" fontId="10" fillId="0" borderId="42" xfId="0" applyFont="1" applyBorder="1" applyAlignment="1">
      <alignment horizontal="justify" vertical="top" wrapText="1"/>
    </xf>
    <xf numFmtId="0" fontId="7" fillId="0" borderId="43" xfId="0" applyFont="1" applyBorder="1" applyAlignment="1">
      <alignment horizontal="justify" vertical="top" wrapText="1"/>
    </xf>
    <xf numFmtId="0" fontId="23" fillId="71" borderId="43" xfId="0" applyFont="1" applyFill="1" applyBorder="1" applyAlignment="1">
      <alignment horizontal="justify" vertical="top" wrapText="1"/>
    </xf>
    <xf numFmtId="0" fontId="10" fillId="0" borderId="42" xfId="0" applyFont="1" applyFill="1" applyBorder="1" applyAlignment="1">
      <alignment horizontal="justify" vertical="top" wrapText="1"/>
    </xf>
    <xf numFmtId="0" fontId="10" fillId="0" borderId="29" xfId="0" applyFont="1" applyFill="1" applyBorder="1" applyAlignment="1">
      <alignment horizontal="justify" vertical="top" wrapText="1"/>
    </xf>
    <xf numFmtId="3" fontId="86" fillId="0" borderId="0" xfId="0" applyNumberFormat="1" applyFont="1" applyAlignment="1">
      <alignment horizontal="left"/>
    </xf>
    <xf numFmtId="3" fontId="88" fillId="0" borderId="0" xfId="0" applyNumberFormat="1" applyFont="1" applyFill="1" applyAlignment="1"/>
    <xf numFmtId="3" fontId="87" fillId="0" borderId="0" xfId="1025" applyNumberFormat="1" applyFont="1" applyAlignment="1" applyProtection="1">
      <alignment horizontal="left"/>
    </xf>
    <xf numFmtId="0" fontId="87" fillId="0" borderId="0" xfId="1025" applyFont="1" applyAlignment="1" applyProtection="1"/>
    <xf numFmtId="3" fontId="88" fillId="0" borderId="0" xfId="0" applyNumberFormat="1" applyFont="1" applyBorder="1" applyAlignment="1"/>
    <xf numFmtId="3" fontId="88" fillId="0" borderId="0" xfId="0" applyNumberFormat="1" applyFont="1" applyFill="1" applyAlignment="1">
      <alignment horizontal="left"/>
    </xf>
    <xf numFmtId="3" fontId="88" fillId="0" borderId="0" xfId="0" applyNumberFormat="1" applyFont="1" applyFill="1" applyBorder="1" applyAlignment="1"/>
    <xf numFmtId="3" fontId="86" fillId="0" borderId="0" xfId="0" applyNumberFormat="1" applyFont="1"/>
    <xf numFmtId="3" fontId="86" fillId="0" borderId="0" xfId="0" applyNumberFormat="1" applyFont="1" applyAlignment="1">
      <alignment horizontal="center"/>
    </xf>
    <xf numFmtId="0" fontId="88" fillId="0" borderId="0" xfId="0" applyFont="1"/>
    <xf numFmtId="0" fontId="86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3" fontId="88" fillId="0" borderId="0" xfId="0" applyNumberFormat="1" applyFont="1"/>
    <xf numFmtId="3" fontId="86" fillId="56" borderId="0" xfId="0" applyNumberFormat="1" applyFont="1" applyFill="1" applyBorder="1"/>
    <xf numFmtId="3" fontId="88" fillId="56" borderId="0" xfId="0" applyNumberFormat="1" applyFont="1" applyFill="1" applyBorder="1"/>
    <xf numFmtId="3" fontId="90" fillId="0" borderId="0" xfId="0" applyNumberFormat="1" applyFont="1" applyFill="1" applyBorder="1"/>
    <xf numFmtId="3" fontId="88" fillId="0" borderId="0" xfId="0" applyNumberFormat="1" applyFont="1" applyFill="1" applyBorder="1"/>
    <xf numFmtId="3" fontId="90" fillId="0" borderId="0" xfId="0" applyNumberFormat="1" applyFont="1" applyFill="1"/>
    <xf numFmtId="3" fontId="88" fillId="0" borderId="0" xfId="0" applyNumberFormat="1" applyFont="1" applyFill="1"/>
    <xf numFmtId="172" fontId="88" fillId="0" borderId="0" xfId="0" applyNumberFormat="1" applyFont="1" applyFill="1"/>
    <xf numFmtId="3" fontId="88" fillId="0" borderId="0" xfId="0" applyNumberFormat="1" applyFont="1" applyFill="1" applyAlignment="1">
      <alignment horizontal="right"/>
    </xf>
    <xf numFmtId="177" fontId="88" fillId="0" borderId="0" xfId="0" applyNumberFormat="1" applyFont="1"/>
    <xf numFmtId="172" fontId="88" fillId="0" borderId="0" xfId="0" applyNumberFormat="1" applyFont="1"/>
    <xf numFmtId="3" fontId="89" fillId="0" borderId="0" xfId="0" applyNumberFormat="1" applyFont="1" applyFill="1"/>
    <xf numFmtId="3" fontId="88" fillId="0" borderId="0" xfId="0" applyNumberFormat="1" applyFont="1" applyFill="1" applyAlignment="1">
      <alignment horizontal="left" indent="4"/>
    </xf>
    <xf numFmtId="0" fontId="91" fillId="0" borderId="0" xfId="1716" applyFont="1" applyFill="1"/>
    <xf numFmtId="3" fontId="7" fillId="0" borderId="0" xfId="1716" applyNumberFormat="1" applyFont="1" applyFill="1"/>
    <xf numFmtId="0" fontId="6" fillId="0" borderId="0" xfId="1716" applyFont="1"/>
    <xf numFmtId="0" fontId="6" fillId="0" borderId="0" xfId="1716" applyFont="1" applyFill="1"/>
    <xf numFmtId="3" fontId="10" fillId="0" borderId="0" xfId="1716" applyNumberFormat="1" applyFont="1" applyFill="1"/>
    <xf numFmtId="0" fontId="88" fillId="0" borderId="0" xfId="0" applyNumberFormat="1" applyFont="1" applyAlignment="1">
      <alignment horizontal="right"/>
    </xf>
    <xf numFmtId="3" fontId="14" fillId="50" borderId="0" xfId="1025" applyNumberFormat="1" applyFill="1" applyBorder="1" applyAlignment="1" applyProtection="1"/>
    <xf numFmtId="3" fontId="10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/>
    <xf numFmtId="3" fontId="10" fillId="0" borderId="0" xfId="0" applyNumberFormat="1" applyFont="1" applyAlignment="1"/>
    <xf numFmtId="3" fontId="26" fillId="60" borderId="0" xfId="0" applyNumberFormat="1" applyFont="1" applyFill="1" applyAlignment="1"/>
    <xf numFmtId="3" fontId="27" fillId="0" borderId="0" xfId="0" applyNumberFormat="1" applyFont="1" applyAlignment="1"/>
    <xf numFmtId="3" fontId="7" fillId="0" borderId="0" xfId="0" applyNumberFormat="1" applyFont="1" applyAlignment="1"/>
    <xf numFmtId="3" fontId="7" fillId="0" borderId="0" xfId="0" applyNumberFormat="1" applyFont="1" applyBorder="1" applyAlignment="1"/>
    <xf numFmtId="3" fontId="7" fillId="50" borderId="0" xfId="0" applyNumberFormat="1" applyFont="1" applyFill="1" applyAlignment="1"/>
    <xf numFmtId="3" fontId="7" fillId="64" borderId="0" xfId="0" applyNumberFormat="1" applyFont="1" applyFill="1" applyAlignment="1"/>
    <xf numFmtId="3" fontId="7" fillId="61" borderId="0" xfId="0" applyNumberFormat="1" applyFont="1" applyFill="1" applyAlignment="1"/>
    <xf numFmtId="3" fontId="10" fillId="0" borderId="38" xfId="0" applyNumberFormat="1" applyFont="1" applyFill="1" applyBorder="1" applyAlignment="1"/>
    <xf numFmtId="3" fontId="10" fillId="0" borderId="0" xfId="0" applyNumberFormat="1" applyFont="1" applyFill="1" applyAlignment="1"/>
    <xf numFmtId="3" fontId="12" fillId="0" borderId="0" xfId="0" applyNumberFormat="1" applyFont="1" applyFill="1" applyAlignment="1">
      <alignment horizontal="left"/>
    </xf>
    <xf numFmtId="3" fontId="49" fillId="0" borderId="0" xfId="0" applyNumberFormat="1" applyFont="1" applyFill="1" applyAlignment="1"/>
    <xf numFmtId="3" fontId="92" fillId="0" borderId="0" xfId="1025" applyNumberFormat="1" applyFont="1" applyFill="1" applyBorder="1" applyAlignment="1" applyProtection="1"/>
    <xf numFmtId="3" fontId="12" fillId="0" borderId="0" xfId="1025" applyNumberFormat="1" applyFont="1" applyFill="1" applyBorder="1" applyAlignment="1" applyProtection="1"/>
    <xf numFmtId="0" fontId="12" fillId="0" borderId="27" xfId="1025" applyFont="1" applyFill="1" applyBorder="1" applyAlignment="1" applyProtection="1"/>
    <xf numFmtId="0" fontId="12" fillId="0" borderId="0" xfId="1025" applyFont="1" applyFill="1" applyBorder="1" applyAlignment="1" applyProtection="1"/>
    <xf numFmtId="0" fontId="92" fillId="0" borderId="0" xfId="1025" applyFont="1" applyAlignment="1" applyProtection="1"/>
    <xf numFmtId="1" fontId="7" fillId="0" borderId="0" xfId="0" applyNumberFormat="1" applyFont="1" applyAlignment="1"/>
    <xf numFmtId="1" fontId="7" fillId="0" borderId="0" xfId="0" applyNumberFormat="1" applyFont="1" applyFill="1" applyAlignment="1"/>
    <xf numFmtId="1" fontId="7" fillId="0" borderId="38" xfId="0" quotePrefix="1" applyNumberFormat="1" applyFont="1" applyFill="1" applyBorder="1" applyAlignment="1"/>
    <xf numFmtId="3" fontId="7" fillId="0" borderId="0" xfId="0" applyNumberFormat="1" applyFont="1" applyFill="1" applyAlignment="1"/>
    <xf numFmtId="3" fontId="10" fillId="72" borderId="44" xfId="0" applyNumberFormat="1" applyFont="1" applyFill="1" applyBorder="1" applyAlignment="1"/>
    <xf numFmtId="3" fontId="26" fillId="72" borderId="44" xfId="0" applyNumberFormat="1" applyFont="1" applyFill="1" applyBorder="1" applyAlignment="1"/>
    <xf numFmtId="3" fontId="26" fillId="72" borderId="44" xfId="0" applyNumberFormat="1" applyFont="1" applyFill="1" applyBorder="1" applyAlignment="1">
      <alignment horizontal="left"/>
    </xf>
    <xf numFmtId="3" fontId="26" fillId="72" borderId="45" xfId="0" applyNumberFormat="1" applyFont="1" applyFill="1" applyBorder="1" applyAlignment="1"/>
    <xf numFmtId="3" fontId="26" fillId="0" borderId="0" xfId="0" applyNumberFormat="1" applyFont="1" applyFill="1" applyAlignment="1"/>
    <xf numFmtId="3" fontId="26" fillId="72" borderId="46" xfId="0" applyNumberFormat="1" applyFont="1" applyFill="1" applyBorder="1" applyAlignment="1"/>
    <xf numFmtId="3" fontId="26" fillId="72" borderId="47" xfId="0" applyNumberFormat="1" applyFont="1" applyFill="1" applyBorder="1" applyAlignment="1"/>
    <xf numFmtId="3" fontId="26" fillId="0" borderId="0" xfId="0" applyNumberFormat="1" applyFont="1" applyBorder="1" applyAlignment="1"/>
    <xf numFmtId="3" fontId="26" fillId="0" borderId="0" xfId="0" applyNumberFormat="1" applyFont="1" applyBorder="1" applyAlignment="1">
      <alignment horizontal="left"/>
    </xf>
    <xf numFmtId="3" fontId="26" fillId="0" borderId="0" xfId="0" applyNumberFormat="1" applyFont="1" applyAlignment="1"/>
    <xf numFmtId="3" fontId="7" fillId="0" borderId="38" xfId="0" applyNumberFormat="1" applyFont="1" applyBorder="1" applyAlignment="1"/>
    <xf numFmtId="3" fontId="7" fillId="60" borderId="0" xfId="0" applyNumberFormat="1" applyFont="1" applyFill="1" applyAlignment="1"/>
    <xf numFmtId="3" fontId="7" fillId="0" borderId="0" xfId="0" applyNumberFormat="1" applyFont="1" applyBorder="1" applyAlignment="1">
      <alignment horizontal="left"/>
    </xf>
    <xf numFmtId="3" fontId="49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1"/>
    </xf>
    <xf numFmtId="3" fontId="93" fillId="0" borderId="0" xfId="0" applyNumberFormat="1" applyFont="1" applyFill="1" applyAlignment="1"/>
    <xf numFmtId="3" fontId="6" fillId="50" borderId="0" xfId="0" applyNumberFormat="1" applyFont="1" applyFill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2"/>
    </xf>
    <xf numFmtId="3" fontId="6" fillId="0" borderId="0" xfId="0" applyNumberFormat="1" applyFont="1" applyFill="1" applyAlignment="1"/>
    <xf numFmtId="3" fontId="49" fillId="50" borderId="0" xfId="0" applyNumberFormat="1" applyFont="1" applyFill="1" applyAlignment="1"/>
    <xf numFmtId="3" fontId="10" fillId="0" borderId="0" xfId="0" applyNumberFormat="1" applyFont="1" applyBorder="1" applyAlignment="1"/>
    <xf numFmtId="3" fontId="10" fillId="0" borderId="0" xfId="0" applyNumberFormat="1" applyFont="1" applyBorder="1" applyAlignment="1">
      <alignment horizontal="left"/>
    </xf>
    <xf numFmtId="3" fontId="10" fillId="0" borderId="27" xfId="0" applyNumberFormat="1" applyFont="1" applyBorder="1" applyAlignment="1"/>
    <xf numFmtId="3" fontId="10" fillId="0" borderId="38" xfId="0" applyNumberFormat="1" applyFont="1" applyBorder="1" applyAlignment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Border="1" applyAlignment="1">
      <alignment horizontal="left"/>
    </xf>
    <xf numFmtId="3" fontId="26" fillId="0" borderId="27" xfId="0" applyNumberFormat="1" applyFont="1" applyFill="1" applyBorder="1" applyAlignment="1"/>
    <xf numFmtId="3" fontId="26" fillId="0" borderId="38" xfId="0" applyNumberFormat="1" applyFont="1" applyBorder="1" applyAlignment="1"/>
    <xf numFmtId="4" fontId="26" fillId="0" borderId="0" xfId="0" applyNumberFormat="1" applyFont="1" applyAlignment="1"/>
    <xf numFmtId="0" fontId="93" fillId="0" borderId="0" xfId="0" applyFont="1"/>
    <xf numFmtId="0" fontId="93" fillId="0" borderId="0" xfId="0" applyFont="1" applyBorder="1"/>
    <xf numFmtId="0" fontId="93" fillId="0" borderId="38" xfId="0" applyFont="1" applyBorder="1"/>
    <xf numFmtId="172" fontId="26" fillId="0" borderId="0" xfId="0" applyNumberFormat="1" applyFont="1" applyAlignment="1"/>
    <xf numFmtId="3" fontId="7" fillId="0" borderId="0" xfId="0" applyNumberFormat="1" applyFont="1" applyFill="1" applyBorder="1" applyAlignment="1">
      <alignment horizontal="left"/>
    </xf>
    <xf numFmtId="172" fontId="7" fillId="0" borderId="0" xfId="0" applyNumberFormat="1" applyFont="1" applyAlignment="1"/>
    <xf numFmtId="172" fontId="7" fillId="50" borderId="0" xfId="0" applyNumberFormat="1" applyFont="1" applyFill="1" applyAlignment="1"/>
    <xf numFmtId="172" fontId="7" fillId="0" borderId="0" xfId="0" applyNumberFormat="1" applyFont="1" applyFill="1" applyAlignment="1"/>
    <xf numFmtId="172" fontId="7" fillId="0" borderId="0" xfId="0" applyNumberFormat="1" applyFont="1" applyFill="1" applyBorder="1" applyAlignment="1"/>
    <xf numFmtId="3" fontId="94" fillId="0" borderId="0" xfId="0" applyNumberFormat="1" applyFont="1" applyFill="1" applyAlignment="1"/>
    <xf numFmtId="172" fontId="26" fillId="0" borderId="0" xfId="0" applyNumberFormat="1" applyFont="1" applyFill="1" applyAlignment="1"/>
    <xf numFmtId="3" fontId="26" fillId="0" borderId="38" xfId="0" applyNumberFormat="1" applyFont="1" applyFill="1" applyBorder="1" applyAlignment="1"/>
    <xf numFmtId="3" fontId="27" fillId="0" borderId="0" xfId="0" applyNumberFormat="1" applyFont="1" applyBorder="1" applyAlignment="1"/>
    <xf numFmtId="3" fontId="27" fillId="0" borderId="0" xfId="0" applyNumberFormat="1" applyFont="1" applyBorder="1" applyAlignment="1">
      <alignment horizontal="left"/>
    </xf>
    <xf numFmtId="3" fontId="27" fillId="0" borderId="0" xfId="0" applyNumberFormat="1" applyFont="1" applyFill="1" applyAlignment="1"/>
    <xf numFmtId="3" fontId="27" fillId="0" borderId="38" xfId="0" applyNumberFormat="1" applyFont="1" applyBorder="1" applyAlignment="1"/>
    <xf numFmtId="3" fontId="7" fillId="0" borderId="0" xfId="0" applyNumberFormat="1" applyFont="1" applyBorder="1" applyAlignment="1">
      <alignment horizontal="left" indent="3"/>
    </xf>
    <xf numFmtId="3" fontId="49" fillId="0" borderId="0" xfId="0" applyNumberFormat="1" applyFont="1" applyBorder="1" applyAlignment="1"/>
    <xf numFmtId="3" fontId="7" fillId="64" borderId="0" xfId="0" applyNumberFormat="1" applyFont="1" applyFill="1" applyAlignment="1">
      <alignment horizontal="right"/>
    </xf>
    <xf numFmtId="3" fontId="93" fillId="0" borderId="0" xfId="0" applyNumberFormat="1" applyFont="1" applyBorder="1" applyAlignment="1"/>
    <xf numFmtId="3" fontId="10" fillId="56" borderId="0" xfId="0" applyNumberFormat="1" applyFont="1" applyFill="1" applyBorder="1" applyAlignment="1"/>
    <xf numFmtId="3" fontId="26" fillId="56" borderId="0" xfId="0" applyNumberFormat="1" applyFont="1" applyFill="1" applyBorder="1" applyAlignment="1"/>
    <xf numFmtId="3" fontId="26" fillId="56" borderId="0" xfId="0" applyNumberFormat="1" applyFont="1" applyFill="1" applyBorder="1" applyAlignment="1">
      <alignment horizontal="left"/>
    </xf>
    <xf numFmtId="3" fontId="26" fillId="56" borderId="0" xfId="0" applyNumberFormat="1" applyFont="1" applyFill="1" applyAlignment="1"/>
    <xf numFmtId="3" fontId="7" fillId="0" borderId="0" xfId="0" applyNumberFormat="1" applyFont="1" applyBorder="1" applyAlignment="1">
      <alignment horizontal="left" indent="4"/>
    </xf>
    <xf numFmtId="177" fontId="7" fillId="0" borderId="0" xfId="0" applyNumberFormat="1" applyFont="1" applyBorder="1" applyAlignment="1">
      <alignment horizontal="left" indent="2"/>
    </xf>
    <xf numFmtId="3" fontId="7" fillId="0" borderId="0" xfId="0" applyNumberFormat="1" applyFont="1" applyFill="1" applyBorder="1" applyAlignment="1">
      <alignment horizontal="left" indent="2"/>
    </xf>
    <xf numFmtId="3" fontId="7" fillId="0" borderId="38" xfId="0" applyNumberFormat="1" applyFont="1" applyFill="1" applyBorder="1" applyAlignment="1"/>
    <xf numFmtId="3" fontId="26" fillId="60" borderId="0" xfId="0" applyNumberFormat="1" applyFont="1" applyFill="1" applyBorder="1" applyAlignment="1"/>
    <xf numFmtId="3" fontId="26" fillId="60" borderId="27" xfId="0" applyNumberFormat="1" applyFont="1" applyFill="1" applyBorder="1" applyAlignment="1"/>
    <xf numFmtId="3" fontId="26" fillId="64" borderId="0" xfId="0" applyNumberFormat="1" applyFont="1" applyFill="1" applyAlignment="1"/>
    <xf numFmtId="3" fontId="10" fillId="72" borderId="48" xfId="0" applyNumberFormat="1" applyFont="1" applyFill="1" applyBorder="1" applyAlignment="1"/>
    <xf numFmtId="3" fontId="26" fillId="72" borderId="48" xfId="0" applyNumberFormat="1" applyFont="1" applyFill="1" applyBorder="1" applyAlignment="1"/>
    <xf numFmtId="3" fontId="26" fillId="72" borderId="48" xfId="0" applyNumberFormat="1" applyFont="1" applyFill="1" applyBorder="1" applyAlignment="1">
      <alignment horizontal="left"/>
    </xf>
    <xf numFmtId="3" fontId="26" fillId="72" borderId="49" xfId="0" applyNumberFormat="1" applyFont="1" applyFill="1" applyBorder="1" applyAlignment="1"/>
    <xf numFmtId="3" fontId="16" fillId="0" borderId="0" xfId="0" applyNumberFormat="1" applyFont="1" applyFill="1" applyBorder="1" applyAlignment="1"/>
    <xf numFmtId="174" fontId="26" fillId="0" borderId="0" xfId="0" applyNumberFormat="1" applyFont="1" applyFill="1" applyAlignment="1"/>
    <xf numFmtId="0" fontId="49" fillId="0" borderId="0" xfId="1580" applyFont="1" applyFill="1" applyBorder="1" applyAlignment="1">
      <alignment horizontal="left" indent="5"/>
    </xf>
    <xf numFmtId="0" fontId="49" fillId="0" borderId="0" xfId="1580" applyFont="1" applyFill="1" applyBorder="1" applyAlignment="1">
      <alignment horizontal="left" indent="6"/>
    </xf>
    <xf numFmtId="3" fontId="7" fillId="73" borderId="0" xfId="0" applyNumberFormat="1" applyFont="1" applyFill="1" applyAlignment="1"/>
    <xf numFmtId="3" fontId="26" fillId="0" borderId="0" xfId="0" applyNumberFormat="1" applyFont="1" applyBorder="1" applyAlignment="1">
      <alignment horizontal="left" indent="1"/>
    </xf>
    <xf numFmtId="3" fontId="26" fillId="0" borderId="0" xfId="0" applyNumberFormat="1" applyFont="1" applyBorder="1" applyAlignment="1">
      <alignment horizontal="left" indent="4"/>
    </xf>
    <xf numFmtId="3" fontId="93" fillId="0" borderId="0" xfId="0" applyNumberFormat="1" applyFont="1" applyFill="1" applyBorder="1" applyAlignment="1"/>
    <xf numFmtId="3" fontId="49" fillId="0" borderId="38" xfId="0" applyNumberFormat="1" applyFont="1" applyFill="1" applyBorder="1" applyAlignment="1"/>
    <xf numFmtId="3" fontId="49" fillId="0" borderId="0" xfId="0" applyNumberFormat="1" applyFont="1" applyAlignment="1"/>
    <xf numFmtId="3" fontId="12" fillId="50" borderId="0" xfId="0" applyNumberFormat="1" applyFont="1" applyFill="1" applyAlignment="1"/>
    <xf numFmtId="3" fontId="27" fillId="72" borderId="48" xfId="0" applyNumberFormat="1" applyFont="1" applyFill="1" applyBorder="1" applyAlignment="1"/>
    <xf numFmtId="3" fontId="7" fillId="72" borderId="48" xfId="0" applyNumberFormat="1" applyFont="1" applyFill="1" applyBorder="1" applyAlignment="1"/>
    <xf numFmtId="3" fontId="7" fillId="72" borderId="48" xfId="0" applyNumberFormat="1" applyFont="1" applyFill="1" applyBorder="1" applyAlignment="1">
      <alignment horizontal="left"/>
    </xf>
    <xf numFmtId="3" fontId="7" fillId="72" borderId="49" xfId="0" applyNumberFormat="1" applyFont="1" applyFill="1" applyBorder="1" applyAlignment="1"/>
    <xf numFmtId="4" fontId="26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4" fontId="7" fillId="0" borderId="0" xfId="0" applyNumberFormat="1" applyFont="1" applyFill="1" applyAlignment="1"/>
    <xf numFmtId="4" fontId="7" fillId="0" borderId="0" xfId="0" applyNumberFormat="1" applyFont="1" applyFill="1" applyBorder="1" applyAlignment="1"/>
    <xf numFmtId="4" fontId="7" fillId="60" borderId="0" xfId="0" applyNumberFormat="1" applyFont="1" applyFill="1" applyAlignment="1"/>
    <xf numFmtId="172" fontId="49" fillId="50" borderId="0" xfId="0" applyNumberFormat="1" applyFont="1" applyFill="1" applyAlignment="1"/>
    <xf numFmtId="3" fontId="7" fillId="60" borderId="0" xfId="0" applyNumberFormat="1" applyFont="1" applyFill="1" applyBorder="1" applyAlignment="1"/>
    <xf numFmtId="3" fontId="10" fillId="72" borderId="49" xfId="0" applyNumberFormat="1" applyFont="1" applyFill="1" applyBorder="1" applyAlignment="1"/>
    <xf numFmtId="174" fontId="7" fillId="0" borderId="0" xfId="0" applyNumberFormat="1" applyFont="1" applyAlignment="1"/>
    <xf numFmtId="4" fontId="7" fillId="0" borderId="0" xfId="0" applyNumberFormat="1" applyFont="1" applyAlignment="1"/>
    <xf numFmtId="177" fontId="26" fillId="0" borderId="0" xfId="0" applyNumberFormat="1" applyFont="1" applyAlignment="1"/>
    <xf numFmtId="3" fontId="10" fillId="60" borderId="48" xfId="0" applyNumberFormat="1" applyFont="1" applyFill="1" applyBorder="1" applyAlignment="1"/>
    <xf numFmtId="3" fontId="27" fillId="72" borderId="49" xfId="0" applyNumberFormat="1" applyFont="1" applyFill="1" applyBorder="1" applyAlignment="1"/>
    <xf numFmtId="0" fontId="93" fillId="0" borderId="0" xfId="0" applyFont="1" applyFill="1"/>
    <xf numFmtId="172" fontId="7" fillId="0" borderId="38" xfId="0" applyNumberFormat="1" applyFont="1" applyFill="1" applyBorder="1" applyAlignment="1"/>
    <xf numFmtId="172" fontId="7" fillId="0" borderId="38" xfId="0" applyNumberFormat="1" applyFont="1" applyBorder="1" applyAlignment="1"/>
    <xf numFmtId="4" fontId="7" fillId="0" borderId="38" xfId="0" applyNumberFormat="1" applyFont="1" applyBorder="1" applyAlignment="1"/>
    <xf numFmtId="9" fontId="7" fillId="0" borderId="0" xfId="0" applyNumberFormat="1" applyFont="1" applyAlignment="1"/>
    <xf numFmtId="0" fontId="12" fillId="0" borderId="0" xfId="0" applyFont="1"/>
    <xf numFmtId="0" fontId="91" fillId="0" borderId="0" xfId="0" applyFont="1"/>
    <xf numFmtId="0" fontId="49" fillId="0" borderId="0" xfId="0" applyFont="1"/>
    <xf numFmtId="0" fontId="12" fillId="0" borderId="0" xfId="0" applyFont="1" applyAlignment="1">
      <alignment horizontal="left"/>
    </xf>
    <xf numFmtId="0" fontId="91" fillId="0" borderId="0" xfId="0" applyFont="1" applyFill="1"/>
    <xf numFmtId="3" fontId="10" fillId="56" borderId="48" xfId="0" applyNumberFormat="1" applyFont="1" applyFill="1" applyBorder="1" applyAlignment="1"/>
    <xf numFmtId="3" fontId="10" fillId="56" borderId="49" xfId="0" applyNumberFormat="1" applyFont="1" applyFill="1" applyBorder="1" applyAlignment="1"/>
    <xf numFmtId="3" fontId="23" fillId="56" borderId="0" xfId="0" applyNumberFormat="1" applyFont="1" applyFill="1" applyBorder="1" applyAlignment="1"/>
    <xf numFmtId="3" fontId="23" fillId="56" borderId="0" xfId="0" applyNumberFormat="1" applyFont="1" applyFill="1" applyAlignment="1"/>
    <xf numFmtId="3" fontId="27" fillId="56" borderId="0" xfId="0" applyNumberFormat="1" applyFont="1" applyFill="1" applyAlignment="1"/>
    <xf numFmtId="3" fontId="7" fillId="56" borderId="0" xfId="0" applyNumberFormat="1" applyFont="1" applyFill="1" applyAlignment="1"/>
    <xf numFmtId="3" fontId="7" fillId="56" borderId="38" xfId="0" applyNumberFormat="1" applyFont="1" applyFill="1" applyBorder="1" applyAlignment="1"/>
    <xf numFmtId="0" fontId="6" fillId="0" borderId="50" xfId="0" applyFont="1" applyFill="1" applyBorder="1" applyAlignment="1">
      <alignment horizontal="right"/>
    </xf>
    <xf numFmtId="0" fontId="6" fillId="0" borderId="50" xfId="0" applyFont="1" applyFill="1" applyBorder="1" applyAlignment="1">
      <alignment horizontal="left"/>
    </xf>
    <xf numFmtId="0" fontId="49" fillId="0" borderId="50" xfId="0" applyFont="1" applyFill="1" applyBorder="1" applyAlignment="1">
      <alignment horizontal="right"/>
    </xf>
    <xf numFmtId="0" fontId="49" fillId="0" borderId="40" xfId="0" applyFont="1" applyFill="1" applyBorder="1" applyAlignment="1">
      <alignment horizontal="right"/>
    </xf>
    <xf numFmtId="0" fontId="6" fillId="0" borderId="25" xfId="0" applyFont="1" applyFill="1" applyBorder="1"/>
    <xf numFmtId="0" fontId="49" fillId="0" borderId="25" xfId="0" applyFont="1" applyFill="1" applyBorder="1"/>
    <xf numFmtId="0" fontId="49" fillId="0" borderId="41" xfId="0" applyFont="1" applyFill="1" applyBorder="1"/>
    <xf numFmtId="3" fontId="14" fillId="50" borderId="50" xfId="1025" applyNumberFormat="1" applyFill="1" applyBorder="1" applyAlignment="1" applyProtection="1"/>
    <xf numFmtId="0" fontId="49" fillId="0" borderId="0" xfId="0" applyFont="1" applyAlignment="1">
      <alignment horizontal="center"/>
    </xf>
    <xf numFmtId="3" fontId="49" fillId="0" borderId="0" xfId="0" applyNumberFormat="1" applyFont="1"/>
    <xf numFmtId="3" fontId="6" fillId="0" borderId="0" xfId="0" applyNumberFormat="1" applyFont="1"/>
    <xf numFmtId="0" fontId="49" fillId="56" borderId="0" xfId="0" applyFont="1" applyFill="1"/>
    <xf numFmtId="0" fontId="49" fillId="68" borderId="0" xfId="0" applyFont="1" applyFill="1"/>
    <xf numFmtId="3" fontId="6" fillId="68" borderId="0" xfId="0" applyNumberFormat="1" applyFont="1" applyFill="1"/>
    <xf numFmtId="3" fontId="49" fillId="68" borderId="0" xfId="0" applyNumberFormat="1" applyFont="1" applyFill="1"/>
    <xf numFmtId="0" fontId="49" fillId="66" borderId="0" xfId="0" applyFont="1" applyFill="1"/>
    <xf numFmtId="1" fontId="7" fillId="0" borderId="0" xfId="0" applyNumberFormat="1" applyFont="1" applyFill="1" applyBorder="1" applyAlignment="1"/>
    <xf numFmtId="0" fontId="93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72" fontId="26" fillId="0" borderId="0" xfId="0" applyNumberFormat="1" applyFont="1" applyFill="1" applyBorder="1" applyAlignment="1"/>
    <xf numFmtId="174" fontId="7" fillId="0" borderId="0" xfId="0" applyNumberFormat="1" applyFont="1" applyFill="1" applyBorder="1" applyAlignment="1"/>
    <xf numFmtId="9" fontId="7" fillId="0" borderId="0" xfId="0" applyNumberFormat="1" applyFont="1" applyFill="1" applyBorder="1" applyAlignment="1"/>
    <xf numFmtId="3" fontId="10" fillId="0" borderId="48" xfId="0" applyNumberFormat="1" applyFont="1" applyFill="1" applyBorder="1" applyAlignment="1"/>
    <xf numFmtId="172" fontId="6" fillId="0" borderId="0" xfId="2954" applyNumberFormat="1" applyFont="1" applyFill="1" applyBorder="1"/>
    <xf numFmtId="172" fontId="6" fillId="0" borderId="0" xfId="2954" applyNumberFormat="1" applyFont="1" applyFill="1" applyBorder="1" applyAlignment="1">
      <alignment horizontal="center"/>
    </xf>
    <xf numFmtId="172" fontId="6" fillId="0" borderId="0" xfId="0" applyNumberFormat="1" applyFont="1"/>
    <xf numFmtId="172" fontId="6" fillId="68" borderId="0" xfId="0" applyNumberFormat="1" applyFont="1" applyFill="1"/>
    <xf numFmtId="3" fontId="6" fillId="0" borderId="0" xfId="2954" applyNumberFormat="1" applyFont="1" applyFill="1" applyBorder="1"/>
    <xf numFmtId="3" fontId="6" fillId="0" borderId="0" xfId="2954" applyNumberFormat="1" applyFont="1" applyFill="1" applyBorder="1" applyAlignment="1">
      <alignment horizontal="center"/>
    </xf>
    <xf numFmtId="3" fontId="6" fillId="0" borderId="0" xfId="2954" applyNumberFormat="1" applyFont="1" applyBorder="1"/>
    <xf numFmtId="3" fontId="6" fillId="0" borderId="0" xfId="2954" applyNumberFormat="1" applyFont="1" applyBorder="1" applyAlignment="1">
      <alignment horizontal="center"/>
    </xf>
    <xf numFmtId="3" fontId="91" fillId="0" borderId="0" xfId="0" applyNumberFormat="1" applyFont="1"/>
    <xf numFmtId="3" fontId="49" fillId="0" borderId="0" xfId="0" applyNumberFormat="1" applyFont="1" applyAlignment="1">
      <alignment horizontal="center"/>
    </xf>
    <xf numFmtId="4" fontId="49" fillId="0" borderId="0" xfId="0" applyNumberFormat="1" applyFont="1"/>
    <xf numFmtId="172" fontId="49" fillId="0" borderId="0" xfId="0" applyNumberFormat="1" applyFont="1"/>
    <xf numFmtId="172" fontId="49" fillId="61" borderId="0" xfId="0" applyNumberFormat="1" applyFont="1" applyFill="1" applyAlignment="1"/>
    <xf numFmtId="3" fontId="88" fillId="61" borderId="0" xfId="0" applyNumberFormat="1" applyFont="1" applyFill="1"/>
    <xf numFmtId="4" fontId="26" fillId="0" borderId="0" xfId="0" applyNumberFormat="1" applyFont="1" applyFill="1" applyAlignment="1"/>
    <xf numFmtId="4" fontId="6" fillId="0" borderId="0" xfId="0" applyNumberFormat="1" applyFont="1"/>
    <xf numFmtId="0" fontId="14" fillId="0" borderId="0" xfId="1025" applyAlignment="1" applyProtection="1"/>
    <xf numFmtId="0" fontId="12" fillId="0" borderId="0" xfId="1716" applyFont="1"/>
    <xf numFmtId="0" fontId="12" fillId="0" borderId="42" xfId="0" applyFont="1" applyBorder="1"/>
    <xf numFmtId="0" fontId="6" fillId="0" borderId="28" xfId="0" applyFont="1" applyBorder="1"/>
    <xf numFmtId="0" fontId="6" fillId="0" borderId="29" xfId="0" applyFont="1" applyBorder="1"/>
    <xf numFmtId="0" fontId="7" fillId="0" borderId="0" xfId="0" applyFont="1" applyAlignment="1">
      <alignment horizontal="justify"/>
    </xf>
    <xf numFmtId="0" fontId="26" fillId="0" borderId="0" xfId="0" applyFont="1" applyAlignment="1">
      <alignment wrapText="1"/>
    </xf>
    <xf numFmtId="3" fontId="20" fillId="67" borderId="7" xfId="0" applyNumberFormat="1" applyFont="1" applyFill="1" applyBorder="1" applyAlignment="1">
      <alignment wrapText="1"/>
    </xf>
    <xf numFmtId="0" fontId="27" fillId="0" borderId="0" xfId="0" applyFont="1" applyAlignment="1">
      <alignment wrapText="1"/>
    </xf>
    <xf numFmtId="0" fontId="7" fillId="0" borderId="28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26" fillId="0" borderId="7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7" fillId="0" borderId="0" xfId="0" applyFont="1" applyAlignment="1">
      <alignment horizontal="left" wrapText="1"/>
    </xf>
    <xf numFmtId="3" fontId="88" fillId="68" borderId="0" xfId="0" applyNumberFormat="1" applyFont="1" applyFill="1"/>
    <xf numFmtId="0" fontId="13" fillId="0" borderId="0" xfId="0" applyFont="1"/>
    <xf numFmtId="1" fontId="96" fillId="74" borderId="0" xfId="1580" applyNumberFormat="1" applyFont="1" applyFill="1" applyProtection="1">
      <protection locked="0"/>
    </xf>
    <xf numFmtId="173" fontId="96" fillId="74" borderId="0" xfId="1580" applyNumberFormat="1" applyFont="1" applyFill="1" applyProtection="1">
      <protection locked="0"/>
    </xf>
    <xf numFmtId="173" fontId="22" fillId="74" borderId="0" xfId="1580" applyNumberFormat="1" applyFont="1" applyFill="1" applyProtection="1">
      <protection locked="0"/>
    </xf>
    <xf numFmtId="1" fontId="22" fillId="74" borderId="51" xfId="1580" applyNumberFormat="1" applyFont="1" applyFill="1" applyBorder="1" applyProtection="1">
      <protection locked="0"/>
    </xf>
    <xf numFmtId="1" fontId="22" fillId="74" borderId="0" xfId="1580" applyNumberFormat="1" applyFont="1" applyFill="1" applyProtection="1">
      <protection locked="0"/>
    </xf>
    <xf numFmtId="2" fontId="22" fillId="74" borderId="0" xfId="1580" applyNumberFormat="1" applyFont="1" applyFill="1" applyProtection="1">
      <protection locked="0"/>
    </xf>
    <xf numFmtId="1" fontId="22" fillId="75" borderId="0" xfId="1580" applyNumberFormat="1" applyFont="1" applyFill="1" applyProtection="1">
      <protection locked="0"/>
    </xf>
    <xf numFmtId="173" fontId="22" fillId="75" borderId="0" xfId="1580" applyNumberFormat="1" applyFont="1" applyFill="1" applyProtection="1">
      <protection locked="0"/>
    </xf>
    <xf numFmtId="173" fontId="8" fillId="50" borderId="0" xfId="1580" applyNumberFormat="1" applyFont="1" applyFill="1"/>
    <xf numFmtId="0" fontId="12" fillId="79" borderId="0" xfId="1716" applyFont="1" applyFill="1"/>
    <xf numFmtId="0" fontId="49" fillId="79" borderId="0" xfId="1716" applyFont="1" applyFill="1"/>
    <xf numFmtId="0" fontId="49" fillId="0" borderId="0" xfId="1716" applyFont="1" applyFill="1"/>
    <xf numFmtId="0" fontId="49" fillId="50" borderId="0" xfId="1716" applyFont="1" applyFill="1"/>
    <xf numFmtId="0" fontId="49" fillId="0" borderId="0" xfId="1716" applyFont="1"/>
    <xf numFmtId="173" fontId="49" fillId="0" borderId="0" xfId="1716" applyNumberFormat="1" applyFont="1" applyFill="1"/>
    <xf numFmtId="0" fontId="12" fillId="0" borderId="0" xfId="1716" applyFont="1" applyFill="1"/>
    <xf numFmtId="3" fontId="12" fillId="0" borderId="0" xfId="1716" applyNumberFormat="1" applyFont="1"/>
    <xf numFmtId="0" fontId="49" fillId="0" borderId="0" xfId="1716" applyFont="1" applyFill="1" applyAlignment="1">
      <alignment horizontal="left" indent="1"/>
    </xf>
    <xf numFmtId="3" fontId="49" fillId="0" borderId="0" xfId="1716" applyNumberFormat="1" applyFont="1"/>
    <xf numFmtId="1" fontId="49" fillId="0" borderId="0" xfId="1716" applyNumberFormat="1" applyFont="1"/>
    <xf numFmtId="0" fontId="49" fillId="61" borderId="0" xfId="1716" applyFont="1" applyFill="1"/>
    <xf numFmtId="173" fontId="49" fillId="0" borderId="0" xfId="1716" applyNumberFormat="1" applyFont="1"/>
    <xf numFmtId="173" fontId="49" fillId="79" borderId="0" xfId="1716" applyNumberFormat="1" applyFont="1" applyFill="1"/>
    <xf numFmtId="173" fontId="49" fillId="61" borderId="0" xfId="1716" applyNumberFormat="1" applyFont="1" applyFill="1"/>
    <xf numFmtId="173" fontId="49" fillId="64" borderId="0" xfId="1716" applyNumberFormat="1" applyFont="1" applyFill="1"/>
    <xf numFmtId="2" fontId="49" fillId="0" borderId="0" xfId="1716" applyNumberFormat="1" applyFont="1"/>
    <xf numFmtId="173" fontId="49" fillId="55" borderId="0" xfId="1716" applyNumberFormat="1" applyFont="1" applyFill="1"/>
    <xf numFmtId="173" fontId="49" fillId="73" borderId="0" xfId="1716" applyNumberFormat="1" applyFont="1" applyFill="1"/>
    <xf numFmtId="172" fontId="49" fillId="0" borderId="0" xfId="1716" applyNumberFormat="1" applyFont="1"/>
    <xf numFmtId="172" fontId="6" fillId="0" borderId="0" xfId="1716" applyNumberFormat="1" applyFont="1"/>
    <xf numFmtId="173" fontId="6" fillId="0" borderId="0" xfId="1716" applyNumberFormat="1" applyFont="1"/>
    <xf numFmtId="173" fontId="6" fillId="64" borderId="0" xfId="1716" applyNumberFormat="1" applyFont="1" applyFill="1"/>
    <xf numFmtId="0" fontId="91" fillId="0" borderId="0" xfId="1716" applyFont="1"/>
    <xf numFmtId="1" fontId="6" fillId="0" borderId="0" xfId="1716" applyNumberFormat="1" applyFont="1"/>
    <xf numFmtId="1" fontId="6" fillId="57" borderId="0" xfId="1716" applyNumberFormat="1" applyFont="1" applyFill="1"/>
    <xf numFmtId="172" fontId="6" fillId="0" borderId="0" xfId="1716" applyNumberFormat="1" applyFont="1" applyFill="1"/>
    <xf numFmtId="0" fontId="49" fillId="0" borderId="0" xfId="1716" applyFont="1" applyFill="1" applyAlignment="1">
      <alignment horizontal="left" indent="2"/>
    </xf>
    <xf numFmtId="0" fontId="49" fillId="0" borderId="0" xfId="1716" applyFont="1" applyFill="1" applyAlignment="1">
      <alignment horizontal="left" indent="3"/>
    </xf>
    <xf numFmtId="0" fontId="13" fillId="0" borderId="0" xfId="1716" applyFont="1" applyFill="1"/>
    <xf numFmtId="3" fontId="49" fillId="50" borderId="0" xfId="1716" applyNumberFormat="1" applyFont="1" applyFill="1"/>
    <xf numFmtId="0" fontId="12" fillId="0" borderId="0" xfId="1716" applyFont="1" applyFill="1" applyAlignment="1">
      <alignment horizontal="left" indent="1"/>
    </xf>
    <xf numFmtId="0" fontId="49" fillId="0" borderId="0" xfId="1716" applyFont="1" applyFill="1" applyAlignment="1">
      <alignment horizontal="left" indent="4"/>
    </xf>
    <xf numFmtId="0" fontId="91" fillId="0" borderId="0" xfId="1716" applyFont="1" applyAlignment="1">
      <alignment wrapText="1"/>
    </xf>
    <xf numFmtId="0" fontId="6" fillId="0" borderId="0" xfId="1716" applyFont="1" applyAlignment="1">
      <alignment horizontal="left" wrapText="1" indent="1"/>
    </xf>
    <xf numFmtId="0" fontId="6" fillId="80" borderId="0" xfId="1716" applyFont="1" applyFill="1"/>
    <xf numFmtId="0" fontId="12" fillId="0" borderId="0" xfId="1716" applyFont="1" applyAlignment="1">
      <alignment horizontal="left" wrapText="1" indent="1"/>
    </xf>
    <xf numFmtId="0" fontId="12" fillId="80" borderId="0" xfId="1716" applyFont="1" applyFill="1"/>
    <xf numFmtId="173" fontId="12" fillId="50" borderId="0" xfId="1716" applyNumberFormat="1" applyFont="1" applyFill="1"/>
    <xf numFmtId="173" fontId="12" fillId="0" borderId="0" xfId="1716" applyNumberFormat="1" applyFont="1" applyFill="1"/>
    <xf numFmtId="173" fontId="6" fillId="0" borderId="0" xfId="1716" applyNumberFormat="1" applyFont="1" applyFill="1"/>
    <xf numFmtId="0" fontId="12" fillId="0" borderId="0" xfId="1716" applyFont="1" applyAlignment="1">
      <alignment wrapText="1"/>
    </xf>
    <xf numFmtId="0" fontId="49" fillId="0" borderId="0" xfId="1716" applyFont="1" applyAlignment="1">
      <alignment wrapText="1"/>
    </xf>
    <xf numFmtId="0" fontId="12" fillId="61" borderId="0" xfId="1716" applyFont="1" applyFill="1"/>
    <xf numFmtId="0" fontId="49" fillId="61" borderId="0" xfId="1716" applyFont="1" applyFill="1" applyAlignment="1">
      <alignment horizontal="left" indent="1"/>
    </xf>
    <xf numFmtId="0" fontId="12" fillId="61" borderId="0" xfId="1716" applyFont="1" applyFill="1" applyAlignment="1">
      <alignment horizontal="left"/>
    </xf>
    <xf numFmtId="0" fontId="12" fillId="0" borderId="0" xfId="1716" applyFont="1" applyFill="1" applyAlignment="1">
      <alignment horizontal="left"/>
    </xf>
    <xf numFmtId="0" fontId="49" fillId="61" borderId="0" xfId="1716" applyFont="1" applyFill="1" applyAlignment="1">
      <alignment horizontal="left" indent="3"/>
    </xf>
    <xf numFmtId="0" fontId="91" fillId="0" borderId="0" xfId="1716" applyFont="1" applyFill="1" applyAlignment="1">
      <alignment horizontal="left" indent="3"/>
    </xf>
    <xf numFmtId="0" fontId="49" fillId="0" borderId="0" xfId="1716" applyFont="1" applyFill="1" applyAlignment="1">
      <alignment horizontal="left"/>
    </xf>
    <xf numFmtId="173" fontId="49" fillId="66" borderId="0" xfId="1716" applyNumberFormat="1" applyFont="1" applyFill="1"/>
    <xf numFmtId="0" fontId="12" fillId="50" borderId="0" xfId="1716" applyFont="1" applyFill="1"/>
    <xf numFmtId="0" fontId="6" fillId="66" borderId="0" xfId="0" applyFont="1" applyFill="1"/>
    <xf numFmtId="0" fontId="6" fillId="0" borderId="0" xfId="1716" applyFont="1" applyFill="1" applyAlignment="1">
      <alignment horizontal="left" indent="1"/>
    </xf>
    <xf numFmtId="3" fontId="16" fillId="0" borderId="0" xfId="0" applyNumberFormat="1" applyFont="1" applyBorder="1" applyAlignme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9" fillId="68" borderId="0" xfId="0" applyNumberFormat="1" applyFont="1" applyFill="1"/>
    <xf numFmtId="172" fontId="49" fillId="68" borderId="0" xfId="0" applyNumberFormat="1" applyFont="1" applyFill="1"/>
    <xf numFmtId="0" fontId="12" fillId="10" borderId="0" xfId="0" applyFont="1" applyFill="1" applyBorder="1" applyAlignment="1">
      <alignment vertical="top"/>
    </xf>
    <xf numFmtId="0" fontId="49" fillId="10" borderId="0" xfId="0" applyFont="1" applyFill="1" applyBorder="1" applyAlignment="1">
      <alignment vertical="top"/>
    </xf>
    <xf numFmtId="0" fontId="49" fillId="0" borderId="52" xfId="0" applyFont="1" applyFill="1" applyBorder="1" applyAlignment="1">
      <alignment vertical="top"/>
    </xf>
    <xf numFmtId="0" fontId="12" fillId="26" borderId="53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49" fillId="0" borderId="0" xfId="0" applyFont="1" applyFill="1" applyBorder="1" applyAlignment="1">
      <alignment vertical="top"/>
    </xf>
    <xf numFmtId="173" fontId="12" fillId="10" borderId="53" xfId="0" applyNumberFormat="1" applyFont="1" applyFill="1" applyBorder="1" applyAlignment="1">
      <alignment horizontal="right" vertical="top"/>
    </xf>
    <xf numFmtId="173" fontId="12" fillId="10" borderId="0" xfId="0" applyNumberFormat="1" applyFont="1" applyFill="1" applyBorder="1" applyAlignment="1">
      <alignment horizontal="right" vertical="top"/>
    </xf>
    <xf numFmtId="173" fontId="6" fillId="10" borderId="0" xfId="0" applyNumberFormat="1" applyFont="1" applyFill="1" applyBorder="1" applyAlignment="1">
      <alignment horizontal="right" vertical="top"/>
    </xf>
    <xf numFmtId="172" fontId="6" fillId="10" borderId="0" xfId="0" applyNumberFormat="1" applyFont="1" applyFill="1" applyBorder="1" applyAlignment="1">
      <alignment horizontal="right" vertical="top"/>
    </xf>
    <xf numFmtId="173" fontId="104" fillId="0" borderId="0" xfId="0" applyNumberFormat="1" applyFont="1" applyFill="1" applyBorder="1" applyAlignment="1">
      <alignment horizontal="right" vertical="top"/>
    </xf>
    <xf numFmtId="3" fontId="26" fillId="50" borderId="0" xfId="0" applyNumberFormat="1" applyFont="1" applyFill="1" applyAlignment="1"/>
    <xf numFmtId="0" fontId="6" fillId="58" borderId="0" xfId="0" applyFont="1" applyFill="1"/>
    <xf numFmtId="172" fontId="26" fillId="64" borderId="0" xfId="0" applyNumberFormat="1" applyFont="1" applyFill="1" applyAlignment="1"/>
    <xf numFmtId="3" fontId="7" fillId="50" borderId="0" xfId="0" applyNumberFormat="1" applyFont="1" applyFill="1" applyBorder="1" applyAlignment="1"/>
    <xf numFmtId="3" fontId="49" fillId="64" borderId="0" xfId="0" applyNumberFormat="1" applyFont="1" applyFill="1" applyAlignment="1"/>
    <xf numFmtId="3" fontId="23" fillId="0" borderId="0" xfId="0" applyNumberFormat="1" applyFont="1" applyFill="1" applyBorder="1" applyAlignment="1"/>
    <xf numFmtId="4" fontId="49" fillId="0" borderId="0" xfId="0" applyNumberFormat="1" applyFont="1" applyFill="1" applyAlignment="1"/>
    <xf numFmtId="3" fontId="10" fillId="60" borderId="0" xfId="0" applyNumberFormat="1" applyFont="1" applyFill="1" applyAlignment="1"/>
    <xf numFmtId="0" fontId="49" fillId="60" borderId="50" xfId="0" applyFont="1" applyFill="1" applyBorder="1" applyAlignment="1">
      <alignment horizontal="right"/>
    </xf>
    <xf numFmtId="0" fontId="49" fillId="60" borderId="0" xfId="0" applyFont="1" applyFill="1" applyBorder="1" applyAlignment="1">
      <alignment horizontal="right"/>
    </xf>
    <xf numFmtId="0" fontId="49" fillId="60" borderId="25" xfId="0" applyFont="1" applyFill="1" applyBorder="1"/>
    <xf numFmtId="0" fontId="49" fillId="60" borderId="0" xfId="0" applyFont="1" applyFill="1" applyBorder="1"/>
    <xf numFmtId="1" fontId="7" fillId="60" borderId="0" xfId="0" applyNumberFormat="1" applyFont="1" applyFill="1" applyAlignment="1"/>
    <xf numFmtId="3" fontId="26" fillId="60" borderId="44" xfId="0" applyNumberFormat="1" applyFont="1" applyFill="1" applyBorder="1" applyAlignment="1"/>
    <xf numFmtId="4" fontId="26" fillId="60" borderId="0" xfId="0" applyNumberFormat="1" applyFont="1" applyFill="1" applyAlignment="1"/>
    <xf numFmtId="0" fontId="93" fillId="60" borderId="0" xfId="0" applyFont="1" applyFill="1"/>
    <xf numFmtId="172" fontId="7" fillId="60" borderId="0" xfId="0" applyNumberFormat="1" applyFont="1" applyFill="1" applyAlignment="1"/>
    <xf numFmtId="3" fontId="10" fillId="60" borderId="0" xfId="0" applyNumberFormat="1" applyFont="1" applyFill="1" applyBorder="1" applyAlignment="1"/>
    <xf numFmtId="3" fontId="26" fillId="60" borderId="46" xfId="0" applyNumberFormat="1" applyFont="1" applyFill="1" applyBorder="1" applyAlignment="1"/>
    <xf numFmtId="3" fontId="27" fillId="60" borderId="0" xfId="0" applyNumberFormat="1" applyFont="1" applyFill="1" applyAlignment="1"/>
    <xf numFmtId="3" fontId="26" fillId="60" borderId="48" xfId="0" applyNumberFormat="1" applyFont="1" applyFill="1" applyBorder="1" applyAlignment="1"/>
    <xf numFmtId="3" fontId="49" fillId="60" borderId="0" xfId="0" applyNumberFormat="1" applyFont="1" applyFill="1" applyAlignment="1"/>
    <xf numFmtId="3" fontId="7" fillId="60" borderId="48" xfId="0" applyNumberFormat="1" applyFont="1" applyFill="1" applyBorder="1" applyAlignment="1"/>
    <xf numFmtId="172" fontId="26" fillId="60" borderId="0" xfId="0" applyNumberFormat="1" applyFont="1" applyFill="1" applyAlignment="1"/>
    <xf numFmtId="3" fontId="27" fillId="60" borderId="48" xfId="0" applyNumberFormat="1" applyFont="1" applyFill="1" applyBorder="1" applyAlignment="1"/>
    <xf numFmtId="3" fontId="27" fillId="60" borderId="0" xfId="0" applyNumberFormat="1" applyFont="1" applyFill="1" applyBorder="1" applyAlignment="1"/>
    <xf numFmtId="9" fontId="7" fillId="60" borderId="0" xfId="0" applyNumberFormat="1" applyFont="1" applyFill="1" applyAlignment="1"/>
    <xf numFmtId="3" fontId="12" fillId="61" borderId="0" xfId="1716" applyNumberFormat="1" applyFont="1" applyFill="1"/>
    <xf numFmtId="173" fontId="12" fillId="0" borderId="0" xfId="1716" applyNumberFormat="1" applyFont="1"/>
    <xf numFmtId="3" fontId="49" fillId="0" borderId="0" xfId="1716" applyNumberFormat="1" applyFont="1" applyFill="1"/>
    <xf numFmtId="0" fontId="49" fillId="64" borderId="0" xfId="0" applyFont="1" applyFill="1"/>
    <xf numFmtId="0" fontId="14" fillId="79" borderId="0" xfId="1025" applyFill="1" applyAlignment="1" applyProtection="1"/>
    <xf numFmtId="2" fontId="49" fillId="0" borderId="0" xfId="1716" applyNumberFormat="1" applyFont="1" applyFill="1"/>
    <xf numFmtId="0" fontId="14" fillId="79" borderId="0" xfId="1025" applyNumberFormat="1" applyFill="1" applyBorder="1" applyAlignment="1" applyProtection="1"/>
    <xf numFmtId="0" fontId="49" fillId="0" borderId="0" xfId="0" applyFont="1" applyFill="1"/>
    <xf numFmtId="3" fontId="7" fillId="60" borderId="0" xfId="0" applyNumberFormat="1" applyFont="1" applyFill="1" applyBorder="1" applyAlignment="1">
      <alignment horizontal="left" indent="1"/>
    </xf>
    <xf numFmtId="173" fontId="49" fillId="64" borderId="0" xfId="0" applyNumberFormat="1" applyFont="1" applyFill="1"/>
    <xf numFmtId="1" fontId="49" fillId="64" borderId="0" xfId="0" applyNumberFormat="1" applyFont="1" applyFill="1"/>
    <xf numFmtId="0" fontId="49" fillId="64" borderId="0" xfId="0" applyFont="1" applyFill="1" applyAlignment="1">
      <alignment horizontal="right"/>
    </xf>
    <xf numFmtId="0" fontId="6" fillId="80" borderId="0" xfId="0" applyFont="1" applyFill="1"/>
    <xf numFmtId="0" fontId="49" fillId="80" borderId="0" xfId="0" applyFont="1" applyFill="1"/>
    <xf numFmtId="0" fontId="12" fillId="56" borderId="0" xfId="0" applyFont="1" applyFill="1"/>
    <xf numFmtId="0" fontId="6" fillId="56" borderId="0" xfId="0" applyFont="1" applyFill="1"/>
    <xf numFmtId="0" fontId="13" fillId="56" borderId="0" xfId="0" applyFont="1" applyFill="1"/>
    <xf numFmtId="1" fontId="49" fillId="0" borderId="0" xfId="0" applyNumberFormat="1" applyFont="1"/>
    <xf numFmtId="173" fontId="6" fillId="0" borderId="0" xfId="0" applyNumberFormat="1" applyFont="1" applyFill="1" applyBorder="1" applyAlignment="1">
      <alignment horizontal="right" vertical="top"/>
    </xf>
    <xf numFmtId="0" fontId="12" fillId="0" borderId="0" xfId="0" applyFont="1" applyFill="1"/>
    <xf numFmtId="0" fontId="12" fillId="73" borderId="0" xfId="0" applyFont="1" applyFill="1"/>
    <xf numFmtId="0" fontId="6" fillId="73" borderId="0" xfId="0" applyFont="1" applyFill="1"/>
    <xf numFmtId="0" fontId="12" fillId="57" borderId="0" xfId="0" applyFont="1" applyFill="1"/>
    <xf numFmtId="0" fontId="6" fillId="84" borderId="0" xfId="0" applyFont="1" applyFill="1"/>
    <xf numFmtId="0" fontId="49" fillId="84" borderId="0" xfId="0" applyFont="1" applyFill="1"/>
    <xf numFmtId="0" fontId="6" fillId="68" borderId="0" xfId="0" applyFont="1" applyFill="1"/>
    <xf numFmtId="0" fontId="12" fillId="61" borderId="0" xfId="0" applyFont="1" applyFill="1"/>
    <xf numFmtId="0" fontId="6" fillId="61" borderId="0" xfId="0" quotePrefix="1" applyFont="1" applyFill="1"/>
    <xf numFmtId="0" fontId="6" fillId="61" borderId="0" xfId="0" applyFont="1" applyFill="1"/>
    <xf numFmtId="0" fontId="49" fillId="61" borderId="0" xfId="0" applyFont="1" applyFill="1"/>
    <xf numFmtId="0" fontId="49" fillId="73" borderId="0" xfId="0" applyFont="1" applyFill="1"/>
    <xf numFmtId="0" fontId="106" fillId="73" borderId="0" xfId="0" applyFont="1" applyFill="1"/>
    <xf numFmtId="0" fontId="6" fillId="73" borderId="0" xfId="0" applyFont="1" applyFill="1" applyAlignment="1">
      <alignment horizontal="left" indent="8"/>
    </xf>
    <xf numFmtId="0" fontId="6" fillId="73" borderId="0" xfId="0" applyFont="1" applyFill="1" applyAlignment="1">
      <alignment horizontal="left" indent="4"/>
    </xf>
    <xf numFmtId="3" fontId="88" fillId="84" borderId="0" xfId="0" applyNumberFormat="1" applyFont="1" applyFill="1"/>
    <xf numFmtId="0" fontId="6" fillId="0" borderId="0" xfId="1716" applyFont="1" applyFill="1" applyAlignment="1">
      <alignment horizontal="center"/>
    </xf>
    <xf numFmtId="0" fontId="49" fillId="0" borderId="0" xfId="1716" applyFont="1" applyFill="1" applyAlignment="1">
      <alignment horizontal="center"/>
    </xf>
    <xf numFmtId="3" fontId="7" fillId="63" borderId="0" xfId="0" applyNumberFormat="1" applyFont="1" applyFill="1" applyAlignment="1"/>
    <xf numFmtId="177" fontId="23" fillId="56" borderId="0" xfId="0" applyNumberFormat="1" applyFont="1" applyFill="1" applyAlignment="1"/>
    <xf numFmtId="4" fontId="7" fillId="56" borderId="0" xfId="0" applyNumberFormat="1" applyFont="1" applyFill="1" applyAlignment="1"/>
    <xf numFmtId="3" fontId="98" fillId="0" borderId="0" xfId="2014" applyNumberFormat="1" applyFont="1" applyFill="1" applyAlignment="1" applyProtection="1">
      <alignment horizontal="left"/>
    </xf>
    <xf numFmtId="3" fontId="8" fillId="0" borderId="0" xfId="2014" applyNumberFormat="1" applyFont="1" applyFill="1" applyAlignment="1" applyProtection="1">
      <alignment horizontal="left"/>
    </xf>
    <xf numFmtId="3" fontId="8" fillId="50" borderId="0" xfId="2014" applyNumberFormat="1" applyFont="1" applyFill="1"/>
    <xf numFmtId="3" fontId="8" fillId="0" borderId="0" xfId="2014" applyNumberFormat="1" applyFont="1" applyFill="1"/>
    <xf numFmtId="3" fontId="8" fillId="85" borderId="0" xfId="2014" applyNumberFormat="1" applyFont="1" applyFill="1"/>
    <xf numFmtId="3" fontId="8" fillId="0" borderId="0" xfId="2014" quotePrefix="1" applyNumberFormat="1" applyFont="1" applyFill="1"/>
    <xf numFmtId="3" fontId="8" fillId="61" borderId="0" xfId="2014" applyNumberFormat="1" applyFont="1" applyFill="1"/>
    <xf numFmtId="3" fontId="8" fillId="0" borderId="0" xfId="2014" applyNumberFormat="1" applyFont="1" applyFill="1" applyAlignment="1" applyProtection="1">
      <alignment horizontal="center"/>
    </xf>
    <xf numFmtId="3" fontId="108" fillId="0" borderId="0" xfId="2014" applyNumberFormat="1" applyFont="1" applyFill="1" applyAlignment="1" applyProtection="1">
      <alignment horizontal="left"/>
    </xf>
    <xf numFmtId="1" fontId="8" fillId="0" borderId="0" xfId="2014" applyNumberFormat="1" applyFont="1" applyFill="1" applyAlignment="1" applyProtection="1">
      <alignment horizontal="right"/>
    </xf>
    <xf numFmtId="3" fontId="8" fillId="0" borderId="0" xfId="2014" quotePrefix="1" applyNumberFormat="1" applyFont="1" applyFill="1" applyAlignment="1" applyProtection="1">
      <alignment horizontal="right"/>
    </xf>
    <xf numFmtId="1" fontId="8" fillId="0" borderId="0" xfId="2014" applyNumberFormat="1" applyFont="1" applyFill="1"/>
    <xf numFmtId="3" fontId="8" fillId="0" borderId="0" xfId="2014" applyNumberFormat="1" applyFont="1" applyAlignment="1" applyProtection="1">
      <alignment horizontal="left"/>
    </xf>
    <xf numFmtId="3" fontId="8" fillId="0" borderId="0" xfId="2014" applyNumberFormat="1" applyFont="1"/>
    <xf numFmtId="3" fontId="8" fillId="0" borderId="0" xfId="2014" applyNumberFormat="1" applyFont="1" applyFill="1" applyAlignment="1">
      <alignment horizontal="center"/>
    </xf>
    <xf numFmtId="3" fontId="8" fillId="86" borderId="0" xfId="2014" applyNumberFormat="1" applyFont="1" applyFill="1"/>
    <xf numFmtId="3" fontId="8" fillId="86" borderId="0" xfId="2014" applyNumberFormat="1" applyFont="1" applyFill="1" applyAlignment="1">
      <alignment horizontal="center"/>
    </xf>
    <xf numFmtId="3" fontId="8" fillId="86" borderId="0" xfId="2014" applyNumberFormat="1" applyFont="1" applyFill="1" applyAlignment="1" applyProtection="1">
      <alignment horizontal="left"/>
    </xf>
    <xf numFmtId="3" fontId="8" fillId="86" borderId="0" xfId="2014" applyNumberFormat="1" applyFont="1" applyFill="1" applyProtection="1"/>
    <xf numFmtId="3" fontId="8" fillId="50" borderId="0" xfId="2014" applyNumberFormat="1" applyFont="1" applyFill="1" applyAlignment="1" applyProtection="1">
      <alignment horizontal="right"/>
    </xf>
    <xf numFmtId="3" fontId="8" fillId="61" borderId="0" xfId="2014" applyNumberFormat="1" applyFont="1" applyFill="1" applyAlignment="1" applyProtection="1">
      <alignment horizontal="right"/>
    </xf>
    <xf numFmtId="3" fontId="8" fillId="0" borderId="0" xfId="2014" applyNumberFormat="1" applyFont="1" applyFill="1" applyProtection="1"/>
    <xf numFmtId="3" fontId="8" fillId="0" borderId="0" xfId="2014" quotePrefix="1" applyNumberFormat="1" applyFont="1" applyFill="1" applyProtection="1"/>
    <xf numFmtId="3" fontId="8" fillId="64" borderId="0" xfId="2014" applyNumberFormat="1" applyFont="1" applyFill="1" applyProtection="1"/>
    <xf numFmtId="3" fontId="100" fillId="0" borderId="0" xfId="2014" applyNumberFormat="1" applyFont="1" applyAlignment="1" applyProtection="1">
      <alignment horizontal="left"/>
    </xf>
    <xf numFmtId="3" fontId="100" fillId="0" borderId="0" xfId="2014" applyNumberFormat="1" applyFont="1" applyFill="1" applyAlignment="1" applyProtection="1">
      <alignment horizontal="left"/>
    </xf>
    <xf numFmtId="3" fontId="8" fillId="61" borderId="0" xfId="2014" applyNumberFormat="1" applyFont="1" applyFill="1" applyProtection="1"/>
    <xf numFmtId="4" fontId="8" fillId="0" borderId="0" xfId="2014" applyNumberFormat="1" applyFont="1" applyFill="1"/>
    <xf numFmtId="174" fontId="8" fillId="0" borderId="0" xfId="2014" applyNumberFormat="1" applyFont="1" applyFill="1"/>
    <xf numFmtId="3" fontId="8" fillId="0" borderId="0" xfId="2014" applyNumberFormat="1" applyFont="1" applyFill="1" applyAlignment="1" applyProtection="1">
      <alignment horizontal="right"/>
    </xf>
    <xf numFmtId="3" fontId="8" fillId="86" borderId="0" xfId="2014" applyNumberFormat="1" applyFont="1" applyFill="1" applyAlignment="1" applyProtection="1">
      <alignment horizontal="center"/>
    </xf>
    <xf numFmtId="3" fontId="8" fillId="86" borderId="0" xfId="2014" applyNumberFormat="1" applyFont="1" applyFill="1" applyAlignment="1" applyProtection="1">
      <alignment horizontal="right"/>
    </xf>
    <xf numFmtId="172" fontId="8" fillId="0" borderId="0" xfId="2014" applyNumberFormat="1" applyFont="1" applyFill="1" applyAlignment="1" applyProtection="1">
      <alignment horizontal="left"/>
    </xf>
    <xf numFmtId="3" fontId="8" fillId="68" borderId="0" xfId="2014" applyNumberFormat="1" applyFont="1" applyFill="1" applyAlignment="1" applyProtection="1">
      <alignment horizontal="right"/>
    </xf>
    <xf numFmtId="3" fontId="8" fillId="80" borderId="0" xfId="2014" applyNumberFormat="1" applyFont="1" applyFill="1" applyAlignment="1" applyProtection="1">
      <alignment horizontal="right"/>
    </xf>
    <xf numFmtId="3" fontId="8" fillId="87" borderId="0" xfId="2014" applyNumberFormat="1" applyFont="1" applyFill="1" applyAlignment="1" applyProtection="1">
      <alignment horizontal="right"/>
    </xf>
    <xf numFmtId="174" fontId="8" fillId="50" borderId="0" xfId="2014" applyNumberFormat="1" applyFont="1" applyFill="1" applyAlignment="1" applyProtection="1">
      <alignment horizontal="right"/>
    </xf>
    <xf numFmtId="174" fontId="8" fillId="64" borderId="0" xfId="2014" applyNumberFormat="1" applyFont="1" applyFill="1"/>
    <xf numFmtId="174" fontId="8" fillId="0" borderId="0" xfId="2014" quotePrefix="1" applyNumberFormat="1" applyFont="1" applyFill="1"/>
    <xf numFmtId="174" fontId="8" fillId="0" borderId="0" xfId="2014" applyNumberFormat="1" applyFont="1"/>
    <xf numFmtId="3" fontId="8" fillId="50" borderId="0" xfId="2014" applyNumberFormat="1" applyFont="1" applyFill="1" applyProtection="1"/>
    <xf numFmtId="3" fontId="21" fillId="80" borderId="0" xfId="2014" applyNumberFormat="1" applyFont="1" applyFill="1" applyAlignment="1" applyProtection="1">
      <alignment horizontal="right"/>
    </xf>
    <xf numFmtId="3" fontId="8" fillId="0" borderId="0" xfId="2014" applyNumberFormat="1" applyFont="1" applyProtection="1"/>
    <xf numFmtId="3" fontId="21" fillId="0" borderId="0" xfId="2014" applyNumberFormat="1" applyFont="1" applyProtection="1"/>
    <xf numFmtId="3" fontId="21" fillId="0" borderId="0" xfId="2014" applyNumberFormat="1" applyFont="1" applyFill="1" applyProtection="1"/>
    <xf numFmtId="3" fontId="109" fillId="0" borderId="0" xfId="2014" applyNumberFormat="1" applyFont="1" applyFill="1" applyProtection="1"/>
    <xf numFmtId="3" fontId="100" fillId="86" borderId="0" xfId="2014" applyNumberFormat="1" applyFont="1" applyFill="1" applyAlignment="1" applyProtection="1">
      <alignment horizontal="left"/>
    </xf>
    <xf numFmtId="3" fontId="8" fillId="0" borderId="0" xfId="2014" applyNumberFormat="1" applyFont="1" applyAlignment="1" applyProtection="1">
      <alignment horizontal="right"/>
    </xf>
    <xf numFmtId="3" fontId="8" fillId="55" borderId="0" xfId="2014" applyNumberFormat="1" applyFont="1" applyFill="1" applyProtection="1"/>
    <xf numFmtId="3" fontId="100" fillId="0" borderId="0" xfId="2014" applyNumberFormat="1" applyFont="1" applyFill="1" applyAlignment="1" applyProtection="1">
      <alignment horizontal="center"/>
    </xf>
    <xf numFmtId="4" fontId="8" fillId="0" borderId="0" xfId="2014" applyNumberFormat="1" applyFont="1" applyFill="1" applyProtection="1"/>
    <xf numFmtId="3" fontId="6" fillId="86" borderId="0" xfId="2014" applyNumberFormat="1" applyFont="1" applyFill="1" applyAlignment="1" applyProtection="1">
      <alignment horizontal="left"/>
    </xf>
    <xf numFmtId="3" fontId="6" fillId="86" borderId="0" xfId="2014" applyNumberFormat="1" applyFont="1" applyFill="1" applyAlignment="1" applyProtection="1">
      <alignment horizontal="center"/>
    </xf>
    <xf numFmtId="3" fontId="6" fillId="86" borderId="0" xfId="2014" applyNumberFormat="1" applyFont="1" applyFill="1" applyProtection="1"/>
    <xf numFmtId="3" fontId="6" fillId="86" borderId="0" xfId="2014" applyNumberFormat="1" applyFont="1" applyFill="1"/>
    <xf numFmtId="3" fontId="91" fillId="0" borderId="0" xfId="2014" applyNumberFormat="1" applyFont="1" applyAlignment="1" applyProtection="1">
      <alignment horizontal="left"/>
    </xf>
    <xf numFmtId="3" fontId="6" fillId="0" borderId="0" xfId="2014" applyNumberFormat="1" applyFont="1" applyFill="1" applyAlignment="1" applyProtection="1">
      <alignment horizontal="center"/>
    </xf>
    <xf numFmtId="3" fontId="6" fillId="0" borderId="0" xfId="2014" applyNumberFormat="1" applyFont="1" applyAlignment="1" applyProtection="1">
      <alignment horizontal="left"/>
    </xf>
    <xf numFmtId="3" fontId="6" fillId="0" borderId="0" xfId="2014" applyNumberFormat="1" applyFont="1"/>
    <xf numFmtId="3" fontId="6" fillId="0" borderId="0" xfId="2014" applyNumberFormat="1" applyFont="1" applyFill="1"/>
    <xf numFmtId="1" fontId="6" fillId="0" borderId="0" xfId="2014" applyNumberFormat="1" applyFont="1"/>
    <xf numFmtId="3" fontId="6" fillId="85" borderId="0" xfId="2014" applyNumberFormat="1" applyFont="1" applyFill="1"/>
    <xf numFmtId="3" fontId="6" fillId="0" borderId="0" xfId="2014" applyNumberFormat="1" applyFont="1" applyProtection="1"/>
    <xf numFmtId="3" fontId="6" fillId="0" borderId="0" xfId="2014" quotePrefix="1" applyNumberFormat="1" applyFont="1" applyFill="1" applyProtection="1"/>
    <xf numFmtId="3" fontId="6" fillId="85" borderId="0" xfId="2014" applyNumberFormat="1" applyFont="1" applyFill="1" applyProtection="1"/>
    <xf numFmtId="3" fontId="6" fillId="86" borderId="0" xfId="2014" quotePrefix="1" applyNumberFormat="1" applyFont="1" applyFill="1" applyProtection="1"/>
    <xf numFmtId="3" fontId="6" fillId="0" borderId="0" xfId="2014" applyNumberFormat="1" applyFont="1" applyFill="1" applyProtection="1"/>
    <xf numFmtId="3" fontId="6" fillId="0" borderId="0" xfId="2014" applyNumberFormat="1" applyFont="1" applyFill="1" applyAlignment="1">
      <alignment horizontal="center"/>
    </xf>
    <xf numFmtId="3" fontId="6" fillId="0" borderId="0" xfId="2014" quotePrefix="1" applyNumberFormat="1" applyFont="1" applyFill="1"/>
    <xf numFmtId="3" fontId="6" fillId="61" borderId="0" xfId="2014" applyNumberFormat="1" applyFont="1" applyFill="1"/>
    <xf numFmtId="3" fontId="8" fillId="59" borderId="0" xfId="2014" applyNumberFormat="1" applyFont="1" applyFill="1"/>
    <xf numFmtId="3" fontId="8" fillId="58" borderId="0" xfId="2014" applyNumberFormat="1" applyFont="1" applyFill="1"/>
    <xf numFmtId="3" fontId="8" fillId="67" borderId="0" xfId="2014" applyNumberFormat="1" applyFont="1" applyFill="1"/>
    <xf numFmtId="3" fontId="49" fillId="56" borderId="0" xfId="1716" applyNumberFormat="1" applyFont="1" applyFill="1"/>
    <xf numFmtId="3" fontId="6" fillId="56" borderId="0" xfId="0" applyNumberFormat="1" applyFont="1" applyFill="1" applyAlignment="1"/>
    <xf numFmtId="174" fontId="49" fillId="50" borderId="0" xfId="0" applyNumberFormat="1" applyFont="1" applyFill="1" applyAlignment="1"/>
    <xf numFmtId="174" fontId="49" fillId="56" borderId="0" xfId="0" applyNumberFormat="1" applyFont="1" applyFill="1" applyAlignment="1"/>
    <xf numFmtId="174" fontId="7" fillId="56" borderId="0" xfId="0" applyNumberFormat="1" applyFont="1" applyFill="1" applyAlignment="1"/>
    <xf numFmtId="174" fontId="6" fillId="56" borderId="0" xfId="0" applyNumberFormat="1" applyFont="1" applyFill="1" applyAlignment="1"/>
    <xf numFmtId="3" fontId="7" fillId="86" borderId="0" xfId="0" applyNumberFormat="1" applyFont="1" applyFill="1" applyAlignment="1"/>
    <xf numFmtId="173" fontId="22" fillId="74" borderId="3" xfId="1580" applyNumberFormat="1" applyFont="1" applyFill="1" applyBorder="1" applyProtection="1">
      <protection locked="0"/>
    </xf>
    <xf numFmtId="3" fontId="7" fillId="56" borderId="0" xfId="0" applyNumberFormat="1" applyFont="1" applyFill="1" applyBorder="1" applyAlignment="1"/>
    <xf numFmtId="177" fontId="49" fillId="56" borderId="0" xfId="0" applyNumberFormat="1" applyFont="1" applyFill="1" applyAlignment="1"/>
    <xf numFmtId="174" fontId="7" fillId="0" borderId="0" xfId="0" applyNumberFormat="1" applyFont="1" applyFill="1" applyAlignment="1"/>
    <xf numFmtId="174" fontId="27" fillId="0" borderId="0" xfId="0" applyNumberFormat="1" applyFont="1" applyAlignment="1"/>
    <xf numFmtId="227" fontId="49" fillId="0" borderId="0" xfId="1716" applyNumberFormat="1" applyFont="1"/>
    <xf numFmtId="227" fontId="49" fillId="0" borderId="0" xfId="1716" applyNumberFormat="1" applyFont="1" applyFill="1"/>
    <xf numFmtId="1" fontId="49" fillId="0" borderId="0" xfId="1716" applyNumberFormat="1" applyFont="1" applyFill="1"/>
    <xf numFmtId="0" fontId="49" fillId="73" borderId="0" xfId="1716" applyFont="1" applyFill="1"/>
    <xf numFmtId="173" fontId="6" fillId="73" borderId="0" xfId="1716" applyNumberFormat="1" applyFont="1" applyFill="1"/>
    <xf numFmtId="172" fontId="26" fillId="86" borderId="0" xfId="0" applyNumberFormat="1" applyFont="1" applyFill="1" applyAlignment="1"/>
    <xf numFmtId="174" fontId="26" fillId="0" borderId="0" xfId="0" applyNumberFormat="1" applyFont="1" applyAlignment="1"/>
    <xf numFmtId="2" fontId="49" fillId="73" borderId="0" xfId="1716" applyNumberFormat="1" applyFont="1" applyFill="1"/>
    <xf numFmtId="3" fontId="7" fillId="84" borderId="0" xfId="0" applyNumberFormat="1" applyFont="1" applyFill="1" applyBorder="1" applyAlignment="1"/>
    <xf numFmtId="4" fontId="10" fillId="72" borderId="48" xfId="0" applyNumberFormat="1" applyFont="1" applyFill="1" applyBorder="1" applyAlignment="1"/>
    <xf numFmtId="228" fontId="10" fillId="0" borderId="0" xfId="0" applyNumberFormat="1" applyFont="1" applyFill="1" applyBorder="1" applyAlignment="1"/>
    <xf numFmtId="227" fontId="12" fillId="61" borderId="0" xfId="1716" applyNumberFormat="1" applyFont="1" applyFill="1"/>
    <xf numFmtId="227" fontId="12" fillId="68" borderId="0" xfId="1716" applyNumberFormat="1" applyFont="1" applyFill="1"/>
    <xf numFmtId="227" fontId="12" fillId="55" borderId="0" xfId="1716" applyNumberFormat="1" applyFont="1" applyFill="1"/>
    <xf numFmtId="1" fontId="12" fillId="55" borderId="0" xfId="1716" applyNumberFormat="1" applyFont="1" applyFill="1"/>
    <xf numFmtId="3" fontId="12" fillId="68" borderId="0" xfId="1716" applyNumberFormat="1" applyFont="1" applyFill="1"/>
    <xf numFmtId="1" fontId="12" fillId="0" borderId="0" xfId="1716" applyNumberFormat="1" applyFont="1" applyFill="1"/>
    <xf numFmtId="1" fontId="12" fillId="68" borderId="0" xfId="1716" applyNumberFormat="1" applyFont="1" applyFill="1"/>
    <xf numFmtId="1" fontId="12" fillId="72" borderId="0" xfId="1716" applyNumberFormat="1" applyFont="1" applyFill="1"/>
    <xf numFmtId="1" fontId="12" fillId="73" borderId="0" xfId="1716" applyNumberFormat="1" applyFont="1" applyFill="1"/>
    <xf numFmtId="1" fontId="12" fillId="84" borderId="0" xfId="1716" applyNumberFormat="1" applyFont="1" applyFill="1"/>
    <xf numFmtId="3" fontId="6" fillId="0" borderId="0" xfId="1716" applyNumberFormat="1" applyFont="1"/>
    <xf numFmtId="3" fontId="49" fillId="57" borderId="0" xfId="1716" applyNumberFormat="1" applyFont="1" applyFill="1"/>
    <xf numFmtId="173" fontId="49" fillId="57" borderId="0" xfId="1716" applyNumberFormat="1" applyFont="1" applyFill="1"/>
    <xf numFmtId="3" fontId="7" fillId="57" borderId="0" xfId="0" applyNumberFormat="1" applyFont="1" applyFill="1" applyAlignment="1"/>
    <xf numFmtId="3" fontId="26" fillId="68" borderId="0" xfId="0" applyNumberFormat="1" applyFont="1" applyFill="1" applyAlignment="1"/>
    <xf numFmtId="3" fontId="26" fillId="73" borderId="0" xfId="0" applyNumberFormat="1" applyFont="1" applyFill="1" applyAlignment="1"/>
    <xf numFmtId="3" fontId="116" fillId="0" borderId="0" xfId="2014" applyNumberFormat="1" applyFont="1" applyFill="1" applyAlignment="1" applyProtection="1">
      <alignment horizontal="left"/>
    </xf>
    <xf numFmtId="3" fontId="7" fillId="87" borderId="0" xfId="0" applyNumberFormat="1" applyFont="1" applyFill="1" applyAlignment="1"/>
    <xf numFmtId="3" fontId="94" fillId="60" borderId="0" xfId="0" applyNumberFormat="1" applyFont="1" applyFill="1" applyAlignment="1"/>
    <xf numFmtId="3" fontId="6" fillId="60" borderId="0" xfId="0" applyNumberFormat="1" applyFont="1" applyFill="1" applyAlignment="1">
      <alignment horizontal="right"/>
    </xf>
    <xf numFmtId="3" fontId="7" fillId="58" borderId="0" xfId="0" applyNumberFormat="1" applyFont="1" applyFill="1" applyAlignment="1"/>
    <xf numFmtId="228" fontId="6" fillId="0" borderId="0" xfId="0" applyNumberFormat="1" applyFont="1" applyFill="1" applyAlignment="1"/>
    <xf numFmtId="3" fontId="7" fillId="0" borderId="0" xfId="0" quotePrefix="1" applyNumberFormat="1" applyFont="1" applyFill="1" applyAlignment="1"/>
    <xf numFmtId="3" fontId="7" fillId="0" borderId="27" xfId="0" quotePrefix="1" applyNumberFormat="1" applyFont="1" applyFill="1" applyBorder="1" applyAlignment="1"/>
    <xf numFmtId="174" fontId="49" fillId="0" borderId="0" xfId="0" applyNumberFormat="1" applyFont="1" applyFill="1" applyAlignment="1"/>
    <xf numFmtId="174" fontId="6" fillId="0" borderId="0" xfId="0" applyNumberFormat="1" applyFont="1" applyFill="1" applyAlignment="1"/>
    <xf numFmtId="1" fontId="49" fillId="56" borderId="0" xfId="1716" applyNumberFormat="1" applyFont="1" applyFill="1"/>
    <xf numFmtId="1" fontId="49" fillId="84" borderId="0" xfId="1716" applyNumberFormat="1" applyFont="1" applyFill="1"/>
    <xf numFmtId="172" fontId="88" fillId="0" borderId="0" xfId="0" applyNumberFormat="1" applyFont="1" applyFill="1" applyBorder="1"/>
    <xf numFmtId="3" fontId="86" fillId="88" borderId="0" xfId="0" applyNumberFormat="1" applyFont="1" applyFill="1" applyBorder="1"/>
    <xf numFmtId="3" fontId="88" fillId="88" borderId="0" xfId="0" applyNumberFormat="1" applyFont="1" applyFill="1" applyBorder="1"/>
    <xf numFmtId="172" fontId="88" fillId="88" borderId="0" xfId="0" applyNumberFormat="1" applyFont="1" applyFill="1" applyBorder="1"/>
    <xf numFmtId="0" fontId="49" fillId="68" borderId="0" xfId="0" applyFont="1" applyFill="1" applyAlignment="1">
      <alignment horizontal="center"/>
    </xf>
    <xf numFmtId="4" fontId="6" fillId="68" borderId="0" xfId="0" applyNumberFormat="1" applyFont="1" applyFill="1"/>
    <xf numFmtId="0" fontId="49" fillId="0" borderId="0" xfId="0" applyFont="1" applyFill="1" applyAlignment="1">
      <alignment horizontal="center"/>
    </xf>
    <xf numFmtId="3" fontId="112" fillId="68" borderId="0" xfId="1025" applyNumberFormat="1" applyFont="1" applyFill="1" applyAlignment="1" applyProtection="1"/>
    <xf numFmtId="3" fontId="27" fillId="61" borderId="0" xfId="0" applyNumberFormat="1" applyFont="1" applyFill="1" applyAlignment="1"/>
    <xf numFmtId="0" fontId="14" fillId="0" borderId="0" xfId="1025" applyFill="1" applyAlignment="1" applyProtection="1"/>
    <xf numFmtId="0" fontId="12" fillId="68" borderId="0" xfId="0" applyFont="1" applyFill="1"/>
    <xf numFmtId="0" fontId="6" fillId="68" borderId="0" xfId="0" quotePrefix="1" applyFont="1" applyFill="1"/>
    <xf numFmtId="172" fontId="91" fillId="0" borderId="0" xfId="0" applyNumberFormat="1" applyFont="1"/>
    <xf numFmtId="3" fontId="6" fillId="0" borderId="25" xfId="0" applyNumberFormat="1" applyFont="1" applyBorder="1"/>
    <xf numFmtId="172" fontId="12" fillId="0" borderId="0" xfId="0" applyNumberFormat="1" applyFont="1"/>
    <xf numFmtId="0" fontId="6" fillId="68" borderId="0" xfId="0" applyFont="1" applyFill="1" applyAlignment="1">
      <alignment horizontal="center"/>
    </xf>
    <xf numFmtId="172" fontId="6" fillId="0" borderId="0" xfId="0" applyNumberFormat="1" applyFont="1" applyAlignment="1">
      <alignment horizontal="left"/>
    </xf>
    <xf numFmtId="172" fontId="6" fillId="0" borderId="0" xfId="0" applyNumberFormat="1" applyFont="1" applyAlignment="1">
      <alignment horizontal="right"/>
    </xf>
    <xf numFmtId="3" fontId="6" fillId="0" borderId="0" xfId="0" applyNumberFormat="1" applyFont="1" applyBorder="1"/>
    <xf numFmtId="0" fontId="6" fillId="0" borderId="0" xfId="0" quotePrefix="1" applyFont="1" applyAlignment="1">
      <alignment horizontal="right"/>
    </xf>
    <xf numFmtId="4" fontId="88" fillId="0" borderId="0" xfId="0" applyNumberFormat="1" applyFont="1"/>
    <xf numFmtId="2" fontId="88" fillId="0" borderId="0" xfId="0" applyNumberFormat="1" applyFont="1"/>
    <xf numFmtId="1" fontId="88" fillId="0" borderId="0" xfId="0" applyNumberFormat="1" applyFont="1"/>
    <xf numFmtId="172" fontId="88" fillId="56" borderId="0" xfId="0" applyNumberFormat="1" applyFont="1" applyFill="1" applyBorder="1"/>
    <xf numFmtId="3" fontId="49" fillId="0" borderId="25" xfId="0" applyNumberFormat="1" applyFont="1" applyBorder="1"/>
    <xf numFmtId="3" fontId="86" fillId="50" borderId="0" xfId="0" applyNumberFormat="1" applyFont="1" applyFill="1" applyBorder="1"/>
    <xf numFmtId="173" fontId="88" fillId="0" borderId="0" xfId="0" applyNumberFormat="1" applyFont="1"/>
    <xf numFmtId="1" fontId="88" fillId="0" borderId="0" xfId="0" applyNumberFormat="1" applyFont="1" applyFill="1" applyBorder="1"/>
    <xf numFmtId="0" fontId="86" fillId="0" borderId="0" xfId="0" applyFont="1"/>
    <xf numFmtId="0" fontId="113" fillId="0" borderId="0" xfId="0" applyFont="1"/>
    <xf numFmtId="0" fontId="90" fillId="0" borderId="0" xfId="0" applyFont="1"/>
    <xf numFmtId="1" fontId="88" fillId="50" borderId="0" xfId="0" applyNumberFormat="1" applyFont="1" applyFill="1"/>
    <xf numFmtId="0" fontId="6" fillId="72" borderId="0" xfId="0" applyFont="1" applyFill="1"/>
    <xf numFmtId="0" fontId="12" fillId="72" borderId="0" xfId="0" applyFont="1" applyFill="1"/>
    <xf numFmtId="0" fontId="115" fillId="0" borderId="0" xfId="0" applyFont="1"/>
    <xf numFmtId="0" fontId="114" fillId="89" borderId="0" xfId="0" applyFont="1" applyFill="1"/>
    <xf numFmtId="0" fontId="115" fillId="89" borderId="0" xfId="0" applyFont="1" applyFill="1"/>
    <xf numFmtId="3" fontId="49" fillId="50" borderId="0" xfId="0" applyNumberFormat="1" applyFont="1" applyFill="1"/>
    <xf numFmtId="172" fontId="49" fillId="50" borderId="0" xfId="0" applyNumberFormat="1" applyFont="1" applyFill="1"/>
    <xf numFmtId="172" fontId="49" fillId="0" borderId="25" xfId="0" applyNumberFormat="1" applyFont="1" applyBorder="1"/>
    <xf numFmtId="3" fontId="10" fillId="56" borderId="0" xfId="0" applyNumberFormat="1" applyFont="1" applyFill="1" applyAlignment="1"/>
    <xf numFmtId="174" fontId="10" fillId="56" borderId="0" xfId="0" applyNumberFormat="1" applyFont="1" applyFill="1" applyAlignment="1"/>
    <xf numFmtId="0" fontId="114" fillId="0" borderId="0" xfId="0" applyFont="1" applyFill="1"/>
    <xf numFmtId="3" fontId="10" fillId="90" borderId="48" xfId="0" applyNumberFormat="1" applyFont="1" applyFill="1" applyBorder="1" applyAlignment="1"/>
    <xf numFmtId="3" fontId="26" fillId="90" borderId="48" xfId="0" applyNumberFormat="1" applyFont="1" applyFill="1" applyBorder="1" applyAlignment="1"/>
    <xf numFmtId="3" fontId="26" fillId="90" borderId="48" xfId="0" applyNumberFormat="1" applyFont="1" applyFill="1" applyBorder="1" applyAlignment="1">
      <alignment horizontal="left"/>
    </xf>
    <xf numFmtId="3" fontId="26" fillId="90" borderId="0" xfId="0" applyNumberFormat="1" applyFont="1" applyFill="1" applyAlignment="1"/>
    <xf numFmtId="3" fontId="26" fillId="90" borderId="27" xfId="0" applyNumberFormat="1" applyFont="1" applyFill="1" applyBorder="1" applyAlignment="1"/>
    <xf numFmtId="1" fontId="26" fillId="0" borderId="0" xfId="0" applyNumberFormat="1" applyFont="1" applyFill="1" applyAlignment="1"/>
    <xf numFmtId="172" fontId="8" fillId="0" borderId="0" xfId="2014" applyNumberFormat="1" applyFont="1"/>
    <xf numFmtId="4" fontId="23" fillId="56" borderId="0" xfId="0" applyNumberFormat="1" applyFont="1" applyFill="1" applyAlignment="1"/>
    <xf numFmtId="3" fontId="7" fillId="90" borderId="0" xfId="0" applyNumberFormat="1" applyFont="1" applyFill="1" applyBorder="1" applyAlignment="1"/>
    <xf numFmtId="3" fontId="7" fillId="90" borderId="0" xfId="0" applyNumberFormat="1" applyFont="1" applyFill="1" applyBorder="1" applyAlignment="1">
      <alignment horizontal="left"/>
    </xf>
    <xf numFmtId="3" fontId="7" fillId="90" borderId="0" xfId="0" applyNumberFormat="1" applyFont="1" applyFill="1" applyAlignment="1"/>
    <xf numFmtId="3" fontId="49" fillId="90" borderId="0" xfId="0" applyNumberFormat="1" applyFont="1" applyFill="1" applyAlignment="1"/>
    <xf numFmtId="3" fontId="7" fillId="90" borderId="38" xfId="0" applyNumberFormat="1" applyFont="1" applyFill="1" applyBorder="1" applyAlignment="1"/>
    <xf numFmtId="0" fontId="14" fillId="73" borderId="0" xfId="1025" applyFill="1" applyAlignment="1" applyProtection="1"/>
    <xf numFmtId="2" fontId="49" fillId="56" borderId="0" xfId="0" applyNumberFormat="1" applyFont="1" applyFill="1"/>
    <xf numFmtId="4" fontId="49" fillId="50" borderId="0" xfId="0" applyNumberFormat="1" applyFont="1" applyFill="1"/>
    <xf numFmtId="172" fontId="49" fillId="0" borderId="0" xfId="0" applyNumberFormat="1" applyFont="1" applyFill="1"/>
    <xf numFmtId="2" fontId="6" fillId="0" borderId="0" xfId="0" applyNumberFormat="1" applyFont="1"/>
    <xf numFmtId="0" fontId="117" fillId="0" borderId="0" xfId="0" applyFont="1" applyAlignment="1">
      <alignment vertical="center"/>
    </xf>
    <xf numFmtId="0" fontId="118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4" fontId="86" fillId="56" borderId="0" xfId="0" applyNumberFormat="1" applyFont="1" applyFill="1" applyBorder="1"/>
    <xf numFmtId="0" fontId="0" fillId="0" borderId="0" xfId="0" applyBorder="1" applyAlignment="1">
      <alignment vertical="top" wrapText="1"/>
    </xf>
    <xf numFmtId="0" fontId="120" fillId="0" borderId="54" xfId="0" applyFont="1" applyBorder="1"/>
    <xf numFmtId="0" fontId="15" fillId="0" borderId="0" xfId="0" applyFont="1"/>
    <xf numFmtId="0" fontId="15" fillId="0" borderId="55" xfId="0" applyFont="1" applyBorder="1"/>
    <xf numFmtId="0" fontId="15" fillId="0" borderId="56" xfId="0" applyFont="1" applyBorder="1"/>
    <xf numFmtId="0" fontId="15" fillId="0" borderId="54" xfId="0" applyFont="1" applyBorder="1"/>
    <xf numFmtId="0" fontId="15" fillId="0" borderId="57" xfId="0" applyFont="1" applyBorder="1"/>
    <xf numFmtId="0" fontId="15" fillId="0" borderId="0" xfId="0" applyFont="1" applyBorder="1"/>
    <xf numFmtId="0" fontId="15" fillId="0" borderId="58" xfId="0" applyFont="1" applyBorder="1"/>
    <xf numFmtId="0" fontId="15" fillId="0" borderId="59" xfId="0" applyFont="1" applyBorder="1"/>
    <xf numFmtId="0" fontId="15" fillId="0" borderId="60" xfId="0" applyFont="1" applyBorder="1"/>
    <xf numFmtId="0" fontId="15" fillId="0" borderId="61" xfId="0" applyFont="1" applyBorder="1"/>
    <xf numFmtId="0" fontId="121" fillId="0" borderId="0" xfId="0" applyFont="1"/>
    <xf numFmtId="0" fontId="120" fillId="0" borderId="57" xfId="0" applyFont="1" applyBorder="1"/>
    <xf numFmtId="3" fontId="122" fillId="50" borderId="26" xfId="1025" applyNumberFormat="1" applyFont="1" applyFill="1" applyBorder="1" applyAlignment="1" applyProtection="1"/>
    <xf numFmtId="3" fontId="122" fillId="50" borderId="0" xfId="1025" applyNumberFormat="1" applyFont="1" applyFill="1" applyBorder="1" applyAlignment="1" applyProtection="1"/>
    <xf numFmtId="3" fontId="10" fillId="72" borderId="62" xfId="0" applyNumberFormat="1" applyFont="1" applyFill="1" applyBorder="1" applyAlignment="1"/>
    <xf numFmtId="3" fontId="10" fillId="56" borderId="27" xfId="0" applyNumberFormat="1" applyFont="1" applyFill="1" applyBorder="1" applyAlignment="1"/>
    <xf numFmtId="0" fontId="123" fillId="0" borderId="27" xfId="0" applyFont="1" applyBorder="1"/>
    <xf numFmtId="3" fontId="10" fillId="72" borderId="46" xfId="0" applyNumberFormat="1" applyFont="1" applyFill="1" applyBorder="1" applyAlignment="1"/>
    <xf numFmtId="3" fontId="12" fillId="0" borderId="27" xfId="0" applyNumberFormat="1" applyFont="1" applyBorder="1" applyAlignment="1"/>
    <xf numFmtId="3" fontId="123" fillId="0" borderId="27" xfId="0" applyNumberFormat="1" applyFont="1" applyBorder="1" applyAlignment="1"/>
    <xf numFmtId="3" fontId="10" fillId="60" borderId="27" xfId="0" applyNumberFormat="1" applyFont="1" applyFill="1" applyBorder="1" applyAlignment="1"/>
    <xf numFmtId="3" fontId="10" fillId="72" borderId="48" xfId="0" applyNumberFormat="1" applyFont="1" applyFill="1" applyBorder="1" applyAlignment="1">
      <alignment horizontal="left"/>
    </xf>
    <xf numFmtId="3" fontId="12" fillId="0" borderId="27" xfId="0" applyNumberFormat="1" applyFont="1" applyFill="1" applyBorder="1" applyAlignment="1"/>
    <xf numFmtId="3" fontId="10" fillId="90" borderId="27" xfId="0" applyNumberFormat="1" applyFont="1" applyFill="1" applyBorder="1" applyAlignment="1"/>
    <xf numFmtId="3" fontId="10" fillId="0" borderId="0" xfId="0" quotePrefix="1" applyNumberFormat="1" applyFont="1" applyFill="1" applyAlignment="1"/>
    <xf numFmtId="3" fontId="10" fillId="90" borderId="48" xfId="0" applyNumberFormat="1" applyFont="1" applyFill="1" applyBorder="1" applyAlignment="1">
      <alignment horizontal="left"/>
    </xf>
    <xf numFmtId="0" fontId="6" fillId="66" borderId="0" xfId="1716" applyFont="1" applyFill="1"/>
    <xf numFmtId="0" fontId="49" fillId="73" borderId="0" xfId="1716" applyFont="1" applyFill="1" applyAlignment="1">
      <alignment horizontal="left" indent="2"/>
    </xf>
    <xf numFmtId="1" fontId="49" fillId="61" borderId="0" xfId="1716" applyNumberFormat="1" applyFont="1" applyFill="1"/>
    <xf numFmtId="0" fontId="124" fillId="0" borderId="0" xfId="0" applyFont="1"/>
    <xf numFmtId="4" fontId="21" fillId="56" borderId="0" xfId="0" applyNumberFormat="1" applyFont="1" applyFill="1" applyAlignment="1">
      <alignment vertical="top" wrapText="1"/>
    </xf>
    <xf numFmtId="0" fontId="21" fillId="56" borderId="0" xfId="0" applyFont="1" applyFill="1" applyAlignment="1">
      <alignment vertical="top" wrapText="1"/>
    </xf>
    <xf numFmtId="0" fontId="21" fillId="56" borderId="0" xfId="0" applyFont="1" applyFill="1" applyAlignment="1">
      <alignment vertical="top"/>
    </xf>
    <xf numFmtId="172" fontId="21" fillId="56" borderId="0" xfId="0" applyNumberFormat="1" applyFont="1" applyFill="1"/>
    <xf numFmtId="0" fontId="49" fillId="56" borderId="25" xfId="0" applyFont="1" applyFill="1" applyBorder="1"/>
    <xf numFmtId="0" fontId="6" fillId="56" borderId="25" xfId="0" quotePrefix="1" applyNumberFormat="1" applyFont="1" applyFill="1" applyBorder="1"/>
    <xf numFmtId="172" fontId="49" fillId="56" borderId="0" xfId="0" applyNumberFormat="1" applyFont="1" applyFill="1"/>
    <xf numFmtId="4" fontId="49" fillId="56" borderId="0" xfId="0" applyNumberFormat="1" applyFont="1" applyFill="1"/>
    <xf numFmtId="3" fontId="49" fillId="56" borderId="0" xfId="0" applyNumberFormat="1" applyFont="1" applyFill="1"/>
    <xf numFmtId="4" fontId="103" fillId="68" borderId="0" xfId="0" applyNumberFormat="1" applyFont="1" applyFill="1" applyAlignment="1">
      <alignment vertical="top" wrapText="1"/>
    </xf>
    <xf numFmtId="0" fontId="0" fillId="68" borderId="0" xfId="0" applyFont="1" applyFill="1" applyBorder="1" applyAlignment="1">
      <alignment vertical="top" wrapText="1"/>
    </xf>
    <xf numFmtId="3" fontId="6" fillId="68" borderId="25" xfId="0" applyNumberFormat="1" applyFont="1" applyFill="1" applyBorder="1"/>
    <xf numFmtId="172" fontId="12" fillId="68" borderId="0" xfId="0" applyNumberFormat="1" applyFont="1" applyFill="1"/>
    <xf numFmtId="4" fontId="12" fillId="68" borderId="0" xfId="0" applyNumberFormat="1" applyFont="1" applyFill="1"/>
    <xf numFmtId="3" fontId="12" fillId="68" borderId="0" xfId="0" applyNumberFormat="1" applyFont="1" applyFill="1"/>
    <xf numFmtId="172" fontId="49" fillId="52" borderId="0" xfId="0" applyNumberFormat="1" applyFont="1" applyFill="1"/>
    <xf numFmtId="4" fontId="49" fillId="52" borderId="0" xfId="0" applyNumberFormat="1" applyFont="1" applyFill="1"/>
    <xf numFmtId="3" fontId="49" fillId="52" borderId="0" xfId="0" applyNumberFormat="1" applyFont="1" applyFill="1"/>
    <xf numFmtId="0" fontId="49" fillId="50" borderId="0" xfId="0" applyNumberFormat="1" applyFont="1" applyFill="1" applyAlignment="1">
      <alignment horizontal="right"/>
    </xf>
    <xf numFmtId="0" fontId="49" fillId="0" borderId="25" xfId="0" applyNumberFormat="1" applyFont="1" applyBorder="1" applyAlignment="1">
      <alignment horizontal="right"/>
    </xf>
    <xf numFmtId="3" fontId="6" fillId="52" borderId="25" xfId="0" applyNumberFormat="1" applyFont="1" applyFill="1" applyBorder="1" applyAlignment="1">
      <alignment horizontal="right"/>
    </xf>
    <xf numFmtId="3" fontId="6" fillId="68" borderId="25" xfId="0" applyNumberFormat="1" applyFont="1" applyFill="1" applyBorder="1" applyAlignment="1">
      <alignment horizontal="right"/>
    </xf>
    <xf numFmtId="0" fontId="0" fillId="55" borderId="0" xfId="0" applyFont="1" applyFill="1" applyBorder="1" applyAlignment="1">
      <alignment vertical="top" wrapText="1"/>
    </xf>
    <xf numFmtId="4" fontId="103" fillId="68" borderId="17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4" fontId="49" fillId="68" borderId="0" xfId="0" applyNumberFormat="1" applyFont="1" applyFill="1" applyAlignment="1">
      <alignment vertical="top"/>
    </xf>
    <xf numFmtId="2" fontId="88" fillId="73" borderId="0" xfId="0" applyNumberFormat="1" applyFont="1" applyFill="1"/>
    <xf numFmtId="0" fontId="127" fillId="0" borderId="0" xfId="0" applyFont="1" applyAlignment="1">
      <alignment vertical="top" wrapText="1"/>
    </xf>
    <xf numFmtId="0" fontId="128" fillId="0" borderId="0" xfId="0" applyFont="1"/>
    <xf numFmtId="0" fontId="129" fillId="0" borderId="0" xfId="0" applyFont="1"/>
    <xf numFmtId="0" fontId="129" fillId="0" borderId="0" xfId="0" quotePrefix="1" applyFont="1"/>
    <xf numFmtId="0" fontId="6" fillId="0" borderId="0" xfId="0" applyFont="1" applyAlignment="1">
      <alignment horizontal="center"/>
    </xf>
    <xf numFmtId="0" fontId="91" fillId="73" borderId="0" xfId="0" applyFont="1" applyFill="1"/>
    <xf numFmtId="0" fontId="6" fillId="73" borderId="0" xfId="0" applyFont="1" applyFill="1" applyAlignment="1">
      <alignment horizontal="center"/>
    </xf>
    <xf numFmtId="4" fontId="6" fillId="73" borderId="0" xfId="0" applyNumberFormat="1" applyFont="1" applyFill="1"/>
    <xf numFmtId="3" fontId="6" fillId="73" borderId="0" xfId="0" applyNumberFormat="1" applyFont="1" applyFill="1"/>
    <xf numFmtId="172" fontId="6" fillId="73" borderId="0" xfId="0" applyNumberFormat="1" applyFont="1" applyFill="1"/>
    <xf numFmtId="0" fontId="12" fillId="0" borderId="0" xfId="0" applyFont="1" applyAlignment="1">
      <alignment horizontal="right" vertical="center"/>
    </xf>
    <xf numFmtId="1" fontId="6" fillId="56" borderId="0" xfId="1716" applyNumberFormat="1" applyFont="1" applyFill="1"/>
    <xf numFmtId="173" fontId="6" fillId="61" borderId="0" xfId="1716" applyNumberFormat="1" applyFont="1" applyFill="1"/>
    <xf numFmtId="1" fontId="15" fillId="73" borderId="0" xfId="0" applyNumberFormat="1" applyFont="1" applyFill="1"/>
    <xf numFmtId="0" fontId="126" fillId="0" borderId="0" xfId="0" applyFont="1"/>
    <xf numFmtId="3" fontId="126" fillId="0" borderId="0" xfId="0" applyNumberFormat="1" applyFont="1"/>
    <xf numFmtId="172" fontId="126" fillId="0" borderId="0" xfId="0" applyNumberFormat="1" applyFont="1"/>
    <xf numFmtId="1" fontId="126" fillId="0" borderId="0" xfId="0" applyNumberFormat="1" applyFont="1"/>
    <xf numFmtId="227" fontId="126" fillId="0" borderId="0" xfId="0" applyNumberFormat="1" applyFont="1"/>
    <xf numFmtId="174" fontId="8" fillId="0" borderId="0" xfId="2014" applyNumberFormat="1" applyFont="1" applyFill="1" applyProtection="1"/>
    <xf numFmtId="3" fontId="7" fillId="72" borderId="0" xfId="0" applyNumberFormat="1" applyFont="1" applyFill="1" applyAlignment="1"/>
    <xf numFmtId="172" fontId="7" fillId="72" borderId="0" xfId="0" applyNumberFormat="1" applyFont="1" applyFill="1" applyAlignment="1"/>
    <xf numFmtId="172" fontId="7" fillId="86" borderId="0" xfId="0" applyNumberFormat="1" applyFont="1" applyFill="1" applyAlignment="1"/>
    <xf numFmtId="174" fontId="7" fillId="72" borderId="0" xfId="0" applyNumberFormat="1" applyFont="1" applyFill="1" applyAlignment="1"/>
    <xf numFmtId="174" fontId="7" fillId="86" borderId="0" xfId="0" applyNumberFormat="1" applyFont="1" applyFill="1" applyAlignment="1"/>
    <xf numFmtId="174" fontId="8" fillId="60" borderId="0" xfId="2014" applyNumberFormat="1" applyFont="1" applyFill="1" applyAlignment="1" applyProtection="1">
      <alignment horizontal="right"/>
    </xf>
    <xf numFmtId="227" fontId="49" fillId="56" borderId="0" xfId="1716" applyNumberFormat="1" applyFont="1" applyFill="1"/>
    <xf numFmtId="2" fontId="126" fillId="0" borderId="0" xfId="0" applyNumberFormat="1" applyFont="1"/>
    <xf numFmtId="174" fontId="8" fillId="0" borderId="0" xfId="2014" applyNumberFormat="1" applyFont="1" applyFill="1" applyAlignment="1" applyProtection="1">
      <alignment horizontal="right"/>
    </xf>
    <xf numFmtId="172" fontId="8" fillId="0" borderId="0" xfId="2014" applyNumberFormat="1" applyFont="1" applyFill="1" applyAlignment="1" applyProtection="1">
      <alignment horizontal="right"/>
    </xf>
    <xf numFmtId="229" fontId="8" fillId="0" borderId="0" xfId="1056" applyNumberFormat="1" applyFont="1" applyFill="1" applyBorder="1" applyAlignment="1" applyProtection="1">
      <alignment horizontal="right"/>
    </xf>
    <xf numFmtId="1" fontId="6" fillId="61" borderId="0" xfId="1716" applyNumberFormat="1" applyFont="1" applyFill="1"/>
    <xf numFmtId="1" fontId="12" fillId="61" borderId="0" xfId="1716" applyNumberFormat="1" applyFont="1" applyFill="1"/>
    <xf numFmtId="1" fontId="91" fillId="0" borderId="0" xfId="1716" applyNumberFormat="1" applyFont="1" applyFill="1"/>
    <xf numFmtId="0" fontId="91" fillId="61" borderId="0" xfId="1716" applyFont="1" applyFill="1"/>
    <xf numFmtId="1" fontId="91" fillId="61" borderId="0" xfId="1716" applyNumberFormat="1" applyFont="1" applyFill="1"/>
    <xf numFmtId="0" fontId="49" fillId="86" borderId="0" xfId="1716" applyFont="1" applyFill="1"/>
    <xf numFmtId="172" fontId="6" fillId="0" borderId="0" xfId="0" applyNumberFormat="1" applyFont="1" applyFill="1" applyBorder="1" applyAlignment="1">
      <alignment horizontal="right" vertical="top"/>
    </xf>
    <xf numFmtId="173" fontId="12" fillId="0" borderId="0" xfId="0" applyNumberFormat="1" applyFont="1" applyFill="1" applyBorder="1" applyAlignment="1">
      <alignment horizontal="right" vertical="top"/>
    </xf>
    <xf numFmtId="1" fontId="49" fillId="86" borderId="0" xfId="1716" applyNumberFormat="1" applyFont="1" applyFill="1"/>
    <xf numFmtId="1" fontId="88" fillId="86" borderId="0" xfId="0" applyNumberFormat="1" applyFont="1" applyFill="1"/>
    <xf numFmtId="3" fontId="12" fillId="86" borderId="0" xfId="1716" applyNumberFormat="1" applyFont="1" applyFill="1"/>
    <xf numFmtId="1" fontId="12" fillId="86" borderId="0" xfId="1716" applyNumberFormat="1" applyFont="1" applyFill="1"/>
    <xf numFmtId="0" fontId="49" fillId="0" borderId="0" xfId="1716" quotePrefix="1" applyFont="1"/>
    <xf numFmtId="3" fontId="12" fillId="73" borderId="0" xfId="1716" applyNumberFormat="1" applyFont="1" applyFill="1"/>
    <xf numFmtId="172" fontId="26" fillId="56" borderId="0" xfId="0" applyNumberFormat="1" applyFont="1" applyFill="1" applyAlignment="1"/>
    <xf numFmtId="1" fontId="88" fillId="73" borderId="0" xfId="0" applyNumberFormat="1" applyFont="1" applyFill="1"/>
    <xf numFmtId="1" fontId="88" fillId="60" borderId="0" xfId="0" applyNumberFormat="1" applyFont="1" applyFill="1"/>
    <xf numFmtId="1" fontId="6" fillId="86" borderId="0" xfId="1716" applyNumberFormat="1" applyFont="1" applyFill="1"/>
    <xf numFmtId="3" fontId="88" fillId="57" borderId="0" xfId="0" applyNumberFormat="1" applyFont="1" applyFill="1"/>
    <xf numFmtId="1" fontId="88" fillId="57" borderId="0" xfId="0" applyNumberFormat="1" applyFont="1" applyFill="1"/>
    <xf numFmtId="2" fontId="12" fillId="0" borderId="0" xfId="1716" applyNumberFormat="1" applyFont="1" applyFill="1"/>
    <xf numFmtId="3" fontId="88" fillId="86" borderId="0" xfId="0" applyNumberFormat="1" applyFont="1" applyFill="1"/>
    <xf numFmtId="174" fontId="7" fillId="50" borderId="0" xfId="0" applyNumberFormat="1" applyFont="1" applyFill="1" applyAlignment="1"/>
    <xf numFmtId="3" fontId="12" fillId="68" borderId="0" xfId="0" applyNumberFormat="1" applyFont="1" applyFill="1" applyAlignment="1">
      <alignment vertical="top" wrapText="1"/>
    </xf>
    <xf numFmtId="172" fontId="6" fillId="56" borderId="0" xfId="0" applyNumberFormat="1" applyFont="1" applyFill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right"/>
    </xf>
    <xf numFmtId="4" fontId="6" fillId="56" borderId="0" xfId="0" applyNumberFormat="1" applyFont="1" applyFill="1"/>
    <xf numFmtId="173" fontId="126" fillId="0" borderId="0" xfId="0" applyNumberFormat="1" applyFont="1"/>
    <xf numFmtId="0" fontId="6" fillId="86" borderId="0" xfId="0" applyFont="1" applyFill="1"/>
    <xf numFmtId="3" fontId="6" fillId="56" borderId="0" xfId="2954" applyNumberFormat="1" applyFont="1" applyFill="1" applyBorder="1"/>
    <xf numFmtId="3" fontId="6" fillId="56" borderId="0" xfId="0" applyNumberFormat="1" applyFont="1" applyFill="1"/>
    <xf numFmtId="3" fontId="49" fillId="56" borderId="0" xfId="0" applyNumberFormat="1" applyFont="1" applyFill="1" applyAlignment="1">
      <alignment horizontal="center"/>
    </xf>
    <xf numFmtId="3" fontId="6" fillId="56" borderId="0" xfId="0" applyNumberFormat="1" applyFont="1" applyFill="1" applyAlignment="1">
      <alignment horizontal="center"/>
    </xf>
    <xf numFmtId="0" fontId="126" fillId="89" borderId="0" xfId="0" applyFont="1" applyFill="1"/>
    <xf numFmtId="0" fontId="131" fillId="56" borderId="0" xfId="0" applyFont="1" applyFill="1"/>
    <xf numFmtId="0" fontId="132" fillId="56" borderId="0" xfId="0" applyFont="1" applyFill="1"/>
    <xf numFmtId="173" fontId="126" fillId="58" borderId="0" xfId="0" applyNumberFormat="1" applyFont="1" applyFill="1"/>
    <xf numFmtId="173" fontId="126" fillId="63" borderId="0" xfId="0" applyNumberFormat="1" applyFont="1" applyFill="1"/>
    <xf numFmtId="173" fontId="126" fillId="0" borderId="0" xfId="0" applyNumberFormat="1" applyFont="1" applyFill="1"/>
    <xf numFmtId="0" fontId="6" fillId="0" borderId="0" xfId="0" applyFont="1" applyBorder="1" applyAlignment="1">
      <alignment horizontal="center"/>
    </xf>
    <xf numFmtId="172" fontId="6" fillId="0" borderId="0" xfId="0" applyNumberFormat="1" applyFont="1" applyBorder="1"/>
    <xf numFmtId="0" fontId="49" fillId="57" borderId="0" xfId="0" applyFont="1" applyFill="1"/>
    <xf numFmtId="0" fontId="6" fillId="58" borderId="0" xfId="0" applyFont="1" applyFill="1" applyBorder="1"/>
    <xf numFmtId="0" fontId="13" fillId="0" borderId="0" xfId="0" applyFont="1" applyBorder="1"/>
    <xf numFmtId="0" fontId="6" fillId="50" borderId="0" xfId="0" applyNumberFormat="1" applyFont="1" applyFill="1" applyBorder="1" applyAlignment="1">
      <alignment horizontal="right"/>
    </xf>
    <xf numFmtId="0" fontId="6" fillId="68" borderId="0" xfId="0" applyNumberFormat="1" applyFont="1" applyFill="1" applyBorder="1" applyAlignment="1">
      <alignment horizontal="right"/>
    </xf>
    <xf numFmtId="172" fontId="6" fillId="0" borderId="0" xfId="0" applyNumberFormat="1" applyFont="1" applyFill="1" applyBorder="1"/>
    <xf numFmtId="0" fontId="126" fillId="0" borderId="0" xfId="0" applyFont="1" applyBorder="1"/>
    <xf numFmtId="172" fontId="6" fillId="50" borderId="0" xfId="0" applyNumberFormat="1" applyFont="1" applyFill="1" applyBorder="1"/>
    <xf numFmtId="172" fontId="6" fillId="58" borderId="0" xfId="0" quotePrefix="1" applyNumberFormat="1" applyFont="1" applyFill="1" applyBorder="1"/>
    <xf numFmtId="172" fontId="6" fillId="58" borderId="0" xfId="0" applyNumberFormat="1" applyFont="1" applyFill="1" applyBorder="1"/>
    <xf numFmtId="3" fontId="6" fillId="50" borderId="0" xfId="0" applyNumberFormat="1" applyFont="1" applyFill="1" applyBorder="1"/>
    <xf numFmtId="1" fontId="49" fillId="60" borderId="0" xfId="1716" applyNumberFormat="1" applyFont="1" applyFill="1"/>
    <xf numFmtId="0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133" fillId="57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134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8"/>
    </xf>
    <xf numFmtId="0" fontId="135" fillId="0" borderId="0" xfId="1025" applyFont="1" applyAlignment="1" applyProtection="1"/>
    <xf numFmtId="0" fontId="119" fillId="0" borderId="63" xfId="0" applyFont="1" applyBorder="1"/>
    <xf numFmtId="0" fontId="119" fillId="0" borderId="64" xfId="0" applyFont="1" applyBorder="1"/>
    <xf numFmtId="0" fontId="119" fillId="0" borderId="29" xfId="0" applyFont="1" applyBorder="1"/>
    <xf numFmtId="0" fontId="137" fillId="0" borderId="37" xfId="0" applyFont="1" applyBorder="1"/>
    <xf numFmtId="0" fontId="119" fillId="0" borderId="28" xfId="0" applyFont="1" applyBorder="1"/>
    <xf numFmtId="0" fontId="119" fillId="0" borderId="35" xfId="0" applyFont="1" applyBorder="1"/>
    <xf numFmtId="0" fontId="119" fillId="0" borderId="37" xfId="0" applyFont="1" applyBorder="1"/>
    <xf numFmtId="0" fontId="119" fillId="0" borderId="36" xfId="0" applyFont="1" applyBorder="1"/>
    <xf numFmtId="0" fontId="137" fillId="0" borderId="30" xfId="0" applyFont="1" applyBorder="1"/>
    <xf numFmtId="0" fontId="119" fillId="0" borderId="30" xfId="0" applyFont="1" applyBorder="1"/>
    <xf numFmtId="0" fontId="114" fillId="0" borderId="0" xfId="0" applyFont="1"/>
    <xf numFmtId="0" fontId="15" fillId="56" borderId="0" xfId="0" applyFont="1" applyFill="1"/>
    <xf numFmtId="0" fontId="0" fillId="56" borderId="0" xfId="0" applyFill="1"/>
    <xf numFmtId="3" fontId="6" fillId="0" borderId="0" xfId="0" applyNumberFormat="1" applyFont="1" applyAlignment="1">
      <alignment horizontal="left"/>
    </xf>
    <xf numFmtId="1" fontId="6" fillId="0" borderId="0" xfId="0" applyNumberFormat="1" applyFont="1" applyBorder="1"/>
    <xf numFmtId="1" fontId="6" fillId="50" borderId="0" xfId="0" applyNumberFormat="1" applyFont="1" applyFill="1" applyBorder="1"/>
    <xf numFmtId="0" fontId="6" fillId="56" borderId="0" xfId="0" applyFont="1" applyFill="1" applyBorder="1"/>
    <xf numFmtId="0" fontId="6" fillId="56" borderId="0" xfId="0" applyNumberFormat="1" applyFont="1" applyFill="1" applyBorder="1" applyAlignment="1">
      <alignment horizontal="right"/>
    </xf>
    <xf numFmtId="3" fontId="6" fillId="56" borderId="0" xfId="0" applyNumberFormat="1" applyFont="1" applyFill="1" applyBorder="1"/>
    <xf numFmtId="3" fontId="88" fillId="73" borderId="0" xfId="0" applyNumberFormat="1" applyFont="1" applyFill="1"/>
    <xf numFmtId="0" fontId="6" fillId="0" borderId="0" xfId="0" applyFont="1" applyBorder="1" applyAlignment="1"/>
    <xf numFmtId="0" fontId="12" fillId="50" borderId="0" xfId="0" applyFont="1" applyFill="1"/>
    <xf numFmtId="0" fontId="6" fillId="60" borderId="0" xfId="0" applyFont="1" applyFill="1"/>
    <xf numFmtId="1" fontId="126" fillId="50" borderId="0" xfId="0" applyNumberFormat="1" applyFont="1" applyFill="1"/>
    <xf numFmtId="2" fontId="49" fillId="0" borderId="0" xfId="0" applyNumberFormat="1" applyFont="1"/>
    <xf numFmtId="173" fontId="6" fillId="0" borderId="0" xfId="0" applyNumberFormat="1" applyFont="1"/>
    <xf numFmtId="3" fontId="6" fillId="68" borderId="0" xfId="0" applyNumberFormat="1" applyFont="1" applyFill="1" applyBorder="1"/>
    <xf numFmtId="0" fontId="139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" fillId="73" borderId="0" xfId="1025" applyFill="1" applyAlignment="1" applyProtection="1">
      <alignment vertical="top"/>
    </xf>
    <xf numFmtId="0" fontId="143" fillId="55" borderId="0" xfId="1625" applyFont="1" applyFill="1"/>
    <xf numFmtId="0" fontId="144" fillId="55" borderId="0" xfId="1625" applyFont="1" applyFill="1"/>
    <xf numFmtId="0" fontId="145" fillId="55" borderId="31" xfId="1625" applyFont="1" applyFill="1" applyBorder="1"/>
    <xf numFmtId="0" fontId="144" fillId="55" borderId="32" xfId="1625" applyFont="1" applyFill="1" applyBorder="1"/>
    <xf numFmtId="0" fontId="144" fillId="55" borderId="33" xfId="1625" applyFont="1" applyFill="1" applyBorder="1"/>
    <xf numFmtId="0" fontId="146" fillId="55" borderId="25" xfId="1625" applyFont="1" applyFill="1" applyBorder="1" applyAlignment="1">
      <alignment horizontal="left" vertical="center"/>
    </xf>
    <xf numFmtId="0" fontId="146" fillId="55" borderId="25" xfId="1625" applyFont="1" applyFill="1" applyBorder="1" applyAlignment="1">
      <alignment horizontal="centerContinuous" vertical="center"/>
    </xf>
    <xf numFmtId="0" fontId="147" fillId="55" borderId="65" xfId="1625" applyFont="1" applyFill="1" applyBorder="1" applyAlignment="1">
      <alignment horizontal="centerContinuous" vertical="center" wrapText="1"/>
    </xf>
    <xf numFmtId="0" fontId="146" fillId="55" borderId="25" xfId="1625" applyFont="1" applyFill="1" applyBorder="1" applyAlignment="1">
      <alignment horizontal="centerContinuous" vertical="center" wrapText="1"/>
    </xf>
    <xf numFmtId="0" fontId="146" fillId="55" borderId="66" xfId="1625" applyFont="1" applyFill="1" applyBorder="1" applyAlignment="1">
      <alignment horizontal="center" vertical="center" wrapText="1"/>
    </xf>
    <xf numFmtId="0" fontId="29" fillId="0" borderId="0" xfId="1625" applyFont="1" applyAlignment="1">
      <alignment vertical="center"/>
    </xf>
    <xf numFmtId="173" fontId="145" fillId="0" borderId="34" xfId="1625" applyNumberFormat="1" applyFont="1" applyBorder="1" applyAlignment="1">
      <alignment vertical="center"/>
    </xf>
    <xf numFmtId="173" fontId="29" fillId="0" borderId="0" xfId="1625" applyNumberFormat="1" applyFont="1" applyAlignment="1">
      <alignment vertical="center"/>
    </xf>
    <xf numFmtId="173" fontId="29" fillId="0" borderId="35" xfId="1625" applyNumberFormat="1" applyFont="1" applyBorder="1" applyAlignment="1">
      <alignment vertical="center"/>
    </xf>
    <xf numFmtId="0" fontId="146" fillId="68" borderId="0" xfId="1625" applyFont="1" applyFill="1" applyAlignment="1">
      <alignment horizontal="left" vertical="center"/>
    </xf>
    <xf numFmtId="230" fontId="146" fillId="68" borderId="0" xfId="1625" applyNumberFormat="1" applyFont="1" applyFill="1" applyAlignment="1">
      <alignment horizontal="center" vertical="center"/>
    </xf>
    <xf numFmtId="231" fontId="145" fillId="68" borderId="34" xfId="2788" applyNumberFormat="1" applyFont="1" applyFill="1" applyBorder="1" applyAlignment="1">
      <alignment horizontal="center" vertical="center"/>
    </xf>
    <xf numFmtId="231" fontId="29" fillId="68" borderId="0" xfId="2788" applyNumberFormat="1" applyFont="1" applyFill="1" applyBorder="1" applyAlignment="1">
      <alignment horizontal="center" vertical="center"/>
    </xf>
    <xf numFmtId="231" fontId="29" fillId="68" borderId="35" xfId="2788" applyNumberFormat="1" applyFont="1" applyFill="1" applyBorder="1" applyAlignment="1">
      <alignment horizontal="center" vertical="center"/>
    </xf>
    <xf numFmtId="0" fontId="29" fillId="0" borderId="0" xfId="1625" applyFont="1" applyAlignment="1">
      <alignment horizontal="left" vertical="center"/>
    </xf>
    <xf numFmtId="0" fontId="29" fillId="0" borderId="0" xfId="1625" applyFont="1" applyAlignment="1">
      <alignment horizontal="center" vertical="center"/>
    </xf>
    <xf numFmtId="231" fontId="145" fillId="0" borderId="34" xfId="2788" applyNumberFormat="1" applyFont="1" applyFill="1" applyBorder="1" applyAlignment="1">
      <alignment horizontal="center" vertical="center"/>
    </xf>
    <xf numFmtId="231" fontId="145" fillId="0" borderId="0" xfId="2788" applyNumberFormat="1" applyFont="1" applyFill="1" applyBorder="1" applyAlignment="1">
      <alignment horizontal="center" vertical="center"/>
    </xf>
    <xf numFmtId="231" fontId="29" fillId="0" borderId="0" xfId="2788" applyNumberFormat="1" applyFont="1" applyFill="1" applyBorder="1" applyAlignment="1">
      <alignment horizontal="center" vertical="center"/>
    </xf>
    <xf numFmtId="231" fontId="29" fillId="0" borderId="35" xfId="2788" applyNumberFormat="1" applyFont="1" applyFill="1" applyBorder="1" applyAlignment="1">
      <alignment horizontal="center" vertical="center"/>
    </xf>
    <xf numFmtId="1" fontId="0" fillId="0" borderId="0" xfId="0" applyNumberFormat="1"/>
    <xf numFmtId="4" fontId="126" fillId="0" borderId="0" xfId="0" applyNumberFormat="1" applyFont="1"/>
    <xf numFmtId="4" fontId="6" fillId="56" borderId="0" xfId="0" applyNumberFormat="1" applyFont="1" applyFill="1" applyBorder="1"/>
    <xf numFmtId="4" fontId="6" fillId="68" borderId="0" xfId="0" applyNumberFormat="1" applyFont="1" applyFill="1" applyBorder="1"/>
    <xf numFmtId="0" fontId="6" fillId="110" borderId="0" xfId="1716" applyFont="1" applyFill="1"/>
    <xf numFmtId="1" fontId="6" fillId="110" borderId="0" xfId="1716" applyNumberFormat="1" applyFont="1" applyFill="1"/>
    <xf numFmtId="0" fontId="12" fillId="110" borderId="0" xfId="1716" applyFont="1" applyFill="1"/>
    <xf numFmtId="1" fontId="12" fillId="0" borderId="0" xfId="1716" applyNumberFormat="1" applyFont="1"/>
    <xf numFmtId="172" fontId="88" fillId="111" borderId="0" xfId="0" applyNumberFormat="1" applyFont="1" applyFill="1" applyBorder="1"/>
    <xf numFmtId="0" fontId="12" fillId="0" borderId="0" xfId="1716" applyFont="1" applyAlignment="1">
      <alignment horizontal="left" indent="1"/>
    </xf>
    <xf numFmtId="1" fontId="49" fillId="111" borderId="0" xfId="1716" applyNumberFormat="1" applyFont="1" applyFill="1"/>
    <xf numFmtId="1" fontId="12" fillId="111" borderId="0" xfId="1716" applyNumberFormat="1" applyFont="1" applyFill="1"/>
    <xf numFmtId="0" fontId="6" fillId="56" borderId="0" xfId="1716" quotePrefix="1" applyFont="1" applyFill="1"/>
    <xf numFmtId="1" fontId="12" fillId="10" borderId="0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right" vertical="top"/>
    </xf>
    <xf numFmtId="1" fontId="6" fillId="68" borderId="0" xfId="0" applyNumberFormat="1" applyFont="1" applyFill="1" applyBorder="1" applyAlignment="1">
      <alignment horizontal="right" vertical="top"/>
    </xf>
    <xf numFmtId="1" fontId="6" fillId="10" borderId="0" xfId="0" applyNumberFormat="1" applyFont="1" applyFill="1" applyBorder="1" applyAlignment="1">
      <alignment horizontal="right" vertical="top"/>
    </xf>
    <xf numFmtId="1" fontId="6" fillId="86" borderId="0" xfId="0" applyNumberFormat="1" applyFont="1" applyFill="1" applyBorder="1" applyAlignment="1">
      <alignment horizontal="right" vertical="top"/>
    </xf>
    <xf numFmtId="1" fontId="104" fillId="0" borderId="0" xfId="0" applyNumberFormat="1" applyFont="1" applyFill="1" applyBorder="1" applyAlignment="1">
      <alignment horizontal="right" vertical="top"/>
    </xf>
    <xf numFmtId="1" fontId="6" fillId="56" borderId="0" xfId="0" applyNumberFormat="1" applyFont="1" applyFill="1" applyBorder="1" applyAlignment="1">
      <alignment horizontal="right" vertical="top"/>
    </xf>
    <xf numFmtId="1" fontId="49" fillId="112" borderId="0" xfId="1716" applyNumberFormat="1" applyFont="1" applyFill="1"/>
    <xf numFmtId="1" fontId="6" fillId="111" borderId="0" xfId="1716" applyNumberFormat="1" applyFont="1" applyFill="1"/>
    <xf numFmtId="1" fontId="49" fillId="111" borderId="0" xfId="0" applyNumberFormat="1" applyFont="1" applyFill="1"/>
    <xf numFmtId="0" fontId="12" fillId="0" borderId="0" xfId="1716" applyFont="1" applyAlignment="1"/>
    <xf numFmtId="1" fontId="49" fillId="113" borderId="0" xfId="1716" applyNumberFormat="1" applyFont="1" applyFill="1"/>
    <xf numFmtId="173" fontId="7" fillId="0" borderId="0" xfId="0" applyNumberFormat="1" applyFont="1" applyFill="1" applyAlignment="1"/>
    <xf numFmtId="0" fontId="8" fillId="0" borderId="0" xfId="3066" applyFont="1"/>
    <xf numFmtId="0" fontId="4" fillId="0" borderId="0" xfId="3067"/>
    <xf numFmtId="0" fontId="4" fillId="0" borderId="0" xfId="3067" applyAlignment="1">
      <alignment horizontal="right"/>
    </xf>
    <xf numFmtId="0" fontId="8" fillId="109" borderId="0" xfId="3066" applyFont="1" applyFill="1"/>
    <xf numFmtId="1" fontId="8" fillId="0" borderId="0" xfId="3066" applyNumberFormat="1" applyFont="1"/>
    <xf numFmtId="1" fontId="8" fillId="107" borderId="0" xfId="3066" applyNumberFormat="1" applyFont="1" applyFill="1"/>
    <xf numFmtId="0" fontId="8" fillId="107" borderId="0" xfId="3066" applyFont="1" applyFill="1"/>
    <xf numFmtId="1" fontId="6" fillId="0" borderId="0" xfId="3066" applyNumberFormat="1" applyFont="1"/>
    <xf numFmtId="1" fontId="6" fillId="107" borderId="0" xfId="3066" applyNumberFormat="1" applyFont="1" applyFill="1"/>
    <xf numFmtId="1" fontId="6" fillId="73" borderId="0" xfId="3066" applyNumberFormat="1" applyFont="1" applyFill="1"/>
    <xf numFmtId="1" fontId="6" fillId="114" borderId="0" xfId="3066" applyNumberFormat="1" applyFont="1" applyFill="1"/>
    <xf numFmtId="0" fontId="57" fillId="0" borderId="0" xfId="3066" applyFont="1"/>
    <xf numFmtId="1" fontId="8" fillId="73" borderId="0" xfId="3066" applyNumberFormat="1" applyFont="1" applyFill="1"/>
    <xf numFmtId="17" fontId="57" fillId="0" borderId="0" xfId="3066" quotePrefix="1" applyNumberFormat="1" applyFont="1"/>
    <xf numFmtId="3" fontId="8" fillId="107" borderId="0" xfId="3066" applyNumberFormat="1" applyFont="1" applyFill="1"/>
    <xf numFmtId="3" fontId="8" fillId="0" borderId="0" xfId="3066" applyNumberFormat="1" applyFont="1"/>
    <xf numFmtId="0" fontId="8" fillId="0" borderId="0" xfId="3066" quotePrefix="1" applyFont="1"/>
    <xf numFmtId="0" fontId="8" fillId="66" borderId="0" xfId="3066" applyFont="1" applyFill="1"/>
    <xf numFmtId="1" fontId="6" fillId="66" borderId="0" xfId="3066" applyNumberFormat="1" applyFont="1" applyFill="1"/>
    <xf numFmtId="173" fontId="8" fillId="73" borderId="0" xfId="3066" applyNumberFormat="1" applyFont="1" applyFill="1"/>
    <xf numFmtId="0" fontId="57" fillId="0" borderId="0" xfId="3066" applyFont="1" applyAlignment="1">
      <alignment horizontal="left"/>
    </xf>
    <xf numFmtId="0" fontId="8" fillId="57" borderId="0" xfId="3066" applyFont="1" applyFill="1"/>
    <xf numFmtId="0" fontId="57" fillId="57" borderId="0" xfId="3066" applyFont="1" applyFill="1" applyAlignment="1">
      <alignment horizontal="left"/>
    </xf>
    <xf numFmtId="2" fontId="8" fillId="0" borderId="0" xfId="3066" applyNumberFormat="1" applyFont="1"/>
    <xf numFmtId="172" fontId="8" fillId="0" borderId="0" xfId="3066" applyNumberFormat="1" applyFont="1"/>
    <xf numFmtId="0" fontId="8" fillId="50" borderId="0" xfId="3066" applyFont="1" applyFill="1"/>
    <xf numFmtId="1" fontId="8" fillId="50" borderId="0" xfId="3066" applyNumberFormat="1" applyFont="1" applyFill="1"/>
    <xf numFmtId="0" fontId="8" fillId="0" borderId="0" xfId="3066" applyFont="1" applyAlignment="1">
      <alignment horizontal="right"/>
    </xf>
    <xf numFmtId="173" fontId="8" fillId="0" borderId="0" xfId="3066" applyNumberFormat="1" applyFont="1" applyAlignment="1">
      <alignment horizontal="right"/>
    </xf>
    <xf numFmtId="173" fontId="8" fillId="0" borderId="0" xfId="3066" applyNumberFormat="1" applyFont="1"/>
    <xf numFmtId="1" fontId="96" fillId="74" borderId="0" xfId="3066" applyNumberFormat="1" applyFont="1" applyFill="1" applyAlignment="1">
      <alignment horizontal="center"/>
    </xf>
    <xf numFmtId="173" fontId="22" fillId="81" borderId="0" xfId="3066" applyNumberFormat="1" applyFont="1" applyFill="1" applyProtection="1">
      <protection locked="0"/>
    </xf>
    <xf numFmtId="1" fontId="18" fillId="0" borderId="0" xfId="3066" applyNumberFormat="1" applyFont="1"/>
    <xf numFmtId="173" fontId="8" fillId="74" borderId="0" xfId="3066" applyNumberFormat="1" applyFont="1" applyFill="1"/>
    <xf numFmtId="173" fontId="97" fillId="74" borderId="0" xfId="3066" applyNumberFormat="1" applyFont="1" applyFill="1" applyProtection="1">
      <protection locked="0"/>
    </xf>
    <xf numFmtId="173" fontId="18" fillId="74" borderId="0" xfId="3066" applyNumberFormat="1" applyFont="1" applyFill="1"/>
    <xf numFmtId="173" fontId="97" fillId="74" borderId="0" xfId="3066" applyNumberFormat="1" applyFont="1" applyFill="1"/>
    <xf numFmtId="173" fontId="96" fillId="74" borderId="0" xfId="3066" applyNumberFormat="1" applyFont="1" applyFill="1" applyAlignment="1">
      <alignment horizontal="center"/>
    </xf>
    <xf numFmtId="173" fontId="22" fillId="81" borderId="0" xfId="3066" applyNumberFormat="1" applyFont="1" applyFill="1"/>
    <xf numFmtId="173" fontId="100" fillId="74" borderId="0" xfId="3066" applyNumberFormat="1" applyFont="1" applyFill="1"/>
    <xf numFmtId="173" fontId="8" fillId="81" borderId="0" xfId="3066" applyNumberFormat="1" applyFont="1" applyFill="1"/>
    <xf numFmtId="173" fontId="8" fillId="83" borderId="0" xfId="3066" applyNumberFormat="1" applyFont="1" applyFill="1"/>
    <xf numFmtId="173" fontId="98" fillId="81" borderId="0" xfId="3066" applyNumberFormat="1" applyFont="1" applyFill="1"/>
    <xf numFmtId="2" fontId="98" fillId="81" borderId="0" xfId="3066" applyNumberFormat="1" applyFont="1" applyFill="1"/>
    <xf numFmtId="1" fontId="18" fillId="74" borderId="0" xfId="3066" applyNumberFormat="1" applyFont="1" applyFill="1" applyAlignment="1">
      <alignment horizontal="center"/>
    </xf>
    <xf numFmtId="1" fontId="98" fillId="81" borderId="0" xfId="3066" applyNumberFormat="1" applyFont="1" applyFill="1"/>
    <xf numFmtId="173" fontId="98" fillId="0" borderId="0" xfId="3066" applyNumberFormat="1" applyFont="1"/>
    <xf numFmtId="173" fontId="8" fillId="82" borderId="0" xfId="3066" applyNumberFormat="1" applyFont="1" applyFill="1"/>
    <xf numFmtId="1" fontId="96" fillId="0" borderId="0" xfId="3066" applyNumberFormat="1" applyFont="1" applyAlignment="1">
      <alignment horizontal="center"/>
    </xf>
    <xf numFmtId="9" fontId="8" fillId="0" borderId="0" xfId="3066" applyNumberFormat="1" applyFont="1"/>
    <xf numFmtId="173" fontId="8" fillId="77" borderId="0" xfId="3066" applyNumberFormat="1" applyFont="1" applyFill="1"/>
    <xf numFmtId="173" fontId="8" fillId="91" borderId="0" xfId="3066" applyNumberFormat="1" applyFont="1" applyFill="1"/>
    <xf numFmtId="173" fontId="8" fillId="77" borderId="0" xfId="0" applyNumberFormat="1" applyFont="1" applyFill="1"/>
    <xf numFmtId="173" fontId="8" fillId="78" borderId="0" xfId="3066" applyNumberFormat="1" applyFont="1" applyFill="1"/>
    <xf numFmtId="173" fontId="8" fillId="78" borderId="0" xfId="1580" applyNumberFormat="1" applyFont="1" applyFill="1"/>
    <xf numFmtId="1" fontId="96" fillId="74" borderId="0" xfId="1580" applyNumberFormat="1" applyFont="1" applyFill="1" applyAlignment="1">
      <alignment horizontal="center"/>
    </xf>
    <xf numFmtId="173" fontId="22" fillId="78" borderId="0" xfId="1580" applyNumberFormat="1" applyFont="1" applyFill="1"/>
    <xf numFmtId="173" fontId="22" fillId="77" borderId="0" xfId="1580" applyNumberFormat="1" applyFont="1" applyFill="1"/>
    <xf numFmtId="173" fontId="99" fillId="77" borderId="0" xfId="1580" applyNumberFormat="1" applyFont="1" applyFill="1"/>
    <xf numFmtId="173" fontId="98" fillId="77" borderId="0" xfId="1580" applyNumberFormat="1" applyFont="1" applyFill="1"/>
    <xf numFmtId="173" fontId="22" fillId="74" borderId="0" xfId="3066" applyNumberFormat="1" applyFont="1" applyFill="1"/>
    <xf numFmtId="173" fontId="8" fillId="57" borderId="0" xfId="3066" applyNumberFormat="1" applyFont="1" applyFill="1"/>
    <xf numFmtId="173" fontId="18" fillId="57" borderId="0" xfId="3066" quotePrefix="1" applyNumberFormat="1" applyFont="1" applyFill="1" applyAlignment="1">
      <alignment horizontal="left"/>
    </xf>
    <xf numFmtId="173" fontId="18" fillId="57" borderId="0" xfId="3066" applyNumberFormat="1" applyFont="1" applyFill="1"/>
    <xf numFmtId="173" fontId="96" fillId="76" borderId="0" xfId="3066" applyNumberFormat="1" applyFont="1" applyFill="1" applyProtection="1">
      <protection locked="0"/>
    </xf>
    <xf numFmtId="173" fontId="96" fillId="76" borderId="0" xfId="1580" applyNumberFormat="1" applyFont="1" applyFill="1" applyAlignment="1">
      <alignment horizontal="center"/>
    </xf>
    <xf numFmtId="1" fontId="22" fillId="76" borderId="0" xfId="1580" applyNumberFormat="1" applyFont="1" applyFill="1"/>
    <xf numFmtId="173" fontId="96" fillId="74" borderId="0" xfId="1580" applyNumberFormat="1" applyFont="1" applyFill="1" applyAlignment="1">
      <alignment horizontal="center"/>
    </xf>
    <xf numFmtId="173" fontId="18" fillId="0" borderId="0" xfId="3066" quotePrefix="1" applyNumberFormat="1" applyFont="1" applyAlignment="1">
      <alignment horizontal="left"/>
    </xf>
    <xf numFmtId="173" fontId="18" fillId="0" borderId="0" xfId="3066" applyNumberFormat="1" applyFont="1"/>
    <xf numFmtId="173" fontId="96" fillId="74" borderId="0" xfId="3066" applyNumberFormat="1" applyFont="1" applyFill="1" applyProtection="1">
      <protection locked="0"/>
    </xf>
    <xf numFmtId="1" fontId="22" fillId="74" borderId="0" xfId="1580" applyNumberFormat="1" applyFont="1" applyFill="1"/>
    <xf numFmtId="173" fontId="8" fillId="74" borderId="0" xfId="3066" applyNumberFormat="1" applyFont="1" applyFill="1" applyProtection="1">
      <protection locked="0"/>
    </xf>
    <xf numFmtId="173" fontId="22" fillId="74" borderId="0" xfId="1580" applyNumberFormat="1" applyFont="1" applyFill="1"/>
    <xf numFmtId="0" fontId="120" fillId="0" borderId="0" xfId="3067" applyFont="1"/>
    <xf numFmtId="17" fontId="4" fillId="109" borderId="0" xfId="3067" applyNumberFormat="1" applyFill="1"/>
    <xf numFmtId="173" fontId="4" fillId="0" borderId="0" xfId="3067" applyNumberFormat="1"/>
    <xf numFmtId="173" fontId="4" fillId="109" borderId="0" xfId="3067" applyNumberFormat="1" applyFill="1"/>
    <xf numFmtId="173" fontId="4" fillId="73" borderId="0" xfId="3067" applyNumberFormat="1" applyFill="1" applyAlignment="1">
      <alignment horizontal="right"/>
    </xf>
    <xf numFmtId="173" fontId="4" fillId="0" borderId="0" xfId="3067" applyNumberFormat="1" applyAlignment="1">
      <alignment horizontal="right"/>
    </xf>
    <xf numFmtId="173" fontId="4" fillId="50" borderId="0" xfId="3067" applyNumberFormat="1" applyFill="1" applyAlignment="1">
      <alignment horizontal="right"/>
    </xf>
    <xf numFmtId="0" fontId="4" fillId="108" borderId="0" xfId="3067" applyFill="1" applyAlignment="1">
      <alignment horizontal="right"/>
    </xf>
    <xf numFmtId="173" fontId="4" fillId="108" borderId="0" xfId="3067" applyNumberFormat="1" applyFill="1" applyAlignment="1">
      <alignment horizontal="right"/>
    </xf>
    <xf numFmtId="173" fontId="4" fillId="108" borderId="0" xfId="3067" applyNumberFormat="1" applyFill="1"/>
    <xf numFmtId="0" fontId="137" fillId="0" borderId="7" xfId="0" applyFont="1" applyBorder="1"/>
    <xf numFmtId="0" fontId="29" fillId="55" borderId="34" xfId="1625" applyFont="1" applyFill="1" applyBorder="1" applyAlignment="1">
      <alignment horizontal="center"/>
    </xf>
    <xf numFmtId="0" fontId="29" fillId="55" borderId="0" xfId="1625" applyFont="1" applyFill="1" applyAlignment="1">
      <alignment horizontal="center"/>
    </xf>
    <xf numFmtId="0" fontId="29" fillId="55" borderId="35" xfId="1625" applyFont="1" applyFill="1" applyBorder="1" applyAlignment="1">
      <alignment horizontal="center"/>
    </xf>
    <xf numFmtId="4" fontId="103" fillId="68" borderId="63" xfId="0" applyNumberFormat="1" applyFont="1" applyFill="1" applyBorder="1" applyAlignment="1">
      <alignment vertical="top" wrapText="1"/>
    </xf>
    <xf numFmtId="0" fontId="0" fillId="68" borderId="64" xfId="0" applyFont="1" applyFill="1" applyBorder="1" applyAlignment="1">
      <alignment vertical="top" wrapText="1"/>
    </xf>
    <xf numFmtId="4" fontId="103" fillId="68" borderId="67" xfId="0" applyNumberFormat="1" applyFont="1" applyFill="1" applyBorder="1" applyAlignment="1">
      <alignment vertical="top" wrapText="1"/>
    </xf>
    <xf numFmtId="0" fontId="0" fillId="68" borderId="68" xfId="0" applyFont="1" applyFill="1" applyBorder="1" applyAlignment="1">
      <alignment vertical="top" wrapText="1"/>
    </xf>
  </cellXfs>
  <cellStyles count="3068">
    <cellStyle name="_x000a_shell=progma" xfId="1" xr:uid="{00000000-0005-0000-0000-000000000000}"/>
    <cellStyle name="_x0004_¥" xfId="2" xr:uid="{00000000-0005-0000-0000-000001000000}"/>
    <cellStyle name="_x0004_¥ 2" xfId="3" xr:uid="{00000000-0005-0000-0000-000002000000}"/>
    <cellStyle name="_x0004_¥ 3" xfId="4" xr:uid="{00000000-0005-0000-0000-000003000000}"/>
    <cellStyle name="_x0004_¥_Model" xfId="5" xr:uid="{00000000-0005-0000-0000-000004000000}"/>
    <cellStyle name="1" xfId="6" xr:uid="{00000000-0005-0000-0000-000005000000}"/>
    <cellStyle name="1 indent" xfId="7" xr:uid="{00000000-0005-0000-0000-000006000000}"/>
    <cellStyle name="1 indent 2" xfId="8" xr:uid="{00000000-0005-0000-0000-000007000000}"/>
    <cellStyle name="1 indent 3" xfId="9" xr:uid="{00000000-0005-0000-0000-000008000000}"/>
    <cellStyle name="1_ArticleIV TABLES01" xfId="10" xr:uid="{00000000-0005-0000-0000-000009000000}"/>
    <cellStyle name="1_Book2" xfId="11" xr:uid="{00000000-0005-0000-0000-00000A000000}"/>
    <cellStyle name="1_Book3" xfId="12" xr:uid="{00000000-0005-0000-0000-00000B000000}"/>
    <cellStyle name="1_Book4" xfId="13" xr:uid="{00000000-0005-0000-0000-00000C000000}"/>
    <cellStyle name="1_BOPart4" xfId="14" xr:uid="{00000000-0005-0000-0000-00000D000000}"/>
    <cellStyle name="1_Brief 2002" xfId="15" xr:uid="{00000000-0005-0000-0000-00000E000000}"/>
    <cellStyle name="1_mdvmacrofr2001" xfId="16" xr:uid="{00000000-0005-0000-0000-00000F000000}"/>
    <cellStyle name="1_WEO" xfId="17" xr:uid="{00000000-0005-0000-0000-000010000000}"/>
    <cellStyle name="2 indents" xfId="18" xr:uid="{00000000-0005-0000-0000-000011000000}"/>
    <cellStyle name="2 indents 2" xfId="19" xr:uid="{00000000-0005-0000-0000-000012000000}"/>
    <cellStyle name="2 indents 3" xfId="20" xr:uid="{00000000-0005-0000-0000-000013000000}"/>
    <cellStyle name="20 % - Accent1_Macro Model Rwanda 12th  July 2010_B" xfId="21" xr:uid="{00000000-0005-0000-0000-000014000000}"/>
    <cellStyle name="20 % - Accent2_Macro Model Rwanda 12th  July 2010_B" xfId="22" xr:uid="{00000000-0005-0000-0000-000015000000}"/>
    <cellStyle name="20 % - Accent3_Macro Model Rwanda 12th  July 2010_B" xfId="23" xr:uid="{00000000-0005-0000-0000-000016000000}"/>
    <cellStyle name="20 % - Accent4_Macro Model Rwanda 12th  July 2010_B" xfId="24" xr:uid="{00000000-0005-0000-0000-000017000000}"/>
    <cellStyle name="20 % - Accent5_Macro Model Rwanda 12th  July 2010_B" xfId="25" xr:uid="{00000000-0005-0000-0000-000018000000}"/>
    <cellStyle name="20 % - Accent6_Macro Model Rwanda 12th  July 2010_B" xfId="26" xr:uid="{00000000-0005-0000-0000-000019000000}"/>
    <cellStyle name="20% - Accent1" xfId="27" builtinId="30" customBuiltin="1"/>
    <cellStyle name="20% - Accent1 2" xfId="28" xr:uid="{00000000-0005-0000-0000-00001B000000}"/>
    <cellStyle name="20% - Accent1 2 2" xfId="29" xr:uid="{00000000-0005-0000-0000-00001C000000}"/>
    <cellStyle name="20% - Accent1 2 2 2" xfId="30" xr:uid="{00000000-0005-0000-0000-00001D000000}"/>
    <cellStyle name="20% - Accent1 2 2 3" xfId="31" xr:uid="{00000000-0005-0000-0000-00001E000000}"/>
    <cellStyle name="20% - Accent1 2 3" xfId="32" xr:uid="{00000000-0005-0000-0000-00001F000000}"/>
    <cellStyle name="20% - Accent1 2 3 2" xfId="33" xr:uid="{00000000-0005-0000-0000-000020000000}"/>
    <cellStyle name="20% - Accent1 2 3 3" xfId="34" xr:uid="{00000000-0005-0000-0000-000021000000}"/>
    <cellStyle name="20% - Accent1 2 4" xfId="35" xr:uid="{00000000-0005-0000-0000-000022000000}"/>
    <cellStyle name="20% - Accent1 2 4 2" xfId="36" xr:uid="{00000000-0005-0000-0000-000023000000}"/>
    <cellStyle name="20% - Accent1 2 5" xfId="37" xr:uid="{00000000-0005-0000-0000-000024000000}"/>
    <cellStyle name="20% - Accent1 2 5 2" xfId="38" xr:uid="{00000000-0005-0000-0000-000025000000}"/>
    <cellStyle name="20% - Accent1 2 6" xfId="39" xr:uid="{00000000-0005-0000-0000-000026000000}"/>
    <cellStyle name="20% - Accent1 2 6 2" xfId="40" xr:uid="{00000000-0005-0000-0000-000027000000}"/>
    <cellStyle name="20% - Accent1 2 7" xfId="41" xr:uid="{00000000-0005-0000-0000-000028000000}"/>
    <cellStyle name="20% - Accent1 2 7 2" xfId="42" xr:uid="{00000000-0005-0000-0000-000029000000}"/>
    <cellStyle name="20% - Accent1 2 8" xfId="43" xr:uid="{00000000-0005-0000-0000-00002A000000}"/>
    <cellStyle name="20% - Accent1 2 9" xfId="44" xr:uid="{00000000-0005-0000-0000-00002B000000}"/>
    <cellStyle name="20% - Accent1 3" xfId="45" xr:uid="{00000000-0005-0000-0000-00002C000000}"/>
    <cellStyle name="20% - Accent1 3 2" xfId="46" xr:uid="{00000000-0005-0000-0000-00002D000000}"/>
    <cellStyle name="20% - Accent1 4" xfId="47" xr:uid="{00000000-0005-0000-0000-00002E000000}"/>
    <cellStyle name="20% - Accent1 4 2" xfId="48" xr:uid="{00000000-0005-0000-0000-00002F000000}"/>
    <cellStyle name="20% - Accent2" xfId="49" builtinId="34" customBuiltin="1"/>
    <cellStyle name="20% - Accent2 2" xfId="50" xr:uid="{00000000-0005-0000-0000-000031000000}"/>
    <cellStyle name="20% - Accent2 2 2" xfId="51" xr:uid="{00000000-0005-0000-0000-000032000000}"/>
    <cellStyle name="20% - Accent2 2 2 2" xfId="52" xr:uid="{00000000-0005-0000-0000-000033000000}"/>
    <cellStyle name="20% - Accent2 2 2 3" xfId="53" xr:uid="{00000000-0005-0000-0000-000034000000}"/>
    <cellStyle name="20% - Accent2 2 3" xfId="54" xr:uid="{00000000-0005-0000-0000-000035000000}"/>
    <cellStyle name="20% - Accent2 2 3 2" xfId="55" xr:uid="{00000000-0005-0000-0000-000036000000}"/>
    <cellStyle name="20% - Accent2 2 3 3" xfId="56" xr:uid="{00000000-0005-0000-0000-000037000000}"/>
    <cellStyle name="20% - Accent2 2 4" xfId="57" xr:uid="{00000000-0005-0000-0000-000038000000}"/>
    <cellStyle name="20% - Accent2 2 4 2" xfId="58" xr:uid="{00000000-0005-0000-0000-000039000000}"/>
    <cellStyle name="20% - Accent2 2 5" xfId="59" xr:uid="{00000000-0005-0000-0000-00003A000000}"/>
    <cellStyle name="20% - Accent2 2 5 2" xfId="60" xr:uid="{00000000-0005-0000-0000-00003B000000}"/>
    <cellStyle name="20% - Accent2 2 6" xfId="61" xr:uid="{00000000-0005-0000-0000-00003C000000}"/>
    <cellStyle name="20% - Accent2 2 6 2" xfId="62" xr:uid="{00000000-0005-0000-0000-00003D000000}"/>
    <cellStyle name="20% - Accent2 2 7" xfId="63" xr:uid="{00000000-0005-0000-0000-00003E000000}"/>
    <cellStyle name="20% - Accent2 2 7 2" xfId="64" xr:uid="{00000000-0005-0000-0000-00003F000000}"/>
    <cellStyle name="20% - Accent2 2 8" xfId="65" xr:uid="{00000000-0005-0000-0000-000040000000}"/>
    <cellStyle name="20% - Accent2 2 9" xfId="66" xr:uid="{00000000-0005-0000-0000-000041000000}"/>
    <cellStyle name="20% - Accent2 3" xfId="67" xr:uid="{00000000-0005-0000-0000-000042000000}"/>
    <cellStyle name="20% - Accent2 3 2" xfId="68" xr:uid="{00000000-0005-0000-0000-000043000000}"/>
    <cellStyle name="20% - Accent2 4" xfId="69" xr:uid="{00000000-0005-0000-0000-000044000000}"/>
    <cellStyle name="20% - Accent2 4 2" xfId="70" xr:uid="{00000000-0005-0000-0000-000045000000}"/>
    <cellStyle name="20% - Accent3" xfId="71" builtinId="38" customBuiltin="1"/>
    <cellStyle name="20% - Accent3 2" xfId="72" xr:uid="{00000000-0005-0000-0000-000047000000}"/>
    <cellStyle name="20% - Accent3 2 2" xfId="73" xr:uid="{00000000-0005-0000-0000-000048000000}"/>
    <cellStyle name="20% - Accent3 2 2 2" xfId="74" xr:uid="{00000000-0005-0000-0000-000049000000}"/>
    <cellStyle name="20% - Accent3 2 2 3" xfId="75" xr:uid="{00000000-0005-0000-0000-00004A000000}"/>
    <cellStyle name="20% - Accent3 2 3" xfId="76" xr:uid="{00000000-0005-0000-0000-00004B000000}"/>
    <cellStyle name="20% - Accent3 2 3 2" xfId="77" xr:uid="{00000000-0005-0000-0000-00004C000000}"/>
    <cellStyle name="20% - Accent3 2 3 3" xfId="78" xr:uid="{00000000-0005-0000-0000-00004D000000}"/>
    <cellStyle name="20% - Accent3 2 4" xfId="79" xr:uid="{00000000-0005-0000-0000-00004E000000}"/>
    <cellStyle name="20% - Accent3 2 4 2" xfId="80" xr:uid="{00000000-0005-0000-0000-00004F000000}"/>
    <cellStyle name="20% - Accent3 2 5" xfId="81" xr:uid="{00000000-0005-0000-0000-000050000000}"/>
    <cellStyle name="20% - Accent3 2 5 2" xfId="82" xr:uid="{00000000-0005-0000-0000-000051000000}"/>
    <cellStyle name="20% - Accent3 2 6" xfId="83" xr:uid="{00000000-0005-0000-0000-000052000000}"/>
    <cellStyle name="20% - Accent3 2 6 2" xfId="84" xr:uid="{00000000-0005-0000-0000-000053000000}"/>
    <cellStyle name="20% - Accent3 2 7" xfId="85" xr:uid="{00000000-0005-0000-0000-000054000000}"/>
    <cellStyle name="20% - Accent3 2 7 2" xfId="86" xr:uid="{00000000-0005-0000-0000-000055000000}"/>
    <cellStyle name="20% - Accent3 2 8" xfId="87" xr:uid="{00000000-0005-0000-0000-000056000000}"/>
    <cellStyle name="20% - Accent3 2 9" xfId="88" xr:uid="{00000000-0005-0000-0000-000057000000}"/>
    <cellStyle name="20% - Accent3 3" xfId="89" xr:uid="{00000000-0005-0000-0000-000058000000}"/>
    <cellStyle name="20% - Accent3 3 2" xfId="90" xr:uid="{00000000-0005-0000-0000-000059000000}"/>
    <cellStyle name="20% - Accent3 4" xfId="91" xr:uid="{00000000-0005-0000-0000-00005A000000}"/>
    <cellStyle name="20% - Accent3 4 2" xfId="92" xr:uid="{00000000-0005-0000-0000-00005B000000}"/>
    <cellStyle name="20% - Accent4" xfId="93" builtinId="42" customBuiltin="1"/>
    <cellStyle name="20% - Accent4 2" xfId="94" xr:uid="{00000000-0005-0000-0000-00005D000000}"/>
    <cellStyle name="20% - Accent4 2 2" xfId="95" xr:uid="{00000000-0005-0000-0000-00005E000000}"/>
    <cellStyle name="20% - Accent4 2 2 2" xfId="96" xr:uid="{00000000-0005-0000-0000-00005F000000}"/>
    <cellStyle name="20% - Accent4 2 2 3" xfId="97" xr:uid="{00000000-0005-0000-0000-000060000000}"/>
    <cellStyle name="20% - Accent4 2 3" xfId="98" xr:uid="{00000000-0005-0000-0000-000061000000}"/>
    <cellStyle name="20% - Accent4 2 3 2" xfId="99" xr:uid="{00000000-0005-0000-0000-000062000000}"/>
    <cellStyle name="20% - Accent4 2 3 3" xfId="100" xr:uid="{00000000-0005-0000-0000-000063000000}"/>
    <cellStyle name="20% - Accent4 2 4" xfId="101" xr:uid="{00000000-0005-0000-0000-000064000000}"/>
    <cellStyle name="20% - Accent4 2 4 2" xfId="102" xr:uid="{00000000-0005-0000-0000-000065000000}"/>
    <cellStyle name="20% - Accent4 2 5" xfId="103" xr:uid="{00000000-0005-0000-0000-000066000000}"/>
    <cellStyle name="20% - Accent4 2 5 2" xfId="104" xr:uid="{00000000-0005-0000-0000-000067000000}"/>
    <cellStyle name="20% - Accent4 2 6" xfId="105" xr:uid="{00000000-0005-0000-0000-000068000000}"/>
    <cellStyle name="20% - Accent4 2 6 2" xfId="106" xr:uid="{00000000-0005-0000-0000-000069000000}"/>
    <cellStyle name="20% - Accent4 2 7" xfId="107" xr:uid="{00000000-0005-0000-0000-00006A000000}"/>
    <cellStyle name="20% - Accent4 2 7 2" xfId="108" xr:uid="{00000000-0005-0000-0000-00006B000000}"/>
    <cellStyle name="20% - Accent4 2 8" xfId="109" xr:uid="{00000000-0005-0000-0000-00006C000000}"/>
    <cellStyle name="20% - Accent4 2 9" xfId="110" xr:uid="{00000000-0005-0000-0000-00006D000000}"/>
    <cellStyle name="20% - Accent4 3" xfId="111" xr:uid="{00000000-0005-0000-0000-00006E000000}"/>
    <cellStyle name="20% - Accent4 3 2" xfId="112" xr:uid="{00000000-0005-0000-0000-00006F000000}"/>
    <cellStyle name="20% - Accent4 4" xfId="113" xr:uid="{00000000-0005-0000-0000-000070000000}"/>
    <cellStyle name="20% - Accent4 4 2" xfId="114" xr:uid="{00000000-0005-0000-0000-000071000000}"/>
    <cellStyle name="20% - Accent5" xfId="115" builtinId="46" customBuiltin="1"/>
    <cellStyle name="20% - Accent5 2" xfId="116" xr:uid="{00000000-0005-0000-0000-000073000000}"/>
    <cellStyle name="20% - Accent5 2 2" xfId="117" xr:uid="{00000000-0005-0000-0000-000074000000}"/>
    <cellStyle name="20% - Accent5 2 2 2" xfId="118" xr:uid="{00000000-0005-0000-0000-000075000000}"/>
    <cellStyle name="20% - Accent5 2 2 3" xfId="119" xr:uid="{00000000-0005-0000-0000-000076000000}"/>
    <cellStyle name="20% - Accent5 2 3" xfId="120" xr:uid="{00000000-0005-0000-0000-000077000000}"/>
    <cellStyle name="20% - Accent5 2 3 2" xfId="121" xr:uid="{00000000-0005-0000-0000-000078000000}"/>
    <cellStyle name="20% - Accent5 2 4" xfId="122" xr:uid="{00000000-0005-0000-0000-000079000000}"/>
    <cellStyle name="20% - Accent5 2 4 2" xfId="123" xr:uid="{00000000-0005-0000-0000-00007A000000}"/>
    <cellStyle name="20% - Accent5 2 5" xfId="124" xr:uid="{00000000-0005-0000-0000-00007B000000}"/>
    <cellStyle name="20% - Accent5 2 5 2" xfId="125" xr:uid="{00000000-0005-0000-0000-00007C000000}"/>
    <cellStyle name="20% - Accent5 2 6" xfId="126" xr:uid="{00000000-0005-0000-0000-00007D000000}"/>
    <cellStyle name="20% - Accent5 2 6 2" xfId="127" xr:uid="{00000000-0005-0000-0000-00007E000000}"/>
    <cellStyle name="20% - Accent5 2 7" xfId="128" xr:uid="{00000000-0005-0000-0000-00007F000000}"/>
    <cellStyle name="20% - Accent5 2 7 2" xfId="129" xr:uid="{00000000-0005-0000-0000-000080000000}"/>
    <cellStyle name="20% - Accent5 2 8" xfId="130" xr:uid="{00000000-0005-0000-0000-000081000000}"/>
    <cellStyle name="20% - Accent5 2 9" xfId="131" xr:uid="{00000000-0005-0000-0000-000082000000}"/>
    <cellStyle name="20% - Accent5 3" xfId="132" xr:uid="{00000000-0005-0000-0000-000083000000}"/>
    <cellStyle name="20% - Accent5 4" xfId="133" xr:uid="{00000000-0005-0000-0000-000084000000}"/>
    <cellStyle name="20% - Accent6" xfId="134" builtinId="50" customBuiltin="1"/>
    <cellStyle name="20% - Accent6 2" xfId="135" xr:uid="{00000000-0005-0000-0000-000086000000}"/>
    <cellStyle name="20% - Accent6 2 2" xfId="136" xr:uid="{00000000-0005-0000-0000-000087000000}"/>
    <cellStyle name="20% - Accent6 2 2 2" xfId="137" xr:uid="{00000000-0005-0000-0000-000088000000}"/>
    <cellStyle name="20% - Accent6 2 2 3" xfId="138" xr:uid="{00000000-0005-0000-0000-000089000000}"/>
    <cellStyle name="20% - Accent6 2 3" xfId="139" xr:uid="{00000000-0005-0000-0000-00008A000000}"/>
    <cellStyle name="20% - Accent6 2 3 2" xfId="140" xr:uid="{00000000-0005-0000-0000-00008B000000}"/>
    <cellStyle name="20% - Accent6 2 4" xfId="141" xr:uid="{00000000-0005-0000-0000-00008C000000}"/>
    <cellStyle name="20% - Accent6 2 4 2" xfId="142" xr:uid="{00000000-0005-0000-0000-00008D000000}"/>
    <cellStyle name="20% - Accent6 2 5" xfId="143" xr:uid="{00000000-0005-0000-0000-00008E000000}"/>
    <cellStyle name="20% - Accent6 2 5 2" xfId="144" xr:uid="{00000000-0005-0000-0000-00008F000000}"/>
    <cellStyle name="20% - Accent6 2 6" xfId="145" xr:uid="{00000000-0005-0000-0000-000090000000}"/>
    <cellStyle name="20% - Accent6 2 6 2" xfId="146" xr:uid="{00000000-0005-0000-0000-000091000000}"/>
    <cellStyle name="20% - Accent6 2 7" xfId="147" xr:uid="{00000000-0005-0000-0000-000092000000}"/>
    <cellStyle name="20% - Accent6 2 7 2" xfId="148" xr:uid="{00000000-0005-0000-0000-000093000000}"/>
    <cellStyle name="20% - Accent6 2 8" xfId="149" xr:uid="{00000000-0005-0000-0000-000094000000}"/>
    <cellStyle name="20% - Accent6 2 9" xfId="150" xr:uid="{00000000-0005-0000-0000-000095000000}"/>
    <cellStyle name="20% - Accent6 3" xfId="151" xr:uid="{00000000-0005-0000-0000-000096000000}"/>
    <cellStyle name="3 indents" xfId="152" xr:uid="{00000000-0005-0000-0000-000097000000}"/>
    <cellStyle name="3 indents 2" xfId="153" xr:uid="{00000000-0005-0000-0000-000098000000}"/>
    <cellStyle name="3 indents 3" xfId="154" xr:uid="{00000000-0005-0000-0000-000099000000}"/>
    <cellStyle name="4 indents" xfId="155" xr:uid="{00000000-0005-0000-0000-00009A000000}"/>
    <cellStyle name="4 indents 2" xfId="156" xr:uid="{00000000-0005-0000-0000-00009B000000}"/>
    <cellStyle name="4 indents 3" xfId="157" xr:uid="{00000000-0005-0000-0000-00009C000000}"/>
    <cellStyle name="40 % - Accent1_Macro Model Rwanda 12th  July 2010_B" xfId="158" xr:uid="{00000000-0005-0000-0000-00009D000000}"/>
    <cellStyle name="40 % - Accent2_Macro Model Rwanda 12th  July 2010_B" xfId="159" xr:uid="{00000000-0005-0000-0000-00009E000000}"/>
    <cellStyle name="40 % - Accent3_Macro Model Rwanda 12th  July 2010_B" xfId="160" xr:uid="{00000000-0005-0000-0000-00009F000000}"/>
    <cellStyle name="40 % - Accent4_Macro Model Rwanda 12th  July 2010_B" xfId="161" xr:uid="{00000000-0005-0000-0000-0000A0000000}"/>
    <cellStyle name="40 % - Accent5_Macro Model Rwanda 12th  July 2010_B" xfId="162" xr:uid="{00000000-0005-0000-0000-0000A1000000}"/>
    <cellStyle name="40 % - Accent6_Macro Model Rwanda 12th  July 2010_B" xfId="163" xr:uid="{00000000-0005-0000-0000-0000A2000000}"/>
    <cellStyle name="40% - Accent1" xfId="164" builtinId="31" customBuiltin="1"/>
    <cellStyle name="40% - Accent1 2" xfId="165" xr:uid="{00000000-0005-0000-0000-0000A4000000}"/>
    <cellStyle name="40% - Accent1 2 2" xfId="166" xr:uid="{00000000-0005-0000-0000-0000A5000000}"/>
    <cellStyle name="40% - Accent1 2 2 2" xfId="167" xr:uid="{00000000-0005-0000-0000-0000A6000000}"/>
    <cellStyle name="40% - Accent1 2 2 3" xfId="168" xr:uid="{00000000-0005-0000-0000-0000A7000000}"/>
    <cellStyle name="40% - Accent1 2 3" xfId="169" xr:uid="{00000000-0005-0000-0000-0000A8000000}"/>
    <cellStyle name="40% - Accent1 2 3 2" xfId="170" xr:uid="{00000000-0005-0000-0000-0000A9000000}"/>
    <cellStyle name="40% - Accent1 2 4" xfId="171" xr:uid="{00000000-0005-0000-0000-0000AA000000}"/>
    <cellStyle name="40% - Accent1 2 4 2" xfId="172" xr:uid="{00000000-0005-0000-0000-0000AB000000}"/>
    <cellStyle name="40% - Accent1 2 5" xfId="173" xr:uid="{00000000-0005-0000-0000-0000AC000000}"/>
    <cellStyle name="40% - Accent1 2 5 2" xfId="174" xr:uid="{00000000-0005-0000-0000-0000AD000000}"/>
    <cellStyle name="40% - Accent1 2 6" xfId="175" xr:uid="{00000000-0005-0000-0000-0000AE000000}"/>
    <cellStyle name="40% - Accent1 2 6 2" xfId="176" xr:uid="{00000000-0005-0000-0000-0000AF000000}"/>
    <cellStyle name="40% - Accent1 2 7" xfId="177" xr:uid="{00000000-0005-0000-0000-0000B0000000}"/>
    <cellStyle name="40% - Accent1 2 7 2" xfId="178" xr:uid="{00000000-0005-0000-0000-0000B1000000}"/>
    <cellStyle name="40% - Accent1 2 8" xfId="179" xr:uid="{00000000-0005-0000-0000-0000B2000000}"/>
    <cellStyle name="40% - Accent1 2 9" xfId="180" xr:uid="{00000000-0005-0000-0000-0000B3000000}"/>
    <cellStyle name="40% - Accent1 3" xfId="181" xr:uid="{00000000-0005-0000-0000-0000B4000000}"/>
    <cellStyle name="40% - Accent1 4" xfId="182" xr:uid="{00000000-0005-0000-0000-0000B5000000}"/>
    <cellStyle name="40% - Accent2" xfId="183" builtinId="35" customBuiltin="1"/>
    <cellStyle name="40% - Accent2 2" xfId="184" xr:uid="{00000000-0005-0000-0000-0000B7000000}"/>
    <cellStyle name="40% - Accent2 2 2" xfId="185" xr:uid="{00000000-0005-0000-0000-0000B8000000}"/>
    <cellStyle name="40% - Accent2 2 2 2" xfId="186" xr:uid="{00000000-0005-0000-0000-0000B9000000}"/>
    <cellStyle name="40% - Accent2 2 2 3" xfId="187" xr:uid="{00000000-0005-0000-0000-0000BA000000}"/>
    <cellStyle name="40% - Accent2 2 3" xfId="188" xr:uid="{00000000-0005-0000-0000-0000BB000000}"/>
    <cellStyle name="40% - Accent2 2 3 2" xfId="189" xr:uid="{00000000-0005-0000-0000-0000BC000000}"/>
    <cellStyle name="40% - Accent2 2 4" xfId="190" xr:uid="{00000000-0005-0000-0000-0000BD000000}"/>
    <cellStyle name="40% - Accent2 2 4 2" xfId="191" xr:uid="{00000000-0005-0000-0000-0000BE000000}"/>
    <cellStyle name="40% - Accent2 2 5" xfId="192" xr:uid="{00000000-0005-0000-0000-0000BF000000}"/>
    <cellStyle name="40% - Accent2 2 5 2" xfId="193" xr:uid="{00000000-0005-0000-0000-0000C0000000}"/>
    <cellStyle name="40% - Accent2 2 6" xfId="194" xr:uid="{00000000-0005-0000-0000-0000C1000000}"/>
    <cellStyle name="40% - Accent2 2 6 2" xfId="195" xr:uid="{00000000-0005-0000-0000-0000C2000000}"/>
    <cellStyle name="40% - Accent2 2 7" xfId="196" xr:uid="{00000000-0005-0000-0000-0000C3000000}"/>
    <cellStyle name="40% - Accent2 2 7 2" xfId="197" xr:uid="{00000000-0005-0000-0000-0000C4000000}"/>
    <cellStyle name="40% - Accent2 2 8" xfId="198" xr:uid="{00000000-0005-0000-0000-0000C5000000}"/>
    <cellStyle name="40% - Accent2 2 9" xfId="199" xr:uid="{00000000-0005-0000-0000-0000C6000000}"/>
    <cellStyle name="40% - Accent2 3" xfId="200" xr:uid="{00000000-0005-0000-0000-0000C7000000}"/>
    <cellStyle name="40% - Accent3" xfId="201" builtinId="39" customBuiltin="1"/>
    <cellStyle name="40% - Accent3 2" xfId="202" xr:uid="{00000000-0005-0000-0000-0000C9000000}"/>
    <cellStyle name="40% - Accent3 2 2" xfId="203" xr:uid="{00000000-0005-0000-0000-0000CA000000}"/>
    <cellStyle name="40% - Accent3 2 2 2" xfId="204" xr:uid="{00000000-0005-0000-0000-0000CB000000}"/>
    <cellStyle name="40% - Accent3 2 2 3" xfId="205" xr:uid="{00000000-0005-0000-0000-0000CC000000}"/>
    <cellStyle name="40% - Accent3 2 3" xfId="206" xr:uid="{00000000-0005-0000-0000-0000CD000000}"/>
    <cellStyle name="40% - Accent3 2 3 2" xfId="207" xr:uid="{00000000-0005-0000-0000-0000CE000000}"/>
    <cellStyle name="40% - Accent3 2 3 3" xfId="208" xr:uid="{00000000-0005-0000-0000-0000CF000000}"/>
    <cellStyle name="40% - Accent3 2 4" xfId="209" xr:uid="{00000000-0005-0000-0000-0000D0000000}"/>
    <cellStyle name="40% - Accent3 2 4 2" xfId="210" xr:uid="{00000000-0005-0000-0000-0000D1000000}"/>
    <cellStyle name="40% - Accent3 2 5" xfId="211" xr:uid="{00000000-0005-0000-0000-0000D2000000}"/>
    <cellStyle name="40% - Accent3 2 5 2" xfId="212" xr:uid="{00000000-0005-0000-0000-0000D3000000}"/>
    <cellStyle name="40% - Accent3 2 6" xfId="213" xr:uid="{00000000-0005-0000-0000-0000D4000000}"/>
    <cellStyle name="40% - Accent3 2 6 2" xfId="214" xr:uid="{00000000-0005-0000-0000-0000D5000000}"/>
    <cellStyle name="40% - Accent3 2 7" xfId="215" xr:uid="{00000000-0005-0000-0000-0000D6000000}"/>
    <cellStyle name="40% - Accent3 2 7 2" xfId="216" xr:uid="{00000000-0005-0000-0000-0000D7000000}"/>
    <cellStyle name="40% - Accent3 2 8" xfId="217" xr:uid="{00000000-0005-0000-0000-0000D8000000}"/>
    <cellStyle name="40% - Accent3 2 9" xfId="218" xr:uid="{00000000-0005-0000-0000-0000D9000000}"/>
    <cellStyle name="40% - Accent3 3" xfId="219" xr:uid="{00000000-0005-0000-0000-0000DA000000}"/>
    <cellStyle name="40% - Accent3 3 2" xfId="220" xr:uid="{00000000-0005-0000-0000-0000DB000000}"/>
    <cellStyle name="40% - Accent3 4" xfId="221" xr:uid="{00000000-0005-0000-0000-0000DC000000}"/>
    <cellStyle name="40% - Accent3 4 2" xfId="222" xr:uid="{00000000-0005-0000-0000-0000DD000000}"/>
    <cellStyle name="40% - Accent4" xfId="223" builtinId="43" customBuiltin="1"/>
    <cellStyle name="40% - Accent4 2" xfId="224" xr:uid="{00000000-0005-0000-0000-0000DF000000}"/>
    <cellStyle name="40% - Accent4 2 2" xfId="225" xr:uid="{00000000-0005-0000-0000-0000E0000000}"/>
    <cellStyle name="40% - Accent4 2 2 2" xfId="226" xr:uid="{00000000-0005-0000-0000-0000E1000000}"/>
    <cellStyle name="40% - Accent4 2 2 3" xfId="227" xr:uid="{00000000-0005-0000-0000-0000E2000000}"/>
    <cellStyle name="40% - Accent4 2 3" xfId="228" xr:uid="{00000000-0005-0000-0000-0000E3000000}"/>
    <cellStyle name="40% - Accent4 2 3 2" xfId="229" xr:uid="{00000000-0005-0000-0000-0000E4000000}"/>
    <cellStyle name="40% - Accent4 2 4" xfId="230" xr:uid="{00000000-0005-0000-0000-0000E5000000}"/>
    <cellStyle name="40% - Accent4 2 4 2" xfId="231" xr:uid="{00000000-0005-0000-0000-0000E6000000}"/>
    <cellStyle name="40% - Accent4 2 5" xfId="232" xr:uid="{00000000-0005-0000-0000-0000E7000000}"/>
    <cellStyle name="40% - Accent4 2 5 2" xfId="233" xr:uid="{00000000-0005-0000-0000-0000E8000000}"/>
    <cellStyle name="40% - Accent4 2 6" xfId="234" xr:uid="{00000000-0005-0000-0000-0000E9000000}"/>
    <cellStyle name="40% - Accent4 2 6 2" xfId="235" xr:uid="{00000000-0005-0000-0000-0000EA000000}"/>
    <cellStyle name="40% - Accent4 2 7" xfId="236" xr:uid="{00000000-0005-0000-0000-0000EB000000}"/>
    <cellStyle name="40% - Accent4 2 7 2" xfId="237" xr:uid="{00000000-0005-0000-0000-0000EC000000}"/>
    <cellStyle name="40% - Accent4 2 8" xfId="238" xr:uid="{00000000-0005-0000-0000-0000ED000000}"/>
    <cellStyle name="40% - Accent4 2 9" xfId="239" xr:uid="{00000000-0005-0000-0000-0000EE000000}"/>
    <cellStyle name="40% - Accent4 3" xfId="240" xr:uid="{00000000-0005-0000-0000-0000EF000000}"/>
    <cellStyle name="40% - Accent4 4" xfId="241" xr:uid="{00000000-0005-0000-0000-0000F0000000}"/>
    <cellStyle name="40% - Accent5" xfId="242" builtinId="47" customBuiltin="1"/>
    <cellStyle name="40% - Accent5 2" xfId="243" xr:uid="{00000000-0005-0000-0000-0000F2000000}"/>
    <cellStyle name="40% - Accent5 2 2" xfId="244" xr:uid="{00000000-0005-0000-0000-0000F3000000}"/>
    <cellStyle name="40% - Accent5 2 2 2" xfId="245" xr:uid="{00000000-0005-0000-0000-0000F4000000}"/>
    <cellStyle name="40% - Accent5 2 2 3" xfId="246" xr:uid="{00000000-0005-0000-0000-0000F5000000}"/>
    <cellStyle name="40% - Accent5 2 3" xfId="247" xr:uid="{00000000-0005-0000-0000-0000F6000000}"/>
    <cellStyle name="40% - Accent5 2 3 2" xfId="248" xr:uid="{00000000-0005-0000-0000-0000F7000000}"/>
    <cellStyle name="40% - Accent5 2 4" xfId="249" xr:uid="{00000000-0005-0000-0000-0000F8000000}"/>
    <cellStyle name="40% - Accent5 2 4 2" xfId="250" xr:uid="{00000000-0005-0000-0000-0000F9000000}"/>
    <cellStyle name="40% - Accent5 2 5" xfId="251" xr:uid="{00000000-0005-0000-0000-0000FA000000}"/>
    <cellStyle name="40% - Accent5 2 5 2" xfId="252" xr:uid="{00000000-0005-0000-0000-0000FB000000}"/>
    <cellStyle name="40% - Accent5 2 6" xfId="253" xr:uid="{00000000-0005-0000-0000-0000FC000000}"/>
    <cellStyle name="40% - Accent5 2 6 2" xfId="254" xr:uid="{00000000-0005-0000-0000-0000FD000000}"/>
    <cellStyle name="40% - Accent5 2 7" xfId="255" xr:uid="{00000000-0005-0000-0000-0000FE000000}"/>
    <cellStyle name="40% - Accent5 2 7 2" xfId="256" xr:uid="{00000000-0005-0000-0000-0000FF000000}"/>
    <cellStyle name="40% - Accent5 2 8" xfId="257" xr:uid="{00000000-0005-0000-0000-000000010000}"/>
    <cellStyle name="40% - Accent5 2 9" xfId="258" xr:uid="{00000000-0005-0000-0000-000001010000}"/>
    <cellStyle name="40% - Accent5 3" xfId="259" xr:uid="{00000000-0005-0000-0000-000002010000}"/>
    <cellStyle name="40% - Accent5 4" xfId="260" xr:uid="{00000000-0005-0000-0000-000003010000}"/>
    <cellStyle name="40% - Accent6" xfId="261" builtinId="51" customBuiltin="1"/>
    <cellStyle name="40% - Accent6 2" xfId="262" xr:uid="{00000000-0005-0000-0000-000005010000}"/>
    <cellStyle name="40% - Accent6 2 2" xfId="263" xr:uid="{00000000-0005-0000-0000-000006010000}"/>
    <cellStyle name="40% - Accent6 2 2 2" xfId="264" xr:uid="{00000000-0005-0000-0000-000007010000}"/>
    <cellStyle name="40% - Accent6 2 2 3" xfId="265" xr:uid="{00000000-0005-0000-0000-000008010000}"/>
    <cellStyle name="40% - Accent6 2 3" xfId="266" xr:uid="{00000000-0005-0000-0000-000009010000}"/>
    <cellStyle name="40% - Accent6 2 3 2" xfId="267" xr:uid="{00000000-0005-0000-0000-00000A010000}"/>
    <cellStyle name="40% - Accent6 2 4" xfId="268" xr:uid="{00000000-0005-0000-0000-00000B010000}"/>
    <cellStyle name="40% - Accent6 2 4 2" xfId="269" xr:uid="{00000000-0005-0000-0000-00000C010000}"/>
    <cellStyle name="40% - Accent6 2 5" xfId="270" xr:uid="{00000000-0005-0000-0000-00000D010000}"/>
    <cellStyle name="40% - Accent6 2 5 2" xfId="271" xr:uid="{00000000-0005-0000-0000-00000E010000}"/>
    <cellStyle name="40% - Accent6 2 6" xfId="272" xr:uid="{00000000-0005-0000-0000-00000F010000}"/>
    <cellStyle name="40% - Accent6 2 6 2" xfId="273" xr:uid="{00000000-0005-0000-0000-000010010000}"/>
    <cellStyle name="40% - Accent6 2 7" xfId="274" xr:uid="{00000000-0005-0000-0000-000011010000}"/>
    <cellStyle name="40% - Accent6 2 7 2" xfId="275" xr:uid="{00000000-0005-0000-0000-000012010000}"/>
    <cellStyle name="40% - Accent6 2 8" xfId="276" xr:uid="{00000000-0005-0000-0000-000013010000}"/>
    <cellStyle name="40% - Accent6 2 9" xfId="277" xr:uid="{00000000-0005-0000-0000-000014010000}"/>
    <cellStyle name="40% - Accent6 3" xfId="278" xr:uid="{00000000-0005-0000-0000-000015010000}"/>
    <cellStyle name="40% - Accent6 4" xfId="279" xr:uid="{00000000-0005-0000-0000-000016010000}"/>
    <cellStyle name="5 indents" xfId="280" xr:uid="{00000000-0005-0000-0000-000017010000}"/>
    <cellStyle name="5 indents 2" xfId="281" xr:uid="{00000000-0005-0000-0000-000018010000}"/>
    <cellStyle name="60% - Accent1" xfId="282" builtinId="32" customBuiltin="1"/>
    <cellStyle name="60% - Accent1 2" xfId="283" xr:uid="{00000000-0005-0000-0000-00001A010000}"/>
    <cellStyle name="60% - Accent1 2 2" xfId="284" xr:uid="{00000000-0005-0000-0000-00001B010000}"/>
    <cellStyle name="60% - Accent1 2 3" xfId="285" xr:uid="{00000000-0005-0000-0000-00001C010000}"/>
    <cellStyle name="60% - Accent1 2 4" xfId="286" xr:uid="{00000000-0005-0000-0000-00001D010000}"/>
    <cellStyle name="60% - Accent1 2 5" xfId="287" xr:uid="{00000000-0005-0000-0000-00001E010000}"/>
    <cellStyle name="60% - Accent1 2 6" xfId="288" xr:uid="{00000000-0005-0000-0000-00001F010000}"/>
    <cellStyle name="60% - Accent1 2 7" xfId="289" xr:uid="{00000000-0005-0000-0000-000020010000}"/>
    <cellStyle name="60% - Accent1 2 8" xfId="290" xr:uid="{00000000-0005-0000-0000-000021010000}"/>
    <cellStyle name="60% - Accent1 3" xfId="291" xr:uid="{00000000-0005-0000-0000-000022010000}"/>
    <cellStyle name="60% - Accent1 4" xfId="292" xr:uid="{00000000-0005-0000-0000-000023010000}"/>
    <cellStyle name="60% - Accent2" xfId="293" builtinId="36" customBuiltin="1"/>
    <cellStyle name="60% - Accent2 2" xfId="294" xr:uid="{00000000-0005-0000-0000-000025010000}"/>
    <cellStyle name="60% - Accent2 2 2" xfId="295" xr:uid="{00000000-0005-0000-0000-000026010000}"/>
    <cellStyle name="60% - Accent2 2 3" xfId="296" xr:uid="{00000000-0005-0000-0000-000027010000}"/>
    <cellStyle name="60% - Accent2 2 4" xfId="297" xr:uid="{00000000-0005-0000-0000-000028010000}"/>
    <cellStyle name="60% - Accent2 2 5" xfId="298" xr:uid="{00000000-0005-0000-0000-000029010000}"/>
    <cellStyle name="60% - Accent2 2 6" xfId="299" xr:uid="{00000000-0005-0000-0000-00002A010000}"/>
    <cellStyle name="60% - Accent2 2 7" xfId="300" xr:uid="{00000000-0005-0000-0000-00002B010000}"/>
    <cellStyle name="60% - Accent2 2 8" xfId="301" xr:uid="{00000000-0005-0000-0000-00002C010000}"/>
    <cellStyle name="60% - Accent2 3" xfId="302" xr:uid="{00000000-0005-0000-0000-00002D010000}"/>
    <cellStyle name="60% - Accent3" xfId="303" builtinId="40" customBuiltin="1"/>
    <cellStyle name="60% - Accent3 2" xfId="304" xr:uid="{00000000-0005-0000-0000-00002F010000}"/>
    <cellStyle name="60% - Accent3 2 2" xfId="305" xr:uid="{00000000-0005-0000-0000-000030010000}"/>
    <cellStyle name="60% - Accent3 2 2 2" xfId="306" xr:uid="{00000000-0005-0000-0000-000031010000}"/>
    <cellStyle name="60% - Accent3 2 3" xfId="307" xr:uid="{00000000-0005-0000-0000-000032010000}"/>
    <cellStyle name="60% - Accent3 2 4" xfId="308" xr:uid="{00000000-0005-0000-0000-000033010000}"/>
    <cellStyle name="60% - Accent3 2 5" xfId="309" xr:uid="{00000000-0005-0000-0000-000034010000}"/>
    <cellStyle name="60% - Accent3 2 6" xfId="310" xr:uid="{00000000-0005-0000-0000-000035010000}"/>
    <cellStyle name="60% - Accent3 2 7" xfId="311" xr:uid="{00000000-0005-0000-0000-000036010000}"/>
    <cellStyle name="60% - Accent3 2 8" xfId="312" xr:uid="{00000000-0005-0000-0000-000037010000}"/>
    <cellStyle name="60% - Accent3 3" xfId="313" xr:uid="{00000000-0005-0000-0000-000038010000}"/>
    <cellStyle name="60% - Accent3 3 2" xfId="314" xr:uid="{00000000-0005-0000-0000-000039010000}"/>
    <cellStyle name="60% - Accent3 4" xfId="315" xr:uid="{00000000-0005-0000-0000-00003A010000}"/>
    <cellStyle name="60% - Accent3 4 2" xfId="316" xr:uid="{00000000-0005-0000-0000-00003B010000}"/>
    <cellStyle name="60% - Accent4" xfId="317" builtinId="44" customBuiltin="1"/>
    <cellStyle name="60% - Accent4 2" xfId="318" xr:uid="{00000000-0005-0000-0000-00003D010000}"/>
    <cellStyle name="60% - Accent4 2 2" xfId="319" xr:uid="{00000000-0005-0000-0000-00003E010000}"/>
    <cellStyle name="60% - Accent4 2 2 2" xfId="320" xr:uid="{00000000-0005-0000-0000-00003F010000}"/>
    <cellStyle name="60% - Accent4 2 3" xfId="321" xr:uid="{00000000-0005-0000-0000-000040010000}"/>
    <cellStyle name="60% - Accent4 2 4" xfId="322" xr:uid="{00000000-0005-0000-0000-000041010000}"/>
    <cellStyle name="60% - Accent4 2 5" xfId="323" xr:uid="{00000000-0005-0000-0000-000042010000}"/>
    <cellStyle name="60% - Accent4 2 6" xfId="324" xr:uid="{00000000-0005-0000-0000-000043010000}"/>
    <cellStyle name="60% - Accent4 2 7" xfId="325" xr:uid="{00000000-0005-0000-0000-000044010000}"/>
    <cellStyle name="60% - Accent4 2 8" xfId="326" xr:uid="{00000000-0005-0000-0000-000045010000}"/>
    <cellStyle name="60% - Accent4 3" xfId="327" xr:uid="{00000000-0005-0000-0000-000046010000}"/>
    <cellStyle name="60% - Accent4 3 2" xfId="328" xr:uid="{00000000-0005-0000-0000-000047010000}"/>
    <cellStyle name="60% - Accent4 4" xfId="329" xr:uid="{00000000-0005-0000-0000-000048010000}"/>
    <cellStyle name="60% - Accent4 4 2" xfId="330" xr:uid="{00000000-0005-0000-0000-000049010000}"/>
    <cellStyle name="60% - Accent5" xfId="331" builtinId="48" customBuiltin="1"/>
    <cellStyle name="60% - Accent5 2" xfId="332" xr:uid="{00000000-0005-0000-0000-00004B010000}"/>
    <cellStyle name="60% - Accent5 2 2" xfId="333" xr:uid="{00000000-0005-0000-0000-00004C010000}"/>
    <cellStyle name="60% - Accent5 2 3" xfId="334" xr:uid="{00000000-0005-0000-0000-00004D010000}"/>
    <cellStyle name="60% - Accent5 2 4" xfId="335" xr:uid="{00000000-0005-0000-0000-00004E010000}"/>
    <cellStyle name="60% - Accent5 2 5" xfId="336" xr:uid="{00000000-0005-0000-0000-00004F010000}"/>
    <cellStyle name="60% - Accent5 2 6" xfId="337" xr:uid="{00000000-0005-0000-0000-000050010000}"/>
    <cellStyle name="60% - Accent5 2 7" xfId="338" xr:uid="{00000000-0005-0000-0000-000051010000}"/>
    <cellStyle name="60% - Accent5 2 8" xfId="339" xr:uid="{00000000-0005-0000-0000-000052010000}"/>
    <cellStyle name="60% - Accent5 3" xfId="340" xr:uid="{00000000-0005-0000-0000-000053010000}"/>
    <cellStyle name="60% - Accent5 4" xfId="341" xr:uid="{00000000-0005-0000-0000-000054010000}"/>
    <cellStyle name="60% - Accent6" xfId="342" builtinId="52" customBuiltin="1"/>
    <cellStyle name="60% - Accent6 2" xfId="343" xr:uid="{00000000-0005-0000-0000-000056010000}"/>
    <cellStyle name="60% - Accent6 2 2" xfId="344" xr:uid="{00000000-0005-0000-0000-000057010000}"/>
    <cellStyle name="60% - Accent6 2 2 2" xfId="345" xr:uid="{00000000-0005-0000-0000-000058010000}"/>
    <cellStyle name="60% - Accent6 2 3" xfId="346" xr:uid="{00000000-0005-0000-0000-000059010000}"/>
    <cellStyle name="60% - Accent6 2 4" xfId="347" xr:uid="{00000000-0005-0000-0000-00005A010000}"/>
    <cellStyle name="60% - Accent6 2 5" xfId="348" xr:uid="{00000000-0005-0000-0000-00005B010000}"/>
    <cellStyle name="60% - Accent6 2 6" xfId="349" xr:uid="{00000000-0005-0000-0000-00005C010000}"/>
    <cellStyle name="60% - Accent6 2 7" xfId="350" xr:uid="{00000000-0005-0000-0000-00005D010000}"/>
    <cellStyle name="60% - Accent6 2 8" xfId="351" xr:uid="{00000000-0005-0000-0000-00005E010000}"/>
    <cellStyle name="60% - Accent6 3" xfId="352" xr:uid="{00000000-0005-0000-0000-00005F010000}"/>
    <cellStyle name="60% - Accent6 3 2" xfId="353" xr:uid="{00000000-0005-0000-0000-000060010000}"/>
    <cellStyle name="60% - Accent6 4" xfId="354" xr:uid="{00000000-0005-0000-0000-000061010000}"/>
    <cellStyle name="60% - Accent6 4 2" xfId="355" xr:uid="{00000000-0005-0000-0000-000062010000}"/>
    <cellStyle name="Accent1" xfId="356" builtinId="29" customBuiltin="1"/>
    <cellStyle name="Accent1 - 20%" xfId="357" xr:uid="{00000000-0005-0000-0000-000064010000}"/>
    <cellStyle name="Accent1 - 40%" xfId="358" xr:uid="{00000000-0005-0000-0000-000065010000}"/>
    <cellStyle name="Accent1 - 60%" xfId="359" xr:uid="{00000000-0005-0000-0000-000066010000}"/>
    <cellStyle name="Accent1 2" xfId="360" xr:uid="{00000000-0005-0000-0000-000067010000}"/>
    <cellStyle name="Accent1 2 2" xfId="361" xr:uid="{00000000-0005-0000-0000-000068010000}"/>
    <cellStyle name="Accent1 2 3" xfId="362" xr:uid="{00000000-0005-0000-0000-000069010000}"/>
    <cellStyle name="Accent1 2 4" xfId="363" xr:uid="{00000000-0005-0000-0000-00006A010000}"/>
    <cellStyle name="Accent1 2 5" xfId="364" xr:uid="{00000000-0005-0000-0000-00006B010000}"/>
    <cellStyle name="Accent1 2 6" xfId="365" xr:uid="{00000000-0005-0000-0000-00006C010000}"/>
    <cellStyle name="Accent1 2 7" xfId="366" xr:uid="{00000000-0005-0000-0000-00006D010000}"/>
    <cellStyle name="Accent1 2 8" xfId="367" xr:uid="{00000000-0005-0000-0000-00006E010000}"/>
    <cellStyle name="Accent1 3" xfId="368" xr:uid="{00000000-0005-0000-0000-00006F010000}"/>
    <cellStyle name="Accent1 4" xfId="369" xr:uid="{00000000-0005-0000-0000-000070010000}"/>
    <cellStyle name="Accent1 5" xfId="370" xr:uid="{00000000-0005-0000-0000-000071010000}"/>
    <cellStyle name="Accent1 6" xfId="371" xr:uid="{00000000-0005-0000-0000-000072010000}"/>
    <cellStyle name="Accent1 7" xfId="372" xr:uid="{00000000-0005-0000-0000-000073010000}"/>
    <cellStyle name="Accent1 8" xfId="373" xr:uid="{00000000-0005-0000-0000-000074010000}"/>
    <cellStyle name="Accent2" xfId="374" builtinId="33" customBuiltin="1"/>
    <cellStyle name="Accent2 - 20%" xfId="375" xr:uid="{00000000-0005-0000-0000-000076010000}"/>
    <cellStyle name="Accent2 - 40%" xfId="376" xr:uid="{00000000-0005-0000-0000-000077010000}"/>
    <cellStyle name="Accent2 - 60%" xfId="377" xr:uid="{00000000-0005-0000-0000-000078010000}"/>
    <cellStyle name="Accent2 2" xfId="378" xr:uid="{00000000-0005-0000-0000-000079010000}"/>
    <cellStyle name="Accent2 2 2" xfId="379" xr:uid="{00000000-0005-0000-0000-00007A010000}"/>
    <cellStyle name="Accent2 2 3" xfId="380" xr:uid="{00000000-0005-0000-0000-00007B010000}"/>
    <cellStyle name="Accent2 2 4" xfId="381" xr:uid="{00000000-0005-0000-0000-00007C010000}"/>
    <cellStyle name="Accent2 2 5" xfId="382" xr:uid="{00000000-0005-0000-0000-00007D010000}"/>
    <cellStyle name="Accent2 2 6" xfId="383" xr:uid="{00000000-0005-0000-0000-00007E010000}"/>
    <cellStyle name="Accent2 2 7" xfId="384" xr:uid="{00000000-0005-0000-0000-00007F010000}"/>
    <cellStyle name="Accent2 2 8" xfId="385" xr:uid="{00000000-0005-0000-0000-000080010000}"/>
    <cellStyle name="Accent2 3" xfId="386" xr:uid="{00000000-0005-0000-0000-000081010000}"/>
    <cellStyle name="Accent3" xfId="387" builtinId="37" customBuiltin="1"/>
    <cellStyle name="Accent3 - 20%" xfId="388" xr:uid="{00000000-0005-0000-0000-000083010000}"/>
    <cellStyle name="Accent3 - 40%" xfId="389" xr:uid="{00000000-0005-0000-0000-000084010000}"/>
    <cellStyle name="Accent3 - 60%" xfId="390" xr:uid="{00000000-0005-0000-0000-000085010000}"/>
    <cellStyle name="Accent3 2" xfId="391" xr:uid="{00000000-0005-0000-0000-000086010000}"/>
    <cellStyle name="Accent3 2 2" xfId="392" xr:uid="{00000000-0005-0000-0000-000087010000}"/>
    <cellStyle name="Accent3 2 3" xfId="393" xr:uid="{00000000-0005-0000-0000-000088010000}"/>
    <cellStyle name="Accent3 2 4" xfId="394" xr:uid="{00000000-0005-0000-0000-000089010000}"/>
    <cellStyle name="Accent3 2 5" xfId="395" xr:uid="{00000000-0005-0000-0000-00008A010000}"/>
    <cellStyle name="Accent3 2 6" xfId="396" xr:uid="{00000000-0005-0000-0000-00008B010000}"/>
    <cellStyle name="Accent3 2 7" xfId="397" xr:uid="{00000000-0005-0000-0000-00008C010000}"/>
    <cellStyle name="Accent3 2 8" xfId="398" xr:uid="{00000000-0005-0000-0000-00008D010000}"/>
    <cellStyle name="Accent3 3" xfId="399" xr:uid="{00000000-0005-0000-0000-00008E010000}"/>
    <cellStyle name="Accent4" xfId="400" builtinId="41" customBuiltin="1"/>
    <cellStyle name="Accent4 - 20%" xfId="401" xr:uid="{00000000-0005-0000-0000-000090010000}"/>
    <cellStyle name="Accent4 - 40%" xfId="402" xr:uid="{00000000-0005-0000-0000-000091010000}"/>
    <cellStyle name="Accent4 - 60%" xfId="403" xr:uid="{00000000-0005-0000-0000-000092010000}"/>
    <cellStyle name="Accent4 2" xfId="404" xr:uid="{00000000-0005-0000-0000-000093010000}"/>
    <cellStyle name="Accent4 2 2" xfId="405" xr:uid="{00000000-0005-0000-0000-000094010000}"/>
    <cellStyle name="Accent4 2 3" xfId="406" xr:uid="{00000000-0005-0000-0000-000095010000}"/>
    <cellStyle name="Accent4 2 4" xfId="407" xr:uid="{00000000-0005-0000-0000-000096010000}"/>
    <cellStyle name="Accent4 2 5" xfId="408" xr:uid="{00000000-0005-0000-0000-000097010000}"/>
    <cellStyle name="Accent4 2 6" xfId="409" xr:uid="{00000000-0005-0000-0000-000098010000}"/>
    <cellStyle name="Accent4 2 7" xfId="410" xr:uid="{00000000-0005-0000-0000-000099010000}"/>
    <cellStyle name="Accent4 2 8" xfId="411" xr:uid="{00000000-0005-0000-0000-00009A010000}"/>
    <cellStyle name="Accent4 3" xfId="412" xr:uid="{00000000-0005-0000-0000-00009B010000}"/>
    <cellStyle name="Accent4 4" xfId="413" xr:uid="{00000000-0005-0000-0000-00009C010000}"/>
    <cellStyle name="Accent4 5" xfId="414" xr:uid="{00000000-0005-0000-0000-00009D010000}"/>
    <cellStyle name="Accent4 6" xfId="415" xr:uid="{00000000-0005-0000-0000-00009E010000}"/>
    <cellStyle name="Accent4 7" xfId="416" xr:uid="{00000000-0005-0000-0000-00009F010000}"/>
    <cellStyle name="Accent4 8" xfId="417" xr:uid="{00000000-0005-0000-0000-0000A0010000}"/>
    <cellStyle name="Accent5" xfId="418" builtinId="45" customBuiltin="1"/>
    <cellStyle name="Accent5 - 20%" xfId="419" xr:uid="{00000000-0005-0000-0000-0000A2010000}"/>
    <cellStyle name="Accent5 - 40%" xfId="420" xr:uid="{00000000-0005-0000-0000-0000A3010000}"/>
    <cellStyle name="Accent5 - 60%" xfId="421" xr:uid="{00000000-0005-0000-0000-0000A4010000}"/>
    <cellStyle name="Accent5 2" xfId="422" xr:uid="{00000000-0005-0000-0000-0000A5010000}"/>
    <cellStyle name="Accent5 2 2" xfId="423" xr:uid="{00000000-0005-0000-0000-0000A6010000}"/>
    <cellStyle name="Accent5 2 3" xfId="424" xr:uid="{00000000-0005-0000-0000-0000A7010000}"/>
    <cellStyle name="Accent5 2 4" xfId="425" xr:uid="{00000000-0005-0000-0000-0000A8010000}"/>
    <cellStyle name="Accent5 2 5" xfId="426" xr:uid="{00000000-0005-0000-0000-0000A9010000}"/>
    <cellStyle name="Accent5 2 6" xfId="427" xr:uid="{00000000-0005-0000-0000-0000AA010000}"/>
    <cellStyle name="Accent5 2 7" xfId="428" xr:uid="{00000000-0005-0000-0000-0000AB010000}"/>
    <cellStyle name="Accent5 2 8" xfId="429" xr:uid="{00000000-0005-0000-0000-0000AC010000}"/>
    <cellStyle name="Accent5 3" xfId="430" xr:uid="{00000000-0005-0000-0000-0000AD010000}"/>
    <cellStyle name="Accent6" xfId="431" builtinId="49" customBuiltin="1"/>
    <cellStyle name="Accent6 - 20%" xfId="432" xr:uid="{00000000-0005-0000-0000-0000AF010000}"/>
    <cellStyle name="Accent6 - 40%" xfId="433" xr:uid="{00000000-0005-0000-0000-0000B0010000}"/>
    <cellStyle name="Accent6 - 60%" xfId="434" xr:uid="{00000000-0005-0000-0000-0000B1010000}"/>
    <cellStyle name="Accent6 2" xfId="435" xr:uid="{00000000-0005-0000-0000-0000B2010000}"/>
    <cellStyle name="Accent6 2 2" xfId="436" xr:uid="{00000000-0005-0000-0000-0000B3010000}"/>
    <cellStyle name="Accent6 2 3" xfId="437" xr:uid="{00000000-0005-0000-0000-0000B4010000}"/>
    <cellStyle name="Accent6 2 4" xfId="438" xr:uid="{00000000-0005-0000-0000-0000B5010000}"/>
    <cellStyle name="Accent6 2 5" xfId="439" xr:uid="{00000000-0005-0000-0000-0000B6010000}"/>
    <cellStyle name="Accent6 2 6" xfId="440" xr:uid="{00000000-0005-0000-0000-0000B7010000}"/>
    <cellStyle name="Accent6 2 7" xfId="441" xr:uid="{00000000-0005-0000-0000-0000B8010000}"/>
    <cellStyle name="Accent6 2 8" xfId="442" xr:uid="{00000000-0005-0000-0000-0000B9010000}"/>
    <cellStyle name="Accent6 3" xfId="443" xr:uid="{00000000-0005-0000-0000-0000BA010000}"/>
    <cellStyle name="Bad" xfId="444" xr:uid="{00000000-0005-0000-0000-0000BB010000}"/>
    <cellStyle name="Bad 2" xfId="445" xr:uid="{00000000-0005-0000-0000-0000BC010000}"/>
    <cellStyle name="Bad 2 2" xfId="446" xr:uid="{00000000-0005-0000-0000-0000BD010000}"/>
    <cellStyle name="Bad 2 3" xfId="447" xr:uid="{00000000-0005-0000-0000-0000BE010000}"/>
    <cellStyle name="Bad 2 4" xfId="448" xr:uid="{00000000-0005-0000-0000-0000BF010000}"/>
    <cellStyle name="Bad 2 5" xfId="449" xr:uid="{00000000-0005-0000-0000-0000C0010000}"/>
    <cellStyle name="Bad 2 6" xfId="450" xr:uid="{00000000-0005-0000-0000-0000C1010000}"/>
    <cellStyle name="Bad 2 7" xfId="451" xr:uid="{00000000-0005-0000-0000-0000C2010000}"/>
    <cellStyle name="Bad 2 8" xfId="452" xr:uid="{00000000-0005-0000-0000-0000C3010000}"/>
    <cellStyle name="Bad 3" xfId="453" xr:uid="{00000000-0005-0000-0000-0000C4010000}"/>
    <cellStyle name="Berekening" xfId="3059" builtinId="22" hidden="1"/>
    <cellStyle name="Cabe‡alho 1" xfId="454" xr:uid="{00000000-0005-0000-0000-0000C6010000}"/>
    <cellStyle name="Cabe‡alho 2" xfId="455" xr:uid="{00000000-0005-0000-0000-0000C7010000}"/>
    <cellStyle name="Cabecera 1" xfId="456" xr:uid="{00000000-0005-0000-0000-0000C8010000}"/>
    <cellStyle name="Cabecera 2" xfId="457" xr:uid="{00000000-0005-0000-0000-0000C9010000}"/>
    <cellStyle name="Calc Currency (0)" xfId="458" xr:uid="{00000000-0005-0000-0000-0000CA010000}"/>
    <cellStyle name="Calc Currency (2)" xfId="459" xr:uid="{00000000-0005-0000-0000-0000CB010000}"/>
    <cellStyle name="Calc Currency (2) 2" xfId="460" xr:uid="{00000000-0005-0000-0000-0000CC010000}"/>
    <cellStyle name="Calc Percent (0)" xfId="461" xr:uid="{00000000-0005-0000-0000-0000CD010000}"/>
    <cellStyle name="Calc Percent (1)" xfId="462" xr:uid="{00000000-0005-0000-0000-0000CE010000}"/>
    <cellStyle name="Calc Percent (2)" xfId="463" xr:uid="{00000000-0005-0000-0000-0000CF010000}"/>
    <cellStyle name="Calc Units (0)" xfId="464" xr:uid="{00000000-0005-0000-0000-0000D0010000}"/>
    <cellStyle name="Calc Units (1)" xfId="465" xr:uid="{00000000-0005-0000-0000-0000D1010000}"/>
    <cellStyle name="Calc Units (2)" xfId="466" xr:uid="{00000000-0005-0000-0000-0000D2010000}"/>
    <cellStyle name="Calc Units (2) 2" xfId="467" xr:uid="{00000000-0005-0000-0000-0000D3010000}"/>
    <cellStyle name="Calculation" xfId="468" xr:uid="{00000000-0005-0000-0000-0000D4010000}"/>
    <cellStyle name="Calculation 2" xfId="469" xr:uid="{00000000-0005-0000-0000-0000D5010000}"/>
    <cellStyle name="Calculation 2 2" xfId="470" xr:uid="{00000000-0005-0000-0000-0000D6010000}"/>
    <cellStyle name="Calculation 2 3" xfId="471" xr:uid="{00000000-0005-0000-0000-0000D7010000}"/>
    <cellStyle name="Calculation 2 4" xfId="472" xr:uid="{00000000-0005-0000-0000-0000D8010000}"/>
    <cellStyle name="Calculation 2 5" xfId="473" xr:uid="{00000000-0005-0000-0000-0000D9010000}"/>
    <cellStyle name="Calculation 2 6" xfId="474" xr:uid="{00000000-0005-0000-0000-0000DA010000}"/>
    <cellStyle name="Calculation 2 7" xfId="475" xr:uid="{00000000-0005-0000-0000-0000DB010000}"/>
    <cellStyle name="Calculation 2 8" xfId="476" xr:uid="{00000000-0005-0000-0000-0000DC010000}"/>
    <cellStyle name="Calculation 3" xfId="477" xr:uid="{00000000-0005-0000-0000-0000DD010000}"/>
    <cellStyle name="Calculation 4" xfId="478" xr:uid="{00000000-0005-0000-0000-0000DE010000}"/>
    <cellStyle name="Check Cell" xfId="479" xr:uid="{00000000-0005-0000-0000-0000DF010000}"/>
    <cellStyle name="Check Cell 2" xfId="480" xr:uid="{00000000-0005-0000-0000-0000E0010000}"/>
    <cellStyle name="Check Cell 2 2" xfId="481" xr:uid="{00000000-0005-0000-0000-0000E1010000}"/>
    <cellStyle name="Check Cell 2 3" xfId="482" xr:uid="{00000000-0005-0000-0000-0000E2010000}"/>
    <cellStyle name="Check Cell 2 4" xfId="483" xr:uid="{00000000-0005-0000-0000-0000E3010000}"/>
    <cellStyle name="Check Cell 2 5" xfId="484" xr:uid="{00000000-0005-0000-0000-0000E4010000}"/>
    <cellStyle name="Check Cell 2 6" xfId="485" xr:uid="{00000000-0005-0000-0000-0000E5010000}"/>
    <cellStyle name="Check Cell 2 7" xfId="486" xr:uid="{00000000-0005-0000-0000-0000E6010000}"/>
    <cellStyle name="Check Cell 2 8" xfId="487" xr:uid="{00000000-0005-0000-0000-0000E7010000}"/>
    <cellStyle name="Check Cell 3" xfId="488" xr:uid="{00000000-0005-0000-0000-0000E8010000}"/>
    <cellStyle name="Clive" xfId="489" xr:uid="{00000000-0005-0000-0000-0000E9010000}"/>
    <cellStyle name="clsAltData" xfId="490" xr:uid="{00000000-0005-0000-0000-0000EA010000}"/>
    <cellStyle name="clsAltMRVData" xfId="491" xr:uid="{00000000-0005-0000-0000-0000EB010000}"/>
    <cellStyle name="clsBlank" xfId="492" xr:uid="{00000000-0005-0000-0000-0000EC010000}"/>
    <cellStyle name="clsColumnHeader" xfId="493" xr:uid="{00000000-0005-0000-0000-0000ED010000}"/>
    <cellStyle name="clsData" xfId="494" xr:uid="{00000000-0005-0000-0000-0000EE010000}"/>
    <cellStyle name="clsDefault" xfId="495" xr:uid="{00000000-0005-0000-0000-0000EF010000}"/>
    <cellStyle name="clsFooter" xfId="496" xr:uid="{00000000-0005-0000-0000-0000F0010000}"/>
    <cellStyle name="clsIndexTableData" xfId="497" xr:uid="{00000000-0005-0000-0000-0000F1010000}"/>
    <cellStyle name="clsIndexTableHdr" xfId="498" xr:uid="{00000000-0005-0000-0000-0000F2010000}"/>
    <cellStyle name="clsIndexTableTitle" xfId="499" xr:uid="{00000000-0005-0000-0000-0000F3010000}"/>
    <cellStyle name="clsMRVData" xfId="500" xr:uid="{00000000-0005-0000-0000-0000F4010000}"/>
    <cellStyle name="clsReportFooter" xfId="501" xr:uid="{00000000-0005-0000-0000-0000F5010000}"/>
    <cellStyle name="clsReportHeader" xfId="502" xr:uid="{00000000-0005-0000-0000-0000F6010000}"/>
    <cellStyle name="clsRowHeader" xfId="503" xr:uid="{00000000-0005-0000-0000-0000F7010000}"/>
    <cellStyle name="clsScale" xfId="504" xr:uid="{00000000-0005-0000-0000-0000F8010000}"/>
    <cellStyle name="clsSection" xfId="505" xr:uid="{00000000-0005-0000-0000-0000F9010000}"/>
    <cellStyle name="Comma  - Style1" xfId="506" xr:uid="{00000000-0005-0000-0000-0000FA010000}"/>
    <cellStyle name="Comma  - Style2" xfId="507" xr:uid="{00000000-0005-0000-0000-0000FB010000}"/>
    <cellStyle name="Comma  - Style3" xfId="508" xr:uid="{00000000-0005-0000-0000-0000FC010000}"/>
    <cellStyle name="Comma  - Style4" xfId="509" xr:uid="{00000000-0005-0000-0000-0000FD010000}"/>
    <cellStyle name="Comma  - Style5" xfId="510" xr:uid="{00000000-0005-0000-0000-0000FE010000}"/>
    <cellStyle name="Comma  - Style6" xfId="511" xr:uid="{00000000-0005-0000-0000-0000FF010000}"/>
    <cellStyle name="Comma  - Style7" xfId="512" xr:uid="{00000000-0005-0000-0000-000000020000}"/>
    <cellStyle name="Comma  - Style8" xfId="513" xr:uid="{00000000-0005-0000-0000-000001020000}"/>
    <cellStyle name="Comma [00]" xfId="514" xr:uid="{00000000-0005-0000-0000-000002020000}"/>
    <cellStyle name="Comma 10" xfId="515" xr:uid="{00000000-0005-0000-0000-000003020000}"/>
    <cellStyle name="Comma 10 10" xfId="516" xr:uid="{00000000-0005-0000-0000-000004020000}"/>
    <cellStyle name="Comma 10 17" xfId="517" xr:uid="{00000000-0005-0000-0000-000005020000}"/>
    <cellStyle name="Comma 10 2" xfId="518" xr:uid="{00000000-0005-0000-0000-000006020000}"/>
    <cellStyle name="Comma 10 2 2" xfId="519" xr:uid="{00000000-0005-0000-0000-000007020000}"/>
    <cellStyle name="Comma 10 3" xfId="520" xr:uid="{00000000-0005-0000-0000-000008020000}"/>
    <cellStyle name="Comma 10 4" xfId="521" xr:uid="{00000000-0005-0000-0000-000009020000}"/>
    <cellStyle name="Comma 11" xfId="522" xr:uid="{00000000-0005-0000-0000-00000A020000}"/>
    <cellStyle name="Comma 11 2" xfId="523" xr:uid="{00000000-0005-0000-0000-00000B020000}"/>
    <cellStyle name="Comma 11 2 2" xfId="524" xr:uid="{00000000-0005-0000-0000-00000C020000}"/>
    <cellStyle name="Comma 11 2 3" xfId="525" xr:uid="{00000000-0005-0000-0000-00000D020000}"/>
    <cellStyle name="Comma 11 3" xfId="526" xr:uid="{00000000-0005-0000-0000-00000E020000}"/>
    <cellStyle name="Comma 11 3 2" xfId="527" xr:uid="{00000000-0005-0000-0000-00000F020000}"/>
    <cellStyle name="Comma 11 4" xfId="528" xr:uid="{00000000-0005-0000-0000-000010020000}"/>
    <cellStyle name="Comma 11 4 2" xfId="529" xr:uid="{00000000-0005-0000-0000-000011020000}"/>
    <cellStyle name="Comma 11 5" xfId="530" xr:uid="{00000000-0005-0000-0000-000012020000}"/>
    <cellStyle name="Comma 11 6" xfId="531" xr:uid="{00000000-0005-0000-0000-000013020000}"/>
    <cellStyle name="Comma 11 7" xfId="532" xr:uid="{00000000-0005-0000-0000-000014020000}"/>
    <cellStyle name="Comma 12" xfId="533" xr:uid="{00000000-0005-0000-0000-000015020000}"/>
    <cellStyle name="Comma 12 2" xfId="534" xr:uid="{00000000-0005-0000-0000-000016020000}"/>
    <cellStyle name="Comma 12 2 2" xfId="535" xr:uid="{00000000-0005-0000-0000-000017020000}"/>
    <cellStyle name="Comma 12 3" xfId="536" xr:uid="{00000000-0005-0000-0000-000018020000}"/>
    <cellStyle name="Comma 12 4" xfId="537" xr:uid="{00000000-0005-0000-0000-000019020000}"/>
    <cellStyle name="Comma 13" xfId="538" xr:uid="{00000000-0005-0000-0000-00001A020000}"/>
    <cellStyle name="Comma 13 2" xfId="539" xr:uid="{00000000-0005-0000-0000-00001B020000}"/>
    <cellStyle name="Comma 13 3" xfId="540" xr:uid="{00000000-0005-0000-0000-00001C020000}"/>
    <cellStyle name="Comma 13 4" xfId="541" xr:uid="{00000000-0005-0000-0000-00001D020000}"/>
    <cellStyle name="Comma 13 5" xfId="542" xr:uid="{00000000-0005-0000-0000-00001E020000}"/>
    <cellStyle name="Comma 13 6" xfId="543" xr:uid="{00000000-0005-0000-0000-00001F020000}"/>
    <cellStyle name="Comma 137" xfId="544" xr:uid="{00000000-0005-0000-0000-000020020000}"/>
    <cellStyle name="Comma 14" xfId="545" xr:uid="{00000000-0005-0000-0000-000021020000}"/>
    <cellStyle name="Comma 14 2" xfId="546" xr:uid="{00000000-0005-0000-0000-000022020000}"/>
    <cellStyle name="Comma 14 2 2" xfId="547" xr:uid="{00000000-0005-0000-0000-000023020000}"/>
    <cellStyle name="Comma 14 3" xfId="548" xr:uid="{00000000-0005-0000-0000-000024020000}"/>
    <cellStyle name="Comma 14 3 2" xfId="549" xr:uid="{00000000-0005-0000-0000-000025020000}"/>
    <cellStyle name="Comma 14 4" xfId="550" xr:uid="{00000000-0005-0000-0000-000026020000}"/>
    <cellStyle name="Comma 14 5" xfId="551" xr:uid="{00000000-0005-0000-0000-000027020000}"/>
    <cellStyle name="Comma 15" xfId="552" xr:uid="{00000000-0005-0000-0000-000028020000}"/>
    <cellStyle name="Comma 15 2" xfId="553" xr:uid="{00000000-0005-0000-0000-000029020000}"/>
    <cellStyle name="Comma 15 3" xfId="554" xr:uid="{00000000-0005-0000-0000-00002A020000}"/>
    <cellStyle name="Comma 16" xfId="555" xr:uid="{00000000-0005-0000-0000-00002B020000}"/>
    <cellStyle name="Comma 16 2" xfId="556" xr:uid="{00000000-0005-0000-0000-00002C020000}"/>
    <cellStyle name="Comma 16 3" xfId="557" xr:uid="{00000000-0005-0000-0000-00002D020000}"/>
    <cellStyle name="Comma 17" xfId="558" xr:uid="{00000000-0005-0000-0000-00002E020000}"/>
    <cellStyle name="Comma 17 2" xfId="559" xr:uid="{00000000-0005-0000-0000-00002F020000}"/>
    <cellStyle name="Comma 17 3" xfId="560" xr:uid="{00000000-0005-0000-0000-000030020000}"/>
    <cellStyle name="Comma 17 4" xfId="561" xr:uid="{00000000-0005-0000-0000-000031020000}"/>
    <cellStyle name="Comma 18" xfId="562" xr:uid="{00000000-0005-0000-0000-000032020000}"/>
    <cellStyle name="Comma 18 2" xfId="563" xr:uid="{00000000-0005-0000-0000-000033020000}"/>
    <cellStyle name="Comma 18 3" xfId="564" xr:uid="{00000000-0005-0000-0000-000034020000}"/>
    <cellStyle name="Comma 18 7" xfId="565" xr:uid="{00000000-0005-0000-0000-000035020000}"/>
    <cellStyle name="Comma 19" xfId="566" xr:uid="{00000000-0005-0000-0000-000036020000}"/>
    <cellStyle name="Comma 19 2" xfId="567" xr:uid="{00000000-0005-0000-0000-000037020000}"/>
    <cellStyle name="Comma 19 3" xfId="568" xr:uid="{00000000-0005-0000-0000-000038020000}"/>
    <cellStyle name="Comma 19 4" xfId="569" xr:uid="{00000000-0005-0000-0000-000039020000}"/>
    <cellStyle name="Comma 2" xfId="570" xr:uid="{00000000-0005-0000-0000-00003A020000}"/>
    <cellStyle name="Comma 2 10" xfId="571" xr:uid="{00000000-0005-0000-0000-00003B020000}"/>
    <cellStyle name="Comma 2 10 2" xfId="572" xr:uid="{00000000-0005-0000-0000-00003C020000}"/>
    <cellStyle name="Comma 2 10 3" xfId="573" xr:uid="{00000000-0005-0000-0000-00003D020000}"/>
    <cellStyle name="Comma 2 10 4" xfId="574" xr:uid="{00000000-0005-0000-0000-00003E020000}"/>
    <cellStyle name="Comma 2 11" xfId="575" xr:uid="{00000000-0005-0000-0000-00003F020000}"/>
    <cellStyle name="Comma 2 11 2" xfId="576" xr:uid="{00000000-0005-0000-0000-000040020000}"/>
    <cellStyle name="Comma 2 11 3" xfId="577" xr:uid="{00000000-0005-0000-0000-000041020000}"/>
    <cellStyle name="Comma 2 12" xfId="578" xr:uid="{00000000-0005-0000-0000-000042020000}"/>
    <cellStyle name="Comma 2 12 2" xfId="579" xr:uid="{00000000-0005-0000-0000-000043020000}"/>
    <cellStyle name="Comma 2 13" xfId="580" xr:uid="{00000000-0005-0000-0000-000044020000}"/>
    <cellStyle name="Comma 2 13 2" xfId="581" xr:uid="{00000000-0005-0000-0000-000045020000}"/>
    <cellStyle name="Comma 2 14" xfId="582" xr:uid="{00000000-0005-0000-0000-000046020000}"/>
    <cellStyle name="Comma 2 14 2" xfId="583" xr:uid="{00000000-0005-0000-0000-000047020000}"/>
    <cellStyle name="Comma 2 15" xfId="584" xr:uid="{00000000-0005-0000-0000-000048020000}"/>
    <cellStyle name="Comma 2 15 2" xfId="585" xr:uid="{00000000-0005-0000-0000-000049020000}"/>
    <cellStyle name="Comma 2 16" xfId="586" xr:uid="{00000000-0005-0000-0000-00004A020000}"/>
    <cellStyle name="Comma 2 16 2" xfId="587" xr:uid="{00000000-0005-0000-0000-00004B020000}"/>
    <cellStyle name="Comma 2 17" xfId="588" xr:uid="{00000000-0005-0000-0000-00004C020000}"/>
    <cellStyle name="Comma 2 17 2" xfId="589" xr:uid="{00000000-0005-0000-0000-00004D020000}"/>
    <cellStyle name="Comma 2 18" xfId="590" xr:uid="{00000000-0005-0000-0000-00004E020000}"/>
    <cellStyle name="Comma 2 19" xfId="591" xr:uid="{00000000-0005-0000-0000-00004F020000}"/>
    <cellStyle name="Comma 2 2" xfId="592" xr:uid="{00000000-0005-0000-0000-000050020000}"/>
    <cellStyle name="Comma 2 2 2" xfId="593" xr:uid="{00000000-0005-0000-0000-000051020000}"/>
    <cellStyle name="Comma 2 2 3" xfId="594" xr:uid="{00000000-0005-0000-0000-000052020000}"/>
    <cellStyle name="Comma 2 20" xfId="595" xr:uid="{00000000-0005-0000-0000-000053020000}"/>
    <cellStyle name="Comma 2 21" xfId="596" xr:uid="{00000000-0005-0000-0000-000054020000}"/>
    <cellStyle name="Comma 2 22" xfId="597" xr:uid="{00000000-0005-0000-0000-000055020000}"/>
    <cellStyle name="Comma 2 23" xfId="598" xr:uid="{00000000-0005-0000-0000-000056020000}"/>
    <cellStyle name="Comma 2 24" xfId="599" xr:uid="{00000000-0005-0000-0000-000057020000}"/>
    <cellStyle name="Comma 2 25" xfId="600" xr:uid="{00000000-0005-0000-0000-000058020000}"/>
    <cellStyle name="Comma 2 26" xfId="601" xr:uid="{00000000-0005-0000-0000-000059020000}"/>
    <cellStyle name="Comma 2 27" xfId="602" xr:uid="{00000000-0005-0000-0000-00005A020000}"/>
    <cellStyle name="Comma 2 28" xfId="603" xr:uid="{00000000-0005-0000-0000-00005B020000}"/>
    <cellStyle name="Comma 2 29" xfId="604" xr:uid="{00000000-0005-0000-0000-00005C020000}"/>
    <cellStyle name="Comma 2 3" xfId="605" xr:uid="{00000000-0005-0000-0000-00005D020000}"/>
    <cellStyle name="Comma 2 3 2" xfId="606" xr:uid="{00000000-0005-0000-0000-00005E020000}"/>
    <cellStyle name="Comma 2 3 3" xfId="607" xr:uid="{00000000-0005-0000-0000-00005F020000}"/>
    <cellStyle name="Comma 2 3 4" xfId="608" xr:uid="{00000000-0005-0000-0000-000060020000}"/>
    <cellStyle name="Comma 2 3 5" xfId="609" xr:uid="{00000000-0005-0000-0000-000061020000}"/>
    <cellStyle name="Comma 2 3 6" xfId="610" xr:uid="{00000000-0005-0000-0000-000062020000}"/>
    <cellStyle name="Comma 2 3 7" xfId="611" xr:uid="{00000000-0005-0000-0000-000063020000}"/>
    <cellStyle name="Comma 2 3 8" xfId="612" xr:uid="{00000000-0005-0000-0000-000064020000}"/>
    <cellStyle name="Comma 2 3 9" xfId="613" xr:uid="{00000000-0005-0000-0000-000065020000}"/>
    <cellStyle name="Comma 2 30" xfId="614" xr:uid="{00000000-0005-0000-0000-000066020000}"/>
    <cellStyle name="Comma 2 31" xfId="615" xr:uid="{00000000-0005-0000-0000-000067020000}"/>
    <cellStyle name="Comma 2 32" xfId="616" xr:uid="{00000000-0005-0000-0000-000068020000}"/>
    <cellStyle name="Comma 2 33" xfId="617" xr:uid="{00000000-0005-0000-0000-000069020000}"/>
    <cellStyle name="Comma 2 34" xfId="618" xr:uid="{00000000-0005-0000-0000-00006A020000}"/>
    <cellStyle name="Comma 2 35" xfId="619" xr:uid="{00000000-0005-0000-0000-00006B020000}"/>
    <cellStyle name="Comma 2 36" xfId="620" xr:uid="{00000000-0005-0000-0000-00006C020000}"/>
    <cellStyle name="Comma 2 37" xfId="621" xr:uid="{00000000-0005-0000-0000-00006D020000}"/>
    <cellStyle name="Comma 2 38" xfId="622" xr:uid="{00000000-0005-0000-0000-00006E020000}"/>
    <cellStyle name="Comma 2 39" xfId="623" xr:uid="{00000000-0005-0000-0000-00006F020000}"/>
    <cellStyle name="Comma 2 4" xfId="624" xr:uid="{00000000-0005-0000-0000-000070020000}"/>
    <cellStyle name="Comma 2 4 2" xfId="625" xr:uid="{00000000-0005-0000-0000-000071020000}"/>
    <cellStyle name="Comma 2 4 3" xfId="626" xr:uid="{00000000-0005-0000-0000-000072020000}"/>
    <cellStyle name="Comma 2 4 4" xfId="627" xr:uid="{00000000-0005-0000-0000-000073020000}"/>
    <cellStyle name="Comma 2 40" xfId="628" xr:uid="{00000000-0005-0000-0000-000074020000}"/>
    <cellStyle name="Comma 2 41" xfId="629" xr:uid="{00000000-0005-0000-0000-000075020000}"/>
    <cellStyle name="Comma 2 42" xfId="630" xr:uid="{00000000-0005-0000-0000-000076020000}"/>
    <cellStyle name="Comma 2 43" xfId="631" xr:uid="{00000000-0005-0000-0000-000077020000}"/>
    <cellStyle name="Comma 2 44" xfId="632" xr:uid="{00000000-0005-0000-0000-000078020000}"/>
    <cellStyle name="Comma 2 45" xfId="633" xr:uid="{00000000-0005-0000-0000-000079020000}"/>
    <cellStyle name="Comma 2 46" xfId="634" xr:uid="{00000000-0005-0000-0000-00007A020000}"/>
    <cellStyle name="Comma 2 47" xfId="635" xr:uid="{00000000-0005-0000-0000-00007B020000}"/>
    <cellStyle name="Comma 2 47 2" xfId="636" xr:uid="{00000000-0005-0000-0000-00007C020000}"/>
    <cellStyle name="Comma 2 48" xfId="637" xr:uid="{00000000-0005-0000-0000-00007D020000}"/>
    <cellStyle name="Comma 2 49" xfId="638" xr:uid="{00000000-0005-0000-0000-00007E020000}"/>
    <cellStyle name="Comma 2 5" xfId="639" xr:uid="{00000000-0005-0000-0000-00007F020000}"/>
    <cellStyle name="Comma 2 5 2" xfId="640" xr:uid="{00000000-0005-0000-0000-000080020000}"/>
    <cellStyle name="Comma 2 5 3" xfId="641" xr:uid="{00000000-0005-0000-0000-000081020000}"/>
    <cellStyle name="Comma 2 5 4" xfId="642" xr:uid="{00000000-0005-0000-0000-000082020000}"/>
    <cellStyle name="Comma 2 50" xfId="643" xr:uid="{00000000-0005-0000-0000-000083020000}"/>
    <cellStyle name="Comma 2 50 2" xfId="644" xr:uid="{00000000-0005-0000-0000-000084020000}"/>
    <cellStyle name="Comma 2 51" xfId="645" xr:uid="{00000000-0005-0000-0000-000085020000}"/>
    <cellStyle name="Comma 2 52" xfId="646" xr:uid="{00000000-0005-0000-0000-000086020000}"/>
    <cellStyle name="Comma 2 53" xfId="647" xr:uid="{00000000-0005-0000-0000-000087020000}"/>
    <cellStyle name="Comma 2 54" xfId="648" xr:uid="{00000000-0005-0000-0000-000088020000}"/>
    <cellStyle name="Comma 2 55" xfId="649" xr:uid="{00000000-0005-0000-0000-000089020000}"/>
    <cellStyle name="Comma 2 56" xfId="650" xr:uid="{00000000-0005-0000-0000-00008A020000}"/>
    <cellStyle name="Comma 2 57" xfId="651" xr:uid="{00000000-0005-0000-0000-00008B020000}"/>
    <cellStyle name="Comma 2 58" xfId="652" xr:uid="{00000000-0005-0000-0000-00008C020000}"/>
    <cellStyle name="Comma 2 59" xfId="653" xr:uid="{00000000-0005-0000-0000-00008D020000}"/>
    <cellStyle name="Comma 2 6" xfId="654" xr:uid="{00000000-0005-0000-0000-00008E020000}"/>
    <cellStyle name="Comma 2 6 2" xfId="655" xr:uid="{00000000-0005-0000-0000-00008F020000}"/>
    <cellStyle name="Comma 2 6 3" xfId="656" xr:uid="{00000000-0005-0000-0000-000090020000}"/>
    <cellStyle name="Comma 2 6 4" xfId="657" xr:uid="{00000000-0005-0000-0000-000091020000}"/>
    <cellStyle name="Comma 2 60" xfId="658" xr:uid="{00000000-0005-0000-0000-000092020000}"/>
    <cellStyle name="Comma 2 61" xfId="659" xr:uid="{00000000-0005-0000-0000-000093020000}"/>
    <cellStyle name="Comma 2 62" xfId="660" xr:uid="{00000000-0005-0000-0000-000094020000}"/>
    <cellStyle name="Comma 2 63" xfId="661" xr:uid="{00000000-0005-0000-0000-000095020000}"/>
    <cellStyle name="Comma 2 64" xfId="662" xr:uid="{00000000-0005-0000-0000-000096020000}"/>
    <cellStyle name="Comma 2 65" xfId="663" xr:uid="{00000000-0005-0000-0000-000097020000}"/>
    <cellStyle name="Comma 2 66" xfId="664" xr:uid="{00000000-0005-0000-0000-000098020000}"/>
    <cellStyle name="Comma 2 7" xfId="665" xr:uid="{00000000-0005-0000-0000-000099020000}"/>
    <cellStyle name="Comma 2 7 2" xfId="666" xr:uid="{00000000-0005-0000-0000-00009A020000}"/>
    <cellStyle name="Comma 2 7 3" xfId="667" xr:uid="{00000000-0005-0000-0000-00009B020000}"/>
    <cellStyle name="Comma 2 8" xfId="668" xr:uid="{00000000-0005-0000-0000-00009C020000}"/>
    <cellStyle name="Comma 2 8 2" xfId="669" xr:uid="{00000000-0005-0000-0000-00009D020000}"/>
    <cellStyle name="Comma 2 8 3" xfId="670" xr:uid="{00000000-0005-0000-0000-00009E020000}"/>
    <cellStyle name="Comma 2 9" xfId="671" xr:uid="{00000000-0005-0000-0000-00009F020000}"/>
    <cellStyle name="Comma 2 9 2" xfId="672" xr:uid="{00000000-0005-0000-0000-0000A0020000}"/>
    <cellStyle name="Comma 2 9 3" xfId="673" xr:uid="{00000000-0005-0000-0000-0000A1020000}"/>
    <cellStyle name="Comma 2_Fiscal D" xfId="674" xr:uid="{00000000-0005-0000-0000-0000A2020000}"/>
    <cellStyle name="Comma 20" xfId="675" xr:uid="{00000000-0005-0000-0000-0000A3020000}"/>
    <cellStyle name="Comma 20 2" xfId="676" xr:uid="{00000000-0005-0000-0000-0000A4020000}"/>
    <cellStyle name="Comma 20 3" xfId="677" xr:uid="{00000000-0005-0000-0000-0000A5020000}"/>
    <cellStyle name="Comma 20 4" xfId="678" xr:uid="{00000000-0005-0000-0000-0000A6020000}"/>
    <cellStyle name="Comma 20 5" xfId="679" xr:uid="{00000000-0005-0000-0000-0000A7020000}"/>
    <cellStyle name="Comma 20 5 2" xfId="680" xr:uid="{00000000-0005-0000-0000-0000A8020000}"/>
    <cellStyle name="Comma 20 6" xfId="681" xr:uid="{00000000-0005-0000-0000-0000A9020000}"/>
    <cellStyle name="Comma 21" xfId="682" xr:uid="{00000000-0005-0000-0000-0000AA020000}"/>
    <cellStyle name="Comma 21 2" xfId="683" xr:uid="{00000000-0005-0000-0000-0000AB020000}"/>
    <cellStyle name="Comma 22" xfId="684" xr:uid="{00000000-0005-0000-0000-0000AC020000}"/>
    <cellStyle name="Comma 22 2" xfId="685" xr:uid="{00000000-0005-0000-0000-0000AD020000}"/>
    <cellStyle name="Comma 22 3" xfId="686" xr:uid="{00000000-0005-0000-0000-0000AE020000}"/>
    <cellStyle name="Comma 23" xfId="687" xr:uid="{00000000-0005-0000-0000-0000AF020000}"/>
    <cellStyle name="Comma 23 2" xfId="688" xr:uid="{00000000-0005-0000-0000-0000B0020000}"/>
    <cellStyle name="Comma 23 3" xfId="689" xr:uid="{00000000-0005-0000-0000-0000B1020000}"/>
    <cellStyle name="Comma 24" xfId="690" xr:uid="{00000000-0005-0000-0000-0000B2020000}"/>
    <cellStyle name="Comma 24 2" xfId="691" xr:uid="{00000000-0005-0000-0000-0000B3020000}"/>
    <cellStyle name="Comma 25" xfId="692" xr:uid="{00000000-0005-0000-0000-0000B4020000}"/>
    <cellStyle name="Comma 25 2" xfId="693" xr:uid="{00000000-0005-0000-0000-0000B5020000}"/>
    <cellStyle name="Comma 26" xfId="694" xr:uid="{00000000-0005-0000-0000-0000B6020000}"/>
    <cellStyle name="Comma 26 2" xfId="695" xr:uid="{00000000-0005-0000-0000-0000B7020000}"/>
    <cellStyle name="Comma 27" xfId="696" xr:uid="{00000000-0005-0000-0000-0000B8020000}"/>
    <cellStyle name="Comma 27 2" xfId="697" xr:uid="{00000000-0005-0000-0000-0000B9020000}"/>
    <cellStyle name="Comma 28" xfId="698" xr:uid="{00000000-0005-0000-0000-0000BA020000}"/>
    <cellStyle name="Comma 28 2" xfId="699" xr:uid="{00000000-0005-0000-0000-0000BB020000}"/>
    <cellStyle name="Comma 28 3" xfId="700" xr:uid="{00000000-0005-0000-0000-0000BC020000}"/>
    <cellStyle name="Comma 29" xfId="701" xr:uid="{00000000-0005-0000-0000-0000BD020000}"/>
    <cellStyle name="Comma 29 2" xfId="702" xr:uid="{00000000-0005-0000-0000-0000BE020000}"/>
    <cellStyle name="Comma 29 3" xfId="703" xr:uid="{00000000-0005-0000-0000-0000BF020000}"/>
    <cellStyle name="Comma 29 7" xfId="704" xr:uid="{00000000-0005-0000-0000-0000C0020000}"/>
    <cellStyle name="Comma 3" xfId="705" xr:uid="{00000000-0005-0000-0000-0000C1020000}"/>
    <cellStyle name="Comma 3 10" xfId="706" xr:uid="{00000000-0005-0000-0000-0000C2020000}"/>
    <cellStyle name="Comma 3 10 2" xfId="707" xr:uid="{00000000-0005-0000-0000-0000C3020000}"/>
    <cellStyle name="Comma 3 11" xfId="708" xr:uid="{00000000-0005-0000-0000-0000C4020000}"/>
    <cellStyle name="Comma 3 11 2" xfId="709" xr:uid="{00000000-0005-0000-0000-0000C5020000}"/>
    <cellStyle name="Comma 3 12" xfId="710" xr:uid="{00000000-0005-0000-0000-0000C6020000}"/>
    <cellStyle name="Comma 3 12 2" xfId="711" xr:uid="{00000000-0005-0000-0000-0000C7020000}"/>
    <cellStyle name="Comma 3 13" xfId="712" xr:uid="{00000000-0005-0000-0000-0000C8020000}"/>
    <cellStyle name="Comma 3 13 2" xfId="713" xr:uid="{00000000-0005-0000-0000-0000C9020000}"/>
    <cellStyle name="Comma 3 14" xfId="714" xr:uid="{00000000-0005-0000-0000-0000CA020000}"/>
    <cellStyle name="Comma 3 14 2" xfId="715" xr:uid="{00000000-0005-0000-0000-0000CB020000}"/>
    <cellStyle name="Comma 3 15" xfId="716" xr:uid="{00000000-0005-0000-0000-0000CC020000}"/>
    <cellStyle name="Comma 3 15 2" xfId="717" xr:uid="{00000000-0005-0000-0000-0000CD020000}"/>
    <cellStyle name="Comma 3 16" xfId="718" xr:uid="{00000000-0005-0000-0000-0000CE020000}"/>
    <cellStyle name="Comma 3 16 2" xfId="719" xr:uid="{00000000-0005-0000-0000-0000CF020000}"/>
    <cellStyle name="Comma 3 17" xfId="720" xr:uid="{00000000-0005-0000-0000-0000D0020000}"/>
    <cellStyle name="Comma 3 17 2" xfId="721" xr:uid="{00000000-0005-0000-0000-0000D1020000}"/>
    <cellStyle name="Comma 3 18" xfId="722" xr:uid="{00000000-0005-0000-0000-0000D2020000}"/>
    <cellStyle name="Comma 3 18 2" xfId="723" xr:uid="{00000000-0005-0000-0000-0000D3020000}"/>
    <cellStyle name="Comma 3 19" xfId="724" xr:uid="{00000000-0005-0000-0000-0000D4020000}"/>
    <cellStyle name="Comma 3 19 2" xfId="725" xr:uid="{00000000-0005-0000-0000-0000D5020000}"/>
    <cellStyle name="Comma 3 2" xfId="726" xr:uid="{00000000-0005-0000-0000-0000D6020000}"/>
    <cellStyle name="Comma 3 2 2" xfId="727" xr:uid="{00000000-0005-0000-0000-0000D7020000}"/>
    <cellStyle name="Comma 3 2 3" xfId="728" xr:uid="{00000000-0005-0000-0000-0000D8020000}"/>
    <cellStyle name="Comma 3 20" xfId="729" xr:uid="{00000000-0005-0000-0000-0000D9020000}"/>
    <cellStyle name="Comma 3 20 2" xfId="730" xr:uid="{00000000-0005-0000-0000-0000DA020000}"/>
    <cellStyle name="Comma 3 21" xfId="731" xr:uid="{00000000-0005-0000-0000-0000DB020000}"/>
    <cellStyle name="Comma 3 21 2" xfId="732" xr:uid="{00000000-0005-0000-0000-0000DC020000}"/>
    <cellStyle name="Comma 3 22" xfId="733" xr:uid="{00000000-0005-0000-0000-0000DD020000}"/>
    <cellStyle name="Comma 3 23" xfId="734" xr:uid="{00000000-0005-0000-0000-0000DE020000}"/>
    <cellStyle name="Comma 3 24" xfId="735" xr:uid="{00000000-0005-0000-0000-0000DF020000}"/>
    <cellStyle name="Comma 3 3" xfId="736" xr:uid="{00000000-0005-0000-0000-0000E0020000}"/>
    <cellStyle name="Comma 3 3 2" xfId="737" xr:uid="{00000000-0005-0000-0000-0000E1020000}"/>
    <cellStyle name="Comma 3 3 3" xfId="738" xr:uid="{00000000-0005-0000-0000-0000E2020000}"/>
    <cellStyle name="Comma 3 3 4" xfId="739" xr:uid="{00000000-0005-0000-0000-0000E3020000}"/>
    <cellStyle name="Comma 3 4" xfId="740" xr:uid="{00000000-0005-0000-0000-0000E4020000}"/>
    <cellStyle name="Comma 3 4 2" xfId="741" xr:uid="{00000000-0005-0000-0000-0000E5020000}"/>
    <cellStyle name="Comma 3 4 3" xfId="742" xr:uid="{00000000-0005-0000-0000-0000E6020000}"/>
    <cellStyle name="Comma 3 5" xfId="743" xr:uid="{00000000-0005-0000-0000-0000E7020000}"/>
    <cellStyle name="Comma 3 5 2" xfId="744" xr:uid="{00000000-0005-0000-0000-0000E8020000}"/>
    <cellStyle name="Comma 3 6" xfId="745" xr:uid="{00000000-0005-0000-0000-0000E9020000}"/>
    <cellStyle name="Comma 3 6 2" xfId="746" xr:uid="{00000000-0005-0000-0000-0000EA020000}"/>
    <cellStyle name="Comma 3 7" xfId="747" xr:uid="{00000000-0005-0000-0000-0000EB020000}"/>
    <cellStyle name="Comma 3 7 2" xfId="748" xr:uid="{00000000-0005-0000-0000-0000EC020000}"/>
    <cellStyle name="Comma 3 8" xfId="749" xr:uid="{00000000-0005-0000-0000-0000ED020000}"/>
    <cellStyle name="Comma 3 8 2" xfId="750" xr:uid="{00000000-0005-0000-0000-0000EE020000}"/>
    <cellStyle name="Comma 3 9" xfId="751" xr:uid="{00000000-0005-0000-0000-0000EF020000}"/>
    <cellStyle name="Comma 3 9 2" xfId="752" xr:uid="{00000000-0005-0000-0000-0000F0020000}"/>
    <cellStyle name="Comma 3_Map3" xfId="753" xr:uid="{00000000-0005-0000-0000-0000F1020000}"/>
    <cellStyle name="Comma 30" xfId="754" xr:uid="{00000000-0005-0000-0000-0000F2020000}"/>
    <cellStyle name="Comma 30 2" xfId="755" xr:uid="{00000000-0005-0000-0000-0000F3020000}"/>
    <cellStyle name="Comma 31" xfId="756" xr:uid="{00000000-0005-0000-0000-0000F4020000}"/>
    <cellStyle name="Comma 31 2" xfId="757" xr:uid="{00000000-0005-0000-0000-0000F5020000}"/>
    <cellStyle name="Comma 32" xfId="758" xr:uid="{00000000-0005-0000-0000-0000F6020000}"/>
    <cellStyle name="Comma 32 2" xfId="759" xr:uid="{00000000-0005-0000-0000-0000F7020000}"/>
    <cellStyle name="Comma 33" xfId="760" xr:uid="{00000000-0005-0000-0000-0000F8020000}"/>
    <cellStyle name="Comma 33 2" xfId="761" xr:uid="{00000000-0005-0000-0000-0000F9020000}"/>
    <cellStyle name="Comma 34" xfId="762" xr:uid="{00000000-0005-0000-0000-0000FA020000}"/>
    <cellStyle name="Comma 34 2" xfId="763" xr:uid="{00000000-0005-0000-0000-0000FB020000}"/>
    <cellStyle name="Comma 35" xfId="764" xr:uid="{00000000-0005-0000-0000-0000FC020000}"/>
    <cellStyle name="Comma 35 2" xfId="765" xr:uid="{00000000-0005-0000-0000-0000FD020000}"/>
    <cellStyle name="Comma 35 3" xfId="766" xr:uid="{00000000-0005-0000-0000-0000FE020000}"/>
    <cellStyle name="Comma 36" xfId="767" xr:uid="{00000000-0005-0000-0000-0000FF020000}"/>
    <cellStyle name="Comma 36 2" xfId="768" xr:uid="{00000000-0005-0000-0000-000000030000}"/>
    <cellStyle name="Comma 36 3" xfId="769" xr:uid="{00000000-0005-0000-0000-000001030000}"/>
    <cellStyle name="Comma 37" xfId="770" xr:uid="{00000000-0005-0000-0000-000002030000}"/>
    <cellStyle name="Comma 37 2" xfId="771" xr:uid="{00000000-0005-0000-0000-000003030000}"/>
    <cellStyle name="Comma 37 3" xfId="772" xr:uid="{00000000-0005-0000-0000-000004030000}"/>
    <cellStyle name="Comma 38" xfId="773" xr:uid="{00000000-0005-0000-0000-000005030000}"/>
    <cellStyle name="Comma 38 2" xfId="774" xr:uid="{00000000-0005-0000-0000-000006030000}"/>
    <cellStyle name="Comma 38 3" xfId="775" xr:uid="{00000000-0005-0000-0000-000007030000}"/>
    <cellStyle name="Comma 38 4" xfId="776" xr:uid="{00000000-0005-0000-0000-000008030000}"/>
    <cellStyle name="Comma 39" xfId="777" xr:uid="{00000000-0005-0000-0000-000009030000}"/>
    <cellStyle name="Comma 39 2" xfId="778" xr:uid="{00000000-0005-0000-0000-00000A030000}"/>
    <cellStyle name="Comma 39 3" xfId="779" xr:uid="{00000000-0005-0000-0000-00000B030000}"/>
    <cellStyle name="Comma 4" xfId="780" xr:uid="{00000000-0005-0000-0000-00000C030000}"/>
    <cellStyle name="Comma 4 10" xfId="781" xr:uid="{00000000-0005-0000-0000-00000D030000}"/>
    <cellStyle name="Comma 4 11" xfId="782" xr:uid="{00000000-0005-0000-0000-00000E030000}"/>
    <cellStyle name="Comma 4 12" xfId="783" xr:uid="{00000000-0005-0000-0000-00000F030000}"/>
    <cellStyle name="Comma 4 13" xfId="784" xr:uid="{00000000-0005-0000-0000-000010030000}"/>
    <cellStyle name="Comma 4 2" xfId="785" xr:uid="{00000000-0005-0000-0000-000011030000}"/>
    <cellStyle name="Comma 4 2 2" xfId="786" xr:uid="{00000000-0005-0000-0000-000012030000}"/>
    <cellStyle name="Comma 4 2 3" xfId="787" xr:uid="{00000000-0005-0000-0000-000013030000}"/>
    <cellStyle name="Comma 4 2 4" xfId="788" xr:uid="{00000000-0005-0000-0000-000014030000}"/>
    <cellStyle name="Comma 4 2 5" xfId="789" xr:uid="{00000000-0005-0000-0000-000015030000}"/>
    <cellStyle name="Comma 4 2 6" xfId="790" xr:uid="{00000000-0005-0000-0000-000016030000}"/>
    <cellStyle name="Comma 4 2 7" xfId="791" xr:uid="{00000000-0005-0000-0000-000017030000}"/>
    <cellStyle name="Comma 4 3" xfId="792" xr:uid="{00000000-0005-0000-0000-000018030000}"/>
    <cellStyle name="Comma 4 3 2" xfId="793" xr:uid="{00000000-0005-0000-0000-000019030000}"/>
    <cellStyle name="Comma 4 3 3" xfId="794" xr:uid="{00000000-0005-0000-0000-00001A030000}"/>
    <cellStyle name="Comma 4 3_Map3" xfId="795" xr:uid="{00000000-0005-0000-0000-00001B030000}"/>
    <cellStyle name="Comma 4 4" xfId="796" xr:uid="{00000000-0005-0000-0000-00001C030000}"/>
    <cellStyle name="Comma 4 4 2" xfId="797" xr:uid="{00000000-0005-0000-0000-00001D030000}"/>
    <cellStyle name="Comma 4 5" xfId="798" xr:uid="{00000000-0005-0000-0000-00001E030000}"/>
    <cellStyle name="Comma 4 5 2" xfId="799" xr:uid="{00000000-0005-0000-0000-00001F030000}"/>
    <cellStyle name="Comma 4 6" xfId="800" xr:uid="{00000000-0005-0000-0000-000020030000}"/>
    <cellStyle name="Comma 4 6 2" xfId="801" xr:uid="{00000000-0005-0000-0000-000021030000}"/>
    <cellStyle name="Comma 4 7" xfId="802" xr:uid="{00000000-0005-0000-0000-000022030000}"/>
    <cellStyle name="Comma 4 7 2" xfId="803" xr:uid="{00000000-0005-0000-0000-000023030000}"/>
    <cellStyle name="Comma 4 8" xfId="804" xr:uid="{00000000-0005-0000-0000-000024030000}"/>
    <cellStyle name="Comma 4 9" xfId="805" xr:uid="{00000000-0005-0000-0000-000025030000}"/>
    <cellStyle name="Comma 4_Map3" xfId="806" xr:uid="{00000000-0005-0000-0000-000026030000}"/>
    <cellStyle name="Comma 40" xfId="807" xr:uid="{00000000-0005-0000-0000-000027030000}"/>
    <cellStyle name="Comma 40 2" xfId="808" xr:uid="{00000000-0005-0000-0000-000028030000}"/>
    <cellStyle name="Comma 41" xfId="809" xr:uid="{00000000-0005-0000-0000-000029030000}"/>
    <cellStyle name="Comma 41 2" xfId="810" xr:uid="{00000000-0005-0000-0000-00002A030000}"/>
    <cellStyle name="Comma 41 3" xfId="811" xr:uid="{00000000-0005-0000-0000-00002B030000}"/>
    <cellStyle name="Comma 42" xfId="812" xr:uid="{00000000-0005-0000-0000-00002C030000}"/>
    <cellStyle name="Comma 42 2" xfId="813" xr:uid="{00000000-0005-0000-0000-00002D030000}"/>
    <cellStyle name="Comma 42 3" xfId="814" xr:uid="{00000000-0005-0000-0000-00002E030000}"/>
    <cellStyle name="Comma 42 4" xfId="815" xr:uid="{00000000-0005-0000-0000-00002F030000}"/>
    <cellStyle name="Comma 43" xfId="816" xr:uid="{00000000-0005-0000-0000-000030030000}"/>
    <cellStyle name="Comma 43 2" xfId="817" xr:uid="{00000000-0005-0000-0000-000031030000}"/>
    <cellStyle name="Comma 44" xfId="818" xr:uid="{00000000-0005-0000-0000-000032030000}"/>
    <cellStyle name="Comma 44 2" xfId="819" xr:uid="{00000000-0005-0000-0000-000033030000}"/>
    <cellStyle name="Comma 45" xfId="820" xr:uid="{00000000-0005-0000-0000-000034030000}"/>
    <cellStyle name="Comma 45 2" xfId="821" xr:uid="{00000000-0005-0000-0000-000035030000}"/>
    <cellStyle name="Comma 46" xfId="822" xr:uid="{00000000-0005-0000-0000-000036030000}"/>
    <cellStyle name="Comma 47" xfId="823" xr:uid="{00000000-0005-0000-0000-000037030000}"/>
    <cellStyle name="Comma 48" xfId="824" xr:uid="{00000000-0005-0000-0000-000038030000}"/>
    <cellStyle name="Comma 49" xfId="825" xr:uid="{00000000-0005-0000-0000-000039030000}"/>
    <cellStyle name="Comma 5" xfId="826" xr:uid="{00000000-0005-0000-0000-00003A030000}"/>
    <cellStyle name="Comma 5 2" xfId="827" xr:uid="{00000000-0005-0000-0000-00003B030000}"/>
    <cellStyle name="Comma 5 2 2" xfId="828" xr:uid="{00000000-0005-0000-0000-00003C030000}"/>
    <cellStyle name="Comma 5 3" xfId="829" xr:uid="{00000000-0005-0000-0000-00003D030000}"/>
    <cellStyle name="Comma 5 3 2" xfId="830" xr:uid="{00000000-0005-0000-0000-00003E030000}"/>
    <cellStyle name="Comma 5 4" xfId="831" xr:uid="{00000000-0005-0000-0000-00003F030000}"/>
    <cellStyle name="Comma 5 5" xfId="832" xr:uid="{00000000-0005-0000-0000-000040030000}"/>
    <cellStyle name="Comma 5 6" xfId="833" xr:uid="{00000000-0005-0000-0000-000041030000}"/>
    <cellStyle name="Comma 5_Map3" xfId="834" xr:uid="{00000000-0005-0000-0000-000042030000}"/>
    <cellStyle name="Comma 50" xfId="835" xr:uid="{00000000-0005-0000-0000-000043030000}"/>
    <cellStyle name="Comma 51" xfId="836" xr:uid="{00000000-0005-0000-0000-000044030000}"/>
    <cellStyle name="Comma 52" xfId="837" xr:uid="{00000000-0005-0000-0000-000045030000}"/>
    <cellStyle name="Comma 53" xfId="838" xr:uid="{00000000-0005-0000-0000-000046030000}"/>
    <cellStyle name="Comma 54" xfId="839" xr:uid="{00000000-0005-0000-0000-000047030000}"/>
    <cellStyle name="Comma 55" xfId="840" xr:uid="{00000000-0005-0000-0000-000048030000}"/>
    <cellStyle name="Comma 56" xfId="841" xr:uid="{00000000-0005-0000-0000-000049030000}"/>
    <cellStyle name="Comma 57" xfId="842" xr:uid="{00000000-0005-0000-0000-00004A030000}"/>
    <cellStyle name="Comma 6" xfId="843" xr:uid="{00000000-0005-0000-0000-00004B030000}"/>
    <cellStyle name="Comma 6 2" xfId="844" xr:uid="{00000000-0005-0000-0000-00004C030000}"/>
    <cellStyle name="Comma 6 2 2" xfId="845" xr:uid="{00000000-0005-0000-0000-00004D030000}"/>
    <cellStyle name="Comma 6 3" xfId="846" xr:uid="{00000000-0005-0000-0000-00004E030000}"/>
    <cellStyle name="Comma 6 3 2" xfId="847" xr:uid="{00000000-0005-0000-0000-00004F030000}"/>
    <cellStyle name="Comma 6 4" xfId="848" xr:uid="{00000000-0005-0000-0000-000050030000}"/>
    <cellStyle name="Comma 6 4 2" xfId="849" xr:uid="{00000000-0005-0000-0000-000051030000}"/>
    <cellStyle name="Comma 6 5" xfId="850" xr:uid="{00000000-0005-0000-0000-000052030000}"/>
    <cellStyle name="Comma 6 5 2" xfId="851" xr:uid="{00000000-0005-0000-0000-000053030000}"/>
    <cellStyle name="Comma 6 6" xfId="852" xr:uid="{00000000-0005-0000-0000-000054030000}"/>
    <cellStyle name="Comma 7" xfId="853" xr:uid="{00000000-0005-0000-0000-000055030000}"/>
    <cellStyle name="Comma 7 2" xfId="854" xr:uid="{00000000-0005-0000-0000-000056030000}"/>
    <cellStyle name="Comma 7 2 2" xfId="855" xr:uid="{00000000-0005-0000-0000-000057030000}"/>
    <cellStyle name="Comma 7 3" xfId="856" xr:uid="{00000000-0005-0000-0000-000058030000}"/>
    <cellStyle name="Comma 72" xfId="857" xr:uid="{00000000-0005-0000-0000-000059030000}"/>
    <cellStyle name="Comma 8" xfId="858" xr:uid="{00000000-0005-0000-0000-00005A030000}"/>
    <cellStyle name="Comma 8 10" xfId="859" xr:uid="{00000000-0005-0000-0000-00005B030000}"/>
    <cellStyle name="Comma 8 2" xfId="860" xr:uid="{00000000-0005-0000-0000-00005C030000}"/>
    <cellStyle name="Comma 8 2 2" xfId="861" xr:uid="{00000000-0005-0000-0000-00005D030000}"/>
    <cellStyle name="Comma 8 3" xfId="862" xr:uid="{00000000-0005-0000-0000-00005E030000}"/>
    <cellStyle name="Comma 8 4" xfId="863" xr:uid="{00000000-0005-0000-0000-00005F030000}"/>
    <cellStyle name="Comma 8 5" xfId="864" xr:uid="{00000000-0005-0000-0000-000060030000}"/>
    <cellStyle name="Comma 8 6" xfId="865" xr:uid="{00000000-0005-0000-0000-000061030000}"/>
    <cellStyle name="Comma 8 7" xfId="866" xr:uid="{00000000-0005-0000-0000-000062030000}"/>
    <cellStyle name="Comma 8 8" xfId="867" xr:uid="{00000000-0005-0000-0000-000063030000}"/>
    <cellStyle name="Comma 8 9" xfId="868" xr:uid="{00000000-0005-0000-0000-000064030000}"/>
    <cellStyle name="Comma 9" xfId="869" xr:uid="{00000000-0005-0000-0000-000065030000}"/>
    <cellStyle name="Comma 9 11" xfId="870" xr:uid="{00000000-0005-0000-0000-000066030000}"/>
    <cellStyle name="Comma 9 2" xfId="871" xr:uid="{00000000-0005-0000-0000-000067030000}"/>
    <cellStyle name="Comma 9 2 2" xfId="872" xr:uid="{00000000-0005-0000-0000-000068030000}"/>
    <cellStyle name="Comma 9 3" xfId="873" xr:uid="{00000000-0005-0000-0000-000069030000}"/>
    <cellStyle name="Comma 9 4" xfId="874" xr:uid="{00000000-0005-0000-0000-00006A030000}"/>
    <cellStyle name="Comma0" xfId="875" xr:uid="{00000000-0005-0000-0000-00006B030000}"/>
    <cellStyle name="Controlecel" xfId="3061" builtinId="23" hidden="1"/>
    <cellStyle name="Currency [00]" xfId="876" xr:uid="{00000000-0005-0000-0000-00006D030000}"/>
    <cellStyle name="Currency [00] 2" xfId="877" xr:uid="{00000000-0005-0000-0000-00006E030000}"/>
    <cellStyle name="Currency 10" xfId="878" xr:uid="{00000000-0005-0000-0000-00006F030000}"/>
    <cellStyle name="Currency 11" xfId="879" xr:uid="{00000000-0005-0000-0000-000070030000}"/>
    <cellStyle name="Currency 12" xfId="880" xr:uid="{00000000-0005-0000-0000-000071030000}"/>
    <cellStyle name="Currency 13" xfId="881" xr:uid="{00000000-0005-0000-0000-000072030000}"/>
    <cellStyle name="Currency 14" xfId="882" xr:uid="{00000000-0005-0000-0000-000073030000}"/>
    <cellStyle name="Currency 15" xfId="883" xr:uid="{00000000-0005-0000-0000-000074030000}"/>
    <cellStyle name="Currency 16" xfId="884" xr:uid="{00000000-0005-0000-0000-000075030000}"/>
    <cellStyle name="Currency 2" xfId="885" xr:uid="{00000000-0005-0000-0000-000076030000}"/>
    <cellStyle name="Currency 2 2" xfId="886" xr:uid="{00000000-0005-0000-0000-000077030000}"/>
    <cellStyle name="Currency 2 2 2" xfId="887" xr:uid="{00000000-0005-0000-0000-000078030000}"/>
    <cellStyle name="Currency 2 3" xfId="888" xr:uid="{00000000-0005-0000-0000-000079030000}"/>
    <cellStyle name="Currency 2 4" xfId="889" xr:uid="{00000000-0005-0000-0000-00007A030000}"/>
    <cellStyle name="Currency 2 5" xfId="890" xr:uid="{00000000-0005-0000-0000-00007B030000}"/>
    <cellStyle name="Currency 2 6" xfId="891" xr:uid="{00000000-0005-0000-0000-00007C030000}"/>
    <cellStyle name="Currency 2 7" xfId="892" xr:uid="{00000000-0005-0000-0000-00007D030000}"/>
    <cellStyle name="Currency 3" xfId="893" xr:uid="{00000000-0005-0000-0000-00007E030000}"/>
    <cellStyle name="Currency 3 2" xfId="894" xr:uid="{00000000-0005-0000-0000-00007F030000}"/>
    <cellStyle name="Currency 4" xfId="895" xr:uid="{00000000-0005-0000-0000-000080030000}"/>
    <cellStyle name="Currency 5" xfId="896" xr:uid="{00000000-0005-0000-0000-000081030000}"/>
    <cellStyle name="Currency 6" xfId="897" xr:uid="{00000000-0005-0000-0000-000082030000}"/>
    <cellStyle name="Currency 7" xfId="898" xr:uid="{00000000-0005-0000-0000-000083030000}"/>
    <cellStyle name="Currency 8" xfId="899" xr:uid="{00000000-0005-0000-0000-000084030000}"/>
    <cellStyle name="Currency 9" xfId="900" xr:uid="{00000000-0005-0000-0000-000085030000}"/>
    <cellStyle name="Currency0" xfId="901" xr:uid="{00000000-0005-0000-0000-000086030000}"/>
    <cellStyle name="Data" xfId="902" xr:uid="{00000000-0005-0000-0000-000087030000}"/>
    <cellStyle name="Date" xfId="903" xr:uid="{00000000-0005-0000-0000-000088030000}"/>
    <cellStyle name="Date Short" xfId="904" xr:uid="{00000000-0005-0000-0000-000089030000}"/>
    <cellStyle name="diskette" xfId="905" xr:uid="{00000000-0005-0000-0000-00008A030000}"/>
    <cellStyle name="Emphasis 1" xfId="906" xr:uid="{00000000-0005-0000-0000-00008B030000}"/>
    <cellStyle name="Emphasis 2" xfId="907" xr:uid="{00000000-0005-0000-0000-00008C030000}"/>
    <cellStyle name="Emphasis 3" xfId="908" xr:uid="{00000000-0005-0000-0000-00008D030000}"/>
    <cellStyle name="Enter Currency (0)" xfId="909" xr:uid="{00000000-0005-0000-0000-00008E030000}"/>
    <cellStyle name="Enter Currency (2)" xfId="910" xr:uid="{00000000-0005-0000-0000-00008F030000}"/>
    <cellStyle name="Enter Currency (2) 2" xfId="911" xr:uid="{00000000-0005-0000-0000-000090030000}"/>
    <cellStyle name="Enter Units (0)" xfId="912" xr:uid="{00000000-0005-0000-0000-000091030000}"/>
    <cellStyle name="Enter Units (1)" xfId="913" xr:uid="{00000000-0005-0000-0000-000092030000}"/>
    <cellStyle name="Enter Units (2)" xfId="914" xr:uid="{00000000-0005-0000-0000-000093030000}"/>
    <cellStyle name="Enter Units (2) 2" xfId="915" xr:uid="{00000000-0005-0000-0000-000094030000}"/>
    <cellStyle name="Euro" xfId="916" xr:uid="{00000000-0005-0000-0000-000095030000}"/>
    <cellStyle name="Euro 2" xfId="917" xr:uid="{00000000-0005-0000-0000-000096030000}"/>
    <cellStyle name="Excel.Chart" xfId="918" xr:uid="{00000000-0005-0000-0000-000097030000}"/>
    <cellStyle name="Explanatory Text" xfId="919" xr:uid="{00000000-0005-0000-0000-000098030000}"/>
    <cellStyle name="Explanatory Text 2" xfId="920" xr:uid="{00000000-0005-0000-0000-000099030000}"/>
    <cellStyle name="Explanatory Text 2 2" xfId="921" xr:uid="{00000000-0005-0000-0000-00009A030000}"/>
    <cellStyle name="Explanatory Text 2 3" xfId="922" xr:uid="{00000000-0005-0000-0000-00009B030000}"/>
    <cellStyle name="Explanatory Text 2 4" xfId="923" xr:uid="{00000000-0005-0000-0000-00009C030000}"/>
    <cellStyle name="Explanatory Text 2 5" xfId="924" xr:uid="{00000000-0005-0000-0000-00009D030000}"/>
    <cellStyle name="Explanatory Text 2 6" xfId="925" xr:uid="{00000000-0005-0000-0000-00009E030000}"/>
    <cellStyle name="Explanatory Text 2 7" xfId="926" xr:uid="{00000000-0005-0000-0000-00009F030000}"/>
    <cellStyle name="Explanatory Text 3" xfId="927" xr:uid="{00000000-0005-0000-0000-0000A0030000}"/>
    <cellStyle name="F2" xfId="928" xr:uid="{00000000-0005-0000-0000-0000A1030000}"/>
    <cellStyle name="F2 2" xfId="929" xr:uid="{00000000-0005-0000-0000-0000A2030000}"/>
    <cellStyle name="F2 3" xfId="930" xr:uid="{00000000-0005-0000-0000-0000A3030000}"/>
    <cellStyle name="F2 4" xfId="931" xr:uid="{00000000-0005-0000-0000-0000A4030000}"/>
    <cellStyle name="F3" xfId="932" xr:uid="{00000000-0005-0000-0000-0000A5030000}"/>
    <cellStyle name="F3 2" xfId="933" xr:uid="{00000000-0005-0000-0000-0000A6030000}"/>
    <cellStyle name="F3 3" xfId="934" xr:uid="{00000000-0005-0000-0000-0000A7030000}"/>
    <cellStyle name="F3 4" xfId="935" xr:uid="{00000000-0005-0000-0000-0000A8030000}"/>
    <cellStyle name="F4" xfId="936" xr:uid="{00000000-0005-0000-0000-0000A9030000}"/>
    <cellStyle name="F4 2" xfId="937" xr:uid="{00000000-0005-0000-0000-0000AA030000}"/>
    <cellStyle name="F4 3" xfId="938" xr:uid="{00000000-0005-0000-0000-0000AB030000}"/>
    <cellStyle name="F4 4" xfId="939" xr:uid="{00000000-0005-0000-0000-0000AC030000}"/>
    <cellStyle name="F5" xfId="940" xr:uid="{00000000-0005-0000-0000-0000AD030000}"/>
    <cellStyle name="F5 2" xfId="941" xr:uid="{00000000-0005-0000-0000-0000AE030000}"/>
    <cellStyle name="F5 3" xfId="942" xr:uid="{00000000-0005-0000-0000-0000AF030000}"/>
    <cellStyle name="F5 4" xfId="943" xr:uid="{00000000-0005-0000-0000-0000B0030000}"/>
    <cellStyle name="F6" xfId="944" xr:uid="{00000000-0005-0000-0000-0000B1030000}"/>
    <cellStyle name="F6 2" xfId="945" xr:uid="{00000000-0005-0000-0000-0000B2030000}"/>
    <cellStyle name="F6 3" xfId="946" xr:uid="{00000000-0005-0000-0000-0000B3030000}"/>
    <cellStyle name="F6 4" xfId="947" xr:uid="{00000000-0005-0000-0000-0000B4030000}"/>
    <cellStyle name="F7" xfId="948" xr:uid="{00000000-0005-0000-0000-0000B5030000}"/>
    <cellStyle name="F7 2" xfId="949" xr:uid="{00000000-0005-0000-0000-0000B6030000}"/>
    <cellStyle name="F7 3" xfId="950" xr:uid="{00000000-0005-0000-0000-0000B7030000}"/>
    <cellStyle name="F7 4" xfId="951" xr:uid="{00000000-0005-0000-0000-0000B8030000}"/>
    <cellStyle name="F8" xfId="952" xr:uid="{00000000-0005-0000-0000-0000B9030000}"/>
    <cellStyle name="F8 2" xfId="953" xr:uid="{00000000-0005-0000-0000-0000BA030000}"/>
    <cellStyle name="F8 3" xfId="954" xr:uid="{00000000-0005-0000-0000-0000BB030000}"/>
    <cellStyle name="F8 4" xfId="955" xr:uid="{00000000-0005-0000-0000-0000BC030000}"/>
    <cellStyle name="facha" xfId="956" xr:uid="{00000000-0005-0000-0000-0000BD030000}"/>
    <cellStyle name="Fecha" xfId="957" xr:uid="{00000000-0005-0000-0000-0000BE030000}"/>
    <cellStyle name="Fijo" xfId="958" xr:uid="{00000000-0005-0000-0000-0000BF030000}"/>
    <cellStyle name="Fixed" xfId="959" xr:uid="{00000000-0005-0000-0000-0000C0030000}"/>
    <cellStyle name="Fixo" xfId="960" xr:uid="{00000000-0005-0000-0000-0000C1030000}"/>
    <cellStyle name="Gekoppelde cel" xfId="3060" builtinId="24" hidden="1"/>
    <cellStyle name="Goed" xfId="3054" builtinId="26" hidden="1"/>
    <cellStyle name="Good" xfId="961" xr:uid="{00000000-0005-0000-0000-0000C4030000}"/>
    <cellStyle name="Good 2" xfId="962" xr:uid="{00000000-0005-0000-0000-0000C5030000}"/>
    <cellStyle name="Good 2 2" xfId="963" xr:uid="{00000000-0005-0000-0000-0000C6030000}"/>
    <cellStyle name="Good 2 3" xfId="964" xr:uid="{00000000-0005-0000-0000-0000C7030000}"/>
    <cellStyle name="Good 2 4" xfId="965" xr:uid="{00000000-0005-0000-0000-0000C8030000}"/>
    <cellStyle name="Good 2 5" xfId="966" xr:uid="{00000000-0005-0000-0000-0000C9030000}"/>
    <cellStyle name="Good 2 6" xfId="967" xr:uid="{00000000-0005-0000-0000-0000CA030000}"/>
    <cellStyle name="Good 2 7" xfId="968" xr:uid="{00000000-0005-0000-0000-0000CB030000}"/>
    <cellStyle name="Good 2 8" xfId="969" xr:uid="{00000000-0005-0000-0000-0000CC030000}"/>
    <cellStyle name="Good 3" xfId="970" xr:uid="{00000000-0005-0000-0000-0000CD030000}"/>
    <cellStyle name="Good 4" xfId="971" xr:uid="{00000000-0005-0000-0000-0000CE030000}"/>
    <cellStyle name="Grey" xfId="972" xr:uid="{00000000-0005-0000-0000-0000CF030000}"/>
    <cellStyle name="Grey 2" xfId="973" xr:uid="{00000000-0005-0000-0000-0000D0030000}"/>
    <cellStyle name="Header1" xfId="974" xr:uid="{00000000-0005-0000-0000-0000D1030000}"/>
    <cellStyle name="Header2" xfId="975" xr:uid="{00000000-0005-0000-0000-0000D2030000}"/>
    <cellStyle name="Heading" xfId="976" xr:uid="{00000000-0005-0000-0000-0000D3030000}"/>
    <cellStyle name="Heading 1" xfId="977" xr:uid="{00000000-0005-0000-0000-0000D4030000}"/>
    <cellStyle name="Heading 1 2" xfId="978" xr:uid="{00000000-0005-0000-0000-0000D5030000}"/>
    <cellStyle name="Heading 1 2 2" xfId="979" xr:uid="{00000000-0005-0000-0000-0000D6030000}"/>
    <cellStyle name="Heading 1 2 3" xfId="980" xr:uid="{00000000-0005-0000-0000-0000D7030000}"/>
    <cellStyle name="Heading 1 2 4" xfId="981" xr:uid="{00000000-0005-0000-0000-0000D8030000}"/>
    <cellStyle name="Heading 1 2 5" xfId="982" xr:uid="{00000000-0005-0000-0000-0000D9030000}"/>
    <cellStyle name="Heading 1 2 6" xfId="983" xr:uid="{00000000-0005-0000-0000-0000DA030000}"/>
    <cellStyle name="Heading 1 2 7" xfId="984" xr:uid="{00000000-0005-0000-0000-0000DB030000}"/>
    <cellStyle name="Heading 1 2 8" xfId="985" xr:uid="{00000000-0005-0000-0000-0000DC030000}"/>
    <cellStyle name="Heading 1 3" xfId="986" xr:uid="{00000000-0005-0000-0000-0000DD030000}"/>
    <cellStyle name="Heading 1 4" xfId="987" xr:uid="{00000000-0005-0000-0000-0000DE030000}"/>
    <cellStyle name="Heading 2" xfId="988" xr:uid="{00000000-0005-0000-0000-0000DF030000}"/>
    <cellStyle name="Heading 2 2" xfId="989" xr:uid="{00000000-0005-0000-0000-0000E0030000}"/>
    <cellStyle name="Heading 2 2 2" xfId="990" xr:uid="{00000000-0005-0000-0000-0000E1030000}"/>
    <cellStyle name="Heading 2 2 3" xfId="991" xr:uid="{00000000-0005-0000-0000-0000E2030000}"/>
    <cellStyle name="Heading 2 2 4" xfId="992" xr:uid="{00000000-0005-0000-0000-0000E3030000}"/>
    <cellStyle name="Heading 2 2 5" xfId="993" xr:uid="{00000000-0005-0000-0000-0000E4030000}"/>
    <cellStyle name="Heading 2 2 6" xfId="994" xr:uid="{00000000-0005-0000-0000-0000E5030000}"/>
    <cellStyle name="Heading 2 2 7" xfId="995" xr:uid="{00000000-0005-0000-0000-0000E6030000}"/>
    <cellStyle name="Heading 2 2 8" xfId="996" xr:uid="{00000000-0005-0000-0000-0000E7030000}"/>
    <cellStyle name="Heading 2 3" xfId="997" xr:uid="{00000000-0005-0000-0000-0000E8030000}"/>
    <cellStyle name="Heading 2 4" xfId="998" xr:uid="{00000000-0005-0000-0000-0000E9030000}"/>
    <cellStyle name="Heading 3" xfId="999" xr:uid="{00000000-0005-0000-0000-0000EA030000}"/>
    <cellStyle name="Heading 3 2" xfId="1000" xr:uid="{00000000-0005-0000-0000-0000EB030000}"/>
    <cellStyle name="Heading 3 2 2" xfId="1001" xr:uid="{00000000-0005-0000-0000-0000EC030000}"/>
    <cellStyle name="Heading 3 2 3" xfId="1002" xr:uid="{00000000-0005-0000-0000-0000ED030000}"/>
    <cellStyle name="Heading 3 2 4" xfId="1003" xr:uid="{00000000-0005-0000-0000-0000EE030000}"/>
    <cellStyle name="Heading 3 2 5" xfId="1004" xr:uid="{00000000-0005-0000-0000-0000EF030000}"/>
    <cellStyle name="Heading 3 2 6" xfId="1005" xr:uid="{00000000-0005-0000-0000-0000F0030000}"/>
    <cellStyle name="Heading 3 2 7" xfId="1006" xr:uid="{00000000-0005-0000-0000-0000F1030000}"/>
    <cellStyle name="Heading 3 2 8" xfId="1007" xr:uid="{00000000-0005-0000-0000-0000F2030000}"/>
    <cellStyle name="Heading 3 3" xfId="1008" xr:uid="{00000000-0005-0000-0000-0000F3030000}"/>
    <cellStyle name="Heading 3 4" xfId="1009" xr:uid="{00000000-0005-0000-0000-0000F4030000}"/>
    <cellStyle name="Heading 4" xfId="1010" xr:uid="{00000000-0005-0000-0000-0000F5030000}"/>
    <cellStyle name="Heading 4 2" xfId="1011" xr:uid="{00000000-0005-0000-0000-0000F6030000}"/>
    <cellStyle name="Heading 4 2 2" xfId="1012" xr:uid="{00000000-0005-0000-0000-0000F7030000}"/>
    <cellStyle name="Heading 4 2 3" xfId="1013" xr:uid="{00000000-0005-0000-0000-0000F8030000}"/>
    <cellStyle name="Heading 4 2 4" xfId="1014" xr:uid="{00000000-0005-0000-0000-0000F9030000}"/>
    <cellStyle name="Heading 4 2 5" xfId="1015" xr:uid="{00000000-0005-0000-0000-0000FA030000}"/>
    <cellStyle name="Heading 4 2 6" xfId="1016" xr:uid="{00000000-0005-0000-0000-0000FB030000}"/>
    <cellStyle name="Heading 4 2 7" xfId="1017" xr:uid="{00000000-0005-0000-0000-0000FC030000}"/>
    <cellStyle name="Heading 4 2 8" xfId="1018" xr:uid="{00000000-0005-0000-0000-0000FD030000}"/>
    <cellStyle name="Heading 4 3" xfId="1019" xr:uid="{00000000-0005-0000-0000-0000FE030000}"/>
    <cellStyle name="Heading 4 4" xfId="1020" xr:uid="{00000000-0005-0000-0000-0000FF030000}"/>
    <cellStyle name="Heading2" xfId="1021" xr:uid="{00000000-0005-0000-0000-000000040000}"/>
    <cellStyle name="Hipervínculo" xfId="1022" xr:uid="{00000000-0005-0000-0000-000001040000}"/>
    <cellStyle name="Hipervínculo visitado" xfId="1023" xr:uid="{00000000-0005-0000-0000-000002040000}"/>
    <cellStyle name="Hipervínculo_10-01-03 2003 2003 NUEVOS RON -NUEVOS INTERESES" xfId="1024" xr:uid="{00000000-0005-0000-0000-000003040000}"/>
    <cellStyle name="Hyperlink" xfId="1025" builtinId="8"/>
    <cellStyle name="Hyperlink 2" xfId="1026" xr:uid="{00000000-0005-0000-0000-000005040000}"/>
    <cellStyle name="Hyperlink 2 2" xfId="1027" xr:uid="{00000000-0005-0000-0000-000006040000}"/>
    <cellStyle name="Hyperlink 2 2 2" xfId="1028" xr:uid="{00000000-0005-0000-0000-000007040000}"/>
    <cellStyle name="Hyperlink 2 3" xfId="1029" xr:uid="{00000000-0005-0000-0000-000008040000}"/>
    <cellStyle name="Hyperlink 2 4" xfId="1030" xr:uid="{00000000-0005-0000-0000-000009040000}"/>
    <cellStyle name="Hyperlink 2_Map3" xfId="1031" xr:uid="{00000000-0005-0000-0000-00000A040000}"/>
    <cellStyle name="Hyperlink 3" xfId="1032" xr:uid="{00000000-0005-0000-0000-00000B040000}"/>
    <cellStyle name="Hyperlink 3 2" xfId="1033" xr:uid="{00000000-0005-0000-0000-00000C040000}"/>
    <cellStyle name="Hyperlink 4" xfId="1034" xr:uid="{00000000-0005-0000-0000-00000D040000}"/>
    <cellStyle name="Hyperlink 5" xfId="1035" xr:uid="{00000000-0005-0000-0000-00000E040000}"/>
    <cellStyle name="Hyperlink seguido_NFGC_SPE_1995_2003" xfId="1036" xr:uid="{00000000-0005-0000-0000-00000F040000}"/>
    <cellStyle name="imf-one decimal" xfId="1037" xr:uid="{00000000-0005-0000-0000-000010040000}"/>
    <cellStyle name="imf-one decimal 2" xfId="1038" xr:uid="{00000000-0005-0000-0000-000011040000}"/>
    <cellStyle name="imf-one decimal 3" xfId="1039" xr:uid="{00000000-0005-0000-0000-000012040000}"/>
    <cellStyle name="imf-zero decimal" xfId="1040" xr:uid="{00000000-0005-0000-0000-000013040000}"/>
    <cellStyle name="imf-zero decimal 2" xfId="1041" xr:uid="{00000000-0005-0000-0000-000014040000}"/>
    <cellStyle name="imf-zero decimal 3" xfId="1042" xr:uid="{00000000-0005-0000-0000-000015040000}"/>
    <cellStyle name="Input" xfId="1043" xr:uid="{00000000-0005-0000-0000-000016040000}"/>
    <cellStyle name="Input [yellow]" xfId="1044" xr:uid="{00000000-0005-0000-0000-000017040000}"/>
    <cellStyle name="Input [yellow] 2" xfId="1045" xr:uid="{00000000-0005-0000-0000-000018040000}"/>
    <cellStyle name="Input 2" xfId="1046" xr:uid="{00000000-0005-0000-0000-000019040000}"/>
    <cellStyle name="Input 2 2" xfId="1047" xr:uid="{00000000-0005-0000-0000-00001A040000}"/>
    <cellStyle name="Input 2 3" xfId="1048" xr:uid="{00000000-0005-0000-0000-00001B040000}"/>
    <cellStyle name="Input 2 4" xfId="1049" xr:uid="{00000000-0005-0000-0000-00001C040000}"/>
    <cellStyle name="Input 2 5" xfId="1050" xr:uid="{00000000-0005-0000-0000-00001D040000}"/>
    <cellStyle name="Input 2 6" xfId="1051" xr:uid="{00000000-0005-0000-0000-00001E040000}"/>
    <cellStyle name="Input 2 7" xfId="1052" xr:uid="{00000000-0005-0000-0000-00001F040000}"/>
    <cellStyle name="Input 2 8" xfId="1053" xr:uid="{00000000-0005-0000-0000-000020040000}"/>
    <cellStyle name="Input 3" xfId="1054" xr:uid="{00000000-0005-0000-0000-000021040000}"/>
    <cellStyle name="Invoer" xfId="3057" builtinId="20" hidden="1"/>
    <cellStyle name="jo[" xfId="1055" xr:uid="{00000000-0005-0000-0000-000023040000}"/>
    <cellStyle name="Komma_Surya 19juli2016 B" xfId="1056" xr:uid="{00000000-0005-0000-0000-000024040000}"/>
    <cellStyle name="Kop 1" xfId="3050" builtinId="16" hidden="1"/>
    <cellStyle name="Kop 2" xfId="3051" builtinId="17" hidden="1"/>
    <cellStyle name="Kop 3" xfId="3052" builtinId="18" hidden="1"/>
    <cellStyle name="Kop 4" xfId="3053" builtinId="19" hidden="1"/>
    <cellStyle name="LineShade" xfId="1057" xr:uid="{00000000-0005-0000-0000-000029040000}"/>
    <cellStyle name="Link Currency (0)" xfId="1058" xr:uid="{00000000-0005-0000-0000-00002A040000}"/>
    <cellStyle name="Link Currency (2)" xfId="1059" xr:uid="{00000000-0005-0000-0000-00002B040000}"/>
    <cellStyle name="Link Currency (2) 2" xfId="1060" xr:uid="{00000000-0005-0000-0000-00002C040000}"/>
    <cellStyle name="Link Units (0)" xfId="1061" xr:uid="{00000000-0005-0000-0000-00002D040000}"/>
    <cellStyle name="Link Units (1)" xfId="1062" xr:uid="{00000000-0005-0000-0000-00002E040000}"/>
    <cellStyle name="Link Units (2)" xfId="1063" xr:uid="{00000000-0005-0000-0000-00002F040000}"/>
    <cellStyle name="Link Units (2) 2" xfId="1064" xr:uid="{00000000-0005-0000-0000-000030040000}"/>
    <cellStyle name="Linked Cell" xfId="1065" xr:uid="{00000000-0005-0000-0000-000031040000}"/>
    <cellStyle name="Linked Cell 2" xfId="1066" xr:uid="{00000000-0005-0000-0000-000032040000}"/>
    <cellStyle name="Linked Cell 2 2" xfId="1067" xr:uid="{00000000-0005-0000-0000-000033040000}"/>
    <cellStyle name="Linked Cell 2 3" xfId="1068" xr:uid="{00000000-0005-0000-0000-000034040000}"/>
    <cellStyle name="Linked Cell 2 4" xfId="1069" xr:uid="{00000000-0005-0000-0000-000035040000}"/>
    <cellStyle name="Linked Cell 2 5" xfId="1070" xr:uid="{00000000-0005-0000-0000-000036040000}"/>
    <cellStyle name="Linked Cell 2 6" xfId="1071" xr:uid="{00000000-0005-0000-0000-000037040000}"/>
    <cellStyle name="Linked Cell 2 7" xfId="1072" xr:uid="{00000000-0005-0000-0000-000038040000}"/>
    <cellStyle name="Linked Cell 2 8" xfId="1073" xr:uid="{00000000-0005-0000-0000-000039040000}"/>
    <cellStyle name="Linked Cell 3" xfId="1074" xr:uid="{00000000-0005-0000-0000-00003A040000}"/>
    <cellStyle name="Mheading1" xfId="1075" xr:uid="{00000000-0005-0000-0000-00003B040000}"/>
    <cellStyle name="Mheading1 2" xfId="1076" xr:uid="{00000000-0005-0000-0000-00003C040000}"/>
    <cellStyle name="Mheading1 3" xfId="1077" xr:uid="{00000000-0005-0000-0000-00003D040000}"/>
    <cellStyle name="Mheading1 4" xfId="1078" xr:uid="{00000000-0005-0000-0000-00003E040000}"/>
    <cellStyle name="Mheading2" xfId="1079" xr:uid="{00000000-0005-0000-0000-00003F040000}"/>
    <cellStyle name="Millares [0]_11.1.3. bis" xfId="1080" xr:uid="{00000000-0005-0000-0000-000040040000}"/>
    <cellStyle name="Millares_11.1.3. bis" xfId="1081" xr:uid="{00000000-0005-0000-0000-000041040000}"/>
    <cellStyle name="Milliers [0]_Encours - Apr rééch" xfId="1082" xr:uid="{00000000-0005-0000-0000-000042040000}"/>
    <cellStyle name="Milliers_Encours - Apr rééch" xfId="1083" xr:uid="{00000000-0005-0000-0000-000043040000}"/>
    <cellStyle name="Moeda [0]_A" xfId="1084" xr:uid="{00000000-0005-0000-0000-000044040000}"/>
    <cellStyle name="Moeda_A" xfId="1085" xr:uid="{00000000-0005-0000-0000-000045040000}"/>
    <cellStyle name="Moeda0" xfId="1086" xr:uid="{00000000-0005-0000-0000-000046040000}"/>
    <cellStyle name="Moneda [0]_11.1.3. bis" xfId="1087" xr:uid="{00000000-0005-0000-0000-000047040000}"/>
    <cellStyle name="Moneda_11.1.3. bis" xfId="1088" xr:uid="{00000000-0005-0000-0000-000048040000}"/>
    <cellStyle name="Monétaire [0]_Encours - Apr rééch" xfId="1089" xr:uid="{00000000-0005-0000-0000-000049040000}"/>
    <cellStyle name="Monétaire_Encours - Apr rééch" xfId="1090" xr:uid="{00000000-0005-0000-0000-00004A040000}"/>
    <cellStyle name="Monetario" xfId="1091" xr:uid="{00000000-0005-0000-0000-00004B040000}"/>
    <cellStyle name="Monetario0" xfId="1092" xr:uid="{00000000-0005-0000-0000-00004C040000}"/>
    <cellStyle name="Neutraal" xfId="3056" builtinId="28" hidden="1"/>
    <cellStyle name="Neutral" xfId="1093" xr:uid="{00000000-0005-0000-0000-00004E040000}"/>
    <cellStyle name="Neutral 2" xfId="1094" xr:uid="{00000000-0005-0000-0000-00004F040000}"/>
    <cellStyle name="Neutral 2 2" xfId="1095" xr:uid="{00000000-0005-0000-0000-000050040000}"/>
    <cellStyle name="Neutral 2 3" xfId="1096" xr:uid="{00000000-0005-0000-0000-000051040000}"/>
    <cellStyle name="Neutral 2 4" xfId="1097" xr:uid="{00000000-0005-0000-0000-000052040000}"/>
    <cellStyle name="Neutral 2 5" xfId="1098" xr:uid="{00000000-0005-0000-0000-000053040000}"/>
    <cellStyle name="Neutral 2 6" xfId="1099" xr:uid="{00000000-0005-0000-0000-000054040000}"/>
    <cellStyle name="Neutral 2 7" xfId="1100" xr:uid="{00000000-0005-0000-0000-000055040000}"/>
    <cellStyle name="Neutral 2 8" xfId="1101" xr:uid="{00000000-0005-0000-0000-000056040000}"/>
    <cellStyle name="Neutral 3" xfId="1102" xr:uid="{00000000-0005-0000-0000-000057040000}"/>
    <cellStyle name="Non défini" xfId="1103" xr:uid="{00000000-0005-0000-0000-000058040000}"/>
    <cellStyle name="Normal - Style1" xfId="1104" xr:uid="{00000000-0005-0000-0000-000059040000}"/>
    <cellStyle name="Normal - Style1 2" xfId="1105" xr:uid="{00000000-0005-0000-0000-00005A040000}"/>
    <cellStyle name="Normal - Style1 3" xfId="1106" xr:uid="{00000000-0005-0000-0000-00005B040000}"/>
    <cellStyle name="Normal - Style2" xfId="1107" xr:uid="{00000000-0005-0000-0000-00005C040000}"/>
    <cellStyle name="Normal - Style3" xfId="1108" xr:uid="{00000000-0005-0000-0000-00005D040000}"/>
    <cellStyle name="Normal - Style4" xfId="1109" xr:uid="{00000000-0005-0000-0000-00005E040000}"/>
    <cellStyle name="Normal 10" xfId="1110" xr:uid="{00000000-0005-0000-0000-00005F040000}"/>
    <cellStyle name="Normal 10 2" xfId="1111" xr:uid="{00000000-0005-0000-0000-000060040000}"/>
    <cellStyle name="Normal 10 2 2" xfId="1112" xr:uid="{00000000-0005-0000-0000-000061040000}"/>
    <cellStyle name="Normal 10 2 3" xfId="1113" xr:uid="{00000000-0005-0000-0000-000062040000}"/>
    <cellStyle name="Normal 10 2 4" xfId="1114" xr:uid="{00000000-0005-0000-0000-000063040000}"/>
    <cellStyle name="Normal 10 3" xfId="1115" xr:uid="{00000000-0005-0000-0000-000064040000}"/>
    <cellStyle name="Normal 10 3 2" xfId="1116" xr:uid="{00000000-0005-0000-0000-000065040000}"/>
    <cellStyle name="Normal 10 3 3" xfId="1117" xr:uid="{00000000-0005-0000-0000-000066040000}"/>
    <cellStyle name="Normal 10 4" xfId="1118" xr:uid="{00000000-0005-0000-0000-000067040000}"/>
    <cellStyle name="Normal 10 5" xfId="1119" xr:uid="{00000000-0005-0000-0000-000068040000}"/>
    <cellStyle name="Normal 10 6" xfId="1120" xr:uid="{00000000-0005-0000-0000-000069040000}"/>
    <cellStyle name="Normal 10 7" xfId="1121" xr:uid="{00000000-0005-0000-0000-00006A040000}"/>
    <cellStyle name="Normal 10 8" xfId="1122" xr:uid="{00000000-0005-0000-0000-00006B040000}"/>
    <cellStyle name="Normal 100" xfId="1123" xr:uid="{00000000-0005-0000-0000-00006C040000}"/>
    <cellStyle name="Normal 100 2" xfId="1124" xr:uid="{00000000-0005-0000-0000-00006D040000}"/>
    <cellStyle name="Normal 100 2 2" xfId="1125" xr:uid="{00000000-0005-0000-0000-00006E040000}"/>
    <cellStyle name="Normal 100 3" xfId="1126" xr:uid="{00000000-0005-0000-0000-00006F040000}"/>
    <cellStyle name="Normal 100 3 2" xfId="1127" xr:uid="{00000000-0005-0000-0000-000070040000}"/>
    <cellStyle name="Normal 100 4" xfId="1128" xr:uid="{00000000-0005-0000-0000-000071040000}"/>
    <cellStyle name="Normal 100 5" xfId="1129" xr:uid="{00000000-0005-0000-0000-000072040000}"/>
    <cellStyle name="Normal 101" xfId="1130" xr:uid="{00000000-0005-0000-0000-000073040000}"/>
    <cellStyle name="Normal 101 2" xfId="1131" xr:uid="{00000000-0005-0000-0000-000074040000}"/>
    <cellStyle name="Normal 101 2 2" xfId="1132" xr:uid="{00000000-0005-0000-0000-000075040000}"/>
    <cellStyle name="Normal 101 3" xfId="1133" xr:uid="{00000000-0005-0000-0000-000076040000}"/>
    <cellStyle name="Normal 101 3 2" xfId="1134" xr:uid="{00000000-0005-0000-0000-000077040000}"/>
    <cellStyle name="Normal 101 4" xfId="1135" xr:uid="{00000000-0005-0000-0000-000078040000}"/>
    <cellStyle name="Normal 101 5" xfId="1136" xr:uid="{00000000-0005-0000-0000-000079040000}"/>
    <cellStyle name="Normal 102" xfId="1137" xr:uid="{00000000-0005-0000-0000-00007A040000}"/>
    <cellStyle name="Normal 102 2" xfId="1138" xr:uid="{00000000-0005-0000-0000-00007B040000}"/>
    <cellStyle name="Normal 102 2 2" xfId="1139" xr:uid="{00000000-0005-0000-0000-00007C040000}"/>
    <cellStyle name="Normal 102 3" xfId="1140" xr:uid="{00000000-0005-0000-0000-00007D040000}"/>
    <cellStyle name="Normal 102 3 2" xfId="1141" xr:uid="{00000000-0005-0000-0000-00007E040000}"/>
    <cellStyle name="Normal 102 4" xfId="1142" xr:uid="{00000000-0005-0000-0000-00007F040000}"/>
    <cellStyle name="Normal 102 5" xfId="1143" xr:uid="{00000000-0005-0000-0000-000080040000}"/>
    <cellStyle name="Normal 103" xfId="1144" xr:uid="{00000000-0005-0000-0000-000081040000}"/>
    <cellStyle name="Normal 103 2" xfId="1145" xr:uid="{00000000-0005-0000-0000-000082040000}"/>
    <cellStyle name="Normal 103 2 2" xfId="1146" xr:uid="{00000000-0005-0000-0000-000083040000}"/>
    <cellStyle name="Normal 103 3" xfId="1147" xr:uid="{00000000-0005-0000-0000-000084040000}"/>
    <cellStyle name="Normal 103 3 2" xfId="1148" xr:uid="{00000000-0005-0000-0000-000085040000}"/>
    <cellStyle name="Normal 103 4" xfId="1149" xr:uid="{00000000-0005-0000-0000-000086040000}"/>
    <cellStyle name="Normal 104" xfId="1150" xr:uid="{00000000-0005-0000-0000-000087040000}"/>
    <cellStyle name="Normal 104 2" xfId="1151" xr:uid="{00000000-0005-0000-0000-000088040000}"/>
    <cellStyle name="Normal 104 2 2" xfId="1152" xr:uid="{00000000-0005-0000-0000-000089040000}"/>
    <cellStyle name="Normal 104 3" xfId="1153" xr:uid="{00000000-0005-0000-0000-00008A040000}"/>
    <cellStyle name="Normal 104 3 2" xfId="1154" xr:uid="{00000000-0005-0000-0000-00008B040000}"/>
    <cellStyle name="Normal 104 4" xfId="1155" xr:uid="{00000000-0005-0000-0000-00008C040000}"/>
    <cellStyle name="Normal 105" xfId="1156" xr:uid="{00000000-0005-0000-0000-00008D040000}"/>
    <cellStyle name="Normal 105 2" xfId="1157" xr:uid="{00000000-0005-0000-0000-00008E040000}"/>
    <cellStyle name="Normal 105 2 2" xfId="1158" xr:uid="{00000000-0005-0000-0000-00008F040000}"/>
    <cellStyle name="Normal 105 3" xfId="1159" xr:uid="{00000000-0005-0000-0000-000090040000}"/>
    <cellStyle name="Normal 105 3 2" xfId="1160" xr:uid="{00000000-0005-0000-0000-000091040000}"/>
    <cellStyle name="Normal 105 4" xfId="1161" xr:uid="{00000000-0005-0000-0000-000092040000}"/>
    <cellStyle name="Normal 105 5" xfId="1162" xr:uid="{00000000-0005-0000-0000-000093040000}"/>
    <cellStyle name="Normal 106" xfId="1163" xr:uid="{00000000-0005-0000-0000-000094040000}"/>
    <cellStyle name="Normal 106 2" xfId="1164" xr:uid="{00000000-0005-0000-0000-000095040000}"/>
    <cellStyle name="Normal 106 2 2" xfId="1165" xr:uid="{00000000-0005-0000-0000-000096040000}"/>
    <cellStyle name="Normal 106 3" xfId="1166" xr:uid="{00000000-0005-0000-0000-000097040000}"/>
    <cellStyle name="Normal 106 3 2" xfId="1167" xr:uid="{00000000-0005-0000-0000-000098040000}"/>
    <cellStyle name="Normal 106 4" xfId="1168" xr:uid="{00000000-0005-0000-0000-000099040000}"/>
    <cellStyle name="Normal 107" xfId="1169" xr:uid="{00000000-0005-0000-0000-00009A040000}"/>
    <cellStyle name="Normal 107 2" xfId="1170" xr:uid="{00000000-0005-0000-0000-00009B040000}"/>
    <cellStyle name="Normal 107 2 2" xfId="1171" xr:uid="{00000000-0005-0000-0000-00009C040000}"/>
    <cellStyle name="Normal 107 3" xfId="1172" xr:uid="{00000000-0005-0000-0000-00009D040000}"/>
    <cellStyle name="Normal 107 3 2" xfId="1173" xr:uid="{00000000-0005-0000-0000-00009E040000}"/>
    <cellStyle name="Normal 107 4" xfId="1174" xr:uid="{00000000-0005-0000-0000-00009F040000}"/>
    <cellStyle name="Normal 108" xfId="1175" xr:uid="{00000000-0005-0000-0000-0000A0040000}"/>
    <cellStyle name="Normal 108 2" xfId="1176" xr:uid="{00000000-0005-0000-0000-0000A1040000}"/>
    <cellStyle name="Normal 108 2 2" xfId="1177" xr:uid="{00000000-0005-0000-0000-0000A2040000}"/>
    <cellStyle name="Normal 108 3" xfId="1178" xr:uid="{00000000-0005-0000-0000-0000A3040000}"/>
    <cellStyle name="Normal 108 3 2" xfId="1179" xr:uid="{00000000-0005-0000-0000-0000A4040000}"/>
    <cellStyle name="Normal 108 4" xfId="1180" xr:uid="{00000000-0005-0000-0000-0000A5040000}"/>
    <cellStyle name="Normal 108 5" xfId="1181" xr:uid="{00000000-0005-0000-0000-0000A6040000}"/>
    <cellStyle name="Normal 109" xfId="1182" xr:uid="{00000000-0005-0000-0000-0000A7040000}"/>
    <cellStyle name="Normal 109 2" xfId="1183" xr:uid="{00000000-0005-0000-0000-0000A8040000}"/>
    <cellStyle name="Normal 109 2 2" xfId="1184" xr:uid="{00000000-0005-0000-0000-0000A9040000}"/>
    <cellStyle name="Normal 109 3" xfId="1185" xr:uid="{00000000-0005-0000-0000-0000AA040000}"/>
    <cellStyle name="Normal 109 3 2" xfId="1186" xr:uid="{00000000-0005-0000-0000-0000AB040000}"/>
    <cellStyle name="Normal 109 4" xfId="1187" xr:uid="{00000000-0005-0000-0000-0000AC040000}"/>
    <cellStyle name="Normal 109 5" xfId="1188" xr:uid="{00000000-0005-0000-0000-0000AD040000}"/>
    <cellStyle name="Normal 11" xfId="1189" xr:uid="{00000000-0005-0000-0000-0000AE040000}"/>
    <cellStyle name="Normal 11 2" xfId="1190" xr:uid="{00000000-0005-0000-0000-0000AF040000}"/>
    <cellStyle name="Normal 11 2 2" xfId="1191" xr:uid="{00000000-0005-0000-0000-0000B0040000}"/>
    <cellStyle name="Normal 11 2 2 2" xfId="1192" xr:uid="{00000000-0005-0000-0000-0000B1040000}"/>
    <cellStyle name="Normal 11 2 3" xfId="1193" xr:uid="{00000000-0005-0000-0000-0000B2040000}"/>
    <cellStyle name="Normal 11 2 3 2" xfId="1194" xr:uid="{00000000-0005-0000-0000-0000B3040000}"/>
    <cellStyle name="Normal 11 2 4" xfId="1195" xr:uid="{00000000-0005-0000-0000-0000B4040000}"/>
    <cellStyle name="Normal 11 2 5" xfId="1196" xr:uid="{00000000-0005-0000-0000-0000B5040000}"/>
    <cellStyle name="Normal 11 3" xfId="1197" xr:uid="{00000000-0005-0000-0000-0000B6040000}"/>
    <cellStyle name="Normal 11 3 2" xfId="1198" xr:uid="{00000000-0005-0000-0000-0000B7040000}"/>
    <cellStyle name="Normal 11 4" xfId="1199" xr:uid="{00000000-0005-0000-0000-0000B8040000}"/>
    <cellStyle name="Normal 11 4 2" xfId="1200" xr:uid="{00000000-0005-0000-0000-0000B9040000}"/>
    <cellStyle name="Normal 11 5" xfId="1201" xr:uid="{00000000-0005-0000-0000-0000BA040000}"/>
    <cellStyle name="Normal 11 6" xfId="1202" xr:uid="{00000000-0005-0000-0000-0000BB040000}"/>
    <cellStyle name="Normal 11 7" xfId="1203" xr:uid="{00000000-0005-0000-0000-0000BC040000}"/>
    <cellStyle name="Normal 11 8" xfId="1204" xr:uid="{00000000-0005-0000-0000-0000BD040000}"/>
    <cellStyle name="Normal 110" xfId="1205" xr:uid="{00000000-0005-0000-0000-0000BE040000}"/>
    <cellStyle name="Normal 110 2" xfId="1206" xr:uid="{00000000-0005-0000-0000-0000BF040000}"/>
    <cellStyle name="Normal 110 2 2" xfId="1207" xr:uid="{00000000-0005-0000-0000-0000C0040000}"/>
    <cellStyle name="Normal 110 3" xfId="1208" xr:uid="{00000000-0005-0000-0000-0000C1040000}"/>
    <cellStyle name="Normal 110 3 2" xfId="1209" xr:uid="{00000000-0005-0000-0000-0000C2040000}"/>
    <cellStyle name="Normal 110 4" xfId="1210" xr:uid="{00000000-0005-0000-0000-0000C3040000}"/>
    <cellStyle name="Normal 110 5" xfId="1211" xr:uid="{00000000-0005-0000-0000-0000C4040000}"/>
    <cellStyle name="Normal 111" xfId="1212" xr:uid="{00000000-0005-0000-0000-0000C5040000}"/>
    <cellStyle name="Normal 111 2" xfId="1213" xr:uid="{00000000-0005-0000-0000-0000C6040000}"/>
    <cellStyle name="Normal 111 2 2" xfId="1214" xr:uid="{00000000-0005-0000-0000-0000C7040000}"/>
    <cellStyle name="Normal 111 3" xfId="1215" xr:uid="{00000000-0005-0000-0000-0000C8040000}"/>
    <cellStyle name="Normal 111 3 2" xfId="1216" xr:uid="{00000000-0005-0000-0000-0000C9040000}"/>
    <cellStyle name="Normal 111 4" xfId="1217" xr:uid="{00000000-0005-0000-0000-0000CA040000}"/>
    <cellStyle name="Normal 112" xfId="1218" xr:uid="{00000000-0005-0000-0000-0000CB040000}"/>
    <cellStyle name="Normal 112 2" xfId="1219" xr:uid="{00000000-0005-0000-0000-0000CC040000}"/>
    <cellStyle name="Normal 112 2 2" xfId="1220" xr:uid="{00000000-0005-0000-0000-0000CD040000}"/>
    <cellStyle name="Normal 112 3" xfId="1221" xr:uid="{00000000-0005-0000-0000-0000CE040000}"/>
    <cellStyle name="Normal 112 3 2" xfId="1222" xr:uid="{00000000-0005-0000-0000-0000CF040000}"/>
    <cellStyle name="Normal 112 4" xfId="1223" xr:uid="{00000000-0005-0000-0000-0000D0040000}"/>
    <cellStyle name="Normal 113" xfId="1224" xr:uid="{00000000-0005-0000-0000-0000D1040000}"/>
    <cellStyle name="Normal 113 2" xfId="1225" xr:uid="{00000000-0005-0000-0000-0000D2040000}"/>
    <cellStyle name="Normal 113 2 2" xfId="1226" xr:uid="{00000000-0005-0000-0000-0000D3040000}"/>
    <cellStyle name="Normal 113 3" xfId="1227" xr:uid="{00000000-0005-0000-0000-0000D4040000}"/>
    <cellStyle name="Normal 113 3 2" xfId="1228" xr:uid="{00000000-0005-0000-0000-0000D5040000}"/>
    <cellStyle name="Normal 113 4" xfId="1229" xr:uid="{00000000-0005-0000-0000-0000D6040000}"/>
    <cellStyle name="Normal 114" xfId="1230" xr:uid="{00000000-0005-0000-0000-0000D7040000}"/>
    <cellStyle name="Normal 114 2" xfId="1231" xr:uid="{00000000-0005-0000-0000-0000D8040000}"/>
    <cellStyle name="Normal 114 2 2" xfId="1232" xr:uid="{00000000-0005-0000-0000-0000D9040000}"/>
    <cellStyle name="Normal 114 3" xfId="1233" xr:uid="{00000000-0005-0000-0000-0000DA040000}"/>
    <cellStyle name="Normal 114 3 2" xfId="1234" xr:uid="{00000000-0005-0000-0000-0000DB040000}"/>
    <cellStyle name="Normal 114 4" xfId="1235" xr:uid="{00000000-0005-0000-0000-0000DC040000}"/>
    <cellStyle name="Normal 114 5" xfId="1236" xr:uid="{00000000-0005-0000-0000-0000DD040000}"/>
    <cellStyle name="Normal 115" xfId="1237" xr:uid="{00000000-0005-0000-0000-0000DE040000}"/>
    <cellStyle name="Normal 115 2" xfId="1238" xr:uid="{00000000-0005-0000-0000-0000DF040000}"/>
    <cellStyle name="Normal 115 2 2" xfId="1239" xr:uid="{00000000-0005-0000-0000-0000E0040000}"/>
    <cellStyle name="Normal 115 3" xfId="1240" xr:uid="{00000000-0005-0000-0000-0000E1040000}"/>
    <cellStyle name="Normal 115 3 2" xfId="1241" xr:uid="{00000000-0005-0000-0000-0000E2040000}"/>
    <cellStyle name="Normal 115 4" xfId="1242" xr:uid="{00000000-0005-0000-0000-0000E3040000}"/>
    <cellStyle name="Normal 115 5" xfId="1243" xr:uid="{00000000-0005-0000-0000-0000E4040000}"/>
    <cellStyle name="Normal 116" xfId="1244" xr:uid="{00000000-0005-0000-0000-0000E5040000}"/>
    <cellStyle name="Normal 116 2" xfId="1245" xr:uid="{00000000-0005-0000-0000-0000E6040000}"/>
    <cellStyle name="Normal 116 2 2" xfId="1246" xr:uid="{00000000-0005-0000-0000-0000E7040000}"/>
    <cellStyle name="Normal 116 3" xfId="1247" xr:uid="{00000000-0005-0000-0000-0000E8040000}"/>
    <cellStyle name="Normal 116 3 2" xfId="1248" xr:uid="{00000000-0005-0000-0000-0000E9040000}"/>
    <cellStyle name="Normal 116 4" xfId="1249" xr:uid="{00000000-0005-0000-0000-0000EA040000}"/>
    <cellStyle name="Normal 117" xfId="1250" xr:uid="{00000000-0005-0000-0000-0000EB040000}"/>
    <cellStyle name="Normal 117 2" xfId="1251" xr:uid="{00000000-0005-0000-0000-0000EC040000}"/>
    <cellStyle name="Normal 117 2 2" xfId="1252" xr:uid="{00000000-0005-0000-0000-0000ED040000}"/>
    <cellStyle name="Normal 117 3" xfId="1253" xr:uid="{00000000-0005-0000-0000-0000EE040000}"/>
    <cellStyle name="Normal 117 3 2" xfId="1254" xr:uid="{00000000-0005-0000-0000-0000EF040000}"/>
    <cellStyle name="Normal 117 4" xfId="1255" xr:uid="{00000000-0005-0000-0000-0000F0040000}"/>
    <cellStyle name="Normal 117 5" xfId="1256" xr:uid="{00000000-0005-0000-0000-0000F1040000}"/>
    <cellStyle name="Normal 118" xfId="1257" xr:uid="{00000000-0005-0000-0000-0000F2040000}"/>
    <cellStyle name="Normal 118 2" xfId="1258" xr:uid="{00000000-0005-0000-0000-0000F3040000}"/>
    <cellStyle name="Normal 118 2 2" xfId="1259" xr:uid="{00000000-0005-0000-0000-0000F4040000}"/>
    <cellStyle name="Normal 118 3" xfId="1260" xr:uid="{00000000-0005-0000-0000-0000F5040000}"/>
    <cellStyle name="Normal 118 3 2" xfId="1261" xr:uid="{00000000-0005-0000-0000-0000F6040000}"/>
    <cellStyle name="Normal 118 4" xfId="1262" xr:uid="{00000000-0005-0000-0000-0000F7040000}"/>
    <cellStyle name="Normal 119" xfId="1263" xr:uid="{00000000-0005-0000-0000-0000F8040000}"/>
    <cellStyle name="Normal 119 2" xfId="1264" xr:uid="{00000000-0005-0000-0000-0000F9040000}"/>
    <cellStyle name="Normal 119 2 2" xfId="1265" xr:uid="{00000000-0005-0000-0000-0000FA040000}"/>
    <cellStyle name="Normal 119 3" xfId="1266" xr:uid="{00000000-0005-0000-0000-0000FB040000}"/>
    <cellStyle name="Normal 119 3 2" xfId="1267" xr:uid="{00000000-0005-0000-0000-0000FC040000}"/>
    <cellStyle name="Normal 119 4" xfId="1268" xr:uid="{00000000-0005-0000-0000-0000FD040000}"/>
    <cellStyle name="Normal 119 5" xfId="1269" xr:uid="{00000000-0005-0000-0000-0000FE040000}"/>
    <cellStyle name="Normal 12" xfId="1270" xr:uid="{00000000-0005-0000-0000-0000FF040000}"/>
    <cellStyle name="Normal 12 2" xfId="1271" xr:uid="{00000000-0005-0000-0000-000000050000}"/>
    <cellStyle name="Normal 12 2 2" xfId="1272" xr:uid="{00000000-0005-0000-0000-000001050000}"/>
    <cellStyle name="Normal 12 2 2 2" xfId="1273" xr:uid="{00000000-0005-0000-0000-000002050000}"/>
    <cellStyle name="Normal 12 2 3" xfId="1274" xr:uid="{00000000-0005-0000-0000-000003050000}"/>
    <cellStyle name="Normal 12 2 3 2" xfId="1275" xr:uid="{00000000-0005-0000-0000-000004050000}"/>
    <cellStyle name="Normal 12 2 4" xfId="1276" xr:uid="{00000000-0005-0000-0000-000005050000}"/>
    <cellStyle name="Normal 12 2 5" xfId="1277" xr:uid="{00000000-0005-0000-0000-000006050000}"/>
    <cellStyle name="Normal 12 3" xfId="1278" xr:uid="{00000000-0005-0000-0000-000007050000}"/>
    <cellStyle name="Normal 12 3 2" xfId="1279" xr:uid="{00000000-0005-0000-0000-000008050000}"/>
    <cellStyle name="Normal 12 4" xfId="1280" xr:uid="{00000000-0005-0000-0000-000009050000}"/>
    <cellStyle name="Normal 12 4 2" xfId="1281" xr:uid="{00000000-0005-0000-0000-00000A050000}"/>
    <cellStyle name="Normal 12 5" xfId="1282" xr:uid="{00000000-0005-0000-0000-00000B050000}"/>
    <cellStyle name="Normal 12 6" xfId="1283" xr:uid="{00000000-0005-0000-0000-00000C050000}"/>
    <cellStyle name="Normal 12 7" xfId="1284" xr:uid="{00000000-0005-0000-0000-00000D050000}"/>
    <cellStyle name="Normal 12 8" xfId="1285" xr:uid="{00000000-0005-0000-0000-00000E050000}"/>
    <cellStyle name="Normal 120" xfId="1286" xr:uid="{00000000-0005-0000-0000-00000F050000}"/>
    <cellStyle name="Normal 120 2" xfId="1287" xr:uid="{00000000-0005-0000-0000-000010050000}"/>
    <cellStyle name="Normal 120 2 2" xfId="1288" xr:uid="{00000000-0005-0000-0000-000011050000}"/>
    <cellStyle name="Normal 120 3" xfId="1289" xr:uid="{00000000-0005-0000-0000-000012050000}"/>
    <cellStyle name="Normal 120 3 2" xfId="1290" xr:uid="{00000000-0005-0000-0000-000013050000}"/>
    <cellStyle name="Normal 120 4" xfId="1291" xr:uid="{00000000-0005-0000-0000-000014050000}"/>
    <cellStyle name="Normal 120 5" xfId="1292" xr:uid="{00000000-0005-0000-0000-000015050000}"/>
    <cellStyle name="Normal 121" xfId="1293" xr:uid="{00000000-0005-0000-0000-000016050000}"/>
    <cellStyle name="Normal 121 2" xfId="1294" xr:uid="{00000000-0005-0000-0000-000017050000}"/>
    <cellStyle name="Normal 121 2 2" xfId="1295" xr:uid="{00000000-0005-0000-0000-000018050000}"/>
    <cellStyle name="Normal 121 3" xfId="1296" xr:uid="{00000000-0005-0000-0000-000019050000}"/>
    <cellStyle name="Normal 121 3 2" xfId="1297" xr:uid="{00000000-0005-0000-0000-00001A050000}"/>
    <cellStyle name="Normal 121 4" xfId="1298" xr:uid="{00000000-0005-0000-0000-00001B050000}"/>
    <cellStyle name="Normal 121 5" xfId="1299" xr:uid="{00000000-0005-0000-0000-00001C050000}"/>
    <cellStyle name="Normal 122" xfId="1300" xr:uid="{00000000-0005-0000-0000-00001D050000}"/>
    <cellStyle name="Normal 122 2" xfId="1301" xr:uid="{00000000-0005-0000-0000-00001E050000}"/>
    <cellStyle name="Normal 122 2 2" xfId="1302" xr:uid="{00000000-0005-0000-0000-00001F050000}"/>
    <cellStyle name="Normal 122 3" xfId="1303" xr:uid="{00000000-0005-0000-0000-000020050000}"/>
    <cellStyle name="Normal 122 3 2" xfId="1304" xr:uid="{00000000-0005-0000-0000-000021050000}"/>
    <cellStyle name="Normal 122 4" xfId="1305" xr:uid="{00000000-0005-0000-0000-000022050000}"/>
    <cellStyle name="Normal 122 5" xfId="1306" xr:uid="{00000000-0005-0000-0000-000023050000}"/>
    <cellStyle name="Normal 123" xfId="1307" xr:uid="{00000000-0005-0000-0000-000024050000}"/>
    <cellStyle name="Normal 123 2" xfId="1308" xr:uid="{00000000-0005-0000-0000-000025050000}"/>
    <cellStyle name="Normal 123 2 2" xfId="1309" xr:uid="{00000000-0005-0000-0000-000026050000}"/>
    <cellStyle name="Normal 123 3" xfId="1310" xr:uid="{00000000-0005-0000-0000-000027050000}"/>
    <cellStyle name="Normal 123 3 2" xfId="1311" xr:uid="{00000000-0005-0000-0000-000028050000}"/>
    <cellStyle name="Normal 123 4" xfId="1312" xr:uid="{00000000-0005-0000-0000-000029050000}"/>
    <cellStyle name="Normal 123 5" xfId="1313" xr:uid="{00000000-0005-0000-0000-00002A050000}"/>
    <cellStyle name="Normal 124" xfId="1314" xr:uid="{00000000-0005-0000-0000-00002B050000}"/>
    <cellStyle name="Normal 124 2" xfId="1315" xr:uid="{00000000-0005-0000-0000-00002C050000}"/>
    <cellStyle name="Normal 124 2 2" xfId="1316" xr:uid="{00000000-0005-0000-0000-00002D050000}"/>
    <cellStyle name="Normal 124 3" xfId="1317" xr:uid="{00000000-0005-0000-0000-00002E050000}"/>
    <cellStyle name="Normal 124 3 2" xfId="1318" xr:uid="{00000000-0005-0000-0000-00002F050000}"/>
    <cellStyle name="Normal 124 4" xfId="1319" xr:uid="{00000000-0005-0000-0000-000030050000}"/>
    <cellStyle name="Normal 125" xfId="1320" xr:uid="{00000000-0005-0000-0000-000031050000}"/>
    <cellStyle name="Normal 125 2" xfId="1321" xr:uid="{00000000-0005-0000-0000-000032050000}"/>
    <cellStyle name="Normal 125 2 2" xfId="1322" xr:uid="{00000000-0005-0000-0000-000033050000}"/>
    <cellStyle name="Normal 125 3" xfId="1323" xr:uid="{00000000-0005-0000-0000-000034050000}"/>
    <cellStyle name="Normal 125 3 2" xfId="1324" xr:uid="{00000000-0005-0000-0000-000035050000}"/>
    <cellStyle name="Normal 125 4" xfId="1325" xr:uid="{00000000-0005-0000-0000-000036050000}"/>
    <cellStyle name="Normal 126" xfId="1326" xr:uid="{00000000-0005-0000-0000-000037050000}"/>
    <cellStyle name="Normal 126 2" xfId="1327" xr:uid="{00000000-0005-0000-0000-000038050000}"/>
    <cellStyle name="Normal 126 2 2" xfId="1328" xr:uid="{00000000-0005-0000-0000-000039050000}"/>
    <cellStyle name="Normal 126 3" xfId="1329" xr:uid="{00000000-0005-0000-0000-00003A050000}"/>
    <cellStyle name="Normal 126 3 2" xfId="1330" xr:uid="{00000000-0005-0000-0000-00003B050000}"/>
    <cellStyle name="Normal 126 4" xfId="1331" xr:uid="{00000000-0005-0000-0000-00003C050000}"/>
    <cellStyle name="Normal 127" xfId="1332" xr:uid="{00000000-0005-0000-0000-00003D050000}"/>
    <cellStyle name="Normal 127 2" xfId="1333" xr:uid="{00000000-0005-0000-0000-00003E050000}"/>
    <cellStyle name="Normal 127 3" xfId="1334" xr:uid="{00000000-0005-0000-0000-00003F050000}"/>
    <cellStyle name="Normal 128" xfId="1335" xr:uid="{00000000-0005-0000-0000-000040050000}"/>
    <cellStyle name="Normal 128 2" xfId="1336" xr:uid="{00000000-0005-0000-0000-000041050000}"/>
    <cellStyle name="Normal 128 2 2" xfId="1337" xr:uid="{00000000-0005-0000-0000-000042050000}"/>
    <cellStyle name="Normal 128 3" xfId="1338" xr:uid="{00000000-0005-0000-0000-000043050000}"/>
    <cellStyle name="Normal 128 3 2" xfId="1339" xr:uid="{00000000-0005-0000-0000-000044050000}"/>
    <cellStyle name="Normal 128 4" xfId="1340" xr:uid="{00000000-0005-0000-0000-000045050000}"/>
    <cellStyle name="Normal 129" xfId="1341" xr:uid="{00000000-0005-0000-0000-000046050000}"/>
    <cellStyle name="Normal 129 2" xfId="1342" xr:uid="{00000000-0005-0000-0000-000047050000}"/>
    <cellStyle name="Normal 129 2 2" xfId="1343" xr:uid="{00000000-0005-0000-0000-000048050000}"/>
    <cellStyle name="Normal 129 3" xfId="1344" xr:uid="{00000000-0005-0000-0000-000049050000}"/>
    <cellStyle name="Normal 129 3 2" xfId="1345" xr:uid="{00000000-0005-0000-0000-00004A050000}"/>
    <cellStyle name="Normal 129 4" xfId="1346" xr:uid="{00000000-0005-0000-0000-00004B050000}"/>
    <cellStyle name="Normal 13" xfId="1347" xr:uid="{00000000-0005-0000-0000-00004C050000}"/>
    <cellStyle name="Normal 13 2" xfId="1348" xr:uid="{00000000-0005-0000-0000-00004D050000}"/>
    <cellStyle name="Normal 13 2 2" xfId="1349" xr:uid="{00000000-0005-0000-0000-00004E050000}"/>
    <cellStyle name="Normal 13 2 3" xfId="1350" xr:uid="{00000000-0005-0000-0000-00004F050000}"/>
    <cellStyle name="Normal 13 3" xfId="1351" xr:uid="{00000000-0005-0000-0000-000050050000}"/>
    <cellStyle name="Normal 13 3 2" xfId="1352" xr:uid="{00000000-0005-0000-0000-000051050000}"/>
    <cellStyle name="Normal 13 4" xfId="1353" xr:uid="{00000000-0005-0000-0000-000052050000}"/>
    <cellStyle name="Normal 13 5" xfId="1354" xr:uid="{00000000-0005-0000-0000-000053050000}"/>
    <cellStyle name="Normal 13 6" xfId="1355" xr:uid="{00000000-0005-0000-0000-000054050000}"/>
    <cellStyle name="Normal 130" xfId="1356" xr:uid="{00000000-0005-0000-0000-000055050000}"/>
    <cellStyle name="Normal 130 2" xfId="1357" xr:uid="{00000000-0005-0000-0000-000056050000}"/>
    <cellStyle name="Normal 130 2 2" xfId="1358" xr:uid="{00000000-0005-0000-0000-000057050000}"/>
    <cellStyle name="Normal 130 2 3" xfId="1359" xr:uid="{00000000-0005-0000-0000-000058050000}"/>
    <cellStyle name="Normal 130 3" xfId="1360" xr:uid="{00000000-0005-0000-0000-000059050000}"/>
    <cellStyle name="Normal 130 3 2" xfId="1361" xr:uid="{00000000-0005-0000-0000-00005A050000}"/>
    <cellStyle name="Normal 130 4" xfId="1362" xr:uid="{00000000-0005-0000-0000-00005B050000}"/>
    <cellStyle name="Normal 130 4 2" xfId="1363" xr:uid="{00000000-0005-0000-0000-00005C050000}"/>
    <cellStyle name="Normal 130 5" xfId="1364" xr:uid="{00000000-0005-0000-0000-00005D050000}"/>
    <cellStyle name="Normal 131" xfId="1365" xr:uid="{00000000-0005-0000-0000-00005E050000}"/>
    <cellStyle name="Normal 131 2" xfId="1366" xr:uid="{00000000-0005-0000-0000-00005F050000}"/>
    <cellStyle name="Normal 131 2 2" xfId="1367" xr:uid="{00000000-0005-0000-0000-000060050000}"/>
    <cellStyle name="Normal 131 3" xfId="1368" xr:uid="{00000000-0005-0000-0000-000061050000}"/>
    <cellStyle name="Normal 131 3 2" xfId="1369" xr:uid="{00000000-0005-0000-0000-000062050000}"/>
    <cellStyle name="Normal 131 4" xfId="1370" xr:uid="{00000000-0005-0000-0000-000063050000}"/>
    <cellStyle name="Normal 131 5" xfId="1371" xr:uid="{00000000-0005-0000-0000-000064050000}"/>
    <cellStyle name="Normal 132" xfId="1372" xr:uid="{00000000-0005-0000-0000-000065050000}"/>
    <cellStyle name="Normal 132 2" xfId="1373" xr:uid="{00000000-0005-0000-0000-000066050000}"/>
    <cellStyle name="Normal 133" xfId="1374" xr:uid="{00000000-0005-0000-0000-000067050000}"/>
    <cellStyle name="Normal 133 2" xfId="1375" xr:uid="{00000000-0005-0000-0000-000068050000}"/>
    <cellStyle name="Normal 134" xfId="1376" xr:uid="{00000000-0005-0000-0000-000069050000}"/>
    <cellStyle name="Normal 135" xfId="1377" xr:uid="{00000000-0005-0000-0000-00006A050000}"/>
    <cellStyle name="Normal 135 2" xfId="1378" xr:uid="{00000000-0005-0000-0000-00006B050000}"/>
    <cellStyle name="Normal 135 3" xfId="1379" xr:uid="{00000000-0005-0000-0000-00006C050000}"/>
    <cellStyle name="Normal 136" xfId="1380" xr:uid="{00000000-0005-0000-0000-00006D050000}"/>
    <cellStyle name="Normal 136 2" xfId="1381" xr:uid="{00000000-0005-0000-0000-00006E050000}"/>
    <cellStyle name="Normal 137" xfId="1382" xr:uid="{00000000-0005-0000-0000-00006F050000}"/>
    <cellStyle name="Normal 137 2" xfId="1383" xr:uid="{00000000-0005-0000-0000-000070050000}"/>
    <cellStyle name="Normal 138" xfId="1384" xr:uid="{00000000-0005-0000-0000-000071050000}"/>
    <cellStyle name="Normal 138 2" xfId="1385" xr:uid="{00000000-0005-0000-0000-000072050000}"/>
    <cellStyle name="Normal 138 2 2" xfId="1386" xr:uid="{00000000-0005-0000-0000-000073050000}"/>
    <cellStyle name="Normal 139" xfId="1387" xr:uid="{00000000-0005-0000-0000-000074050000}"/>
    <cellStyle name="Normal 139 2" xfId="1388" xr:uid="{00000000-0005-0000-0000-000075050000}"/>
    <cellStyle name="Normal 139 3" xfId="1389" xr:uid="{00000000-0005-0000-0000-000076050000}"/>
    <cellStyle name="Normal 14" xfId="1390" xr:uid="{00000000-0005-0000-0000-000077050000}"/>
    <cellStyle name="Normal 14 2" xfId="1391" xr:uid="{00000000-0005-0000-0000-000078050000}"/>
    <cellStyle name="Normal 14 2 2" xfId="1392" xr:uid="{00000000-0005-0000-0000-000079050000}"/>
    <cellStyle name="Normal 14 2 2 2" xfId="1393" xr:uid="{00000000-0005-0000-0000-00007A050000}"/>
    <cellStyle name="Normal 14 2 3" xfId="1394" xr:uid="{00000000-0005-0000-0000-00007B050000}"/>
    <cellStyle name="Normal 14 2 3 2" xfId="1395" xr:uid="{00000000-0005-0000-0000-00007C050000}"/>
    <cellStyle name="Normal 14 2 4" xfId="1396" xr:uid="{00000000-0005-0000-0000-00007D050000}"/>
    <cellStyle name="Normal 14 2 5" xfId="1397" xr:uid="{00000000-0005-0000-0000-00007E050000}"/>
    <cellStyle name="Normal 14 3" xfId="1398" xr:uid="{00000000-0005-0000-0000-00007F050000}"/>
    <cellStyle name="Normal 14 3 2" xfId="1399" xr:uid="{00000000-0005-0000-0000-000080050000}"/>
    <cellStyle name="Normal 14 4" xfId="1400" xr:uid="{00000000-0005-0000-0000-000081050000}"/>
    <cellStyle name="Normal 14 4 2" xfId="1401" xr:uid="{00000000-0005-0000-0000-000082050000}"/>
    <cellStyle name="Normal 14 5" xfId="1402" xr:uid="{00000000-0005-0000-0000-000083050000}"/>
    <cellStyle name="Normal 14 6" xfId="1403" xr:uid="{00000000-0005-0000-0000-000084050000}"/>
    <cellStyle name="Normal 14 7" xfId="1404" xr:uid="{00000000-0005-0000-0000-000085050000}"/>
    <cellStyle name="Normal 140" xfId="1405" xr:uid="{00000000-0005-0000-0000-000086050000}"/>
    <cellStyle name="Normal 140 2" xfId="1406" xr:uid="{00000000-0005-0000-0000-000087050000}"/>
    <cellStyle name="Normal 140 3" xfId="1407" xr:uid="{00000000-0005-0000-0000-000088050000}"/>
    <cellStyle name="Normal 140 4" xfId="1408" xr:uid="{00000000-0005-0000-0000-000089050000}"/>
    <cellStyle name="Normal 141" xfId="1409" xr:uid="{00000000-0005-0000-0000-00008A050000}"/>
    <cellStyle name="Normal 141 2" xfId="1410" xr:uid="{00000000-0005-0000-0000-00008B050000}"/>
    <cellStyle name="Normal 142" xfId="1411" xr:uid="{00000000-0005-0000-0000-00008C050000}"/>
    <cellStyle name="Normal 142 2" xfId="1412" xr:uid="{00000000-0005-0000-0000-00008D050000}"/>
    <cellStyle name="Normal 142 3" xfId="1413" xr:uid="{00000000-0005-0000-0000-00008E050000}"/>
    <cellStyle name="Normal 143" xfId="1414" xr:uid="{00000000-0005-0000-0000-00008F050000}"/>
    <cellStyle name="Normal 143 2" xfId="1415" xr:uid="{00000000-0005-0000-0000-000090050000}"/>
    <cellStyle name="Normal 143 3" xfId="1416" xr:uid="{00000000-0005-0000-0000-000091050000}"/>
    <cellStyle name="Normal 144" xfId="1417" xr:uid="{00000000-0005-0000-0000-000092050000}"/>
    <cellStyle name="Normal 144 2" xfId="1418" xr:uid="{00000000-0005-0000-0000-000093050000}"/>
    <cellStyle name="Normal 144 3" xfId="1419" xr:uid="{00000000-0005-0000-0000-000094050000}"/>
    <cellStyle name="Normal 145" xfId="1420" xr:uid="{00000000-0005-0000-0000-000095050000}"/>
    <cellStyle name="Normal 145 2" xfId="1421" xr:uid="{00000000-0005-0000-0000-000096050000}"/>
    <cellStyle name="Normal 145 3" xfId="1422" xr:uid="{00000000-0005-0000-0000-000097050000}"/>
    <cellStyle name="Normal 146" xfId="1423" xr:uid="{00000000-0005-0000-0000-000098050000}"/>
    <cellStyle name="Normal 146 2" xfId="1424" xr:uid="{00000000-0005-0000-0000-000099050000}"/>
    <cellStyle name="Normal 146 3" xfId="1425" xr:uid="{00000000-0005-0000-0000-00009A050000}"/>
    <cellStyle name="Normal 147" xfId="1426" xr:uid="{00000000-0005-0000-0000-00009B050000}"/>
    <cellStyle name="Normal 147 2" xfId="1427" xr:uid="{00000000-0005-0000-0000-00009C050000}"/>
    <cellStyle name="Normal 148" xfId="1428" xr:uid="{00000000-0005-0000-0000-00009D050000}"/>
    <cellStyle name="Normal 148 2" xfId="1429" xr:uid="{00000000-0005-0000-0000-00009E050000}"/>
    <cellStyle name="Normal 148 2 2" xfId="1430" xr:uid="{00000000-0005-0000-0000-00009F050000}"/>
    <cellStyle name="Normal 149" xfId="1431" xr:uid="{00000000-0005-0000-0000-0000A0050000}"/>
    <cellStyle name="Normal 149 2" xfId="1432" xr:uid="{00000000-0005-0000-0000-0000A1050000}"/>
    <cellStyle name="Normal 15" xfId="1433" xr:uid="{00000000-0005-0000-0000-0000A2050000}"/>
    <cellStyle name="Normal 15 11" xfId="1434" xr:uid="{00000000-0005-0000-0000-0000A3050000}"/>
    <cellStyle name="Normal 15 2" xfId="1435" xr:uid="{00000000-0005-0000-0000-0000A4050000}"/>
    <cellStyle name="Normal 15 2 2" xfId="1436" xr:uid="{00000000-0005-0000-0000-0000A5050000}"/>
    <cellStyle name="Normal 15 2 2 2" xfId="1437" xr:uid="{00000000-0005-0000-0000-0000A6050000}"/>
    <cellStyle name="Normal 15 2 3" xfId="1438" xr:uid="{00000000-0005-0000-0000-0000A7050000}"/>
    <cellStyle name="Normal 15 2 3 2" xfId="1439" xr:uid="{00000000-0005-0000-0000-0000A8050000}"/>
    <cellStyle name="Normal 15 2 4" xfId="1440" xr:uid="{00000000-0005-0000-0000-0000A9050000}"/>
    <cellStyle name="Normal 15 2 5" xfId="1441" xr:uid="{00000000-0005-0000-0000-0000AA050000}"/>
    <cellStyle name="Normal 15 3" xfId="1442" xr:uid="{00000000-0005-0000-0000-0000AB050000}"/>
    <cellStyle name="Normal 15 3 2" xfId="1443" xr:uid="{00000000-0005-0000-0000-0000AC050000}"/>
    <cellStyle name="Normal 15 4" xfId="1444" xr:uid="{00000000-0005-0000-0000-0000AD050000}"/>
    <cellStyle name="Normal 15 4 2" xfId="1445" xr:uid="{00000000-0005-0000-0000-0000AE050000}"/>
    <cellStyle name="Normal 15 5" xfId="1446" xr:uid="{00000000-0005-0000-0000-0000AF050000}"/>
    <cellStyle name="Normal 15 6" xfId="1447" xr:uid="{00000000-0005-0000-0000-0000B0050000}"/>
    <cellStyle name="Normal 15 7" xfId="1448" xr:uid="{00000000-0005-0000-0000-0000B1050000}"/>
    <cellStyle name="Normal 150" xfId="1449" xr:uid="{00000000-0005-0000-0000-0000B2050000}"/>
    <cellStyle name="Normal 151" xfId="1450" xr:uid="{00000000-0005-0000-0000-0000B3050000}"/>
    <cellStyle name="Normal 152" xfId="1451" xr:uid="{00000000-0005-0000-0000-0000B4050000}"/>
    <cellStyle name="Normal 152 2" xfId="1452" xr:uid="{00000000-0005-0000-0000-0000B5050000}"/>
    <cellStyle name="Normal 153" xfId="1453" xr:uid="{00000000-0005-0000-0000-0000B6050000}"/>
    <cellStyle name="Normal 154" xfId="1454" xr:uid="{00000000-0005-0000-0000-0000B7050000}"/>
    <cellStyle name="Normal 155" xfId="1455" xr:uid="{00000000-0005-0000-0000-0000B8050000}"/>
    <cellStyle name="Normal 156" xfId="1456" xr:uid="{00000000-0005-0000-0000-0000B9050000}"/>
    <cellStyle name="Normal 156 2" xfId="1457" xr:uid="{00000000-0005-0000-0000-0000BA050000}"/>
    <cellStyle name="Normal 156 3" xfId="1458" xr:uid="{00000000-0005-0000-0000-0000BB050000}"/>
    <cellStyle name="Normal 156 4" xfId="1459" xr:uid="{00000000-0005-0000-0000-0000BC050000}"/>
    <cellStyle name="Normal 156 5" xfId="1460" xr:uid="{00000000-0005-0000-0000-0000BD050000}"/>
    <cellStyle name="Normal 156_ZAMMOD 2 April 2015" xfId="1461" xr:uid="{00000000-0005-0000-0000-0000BE050000}"/>
    <cellStyle name="Normal 157" xfId="1462" xr:uid="{00000000-0005-0000-0000-0000BF050000}"/>
    <cellStyle name="Normal 157 2" xfId="1463" xr:uid="{00000000-0005-0000-0000-0000C0050000}"/>
    <cellStyle name="Normal 157 3" xfId="1464" xr:uid="{00000000-0005-0000-0000-0000C1050000}"/>
    <cellStyle name="Normal 157 4" xfId="1465" xr:uid="{00000000-0005-0000-0000-0000C2050000}"/>
    <cellStyle name="Normal 157_ZAMMOD 2 April 2015" xfId="1466" xr:uid="{00000000-0005-0000-0000-0000C3050000}"/>
    <cellStyle name="Normal 158" xfId="1467" xr:uid="{00000000-0005-0000-0000-0000C4050000}"/>
    <cellStyle name="Normal 158 2" xfId="1468" xr:uid="{00000000-0005-0000-0000-0000C5050000}"/>
    <cellStyle name="Normal 158 3" xfId="1469" xr:uid="{00000000-0005-0000-0000-0000C6050000}"/>
    <cellStyle name="Normal 158 4" xfId="1470" xr:uid="{00000000-0005-0000-0000-0000C7050000}"/>
    <cellStyle name="Normal 158_ZAMMOD 2 April 2015" xfId="1471" xr:uid="{00000000-0005-0000-0000-0000C8050000}"/>
    <cellStyle name="Normal 159" xfId="1472" xr:uid="{00000000-0005-0000-0000-0000C9050000}"/>
    <cellStyle name="Normal 159 2" xfId="1473" xr:uid="{00000000-0005-0000-0000-0000CA050000}"/>
    <cellStyle name="Normal 159 3" xfId="1474" xr:uid="{00000000-0005-0000-0000-0000CB050000}"/>
    <cellStyle name="Normal 159 4" xfId="1475" xr:uid="{00000000-0005-0000-0000-0000CC050000}"/>
    <cellStyle name="Normal 159_ZAMMOD 2 April 2015" xfId="1476" xr:uid="{00000000-0005-0000-0000-0000CD050000}"/>
    <cellStyle name="Normal 16" xfId="1477" xr:uid="{00000000-0005-0000-0000-0000CE050000}"/>
    <cellStyle name="Normal 16 18" xfId="1478" xr:uid="{00000000-0005-0000-0000-0000CF050000}"/>
    <cellStyle name="Normal 16 2" xfId="1479" xr:uid="{00000000-0005-0000-0000-0000D0050000}"/>
    <cellStyle name="Normal 16 2 2" xfId="1480" xr:uid="{00000000-0005-0000-0000-0000D1050000}"/>
    <cellStyle name="Normal 16 2 3" xfId="1481" xr:uid="{00000000-0005-0000-0000-0000D2050000}"/>
    <cellStyle name="Normal 16 3" xfId="1482" xr:uid="{00000000-0005-0000-0000-0000D3050000}"/>
    <cellStyle name="Normal 16 3 2" xfId="1483" xr:uid="{00000000-0005-0000-0000-0000D4050000}"/>
    <cellStyle name="Normal 16 4" xfId="1484" xr:uid="{00000000-0005-0000-0000-0000D5050000}"/>
    <cellStyle name="Normal 16 5" xfId="1485" xr:uid="{00000000-0005-0000-0000-0000D6050000}"/>
    <cellStyle name="Normal 160" xfId="1486" xr:uid="{00000000-0005-0000-0000-0000D7050000}"/>
    <cellStyle name="Normal 160 2" xfId="1487" xr:uid="{00000000-0005-0000-0000-0000D8050000}"/>
    <cellStyle name="Normal 160 3" xfId="1488" xr:uid="{00000000-0005-0000-0000-0000D9050000}"/>
    <cellStyle name="Normal 160 4" xfId="1489" xr:uid="{00000000-0005-0000-0000-0000DA050000}"/>
    <cellStyle name="Normal 160_ZAMMOD 2 April 2015" xfId="1490" xr:uid="{00000000-0005-0000-0000-0000DB050000}"/>
    <cellStyle name="Normal 161" xfId="1491" xr:uid="{00000000-0005-0000-0000-0000DC050000}"/>
    <cellStyle name="Normal 161 2" xfId="1492" xr:uid="{00000000-0005-0000-0000-0000DD050000}"/>
    <cellStyle name="Normal 161 2 2" xfId="1493" xr:uid="{00000000-0005-0000-0000-0000DE050000}"/>
    <cellStyle name="Normal 161 2 2 2" xfId="1494" xr:uid="{00000000-0005-0000-0000-0000DF050000}"/>
    <cellStyle name="Normal 161 2 2 2 2" xfId="1495" xr:uid="{00000000-0005-0000-0000-0000E0050000}"/>
    <cellStyle name="Normal 161 2 2_ZAMMOD 2 April 2015" xfId="1496" xr:uid="{00000000-0005-0000-0000-0000E1050000}"/>
    <cellStyle name="Normal 161 2 3" xfId="1497" xr:uid="{00000000-0005-0000-0000-0000E2050000}"/>
    <cellStyle name="Normal 161 3" xfId="1498" xr:uid="{00000000-0005-0000-0000-0000E3050000}"/>
    <cellStyle name="Normal 161 3 2" xfId="1499" xr:uid="{00000000-0005-0000-0000-0000E4050000}"/>
    <cellStyle name="Normal 161_ZAMMOD 2 April 2015" xfId="1500" xr:uid="{00000000-0005-0000-0000-0000E5050000}"/>
    <cellStyle name="Normal 162" xfId="1501" xr:uid="{00000000-0005-0000-0000-0000E6050000}"/>
    <cellStyle name="Normal 162 2" xfId="1502" xr:uid="{00000000-0005-0000-0000-0000E7050000}"/>
    <cellStyle name="Normal 162 2 2" xfId="1503" xr:uid="{00000000-0005-0000-0000-0000E8050000}"/>
    <cellStyle name="Normal 162_ZAMMOD 2 April 2015" xfId="1504" xr:uid="{00000000-0005-0000-0000-0000E9050000}"/>
    <cellStyle name="Normal 163" xfId="1505" xr:uid="{00000000-0005-0000-0000-0000EA050000}"/>
    <cellStyle name="Normal 164" xfId="1506" xr:uid="{00000000-0005-0000-0000-0000EB050000}"/>
    <cellStyle name="Normal 165" xfId="1507" xr:uid="{00000000-0005-0000-0000-0000EC050000}"/>
    <cellStyle name="Normal 166" xfId="1508" xr:uid="{00000000-0005-0000-0000-0000ED050000}"/>
    <cellStyle name="Normal 167" xfId="1509" xr:uid="{00000000-0005-0000-0000-0000EE050000}"/>
    <cellStyle name="Normal 168" xfId="1510" xr:uid="{00000000-0005-0000-0000-0000EF050000}"/>
    <cellStyle name="Normal 169" xfId="1511" xr:uid="{00000000-0005-0000-0000-0000F0050000}"/>
    <cellStyle name="Normal 17" xfId="1512" xr:uid="{00000000-0005-0000-0000-0000F1050000}"/>
    <cellStyle name="Normal 17 2" xfId="1513" xr:uid="{00000000-0005-0000-0000-0000F2050000}"/>
    <cellStyle name="Normal 17 2 2" xfId="1514" xr:uid="{00000000-0005-0000-0000-0000F3050000}"/>
    <cellStyle name="Normal 17 2 2 2" xfId="1515" xr:uid="{00000000-0005-0000-0000-0000F4050000}"/>
    <cellStyle name="Normal 17 2 3" xfId="1516" xr:uid="{00000000-0005-0000-0000-0000F5050000}"/>
    <cellStyle name="Normal 17 2 3 2" xfId="1517" xr:uid="{00000000-0005-0000-0000-0000F6050000}"/>
    <cellStyle name="Normal 17 2 4" xfId="1518" xr:uid="{00000000-0005-0000-0000-0000F7050000}"/>
    <cellStyle name="Normal 17 2 5" xfId="1519" xr:uid="{00000000-0005-0000-0000-0000F8050000}"/>
    <cellStyle name="Normal 17 3" xfId="1520" xr:uid="{00000000-0005-0000-0000-0000F9050000}"/>
    <cellStyle name="Normal 17 3 2" xfId="1521" xr:uid="{00000000-0005-0000-0000-0000FA050000}"/>
    <cellStyle name="Normal 17 4" xfId="1522" xr:uid="{00000000-0005-0000-0000-0000FB050000}"/>
    <cellStyle name="Normal 17 4 2" xfId="1523" xr:uid="{00000000-0005-0000-0000-0000FC050000}"/>
    <cellStyle name="Normal 17 5" xfId="1524" xr:uid="{00000000-0005-0000-0000-0000FD050000}"/>
    <cellStyle name="Normal 17 6" xfId="1525" xr:uid="{00000000-0005-0000-0000-0000FE050000}"/>
    <cellStyle name="Normal 17 7" xfId="1526" xr:uid="{00000000-0005-0000-0000-0000FF050000}"/>
    <cellStyle name="Normal 170" xfId="1527" xr:uid="{00000000-0005-0000-0000-000000060000}"/>
    <cellStyle name="Normal 171" xfId="1528" xr:uid="{00000000-0005-0000-0000-000001060000}"/>
    <cellStyle name="Normal 172" xfId="1529" xr:uid="{00000000-0005-0000-0000-000002060000}"/>
    <cellStyle name="Normal 173" xfId="1530" xr:uid="{00000000-0005-0000-0000-000003060000}"/>
    <cellStyle name="Normal 174" xfId="1531" xr:uid="{00000000-0005-0000-0000-000004060000}"/>
    <cellStyle name="Normal 175" xfId="1532" xr:uid="{00000000-0005-0000-0000-000005060000}"/>
    <cellStyle name="Normal 176" xfId="1533" xr:uid="{00000000-0005-0000-0000-000006060000}"/>
    <cellStyle name="Normal 177" xfId="1534" xr:uid="{00000000-0005-0000-0000-000007060000}"/>
    <cellStyle name="Normal 178" xfId="1535" xr:uid="{00000000-0005-0000-0000-000008060000}"/>
    <cellStyle name="Normal 179" xfId="1536" xr:uid="{00000000-0005-0000-0000-000009060000}"/>
    <cellStyle name="Normal 18" xfId="1537" xr:uid="{00000000-0005-0000-0000-00000A060000}"/>
    <cellStyle name="Normal 18 2" xfId="1538" xr:uid="{00000000-0005-0000-0000-00000B060000}"/>
    <cellStyle name="Normal 18 2 2" xfId="1539" xr:uid="{00000000-0005-0000-0000-00000C060000}"/>
    <cellStyle name="Normal 18 2 2 2" xfId="1540" xr:uid="{00000000-0005-0000-0000-00000D060000}"/>
    <cellStyle name="Normal 18 2 3" xfId="1541" xr:uid="{00000000-0005-0000-0000-00000E060000}"/>
    <cellStyle name="Normal 18 2 3 2" xfId="1542" xr:uid="{00000000-0005-0000-0000-00000F060000}"/>
    <cellStyle name="Normal 18 2 4" xfId="1543" xr:uid="{00000000-0005-0000-0000-000010060000}"/>
    <cellStyle name="Normal 18 2 5" xfId="1544" xr:uid="{00000000-0005-0000-0000-000011060000}"/>
    <cellStyle name="Normal 18 3" xfId="1545" xr:uid="{00000000-0005-0000-0000-000012060000}"/>
    <cellStyle name="Normal 18 3 2" xfId="1546" xr:uid="{00000000-0005-0000-0000-000013060000}"/>
    <cellStyle name="Normal 18 4" xfId="1547" xr:uid="{00000000-0005-0000-0000-000014060000}"/>
    <cellStyle name="Normal 18 4 2" xfId="1548" xr:uid="{00000000-0005-0000-0000-000015060000}"/>
    <cellStyle name="Normal 18 5" xfId="1549" xr:uid="{00000000-0005-0000-0000-000016060000}"/>
    <cellStyle name="Normal 18 6" xfId="1550" xr:uid="{00000000-0005-0000-0000-000017060000}"/>
    <cellStyle name="Normal 18 7" xfId="1551" xr:uid="{00000000-0005-0000-0000-000018060000}"/>
    <cellStyle name="Normal 180" xfId="1552" xr:uid="{00000000-0005-0000-0000-000019060000}"/>
    <cellStyle name="Normal 181" xfId="1553" xr:uid="{00000000-0005-0000-0000-00001A060000}"/>
    <cellStyle name="Normal 182" xfId="1554" xr:uid="{00000000-0005-0000-0000-00001B060000}"/>
    <cellStyle name="Normal 183" xfId="1555" xr:uid="{00000000-0005-0000-0000-00001C060000}"/>
    <cellStyle name="Normal 184" xfId="1556" xr:uid="{00000000-0005-0000-0000-00001D060000}"/>
    <cellStyle name="Normal 185" xfId="1557" xr:uid="{00000000-0005-0000-0000-00001E060000}"/>
    <cellStyle name="Normal 186" xfId="1558" xr:uid="{00000000-0005-0000-0000-00001F060000}"/>
    <cellStyle name="Normal 187" xfId="1559" xr:uid="{00000000-0005-0000-0000-000020060000}"/>
    <cellStyle name="Normal 188" xfId="1560" xr:uid="{00000000-0005-0000-0000-000021060000}"/>
    <cellStyle name="Normal 189" xfId="1561" xr:uid="{00000000-0005-0000-0000-000022060000}"/>
    <cellStyle name="Normal 19" xfId="1562" xr:uid="{00000000-0005-0000-0000-000023060000}"/>
    <cellStyle name="Normal 19 2" xfId="1563" xr:uid="{00000000-0005-0000-0000-000024060000}"/>
    <cellStyle name="Normal 19 2 2" xfId="1564" xr:uid="{00000000-0005-0000-0000-000025060000}"/>
    <cellStyle name="Normal 19 2 3" xfId="1565" xr:uid="{00000000-0005-0000-0000-000026060000}"/>
    <cellStyle name="Normal 19 3" xfId="1566" xr:uid="{00000000-0005-0000-0000-000027060000}"/>
    <cellStyle name="Normal 19 3 2" xfId="1567" xr:uid="{00000000-0005-0000-0000-000028060000}"/>
    <cellStyle name="Normal 19 4" xfId="1568" xr:uid="{00000000-0005-0000-0000-000029060000}"/>
    <cellStyle name="Normal 19 5" xfId="1569" xr:uid="{00000000-0005-0000-0000-00002A060000}"/>
    <cellStyle name="Normal 190" xfId="1570" xr:uid="{00000000-0005-0000-0000-00002B060000}"/>
    <cellStyle name="Normal 191" xfId="1571" xr:uid="{00000000-0005-0000-0000-00002C060000}"/>
    <cellStyle name="Normal 192" xfId="1572" xr:uid="{00000000-0005-0000-0000-00002D060000}"/>
    <cellStyle name="Normal 193" xfId="1573" xr:uid="{00000000-0005-0000-0000-00002E060000}"/>
    <cellStyle name="Normal 194" xfId="1574" xr:uid="{00000000-0005-0000-0000-00002F060000}"/>
    <cellStyle name="Normal 195" xfId="1575" xr:uid="{00000000-0005-0000-0000-000030060000}"/>
    <cellStyle name="Normal 196" xfId="1576" xr:uid="{00000000-0005-0000-0000-000031060000}"/>
    <cellStyle name="Normal 197" xfId="1577" xr:uid="{00000000-0005-0000-0000-000032060000}"/>
    <cellStyle name="Normal 198" xfId="1578" xr:uid="{00000000-0005-0000-0000-000033060000}"/>
    <cellStyle name="Normal 199" xfId="1579" xr:uid="{00000000-0005-0000-0000-000034060000}"/>
    <cellStyle name="Normal 2" xfId="1580" xr:uid="{00000000-0005-0000-0000-000035060000}"/>
    <cellStyle name="Normal 2 10" xfId="1581" xr:uid="{00000000-0005-0000-0000-000036060000}"/>
    <cellStyle name="Normal 2 10 10" xfId="1582" xr:uid="{00000000-0005-0000-0000-000037060000}"/>
    <cellStyle name="Normal 2 10 2" xfId="1583" xr:uid="{00000000-0005-0000-0000-000038060000}"/>
    <cellStyle name="Normal 2 10 3" xfId="1584" xr:uid="{00000000-0005-0000-0000-000039060000}"/>
    <cellStyle name="Normal 2 11" xfId="1585" xr:uid="{00000000-0005-0000-0000-00003A060000}"/>
    <cellStyle name="Normal 2 12" xfId="1586" xr:uid="{00000000-0005-0000-0000-00003B060000}"/>
    <cellStyle name="Normal 2 13" xfId="1587" xr:uid="{00000000-0005-0000-0000-00003C060000}"/>
    <cellStyle name="Normal 2 13 2" xfId="1588" xr:uid="{00000000-0005-0000-0000-00003D060000}"/>
    <cellStyle name="Normal 2 14" xfId="1589" xr:uid="{00000000-0005-0000-0000-00003E060000}"/>
    <cellStyle name="Normal 2 15" xfId="1590" xr:uid="{00000000-0005-0000-0000-00003F060000}"/>
    <cellStyle name="Normal 2 16" xfId="1591" xr:uid="{00000000-0005-0000-0000-000040060000}"/>
    <cellStyle name="Normal 2 17" xfId="1592" xr:uid="{00000000-0005-0000-0000-000041060000}"/>
    <cellStyle name="Normal 2 2" xfId="1593" xr:uid="{00000000-0005-0000-0000-000042060000}"/>
    <cellStyle name="Normal 2 2 11" xfId="1594" xr:uid="{00000000-0005-0000-0000-000043060000}"/>
    <cellStyle name="Normal 2 2 2" xfId="1595" xr:uid="{00000000-0005-0000-0000-000044060000}"/>
    <cellStyle name="Normal 2 2 2 2" xfId="1596" xr:uid="{00000000-0005-0000-0000-000045060000}"/>
    <cellStyle name="Normal 2 2 2 3" xfId="1597" xr:uid="{00000000-0005-0000-0000-000046060000}"/>
    <cellStyle name="Normal 2 2 2 3 2" xfId="1598" xr:uid="{00000000-0005-0000-0000-000047060000}"/>
    <cellStyle name="Normal 2 2 2 3 2 2" xfId="1599" xr:uid="{00000000-0005-0000-0000-000048060000}"/>
    <cellStyle name="Normal 2 2 2 3 2 2 2" xfId="1600" xr:uid="{00000000-0005-0000-0000-000049060000}"/>
    <cellStyle name="Normal 2 2 2 3 2 2 2 2" xfId="1601" xr:uid="{00000000-0005-0000-0000-00004A060000}"/>
    <cellStyle name="Normal 2 2 2 3 2 3" xfId="1602" xr:uid="{00000000-0005-0000-0000-00004B060000}"/>
    <cellStyle name="Normal 2 2 2 3 3" xfId="1603" xr:uid="{00000000-0005-0000-0000-00004C060000}"/>
    <cellStyle name="Normal 2 2 2 3 3 2" xfId="1604" xr:uid="{00000000-0005-0000-0000-00004D060000}"/>
    <cellStyle name="Normal 2 2 2 4" xfId="1605" xr:uid="{00000000-0005-0000-0000-00004E060000}"/>
    <cellStyle name="Normal 2 2 2 4 2" xfId="1606" xr:uid="{00000000-0005-0000-0000-00004F060000}"/>
    <cellStyle name="Normal 2 2 2 4 2 2" xfId="1607" xr:uid="{00000000-0005-0000-0000-000050060000}"/>
    <cellStyle name="Normal 2 2 2 5" xfId="1608" xr:uid="{00000000-0005-0000-0000-000051060000}"/>
    <cellStyle name="Normal 2 2 2 6" xfId="1609" xr:uid="{00000000-0005-0000-0000-000052060000}"/>
    <cellStyle name="Normal 2 2 3" xfId="1610" xr:uid="{00000000-0005-0000-0000-000053060000}"/>
    <cellStyle name="Normal 2 2 3 2" xfId="1611" xr:uid="{00000000-0005-0000-0000-000054060000}"/>
    <cellStyle name="Normal 2 2 3 2 2" xfId="1612" xr:uid="{00000000-0005-0000-0000-000055060000}"/>
    <cellStyle name="Normal 2 2 3 2 2 2" xfId="1613" xr:uid="{00000000-0005-0000-0000-000056060000}"/>
    <cellStyle name="Normal 2 2 3 2 2 2 2" xfId="1614" xr:uid="{00000000-0005-0000-0000-000057060000}"/>
    <cellStyle name="Normal 2 2 3 2 3" xfId="1615" xr:uid="{00000000-0005-0000-0000-000058060000}"/>
    <cellStyle name="Normal 2 2 3 3" xfId="1616" xr:uid="{00000000-0005-0000-0000-000059060000}"/>
    <cellStyle name="Normal 2 2 3 3 2" xfId="1617" xr:uid="{00000000-0005-0000-0000-00005A060000}"/>
    <cellStyle name="Normal 2 2 4" xfId="1618" xr:uid="{00000000-0005-0000-0000-00005B060000}"/>
    <cellStyle name="Normal 2 2 4 2" xfId="1619" xr:uid="{00000000-0005-0000-0000-00005C060000}"/>
    <cellStyle name="Normal 2 2 4 2 2" xfId="1620" xr:uid="{00000000-0005-0000-0000-00005D060000}"/>
    <cellStyle name="Normal 2 2 5" xfId="1621" xr:uid="{00000000-0005-0000-0000-00005E060000}"/>
    <cellStyle name="Normal 2 2 6" xfId="1622" xr:uid="{00000000-0005-0000-0000-00005F060000}"/>
    <cellStyle name="Normal 2 2 7" xfId="1623" xr:uid="{00000000-0005-0000-0000-000060060000}"/>
    <cellStyle name="Normal 2 2_Map3" xfId="1624" xr:uid="{00000000-0005-0000-0000-000061060000}"/>
    <cellStyle name="Normal 2 3" xfId="1625" xr:uid="{00000000-0005-0000-0000-000062060000}"/>
    <cellStyle name="Normal 2 3 2" xfId="1626" xr:uid="{00000000-0005-0000-0000-000063060000}"/>
    <cellStyle name="Normal 2 3 2 2" xfId="1627" xr:uid="{00000000-0005-0000-0000-000064060000}"/>
    <cellStyle name="Normal 2 3 2 3" xfId="1628" xr:uid="{00000000-0005-0000-0000-000065060000}"/>
    <cellStyle name="Normal 2 3 3" xfId="1629" xr:uid="{00000000-0005-0000-0000-000066060000}"/>
    <cellStyle name="Normal 2 3 4" xfId="1630" xr:uid="{00000000-0005-0000-0000-000067060000}"/>
    <cellStyle name="Normal 2 4" xfId="1631" xr:uid="{00000000-0005-0000-0000-000068060000}"/>
    <cellStyle name="Normal 2 4 2" xfId="1632" xr:uid="{00000000-0005-0000-0000-000069060000}"/>
    <cellStyle name="Normal 2 4 2 2" xfId="1633" xr:uid="{00000000-0005-0000-0000-00006A060000}"/>
    <cellStyle name="Normal 2 4 3" xfId="1634" xr:uid="{00000000-0005-0000-0000-00006B060000}"/>
    <cellStyle name="Normal 2 5" xfId="1635" xr:uid="{00000000-0005-0000-0000-00006C060000}"/>
    <cellStyle name="Normal 2 6" xfId="1636" xr:uid="{00000000-0005-0000-0000-00006D060000}"/>
    <cellStyle name="Normal 2 7" xfId="1637" xr:uid="{00000000-0005-0000-0000-00006E060000}"/>
    <cellStyle name="Normal 2 8" xfId="1638" xr:uid="{00000000-0005-0000-0000-00006F060000}"/>
    <cellStyle name="Normal 2 8 2" xfId="1639" xr:uid="{00000000-0005-0000-0000-000070060000}"/>
    <cellStyle name="Normal 2 9" xfId="1640" xr:uid="{00000000-0005-0000-0000-000071060000}"/>
    <cellStyle name="Normal 2 9 2" xfId="1641" xr:uid="{00000000-0005-0000-0000-000072060000}"/>
    <cellStyle name="Normal 2_2009 Central Govt Ops- Revised Projections (Sept-Dec) adjustments after IMF 07.09.2009" xfId="1642" xr:uid="{00000000-0005-0000-0000-000073060000}"/>
    <cellStyle name="Normal 20" xfId="1643" xr:uid="{00000000-0005-0000-0000-000074060000}"/>
    <cellStyle name="Normal 20 2" xfId="1644" xr:uid="{00000000-0005-0000-0000-000075060000}"/>
    <cellStyle name="Normal 20 2 2" xfId="1645" xr:uid="{00000000-0005-0000-0000-000076060000}"/>
    <cellStyle name="Normal 20 2 3" xfId="1646" xr:uid="{00000000-0005-0000-0000-000077060000}"/>
    <cellStyle name="Normal 20 3" xfId="1647" xr:uid="{00000000-0005-0000-0000-000078060000}"/>
    <cellStyle name="Normal 20 3 2" xfId="1648" xr:uid="{00000000-0005-0000-0000-000079060000}"/>
    <cellStyle name="Normal 20 4" xfId="1649" xr:uid="{00000000-0005-0000-0000-00007A060000}"/>
    <cellStyle name="Normal 20 5" xfId="1650" xr:uid="{00000000-0005-0000-0000-00007B060000}"/>
    <cellStyle name="Normal 20 9" xfId="1651" xr:uid="{00000000-0005-0000-0000-00007C060000}"/>
    <cellStyle name="Normal 200" xfId="1652" xr:uid="{00000000-0005-0000-0000-00007D060000}"/>
    <cellStyle name="Normal 201" xfId="1653" xr:uid="{00000000-0005-0000-0000-00007E060000}"/>
    <cellStyle name="Normal 202" xfId="1654" xr:uid="{00000000-0005-0000-0000-00007F060000}"/>
    <cellStyle name="Normal 203" xfId="1655" xr:uid="{00000000-0005-0000-0000-000080060000}"/>
    <cellStyle name="Normal 204" xfId="1656" xr:uid="{00000000-0005-0000-0000-000081060000}"/>
    <cellStyle name="Normal 205" xfId="1657" xr:uid="{00000000-0005-0000-0000-000082060000}"/>
    <cellStyle name="Normal 206" xfId="1658" xr:uid="{00000000-0005-0000-0000-000083060000}"/>
    <cellStyle name="Normal 207" xfId="1659" xr:uid="{00000000-0005-0000-0000-000084060000}"/>
    <cellStyle name="Normal 208" xfId="1660" xr:uid="{00000000-0005-0000-0000-000085060000}"/>
    <cellStyle name="Normal 209" xfId="1661" xr:uid="{00000000-0005-0000-0000-000086060000}"/>
    <cellStyle name="Normal 21" xfId="1662" xr:uid="{00000000-0005-0000-0000-000087060000}"/>
    <cellStyle name="Normal 21 2" xfId="1663" xr:uid="{00000000-0005-0000-0000-000088060000}"/>
    <cellStyle name="Normal 21 2 2" xfId="1664" xr:uid="{00000000-0005-0000-0000-000089060000}"/>
    <cellStyle name="Normal 21 2 2 2" xfId="1665" xr:uid="{00000000-0005-0000-0000-00008A060000}"/>
    <cellStyle name="Normal 21 2 3" xfId="1666" xr:uid="{00000000-0005-0000-0000-00008B060000}"/>
    <cellStyle name="Normal 21 2 3 2" xfId="1667" xr:uid="{00000000-0005-0000-0000-00008C060000}"/>
    <cellStyle name="Normal 21 2 4" xfId="1668" xr:uid="{00000000-0005-0000-0000-00008D060000}"/>
    <cellStyle name="Normal 21 2 5" xfId="1669" xr:uid="{00000000-0005-0000-0000-00008E060000}"/>
    <cellStyle name="Normal 21 3" xfId="1670" xr:uid="{00000000-0005-0000-0000-00008F060000}"/>
    <cellStyle name="Normal 21 3 2" xfId="1671" xr:uid="{00000000-0005-0000-0000-000090060000}"/>
    <cellStyle name="Normal 21 4" xfId="1672" xr:uid="{00000000-0005-0000-0000-000091060000}"/>
    <cellStyle name="Normal 21 4 2" xfId="1673" xr:uid="{00000000-0005-0000-0000-000092060000}"/>
    <cellStyle name="Normal 21 5" xfId="1674" xr:uid="{00000000-0005-0000-0000-000093060000}"/>
    <cellStyle name="Normal 21 6" xfId="1675" xr:uid="{00000000-0005-0000-0000-000094060000}"/>
    <cellStyle name="Normal 21 7" xfId="1676" xr:uid="{00000000-0005-0000-0000-000095060000}"/>
    <cellStyle name="Normal 210" xfId="1677" xr:uid="{00000000-0005-0000-0000-000096060000}"/>
    <cellStyle name="Normal 211" xfId="1678" xr:uid="{00000000-0005-0000-0000-000097060000}"/>
    <cellStyle name="Normal 212" xfId="1679" xr:uid="{00000000-0005-0000-0000-000098060000}"/>
    <cellStyle name="Normal 213" xfId="1680" xr:uid="{00000000-0005-0000-0000-000099060000}"/>
    <cellStyle name="Normal 214" xfId="1681" xr:uid="{00000000-0005-0000-0000-00009A060000}"/>
    <cellStyle name="Normal 215" xfId="1682" xr:uid="{00000000-0005-0000-0000-00009B060000}"/>
    <cellStyle name="Normal 216" xfId="1683" xr:uid="{00000000-0005-0000-0000-00009C060000}"/>
    <cellStyle name="Normal 217" xfId="1684" xr:uid="{00000000-0005-0000-0000-00009D060000}"/>
    <cellStyle name="Normal 218" xfId="1685" xr:uid="{00000000-0005-0000-0000-00009E060000}"/>
    <cellStyle name="Normal 219" xfId="1686" xr:uid="{00000000-0005-0000-0000-00009F060000}"/>
    <cellStyle name="Normal 22" xfId="1687" xr:uid="{00000000-0005-0000-0000-0000A0060000}"/>
    <cellStyle name="Normal 22 2" xfId="1688" xr:uid="{00000000-0005-0000-0000-0000A1060000}"/>
    <cellStyle name="Normal 22 2 2" xfId="1689" xr:uid="{00000000-0005-0000-0000-0000A2060000}"/>
    <cellStyle name="Normal 22 2 3" xfId="1690" xr:uid="{00000000-0005-0000-0000-0000A3060000}"/>
    <cellStyle name="Normal 22 3" xfId="1691" xr:uid="{00000000-0005-0000-0000-0000A4060000}"/>
    <cellStyle name="Normal 22 3 2" xfId="1692" xr:uid="{00000000-0005-0000-0000-0000A5060000}"/>
    <cellStyle name="Normal 22 4" xfId="1693" xr:uid="{00000000-0005-0000-0000-0000A6060000}"/>
    <cellStyle name="Normal 22 5" xfId="1694" xr:uid="{00000000-0005-0000-0000-0000A7060000}"/>
    <cellStyle name="Normal 22 6" xfId="1695" xr:uid="{00000000-0005-0000-0000-0000A8060000}"/>
    <cellStyle name="Normal 220" xfId="1696" xr:uid="{00000000-0005-0000-0000-0000A9060000}"/>
    <cellStyle name="Normal 221" xfId="1697" xr:uid="{00000000-0005-0000-0000-0000AA060000}"/>
    <cellStyle name="Normal 222" xfId="1698" xr:uid="{00000000-0005-0000-0000-0000AB060000}"/>
    <cellStyle name="Normal 223" xfId="1699" xr:uid="{00000000-0005-0000-0000-0000AC060000}"/>
    <cellStyle name="Normal 224" xfId="1700" xr:uid="{00000000-0005-0000-0000-0000AD060000}"/>
    <cellStyle name="Normal 225" xfId="1701" xr:uid="{00000000-0005-0000-0000-0000AE060000}"/>
    <cellStyle name="Normal 226" xfId="1702" xr:uid="{00000000-0005-0000-0000-0000AF060000}"/>
    <cellStyle name="Normal 227" xfId="1703" xr:uid="{00000000-0005-0000-0000-0000B0060000}"/>
    <cellStyle name="Normal 228" xfId="1704" xr:uid="{00000000-0005-0000-0000-0000B1060000}"/>
    <cellStyle name="Normal 229" xfId="1705" xr:uid="{00000000-0005-0000-0000-0000B2060000}"/>
    <cellStyle name="Normal 23" xfId="1706" xr:uid="{00000000-0005-0000-0000-0000B3060000}"/>
    <cellStyle name="Normal 23 2" xfId="1707" xr:uid="{00000000-0005-0000-0000-0000B4060000}"/>
    <cellStyle name="Normal 23 2 2" xfId="1708" xr:uid="{00000000-0005-0000-0000-0000B5060000}"/>
    <cellStyle name="Normal 23 2 3" xfId="1709" xr:uid="{00000000-0005-0000-0000-0000B6060000}"/>
    <cellStyle name="Normal 23 3" xfId="1710" xr:uid="{00000000-0005-0000-0000-0000B7060000}"/>
    <cellStyle name="Normal 23 3 2" xfId="1711" xr:uid="{00000000-0005-0000-0000-0000B8060000}"/>
    <cellStyle name="Normal 23 4" xfId="1712" xr:uid="{00000000-0005-0000-0000-0000B9060000}"/>
    <cellStyle name="Normal 23 5" xfId="1713" xr:uid="{00000000-0005-0000-0000-0000BA060000}"/>
    <cellStyle name="Normal 230" xfId="1714" xr:uid="{00000000-0005-0000-0000-0000BB060000}"/>
    <cellStyle name="Normal 231" xfId="1715" xr:uid="{00000000-0005-0000-0000-0000BC060000}"/>
    <cellStyle name="Normal 232" xfId="1716" xr:uid="{00000000-0005-0000-0000-0000BD060000}"/>
    <cellStyle name="Normal 233" xfId="1717" xr:uid="{00000000-0005-0000-0000-0000BE060000}"/>
    <cellStyle name="Normal 233 2" xfId="3067" xr:uid="{D3EB48BF-4F31-4032-9DC2-5DA2E3B5989D}"/>
    <cellStyle name="Normal 234" xfId="1718" xr:uid="{00000000-0005-0000-0000-0000BF060000}"/>
    <cellStyle name="Normal 235" xfId="1719" xr:uid="{00000000-0005-0000-0000-0000C0060000}"/>
    <cellStyle name="Normal 236" xfId="1720" xr:uid="{00000000-0005-0000-0000-0000C1060000}"/>
    <cellStyle name="Normal 24" xfId="1721" xr:uid="{00000000-0005-0000-0000-0000C2060000}"/>
    <cellStyle name="Normal 24 2" xfId="1722" xr:uid="{00000000-0005-0000-0000-0000C3060000}"/>
    <cellStyle name="Normal 24 2 2" xfId="1723" xr:uid="{00000000-0005-0000-0000-0000C4060000}"/>
    <cellStyle name="Normal 24 2 2 2" xfId="1724" xr:uid="{00000000-0005-0000-0000-0000C5060000}"/>
    <cellStyle name="Normal 24 2 3" xfId="1725" xr:uid="{00000000-0005-0000-0000-0000C6060000}"/>
    <cellStyle name="Normal 24 2 3 2" xfId="1726" xr:uid="{00000000-0005-0000-0000-0000C7060000}"/>
    <cellStyle name="Normal 24 2 4" xfId="1727" xr:uid="{00000000-0005-0000-0000-0000C8060000}"/>
    <cellStyle name="Normal 24 2 5" xfId="1728" xr:uid="{00000000-0005-0000-0000-0000C9060000}"/>
    <cellStyle name="Normal 24 3" xfId="1729" xr:uid="{00000000-0005-0000-0000-0000CA060000}"/>
    <cellStyle name="Normal 24 3 2" xfId="1730" xr:uid="{00000000-0005-0000-0000-0000CB060000}"/>
    <cellStyle name="Normal 24 4" xfId="1731" xr:uid="{00000000-0005-0000-0000-0000CC060000}"/>
    <cellStyle name="Normal 24 4 2" xfId="1732" xr:uid="{00000000-0005-0000-0000-0000CD060000}"/>
    <cellStyle name="Normal 24 5" xfId="1733" xr:uid="{00000000-0005-0000-0000-0000CE060000}"/>
    <cellStyle name="Normal 24 6" xfId="1734" xr:uid="{00000000-0005-0000-0000-0000CF060000}"/>
    <cellStyle name="Normal 24 7" xfId="1735" xr:uid="{00000000-0005-0000-0000-0000D0060000}"/>
    <cellStyle name="Normal 25" xfId="1736" xr:uid="{00000000-0005-0000-0000-0000D1060000}"/>
    <cellStyle name="Normal 25 2" xfId="1737" xr:uid="{00000000-0005-0000-0000-0000D2060000}"/>
    <cellStyle name="Normal 25 2 2" xfId="1738" xr:uid="{00000000-0005-0000-0000-0000D3060000}"/>
    <cellStyle name="Normal 25 2 2 2" xfId="1739" xr:uid="{00000000-0005-0000-0000-0000D4060000}"/>
    <cellStyle name="Normal 25 2 3" xfId="1740" xr:uid="{00000000-0005-0000-0000-0000D5060000}"/>
    <cellStyle name="Normal 25 2 3 2" xfId="1741" xr:uid="{00000000-0005-0000-0000-0000D6060000}"/>
    <cellStyle name="Normal 25 2 4" xfId="1742" xr:uid="{00000000-0005-0000-0000-0000D7060000}"/>
    <cellStyle name="Normal 25 2 5" xfId="1743" xr:uid="{00000000-0005-0000-0000-0000D8060000}"/>
    <cellStyle name="Normal 25 3" xfId="1744" xr:uid="{00000000-0005-0000-0000-0000D9060000}"/>
    <cellStyle name="Normal 25 3 2" xfId="1745" xr:uid="{00000000-0005-0000-0000-0000DA060000}"/>
    <cellStyle name="Normal 25 4" xfId="1746" xr:uid="{00000000-0005-0000-0000-0000DB060000}"/>
    <cellStyle name="Normal 25 4 2" xfId="1747" xr:uid="{00000000-0005-0000-0000-0000DC060000}"/>
    <cellStyle name="Normal 25 5" xfId="1748" xr:uid="{00000000-0005-0000-0000-0000DD060000}"/>
    <cellStyle name="Normal 25 6" xfId="1749" xr:uid="{00000000-0005-0000-0000-0000DE060000}"/>
    <cellStyle name="Normal 25 7" xfId="1750" xr:uid="{00000000-0005-0000-0000-0000DF060000}"/>
    <cellStyle name="Normal 26" xfId="1751" xr:uid="{00000000-0005-0000-0000-0000E0060000}"/>
    <cellStyle name="Normal 26 2" xfId="1752" xr:uid="{00000000-0005-0000-0000-0000E1060000}"/>
    <cellStyle name="Normal 26 2 2" xfId="1753" xr:uid="{00000000-0005-0000-0000-0000E2060000}"/>
    <cellStyle name="Normal 26 2 3" xfId="1754" xr:uid="{00000000-0005-0000-0000-0000E3060000}"/>
    <cellStyle name="Normal 26 3" xfId="1755" xr:uid="{00000000-0005-0000-0000-0000E4060000}"/>
    <cellStyle name="Normal 26 3 2" xfId="1756" xr:uid="{00000000-0005-0000-0000-0000E5060000}"/>
    <cellStyle name="Normal 26 4" xfId="1757" xr:uid="{00000000-0005-0000-0000-0000E6060000}"/>
    <cellStyle name="Normal 26 5" xfId="1758" xr:uid="{00000000-0005-0000-0000-0000E7060000}"/>
    <cellStyle name="Normal 26 6" xfId="1759" xr:uid="{00000000-0005-0000-0000-0000E8060000}"/>
    <cellStyle name="Normal 27" xfId="1760" xr:uid="{00000000-0005-0000-0000-0000E9060000}"/>
    <cellStyle name="Normal 27 2" xfId="1761" xr:uid="{00000000-0005-0000-0000-0000EA060000}"/>
    <cellStyle name="Normal 27 2 2" xfId="1762" xr:uid="{00000000-0005-0000-0000-0000EB060000}"/>
    <cellStyle name="Normal 27 2 2 2" xfId="1763" xr:uid="{00000000-0005-0000-0000-0000EC060000}"/>
    <cellStyle name="Normal 27 2 3" xfId="1764" xr:uid="{00000000-0005-0000-0000-0000ED060000}"/>
    <cellStyle name="Normal 27 2 3 2" xfId="1765" xr:uid="{00000000-0005-0000-0000-0000EE060000}"/>
    <cellStyle name="Normal 27 2 4" xfId="1766" xr:uid="{00000000-0005-0000-0000-0000EF060000}"/>
    <cellStyle name="Normal 27 2 5" xfId="1767" xr:uid="{00000000-0005-0000-0000-0000F0060000}"/>
    <cellStyle name="Normal 27 3" xfId="1768" xr:uid="{00000000-0005-0000-0000-0000F1060000}"/>
    <cellStyle name="Normal 27 3 2" xfId="1769" xr:uid="{00000000-0005-0000-0000-0000F2060000}"/>
    <cellStyle name="Normal 27 4" xfId="1770" xr:uid="{00000000-0005-0000-0000-0000F3060000}"/>
    <cellStyle name="Normal 27 4 2" xfId="1771" xr:uid="{00000000-0005-0000-0000-0000F4060000}"/>
    <cellStyle name="Normal 27 5" xfId="1772" xr:uid="{00000000-0005-0000-0000-0000F5060000}"/>
    <cellStyle name="Normal 27 6" xfId="1773" xr:uid="{00000000-0005-0000-0000-0000F6060000}"/>
    <cellStyle name="Normal 27 7" xfId="1774" xr:uid="{00000000-0005-0000-0000-0000F7060000}"/>
    <cellStyle name="Normal 28" xfId="1775" xr:uid="{00000000-0005-0000-0000-0000F8060000}"/>
    <cellStyle name="Normal 28 2" xfId="1776" xr:uid="{00000000-0005-0000-0000-0000F9060000}"/>
    <cellStyle name="Normal 28 2 2" xfId="1777" xr:uid="{00000000-0005-0000-0000-0000FA060000}"/>
    <cellStyle name="Normal 28 2 2 2" xfId="1778" xr:uid="{00000000-0005-0000-0000-0000FB060000}"/>
    <cellStyle name="Normal 28 2 3" xfId="1779" xr:uid="{00000000-0005-0000-0000-0000FC060000}"/>
    <cellStyle name="Normal 28 2 3 2" xfId="1780" xr:uid="{00000000-0005-0000-0000-0000FD060000}"/>
    <cellStyle name="Normal 28 2 4" xfId="1781" xr:uid="{00000000-0005-0000-0000-0000FE060000}"/>
    <cellStyle name="Normal 28 2 5" xfId="1782" xr:uid="{00000000-0005-0000-0000-0000FF060000}"/>
    <cellStyle name="Normal 28 3" xfId="1783" xr:uid="{00000000-0005-0000-0000-000000070000}"/>
    <cellStyle name="Normal 28 3 2" xfId="1784" xr:uid="{00000000-0005-0000-0000-000001070000}"/>
    <cellStyle name="Normal 28 4" xfId="1785" xr:uid="{00000000-0005-0000-0000-000002070000}"/>
    <cellStyle name="Normal 28 4 2" xfId="1786" xr:uid="{00000000-0005-0000-0000-000003070000}"/>
    <cellStyle name="Normal 28 5" xfId="1787" xr:uid="{00000000-0005-0000-0000-000004070000}"/>
    <cellStyle name="Normal 28 6" xfId="1788" xr:uid="{00000000-0005-0000-0000-000005070000}"/>
    <cellStyle name="Normal 28 7" xfId="1789" xr:uid="{00000000-0005-0000-0000-000006070000}"/>
    <cellStyle name="Normal 29" xfId="1790" xr:uid="{00000000-0005-0000-0000-000007070000}"/>
    <cellStyle name="Normal 29 2" xfId="1791" xr:uid="{00000000-0005-0000-0000-000008070000}"/>
    <cellStyle name="Normal 29 2 2" xfId="1792" xr:uid="{00000000-0005-0000-0000-000009070000}"/>
    <cellStyle name="Normal 29 2 2 2" xfId="1793" xr:uid="{00000000-0005-0000-0000-00000A070000}"/>
    <cellStyle name="Normal 29 2 3" xfId="1794" xr:uid="{00000000-0005-0000-0000-00000B070000}"/>
    <cellStyle name="Normal 29 2 3 2" xfId="1795" xr:uid="{00000000-0005-0000-0000-00000C070000}"/>
    <cellStyle name="Normal 29 2 4" xfId="1796" xr:uid="{00000000-0005-0000-0000-00000D070000}"/>
    <cellStyle name="Normal 29 2 5" xfId="1797" xr:uid="{00000000-0005-0000-0000-00000E070000}"/>
    <cellStyle name="Normal 29 3" xfId="1798" xr:uid="{00000000-0005-0000-0000-00000F070000}"/>
    <cellStyle name="Normal 29 3 2" xfId="1799" xr:uid="{00000000-0005-0000-0000-000010070000}"/>
    <cellStyle name="Normal 29 4" xfId="1800" xr:uid="{00000000-0005-0000-0000-000011070000}"/>
    <cellStyle name="Normal 29 4 2" xfId="1801" xr:uid="{00000000-0005-0000-0000-000012070000}"/>
    <cellStyle name="Normal 29 5" xfId="1802" xr:uid="{00000000-0005-0000-0000-000013070000}"/>
    <cellStyle name="Normal 29 6" xfId="1803" xr:uid="{00000000-0005-0000-0000-000014070000}"/>
    <cellStyle name="Normal 29 7" xfId="1804" xr:uid="{00000000-0005-0000-0000-000015070000}"/>
    <cellStyle name="Normal 3" xfId="1805" xr:uid="{00000000-0005-0000-0000-000016070000}"/>
    <cellStyle name="Normal 3 10" xfId="1806" xr:uid="{00000000-0005-0000-0000-000017070000}"/>
    <cellStyle name="Normal 3 11" xfId="1807" xr:uid="{00000000-0005-0000-0000-000018070000}"/>
    <cellStyle name="Normal 3 12" xfId="1808" xr:uid="{00000000-0005-0000-0000-000019070000}"/>
    <cellStyle name="Normal 3 13" xfId="1809" xr:uid="{00000000-0005-0000-0000-00001A070000}"/>
    <cellStyle name="Normal 3 14" xfId="1810" xr:uid="{00000000-0005-0000-0000-00001B070000}"/>
    <cellStyle name="Normal 3 15" xfId="1811" xr:uid="{00000000-0005-0000-0000-00001C070000}"/>
    <cellStyle name="Normal 3 16" xfId="1812" xr:uid="{00000000-0005-0000-0000-00001D070000}"/>
    <cellStyle name="Normal 3 17" xfId="1813" xr:uid="{00000000-0005-0000-0000-00001E070000}"/>
    <cellStyle name="Normal 3 18" xfId="1814" xr:uid="{00000000-0005-0000-0000-00001F070000}"/>
    <cellStyle name="Normal 3 19" xfId="1815" xr:uid="{00000000-0005-0000-0000-000020070000}"/>
    <cellStyle name="Normal 3 2" xfId="1816" xr:uid="{00000000-0005-0000-0000-000021070000}"/>
    <cellStyle name="Normal 3 2 2" xfId="1817" xr:uid="{00000000-0005-0000-0000-000022070000}"/>
    <cellStyle name="Normal 3 20" xfId="1818" xr:uid="{00000000-0005-0000-0000-000023070000}"/>
    <cellStyle name="Normal 3 21" xfId="1819" xr:uid="{00000000-0005-0000-0000-000024070000}"/>
    <cellStyle name="Normal 3 22" xfId="1820" xr:uid="{00000000-0005-0000-0000-000025070000}"/>
    <cellStyle name="Normal 3 23" xfId="1821" xr:uid="{00000000-0005-0000-0000-000026070000}"/>
    <cellStyle name="Normal 3 24" xfId="1822" xr:uid="{00000000-0005-0000-0000-000027070000}"/>
    <cellStyle name="Normal 3 25" xfId="1823" xr:uid="{00000000-0005-0000-0000-000028070000}"/>
    <cellStyle name="Normal 3 26" xfId="1824" xr:uid="{00000000-0005-0000-0000-000029070000}"/>
    <cellStyle name="Normal 3 27" xfId="1825" xr:uid="{00000000-0005-0000-0000-00002A070000}"/>
    <cellStyle name="Normal 3 28" xfId="1826" xr:uid="{00000000-0005-0000-0000-00002B070000}"/>
    <cellStyle name="Normal 3 29" xfId="1827" xr:uid="{00000000-0005-0000-0000-00002C070000}"/>
    <cellStyle name="Normal 3 3" xfId="1828" xr:uid="{00000000-0005-0000-0000-00002D070000}"/>
    <cellStyle name="Normal 3 3 2" xfId="1829" xr:uid="{00000000-0005-0000-0000-00002E070000}"/>
    <cellStyle name="Normal 3 3 3" xfId="1830" xr:uid="{00000000-0005-0000-0000-00002F070000}"/>
    <cellStyle name="Normal 3 30" xfId="1831" xr:uid="{00000000-0005-0000-0000-000030070000}"/>
    <cellStyle name="Normal 3 31" xfId="1832" xr:uid="{00000000-0005-0000-0000-000031070000}"/>
    <cellStyle name="Normal 3 32" xfId="1833" xr:uid="{00000000-0005-0000-0000-000032070000}"/>
    <cellStyle name="Normal 3 32 2" xfId="1834" xr:uid="{00000000-0005-0000-0000-000033070000}"/>
    <cellStyle name="Normal 3 33" xfId="1835" xr:uid="{00000000-0005-0000-0000-000034070000}"/>
    <cellStyle name="Normal 3 34" xfId="1836" xr:uid="{00000000-0005-0000-0000-000035070000}"/>
    <cellStyle name="Normal 3 35" xfId="1837" xr:uid="{00000000-0005-0000-0000-000036070000}"/>
    <cellStyle name="Normal 3 36" xfId="1838" xr:uid="{00000000-0005-0000-0000-000037070000}"/>
    <cellStyle name="Normal 3 37" xfId="1839" xr:uid="{00000000-0005-0000-0000-000038070000}"/>
    <cellStyle name="Normal 3 38" xfId="1840" xr:uid="{00000000-0005-0000-0000-000039070000}"/>
    <cellStyle name="Normal 3 39" xfId="1841" xr:uid="{00000000-0005-0000-0000-00003A070000}"/>
    <cellStyle name="Normal 3 4" xfId="1842" xr:uid="{00000000-0005-0000-0000-00003B070000}"/>
    <cellStyle name="Normal 3 4 2" xfId="1843" xr:uid="{00000000-0005-0000-0000-00003C070000}"/>
    <cellStyle name="Normal 3 4 3" xfId="1844" xr:uid="{00000000-0005-0000-0000-00003D070000}"/>
    <cellStyle name="Normal 3 40" xfId="1845" xr:uid="{00000000-0005-0000-0000-00003E070000}"/>
    <cellStyle name="Normal 3 41" xfId="1846" xr:uid="{00000000-0005-0000-0000-00003F070000}"/>
    <cellStyle name="Normal 3 42" xfId="1847" xr:uid="{00000000-0005-0000-0000-000040070000}"/>
    <cellStyle name="Normal 3 43" xfId="1848" xr:uid="{00000000-0005-0000-0000-000041070000}"/>
    <cellStyle name="Normal 3 44" xfId="1849" xr:uid="{00000000-0005-0000-0000-000042070000}"/>
    <cellStyle name="Normal 3 45" xfId="1850" xr:uid="{00000000-0005-0000-0000-000043070000}"/>
    <cellStyle name="Normal 3 46" xfId="1851" xr:uid="{00000000-0005-0000-0000-000044070000}"/>
    <cellStyle name="Normal 3 47" xfId="1852" xr:uid="{00000000-0005-0000-0000-000045070000}"/>
    <cellStyle name="Normal 3 48" xfId="1853" xr:uid="{00000000-0005-0000-0000-000046070000}"/>
    <cellStyle name="Normal 3 49" xfId="1854" xr:uid="{00000000-0005-0000-0000-000047070000}"/>
    <cellStyle name="Normal 3 5" xfId="1855" xr:uid="{00000000-0005-0000-0000-000048070000}"/>
    <cellStyle name="Normal 3 5 2" xfId="1856" xr:uid="{00000000-0005-0000-0000-000049070000}"/>
    <cellStyle name="Normal 3 50" xfId="1857" xr:uid="{00000000-0005-0000-0000-00004A070000}"/>
    <cellStyle name="Normal 3 51" xfId="1858" xr:uid="{00000000-0005-0000-0000-00004B070000}"/>
    <cellStyle name="Normal 3 52" xfId="1859" xr:uid="{00000000-0005-0000-0000-00004C070000}"/>
    <cellStyle name="Normal 3 53" xfId="1860" xr:uid="{00000000-0005-0000-0000-00004D070000}"/>
    <cellStyle name="Normal 3 54" xfId="1861" xr:uid="{00000000-0005-0000-0000-00004E070000}"/>
    <cellStyle name="Normal 3 55" xfId="1862" xr:uid="{00000000-0005-0000-0000-00004F070000}"/>
    <cellStyle name="Normal 3 56" xfId="1863" xr:uid="{00000000-0005-0000-0000-000050070000}"/>
    <cellStyle name="Normal 3 57" xfId="1864" xr:uid="{00000000-0005-0000-0000-000051070000}"/>
    <cellStyle name="Normal 3 58" xfId="1865" xr:uid="{00000000-0005-0000-0000-000052070000}"/>
    <cellStyle name="Normal 3 59" xfId="1866" xr:uid="{00000000-0005-0000-0000-000053070000}"/>
    <cellStyle name="Normal 3 6" xfId="1867" xr:uid="{00000000-0005-0000-0000-000054070000}"/>
    <cellStyle name="Normal 3 6 2" xfId="1868" xr:uid="{00000000-0005-0000-0000-000055070000}"/>
    <cellStyle name="Normal 3 60" xfId="1869" xr:uid="{00000000-0005-0000-0000-000056070000}"/>
    <cellStyle name="Normal 3 61" xfId="1870" xr:uid="{00000000-0005-0000-0000-000057070000}"/>
    <cellStyle name="Normal 3 62" xfId="1871" xr:uid="{00000000-0005-0000-0000-000058070000}"/>
    <cellStyle name="Normal 3 63" xfId="1872" xr:uid="{00000000-0005-0000-0000-000059070000}"/>
    <cellStyle name="Normal 3 64" xfId="1873" xr:uid="{00000000-0005-0000-0000-00005A070000}"/>
    <cellStyle name="Normal 3 65" xfId="1874" xr:uid="{00000000-0005-0000-0000-00005B070000}"/>
    <cellStyle name="Normal 3 66" xfId="1875" xr:uid="{00000000-0005-0000-0000-00005C070000}"/>
    <cellStyle name="Normal 3 7" xfId="1876" xr:uid="{00000000-0005-0000-0000-00005D070000}"/>
    <cellStyle name="Normal 3 7 2" xfId="1877" xr:uid="{00000000-0005-0000-0000-00005E070000}"/>
    <cellStyle name="Normal 3 8" xfId="1878" xr:uid="{00000000-0005-0000-0000-00005F070000}"/>
    <cellStyle name="Normal 3 9" xfId="1879" xr:uid="{00000000-0005-0000-0000-000060070000}"/>
    <cellStyle name="Normal 3_!NAMTRIMO 17 Sept  2014  continued extra" xfId="1880" xr:uid="{00000000-0005-0000-0000-000061070000}"/>
    <cellStyle name="Normal 30" xfId="1881" xr:uid="{00000000-0005-0000-0000-000062070000}"/>
    <cellStyle name="Normal 30 2" xfId="1882" xr:uid="{00000000-0005-0000-0000-000063070000}"/>
    <cellStyle name="Normal 30 2 2" xfId="1883" xr:uid="{00000000-0005-0000-0000-000064070000}"/>
    <cellStyle name="Normal 30 2 2 2" xfId="1884" xr:uid="{00000000-0005-0000-0000-000065070000}"/>
    <cellStyle name="Normal 30 2 3" xfId="1885" xr:uid="{00000000-0005-0000-0000-000066070000}"/>
    <cellStyle name="Normal 30 2 3 2" xfId="1886" xr:uid="{00000000-0005-0000-0000-000067070000}"/>
    <cellStyle name="Normal 30 2 4" xfId="1887" xr:uid="{00000000-0005-0000-0000-000068070000}"/>
    <cellStyle name="Normal 30 2 5" xfId="1888" xr:uid="{00000000-0005-0000-0000-000069070000}"/>
    <cellStyle name="Normal 30 3" xfId="1889" xr:uid="{00000000-0005-0000-0000-00006A070000}"/>
    <cellStyle name="Normal 30 3 2" xfId="1890" xr:uid="{00000000-0005-0000-0000-00006B070000}"/>
    <cellStyle name="Normal 30 4" xfId="1891" xr:uid="{00000000-0005-0000-0000-00006C070000}"/>
    <cellStyle name="Normal 30 4 2" xfId="1892" xr:uid="{00000000-0005-0000-0000-00006D070000}"/>
    <cellStyle name="Normal 30 5" xfId="1893" xr:uid="{00000000-0005-0000-0000-00006E070000}"/>
    <cellStyle name="Normal 30 6" xfId="1894" xr:uid="{00000000-0005-0000-0000-00006F070000}"/>
    <cellStyle name="Normal 30 7" xfId="1895" xr:uid="{00000000-0005-0000-0000-000070070000}"/>
    <cellStyle name="Normal 31" xfId="1896" xr:uid="{00000000-0005-0000-0000-000071070000}"/>
    <cellStyle name="Normal 31 2" xfId="1897" xr:uid="{00000000-0005-0000-0000-000072070000}"/>
    <cellStyle name="Normal 31 2 2" xfId="1898" xr:uid="{00000000-0005-0000-0000-000073070000}"/>
    <cellStyle name="Normal 31 2 3" xfId="1899" xr:uid="{00000000-0005-0000-0000-000074070000}"/>
    <cellStyle name="Normal 31 3" xfId="1900" xr:uid="{00000000-0005-0000-0000-000075070000}"/>
    <cellStyle name="Normal 31 3 2" xfId="1901" xr:uid="{00000000-0005-0000-0000-000076070000}"/>
    <cellStyle name="Normal 31 4" xfId="1902" xr:uid="{00000000-0005-0000-0000-000077070000}"/>
    <cellStyle name="Normal 31 5" xfId="1903" xr:uid="{00000000-0005-0000-0000-000078070000}"/>
    <cellStyle name="Normal 31 6" xfId="1904" xr:uid="{00000000-0005-0000-0000-000079070000}"/>
    <cellStyle name="Normal 32" xfId="1905" xr:uid="{00000000-0005-0000-0000-00007A070000}"/>
    <cellStyle name="Normal 32 2" xfId="1906" xr:uid="{00000000-0005-0000-0000-00007B070000}"/>
    <cellStyle name="Normal 32 2 2" xfId="1907" xr:uid="{00000000-0005-0000-0000-00007C070000}"/>
    <cellStyle name="Normal 32 2 2 2" xfId="1908" xr:uid="{00000000-0005-0000-0000-00007D070000}"/>
    <cellStyle name="Normal 32 2 3" xfId="1909" xr:uid="{00000000-0005-0000-0000-00007E070000}"/>
    <cellStyle name="Normal 32 2 3 2" xfId="1910" xr:uid="{00000000-0005-0000-0000-00007F070000}"/>
    <cellStyle name="Normal 32 2 4" xfId="1911" xr:uid="{00000000-0005-0000-0000-000080070000}"/>
    <cellStyle name="Normal 32 2 5" xfId="1912" xr:uid="{00000000-0005-0000-0000-000081070000}"/>
    <cellStyle name="Normal 32 3" xfId="1913" xr:uid="{00000000-0005-0000-0000-000082070000}"/>
    <cellStyle name="Normal 32 3 2" xfId="1914" xr:uid="{00000000-0005-0000-0000-000083070000}"/>
    <cellStyle name="Normal 32 4" xfId="1915" xr:uid="{00000000-0005-0000-0000-000084070000}"/>
    <cellStyle name="Normal 32 4 2" xfId="1916" xr:uid="{00000000-0005-0000-0000-000085070000}"/>
    <cellStyle name="Normal 32 5" xfId="1917" xr:uid="{00000000-0005-0000-0000-000086070000}"/>
    <cellStyle name="Normal 32 6" xfId="1918" xr:uid="{00000000-0005-0000-0000-000087070000}"/>
    <cellStyle name="Normal 32 7" xfId="1919" xr:uid="{00000000-0005-0000-0000-000088070000}"/>
    <cellStyle name="Normal 33" xfId="1920" xr:uid="{00000000-0005-0000-0000-000089070000}"/>
    <cellStyle name="Normal 33 2" xfId="1921" xr:uid="{00000000-0005-0000-0000-00008A070000}"/>
    <cellStyle name="Normal 33 2 2" xfId="1922" xr:uid="{00000000-0005-0000-0000-00008B070000}"/>
    <cellStyle name="Normal 33 2 2 2" xfId="1923" xr:uid="{00000000-0005-0000-0000-00008C070000}"/>
    <cellStyle name="Normal 33 2 3" xfId="1924" xr:uid="{00000000-0005-0000-0000-00008D070000}"/>
    <cellStyle name="Normal 33 2 3 2" xfId="1925" xr:uid="{00000000-0005-0000-0000-00008E070000}"/>
    <cellStyle name="Normal 33 2 4" xfId="1926" xr:uid="{00000000-0005-0000-0000-00008F070000}"/>
    <cellStyle name="Normal 33 2 5" xfId="1927" xr:uid="{00000000-0005-0000-0000-000090070000}"/>
    <cellStyle name="Normal 33 3" xfId="1928" xr:uid="{00000000-0005-0000-0000-000091070000}"/>
    <cellStyle name="Normal 33 3 2" xfId="1929" xr:uid="{00000000-0005-0000-0000-000092070000}"/>
    <cellStyle name="Normal 33 4" xfId="1930" xr:uid="{00000000-0005-0000-0000-000093070000}"/>
    <cellStyle name="Normal 33 4 2" xfId="1931" xr:uid="{00000000-0005-0000-0000-000094070000}"/>
    <cellStyle name="Normal 33 4 3" xfId="1932" xr:uid="{00000000-0005-0000-0000-000095070000}"/>
    <cellStyle name="Normal 33 5" xfId="1933" xr:uid="{00000000-0005-0000-0000-000096070000}"/>
    <cellStyle name="Normal 33 6" xfId="1934" xr:uid="{00000000-0005-0000-0000-000097070000}"/>
    <cellStyle name="Normal 34" xfId="1935" xr:uid="{00000000-0005-0000-0000-000098070000}"/>
    <cellStyle name="Normal 34 2" xfId="1936" xr:uid="{00000000-0005-0000-0000-000099070000}"/>
    <cellStyle name="Normal 34 2 2" xfId="1937" xr:uid="{00000000-0005-0000-0000-00009A070000}"/>
    <cellStyle name="Normal 34 2 3" xfId="1938" xr:uid="{00000000-0005-0000-0000-00009B070000}"/>
    <cellStyle name="Normal 34 3" xfId="1939" xr:uid="{00000000-0005-0000-0000-00009C070000}"/>
    <cellStyle name="Normal 34 3 2" xfId="1940" xr:uid="{00000000-0005-0000-0000-00009D070000}"/>
    <cellStyle name="Normal 34 4" xfId="1941" xr:uid="{00000000-0005-0000-0000-00009E070000}"/>
    <cellStyle name="Normal 34 5" xfId="1942" xr:uid="{00000000-0005-0000-0000-00009F070000}"/>
    <cellStyle name="Normal 34 6" xfId="1943" xr:uid="{00000000-0005-0000-0000-0000A0070000}"/>
    <cellStyle name="Normal 35" xfId="1944" xr:uid="{00000000-0005-0000-0000-0000A1070000}"/>
    <cellStyle name="Normal 35 2" xfId="1945" xr:uid="{00000000-0005-0000-0000-0000A2070000}"/>
    <cellStyle name="Normal 35 2 2" xfId="1946" xr:uid="{00000000-0005-0000-0000-0000A3070000}"/>
    <cellStyle name="Normal 35 2 2 2" xfId="1947" xr:uid="{00000000-0005-0000-0000-0000A4070000}"/>
    <cellStyle name="Normal 35 2 3" xfId="1948" xr:uid="{00000000-0005-0000-0000-0000A5070000}"/>
    <cellStyle name="Normal 35 2 3 2" xfId="1949" xr:uid="{00000000-0005-0000-0000-0000A6070000}"/>
    <cellStyle name="Normal 35 2 4" xfId="1950" xr:uid="{00000000-0005-0000-0000-0000A7070000}"/>
    <cellStyle name="Normal 35 2 5" xfId="1951" xr:uid="{00000000-0005-0000-0000-0000A8070000}"/>
    <cellStyle name="Normal 35 3" xfId="1952" xr:uid="{00000000-0005-0000-0000-0000A9070000}"/>
    <cellStyle name="Normal 35 3 2" xfId="1953" xr:uid="{00000000-0005-0000-0000-0000AA070000}"/>
    <cellStyle name="Normal 35 4" xfId="1954" xr:uid="{00000000-0005-0000-0000-0000AB070000}"/>
    <cellStyle name="Normal 35 4 2" xfId="1955" xr:uid="{00000000-0005-0000-0000-0000AC070000}"/>
    <cellStyle name="Normal 35 5" xfId="1956" xr:uid="{00000000-0005-0000-0000-0000AD070000}"/>
    <cellStyle name="Normal 35 6" xfId="1957" xr:uid="{00000000-0005-0000-0000-0000AE070000}"/>
    <cellStyle name="Normal 35 7" xfId="1958" xr:uid="{00000000-0005-0000-0000-0000AF070000}"/>
    <cellStyle name="Normal 36" xfId="1959" xr:uid="{00000000-0005-0000-0000-0000B0070000}"/>
    <cellStyle name="Normal 36 2" xfId="1960" xr:uid="{00000000-0005-0000-0000-0000B1070000}"/>
    <cellStyle name="Normal 36 2 2" xfId="1961" xr:uid="{00000000-0005-0000-0000-0000B2070000}"/>
    <cellStyle name="Normal 36 2 3" xfId="1962" xr:uid="{00000000-0005-0000-0000-0000B3070000}"/>
    <cellStyle name="Normal 36 3" xfId="1963" xr:uid="{00000000-0005-0000-0000-0000B4070000}"/>
    <cellStyle name="Normal 36 3 2" xfId="1964" xr:uid="{00000000-0005-0000-0000-0000B5070000}"/>
    <cellStyle name="Normal 36 4" xfId="1965" xr:uid="{00000000-0005-0000-0000-0000B6070000}"/>
    <cellStyle name="Normal 36 5" xfId="1966" xr:uid="{00000000-0005-0000-0000-0000B7070000}"/>
    <cellStyle name="Normal 36 6" xfId="1967" xr:uid="{00000000-0005-0000-0000-0000B8070000}"/>
    <cellStyle name="Normal 37" xfId="1968" xr:uid="{00000000-0005-0000-0000-0000B9070000}"/>
    <cellStyle name="Normal 37 2" xfId="1969" xr:uid="{00000000-0005-0000-0000-0000BA070000}"/>
    <cellStyle name="Normal 37 2 2" xfId="1970" xr:uid="{00000000-0005-0000-0000-0000BB070000}"/>
    <cellStyle name="Normal 37 2 2 2" xfId="1971" xr:uid="{00000000-0005-0000-0000-0000BC070000}"/>
    <cellStyle name="Normal 37 2 3" xfId="1972" xr:uid="{00000000-0005-0000-0000-0000BD070000}"/>
    <cellStyle name="Normal 37 2 3 2" xfId="1973" xr:uid="{00000000-0005-0000-0000-0000BE070000}"/>
    <cellStyle name="Normal 37 2 4" xfId="1974" xr:uid="{00000000-0005-0000-0000-0000BF070000}"/>
    <cellStyle name="Normal 37 2 5" xfId="1975" xr:uid="{00000000-0005-0000-0000-0000C0070000}"/>
    <cellStyle name="Normal 37 3" xfId="1976" xr:uid="{00000000-0005-0000-0000-0000C1070000}"/>
    <cellStyle name="Normal 37 3 2" xfId="1977" xr:uid="{00000000-0005-0000-0000-0000C2070000}"/>
    <cellStyle name="Normal 37 4" xfId="1978" xr:uid="{00000000-0005-0000-0000-0000C3070000}"/>
    <cellStyle name="Normal 37 4 2" xfId="1979" xr:uid="{00000000-0005-0000-0000-0000C4070000}"/>
    <cellStyle name="Normal 37 5" xfId="1980" xr:uid="{00000000-0005-0000-0000-0000C5070000}"/>
    <cellStyle name="Normal 37 6" xfId="1981" xr:uid="{00000000-0005-0000-0000-0000C6070000}"/>
    <cellStyle name="Normal 37 7" xfId="1982" xr:uid="{00000000-0005-0000-0000-0000C7070000}"/>
    <cellStyle name="Normal 37 9" xfId="1983" xr:uid="{00000000-0005-0000-0000-0000C8070000}"/>
    <cellStyle name="Normal 38" xfId="1984" xr:uid="{00000000-0005-0000-0000-0000C9070000}"/>
    <cellStyle name="Normal 38 2" xfId="1985" xr:uid="{00000000-0005-0000-0000-0000CA070000}"/>
    <cellStyle name="Normal 38 2 2" xfId="1986" xr:uid="{00000000-0005-0000-0000-0000CB070000}"/>
    <cellStyle name="Normal 38 2 3" xfId="1987" xr:uid="{00000000-0005-0000-0000-0000CC070000}"/>
    <cellStyle name="Normal 38 2 4" xfId="1988" xr:uid="{00000000-0005-0000-0000-0000CD070000}"/>
    <cellStyle name="Normal 38 3" xfId="1989" xr:uid="{00000000-0005-0000-0000-0000CE070000}"/>
    <cellStyle name="Normal 38 3 2" xfId="1990" xr:uid="{00000000-0005-0000-0000-0000CF070000}"/>
    <cellStyle name="Normal 38 4" xfId="1991" xr:uid="{00000000-0005-0000-0000-0000D0070000}"/>
    <cellStyle name="Normal 38 5" xfId="1992" xr:uid="{00000000-0005-0000-0000-0000D1070000}"/>
    <cellStyle name="Normal 39" xfId="1993" xr:uid="{00000000-0005-0000-0000-0000D2070000}"/>
    <cellStyle name="Normal 39 2" xfId="1994" xr:uid="{00000000-0005-0000-0000-0000D3070000}"/>
    <cellStyle name="Normal 39 2 2" xfId="1995" xr:uid="{00000000-0005-0000-0000-0000D4070000}"/>
    <cellStyle name="Normal 39 2 3" xfId="1996" xr:uid="{00000000-0005-0000-0000-0000D5070000}"/>
    <cellStyle name="Normal 39 3" xfId="1997" xr:uid="{00000000-0005-0000-0000-0000D6070000}"/>
    <cellStyle name="Normal 39 3 2" xfId="1998" xr:uid="{00000000-0005-0000-0000-0000D7070000}"/>
    <cellStyle name="Normal 39 3 3" xfId="1999" xr:uid="{00000000-0005-0000-0000-0000D8070000}"/>
    <cellStyle name="Normal 39 4" xfId="2000" xr:uid="{00000000-0005-0000-0000-0000D9070000}"/>
    <cellStyle name="Normal 39 5" xfId="2001" xr:uid="{00000000-0005-0000-0000-0000DA070000}"/>
    <cellStyle name="Normal 4" xfId="2002" xr:uid="{00000000-0005-0000-0000-0000DB070000}"/>
    <cellStyle name="Normal 4 10" xfId="2003" xr:uid="{00000000-0005-0000-0000-0000DC070000}"/>
    <cellStyle name="Normal 4 11" xfId="2004" xr:uid="{00000000-0005-0000-0000-0000DD070000}"/>
    <cellStyle name="Normal 4 12" xfId="2005" xr:uid="{00000000-0005-0000-0000-0000DE070000}"/>
    <cellStyle name="Normal 4 13" xfId="2006" xr:uid="{00000000-0005-0000-0000-0000DF070000}"/>
    <cellStyle name="Normal 4 14" xfId="2007" xr:uid="{00000000-0005-0000-0000-0000E0070000}"/>
    <cellStyle name="Normal 4 15" xfId="2008" xr:uid="{00000000-0005-0000-0000-0000E1070000}"/>
    <cellStyle name="Normal 4 16" xfId="2009" xr:uid="{00000000-0005-0000-0000-0000E2070000}"/>
    <cellStyle name="Normal 4 17" xfId="2010" xr:uid="{00000000-0005-0000-0000-0000E3070000}"/>
    <cellStyle name="Normal 4 18" xfId="2011" xr:uid="{00000000-0005-0000-0000-0000E4070000}"/>
    <cellStyle name="Normal 4 19" xfId="2012" xr:uid="{00000000-0005-0000-0000-0000E5070000}"/>
    <cellStyle name="Normal 4 2" xfId="2013" xr:uid="{00000000-0005-0000-0000-0000E6070000}"/>
    <cellStyle name="Normal 4 2 2" xfId="2014" xr:uid="{00000000-0005-0000-0000-0000E7070000}"/>
    <cellStyle name="Normal 4 2_Map3" xfId="2015" xr:uid="{00000000-0005-0000-0000-0000E8070000}"/>
    <cellStyle name="Normal 4 20" xfId="2016" xr:uid="{00000000-0005-0000-0000-0000E9070000}"/>
    <cellStyle name="Normal 4 21" xfId="2017" xr:uid="{00000000-0005-0000-0000-0000EA070000}"/>
    <cellStyle name="Normal 4 22" xfId="2018" xr:uid="{00000000-0005-0000-0000-0000EB070000}"/>
    <cellStyle name="Normal 4 23" xfId="2019" xr:uid="{00000000-0005-0000-0000-0000EC070000}"/>
    <cellStyle name="Normal 4 24" xfId="2020" xr:uid="{00000000-0005-0000-0000-0000ED070000}"/>
    <cellStyle name="Normal 4 25" xfId="2021" xr:uid="{00000000-0005-0000-0000-0000EE070000}"/>
    <cellStyle name="Normal 4 26" xfId="2022" xr:uid="{00000000-0005-0000-0000-0000EF070000}"/>
    <cellStyle name="Normal 4 27" xfId="2023" xr:uid="{00000000-0005-0000-0000-0000F0070000}"/>
    <cellStyle name="Normal 4 28" xfId="2024" xr:uid="{00000000-0005-0000-0000-0000F1070000}"/>
    <cellStyle name="Normal 4 29" xfId="2025" xr:uid="{00000000-0005-0000-0000-0000F2070000}"/>
    <cellStyle name="Normal 4 3" xfId="2026" xr:uid="{00000000-0005-0000-0000-0000F3070000}"/>
    <cellStyle name="Normal 4 3 2" xfId="2027" xr:uid="{00000000-0005-0000-0000-0000F4070000}"/>
    <cellStyle name="Normal 4 3_Map3" xfId="2028" xr:uid="{00000000-0005-0000-0000-0000F5070000}"/>
    <cellStyle name="Normal 4 30" xfId="2029" xr:uid="{00000000-0005-0000-0000-0000F6070000}"/>
    <cellStyle name="Normal 4 31" xfId="2030" xr:uid="{00000000-0005-0000-0000-0000F7070000}"/>
    <cellStyle name="Normal 4 32" xfId="2031" xr:uid="{00000000-0005-0000-0000-0000F8070000}"/>
    <cellStyle name="Normal 4 33" xfId="2032" xr:uid="{00000000-0005-0000-0000-0000F9070000}"/>
    <cellStyle name="Normal 4 34" xfId="2033" xr:uid="{00000000-0005-0000-0000-0000FA070000}"/>
    <cellStyle name="Normal 4 35" xfId="2034" xr:uid="{00000000-0005-0000-0000-0000FB070000}"/>
    <cellStyle name="Normal 4 36" xfId="2035" xr:uid="{00000000-0005-0000-0000-0000FC070000}"/>
    <cellStyle name="Normal 4 37" xfId="2036" xr:uid="{00000000-0005-0000-0000-0000FD070000}"/>
    <cellStyle name="Normal 4 38" xfId="2037" xr:uid="{00000000-0005-0000-0000-0000FE070000}"/>
    <cellStyle name="Normal 4 39" xfId="2038" xr:uid="{00000000-0005-0000-0000-0000FF070000}"/>
    <cellStyle name="Normal 4 4" xfId="2039" xr:uid="{00000000-0005-0000-0000-000000080000}"/>
    <cellStyle name="Normal 4 40" xfId="2040" xr:uid="{00000000-0005-0000-0000-000001080000}"/>
    <cellStyle name="Normal 4 41" xfId="2041" xr:uid="{00000000-0005-0000-0000-000002080000}"/>
    <cellStyle name="Normal 4 42" xfId="2042" xr:uid="{00000000-0005-0000-0000-000003080000}"/>
    <cellStyle name="Normal 4 43" xfId="2043" xr:uid="{00000000-0005-0000-0000-000004080000}"/>
    <cellStyle name="Normal 4 44" xfId="2044" xr:uid="{00000000-0005-0000-0000-000005080000}"/>
    <cellStyle name="Normal 4 45" xfId="2045" xr:uid="{00000000-0005-0000-0000-000006080000}"/>
    <cellStyle name="Normal 4 46" xfId="2046" xr:uid="{00000000-0005-0000-0000-000007080000}"/>
    <cellStyle name="Normal 4 47" xfId="2047" xr:uid="{00000000-0005-0000-0000-000008080000}"/>
    <cellStyle name="Normal 4 48" xfId="2048" xr:uid="{00000000-0005-0000-0000-000009080000}"/>
    <cellStyle name="Normal 4 49" xfId="2049" xr:uid="{00000000-0005-0000-0000-00000A080000}"/>
    <cellStyle name="Normal 4 5" xfId="2050" xr:uid="{00000000-0005-0000-0000-00000B080000}"/>
    <cellStyle name="Normal 4 50" xfId="2051" xr:uid="{00000000-0005-0000-0000-00000C080000}"/>
    <cellStyle name="Normal 4 51" xfId="2052" xr:uid="{00000000-0005-0000-0000-00000D080000}"/>
    <cellStyle name="Normal 4 52" xfId="2053" xr:uid="{00000000-0005-0000-0000-00000E080000}"/>
    <cellStyle name="Normal 4 53" xfId="2054" xr:uid="{00000000-0005-0000-0000-00000F080000}"/>
    <cellStyle name="Normal 4 54" xfId="2055" xr:uid="{00000000-0005-0000-0000-000010080000}"/>
    <cellStyle name="Normal 4 55" xfId="2056" xr:uid="{00000000-0005-0000-0000-000011080000}"/>
    <cellStyle name="Normal 4 56" xfId="2057" xr:uid="{00000000-0005-0000-0000-000012080000}"/>
    <cellStyle name="Normal 4 57" xfId="2058" xr:uid="{00000000-0005-0000-0000-000013080000}"/>
    <cellStyle name="Normal 4 58" xfId="2059" xr:uid="{00000000-0005-0000-0000-000014080000}"/>
    <cellStyle name="Normal 4 59" xfId="2060" xr:uid="{00000000-0005-0000-0000-000015080000}"/>
    <cellStyle name="Normal 4 6" xfId="2061" xr:uid="{00000000-0005-0000-0000-000016080000}"/>
    <cellStyle name="Normal 4 60" xfId="2062" xr:uid="{00000000-0005-0000-0000-000017080000}"/>
    <cellStyle name="Normal 4 61" xfId="2063" xr:uid="{00000000-0005-0000-0000-000018080000}"/>
    <cellStyle name="Normal 4 62" xfId="2064" xr:uid="{00000000-0005-0000-0000-000019080000}"/>
    <cellStyle name="Normal 4 63" xfId="2065" xr:uid="{00000000-0005-0000-0000-00001A080000}"/>
    <cellStyle name="Normal 4 64" xfId="2066" xr:uid="{00000000-0005-0000-0000-00001B080000}"/>
    <cellStyle name="Normal 4 65" xfId="2067" xr:uid="{00000000-0005-0000-0000-00001C080000}"/>
    <cellStyle name="Normal 4 66" xfId="2068" xr:uid="{00000000-0005-0000-0000-00001D080000}"/>
    <cellStyle name="Normal 4 67" xfId="2069" xr:uid="{00000000-0005-0000-0000-00001E080000}"/>
    <cellStyle name="Normal 4 7" xfId="2070" xr:uid="{00000000-0005-0000-0000-00001F080000}"/>
    <cellStyle name="Normal 4 8" xfId="2071" xr:uid="{00000000-0005-0000-0000-000020080000}"/>
    <cellStyle name="Normal 4 9" xfId="2072" xr:uid="{00000000-0005-0000-0000-000021080000}"/>
    <cellStyle name="Normal 4_!NAMTRIMO 17 Sept  2014  continued extra" xfId="2073" xr:uid="{00000000-0005-0000-0000-000022080000}"/>
    <cellStyle name="Normal 40" xfId="2074" xr:uid="{00000000-0005-0000-0000-000023080000}"/>
    <cellStyle name="Normal 40 2" xfId="2075" xr:uid="{00000000-0005-0000-0000-000024080000}"/>
    <cellStyle name="Normal 40 2 2" xfId="2076" xr:uid="{00000000-0005-0000-0000-000025080000}"/>
    <cellStyle name="Normal 40 2 3" xfId="2077" xr:uid="{00000000-0005-0000-0000-000026080000}"/>
    <cellStyle name="Normal 40 3" xfId="2078" xr:uid="{00000000-0005-0000-0000-000027080000}"/>
    <cellStyle name="Normal 40 3 2" xfId="2079" xr:uid="{00000000-0005-0000-0000-000028080000}"/>
    <cellStyle name="Normal 40 4" xfId="2080" xr:uid="{00000000-0005-0000-0000-000029080000}"/>
    <cellStyle name="Normal 40 5" xfId="2081" xr:uid="{00000000-0005-0000-0000-00002A080000}"/>
    <cellStyle name="Normal 40 6" xfId="2082" xr:uid="{00000000-0005-0000-0000-00002B080000}"/>
    <cellStyle name="Normal 41" xfId="2083" xr:uid="{00000000-0005-0000-0000-00002C080000}"/>
    <cellStyle name="Normal 41 2" xfId="2084" xr:uid="{00000000-0005-0000-0000-00002D080000}"/>
    <cellStyle name="Normal 41 2 2" xfId="2085" xr:uid="{00000000-0005-0000-0000-00002E080000}"/>
    <cellStyle name="Normal 41 2 2 2" xfId="2086" xr:uid="{00000000-0005-0000-0000-00002F080000}"/>
    <cellStyle name="Normal 41 2 3" xfId="2087" xr:uid="{00000000-0005-0000-0000-000030080000}"/>
    <cellStyle name="Normal 41 2 3 2" xfId="2088" xr:uid="{00000000-0005-0000-0000-000031080000}"/>
    <cellStyle name="Normal 41 2 4" xfId="2089" xr:uid="{00000000-0005-0000-0000-000032080000}"/>
    <cellStyle name="Normal 41 2 5" xfId="2090" xr:uid="{00000000-0005-0000-0000-000033080000}"/>
    <cellStyle name="Normal 41 3" xfId="2091" xr:uid="{00000000-0005-0000-0000-000034080000}"/>
    <cellStyle name="Normal 41 3 2" xfId="2092" xr:uid="{00000000-0005-0000-0000-000035080000}"/>
    <cellStyle name="Normal 41 4" xfId="2093" xr:uid="{00000000-0005-0000-0000-000036080000}"/>
    <cellStyle name="Normal 41 4 2" xfId="2094" xr:uid="{00000000-0005-0000-0000-000037080000}"/>
    <cellStyle name="Normal 41 5" xfId="2095" xr:uid="{00000000-0005-0000-0000-000038080000}"/>
    <cellStyle name="Normal 41 6" xfId="2096" xr:uid="{00000000-0005-0000-0000-000039080000}"/>
    <cellStyle name="Normal 41 7" xfId="2097" xr:uid="{00000000-0005-0000-0000-00003A080000}"/>
    <cellStyle name="Normal 42" xfId="2098" xr:uid="{00000000-0005-0000-0000-00003B080000}"/>
    <cellStyle name="Normal 42 2" xfId="2099" xr:uid="{00000000-0005-0000-0000-00003C080000}"/>
    <cellStyle name="Normal 42 2 2" xfId="2100" xr:uid="{00000000-0005-0000-0000-00003D080000}"/>
    <cellStyle name="Normal 42 2 3" xfId="2101" xr:uid="{00000000-0005-0000-0000-00003E080000}"/>
    <cellStyle name="Normal 42 2 4" xfId="2102" xr:uid="{00000000-0005-0000-0000-00003F080000}"/>
    <cellStyle name="Normal 42 3" xfId="2103" xr:uid="{00000000-0005-0000-0000-000040080000}"/>
    <cellStyle name="Normal 42 3 2" xfId="2104" xr:uid="{00000000-0005-0000-0000-000041080000}"/>
    <cellStyle name="Normal 42 4" xfId="2105" xr:uid="{00000000-0005-0000-0000-000042080000}"/>
    <cellStyle name="Normal 42 5" xfId="2106" xr:uid="{00000000-0005-0000-0000-000043080000}"/>
    <cellStyle name="Normal 43" xfId="2107" xr:uid="{00000000-0005-0000-0000-000044080000}"/>
    <cellStyle name="Normal 43 2" xfId="2108" xr:uid="{00000000-0005-0000-0000-000045080000}"/>
    <cellStyle name="Normal 43 2 2" xfId="2109" xr:uid="{00000000-0005-0000-0000-000046080000}"/>
    <cellStyle name="Normal 43 2 3" xfId="2110" xr:uid="{00000000-0005-0000-0000-000047080000}"/>
    <cellStyle name="Normal 43 3" xfId="2111" xr:uid="{00000000-0005-0000-0000-000048080000}"/>
    <cellStyle name="Normal 43 3 2" xfId="2112" xr:uid="{00000000-0005-0000-0000-000049080000}"/>
    <cellStyle name="Normal 43 3 3" xfId="2113" xr:uid="{00000000-0005-0000-0000-00004A080000}"/>
    <cellStyle name="Normal 43 4" xfId="2114" xr:uid="{00000000-0005-0000-0000-00004B080000}"/>
    <cellStyle name="Normal 43 5" xfId="2115" xr:uid="{00000000-0005-0000-0000-00004C080000}"/>
    <cellStyle name="Normal 44" xfId="2116" xr:uid="{00000000-0005-0000-0000-00004D080000}"/>
    <cellStyle name="Normal 44 2" xfId="2117" xr:uid="{00000000-0005-0000-0000-00004E080000}"/>
    <cellStyle name="Normal 44 2 2" xfId="2118" xr:uid="{00000000-0005-0000-0000-00004F080000}"/>
    <cellStyle name="Normal 44 2 2 2" xfId="2119" xr:uid="{00000000-0005-0000-0000-000050080000}"/>
    <cellStyle name="Normal 44 2 3" xfId="2120" xr:uid="{00000000-0005-0000-0000-000051080000}"/>
    <cellStyle name="Normal 44 2 3 2" xfId="2121" xr:uid="{00000000-0005-0000-0000-000052080000}"/>
    <cellStyle name="Normal 44 2 4" xfId="2122" xr:uid="{00000000-0005-0000-0000-000053080000}"/>
    <cellStyle name="Normal 44 3" xfId="2123" xr:uid="{00000000-0005-0000-0000-000054080000}"/>
    <cellStyle name="Normal 44 3 2" xfId="2124" xr:uid="{00000000-0005-0000-0000-000055080000}"/>
    <cellStyle name="Normal 44 4" xfId="2125" xr:uid="{00000000-0005-0000-0000-000056080000}"/>
    <cellStyle name="Normal 44 4 2" xfId="2126" xr:uid="{00000000-0005-0000-0000-000057080000}"/>
    <cellStyle name="Normal 44 5" xfId="2127" xr:uid="{00000000-0005-0000-0000-000058080000}"/>
    <cellStyle name="Normal 44 6" xfId="2128" xr:uid="{00000000-0005-0000-0000-000059080000}"/>
    <cellStyle name="Normal 45" xfId="2129" xr:uid="{00000000-0005-0000-0000-00005A080000}"/>
    <cellStyle name="Normal 45 2" xfId="2130" xr:uid="{00000000-0005-0000-0000-00005B080000}"/>
    <cellStyle name="Normal 45 2 2" xfId="2131" xr:uid="{00000000-0005-0000-0000-00005C080000}"/>
    <cellStyle name="Normal 45 3" xfId="2132" xr:uid="{00000000-0005-0000-0000-00005D080000}"/>
    <cellStyle name="Normal 45 3 2" xfId="2133" xr:uid="{00000000-0005-0000-0000-00005E080000}"/>
    <cellStyle name="Normal 45 4" xfId="2134" xr:uid="{00000000-0005-0000-0000-00005F080000}"/>
    <cellStyle name="Normal 45 5" xfId="2135" xr:uid="{00000000-0005-0000-0000-000060080000}"/>
    <cellStyle name="Normal 46" xfId="2136" xr:uid="{00000000-0005-0000-0000-000061080000}"/>
    <cellStyle name="Normal 46 2" xfId="2137" xr:uid="{00000000-0005-0000-0000-000062080000}"/>
    <cellStyle name="Normal 46 2 2" xfId="2138" xr:uid="{00000000-0005-0000-0000-000063080000}"/>
    <cellStyle name="Normal 46 2 2 2" xfId="2139" xr:uid="{00000000-0005-0000-0000-000064080000}"/>
    <cellStyle name="Normal 46 2 3" xfId="2140" xr:uid="{00000000-0005-0000-0000-000065080000}"/>
    <cellStyle name="Normal 46 2 3 2" xfId="2141" xr:uid="{00000000-0005-0000-0000-000066080000}"/>
    <cellStyle name="Normal 46 2 4" xfId="2142" xr:uid="{00000000-0005-0000-0000-000067080000}"/>
    <cellStyle name="Normal 46 3" xfId="2143" xr:uid="{00000000-0005-0000-0000-000068080000}"/>
    <cellStyle name="Normal 46 3 2" xfId="2144" xr:uid="{00000000-0005-0000-0000-000069080000}"/>
    <cellStyle name="Normal 46 4" xfId="2145" xr:uid="{00000000-0005-0000-0000-00006A080000}"/>
    <cellStyle name="Normal 46 4 2" xfId="2146" xr:uid="{00000000-0005-0000-0000-00006B080000}"/>
    <cellStyle name="Normal 46 5" xfId="2147" xr:uid="{00000000-0005-0000-0000-00006C080000}"/>
    <cellStyle name="Normal 46 6" xfId="2148" xr:uid="{00000000-0005-0000-0000-00006D080000}"/>
    <cellStyle name="Normal 46 7" xfId="2149" xr:uid="{00000000-0005-0000-0000-00006E080000}"/>
    <cellStyle name="Normal 47" xfId="2150" xr:uid="{00000000-0005-0000-0000-00006F080000}"/>
    <cellStyle name="Normal 47 2" xfId="2151" xr:uid="{00000000-0005-0000-0000-000070080000}"/>
    <cellStyle name="Normal 47 2 2" xfId="2152" xr:uid="{00000000-0005-0000-0000-000071080000}"/>
    <cellStyle name="Normal 47 2 2 2" xfId="2153" xr:uid="{00000000-0005-0000-0000-000072080000}"/>
    <cellStyle name="Normal 47 2 3" xfId="2154" xr:uid="{00000000-0005-0000-0000-000073080000}"/>
    <cellStyle name="Normal 47 2 3 2" xfId="2155" xr:uid="{00000000-0005-0000-0000-000074080000}"/>
    <cellStyle name="Normal 47 2 4" xfId="2156" xr:uid="{00000000-0005-0000-0000-000075080000}"/>
    <cellStyle name="Normal 47 3" xfId="2157" xr:uid="{00000000-0005-0000-0000-000076080000}"/>
    <cellStyle name="Normal 47 3 2" xfId="2158" xr:uid="{00000000-0005-0000-0000-000077080000}"/>
    <cellStyle name="Normal 47 4" xfId="2159" xr:uid="{00000000-0005-0000-0000-000078080000}"/>
    <cellStyle name="Normal 47 4 2" xfId="2160" xr:uid="{00000000-0005-0000-0000-000079080000}"/>
    <cellStyle name="Normal 47 5" xfId="2161" xr:uid="{00000000-0005-0000-0000-00007A080000}"/>
    <cellStyle name="Normal 47 6" xfId="2162" xr:uid="{00000000-0005-0000-0000-00007B080000}"/>
    <cellStyle name="Normal 48" xfId="2163" xr:uid="{00000000-0005-0000-0000-00007C080000}"/>
    <cellStyle name="Normal 48 2" xfId="2164" xr:uid="{00000000-0005-0000-0000-00007D080000}"/>
    <cellStyle name="Normal 48 2 2" xfId="2165" xr:uid="{00000000-0005-0000-0000-00007E080000}"/>
    <cellStyle name="Normal 48 2 2 2" xfId="2166" xr:uid="{00000000-0005-0000-0000-00007F080000}"/>
    <cellStyle name="Normal 48 2 3" xfId="2167" xr:uid="{00000000-0005-0000-0000-000080080000}"/>
    <cellStyle name="Normal 48 2 3 2" xfId="2168" xr:uid="{00000000-0005-0000-0000-000081080000}"/>
    <cellStyle name="Normal 48 2 4" xfId="2169" xr:uid="{00000000-0005-0000-0000-000082080000}"/>
    <cellStyle name="Normal 48 3" xfId="2170" xr:uid="{00000000-0005-0000-0000-000083080000}"/>
    <cellStyle name="Normal 48 3 2" xfId="2171" xr:uid="{00000000-0005-0000-0000-000084080000}"/>
    <cellStyle name="Normal 48 4" xfId="2172" xr:uid="{00000000-0005-0000-0000-000085080000}"/>
    <cellStyle name="Normal 48 4 2" xfId="2173" xr:uid="{00000000-0005-0000-0000-000086080000}"/>
    <cellStyle name="Normal 48 5" xfId="2174" xr:uid="{00000000-0005-0000-0000-000087080000}"/>
    <cellStyle name="Normal 48 6" xfId="2175" xr:uid="{00000000-0005-0000-0000-000088080000}"/>
    <cellStyle name="Normal 48 7" xfId="2176" xr:uid="{00000000-0005-0000-0000-000089080000}"/>
    <cellStyle name="Normal 49" xfId="2177" xr:uid="{00000000-0005-0000-0000-00008A080000}"/>
    <cellStyle name="Normal 49 2" xfId="2178" xr:uid="{00000000-0005-0000-0000-00008B080000}"/>
    <cellStyle name="Normal 49 2 2" xfId="2179" xr:uid="{00000000-0005-0000-0000-00008C080000}"/>
    <cellStyle name="Normal 49 2 2 2" xfId="2180" xr:uid="{00000000-0005-0000-0000-00008D080000}"/>
    <cellStyle name="Normal 49 2 3" xfId="2181" xr:uid="{00000000-0005-0000-0000-00008E080000}"/>
    <cellStyle name="Normal 49 2 3 2" xfId="2182" xr:uid="{00000000-0005-0000-0000-00008F080000}"/>
    <cellStyle name="Normal 49 2 4" xfId="2183" xr:uid="{00000000-0005-0000-0000-000090080000}"/>
    <cellStyle name="Normal 49 3" xfId="2184" xr:uid="{00000000-0005-0000-0000-000091080000}"/>
    <cellStyle name="Normal 49 3 2" xfId="2185" xr:uid="{00000000-0005-0000-0000-000092080000}"/>
    <cellStyle name="Normal 49 4" xfId="2186" xr:uid="{00000000-0005-0000-0000-000093080000}"/>
    <cellStyle name="Normal 49 4 2" xfId="2187" xr:uid="{00000000-0005-0000-0000-000094080000}"/>
    <cellStyle name="Normal 49 5" xfId="2188" xr:uid="{00000000-0005-0000-0000-000095080000}"/>
    <cellStyle name="Normal 49 6" xfId="2189" xr:uid="{00000000-0005-0000-0000-000096080000}"/>
    <cellStyle name="Normal 5" xfId="2190" xr:uid="{00000000-0005-0000-0000-000097080000}"/>
    <cellStyle name="Normal 5 10" xfId="2191" xr:uid="{00000000-0005-0000-0000-000098080000}"/>
    <cellStyle name="Normal 5 11" xfId="2192" xr:uid="{00000000-0005-0000-0000-000099080000}"/>
    <cellStyle name="Normal 5 2" xfId="2193" xr:uid="{00000000-0005-0000-0000-00009A080000}"/>
    <cellStyle name="Normal 5 2 2" xfId="2194" xr:uid="{00000000-0005-0000-0000-00009B080000}"/>
    <cellStyle name="Normal 5 2 2 2" xfId="2195" xr:uid="{00000000-0005-0000-0000-00009C080000}"/>
    <cellStyle name="Normal 5 2 3" xfId="2196" xr:uid="{00000000-0005-0000-0000-00009D080000}"/>
    <cellStyle name="Normal 5 2 3 2" xfId="2197" xr:uid="{00000000-0005-0000-0000-00009E080000}"/>
    <cellStyle name="Normal 5 2 4" xfId="2198" xr:uid="{00000000-0005-0000-0000-00009F080000}"/>
    <cellStyle name="Normal 5 2 5" xfId="2199" xr:uid="{00000000-0005-0000-0000-0000A0080000}"/>
    <cellStyle name="Normal 5 2 6" xfId="2200" xr:uid="{00000000-0005-0000-0000-0000A1080000}"/>
    <cellStyle name="Normal 5 3" xfId="2201" xr:uid="{00000000-0005-0000-0000-0000A2080000}"/>
    <cellStyle name="Normal 5 3 2" xfId="2202" xr:uid="{00000000-0005-0000-0000-0000A3080000}"/>
    <cellStyle name="Normal 5 3 3" xfId="2203" xr:uid="{00000000-0005-0000-0000-0000A4080000}"/>
    <cellStyle name="Normal 5 4" xfId="2204" xr:uid="{00000000-0005-0000-0000-0000A5080000}"/>
    <cellStyle name="Normal 5 4 2" xfId="2205" xr:uid="{00000000-0005-0000-0000-0000A6080000}"/>
    <cellStyle name="Normal 5 5" xfId="2206" xr:uid="{00000000-0005-0000-0000-0000A7080000}"/>
    <cellStyle name="Normal 5 6" xfId="2207" xr:uid="{00000000-0005-0000-0000-0000A8080000}"/>
    <cellStyle name="Normal 5 7" xfId="2208" xr:uid="{00000000-0005-0000-0000-0000A9080000}"/>
    <cellStyle name="Normal 5 8" xfId="2209" xr:uid="{00000000-0005-0000-0000-0000AA080000}"/>
    <cellStyle name="Normal 5 9" xfId="2210" xr:uid="{00000000-0005-0000-0000-0000AB080000}"/>
    <cellStyle name="Normal 5_!NAMTRIMO 17 Sept  2014  continued extra" xfId="2211" xr:uid="{00000000-0005-0000-0000-0000AC080000}"/>
    <cellStyle name="Normal 50" xfId="2212" xr:uid="{00000000-0005-0000-0000-0000AD080000}"/>
    <cellStyle name="Normal 50 2" xfId="2213" xr:uid="{00000000-0005-0000-0000-0000AE080000}"/>
    <cellStyle name="Normal 50 2 2" xfId="2214" xr:uid="{00000000-0005-0000-0000-0000AF080000}"/>
    <cellStyle name="Normal 50 2 2 2" xfId="2215" xr:uid="{00000000-0005-0000-0000-0000B0080000}"/>
    <cellStyle name="Normal 50 2 3" xfId="2216" xr:uid="{00000000-0005-0000-0000-0000B1080000}"/>
    <cellStyle name="Normal 50 2 3 2" xfId="2217" xr:uid="{00000000-0005-0000-0000-0000B2080000}"/>
    <cellStyle name="Normal 50 2 4" xfId="2218" xr:uid="{00000000-0005-0000-0000-0000B3080000}"/>
    <cellStyle name="Normal 50 3" xfId="2219" xr:uid="{00000000-0005-0000-0000-0000B4080000}"/>
    <cellStyle name="Normal 50 3 2" xfId="2220" xr:uid="{00000000-0005-0000-0000-0000B5080000}"/>
    <cellStyle name="Normal 50 4" xfId="2221" xr:uid="{00000000-0005-0000-0000-0000B6080000}"/>
    <cellStyle name="Normal 50 4 2" xfId="2222" xr:uid="{00000000-0005-0000-0000-0000B7080000}"/>
    <cellStyle name="Normal 50 5" xfId="2223" xr:uid="{00000000-0005-0000-0000-0000B8080000}"/>
    <cellStyle name="Normal 51" xfId="2224" xr:uid="{00000000-0005-0000-0000-0000B9080000}"/>
    <cellStyle name="Normal 51 2" xfId="2225" xr:uid="{00000000-0005-0000-0000-0000BA080000}"/>
    <cellStyle name="Normal 51 2 2" xfId="2226" xr:uid="{00000000-0005-0000-0000-0000BB080000}"/>
    <cellStyle name="Normal 51 2 2 2" xfId="2227" xr:uid="{00000000-0005-0000-0000-0000BC080000}"/>
    <cellStyle name="Normal 51 2 3" xfId="2228" xr:uid="{00000000-0005-0000-0000-0000BD080000}"/>
    <cellStyle name="Normal 51 2 3 2" xfId="2229" xr:uid="{00000000-0005-0000-0000-0000BE080000}"/>
    <cellStyle name="Normal 51 2 4" xfId="2230" xr:uid="{00000000-0005-0000-0000-0000BF080000}"/>
    <cellStyle name="Normal 51 3" xfId="2231" xr:uid="{00000000-0005-0000-0000-0000C0080000}"/>
    <cellStyle name="Normal 51 3 2" xfId="2232" xr:uid="{00000000-0005-0000-0000-0000C1080000}"/>
    <cellStyle name="Normal 51 4" xfId="2233" xr:uid="{00000000-0005-0000-0000-0000C2080000}"/>
    <cellStyle name="Normal 51 4 2" xfId="2234" xr:uid="{00000000-0005-0000-0000-0000C3080000}"/>
    <cellStyle name="Normal 51 5" xfId="2235" xr:uid="{00000000-0005-0000-0000-0000C4080000}"/>
    <cellStyle name="Normal 52" xfId="2236" xr:uid="{00000000-0005-0000-0000-0000C5080000}"/>
    <cellStyle name="Normal 52 2" xfId="2237" xr:uid="{00000000-0005-0000-0000-0000C6080000}"/>
    <cellStyle name="Normal 52 2 2" xfId="2238" xr:uid="{00000000-0005-0000-0000-0000C7080000}"/>
    <cellStyle name="Normal 52 2 2 2" xfId="2239" xr:uid="{00000000-0005-0000-0000-0000C8080000}"/>
    <cellStyle name="Normal 52 2 3" xfId="2240" xr:uid="{00000000-0005-0000-0000-0000C9080000}"/>
    <cellStyle name="Normal 52 2 3 2" xfId="2241" xr:uid="{00000000-0005-0000-0000-0000CA080000}"/>
    <cellStyle name="Normal 52 2 4" xfId="2242" xr:uid="{00000000-0005-0000-0000-0000CB080000}"/>
    <cellStyle name="Normal 52 3" xfId="2243" xr:uid="{00000000-0005-0000-0000-0000CC080000}"/>
    <cellStyle name="Normal 52 3 2" xfId="2244" xr:uid="{00000000-0005-0000-0000-0000CD080000}"/>
    <cellStyle name="Normal 52 4" xfId="2245" xr:uid="{00000000-0005-0000-0000-0000CE080000}"/>
    <cellStyle name="Normal 52 4 2" xfId="2246" xr:uid="{00000000-0005-0000-0000-0000CF080000}"/>
    <cellStyle name="Normal 52 5" xfId="2247" xr:uid="{00000000-0005-0000-0000-0000D0080000}"/>
    <cellStyle name="Normal 52 6" xfId="2248" xr:uid="{00000000-0005-0000-0000-0000D1080000}"/>
    <cellStyle name="Normal 53" xfId="2249" xr:uid="{00000000-0005-0000-0000-0000D2080000}"/>
    <cellStyle name="Normal 53 2" xfId="2250" xr:uid="{00000000-0005-0000-0000-0000D3080000}"/>
    <cellStyle name="Normal 53 2 2" xfId="2251" xr:uid="{00000000-0005-0000-0000-0000D4080000}"/>
    <cellStyle name="Normal 53 2 2 2" xfId="2252" xr:uid="{00000000-0005-0000-0000-0000D5080000}"/>
    <cellStyle name="Normal 53 2 3" xfId="2253" xr:uid="{00000000-0005-0000-0000-0000D6080000}"/>
    <cellStyle name="Normal 53 2 3 2" xfId="2254" xr:uid="{00000000-0005-0000-0000-0000D7080000}"/>
    <cellStyle name="Normal 53 2 4" xfId="2255" xr:uid="{00000000-0005-0000-0000-0000D8080000}"/>
    <cellStyle name="Normal 53 3" xfId="2256" xr:uid="{00000000-0005-0000-0000-0000D9080000}"/>
    <cellStyle name="Normal 53 3 2" xfId="2257" xr:uid="{00000000-0005-0000-0000-0000DA080000}"/>
    <cellStyle name="Normal 53 4" xfId="2258" xr:uid="{00000000-0005-0000-0000-0000DB080000}"/>
    <cellStyle name="Normal 53 4 2" xfId="2259" xr:uid="{00000000-0005-0000-0000-0000DC080000}"/>
    <cellStyle name="Normal 53 5" xfId="2260" xr:uid="{00000000-0005-0000-0000-0000DD080000}"/>
    <cellStyle name="Normal 53 6" xfId="2261" xr:uid="{00000000-0005-0000-0000-0000DE080000}"/>
    <cellStyle name="Normal 54" xfId="2262" xr:uid="{00000000-0005-0000-0000-0000DF080000}"/>
    <cellStyle name="Normal 54 2" xfId="2263" xr:uid="{00000000-0005-0000-0000-0000E0080000}"/>
    <cellStyle name="Normal 54 2 2" xfId="2264" xr:uid="{00000000-0005-0000-0000-0000E1080000}"/>
    <cellStyle name="Normal 54 2 2 2" xfId="2265" xr:uid="{00000000-0005-0000-0000-0000E2080000}"/>
    <cellStyle name="Normal 54 2 3" xfId="2266" xr:uid="{00000000-0005-0000-0000-0000E3080000}"/>
    <cellStyle name="Normal 54 2 3 2" xfId="2267" xr:uid="{00000000-0005-0000-0000-0000E4080000}"/>
    <cellStyle name="Normal 54 2 4" xfId="2268" xr:uid="{00000000-0005-0000-0000-0000E5080000}"/>
    <cellStyle name="Normal 54 3" xfId="2269" xr:uid="{00000000-0005-0000-0000-0000E6080000}"/>
    <cellStyle name="Normal 54 3 2" xfId="2270" xr:uid="{00000000-0005-0000-0000-0000E7080000}"/>
    <cellStyle name="Normal 54 4" xfId="2271" xr:uid="{00000000-0005-0000-0000-0000E8080000}"/>
    <cellStyle name="Normal 54 4 2" xfId="2272" xr:uid="{00000000-0005-0000-0000-0000E9080000}"/>
    <cellStyle name="Normal 54 5" xfId="2273" xr:uid="{00000000-0005-0000-0000-0000EA080000}"/>
    <cellStyle name="Normal 55" xfId="2274" xr:uid="{00000000-0005-0000-0000-0000EB080000}"/>
    <cellStyle name="Normal 55 2" xfId="2275" xr:uid="{00000000-0005-0000-0000-0000EC080000}"/>
    <cellStyle name="Normal 55 2 2" xfId="2276" xr:uid="{00000000-0005-0000-0000-0000ED080000}"/>
    <cellStyle name="Normal 55 2 2 2" xfId="2277" xr:uid="{00000000-0005-0000-0000-0000EE080000}"/>
    <cellStyle name="Normal 55 2 3" xfId="2278" xr:uid="{00000000-0005-0000-0000-0000EF080000}"/>
    <cellStyle name="Normal 55 2 3 2" xfId="2279" xr:uid="{00000000-0005-0000-0000-0000F0080000}"/>
    <cellStyle name="Normal 55 2 4" xfId="2280" xr:uid="{00000000-0005-0000-0000-0000F1080000}"/>
    <cellStyle name="Normal 55 3" xfId="2281" xr:uid="{00000000-0005-0000-0000-0000F2080000}"/>
    <cellStyle name="Normal 55 3 2" xfId="2282" xr:uid="{00000000-0005-0000-0000-0000F3080000}"/>
    <cellStyle name="Normal 55 4" xfId="2283" xr:uid="{00000000-0005-0000-0000-0000F4080000}"/>
    <cellStyle name="Normal 55 4 2" xfId="2284" xr:uid="{00000000-0005-0000-0000-0000F5080000}"/>
    <cellStyle name="Normal 55 5" xfId="2285" xr:uid="{00000000-0005-0000-0000-0000F6080000}"/>
    <cellStyle name="Normal 55 6" xfId="2286" xr:uid="{00000000-0005-0000-0000-0000F7080000}"/>
    <cellStyle name="Normal 56" xfId="2287" xr:uid="{00000000-0005-0000-0000-0000F8080000}"/>
    <cellStyle name="Normal 56 2" xfId="2288" xr:uid="{00000000-0005-0000-0000-0000F9080000}"/>
    <cellStyle name="Normal 56 2 2" xfId="2289" xr:uid="{00000000-0005-0000-0000-0000FA080000}"/>
    <cellStyle name="Normal 56 2 2 2" xfId="2290" xr:uid="{00000000-0005-0000-0000-0000FB080000}"/>
    <cellStyle name="Normal 56 2 3" xfId="2291" xr:uid="{00000000-0005-0000-0000-0000FC080000}"/>
    <cellStyle name="Normal 56 2 3 2" xfId="2292" xr:uid="{00000000-0005-0000-0000-0000FD080000}"/>
    <cellStyle name="Normal 56 2 4" xfId="2293" xr:uid="{00000000-0005-0000-0000-0000FE080000}"/>
    <cellStyle name="Normal 56 3" xfId="2294" xr:uid="{00000000-0005-0000-0000-0000FF080000}"/>
    <cellStyle name="Normal 56 3 2" xfId="2295" xr:uid="{00000000-0005-0000-0000-000000090000}"/>
    <cellStyle name="Normal 56 4" xfId="2296" xr:uid="{00000000-0005-0000-0000-000001090000}"/>
    <cellStyle name="Normal 56 4 2" xfId="2297" xr:uid="{00000000-0005-0000-0000-000002090000}"/>
    <cellStyle name="Normal 56 5" xfId="2298" xr:uid="{00000000-0005-0000-0000-000003090000}"/>
    <cellStyle name="Normal 56 6" xfId="2299" xr:uid="{00000000-0005-0000-0000-000004090000}"/>
    <cellStyle name="Normal 57" xfId="2300" xr:uid="{00000000-0005-0000-0000-000005090000}"/>
    <cellStyle name="Normal 57 2" xfId="2301" xr:uid="{00000000-0005-0000-0000-000006090000}"/>
    <cellStyle name="Normal 57 2 2" xfId="2302" xr:uid="{00000000-0005-0000-0000-000007090000}"/>
    <cellStyle name="Normal 57 2 2 2" xfId="2303" xr:uid="{00000000-0005-0000-0000-000008090000}"/>
    <cellStyle name="Normal 57 2 3" xfId="2304" xr:uid="{00000000-0005-0000-0000-000009090000}"/>
    <cellStyle name="Normal 57 2 3 2" xfId="2305" xr:uid="{00000000-0005-0000-0000-00000A090000}"/>
    <cellStyle name="Normal 57 2 4" xfId="2306" xr:uid="{00000000-0005-0000-0000-00000B090000}"/>
    <cellStyle name="Normal 57 3" xfId="2307" xr:uid="{00000000-0005-0000-0000-00000C090000}"/>
    <cellStyle name="Normal 57 3 2" xfId="2308" xr:uid="{00000000-0005-0000-0000-00000D090000}"/>
    <cellStyle name="Normal 57 4" xfId="2309" xr:uid="{00000000-0005-0000-0000-00000E090000}"/>
    <cellStyle name="Normal 57 4 2" xfId="2310" xr:uid="{00000000-0005-0000-0000-00000F090000}"/>
    <cellStyle name="Normal 57 5" xfId="2311" xr:uid="{00000000-0005-0000-0000-000010090000}"/>
    <cellStyle name="Normal 57 6" xfId="2312" xr:uid="{00000000-0005-0000-0000-000011090000}"/>
    <cellStyle name="Normal 58" xfId="2313" xr:uid="{00000000-0005-0000-0000-000012090000}"/>
    <cellStyle name="Normal 58 2" xfId="2314" xr:uid="{00000000-0005-0000-0000-000013090000}"/>
    <cellStyle name="Normal 58 2 2" xfId="2315" xr:uid="{00000000-0005-0000-0000-000014090000}"/>
    <cellStyle name="Normal 58 2 2 2" xfId="2316" xr:uid="{00000000-0005-0000-0000-000015090000}"/>
    <cellStyle name="Normal 58 2 3" xfId="2317" xr:uid="{00000000-0005-0000-0000-000016090000}"/>
    <cellStyle name="Normal 58 2 3 2" xfId="2318" xr:uid="{00000000-0005-0000-0000-000017090000}"/>
    <cellStyle name="Normal 58 2 4" xfId="2319" xr:uid="{00000000-0005-0000-0000-000018090000}"/>
    <cellStyle name="Normal 58 3" xfId="2320" xr:uid="{00000000-0005-0000-0000-000019090000}"/>
    <cellStyle name="Normal 58 3 2" xfId="2321" xr:uid="{00000000-0005-0000-0000-00001A090000}"/>
    <cellStyle name="Normal 58 4" xfId="2322" xr:uid="{00000000-0005-0000-0000-00001B090000}"/>
    <cellStyle name="Normal 58 4 2" xfId="2323" xr:uid="{00000000-0005-0000-0000-00001C090000}"/>
    <cellStyle name="Normal 58 5" xfId="2324" xr:uid="{00000000-0005-0000-0000-00001D090000}"/>
    <cellStyle name="Normal 58 6" xfId="2325" xr:uid="{00000000-0005-0000-0000-00001E090000}"/>
    <cellStyle name="Normal 59" xfId="2326" xr:uid="{00000000-0005-0000-0000-00001F090000}"/>
    <cellStyle name="Normal 59 2" xfId="2327" xr:uid="{00000000-0005-0000-0000-000020090000}"/>
    <cellStyle name="Normal 59 2 2" xfId="2328" xr:uid="{00000000-0005-0000-0000-000021090000}"/>
    <cellStyle name="Normal 59 2 2 2" xfId="2329" xr:uid="{00000000-0005-0000-0000-000022090000}"/>
    <cellStyle name="Normal 59 2 3" xfId="2330" xr:uid="{00000000-0005-0000-0000-000023090000}"/>
    <cellStyle name="Normal 59 2 3 2" xfId="2331" xr:uid="{00000000-0005-0000-0000-000024090000}"/>
    <cellStyle name="Normal 59 2 4" xfId="2332" xr:uid="{00000000-0005-0000-0000-000025090000}"/>
    <cellStyle name="Normal 59 3" xfId="2333" xr:uid="{00000000-0005-0000-0000-000026090000}"/>
    <cellStyle name="Normal 59 3 2" xfId="2334" xr:uid="{00000000-0005-0000-0000-000027090000}"/>
    <cellStyle name="Normal 59 4" xfId="2335" xr:uid="{00000000-0005-0000-0000-000028090000}"/>
    <cellStyle name="Normal 59 4 2" xfId="2336" xr:uid="{00000000-0005-0000-0000-000029090000}"/>
    <cellStyle name="Normal 59 5" xfId="2337" xr:uid="{00000000-0005-0000-0000-00002A090000}"/>
    <cellStyle name="Normal 6" xfId="2338" xr:uid="{00000000-0005-0000-0000-00002B090000}"/>
    <cellStyle name="Normal 6 2" xfId="2339" xr:uid="{00000000-0005-0000-0000-00002C090000}"/>
    <cellStyle name="Normal 6 2 2" xfId="2340" xr:uid="{00000000-0005-0000-0000-00002D090000}"/>
    <cellStyle name="Normal 6 2 2 2" xfId="2341" xr:uid="{00000000-0005-0000-0000-00002E090000}"/>
    <cellStyle name="Normal 6 2 3" xfId="2342" xr:uid="{00000000-0005-0000-0000-00002F090000}"/>
    <cellStyle name="Normal 6 2 3 2" xfId="2343" xr:uid="{00000000-0005-0000-0000-000030090000}"/>
    <cellStyle name="Normal 6 2 4" xfId="2344" xr:uid="{00000000-0005-0000-0000-000031090000}"/>
    <cellStyle name="Normal 6 2 5" xfId="2345" xr:uid="{00000000-0005-0000-0000-000032090000}"/>
    <cellStyle name="Normal 6 3" xfId="2346" xr:uid="{00000000-0005-0000-0000-000033090000}"/>
    <cellStyle name="Normal 6 3 2" xfId="2347" xr:uid="{00000000-0005-0000-0000-000034090000}"/>
    <cellStyle name="Normal 6 38" xfId="2348" xr:uid="{00000000-0005-0000-0000-000035090000}"/>
    <cellStyle name="Normal 6 4" xfId="2349" xr:uid="{00000000-0005-0000-0000-000036090000}"/>
    <cellStyle name="Normal 6 4 2" xfId="2350" xr:uid="{00000000-0005-0000-0000-000037090000}"/>
    <cellStyle name="Normal 6 5" xfId="2351" xr:uid="{00000000-0005-0000-0000-000038090000}"/>
    <cellStyle name="Normal 6 6" xfId="2352" xr:uid="{00000000-0005-0000-0000-000039090000}"/>
    <cellStyle name="Normal 6 7" xfId="2353" xr:uid="{00000000-0005-0000-0000-00003A090000}"/>
    <cellStyle name="Normal 6 8" xfId="2354" xr:uid="{00000000-0005-0000-0000-00003B090000}"/>
    <cellStyle name="Normal 6 9" xfId="2355" xr:uid="{00000000-0005-0000-0000-00003C090000}"/>
    <cellStyle name="Normal 6_!NAMTRIMO 17 Sept  2014  continued extra" xfId="2356" xr:uid="{00000000-0005-0000-0000-00003D090000}"/>
    <cellStyle name="Normal 60" xfId="2357" xr:uid="{00000000-0005-0000-0000-00003E090000}"/>
    <cellStyle name="Normal 60 2" xfId="2358" xr:uid="{00000000-0005-0000-0000-00003F090000}"/>
    <cellStyle name="Normal 60 2 2" xfId="2359" xr:uid="{00000000-0005-0000-0000-000040090000}"/>
    <cellStyle name="Normal 60 2 2 2" xfId="2360" xr:uid="{00000000-0005-0000-0000-000041090000}"/>
    <cellStyle name="Normal 60 2 3" xfId="2361" xr:uid="{00000000-0005-0000-0000-000042090000}"/>
    <cellStyle name="Normal 60 2 3 2" xfId="2362" xr:uid="{00000000-0005-0000-0000-000043090000}"/>
    <cellStyle name="Normal 60 2 4" xfId="2363" xr:uid="{00000000-0005-0000-0000-000044090000}"/>
    <cellStyle name="Normal 60 3" xfId="2364" xr:uid="{00000000-0005-0000-0000-000045090000}"/>
    <cellStyle name="Normal 60 3 2" xfId="2365" xr:uid="{00000000-0005-0000-0000-000046090000}"/>
    <cellStyle name="Normal 60 4" xfId="2366" xr:uid="{00000000-0005-0000-0000-000047090000}"/>
    <cellStyle name="Normal 60 4 2" xfId="2367" xr:uid="{00000000-0005-0000-0000-000048090000}"/>
    <cellStyle name="Normal 60 5" xfId="2368" xr:uid="{00000000-0005-0000-0000-000049090000}"/>
    <cellStyle name="Normal 61" xfId="2369" xr:uid="{00000000-0005-0000-0000-00004A090000}"/>
    <cellStyle name="Normal 61 2" xfId="2370" xr:uid="{00000000-0005-0000-0000-00004B090000}"/>
    <cellStyle name="Normal 61 2 2" xfId="2371" xr:uid="{00000000-0005-0000-0000-00004C090000}"/>
    <cellStyle name="Normal 61 2 2 2" xfId="2372" xr:uid="{00000000-0005-0000-0000-00004D090000}"/>
    <cellStyle name="Normal 61 2 3" xfId="2373" xr:uid="{00000000-0005-0000-0000-00004E090000}"/>
    <cellStyle name="Normal 61 2 3 2" xfId="2374" xr:uid="{00000000-0005-0000-0000-00004F090000}"/>
    <cellStyle name="Normal 61 2 4" xfId="2375" xr:uid="{00000000-0005-0000-0000-000050090000}"/>
    <cellStyle name="Normal 61 3" xfId="2376" xr:uid="{00000000-0005-0000-0000-000051090000}"/>
    <cellStyle name="Normal 61 3 2" xfId="2377" xr:uid="{00000000-0005-0000-0000-000052090000}"/>
    <cellStyle name="Normal 61 4" xfId="2378" xr:uid="{00000000-0005-0000-0000-000053090000}"/>
    <cellStyle name="Normal 61 4 2" xfId="2379" xr:uid="{00000000-0005-0000-0000-000054090000}"/>
    <cellStyle name="Normal 61 5" xfId="2380" xr:uid="{00000000-0005-0000-0000-000055090000}"/>
    <cellStyle name="Normal 62" xfId="2381" xr:uid="{00000000-0005-0000-0000-000056090000}"/>
    <cellStyle name="Normal 62 2" xfId="2382" xr:uid="{00000000-0005-0000-0000-000057090000}"/>
    <cellStyle name="Normal 62 2 2" xfId="2383" xr:uid="{00000000-0005-0000-0000-000058090000}"/>
    <cellStyle name="Normal 62 2 2 2" xfId="2384" xr:uid="{00000000-0005-0000-0000-000059090000}"/>
    <cellStyle name="Normal 62 2 3" xfId="2385" xr:uid="{00000000-0005-0000-0000-00005A090000}"/>
    <cellStyle name="Normal 62 2 3 2" xfId="2386" xr:uid="{00000000-0005-0000-0000-00005B090000}"/>
    <cellStyle name="Normal 62 2 4" xfId="2387" xr:uid="{00000000-0005-0000-0000-00005C090000}"/>
    <cellStyle name="Normal 62 3" xfId="2388" xr:uid="{00000000-0005-0000-0000-00005D090000}"/>
    <cellStyle name="Normal 62 3 2" xfId="2389" xr:uid="{00000000-0005-0000-0000-00005E090000}"/>
    <cellStyle name="Normal 62 4" xfId="2390" xr:uid="{00000000-0005-0000-0000-00005F090000}"/>
    <cellStyle name="Normal 62 4 2" xfId="2391" xr:uid="{00000000-0005-0000-0000-000060090000}"/>
    <cellStyle name="Normal 62 5" xfId="2392" xr:uid="{00000000-0005-0000-0000-000061090000}"/>
    <cellStyle name="Normal 63" xfId="2393" xr:uid="{00000000-0005-0000-0000-000062090000}"/>
    <cellStyle name="Normal 63 2" xfId="2394" xr:uid="{00000000-0005-0000-0000-000063090000}"/>
    <cellStyle name="Normal 63 2 2" xfId="2395" xr:uid="{00000000-0005-0000-0000-000064090000}"/>
    <cellStyle name="Normal 63 3" xfId="2396" xr:uid="{00000000-0005-0000-0000-000065090000}"/>
    <cellStyle name="Normal 63 3 2" xfId="2397" xr:uid="{00000000-0005-0000-0000-000066090000}"/>
    <cellStyle name="Normal 63 4" xfId="2398" xr:uid="{00000000-0005-0000-0000-000067090000}"/>
    <cellStyle name="Normal 64" xfId="2399" xr:uid="{00000000-0005-0000-0000-000068090000}"/>
    <cellStyle name="Normal 64 2" xfId="2400" xr:uid="{00000000-0005-0000-0000-000069090000}"/>
    <cellStyle name="Normal 64 2 2" xfId="2401" xr:uid="{00000000-0005-0000-0000-00006A090000}"/>
    <cellStyle name="Normal 64 3" xfId="2402" xr:uid="{00000000-0005-0000-0000-00006B090000}"/>
    <cellStyle name="Normal 64 3 2" xfId="2403" xr:uid="{00000000-0005-0000-0000-00006C090000}"/>
    <cellStyle name="Normal 64 4" xfId="2404" xr:uid="{00000000-0005-0000-0000-00006D090000}"/>
    <cellStyle name="Normal 64 5" xfId="2405" xr:uid="{00000000-0005-0000-0000-00006E090000}"/>
    <cellStyle name="Normal 65" xfId="2406" xr:uid="{00000000-0005-0000-0000-00006F090000}"/>
    <cellStyle name="Normal 65 2" xfId="2407" xr:uid="{00000000-0005-0000-0000-000070090000}"/>
    <cellStyle name="Normal 65 2 2" xfId="2408" xr:uid="{00000000-0005-0000-0000-000071090000}"/>
    <cellStyle name="Normal 65 3" xfId="2409" xr:uid="{00000000-0005-0000-0000-000072090000}"/>
    <cellStyle name="Normal 65 3 2" xfId="2410" xr:uid="{00000000-0005-0000-0000-000073090000}"/>
    <cellStyle name="Normal 65 4" xfId="2411" xr:uid="{00000000-0005-0000-0000-000074090000}"/>
    <cellStyle name="Normal 66" xfId="2412" xr:uid="{00000000-0005-0000-0000-000075090000}"/>
    <cellStyle name="Normal 66 2" xfId="2413" xr:uid="{00000000-0005-0000-0000-000076090000}"/>
    <cellStyle name="Normal 66 2 2" xfId="2414" xr:uid="{00000000-0005-0000-0000-000077090000}"/>
    <cellStyle name="Normal 66 3" xfId="2415" xr:uid="{00000000-0005-0000-0000-000078090000}"/>
    <cellStyle name="Normal 66 3 2" xfId="2416" xr:uid="{00000000-0005-0000-0000-000079090000}"/>
    <cellStyle name="Normal 66 4" xfId="2417" xr:uid="{00000000-0005-0000-0000-00007A090000}"/>
    <cellStyle name="Normal 67" xfId="2418" xr:uid="{00000000-0005-0000-0000-00007B090000}"/>
    <cellStyle name="Normal 67 2" xfId="2419" xr:uid="{00000000-0005-0000-0000-00007C090000}"/>
    <cellStyle name="Normal 67 2 2" xfId="2420" xr:uid="{00000000-0005-0000-0000-00007D090000}"/>
    <cellStyle name="Normal 67 3" xfId="2421" xr:uid="{00000000-0005-0000-0000-00007E090000}"/>
    <cellStyle name="Normal 67 3 2" xfId="2422" xr:uid="{00000000-0005-0000-0000-00007F090000}"/>
    <cellStyle name="Normal 67 4" xfId="2423" xr:uid="{00000000-0005-0000-0000-000080090000}"/>
    <cellStyle name="Normal 68" xfId="2424" xr:uid="{00000000-0005-0000-0000-000081090000}"/>
    <cellStyle name="Normal 68 2" xfId="2425" xr:uid="{00000000-0005-0000-0000-000082090000}"/>
    <cellStyle name="Normal 68 2 2" xfId="2426" xr:uid="{00000000-0005-0000-0000-000083090000}"/>
    <cellStyle name="Normal 68 3" xfId="2427" xr:uid="{00000000-0005-0000-0000-000084090000}"/>
    <cellStyle name="Normal 68 3 2" xfId="2428" xr:uid="{00000000-0005-0000-0000-000085090000}"/>
    <cellStyle name="Normal 68 4" xfId="2429" xr:uid="{00000000-0005-0000-0000-000086090000}"/>
    <cellStyle name="Normal 69" xfId="2430" xr:uid="{00000000-0005-0000-0000-000087090000}"/>
    <cellStyle name="Normal 69 2" xfId="2431" xr:uid="{00000000-0005-0000-0000-000088090000}"/>
    <cellStyle name="Normal 69 2 2" xfId="2432" xr:uid="{00000000-0005-0000-0000-000089090000}"/>
    <cellStyle name="Normal 69 3" xfId="2433" xr:uid="{00000000-0005-0000-0000-00008A090000}"/>
    <cellStyle name="Normal 69 3 2" xfId="2434" xr:uid="{00000000-0005-0000-0000-00008B090000}"/>
    <cellStyle name="Normal 69 4" xfId="2435" xr:uid="{00000000-0005-0000-0000-00008C090000}"/>
    <cellStyle name="Normal 7" xfId="2436" xr:uid="{00000000-0005-0000-0000-00008D090000}"/>
    <cellStyle name="Normal 7 12" xfId="2437" xr:uid="{00000000-0005-0000-0000-00008E090000}"/>
    <cellStyle name="Normal 7 2" xfId="2438" xr:uid="{00000000-0005-0000-0000-00008F090000}"/>
    <cellStyle name="Normal 7 2 2" xfId="2439" xr:uid="{00000000-0005-0000-0000-000090090000}"/>
    <cellStyle name="Normal 7 2 2 2" xfId="2440" xr:uid="{00000000-0005-0000-0000-000091090000}"/>
    <cellStyle name="Normal 7 2 3" xfId="2441" xr:uid="{00000000-0005-0000-0000-000092090000}"/>
    <cellStyle name="Normal 7 2 3 2" xfId="2442" xr:uid="{00000000-0005-0000-0000-000093090000}"/>
    <cellStyle name="Normal 7 2 4" xfId="2443" xr:uid="{00000000-0005-0000-0000-000094090000}"/>
    <cellStyle name="Normal 7 2 5" xfId="2444" xr:uid="{00000000-0005-0000-0000-000095090000}"/>
    <cellStyle name="Normal 7 3" xfId="2445" xr:uid="{00000000-0005-0000-0000-000096090000}"/>
    <cellStyle name="Normal 7 3 2" xfId="2446" xr:uid="{00000000-0005-0000-0000-000097090000}"/>
    <cellStyle name="Normal 7 4" xfId="2447" xr:uid="{00000000-0005-0000-0000-000098090000}"/>
    <cellStyle name="Normal 7 4 2" xfId="2448" xr:uid="{00000000-0005-0000-0000-000099090000}"/>
    <cellStyle name="Normal 7 5" xfId="2449" xr:uid="{00000000-0005-0000-0000-00009A090000}"/>
    <cellStyle name="Normal 7 6" xfId="2450" xr:uid="{00000000-0005-0000-0000-00009B090000}"/>
    <cellStyle name="Normal 7 7" xfId="2451" xr:uid="{00000000-0005-0000-0000-00009C090000}"/>
    <cellStyle name="Normal 7 8" xfId="2452" xr:uid="{00000000-0005-0000-0000-00009D090000}"/>
    <cellStyle name="Normal 7_!NAMTRIMO 17 Sept  2014  continued extra" xfId="2453" xr:uid="{00000000-0005-0000-0000-00009E090000}"/>
    <cellStyle name="Normal 70" xfId="2454" xr:uid="{00000000-0005-0000-0000-00009F090000}"/>
    <cellStyle name="Normal 70 2" xfId="2455" xr:uid="{00000000-0005-0000-0000-0000A0090000}"/>
    <cellStyle name="Normal 70 2 2" xfId="2456" xr:uid="{00000000-0005-0000-0000-0000A1090000}"/>
    <cellStyle name="Normal 70 3" xfId="2457" xr:uid="{00000000-0005-0000-0000-0000A2090000}"/>
    <cellStyle name="Normal 70 3 2" xfId="2458" xr:uid="{00000000-0005-0000-0000-0000A3090000}"/>
    <cellStyle name="Normal 70 4" xfId="2459" xr:uid="{00000000-0005-0000-0000-0000A4090000}"/>
    <cellStyle name="Normal 70 5" xfId="2460" xr:uid="{00000000-0005-0000-0000-0000A5090000}"/>
    <cellStyle name="Normal 71" xfId="2461" xr:uid="{00000000-0005-0000-0000-0000A6090000}"/>
    <cellStyle name="Normal 71 2" xfId="2462" xr:uid="{00000000-0005-0000-0000-0000A7090000}"/>
    <cellStyle name="Normal 71 2 2" xfId="2463" xr:uid="{00000000-0005-0000-0000-0000A8090000}"/>
    <cellStyle name="Normal 71 3" xfId="2464" xr:uid="{00000000-0005-0000-0000-0000A9090000}"/>
    <cellStyle name="Normal 71 3 2" xfId="2465" xr:uid="{00000000-0005-0000-0000-0000AA090000}"/>
    <cellStyle name="Normal 71 4" xfId="2466" xr:uid="{00000000-0005-0000-0000-0000AB090000}"/>
    <cellStyle name="Normal 72" xfId="2467" xr:uid="{00000000-0005-0000-0000-0000AC090000}"/>
    <cellStyle name="Normal 73" xfId="2468" xr:uid="{00000000-0005-0000-0000-0000AD090000}"/>
    <cellStyle name="Normal 73 2" xfId="2469" xr:uid="{00000000-0005-0000-0000-0000AE090000}"/>
    <cellStyle name="Normal 73 2 2" xfId="2470" xr:uid="{00000000-0005-0000-0000-0000AF090000}"/>
    <cellStyle name="Normal 73 2 2 2" xfId="2471" xr:uid="{00000000-0005-0000-0000-0000B0090000}"/>
    <cellStyle name="Normal 73 2 3" xfId="2472" xr:uid="{00000000-0005-0000-0000-0000B1090000}"/>
    <cellStyle name="Normal 73 2 3 2" xfId="2473" xr:uid="{00000000-0005-0000-0000-0000B2090000}"/>
    <cellStyle name="Normal 73 2 4" xfId="2474" xr:uid="{00000000-0005-0000-0000-0000B3090000}"/>
    <cellStyle name="Normal 73 3" xfId="2475" xr:uid="{00000000-0005-0000-0000-0000B4090000}"/>
    <cellStyle name="Normal 73 3 2" xfId="2476" xr:uid="{00000000-0005-0000-0000-0000B5090000}"/>
    <cellStyle name="Normal 73 3 2 2" xfId="2477" xr:uid="{00000000-0005-0000-0000-0000B6090000}"/>
    <cellStyle name="Normal 73 3 3" xfId="2478" xr:uid="{00000000-0005-0000-0000-0000B7090000}"/>
    <cellStyle name="Normal 73 3 3 2" xfId="2479" xr:uid="{00000000-0005-0000-0000-0000B8090000}"/>
    <cellStyle name="Normal 73 3 4" xfId="2480" xr:uid="{00000000-0005-0000-0000-0000B9090000}"/>
    <cellStyle name="Normal 73 4" xfId="2481" xr:uid="{00000000-0005-0000-0000-0000BA090000}"/>
    <cellStyle name="Normal 73 4 2" xfId="2482" xr:uid="{00000000-0005-0000-0000-0000BB090000}"/>
    <cellStyle name="Normal 73 4 2 2" xfId="2483" xr:uid="{00000000-0005-0000-0000-0000BC090000}"/>
    <cellStyle name="Normal 73 4 3" xfId="2484" xr:uid="{00000000-0005-0000-0000-0000BD090000}"/>
    <cellStyle name="Normal 73 4 3 2" xfId="2485" xr:uid="{00000000-0005-0000-0000-0000BE090000}"/>
    <cellStyle name="Normal 73 4 4" xfId="2486" xr:uid="{00000000-0005-0000-0000-0000BF090000}"/>
    <cellStyle name="Normal 73 5" xfId="2487" xr:uid="{00000000-0005-0000-0000-0000C0090000}"/>
    <cellStyle name="Normal 73 5 2" xfId="2488" xr:uid="{00000000-0005-0000-0000-0000C1090000}"/>
    <cellStyle name="Normal 73 5 2 2" xfId="2489" xr:uid="{00000000-0005-0000-0000-0000C2090000}"/>
    <cellStyle name="Normal 73 5 3" xfId="2490" xr:uid="{00000000-0005-0000-0000-0000C3090000}"/>
    <cellStyle name="Normal 73 5 3 2" xfId="2491" xr:uid="{00000000-0005-0000-0000-0000C4090000}"/>
    <cellStyle name="Normal 73 5 4" xfId="2492" xr:uid="{00000000-0005-0000-0000-0000C5090000}"/>
    <cellStyle name="Normal 73 6" xfId="2493" xr:uid="{00000000-0005-0000-0000-0000C6090000}"/>
    <cellStyle name="Normal 73 6 2" xfId="2494" xr:uid="{00000000-0005-0000-0000-0000C7090000}"/>
    <cellStyle name="Normal 73 6 2 2" xfId="2495" xr:uid="{00000000-0005-0000-0000-0000C8090000}"/>
    <cellStyle name="Normal 73 6 3" xfId="2496" xr:uid="{00000000-0005-0000-0000-0000C9090000}"/>
    <cellStyle name="Normal 73 6 3 2" xfId="2497" xr:uid="{00000000-0005-0000-0000-0000CA090000}"/>
    <cellStyle name="Normal 73 6 4" xfId="2498" xr:uid="{00000000-0005-0000-0000-0000CB090000}"/>
    <cellStyle name="Normal 73 7" xfId="2499" xr:uid="{00000000-0005-0000-0000-0000CC090000}"/>
    <cellStyle name="Normal 73 7 2" xfId="2500" xr:uid="{00000000-0005-0000-0000-0000CD090000}"/>
    <cellStyle name="Normal 73 8" xfId="2501" xr:uid="{00000000-0005-0000-0000-0000CE090000}"/>
    <cellStyle name="Normal 73 8 2" xfId="2502" xr:uid="{00000000-0005-0000-0000-0000CF090000}"/>
    <cellStyle name="Normal 73 9" xfId="2503" xr:uid="{00000000-0005-0000-0000-0000D0090000}"/>
    <cellStyle name="Normal 74" xfId="2504" xr:uid="{00000000-0005-0000-0000-0000D1090000}"/>
    <cellStyle name="Normal 74 2" xfId="2505" xr:uid="{00000000-0005-0000-0000-0000D2090000}"/>
    <cellStyle name="Normal 74 2 2" xfId="2506" xr:uid="{00000000-0005-0000-0000-0000D3090000}"/>
    <cellStyle name="Normal 74 3" xfId="2507" xr:uid="{00000000-0005-0000-0000-0000D4090000}"/>
    <cellStyle name="Normal 74 3 2" xfId="2508" xr:uid="{00000000-0005-0000-0000-0000D5090000}"/>
    <cellStyle name="Normal 74 4" xfId="2509" xr:uid="{00000000-0005-0000-0000-0000D6090000}"/>
    <cellStyle name="Normal 75" xfId="2510" xr:uid="{00000000-0005-0000-0000-0000D7090000}"/>
    <cellStyle name="Normal 75 2" xfId="2511" xr:uid="{00000000-0005-0000-0000-0000D8090000}"/>
    <cellStyle name="Normal 75 2 2" xfId="2512" xr:uid="{00000000-0005-0000-0000-0000D9090000}"/>
    <cellStyle name="Normal 75 3" xfId="2513" xr:uid="{00000000-0005-0000-0000-0000DA090000}"/>
    <cellStyle name="Normal 75 3 2" xfId="2514" xr:uid="{00000000-0005-0000-0000-0000DB090000}"/>
    <cellStyle name="Normal 75 4" xfId="2515" xr:uid="{00000000-0005-0000-0000-0000DC090000}"/>
    <cellStyle name="Normal 76" xfId="2516" xr:uid="{00000000-0005-0000-0000-0000DD090000}"/>
    <cellStyle name="Normal 76 2" xfId="2517" xr:uid="{00000000-0005-0000-0000-0000DE090000}"/>
    <cellStyle name="Normal 76 2 2" xfId="2518" xr:uid="{00000000-0005-0000-0000-0000DF090000}"/>
    <cellStyle name="Normal 76 3" xfId="2519" xr:uid="{00000000-0005-0000-0000-0000E0090000}"/>
    <cellStyle name="Normal 76 3 2" xfId="2520" xr:uid="{00000000-0005-0000-0000-0000E1090000}"/>
    <cellStyle name="Normal 76 4" xfId="2521" xr:uid="{00000000-0005-0000-0000-0000E2090000}"/>
    <cellStyle name="Normal 77" xfId="2522" xr:uid="{00000000-0005-0000-0000-0000E3090000}"/>
    <cellStyle name="Normal 77 2" xfId="2523" xr:uid="{00000000-0005-0000-0000-0000E4090000}"/>
    <cellStyle name="Normal 77 2 2" xfId="2524" xr:uid="{00000000-0005-0000-0000-0000E5090000}"/>
    <cellStyle name="Normal 77 3" xfId="2525" xr:uid="{00000000-0005-0000-0000-0000E6090000}"/>
    <cellStyle name="Normal 77 3 2" xfId="2526" xr:uid="{00000000-0005-0000-0000-0000E7090000}"/>
    <cellStyle name="Normal 77 4" xfId="2527" xr:uid="{00000000-0005-0000-0000-0000E8090000}"/>
    <cellStyle name="Normal 78" xfId="2528" xr:uid="{00000000-0005-0000-0000-0000E9090000}"/>
    <cellStyle name="Normal 78 2" xfId="2529" xr:uid="{00000000-0005-0000-0000-0000EA090000}"/>
    <cellStyle name="Normal 78 2 2" xfId="2530" xr:uid="{00000000-0005-0000-0000-0000EB090000}"/>
    <cellStyle name="Normal 78 3" xfId="2531" xr:uid="{00000000-0005-0000-0000-0000EC090000}"/>
    <cellStyle name="Normal 78 3 2" xfId="2532" xr:uid="{00000000-0005-0000-0000-0000ED090000}"/>
    <cellStyle name="Normal 78 4" xfId="2533" xr:uid="{00000000-0005-0000-0000-0000EE090000}"/>
    <cellStyle name="Normal 79" xfId="2534" xr:uid="{00000000-0005-0000-0000-0000EF090000}"/>
    <cellStyle name="Normal 79 2" xfId="2535" xr:uid="{00000000-0005-0000-0000-0000F0090000}"/>
    <cellStyle name="Normal 79 2 2" xfId="2536" xr:uid="{00000000-0005-0000-0000-0000F1090000}"/>
    <cellStyle name="Normal 79 3" xfId="2537" xr:uid="{00000000-0005-0000-0000-0000F2090000}"/>
    <cellStyle name="Normal 79 3 2" xfId="2538" xr:uid="{00000000-0005-0000-0000-0000F3090000}"/>
    <cellStyle name="Normal 79 4" xfId="2539" xr:uid="{00000000-0005-0000-0000-0000F4090000}"/>
    <cellStyle name="Normal 8" xfId="2540" xr:uid="{00000000-0005-0000-0000-0000F5090000}"/>
    <cellStyle name="Normal 8 2" xfId="2541" xr:uid="{00000000-0005-0000-0000-0000F6090000}"/>
    <cellStyle name="Normal 8 2 2" xfId="2542" xr:uid="{00000000-0005-0000-0000-0000F7090000}"/>
    <cellStyle name="Normal 8 2 2 2" xfId="2543" xr:uid="{00000000-0005-0000-0000-0000F8090000}"/>
    <cellStyle name="Normal 8 2 3" xfId="2544" xr:uid="{00000000-0005-0000-0000-0000F9090000}"/>
    <cellStyle name="Normal 8 2 3 2" xfId="2545" xr:uid="{00000000-0005-0000-0000-0000FA090000}"/>
    <cellStyle name="Normal 8 2 4" xfId="2546" xr:uid="{00000000-0005-0000-0000-0000FB090000}"/>
    <cellStyle name="Normal 8 3" xfId="2547" xr:uid="{00000000-0005-0000-0000-0000FC090000}"/>
    <cellStyle name="Normal 8 3 2" xfId="2548" xr:uid="{00000000-0005-0000-0000-0000FD090000}"/>
    <cellStyle name="Normal 8 4" xfId="2549" xr:uid="{00000000-0005-0000-0000-0000FE090000}"/>
    <cellStyle name="Normal 8 4 2" xfId="2550" xr:uid="{00000000-0005-0000-0000-0000FF090000}"/>
    <cellStyle name="Normal 8 5" xfId="2551" xr:uid="{00000000-0005-0000-0000-0000000A0000}"/>
    <cellStyle name="Normal 8 6" xfId="2552" xr:uid="{00000000-0005-0000-0000-0000010A0000}"/>
    <cellStyle name="Normal 8 7" xfId="2553" xr:uid="{00000000-0005-0000-0000-0000020A0000}"/>
    <cellStyle name="Normal 8 8" xfId="2554" xr:uid="{00000000-0005-0000-0000-0000030A0000}"/>
    <cellStyle name="Normal 8_!NAMTRIMO 17 Sept  2014  continued extra" xfId="2555" xr:uid="{00000000-0005-0000-0000-0000040A0000}"/>
    <cellStyle name="Normal 80" xfId="2556" xr:uid="{00000000-0005-0000-0000-0000050A0000}"/>
    <cellStyle name="Normal 80 2" xfId="2557" xr:uid="{00000000-0005-0000-0000-0000060A0000}"/>
    <cellStyle name="Normal 80 2 2" xfId="2558" xr:uid="{00000000-0005-0000-0000-0000070A0000}"/>
    <cellStyle name="Normal 80 3" xfId="2559" xr:uid="{00000000-0005-0000-0000-0000080A0000}"/>
    <cellStyle name="Normal 80 3 2" xfId="2560" xr:uid="{00000000-0005-0000-0000-0000090A0000}"/>
    <cellStyle name="Normal 80 4" xfId="2561" xr:uid="{00000000-0005-0000-0000-00000A0A0000}"/>
    <cellStyle name="Normal 81" xfId="2562" xr:uid="{00000000-0005-0000-0000-00000B0A0000}"/>
    <cellStyle name="Normal 81 2" xfId="2563" xr:uid="{00000000-0005-0000-0000-00000C0A0000}"/>
    <cellStyle name="Normal 81 2 2" xfId="2564" xr:uid="{00000000-0005-0000-0000-00000D0A0000}"/>
    <cellStyle name="Normal 81 3" xfId="2565" xr:uid="{00000000-0005-0000-0000-00000E0A0000}"/>
    <cellStyle name="Normal 81 3 2" xfId="2566" xr:uid="{00000000-0005-0000-0000-00000F0A0000}"/>
    <cellStyle name="Normal 81 4" xfId="2567" xr:uid="{00000000-0005-0000-0000-0000100A0000}"/>
    <cellStyle name="Normal 82" xfId="2568" xr:uid="{00000000-0005-0000-0000-0000110A0000}"/>
    <cellStyle name="Normal 82 2" xfId="2569" xr:uid="{00000000-0005-0000-0000-0000120A0000}"/>
    <cellStyle name="Normal 82 2 2" xfId="2570" xr:uid="{00000000-0005-0000-0000-0000130A0000}"/>
    <cellStyle name="Normal 82 3" xfId="2571" xr:uid="{00000000-0005-0000-0000-0000140A0000}"/>
    <cellStyle name="Normal 82 3 2" xfId="2572" xr:uid="{00000000-0005-0000-0000-0000150A0000}"/>
    <cellStyle name="Normal 82 4" xfId="2573" xr:uid="{00000000-0005-0000-0000-0000160A0000}"/>
    <cellStyle name="Normal 82 5" xfId="2574" xr:uid="{00000000-0005-0000-0000-0000170A0000}"/>
    <cellStyle name="Normal 83" xfId="2575" xr:uid="{00000000-0005-0000-0000-0000180A0000}"/>
    <cellStyle name="Normal 83 2" xfId="2576" xr:uid="{00000000-0005-0000-0000-0000190A0000}"/>
    <cellStyle name="Normal 83 2 2" xfId="2577" xr:uid="{00000000-0005-0000-0000-00001A0A0000}"/>
    <cellStyle name="Normal 83 3" xfId="2578" xr:uid="{00000000-0005-0000-0000-00001B0A0000}"/>
    <cellStyle name="Normal 83 3 2" xfId="2579" xr:uid="{00000000-0005-0000-0000-00001C0A0000}"/>
    <cellStyle name="Normal 83 4" xfId="2580" xr:uid="{00000000-0005-0000-0000-00001D0A0000}"/>
    <cellStyle name="Normal 83 5" xfId="2581" xr:uid="{00000000-0005-0000-0000-00001E0A0000}"/>
    <cellStyle name="Normal 84" xfId="2582" xr:uid="{00000000-0005-0000-0000-00001F0A0000}"/>
    <cellStyle name="Normal 84 2" xfId="2583" xr:uid="{00000000-0005-0000-0000-0000200A0000}"/>
    <cellStyle name="Normal 84 2 2" xfId="2584" xr:uid="{00000000-0005-0000-0000-0000210A0000}"/>
    <cellStyle name="Normal 84 3" xfId="2585" xr:uid="{00000000-0005-0000-0000-0000220A0000}"/>
    <cellStyle name="Normal 84 3 2" xfId="2586" xr:uid="{00000000-0005-0000-0000-0000230A0000}"/>
    <cellStyle name="Normal 84 4" xfId="2587" xr:uid="{00000000-0005-0000-0000-0000240A0000}"/>
    <cellStyle name="Normal 84 5" xfId="2588" xr:uid="{00000000-0005-0000-0000-0000250A0000}"/>
    <cellStyle name="Normal 85" xfId="2589" xr:uid="{00000000-0005-0000-0000-0000260A0000}"/>
    <cellStyle name="Normal 85 2" xfId="2590" xr:uid="{00000000-0005-0000-0000-0000270A0000}"/>
    <cellStyle name="Normal 85 2 2" xfId="2591" xr:uid="{00000000-0005-0000-0000-0000280A0000}"/>
    <cellStyle name="Normal 85 3" xfId="2592" xr:uid="{00000000-0005-0000-0000-0000290A0000}"/>
    <cellStyle name="Normal 85 3 2" xfId="2593" xr:uid="{00000000-0005-0000-0000-00002A0A0000}"/>
    <cellStyle name="Normal 85 4" xfId="2594" xr:uid="{00000000-0005-0000-0000-00002B0A0000}"/>
    <cellStyle name="Normal 86" xfId="2595" xr:uid="{00000000-0005-0000-0000-00002C0A0000}"/>
    <cellStyle name="Normal 86 2" xfId="2596" xr:uid="{00000000-0005-0000-0000-00002D0A0000}"/>
    <cellStyle name="Normal 86 2 2" xfId="2597" xr:uid="{00000000-0005-0000-0000-00002E0A0000}"/>
    <cellStyle name="Normal 86 3" xfId="2598" xr:uid="{00000000-0005-0000-0000-00002F0A0000}"/>
    <cellStyle name="Normal 86 3 2" xfId="2599" xr:uid="{00000000-0005-0000-0000-0000300A0000}"/>
    <cellStyle name="Normal 86 4" xfId="2600" xr:uid="{00000000-0005-0000-0000-0000310A0000}"/>
    <cellStyle name="Normal 87" xfId="2601" xr:uid="{00000000-0005-0000-0000-0000320A0000}"/>
    <cellStyle name="Normal 87 2" xfId="2602" xr:uid="{00000000-0005-0000-0000-0000330A0000}"/>
    <cellStyle name="Normal 87 2 2" xfId="2603" xr:uid="{00000000-0005-0000-0000-0000340A0000}"/>
    <cellStyle name="Normal 87 3" xfId="2604" xr:uid="{00000000-0005-0000-0000-0000350A0000}"/>
    <cellStyle name="Normal 87 3 2" xfId="2605" xr:uid="{00000000-0005-0000-0000-0000360A0000}"/>
    <cellStyle name="Normal 87 4" xfId="2606" xr:uid="{00000000-0005-0000-0000-0000370A0000}"/>
    <cellStyle name="Normal 88" xfId="2607" xr:uid="{00000000-0005-0000-0000-0000380A0000}"/>
    <cellStyle name="Normal 88 2" xfId="2608" xr:uid="{00000000-0005-0000-0000-0000390A0000}"/>
    <cellStyle name="Normal 88 2 2" xfId="2609" xr:uid="{00000000-0005-0000-0000-00003A0A0000}"/>
    <cellStyle name="Normal 88 3" xfId="2610" xr:uid="{00000000-0005-0000-0000-00003B0A0000}"/>
    <cellStyle name="Normal 88 3 2" xfId="2611" xr:uid="{00000000-0005-0000-0000-00003C0A0000}"/>
    <cellStyle name="Normal 88 4" xfId="2612" xr:uid="{00000000-0005-0000-0000-00003D0A0000}"/>
    <cellStyle name="Normal 88 5" xfId="2613" xr:uid="{00000000-0005-0000-0000-00003E0A0000}"/>
    <cellStyle name="Normal 89" xfId="2614" xr:uid="{00000000-0005-0000-0000-00003F0A0000}"/>
    <cellStyle name="Normal 89 2" xfId="2615" xr:uid="{00000000-0005-0000-0000-0000400A0000}"/>
    <cellStyle name="Normal 89 2 2" xfId="2616" xr:uid="{00000000-0005-0000-0000-0000410A0000}"/>
    <cellStyle name="Normal 89 2 2 2" xfId="2617" xr:uid="{00000000-0005-0000-0000-0000420A0000}"/>
    <cellStyle name="Normal 89 2 3" xfId="2618" xr:uid="{00000000-0005-0000-0000-0000430A0000}"/>
    <cellStyle name="Normal 89 2 3 2" xfId="2619" xr:uid="{00000000-0005-0000-0000-0000440A0000}"/>
    <cellStyle name="Normal 89 2 4" xfId="2620" xr:uid="{00000000-0005-0000-0000-0000450A0000}"/>
    <cellStyle name="Normal 89 3" xfId="2621" xr:uid="{00000000-0005-0000-0000-0000460A0000}"/>
    <cellStyle name="Normal 89 3 2" xfId="2622" xr:uid="{00000000-0005-0000-0000-0000470A0000}"/>
    <cellStyle name="Normal 89 4" xfId="2623" xr:uid="{00000000-0005-0000-0000-0000480A0000}"/>
    <cellStyle name="Normal 89 4 2" xfId="2624" xr:uid="{00000000-0005-0000-0000-0000490A0000}"/>
    <cellStyle name="Normal 89 5" xfId="2625" xr:uid="{00000000-0005-0000-0000-00004A0A0000}"/>
    <cellStyle name="Normal 9" xfId="2626" xr:uid="{00000000-0005-0000-0000-00004B0A0000}"/>
    <cellStyle name="Normal 9 10" xfId="2627" xr:uid="{00000000-0005-0000-0000-00004C0A0000}"/>
    <cellStyle name="Normal 9 2" xfId="2628" xr:uid="{00000000-0005-0000-0000-00004D0A0000}"/>
    <cellStyle name="Normal 9 2 2" xfId="2629" xr:uid="{00000000-0005-0000-0000-00004E0A0000}"/>
    <cellStyle name="Normal 9 2 2 2" xfId="2630" xr:uid="{00000000-0005-0000-0000-00004F0A0000}"/>
    <cellStyle name="Normal 9 2 3" xfId="2631" xr:uid="{00000000-0005-0000-0000-0000500A0000}"/>
    <cellStyle name="Normal 9 2 3 2" xfId="2632" xr:uid="{00000000-0005-0000-0000-0000510A0000}"/>
    <cellStyle name="Normal 9 2 4" xfId="2633" xr:uid="{00000000-0005-0000-0000-0000520A0000}"/>
    <cellStyle name="Normal 9 2 5" xfId="2634" xr:uid="{00000000-0005-0000-0000-0000530A0000}"/>
    <cellStyle name="Normal 9 3" xfId="2635" xr:uid="{00000000-0005-0000-0000-0000540A0000}"/>
    <cellStyle name="Normal 9 3 2" xfId="2636" xr:uid="{00000000-0005-0000-0000-0000550A0000}"/>
    <cellStyle name="Normal 9 3 3" xfId="2637" xr:uid="{00000000-0005-0000-0000-0000560A0000}"/>
    <cellStyle name="Normal 9 4" xfId="2638" xr:uid="{00000000-0005-0000-0000-0000570A0000}"/>
    <cellStyle name="Normal 9 4 2" xfId="2639" xr:uid="{00000000-0005-0000-0000-0000580A0000}"/>
    <cellStyle name="Normal 9 5" xfId="2640" xr:uid="{00000000-0005-0000-0000-0000590A0000}"/>
    <cellStyle name="Normal 9 6" xfId="2641" xr:uid="{00000000-0005-0000-0000-00005A0A0000}"/>
    <cellStyle name="Normal 9 7" xfId="2642" xr:uid="{00000000-0005-0000-0000-00005B0A0000}"/>
    <cellStyle name="Normal 9 8" xfId="2643" xr:uid="{00000000-0005-0000-0000-00005C0A0000}"/>
    <cellStyle name="Normal 90" xfId="2644" xr:uid="{00000000-0005-0000-0000-00005D0A0000}"/>
    <cellStyle name="Normal 90 2" xfId="2645" xr:uid="{00000000-0005-0000-0000-00005E0A0000}"/>
    <cellStyle name="Normal 90 2 2" xfId="2646" xr:uid="{00000000-0005-0000-0000-00005F0A0000}"/>
    <cellStyle name="Normal 90 2 2 2" xfId="2647" xr:uid="{00000000-0005-0000-0000-0000600A0000}"/>
    <cellStyle name="Normal 90 2 3" xfId="2648" xr:uid="{00000000-0005-0000-0000-0000610A0000}"/>
    <cellStyle name="Normal 90 2 3 2" xfId="2649" xr:uid="{00000000-0005-0000-0000-0000620A0000}"/>
    <cellStyle name="Normal 90 2 4" xfId="2650" xr:uid="{00000000-0005-0000-0000-0000630A0000}"/>
    <cellStyle name="Normal 90 3" xfId="2651" xr:uid="{00000000-0005-0000-0000-0000640A0000}"/>
    <cellStyle name="Normal 90 3 2" xfId="2652" xr:uid="{00000000-0005-0000-0000-0000650A0000}"/>
    <cellStyle name="Normal 90 4" xfId="2653" xr:uid="{00000000-0005-0000-0000-0000660A0000}"/>
    <cellStyle name="Normal 90 4 2" xfId="2654" xr:uid="{00000000-0005-0000-0000-0000670A0000}"/>
    <cellStyle name="Normal 90 5" xfId="2655" xr:uid="{00000000-0005-0000-0000-0000680A0000}"/>
    <cellStyle name="Normal 90 6" xfId="2656" xr:uid="{00000000-0005-0000-0000-0000690A0000}"/>
    <cellStyle name="Normal 91" xfId="2657" xr:uid="{00000000-0005-0000-0000-00006A0A0000}"/>
    <cellStyle name="Normal 91 2" xfId="2658" xr:uid="{00000000-0005-0000-0000-00006B0A0000}"/>
    <cellStyle name="Normal 91 2 2" xfId="2659" xr:uid="{00000000-0005-0000-0000-00006C0A0000}"/>
    <cellStyle name="Normal 91 3" xfId="2660" xr:uid="{00000000-0005-0000-0000-00006D0A0000}"/>
    <cellStyle name="Normal 91 3 2" xfId="2661" xr:uid="{00000000-0005-0000-0000-00006E0A0000}"/>
    <cellStyle name="Normal 91 4" xfId="2662" xr:uid="{00000000-0005-0000-0000-00006F0A0000}"/>
    <cellStyle name="Normal 92" xfId="2663" xr:uid="{00000000-0005-0000-0000-0000700A0000}"/>
    <cellStyle name="Normal 92 2" xfId="2664" xr:uid="{00000000-0005-0000-0000-0000710A0000}"/>
    <cellStyle name="Normal 92 2 2" xfId="2665" xr:uid="{00000000-0005-0000-0000-0000720A0000}"/>
    <cellStyle name="Normal 92 3" xfId="2666" xr:uid="{00000000-0005-0000-0000-0000730A0000}"/>
    <cellStyle name="Normal 92 3 2" xfId="2667" xr:uid="{00000000-0005-0000-0000-0000740A0000}"/>
    <cellStyle name="Normal 92 4" xfId="2668" xr:uid="{00000000-0005-0000-0000-0000750A0000}"/>
    <cellStyle name="Normal 93" xfId="2669" xr:uid="{00000000-0005-0000-0000-0000760A0000}"/>
    <cellStyle name="Normal 93 2" xfId="2670" xr:uid="{00000000-0005-0000-0000-0000770A0000}"/>
    <cellStyle name="Normal 93 2 2" xfId="2671" xr:uid="{00000000-0005-0000-0000-0000780A0000}"/>
    <cellStyle name="Normal 93 3" xfId="2672" xr:uid="{00000000-0005-0000-0000-0000790A0000}"/>
    <cellStyle name="Normal 93 3 2" xfId="2673" xr:uid="{00000000-0005-0000-0000-00007A0A0000}"/>
    <cellStyle name="Normal 93 4" xfId="2674" xr:uid="{00000000-0005-0000-0000-00007B0A0000}"/>
    <cellStyle name="Normal 94" xfId="2675" xr:uid="{00000000-0005-0000-0000-00007C0A0000}"/>
    <cellStyle name="Normal 94 2" xfId="2676" xr:uid="{00000000-0005-0000-0000-00007D0A0000}"/>
    <cellStyle name="Normal 94 2 2" xfId="2677" xr:uid="{00000000-0005-0000-0000-00007E0A0000}"/>
    <cellStyle name="Normal 94 3" xfId="2678" xr:uid="{00000000-0005-0000-0000-00007F0A0000}"/>
    <cellStyle name="Normal 94 3 2" xfId="2679" xr:uid="{00000000-0005-0000-0000-0000800A0000}"/>
    <cellStyle name="Normal 94 4" xfId="2680" xr:uid="{00000000-0005-0000-0000-0000810A0000}"/>
    <cellStyle name="Normal 95" xfId="2681" xr:uid="{00000000-0005-0000-0000-0000820A0000}"/>
    <cellStyle name="Normal 95 2" xfId="2682" xr:uid="{00000000-0005-0000-0000-0000830A0000}"/>
    <cellStyle name="Normal 95 2 2" xfId="2683" xr:uid="{00000000-0005-0000-0000-0000840A0000}"/>
    <cellStyle name="Normal 95 3" xfId="2684" xr:uid="{00000000-0005-0000-0000-0000850A0000}"/>
    <cellStyle name="Normal 95 3 2" xfId="2685" xr:uid="{00000000-0005-0000-0000-0000860A0000}"/>
    <cellStyle name="Normal 95 4" xfId="2686" xr:uid="{00000000-0005-0000-0000-0000870A0000}"/>
    <cellStyle name="Normal 96" xfId="2687" xr:uid="{00000000-0005-0000-0000-0000880A0000}"/>
    <cellStyle name="Normal 96 2" xfId="2688" xr:uid="{00000000-0005-0000-0000-0000890A0000}"/>
    <cellStyle name="Normal 96 2 2" xfId="2689" xr:uid="{00000000-0005-0000-0000-00008A0A0000}"/>
    <cellStyle name="Normal 96 3" xfId="2690" xr:uid="{00000000-0005-0000-0000-00008B0A0000}"/>
    <cellStyle name="Normal 96 3 2" xfId="2691" xr:uid="{00000000-0005-0000-0000-00008C0A0000}"/>
    <cellStyle name="Normal 96 4" xfId="2692" xr:uid="{00000000-0005-0000-0000-00008D0A0000}"/>
    <cellStyle name="Normal 96 5" xfId="2693" xr:uid="{00000000-0005-0000-0000-00008E0A0000}"/>
    <cellStyle name="Normal 97" xfId="2694" xr:uid="{00000000-0005-0000-0000-00008F0A0000}"/>
    <cellStyle name="Normal 97 2" xfId="2695" xr:uid="{00000000-0005-0000-0000-0000900A0000}"/>
    <cellStyle name="Normal 97 2 2" xfId="2696" xr:uid="{00000000-0005-0000-0000-0000910A0000}"/>
    <cellStyle name="Normal 97 3" xfId="2697" xr:uid="{00000000-0005-0000-0000-0000920A0000}"/>
    <cellStyle name="Normal 97 3 2" xfId="2698" xr:uid="{00000000-0005-0000-0000-0000930A0000}"/>
    <cellStyle name="Normal 97 4" xfId="2699" xr:uid="{00000000-0005-0000-0000-0000940A0000}"/>
    <cellStyle name="Normal 98" xfId="2700" xr:uid="{00000000-0005-0000-0000-0000950A0000}"/>
    <cellStyle name="Normal 98 2" xfId="2701" xr:uid="{00000000-0005-0000-0000-0000960A0000}"/>
    <cellStyle name="Normal 98 2 2" xfId="2702" xr:uid="{00000000-0005-0000-0000-0000970A0000}"/>
    <cellStyle name="Normal 98 3" xfId="2703" xr:uid="{00000000-0005-0000-0000-0000980A0000}"/>
    <cellStyle name="Normal 98 3 2" xfId="2704" xr:uid="{00000000-0005-0000-0000-0000990A0000}"/>
    <cellStyle name="Normal 98 4" xfId="2705" xr:uid="{00000000-0005-0000-0000-00009A0A0000}"/>
    <cellStyle name="Normal 98 5" xfId="2706" xr:uid="{00000000-0005-0000-0000-00009B0A0000}"/>
    <cellStyle name="Normal 99" xfId="2707" xr:uid="{00000000-0005-0000-0000-00009C0A0000}"/>
    <cellStyle name="Normal 99 2" xfId="2708" xr:uid="{00000000-0005-0000-0000-00009D0A0000}"/>
    <cellStyle name="Normal 99 2 2" xfId="2709" xr:uid="{00000000-0005-0000-0000-00009E0A0000}"/>
    <cellStyle name="Normal 99 3" xfId="2710" xr:uid="{00000000-0005-0000-0000-00009F0A0000}"/>
    <cellStyle name="Normal 99 3 2" xfId="2711" xr:uid="{00000000-0005-0000-0000-0000A00A0000}"/>
    <cellStyle name="Normal 99 4" xfId="2712" xr:uid="{00000000-0005-0000-0000-0000A10A0000}"/>
    <cellStyle name="Normal Table" xfId="2713" xr:uid="{00000000-0005-0000-0000-0000A20A0000}"/>
    <cellStyle name="Normal Table 2" xfId="2714" xr:uid="{00000000-0005-0000-0000-0000A30A0000}"/>
    <cellStyle name="Normal Table 3" xfId="2715" xr:uid="{00000000-0005-0000-0000-0000A40A0000}"/>
    <cellStyle name="Normal Table 4" xfId="2716" xr:uid="{00000000-0005-0000-0000-0000A50A0000}"/>
    <cellStyle name="Normal Table 5" xfId="2717" xr:uid="{00000000-0005-0000-0000-0000A60A0000}"/>
    <cellStyle name="Normal Table_Ugatfis" xfId="2718" xr:uid="{00000000-0005-0000-0000-0000A70A0000}"/>
    <cellStyle name="Note" xfId="2719" xr:uid="{00000000-0005-0000-0000-0000A80A0000}"/>
    <cellStyle name="Note 2" xfId="2720" xr:uid="{00000000-0005-0000-0000-0000A90A0000}"/>
    <cellStyle name="Note 2 2" xfId="2721" xr:uid="{00000000-0005-0000-0000-0000AA0A0000}"/>
    <cellStyle name="Note 2 2 2" xfId="2722" xr:uid="{00000000-0005-0000-0000-0000AB0A0000}"/>
    <cellStyle name="Note 2 3" xfId="2723" xr:uid="{00000000-0005-0000-0000-0000AC0A0000}"/>
    <cellStyle name="Note 2 3 2" xfId="2724" xr:uid="{00000000-0005-0000-0000-0000AD0A0000}"/>
    <cellStyle name="Note 2 4" xfId="2725" xr:uid="{00000000-0005-0000-0000-0000AE0A0000}"/>
    <cellStyle name="Note 2 4 2" xfId="2726" xr:uid="{00000000-0005-0000-0000-0000AF0A0000}"/>
    <cellStyle name="Note 2 5" xfId="2727" xr:uid="{00000000-0005-0000-0000-0000B00A0000}"/>
    <cellStyle name="Note 2 6" xfId="2728" xr:uid="{00000000-0005-0000-0000-0000B10A0000}"/>
    <cellStyle name="Note 2 7" xfId="2729" xr:uid="{00000000-0005-0000-0000-0000B20A0000}"/>
    <cellStyle name="Note 2 8" xfId="2730" xr:uid="{00000000-0005-0000-0000-0000B30A0000}"/>
    <cellStyle name="Note 3" xfId="2731" xr:uid="{00000000-0005-0000-0000-0000B40A0000}"/>
    <cellStyle name="Note 3 2" xfId="2732" xr:uid="{00000000-0005-0000-0000-0000B50A0000}"/>
    <cellStyle name="Note 3 3" xfId="2733" xr:uid="{00000000-0005-0000-0000-0000B60A0000}"/>
    <cellStyle name="Note 3 4" xfId="2734" xr:uid="{00000000-0005-0000-0000-0000B70A0000}"/>
    <cellStyle name="Note 3 5" xfId="2735" xr:uid="{00000000-0005-0000-0000-0000B80A0000}"/>
    <cellStyle name="Note 4" xfId="2736" xr:uid="{00000000-0005-0000-0000-0000B90A0000}"/>
    <cellStyle name="Note 4 2" xfId="2737" xr:uid="{00000000-0005-0000-0000-0000BA0A0000}"/>
    <cellStyle name="Note 5" xfId="2738" xr:uid="{00000000-0005-0000-0000-0000BB0A0000}"/>
    <cellStyle name="Note 6" xfId="2739" xr:uid="{00000000-0005-0000-0000-0000BC0A0000}"/>
    <cellStyle name="Note 6 2" xfId="2740" xr:uid="{00000000-0005-0000-0000-0000BD0A0000}"/>
    <cellStyle name="Note 7" xfId="2741" xr:uid="{00000000-0005-0000-0000-0000BE0A0000}"/>
    <cellStyle name="Note 7 2" xfId="2742" xr:uid="{00000000-0005-0000-0000-0000BF0A0000}"/>
    <cellStyle name="Note 7 3" xfId="2743" xr:uid="{00000000-0005-0000-0000-0000C00A0000}"/>
    <cellStyle name="Note 8" xfId="2744" xr:uid="{00000000-0005-0000-0000-0000C10A0000}"/>
    <cellStyle name="Note 9" xfId="2745" xr:uid="{00000000-0005-0000-0000-0000C20A0000}"/>
    <cellStyle name="Notitie" xfId="3063" builtinId="10" hidden="1"/>
    <cellStyle name="Ongeldig" xfId="3055" builtinId="27" hidden="1"/>
    <cellStyle name="Output" xfId="2746" xr:uid="{00000000-0005-0000-0000-0000C50A0000}"/>
    <cellStyle name="Output 2" xfId="2747" xr:uid="{00000000-0005-0000-0000-0000C60A0000}"/>
    <cellStyle name="Output 2 2" xfId="2748" xr:uid="{00000000-0005-0000-0000-0000C70A0000}"/>
    <cellStyle name="Output 2 3" xfId="2749" xr:uid="{00000000-0005-0000-0000-0000C80A0000}"/>
    <cellStyle name="Output 2 4" xfId="2750" xr:uid="{00000000-0005-0000-0000-0000C90A0000}"/>
    <cellStyle name="Output 2 5" xfId="2751" xr:uid="{00000000-0005-0000-0000-0000CA0A0000}"/>
    <cellStyle name="Output 2 6" xfId="2752" xr:uid="{00000000-0005-0000-0000-0000CB0A0000}"/>
    <cellStyle name="Output 2 7" xfId="2753" xr:uid="{00000000-0005-0000-0000-0000CC0A0000}"/>
    <cellStyle name="Output 2 8" xfId="2754" xr:uid="{00000000-0005-0000-0000-0000CD0A0000}"/>
    <cellStyle name="Output 3" xfId="2755" xr:uid="{00000000-0005-0000-0000-0000CE0A0000}"/>
    <cellStyle name="Output 4" xfId="2756" xr:uid="{00000000-0005-0000-0000-0000CF0A0000}"/>
    <cellStyle name="Pattern" xfId="2757" xr:uid="{00000000-0005-0000-0000-0000D00A0000}"/>
    <cellStyle name="Percent [0]" xfId="2758" xr:uid="{00000000-0005-0000-0000-0000D10A0000}"/>
    <cellStyle name="Percent [00]" xfId="2759" xr:uid="{00000000-0005-0000-0000-0000D20A0000}"/>
    <cellStyle name="Percent [2]" xfId="2760" xr:uid="{00000000-0005-0000-0000-0000D30A0000}"/>
    <cellStyle name="Percent [2] 2" xfId="2761" xr:uid="{00000000-0005-0000-0000-0000D40A0000}"/>
    <cellStyle name="Percent 10" xfId="2762" xr:uid="{00000000-0005-0000-0000-0000D50A0000}"/>
    <cellStyle name="Percent 10 2" xfId="2763" xr:uid="{00000000-0005-0000-0000-0000D60A0000}"/>
    <cellStyle name="Percent 10 3" xfId="2764" xr:uid="{00000000-0005-0000-0000-0000D70A0000}"/>
    <cellStyle name="Percent 11" xfId="2765" xr:uid="{00000000-0005-0000-0000-0000D80A0000}"/>
    <cellStyle name="Percent 11 2" xfId="2766" xr:uid="{00000000-0005-0000-0000-0000D90A0000}"/>
    <cellStyle name="Percent 11 3" xfId="2767" xr:uid="{00000000-0005-0000-0000-0000DA0A0000}"/>
    <cellStyle name="Percent 11 4" xfId="2768" xr:uid="{00000000-0005-0000-0000-0000DB0A0000}"/>
    <cellStyle name="Percent 12" xfId="2769" xr:uid="{00000000-0005-0000-0000-0000DC0A0000}"/>
    <cellStyle name="Percent 12 2" xfId="2770" xr:uid="{00000000-0005-0000-0000-0000DD0A0000}"/>
    <cellStyle name="Percent 12 3" xfId="2771" xr:uid="{00000000-0005-0000-0000-0000DE0A0000}"/>
    <cellStyle name="Percent 13" xfId="2772" xr:uid="{00000000-0005-0000-0000-0000DF0A0000}"/>
    <cellStyle name="Percent 13 2" xfId="2773" xr:uid="{00000000-0005-0000-0000-0000E00A0000}"/>
    <cellStyle name="Percent 13 3" xfId="2774" xr:uid="{00000000-0005-0000-0000-0000E10A0000}"/>
    <cellStyle name="Percent 14" xfId="2775" xr:uid="{00000000-0005-0000-0000-0000E20A0000}"/>
    <cellStyle name="Percent 14 2" xfId="2776" xr:uid="{00000000-0005-0000-0000-0000E30A0000}"/>
    <cellStyle name="Percent 14 3" xfId="2777" xr:uid="{00000000-0005-0000-0000-0000E40A0000}"/>
    <cellStyle name="Percent 15" xfId="2778" xr:uid="{00000000-0005-0000-0000-0000E50A0000}"/>
    <cellStyle name="Percent 15 2" xfId="2779" xr:uid="{00000000-0005-0000-0000-0000E60A0000}"/>
    <cellStyle name="Percent 16" xfId="2780" xr:uid="{00000000-0005-0000-0000-0000E70A0000}"/>
    <cellStyle name="Percent 16 2" xfId="2781" xr:uid="{00000000-0005-0000-0000-0000E80A0000}"/>
    <cellStyle name="Percent 17" xfId="2782" xr:uid="{00000000-0005-0000-0000-0000E90A0000}"/>
    <cellStyle name="Percent 17 2" xfId="2783" xr:uid="{00000000-0005-0000-0000-0000EA0A0000}"/>
    <cellStyle name="Percent 18" xfId="2784" xr:uid="{00000000-0005-0000-0000-0000EB0A0000}"/>
    <cellStyle name="Percent 18 2" xfId="2785" xr:uid="{00000000-0005-0000-0000-0000EC0A0000}"/>
    <cellStyle name="Percent 19" xfId="2786" xr:uid="{00000000-0005-0000-0000-0000ED0A0000}"/>
    <cellStyle name="Percent 19 2" xfId="2787" xr:uid="{00000000-0005-0000-0000-0000EE0A0000}"/>
    <cellStyle name="Percent 2" xfId="2788" xr:uid="{00000000-0005-0000-0000-0000EF0A0000}"/>
    <cellStyle name="Percent 2 10" xfId="2789" xr:uid="{00000000-0005-0000-0000-0000F00A0000}"/>
    <cellStyle name="Percent 2 11" xfId="2790" xr:uid="{00000000-0005-0000-0000-0000F10A0000}"/>
    <cellStyle name="Percent 2 12" xfId="2791" xr:uid="{00000000-0005-0000-0000-0000F20A0000}"/>
    <cellStyle name="Percent 2 2" xfId="2792" xr:uid="{00000000-0005-0000-0000-0000F30A0000}"/>
    <cellStyle name="Percent 2 2 2" xfId="2793" xr:uid="{00000000-0005-0000-0000-0000F40A0000}"/>
    <cellStyle name="Percent 2 2 3" xfId="2794" xr:uid="{00000000-0005-0000-0000-0000F50A0000}"/>
    <cellStyle name="Percent 2 3" xfId="2795" xr:uid="{00000000-0005-0000-0000-0000F60A0000}"/>
    <cellStyle name="Percent 2 3 2" xfId="2796" xr:uid="{00000000-0005-0000-0000-0000F70A0000}"/>
    <cellStyle name="Percent 2 4" xfId="2797" xr:uid="{00000000-0005-0000-0000-0000F80A0000}"/>
    <cellStyle name="Percent 2 4 2" xfId="2798" xr:uid="{00000000-0005-0000-0000-0000F90A0000}"/>
    <cellStyle name="Percent 2 5" xfId="2799" xr:uid="{00000000-0005-0000-0000-0000FA0A0000}"/>
    <cellStyle name="Percent 2 6" xfId="2800" xr:uid="{00000000-0005-0000-0000-0000FB0A0000}"/>
    <cellStyle name="Percent 2 7" xfId="2801" xr:uid="{00000000-0005-0000-0000-0000FC0A0000}"/>
    <cellStyle name="Percent 2 8" xfId="2802" xr:uid="{00000000-0005-0000-0000-0000FD0A0000}"/>
    <cellStyle name="Percent 2 9" xfId="2803" xr:uid="{00000000-0005-0000-0000-0000FE0A0000}"/>
    <cellStyle name="Percent 20" xfId="2804" xr:uid="{00000000-0005-0000-0000-0000FF0A0000}"/>
    <cellStyle name="Percent 20 2" xfId="2805" xr:uid="{00000000-0005-0000-0000-0000000B0000}"/>
    <cellStyle name="Percent 21" xfId="2806" xr:uid="{00000000-0005-0000-0000-0000010B0000}"/>
    <cellStyle name="Percent 21 2" xfId="2807" xr:uid="{00000000-0005-0000-0000-0000020B0000}"/>
    <cellStyle name="Percent 22" xfId="2808" xr:uid="{00000000-0005-0000-0000-0000030B0000}"/>
    <cellStyle name="Percent 22 2" xfId="2809" xr:uid="{00000000-0005-0000-0000-0000040B0000}"/>
    <cellStyle name="Percent 23" xfId="2810" xr:uid="{00000000-0005-0000-0000-0000050B0000}"/>
    <cellStyle name="Percent 23 2" xfId="2811" xr:uid="{00000000-0005-0000-0000-0000060B0000}"/>
    <cellStyle name="Percent 24" xfId="2812" xr:uid="{00000000-0005-0000-0000-0000070B0000}"/>
    <cellStyle name="Percent 24 2" xfId="2813" xr:uid="{00000000-0005-0000-0000-0000080B0000}"/>
    <cellStyle name="Percent 25" xfId="2814" xr:uid="{00000000-0005-0000-0000-0000090B0000}"/>
    <cellStyle name="Percent 25 2" xfId="2815" xr:uid="{00000000-0005-0000-0000-00000A0B0000}"/>
    <cellStyle name="Percent 26" xfId="2816" xr:uid="{00000000-0005-0000-0000-00000B0B0000}"/>
    <cellStyle name="Percent 26 2" xfId="2817" xr:uid="{00000000-0005-0000-0000-00000C0B0000}"/>
    <cellStyle name="Percent 27" xfId="2818" xr:uid="{00000000-0005-0000-0000-00000D0B0000}"/>
    <cellStyle name="Percent 27 2" xfId="2819" xr:uid="{00000000-0005-0000-0000-00000E0B0000}"/>
    <cellStyle name="Percent 28" xfId="2820" xr:uid="{00000000-0005-0000-0000-00000F0B0000}"/>
    <cellStyle name="Percent 28 2" xfId="2821" xr:uid="{00000000-0005-0000-0000-0000100B0000}"/>
    <cellStyle name="Percent 29" xfId="2822" xr:uid="{00000000-0005-0000-0000-0000110B0000}"/>
    <cellStyle name="Percent 3" xfId="2823" xr:uid="{00000000-0005-0000-0000-0000120B0000}"/>
    <cellStyle name="Percent 3 2" xfId="2824" xr:uid="{00000000-0005-0000-0000-0000130B0000}"/>
    <cellStyle name="Percent 3 2 2" xfId="2825" xr:uid="{00000000-0005-0000-0000-0000140B0000}"/>
    <cellStyle name="Percent 3 3" xfId="2826" xr:uid="{00000000-0005-0000-0000-0000150B0000}"/>
    <cellStyle name="Percent 3 3 2" xfId="2827" xr:uid="{00000000-0005-0000-0000-0000160B0000}"/>
    <cellStyle name="Percent 3 4" xfId="2828" xr:uid="{00000000-0005-0000-0000-0000170B0000}"/>
    <cellStyle name="Percent 3 4 2" xfId="2829" xr:uid="{00000000-0005-0000-0000-0000180B0000}"/>
    <cellStyle name="Percent 3 5" xfId="2830" xr:uid="{00000000-0005-0000-0000-0000190B0000}"/>
    <cellStyle name="Percent 3 6" xfId="2831" xr:uid="{00000000-0005-0000-0000-00001A0B0000}"/>
    <cellStyle name="Percent 3 7" xfId="2832" xr:uid="{00000000-0005-0000-0000-00001B0B0000}"/>
    <cellStyle name="Percent 30" xfId="2833" xr:uid="{00000000-0005-0000-0000-00001C0B0000}"/>
    <cellStyle name="Percent 31" xfId="2834" xr:uid="{00000000-0005-0000-0000-00001D0B0000}"/>
    <cellStyle name="Percent 32" xfId="2835" xr:uid="{00000000-0005-0000-0000-00001E0B0000}"/>
    <cellStyle name="Percent 33" xfId="2836" xr:uid="{00000000-0005-0000-0000-00001F0B0000}"/>
    <cellStyle name="Percent 34" xfId="2837" xr:uid="{00000000-0005-0000-0000-0000200B0000}"/>
    <cellStyle name="Percent 35" xfId="2838" xr:uid="{00000000-0005-0000-0000-0000210B0000}"/>
    <cellStyle name="Percent 36" xfId="2839" xr:uid="{00000000-0005-0000-0000-0000220B0000}"/>
    <cellStyle name="Percent 37" xfId="2840" xr:uid="{00000000-0005-0000-0000-0000230B0000}"/>
    <cellStyle name="Percent 38" xfId="2841" xr:uid="{00000000-0005-0000-0000-0000240B0000}"/>
    <cellStyle name="Percent 39" xfId="2842" xr:uid="{00000000-0005-0000-0000-0000250B0000}"/>
    <cellStyle name="Percent 4" xfId="2843" xr:uid="{00000000-0005-0000-0000-0000260B0000}"/>
    <cellStyle name="Percent 4 2" xfId="2844" xr:uid="{00000000-0005-0000-0000-0000270B0000}"/>
    <cellStyle name="Percent 4 2 2" xfId="2845" xr:uid="{00000000-0005-0000-0000-0000280B0000}"/>
    <cellStyle name="Percent 4 3" xfId="2846" xr:uid="{00000000-0005-0000-0000-0000290B0000}"/>
    <cellStyle name="Percent 4 4" xfId="2847" xr:uid="{00000000-0005-0000-0000-00002A0B0000}"/>
    <cellStyle name="Percent 4 5" xfId="2848" xr:uid="{00000000-0005-0000-0000-00002B0B0000}"/>
    <cellStyle name="Percent 4 6" xfId="2849" xr:uid="{00000000-0005-0000-0000-00002C0B0000}"/>
    <cellStyle name="Percent 40" xfId="2850" xr:uid="{00000000-0005-0000-0000-00002D0B0000}"/>
    <cellStyle name="Percent 41" xfId="2851" xr:uid="{00000000-0005-0000-0000-00002E0B0000}"/>
    <cellStyle name="Percent 42" xfId="2852" xr:uid="{00000000-0005-0000-0000-00002F0B0000}"/>
    <cellStyle name="Percent 43" xfId="2853" xr:uid="{00000000-0005-0000-0000-0000300B0000}"/>
    <cellStyle name="Percent 44" xfId="2854" xr:uid="{00000000-0005-0000-0000-0000310B0000}"/>
    <cellStyle name="Percent 45" xfId="2855" xr:uid="{00000000-0005-0000-0000-0000320B0000}"/>
    <cellStyle name="Percent 46" xfId="2856" xr:uid="{00000000-0005-0000-0000-0000330B0000}"/>
    <cellStyle name="Percent 47" xfId="2857" xr:uid="{00000000-0005-0000-0000-0000340B0000}"/>
    <cellStyle name="Percent 48" xfId="2858" xr:uid="{00000000-0005-0000-0000-0000350B0000}"/>
    <cellStyle name="Percent 49" xfId="2859" xr:uid="{00000000-0005-0000-0000-0000360B0000}"/>
    <cellStyle name="Percent 5" xfId="2860" xr:uid="{00000000-0005-0000-0000-0000370B0000}"/>
    <cellStyle name="Percent 5 2" xfId="2861" xr:uid="{00000000-0005-0000-0000-0000380B0000}"/>
    <cellStyle name="Percent 5 2 2" xfId="2862" xr:uid="{00000000-0005-0000-0000-0000390B0000}"/>
    <cellStyle name="Percent 5 3" xfId="2863" xr:uid="{00000000-0005-0000-0000-00003A0B0000}"/>
    <cellStyle name="Percent 5 4" xfId="2864" xr:uid="{00000000-0005-0000-0000-00003B0B0000}"/>
    <cellStyle name="Percent 5 5" xfId="2865" xr:uid="{00000000-0005-0000-0000-00003C0B0000}"/>
    <cellStyle name="Percent 50" xfId="2866" xr:uid="{00000000-0005-0000-0000-00003D0B0000}"/>
    <cellStyle name="Percent 51" xfId="2867" xr:uid="{00000000-0005-0000-0000-00003E0B0000}"/>
    <cellStyle name="Percent 52" xfId="2868" xr:uid="{00000000-0005-0000-0000-00003F0B0000}"/>
    <cellStyle name="Percent 6" xfId="2869" xr:uid="{00000000-0005-0000-0000-0000400B0000}"/>
    <cellStyle name="Percent 6 2" xfId="2870" xr:uid="{00000000-0005-0000-0000-0000410B0000}"/>
    <cellStyle name="Percent 6 2 2" xfId="2871" xr:uid="{00000000-0005-0000-0000-0000420B0000}"/>
    <cellStyle name="Percent 6 3" xfId="2872" xr:uid="{00000000-0005-0000-0000-0000430B0000}"/>
    <cellStyle name="Percent 6 3 2" xfId="2873" xr:uid="{00000000-0005-0000-0000-0000440B0000}"/>
    <cellStyle name="Percent 6 4" xfId="2874" xr:uid="{00000000-0005-0000-0000-0000450B0000}"/>
    <cellStyle name="Percent 6 5" xfId="2875" xr:uid="{00000000-0005-0000-0000-0000460B0000}"/>
    <cellStyle name="Percent 6 6" xfId="2876" xr:uid="{00000000-0005-0000-0000-0000470B0000}"/>
    <cellStyle name="Percent 6 7" xfId="2877" xr:uid="{00000000-0005-0000-0000-0000480B0000}"/>
    <cellStyle name="Percent 6 8" xfId="2878" xr:uid="{00000000-0005-0000-0000-0000490B0000}"/>
    <cellStyle name="Percent 6 9" xfId="2879" xr:uid="{00000000-0005-0000-0000-00004A0B0000}"/>
    <cellStyle name="Percent 7" xfId="2880" xr:uid="{00000000-0005-0000-0000-00004B0B0000}"/>
    <cellStyle name="Percent 7 2" xfId="2881" xr:uid="{00000000-0005-0000-0000-00004C0B0000}"/>
    <cellStyle name="Percent 7 3" xfId="2882" xr:uid="{00000000-0005-0000-0000-00004D0B0000}"/>
    <cellStyle name="Percent 7 4" xfId="2883" xr:uid="{00000000-0005-0000-0000-00004E0B0000}"/>
    <cellStyle name="Percent 8" xfId="2884" xr:uid="{00000000-0005-0000-0000-00004F0B0000}"/>
    <cellStyle name="Percent 8 2" xfId="2885" xr:uid="{00000000-0005-0000-0000-0000500B0000}"/>
    <cellStyle name="Percent 8 3" xfId="2886" xr:uid="{00000000-0005-0000-0000-0000510B0000}"/>
    <cellStyle name="Percent 8 4" xfId="2887" xr:uid="{00000000-0005-0000-0000-0000520B0000}"/>
    <cellStyle name="Percent 9" xfId="2888" xr:uid="{00000000-0005-0000-0000-0000530B0000}"/>
    <cellStyle name="Percent 9 2" xfId="2889" xr:uid="{00000000-0005-0000-0000-0000540B0000}"/>
    <cellStyle name="Percent 9 3" xfId="2890" xr:uid="{00000000-0005-0000-0000-0000550B0000}"/>
    <cellStyle name="Percent 9 4" xfId="2891" xr:uid="{00000000-0005-0000-0000-0000560B0000}"/>
    <cellStyle name="percentage difference" xfId="2892" xr:uid="{00000000-0005-0000-0000-0000570B0000}"/>
    <cellStyle name="percentage difference 2" xfId="2893" xr:uid="{00000000-0005-0000-0000-0000580B0000}"/>
    <cellStyle name="percentage difference 3" xfId="2894" xr:uid="{00000000-0005-0000-0000-0000590B0000}"/>
    <cellStyle name="percentage difference one decimal" xfId="2895" xr:uid="{00000000-0005-0000-0000-00005A0B0000}"/>
    <cellStyle name="percentage difference one decimal 2" xfId="2896" xr:uid="{00000000-0005-0000-0000-00005B0B0000}"/>
    <cellStyle name="percentage difference zero decimal" xfId="2897" xr:uid="{00000000-0005-0000-0000-00005C0B0000}"/>
    <cellStyle name="percentage difference zero decimal 2" xfId="2898" xr:uid="{00000000-0005-0000-0000-00005D0B0000}"/>
    <cellStyle name="Percentual" xfId="2899" xr:uid="{00000000-0005-0000-0000-00005E0B0000}"/>
    <cellStyle name="Ponto" xfId="2900" xr:uid="{00000000-0005-0000-0000-00005F0B0000}"/>
    <cellStyle name="Porcentagem_SEP1196" xfId="2901" xr:uid="{00000000-0005-0000-0000-0000600B0000}"/>
    <cellStyle name="Porcentaje" xfId="2902" xr:uid="{00000000-0005-0000-0000-0000610B0000}"/>
    <cellStyle name="PrePop Currency (0)" xfId="2903" xr:uid="{00000000-0005-0000-0000-0000620B0000}"/>
    <cellStyle name="PrePop Currency (2)" xfId="2904" xr:uid="{00000000-0005-0000-0000-0000630B0000}"/>
    <cellStyle name="PrePop Currency (2) 2" xfId="2905" xr:uid="{00000000-0005-0000-0000-0000640B0000}"/>
    <cellStyle name="PrePop Units (0)" xfId="2906" xr:uid="{00000000-0005-0000-0000-0000650B0000}"/>
    <cellStyle name="PrePop Units (1)" xfId="2907" xr:uid="{00000000-0005-0000-0000-0000660B0000}"/>
    <cellStyle name="PrePop Units (2)" xfId="2908" xr:uid="{00000000-0005-0000-0000-0000670B0000}"/>
    <cellStyle name="PrePop Units (2) 2" xfId="2909" xr:uid="{00000000-0005-0000-0000-0000680B0000}"/>
    <cellStyle name="Presentation" xfId="2910" xr:uid="{00000000-0005-0000-0000-0000690B0000}"/>
    <cellStyle name="Presentation 2" xfId="2911" xr:uid="{00000000-0005-0000-0000-00006A0B0000}"/>
    <cellStyle name="Presentation 3" xfId="2912" xr:uid="{00000000-0005-0000-0000-00006B0B0000}"/>
    <cellStyle name="Presentation 4" xfId="2913" xr:uid="{00000000-0005-0000-0000-00006C0B0000}"/>
    <cellStyle name="Publication" xfId="2914" xr:uid="{00000000-0005-0000-0000-00006D0B0000}"/>
    <cellStyle name="Publication 2" xfId="2915" xr:uid="{00000000-0005-0000-0000-00006E0B0000}"/>
    <cellStyle name="Punto" xfId="2916" xr:uid="{00000000-0005-0000-0000-00006F0B0000}"/>
    <cellStyle name="Punto0" xfId="2917" xr:uid="{00000000-0005-0000-0000-0000700B0000}"/>
    <cellStyle name="SAPBEXaggData" xfId="2918" xr:uid="{00000000-0005-0000-0000-0000710B0000}"/>
    <cellStyle name="SAPBEXaggDataEmph" xfId="2919" xr:uid="{00000000-0005-0000-0000-0000720B0000}"/>
    <cellStyle name="SAPBEXaggItem" xfId="2920" xr:uid="{00000000-0005-0000-0000-0000730B0000}"/>
    <cellStyle name="SAPBEXchaText" xfId="2921" xr:uid="{00000000-0005-0000-0000-0000740B0000}"/>
    <cellStyle name="SAPBEXexcBad" xfId="2922" xr:uid="{00000000-0005-0000-0000-0000750B0000}"/>
    <cellStyle name="SAPBEXexcCritical" xfId="2923" xr:uid="{00000000-0005-0000-0000-0000760B0000}"/>
    <cellStyle name="SAPBEXexcGood" xfId="2924" xr:uid="{00000000-0005-0000-0000-0000770B0000}"/>
    <cellStyle name="SAPBEXexcVeryBad" xfId="2925" xr:uid="{00000000-0005-0000-0000-0000780B0000}"/>
    <cellStyle name="SAPBEXfilterDrill" xfId="2926" xr:uid="{00000000-0005-0000-0000-0000790B0000}"/>
    <cellStyle name="SAPBEXfilterItem" xfId="2927" xr:uid="{00000000-0005-0000-0000-00007A0B0000}"/>
    <cellStyle name="SAPBEXfilterText" xfId="2928" xr:uid="{00000000-0005-0000-0000-00007B0B0000}"/>
    <cellStyle name="SAPBEXformats" xfId="2929" xr:uid="{00000000-0005-0000-0000-00007C0B0000}"/>
    <cellStyle name="SAPBEXheaderData" xfId="2930" xr:uid="{00000000-0005-0000-0000-00007D0B0000}"/>
    <cellStyle name="SAPBEXheaderItem" xfId="2931" xr:uid="{00000000-0005-0000-0000-00007E0B0000}"/>
    <cellStyle name="SAPBEXheaderText" xfId="2932" xr:uid="{00000000-0005-0000-0000-00007F0B0000}"/>
    <cellStyle name="SAPBEXresData" xfId="2933" xr:uid="{00000000-0005-0000-0000-0000800B0000}"/>
    <cellStyle name="SAPBEXresDataEmph" xfId="2934" xr:uid="{00000000-0005-0000-0000-0000810B0000}"/>
    <cellStyle name="SAPBEXresItem" xfId="2935" xr:uid="{00000000-0005-0000-0000-0000820B0000}"/>
    <cellStyle name="SAPBEXstdData" xfId="2936" xr:uid="{00000000-0005-0000-0000-0000830B0000}"/>
    <cellStyle name="SAPBEXstdDataEmph" xfId="2937" xr:uid="{00000000-0005-0000-0000-0000840B0000}"/>
    <cellStyle name="SAPBEXstdItem" xfId="2938" xr:uid="{00000000-0005-0000-0000-0000850B0000}"/>
    <cellStyle name="SAPBEXstdItem 2" xfId="2939" xr:uid="{00000000-0005-0000-0000-0000860B0000}"/>
    <cellStyle name="SAPBEXstdItem 3" xfId="2940" xr:uid="{00000000-0005-0000-0000-0000870B0000}"/>
    <cellStyle name="SAPBEXstdItem 4" xfId="2941" xr:uid="{00000000-0005-0000-0000-0000880B0000}"/>
    <cellStyle name="SAPBEXsubData" xfId="2942" xr:uid="{00000000-0005-0000-0000-0000890B0000}"/>
    <cellStyle name="SAPBEXsubDataEmph" xfId="2943" xr:uid="{00000000-0005-0000-0000-00008A0B0000}"/>
    <cellStyle name="SAPBEXsubItem" xfId="2944" xr:uid="{00000000-0005-0000-0000-00008B0B0000}"/>
    <cellStyle name="SAPBEXtitle" xfId="2945" xr:uid="{00000000-0005-0000-0000-00008C0B0000}"/>
    <cellStyle name="SAPBEXundefined" xfId="2946" xr:uid="{00000000-0005-0000-0000-00008D0B0000}"/>
    <cellStyle name="Sep. milhar [2]" xfId="2947" xr:uid="{00000000-0005-0000-0000-00008E0B0000}"/>
    <cellStyle name="Separador de m" xfId="2948" xr:uid="{00000000-0005-0000-0000-00008F0B0000}"/>
    <cellStyle name="Separador de milhares [0]_A" xfId="2949" xr:uid="{00000000-0005-0000-0000-0000900B0000}"/>
    <cellStyle name="Separador de milhares_A" xfId="2950" xr:uid="{00000000-0005-0000-0000-0000910B0000}"/>
    <cellStyle name="Sheet Title" xfId="2951" xr:uid="{00000000-0005-0000-0000-0000920B0000}"/>
    <cellStyle name="Standaard" xfId="0" builtinId="0"/>
    <cellStyle name="Standaard 2" xfId="2952" xr:uid="{00000000-0005-0000-0000-0000940B0000}"/>
    <cellStyle name="Standaard 2 2" xfId="2953" xr:uid="{00000000-0005-0000-0000-0000950B0000}"/>
    <cellStyle name="Standaard_HMS 30 september 2016 " xfId="2954" xr:uid="{00000000-0005-0000-0000-0000960B0000}"/>
    <cellStyle name="Standaard_Map3 2" xfId="3066" xr:uid="{F49FB656-D4F8-4B83-B82A-822E8FAC3863}"/>
    <cellStyle name="STYL1 - Style1" xfId="2955" xr:uid="{00000000-0005-0000-0000-0000980B0000}"/>
    <cellStyle name="STYL2 - Style2" xfId="2956" xr:uid="{00000000-0005-0000-0000-0000990B0000}"/>
    <cellStyle name="STYL3 - Style3" xfId="2957" xr:uid="{00000000-0005-0000-0000-00009A0B0000}"/>
    <cellStyle name="STYL4 - Style4" xfId="2958" xr:uid="{00000000-0005-0000-0000-00009B0B0000}"/>
    <cellStyle name="STYL5 - Style5" xfId="2959" xr:uid="{00000000-0005-0000-0000-00009C0B0000}"/>
    <cellStyle name="Text" xfId="2960" xr:uid="{00000000-0005-0000-0000-00009D0B0000}"/>
    <cellStyle name="Text Indent A" xfId="2961" xr:uid="{00000000-0005-0000-0000-00009E0B0000}"/>
    <cellStyle name="Text Indent B" xfId="2962" xr:uid="{00000000-0005-0000-0000-00009F0B0000}"/>
    <cellStyle name="Text Indent C" xfId="2963" xr:uid="{00000000-0005-0000-0000-0000A00B0000}"/>
    <cellStyle name="Titel" xfId="3049" builtinId="15" hidden="1"/>
    <cellStyle name="Title" xfId="2964" xr:uid="{00000000-0005-0000-0000-0000A20B0000}"/>
    <cellStyle name="Title 2" xfId="2965" xr:uid="{00000000-0005-0000-0000-0000A30B0000}"/>
    <cellStyle name="Title 2 2" xfId="2966" xr:uid="{00000000-0005-0000-0000-0000A40B0000}"/>
    <cellStyle name="Title 2 3" xfId="2967" xr:uid="{00000000-0005-0000-0000-0000A50B0000}"/>
    <cellStyle name="Title 2 4" xfId="2968" xr:uid="{00000000-0005-0000-0000-0000A60B0000}"/>
    <cellStyle name="Title 2 5" xfId="2969" xr:uid="{00000000-0005-0000-0000-0000A70B0000}"/>
    <cellStyle name="Title 2 6" xfId="2970" xr:uid="{00000000-0005-0000-0000-0000A80B0000}"/>
    <cellStyle name="Title 2 7" xfId="2971" xr:uid="{00000000-0005-0000-0000-0000A90B0000}"/>
    <cellStyle name="Title 2 8" xfId="2972" xr:uid="{00000000-0005-0000-0000-0000AA0B0000}"/>
    <cellStyle name="Title 3" xfId="2973" xr:uid="{00000000-0005-0000-0000-0000AB0B0000}"/>
    <cellStyle name="Title 4" xfId="2974" xr:uid="{00000000-0005-0000-0000-0000AC0B0000}"/>
    <cellStyle name="Title 4 2" xfId="2975" xr:uid="{00000000-0005-0000-0000-0000AD0B0000}"/>
    <cellStyle name="Title 5" xfId="2976" xr:uid="{00000000-0005-0000-0000-0000AE0B0000}"/>
    <cellStyle name="Title 6" xfId="2977" xr:uid="{00000000-0005-0000-0000-0000AF0B0000}"/>
    <cellStyle name="Titulo1" xfId="2978" xr:uid="{00000000-0005-0000-0000-0000B00B0000}"/>
    <cellStyle name="Titulo2" xfId="2979" xr:uid="{00000000-0005-0000-0000-0000B10B0000}"/>
    <cellStyle name="Totaal" xfId="3065" builtinId="25" hidden="1"/>
    <cellStyle name="Total" xfId="2980" xr:uid="{00000000-0005-0000-0000-0000B30B0000}"/>
    <cellStyle name="Total 2" xfId="2981" xr:uid="{00000000-0005-0000-0000-0000B40B0000}"/>
    <cellStyle name="Total 2 2" xfId="2982" xr:uid="{00000000-0005-0000-0000-0000B50B0000}"/>
    <cellStyle name="Total 2 3" xfId="2983" xr:uid="{00000000-0005-0000-0000-0000B60B0000}"/>
    <cellStyle name="Total 2 4" xfId="2984" xr:uid="{00000000-0005-0000-0000-0000B70B0000}"/>
    <cellStyle name="Total 2 5" xfId="2985" xr:uid="{00000000-0005-0000-0000-0000B80B0000}"/>
    <cellStyle name="Total 2 6" xfId="2986" xr:uid="{00000000-0005-0000-0000-0000B90B0000}"/>
    <cellStyle name="Total 2 7" xfId="2987" xr:uid="{00000000-0005-0000-0000-0000BA0B0000}"/>
    <cellStyle name="Total 2 8" xfId="2988" xr:uid="{00000000-0005-0000-0000-0000BB0B0000}"/>
    <cellStyle name="Total 3" xfId="2989" xr:uid="{00000000-0005-0000-0000-0000BC0B0000}"/>
    <cellStyle name="Total 4" xfId="2990" xr:uid="{00000000-0005-0000-0000-0000BD0B0000}"/>
    <cellStyle name="Uitvoer" xfId="3058" builtinId="21" hidden="1"/>
    <cellStyle name="Update" xfId="2991" xr:uid="{00000000-0005-0000-0000-0000BF0B0000}"/>
    <cellStyle name="V¡rgula" xfId="2992" xr:uid="{00000000-0005-0000-0000-0000C00B0000}"/>
    <cellStyle name="V¡rgula0" xfId="2993" xr:uid="{00000000-0005-0000-0000-0000C10B0000}"/>
    <cellStyle name="vaca" xfId="2994" xr:uid="{00000000-0005-0000-0000-0000C20B0000}"/>
    <cellStyle name="Verklarende tekst" xfId="3064" builtinId="53" hidden="1"/>
    <cellStyle name="Vírgula" xfId="2995" xr:uid="{00000000-0005-0000-0000-0000C40B0000}"/>
    <cellStyle name="Waarschuwingstekst" xfId="3062" builtinId="11" hidden="1"/>
    <cellStyle name="Warning Text" xfId="2996" xr:uid="{00000000-0005-0000-0000-0000C60B0000}"/>
    <cellStyle name="Warning Text 2" xfId="2997" xr:uid="{00000000-0005-0000-0000-0000C70B0000}"/>
    <cellStyle name="Warning Text 2 2" xfId="2998" xr:uid="{00000000-0005-0000-0000-0000C80B0000}"/>
    <cellStyle name="Warning Text 2 3" xfId="2999" xr:uid="{00000000-0005-0000-0000-0000C90B0000}"/>
    <cellStyle name="Warning Text 2 4" xfId="3000" xr:uid="{00000000-0005-0000-0000-0000CA0B0000}"/>
    <cellStyle name="Warning Text 2 5" xfId="3001" xr:uid="{00000000-0005-0000-0000-0000CB0B0000}"/>
    <cellStyle name="Warning Text 2 6" xfId="3002" xr:uid="{00000000-0005-0000-0000-0000CC0B0000}"/>
    <cellStyle name="Warning Text 2 7" xfId="3003" xr:uid="{00000000-0005-0000-0000-0000CD0B0000}"/>
    <cellStyle name="Warning Text 2 8" xfId="3004" xr:uid="{00000000-0005-0000-0000-0000CE0B0000}"/>
    <cellStyle name="Warning Text 3" xfId="3005" xr:uid="{00000000-0005-0000-0000-0000CF0B0000}"/>
    <cellStyle name="WebAnchor1" xfId="3006" xr:uid="{00000000-0005-0000-0000-0000D00B0000}"/>
    <cellStyle name="WebAnchor2" xfId="3007" xr:uid="{00000000-0005-0000-0000-0000D10B0000}"/>
    <cellStyle name="WebAnchor3" xfId="3008" xr:uid="{00000000-0005-0000-0000-0000D20B0000}"/>
    <cellStyle name="WebAnchor4" xfId="3009" xr:uid="{00000000-0005-0000-0000-0000D30B0000}"/>
    <cellStyle name="WebAnchor5" xfId="3010" xr:uid="{00000000-0005-0000-0000-0000D40B0000}"/>
    <cellStyle name="WebAnchor6" xfId="3011" xr:uid="{00000000-0005-0000-0000-0000D50B0000}"/>
    <cellStyle name="WebAnchor7" xfId="3012" xr:uid="{00000000-0005-0000-0000-0000D60B0000}"/>
    <cellStyle name="Webexclude" xfId="3013" xr:uid="{00000000-0005-0000-0000-0000D70B0000}"/>
    <cellStyle name="Webexclude 2" xfId="3014" xr:uid="{00000000-0005-0000-0000-0000D80B0000}"/>
    <cellStyle name="Webexclude 3" xfId="3015" xr:uid="{00000000-0005-0000-0000-0000D90B0000}"/>
    <cellStyle name="Webexclude 4" xfId="3016" xr:uid="{00000000-0005-0000-0000-0000DA0B0000}"/>
    <cellStyle name="WebFN" xfId="3017" xr:uid="{00000000-0005-0000-0000-0000DB0B0000}"/>
    <cellStyle name="WebFN1" xfId="3018" xr:uid="{00000000-0005-0000-0000-0000DC0B0000}"/>
    <cellStyle name="WebFN2" xfId="3019" xr:uid="{00000000-0005-0000-0000-0000DD0B0000}"/>
    <cellStyle name="WebFN3" xfId="3020" xr:uid="{00000000-0005-0000-0000-0000DE0B0000}"/>
    <cellStyle name="WebFN4" xfId="3021" xr:uid="{00000000-0005-0000-0000-0000DF0B0000}"/>
    <cellStyle name="WebHR" xfId="3022" xr:uid="{00000000-0005-0000-0000-0000E00B0000}"/>
    <cellStyle name="WebHR 2" xfId="3023" xr:uid="{00000000-0005-0000-0000-0000E10B0000}"/>
    <cellStyle name="WebHR 3" xfId="3024" xr:uid="{00000000-0005-0000-0000-0000E20B0000}"/>
    <cellStyle name="WebHR 4" xfId="3025" xr:uid="{00000000-0005-0000-0000-0000E30B0000}"/>
    <cellStyle name="WebIndent1" xfId="3026" xr:uid="{00000000-0005-0000-0000-0000E40B0000}"/>
    <cellStyle name="WebIndent1 2" xfId="3027" xr:uid="{00000000-0005-0000-0000-0000E50B0000}"/>
    <cellStyle name="WebIndent1 3" xfId="3028" xr:uid="{00000000-0005-0000-0000-0000E60B0000}"/>
    <cellStyle name="WebIndent1 4" xfId="3029" xr:uid="{00000000-0005-0000-0000-0000E70B0000}"/>
    <cellStyle name="WebIndent1wFN3" xfId="3030" xr:uid="{00000000-0005-0000-0000-0000E80B0000}"/>
    <cellStyle name="WebIndent2" xfId="3031" xr:uid="{00000000-0005-0000-0000-0000E90B0000}"/>
    <cellStyle name="WebIndent2 2" xfId="3032" xr:uid="{00000000-0005-0000-0000-0000EA0B0000}"/>
    <cellStyle name="WebIndent2 3" xfId="3033" xr:uid="{00000000-0005-0000-0000-0000EB0B0000}"/>
    <cellStyle name="WebIndent2 4" xfId="3034" xr:uid="{00000000-0005-0000-0000-0000EC0B0000}"/>
    <cellStyle name="WebNoBR" xfId="3035" xr:uid="{00000000-0005-0000-0000-0000ED0B0000}"/>
    <cellStyle name="WebNoBR 2" xfId="3036" xr:uid="{00000000-0005-0000-0000-0000EE0B0000}"/>
    <cellStyle name="WebNoBR 3" xfId="3037" xr:uid="{00000000-0005-0000-0000-0000EF0B0000}"/>
    <cellStyle name="WebNoBR 4" xfId="3038" xr:uid="{00000000-0005-0000-0000-0000F00B0000}"/>
    <cellStyle name="ДАТА" xfId="3039" xr:uid="{00000000-0005-0000-0000-0000F10B0000}"/>
    <cellStyle name="ДЕНЕЖНЫЙ_BOPENGC" xfId="3040" xr:uid="{00000000-0005-0000-0000-0000F20B0000}"/>
    <cellStyle name="ЗАГОЛОВОК1" xfId="3041" xr:uid="{00000000-0005-0000-0000-0000F30B0000}"/>
    <cellStyle name="ЗАГОЛОВОК2" xfId="3042" xr:uid="{00000000-0005-0000-0000-0000F40B0000}"/>
    <cellStyle name="ИТОГОВЫЙ" xfId="3043" xr:uid="{00000000-0005-0000-0000-0000F50B0000}"/>
    <cellStyle name="Обычный_BOPENGC" xfId="3044" xr:uid="{00000000-0005-0000-0000-0000F60B0000}"/>
    <cellStyle name="ПРОЦЕНТНЫЙ_BOPENGC" xfId="3045" xr:uid="{00000000-0005-0000-0000-0000F70B0000}"/>
    <cellStyle name="ТЕКСТ" xfId="3046" xr:uid="{00000000-0005-0000-0000-0000F80B0000}"/>
    <cellStyle name="ФИКСИРОВАННЫЙ" xfId="3047" xr:uid="{00000000-0005-0000-0000-0000F90B0000}"/>
    <cellStyle name="ФИНАНСОВЫЙ_BOPENGC" xfId="3048" xr:uid="{00000000-0005-0000-0000-0000FA0B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'cambio koersen '!$A$7</c:f>
              <c:strCache>
                <c:ptCount val="1"/>
                <c:pt idx="0">
                  <c:v>cambio koers per maand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'!$D$7:$AA$7</c:f>
              <c:numCache>
                <c:formatCode>0.0</c:formatCode>
                <c:ptCount val="24"/>
                <c:pt idx="0">
                  <c:v>9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16.399999999999999</c:v>
                </c:pt>
                <c:pt idx="10">
                  <c:v>17.013999999999999</c:v>
                </c:pt>
                <c:pt idx="11">
                  <c:v>17.640280000000001</c:v>
                </c:pt>
                <c:pt idx="12">
                  <c:v>18.279085599999998</c:v>
                </c:pt>
                <c:pt idx="13">
                  <c:v>18.930667312000001</c:v>
                </c:pt>
                <c:pt idx="14">
                  <c:v>19.595280658240004</c:v>
                </c:pt>
                <c:pt idx="15">
                  <c:v>20.273186271404807</c:v>
                </c:pt>
                <c:pt idx="16">
                  <c:v>20.9646499968329</c:v>
                </c:pt>
                <c:pt idx="17">
                  <c:v>21.66994299676956</c:v>
                </c:pt>
                <c:pt idx="18">
                  <c:v>22.389341856704949</c:v>
                </c:pt>
                <c:pt idx="19">
                  <c:v>23.123128693839046</c:v>
                </c:pt>
                <c:pt idx="20">
                  <c:v>23.871591267715825</c:v>
                </c:pt>
                <c:pt idx="21">
                  <c:v>24.635023093070142</c:v>
                </c:pt>
                <c:pt idx="22">
                  <c:v>25.413723554931547</c:v>
                </c:pt>
                <c:pt idx="23">
                  <c:v>26.207998026030179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2-442C-B70D-6BFFA1A87CC5}"/>
            </c:ext>
          </c:extLst>
        </c:ser>
        <c:ser>
          <c:idx val="1"/>
          <c:order val="1"/>
          <c:tx>
            <c:strRef>
              <c:f>'cambio koersen '!$A$8</c:f>
              <c:strCache>
                <c:ptCount val="1"/>
                <c:pt idx="0">
                  <c:v>midden koers per maand weging 50/50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'!$D$8:$AA$8</c:f>
              <c:numCache>
                <c:formatCode>0.0</c:formatCode>
                <c:ptCount val="24"/>
                <c:pt idx="0">
                  <c:v>8.2750000000000004</c:v>
                </c:pt>
                <c:pt idx="1">
                  <c:v>8.7750000000000004</c:v>
                </c:pt>
                <c:pt idx="2">
                  <c:v>10.275</c:v>
                </c:pt>
                <c:pt idx="3">
                  <c:v>10.775</c:v>
                </c:pt>
                <c:pt idx="4">
                  <c:v>11.275</c:v>
                </c:pt>
                <c:pt idx="5">
                  <c:v>11.775</c:v>
                </c:pt>
                <c:pt idx="6">
                  <c:v>12.275</c:v>
                </c:pt>
                <c:pt idx="7">
                  <c:v>12.275</c:v>
                </c:pt>
                <c:pt idx="8">
                  <c:v>12.275</c:v>
                </c:pt>
                <c:pt idx="9">
                  <c:v>15.35</c:v>
                </c:pt>
                <c:pt idx="10">
                  <c:v>15.657</c:v>
                </c:pt>
                <c:pt idx="11">
                  <c:v>15.970140000000001</c:v>
                </c:pt>
                <c:pt idx="12">
                  <c:v>16.2895428</c:v>
                </c:pt>
                <c:pt idx="13">
                  <c:v>16.615333656000001</c:v>
                </c:pt>
                <c:pt idx="14">
                  <c:v>16.947640329120002</c:v>
                </c:pt>
                <c:pt idx="15">
                  <c:v>17.286593135702404</c:v>
                </c:pt>
                <c:pt idx="16">
                  <c:v>17.632324998416451</c:v>
                </c:pt>
                <c:pt idx="17">
                  <c:v>17.98497149838478</c:v>
                </c:pt>
                <c:pt idx="18">
                  <c:v>18.344670928352475</c:v>
                </c:pt>
                <c:pt idx="19">
                  <c:v>18.711564346919523</c:v>
                </c:pt>
                <c:pt idx="20">
                  <c:v>19.085795633857913</c:v>
                </c:pt>
                <c:pt idx="21">
                  <c:v>19.467511546535071</c:v>
                </c:pt>
                <c:pt idx="22">
                  <c:v>19.856861777465774</c:v>
                </c:pt>
                <c:pt idx="23">
                  <c:v>20.25399901301509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2-442C-B70D-6BFFA1A87CC5}"/>
            </c:ext>
          </c:extLst>
        </c:ser>
        <c:ser>
          <c:idx val="2"/>
          <c:order val="2"/>
          <c:tx>
            <c:strRef>
              <c:f>'cambio koersen '!$A$9</c:f>
              <c:strCache>
                <c:ptCount val="1"/>
                <c:pt idx="0">
                  <c:v>bank koers per maand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'!$D$9:$AA$9</c:f>
              <c:numCache>
                <c:formatCode>General</c:formatCode>
                <c:ptCount val="24"/>
                <c:pt idx="0">
                  <c:v>7.55</c:v>
                </c:pt>
                <c:pt idx="1">
                  <c:v>7.55</c:v>
                </c:pt>
                <c:pt idx="2">
                  <c:v>7.55</c:v>
                </c:pt>
                <c:pt idx="3">
                  <c:v>7.55</c:v>
                </c:pt>
                <c:pt idx="4">
                  <c:v>7.55</c:v>
                </c:pt>
                <c:pt idx="5">
                  <c:v>7.55</c:v>
                </c:pt>
                <c:pt idx="6">
                  <c:v>7.55</c:v>
                </c:pt>
                <c:pt idx="7">
                  <c:v>7.55</c:v>
                </c:pt>
                <c:pt idx="8">
                  <c:v>7.55</c:v>
                </c:pt>
                <c:pt idx="9" formatCode="0.0">
                  <c:v>14.3</c:v>
                </c:pt>
                <c:pt idx="10" formatCode="0.0">
                  <c:v>14.3</c:v>
                </c:pt>
                <c:pt idx="11" formatCode="0.0">
                  <c:v>14.3</c:v>
                </c:pt>
                <c:pt idx="12" formatCode="0.0">
                  <c:v>14.3</c:v>
                </c:pt>
                <c:pt idx="13" formatCode="0.0">
                  <c:v>14.3</c:v>
                </c:pt>
                <c:pt idx="14" formatCode="0.0">
                  <c:v>14.3</c:v>
                </c:pt>
                <c:pt idx="15" formatCode="0.0">
                  <c:v>14.3</c:v>
                </c:pt>
                <c:pt idx="16" formatCode="0.0">
                  <c:v>14.3</c:v>
                </c:pt>
                <c:pt idx="17" formatCode="0.0">
                  <c:v>14.3</c:v>
                </c:pt>
                <c:pt idx="18" formatCode="0.0">
                  <c:v>14.3</c:v>
                </c:pt>
                <c:pt idx="19" formatCode="0.0">
                  <c:v>14.3</c:v>
                </c:pt>
                <c:pt idx="20" formatCode="0.0">
                  <c:v>14.3</c:v>
                </c:pt>
                <c:pt idx="21" formatCode="0.0">
                  <c:v>14.3</c:v>
                </c:pt>
                <c:pt idx="22" formatCode="0.0">
                  <c:v>14.3</c:v>
                </c:pt>
                <c:pt idx="23" formatCode="0.0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2-442C-B70D-6BFFA1A8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028184"/>
        <c:axId val="1"/>
      </c:lineChart>
      <c:catAx>
        <c:axId val="32702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7028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nominale lonen bedrijven en openbaar bestuur, 1990=100</a:t>
            </a:r>
          </a:p>
        </c:rich>
      </c:tx>
      <c:layout>
        <c:manualLayout>
          <c:xMode val="edge"/>
          <c:yMode val="edge"/>
          <c:x val="0.16740657000512663"/>
          <c:y val="3.3544086692133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4482933889497"/>
          <c:y val="0.17402619473695571"/>
          <c:w val="0.75256035402919863"/>
          <c:h val="0.60000076095875732"/>
        </c:manualLayout>
      </c:layout>
      <c:lineChart>
        <c:grouping val="standard"/>
        <c:varyColors val="0"/>
        <c:ser>
          <c:idx val="0"/>
          <c:order val="0"/>
          <c:tx>
            <c:strRef>
              <c:f>SOURCE!$A$185</c:f>
              <c:strCache>
                <c:ptCount val="1"/>
                <c:pt idx="0">
                  <c:v>grote bedrijven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SOURCE!$AP$185:$BQ$185</c:f>
              <c:numCache>
                <c:formatCode>0.0</c:formatCode>
                <c:ptCount val="28"/>
                <c:pt idx="0">
                  <c:v>100</c:v>
                </c:pt>
                <c:pt idx="11" formatCode="0">
                  <c:v>81298.077638900606</c:v>
                </c:pt>
                <c:pt idx="12" formatCode="0">
                  <c:v>86949.747356019958</c:v>
                </c:pt>
                <c:pt idx="13" formatCode="0">
                  <c:v>101839.13766757728</c:v>
                </c:pt>
                <c:pt idx="14" formatCode="0">
                  <c:v>123149.83209544206</c:v>
                </c:pt>
                <c:pt idx="15" formatCode="0">
                  <c:v>136007.37882309928</c:v>
                </c:pt>
                <c:pt idx="16" formatCode="0">
                  <c:v>163628.76452933476</c:v>
                </c:pt>
                <c:pt idx="17" formatCode="0">
                  <c:v>176629.94068386036</c:v>
                </c:pt>
                <c:pt idx="18" formatCode="0">
                  <c:v>190008.20339357803</c:v>
                </c:pt>
                <c:pt idx="19" formatCode="0">
                  <c:v>212073.59370511724</c:v>
                </c:pt>
                <c:pt idx="20" formatCode="0">
                  <c:v>219089.5443322057</c:v>
                </c:pt>
                <c:pt idx="21" formatCode="0">
                  <c:v>259456.73609628589</c:v>
                </c:pt>
                <c:pt idx="22" formatCode="0">
                  <c:v>283923.62102771626</c:v>
                </c:pt>
                <c:pt idx="23" formatCode="0">
                  <c:v>289616.73770482978</c:v>
                </c:pt>
                <c:pt idx="24" formatCode="0">
                  <c:v>290904.44379466359</c:v>
                </c:pt>
                <c:pt idx="25" formatCode="0">
                  <c:v>299649.86388863606</c:v>
                </c:pt>
                <c:pt idx="26" formatCode="0">
                  <c:v>379535.3833948322</c:v>
                </c:pt>
                <c:pt idx="27" formatCode="0">
                  <c:v>451316.41727410856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F-4F4F-BFFE-7E48D0234206}"/>
            </c:ext>
          </c:extLst>
        </c:ser>
        <c:ser>
          <c:idx val="1"/>
          <c:order val="1"/>
          <c:tx>
            <c:strRef>
              <c:f>SOURCE!$A$186</c:f>
              <c:strCache>
                <c:ptCount val="1"/>
                <c:pt idx="0">
                  <c:v>openbaar bestuur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SOURCE!$AP$186:$BQ$186</c:f>
              <c:numCache>
                <c:formatCode>0.0</c:formatCode>
                <c:ptCount val="28"/>
                <c:pt idx="0">
                  <c:v>100</c:v>
                </c:pt>
                <c:pt idx="11" formatCode="0">
                  <c:v>48972.45</c:v>
                </c:pt>
                <c:pt idx="12" formatCode="0">
                  <c:v>85037.992211302189</c:v>
                </c:pt>
                <c:pt idx="13" formatCode="0">
                  <c:v>94848.525601965579</c:v>
                </c:pt>
                <c:pt idx="14" formatCode="0">
                  <c:v>102164.31174447172</c:v>
                </c:pt>
                <c:pt idx="15" formatCode="0">
                  <c:v>111068.39356265352</c:v>
                </c:pt>
                <c:pt idx="16" formatCode="0">
                  <c:v>129173.35992628988</c:v>
                </c:pt>
                <c:pt idx="17" formatCode="0">
                  <c:v>142569.59113022106</c:v>
                </c:pt>
                <c:pt idx="18" formatCode="0">
                  <c:v>156310.75523341517</c:v>
                </c:pt>
                <c:pt idx="19" formatCode="0">
                  <c:v>196459.3403685503</c:v>
                </c:pt>
                <c:pt idx="20" formatCode="0">
                  <c:v>218839.87034398029</c:v>
                </c:pt>
                <c:pt idx="21" formatCode="0">
                  <c:v>241244.46540540535</c:v>
                </c:pt>
                <c:pt idx="22" formatCode="0">
                  <c:v>257737.07100737095</c:v>
                </c:pt>
                <c:pt idx="23" formatCode="0">
                  <c:v>300781.48815724807</c:v>
                </c:pt>
                <c:pt idx="24" formatCode="0">
                  <c:v>285403.89820638811</c:v>
                </c:pt>
                <c:pt idx="25" formatCode="0">
                  <c:v>283287.1820268599</c:v>
                </c:pt>
                <c:pt idx="26" formatCode="0">
                  <c:v>293165.19086465822</c:v>
                </c:pt>
                <c:pt idx="27" formatCode="0">
                  <c:v>349258.16962215601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F-4F4F-BFFE-7E48D0234206}"/>
            </c:ext>
          </c:extLst>
        </c:ser>
        <c:ser>
          <c:idx val="2"/>
          <c:order val="2"/>
          <c:tx>
            <c:strRef>
              <c:f>SOURCE!$A$187</c:f>
              <c:strCache>
                <c:ptCount val="1"/>
                <c:pt idx="0">
                  <c:v>CPI</c:v>
                </c:pt>
              </c:strCache>
            </c:strRef>
          </c:tx>
          <c:spPr>
            <a:ln w="25400">
              <a:solidFill>
                <a:srgbClr val="1FB714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1FB714"/>
              </a:solidFill>
              <a:ln>
                <a:solidFill>
                  <a:srgbClr val="1FB714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SOURCE!$AP$187:$BQ$187</c:f>
              <c:numCache>
                <c:formatCode>0</c:formatCode>
                <c:ptCount val="28"/>
                <c:pt idx="0" formatCode="0.0">
                  <c:v>100</c:v>
                </c:pt>
                <c:pt idx="1">
                  <c:v>125.9687538442613</c:v>
                </c:pt>
                <c:pt idx="2">
                  <c:v>180.96936892606718</c:v>
                </c:pt>
                <c:pt idx="3">
                  <c:v>440.69381227703303</c:v>
                </c:pt>
                <c:pt idx="4">
                  <c:v>2064.5589863451846</c:v>
                </c:pt>
                <c:pt idx="5">
                  <c:v>6927.7893959896692</c:v>
                </c:pt>
                <c:pt idx="6">
                  <c:v>6879.2948702177418</c:v>
                </c:pt>
                <c:pt idx="7">
                  <c:v>7367.7248060032016</c:v>
                </c:pt>
                <c:pt idx="8">
                  <c:v>8767.5925191438091</c:v>
                </c:pt>
                <c:pt idx="9">
                  <c:v>17351.0655953856</c:v>
                </c:pt>
                <c:pt idx="10">
                  <c:v>27640.24749344926</c:v>
                </c:pt>
                <c:pt idx="11">
                  <c:v>38309.383025920681</c:v>
                </c:pt>
                <c:pt idx="12">
                  <c:v>44247.337394938389</c:v>
                </c:pt>
                <c:pt idx="13">
                  <c:v>54291.482983589398</c:v>
                </c:pt>
                <c:pt idx="14">
                  <c:v>59720.631281948343</c:v>
                </c:pt>
                <c:pt idx="15">
                  <c:v>65394.091253733437</c:v>
                </c:pt>
                <c:pt idx="16">
                  <c:v>72718.229474151594</c:v>
                </c:pt>
                <c:pt idx="17">
                  <c:v>77391.306034684385</c:v>
                </c:pt>
                <c:pt idx="18">
                  <c:v>88770.032534904225</c:v>
                </c:pt>
                <c:pt idx="19">
                  <c:v>88597.760045295421</c:v>
                </c:pt>
                <c:pt idx="20">
                  <c:v>94750.686028857468</c:v>
                </c:pt>
                <c:pt idx="21">
                  <c:v>111525.42855039328</c:v>
                </c:pt>
                <c:pt idx="22">
                  <c:v>117117.00939090521</c:v>
                </c:pt>
                <c:pt idx="23">
                  <c:v>119378.42839576415</c:v>
                </c:pt>
                <c:pt idx="24">
                  <c:v>123401.15891440102</c:v>
                </c:pt>
                <c:pt idx="25">
                  <c:v>131915.83887949469</c:v>
                </c:pt>
                <c:pt idx="26">
                  <c:v>205129.12945761427</c:v>
                </c:pt>
                <c:pt idx="27">
                  <c:v>250257.5379382894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F-4F4F-BFFE-7E48D0234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42888"/>
        <c:axId val="486343280"/>
      </c:lineChart>
      <c:catAx>
        <c:axId val="48634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86343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486343280"/>
        <c:scaling>
          <c:logBase val="10"/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86342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74791318864775"/>
          <c:y val="0.92326732673267331"/>
          <c:w val="0.4924874791318864"/>
          <c:h val="5.44554455445545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Model!$A$136</c:f>
              <c:strCache>
                <c:ptCount val="1"/>
                <c:pt idx="0">
                  <c:v>Capital and financial account (net)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Model!$BF$136:$BQ$136</c:f>
              <c:numCache>
                <c:formatCode>#,##0</c:formatCode>
                <c:ptCount val="12"/>
                <c:pt idx="0">
                  <c:v>-652.81546500000002</c:v>
                </c:pt>
                <c:pt idx="1">
                  <c:v>-990.27849749999996</c:v>
                </c:pt>
                <c:pt idx="2">
                  <c:v>-45.050347500000044</c:v>
                </c:pt>
                <c:pt idx="3">
                  <c:v>-145.92996000000002</c:v>
                </c:pt>
                <c:pt idx="4">
                  <c:v>-1237.3644525</c:v>
                </c:pt>
                <c:pt idx="5">
                  <c:v>-137.91486750000004</c:v>
                </c:pt>
                <c:pt idx="6">
                  <c:v>1370.0280525000001</c:v>
                </c:pt>
                <c:pt idx="7">
                  <c:v>1186.23369</c:v>
                </c:pt>
                <c:pt idx="8">
                  <c:v>1905.3809550000001</c:v>
                </c:pt>
                <c:pt idx="9">
                  <c:v>2041.0847625000004</c:v>
                </c:pt>
                <c:pt idx="10">
                  <c:v>2807.9999999999995</c:v>
                </c:pt>
                <c:pt idx="11">
                  <c:v>1998.1606666666664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D-4873-A753-457315B63A2F}"/>
            </c:ext>
          </c:extLst>
        </c:ser>
        <c:ser>
          <c:idx val="1"/>
          <c:order val="1"/>
          <c:tx>
            <c:strRef>
              <c:f>Model!$A$124</c:f>
              <c:strCache>
                <c:ptCount val="1"/>
                <c:pt idx="0">
                  <c:v>Current account balance (including official transfers)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Model!$BF$124:$BQ$124</c:f>
              <c:numCache>
                <c:formatCode>#,##0</c:formatCode>
                <c:ptCount val="12"/>
                <c:pt idx="0">
                  <c:v>609.69979499999965</c:v>
                </c:pt>
                <c:pt idx="1">
                  <c:v>896.8612125000011</c:v>
                </c:pt>
                <c:pt idx="2">
                  <c:v>897.41397749999987</c:v>
                </c:pt>
                <c:pt idx="3">
                  <c:v>307.61372249999999</c:v>
                </c:pt>
                <c:pt idx="4">
                  <c:v>1798.4209274999998</c:v>
                </c:pt>
                <c:pt idx="5">
                  <c:v>1192.0377225000011</c:v>
                </c:pt>
                <c:pt idx="6">
                  <c:v>448.84518000000025</c:v>
                </c:pt>
                <c:pt idx="7">
                  <c:v>-541.43331750000027</c:v>
                </c:pt>
                <c:pt idx="8">
                  <c:v>-1148.3692875000002</c:v>
                </c:pt>
                <c:pt idx="9">
                  <c:v>-2233.7233649999994</c:v>
                </c:pt>
                <c:pt idx="10">
                  <c:v>-1549.6000000000013</c:v>
                </c:pt>
                <c:pt idx="11">
                  <c:v>-12.767000000001531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D-4873-A753-457315B63A2F}"/>
            </c:ext>
          </c:extLst>
        </c:ser>
        <c:ser>
          <c:idx val="2"/>
          <c:order val="2"/>
          <c:tx>
            <c:strRef>
              <c:f>Model!$A$148</c:f>
              <c:strCache>
                <c:ptCount val="1"/>
                <c:pt idx="0">
                  <c:v>Overall balance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Model!$BF$148:$BQ$148</c:f>
              <c:numCache>
                <c:formatCode>#,##0</c:formatCode>
                <c:ptCount val="12"/>
                <c:pt idx="0">
                  <c:v>176.60841749999963</c:v>
                </c:pt>
                <c:pt idx="1">
                  <c:v>403.51845000000122</c:v>
                </c:pt>
                <c:pt idx="2">
                  <c:v>575.98112999999989</c:v>
                </c:pt>
                <c:pt idx="3">
                  <c:v>109.44746999999998</c:v>
                </c:pt>
                <c:pt idx="4">
                  <c:v>96.457492499999717</c:v>
                </c:pt>
                <c:pt idx="5">
                  <c:v>352.94045250000113</c:v>
                </c:pt>
                <c:pt idx="6">
                  <c:v>540.88055250000025</c:v>
                </c:pt>
                <c:pt idx="7">
                  <c:v>-408.76971750000018</c:v>
                </c:pt>
                <c:pt idx="8">
                  <c:v>-411.80992500000002</c:v>
                </c:pt>
                <c:pt idx="9">
                  <c:v>-734.34830249999914</c:v>
                </c:pt>
                <c:pt idx="10">
                  <c:v>494.64999999999827</c:v>
                </c:pt>
                <c:pt idx="11">
                  <c:v>247.0789999999987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D-4873-A753-457315B6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44064"/>
        <c:axId val="485823160"/>
      </c:lineChart>
      <c:catAx>
        <c:axId val="4863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3160"/>
        <c:crosses val="autoZero"/>
        <c:auto val="1"/>
        <c:lblAlgn val="ctr"/>
        <c:lblOffset val="100"/>
        <c:noMultiLvlLbl val="0"/>
      </c:catAx>
      <c:valAx>
        <c:axId val="485823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4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10350584307179"/>
          <c:y val="0.77643631404080526"/>
          <c:w val="0.47913188647746235"/>
          <c:h val="0.196374939537391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Model!$A$323</c:f>
              <c:strCache>
                <c:ptCount val="1"/>
                <c:pt idx="0">
                  <c:v>Capital and financial account (net) in % 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Model!$F$323:$CG$323</c:f>
              <c:numCache>
                <c:formatCode>#,##0</c:formatCode>
                <c:ptCount val="80"/>
                <c:pt idx="0">
                  <c:v>1.9173680487143716</c:v>
                </c:pt>
                <c:pt idx="1">
                  <c:v>1.7843730633434689</c:v>
                </c:pt>
                <c:pt idx="2">
                  <c:v>5.1207561133332682</c:v>
                </c:pt>
                <c:pt idx="3">
                  <c:v>7.510504301856546</c:v>
                </c:pt>
                <c:pt idx="4">
                  <c:v>7.4753827911532715</c:v>
                </c:pt>
                <c:pt idx="5">
                  <c:v>16.296020462473233</c:v>
                </c:pt>
                <c:pt idx="6">
                  <c:v>13.639626382779674</c:v>
                </c:pt>
                <c:pt idx="7">
                  <c:v>16.259526470244715</c:v>
                </c:pt>
                <c:pt idx="8">
                  <c:v>18.291799478412056</c:v>
                </c:pt>
                <c:pt idx="9">
                  <c:v>19.5078031212485</c:v>
                </c:pt>
                <c:pt idx="10">
                  <c:v>28.490205538171935</c:v>
                </c:pt>
                <c:pt idx="11">
                  <c:v>24.747763182943082</c:v>
                </c:pt>
                <c:pt idx="12">
                  <c:v>6.8594367721982685</c:v>
                </c:pt>
                <c:pt idx="13">
                  <c:v>4.5160922965261259</c:v>
                </c:pt>
                <c:pt idx="14">
                  <c:v>7.3072707343807091</c:v>
                </c:pt>
                <c:pt idx="15">
                  <c:v>5.3269865329057025</c:v>
                </c:pt>
                <c:pt idx="16">
                  <c:v>6.126814128971902</c:v>
                </c:pt>
                <c:pt idx="17">
                  <c:v>2.0799016748834798</c:v>
                </c:pt>
                <c:pt idx="18">
                  <c:v>5.2521008403361344</c:v>
                </c:pt>
                <c:pt idx="19">
                  <c:v>9.0716702827635558</c:v>
                </c:pt>
                <c:pt idx="20">
                  <c:v>6.2102888372741445</c:v>
                </c:pt>
                <c:pt idx="21">
                  <c:v>14.757782812373069</c:v>
                </c:pt>
                <c:pt idx="22">
                  <c:v>8.5695998199736589</c:v>
                </c:pt>
                <c:pt idx="23">
                  <c:v>7.3946960921343052</c:v>
                </c:pt>
                <c:pt idx="24">
                  <c:v>7.2893874557478808</c:v>
                </c:pt>
                <c:pt idx="25">
                  <c:v>6.0514939161941737</c:v>
                </c:pt>
                <c:pt idx="26">
                  <c:v>8.4826383383542101</c:v>
                </c:pt>
                <c:pt idx="27">
                  <c:v>11.376203880681826</c:v>
                </c:pt>
                <c:pt idx="28">
                  <c:v>9.505441520870642</c:v>
                </c:pt>
                <c:pt idx="29">
                  <c:v>3.1340210833477871</c:v>
                </c:pt>
                <c:pt idx="30">
                  <c:v>0.25464731796807627</c:v>
                </c:pt>
                <c:pt idx="31">
                  <c:v>1.9155428127225038</c:v>
                </c:pt>
                <c:pt idx="32">
                  <c:v>-2.7162379383999236</c:v>
                </c:pt>
                <c:pt idx="33">
                  <c:v>-4.7976334044708846</c:v>
                </c:pt>
                <c:pt idx="34">
                  <c:v>-5.0051029267640121</c:v>
                </c:pt>
                <c:pt idx="35">
                  <c:v>-8.2082224707059392</c:v>
                </c:pt>
                <c:pt idx="36">
                  <c:v>0.39907312049433574</c:v>
                </c:pt>
                <c:pt idx="37">
                  <c:v>2.073197946886856</c:v>
                </c:pt>
                <c:pt idx="38">
                  <c:v>0.64096226725984506</c:v>
                </c:pt>
                <c:pt idx="39">
                  <c:v>-11.093428453834546</c:v>
                </c:pt>
                <c:pt idx="40">
                  <c:v>-1.7744281206862551</c:v>
                </c:pt>
                <c:pt idx="41">
                  <c:v>2.3100728532499355</c:v>
                </c:pt>
                <c:pt idx="42">
                  <c:v>8.0307793854544833</c:v>
                </c:pt>
                <c:pt idx="43">
                  <c:v>4.4781403733177889</c:v>
                </c:pt>
                <c:pt idx="44">
                  <c:v>2.9600756177701757</c:v>
                </c:pt>
                <c:pt idx="45">
                  <c:v>2.1547985463323753</c:v>
                </c:pt>
                <c:pt idx="46">
                  <c:v>-7.6126216797622899</c:v>
                </c:pt>
                <c:pt idx="47">
                  <c:v>12.553096145714948</c:v>
                </c:pt>
                <c:pt idx="48">
                  <c:v>-3.4243793532822289</c:v>
                </c:pt>
                <c:pt idx="49">
                  <c:v>-1.8100993039280737</c:v>
                </c:pt>
                <c:pt idx="50">
                  <c:v>-0.89351201478743081</c:v>
                </c:pt>
                <c:pt idx="51">
                  <c:v>-0.66237802410225199</c:v>
                </c:pt>
                <c:pt idx="52">
                  <c:v>-9.0589548728196156</c:v>
                </c:pt>
                <c:pt idx="53">
                  <c:v>-12.285571583648656</c:v>
                </c:pt>
                <c:pt idx="54">
                  <c:v>-0.46452756209979318</c:v>
                </c:pt>
                <c:pt idx="55">
                  <c:v>-1.3717284554068283</c:v>
                </c:pt>
                <c:pt idx="56">
                  <c:v>-10.321089463411379</c:v>
                </c:pt>
                <c:pt idx="57">
                  <c:v>-0.95429606628840324</c:v>
                </c:pt>
                <c:pt idx="58">
                  <c:v>8.3365465041986138</c:v>
                </c:pt>
                <c:pt idx="59">
                  <c:v>6.9856527295212301</c:v>
                </c:pt>
                <c:pt idx="60">
                  <c:v>11.017583873019545</c:v>
                </c:pt>
                <c:pt idx="61">
                  <c:v>12.478356437610811</c:v>
                </c:pt>
                <c:pt idx="62">
                  <c:v>14.408127661757913</c:v>
                </c:pt>
                <c:pt idx="63">
                  <c:v>8.3131996449769776</c:v>
                </c:pt>
                <c:pt idx="64">
                  <c:v>8.7275168565449892</c:v>
                </c:pt>
                <c:pt idx="65">
                  <c:v>23.126069926011894</c:v>
                </c:pt>
                <c:pt idx="66">
                  <c:v>-12.287233711708909</c:v>
                </c:pt>
                <c:pt idx="67">
                  <c:v>-6.3370746139130798</c:v>
                </c:pt>
                <c:pt idx="68">
                  <c:v>-5.4616012097994391</c:v>
                </c:pt>
                <c:pt idx="69">
                  <c:v>-4.8941179903921226</c:v>
                </c:pt>
                <c:pt idx="70">
                  <c:v>-4.5030146625635998</c:v>
                </c:pt>
                <c:pt idx="71">
                  <c:v>-4.0608595220050736</c:v>
                </c:pt>
                <c:pt idx="72">
                  <c:v>-3.6259498664081797</c:v>
                </c:pt>
                <c:pt idx="73">
                  <c:v>-3.2065673168616216</c:v>
                </c:pt>
                <c:pt idx="74">
                  <c:v>-2.8025145697750817</c:v>
                </c:pt>
                <c:pt idx="75">
                  <c:v>-2.4143960263413695</c:v>
                </c:pt>
                <c:pt idx="76">
                  <c:v>-2.0434283464503231</c:v>
                </c:pt>
                <c:pt idx="77">
                  <c:v>-1.6918376750005539</c:v>
                </c:pt>
                <c:pt idx="78">
                  <c:v>-1.3631328732674539</c:v>
                </c:pt>
                <c:pt idx="79">
                  <c:v>-1.0621438817328221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6-450D-8917-6092E09EA736}"/>
            </c:ext>
          </c:extLst>
        </c:ser>
        <c:ser>
          <c:idx val="1"/>
          <c:order val="1"/>
          <c:tx>
            <c:strRef>
              <c:f>Model!$A$318</c:f>
              <c:strCache>
                <c:ptCount val="1"/>
                <c:pt idx="0">
                  <c:v>Current account balance (including official transfers) in % GDP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Model!$F$318:$CG$318</c:f>
              <c:numCache>
                <c:formatCode>#,##0</c:formatCode>
                <c:ptCount val="80"/>
                <c:pt idx="0">
                  <c:v>-0.39669683766504377</c:v>
                </c:pt>
                <c:pt idx="1">
                  <c:v>-0.73836126759039378</c:v>
                </c:pt>
                <c:pt idx="2">
                  <c:v>-5.9071202071421958</c:v>
                </c:pt>
                <c:pt idx="3">
                  <c:v>-6.9956014073696462</c:v>
                </c:pt>
                <c:pt idx="4">
                  <c:v>-7.7298977125881478</c:v>
                </c:pt>
                <c:pt idx="5">
                  <c:v>-13.895773711634678</c:v>
                </c:pt>
                <c:pt idx="6">
                  <c:v>-18.395510714962537</c:v>
                </c:pt>
                <c:pt idx="7">
                  <c:v>-18.742273742388022</c:v>
                </c:pt>
                <c:pt idx="8">
                  <c:v>-18.819481570525156</c:v>
                </c:pt>
                <c:pt idx="9">
                  <c:v>-18.284492909200704</c:v>
                </c:pt>
                <c:pt idx="10">
                  <c:v>-30.060320546107093</c:v>
                </c:pt>
                <c:pt idx="11">
                  <c:v>-26.890483589428605</c:v>
                </c:pt>
                <c:pt idx="12">
                  <c:v>-7.9307002108772107</c:v>
                </c:pt>
                <c:pt idx="13">
                  <c:v>-7.0378623581797601</c:v>
                </c:pt>
                <c:pt idx="14">
                  <c:v>-8.2641767493568121</c:v>
                </c:pt>
                <c:pt idx="15">
                  <c:v>-7.3267890814797951</c:v>
                </c:pt>
                <c:pt idx="16">
                  <c:v>-6.5624136884673403</c:v>
                </c:pt>
                <c:pt idx="17">
                  <c:v>-4.7118825733290546</c:v>
                </c:pt>
                <c:pt idx="18">
                  <c:v>-4.1343461488552347</c:v>
                </c:pt>
                <c:pt idx="19">
                  <c:v>-6.8192241749573625</c:v>
                </c:pt>
                <c:pt idx="20">
                  <c:v>-5.226478637254341</c:v>
                </c:pt>
                <c:pt idx="21">
                  <c:v>-7.8527617875676317</c:v>
                </c:pt>
                <c:pt idx="22">
                  <c:v>-6.9487732893443042</c:v>
                </c:pt>
                <c:pt idx="23">
                  <c:v>-13.747975170974245</c:v>
                </c:pt>
                <c:pt idx="24">
                  <c:v>-6.5124621840024348</c:v>
                </c:pt>
                <c:pt idx="25">
                  <c:v>-3.5814973694604708</c:v>
                </c:pt>
                <c:pt idx="26">
                  <c:v>-6.5641376862697953</c:v>
                </c:pt>
                <c:pt idx="27">
                  <c:v>-9.9677662161559528</c:v>
                </c:pt>
                <c:pt idx="28">
                  <c:v>-13.018319863187443</c:v>
                </c:pt>
                <c:pt idx="29">
                  <c:v>-12.930808813374083</c:v>
                </c:pt>
                <c:pt idx="30">
                  <c:v>-6.2636182801745877</c:v>
                </c:pt>
                <c:pt idx="31">
                  <c:v>-2.0166616705945164</c:v>
                </c:pt>
                <c:pt idx="32">
                  <c:v>-0.10270673768387759</c:v>
                </c:pt>
                <c:pt idx="33">
                  <c:v>7.5415896717858244</c:v>
                </c:pt>
                <c:pt idx="34">
                  <c:v>9.469163651786376</c:v>
                </c:pt>
                <c:pt idx="35">
                  <c:v>1.0556085073369768</c:v>
                </c:pt>
                <c:pt idx="36">
                  <c:v>-8.4963954685887202E-2</c:v>
                </c:pt>
                <c:pt idx="37">
                  <c:v>-3.7871010935058984</c:v>
                </c:pt>
                <c:pt idx="38">
                  <c:v>-0.73817762399077924</c:v>
                </c:pt>
                <c:pt idx="39">
                  <c:v>19.799012210179733</c:v>
                </c:pt>
                <c:pt idx="40">
                  <c:v>13.187980674423189</c:v>
                </c:pt>
                <c:pt idx="41">
                  <c:v>8.83146920175475</c:v>
                </c:pt>
                <c:pt idx="42">
                  <c:v>-9.0485371685976297</c:v>
                </c:pt>
                <c:pt idx="43">
                  <c:v>-7.2858226133324706</c:v>
                </c:pt>
                <c:pt idx="44">
                  <c:v>-13.789260476211911</c:v>
                </c:pt>
                <c:pt idx="45">
                  <c:v>-6.4972382939085094</c:v>
                </c:pt>
                <c:pt idx="46">
                  <c:v>-6.0095992811730792</c:v>
                </c:pt>
                <c:pt idx="47">
                  <c:v>-14.607783787469153</c:v>
                </c:pt>
                <c:pt idx="48">
                  <c:v>-14.611591890735049</c:v>
                </c:pt>
                <c:pt idx="49">
                  <c:v>-15.290213678597084</c:v>
                </c:pt>
                <c:pt idx="50">
                  <c:v>-11.481346832581444</c:v>
                </c:pt>
                <c:pt idx="51">
                  <c:v>-11.597685855803281</c:v>
                </c:pt>
                <c:pt idx="52">
                  <c:v>8.460649639898417</c:v>
                </c:pt>
                <c:pt idx="53">
                  <c:v>11.126620091805734</c:v>
                </c:pt>
                <c:pt idx="54">
                  <c:v>9.2535030315216371</c:v>
                </c:pt>
                <c:pt idx="55">
                  <c:v>2.8915412327041663</c:v>
                </c:pt>
                <c:pt idx="56">
                  <c:v>15.000966973066301</c:v>
                </c:pt>
                <c:pt idx="57">
                  <c:v>8.2482543765568845</c:v>
                </c:pt>
                <c:pt idx="58">
                  <c:v>2.7311986126323489</c:v>
                </c:pt>
                <c:pt idx="59">
                  <c:v>-3.1884654466756981</c:v>
                </c:pt>
                <c:pt idx="60">
                  <c:v>-6.6402757459234421</c:v>
                </c:pt>
                <c:pt idx="61">
                  <c:v>-13.656069970043403</c:v>
                </c:pt>
                <c:pt idx="62">
                  <c:v>-7.9511519318590045</c:v>
                </c:pt>
                <c:pt idx="63">
                  <c:v>-5.3116159094697663E-2</c:v>
                </c:pt>
                <c:pt idx="64">
                  <c:v>-3.4373169030458097</c:v>
                </c:pt>
                <c:pt idx="65">
                  <c:v>-12.214347889162921</c:v>
                </c:pt>
                <c:pt idx="66">
                  <c:v>10.156523091276634</c:v>
                </c:pt>
                <c:pt idx="67">
                  <c:v>11.576916057688182</c:v>
                </c:pt>
                <c:pt idx="68">
                  <c:v>8.8158788570263749</c:v>
                </c:pt>
                <c:pt idx="69">
                  <c:v>6.4891578220115678</c:v>
                </c:pt>
                <c:pt idx="70">
                  <c:v>4.6387214877219884</c:v>
                </c:pt>
                <c:pt idx="71">
                  <c:v>3.8113867205242262</c:v>
                </c:pt>
                <c:pt idx="72">
                  <c:v>2.7934866738057176</c:v>
                </c:pt>
                <c:pt idx="73">
                  <c:v>1.667008520342774</c:v>
                </c:pt>
                <c:pt idx="74">
                  <c:v>0.4575780265245033</c:v>
                </c:pt>
                <c:pt idx="75">
                  <c:v>-0.80142753620988882</c:v>
                </c:pt>
                <c:pt idx="76">
                  <c:v>-2.0625837019981015</c:v>
                </c:pt>
                <c:pt idx="77">
                  <c:v>-3.2608167901941076</c:v>
                </c:pt>
                <c:pt idx="78">
                  <c:v>-4.31225263744422</c:v>
                </c:pt>
                <c:pt idx="79">
                  <c:v>-5.1188514377588294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6-450D-8917-6092E09EA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20416"/>
        <c:axId val="485822376"/>
      </c:lineChart>
      <c:catAx>
        <c:axId val="48582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2376"/>
        <c:crosses val="autoZero"/>
        <c:auto val="1"/>
        <c:lblAlgn val="ctr"/>
        <c:lblOffset val="100"/>
        <c:noMultiLvlLbl val="0"/>
      </c:catAx>
      <c:valAx>
        <c:axId val="48582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0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518537960532711"/>
          <c:y val="0.91238797567222518"/>
          <c:w val="0.62129687955672208"/>
          <c:h val="6.64652567975830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SOURCE!$A$236</c:f>
              <c:strCache>
                <c:ptCount val="1"/>
                <c:pt idx="0">
                  <c:v>Financiële rekening, exclusief Groep 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SOURCE!$BF$236:$BQ$236</c:f>
              <c:numCache>
                <c:formatCode>0.0</c:formatCode>
                <c:ptCount val="12"/>
                <c:pt idx="0">
                  <c:v>-255.5</c:v>
                </c:pt>
                <c:pt idx="1">
                  <c:v>-366.3</c:v>
                </c:pt>
                <c:pt idx="2">
                  <c:v>-48.2</c:v>
                </c:pt>
                <c:pt idx="3">
                  <c:v>-141.19999999999999</c:v>
                </c:pt>
                <c:pt idx="4">
                  <c:v>-501.6</c:v>
                </c:pt>
                <c:pt idx="5">
                  <c:v>-84.9</c:v>
                </c:pt>
                <c:pt idx="6">
                  <c:v>487.2</c:v>
                </c:pt>
                <c:pt idx="7">
                  <c:v>429.2</c:v>
                </c:pt>
                <c:pt idx="8">
                  <c:v>688.7</c:v>
                </c:pt>
                <c:pt idx="9">
                  <c:v>737.1</c:v>
                </c:pt>
                <c:pt idx="10">
                  <c:v>334.4</c:v>
                </c:pt>
                <c:pt idx="11">
                  <c:v>259.39999999999998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5-4898-BE25-55700E43B29E}"/>
            </c:ext>
          </c:extLst>
        </c:ser>
        <c:ser>
          <c:idx val="1"/>
          <c:order val="1"/>
          <c:tx>
            <c:strRef>
              <c:f>SOURCE!$A$234</c:f>
              <c:strCache>
                <c:ptCount val="1"/>
                <c:pt idx="0">
                  <c:v>Totaal, Groep A plus Groep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SOURCE!$BF$234:$BQ$234</c:f>
              <c:numCache>
                <c:formatCode>0.0</c:formatCode>
                <c:ptCount val="12"/>
                <c:pt idx="0">
                  <c:v>239.9</c:v>
                </c:pt>
                <c:pt idx="1">
                  <c:v>332.6</c:v>
                </c:pt>
                <c:pt idx="2">
                  <c:v>356.6</c:v>
                </c:pt>
                <c:pt idx="3">
                  <c:v>198.7</c:v>
                </c:pt>
                <c:pt idx="4">
                  <c:v>704.7</c:v>
                </c:pt>
                <c:pt idx="5">
                  <c:v>466.3</c:v>
                </c:pt>
                <c:pt idx="6">
                  <c:v>155.4</c:v>
                </c:pt>
                <c:pt idx="7">
                  <c:v>-195.8</c:v>
                </c:pt>
                <c:pt idx="8">
                  <c:v>-415.9</c:v>
                </c:pt>
                <c:pt idx="9">
                  <c:v>-807</c:v>
                </c:pt>
                <c:pt idx="10">
                  <c:v>-137.4</c:v>
                </c:pt>
                <c:pt idx="11">
                  <c:v>-6.2333333333333645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5-4898-BE25-55700E43B29E}"/>
            </c:ext>
          </c:extLst>
        </c:ser>
        <c:ser>
          <c:idx val="2"/>
          <c:order val="2"/>
          <c:tx>
            <c:strRef>
              <c:f>SOURCE!$A$258</c:f>
              <c:strCache>
                <c:ptCount val="1"/>
                <c:pt idx="0">
                  <c:v>Statistische  verschillen</c:v>
                </c:pt>
              </c:strCache>
            </c:strRef>
          </c:tx>
          <c:marker>
            <c:symbol val="none"/>
          </c:marker>
          <c:val>
            <c:numRef>
              <c:f>SOURCE!$BF$258:$BQ$258</c:f>
              <c:numCache>
                <c:formatCode>0.0</c:formatCode>
                <c:ptCount val="12"/>
                <c:pt idx="0">
                  <c:v>79.5</c:v>
                </c:pt>
                <c:pt idx="1">
                  <c:v>179.8</c:v>
                </c:pt>
                <c:pt idx="2">
                  <c:v>-100</c:v>
                </c:pt>
                <c:pt idx="3">
                  <c:v>-18.899999999999999</c:v>
                </c:pt>
                <c:pt idx="4">
                  <c:v>-168.1</c:v>
                </c:pt>
                <c:pt idx="5">
                  <c:v>-253.7</c:v>
                </c:pt>
                <c:pt idx="6">
                  <c:v>-462.4</c:v>
                </c:pt>
                <c:pt idx="7">
                  <c:v>-381.2</c:v>
                </c:pt>
                <c:pt idx="8">
                  <c:v>-422.9</c:v>
                </c:pt>
                <c:pt idx="9">
                  <c:v>-196</c:v>
                </c:pt>
                <c:pt idx="10">
                  <c:v>-117.5</c:v>
                </c:pt>
                <c:pt idx="11">
                  <c:v>-231.46666666666661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5-4898-BE25-55700E43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822768"/>
        <c:axId val="485823944"/>
      </c:lineChart>
      <c:lineChart>
        <c:grouping val="standard"/>
        <c:varyColors val="0"/>
        <c:ser>
          <c:idx val="3"/>
          <c:order val="3"/>
          <c:tx>
            <c:strRef>
              <c:f>Model!$A$314</c:f>
              <c:strCache>
                <c:ptCount val="1"/>
                <c:pt idx="0">
                  <c:v>M2/GDP</c:v>
                </c:pt>
              </c:strCache>
            </c:strRef>
          </c:tx>
          <c:marker>
            <c:symbol val="none"/>
          </c:marker>
          <c:val>
            <c:numRef>
              <c:f>Model!$BF$314:$BQ$314</c:f>
              <c:numCache>
                <c:formatCode>#,##0</c:formatCode>
                <c:ptCount val="12"/>
                <c:pt idx="0">
                  <c:v>38.76191665625911</c:v>
                </c:pt>
                <c:pt idx="1">
                  <c:v>44.625023261584268</c:v>
                </c:pt>
                <c:pt idx="2">
                  <c:v>44.715975294129777</c:v>
                </c:pt>
                <c:pt idx="3">
                  <c:v>46.950669273574981</c:v>
                </c:pt>
                <c:pt idx="4">
                  <c:v>46.085897553529577</c:v>
                </c:pt>
                <c:pt idx="5">
                  <c:v>46.430251868253528</c:v>
                </c:pt>
                <c:pt idx="6">
                  <c:v>49.462090787391993</c:v>
                </c:pt>
                <c:pt idx="7">
                  <c:v>53.165891290265591</c:v>
                </c:pt>
                <c:pt idx="8">
                  <c:v>55.04914999421765</c:v>
                </c:pt>
                <c:pt idx="9">
                  <c:v>65.044323531209884</c:v>
                </c:pt>
                <c:pt idx="10">
                  <c:v>83.08840884601571</c:v>
                </c:pt>
                <c:pt idx="11">
                  <c:v>73.229738725245468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E5-4898-BE25-55700E43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821592"/>
        <c:axId val="485820808"/>
      </c:lineChart>
      <c:catAx>
        <c:axId val="48582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3944"/>
        <c:crosses val="autoZero"/>
        <c:auto val="1"/>
        <c:lblAlgn val="ctr"/>
        <c:lblOffset val="100"/>
        <c:noMultiLvlLbl val="0"/>
      </c:catAx>
      <c:valAx>
        <c:axId val="485823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2768"/>
        <c:crosses val="autoZero"/>
        <c:crossBetween val="between"/>
      </c:valAx>
      <c:catAx>
        <c:axId val="485821592"/>
        <c:scaling>
          <c:orientation val="minMax"/>
        </c:scaling>
        <c:delete val="1"/>
        <c:axPos val="b"/>
        <c:majorTickMark val="out"/>
        <c:minorTickMark val="none"/>
        <c:tickLblPos val="nextTo"/>
        <c:crossAx val="485820808"/>
        <c:crosses val="autoZero"/>
        <c:auto val="1"/>
        <c:lblAlgn val="ctr"/>
        <c:lblOffset val="100"/>
        <c:noMultiLvlLbl val="0"/>
      </c:catAx>
      <c:valAx>
        <c:axId val="4858208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15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55592654424039"/>
          <c:y val="0.84592145015105735"/>
          <c:w val="0.72120200333889817"/>
          <c:h val="0.132930513595166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24739.450215839497</c:v>
                </c:pt>
                <c:pt idx="66">
                  <c:v>20803.907698348743</c:v>
                </c:pt>
                <c:pt idx="67">
                  <c:v>22391.868300459882</c:v>
                </c:pt>
                <c:pt idx="68">
                  <c:v>22923.325922901724</c:v>
                </c:pt>
                <c:pt idx="69">
                  <c:v>23757.521161496297</c:v>
                </c:pt>
                <c:pt idx="70">
                  <c:v>24714.181515051027</c:v>
                </c:pt>
                <c:pt idx="71">
                  <c:v>25680.513246941144</c:v>
                </c:pt>
                <c:pt idx="72">
                  <c:v>26764.98663754377</c:v>
                </c:pt>
                <c:pt idx="73">
                  <c:v>27965.938335539231</c:v>
                </c:pt>
                <c:pt idx="74">
                  <c:v>29304.142844608283</c:v>
                </c:pt>
                <c:pt idx="75">
                  <c:v>30808.343478909803</c:v>
                </c:pt>
                <c:pt idx="76">
                  <c:v>32514.727370390701</c:v>
                </c:pt>
                <c:pt idx="77">
                  <c:v>34468.090312120039</c:v>
                </c:pt>
                <c:pt idx="78">
                  <c:v>36721.950145984323</c:v>
                </c:pt>
                <c:pt idx="79">
                  <c:v>39336.355814403505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F6-4342-AB2B-74E44C78AE42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15845.319983942863</c:v>
                </c:pt>
                <c:pt idx="67">
                  <c:v>17095.366742743034</c:v>
                </c:pt>
                <c:pt idx="68">
                  <c:v>17463.962210638721</c:v>
                </c:pt>
                <c:pt idx="69">
                  <c:v>17840.658537133822</c:v>
                </c:pt>
                <c:pt idx="70">
                  <c:v>18225.737339822779</c:v>
                </c:pt>
                <c:pt idx="71">
                  <c:v>18619.174415900929</c:v>
                </c:pt>
                <c:pt idx="72">
                  <c:v>19021.161189512812</c:v>
                </c:pt>
                <c:pt idx="73">
                  <c:v>19431.904118371789</c:v>
                </c:pt>
                <c:pt idx="74">
                  <c:v>19851.625871934295</c:v>
                </c:pt>
                <c:pt idx="75">
                  <c:v>20280.562013992705</c:v>
                </c:pt>
                <c:pt idx="76">
                  <c:v>20718.96494676263</c:v>
                </c:pt>
                <c:pt idx="77">
                  <c:v>21167.108265183899</c:v>
                </c:pt>
                <c:pt idx="78">
                  <c:v>21625.292730861314</c:v>
                </c:pt>
                <c:pt idx="79">
                  <c:v>22093.854429485902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F6-4342-AB2B-74E44C78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672488"/>
        <c:axId val="580666216"/>
      </c:lineChart>
      <c:catAx>
        <c:axId val="580672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580666216"/>
        <c:crosses val="autoZero"/>
        <c:auto val="1"/>
        <c:lblAlgn val="ctr"/>
        <c:lblOffset val="100"/>
        <c:noMultiLvlLbl val="0"/>
      </c:catAx>
      <c:valAx>
        <c:axId val="580666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580672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59381044487428"/>
          <c:y val="0.20238145231846019"/>
          <c:w val="0.19052224371373305"/>
          <c:h val="0.1142859642544682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24739.450215839497</c:v>
                </c:pt>
                <c:pt idx="66">
                  <c:v>20803.907698348743</c:v>
                </c:pt>
                <c:pt idx="67">
                  <c:v>22391.868300459882</c:v>
                </c:pt>
                <c:pt idx="68">
                  <c:v>22923.325922901724</c:v>
                </c:pt>
                <c:pt idx="69">
                  <c:v>23757.521161496297</c:v>
                </c:pt>
                <c:pt idx="70">
                  <c:v>24714.181515051027</c:v>
                </c:pt>
                <c:pt idx="71">
                  <c:v>25680.513246941144</c:v>
                </c:pt>
                <c:pt idx="72">
                  <c:v>26764.98663754377</c:v>
                </c:pt>
                <c:pt idx="73">
                  <c:v>27965.938335539231</c:v>
                </c:pt>
                <c:pt idx="74">
                  <c:v>29304.142844608283</c:v>
                </c:pt>
                <c:pt idx="75">
                  <c:v>30808.343478909803</c:v>
                </c:pt>
                <c:pt idx="76">
                  <c:v>32514.727370390701</c:v>
                </c:pt>
                <c:pt idx="77">
                  <c:v>34468.090312120039</c:v>
                </c:pt>
                <c:pt idx="78">
                  <c:v>36721.950145984323</c:v>
                </c:pt>
                <c:pt idx="79">
                  <c:v>39336.355814403505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A-4F64-9BF4-7EE74CF8F3F7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15845.319983942863</c:v>
                </c:pt>
                <c:pt idx="67">
                  <c:v>17095.366742743034</c:v>
                </c:pt>
                <c:pt idx="68">
                  <c:v>17463.962210638721</c:v>
                </c:pt>
                <c:pt idx="69">
                  <c:v>17840.658537133822</c:v>
                </c:pt>
                <c:pt idx="70">
                  <c:v>18225.737339822779</c:v>
                </c:pt>
                <c:pt idx="71">
                  <c:v>18619.174415900929</c:v>
                </c:pt>
                <c:pt idx="72">
                  <c:v>19021.161189512812</c:v>
                </c:pt>
                <c:pt idx="73">
                  <c:v>19431.904118371789</c:v>
                </c:pt>
                <c:pt idx="74">
                  <c:v>19851.625871934295</c:v>
                </c:pt>
                <c:pt idx="75">
                  <c:v>20280.562013992705</c:v>
                </c:pt>
                <c:pt idx="76">
                  <c:v>20718.96494676263</c:v>
                </c:pt>
                <c:pt idx="77">
                  <c:v>21167.108265183899</c:v>
                </c:pt>
                <c:pt idx="78">
                  <c:v>21625.292730861314</c:v>
                </c:pt>
                <c:pt idx="79">
                  <c:v>22093.854429485902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A-4F64-9BF4-7EE74CF8F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07888"/>
        <c:axId val="227673280"/>
      </c:lineChart>
      <c:catAx>
        <c:axId val="4896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3280"/>
        <c:crosses val="autoZero"/>
        <c:auto val="1"/>
        <c:lblAlgn val="ctr"/>
        <c:lblOffset val="100"/>
        <c:noMultiLvlLbl val="0"/>
      </c:catAx>
      <c:valAx>
        <c:axId val="227673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9607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59381044487428"/>
          <c:y val="0.20238145231846019"/>
          <c:w val="0.19052224371373305"/>
          <c:h val="0.1142859642544682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71966364985481E-2"/>
          <c:y val="5.9146077814653406E-2"/>
          <c:w val="0.82598380635357882"/>
          <c:h val="0.83754220805044"/>
        </c:manualLayout>
      </c:layout>
      <c:lineChart>
        <c:grouping val="standard"/>
        <c:varyColors val="0"/>
        <c:ser>
          <c:idx val="0"/>
          <c:order val="0"/>
          <c:tx>
            <c:strRef>
              <c:f>Model!$A$370</c:f>
              <c:strCache>
                <c:ptCount val="1"/>
                <c:pt idx="0">
                  <c:v>reeel loon per arbeidsplaats, SRD prijzen 2017, overheid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Model!$F$370:$CG$370</c:f>
              <c:numCache>
                <c:formatCode>#,##0</c:formatCode>
                <c:ptCount val="80"/>
                <c:pt idx="0">
                  <c:v>43168.656994679404</c:v>
                </c:pt>
                <c:pt idx="1">
                  <c:v>42798.630752932404</c:v>
                </c:pt>
                <c:pt idx="2">
                  <c:v>42237.570916384597</c:v>
                </c:pt>
                <c:pt idx="3">
                  <c:v>45537.692120811</c:v>
                </c:pt>
                <c:pt idx="4">
                  <c:v>47308.022649879204</c:v>
                </c:pt>
                <c:pt idx="5">
                  <c:v>48058.393421236375</c:v>
                </c:pt>
                <c:pt idx="6">
                  <c:v>48898.315630626319</c:v>
                </c:pt>
                <c:pt idx="7">
                  <c:v>60475.799293331336</c:v>
                </c:pt>
                <c:pt idx="8">
                  <c:v>55953.34550916811</c:v>
                </c:pt>
                <c:pt idx="9">
                  <c:v>52519.342031959022</c:v>
                </c:pt>
                <c:pt idx="10">
                  <c:v>54550.351418885264</c:v>
                </c:pt>
                <c:pt idx="11">
                  <c:v>54830.033515613453</c:v>
                </c:pt>
                <c:pt idx="12">
                  <c:v>61423.26136636005</c:v>
                </c:pt>
                <c:pt idx="13">
                  <c:v>54310.488415496795</c:v>
                </c:pt>
                <c:pt idx="14">
                  <c:v>55689.764452096242</c:v>
                </c:pt>
                <c:pt idx="15">
                  <c:v>57709.594265808475</c:v>
                </c:pt>
                <c:pt idx="16">
                  <c:v>57117.59742803673</c:v>
                </c:pt>
                <c:pt idx="17">
                  <c:v>58332.057197165443</c:v>
                </c:pt>
                <c:pt idx="18">
                  <c:v>66998.643030306048</c:v>
                </c:pt>
                <c:pt idx="19">
                  <c:v>57196.10820041284</c:v>
                </c:pt>
                <c:pt idx="20">
                  <c:v>50124.929645474142</c:v>
                </c:pt>
                <c:pt idx="21">
                  <c:v>56631.901396494723</c:v>
                </c:pt>
                <c:pt idx="22">
                  <c:v>55826.49923998498</c:v>
                </c:pt>
                <c:pt idx="23">
                  <c:v>60060.375039440267</c:v>
                </c:pt>
                <c:pt idx="24">
                  <c:v>59246.368865942801</c:v>
                </c:pt>
                <c:pt idx="25">
                  <c:v>53759.934341758213</c:v>
                </c:pt>
                <c:pt idx="26">
                  <c:v>54461.996011657437</c:v>
                </c:pt>
                <c:pt idx="27">
                  <c:v>60902.338169461917</c:v>
                </c:pt>
                <c:pt idx="28">
                  <c:v>71390.358941843806</c:v>
                </c:pt>
                <c:pt idx="29">
                  <c:v>70439.598390866464</c:v>
                </c:pt>
                <c:pt idx="30">
                  <c:v>67960.843933001219</c:v>
                </c:pt>
                <c:pt idx="31">
                  <c:v>61225.361382385709</c:v>
                </c:pt>
                <c:pt idx="32">
                  <c:v>54208.732805919979</c:v>
                </c:pt>
                <c:pt idx="33">
                  <c:v>37849.199124363855</c:v>
                </c:pt>
                <c:pt idx="34">
                  <c:v>36915.487022986621</c:v>
                </c:pt>
                <c:pt idx="35">
                  <c:v>38959.655961517659</c:v>
                </c:pt>
                <c:pt idx="36">
                  <c:v>30657.547325290219</c:v>
                </c:pt>
                <c:pt idx="37">
                  <c:v>31733.55186794898</c:v>
                </c:pt>
                <c:pt idx="38">
                  <c:v>27563.502815557593</c:v>
                </c:pt>
                <c:pt idx="39">
                  <c:v>14076.591525480802</c:v>
                </c:pt>
                <c:pt idx="40">
                  <c:v>10853.41043151892</c:v>
                </c:pt>
                <c:pt idx="41">
                  <c:v>12881.790004527858</c:v>
                </c:pt>
                <c:pt idx="42">
                  <c:v>25642.457539441875</c:v>
                </c:pt>
                <c:pt idx="43">
                  <c:v>29228.932565585579</c:v>
                </c:pt>
                <c:pt idx="44">
                  <c:v>56163.329680044219</c:v>
                </c:pt>
                <c:pt idx="45">
                  <c:v>38912.21612507799</c:v>
                </c:pt>
                <c:pt idx="46">
                  <c:v>38444.192982715154</c:v>
                </c:pt>
                <c:pt idx="47">
                  <c:v>40163.860479487586</c:v>
                </c:pt>
                <c:pt idx="48">
                  <c:v>60382.992429461039</c:v>
                </c:pt>
                <c:pt idx="49">
                  <c:v>54357.679909280145</c:v>
                </c:pt>
                <c:pt idx="50">
                  <c:v>53421.857817067583</c:v>
                </c:pt>
                <c:pt idx="51">
                  <c:v>53039.099846773664</c:v>
                </c:pt>
                <c:pt idx="52">
                  <c:v>55422.159791112346</c:v>
                </c:pt>
                <c:pt idx="53">
                  <c:v>57490.457690800598</c:v>
                </c:pt>
                <c:pt idx="54">
                  <c:v>54953.366837795715</c:v>
                </c:pt>
                <c:pt idx="55">
                  <c:v>69137.335386523497</c:v>
                </c:pt>
                <c:pt idx="56">
                  <c:v>72042.487445885519</c:v>
                </c:pt>
                <c:pt idx="57">
                  <c:v>67475.039345465862</c:v>
                </c:pt>
                <c:pt idx="58">
                  <c:v>68655.190662075387</c:v>
                </c:pt>
                <c:pt idx="59">
                  <c:v>78627.308314913593</c:v>
                </c:pt>
                <c:pt idx="60">
                  <c:v>72154.208442100004</c:v>
                </c:pt>
                <c:pt idx="61">
                  <c:v>66996.325689369609</c:v>
                </c:pt>
                <c:pt idx="62">
                  <c:v>44586.775995055628</c:v>
                </c:pt>
                <c:pt idx="63">
                  <c:v>43539.196538936958</c:v>
                </c:pt>
                <c:pt idx="64">
                  <c:v>49484.317703856439</c:v>
                </c:pt>
                <c:pt idx="65">
                  <c:v>48562.09713786166</c:v>
                </c:pt>
                <c:pt idx="66">
                  <c:v>41449.128438555214</c:v>
                </c:pt>
                <c:pt idx="67">
                  <c:v>34394.635211559522</c:v>
                </c:pt>
                <c:pt idx="68">
                  <c:v>34981.664550769019</c:v>
                </c:pt>
                <c:pt idx="69">
                  <c:v>38075.405366127212</c:v>
                </c:pt>
                <c:pt idx="70">
                  <c:v>39601.712955577546</c:v>
                </c:pt>
                <c:pt idx="71">
                  <c:v>42264.947444217483</c:v>
                </c:pt>
                <c:pt idx="72">
                  <c:v>45285.413252093829</c:v>
                </c:pt>
                <c:pt idx="73">
                  <c:v>48674.789876509829</c:v>
                </c:pt>
                <c:pt idx="74">
                  <c:v>52519.557615802092</c:v>
                </c:pt>
                <c:pt idx="75">
                  <c:v>56890.090807073284</c:v>
                </c:pt>
                <c:pt idx="76">
                  <c:v>61871.457049646437</c:v>
                </c:pt>
                <c:pt idx="77">
                  <c:v>67555.677048572034</c:v>
                </c:pt>
                <c:pt idx="78">
                  <c:v>74032.340223000254</c:v>
                </c:pt>
                <c:pt idx="79">
                  <c:v>81371.597086859154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5-448D-A01A-CA5C8355E761}"/>
            </c:ext>
          </c:extLst>
        </c:ser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97827.476796252915</c:v>
                </c:pt>
                <c:pt idx="67">
                  <c:v>81177.590574970993</c:v>
                </c:pt>
                <c:pt idx="68">
                  <c:v>82563.086512367328</c:v>
                </c:pt>
                <c:pt idx="69">
                  <c:v>89864.877146559593</c:v>
                </c:pt>
                <c:pt idx="70">
                  <c:v>93467.240475193714</c:v>
                </c:pt>
                <c:pt idx="71">
                  <c:v>99752.957930667559</c:v>
                </c:pt>
                <c:pt idx="72">
                  <c:v>106881.80622893576</c:v>
                </c:pt>
                <c:pt idx="73">
                  <c:v>114881.3511064682</c:v>
                </c:pt>
                <c:pt idx="74">
                  <c:v>123955.70178576345</c:v>
                </c:pt>
                <c:pt idx="75">
                  <c:v>134270.9544934321</c:v>
                </c:pt>
                <c:pt idx="76">
                  <c:v>146027.88422553436</c:v>
                </c:pt>
                <c:pt idx="77">
                  <c:v>159443.67657142307</c:v>
                </c:pt>
                <c:pt idx="78">
                  <c:v>174729.77884382004</c:v>
                </c:pt>
                <c:pt idx="79">
                  <c:v>192051.75900596625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5-448D-A01A-CA5C8355E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78376"/>
        <c:axId val="227680728"/>
      </c:lineChart>
      <c:catAx>
        <c:axId val="227678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0728"/>
        <c:crosses val="autoZero"/>
        <c:auto val="1"/>
        <c:lblAlgn val="ctr"/>
        <c:lblOffset val="100"/>
        <c:noMultiLvlLbl val="0"/>
      </c:catAx>
      <c:valAx>
        <c:axId val="227680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8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5009335632705"/>
          <c:y val="4.9586776859504134E-2"/>
          <c:w val="0.28522938028332195"/>
          <c:h val="0.31956009631027527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Model!$A$434</c:f>
              <c:strCache>
                <c:ptCount val="1"/>
                <c:pt idx="0">
                  <c:v>M1/BBP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Model!$F$434:$BS$434</c:f>
              <c:numCache>
                <c:formatCode>#,##0.00</c:formatCode>
                <c:ptCount val="66"/>
                <c:pt idx="0">
                  <c:v>0.35306019647739217</c:v>
                </c:pt>
                <c:pt idx="1">
                  <c:v>0.31811065631579216</c:v>
                </c:pt>
                <c:pt idx="2">
                  <c:v>0.29968061659755529</c:v>
                </c:pt>
                <c:pt idx="3">
                  <c:v>0.29464286534475664</c:v>
                </c:pt>
                <c:pt idx="4">
                  <c:v>0.30107749401432149</c:v>
                </c:pt>
                <c:pt idx="5">
                  <c:v>0.27252890814744829</c:v>
                </c:pt>
                <c:pt idx="6">
                  <c:v>0.27954901197533416</c:v>
                </c:pt>
                <c:pt idx="7">
                  <c:v>0.27477037885679678</c:v>
                </c:pt>
                <c:pt idx="8">
                  <c:v>0.2633294752458667</c:v>
                </c:pt>
                <c:pt idx="9">
                  <c:v>0.24743231134413396</c:v>
                </c:pt>
                <c:pt idx="10">
                  <c:v>0.26865765429575378</c:v>
                </c:pt>
                <c:pt idx="11">
                  <c:v>0.24638982247218275</c:v>
                </c:pt>
                <c:pt idx="12">
                  <c:v>0.2256335636659641</c:v>
                </c:pt>
                <c:pt idx="13">
                  <c:v>0.21437146523328682</c:v>
                </c:pt>
                <c:pt idx="14">
                  <c:v>0.20947509670849909</c:v>
                </c:pt>
                <c:pt idx="15">
                  <c:v>0.21809880268434592</c:v>
                </c:pt>
                <c:pt idx="16">
                  <c:v>0.22291826025232089</c:v>
                </c:pt>
                <c:pt idx="17">
                  <c:v>0.22167006470542774</c:v>
                </c:pt>
                <c:pt idx="18">
                  <c:v>0.22476298391395175</c:v>
                </c:pt>
                <c:pt idx="19">
                  <c:v>0.21249737197049404</c:v>
                </c:pt>
                <c:pt idx="20">
                  <c:v>0.20885427341668375</c:v>
                </c:pt>
                <c:pt idx="21">
                  <c:v>0.19126447605941899</c:v>
                </c:pt>
                <c:pt idx="22">
                  <c:v>0.20372540802800226</c:v>
                </c:pt>
                <c:pt idx="23">
                  <c:v>0.18411417642762776</c:v>
                </c:pt>
                <c:pt idx="24">
                  <c:v>0.17532233853462159</c:v>
                </c:pt>
                <c:pt idx="25">
                  <c:v>0.18111525760463934</c:v>
                </c:pt>
                <c:pt idx="26">
                  <c:v>0.19385867554568997</c:v>
                </c:pt>
                <c:pt idx="27">
                  <c:v>0.25503114631679447</c:v>
                </c:pt>
                <c:pt idx="28">
                  <c:v>0.36791109886577578</c:v>
                </c:pt>
                <c:pt idx="29">
                  <c:v>0.40257189463221627</c:v>
                </c:pt>
                <c:pt idx="30">
                  <c:v>0.4927425515660811</c:v>
                </c:pt>
                <c:pt idx="31">
                  <c:v>0.68584134684801756</c:v>
                </c:pt>
                <c:pt idx="32">
                  <c:v>0.8706580275207727</c:v>
                </c:pt>
                <c:pt idx="33">
                  <c:v>0.91725261533184721</c:v>
                </c:pt>
                <c:pt idx="34">
                  <c:v>0.86404070672196542</c:v>
                </c:pt>
                <c:pt idx="35">
                  <c:v>0.50770179063147558</c:v>
                </c:pt>
                <c:pt idx="36">
                  <c:v>0.62237384140061791</c:v>
                </c:pt>
                <c:pt idx="37">
                  <c:v>0.70792233876366872</c:v>
                </c:pt>
                <c:pt idx="38">
                  <c:v>0.58271543911682322</c:v>
                </c:pt>
                <c:pt idx="39">
                  <c:v>0.45626286184661818</c:v>
                </c:pt>
                <c:pt idx="40">
                  <c:v>0.28718201538158156</c:v>
                </c:pt>
                <c:pt idx="41">
                  <c:v>0.20219181308741407</c:v>
                </c:pt>
                <c:pt idx="42">
                  <c:v>0.22714387452015772</c:v>
                </c:pt>
                <c:pt idx="43">
                  <c:v>0.24454312152392674</c:v>
                </c:pt>
                <c:pt idx="44">
                  <c:v>0.20614844488454787</c:v>
                </c:pt>
                <c:pt idx="45">
                  <c:v>0.17846656433266422</c:v>
                </c:pt>
                <c:pt idx="46">
                  <c:v>0.21537947458165024</c:v>
                </c:pt>
                <c:pt idx="47">
                  <c:v>0.21015720318970005</c:v>
                </c:pt>
                <c:pt idx="48">
                  <c:v>0.19681699677030234</c:v>
                </c:pt>
                <c:pt idx="49">
                  <c:v>0.15032425926378529</c:v>
                </c:pt>
                <c:pt idx="50">
                  <c:v>0.15317313616759087</c:v>
                </c:pt>
                <c:pt idx="51">
                  <c:v>0.20750414890128585</c:v>
                </c:pt>
                <c:pt idx="52">
                  <c:v>0.21502019066650013</c:v>
                </c:pt>
                <c:pt idx="53">
                  <c:v>0.24055579678679984</c:v>
                </c:pt>
                <c:pt idx="54">
                  <c:v>0.25098730679205206</c:v>
                </c:pt>
                <c:pt idx="55">
                  <c:v>0.25172018348623854</c:v>
                </c:pt>
                <c:pt idx="56">
                  <c:v>0.2505526037018192</c:v>
                </c:pt>
                <c:pt idx="57">
                  <c:v>0.24539856075283698</c:v>
                </c:pt>
                <c:pt idx="58">
                  <c:v>0.26197517342095655</c:v>
                </c:pt>
                <c:pt idx="59">
                  <c:v>0.26302926800541782</c:v>
                </c:pt>
                <c:pt idx="60">
                  <c:v>0.26890250954088118</c:v>
                </c:pt>
                <c:pt idx="61">
                  <c:v>0.30117992296875951</c:v>
                </c:pt>
                <c:pt idx="62">
                  <c:v>0.35097234337318489</c:v>
                </c:pt>
                <c:pt idx="63">
                  <c:v>0.32262023631219838</c:v>
                </c:pt>
                <c:pt idx="64">
                  <c:v>0.34104471828256994</c:v>
                </c:pt>
                <c:pt idx="65">
                  <c:v>0.35938633396199043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1-4575-85FB-7A387BCFE802}"/>
            </c:ext>
          </c:extLst>
        </c:ser>
        <c:ser>
          <c:idx val="1"/>
          <c:order val="1"/>
          <c:tx>
            <c:strRef>
              <c:f>Model!$A$190</c:f>
              <c:strCache>
                <c:ptCount val="1"/>
                <c:pt idx="0">
                  <c:v>M2 - v v dep. Ingezetenen/ GDP</c:v>
                </c:pt>
              </c:strCache>
            </c:strRef>
          </c:tx>
          <c:marker>
            <c:symbol val="none"/>
          </c:marker>
          <c:val>
            <c:numRef>
              <c:f>Model!$F$190:$BS$190</c:f>
              <c:numCache>
                <c:formatCode>#,##0</c:formatCode>
                <c:ptCount val="66"/>
                <c:pt idx="38" formatCode="#,##0.00">
                  <c:v>0.92272202998846597</c:v>
                </c:pt>
                <c:pt idx="39" formatCode="#,##0.00">
                  <c:v>0.63794759226231312</c:v>
                </c:pt>
                <c:pt idx="40" formatCode="#,##0.00">
                  <c:v>0.34879708144350224</c:v>
                </c:pt>
                <c:pt idx="41" formatCode="#,##0.00">
                  <c:v>0.25876479882754355</c:v>
                </c:pt>
                <c:pt idx="42" formatCode="#,##0.00">
                  <c:v>0.31584188798758633</c:v>
                </c:pt>
                <c:pt idx="43" formatCode="#,##0.00">
                  <c:v>0.36646346564337545</c:v>
                </c:pt>
                <c:pt idx="44" formatCode="#,##0.00">
                  <c:v>0.3945177116622407</c:v>
                </c:pt>
                <c:pt idx="45" formatCode="#,##0.00">
                  <c:v>0.31815378963802626</c:v>
                </c:pt>
                <c:pt idx="46" formatCode="#,##0.00">
                  <c:v>0.35213885382600268</c:v>
                </c:pt>
                <c:pt idx="47" formatCode="#,##0.00">
                  <c:v>0.31362561437135494</c:v>
                </c:pt>
                <c:pt idx="48" formatCode="#,##0.00">
                  <c:v>0.29985602552628504</c:v>
                </c:pt>
                <c:pt idx="49" formatCode="#,##0.00">
                  <c:v>0.24081451489045971</c:v>
                </c:pt>
                <c:pt idx="50" formatCode="#,##0.00">
                  <c:v>0.24367221195317312</c:v>
                </c:pt>
                <c:pt idx="51" formatCode="#,##0.00">
                  <c:v>0.22963870177587262</c:v>
                </c:pt>
                <c:pt idx="52" formatCode="#,##0.00">
                  <c:v>0.20261437908496732</c:v>
                </c:pt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  <c:pt idx="64" formatCode="#,##0.00">
                  <c:v>0.29952724172673018</c:v>
                </c:pt>
                <c:pt idx="65" formatCode="#,##0.00">
                  <c:v>0.34419701146090237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1-4575-85FB-7A387BCFE802}"/>
            </c:ext>
          </c:extLst>
        </c:ser>
        <c:ser>
          <c:idx val="3"/>
          <c:order val="3"/>
          <c:tx>
            <c:strRef>
              <c:f>Model!$A$435</c:f>
              <c:strCache>
                <c:ptCount val="1"/>
                <c:pt idx="0">
                  <c:v>M2/BBP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Model!$F$435:$BS$435</c:f>
              <c:numCache>
                <c:formatCode>#,##0.00</c:formatCode>
                <c:ptCount val="66"/>
                <c:pt idx="3">
                  <c:v>0.15756302521008403</c:v>
                </c:pt>
                <c:pt idx="4">
                  <c:v>0.15466309223075733</c:v>
                </c:pt>
                <c:pt idx="5">
                  <c:v>0.18570964297321141</c:v>
                </c:pt>
                <c:pt idx="6">
                  <c:v>0.16891178581985558</c:v>
                </c:pt>
                <c:pt idx="7">
                  <c:v>0.19542700801250737</c:v>
                </c:pt>
                <c:pt idx="8">
                  <c:v>0.18110692552883223</c:v>
                </c:pt>
                <c:pt idx="9">
                  <c:v>0.20008003201280514</c:v>
                </c:pt>
                <c:pt idx="10">
                  <c:v>0.21867483052700637</c:v>
                </c:pt>
                <c:pt idx="11">
                  <c:v>0.21756275325664248</c:v>
                </c:pt>
                <c:pt idx="12">
                  <c:v>0.19850459868986967</c:v>
                </c:pt>
                <c:pt idx="13">
                  <c:v>0.19055241144076679</c:v>
                </c:pt>
                <c:pt idx="14">
                  <c:v>0.17398263653287402</c:v>
                </c:pt>
                <c:pt idx="15">
                  <c:v>0.16191447677336832</c:v>
                </c:pt>
                <c:pt idx="16">
                  <c:v>0.15278838808250575</c:v>
                </c:pt>
                <c:pt idx="17">
                  <c:v>0.27918144001786765</c:v>
                </c:pt>
                <c:pt idx="18">
                  <c:v>0.26933850463262232</c:v>
                </c:pt>
                <c:pt idx="19">
                  <c:v>0.24752168908800634</c:v>
                </c:pt>
                <c:pt idx="20">
                  <c:v>0.20496003279360528</c:v>
                </c:pt>
                <c:pt idx="21">
                  <c:v>0.27078500573161596</c:v>
                </c:pt>
                <c:pt idx="22">
                  <c:v>0.33247720453166441</c:v>
                </c:pt>
                <c:pt idx="23">
                  <c:v>0.32748875076141143</c:v>
                </c:pt>
                <c:pt idx="24">
                  <c:v>0.34276116972961851</c:v>
                </c:pt>
                <c:pt idx="25">
                  <c:v>0.32217359787365424</c:v>
                </c:pt>
                <c:pt idx="26">
                  <c:v>0.36995930447650754</c:v>
                </c:pt>
                <c:pt idx="27">
                  <c:v>0.37810399750451368</c:v>
                </c:pt>
                <c:pt idx="28">
                  <c:v>0.41328006612481055</c:v>
                </c:pt>
                <c:pt idx="29">
                  <c:v>0.52312945551735135</c:v>
                </c:pt>
                <c:pt idx="30">
                  <c:v>0.56588291882409525</c:v>
                </c:pt>
                <c:pt idx="31">
                  <c:v>0.77006747716268642</c:v>
                </c:pt>
                <c:pt idx="32">
                  <c:v>0.9289911250695565</c:v>
                </c:pt>
                <c:pt idx="33">
                  <c:v>1.0718573143543133</c:v>
                </c:pt>
                <c:pt idx="34">
                  <c:v>1.0857056000694854</c:v>
                </c:pt>
                <c:pt idx="35">
                  <c:v>1.1460537034570557</c:v>
                </c:pt>
                <c:pt idx="36">
                  <c:v>0.97837281153450051</c:v>
                </c:pt>
                <c:pt idx="37">
                  <c:v>1.0488730194153091</c:v>
                </c:pt>
                <c:pt idx="38">
                  <c:v>0.92272202998846597</c:v>
                </c:pt>
                <c:pt idx="39">
                  <c:v>0.65166689532171773</c:v>
                </c:pt>
                <c:pt idx="40">
                  <c:v>0.45972194833366198</c:v>
                </c:pt>
                <c:pt idx="41">
                  <c:v>0.30129251544901087</c:v>
                </c:pt>
                <c:pt idx="42">
                  <c:v>0.37374140915854626</c:v>
                </c:pt>
                <c:pt idx="43">
                  <c:v>0.44202294309561785</c:v>
                </c:pt>
                <c:pt idx="44">
                  <c:v>0.47103569338794621</c:v>
                </c:pt>
                <c:pt idx="45">
                  <c:v>0.45591110061531598</c:v>
                </c:pt>
                <c:pt idx="46">
                  <c:v>0.55598767953685546</c:v>
                </c:pt>
                <c:pt idx="47">
                  <c:v>0.51596472041739039</c:v>
                </c:pt>
                <c:pt idx="48">
                  <c:v>0.48935756255107199</c:v>
                </c:pt>
                <c:pt idx="49">
                  <c:v>0.45172711470054783</c:v>
                </c:pt>
                <c:pt idx="50">
                  <c:v>0.48258780036968574</c:v>
                </c:pt>
                <c:pt idx="51">
                  <c:v>0.44415186772810777</c:v>
                </c:pt>
                <c:pt idx="52">
                  <c:v>0.3876191665625911</c:v>
                </c:pt>
                <c:pt idx="53">
                  <c:v>0.44625023261584268</c:v>
                </c:pt>
                <c:pt idx="54">
                  <c:v>0.44715975294129778</c:v>
                </c:pt>
                <c:pt idx="55">
                  <c:v>0.4695066927357498</c:v>
                </c:pt>
                <c:pt idx="56">
                  <c:v>0.46085897553529576</c:v>
                </c:pt>
                <c:pt idx="57">
                  <c:v>0.4643025186825353</c:v>
                </c:pt>
                <c:pt idx="58">
                  <c:v>0.49462090787391993</c:v>
                </c:pt>
                <c:pt idx="59">
                  <c:v>0.53165891290265588</c:v>
                </c:pt>
                <c:pt idx="60">
                  <c:v>0.5504914999421765</c:v>
                </c:pt>
                <c:pt idx="61">
                  <c:v>0.6504432353120988</c:v>
                </c:pt>
                <c:pt idx="62">
                  <c:v>0.83088408846015704</c:v>
                </c:pt>
                <c:pt idx="63">
                  <c:v>0.73229738725245463</c:v>
                </c:pt>
                <c:pt idx="64">
                  <c:v>0.74388126792218856</c:v>
                </c:pt>
                <c:pt idx="65">
                  <c:v>0.73582620049325409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1-4575-85FB-7A387BCFE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75632"/>
        <c:axId val="227682688"/>
      </c:lineChart>
      <c:lineChart>
        <c:grouping val="standard"/>
        <c:varyColors val="0"/>
        <c:ser>
          <c:idx val="2"/>
          <c:order val="2"/>
          <c:tx>
            <c:strRef>
              <c:f>Model!$A$307</c:f>
              <c:strCache>
                <c:ptCount val="1"/>
                <c:pt idx="0">
                  <c:v>Foreign reserve stock CB/Month imports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Model!$F$307:$BS$307</c:f>
              <c:numCache>
                <c:formatCode>#,##0.0</c:formatCode>
                <c:ptCount val="66"/>
                <c:pt idx="3">
                  <c:v>4.2168148954924147</c:v>
                </c:pt>
                <c:pt idx="4">
                  <c:v>4.3017884079313538</c:v>
                </c:pt>
                <c:pt idx="5">
                  <c:v>4.5379631054399621</c:v>
                </c:pt>
                <c:pt idx="6">
                  <c:v>3.4188400215924264</c:v>
                </c:pt>
                <c:pt idx="7">
                  <c:v>3.1948037484355054</c:v>
                </c:pt>
                <c:pt idx="8">
                  <c:v>3.0339218290708718</c:v>
                </c:pt>
                <c:pt idx="9">
                  <c:v>3.1731817849791941</c:v>
                </c:pt>
                <c:pt idx="10">
                  <c:v>2.6150288080331916</c:v>
                </c:pt>
                <c:pt idx="11">
                  <c:v>2.8090196957252731</c:v>
                </c:pt>
                <c:pt idx="12">
                  <c:v>3.0876642634648785</c:v>
                </c:pt>
                <c:pt idx="13">
                  <c:v>2.7625146450497797</c:v>
                </c:pt>
                <c:pt idx="14">
                  <c:v>2.8518638684878308</c:v>
                </c:pt>
                <c:pt idx="15">
                  <c:v>3.0079787633115758</c:v>
                </c:pt>
                <c:pt idx="16">
                  <c:v>3.1981782740371933</c:v>
                </c:pt>
                <c:pt idx="17">
                  <c:v>3.1553687115383839</c:v>
                </c:pt>
                <c:pt idx="18">
                  <c:v>3.0155680710681447</c:v>
                </c:pt>
                <c:pt idx="19">
                  <c:v>3.6395586049917674</c:v>
                </c:pt>
                <c:pt idx="20">
                  <c:v>2.795477944243316</c:v>
                </c:pt>
                <c:pt idx="21">
                  <c:v>3.2152570660023367</c:v>
                </c:pt>
                <c:pt idx="22">
                  <c:v>3.6949498568464874</c:v>
                </c:pt>
                <c:pt idx="23">
                  <c:v>2.3639805695863778</c:v>
                </c:pt>
                <c:pt idx="24">
                  <c:v>2.9603705749920062</c:v>
                </c:pt>
                <c:pt idx="25">
                  <c:v>3.6420238473802922</c:v>
                </c:pt>
                <c:pt idx="26">
                  <c:v>3.2355904314328532</c:v>
                </c:pt>
                <c:pt idx="27">
                  <c:v>3.4095889754152831</c:v>
                </c:pt>
                <c:pt idx="28">
                  <c:v>3.0147721832644745</c:v>
                </c:pt>
                <c:pt idx="29">
                  <c:v>1.5806482966541198</c:v>
                </c:pt>
                <c:pt idx="30">
                  <c:v>0.89053152711683181</c:v>
                </c:pt>
                <c:pt idx="31">
                  <c:v>1.1477289815567542</c:v>
                </c:pt>
                <c:pt idx="32">
                  <c:v>1.2875131413302288</c:v>
                </c:pt>
                <c:pt idx="33">
                  <c:v>1.3564550228045242</c:v>
                </c:pt>
                <c:pt idx="34">
                  <c:v>0.90347543296089405</c:v>
                </c:pt>
                <c:pt idx="35">
                  <c:v>0.6865510282813776</c:v>
                </c:pt>
                <c:pt idx="36">
                  <c:v>0.79303123526469954</c:v>
                </c:pt>
                <c:pt idx="37">
                  <c:v>6.7731616495562905E-2</c:v>
                </c:pt>
                <c:pt idx="38">
                  <c:v>3.7109407909271669E-2</c:v>
                </c:pt>
                <c:pt idx="39">
                  <c:v>0.14695545669358781</c:v>
                </c:pt>
                <c:pt idx="40">
                  <c:v>0.40963857982288815</c:v>
                </c:pt>
                <c:pt idx="41">
                  <c:v>3.4186479166870485</c:v>
                </c:pt>
                <c:pt idx="42">
                  <c:v>2.5757553017094761</c:v>
                </c:pt>
                <c:pt idx="43">
                  <c:v>2.5292806762125219</c:v>
                </c:pt>
                <c:pt idx="44">
                  <c:v>1.300125533872784</c:v>
                </c:pt>
                <c:pt idx="45">
                  <c:v>0.19731056506792033</c:v>
                </c:pt>
                <c:pt idx="46">
                  <c:v>0.16653124104204475</c:v>
                </c:pt>
                <c:pt idx="47">
                  <c:v>2.2679387178211554</c:v>
                </c:pt>
                <c:pt idx="48">
                  <c:v>2.0876530192216642</c:v>
                </c:pt>
                <c:pt idx="49">
                  <c:v>1.280635847161572</c:v>
                </c:pt>
                <c:pt idx="50">
                  <c:v>1.3245130049786629</c:v>
                </c:pt>
                <c:pt idx="51">
                  <c:v>1.1610166768060837</c:v>
                </c:pt>
                <c:pt idx="52">
                  <c:v>2.3538038496791933</c:v>
                </c:pt>
                <c:pt idx="53">
                  <c:v>3.4305066946705174</c:v>
                </c:pt>
                <c:pt idx="54">
                  <c:v>3.8659037095501185</c:v>
                </c:pt>
                <c:pt idx="55">
                  <c:v>4.5828718609143593</c:v>
                </c:pt>
                <c:pt idx="56">
                  <c:v>4.8752767527675278</c:v>
                </c:pt>
                <c:pt idx="57">
                  <c:v>5.1216731675799396</c:v>
                </c:pt>
                <c:pt idx="58">
                  <c:v>5.4662612964379305</c:v>
                </c:pt>
                <c:pt idx="59">
                  <c:v>4.0160132033086153</c:v>
                </c:pt>
                <c:pt idx="60">
                  <c:v>3.1692744075014487</c:v>
                </c:pt>
                <c:pt idx="61">
                  <c:v>2.0940581680874266</c:v>
                </c:pt>
                <c:pt idx="62">
                  <c:v>2.8847723471434468</c:v>
                </c:pt>
                <c:pt idx="63">
                  <c:v>2.720496037919915</c:v>
                </c:pt>
                <c:pt idx="64">
                  <c:v>3.2020375500346119</c:v>
                </c:pt>
                <c:pt idx="65">
                  <c:v>2.8448288441056921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B1-4575-85FB-7A387BCFE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0336"/>
        <c:axId val="227674064"/>
      </c:lineChart>
      <c:catAx>
        <c:axId val="2276756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2688"/>
        <c:crosses val="autoZero"/>
        <c:auto val="1"/>
        <c:lblAlgn val="ctr"/>
        <c:lblOffset val="100"/>
        <c:noMultiLvlLbl val="0"/>
      </c:catAx>
      <c:valAx>
        <c:axId val="22768268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5632"/>
        <c:crosses val="autoZero"/>
        <c:crossBetween val="between"/>
      </c:valAx>
      <c:catAx>
        <c:axId val="22768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674064"/>
        <c:crosses val="autoZero"/>
        <c:auto val="1"/>
        <c:lblAlgn val="ctr"/>
        <c:lblOffset val="100"/>
        <c:noMultiLvlLbl val="0"/>
      </c:catAx>
      <c:valAx>
        <c:axId val="227674064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033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10594315245478"/>
          <c:y val="0.19591836734693877"/>
          <c:w val="0.25968992248062017"/>
          <c:h val="0.61224489795918369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69E-2"/>
          <c:y val="5.484385880336385E-2"/>
          <c:w val="0.92240167653461924"/>
          <c:h val="0.75367079115110613"/>
        </c:manualLayout>
      </c:layout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decompositie!$F$6:$BS$6</c:f>
              <c:numCache>
                <c:formatCode>0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-5.3050397877984157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14.294117647058835</c:v>
                </c:pt>
                <c:pt idx="32">
                  <c:v>20.586721564590825</c:v>
                </c:pt>
                <c:pt idx="33">
                  <c:v>43.960734101579192</c:v>
                </c:pt>
                <c:pt idx="34">
                  <c:v>-1.4823599169878521</c:v>
                </c:pt>
                <c:pt idx="35">
                  <c:v>29.732169726151071</c:v>
                </c:pt>
                <c:pt idx="36">
                  <c:v>9.2785896543725386</c:v>
                </c:pt>
                <c:pt idx="37">
                  <c:v>27.510082784971335</c:v>
                </c:pt>
                <c:pt idx="38">
                  <c:v>26.813162421619218</c:v>
                </c:pt>
                <c:pt idx="39">
                  <c:v>133.7592438629502</c:v>
                </c:pt>
                <c:pt idx="40">
                  <c:v>258.95434379738305</c:v>
                </c:pt>
                <c:pt idx="41">
                  <c:v>575.6006672134896</c:v>
                </c:pt>
                <c:pt idx="42">
                  <c:v>-10.868800752841047</c:v>
                </c:pt>
                <c:pt idx="43">
                  <c:v>1.0218441692281477</c:v>
                </c:pt>
                <c:pt idx="44">
                  <c:v>6.1620005070093242</c:v>
                </c:pt>
                <c:pt idx="45">
                  <c:v>117.35314101669343</c:v>
                </c:pt>
                <c:pt idx="46">
                  <c:v>54.4971332158986</c:v>
                </c:pt>
                <c:pt idx="47">
                  <c:v>50.633583008357299</c:v>
                </c:pt>
                <c:pt idx="48">
                  <c:v>10.382528117106805</c:v>
                </c:pt>
                <c:pt idx="49">
                  <c:v>10.970241839929674</c:v>
                </c:pt>
                <c:pt idx="50">
                  <c:v>2.9134275338776661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135.18131574900724</c:v>
                </c:pt>
                <c:pt idx="63">
                  <c:v>15.538461538461545</c:v>
                </c:pt>
                <c:pt idx="64">
                  <c:v>0.26631158455392434</c:v>
                </c:pt>
                <c:pt idx="65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F-48BB-B0FA-232D8535F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85040"/>
        <c:axId val="227676808"/>
      </c:lineChart>
      <c:catAx>
        <c:axId val="22768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6808"/>
        <c:crosses val="autoZero"/>
        <c:auto val="1"/>
        <c:lblAlgn val="ctr"/>
        <c:lblOffset val="100"/>
        <c:noMultiLvlLbl val="0"/>
      </c:catAx>
      <c:valAx>
        <c:axId val="2276768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444498701228236"/>
          <c:y val="0.8693877551020408"/>
          <c:w val="0.1085272674249052"/>
          <c:h val="8.9795918367346905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55E-2"/>
          <c:y val="5.4843858803363864E-2"/>
          <c:w val="0.92240167653461946"/>
          <c:h val="0.75367079115110636"/>
        </c:manualLayout>
      </c:layout>
      <c:lineChart>
        <c:grouping val="standard"/>
        <c:varyColors val="0"/>
        <c:ser>
          <c:idx val="0"/>
          <c:order val="0"/>
          <c:tx>
            <c:strRef>
              <c:f>Model!$A$199</c:f>
              <c:strCache>
                <c:ptCount val="1"/>
                <c:pt idx="0">
                  <c:v>dekking M2 door net foreign assets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Model!$F$199:$BS$199</c:f>
              <c:numCache>
                <c:formatCode>#,##0.00</c:formatCode>
                <c:ptCount val="66"/>
                <c:pt idx="3">
                  <c:v>10.352600254863496</c:v>
                </c:pt>
                <c:pt idx="4">
                  <c:v>10.465623909483348</c:v>
                </c:pt>
                <c:pt idx="5">
                  <c:v>7.9022175477817616</c:v>
                </c:pt>
                <c:pt idx="6">
                  <c:v>8.1040374847128955</c:v>
                </c:pt>
                <c:pt idx="7">
                  <c:v>6.3245354796946014</c:v>
                </c:pt>
                <c:pt idx="8">
                  <c:v>6.284179839044806</c:v>
                </c:pt>
                <c:pt idx="9">
                  <c:v>5.2913470319161791</c:v>
                </c:pt>
                <c:pt idx="10">
                  <c:v>4.6382583316947708</c:v>
                </c:pt>
                <c:pt idx="11">
                  <c:v>4.0412601855583468</c:v>
                </c:pt>
                <c:pt idx="12">
                  <c:v>3.5369090832769858</c:v>
                </c:pt>
                <c:pt idx="13">
                  <c:v>3.1626481614261852</c:v>
                </c:pt>
                <c:pt idx="14">
                  <c:v>3.0593081901222456</c:v>
                </c:pt>
                <c:pt idx="15">
                  <c:v>3.0323081032186732</c:v>
                </c:pt>
                <c:pt idx="16">
                  <c:v>2.939798297658561</c:v>
                </c:pt>
                <c:pt idx="17">
                  <c:v>1.47214415360242</c:v>
                </c:pt>
                <c:pt idx="18">
                  <c:v>1.3958692302182307</c:v>
                </c:pt>
                <c:pt idx="19">
                  <c:v>1.4923692245036353</c:v>
                </c:pt>
                <c:pt idx="20">
                  <c:v>1.6348691725358355</c:v>
                </c:pt>
                <c:pt idx="21">
                  <c:v>1.1619128481298679</c:v>
                </c:pt>
                <c:pt idx="22">
                  <c:v>1.1031847300939257</c:v>
                </c:pt>
                <c:pt idx="23">
                  <c:v>0.94394778861105433</c:v>
                </c:pt>
                <c:pt idx="24">
                  <c:v>0.64945655883600306</c:v>
                </c:pt>
                <c:pt idx="25">
                  <c:v>0.66412322224428266</c:v>
                </c:pt>
                <c:pt idx="26">
                  <c:v>0.64667701960674362</c:v>
                </c:pt>
                <c:pt idx="27">
                  <c:v>0.64559233129955829</c:v>
                </c:pt>
                <c:pt idx="28">
                  <c:v>0.62197096865210266</c:v>
                </c:pt>
                <c:pt idx="29">
                  <c:v>0.47288538158617227</c:v>
                </c:pt>
                <c:pt idx="30">
                  <c:v>0.24097827092433971</c:v>
                </c:pt>
                <c:pt idx="31">
                  <c:v>0.11978055488783865</c:v>
                </c:pt>
                <c:pt idx="32">
                  <c:v>9.9313654969942752E-2</c:v>
                </c:pt>
                <c:pt idx="33">
                  <c:v>4.0267969769239423E-2</c:v>
                </c:pt>
                <c:pt idx="34">
                  <c:v>5.3423320261140661E-2</c:v>
                </c:pt>
                <c:pt idx="35">
                  <c:v>7.2005403815089034E-2</c:v>
                </c:pt>
                <c:pt idx="36">
                  <c:v>9.1052627563476575E-3</c:v>
                </c:pt>
                <c:pt idx="37">
                  <c:v>-9.7659577714635966E-3</c:v>
                </c:pt>
                <c:pt idx="38">
                  <c:v>-9.2142857142857148E-3</c:v>
                </c:pt>
                <c:pt idx="39">
                  <c:v>0.24192631578947371</c:v>
                </c:pt>
                <c:pt idx="40">
                  <c:v>0.65881769436997328</c:v>
                </c:pt>
                <c:pt idx="41">
                  <c:v>0.80177198697068408</c:v>
                </c:pt>
                <c:pt idx="42">
                  <c:v>0.54571649883811002</c:v>
                </c:pt>
                <c:pt idx="43">
                  <c:v>0.43999694749694745</c:v>
                </c:pt>
                <c:pt idx="44">
                  <c:v>0.33529383659818446</c:v>
                </c:pt>
                <c:pt idx="45">
                  <c:v>0.33011223021582731</c:v>
                </c:pt>
                <c:pt idx="46">
                  <c:v>0.32684112149532712</c:v>
                </c:pt>
                <c:pt idx="47">
                  <c:v>0.51286871270247236</c:v>
                </c:pt>
                <c:pt idx="48">
                  <c:v>0.47590648854961837</c:v>
                </c:pt>
                <c:pt idx="49">
                  <c:v>0.50210406786453821</c:v>
                </c:pt>
                <c:pt idx="50">
                  <c:v>0.51039272764414489</c:v>
                </c:pt>
                <c:pt idx="51">
                  <c:v>0.59186822998781508</c:v>
                </c:pt>
                <c:pt idx="52">
                  <c:v>0.51122328428740194</c:v>
                </c:pt>
                <c:pt idx="53">
                  <c:v>0.59216013344453711</c:v>
                </c:pt>
                <c:pt idx="54">
                  <c:v>0.60326061891804628</c:v>
                </c:pt>
                <c:pt idx="55">
                  <c:v>0.57007287579082244</c:v>
                </c:pt>
                <c:pt idx="56">
                  <c:v>0.53716674811315634</c:v>
                </c:pt>
                <c:pt idx="57">
                  <c:v>0.65568322379696276</c:v>
                </c:pt>
                <c:pt idx="58">
                  <c:v>0.62622099746573823</c:v>
                </c:pt>
                <c:pt idx="59">
                  <c:v>0.5079141790631474</c:v>
                </c:pt>
                <c:pt idx="60">
                  <c:v>0.40299573538371036</c:v>
                </c:pt>
                <c:pt idx="61">
                  <c:v>0.28166326732021846</c:v>
                </c:pt>
                <c:pt idx="62">
                  <c:v>0.39824369638920282</c:v>
                </c:pt>
                <c:pt idx="63">
                  <c:v>0.36158850098003009</c:v>
                </c:pt>
                <c:pt idx="64">
                  <c:v>0.43894231270120759</c:v>
                </c:pt>
                <c:pt idx="65">
                  <c:v>0.28898571583482024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A-47D8-8AC1-EBBC7FB2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79552"/>
        <c:axId val="227679944"/>
      </c:lineChart>
      <c:catAx>
        <c:axId val="2276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9944"/>
        <c:crosses val="autoZero"/>
        <c:auto val="1"/>
        <c:lblAlgn val="ctr"/>
        <c:lblOffset val="100"/>
        <c:noMultiLvlLbl val="0"/>
      </c:catAx>
      <c:valAx>
        <c:axId val="22767994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850169891554249"/>
          <c:y val="0.89968783682603937"/>
          <c:w val="0.3217058332824676"/>
          <c:h val="6.8965517241379337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month!$A$8</c:f>
              <c:strCache>
                <c:ptCount val="1"/>
                <c:pt idx="0">
                  <c:v>Koers SRD/US$</c:v>
                </c:pt>
              </c:strCache>
            </c:strRef>
          </c:tx>
          <c:marker>
            <c:symbol val="dot"/>
            <c:size val="7"/>
          </c:marker>
          <c:val>
            <c:numRef>
              <c:f>month!$Y$8:$CF$8</c:f>
              <c:numCache>
                <c:formatCode>General</c:formatCode>
                <c:ptCount val="60"/>
                <c:pt idx="0">
                  <c:v>3.35</c:v>
                </c:pt>
                <c:pt idx="1">
                  <c:v>3.35</c:v>
                </c:pt>
                <c:pt idx="2">
                  <c:v>3.35</c:v>
                </c:pt>
                <c:pt idx="3">
                  <c:v>3.35</c:v>
                </c:pt>
                <c:pt idx="4">
                  <c:v>3.35</c:v>
                </c:pt>
                <c:pt idx="5">
                  <c:v>3.35</c:v>
                </c:pt>
                <c:pt idx="6">
                  <c:v>3.35</c:v>
                </c:pt>
                <c:pt idx="7">
                  <c:v>3.35</c:v>
                </c:pt>
                <c:pt idx="8">
                  <c:v>3.35</c:v>
                </c:pt>
                <c:pt idx="9">
                  <c:v>3.35</c:v>
                </c:pt>
                <c:pt idx="10">
                  <c:v>4.2</c:v>
                </c:pt>
                <c:pt idx="11">
                  <c:v>4.5999999999999996</c:v>
                </c:pt>
                <c:pt idx="12">
                  <c:v>4.9000000000000004</c:v>
                </c:pt>
                <c:pt idx="13">
                  <c:v>5</c:v>
                </c:pt>
                <c:pt idx="14">
                  <c:v>5.16</c:v>
                </c:pt>
                <c:pt idx="15">
                  <c:v>5.4024999999999999</c:v>
                </c:pt>
                <c:pt idx="16">
                  <c:v>6.2</c:v>
                </c:pt>
                <c:pt idx="17">
                  <c:v>7</c:v>
                </c:pt>
                <c:pt idx="18">
                  <c:v>7.2</c:v>
                </c:pt>
                <c:pt idx="19">
                  <c:v>7.3</c:v>
                </c:pt>
                <c:pt idx="20">
                  <c:v>7.7</c:v>
                </c:pt>
                <c:pt idx="21">
                  <c:v>7.3</c:v>
                </c:pt>
                <c:pt idx="22">
                  <c:v>7.3</c:v>
                </c:pt>
                <c:pt idx="23">
                  <c:v>7.5</c:v>
                </c:pt>
                <c:pt idx="24">
                  <c:v>7.4359999999999999</c:v>
                </c:pt>
                <c:pt idx="25">
                  <c:v>7.48</c:v>
                </c:pt>
                <c:pt idx="26">
                  <c:v>7.6</c:v>
                </c:pt>
                <c:pt idx="27">
                  <c:v>7.6</c:v>
                </c:pt>
                <c:pt idx="28">
                  <c:v>7.6</c:v>
                </c:pt>
                <c:pt idx="29">
                  <c:v>7.6</c:v>
                </c:pt>
                <c:pt idx="30">
                  <c:v>7.5</c:v>
                </c:pt>
                <c:pt idx="31">
                  <c:v>7.5</c:v>
                </c:pt>
                <c:pt idx="32">
                  <c:v>7.5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8.1999999999999993</c:v>
                </c:pt>
                <c:pt idx="49">
                  <c:v>8.1999999999999993</c:v>
                </c:pt>
                <c:pt idx="50">
                  <c:v>8.1999999999999993</c:v>
                </c:pt>
                <c:pt idx="51">
                  <c:v>8.1999999999999993</c:v>
                </c:pt>
                <c:pt idx="52">
                  <c:v>8.1999999999999993</c:v>
                </c:pt>
                <c:pt idx="53">
                  <c:v>8.1999999999999993</c:v>
                </c:pt>
                <c:pt idx="54">
                  <c:v>8.1999999999999993</c:v>
                </c:pt>
                <c:pt idx="55">
                  <c:v>8.1999999999999993</c:v>
                </c:pt>
                <c:pt idx="56">
                  <c:v>8.1999999999999993</c:v>
                </c:pt>
                <c:pt idx="57">
                  <c:v>8.1999999999999993</c:v>
                </c:pt>
                <c:pt idx="58">
                  <c:v>8.1999999999999993</c:v>
                </c:pt>
                <c:pt idx="5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6-48CF-BCA5-F9894B29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025232"/>
        <c:axId val="1"/>
      </c:lineChart>
      <c:lineChart>
        <c:grouping val="standard"/>
        <c:varyColors val="0"/>
        <c:ser>
          <c:idx val="0"/>
          <c:order val="0"/>
          <c:tx>
            <c:strRef>
              <c:f>month!$A$7</c:f>
              <c:strCache>
                <c:ptCount val="1"/>
                <c:pt idx="0">
                  <c:v>CPI</c:v>
                </c:pt>
              </c:strCache>
            </c:strRef>
          </c:tx>
          <c:marker>
            <c:symbol val="dot"/>
            <c:size val="7"/>
          </c:marker>
          <c:val>
            <c:numRef>
              <c:f>month!$Y$7:$CF$7</c:f>
              <c:numCache>
                <c:formatCode>0.00</c:formatCode>
                <c:ptCount val="60"/>
                <c:pt idx="0">
                  <c:v>0.95274390243902451</c:v>
                </c:pt>
                <c:pt idx="1">
                  <c:v>0.9557926829268294</c:v>
                </c:pt>
                <c:pt idx="2">
                  <c:v>0.96189024390243916</c:v>
                </c:pt>
                <c:pt idx="3">
                  <c:v>0.96189024390243916</c:v>
                </c:pt>
                <c:pt idx="4">
                  <c:v>0.97408536585365857</c:v>
                </c:pt>
                <c:pt idx="5">
                  <c:v>0.99390243902439035</c:v>
                </c:pt>
                <c:pt idx="6">
                  <c:v>1</c:v>
                </c:pt>
                <c:pt idx="7">
                  <c:v>0.99847560975609762</c:v>
                </c:pt>
                <c:pt idx="8">
                  <c:v>0.99695121951219534</c:v>
                </c:pt>
                <c:pt idx="9">
                  <c:v>1</c:v>
                </c:pt>
                <c:pt idx="10">
                  <c:v>1.1554878048780488</c:v>
                </c:pt>
                <c:pt idx="11">
                  <c:v>1.1951219512195124</c:v>
                </c:pt>
                <c:pt idx="12">
                  <c:v>1.2332317073170733</c:v>
                </c:pt>
                <c:pt idx="13">
                  <c:v>1.2698170731707317</c:v>
                </c:pt>
                <c:pt idx="14">
                  <c:v>1.3140243902439026</c:v>
                </c:pt>
                <c:pt idx="15">
                  <c:v>1.4375</c:v>
                </c:pt>
                <c:pt idx="16">
                  <c:v>1.5365853658536586</c:v>
                </c:pt>
                <c:pt idx="17">
                  <c:v>1.5975609756097562</c:v>
                </c:pt>
                <c:pt idx="18">
                  <c:v>1.625</c:v>
                </c:pt>
                <c:pt idx="19">
                  <c:v>1.6783536585365855</c:v>
                </c:pt>
                <c:pt idx="20">
                  <c:v>1.7652439024390245</c:v>
                </c:pt>
                <c:pt idx="21">
                  <c:v>1.7911585365853659</c:v>
                </c:pt>
                <c:pt idx="22">
                  <c:v>1.8170731707317076</c:v>
                </c:pt>
                <c:pt idx="23">
                  <c:v>1.8201219512195124</c:v>
                </c:pt>
                <c:pt idx="24">
                  <c:v>1.8338414634146343</c:v>
                </c:pt>
                <c:pt idx="25">
                  <c:v>1.8445121951219514</c:v>
                </c:pt>
                <c:pt idx="26">
                  <c:v>1.8628048780487807</c:v>
                </c:pt>
                <c:pt idx="27">
                  <c:v>1.88109756097561</c:v>
                </c:pt>
                <c:pt idx="28">
                  <c:v>1.8905030487804879</c:v>
                </c:pt>
                <c:pt idx="29">
                  <c:v>1.9131097560975612</c:v>
                </c:pt>
                <c:pt idx="30">
                  <c:v>1.9390243902439026</c:v>
                </c:pt>
                <c:pt idx="31">
                  <c:v>1.9506585365853659</c:v>
                </c:pt>
                <c:pt idx="32">
                  <c:v>1.971036585365854</c:v>
                </c:pt>
                <c:pt idx="33">
                  <c:v>1.9847560975609757</c:v>
                </c:pt>
                <c:pt idx="34">
                  <c:v>1.9847560975609757</c:v>
                </c:pt>
                <c:pt idx="35">
                  <c:v>1.9887256097560977</c:v>
                </c:pt>
                <c:pt idx="36">
                  <c:v>2.0015243902439028</c:v>
                </c:pt>
                <c:pt idx="37">
                  <c:v>2.0213414634146343</c:v>
                </c:pt>
                <c:pt idx="38">
                  <c:v>2.0243902439024395</c:v>
                </c:pt>
                <c:pt idx="39">
                  <c:v>2.0289634146341466</c:v>
                </c:pt>
                <c:pt idx="40">
                  <c:v>2.0376016260162602</c:v>
                </c:pt>
                <c:pt idx="41">
                  <c:v>2.0462398373983741</c:v>
                </c:pt>
                <c:pt idx="42">
                  <c:v>2.0548780487804881</c:v>
                </c:pt>
                <c:pt idx="43">
                  <c:v>2.0701219512195124</c:v>
                </c:pt>
                <c:pt idx="44">
                  <c:v>2.0792682926829271</c:v>
                </c:pt>
                <c:pt idx="45">
                  <c:v>2.0884146341463414</c:v>
                </c:pt>
                <c:pt idx="46">
                  <c:v>2.092987804878049</c:v>
                </c:pt>
                <c:pt idx="47">
                  <c:v>2.0975609756097562</c:v>
                </c:pt>
                <c:pt idx="48">
                  <c:v>2.1112804878048781</c:v>
                </c:pt>
                <c:pt idx="49">
                  <c:v>2.1082317073170733</c:v>
                </c:pt>
                <c:pt idx="50">
                  <c:v>2.1082317073170733</c:v>
                </c:pt>
                <c:pt idx="51">
                  <c:v>2.1219512195121952</c:v>
                </c:pt>
                <c:pt idx="52">
                  <c:v>2.13109756097561</c:v>
                </c:pt>
                <c:pt idx="53">
                  <c:v>2.1387195121951224</c:v>
                </c:pt>
                <c:pt idx="54">
                  <c:v>2.1448170731707319</c:v>
                </c:pt>
                <c:pt idx="55">
                  <c:v>2.1524390243902438</c:v>
                </c:pt>
                <c:pt idx="56">
                  <c:v>2.1631097560975614</c:v>
                </c:pt>
                <c:pt idx="57">
                  <c:v>2.1768292682926833</c:v>
                </c:pt>
                <c:pt idx="58">
                  <c:v>2.1814024390243905</c:v>
                </c:pt>
                <c:pt idx="59">
                  <c:v>2.1901280487804877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6-48CF-BCA5-F9894B29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702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27025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7022136019762233"/>
          <c:y val="0.42730032633161208"/>
          <c:w val="0.21139725181411151"/>
          <c:h val="0.13353146880378819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l-NL"/>
              <a:t>Kostprijs en feitelijke prijsstijging</a:t>
            </a:r>
          </a:p>
        </c:rich>
      </c:tx>
      <c:layout>
        <c:manualLayout>
          <c:xMode val="edge"/>
          <c:yMode val="edge"/>
          <c:x val="0.28810408921933084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55762081784388E-2"/>
          <c:y val="0.22916666666666666"/>
          <c:w val="0.69144981412639495"/>
          <c:h val="0.5972222222222216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monetair!$A$17</c:f>
              <c:strCache>
                <c:ptCount val="1"/>
                <c:pt idx="0">
                  <c:v>Actual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monetair!$BF$17:$BQ$17</c:f>
              <c:numCache>
                <c:formatCode>#,##0</c:formatCode>
                <c:ptCount val="12"/>
                <c:pt idx="0">
                  <c:v>11.3</c:v>
                </c:pt>
                <c:pt idx="1">
                  <c:v>6.4</c:v>
                </c:pt>
                <c:pt idx="2">
                  <c:v>14.7</c:v>
                </c:pt>
                <c:pt idx="3">
                  <c:v>-0.1</c:v>
                </c:pt>
                <c:pt idx="4">
                  <c:v>6.9</c:v>
                </c:pt>
                <c:pt idx="5">
                  <c:v>17.7</c:v>
                </c:pt>
                <c:pt idx="6">
                  <c:v>5</c:v>
                </c:pt>
                <c:pt idx="7">
                  <c:v>1.9</c:v>
                </c:pt>
                <c:pt idx="8">
                  <c:v>3.4</c:v>
                </c:pt>
                <c:pt idx="9">
                  <c:v>6.9</c:v>
                </c:pt>
                <c:pt idx="10">
                  <c:v>55.5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B-4BAD-9C37-2528EEE6DB42}"/>
            </c:ext>
          </c:extLst>
        </c:ser>
        <c:ser>
          <c:idx val="1"/>
          <c:order val="1"/>
          <c:tx>
            <c:strRef>
              <c:f>monetair!$A$18</c:f>
              <c:strCache>
                <c:ptCount val="1"/>
                <c:pt idx="0">
                  <c:v>Estimate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monetair!$BF$18:$BQ$18</c:f>
              <c:numCache>
                <c:formatCode>#,##0</c:formatCode>
                <c:ptCount val="12"/>
                <c:pt idx="0">
                  <c:v>3.217475607245103</c:v>
                </c:pt>
                <c:pt idx="1">
                  <c:v>10.196469207972216</c:v>
                </c:pt>
                <c:pt idx="2">
                  <c:v>12.783466498582397</c:v>
                </c:pt>
                <c:pt idx="3">
                  <c:v>-0.61770534914005637</c:v>
                </c:pt>
                <c:pt idx="4">
                  <c:v>12.356974010830651</c:v>
                </c:pt>
                <c:pt idx="5">
                  <c:v>21.182632012110016</c:v>
                </c:pt>
                <c:pt idx="6">
                  <c:v>4.2156702104035295</c:v>
                </c:pt>
                <c:pt idx="7">
                  <c:v>-9.8443116161891081E-2</c:v>
                </c:pt>
                <c:pt idx="8">
                  <c:v>0.33127593427614443</c:v>
                </c:pt>
                <c:pt idx="9">
                  <c:v>8.3692876103610114</c:v>
                </c:pt>
                <c:pt idx="10">
                  <c:v>91.748041476329661</c:v>
                </c:pt>
                <c:pt idx="11">
                  <c:v>28.227459343309349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B-4BAD-9C37-2528EEE6D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4648"/>
        <c:axId val="227678768"/>
      </c:lineChart>
      <c:catAx>
        <c:axId val="227684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8768"/>
        <c:crosses val="autoZero"/>
        <c:auto val="1"/>
        <c:lblAlgn val="ctr"/>
        <c:lblOffset val="100"/>
        <c:noMultiLvlLbl val="0"/>
      </c:catAx>
      <c:valAx>
        <c:axId val="2276787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4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676579925650558"/>
          <c:y val="0.8125"/>
          <c:w val="0.29553903345724913"/>
          <c:h val="7.638888888888884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liquiditeitsquote</a:t>
            </a:r>
          </a:p>
        </c:rich>
      </c:tx>
      <c:layout>
        <c:manualLayout>
          <c:xMode val="edge"/>
          <c:yMode val="edge"/>
          <c:x val="0.19597108053800966"/>
          <c:y val="0.1064428711116992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72181154456334"/>
          <c:y val="5.3221434100999283E-2"/>
          <c:w val="0.87912245149820401"/>
          <c:h val="0.70588428386588564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monetair!$A$34</c:f>
              <c:strCache>
                <c:ptCount val="1"/>
                <c:pt idx="0">
                  <c:v>liquiditeitsquote (M2/BBP vanaf 2007)</c:v>
                </c:pt>
              </c:strCache>
            </c:strRef>
          </c:tx>
          <c:spPr>
            <a:ln w="25400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8C-4309-B171-1B7A09BB7C11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8C-4309-B171-1B7A09BB7C11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C-4309-B171-1B7A09BB7C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monetair!$F$1:$BQ$1</c:f>
              <c:numCache>
                <c:formatCode>General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monetair!$F$34:$BG$34</c:f>
              <c:numCache>
                <c:formatCode>0.00</c:formatCode>
                <c:ptCount val="54"/>
                <c:pt idx="0">
                  <c:v>0.44987364496216581</c:v>
                </c:pt>
                <c:pt idx="1">
                  <c:v>0.41727200691694183</c:v>
                </c:pt>
                <c:pt idx="2">
                  <c:v>0.38430514146273542</c:v>
                </c:pt>
                <c:pt idx="3">
                  <c:v>0.36253976674425054</c:v>
                </c:pt>
                <c:pt idx="4">
                  <c:v>0.3550737631184171</c:v>
                </c:pt>
                <c:pt idx="5">
                  <c:v>0.32354498170228213</c:v>
                </c:pt>
                <c:pt idx="6">
                  <c:v>0.33619157065261385</c:v>
                </c:pt>
                <c:pt idx="7">
                  <c:v>0.34160221953759506</c:v>
                </c:pt>
                <c:pt idx="8">
                  <c:v>0.33565470619246046</c:v>
                </c:pt>
                <c:pt idx="9">
                  <c:v>0.32100909859840132</c:v>
                </c:pt>
                <c:pt idx="10">
                  <c:v>0.33831792692922596</c:v>
                </c:pt>
                <c:pt idx="11">
                  <c:v>0.31113300565888063</c:v>
                </c:pt>
                <c:pt idx="12">
                  <c:v>0.27809673325464751</c:v>
                </c:pt>
                <c:pt idx="13">
                  <c:v>0.26358278298180393</c:v>
                </c:pt>
                <c:pt idx="14">
                  <c:v>0.25747864805521253</c:v>
                </c:pt>
                <c:pt idx="15">
                  <c:v>0.27580502944540797</c:v>
                </c:pt>
                <c:pt idx="16">
                  <c:v>0.2837433303998626</c:v>
                </c:pt>
                <c:pt idx="17">
                  <c:v>0.28432138081380592</c:v>
                </c:pt>
                <c:pt idx="18">
                  <c:v>0.28389940209204123</c:v>
                </c:pt>
                <c:pt idx="19">
                  <c:v>0.26963637590069739</c:v>
                </c:pt>
                <c:pt idx="20">
                  <c:v>0.26302577390259479</c:v>
                </c:pt>
                <c:pt idx="21">
                  <c:v>0.22766585567618783</c:v>
                </c:pt>
                <c:pt idx="22">
                  <c:v>0.24232297818745663</c:v>
                </c:pt>
                <c:pt idx="23">
                  <c:v>0.21914370315306722</c:v>
                </c:pt>
                <c:pt idx="24">
                  <c:v>0.20863641363053448</c:v>
                </c:pt>
                <c:pt idx="25">
                  <c:v>0.21548309509988672</c:v>
                </c:pt>
                <c:pt idx="26">
                  <c:v>0.22891521202635681</c:v>
                </c:pt>
                <c:pt idx="27">
                  <c:v>0.30006783663780895</c:v>
                </c:pt>
                <c:pt idx="28">
                  <c:v>0.43336686924837586</c:v>
                </c:pt>
                <c:pt idx="29">
                  <c:v>0.47373870865818979</c:v>
                </c:pt>
                <c:pt idx="30">
                  <c:v>0.5988720749935067</c:v>
                </c:pt>
                <c:pt idx="31">
                  <c:v>0.81837288344837589</c:v>
                </c:pt>
                <c:pt idx="32">
                  <c:v>1.0311875034025175</c:v>
                </c:pt>
                <c:pt idx="33">
                  <c:v>1.0851635810296729</c:v>
                </c:pt>
                <c:pt idx="34">
                  <c:v>1.0214122440581168</c:v>
                </c:pt>
                <c:pt idx="35">
                  <c:v>0.59484667029577221</c:v>
                </c:pt>
                <c:pt idx="36">
                  <c:v>0.68174575195656772</c:v>
                </c:pt>
                <c:pt idx="37">
                  <c:v>0.75545479226303036</c:v>
                </c:pt>
                <c:pt idx="38">
                  <c:v>0.64856944268692807</c:v>
                </c:pt>
                <c:pt idx="39">
                  <c:v>0.54146549148612799</c:v>
                </c:pt>
                <c:pt idx="40">
                  <c:v>0.48208395462442288</c:v>
                </c:pt>
                <c:pt idx="41">
                  <c:v>0.26627306117905181</c:v>
                </c:pt>
                <c:pt idx="42">
                  <c:v>0.25809081858460198</c:v>
                </c:pt>
                <c:pt idx="43">
                  <c:v>0.2455184466323492</c:v>
                </c:pt>
                <c:pt idx="44">
                  <c:v>0.19464613895052621</c:v>
                </c:pt>
                <c:pt idx="45">
                  <c:v>0.17242863261682115</c:v>
                </c:pt>
                <c:pt idx="46">
                  <c:v>0.23074373540316176</c:v>
                </c:pt>
                <c:pt idx="47">
                  <c:v>0.22976229621031283</c:v>
                </c:pt>
                <c:pt idx="48">
                  <c:v>0.19590823686072739</c:v>
                </c:pt>
                <c:pt idx="49">
                  <c:v>0.14699434623512131</c:v>
                </c:pt>
                <c:pt idx="50">
                  <c:v>0.15131532336072429</c:v>
                </c:pt>
                <c:pt idx="51">
                  <c:v>0.22742998501295159</c:v>
                </c:pt>
                <c:pt idx="52">
                  <c:v>0.28867634485293647</c:v>
                </c:pt>
                <c:pt idx="53">
                  <c:v>0.33671975477725186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8C-4309-B171-1B7A09BB7C11}"/>
            </c:ext>
          </c:extLst>
        </c:ser>
        <c:ser>
          <c:idx val="1"/>
          <c:order val="1"/>
          <c:tx>
            <c:strRef>
              <c:f>monetair!$A$35</c:f>
              <c:strCache>
                <c:ptCount val="1"/>
                <c:pt idx="0">
                  <c:v>M2/BBP </c:v>
                </c:pt>
              </c:strCache>
            </c:strRef>
          </c:tx>
          <c:spPr>
            <a:ln w="25400" cmpd="sng">
              <a:solidFill>
                <a:srgbClr val="00B050">
                  <a:alpha val="99000"/>
                </a:srgbClr>
              </a:solidFill>
              <a:prstDash val="solid"/>
            </a:ln>
          </c:spPr>
          <c:marker>
            <c:symbol val="none"/>
          </c:marker>
          <c:dLbls>
            <c:dLbl>
              <c:idx val="63"/>
              <c:layout>
                <c:manualLayout>
                  <c:x val="-2.6234284176364126E-3"/>
                  <c:y val="-6.428006816529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C-4309-B171-1B7A09BB7C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monetair!$F$35:$BQ$35</c:f>
              <c:numCache>
                <c:formatCode>General</c:formatCode>
                <c:ptCount val="64"/>
                <c:pt idx="4" formatCode="#,##0.00">
                  <c:v>0.15756302521008403</c:v>
                </c:pt>
                <c:pt idx="5" formatCode="#,##0.00">
                  <c:v>0.15466309223075733</c:v>
                </c:pt>
                <c:pt idx="6" formatCode="#,##0.00">
                  <c:v>0.18570964297321141</c:v>
                </c:pt>
                <c:pt idx="7" formatCode="#,##0.00">
                  <c:v>0.16891178581985558</c:v>
                </c:pt>
                <c:pt idx="8" formatCode="#,##0.00">
                  <c:v>0.19542700801250737</c:v>
                </c:pt>
                <c:pt idx="9" formatCode="#,##0.00">
                  <c:v>0.18110692552883223</c:v>
                </c:pt>
                <c:pt idx="10" formatCode="#,##0.00">
                  <c:v>0.20008003201280514</c:v>
                </c:pt>
                <c:pt idx="11" formatCode="#,##0.00">
                  <c:v>0.21867483052700637</c:v>
                </c:pt>
                <c:pt idx="12" formatCode="#,##0.00">
                  <c:v>0.21756275325664248</c:v>
                </c:pt>
                <c:pt idx="13" formatCode="#,##0.00">
                  <c:v>0.19850459868986967</c:v>
                </c:pt>
                <c:pt idx="14" formatCode="#,##0.00">
                  <c:v>0.19055241144076679</c:v>
                </c:pt>
                <c:pt idx="15" formatCode="#,##0.00">
                  <c:v>0.17398263653287402</c:v>
                </c:pt>
                <c:pt idx="16" formatCode="#,##0.00">
                  <c:v>0.16191447677336832</c:v>
                </c:pt>
                <c:pt idx="17" formatCode="#,##0.00">
                  <c:v>0.15278838808250575</c:v>
                </c:pt>
                <c:pt idx="18" formatCode="#,##0.00">
                  <c:v>0.27918144001786765</c:v>
                </c:pt>
                <c:pt idx="19" formatCode="#,##0.00">
                  <c:v>0.26933850463262232</c:v>
                </c:pt>
                <c:pt idx="20" formatCode="#,##0.00">
                  <c:v>0.24752168908800634</c:v>
                </c:pt>
                <c:pt idx="21" formatCode="#,##0.00">
                  <c:v>0.20496003279360528</c:v>
                </c:pt>
                <c:pt idx="22" formatCode="#,##0.00">
                  <c:v>0.27078500573161596</c:v>
                </c:pt>
                <c:pt idx="23" formatCode="#,##0.00">
                  <c:v>0.33247720453166441</c:v>
                </c:pt>
                <c:pt idx="24" formatCode="#,##0.00">
                  <c:v>0.32748875076141143</c:v>
                </c:pt>
                <c:pt idx="25" formatCode="#,##0.00">
                  <c:v>0.34276116972961851</c:v>
                </c:pt>
                <c:pt idx="26" formatCode="#,##0.00">
                  <c:v>0.32217359787365424</c:v>
                </c:pt>
                <c:pt idx="27" formatCode="#,##0.00">
                  <c:v>0.36995930447650754</c:v>
                </c:pt>
                <c:pt idx="28" formatCode="#,##0.00">
                  <c:v>0.37810399750451368</c:v>
                </c:pt>
                <c:pt idx="29" formatCode="#,##0.00">
                  <c:v>0.41328006612481055</c:v>
                </c:pt>
                <c:pt idx="30" formatCode="#,##0.00">
                  <c:v>0.52312945551735135</c:v>
                </c:pt>
                <c:pt idx="31" formatCode="#,##0.00">
                  <c:v>0.56588291882409525</c:v>
                </c:pt>
                <c:pt idx="32" formatCode="#,##0.00">
                  <c:v>0.77006747716268642</c:v>
                </c:pt>
                <c:pt idx="33" formatCode="#,##0.00">
                  <c:v>0.9289911250695565</c:v>
                </c:pt>
                <c:pt idx="34" formatCode="#,##0.00">
                  <c:v>1.0718573143543133</c:v>
                </c:pt>
                <c:pt idx="35" formatCode="#,##0.00">
                  <c:v>1.0857056000694854</c:v>
                </c:pt>
                <c:pt idx="36" formatCode="#,##0.00">
                  <c:v>1.1460537034570557</c:v>
                </c:pt>
                <c:pt idx="37" formatCode="#,##0.00">
                  <c:v>0.97837281153450051</c:v>
                </c:pt>
                <c:pt idx="38" formatCode="#,##0.00">
                  <c:v>1.0488730194153091</c:v>
                </c:pt>
                <c:pt idx="39" formatCode="#,##0.00">
                  <c:v>0.92272202998846597</c:v>
                </c:pt>
                <c:pt idx="40" formatCode="#,##0.00">
                  <c:v>0.65166689532171773</c:v>
                </c:pt>
                <c:pt idx="41" formatCode="#,##0.00">
                  <c:v>0.45972194833366198</c:v>
                </c:pt>
                <c:pt idx="42" formatCode="#,##0.00">
                  <c:v>0.30129251544901087</c:v>
                </c:pt>
                <c:pt idx="43" formatCode="#,##0.00">
                  <c:v>0.37374140915854626</c:v>
                </c:pt>
                <c:pt idx="44" formatCode="#,##0.00">
                  <c:v>0.44202294309561785</c:v>
                </c:pt>
                <c:pt idx="45" formatCode="#,##0.00">
                  <c:v>0.47103569338794621</c:v>
                </c:pt>
                <c:pt idx="46" formatCode="#,##0.00">
                  <c:v>0.45591110061531598</c:v>
                </c:pt>
                <c:pt idx="47" formatCode="#,##0.00">
                  <c:v>0.55598767953685546</c:v>
                </c:pt>
                <c:pt idx="48" formatCode="#,##0.00">
                  <c:v>0.51596472041739039</c:v>
                </c:pt>
                <c:pt idx="49" formatCode="#,##0.00">
                  <c:v>0.48935756255107199</c:v>
                </c:pt>
                <c:pt idx="50" formatCode="#,##0.00">
                  <c:v>0.45172711470054783</c:v>
                </c:pt>
                <c:pt idx="51" formatCode="#,##0.00">
                  <c:v>0.48258780036968574</c:v>
                </c:pt>
                <c:pt idx="52" formatCode="#,##0.00">
                  <c:v>0.44415186772810777</c:v>
                </c:pt>
                <c:pt idx="53" formatCode="#,##0.00">
                  <c:v>0.3876191665625911</c:v>
                </c:pt>
                <c:pt idx="54" formatCode="#,##0.00">
                  <c:v>0.44625023261584268</c:v>
                </c:pt>
                <c:pt idx="55" formatCode="#,##0.00">
                  <c:v>0.44715975294129778</c:v>
                </c:pt>
                <c:pt idx="56" formatCode="#,##0.00">
                  <c:v>0.4695066927357498</c:v>
                </c:pt>
                <c:pt idx="57" formatCode="#,##0.00">
                  <c:v>0.46085897553529576</c:v>
                </c:pt>
                <c:pt idx="58" formatCode="#,##0.00">
                  <c:v>0.4643025186825353</c:v>
                </c:pt>
                <c:pt idx="59" formatCode="#,##0.00">
                  <c:v>0.49462090787391993</c:v>
                </c:pt>
                <c:pt idx="60" formatCode="#,##0.00">
                  <c:v>0.53165891290265588</c:v>
                </c:pt>
                <c:pt idx="61" formatCode="#,##0.00">
                  <c:v>0.5504914999421765</c:v>
                </c:pt>
                <c:pt idx="62" formatCode="#,##0.00">
                  <c:v>0.6504432353120988</c:v>
                </c:pt>
                <c:pt idx="63" formatCode="#,##0.00">
                  <c:v>0.83088408846015704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8C-4309-B171-1B7A09BB7C11}"/>
            </c:ext>
          </c:extLst>
        </c:ser>
        <c:ser>
          <c:idx val="2"/>
          <c:order val="2"/>
          <c:tx>
            <c:strRef>
              <c:f>monetair!$A$36</c:f>
              <c:strCache>
                <c:ptCount val="1"/>
                <c:pt idx="0">
                  <c:v>M2 - v v dep. Ingezetenen/ GDP</c:v>
                </c:pt>
              </c:strCache>
            </c:strRef>
          </c:tx>
          <c:spPr>
            <a:ln w="25400" cmpd="sng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monetair!$F$36:$BQ$36</c:f>
              <c:numCache>
                <c:formatCode>General</c:formatCode>
                <c:ptCount val="64"/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8C-4309-B171-1B7A09BB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81512"/>
        <c:axId val="227681904"/>
      </c:lineChart>
      <c:catAx>
        <c:axId val="227681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819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227681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81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091575091575088E-2"/>
          <c:y val="0.94117647058823528"/>
          <c:w val="0.84798534798534797"/>
          <c:h val="4.76190476190476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credit rentes</a:t>
            </a:r>
          </a:p>
        </c:rich>
      </c:tx>
      <c:layout>
        <c:manualLayout>
          <c:xMode val="edge"/>
          <c:yMode val="edge"/>
          <c:x val="0.36111227763196269"/>
          <c:y val="4.1322314049586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4476845911593"/>
          <c:y val="0.26446280991735588"/>
          <c:w val="0.55000149197453363"/>
          <c:h val="0.4876033057851239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monetair!$A$38</c:f>
              <c:strCache>
                <c:ptCount val="1"/>
                <c:pt idx="0">
                  <c:v>gem creditrente SRD deposito's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monetair!$BF$38:$BR$38</c:f>
              <c:numCache>
                <c:formatCode>#,##0</c:formatCode>
                <c:ptCount val="13"/>
                <c:pt idx="0">
                  <c:v>6.6</c:v>
                </c:pt>
                <c:pt idx="1">
                  <c:v>6.3</c:v>
                </c:pt>
                <c:pt idx="2">
                  <c:v>6.4</c:v>
                </c:pt>
                <c:pt idx="3">
                  <c:v>6.2</c:v>
                </c:pt>
                <c:pt idx="4">
                  <c:v>6.2</c:v>
                </c:pt>
                <c:pt idx="5">
                  <c:v>6.6</c:v>
                </c:pt>
                <c:pt idx="6">
                  <c:v>7</c:v>
                </c:pt>
                <c:pt idx="7">
                  <c:v>7.2</c:v>
                </c:pt>
                <c:pt idx="8">
                  <c:v>7.4</c:v>
                </c:pt>
                <c:pt idx="9">
                  <c:v>7.7</c:v>
                </c:pt>
                <c:pt idx="10">
                  <c:v>8.5</c:v>
                </c:pt>
                <c:pt idx="11">
                  <c:v>9.1</c:v>
                </c:pt>
                <c:pt idx="1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E-4A13-BB15-364ECE407CF1}"/>
            </c:ext>
          </c:extLst>
        </c:ser>
        <c:ser>
          <c:idx val="1"/>
          <c:order val="1"/>
          <c:tx>
            <c:strRef>
              <c:f>monetair!$A$39</c:f>
              <c:strCache>
                <c:ptCount val="1"/>
                <c:pt idx="0">
                  <c:v>gem creditrente US$ deposito's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monetair!$BF$39:$BR$39</c:f>
              <c:numCache>
                <c:formatCode>#,##0</c:formatCode>
                <c:ptCount val="13"/>
                <c:pt idx="0">
                  <c:v>2.8</c:v>
                </c:pt>
                <c:pt idx="1">
                  <c:v>3.1</c:v>
                </c:pt>
                <c:pt idx="2">
                  <c:v>3</c:v>
                </c:pt>
                <c:pt idx="3">
                  <c:v>2.9</c:v>
                </c:pt>
                <c:pt idx="4">
                  <c:v>2.7</c:v>
                </c:pt>
                <c:pt idx="5">
                  <c:v>2.6</c:v>
                </c:pt>
                <c:pt idx="6">
                  <c:v>2.6</c:v>
                </c:pt>
                <c:pt idx="7">
                  <c:v>2.8</c:v>
                </c:pt>
                <c:pt idx="8">
                  <c:v>3.3</c:v>
                </c:pt>
                <c:pt idx="9">
                  <c:v>3.8</c:v>
                </c:pt>
                <c:pt idx="10">
                  <c:v>3.7</c:v>
                </c:pt>
                <c:pt idx="11">
                  <c:v>3.4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E-4A13-BB15-364ECE407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77592"/>
        <c:axId val="227674848"/>
      </c:lineChart>
      <c:catAx>
        <c:axId val="227677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748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27674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77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44444444444442"/>
          <c:y val="0.40909090909090912"/>
          <c:w val="0.27777777777777779"/>
          <c:h val="0.578512396694214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2.8252405949256341E-2"/>
          <c:w val="0.87815931545142223"/>
          <c:h val="0.89719889180519097"/>
        </c:manualLayout>
      </c:layout>
      <c:lineChart>
        <c:grouping val="standard"/>
        <c:varyColors val="0"/>
        <c:ser>
          <c:idx val="1"/>
          <c:order val="0"/>
          <c:tx>
            <c:strRef>
              <c:f>decompositie!$A$2</c:f>
              <c:strCache>
                <c:ptCount val="1"/>
                <c:pt idx="0">
                  <c:v>CPI %</c:v>
                </c:pt>
              </c:strCache>
            </c:strRef>
          </c:tx>
          <c:spPr>
            <a:ln w="1905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decompositie!$F$2:$BS$2</c:f>
              <c:numCache>
                <c:formatCode>#,##0</c:formatCode>
                <c:ptCount val="66"/>
                <c:pt idx="0">
                  <c:v>2</c:v>
                </c:pt>
                <c:pt idx="1">
                  <c:v>1</c:v>
                </c:pt>
                <c:pt idx="2">
                  <c:v>1.9801980257034302</c:v>
                </c:pt>
                <c:pt idx="3">
                  <c:v>8.6999999999999993</c:v>
                </c:pt>
                <c:pt idx="4">
                  <c:v>0</c:v>
                </c:pt>
                <c:pt idx="5">
                  <c:v>0</c:v>
                </c:pt>
                <c:pt idx="6">
                  <c:v>2.6</c:v>
                </c:pt>
                <c:pt idx="7">
                  <c:v>1.7</c:v>
                </c:pt>
                <c:pt idx="8">
                  <c:v>2.5</c:v>
                </c:pt>
                <c:pt idx="9">
                  <c:v>1.7</c:v>
                </c:pt>
                <c:pt idx="10">
                  <c:v>4.0999999999999996</c:v>
                </c:pt>
                <c:pt idx="11">
                  <c:v>2.2999999999999998</c:v>
                </c:pt>
                <c:pt idx="12">
                  <c:v>1.5</c:v>
                </c:pt>
                <c:pt idx="13">
                  <c:v>7.5</c:v>
                </c:pt>
                <c:pt idx="14">
                  <c:v>0</c:v>
                </c:pt>
                <c:pt idx="15">
                  <c:v>1</c:v>
                </c:pt>
                <c:pt idx="16">
                  <c:v>1.8</c:v>
                </c:pt>
                <c:pt idx="17">
                  <c:v>-0.6</c:v>
                </c:pt>
                <c:pt idx="18">
                  <c:v>2.4</c:v>
                </c:pt>
                <c:pt idx="19">
                  <c:v>12</c:v>
                </c:pt>
                <c:pt idx="20">
                  <c:v>15.9</c:v>
                </c:pt>
                <c:pt idx="21">
                  <c:v>7.5</c:v>
                </c:pt>
                <c:pt idx="22">
                  <c:v>9.3000000000000007</c:v>
                </c:pt>
                <c:pt idx="23">
                  <c:v>8.8000000000000007</c:v>
                </c:pt>
                <c:pt idx="24">
                  <c:v>8</c:v>
                </c:pt>
                <c:pt idx="25">
                  <c:v>14</c:v>
                </c:pt>
                <c:pt idx="26">
                  <c:v>13.2</c:v>
                </c:pt>
                <c:pt idx="27">
                  <c:v>8.6999999999999993</c:v>
                </c:pt>
                <c:pt idx="28">
                  <c:v>7.3</c:v>
                </c:pt>
                <c:pt idx="29">
                  <c:v>4.4000000000000004</c:v>
                </c:pt>
                <c:pt idx="30">
                  <c:v>3.7</c:v>
                </c:pt>
                <c:pt idx="31">
                  <c:v>10.9</c:v>
                </c:pt>
                <c:pt idx="32">
                  <c:v>18.7</c:v>
                </c:pt>
                <c:pt idx="33">
                  <c:v>53.4</c:v>
                </c:pt>
                <c:pt idx="34">
                  <c:v>7.3</c:v>
                </c:pt>
                <c:pt idx="35">
                  <c:v>0.8</c:v>
                </c:pt>
                <c:pt idx="36">
                  <c:v>21.8</c:v>
                </c:pt>
                <c:pt idx="37">
                  <c:v>26</c:v>
                </c:pt>
                <c:pt idx="38">
                  <c:v>43.7</c:v>
                </c:pt>
                <c:pt idx="39">
                  <c:v>143.5</c:v>
                </c:pt>
                <c:pt idx="40">
                  <c:v>368.5</c:v>
                </c:pt>
                <c:pt idx="41">
                  <c:v>235.6</c:v>
                </c:pt>
                <c:pt idx="42">
                  <c:v>-0.7</c:v>
                </c:pt>
                <c:pt idx="43">
                  <c:v>7.1</c:v>
                </c:pt>
                <c:pt idx="44">
                  <c:v>18.7</c:v>
                </c:pt>
                <c:pt idx="45">
                  <c:v>98.8</c:v>
                </c:pt>
                <c:pt idx="46">
                  <c:v>59.3</c:v>
                </c:pt>
                <c:pt idx="47">
                  <c:v>38.6</c:v>
                </c:pt>
                <c:pt idx="48">
                  <c:v>15.5</c:v>
                </c:pt>
                <c:pt idx="49">
                  <c:v>23.9</c:v>
                </c:pt>
                <c:pt idx="50">
                  <c:v>9.6</c:v>
                </c:pt>
                <c:pt idx="51">
                  <c:v>9.5</c:v>
                </c:pt>
                <c:pt idx="52">
                  <c:v>11.3</c:v>
                </c:pt>
                <c:pt idx="53">
                  <c:v>6.4</c:v>
                </c:pt>
                <c:pt idx="54">
                  <c:v>14.7</c:v>
                </c:pt>
                <c:pt idx="55">
                  <c:v>-0.1</c:v>
                </c:pt>
                <c:pt idx="56">
                  <c:v>6.9</c:v>
                </c:pt>
                <c:pt idx="57">
                  <c:v>17.7</c:v>
                </c:pt>
                <c:pt idx="58">
                  <c:v>5</c:v>
                </c:pt>
                <c:pt idx="59">
                  <c:v>1.9</c:v>
                </c:pt>
                <c:pt idx="60">
                  <c:v>3.4</c:v>
                </c:pt>
                <c:pt idx="61">
                  <c:v>6.9</c:v>
                </c:pt>
                <c:pt idx="62">
                  <c:v>55.5</c:v>
                </c:pt>
                <c:pt idx="63">
                  <c:v>22</c:v>
                </c:pt>
                <c:pt idx="64">
                  <c:v>6.9</c:v>
                </c:pt>
                <c:pt idx="6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4-4CB6-B9DF-04AA7BCEE654}"/>
            </c:ext>
          </c:extLst>
        </c:ser>
        <c:ser>
          <c:idx val="2"/>
          <c:order val="1"/>
          <c:tx>
            <c:strRef>
              <c:f>decompositie!$A$3</c:f>
              <c:strCache>
                <c:ptCount val="1"/>
                <c:pt idx="0">
                  <c:v>Kostprijs %</c:v>
                </c:pt>
              </c:strCache>
            </c:strRef>
          </c:tx>
          <c:spPr>
            <a:ln w="1270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decompositie!$F$3:$BS$3</c:f>
              <c:numCache>
                <c:formatCode>#,##0</c:formatCode>
                <c:ptCount val="66"/>
                <c:pt idx="0">
                  <c:v>7.8184505344289255</c:v>
                </c:pt>
                <c:pt idx="1">
                  <c:v>-0.55245911768021427</c:v>
                </c:pt>
                <c:pt idx="2">
                  <c:v>-2.9932186670498493</c:v>
                </c:pt>
                <c:pt idx="3">
                  <c:v>10.349862832715978</c:v>
                </c:pt>
                <c:pt idx="4">
                  <c:v>4.792035758267442</c:v>
                </c:pt>
                <c:pt idx="5">
                  <c:v>1.6483196771179289</c:v>
                </c:pt>
                <c:pt idx="6">
                  <c:v>1.1650268963298256</c:v>
                </c:pt>
                <c:pt idx="7">
                  <c:v>2.0840039785957045</c:v>
                </c:pt>
                <c:pt idx="8">
                  <c:v>2.0897076710826155</c:v>
                </c:pt>
                <c:pt idx="9">
                  <c:v>1.1906582654165052</c:v>
                </c:pt>
                <c:pt idx="10">
                  <c:v>2.9294941343996577</c:v>
                </c:pt>
                <c:pt idx="11">
                  <c:v>2.2043496567249492</c:v>
                </c:pt>
                <c:pt idx="12">
                  <c:v>6.2661317905681564</c:v>
                </c:pt>
                <c:pt idx="13">
                  <c:v>4.7207393341014203</c:v>
                </c:pt>
                <c:pt idx="14">
                  <c:v>3.6141342330585782</c:v>
                </c:pt>
                <c:pt idx="15">
                  <c:v>3.7091244473900464</c:v>
                </c:pt>
                <c:pt idx="16">
                  <c:v>4.6458367750691263</c:v>
                </c:pt>
                <c:pt idx="17">
                  <c:v>3.3148813940845088</c:v>
                </c:pt>
                <c:pt idx="18">
                  <c:v>4.3051241153847863</c:v>
                </c:pt>
                <c:pt idx="19">
                  <c:v>6.2948983726228578</c:v>
                </c:pt>
                <c:pt idx="20">
                  <c:v>22.544596667390714</c:v>
                </c:pt>
                <c:pt idx="21">
                  <c:v>21.205402345266037</c:v>
                </c:pt>
                <c:pt idx="22">
                  <c:v>10.24406297836979</c:v>
                </c:pt>
                <c:pt idx="23">
                  <c:v>7.3881868720573092</c:v>
                </c:pt>
                <c:pt idx="24">
                  <c:v>11.505808957846655</c:v>
                </c:pt>
                <c:pt idx="25">
                  <c:v>6.7208126073030749</c:v>
                </c:pt>
                <c:pt idx="26">
                  <c:v>17.652124661477888</c:v>
                </c:pt>
                <c:pt idx="27">
                  <c:v>12.358393136598769</c:v>
                </c:pt>
                <c:pt idx="28">
                  <c:v>2.8522224962528164</c:v>
                </c:pt>
                <c:pt idx="29">
                  <c:v>3.9620861932348443</c:v>
                </c:pt>
                <c:pt idx="30">
                  <c:v>6.8072421352125927</c:v>
                </c:pt>
                <c:pt idx="31">
                  <c:v>5.3468683699376705</c:v>
                </c:pt>
                <c:pt idx="32">
                  <c:v>14.583517350833828</c:v>
                </c:pt>
                <c:pt idx="33">
                  <c:v>37.178923004837436</c:v>
                </c:pt>
                <c:pt idx="34">
                  <c:v>17.546934916318971</c:v>
                </c:pt>
                <c:pt idx="35">
                  <c:v>5.5754216740200988</c:v>
                </c:pt>
                <c:pt idx="36">
                  <c:v>8.7910639175290282</c:v>
                </c:pt>
                <c:pt idx="37">
                  <c:v>24.898924981377132</c:v>
                </c:pt>
                <c:pt idx="38">
                  <c:v>38.191536198476804</c:v>
                </c:pt>
                <c:pt idx="39">
                  <c:v>216.50690093503178</c:v>
                </c:pt>
                <c:pt idx="40">
                  <c:v>346.55322897296503</c:v>
                </c:pt>
                <c:pt idx="41">
                  <c:v>236.45410868267012</c:v>
                </c:pt>
                <c:pt idx="42">
                  <c:v>31.574325110443919</c:v>
                </c:pt>
                <c:pt idx="43">
                  <c:v>4.7408586690811889</c:v>
                </c:pt>
                <c:pt idx="44">
                  <c:v>22.449124308805033</c:v>
                </c:pt>
                <c:pt idx="45">
                  <c:v>97.476627836142882</c:v>
                </c:pt>
                <c:pt idx="46">
                  <c:v>57.993678718772216</c:v>
                </c:pt>
                <c:pt idx="47">
                  <c:v>55.494979233166298</c:v>
                </c:pt>
                <c:pt idx="48">
                  <c:v>0.93774275650279593</c:v>
                </c:pt>
                <c:pt idx="49">
                  <c:v>17.793966039447241</c:v>
                </c:pt>
                <c:pt idx="50">
                  <c:v>13.659050189870133</c:v>
                </c:pt>
                <c:pt idx="51">
                  <c:v>8.6217555392444911</c:v>
                </c:pt>
                <c:pt idx="52">
                  <c:v>3.217475607245103</c:v>
                </c:pt>
                <c:pt idx="53">
                  <c:v>10.196469207972216</c:v>
                </c:pt>
                <c:pt idx="54">
                  <c:v>12.783466498582397</c:v>
                </c:pt>
                <c:pt idx="55">
                  <c:v>-0.61770534914005637</c:v>
                </c:pt>
                <c:pt idx="56">
                  <c:v>12.356974010830651</c:v>
                </c:pt>
                <c:pt idx="57">
                  <c:v>21.182632012110016</c:v>
                </c:pt>
                <c:pt idx="58">
                  <c:v>4.2156702104035295</c:v>
                </c:pt>
                <c:pt idx="59">
                  <c:v>-9.8443116161891081E-2</c:v>
                </c:pt>
                <c:pt idx="60">
                  <c:v>0.33127593427614443</c:v>
                </c:pt>
                <c:pt idx="61">
                  <c:v>8.3692876103610114</c:v>
                </c:pt>
                <c:pt idx="62">
                  <c:v>91.748041476329661</c:v>
                </c:pt>
                <c:pt idx="63">
                  <c:v>28.227459343309349</c:v>
                </c:pt>
                <c:pt idx="64">
                  <c:v>13.150136806674979</c:v>
                </c:pt>
                <c:pt idx="65">
                  <c:v>7.3762848414363038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4-4CB6-B9DF-04AA7BCEE654}"/>
            </c:ext>
          </c:extLst>
        </c:ser>
        <c:ser>
          <c:idx val="0"/>
          <c:order val="2"/>
          <c:tx>
            <c:strRef>
              <c:f>decompositie!$A$4</c:f>
              <c:strCache>
                <c:ptCount val="1"/>
                <c:pt idx="0">
                  <c:v>verschil</c:v>
                </c:pt>
              </c:strCache>
            </c:strRef>
          </c:tx>
          <c:spPr>
            <a:ln w="12700">
              <a:solidFill>
                <a:srgbClr val="4F81BD">
                  <a:shade val="95000"/>
                  <a:satMod val="105000"/>
                </a:srgbClr>
              </a:solidFill>
            </a:ln>
          </c:spPr>
          <c:val>
            <c:numRef>
              <c:f>decompositie!$F$4:$BS$4</c:f>
              <c:numCache>
                <c:formatCode>#,##0</c:formatCode>
                <c:ptCount val="66"/>
                <c:pt idx="1">
                  <c:v>1.5524591176802143</c:v>
                </c:pt>
                <c:pt idx="2">
                  <c:v>4.973416692753279</c:v>
                </c:pt>
                <c:pt idx="3">
                  <c:v>-1.6498628327159786</c:v>
                </c:pt>
                <c:pt idx="4">
                  <c:v>-4.792035758267442</c:v>
                </c:pt>
                <c:pt idx="5">
                  <c:v>-1.6483196771179289</c:v>
                </c:pt>
                <c:pt idx="6">
                  <c:v>1.4349731036701745</c:v>
                </c:pt>
                <c:pt idx="7">
                  <c:v>-0.38400397859570456</c:v>
                </c:pt>
                <c:pt idx="8">
                  <c:v>0.41029232891738454</c:v>
                </c:pt>
                <c:pt idx="9">
                  <c:v>0.50934173458349474</c:v>
                </c:pt>
                <c:pt idx="10">
                  <c:v>1.170505865600342</c:v>
                </c:pt>
                <c:pt idx="11">
                  <c:v>9.565034327505062E-2</c:v>
                </c:pt>
                <c:pt idx="12">
                  <c:v>-4.7661317905681564</c:v>
                </c:pt>
                <c:pt idx="13">
                  <c:v>2.7792606658985797</c:v>
                </c:pt>
                <c:pt idx="14">
                  <c:v>-3.6141342330585782</c:v>
                </c:pt>
                <c:pt idx="15">
                  <c:v>-2.7091244473900464</c:v>
                </c:pt>
                <c:pt idx="16">
                  <c:v>-2.8458367750691265</c:v>
                </c:pt>
                <c:pt idx="17">
                  <c:v>-3.9148813940845089</c:v>
                </c:pt>
                <c:pt idx="18">
                  <c:v>-1.9051241153847864</c:v>
                </c:pt>
                <c:pt idx="19">
                  <c:v>5.7051016273771422</c:v>
                </c:pt>
                <c:pt idx="20">
                  <c:v>-6.6445966673907133</c:v>
                </c:pt>
                <c:pt idx="21">
                  <c:v>-13.705402345266037</c:v>
                </c:pt>
                <c:pt idx="22">
                  <c:v>-0.94406297836978936</c:v>
                </c:pt>
                <c:pt idx="23">
                  <c:v>1.4118131279426915</c:v>
                </c:pt>
                <c:pt idx="24">
                  <c:v>-3.5058089578466554</c:v>
                </c:pt>
                <c:pt idx="25">
                  <c:v>7.2791873926969251</c:v>
                </c:pt>
                <c:pt idx="26">
                  <c:v>-4.4521246614778889</c:v>
                </c:pt>
                <c:pt idx="27">
                  <c:v>-3.6583931365987699</c:v>
                </c:pt>
                <c:pt idx="28">
                  <c:v>4.4477775037471829</c:v>
                </c:pt>
                <c:pt idx="29">
                  <c:v>0.43791380676515601</c:v>
                </c:pt>
                <c:pt idx="30">
                  <c:v>-3.1072421352125925</c:v>
                </c:pt>
                <c:pt idx="31">
                  <c:v>5.5531316300623299</c:v>
                </c:pt>
                <c:pt idx="32">
                  <c:v>4.116482649166171</c:v>
                </c:pt>
                <c:pt idx="33">
                  <c:v>16.221076995162562</c:v>
                </c:pt>
                <c:pt idx="34">
                  <c:v>-10.24693491631897</c:v>
                </c:pt>
                <c:pt idx="35">
                  <c:v>-4.775421674020099</c:v>
                </c:pt>
                <c:pt idx="36">
                  <c:v>13.008936082470973</c:v>
                </c:pt>
                <c:pt idx="37">
                  <c:v>1.1010750186228684</c:v>
                </c:pt>
                <c:pt idx="38">
                  <c:v>5.5084638015231988</c:v>
                </c:pt>
                <c:pt idx="39">
                  <c:v>-73.00690093503178</c:v>
                </c:pt>
                <c:pt idx="40">
                  <c:v>21.94677102703497</c:v>
                </c:pt>
                <c:pt idx="41">
                  <c:v>-0.85410868267013029</c:v>
                </c:pt>
                <c:pt idx="42">
                  <c:v>-32.274325110443918</c:v>
                </c:pt>
                <c:pt idx="43">
                  <c:v>2.3591413309188107</c:v>
                </c:pt>
                <c:pt idx="44">
                  <c:v>-3.7491243088050332</c:v>
                </c:pt>
                <c:pt idx="45">
                  <c:v>1.3233721638571154</c:v>
                </c:pt>
                <c:pt idx="46">
                  <c:v>1.3063212812277811</c:v>
                </c:pt>
                <c:pt idx="47">
                  <c:v>-16.894979233166296</c:v>
                </c:pt>
                <c:pt idx="48">
                  <c:v>14.562257243497204</c:v>
                </c:pt>
                <c:pt idx="49">
                  <c:v>6.1060339605527574</c:v>
                </c:pt>
                <c:pt idx="50">
                  <c:v>-4.059050189870133</c:v>
                </c:pt>
                <c:pt idx="51">
                  <c:v>0.87824446075550888</c:v>
                </c:pt>
                <c:pt idx="52">
                  <c:v>8.0825243927548982</c:v>
                </c:pt>
                <c:pt idx="53">
                  <c:v>-3.7964692079722155</c:v>
                </c:pt>
                <c:pt idx="54">
                  <c:v>1.9165335014176019</c:v>
                </c:pt>
                <c:pt idx="55">
                  <c:v>0.51770534914005639</c:v>
                </c:pt>
                <c:pt idx="56">
                  <c:v>-5.4569740108306508</c:v>
                </c:pt>
                <c:pt idx="57">
                  <c:v>-3.4826320121100167</c:v>
                </c:pt>
                <c:pt idx="58">
                  <c:v>0.78432978959647048</c:v>
                </c:pt>
                <c:pt idx="59">
                  <c:v>1.998443116161891</c:v>
                </c:pt>
                <c:pt idx="60">
                  <c:v>3.0687240657238553</c:v>
                </c:pt>
                <c:pt idx="61">
                  <c:v>-1.4692876103610111</c:v>
                </c:pt>
                <c:pt idx="62">
                  <c:v>-36.248041476329661</c:v>
                </c:pt>
                <c:pt idx="63">
                  <c:v>-6.2274593433093486</c:v>
                </c:pt>
                <c:pt idx="64">
                  <c:v>-6.2501368066749787</c:v>
                </c:pt>
                <c:pt idx="65">
                  <c:v>-2.9762848414363035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4-4CB6-B9DF-04AA7BCEE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1120"/>
        <c:axId val="227682296"/>
      </c:lineChart>
      <c:catAx>
        <c:axId val="2276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2296"/>
        <c:crosses val="autoZero"/>
        <c:auto val="1"/>
        <c:lblAlgn val="ctr"/>
        <c:lblOffset val="100"/>
        <c:noMultiLvlLbl val="0"/>
      </c:catAx>
      <c:valAx>
        <c:axId val="227682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1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276729559748426"/>
          <c:y val="0.92537313432835822"/>
          <c:w val="0.27148846960167711"/>
          <c:h val="3.283582089552239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 w="12700"/>
          </c:spPr>
          <c:marker>
            <c:symbol val="circle"/>
            <c:size val="2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decompositie!$G$6:$BS$6</c:f>
              <c:numCache>
                <c:formatCode>0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-5.3050397877984157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14.294117647058835</c:v>
                </c:pt>
                <c:pt idx="31">
                  <c:v>20.586721564590825</c:v>
                </c:pt>
                <c:pt idx="32">
                  <c:v>43.960734101579192</c:v>
                </c:pt>
                <c:pt idx="33">
                  <c:v>-1.4823599169878521</c:v>
                </c:pt>
                <c:pt idx="34">
                  <c:v>29.732169726151071</c:v>
                </c:pt>
                <c:pt idx="35">
                  <c:v>9.2785896543725386</c:v>
                </c:pt>
                <c:pt idx="36">
                  <c:v>27.510082784971335</c:v>
                </c:pt>
                <c:pt idx="37">
                  <c:v>26.813162421619218</c:v>
                </c:pt>
                <c:pt idx="38">
                  <c:v>133.7592438629502</c:v>
                </c:pt>
                <c:pt idx="39">
                  <c:v>258.95434379738305</c:v>
                </c:pt>
                <c:pt idx="40">
                  <c:v>575.6006672134896</c:v>
                </c:pt>
                <c:pt idx="41">
                  <c:v>-10.868800752841047</c:v>
                </c:pt>
                <c:pt idx="42">
                  <c:v>1.0218441692281477</c:v>
                </c:pt>
                <c:pt idx="43">
                  <c:v>6.1620005070093242</c:v>
                </c:pt>
                <c:pt idx="44">
                  <c:v>117.35314101669343</c:v>
                </c:pt>
                <c:pt idx="45">
                  <c:v>54.4971332158986</c:v>
                </c:pt>
                <c:pt idx="46">
                  <c:v>50.633583008357299</c:v>
                </c:pt>
                <c:pt idx="47">
                  <c:v>10.382528117106805</c:v>
                </c:pt>
                <c:pt idx="48">
                  <c:v>10.970241839929674</c:v>
                </c:pt>
                <c:pt idx="49">
                  <c:v>2.9134275338776661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135.18131574900724</c:v>
                </c:pt>
                <c:pt idx="62">
                  <c:v>15.538461538461545</c:v>
                </c:pt>
                <c:pt idx="63">
                  <c:v>0.26631158455392434</c:v>
                </c:pt>
                <c:pt idx="64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BE-8EA5-889A88A2DF6D}"/>
            </c:ext>
          </c:extLst>
        </c:ser>
        <c:ser>
          <c:idx val="1"/>
          <c:order val="1"/>
          <c:tx>
            <c:strRef>
              <c:f>decompositie!$A$5</c:f>
              <c:strCache>
                <c:ptCount val="1"/>
                <c:pt idx="0">
                  <c:v>0,3*(M1/BBP -0,2)*100+0,3* M1%-reeel BBP)</c:v>
                </c:pt>
              </c:strCache>
            </c:strRef>
          </c:tx>
          <c:spPr>
            <a:ln w="15875"/>
          </c:spPr>
          <c:marker>
            <c:symbol val="square"/>
            <c:size val="2"/>
            <c:spPr>
              <a:solidFill>
                <a:srgbClr val="4F81BD"/>
              </a:solidFill>
            </c:spPr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decompositie!$F$5:$BS$5</c:f>
              <c:numCache>
                <c:formatCode>#,##0</c:formatCode>
                <c:ptCount val="66"/>
                <c:pt idx="1">
                  <c:v>0</c:v>
                </c:pt>
                <c:pt idx="2">
                  <c:v>0.67143663278797705</c:v>
                </c:pt>
                <c:pt idx="3">
                  <c:v>1.7685443919394379</c:v>
                </c:pt>
                <c:pt idx="4">
                  <c:v>4.9046169670069295</c:v>
                </c:pt>
                <c:pt idx="5">
                  <c:v>3.6997712847567925</c:v>
                </c:pt>
                <c:pt idx="6">
                  <c:v>-0.98290659998963248</c:v>
                </c:pt>
                <c:pt idx="7">
                  <c:v>4.0818231057835215</c:v>
                </c:pt>
                <c:pt idx="8">
                  <c:v>2.2337975297174388</c:v>
                </c:pt>
                <c:pt idx="9">
                  <c:v>1.3480084051328027</c:v>
                </c:pt>
                <c:pt idx="10">
                  <c:v>-1.8671468722528672E-2</c:v>
                </c:pt>
                <c:pt idx="11">
                  <c:v>6.0480424992191644</c:v>
                </c:pt>
                <c:pt idx="12">
                  <c:v>-0.6814169860297794</c:v>
                </c:pt>
                <c:pt idx="13">
                  <c:v>-1.7950183997754805</c:v>
                </c:pt>
                <c:pt idx="14">
                  <c:v>1.1093540792939729</c:v>
                </c:pt>
                <c:pt idx="15">
                  <c:v>-0.4662232870058744</c:v>
                </c:pt>
                <c:pt idx="16">
                  <c:v>2.0923795801331173</c:v>
                </c:pt>
                <c:pt idx="17">
                  <c:v>2.0345028513768093</c:v>
                </c:pt>
                <c:pt idx="18">
                  <c:v>0.27017314002463316</c:v>
                </c:pt>
                <c:pt idx="19">
                  <c:v>1.9166646898604718</c:v>
                </c:pt>
                <c:pt idx="20">
                  <c:v>2.1139388903006084</c:v>
                </c:pt>
                <c:pt idx="21">
                  <c:v>4.6306832794853898</c:v>
                </c:pt>
                <c:pt idx="22">
                  <c:v>-0.75684086938177242</c:v>
                </c:pt>
                <c:pt idx="23">
                  <c:v>4.365482166609544</c:v>
                </c:pt>
                <c:pt idx="24">
                  <c:v>1.3408285970045077</c:v>
                </c:pt>
                <c:pt idx="25">
                  <c:v>-0.55878092689037562</c:v>
                </c:pt>
                <c:pt idx="26">
                  <c:v>4.6876600506497699</c:v>
                </c:pt>
                <c:pt idx="27">
                  <c:v>4.6979597716593355</c:v>
                </c:pt>
                <c:pt idx="28">
                  <c:v>14.924146800819392</c:v>
                </c:pt>
                <c:pt idx="29">
                  <c:v>21.42503627998639</c:v>
                </c:pt>
                <c:pt idx="30">
                  <c:v>9.1526774433778399</c:v>
                </c:pt>
                <c:pt idx="31">
                  <c:v>15.602990491131694</c:v>
                </c:pt>
                <c:pt idx="32">
                  <c:v>26.445757242366575</c:v>
                </c:pt>
                <c:pt idx="33">
                  <c:v>29.515280726152106</c:v>
                </c:pt>
                <c:pt idx="34">
                  <c:v>28.464291292506921</c:v>
                </c:pt>
                <c:pt idx="35">
                  <c:v>20.805617815190374</c:v>
                </c:pt>
                <c:pt idx="36">
                  <c:v>-1.5954904362754192</c:v>
                </c:pt>
                <c:pt idx="37">
                  <c:v>27.797860012828053</c:v>
                </c:pt>
                <c:pt idx="38">
                  <c:v>23.638988911435547</c:v>
                </c:pt>
                <c:pt idx="39">
                  <c:v>14.621809118101538</c:v>
                </c:pt>
                <c:pt idx="40">
                  <c:v>37.689611663044062</c:v>
                </c:pt>
                <c:pt idx="41">
                  <c:v>78.142721402428378</c:v>
                </c:pt>
                <c:pt idx="42">
                  <c:v>47.04690577922937</c:v>
                </c:pt>
                <c:pt idx="43">
                  <c:v>8.3579784626415474</c:v>
                </c:pt>
                <c:pt idx="44">
                  <c:v>6.6403622034879071</c:v>
                </c:pt>
                <c:pt idx="45">
                  <c:v>-2.4674908899490191</c:v>
                </c:pt>
                <c:pt idx="46">
                  <c:v>14.233473356790443</c:v>
                </c:pt>
                <c:pt idx="47">
                  <c:v>29.435082778132568</c:v>
                </c:pt>
                <c:pt idx="48">
                  <c:v>11.044041032945568</c:v>
                </c:pt>
                <c:pt idx="49">
                  <c:v>8.9435106622053588</c:v>
                </c:pt>
                <c:pt idx="50">
                  <c:v>-3.7638508204916055</c:v>
                </c:pt>
                <c:pt idx="51">
                  <c:v>3.7174400395384599</c:v>
                </c:pt>
                <c:pt idx="52">
                  <c:v>16.294931006092447</c:v>
                </c:pt>
                <c:pt idx="53">
                  <c:v>14.438227107907688</c:v>
                </c:pt>
                <c:pt idx="54">
                  <c:v>7.227816207573019</c:v>
                </c:pt>
                <c:pt idx="55">
                  <c:v>7.9597532934985402</c:v>
                </c:pt>
                <c:pt idx="56">
                  <c:v>3.6564122093240279</c:v>
                </c:pt>
                <c:pt idx="57">
                  <c:v>3.6375732938470553</c:v>
                </c:pt>
                <c:pt idx="58">
                  <c:v>5.2019285742229684</c:v>
                </c:pt>
                <c:pt idx="59">
                  <c:v>7.2970941514592624</c:v>
                </c:pt>
                <c:pt idx="60">
                  <c:v>2.134112342467958</c:v>
                </c:pt>
                <c:pt idx="61">
                  <c:v>3.1931904406570086</c:v>
                </c:pt>
                <c:pt idx="62">
                  <c:v>5.8704280232474222</c:v>
                </c:pt>
                <c:pt idx="63">
                  <c:v>17.851271426801205</c:v>
                </c:pt>
                <c:pt idx="64">
                  <c:v>7.1603836055979091</c:v>
                </c:pt>
                <c:pt idx="65">
                  <c:v>7.4943196210245375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A-4ABE-8EA5-889A88A2D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3080"/>
        <c:axId val="227683864"/>
      </c:lineChart>
      <c:catAx>
        <c:axId val="227683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3864"/>
        <c:crosses val="autoZero"/>
        <c:auto val="1"/>
        <c:lblAlgn val="ctr"/>
        <c:lblOffset val="100"/>
        <c:noMultiLvlLbl val="0"/>
      </c:catAx>
      <c:valAx>
        <c:axId val="2276838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3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88456549935148"/>
          <c:y val="0.3569230769230769"/>
          <c:w val="0.31517509727626458"/>
          <c:h val="0.2338461538461538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Model!$A$359</c:f>
              <c:strCache>
                <c:ptCount val="1"/>
                <c:pt idx="0">
                  <c:v>Exports 1956 =100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Model!$H$359:$CG$359</c:f>
              <c:numCache>
                <c:formatCode>#,##0</c:formatCode>
                <c:ptCount val="78"/>
                <c:pt idx="0">
                  <c:v>100</c:v>
                </c:pt>
                <c:pt idx="1">
                  <c:v>97.257038038526403</c:v>
                </c:pt>
                <c:pt idx="2">
                  <c:v>83.686549865037676</c:v>
                </c:pt>
                <c:pt idx="3">
                  <c:v>100.16334258705876</c:v>
                </c:pt>
                <c:pt idx="4">
                  <c:v>111.83256098756863</c:v>
                </c:pt>
                <c:pt idx="5">
                  <c:v>107.20300501151958</c:v>
                </c:pt>
                <c:pt idx="6">
                  <c:v>106.0534510157338</c:v>
                </c:pt>
                <c:pt idx="7">
                  <c:v>118.68947605613216</c:v>
                </c:pt>
                <c:pt idx="8">
                  <c:v>126.31324220549016</c:v>
                </c:pt>
                <c:pt idx="9">
                  <c:v>151.26360326056968</c:v>
                </c:pt>
                <c:pt idx="10">
                  <c:v>201.1656552982129</c:v>
                </c:pt>
                <c:pt idx="11">
                  <c:v>222.74601653858352</c:v>
                </c:pt>
                <c:pt idx="12">
                  <c:v>237.7654376567823</c:v>
                </c:pt>
                <c:pt idx="13">
                  <c:v>259.78206226406371</c:v>
                </c:pt>
                <c:pt idx="14">
                  <c:v>255.45309553485276</c:v>
                </c:pt>
                <c:pt idx="15">
                  <c:v>287.59265991864953</c:v>
                </c:pt>
                <c:pt idx="16">
                  <c:v>305.50721069045295</c:v>
                </c:pt>
                <c:pt idx="17">
                  <c:v>300.38099972065453</c:v>
                </c:pt>
                <c:pt idx="18">
                  <c:v>314.21411832154507</c:v>
                </c:pt>
                <c:pt idx="19">
                  <c:v>288.34833025538012</c:v>
                </c:pt>
                <c:pt idx="20">
                  <c:v>279.99690353334546</c:v>
                </c:pt>
                <c:pt idx="21">
                  <c:v>286.67976934042929</c:v>
                </c:pt>
                <c:pt idx="22">
                  <c:v>311.76887512120118</c:v>
                </c:pt>
                <c:pt idx="23">
                  <c:v>327.23282392814167</c:v>
                </c:pt>
                <c:pt idx="24">
                  <c:v>329.17574541114624</c:v>
                </c:pt>
                <c:pt idx="25">
                  <c:v>279.52495748976304</c:v>
                </c:pt>
                <c:pt idx="26">
                  <c:v>280.18529923690033</c:v>
                </c:pt>
                <c:pt idx="27">
                  <c:v>261.27359649381901</c:v>
                </c:pt>
                <c:pt idx="28">
                  <c:v>244.73073943357556</c:v>
                </c:pt>
                <c:pt idx="29">
                  <c:v>273.54392074512941</c:v>
                </c:pt>
                <c:pt idx="30">
                  <c:v>253.95827054052504</c:v>
                </c:pt>
                <c:pt idx="31">
                  <c:v>269.16838021538211</c:v>
                </c:pt>
                <c:pt idx="32">
                  <c:v>243.85639152378747</c:v>
                </c:pt>
                <c:pt idx="33">
                  <c:v>227.31390774207668</c:v>
                </c:pt>
                <c:pt idx="34">
                  <c:v>216.96581725801454</c:v>
                </c:pt>
                <c:pt idx="35">
                  <c:v>203.40427482531274</c:v>
                </c:pt>
                <c:pt idx="36">
                  <c:v>232.16536134918022</c:v>
                </c:pt>
                <c:pt idx="37">
                  <c:v>217.1428549908097</c:v>
                </c:pt>
                <c:pt idx="38">
                  <c:v>211.61935902426922</c:v>
                </c:pt>
                <c:pt idx="39">
                  <c:v>237.56249879471224</c:v>
                </c:pt>
                <c:pt idx="40">
                  <c:v>214.65327812124335</c:v>
                </c:pt>
                <c:pt idx="41">
                  <c:v>223.42271090786468</c:v>
                </c:pt>
                <c:pt idx="42">
                  <c:v>216.86413401172899</c:v>
                </c:pt>
                <c:pt idx="43">
                  <c:v>226.58984144662372</c:v>
                </c:pt>
                <c:pt idx="44">
                  <c:v>240.1030117203963</c:v>
                </c:pt>
                <c:pt idx="45">
                  <c:v>259.66464717825994</c:v>
                </c:pt>
                <c:pt idx="46">
                  <c:v>231.13184029201324</c:v>
                </c:pt>
                <c:pt idx="47">
                  <c:v>320.333704289769</c:v>
                </c:pt>
                <c:pt idx="48">
                  <c:v>437.65021541191385</c:v>
                </c:pt>
                <c:pt idx="49">
                  <c:v>480.40082899283482</c:v>
                </c:pt>
                <c:pt idx="50">
                  <c:v>456.7689563992721</c:v>
                </c:pt>
                <c:pt idx="51">
                  <c:v>465.55710779067164</c:v>
                </c:pt>
                <c:pt idx="52">
                  <c:v>523.74834932766771</c:v>
                </c:pt>
                <c:pt idx="53">
                  <c:v>504.02205230751991</c:v>
                </c:pt>
                <c:pt idx="54">
                  <c:v>518.5899519454498</c:v>
                </c:pt>
                <c:pt idx="55">
                  <c:v>542.13005805662351</c:v>
                </c:pt>
                <c:pt idx="56">
                  <c:v>536.39065719362554</c:v>
                </c:pt>
                <c:pt idx="57">
                  <c:v>541.82015898705981</c:v>
                </c:pt>
                <c:pt idx="58">
                  <c:v>526.54337481938512</c:v>
                </c:pt>
                <c:pt idx="59">
                  <c:v>453.2013072258265</c:v>
                </c:pt>
                <c:pt idx="60">
                  <c:v>366.5005880064117</c:v>
                </c:pt>
                <c:pt idx="61">
                  <c:v>494.48615559388401</c:v>
                </c:pt>
                <c:pt idx="62">
                  <c:v>509.6462460397712</c:v>
                </c:pt>
                <c:pt idx="63">
                  <c:v>494.45163714621697</c:v>
                </c:pt>
                <c:pt idx="64">
                  <c:v>469.84216539717318</c:v>
                </c:pt>
                <c:pt idx="65">
                  <c:v>507.03926527928922</c:v>
                </c:pt>
                <c:pt idx="66">
                  <c:v>517.95824052537148</c:v>
                </c:pt>
                <c:pt idx="67">
                  <c:v>529.12062942901946</c:v>
                </c:pt>
                <c:pt idx="68">
                  <c:v>540.53393690631526</c:v>
                </c:pt>
                <c:pt idx="69">
                  <c:v>552.20659901607462</c:v>
                </c:pt>
                <c:pt idx="70">
                  <c:v>564.13246905244227</c:v>
                </c:pt>
                <c:pt idx="71">
                  <c:v>576.31764089512706</c:v>
                </c:pt>
                <c:pt idx="72">
                  <c:v>588.76855244375884</c:v>
                </c:pt>
                <c:pt idx="73">
                  <c:v>601.49197905549056</c:v>
                </c:pt>
                <c:pt idx="74">
                  <c:v>614.49511552743638</c:v>
                </c:pt>
                <c:pt idx="75">
                  <c:v>627.78567649122544</c:v>
                </c:pt>
                <c:pt idx="76">
                  <c:v>641.37203184436396</c:v>
                </c:pt>
                <c:pt idx="77">
                  <c:v>655.26338966247692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D-4E65-B74D-4249C6CAEB2A}"/>
            </c:ext>
          </c:extLst>
        </c:ser>
        <c:ser>
          <c:idx val="1"/>
          <c:order val="1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Model!$H$365:$CG$365</c:f>
              <c:numCache>
                <c:formatCode>#,##0</c:formatCode>
                <c:ptCount val="78"/>
                <c:pt idx="0">
                  <c:v>100</c:v>
                </c:pt>
                <c:pt idx="1">
                  <c:v>102.04760167350346</c:v>
                </c:pt>
                <c:pt idx="2">
                  <c:v>103.96099420488166</c:v>
                </c:pt>
                <c:pt idx="3">
                  <c:v>115.44134939315077</c:v>
                </c:pt>
                <c:pt idx="4">
                  <c:v>123.66730189984504</c:v>
                </c:pt>
                <c:pt idx="5">
                  <c:v>131.36484858285556</c:v>
                </c:pt>
                <c:pt idx="6">
                  <c:v>138.26613571008295</c:v>
                </c:pt>
                <c:pt idx="7">
                  <c:v>147.76328129417374</c:v>
                </c:pt>
                <c:pt idx="8">
                  <c:v>151.61781748641747</c:v>
                </c:pt>
                <c:pt idx="9">
                  <c:v>170.20496290486898</c:v>
                </c:pt>
                <c:pt idx="10">
                  <c:v>206.73206768129424</c:v>
                </c:pt>
                <c:pt idx="11">
                  <c:v>222.67105583913681</c:v>
                </c:pt>
                <c:pt idx="12">
                  <c:v>243.87782306191178</c:v>
                </c:pt>
                <c:pt idx="13">
                  <c:v>260.2477758885563</c:v>
                </c:pt>
                <c:pt idx="14">
                  <c:v>270.20205341759572</c:v>
                </c:pt>
                <c:pt idx="15">
                  <c:v>297.51435088923876</c:v>
                </c:pt>
                <c:pt idx="16">
                  <c:v>301.04933301012068</c:v>
                </c:pt>
                <c:pt idx="17">
                  <c:v>292.25642846748502</c:v>
                </c:pt>
                <c:pt idx="18">
                  <c:v>304.3710837530881</c:v>
                </c:pt>
                <c:pt idx="19">
                  <c:v>321.48810838117936</c:v>
                </c:pt>
                <c:pt idx="20">
                  <c:v>326.27410740473243</c:v>
                </c:pt>
                <c:pt idx="21">
                  <c:v>354.43114333237651</c:v>
                </c:pt>
                <c:pt idx="22">
                  <c:v>384.81675571128716</c:v>
                </c:pt>
                <c:pt idx="23">
                  <c:v>355.53796824053495</c:v>
                </c:pt>
                <c:pt idx="24">
                  <c:v>328.77280390416291</c:v>
                </c:pt>
                <c:pt idx="25">
                  <c:v>338.19576253741445</c:v>
                </c:pt>
                <c:pt idx="26">
                  <c:v>317.41254429677099</c:v>
                </c:pt>
                <c:pt idx="27">
                  <c:v>302.81881576658844</c:v>
                </c:pt>
                <c:pt idx="28">
                  <c:v>304.94451735736084</c:v>
                </c:pt>
                <c:pt idx="29">
                  <c:v>295.21159498734323</c:v>
                </c:pt>
                <c:pt idx="30">
                  <c:v>290.03490009439952</c:v>
                </c:pt>
                <c:pt idx="31">
                  <c:v>268.91828210237503</c:v>
                </c:pt>
                <c:pt idx="32">
                  <c:v>292.17627308741146</c:v>
                </c:pt>
                <c:pt idx="33">
                  <c:v>306.03093203571802</c:v>
                </c:pt>
                <c:pt idx="34">
                  <c:v>297.01870325199576</c:v>
                </c:pt>
                <c:pt idx="35">
                  <c:v>306.59655067953798</c:v>
                </c:pt>
                <c:pt idx="36">
                  <c:v>309.71256403015582</c:v>
                </c:pt>
                <c:pt idx="37">
                  <c:v>272.77270084764041</c:v>
                </c:pt>
                <c:pt idx="38">
                  <c:v>268.83572633825037</c:v>
                </c:pt>
                <c:pt idx="39">
                  <c:v>292.09386706608757</c:v>
                </c:pt>
                <c:pt idx="40">
                  <c:v>297.35475805173058</c:v>
                </c:pt>
                <c:pt idx="41">
                  <c:v>290.86106886433805</c:v>
                </c:pt>
                <c:pt idx="42">
                  <c:v>319.71780723007521</c:v>
                </c:pt>
                <c:pt idx="43">
                  <c:v>316.21696231350364</c:v>
                </c:pt>
                <c:pt idx="44">
                  <c:v>320.91168711141631</c:v>
                </c:pt>
                <c:pt idx="45">
                  <c:v>340.38296728332898</c:v>
                </c:pt>
                <c:pt idx="46">
                  <c:v>347.87993077197979</c:v>
                </c:pt>
                <c:pt idx="47">
                  <c:v>369.01720283025929</c:v>
                </c:pt>
                <c:pt idx="48">
                  <c:v>397.33906489849591</c:v>
                </c:pt>
                <c:pt idx="49">
                  <c:v>437.07297138834554</c:v>
                </c:pt>
                <c:pt idx="50">
                  <c:v>462.42320372886962</c:v>
                </c:pt>
                <c:pt idx="51">
                  <c:v>486.00678711904192</c:v>
                </c:pt>
                <c:pt idx="52">
                  <c:v>505.93306539092259</c:v>
                </c:pt>
                <c:pt idx="53">
                  <c:v>521.11105735265016</c:v>
                </c:pt>
                <c:pt idx="54">
                  <c:v>547.68772127763543</c:v>
                </c:pt>
                <c:pt idx="55">
                  <c:v>576.53557904011484</c:v>
                </c:pt>
                <c:pt idx="56">
                  <c:v>595.3860581208163</c:v>
                </c:pt>
                <c:pt idx="57">
                  <c:v>612.85135822753659</c:v>
                </c:pt>
                <c:pt idx="58">
                  <c:v>615.079689620463</c:v>
                </c:pt>
                <c:pt idx="59">
                  <c:v>593.45885259179897</c:v>
                </c:pt>
                <c:pt idx="60">
                  <c:v>560.45545790737583</c:v>
                </c:pt>
                <c:pt idx="61">
                  <c:v>570.33238624359012</c:v>
                </c:pt>
                <c:pt idx="62">
                  <c:v>585.26822909347516</c:v>
                </c:pt>
                <c:pt idx="63">
                  <c:v>587.02403378075564</c:v>
                </c:pt>
                <c:pt idx="64">
                  <c:v>493.64046932894968</c:v>
                </c:pt>
                <c:pt idx="65">
                  <c:v>531.32000666722786</c:v>
                </c:pt>
                <c:pt idx="66">
                  <c:v>543.93056973906175</c:v>
                </c:pt>
                <c:pt idx="67">
                  <c:v>563.72456878302432</c:v>
                </c:pt>
                <c:pt idx="68">
                  <c:v>586.42445155334815</c:v>
                </c:pt>
                <c:pt idx="69">
                  <c:v>609.35381927475737</c:v>
                </c:pt>
                <c:pt idx="70">
                  <c:v>635.08648264137719</c:v>
                </c:pt>
                <c:pt idx="71">
                  <c:v>663.58297322554438</c:v>
                </c:pt>
                <c:pt idx="72">
                  <c:v>695.33623379050039</c:v>
                </c:pt>
                <c:pt idx="73">
                  <c:v>731.0282930828248</c:v>
                </c:pt>
                <c:pt idx="74">
                  <c:v>771.51780867093953</c:v>
                </c:pt>
                <c:pt idx="75">
                  <c:v>817.86770664715414</c:v>
                </c:pt>
                <c:pt idx="76">
                  <c:v>871.34787212004471</c:v>
                </c:pt>
                <c:pt idx="77">
                  <c:v>933.38316183040752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D-4E65-B74D-4249C6CAE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66744"/>
        <c:axId val="239275760"/>
      </c:lineChart>
      <c:catAx>
        <c:axId val="239266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5760"/>
        <c:crosses val="autoZero"/>
        <c:auto val="1"/>
        <c:lblAlgn val="ctr"/>
        <c:lblOffset val="100"/>
        <c:noMultiLvlLbl val="0"/>
      </c:catAx>
      <c:valAx>
        <c:axId val="239275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6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8333552055993"/>
          <c:y val="0.72727475181304813"/>
          <c:w val="0.76666819772528438"/>
          <c:h val="6.6115991699384646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Model!$A$367</c:f>
              <c:strCache>
                <c:ptCount val="1"/>
                <c:pt idx="0">
                  <c:v>deflator BBP Model, 1956=100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Model!$B$367:$BD$367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108.57142857142857</c:v>
                </c:pt>
                <c:pt idx="8">
                  <c:v>108.57142857142857</c:v>
                </c:pt>
                <c:pt idx="9">
                  <c:v>108.57142857142857</c:v>
                </c:pt>
                <c:pt idx="10">
                  <c:v>111.42857142857143</c:v>
                </c:pt>
                <c:pt idx="11">
                  <c:v>113.33333333333333</c:v>
                </c:pt>
                <c:pt idx="12">
                  <c:v>116.1904761904762</c:v>
                </c:pt>
                <c:pt idx="13">
                  <c:v>118.09523809523812</c:v>
                </c:pt>
                <c:pt idx="14">
                  <c:v>122.85714285714288</c:v>
                </c:pt>
                <c:pt idx="15">
                  <c:v>125.71428571428571</c:v>
                </c:pt>
                <c:pt idx="16">
                  <c:v>127.61904761904761</c:v>
                </c:pt>
                <c:pt idx="17">
                  <c:v>137.14285714285717</c:v>
                </c:pt>
                <c:pt idx="18">
                  <c:v>137.14285714285717</c:v>
                </c:pt>
                <c:pt idx="19">
                  <c:v>138.09523809523813</c:v>
                </c:pt>
                <c:pt idx="20">
                  <c:v>140.95238095238099</c:v>
                </c:pt>
                <c:pt idx="21">
                  <c:v>140.11574621200566</c:v>
                </c:pt>
                <c:pt idx="22">
                  <c:v>143.53086174374903</c:v>
                </c:pt>
                <c:pt idx="23">
                  <c:v>160.88074680724355</c:v>
                </c:pt>
                <c:pt idx="24">
                  <c:v>186.55583348043112</c:v>
                </c:pt>
                <c:pt idx="25">
                  <c:v>200.53174806950335</c:v>
                </c:pt>
                <c:pt idx="26">
                  <c:v>214.56897043436857</c:v>
                </c:pt>
                <c:pt idx="27">
                  <c:v>250.66468508687916</c:v>
                </c:pt>
                <c:pt idx="28">
                  <c:v>264.70190745174443</c:v>
                </c:pt>
                <c:pt idx="29">
                  <c:v>304.80825706564514</c:v>
                </c:pt>
                <c:pt idx="30">
                  <c:v>334.88801927607062</c:v>
                </c:pt>
                <c:pt idx="31">
                  <c:v>364.05078081207847</c:v>
                </c:pt>
                <c:pt idx="32">
                  <c:v>399.2320285136405</c:v>
                </c:pt>
                <c:pt idx="33">
                  <c:v>404.06577330401745</c:v>
                </c:pt>
                <c:pt idx="34">
                  <c:v>404.65530856511043</c:v>
                </c:pt>
                <c:pt idx="35">
                  <c:v>409.55214054200519</c:v>
                </c:pt>
                <c:pt idx="36">
                  <c:v>425.45713542169767</c:v>
                </c:pt>
                <c:pt idx="37">
                  <c:v>504.7009417310307</c:v>
                </c:pt>
                <c:pt idx="38">
                  <c:v>550.320438296887</c:v>
                </c:pt>
                <c:pt idx="39">
                  <c:v>613.87909017573008</c:v>
                </c:pt>
                <c:pt idx="40">
                  <c:v>760.93372753293875</c:v>
                </c:pt>
                <c:pt idx="41">
                  <c:v>850.47017873419611</c:v>
                </c:pt>
                <c:pt idx="42">
                  <c:v>1140.2753196024319</c:v>
                </c:pt>
                <c:pt idx="43">
                  <c:v>3109.9145239954996</c:v>
                </c:pt>
                <c:pt idx="44">
                  <c:v>17562.163699257151</c:v>
                </c:pt>
                <c:pt idx="45">
                  <c:v>60897.611473142046</c:v>
                </c:pt>
                <c:pt idx="46">
                  <c:v>67597.641253616282</c:v>
                </c:pt>
                <c:pt idx="47">
                  <c:v>74136.9816196912</c:v>
                </c:pt>
                <c:pt idx="48">
                  <c:v>80872.337425618534</c:v>
                </c:pt>
                <c:pt idx="49">
                  <c:v>140262.27881321081</c:v>
                </c:pt>
                <c:pt idx="50">
                  <c:v>226828.61618844554</c:v>
                </c:pt>
                <c:pt idx="51">
                  <c:v>310922.09292555018</c:v>
                </c:pt>
                <c:pt idx="52">
                  <c:v>429871.11115988955</c:v>
                </c:pt>
                <c:pt idx="53">
                  <c:v>522612.0856034733</c:v>
                </c:pt>
                <c:pt idx="54">
                  <c:v>594221.92744816281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3-43CB-B587-58974C53DC36}"/>
            </c:ext>
          </c:extLst>
        </c:ser>
        <c:ser>
          <c:idx val="2"/>
          <c:order val="1"/>
          <c:tx>
            <c:strRef>
              <c:f>Model!$A$369</c:f>
              <c:strCache>
                <c:ptCount val="1"/>
                <c:pt idx="0">
                  <c:v>CPI 1956 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Model!$B$369:$BD$369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108.7</c:v>
                </c:pt>
                <c:pt idx="8">
                  <c:v>108.7</c:v>
                </c:pt>
                <c:pt idx="9">
                  <c:v>108.7</c:v>
                </c:pt>
                <c:pt idx="10">
                  <c:v>111.5262</c:v>
                </c:pt>
                <c:pt idx="11">
                  <c:v>113.42214539999999</c:v>
                </c:pt>
                <c:pt idx="12">
                  <c:v>116.25769903499999</c:v>
                </c:pt>
                <c:pt idx="13">
                  <c:v>118.23407991859497</c:v>
                </c:pt>
                <c:pt idx="14">
                  <c:v>123.08167719525736</c:v>
                </c:pt>
                <c:pt idx="15">
                  <c:v>125.91255577074827</c:v>
                </c:pt>
                <c:pt idx="16">
                  <c:v>127.80124410730949</c:v>
                </c:pt>
                <c:pt idx="17">
                  <c:v>137.3863374153577</c:v>
                </c:pt>
                <c:pt idx="18">
                  <c:v>137.3863374153577</c:v>
                </c:pt>
                <c:pt idx="19">
                  <c:v>138.76020078951129</c:v>
                </c:pt>
                <c:pt idx="20">
                  <c:v>141.2578844037225</c:v>
                </c:pt>
                <c:pt idx="21">
                  <c:v>140.41033709730016</c:v>
                </c:pt>
                <c:pt idx="22">
                  <c:v>143.78018518763537</c:v>
                </c:pt>
                <c:pt idx="23">
                  <c:v>161.03380741015164</c:v>
                </c:pt>
                <c:pt idx="24">
                  <c:v>186.63818278836575</c:v>
                </c:pt>
                <c:pt idx="25">
                  <c:v>200.63604649749317</c:v>
                </c:pt>
                <c:pt idx="26">
                  <c:v>219.29519882176004</c:v>
                </c:pt>
                <c:pt idx="27">
                  <c:v>238.59317631807494</c:v>
                </c:pt>
                <c:pt idx="28">
                  <c:v>257.68063042352094</c:v>
                </c:pt>
                <c:pt idx="29">
                  <c:v>293.7559186828139</c:v>
                </c:pt>
                <c:pt idx="30">
                  <c:v>332.53169994894535</c:v>
                </c:pt>
                <c:pt idx="31">
                  <c:v>361.46195784450356</c:v>
                </c:pt>
                <c:pt idx="32">
                  <c:v>387.8486807671523</c:v>
                </c:pt>
                <c:pt idx="33">
                  <c:v>404.91402272090704</c:v>
                </c:pt>
                <c:pt idx="34">
                  <c:v>419.8958415615806</c:v>
                </c:pt>
                <c:pt idx="35">
                  <c:v>465.66448829179285</c:v>
                </c:pt>
                <c:pt idx="36">
                  <c:v>552.7437476023581</c:v>
                </c:pt>
                <c:pt idx="37">
                  <c:v>847.90890882201734</c:v>
                </c:pt>
                <c:pt idx="38">
                  <c:v>909.80625916602457</c:v>
                </c:pt>
                <c:pt idx="39">
                  <c:v>917.08470923935283</c:v>
                </c:pt>
                <c:pt idx="40">
                  <c:v>1117.0091758535318</c:v>
                </c:pt>
                <c:pt idx="41">
                  <c:v>1407.4315615754501</c:v>
                </c:pt>
                <c:pt idx="42">
                  <c:v>2022.4791539839218</c:v>
                </c:pt>
                <c:pt idx="43">
                  <c:v>4924.7367399508494</c:v>
                </c:pt>
                <c:pt idx="44">
                  <c:v>23072.391626669731</c:v>
                </c:pt>
                <c:pt idx="45">
                  <c:v>77430.946299103613</c:v>
                </c:pt>
                <c:pt idx="46">
                  <c:v>76888.929675009887</c:v>
                </c:pt>
                <c:pt idx="47">
                  <c:v>82348.043681935582</c:v>
                </c:pt>
                <c:pt idx="48">
                  <c:v>97747.127850457546</c:v>
                </c:pt>
                <c:pt idx="49">
                  <c:v>194321.2901667096</c:v>
                </c:pt>
                <c:pt idx="50">
                  <c:v>309553.81523556839</c:v>
                </c:pt>
                <c:pt idx="51">
                  <c:v>429041.58791649784</c:v>
                </c:pt>
                <c:pt idx="52">
                  <c:v>495543.03404355503</c:v>
                </c:pt>
                <c:pt idx="53">
                  <c:v>613977.8191799646</c:v>
                </c:pt>
                <c:pt idx="54">
                  <c:v>672919.68982124131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3-43CB-B587-58974C53D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67528"/>
        <c:axId val="239268312"/>
      </c:lineChart>
      <c:catAx>
        <c:axId val="23926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8312"/>
        <c:crosses val="autoZero"/>
        <c:auto val="1"/>
        <c:lblAlgn val="ctr"/>
        <c:lblOffset val="100"/>
        <c:noMultiLvlLbl val="0"/>
      </c:catAx>
      <c:valAx>
        <c:axId val="239268312"/>
        <c:scaling>
          <c:logBase val="10"/>
          <c:orientation val="minMax"/>
          <c:min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7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684085510688834"/>
          <c:y val="0.44730728331089759"/>
          <c:w val="0.24584323040380052"/>
          <c:h val="0.11241242385685396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Model!$A$357</c:f>
              <c:strCache>
                <c:ptCount val="1"/>
                <c:pt idx="0">
                  <c:v>GDP per capita prijzen 2017</c:v>
                </c:pt>
              </c:strCache>
            </c:strRef>
          </c:tx>
          <c:marker>
            <c:symbol val="none"/>
          </c:marker>
          <c:cat>
            <c:numRef>
              <c:f>Model!$F$2:$CY$2</c:f>
              <c:numCache>
                <c:formatCode>General</c:formatCode>
                <c:ptCount val="9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  <c:pt idx="81">
                  <c:v>2017</c:v>
                </c:pt>
                <c:pt idx="82">
                  <c:v>2018</c:v>
                </c:pt>
                <c:pt idx="83">
                  <c:v>2019</c:v>
                </c:pt>
                <c:pt idx="84">
                  <c:v>2020</c:v>
                </c:pt>
                <c:pt idx="85">
                  <c:v>2021</c:v>
                </c:pt>
                <c:pt idx="86">
                  <c:v>2022</c:v>
                </c:pt>
                <c:pt idx="87">
                  <c:v>2023</c:v>
                </c:pt>
                <c:pt idx="88">
                  <c:v>2024</c:v>
                </c:pt>
                <c:pt idx="89">
                  <c:v>2025</c:v>
                </c:pt>
                <c:pt idx="90">
                  <c:v>2026</c:v>
                </c:pt>
                <c:pt idx="91">
                  <c:v>2027</c:v>
                </c:pt>
                <c:pt idx="92">
                  <c:v>2028</c:v>
                </c:pt>
                <c:pt idx="93">
                  <c:v>2029</c:v>
                </c:pt>
                <c:pt idx="94">
                  <c:v>2030</c:v>
                </c:pt>
                <c:pt idx="95">
                  <c:v>2031</c:v>
                </c:pt>
                <c:pt idx="96">
                  <c:v>2032</c:v>
                </c:pt>
                <c:pt idx="97">
                  <c:v>2033</c:v>
                </c:pt>
              </c:numCache>
            </c:numRef>
          </c:cat>
          <c:val>
            <c:numRef>
              <c:f>Model!$F$357:$CG$357</c:f>
              <c:numCache>
                <c:formatCode>#,##0</c:formatCode>
                <c:ptCount val="80"/>
                <c:pt idx="0">
                  <c:v>16396.810894172268</c:v>
                </c:pt>
                <c:pt idx="1">
                  <c:v>16865.40287759043</c:v>
                </c:pt>
                <c:pt idx="2">
                  <c:v>17178.430121761477</c:v>
                </c:pt>
                <c:pt idx="3">
                  <c:v>16855.938327447304</c:v>
                </c:pt>
                <c:pt idx="4">
                  <c:v>16535.987572977694</c:v>
                </c:pt>
                <c:pt idx="5">
                  <c:v>17706.260065013088</c:v>
                </c:pt>
                <c:pt idx="6">
                  <c:v>18313.879892957633</c:v>
                </c:pt>
                <c:pt idx="7">
                  <c:v>18805.348542090978</c:v>
                </c:pt>
                <c:pt idx="8">
                  <c:v>19154.799139643928</c:v>
                </c:pt>
                <c:pt idx="9">
                  <c:v>19830.790103147508</c:v>
                </c:pt>
                <c:pt idx="10">
                  <c:v>19671.874802531944</c:v>
                </c:pt>
                <c:pt idx="11">
                  <c:v>21690.31193388133</c:v>
                </c:pt>
                <c:pt idx="12">
                  <c:v>25585.967943676242</c:v>
                </c:pt>
                <c:pt idx="13">
                  <c:v>26786.688586978595</c:v>
                </c:pt>
                <c:pt idx="14">
                  <c:v>28694.781890371196</c:v>
                </c:pt>
                <c:pt idx="15">
                  <c:v>29884.012507394888</c:v>
                </c:pt>
                <c:pt idx="16">
                  <c:v>30862.014983141758</c:v>
                </c:pt>
                <c:pt idx="17">
                  <c:v>33801.784234510757</c:v>
                </c:pt>
                <c:pt idx="18">
                  <c:v>33845.255529013295</c:v>
                </c:pt>
                <c:pt idx="19">
                  <c:v>32685.59023493472</c:v>
                </c:pt>
                <c:pt idx="20">
                  <c:v>34308.514132581935</c:v>
                </c:pt>
                <c:pt idx="21">
                  <c:v>37826.445367293818</c:v>
                </c:pt>
                <c:pt idx="22">
                  <c:v>39470.964745576741</c:v>
                </c:pt>
                <c:pt idx="23">
                  <c:v>42036.527189818837</c:v>
                </c:pt>
                <c:pt idx="24">
                  <c:v>44994.201496988404</c:v>
                </c:pt>
                <c:pt idx="25">
                  <c:v>41832.768245671607</c:v>
                </c:pt>
                <c:pt idx="26">
                  <c:v>39605.894813184161</c:v>
                </c:pt>
                <c:pt idx="27">
                  <c:v>40878.642737436428</c:v>
                </c:pt>
                <c:pt idx="28">
                  <c:v>37552.681321084863</c:v>
                </c:pt>
                <c:pt idx="29">
                  <c:v>35072.491703830688</c:v>
                </c:pt>
                <c:pt idx="30">
                  <c:v>34609.329429266596</c:v>
                </c:pt>
                <c:pt idx="31">
                  <c:v>32709.441908268487</c:v>
                </c:pt>
                <c:pt idx="32">
                  <c:v>31390.779184682073</c:v>
                </c:pt>
                <c:pt idx="33">
                  <c:v>28764.595298047745</c:v>
                </c:pt>
                <c:pt idx="34">
                  <c:v>31016.200824656222</c:v>
                </c:pt>
                <c:pt idx="35">
                  <c:v>32162.893601750999</c:v>
                </c:pt>
                <c:pt idx="36">
                  <c:v>31163.900336219533</c:v>
                </c:pt>
                <c:pt idx="37">
                  <c:v>32126.519605041991</c:v>
                </c:pt>
                <c:pt idx="38">
                  <c:v>32363.629851355177</c:v>
                </c:pt>
                <c:pt idx="39">
                  <c:v>28467.292626509599</c:v>
                </c:pt>
                <c:pt idx="40">
                  <c:v>27973.846098910388</c:v>
                </c:pt>
                <c:pt idx="41">
                  <c:v>30107.5629197663</c:v>
                </c:pt>
                <c:pt idx="42">
                  <c:v>30311.621365572304</c:v>
                </c:pt>
                <c:pt idx="43">
                  <c:v>27387.773007035488</c:v>
                </c:pt>
                <c:pt idx="44">
                  <c:v>29660.051956044234</c:v>
                </c:pt>
                <c:pt idx="45">
                  <c:v>28901.754112193146</c:v>
                </c:pt>
                <c:pt idx="46">
                  <c:v>28985.110539930567</c:v>
                </c:pt>
                <c:pt idx="47">
                  <c:v>30295.770226452609</c:v>
                </c:pt>
                <c:pt idx="48">
                  <c:v>30594.737215382134</c:v>
                </c:pt>
                <c:pt idx="49">
                  <c:v>31979.856061396735</c:v>
                </c:pt>
                <c:pt idx="50">
                  <c:v>34385.679680583336</c:v>
                </c:pt>
                <c:pt idx="51">
                  <c:v>37369.151374534515</c:v>
                </c:pt>
                <c:pt idx="52">
                  <c:v>38647.539009467153</c:v>
                </c:pt>
                <c:pt idx="53">
                  <c:v>40163.529176794742</c:v>
                </c:pt>
                <c:pt idx="54">
                  <c:v>41237.564052041002</c:v>
                </c:pt>
                <c:pt idx="55">
                  <c:v>41900.061466590189</c:v>
                </c:pt>
                <c:pt idx="56">
                  <c:v>43454.386989220809</c:v>
                </c:pt>
                <c:pt idx="57">
                  <c:v>45002.734528264402</c:v>
                </c:pt>
                <c:pt idx="58">
                  <c:v>46325.882006324333</c:v>
                </c:pt>
                <c:pt idx="59">
                  <c:v>46940.894745001788</c:v>
                </c:pt>
                <c:pt idx="60">
                  <c:v>46390.615585308959</c:v>
                </c:pt>
                <c:pt idx="61">
                  <c:v>44087.845966138666</c:v>
                </c:pt>
                <c:pt idx="62">
                  <c:v>41023.386806126407</c:v>
                </c:pt>
                <c:pt idx="63">
                  <c:v>41199.862872814534</c:v>
                </c:pt>
                <c:pt idx="64">
                  <c:v>41798.769453103989</c:v>
                </c:pt>
                <c:pt idx="65">
                  <c:v>41386.145865215512</c:v>
                </c:pt>
                <c:pt idx="66">
                  <c:v>34355.827452808808</c:v>
                </c:pt>
                <c:pt idx="67">
                  <c:v>36503.657453394328</c:v>
                </c:pt>
                <c:pt idx="68">
                  <c:v>36890.473804833062</c:v>
                </c:pt>
                <c:pt idx="69">
                  <c:v>37742.293132360101</c:v>
                </c:pt>
                <c:pt idx="70">
                  <c:v>38758.23086253053</c:v>
                </c:pt>
                <c:pt idx="71">
                  <c:v>39756.849985252746</c:v>
                </c:pt>
                <c:pt idx="72">
                  <c:v>40904.006937443577</c:v>
                </c:pt>
                <c:pt idx="73">
                  <c:v>42190.89836209645</c:v>
                </c:pt>
                <c:pt idx="74">
                  <c:v>43642.433055883092</c:v>
                </c:pt>
                <c:pt idx="75">
                  <c:v>45293.807911666292</c:v>
                </c:pt>
                <c:pt idx="76">
                  <c:v>47189.041700440015</c:v>
                </c:pt>
                <c:pt idx="77">
                  <c:v>49382.016230703273</c:v>
                </c:pt>
                <c:pt idx="78">
                  <c:v>51935.926913013514</c:v>
                </c:pt>
                <c:pt idx="79">
                  <c:v>54919.53211684298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8-4B10-82E0-315D2E6A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79680"/>
        <c:axId val="239278896"/>
      </c:lineChart>
      <c:catAx>
        <c:axId val="2392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8896"/>
        <c:crosses val="autoZero"/>
        <c:auto val="1"/>
        <c:lblAlgn val="ctr"/>
        <c:lblOffset val="100"/>
        <c:noMultiLvlLbl val="0"/>
      </c:catAx>
      <c:valAx>
        <c:axId val="239278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01762609585825"/>
          <c:y val="0.89583624963546227"/>
          <c:w val="0.32111452344116814"/>
          <c:h val="8.333369787109945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</c:f>
              <c:strCache>
                <c:ptCount val="1"/>
                <c:pt idx="0">
                  <c:v>Imports of g&amp;s zonder correctie</c:v>
                </c:pt>
              </c:strCache>
            </c:strRef>
          </c:tx>
          <c:marker>
            <c:symbol val="none"/>
          </c:marker>
          <c:cat>
            <c:numRef>
              <c:f>Model!$G$2:$BP$2</c:f>
              <c:numCache>
                <c:formatCode>General</c:formatCode>
                <c:ptCount val="62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</c:numCache>
            </c:numRef>
          </c:cat>
          <c:val>
            <c:numRef>
              <c:f>Model!$G$43:$BP$43</c:f>
              <c:numCache>
                <c:formatCode>#,##0</c:formatCode>
                <c:ptCount val="62"/>
                <c:pt idx="0">
                  <c:v>0.5</c:v>
                </c:pt>
                <c:pt idx="1">
                  <c:v>3.0221829414367676</c:v>
                </c:pt>
                <c:pt idx="2">
                  <c:v>2.2277793884277344</c:v>
                </c:pt>
                <c:pt idx="3">
                  <c:v>-1.626257061958313</c:v>
                </c:pt>
                <c:pt idx="4">
                  <c:v>-0.89552080631256104</c:v>
                </c:pt>
                <c:pt idx="5">
                  <c:v>0.76559323072433472</c:v>
                </c:pt>
                <c:pt idx="6">
                  <c:v>1.8154700994491577</c:v>
                </c:pt>
                <c:pt idx="7">
                  <c:v>0.49572989344596863</c:v>
                </c:pt>
                <c:pt idx="8">
                  <c:v>0.31003996729850769</c:v>
                </c:pt>
                <c:pt idx="9">
                  <c:v>2.2613492012023926</c:v>
                </c:pt>
                <c:pt idx="10">
                  <c:v>1.6288275718688965</c:v>
                </c:pt>
                <c:pt idx="11">
                  <c:v>1.1620020866394043</c:v>
                </c:pt>
                <c:pt idx="12">
                  <c:v>1.3401436805725098</c:v>
                </c:pt>
                <c:pt idx="13">
                  <c:v>0.38416191935539246</c:v>
                </c:pt>
                <c:pt idx="14">
                  <c:v>2.3576428890228271</c:v>
                </c:pt>
                <c:pt idx="15">
                  <c:v>4.3976931571960449</c:v>
                </c:pt>
                <c:pt idx="16">
                  <c:v>6.8055276870727539</c:v>
                </c:pt>
                <c:pt idx="17">
                  <c:v>1.0620815753936768</c:v>
                </c:pt>
                <c:pt idx="18">
                  <c:v>23.262006759643555</c:v>
                </c:pt>
                <c:pt idx="19">
                  <c:v>51.418785095214844</c:v>
                </c:pt>
                <c:pt idx="20">
                  <c:v>9.6750164031982422</c:v>
                </c:pt>
                <c:pt idx="21">
                  <c:v>2.2336657047271729</c:v>
                </c:pt>
                <c:pt idx="22">
                  <c:v>8.1954889297485352</c:v>
                </c:pt>
                <c:pt idx="23">
                  <c:v>8.4418277740478516</c:v>
                </c:pt>
                <c:pt idx="24">
                  <c:v>21.756065368652344</c:v>
                </c:pt>
                <c:pt idx="25">
                  <c:v>29.74290657043457</c:v>
                </c:pt>
                <c:pt idx="26">
                  <c:v>5.1207904815673828</c:v>
                </c:pt>
                <c:pt idx="27">
                  <c:v>-1.4226530790328979</c:v>
                </c:pt>
                <c:pt idx="28">
                  <c:v>-5.799159049987793</c:v>
                </c:pt>
                <c:pt idx="29">
                  <c:v>-1.4299999475479126</c:v>
                </c:pt>
                <c:pt idx="30">
                  <c:v>4.3000001907348633</c:v>
                </c:pt>
                <c:pt idx="31">
                  <c:v>2.3299999237060547</c:v>
                </c:pt>
                <c:pt idx="32">
                  <c:v>66.589996337890625</c:v>
                </c:pt>
                <c:pt idx="33">
                  <c:v>12.100000381469727</c:v>
                </c:pt>
                <c:pt idx="34">
                  <c:v>21</c:v>
                </c:pt>
                <c:pt idx="35">
                  <c:v>47</c:v>
                </c:pt>
                <c:pt idx="36">
                  <c:v>38.306300283925985</c:v>
                </c:pt>
                <c:pt idx="37">
                  <c:v>30.387615455445705</c:v>
                </c:pt>
                <c:pt idx="38">
                  <c:v>449.54631502796258</c:v>
                </c:pt>
                <c:pt idx="39">
                  <c:v>426.50594858796609</c:v>
                </c:pt>
                <c:pt idx="40">
                  <c:v>113.05936131309264</c:v>
                </c:pt>
                <c:pt idx="41">
                  <c:v>-6.4529559691432929</c:v>
                </c:pt>
                <c:pt idx="42">
                  <c:v>2.2298922185533643</c:v>
                </c:pt>
                <c:pt idx="43">
                  <c:v>1.4999999999999902</c:v>
                </c:pt>
                <c:pt idx="44">
                  <c:v>119.15655860349128</c:v>
                </c:pt>
                <c:pt idx="45">
                  <c:v>59.482986393766701</c:v>
                </c:pt>
                <c:pt idx="46">
                  <c:v>68.853049837894886</c:v>
                </c:pt>
                <c:pt idx="47">
                  <c:v>9.4467753041083355</c:v>
                </c:pt>
                <c:pt idx="48">
                  <c:v>13.699360818152728</c:v>
                </c:pt>
                <c:pt idx="49">
                  <c:v>8.970478290041207</c:v>
                </c:pt>
                <c:pt idx="50">
                  <c:v>3.0000000000000027</c:v>
                </c:pt>
                <c:pt idx="51">
                  <c:v>2.4999999999999911</c:v>
                </c:pt>
                <c:pt idx="52">
                  <c:v>5.9940000000000104</c:v>
                </c:pt>
                <c:pt idx="53">
                  <c:v>2.4839999999999973</c:v>
                </c:pt>
                <c:pt idx="54">
                  <c:v>3.5870000000000068</c:v>
                </c:pt>
                <c:pt idx="55">
                  <c:v>4.8459999999999948</c:v>
                </c:pt>
                <c:pt idx="56">
                  <c:v>3.9770000000000083</c:v>
                </c:pt>
                <c:pt idx="57">
                  <c:v>3.7619999999999987</c:v>
                </c:pt>
                <c:pt idx="58">
                  <c:v>3.7570000000000103</c:v>
                </c:pt>
                <c:pt idx="59">
                  <c:v>3.7570000000000103</c:v>
                </c:pt>
                <c:pt idx="60">
                  <c:v>3.7570000000000103</c:v>
                </c:pt>
                <c:pt idx="61">
                  <c:v>144.01707778169745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1-4B81-A2EB-9FB379F59D17}"/>
            </c:ext>
          </c:extLst>
        </c:ser>
        <c:ser>
          <c:idx val="1"/>
          <c:order val="1"/>
          <c:tx>
            <c:strRef>
              <c:f>Model!$A$42</c:f>
              <c:strCache>
                <c:ptCount val="1"/>
                <c:pt idx="0">
                  <c:v>Imports of g&amp;s na correctie</c:v>
                </c:pt>
              </c:strCache>
            </c:strRef>
          </c:tx>
          <c:marker>
            <c:symbol val="none"/>
          </c:marker>
          <c:val>
            <c:numRef>
              <c:f>Model!$G$42:$BP$42</c:f>
              <c:numCache>
                <c:formatCode>#,##0</c:formatCode>
                <c:ptCount val="62"/>
                <c:pt idx="0">
                  <c:v>-3.6463769458858541</c:v>
                </c:pt>
                <c:pt idx="1">
                  <c:v>-0.64612115579019136</c:v>
                </c:pt>
                <c:pt idx="2">
                  <c:v>17.228017073276035</c:v>
                </c:pt>
                <c:pt idx="3">
                  <c:v>9.3845233826113095</c:v>
                </c:pt>
                <c:pt idx="4">
                  <c:v>2.9864140989518839</c:v>
                </c:pt>
                <c:pt idx="5">
                  <c:v>-1.7171568672082249</c:v>
                </c:pt>
                <c:pt idx="6">
                  <c:v>5.1638637651551411</c:v>
                </c:pt>
                <c:pt idx="7">
                  <c:v>0.13807967637584628</c:v>
                </c:pt>
                <c:pt idx="8">
                  <c:v>-2.7520775638607109</c:v>
                </c:pt>
                <c:pt idx="9">
                  <c:v>9.4768262032118855E-2</c:v>
                </c:pt>
                <c:pt idx="10">
                  <c:v>1.8342129481029978</c:v>
                </c:pt>
                <c:pt idx="11">
                  <c:v>10.248523885489803</c:v>
                </c:pt>
                <c:pt idx="12">
                  <c:v>0.67690203873909116</c:v>
                </c:pt>
                <c:pt idx="13">
                  <c:v>3.210057938249089</c:v>
                </c:pt>
                <c:pt idx="14">
                  <c:v>6.413401043117406</c:v>
                </c:pt>
                <c:pt idx="15">
                  <c:v>6.5325600363198122</c:v>
                </c:pt>
                <c:pt idx="16">
                  <c:v>3.8466248087451138</c:v>
                </c:pt>
                <c:pt idx="17">
                  <c:v>4.1297638656422331</c:v>
                </c:pt>
                <c:pt idx="18">
                  <c:v>-5.4112581562105184</c:v>
                </c:pt>
                <c:pt idx="19">
                  <c:v>41.488554772570339</c:v>
                </c:pt>
                <c:pt idx="20">
                  <c:v>18.438178319229781</c:v>
                </c:pt>
                <c:pt idx="21">
                  <c:v>13.927285690629954</c:v>
                </c:pt>
                <c:pt idx="22">
                  <c:v>-1.5711018656927922</c:v>
                </c:pt>
                <c:pt idx="23">
                  <c:v>10.126664266606578</c:v>
                </c:pt>
                <c:pt idx="24">
                  <c:v>3.1602201348665204</c:v>
                </c:pt>
                <c:pt idx="25">
                  <c:v>25.645585415563986</c:v>
                </c:pt>
                <c:pt idx="26">
                  <c:v>11.078905180629107</c:v>
                </c:pt>
                <c:pt idx="27">
                  <c:v>-6.6544987022552178</c:v>
                </c:pt>
                <c:pt idx="28">
                  <c:v>-0.12832162417475423</c:v>
                </c:pt>
                <c:pt idx="29">
                  <c:v>10.611731550616721</c:v>
                </c:pt>
                <c:pt idx="30">
                  <c:v>2.247733880410796</c:v>
                </c:pt>
                <c:pt idx="31">
                  <c:v>37.180136792556404</c:v>
                </c:pt>
                <c:pt idx="32">
                  <c:v>78.799938367915374</c:v>
                </c:pt>
                <c:pt idx="33">
                  <c:v>12.022163868722547</c:v>
                </c:pt>
                <c:pt idx="34">
                  <c:v>3.0999618534205187</c:v>
                </c:pt>
                <c:pt idx="35">
                  <c:v>-2.9078965194845097</c:v>
                </c:pt>
                <c:pt idx="36">
                  <c:v>32.530706896189507</c:v>
                </c:pt>
                <c:pt idx="37">
                  <c:v>41.897131549640385</c:v>
                </c:pt>
                <c:pt idx="38">
                  <c:v>355.75227440978222</c:v>
                </c:pt>
                <c:pt idx="39">
                  <c:v>332.83152472668257</c:v>
                </c:pt>
                <c:pt idx="40">
                  <c:v>173.88847857086586</c:v>
                </c:pt>
                <c:pt idx="41">
                  <c:v>-14.817454267213604</c:v>
                </c:pt>
                <c:pt idx="42">
                  <c:v>-1.6413282749693336</c:v>
                </c:pt>
                <c:pt idx="43">
                  <c:v>22.78337178743719</c:v>
                </c:pt>
                <c:pt idx="44">
                  <c:v>135.93354328479356</c:v>
                </c:pt>
                <c:pt idx="45">
                  <c:v>60.367220907208832</c:v>
                </c:pt>
                <c:pt idx="46">
                  <c:v>55.13313908114776</c:v>
                </c:pt>
                <c:pt idx="47">
                  <c:v>-27.347387064831363</c:v>
                </c:pt>
                <c:pt idx="48">
                  <c:v>21.727089731262939</c:v>
                </c:pt>
                <c:pt idx="49">
                  <c:v>13.616886253031701</c:v>
                </c:pt>
                <c:pt idx="50">
                  <c:v>8.5919203359158036</c:v>
                </c:pt>
                <c:pt idx="51">
                  <c:v>-10.650847528032493</c:v>
                </c:pt>
                <c:pt idx="52">
                  <c:v>17.688874538194721</c:v>
                </c:pt>
                <c:pt idx="53">
                  <c:v>20.371705095060676</c:v>
                </c:pt>
                <c:pt idx="54">
                  <c:v>-18.267970897333818</c:v>
                </c:pt>
                <c:pt idx="55">
                  <c:v>35.728903702938332</c:v>
                </c:pt>
                <c:pt idx="56">
                  <c:v>28.464130421480505</c:v>
                </c:pt>
                <c:pt idx="57">
                  <c:v>-7.395354400134579</c:v>
                </c:pt>
                <c:pt idx="58">
                  <c:v>-3.9972314107575735</c:v>
                </c:pt>
                <c:pt idx="59">
                  <c:v>-1.1520755986664799</c:v>
                </c:pt>
                <c:pt idx="60">
                  <c:v>14.591914347491342</c:v>
                </c:pt>
                <c:pt idx="61">
                  <c:v>181.97414416736973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1-4B81-A2EB-9FB379F5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82032"/>
        <c:axId val="239279288"/>
      </c:lineChart>
      <c:catAx>
        <c:axId val="23928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9288"/>
        <c:crosses val="autoZero"/>
        <c:auto val="1"/>
        <c:lblAlgn val="ctr"/>
        <c:lblOffset val="100"/>
        <c:noMultiLvlLbl val="0"/>
      </c:catAx>
      <c:valAx>
        <c:axId val="2392792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037130358705153"/>
          <c:y val="0.43016818428422704"/>
          <c:w val="0.31407454068241469"/>
          <c:h val="0.13407850554993478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97827.476796252915</c:v>
                </c:pt>
                <c:pt idx="67">
                  <c:v>81177.590574970993</c:v>
                </c:pt>
                <c:pt idx="68">
                  <c:v>82563.086512367328</c:v>
                </c:pt>
                <c:pt idx="69">
                  <c:v>89864.877146559593</c:v>
                </c:pt>
                <c:pt idx="70">
                  <c:v>93467.240475193714</c:v>
                </c:pt>
                <c:pt idx="71">
                  <c:v>99752.957930667559</c:v>
                </c:pt>
                <c:pt idx="72">
                  <c:v>106881.80622893576</c:v>
                </c:pt>
                <c:pt idx="73">
                  <c:v>114881.3511064682</c:v>
                </c:pt>
                <c:pt idx="74">
                  <c:v>123955.70178576345</c:v>
                </c:pt>
                <c:pt idx="75">
                  <c:v>134270.9544934321</c:v>
                </c:pt>
                <c:pt idx="76">
                  <c:v>146027.88422553436</c:v>
                </c:pt>
                <c:pt idx="77">
                  <c:v>159443.67657142307</c:v>
                </c:pt>
                <c:pt idx="78">
                  <c:v>174729.77884382004</c:v>
                </c:pt>
                <c:pt idx="79">
                  <c:v>192051.75900596625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D-4F59-9646-F086A2B7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80464"/>
        <c:axId val="239280856"/>
      </c:lineChart>
      <c:lineChart>
        <c:grouping val="standard"/>
        <c:varyColors val="0"/>
        <c:ser>
          <c:idx val="0"/>
          <c:order val="0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Model!$F$365:$CG$365</c:f>
              <c:numCache>
                <c:formatCode>#,##0</c:formatCode>
                <c:ptCount val="80"/>
                <c:pt idx="2">
                  <c:v>100</c:v>
                </c:pt>
                <c:pt idx="3">
                  <c:v>102.04760167350346</c:v>
                </c:pt>
                <c:pt idx="4">
                  <c:v>103.96099420488166</c:v>
                </c:pt>
                <c:pt idx="5">
                  <c:v>115.44134939315077</c:v>
                </c:pt>
                <c:pt idx="6">
                  <c:v>123.66730189984504</c:v>
                </c:pt>
                <c:pt idx="7">
                  <c:v>131.36484858285556</c:v>
                </c:pt>
                <c:pt idx="8">
                  <c:v>138.26613571008295</c:v>
                </c:pt>
                <c:pt idx="9">
                  <c:v>147.76328129417374</c:v>
                </c:pt>
                <c:pt idx="10">
                  <c:v>151.61781748641747</c:v>
                </c:pt>
                <c:pt idx="11">
                  <c:v>170.20496290486898</c:v>
                </c:pt>
                <c:pt idx="12">
                  <c:v>206.73206768129424</c:v>
                </c:pt>
                <c:pt idx="13">
                  <c:v>222.67105583913681</c:v>
                </c:pt>
                <c:pt idx="14">
                  <c:v>243.87782306191178</c:v>
                </c:pt>
                <c:pt idx="15">
                  <c:v>260.2477758885563</c:v>
                </c:pt>
                <c:pt idx="16">
                  <c:v>270.20205341759572</c:v>
                </c:pt>
                <c:pt idx="17">
                  <c:v>297.51435088923876</c:v>
                </c:pt>
                <c:pt idx="18">
                  <c:v>301.04933301012068</c:v>
                </c:pt>
                <c:pt idx="19">
                  <c:v>292.25642846748502</c:v>
                </c:pt>
                <c:pt idx="20">
                  <c:v>304.3710837530881</c:v>
                </c:pt>
                <c:pt idx="21">
                  <c:v>321.48810838117936</c:v>
                </c:pt>
                <c:pt idx="22">
                  <c:v>326.27410740473243</c:v>
                </c:pt>
                <c:pt idx="23">
                  <c:v>354.43114333237651</c:v>
                </c:pt>
                <c:pt idx="24">
                  <c:v>384.81675571128716</c:v>
                </c:pt>
                <c:pt idx="25">
                  <c:v>355.53796824053495</c:v>
                </c:pt>
                <c:pt idx="26">
                  <c:v>328.77280390416291</c:v>
                </c:pt>
                <c:pt idx="27">
                  <c:v>338.19576253741445</c:v>
                </c:pt>
                <c:pt idx="28">
                  <c:v>317.41254429677099</c:v>
                </c:pt>
                <c:pt idx="29">
                  <c:v>302.81881576658844</c:v>
                </c:pt>
                <c:pt idx="30">
                  <c:v>304.94451735736084</c:v>
                </c:pt>
                <c:pt idx="31">
                  <c:v>295.21159498734323</c:v>
                </c:pt>
                <c:pt idx="32">
                  <c:v>290.03490009439952</c:v>
                </c:pt>
                <c:pt idx="33">
                  <c:v>268.91828210237503</c:v>
                </c:pt>
                <c:pt idx="34">
                  <c:v>292.17627308741146</c:v>
                </c:pt>
                <c:pt idx="35">
                  <c:v>306.03093203571802</c:v>
                </c:pt>
                <c:pt idx="36">
                  <c:v>297.01870325199576</c:v>
                </c:pt>
                <c:pt idx="37">
                  <c:v>306.59655067953798</c:v>
                </c:pt>
                <c:pt idx="38">
                  <c:v>309.71256403015582</c:v>
                </c:pt>
                <c:pt idx="39">
                  <c:v>272.77270084764041</c:v>
                </c:pt>
                <c:pt idx="40">
                  <c:v>268.83572633825037</c:v>
                </c:pt>
                <c:pt idx="41">
                  <c:v>292.09386706608757</c:v>
                </c:pt>
                <c:pt idx="42">
                  <c:v>297.35475805173058</c:v>
                </c:pt>
                <c:pt idx="43">
                  <c:v>290.86106886433805</c:v>
                </c:pt>
                <c:pt idx="44">
                  <c:v>319.71780723007521</c:v>
                </c:pt>
                <c:pt idx="45">
                  <c:v>316.21696231350364</c:v>
                </c:pt>
                <c:pt idx="46">
                  <c:v>320.91168711141631</c:v>
                </c:pt>
                <c:pt idx="47">
                  <c:v>340.38296728332898</c:v>
                </c:pt>
                <c:pt idx="48">
                  <c:v>347.87993077197979</c:v>
                </c:pt>
                <c:pt idx="49">
                  <c:v>369.01720283025929</c:v>
                </c:pt>
                <c:pt idx="50">
                  <c:v>397.33906489849591</c:v>
                </c:pt>
                <c:pt idx="51">
                  <c:v>437.07297138834554</c:v>
                </c:pt>
                <c:pt idx="52">
                  <c:v>462.42320372886962</c:v>
                </c:pt>
                <c:pt idx="53">
                  <c:v>486.00678711904192</c:v>
                </c:pt>
                <c:pt idx="54">
                  <c:v>505.93306539092259</c:v>
                </c:pt>
                <c:pt idx="55">
                  <c:v>521.11105735265016</c:v>
                </c:pt>
                <c:pt idx="56">
                  <c:v>547.68772127763543</c:v>
                </c:pt>
                <c:pt idx="57">
                  <c:v>576.53557904011484</c:v>
                </c:pt>
                <c:pt idx="58">
                  <c:v>595.3860581208163</c:v>
                </c:pt>
                <c:pt idx="59">
                  <c:v>612.85135822753659</c:v>
                </c:pt>
                <c:pt idx="60">
                  <c:v>615.079689620463</c:v>
                </c:pt>
                <c:pt idx="61">
                  <c:v>593.45885259179897</c:v>
                </c:pt>
                <c:pt idx="62">
                  <c:v>560.45545790737583</c:v>
                </c:pt>
                <c:pt idx="63">
                  <c:v>570.33238624359012</c:v>
                </c:pt>
                <c:pt idx="64">
                  <c:v>585.26822909347516</c:v>
                </c:pt>
                <c:pt idx="65">
                  <c:v>587.02403378075564</c:v>
                </c:pt>
                <c:pt idx="66">
                  <c:v>493.64046932894968</c:v>
                </c:pt>
                <c:pt idx="67">
                  <c:v>531.32000666722786</c:v>
                </c:pt>
                <c:pt idx="68">
                  <c:v>543.93056973906175</c:v>
                </c:pt>
                <c:pt idx="69">
                  <c:v>563.72456878302432</c:v>
                </c:pt>
                <c:pt idx="70">
                  <c:v>586.42445155334815</c:v>
                </c:pt>
                <c:pt idx="71">
                  <c:v>609.35381927475737</c:v>
                </c:pt>
                <c:pt idx="72">
                  <c:v>635.08648264137719</c:v>
                </c:pt>
                <c:pt idx="73">
                  <c:v>663.58297322554438</c:v>
                </c:pt>
                <c:pt idx="74">
                  <c:v>695.33623379050039</c:v>
                </c:pt>
                <c:pt idx="75">
                  <c:v>731.0282930828248</c:v>
                </c:pt>
                <c:pt idx="76">
                  <c:v>771.51780867093953</c:v>
                </c:pt>
                <c:pt idx="77">
                  <c:v>817.86770664715414</c:v>
                </c:pt>
                <c:pt idx="78">
                  <c:v>871.34787212004471</c:v>
                </c:pt>
                <c:pt idx="79">
                  <c:v>933.38316183040752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D-4F59-9646-F086A2B7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81248"/>
        <c:axId val="486340144"/>
      </c:lineChart>
      <c:catAx>
        <c:axId val="2392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0856"/>
        <c:crosses val="autoZero"/>
        <c:auto val="1"/>
        <c:lblAlgn val="ctr"/>
        <c:lblOffset val="100"/>
        <c:noMultiLvlLbl val="0"/>
      </c:catAx>
      <c:valAx>
        <c:axId val="239280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0464"/>
        <c:crosses val="autoZero"/>
        <c:crossBetween val="between"/>
      </c:valAx>
      <c:catAx>
        <c:axId val="23928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6340144"/>
        <c:crosses val="autoZero"/>
        <c:auto val="1"/>
        <c:lblAlgn val="ctr"/>
        <c:lblOffset val="100"/>
        <c:noMultiLvlLbl val="0"/>
      </c:catAx>
      <c:valAx>
        <c:axId val="48634014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crossAx val="23928124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65704637514538189"/>
          <c:y val="0.34435348474002736"/>
          <c:w val="0.31069627332237126"/>
          <c:h val="0.30854081256371879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Model!$A$377</c:f>
              <c:strCache>
                <c:ptCount val="1"/>
                <c:pt idx="0">
                  <c:v>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Model!$G$377:$BQ$377</c:f>
              <c:numCache>
                <c:formatCode>#,##0</c:formatCode>
                <c:ptCount val="63"/>
                <c:pt idx="0">
                  <c:v>1.2183674456863525</c:v>
                </c:pt>
                <c:pt idx="1">
                  <c:v>-17.689383370237387</c:v>
                </c:pt>
                <c:pt idx="2">
                  <c:v>8.1133875731743252</c:v>
                </c:pt>
                <c:pt idx="3">
                  <c:v>2.1546542963380766</c:v>
                </c:pt>
                <c:pt idx="4">
                  <c:v>4.192975366687568</c:v>
                </c:pt>
                <c:pt idx="5">
                  <c:v>0.82289306996508049</c:v>
                </c:pt>
                <c:pt idx="6">
                  <c:v>-0.44574071670127058</c:v>
                </c:pt>
                <c:pt idx="7">
                  <c:v>5.2866679262533411</c:v>
                </c:pt>
                <c:pt idx="8">
                  <c:v>6.2712268686030415</c:v>
                </c:pt>
                <c:pt idx="9">
                  <c:v>7.6030566382945919</c:v>
                </c:pt>
                <c:pt idx="10">
                  <c:v>3.1295200183219185</c:v>
                </c:pt>
                <c:pt idx="11">
                  <c:v>13.762367701850465</c:v>
                </c:pt>
                <c:pt idx="12">
                  <c:v>8.7761450917543726</c:v>
                </c:pt>
                <c:pt idx="13">
                  <c:v>10.589077315282115</c:v>
                </c:pt>
                <c:pt idx="14">
                  <c:v>8.201457006705958</c:v>
                </c:pt>
                <c:pt idx="15">
                  <c:v>9.661369868490155</c:v>
                </c:pt>
                <c:pt idx="16">
                  <c:v>12.515523367395964</c:v>
                </c:pt>
                <c:pt idx="17">
                  <c:v>11.522105864383203</c:v>
                </c:pt>
                <c:pt idx="18">
                  <c:v>14.656522434739539</c:v>
                </c:pt>
                <c:pt idx="19">
                  <c:v>14.775472768098874</c:v>
                </c:pt>
                <c:pt idx="20">
                  <c:v>18.967549888234171</c:v>
                </c:pt>
                <c:pt idx="21">
                  <c:v>19.958007844682825</c:v>
                </c:pt>
                <c:pt idx="22">
                  <c:v>26.562082909485184</c:v>
                </c:pt>
                <c:pt idx="23">
                  <c:v>18.508194474614402</c:v>
                </c:pt>
                <c:pt idx="24">
                  <c:v>5.0956405908711755</c:v>
                </c:pt>
                <c:pt idx="25">
                  <c:v>17.921563508281579</c:v>
                </c:pt>
                <c:pt idx="26">
                  <c:v>15.958095271856321</c:v>
                </c:pt>
                <c:pt idx="27">
                  <c:v>11.13254555277976</c:v>
                </c:pt>
                <c:pt idx="28">
                  <c:v>8.6212183131116014</c:v>
                </c:pt>
                <c:pt idx="29">
                  <c:v>7.3688902112652999</c:v>
                </c:pt>
                <c:pt idx="30">
                  <c:v>7.0388897127582783</c:v>
                </c:pt>
                <c:pt idx="31">
                  <c:v>-1.0566153486140317</c:v>
                </c:pt>
                <c:pt idx="32">
                  <c:v>-6.4520527523492905</c:v>
                </c:pt>
                <c:pt idx="33">
                  <c:v>12.622057309859947</c:v>
                </c:pt>
                <c:pt idx="34">
                  <c:v>18.012497339457511</c:v>
                </c:pt>
                <c:pt idx="35">
                  <c:v>18.0729929544732</c:v>
                </c:pt>
                <c:pt idx="36">
                  <c:v>15.532233246859217</c:v>
                </c:pt>
                <c:pt idx="37">
                  <c:v>29.254102127132619</c:v>
                </c:pt>
                <c:pt idx="38">
                  <c:v>87.692225322934149</c:v>
                </c:pt>
                <c:pt idx="39">
                  <c:v>574.77007585283297</c:v>
                </c:pt>
                <c:pt idx="40">
                  <c:v>360.33039330650274</c:v>
                </c:pt>
                <c:pt idx="41">
                  <c:v>28.604800720945445</c:v>
                </c:pt>
                <c:pt idx="42">
                  <c:v>34.125073770962743</c:v>
                </c:pt>
                <c:pt idx="43">
                  <c:v>19.241926982976977</c:v>
                </c:pt>
                <c:pt idx="44">
                  <c:v>86.298278122690149</c:v>
                </c:pt>
                <c:pt idx="45">
                  <c:v>34.35300593918398</c:v>
                </c:pt>
                <c:pt idx="46">
                  <c:v>64.067428366893807</c:v>
                </c:pt>
                <c:pt idx="47">
                  <c:v>3.4747203191959342</c:v>
                </c:pt>
                <c:pt idx="48">
                  <c:v>17.781773775167188</c:v>
                </c:pt>
                <c:pt idx="49">
                  <c:v>15.253034010783949</c:v>
                </c:pt>
                <c:pt idx="50">
                  <c:v>11.432202320793561</c:v>
                </c:pt>
                <c:pt idx="51">
                  <c:v>7.4038108476406572</c:v>
                </c:pt>
                <c:pt idx="52">
                  <c:v>7.945532188012594</c:v>
                </c:pt>
                <c:pt idx="53">
                  <c:v>7.5741760756533827</c:v>
                </c:pt>
                <c:pt idx="54">
                  <c:v>11.612861927773466</c:v>
                </c:pt>
                <c:pt idx="55">
                  <c:v>3.3082622426080732</c:v>
                </c:pt>
                <c:pt idx="56">
                  <c:v>18.42497408405368</c:v>
                </c:pt>
                <c:pt idx="57">
                  <c:v>9.4300442145200503</c:v>
                </c:pt>
                <c:pt idx="58">
                  <c:v>2.0051578155090066</c:v>
                </c:pt>
                <c:pt idx="59">
                  <c:v>0.44462419542417031</c:v>
                </c:pt>
                <c:pt idx="60">
                  <c:v>3.0062861810888908</c:v>
                </c:pt>
                <c:pt idx="61">
                  <c:v>26.659621489394492</c:v>
                </c:pt>
                <c:pt idx="62">
                  <c:v>18.912870056334707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3-4481-BBA8-6D770BEB85E7}"/>
            </c:ext>
          </c:extLst>
        </c:ser>
        <c:ser>
          <c:idx val="1"/>
          <c:order val="1"/>
          <c:tx>
            <c:strRef>
              <c:f>Model!$A$378</c:f>
              <c:strCache>
                <c:ptCount val="1"/>
                <c:pt idx="0">
                  <c:v>raming 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Model!$G$378:$BQ$378</c:f>
              <c:numCache>
                <c:formatCode>#,##0</c:formatCode>
                <c:ptCount val="63"/>
                <c:pt idx="0">
                  <c:v>-6.9000000000000057</c:v>
                </c:pt>
                <c:pt idx="1">
                  <c:v>21.592079210281376</c:v>
                </c:pt>
                <c:pt idx="2">
                  <c:v>31.722433190345765</c:v>
                </c:pt>
                <c:pt idx="3">
                  <c:v>24.509940962791443</c:v>
                </c:pt>
                <c:pt idx="4">
                  <c:v>13.88346183300018</c:v>
                </c:pt>
                <c:pt idx="5">
                  <c:v>20.041495003700263</c:v>
                </c:pt>
                <c:pt idx="6">
                  <c:v>23.467041344642638</c:v>
                </c:pt>
                <c:pt idx="7">
                  <c:v>16.785505585670471</c:v>
                </c:pt>
                <c:pt idx="8">
                  <c:v>15.688920192718506</c:v>
                </c:pt>
                <c:pt idx="9">
                  <c:v>15.265038795471192</c:v>
                </c:pt>
                <c:pt idx="10">
                  <c:v>14.463306722640992</c:v>
                </c:pt>
                <c:pt idx="11">
                  <c:v>20.238704700469967</c:v>
                </c:pt>
                <c:pt idx="12">
                  <c:v>20.342347240447996</c:v>
                </c:pt>
                <c:pt idx="13">
                  <c:v>19.576601028442383</c:v>
                </c:pt>
                <c:pt idx="14">
                  <c:v>16.175777101516726</c:v>
                </c:pt>
                <c:pt idx="15">
                  <c:v>13.518861646652226</c:v>
                </c:pt>
                <c:pt idx="16">
                  <c:v>18.274125080108647</c:v>
                </c:pt>
                <c:pt idx="17">
                  <c:v>9.4876405906677181</c:v>
                </c:pt>
                <c:pt idx="18">
                  <c:v>13.314852247238166</c:v>
                </c:pt>
                <c:pt idx="19">
                  <c:v>14.564984951019284</c:v>
                </c:pt>
                <c:pt idx="20">
                  <c:v>14.377061233520514</c:v>
                </c:pt>
                <c:pt idx="21">
                  <c:v>23.22653743743896</c:v>
                </c:pt>
                <c:pt idx="22">
                  <c:v>23.560003032684318</c:v>
                </c:pt>
                <c:pt idx="23">
                  <c:v>24.177250356674207</c:v>
                </c:pt>
                <c:pt idx="24">
                  <c:v>27.188924598693845</c:v>
                </c:pt>
                <c:pt idx="25">
                  <c:v>17.107359771728511</c:v>
                </c:pt>
                <c:pt idx="26">
                  <c:v>10.45898557662964</c:v>
                </c:pt>
                <c:pt idx="27">
                  <c:v>14.74684705734253</c:v>
                </c:pt>
                <c:pt idx="28">
                  <c:v>12.79670780181884</c:v>
                </c:pt>
                <c:pt idx="29">
                  <c:v>2.1665542030334528</c:v>
                </c:pt>
                <c:pt idx="30">
                  <c:v>4.1097262763976978</c:v>
                </c:pt>
                <c:pt idx="31">
                  <c:v>11.358507003784196</c:v>
                </c:pt>
                <c:pt idx="32">
                  <c:v>20.752523269653317</c:v>
                </c:pt>
                <c:pt idx="33">
                  <c:v>15.103057174682602</c:v>
                </c:pt>
                <c:pt idx="34">
                  <c:v>-10.709995994567876</c:v>
                </c:pt>
                <c:pt idx="35">
                  <c:v>13.839995422363295</c:v>
                </c:pt>
                <c:pt idx="36">
                  <c:v>23.47000228881836</c:v>
                </c:pt>
                <c:pt idx="37">
                  <c:v>27.130000000000003</c:v>
                </c:pt>
                <c:pt idx="38">
                  <c:v>62.500018959045406</c:v>
                </c:pt>
                <c:pt idx="39">
                  <c:v>214.05332069396974</c:v>
                </c:pt>
                <c:pt idx="40">
                  <c:v>255.14000000000001</c:v>
                </c:pt>
                <c:pt idx="41">
                  <c:v>116.46000000000001</c:v>
                </c:pt>
                <c:pt idx="42">
                  <c:v>-0.43999999999998352</c:v>
                </c:pt>
                <c:pt idx="43">
                  <c:v>1.080884027700753</c:v>
                </c:pt>
                <c:pt idx="44">
                  <c:v>46.185428621749345</c:v>
                </c:pt>
                <c:pt idx="45">
                  <c:v>54.866922562874251</c:v>
                </c:pt>
                <c:pt idx="46">
                  <c:v>34.859631388713602</c:v>
                </c:pt>
                <c:pt idx="47">
                  <c:v>14.488772147797429</c:v>
                </c:pt>
                <c:pt idx="48">
                  <c:v>11.398736421033069</c:v>
                </c:pt>
                <c:pt idx="49">
                  <c:v>11.780448748701646</c:v>
                </c:pt>
                <c:pt idx="50">
                  <c:v>23.876671981741602</c:v>
                </c:pt>
                <c:pt idx="51">
                  <c:v>21.727006587245711</c:v>
                </c:pt>
                <c:pt idx="52">
                  <c:v>-31.646542262073197</c:v>
                </c:pt>
                <c:pt idx="53">
                  <c:v>9.1700870389664644</c:v>
                </c:pt>
                <c:pt idx="54">
                  <c:v>9.5342819379634776</c:v>
                </c:pt>
                <c:pt idx="55">
                  <c:v>2.2174817818655104</c:v>
                </c:pt>
                <c:pt idx="56">
                  <c:v>22.782500582368488</c:v>
                </c:pt>
                <c:pt idx="57">
                  <c:v>12.572347587597484</c:v>
                </c:pt>
                <c:pt idx="58">
                  <c:v>5.1779220262627899</c:v>
                </c:pt>
                <c:pt idx="59">
                  <c:v>13.983421027229898</c:v>
                </c:pt>
                <c:pt idx="60">
                  <c:v>20.067727015795658</c:v>
                </c:pt>
                <c:pt idx="61">
                  <c:v>25.573916541941532</c:v>
                </c:pt>
                <c:pt idx="62">
                  <c:v>20.910704090240628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3-4481-BBA8-6D770BEB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37008"/>
        <c:axId val="486338576"/>
      </c:lineChart>
      <c:catAx>
        <c:axId val="48633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38576"/>
        <c:crosses val="autoZero"/>
        <c:auto val="1"/>
        <c:lblAlgn val="ctr"/>
        <c:lblOffset val="100"/>
        <c:noMultiLvlLbl val="0"/>
      </c:catAx>
      <c:valAx>
        <c:axId val="486338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37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900172117039587"/>
          <c:y val="0.92362768496420045"/>
          <c:w val="0.6402753872633391"/>
          <c:h val="5.727923627684961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404396325459318"/>
          <c:y val="0.19480351414406533"/>
          <c:w val="0.56759383202099789"/>
          <c:h val="0.65183253135024788"/>
        </c:manualLayout>
      </c:layout>
      <c:lineChart>
        <c:grouping val="standard"/>
        <c:varyColors val="0"/>
        <c:ser>
          <c:idx val="0"/>
          <c:order val="0"/>
          <c:tx>
            <c:strRef>
              <c:f>SOURCE!$A$315</c:f>
              <c:strCache>
                <c:ptCount val="1"/>
                <c:pt idx="0">
                  <c:v>Goudprijs  US$ troy ounce</c:v>
                </c:pt>
              </c:strCache>
            </c:strRef>
          </c:tx>
          <c:marker>
            <c:symbol val="none"/>
          </c:marker>
          <c:cat>
            <c:numRef>
              <c:f>SOURCE!$AV$2:$BQ$2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SOURCE!$AV$315:$BQ$315</c:f>
              <c:numCache>
                <c:formatCode>0</c:formatCode>
                <c:ptCount val="22"/>
                <c:pt idx="0">
                  <c:v>387.82</c:v>
                </c:pt>
                <c:pt idx="1">
                  <c:v>311.10000000000002</c:v>
                </c:pt>
                <c:pt idx="2">
                  <c:v>294</c:v>
                </c:pt>
                <c:pt idx="3">
                  <c:v>279</c:v>
                </c:pt>
                <c:pt idx="4">
                  <c:v>308.04000000000002</c:v>
                </c:pt>
                <c:pt idx="5">
                  <c:v>271</c:v>
                </c:pt>
                <c:pt idx="6">
                  <c:v>279.02999999999997</c:v>
                </c:pt>
                <c:pt idx="7">
                  <c:v>342.61</c:v>
                </c:pt>
                <c:pt idx="8">
                  <c:v>411.63</c:v>
                </c:pt>
                <c:pt idx="9">
                  <c:v>428.2088544215402</c:v>
                </c:pt>
                <c:pt idx="10">
                  <c:v>600.44786851879712</c:v>
                </c:pt>
                <c:pt idx="11">
                  <c:v>702.14029110936247</c:v>
                </c:pt>
                <c:pt idx="12">
                  <c:v>871.7</c:v>
                </c:pt>
                <c:pt idx="13">
                  <c:v>973</c:v>
                </c:pt>
                <c:pt idx="14">
                  <c:v>1224.7</c:v>
                </c:pt>
                <c:pt idx="15">
                  <c:v>1569.2</c:v>
                </c:pt>
                <c:pt idx="16">
                  <c:v>1669.5</c:v>
                </c:pt>
                <c:pt idx="17">
                  <c:v>1411.5</c:v>
                </c:pt>
                <c:pt idx="18">
                  <c:v>1265.5999999999999</c:v>
                </c:pt>
                <c:pt idx="19">
                  <c:v>1160.06</c:v>
                </c:pt>
                <c:pt idx="20">
                  <c:v>1249</c:v>
                </c:pt>
                <c:pt idx="21" formatCode="General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E-4650-9BE0-E3109DA8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42104"/>
        <c:axId val="486342496"/>
      </c:lineChart>
      <c:catAx>
        <c:axId val="48634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2496"/>
        <c:crosses val="autoZero"/>
        <c:auto val="1"/>
        <c:lblAlgn val="ctr"/>
        <c:lblOffset val="100"/>
        <c:noMultiLvlLbl val="0"/>
      </c:catAx>
      <c:valAx>
        <c:axId val="4863424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2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750109361329835"/>
          <c:y val="0.65625218722659673"/>
          <c:w val="0.43333420822397201"/>
          <c:h val="8.333369787109945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emf"/><Relationship Id="rId1" Type="http://schemas.openxmlformats.org/officeDocument/2006/relationships/image" Target="../media/image1.wmf"/><Relationship Id="rId4" Type="http://schemas.openxmlformats.org/officeDocument/2006/relationships/image" Target="../media/image7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wmf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image" Target="../media/image10.png"/><Relationship Id="rId18" Type="http://schemas.openxmlformats.org/officeDocument/2006/relationships/chart" Target="../charts/chart18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17" Type="http://schemas.openxmlformats.org/officeDocument/2006/relationships/chart" Target="../charts/chart17.xml"/><Relationship Id="rId2" Type="http://schemas.openxmlformats.org/officeDocument/2006/relationships/chart" Target="../charts/chart4.xml"/><Relationship Id="rId16" Type="http://schemas.openxmlformats.org/officeDocument/2006/relationships/chart" Target="../charts/chart16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5.xml"/><Relationship Id="rId10" Type="http://schemas.openxmlformats.org/officeDocument/2006/relationships/chart" Target="../charts/chart12.xml"/><Relationship Id="rId19" Type="http://schemas.openxmlformats.org/officeDocument/2006/relationships/chart" Target="../charts/chart19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47625</xdr:colOff>
      <xdr:row>8</xdr:row>
      <xdr:rowOff>38100</xdr:rowOff>
    </xdr:to>
    <xdr:pic>
      <xdr:nvPicPr>
        <xdr:cNvPr id="30037409" name="Picture 1">
          <a:extLst>
            <a:ext uri="{FF2B5EF4-FFF2-40B4-BE49-F238E27FC236}">
              <a16:creationId xmlns:a16="http://schemas.microsoft.com/office/drawing/2014/main" id="{3151DB82-B4DB-485C-ABE2-C5081860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647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61</xdr:row>
      <xdr:rowOff>66675</xdr:rowOff>
    </xdr:from>
    <xdr:to>
      <xdr:col>10</xdr:col>
      <xdr:colOff>200025</xdr:colOff>
      <xdr:row>73</xdr:row>
      <xdr:rowOff>161925</xdr:rowOff>
    </xdr:to>
    <xdr:pic>
      <xdr:nvPicPr>
        <xdr:cNvPr id="30037410" name="Picture 2">
          <a:extLst>
            <a:ext uri="{FF2B5EF4-FFF2-40B4-BE49-F238E27FC236}">
              <a16:creationId xmlns:a16="http://schemas.microsoft.com/office/drawing/2014/main" id="{C494E2E1-A7A1-413A-9D11-60306880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963400"/>
          <a:ext cx="551497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11</xdr:col>
      <xdr:colOff>104775</xdr:colOff>
      <xdr:row>145</xdr:row>
      <xdr:rowOff>85725</xdr:rowOff>
    </xdr:to>
    <xdr:pic>
      <xdr:nvPicPr>
        <xdr:cNvPr id="30037411" name="Picture 3">
          <a:extLst>
            <a:ext uri="{FF2B5EF4-FFF2-40B4-BE49-F238E27FC236}">
              <a16:creationId xmlns:a16="http://schemas.microsoft.com/office/drawing/2014/main" id="{B4D6B1DD-B00C-4E2D-9379-E5789A94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74625"/>
          <a:ext cx="5972175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11</xdr:col>
      <xdr:colOff>104775</xdr:colOff>
      <xdr:row>200</xdr:row>
      <xdr:rowOff>104775</xdr:rowOff>
    </xdr:to>
    <xdr:pic>
      <xdr:nvPicPr>
        <xdr:cNvPr id="30037412" name="Picture 4">
          <a:extLst>
            <a:ext uri="{FF2B5EF4-FFF2-40B4-BE49-F238E27FC236}">
              <a16:creationId xmlns:a16="http://schemas.microsoft.com/office/drawing/2014/main" id="{5E63B720-5006-4995-9448-EA808EA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597217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18</xdr:row>
      <xdr:rowOff>76200</xdr:rowOff>
    </xdr:from>
    <xdr:to>
      <xdr:col>4</xdr:col>
      <xdr:colOff>104775</xdr:colOff>
      <xdr:row>20</xdr:row>
      <xdr:rowOff>0</xdr:rowOff>
    </xdr:to>
    <xdr:sp macro="" textlink="">
      <xdr:nvSpPr>
        <xdr:cNvPr id="32117717" name="Line 48">
          <a:extLst>
            <a:ext uri="{FF2B5EF4-FFF2-40B4-BE49-F238E27FC236}">
              <a16:creationId xmlns:a16="http://schemas.microsoft.com/office/drawing/2014/main" id="{79A853B7-CF17-4B76-A193-41DB8079CABD}"/>
            </a:ext>
          </a:extLst>
        </xdr:cNvPr>
        <xdr:cNvSpPr>
          <a:spLocks noChangeShapeType="1"/>
        </xdr:cNvSpPr>
      </xdr:nvSpPr>
      <xdr:spPr bwMode="auto">
        <a:xfrm>
          <a:off x="7334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18</xdr:row>
      <xdr:rowOff>76200</xdr:rowOff>
    </xdr:from>
    <xdr:to>
      <xdr:col>2</xdr:col>
      <xdr:colOff>104775</xdr:colOff>
      <xdr:row>20</xdr:row>
      <xdr:rowOff>0</xdr:rowOff>
    </xdr:to>
    <xdr:sp macro="" textlink="">
      <xdr:nvSpPr>
        <xdr:cNvPr id="32117718" name="Line 49">
          <a:extLst>
            <a:ext uri="{FF2B5EF4-FFF2-40B4-BE49-F238E27FC236}">
              <a16:creationId xmlns:a16="http://schemas.microsoft.com/office/drawing/2014/main" id="{D015898A-FF93-477C-A676-5508A3702192}"/>
            </a:ext>
          </a:extLst>
        </xdr:cNvPr>
        <xdr:cNvSpPr>
          <a:spLocks noChangeShapeType="1"/>
        </xdr:cNvSpPr>
      </xdr:nvSpPr>
      <xdr:spPr bwMode="auto">
        <a:xfrm>
          <a:off x="4286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18</xdr:row>
      <xdr:rowOff>85725</xdr:rowOff>
    </xdr:from>
    <xdr:to>
      <xdr:col>6</xdr:col>
      <xdr:colOff>104775</xdr:colOff>
      <xdr:row>20</xdr:row>
      <xdr:rowOff>0</xdr:rowOff>
    </xdr:to>
    <xdr:sp macro="" textlink="">
      <xdr:nvSpPr>
        <xdr:cNvPr id="32117719" name="Line 50">
          <a:extLst>
            <a:ext uri="{FF2B5EF4-FFF2-40B4-BE49-F238E27FC236}">
              <a16:creationId xmlns:a16="http://schemas.microsoft.com/office/drawing/2014/main" id="{799CF8EB-9157-430A-A898-BB5CBCF7CFFA}"/>
            </a:ext>
          </a:extLst>
        </xdr:cNvPr>
        <xdr:cNvSpPr>
          <a:spLocks noChangeShapeType="1"/>
        </xdr:cNvSpPr>
      </xdr:nvSpPr>
      <xdr:spPr bwMode="auto">
        <a:xfrm>
          <a:off x="1038225" y="3514725"/>
          <a:ext cx="0" cy="30480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18</xdr:row>
      <xdr:rowOff>76200</xdr:rowOff>
    </xdr:from>
    <xdr:to>
      <xdr:col>8</xdr:col>
      <xdr:colOff>104775</xdr:colOff>
      <xdr:row>20</xdr:row>
      <xdr:rowOff>0</xdr:rowOff>
    </xdr:to>
    <xdr:sp macro="" textlink="">
      <xdr:nvSpPr>
        <xdr:cNvPr id="32117720" name="Line 51">
          <a:extLst>
            <a:ext uri="{FF2B5EF4-FFF2-40B4-BE49-F238E27FC236}">
              <a16:creationId xmlns:a16="http://schemas.microsoft.com/office/drawing/2014/main" id="{A5803361-267E-462F-827E-0943CFBFD376}"/>
            </a:ext>
          </a:extLst>
        </xdr:cNvPr>
        <xdr:cNvSpPr>
          <a:spLocks noChangeShapeType="1"/>
        </xdr:cNvSpPr>
      </xdr:nvSpPr>
      <xdr:spPr bwMode="auto">
        <a:xfrm>
          <a:off x="13430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</xdr:row>
      <xdr:rowOff>76200</xdr:rowOff>
    </xdr:from>
    <xdr:to>
      <xdr:col>14</xdr:col>
      <xdr:colOff>152400</xdr:colOff>
      <xdr:row>8</xdr:row>
      <xdr:rowOff>76200</xdr:rowOff>
    </xdr:to>
    <xdr:sp macro="" textlink="">
      <xdr:nvSpPr>
        <xdr:cNvPr id="32117721" name="Line 52">
          <a:extLst>
            <a:ext uri="{FF2B5EF4-FFF2-40B4-BE49-F238E27FC236}">
              <a16:creationId xmlns:a16="http://schemas.microsoft.com/office/drawing/2014/main" id="{ECD491FF-7340-489A-A112-AD5D0527986A}"/>
            </a:ext>
          </a:extLst>
        </xdr:cNvPr>
        <xdr:cNvSpPr>
          <a:spLocks noChangeShapeType="1"/>
        </xdr:cNvSpPr>
      </xdr:nvSpPr>
      <xdr:spPr bwMode="auto">
        <a:xfrm>
          <a:off x="1400175" y="1409700"/>
          <a:ext cx="904875" cy="190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114300</xdr:rowOff>
    </xdr:from>
    <xdr:to>
      <xdr:col>14</xdr:col>
      <xdr:colOff>142875</xdr:colOff>
      <xdr:row>9</xdr:row>
      <xdr:rowOff>85725</xdr:rowOff>
    </xdr:to>
    <xdr:sp macro="" textlink="">
      <xdr:nvSpPr>
        <xdr:cNvPr id="32117722" name="Line 53">
          <a:extLst>
            <a:ext uri="{FF2B5EF4-FFF2-40B4-BE49-F238E27FC236}">
              <a16:creationId xmlns:a16="http://schemas.microsoft.com/office/drawing/2014/main" id="{888212AE-FD2D-4737-90BB-CDE78926BB77}"/>
            </a:ext>
          </a:extLst>
        </xdr:cNvPr>
        <xdr:cNvSpPr>
          <a:spLocks noChangeShapeType="1"/>
        </xdr:cNvSpPr>
      </xdr:nvSpPr>
      <xdr:spPr bwMode="auto">
        <a:xfrm flipV="1">
          <a:off x="1390650" y="1638300"/>
          <a:ext cx="904875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104775</xdr:rowOff>
    </xdr:from>
    <xdr:to>
      <xdr:col>14</xdr:col>
      <xdr:colOff>114300</xdr:colOff>
      <xdr:row>11</xdr:row>
      <xdr:rowOff>104775</xdr:rowOff>
    </xdr:to>
    <xdr:sp macro="" textlink="">
      <xdr:nvSpPr>
        <xdr:cNvPr id="32117723" name="Line 55">
          <a:extLst>
            <a:ext uri="{FF2B5EF4-FFF2-40B4-BE49-F238E27FC236}">
              <a16:creationId xmlns:a16="http://schemas.microsoft.com/office/drawing/2014/main" id="{00DF2ED7-95E7-44FD-8AFD-0B5A57544155}"/>
            </a:ext>
          </a:extLst>
        </xdr:cNvPr>
        <xdr:cNvSpPr>
          <a:spLocks noChangeShapeType="1"/>
        </xdr:cNvSpPr>
      </xdr:nvSpPr>
      <xdr:spPr bwMode="auto">
        <a:xfrm flipV="1">
          <a:off x="1390650" y="2009775"/>
          <a:ext cx="876300" cy="190500"/>
        </a:xfrm>
        <a:prstGeom prst="line">
          <a:avLst/>
        </a:prstGeom>
        <a:noFill/>
        <a:ln w="28575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171450</xdr:colOff>
      <xdr:row>9</xdr:row>
      <xdr:rowOff>104775</xdr:rowOff>
    </xdr:from>
    <xdr:to>
      <xdr:col>14</xdr:col>
      <xdr:colOff>171450</xdr:colOff>
      <xdr:row>12</xdr:row>
      <xdr:rowOff>104775</xdr:rowOff>
    </xdr:to>
    <xdr:sp macro="" textlink="">
      <xdr:nvSpPr>
        <xdr:cNvPr id="32117724" name="Line 56">
          <a:extLst>
            <a:ext uri="{FF2B5EF4-FFF2-40B4-BE49-F238E27FC236}">
              <a16:creationId xmlns:a16="http://schemas.microsoft.com/office/drawing/2014/main" id="{97902111-651E-492A-9256-8AA3A66CBAEC}"/>
            </a:ext>
          </a:extLst>
        </xdr:cNvPr>
        <xdr:cNvSpPr>
          <a:spLocks noChangeShapeType="1"/>
        </xdr:cNvSpPr>
      </xdr:nvSpPr>
      <xdr:spPr bwMode="auto">
        <a:xfrm>
          <a:off x="1390650" y="1819275"/>
          <a:ext cx="914400" cy="571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11</xdr:row>
      <xdr:rowOff>114300</xdr:rowOff>
    </xdr:from>
    <xdr:to>
      <xdr:col>15</xdr:col>
      <xdr:colOff>38100</xdr:colOff>
      <xdr:row>14</xdr:row>
      <xdr:rowOff>114300</xdr:rowOff>
    </xdr:to>
    <xdr:sp macro="" textlink="">
      <xdr:nvSpPr>
        <xdr:cNvPr id="32117725" name="Line 57">
          <a:extLst>
            <a:ext uri="{FF2B5EF4-FFF2-40B4-BE49-F238E27FC236}">
              <a16:creationId xmlns:a16="http://schemas.microsoft.com/office/drawing/2014/main" id="{F7C93999-71DD-4D6D-95C2-974B0367BFED}"/>
            </a:ext>
          </a:extLst>
        </xdr:cNvPr>
        <xdr:cNvSpPr>
          <a:spLocks noChangeShapeType="1"/>
        </xdr:cNvSpPr>
      </xdr:nvSpPr>
      <xdr:spPr bwMode="auto">
        <a:xfrm>
          <a:off x="1400175" y="2209800"/>
          <a:ext cx="942975" cy="571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7</xdr:row>
      <xdr:rowOff>85725</xdr:rowOff>
    </xdr:from>
    <xdr:to>
      <xdr:col>17</xdr:col>
      <xdr:colOff>19050</xdr:colOff>
      <xdr:row>8</xdr:row>
      <xdr:rowOff>85725</xdr:rowOff>
    </xdr:to>
    <xdr:sp macro="" textlink="">
      <xdr:nvSpPr>
        <xdr:cNvPr id="32117726" name="Line 58">
          <a:extLst>
            <a:ext uri="{FF2B5EF4-FFF2-40B4-BE49-F238E27FC236}">
              <a16:creationId xmlns:a16="http://schemas.microsoft.com/office/drawing/2014/main" id="{495EE99F-B297-48E3-9507-1EC31BC4ED5A}"/>
            </a:ext>
          </a:extLst>
        </xdr:cNvPr>
        <xdr:cNvSpPr>
          <a:spLocks noChangeShapeType="1"/>
        </xdr:cNvSpPr>
      </xdr:nvSpPr>
      <xdr:spPr bwMode="auto">
        <a:xfrm flipV="1">
          <a:off x="2476500" y="1419225"/>
          <a:ext cx="15240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6</xdr:row>
      <xdr:rowOff>104775</xdr:rowOff>
    </xdr:from>
    <xdr:to>
      <xdr:col>19</xdr:col>
      <xdr:colOff>0</xdr:colOff>
      <xdr:row>7</xdr:row>
      <xdr:rowOff>76200</xdr:rowOff>
    </xdr:to>
    <xdr:sp macro="" textlink="">
      <xdr:nvSpPr>
        <xdr:cNvPr id="32117727" name="Line 59">
          <a:extLst>
            <a:ext uri="{FF2B5EF4-FFF2-40B4-BE49-F238E27FC236}">
              <a16:creationId xmlns:a16="http://schemas.microsoft.com/office/drawing/2014/main" id="{9020184D-7DD9-432E-B435-9C4F4BCF0F5F}"/>
            </a:ext>
          </a:extLst>
        </xdr:cNvPr>
        <xdr:cNvSpPr>
          <a:spLocks noChangeShapeType="1"/>
        </xdr:cNvSpPr>
      </xdr:nvSpPr>
      <xdr:spPr bwMode="auto">
        <a:xfrm flipV="1">
          <a:off x="2762250" y="1247775"/>
          <a:ext cx="152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5</xdr:row>
      <xdr:rowOff>85725</xdr:rowOff>
    </xdr:from>
    <xdr:to>
      <xdr:col>21</xdr:col>
      <xdr:colOff>0</xdr:colOff>
      <xdr:row>6</xdr:row>
      <xdr:rowOff>76200</xdr:rowOff>
    </xdr:to>
    <xdr:sp macro="" textlink="">
      <xdr:nvSpPr>
        <xdr:cNvPr id="32117728" name="Line 60">
          <a:extLst>
            <a:ext uri="{FF2B5EF4-FFF2-40B4-BE49-F238E27FC236}">
              <a16:creationId xmlns:a16="http://schemas.microsoft.com/office/drawing/2014/main" id="{97ADD6FC-E179-4482-8B1B-D4DF6806B511}"/>
            </a:ext>
          </a:extLst>
        </xdr:cNvPr>
        <xdr:cNvSpPr>
          <a:spLocks noChangeShapeType="1"/>
        </xdr:cNvSpPr>
      </xdr:nvSpPr>
      <xdr:spPr bwMode="auto">
        <a:xfrm flipV="1">
          <a:off x="3067050" y="1038225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5</xdr:row>
      <xdr:rowOff>85725</xdr:rowOff>
    </xdr:from>
    <xdr:to>
      <xdr:col>23</xdr:col>
      <xdr:colOff>9525</xdr:colOff>
      <xdr:row>6</xdr:row>
      <xdr:rowOff>85725</xdr:rowOff>
    </xdr:to>
    <xdr:sp macro="" textlink="">
      <xdr:nvSpPr>
        <xdr:cNvPr id="32117729" name="Line 61">
          <a:extLst>
            <a:ext uri="{FF2B5EF4-FFF2-40B4-BE49-F238E27FC236}">
              <a16:creationId xmlns:a16="http://schemas.microsoft.com/office/drawing/2014/main" id="{AD2972F1-C2C5-48B0-B6F8-29D4EE79CD75}"/>
            </a:ext>
          </a:extLst>
        </xdr:cNvPr>
        <xdr:cNvSpPr>
          <a:spLocks noChangeShapeType="1"/>
        </xdr:cNvSpPr>
      </xdr:nvSpPr>
      <xdr:spPr bwMode="auto">
        <a:xfrm>
          <a:off x="3371850" y="1038225"/>
          <a:ext cx="1619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6</xdr:row>
      <xdr:rowOff>104775</xdr:rowOff>
    </xdr:from>
    <xdr:to>
      <xdr:col>25</xdr:col>
      <xdr:colOff>38100</xdr:colOff>
      <xdr:row>7</xdr:row>
      <xdr:rowOff>76200</xdr:rowOff>
    </xdr:to>
    <xdr:sp macro="" textlink="">
      <xdr:nvSpPr>
        <xdr:cNvPr id="32117730" name="Line 62">
          <a:extLst>
            <a:ext uri="{FF2B5EF4-FFF2-40B4-BE49-F238E27FC236}">
              <a16:creationId xmlns:a16="http://schemas.microsoft.com/office/drawing/2014/main" id="{3B6CF1B0-47E9-4231-8EAA-41F539D74FC7}"/>
            </a:ext>
          </a:extLst>
        </xdr:cNvPr>
        <xdr:cNvSpPr>
          <a:spLocks noChangeShapeType="1"/>
        </xdr:cNvSpPr>
      </xdr:nvSpPr>
      <xdr:spPr bwMode="auto">
        <a:xfrm>
          <a:off x="3676650" y="1247775"/>
          <a:ext cx="1905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171450</xdr:colOff>
      <xdr:row>7</xdr:row>
      <xdr:rowOff>114300</xdr:rowOff>
    </xdr:from>
    <xdr:to>
      <xdr:col>27</xdr:col>
      <xdr:colOff>9525</xdr:colOff>
      <xdr:row>8</xdr:row>
      <xdr:rowOff>76200</xdr:rowOff>
    </xdr:to>
    <xdr:sp macro="" textlink="">
      <xdr:nvSpPr>
        <xdr:cNvPr id="32117731" name="Line 63">
          <a:extLst>
            <a:ext uri="{FF2B5EF4-FFF2-40B4-BE49-F238E27FC236}">
              <a16:creationId xmlns:a16="http://schemas.microsoft.com/office/drawing/2014/main" id="{79A0A376-091C-4F79-983C-F985485E51E2}"/>
            </a:ext>
          </a:extLst>
        </xdr:cNvPr>
        <xdr:cNvSpPr>
          <a:spLocks noChangeShapeType="1"/>
        </xdr:cNvSpPr>
      </xdr:nvSpPr>
      <xdr:spPr bwMode="auto">
        <a:xfrm>
          <a:off x="3981450" y="1447800"/>
          <a:ext cx="1619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171450</xdr:colOff>
      <xdr:row>8</xdr:row>
      <xdr:rowOff>76200</xdr:rowOff>
    </xdr:from>
    <xdr:to>
      <xdr:col>33</xdr:col>
      <xdr:colOff>85725</xdr:colOff>
      <xdr:row>8</xdr:row>
      <xdr:rowOff>85725</xdr:rowOff>
    </xdr:to>
    <xdr:sp macro="" textlink="">
      <xdr:nvSpPr>
        <xdr:cNvPr id="32117732" name="Line 64">
          <a:extLst>
            <a:ext uri="{FF2B5EF4-FFF2-40B4-BE49-F238E27FC236}">
              <a16:creationId xmlns:a16="http://schemas.microsoft.com/office/drawing/2014/main" id="{08ABC555-5991-4FFE-9167-347117249240}"/>
            </a:ext>
          </a:extLst>
        </xdr:cNvPr>
        <xdr:cNvSpPr>
          <a:spLocks noChangeShapeType="1"/>
        </xdr:cNvSpPr>
      </xdr:nvSpPr>
      <xdr:spPr bwMode="auto">
        <a:xfrm flipV="1">
          <a:off x="4286250" y="1600200"/>
          <a:ext cx="8477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171450</xdr:colOff>
      <xdr:row>10</xdr:row>
      <xdr:rowOff>85725</xdr:rowOff>
    </xdr:from>
    <xdr:to>
      <xdr:col>33</xdr:col>
      <xdr:colOff>85725</xdr:colOff>
      <xdr:row>10</xdr:row>
      <xdr:rowOff>85725</xdr:rowOff>
    </xdr:to>
    <xdr:sp macro="" textlink="">
      <xdr:nvSpPr>
        <xdr:cNvPr id="32117733" name="Line 65">
          <a:extLst>
            <a:ext uri="{FF2B5EF4-FFF2-40B4-BE49-F238E27FC236}">
              <a16:creationId xmlns:a16="http://schemas.microsoft.com/office/drawing/2014/main" id="{F2429978-3471-4537-AE09-A004F62052D0}"/>
            </a:ext>
          </a:extLst>
        </xdr:cNvPr>
        <xdr:cNvSpPr>
          <a:spLocks noChangeShapeType="1"/>
        </xdr:cNvSpPr>
      </xdr:nvSpPr>
      <xdr:spPr bwMode="auto">
        <a:xfrm flipV="1">
          <a:off x="4286250" y="1990725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12</xdr:row>
      <xdr:rowOff>85725</xdr:rowOff>
    </xdr:from>
    <xdr:to>
      <xdr:col>33</xdr:col>
      <xdr:colOff>19050</xdr:colOff>
      <xdr:row>12</xdr:row>
      <xdr:rowOff>85725</xdr:rowOff>
    </xdr:to>
    <xdr:sp macro="" textlink="">
      <xdr:nvSpPr>
        <xdr:cNvPr id="32117734" name="Line 66">
          <a:extLst>
            <a:ext uri="{FF2B5EF4-FFF2-40B4-BE49-F238E27FC236}">
              <a16:creationId xmlns:a16="http://schemas.microsoft.com/office/drawing/2014/main" id="{4BB51BB5-2E83-413B-AC24-54118D24598C}"/>
            </a:ext>
          </a:extLst>
        </xdr:cNvPr>
        <xdr:cNvSpPr>
          <a:spLocks noChangeShapeType="1"/>
        </xdr:cNvSpPr>
      </xdr:nvSpPr>
      <xdr:spPr bwMode="auto">
        <a:xfrm>
          <a:off x="4305300" y="237172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14</xdr:row>
      <xdr:rowOff>85725</xdr:rowOff>
    </xdr:from>
    <xdr:to>
      <xdr:col>33</xdr:col>
      <xdr:colOff>19050</xdr:colOff>
      <xdr:row>14</xdr:row>
      <xdr:rowOff>85725</xdr:rowOff>
    </xdr:to>
    <xdr:sp macro="" textlink="">
      <xdr:nvSpPr>
        <xdr:cNvPr id="32117735" name="Line 67">
          <a:extLst>
            <a:ext uri="{FF2B5EF4-FFF2-40B4-BE49-F238E27FC236}">
              <a16:creationId xmlns:a16="http://schemas.microsoft.com/office/drawing/2014/main" id="{2F459A34-AA8F-45FF-9AE9-BFCDA403228F}"/>
            </a:ext>
          </a:extLst>
        </xdr:cNvPr>
        <xdr:cNvSpPr>
          <a:spLocks noChangeShapeType="1"/>
        </xdr:cNvSpPr>
      </xdr:nvSpPr>
      <xdr:spPr bwMode="auto">
        <a:xfrm>
          <a:off x="4295775" y="2752725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</xdr:colOff>
      <xdr:row>8</xdr:row>
      <xdr:rowOff>114300</xdr:rowOff>
    </xdr:from>
    <xdr:to>
      <xdr:col>35</xdr:col>
      <xdr:colOff>19050</xdr:colOff>
      <xdr:row>9</xdr:row>
      <xdr:rowOff>76200</xdr:rowOff>
    </xdr:to>
    <xdr:sp macro="" textlink="">
      <xdr:nvSpPr>
        <xdr:cNvPr id="32117736" name="Line 68">
          <a:extLst>
            <a:ext uri="{FF2B5EF4-FFF2-40B4-BE49-F238E27FC236}">
              <a16:creationId xmlns:a16="http://schemas.microsoft.com/office/drawing/2014/main" id="{9CE33ABF-707D-42E3-8274-D3AC5E99C1F9}"/>
            </a:ext>
          </a:extLst>
        </xdr:cNvPr>
        <xdr:cNvSpPr>
          <a:spLocks noChangeShapeType="1"/>
        </xdr:cNvSpPr>
      </xdr:nvSpPr>
      <xdr:spPr bwMode="auto">
        <a:xfrm>
          <a:off x="5210175" y="1638300"/>
          <a:ext cx="1619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152400</xdr:colOff>
      <xdr:row>10</xdr:row>
      <xdr:rowOff>114300</xdr:rowOff>
    </xdr:from>
    <xdr:to>
      <xdr:col>35</xdr:col>
      <xdr:colOff>0</xdr:colOff>
      <xdr:row>11</xdr:row>
      <xdr:rowOff>76200</xdr:rowOff>
    </xdr:to>
    <xdr:sp macro="" textlink="">
      <xdr:nvSpPr>
        <xdr:cNvPr id="32117737" name="Line 69">
          <a:extLst>
            <a:ext uri="{FF2B5EF4-FFF2-40B4-BE49-F238E27FC236}">
              <a16:creationId xmlns:a16="http://schemas.microsoft.com/office/drawing/2014/main" id="{CF057E71-36AF-4EAA-A4B5-88FC7201BE16}"/>
            </a:ext>
          </a:extLst>
        </xdr:cNvPr>
        <xdr:cNvSpPr>
          <a:spLocks noChangeShapeType="1"/>
        </xdr:cNvSpPr>
      </xdr:nvSpPr>
      <xdr:spPr bwMode="auto">
        <a:xfrm>
          <a:off x="5200650" y="2019300"/>
          <a:ext cx="1524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11</xdr:row>
      <xdr:rowOff>114300</xdr:rowOff>
    </xdr:from>
    <xdr:to>
      <xdr:col>34</xdr:col>
      <xdr:colOff>161925</xdr:colOff>
      <xdr:row>12</xdr:row>
      <xdr:rowOff>104775</xdr:rowOff>
    </xdr:to>
    <xdr:sp macro="" textlink="">
      <xdr:nvSpPr>
        <xdr:cNvPr id="32117738" name="Line 70">
          <a:extLst>
            <a:ext uri="{FF2B5EF4-FFF2-40B4-BE49-F238E27FC236}">
              <a16:creationId xmlns:a16="http://schemas.microsoft.com/office/drawing/2014/main" id="{8C336F93-2CEF-4ADA-B293-FA68A6C20785}"/>
            </a:ext>
          </a:extLst>
        </xdr:cNvPr>
        <xdr:cNvSpPr>
          <a:spLocks noChangeShapeType="1"/>
        </xdr:cNvSpPr>
      </xdr:nvSpPr>
      <xdr:spPr bwMode="auto">
        <a:xfrm flipV="1">
          <a:off x="5200650" y="2209800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11</xdr:row>
      <xdr:rowOff>85725</xdr:rowOff>
    </xdr:from>
    <xdr:to>
      <xdr:col>37</xdr:col>
      <xdr:colOff>9525</xdr:colOff>
      <xdr:row>11</xdr:row>
      <xdr:rowOff>85725</xdr:rowOff>
    </xdr:to>
    <xdr:sp macro="" textlink="">
      <xdr:nvSpPr>
        <xdr:cNvPr id="32117739" name="Line 71">
          <a:extLst>
            <a:ext uri="{FF2B5EF4-FFF2-40B4-BE49-F238E27FC236}">
              <a16:creationId xmlns:a16="http://schemas.microsoft.com/office/drawing/2014/main" id="{2B21F57E-B0BB-4BF1-B946-BCC7CAEE125B}"/>
            </a:ext>
          </a:extLst>
        </xdr:cNvPr>
        <xdr:cNvSpPr>
          <a:spLocks noChangeShapeType="1"/>
        </xdr:cNvSpPr>
      </xdr:nvSpPr>
      <xdr:spPr bwMode="auto">
        <a:xfrm>
          <a:off x="5514975" y="218122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9</xdr:row>
      <xdr:rowOff>104775</xdr:rowOff>
    </xdr:from>
    <xdr:to>
      <xdr:col>16</xdr:col>
      <xdr:colOff>171450</xdr:colOff>
      <xdr:row>10</xdr:row>
      <xdr:rowOff>85725</xdr:rowOff>
    </xdr:to>
    <xdr:sp macro="" textlink="">
      <xdr:nvSpPr>
        <xdr:cNvPr id="32117740" name="Line 72">
          <a:extLst>
            <a:ext uri="{FF2B5EF4-FFF2-40B4-BE49-F238E27FC236}">
              <a16:creationId xmlns:a16="http://schemas.microsoft.com/office/drawing/2014/main" id="{2D09EE1E-7EB5-43BC-853F-C14A230409F4}"/>
            </a:ext>
          </a:extLst>
        </xdr:cNvPr>
        <xdr:cNvSpPr>
          <a:spLocks noChangeShapeType="1"/>
        </xdr:cNvSpPr>
      </xdr:nvSpPr>
      <xdr:spPr bwMode="auto">
        <a:xfrm flipV="1">
          <a:off x="2457450" y="1819275"/>
          <a:ext cx="15240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8</xdr:row>
      <xdr:rowOff>85725</xdr:rowOff>
    </xdr:from>
    <xdr:to>
      <xdr:col>19</xdr:col>
      <xdr:colOff>19050</xdr:colOff>
      <xdr:row>9</xdr:row>
      <xdr:rowOff>76200</xdr:rowOff>
    </xdr:to>
    <xdr:sp macro="" textlink="">
      <xdr:nvSpPr>
        <xdr:cNvPr id="32117741" name="Line 73">
          <a:extLst>
            <a:ext uri="{FF2B5EF4-FFF2-40B4-BE49-F238E27FC236}">
              <a16:creationId xmlns:a16="http://schemas.microsoft.com/office/drawing/2014/main" id="{8B438DFF-ABB6-4BA4-9B2C-19EFA70A1DA3}"/>
            </a:ext>
          </a:extLst>
        </xdr:cNvPr>
        <xdr:cNvSpPr>
          <a:spLocks noChangeShapeType="1"/>
        </xdr:cNvSpPr>
      </xdr:nvSpPr>
      <xdr:spPr bwMode="auto">
        <a:xfrm flipV="1">
          <a:off x="2762250" y="1609725"/>
          <a:ext cx="1714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7</xdr:row>
      <xdr:rowOff>114300</xdr:rowOff>
    </xdr:from>
    <xdr:to>
      <xdr:col>20</xdr:col>
      <xdr:colOff>171450</xdr:colOff>
      <xdr:row>8</xdr:row>
      <xdr:rowOff>85725</xdr:rowOff>
    </xdr:to>
    <xdr:sp macro="" textlink="">
      <xdr:nvSpPr>
        <xdr:cNvPr id="32117742" name="Line 74">
          <a:extLst>
            <a:ext uri="{FF2B5EF4-FFF2-40B4-BE49-F238E27FC236}">
              <a16:creationId xmlns:a16="http://schemas.microsoft.com/office/drawing/2014/main" id="{6141BF54-360C-487E-82F9-AF30654CC570}"/>
            </a:ext>
          </a:extLst>
        </xdr:cNvPr>
        <xdr:cNvSpPr>
          <a:spLocks noChangeShapeType="1"/>
        </xdr:cNvSpPr>
      </xdr:nvSpPr>
      <xdr:spPr bwMode="auto">
        <a:xfrm flipV="1">
          <a:off x="3067050" y="1447800"/>
          <a:ext cx="152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7</xdr:row>
      <xdr:rowOff>114300</xdr:rowOff>
    </xdr:from>
    <xdr:to>
      <xdr:col>23</xdr:col>
      <xdr:colOff>38100</xdr:colOff>
      <xdr:row>8</xdr:row>
      <xdr:rowOff>76200</xdr:rowOff>
    </xdr:to>
    <xdr:sp macro="" textlink="">
      <xdr:nvSpPr>
        <xdr:cNvPr id="32117743" name="Line 75">
          <a:extLst>
            <a:ext uri="{FF2B5EF4-FFF2-40B4-BE49-F238E27FC236}">
              <a16:creationId xmlns:a16="http://schemas.microsoft.com/office/drawing/2014/main" id="{445F99D5-1346-4D69-B156-152580682C25}"/>
            </a:ext>
          </a:extLst>
        </xdr:cNvPr>
        <xdr:cNvSpPr>
          <a:spLocks noChangeShapeType="1"/>
        </xdr:cNvSpPr>
      </xdr:nvSpPr>
      <xdr:spPr bwMode="auto">
        <a:xfrm>
          <a:off x="3371850" y="1447800"/>
          <a:ext cx="1905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114300</xdr:rowOff>
    </xdr:from>
    <xdr:to>
      <xdr:col>25</xdr:col>
      <xdr:colOff>38100</xdr:colOff>
      <xdr:row>9</xdr:row>
      <xdr:rowOff>76200</xdr:rowOff>
    </xdr:to>
    <xdr:sp macro="" textlink="">
      <xdr:nvSpPr>
        <xdr:cNvPr id="32117744" name="Line 76">
          <a:extLst>
            <a:ext uri="{FF2B5EF4-FFF2-40B4-BE49-F238E27FC236}">
              <a16:creationId xmlns:a16="http://schemas.microsoft.com/office/drawing/2014/main" id="{49196D2F-33CA-4E5D-B6DD-B3BBECC62C0E}"/>
            </a:ext>
          </a:extLst>
        </xdr:cNvPr>
        <xdr:cNvSpPr>
          <a:spLocks noChangeShapeType="1"/>
        </xdr:cNvSpPr>
      </xdr:nvSpPr>
      <xdr:spPr bwMode="auto">
        <a:xfrm>
          <a:off x="3676650" y="1638300"/>
          <a:ext cx="1905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161925</xdr:colOff>
      <xdr:row>9</xdr:row>
      <xdr:rowOff>104775</xdr:rowOff>
    </xdr:from>
    <xdr:to>
      <xdr:col>27</xdr:col>
      <xdr:colOff>47625</xdr:colOff>
      <xdr:row>10</xdr:row>
      <xdr:rowOff>76200</xdr:rowOff>
    </xdr:to>
    <xdr:sp macro="" textlink="">
      <xdr:nvSpPr>
        <xdr:cNvPr id="32117745" name="Line 77">
          <a:extLst>
            <a:ext uri="{FF2B5EF4-FFF2-40B4-BE49-F238E27FC236}">
              <a16:creationId xmlns:a16="http://schemas.microsoft.com/office/drawing/2014/main" id="{F2D84328-437F-4323-A6BE-546430EAD3E7}"/>
            </a:ext>
          </a:extLst>
        </xdr:cNvPr>
        <xdr:cNvSpPr>
          <a:spLocks noChangeShapeType="1"/>
        </xdr:cNvSpPr>
      </xdr:nvSpPr>
      <xdr:spPr bwMode="auto">
        <a:xfrm>
          <a:off x="3981450" y="1819275"/>
          <a:ext cx="2000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7</xdr:row>
      <xdr:rowOff>142875</xdr:rowOff>
    </xdr:from>
    <xdr:to>
      <xdr:col>21</xdr:col>
      <xdr:colOff>85725</xdr:colOff>
      <xdr:row>8</xdr:row>
      <xdr:rowOff>142875</xdr:rowOff>
    </xdr:to>
    <xdr:sp macro="" textlink="">
      <xdr:nvSpPr>
        <xdr:cNvPr id="32117746" name="Line 78">
          <a:extLst>
            <a:ext uri="{FF2B5EF4-FFF2-40B4-BE49-F238E27FC236}">
              <a16:creationId xmlns:a16="http://schemas.microsoft.com/office/drawing/2014/main" id="{EE2FB104-3693-4043-A5E3-51E877F0F27C}"/>
            </a:ext>
          </a:extLst>
        </xdr:cNvPr>
        <xdr:cNvSpPr>
          <a:spLocks noChangeShapeType="1"/>
        </xdr:cNvSpPr>
      </xdr:nvSpPr>
      <xdr:spPr bwMode="auto">
        <a:xfrm>
          <a:off x="3305175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9</xdr:row>
      <xdr:rowOff>76200</xdr:rowOff>
    </xdr:from>
    <xdr:to>
      <xdr:col>21</xdr:col>
      <xdr:colOff>47625</xdr:colOff>
      <xdr:row>10</xdr:row>
      <xdr:rowOff>47625</xdr:rowOff>
    </xdr:to>
    <xdr:sp macro="" textlink="">
      <xdr:nvSpPr>
        <xdr:cNvPr id="32117747" name="Line 79">
          <a:extLst>
            <a:ext uri="{FF2B5EF4-FFF2-40B4-BE49-F238E27FC236}">
              <a16:creationId xmlns:a16="http://schemas.microsoft.com/office/drawing/2014/main" id="{09AFD751-C166-4BB8-A929-D54F59DDD6AA}"/>
            </a:ext>
          </a:extLst>
        </xdr:cNvPr>
        <xdr:cNvSpPr>
          <a:spLocks noChangeShapeType="1"/>
        </xdr:cNvSpPr>
      </xdr:nvSpPr>
      <xdr:spPr bwMode="auto">
        <a:xfrm flipH="1">
          <a:off x="3057525" y="1790700"/>
          <a:ext cx="2095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9</xdr:row>
      <xdr:rowOff>114300</xdr:rowOff>
    </xdr:from>
    <xdr:to>
      <xdr:col>21</xdr:col>
      <xdr:colOff>85725</xdr:colOff>
      <xdr:row>10</xdr:row>
      <xdr:rowOff>104775</xdr:rowOff>
    </xdr:to>
    <xdr:sp macro="" textlink="">
      <xdr:nvSpPr>
        <xdr:cNvPr id="32117748" name="Line 80">
          <a:extLst>
            <a:ext uri="{FF2B5EF4-FFF2-40B4-BE49-F238E27FC236}">
              <a16:creationId xmlns:a16="http://schemas.microsoft.com/office/drawing/2014/main" id="{8963DEA4-5FD1-49EB-875B-AFF7AF08535A}"/>
            </a:ext>
          </a:extLst>
        </xdr:cNvPr>
        <xdr:cNvSpPr>
          <a:spLocks noChangeShapeType="1"/>
        </xdr:cNvSpPr>
      </xdr:nvSpPr>
      <xdr:spPr bwMode="auto">
        <a:xfrm flipV="1">
          <a:off x="3076575" y="1828800"/>
          <a:ext cx="2286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11</xdr:row>
      <xdr:rowOff>85725</xdr:rowOff>
    </xdr:from>
    <xdr:to>
      <xdr:col>17</xdr:col>
      <xdr:colOff>47625</xdr:colOff>
      <xdr:row>12</xdr:row>
      <xdr:rowOff>85725</xdr:rowOff>
    </xdr:to>
    <xdr:sp macro="" textlink="">
      <xdr:nvSpPr>
        <xdr:cNvPr id="32117749" name="Line 81">
          <a:extLst>
            <a:ext uri="{FF2B5EF4-FFF2-40B4-BE49-F238E27FC236}">
              <a16:creationId xmlns:a16="http://schemas.microsoft.com/office/drawing/2014/main" id="{CEFA6BEB-D5CD-4D84-B7DC-3D10DFC5DF88}"/>
            </a:ext>
          </a:extLst>
        </xdr:cNvPr>
        <xdr:cNvSpPr>
          <a:spLocks noChangeShapeType="1"/>
        </xdr:cNvSpPr>
      </xdr:nvSpPr>
      <xdr:spPr bwMode="auto">
        <a:xfrm flipV="1">
          <a:off x="2457450" y="2181225"/>
          <a:ext cx="2000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10</xdr:row>
      <xdr:rowOff>104775</xdr:rowOff>
    </xdr:from>
    <xdr:to>
      <xdr:col>19</xdr:col>
      <xdr:colOff>0</xdr:colOff>
      <xdr:row>11</xdr:row>
      <xdr:rowOff>47625</xdr:rowOff>
    </xdr:to>
    <xdr:sp macro="" textlink="">
      <xdr:nvSpPr>
        <xdr:cNvPr id="32117750" name="Line 82">
          <a:extLst>
            <a:ext uri="{FF2B5EF4-FFF2-40B4-BE49-F238E27FC236}">
              <a16:creationId xmlns:a16="http://schemas.microsoft.com/office/drawing/2014/main" id="{464991A9-9686-4445-850F-19F4408B5D0F}"/>
            </a:ext>
          </a:extLst>
        </xdr:cNvPr>
        <xdr:cNvSpPr>
          <a:spLocks noChangeShapeType="1"/>
        </xdr:cNvSpPr>
      </xdr:nvSpPr>
      <xdr:spPr bwMode="auto">
        <a:xfrm flipV="1">
          <a:off x="2762250" y="2009775"/>
          <a:ext cx="1524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14</xdr:row>
      <xdr:rowOff>114300</xdr:rowOff>
    </xdr:from>
    <xdr:to>
      <xdr:col>17</xdr:col>
      <xdr:colOff>38100</xdr:colOff>
      <xdr:row>15</xdr:row>
      <xdr:rowOff>76200</xdr:rowOff>
    </xdr:to>
    <xdr:sp macro="" textlink="">
      <xdr:nvSpPr>
        <xdr:cNvPr id="32117751" name="Line 83">
          <a:extLst>
            <a:ext uri="{FF2B5EF4-FFF2-40B4-BE49-F238E27FC236}">
              <a16:creationId xmlns:a16="http://schemas.microsoft.com/office/drawing/2014/main" id="{AC1D2179-0791-4786-820E-7B2F29B93E47}"/>
            </a:ext>
          </a:extLst>
        </xdr:cNvPr>
        <xdr:cNvSpPr>
          <a:spLocks noChangeShapeType="1"/>
        </xdr:cNvSpPr>
      </xdr:nvSpPr>
      <xdr:spPr bwMode="auto">
        <a:xfrm>
          <a:off x="2466975" y="2781300"/>
          <a:ext cx="18097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</xdr:row>
      <xdr:rowOff>104775</xdr:rowOff>
    </xdr:from>
    <xdr:to>
      <xdr:col>17</xdr:col>
      <xdr:colOff>19050</xdr:colOff>
      <xdr:row>13</xdr:row>
      <xdr:rowOff>76200</xdr:rowOff>
    </xdr:to>
    <xdr:sp macro="" textlink="">
      <xdr:nvSpPr>
        <xdr:cNvPr id="32117752" name="Line 84">
          <a:extLst>
            <a:ext uri="{FF2B5EF4-FFF2-40B4-BE49-F238E27FC236}">
              <a16:creationId xmlns:a16="http://schemas.microsoft.com/office/drawing/2014/main" id="{B70D275B-D91D-47C1-B2A2-5ACBB71A634B}"/>
            </a:ext>
          </a:extLst>
        </xdr:cNvPr>
        <xdr:cNvSpPr>
          <a:spLocks noChangeShapeType="1"/>
        </xdr:cNvSpPr>
      </xdr:nvSpPr>
      <xdr:spPr bwMode="auto">
        <a:xfrm>
          <a:off x="2457450" y="2390775"/>
          <a:ext cx="1714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14</xdr:row>
      <xdr:rowOff>19050</xdr:rowOff>
    </xdr:from>
    <xdr:to>
      <xdr:col>17</xdr:col>
      <xdr:colOff>133350</xdr:colOff>
      <xdr:row>15</xdr:row>
      <xdr:rowOff>19050</xdr:rowOff>
    </xdr:to>
    <xdr:sp macro="" textlink="">
      <xdr:nvSpPr>
        <xdr:cNvPr id="32117753" name="Line 85">
          <a:extLst>
            <a:ext uri="{FF2B5EF4-FFF2-40B4-BE49-F238E27FC236}">
              <a16:creationId xmlns:a16="http://schemas.microsoft.com/office/drawing/2014/main" id="{A1A2EA55-948D-4B45-85E3-F3535526638C}"/>
            </a:ext>
          </a:extLst>
        </xdr:cNvPr>
        <xdr:cNvSpPr>
          <a:spLocks noChangeShapeType="1"/>
        </xdr:cNvSpPr>
      </xdr:nvSpPr>
      <xdr:spPr bwMode="auto">
        <a:xfrm flipV="1">
          <a:off x="2743200" y="268605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15</xdr:row>
      <xdr:rowOff>19050</xdr:rowOff>
    </xdr:from>
    <xdr:to>
      <xdr:col>15</xdr:col>
      <xdr:colOff>104775</xdr:colOff>
      <xdr:row>23</xdr:row>
      <xdr:rowOff>47625</xdr:rowOff>
    </xdr:to>
    <xdr:sp macro="" textlink="">
      <xdr:nvSpPr>
        <xdr:cNvPr id="32117754" name="Line 86">
          <a:extLst>
            <a:ext uri="{FF2B5EF4-FFF2-40B4-BE49-F238E27FC236}">
              <a16:creationId xmlns:a16="http://schemas.microsoft.com/office/drawing/2014/main" id="{5E654672-8DEA-4781-BC5F-EA23F54D9538}"/>
            </a:ext>
          </a:extLst>
        </xdr:cNvPr>
        <xdr:cNvSpPr>
          <a:spLocks noChangeShapeType="1"/>
        </xdr:cNvSpPr>
      </xdr:nvSpPr>
      <xdr:spPr bwMode="auto">
        <a:xfrm flipH="1">
          <a:off x="2390775" y="2876550"/>
          <a:ext cx="19050" cy="156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16</xdr:row>
      <xdr:rowOff>0</xdr:rowOff>
    </xdr:from>
    <xdr:to>
      <xdr:col>17</xdr:col>
      <xdr:colOff>133350</xdr:colOff>
      <xdr:row>25</xdr:row>
      <xdr:rowOff>85725</xdr:rowOff>
    </xdr:to>
    <xdr:sp macro="" textlink="">
      <xdr:nvSpPr>
        <xdr:cNvPr id="32117755" name="Line 87">
          <a:extLst>
            <a:ext uri="{FF2B5EF4-FFF2-40B4-BE49-F238E27FC236}">
              <a16:creationId xmlns:a16="http://schemas.microsoft.com/office/drawing/2014/main" id="{8F926528-BE5F-45E6-BCDA-EF2CDD567A84}"/>
            </a:ext>
          </a:extLst>
        </xdr:cNvPr>
        <xdr:cNvSpPr>
          <a:spLocks noChangeShapeType="1"/>
        </xdr:cNvSpPr>
      </xdr:nvSpPr>
      <xdr:spPr bwMode="auto">
        <a:xfrm>
          <a:off x="2743200" y="3048000"/>
          <a:ext cx="0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133350</xdr:colOff>
      <xdr:row>14</xdr:row>
      <xdr:rowOff>47625</xdr:rowOff>
    </xdr:from>
    <xdr:to>
      <xdr:col>33</xdr:col>
      <xdr:colOff>114300</xdr:colOff>
      <xdr:row>20</xdr:row>
      <xdr:rowOff>76200</xdr:rowOff>
    </xdr:to>
    <xdr:sp macro="" textlink="">
      <xdr:nvSpPr>
        <xdr:cNvPr id="32117756" name="Line 88">
          <a:extLst>
            <a:ext uri="{FF2B5EF4-FFF2-40B4-BE49-F238E27FC236}">
              <a16:creationId xmlns:a16="http://schemas.microsoft.com/office/drawing/2014/main" id="{4C41A908-A0EF-4C10-927C-247986778FCD}"/>
            </a:ext>
          </a:extLst>
        </xdr:cNvPr>
        <xdr:cNvSpPr>
          <a:spLocks noChangeShapeType="1"/>
        </xdr:cNvSpPr>
      </xdr:nvSpPr>
      <xdr:spPr bwMode="auto">
        <a:xfrm flipH="1">
          <a:off x="5029200" y="2714625"/>
          <a:ext cx="13335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104775</xdr:colOff>
      <xdr:row>11</xdr:row>
      <xdr:rowOff>114300</xdr:rowOff>
    </xdr:from>
    <xdr:to>
      <xdr:col>37</xdr:col>
      <xdr:colOff>104775</xdr:colOff>
      <xdr:row>25</xdr:row>
      <xdr:rowOff>76200</xdr:rowOff>
    </xdr:to>
    <xdr:sp macro="" textlink="">
      <xdr:nvSpPr>
        <xdr:cNvPr id="32117757" name="Line 89">
          <a:extLst>
            <a:ext uri="{FF2B5EF4-FFF2-40B4-BE49-F238E27FC236}">
              <a16:creationId xmlns:a16="http://schemas.microsoft.com/office/drawing/2014/main" id="{DCA330B8-9030-45D9-A5D7-7B0AC3F1F48D}"/>
            </a:ext>
          </a:extLst>
        </xdr:cNvPr>
        <xdr:cNvSpPr>
          <a:spLocks noChangeShapeType="1"/>
        </xdr:cNvSpPr>
      </xdr:nvSpPr>
      <xdr:spPr bwMode="auto">
        <a:xfrm flipH="1">
          <a:off x="5610225" y="2209800"/>
          <a:ext cx="15240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11</xdr:row>
      <xdr:rowOff>142875</xdr:rowOff>
    </xdr:from>
    <xdr:to>
      <xdr:col>19</xdr:col>
      <xdr:colOff>9525</xdr:colOff>
      <xdr:row>12</xdr:row>
      <xdr:rowOff>76200</xdr:rowOff>
    </xdr:to>
    <xdr:sp macro="" textlink="">
      <xdr:nvSpPr>
        <xdr:cNvPr id="32117758" name="Line 90">
          <a:extLst>
            <a:ext uri="{FF2B5EF4-FFF2-40B4-BE49-F238E27FC236}">
              <a16:creationId xmlns:a16="http://schemas.microsoft.com/office/drawing/2014/main" id="{39997CFE-9C20-427E-9302-E9948414BD3F}"/>
            </a:ext>
          </a:extLst>
        </xdr:cNvPr>
        <xdr:cNvSpPr>
          <a:spLocks noChangeShapeType="1"/>
        </xdr:cNvSpPr>
      </xdr:nvSpPr>
      <xdr:spPr bwMode="auto">
        <a:xfrm>
          <a:off x="2762250" y="223837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85725</xdr:rowOff>
    </xdr:from>
    <xdr:to>
      <xdr:col>23</xdr:col>
      <xdr:colOff>47625</xdr:colOff>
      <xdr:row>10</xdr:row>
      <xdr:rowOff>47625</xdr:rowOff>
    </xdr:to>
    <xdr:sp macro="" textlink="">
      <xdr:nvSpPr>
        <xdr:cNvPr id="32117759" name="Line 91">
          <a:extLst>
            <a:ext uri="{FF2B5EF4-FFF2-40B4-BE49-F238E27FC236}">
              <a16:creationId xmlns:a16="http://schemas.microsoft.com/office/drawing/2014/main" id="{A948BC7E-CA2C-4C61-8627-ED350DB8A5BA}"/>
            </a:ext>
          </a:extLst>
        </xdr:cNvPr>
        <xdr:cNvSpPr>
          <a:spLocks noChangeShapeType="1"/>
        </xdr:cNvSpPr>
      </xdr:nvSpPr>
      <xdr:spPr bwMode="auto">
        <a:xfrm>
          <a:off x="3371850" y="1800225"/>
          <a:ext cx="2000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9</xdr:row>
      <xdr:rowOff>0</xdr:rowOff>
    </xdr:from>
    <xdr:to>
      <xdr:col>23</xdr:col>
      <xdr:colOff>104775</xdr:colOff>
      <xdr:row>10</xdr:row>
      <xdr:rowOff>28575</xdr:rowOff>
    </xdr:to>
    <xdr:sp macro="" textlink="">
      <xdr:nvSpPr>
        <xdr:cNvPr id="32643072" name="Line 92">
          <a:extLst>
            <a:ext uri="{FF2B5EF4-FFF2-40B4-BE49-F238E27FC236}">
              <a16:creationId xmlns:a16="http://schemas.microsoft.com/office/drawing/2014/main" id="{234111A9-F0E1-4219-B2BA-5629F49BBC36}"/>
            </a:ext>
          </a:extLst>
        </xdr:cNvPr>
        <xdr:cNvSpPr>
          <a:spLocks noChangeShapeType="1"/>
        </xdr:cNvSpPr>
      </xdr:nvSpPr>
      <xdr:spPr bwMode="auto">
        <a:xfrm flipV="1">
          <a:off x="3629025" y="17145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25</xdr:row>
      <xdr:rowOff>76200</xdr:rowOff>
    </xdr:from>
    <xdr:to>
      <xdr:col>5</xdr:col>
      <xdr:colOff>152400</xdr:colOff>
      <xdr:row>25</xdr:row>
      <xdr:rowOff>85725</xdr:rowOff>
    </xdr:to>
    <xdr:sp macro="" textlink="">
      <xdr:nvSpPr>
        <xdr:cNvPr id="32643073" name="Line 93">
          <a:extLst>
            <a:ext uri="{FF2B5EF4-FFF2-40B4-BE49-F238E27FC236}">
              <a16:creationId xmlns:a16="http://schemas.microsoft.com/office/drawing/2014/main" id="{44870559-9FE1-4400-9D73-0A76F68762FB}"/>
            </a:ext>
          </a:extLst>
        </xdr:cNvPr>
        <xdr:cNvSpPr>
          <a:spLocks noChangeShapeType="1"/>
        </xdr:cNvSpPr>
      </xdr:nvSpPr>
      <xdr:spPr bwMode="auto">
        <a:xfrm>
          <a:off x="180975" y="4848225"/>
          <a:ext cx="752475" cy="95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161925</xdr:colOff>
      <xdr:row>19</xdr:row>
      <xdr:rowOff>104775</xdr:rowOff>
    </xdr:from>
    <xdr:to>
      <xdr:col>22</xdr:col>
      <xdr:colOff>0</xdr:colOff>
      <xdr:row>20</xdr:row>
      <xdr:rowOff>47625</xdr:rowOff>
    </xdr:to>
    <xdr:sp macro="" textlink="">
      <xdr:nvSpPr>
        <xdr:cNvPr id="32643074" name="Line 94">
          <a:extLst>
            <a:ext uri="{FF2B5EF4-FFF2-40B4-BE49-F238E27FC236}">
              <a16:creationId xmlns:a16="http://schemas.microsoft.com/office/drawing/2014/main" id="{88B53584-4035-43BE-BE0D-8AD11D40CDC8}"/>
            </a:ext>
          </a:extLst>
        </xdr:cNvPr>
        <xdr:cNvSpPr>
          <a:spLocks noChangeShapeType="1"/>
        </xdr:cNvSpPr>
      </xdr:nvSpPr>
      <xdr:spPr bwMode="auto">
        <a:xfrm flipV="1">
          <a:off x="3219450" y="3733800"/>
          <a:ext cx="1524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16</xdr:row>
      <xdr:rowOff>19050</xdr:rowOff>
    </xdr:from>
    <xdr:to>
      <xdr:col>14</xdr:col>
      <xdr:colOff>114300</xdr:colOff>
      <xdr:row>16</xdr:row>
      <xdr:rowOff>180975</xdr:rowOff>
    </xdr:to>
    <xdr:sp macro="" textlink="">
      <xdr:nvSpPr>
        <xdr:cNvPr id="32643075" name="Line 53">
          <a:extLst>
            <a:ext uri="{FF2B5EF4-FFF2-40B4-BE49-F238E27FC236}">
              <a16:creationId xmlns:a16="http://schemas.microsoft.com/office/drawing/2014/main" id="{D8AC5ACB-1E64-4BFA-BF8B-E6CFAB698E91}"/>
            </a:ext>
          </a:extLst>
        </xdr:cNvPr>
        <xdr:cNvSpPr>
          <a:spLocks noChangeShapeType="1"/>
        </xdr:cNvSpPr>
      </xdr:nvSpPr>
      <xdr:spPr bwMode="auto">
        <a:xfrm flipV="1">
          <a:off x="1409700" y="3067050"/>
          <a:ext cx="857250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5</xdr:row>
      <xdr:rowOff>76200</xdr:rowOff>
    </xdr:from>
    <xdr:to>
      <xdr:col>14</xdr:col>
      <xdr:colOff>85725</xdr:colOff>
      <xdr:row>10</xdr:row>
      <xdr:rowOff>76200</xdr:rowOff>
    </xdr:to>
    <xdr:sp macro="" textlink="">
      <xdr:nvSpPr>
        <xdr:cNvPr id="32643076" name="Line 52">
          <a:extLst>
            <a:ext uri="{FF2B5EF4-FFF2-40B4-BE49-F238E27FC236}">
              <a16:creationId xmlns:a16="http://schemas.microsoft.com/office/drawing/2014/main" id="{12C07F64-AD74-4786-B7C2-A3B307611D62}"/>
            </a:ext>
          </a:extLst>
        </xdr:cNvPr>
        <xdr:cNvSpPr>
          <a:spLocks noChangeShapeType="1"/>
        </xdr:cNvSpPr>
      </xdr:nvSpPr>
      <xdr:spPr bwMode="auto">
        <a:xfrm>
          <a:off x="1400175" y="1028700"/>
          <a:ext cx="838200" cy="952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14</xdr:row>
      <xdr:rowOff>142875</xdr:rowOff>
    </xdr:from>
    <xdr:to>
      <xdr:col>15</xdr:col>
      <xdr:colOff>0</xdr:colOff>
      <xdr:row>15</xdr:row>
      <xdr:rowOff>114300</xdr:rowOff>
    </xdr:to>
    <xdr:sp macro="" textlink="">
      <xdr:nvSpPr>
        <xdr:cNvPr id="32643077" name="Line 57">
          <a:extLst>
            <a:ext uri="{FF2B5EF4-FFF2-40B4-BE49-F238E27FC236}">
              <a16:creationId xmlns:a16="http://schemas.microsoft.com/office/drawing/2014/main" id="{EB17A5D5-57A7-4416-9C59-F9A6DA37D6E9}"/>
            </a:ext>
          </a:extLst>
        </xdr:cNvPr>
        <xdr:cNvSpPr>
          <a:spLocks noChangeShapeType="1"/>
        </xdr:cNvSpPr>
      </xdr:nvSpPr>
      <xdr:spPr bwMode="auto">
        <a:xfrm flipV="1">
          <a:off x="1400175" y="2809875"/>
          <a:ext cx="904875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12</xdr:row>
      <xdr:rowOff>76200</xdr:rowOff>
    </xdr:from>
    <xdr:to>
      <xdr:col>3</xdr:col>
      <xdr:colOff>333375</xdr:colOff>
      <xdr:row>18</xdr:row>
      <xdr:rowOff>85725</xdr:rowOff>
    </xdr:to>
    <xdr:sp macro="" textlink="">
      <xdr:nvSpPr>
        <xdr:cNvPr id="31565742" name="Line 1">
          <a:extLst>
            <a:ext uri="{FF2B5EF4-FFF2-40B4-BE49-F238E27FC236}">
              <a16:creationId xmlns:a16="http://schemas.microsoft.com/office/drawing/2014/main" id="{4D24AF96-1683-487E-BCA9-3A60FFA47066}"/>
            </a:ext>
          </a:extLst>
        </xdr:cNvPr>
        <xdr:cNvSpPr>
          <a:spLocks noChangeShapeType="1"/>
        </xdr:cNvSpPr>
      </xdr:nvSpPr>
      <xdr:spPr bwMode="auto">
        <a:xfrm flipH="1">
          <a:off x="1914525" y="1943100"/>
          <a:ext cx="1905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14</xdr:row>
      <xdr:rowOff>57150</xdr:rowOff>
    </xdr:from>
    <xdr:to>
      <xdr:col>3</xdr:col>
      <xdr:colOff>133350</xdr:colOff>
      <xdr:row>18</xdr:row>
      <xdr:rowOff>38100</xdr:rowOff>
    </xdr:to>
    <xdr:sp macro="" textlink="">
      <xdr:nvSpPr>
        <xdr:cNvPr id="31565743" name="Line 2">
          <a:extLst>
            <a:ext uri="{FF2B5EF4-FFF2-40B4-BE49-F238E27FC236}">
              <a16:creationId xmlns:a16="http://schemas.microsoft.com/office/drawing/2014/main" id="{DD0310BB-A8C5-444E-AE05-700C924E57DE}"/>
            </a:ext>
          </a:extLst>
        </xdr:cNvPr>
        <xdr:cNvSpPr>
          <a:spLocks noChangeShapeType="1"/>
        </xdr:cNvSpPr>
      </xdr:nvSpPr>
      <xdr:spPr bwMode="auto">
        <a:xfrm>
          <a:off x="1733550" y="2209800"/>
          <a:ext cx="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16</xdr:row>
      <xdr:rowOff>95250</xdr:rowOff>
    </xdr:from>
    <xdr:to>
      <xdr:col>3</xdr:col>
      <xdr:colOff>457200</xdr:colOff>
      <xdr:row>18</xdr:row>
      <xdr:rowOff>66675</xdr:rowOff>
    </xdr:to>
    <xdr:sp macro="" textlink="">
      <xdr:nvSpPr>
        <xdr:cNvPr id="31565744" name="Line 3">
          <a:extLst>
            <a:ext uri="{FF2B5EF4-FFF2-40B4-BE49-F238E27FC236}">
              <a16:creationId xmlns:a16="http://schemas.microsoft.com/office/drawing/2014/main" id="{7E2E67B9-5097-4624-B41D-F9BA3ECD2BDA}"/>
            </a:ext>
          </a:extLst>
        </xdr:cNvPr>
        <xdr:cNvSpPr>
          <a:spLocks noChangeShapeType="1"/>
        </xdr:cNvSpPr>
      </xdr:nvSpPr>
      <xdr:spPr bwMode="auto">
        <a:xfrm>
          <a:off x="2057400" y="25336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14</xdr:row>
      <xdr:rowOff>114300</xdr:rowOff>
    </xdr:from>
    <xdr:to>
      <xdr:col>6</xdr:col>
      <xdr:colOff>9525</xdr:colOff>
      <xdr:row>14</xdr:row>
      <xdr:rowOff>114300</xdr:rowOff>
    </xdr:to>
    <xdr:sp macro="" textlink="">
      <xdr:nvSpPr>
        <xdr:cNvPr id="31565745" name="Line 4">
          <a:extLst>
            <a:ext uri="{FF2B5EF4-FFF2-40B4-BE49-F238E27FC236}">
              <a16:creationId xmlns:a16="http://schemas.microsoft.com/office/drawing/2014/main" id="{322FF475-1E42-44F9-A73E-0FACEE8D111F}"/>
            </a:ext>
          </a:extLst>
        </xdr:cNvPr>
        <xdr:cNvSpPr>
          <a:spLocks noChangeShapeType="1"/>
        </xdr:cNvSpPr>
      </xdr:nvSpPr>
      <xdr:spPr bwMode="auto">
        <a:xfrm flipH="1">
          <a:off x="2105025" y="2266950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16</xdr:row>
      <xdr:rowOff>66675</xdr:rowOff>
    </xdr:from>
    <xdr:to>
      <xdr:col>5</xdr:col>
      <xdr:colOff>600075</xdr:colOff>
      <xdr:row>28</xdr:row>
      <xdr:rowOff>95250</xdr:rowOff>
    </xdr:to>
    <xdr:sp macro="" textlink="">
      <xdr:nvSpPr>
        <xdr:cNvPr id="31565746" name="Line 5">
          <a:extLst>
            <a:ext uri="{FF2B5EF4-FFF2-40B4-BE49-F238E27FC236}">
              <a16:creationId xmlns:a16="http://schemas.microsoft.com/office/drawing/2014/main" id="{EE5F0AE4-E188-416C-96B8-3B7B348186BF}"/>
            </a:ext>
          </a:extLst>
        </xdr:cNvPr>
        <xdr:cNvSpPr>
          <a:spLocks noChangeShapeType="1"/>
        </xdr:cNvSpPr>
      </xdr:nvSpPr>
      <xdr:spPr bwMode="auto">
        <a:xfrm flipH="1">
          <a:off x="2562225" y="2505075"/>
          <a:ext cx="638175" cy="1781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95250</xdr:rowOff>
    </xdr:from>
    <xdr:to>
      <xdr:col>3</xdr:col>
      <xdr:colOff>447675</xdr:colOff>
      <xdr:row>27</xdr:row>
      <xdr:rowOff>95250</xdr:rowOff>
    </xdr:to>
    <xdr:sp macro="" textlink="">
      <xdr:nvSpPr>
        <xdr:cNvPr id="31565747" name="Line 7">
          <a:extLst>
            <a:ext uri="{FF2B5EF4-FFF2-40B4-BE49-F238E27FC236}">
              <a16:creationId xmlns:a16="http://schemas.microsoft.com/office/drawing/2014/main" id="{2401E434-1985-4E8D-8254-81A0B2D879CD}"/>
            </a:ext>
          </a:extLst>
        </xdr:cNvPr>
        <xdr:cNvSpPr>
          <a:spLocks noChangeShapeType="1"/>
        </xdr:cNvSpPr>
      </xdr:nvSpPr>
      <xdr:spPr bwMode="auto">
        <a:xfrm>
          <a:off x="1704975" y="2819400"/>
          <a:ext cx="342900" cy="1323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23</xdr:row>
      <xdr:rowOff>85725</xdr:rowOff>
    </xdr:from>
    <xdr:to>
      <xdr:col>7</xdr:col>
      <xdr:colOff>600075</xdr:colOff>
      <xdr:row>29</xdr:row>
      <xdr:rowOff>47625</xdr:rowOff>
    </xdr:to>
    <xdr:sp macro="" textlink="">
      <xdr:nvSpPr>
        <xdr:cNvPr id="31565748" name="Line 8">
          <a:extLst>
            <a:ext uri="{FF2B5EF4-FFF2-40B4-BE49-F238E27FC236}">
              <a16:creationId xmlns:a16="http://schemas.microsoft.com/office/drawing/2014/main" id="{20039F63-1638-4E58-A31C-8E776DDFD53A}"/>
            </a:ext>
          </a:extLst>
        </xdr:cNvPr>
        <xdr:cNvSpPr>
          <a:spLocks noChangeShapeType="1"/>
        </xdr:cNvSpPr>
      </xdr:nvSpPr>
      <xdr:spPr bwMode="auto">
        <a:xfrm flipH="1">
          <a:off x="2847975" y="3562350"/>
          <a:ext cx="1419225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219075</xdr:colOff>
      <xdr:row>25</xdr:row>
      <xdr:rowOff>57150</xdr:rowOff>
    </xdr:from>
    <xdr:to>
      <xdr:col>8</xdr:col>
      <xdr:colOff>0</xdr:colOff>
      <xdr:row>29</xdr:row>
      <xdr:rowOff>28575</xdr:rowOff>
    </xdr:to>
    <xdr:sp macro="" textlink="">
      <xdr:nvSpPr>
        <xdr:cNvPr id="31565749" name="Line 9">
          <a:extLst>
            <a:ext uri="{FF2B5EF4-FFF2-40B4-BE49-F238E27FC236}">
              <a16:creationId xmlns:a16="http://schemas.microsoft.com/office/drawing/2014/main" id="{CE2E8704-322D-4E5A-994E-D2C057ACFCE4}"/>
            </a:ext>
          </a:extLst>
        </xdr:cNvPr>
        <xdr:cNvSpPr>
          <a:spLocks noChangeShapeType="1"/>
        </xdr:cNvSpPr>
      </xdr:nvSpPr>
      <xdr:spPr bwMode="auto">
        <a:xfrm flipH="1">
          <a:off x="2886075" y="3819525"/>
          <a:ext cx="13811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16</xdr:row>
      <xdr:rowOff>76200</xdr:rowOff>
    </xdr:from>
    <xdr:to>
      <xdr:col>8</xdr:col>
      <xdr:colOff>19050</xdr:colOff>
      <xdr:row>27</xdr:row>
      <xdr:rowOff>85725</xdr:rowOff>
    </xdr:to>
    <xdr:sp macro="" textlink="">
      <xdr:nvSpPr>
        <xdr:cNvPr id="31565750" name="Line 10">
          <a:extLst>
            <a:ext uri="{FF2B5EF4-FFF2-40B4-BE49-F238E27FC236}">
              <a16:creationId xmlns:a16="http://schemas.microsoft.com/office/drawing/2014/main" id="{15A153AF-DBC2-4D5F-B60A-35332AD33C13}"/>
            </a:ext>
          </a:extLst>
        </xdr:cNvPr>
        <xdr:cNvSpPr>
          <a:spLocks noChangeShapeType="1"/>
        </xdr:cNvSpPr>
      </xdr:nvSpPr>
      <xdr:spPr bwMode="auto">
        <a:xfrm flipH="1" flipV="1">
          <a:off x="2105025" y="2514600"/>
          <a:ext cx="2181225" cy="1619250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27</xdr:row>
      <xdr:rowOff>104775</xdr:rowOff>
    </xdr:from>
    <xdr:to>
      <xdr:col>8</xdr:col>
      <xdr:colOff>19050</xdr:colOff>
      <xdr:row>27</xdr:row>
      <xdr:rowOff>104775</xdr:rowOff>
    </xdr:to>
    <xdr:sp macro="" textlink="">
      <xdr:nvSpPr>
        <xdr:cNvPr id="31565751" name="Line 11">
          <a:extLst>
            <a:ext uri="{FF2B5EF4-FFF2-40B4-BE49-F238E27FC236}">
              <a16:creationId xmlns:a16="http://schemas.microsoft.com/office/drawing/2014/main" id="{9EF72BAD-B182-463F-8F24-79199587828A}"/>
            </a:ext>
          </a:extLst>
        </xdr:cNvPr>
        <xdr:cNvSpPr>
          <a:spLocks noChangeShapeType="1"/>
        </xdr:cNvSpPr>
      </xdr:nvSpPr>
      <xdr:spPr bwMode="auto">
        <a:xfrm>
          <a:off x="4286250" y="415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22</xdr:row>
      <xdr:rowOff>123825</xdr:rowOff>
    </xdr:from>
    <xdr:to>
      <xdr:col>8</xdr:col>
      <xdr:colOff>247650</xdr:colOff>
      <xdr:row>27</xdr:row>
      <xdr:rowOff>95250</xdr:rowOff>
    </xdr:to>
    <xdr:sp macro="" textlink="">
      <xdr:nvSpPr>
        <xdr:cNvPr id="31565752" name="Line 12">
          <a:extLst>
            <a:ext uri="{FF2B5EF4-FFF2-40B4-BE49-F238E27FC236}">
              <a16:creationId xmlns:a16="http://schemas.microsoft.com/office/drawing/2014/main" id="{249620FB-024D-4D2A-8586-81D82D1BA5EA}"/>
            </a:ext>
          </a:extLst>
        </xdr:cNvPr>
        <xdr:cNvSpPr>
          <a:spLocks noChangeShapeType="1"/>
        </xdr:cNvSpPr>
      </xdr:nvSpPr>
      <xdr:spPr bwMode="auto">
        <a:xfrm flipH="1" flipV="1">
          <a:off x="4486275" y="3457575"/>
          <a:ext cx="28575" cy="685800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381000</xdr:colOff>
      <xdr:row>27</xdr:row>
      <xdr:rowOff>123825</xdr:rowOff>
    </xdr:from>
    <xdr:to>
      <xdr:col>8</xdr:col>
      <xdr:colOff>38100</xdr:colOff>
      <xdr:row>32</xdr:row>
      <xdr:rowOff>85725</xdr:rowOff>
    </xdr:to>
    <xdr:sp macro="" textlink="">
      <xdr:nvSpPr>
        <xdr:cNvPr id="31565753" name="Line 13">
          <a:extLst>
            <a:ext uri="{FF2B5EF4-FFF2-40B4-BE49-F238E27FC236}">
              <a16:creationId xmlns:a16="http://schemas.microsoft.com/office/drawing/2014/main" id="{276E5D16-E70D-43FB-87BA-38163B735B61}"/>
            </a:ext>
          </a:extLst>
        </xdr:cNvPr>
        <xdr:cNvSpPr>
          <a:spLocks noChangeShapeType="1"/>
        </xdr:cNvSpPr>
      </xdr:nvSpPr>
      <xdr:spPr bwMode="auto">
        <a:xfrm flipH="1">
          <a:off x="3048000" y="4171950"/>
          <a:ext cx="1257300" cy="69532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200025</xdr:colOff>
      <xdr:row>27</xdr:row>
      <xdr:rowOff>95250</xdr:rowOff>
    </xdr:from>
    <xdr:to>
      <xdr:col>2</xdr:col>
      <xdr:colOff>209550</xdr:colOff>
      <xdr:row>31</xdr:row>
      <xdr:rowOff>38100</xdr:rowOff>
    </xdr:to>
    <xdr:sp macro="" textlink="">
      <xdr:nvSpPr>
        <xdr:cNvPr id="31565754" name="Line 14">
          <a:extLst>
            <a:ext uri="{FF2B5EF4-FFF2-40B4-BE49-F238E27FC236}">
              <a16:creationId xmlns:a16="http://schemas.microsoft.com/office/drawing/2014/main" id="{2E413678-CAB9-47A6-885F-CAFAE0C180A6}"/>
            </a:ext>
          </a:extLst>
        </xdr:cNvPr>
        <xdr:cNvSpPr>
          <a:spLocks noChangeShapeType="1"/>
        </xdr:cNvSpPr>
      </xdr:nvSpPr>
      <xdr:spPr bwMode="auto">
        <a:xfrm>
          <a:off x="1266825" y="4143375"/>
          <a:ext cx="9525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314325</xdr:colOff>
      <xdr:row>28</xdr:row>
      <xdr:rowOff>114300</xdr:rowOff>
    </xdr:from>
    <xdr:to>
      <xdr:col>3</xdr:col>
      <xdr:colOff>314325</xdr:colOff>
      <xdr:row>31</xdr:row>
      <xdr:rowOff>47625</xdr:rowOff>
    </xdr:to>
    <xdr:sp macro="" textlink="">
      <xdr:nvSpPr>
        <xdr:cNvPr id="31565755" name="Line 15">
          <a:extLst>
            <a:ext uri="{FF2B5EF4-FFF2-40B4-BE49-F238E27FC236}">
              <a16:creationId xmlns:a16="http://schemas.microsoft.com/office/drawing/2014/main" id="{FB593ACF-6B88-44AD-A4FB-B613CBB55595}"/>
            </a:ext>
          </a:extLst>
        </xdr:cNvPr>
        <xdr:cNvSpPr>
          <a:spLocks noChangeShapeType="1"/>
        </xdr:cNvSpPr>
      </xdr:nvSpPr>
      <xdr:spPr bwMode="auto">
        <a:xfrm>
          <a:off x="1914525" y="430530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4</xdr:col>
      <xdr:colOff>276225</xdr:colOff>
      <xdr:row>31</xdr:row>
      <xdr:rowOff>38100</xdr:rowOff>
    </xdr:to>
    <xdr:sp macro="" textlink="">
      <xdr:nvSpPr>
        <xdr:cNvPr id="31565756" name="Line 16">
          <a:extLst>
            <a:ext uri="{FF2B5EF4-FFF2-40B4-BE49-F238E27FC236}">
              <a16:creationId xmlns:a16="http://schemas.microsoft.com/office/drawing/2014/main" id="{EEE012F2-4F71-437A-9C56-600372596B88}"/>
            </a:ext>
          </a:extLst>
        </xdr:cNvPr>
        <xdr:cNvSpPr>
          <a:spLocks noChangeShapeType="1"/>
        </xdr:cNvSpPr>
      </xdr:nvSpPr>
      <xdr:spPr bwMode="auto">
        <a:xfrm>
          <a:off x="2409825" y="4429125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209550</xdr:colOff>
      <xdr:row>23</xdr:row>
      <xdr:rowOff>85725</xdr:rowOff>
    </xdr:from>
    <xdr:to>
      <xdr:col>9</xdr:col>
      <xdr:colOff>219075</xdr:colOff>
      <xdr:row>26</xdr:row>
      <xdr:rowOff>152400</xdr:rowOff>
    </xdr:to>
    <xdr:sp macro="" textlink="">
      <xdr:nvSpPr>
        <xdr:cNvPr id="31565757" name="Line 17">
          <a:extLst>
            <a:ext uri="{FF2B5EF4-FFF2-40B4-BE49-F238E27FC236}">
              <a16:creationId xmlns:a16="http://schemas.microsoft.com/office/drawing/2014/main" id="{0480C208-A6C9-43A4-B7CD-6C81BCECC679}"/>
            </a:ext>
          </a:extLst>
        </xdr:cNvPr>
        <xdr:cNvSpPr>
          <a:spLocks noChangeShapeType="1"/>
        </xdr:cNvSpPr>
      </xdr:nvSpPr>
      <xdr:spPr bwMode="auto">
        <a:xfrm flipH="1">
          <a:off x="5010150" y="3562350"/>
          <a:ext cx="952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25</xdr:row>
      <xdr:rowOff>76200</xdr:rowOff>
    </xdr:from>
    <xdr:to>
      <xdr:col>9</xdr:col>
      <xdr:colOff>428625</xdr:colOff>
      <xdr:row>27</xdr:row>
      <xdr:rowOff>19050</xdr:rowOff>
    </xdr:to>
    <xdr:sp macro="" textlink="">
      <xdr:nvSpPr>
        <xdr:cNvPr id="31565758" name="Line 18">
          <a:extLst>
            <a:ext uri="{FF2B5EF4-FFF2-40B4-BE49-F238E27FC236}">
              <a16:creationId xmlns:a16="http://schemas.microsoft.com/office/drawing/2014/main" id="{DF63B122-2B24-4DD0-9B81-2B50BB84B6E5}"/>
            </a:ext>
          </a:extLst>
        </xdr:cNvPr>
        <xdr:cNvSpPr>
          <a:spLocks noChangeShapeType="1"/>
        </xdr:cNvSpPr>
      </xdr:nvSpPr>
      <xdr:spPr bwMode="auto">
        <a:xfrm flipH="1">
          <a:off x="5200650" y="3838575"/>
          <a:ext cx="28575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27</xdr:row>
      <xdr:rowOff>114300</xdr:rowOff>
    </xdr:from>
    <xdr:to>
      <xdr:col>7</xdr:col>
      <xdr:colOff>438150</xdr:colOff>
      <xdr:row>31</xdr:row>
      <xdr:rowOff>85725</xdr:rowOff>
    </xdr:to>
    <xdr:sp macro="" textlink="">
      <xdr:nvSpPr>
        <xdr:cNvPr id="31565759" name="Line 19">
          <a:extLst>
            <a:ext uri="{FF2B5EF4-FFF2-40B4-BE49-F238E27FC236}">
              <a16:creationId xmlns:a16="http://schemas.microsoft.com/office/drawing/2014/main" id="{C1C6E0F3-7D22-402A-9857-EC745A9FB329}"/>
            </a:ext>
          </a:extLst>
        </xdr:cNvPr>
        <xdr:cNvSpPr>
          <a:spLocks noChangeShapeType="1"/>
        </xdr:cNvSpPr>
      </xdr:nvSpPr>
      <xdr:spPr bwMode="auto">
        <a:xfrm flipV="1">
          <a:off x="2943225" y="4162425"/>
          <a:ext cx="122872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32</xdr:row>
      <xdr:rowOff>123825</xdr:rowOff>
    </xdr:from>
    <xdr:to>
      <xdr:col>4</xdr:col>
      <xdr:colOff>123825</xdr:colOff>
      <xdr:row>34</xdr:row>
      <xdr:rowOff>47625</xdr:rowOff>
    </xdr:to>
    <xdr:sp macro="" textlink="">
      <xdr:nvSpPr>
        <xdr:cNvPr id="31565760" name="Line 20">
          <a:extLst>
            <a:ext uri="{FF2B5EF4-FFF2-40B4-BE49-F238E27FC236}">
              <a16:creationId xmlns:a16="http://schemas.microsoft.com/office/drawing/2014/main" id="{29AC2A30-061A-4273-8006-AA66D328D8BE}"/>
            </a:ext>
          </a:extLst>
        </xdr:cNvPr>
        <xdr:cNvSpPr>
          <a:spLocks noChangeShapeType="1"/>
        </xdr:cNvSpPr>
      </xdr:nvSpPr>
      <xdr:spPr bwMode="auto">
        <a:xfrm>
          <a:off x="2247900" y="4905375"/>
          <a:ext cx="9525" cy="228600"/>
        </a:xfrm>
        <a:prstGeom prst="line">
          <a:avLst/>
        </a:prstGeom>
        <a:noFill/>
        <a:ln w="28575">
          <a:solidFill>
            <a:srgbClr val="1FB71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495300</xdr:colOff>
      <xdr:row>25</xdr:row>
      <xdr:rowOff>95250</xdr:rowOff>
    </xdr:from>
    <xdr:to>
      <xdr:col>9</xdr:col>
      <xdr:colOff>95250</xdr:colOff>
      <xdr:row>28</xdr:row>
      <xdr:rowOff>0</xdr:rowOff>
    </xdr:to>
    <xdr:sp macro="" textlink="">
      <xdr:nvSpPr>
        <xdr:cNvPr id="31565761" name="Line 21">
          <a:extLst>
            <a:ext uri="{FF2B5EF4-FFF2-40B4-BE49-F238E27FC236}">
              <a16:creationId xmlns:a16="http://schemas.microsoft.com/office/drawing/2014/main" id="{8C34DE17-6925-4ED5-AB98-A9E395146C85}"/>
            </a:ext>
          </a:extLst>
        </xdr:cNvPr>
        <xdr:cNvSpPr>
          <a:spLocks noChangeShapeType="1"/>
        </xdr:cNvSpPr>
      </xdr:nvSpPr>
      <xdr:spPr bwMode="auto">
        <a:xfrm flipH="1" flipV="1">
          <a:off x="4762500" y="3857625"/>
          <a:ext cx="133350" cy="33337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514350</xdr:colOff>
      <xdr:row>7</xdr:row>
      <xdr:rowOff>95250</xdr:rowOff>
    </xdr:from>
    <xdr:to>
      <xdr:col>6</xdr:col>
      <xdr:colOff>19050</xdr:colOff>
      <xdr:row>7</xdr:row>
      <xdr:rowOff>104775</xdr:rowOff>
    </xdr:to>
    <xdr:sp macro="" textlink="">
      <xdr:nvSpPr>
        <xdr:cNvPr id="31565762" name="Line 22">
          <a:extLst>
            <a:ext uri="{FF2B5EF4-FFF2-40B4-BE49-F238E27FC236}">
              <a16:creationId xmlns:a16="http://schemas.microsoft.com/office/drawing/2014/main" id="{3F187C19-8830-4718-B829-2760B490B1D6}"/>
            </a:ext>
          </a:extLst>
        </xdr:cNvPr>
        <xdr:cNvSpPr>
          <a:spLocks noChangeShapeType="1"/>
        </xdr:cNvSpPr>
      </xdr:nvSpPr>
      <xdr:spPr bwMode="auto">
        <a:xfrm flipH="1" flipV="1">
          <a:off x="2114550" y="1190625"/>
          <a:ext cx="11049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495300</xdr:colOff>
      <xdr:row>4</xdr:row>
      <xdr:rowOff>57150</xdr:rowOff>
    </xdr:from>
    <xdr:to>
      <xdr:col>6</xdr:col>
      <xdr:colOff>0</xdr:colOff>
      <xdr:row>4</xdr:row>
      <xdr:rowOff>66675</xdr:rowOff>
    </xdr:to>
    <xdr:sp macro="" textlink="">
      <xdr:nvSpPr>
        <xdr:cNvPr id="31565763" name="Line 23">
          <a:extLst>
            <a:ext uri="{FF2B5EF4-FFF2-40B4-BE49-F238E27FC236}">
              <a16:creationId xmlns:a16="http://schemas.microsoft.com/office/drawing/2014/main" id="{46A18617-4981-434E-A3D0-3B6AA40C9328}"/>
            </a:ext>
          </a:extLst>
        </xdr:cNvPr>
        <xdr:cNvSpPr>
          <a:spLocks noChangeShapeType="1"/>
        </xdr:cNvSpPr>
      </xdr:nvSpPr>
      <xdr:spPr bwMode="auto">
        <a:xfrm flipH="1" flipV="1">
          <a:off x="2095500" y="685800"/>
          <a:ext cx="11049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114300</xdr:colOff>
      <xdr:row>9</xdr:row>
      <xdr:rowOff>9525</xdr:rowOff>
    </xdr:from>
    <xdr:to>
      <xdr:col>82</xdr:col>
      <xdr:colOff>209550</xdr:colOff>
      <xdr:row>40</xdr:row>
      <xdr:rowOff>190500</xdr:rowOff>
    </xdr:to>
    <xdr:graphicFrame macro="">
      <xdr:nvGraphicFramePr>
        <xdr:cNvPr id="27577747" name="Chart 1">
          <a:extLst>
            <a:ext uri="{FF2B5EF4-FFF2-40B4-BE49-F238E27FC236}">
              <a16:creationId xmlns:a16="http://schemas.microsoft.com/office/drawing/2014/main" id="{BF10B537-6DBA-47CD-9BF6-AF32E15F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9</xdr:row>
      <xdr:rowOff>104775</xdr:rowOff>
    </xdr:from>
    <xdr:to>
      <xdr:col>16</xdr:col>
      <xdr:colOff>419100</xdr:colOff>
      <xdr:row>25</xdr:row>
      <xdr:rowOff>0</xdr:rowOff>
    </xdr:to>
    <xdr:graphicFrame macro="">
      <xdr:nvGraphicFramePr>
        <xdr:cNvPr id="27577748" name="Chart 3">
          <a:extLst>
            <a:ext uri="{FF2B5EF4-FFF2-40B4-BE49-F238E27FC236}">
              <a16:creationId xmlns:a16="http://schemas.microsoft.com/office/drawing/2014/main" id="{CE19E807-D39E-43D7-8626-1FB18DF9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1066800</xdr:colOff>
      <xdr:row>0</xdr:row>
      <xdr:rowOff>47625</xdr:rowOff>
    </xdr:from>
    <xdr:to>
      <xdr:col>4</xdr:col>
      <xdr:colOff>314325</xdr:colOff>
      <xdr:row>5</xdr:row>
      <xdr:rowOff>0</xdr:rowOff>
    </xdr:to>
    <xdr:pic>
      <xdr:nvPicPr>
        <xdr:cNvPr id="26844057" name="Picture 1">
          <a:extLst>
            <a:ext uri="{FF2B5EF4-FFF2-40B4-BE49-F238E27FC236}">
              <a16:creationId xmlns:a16="http://schemas.microsoft.com/office/drawing/2014/main" id="{792C03FB-D564-42DA-B99C-DE2F8EFE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47625"/>
          <a:ext cx="22955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9</xdr:col>
      <xdr:colOff>228600</xdr:colOff>
      <xdr:row>46</xdr:row>
      <xdr:rowOff>133350</xdr:rowOff>
    </xdr:to>
    <xdr:pic>
      <xdr:nvPicPr>
        <xdr:cNvPr id="26844058" name="Picture 2">
          <a:extLst>
            <a:ext uri="{FF2B5EF4-FFF2-40B4-BE49-F238E27FC236}">
              <a16:creationId xmlns:a16="http://schemas.microsoft.com/office/drawing/2014/main" id="{2E930412-D7FD-4230-8002-CE142EE3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77724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63</xdr:row>
      <xdr:rowOff>19050</xdr:rowOff>
    </xdr:from>
    <xdr:to>
      <xdr:col>6</xdr:col>
      <xdr:colOff>428625</xdr:colOff>
      <xdr:row>85</xdr:row>
      <xdr:rowOff>85725</xdr:rowOff>
    </xdr:to>
    <xdr:pic>
      <xdr:nvPicPr>
        <xdr:cNvPr id="26844059" name="Chart 1">
          <a:extLst>
            <a:ext uri="{FF2B5EF4-FFF2-40B4-BE49-F238E27FC236}">
              <a16:creationId xmlns:a16="http://schemas.microsoft.com/office/drawing/2014/main" id="{C8001030-A113-4682-B110-37F48D6AC16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9650"/>
          <a:ext cx="6372225" cy="446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5</xdr:col>
      <xdr:colOff>200025</xdr:colOff>
      <xdr:row>159</xdr:row>
      <xdr:rowOff>171450</xdr:rowOff>
    </xdr:to>
    <xdr:pic>
      <xdr:nvPicPr>
        <xdr:cNvPr id="26844060" name="Picture 4">
          <a:extLst>
            <a:ext uri="{FF2B5EF4-FFF2-40B4-BE49-F238E27FC236}">
              <a16:creationId xmlns:a16="http://schemas.microsoft.com/office/drawing/2014/main" id="{91401A69-BDEA-4EBD-9872-7D93E689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5100"/>
          <a:ext cx="5610225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1171575</xdr:colOff>
      <xdr:row>15</xdr:row>
      <xdr:rowOff>180975</xdr:rowOff>
    </xdr:to>
    <xdr:pic>
      <xdr:nvPicPr>
        <xdr:cNvPr id="27150785" name="Picture 1" descr="sr.png">
          <a:extLst>
            <a:ext uri="{FF2B5EF4-FFF2-40B4-BE49-F238E27FC236}">
              <a16:creationId xmlns:a16="http://schemas.microsoft.com/office/drawing/2014/main" id="{E1041D16-A566-4435-96F3-1AFA8631E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171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5</xdr:col>
      <xdr:colOff>381000</xdr:colOff>
      <xdr:row>15</xdr:row>
      <xdr:rowOff>190500</xdr:rowOff>
    </xdr:to>
    <xdr:pic>
      <xdr:nvPicPr>
        <xdr:cNvPr id="27150786" name="Picture 12">
          <a:extLst>
            <a:ext uri="{FF2B5EF4-FFF2-40B4-BE49-F238E27FC236}">
              <a16:creationId xmlns:a16="http://schemas.microsoft.com/office/drawing/2014/main" id="{8AD33C8A-AFDB-4A4F-B36F-F93DD78B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2667000"/>
          <a:ext cx="17716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11</xdr:row>
      <xdr:rowOff>9525</xdr:rowOff>
    </xdr:from>
    <xdr:to>
      <xdr:col>13</xdr:col>
      <xdr:colOff>514350</xdr:colOff>
      <xdr:row>33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E9D6569-C9AF-41B6-85AD-F9FD651C4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476250</xdr:colOff>
      <xdr:row>8</xdr:row>
      <xdr:rowOff>161925</xdr:rowOff>
    </xdr:from>
    <xdr:to>
      <xdr:col>85</xdr:col>
      <xdr:colOff>171450</xdr:colOff>
      <xdr:row>25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FB4FF7-57BE-43A8-B871-F0C537C9B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304800</xdr:colOff>
      <xdr:row>28</xdr:row>
      <xdr:rowOff>28575</xdr:rowOff>
    </xdr:to>
    <xdr:graphicFrame macro="">
      <xdr:nvGraphicFramePr>
        <xdr:cNvPr id="32282879" name="Chart 1">
          <a:extLst>
            <a:ext uri="{FF2B5EF4-FFF2-40B4-BE49-F238E27FC236}">
              <a16:creationId xmlns:a16="http://schemas.microsoft.com/office/drawing/2014/main" id="{31182066-2036-4B0E-9817-BEF0131E4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142875</xdr:rowOff>
    </xdr:from>
    <xdr:to>
      <xdr:col>16</xdr:col>
      <xdr:colOff>19050</xdr:colOff>
      <xdr:row>58</xdr:row>
      <xdr:rowOff>66675</xdr:rowOff>
    </xdr:to>
    <xdr:graphicFrame macro="">
      <xdr:nvGraphicFramePr>
        <xdr:cNvPr id="32282880" name="Chart 2">
          <a:extLst>
            <a:ext uri="{FF2B5EF4-FFF2-40B4-BE49-F238E27FC236}">
              <a16:creationId xmlns:a16="http://schemas.microsoft.com/office/drawing/2014/main" id="{1C5CE4FB-8B3F-437C-BE70-3981DBC3C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13</xdr:col>
      <xdr:colOff>95250</xdr:colOff>
      <xdr:row>79</xdr:row>
      <xdr:rowOff>28575</xdr:rowOff>
    </xdr:to>
    <xdr:graphicFrame macro="">
      <xdr:nvGraphicFramePr>
        <xdr:cNvPr id="32282881" name="Chart 6">
          <a:extLst>
            <a:ext uri="{FF2B5EF4-FFF2-40B4-BE49-F238E27FC236}">
              <a16:creationId xmlns:a16="http://schemas.microsoft.com/office/drawing/2014/main" id="{479B8009-B64F-46C0-BA40-222EEF03A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533400</xdr:colOff>
      <xdr:row>111</xdr:row>
      <xdr:rowOff>0</xdr:rowOff>
    </xdr:from>
    <xdr:to>
      <xdr:col>13</xdr:col>
      <xdr:colOff>28575</xdr:colOff>
      <xdr:row>134</xdr:row>
      <xdr:rowOff>123825</xdr:rowOff>
    </xdr:to>
    <xdr:graphicFrame macro="">
      <xdr:nvGraphicFramePr>
        <xdr:cNvPr id="32282882" name="Chart 9">
          <a:extLst>
            <a:ext uri="{FF2B5EF4-FFF2-40B4-BE49-F238E27FC236}">
              <a16:creationId xmlns:a16="http://schemas.microsoft.com/office/drawing/2014/main" id="{12D621AF-468A-445F-A35D-2A35B97B6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137</xdr:row>
      <xdr:rowOff>0</xdr:rowOff>
    </xdr:from>
    <xdr:to>
      <xdr:col>11</xdr:col>
      <xdr:colOff>276225</xdr:colOff>
      <xdr:row>161</xdr:row>
      <xdr:rowOff>28575</xdr:rowOff>
    </xdr:to>
    <xdr:graphicFrame macro="">
      <xdr:nvGraphicFramePr>
        <xdr:cNvPr id="32282883" name="Chart 11">
          <a:extLst>
            <a:ext uri="{FF2B5EF4-FFF2-40B4-BE49-F238E27FC236}">
              <a16:creationId xmlns:a16="http://schemas.microsoft.com/office/drawing/2014/main" id="{EC1DA4B6-1439-4E88-B107-073C617AE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533400</xdr:colOff>
      <xdr:row>162</xdr:row>
      <xdr:rowOff>142875</xdr:rowOff>
    </xdr:from>
    <xdr:to>
      <xdr:col>11</xdr:col>
      <xdr:colOff>200025</xdr:colOff>
      <xdr:row>190</xdr:row>
      <xdr:rowOff>133350</xdr:rowOff>
    </xdr:to>
    <xdr:graphicFrame macro="">
      <xdr:nvGraphicFramePr>
        <xdr:cNvPr id="32282884" name="Chart 8">
          <a:extLst>
            <a:ext uri="{FF2B5EF4-FFF2-40B4-BE49-F238E27FC236}">
              <a16:creationId xmlns:a16="http://schemas.microsoft.com/office/drawing/2014/main" id="{C2A0A26E-87C1-4D0E-A236-F55D91790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9</xdr:col>
      <xdr:colOff>304800</xdr:colOff>
      <xdr:row>212</xdr:row>
      <xdr:rowOff>28575</xdr:rowOff>
    </xdr:to>
    <xdr:graphicFrame macro="">
      <xdr:nvGraphicFramePr>
        <xdr:cNvPr id="32282885" name="Chart 10">
          <a:extLst>
            <a:ext uri="{FF2B5EF4-FFF2-40B4-BE49-F238E27FC236}">
              <a16:creationId xmlns:a16="http://schemas.microsoft.com/office/drawing/2014/main" id="{36D5689D-26F3-4A36-81B3-4697CAAE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213</xdr:row>
      <xdr:rowOff>0</xdr:rowOff>
    </xdr:from>
    <xdr:to>
      <xdr:col>11</xdr:col>
      <xdr:colOff>371475</xdr:colOff>
      <xdr:row>239</xdr:row>
      <xdr:rowOff>133350</xdr:rowOff>
    </xdr:to>
    <xdr:graphicFrame macro="">
      <xdr:nvGraphicFramePr>
        <xdr:cNvPr id="32282886" name="Chart 53">
          <a:extLst>
            <a:ext uri="{FF2B5EF4-FFF2-40B4-BE49-F238E27FC236}">
              <a16:creationId xmlns:a16="http://schemas.microsoft.com/office/drawing/2014/main" id="{CA98397F-6C71-4FEC-B1E7-A213260AD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533400</xdr:colOff>
      <xdr:row>243</xdr:row>
      <xdr:rowOff>142875</xdr:rowOff>
    </xdr:from>
    <xdr:to>
      <xdr:col>11</xdr:col>
      <xdr:colOff>371475</xdr:colOff>
      <xdr:row>266</xdr:row>
      <xdr:rowOff>9525</xdr:rowOff>
    </xdr:to>
    <xdr:graphicFrame macro="">
      <xdr:nvGraphicFramePr>
        <xdr:cNvPr id="32282887" name="Grafiek 12">
          <a:extLst>
            <a:ext uri="{FF2B5EF4-FFF2-40B4-BE49-F238E27FC236}">
              <a16:creationId xmlns:a16="http://schemas.microsoft.com/office/drawing/2014/main" id="{63A3A28B-0513-46B6-BC5B-2A978B45F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267</xdr:row>
      <xdr:rowOff>0</xdr:rowOff>
    </xdr:from>
    <xdr:to>
      <xdr:col>20</xdr:col>
      <xdr:colOff>152400</xdr:colOff>
      <xdr:row>289</xdr:row>
      <xdr:rowOff>9525</xdr:rowOff>
    </xdr:to>
    <xdr:graphicFrame macro="">
      <xdr:nvGraphicFramePr>
        <xdr:cNvPr id="32282888" name="Grafiek 14">
          <a:extLst>
            <a:ext uri="{FF2B5EF4-FFF2-40B4-BE49-F238E27FC236}">
              <a16:creationId xmlns:a16="http://schemas.microsoft.com/office/drawing/2014/main" id="{55E86C21-F93C-4881-BD00-4D39D743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200025</xdr:colOff>
      <xdr:row>243</xdr:row>
      <xdr:rowOff>114300</xdr:rowOff>
    </xdr:from>
    <xdr:to>
      <xdr:col>23</xdr:col>
      <xdr:colOff>38100</xdr:colOff>
      <xdr:row>265</xdr:row>
      <xdr:rowOff>123825</xdr:rowOff>
    </xdr:to>
    <xdr:graphicFrame macro="">
      <xdr:nvGraphicFramePr>
        <xdr:cNvPr id="32282889" name="Grafiek 12">
          <a:extLst>
            <a:ext uri="{FF2B5EF4-FFF2-40B4-BE49-F238E27FC236}">
              <a16:creationId xmlns:a16="http://schemas.microsoft.com/office/drawing/2014/main" id="{C865D3EA-765C-42D3-A2AB-A3638ABE2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123825</xdr:colOff>
      <xdr:row>82</xdr:row>
      <xdr:rowOff>38100</xdr:rowOff>
    </xdr:from>
    <xdr:to>
      <xdr:col>19</xdr:col>
      <xdr:colOff>371475</xdr:colOff>
      <xdr:row>110</xdr:row>
      <xdr:rowOff>38100</xdr:rowOff>
    </xdr:to>
    <xdr:graphicFrame macro="">
      <xdr:nvGraphicFramePr>
        <xdr:cNvPr id="32282890" name="Chart 14">
          <a:extLst>
            <a:ext uri="{FF2B5EF4-FFF2-40B4-BE49-F238E27FC236}">
              <a16:creationId xmlns:a16="http://schemas.microsoft.com/office/drawing/2014/main" id="{0F45AFCE-A43F-4589-BD0B-ABF19EF4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</xdr:col>
      <xdr:colOff>0</xdr:colOff>
      <xdr:row>287</xdr:row>
      <xdr:rowOff>9525</xdr:rowOff>
    </xdr:from>
    <xdr:to>
      <xdr:col>11</xdr:col>
      <xdr:colOff>152400</xdr:colOff>
      <xdr:row>314</xdr:row>
      <xdr:rowOff>38100</xdr:rowOff>
    </xdr:to>
    <xdr:pic>
      <xdr:nvPicPr>
        <xdr:cNvPr id="32282891" name="Afbeelding 1">
          <a:extLst>
            <a:ext uri="{FF2B5EF4-FFF2-40B4-BE49-F238E27FC236}">
              <a16:creationId xmlns:a16="http://schemas.microsoft.com/office/drawing/2014/main" id="{FCA80B44-8699-49FA-B2F8-779E27242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300400"/>
          <a:ext cx="5486400" cy="388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290</xdr:row>
      <xdr:rowOff>85725</xdr:rowOff>
    </xdr:from>
    <xdr:to>
      <xdr:col>22</xdr:col>
      <xdr:colOff>209550</xdr:colOff>
      <xdr:row>318</xdr:row>
      <xdr:rowOff>28575</xdr:rowOff>
    </xdr:to>
    <xdr:pic>
      <xdr:nvPicPr>
        <xdr:cNvPr id="32282892" name="Afbeelding 2">
          <a:extLst>
            <a:ext uri="{FF2B5EF4-FFF2-40B4-BE49-F238E27FC236}">
              <a16:creationId xmlns:a16="http://schemas.microsoft.com/office/drawing/2014/main" id="{D40A166D-1156-4AE6-B08A-526D82D4F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41805225"/>
          <a:ext cx="554355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82</xdr:row>
      <xdr:rowOff>0</xdr:rowOff>
    </xdr:from>
    <xdr:to>
      <xdr:col>38</xdr:col>
      <xdr:colOff>247650</xdr:colOff>
      <xdr:row>110</xdr:row>
      <xdr:rowOff>0</xdr:rowOff>
    </xdr:to>
    <xdr:graphicFrame macro="">
      <xdr:nvGraphicFramePr>
        <xdr:cNvPr id="32282893" name="Chart 14">
          <a:extLst>
            <a:ext uri="{FF2B5EF4-FFF2-40B4-BE49-F238E27FC236}">
              <a16:creationId xmlns:a16="http://schemas.microsoft.com/office/drawing/2014/main" id="{FE03E1B2-A8E2-4C33-A6BE-D5612221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213</xdr:row>
      <xdr:rowOff>0</xdr:rowOff>
    </xdr:from>
    <xdr:to>
      <xdr:col>23</xdr:col>
      <xdr:colOff>276225</xdr:colOff>
      <xdr:row>237</xdr:row>
      <xdr:rowOff>28575</xdr:rowOff>
    </xdr:to>
    <xdr:graphicFrame macro="">
      <xdr:nvGraphicFramePr>
        <xdr:cNvPr id="32282894" name="Chart 5">
          <a:extLst>
            <a:ext uri="{FF2B5EF4-FFF2-40B4-BE49-F238E27FC236}">
              <a16:creationId xmlns:a16="http://schemas.microsoft.com/office/drawing/2014/main" id="{86E77D8A-1DA6-4C1F-8EF7-EC29F011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9525</xdr:colOff>
      <xdr:row>321</xdr:row>
      <xdr:rowOff>9525</xdr:rowOff>
    </xdr:from>
    <xdr:to>
      <xdr:col>14</xdr:col>
      <xdr:colOff>447675</xdr:colOff>
      <xdr:row>337</xdr:row>
      <xdr:rowOff>57150</xdr:rowOff>
    </xdr:to>
    <xdr:graphicFrame macro="">
      <xdr:nvGraphicFramePr>
        <xdr:cNvPr id="32282895" name="Chart 18">
          <a:extLst>
            <a:ext uri="{FF2B5EF4-FFF2-40B4-BE49-F238E27FC236}">
              <a16:creationId xmlns:a16="http://schemas.microsoft.com/office/drawing/2014/main" id="{A63599F7-8E8B-4240-8D78-B94895CF1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338</xdr:row>
      <xdr:rowOff>0</xdr:rowOff>
    </xdr:from>
    <xdr:to>
      <xdr:col>14</xdr:col>
      <xdr:colOff>438150</xdr:colOff>
      <xdr:row>354</xdr:row>
      <xdr:rowOff>47625</xdr:rowOff>
    </xdr:to>
    <xdr:graphicFrame macro="">
      <xdr:nvGraphicFramePr>
        <xdr:cNvPr id="32282896" name="Chart 18">
          <a:extLst>
            <a:ext uri="{FF2B5EF4-FFF2-40B4-BE49-F238E27FC236}">
              <a16:creationId xmlns:a16="http://schemas.microsoft.com/office/drawing/2014/main" id="{8E835B7E-50EC-413B-8478-ACC42962E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355</xdr:row>
      <xdr:rowOff>0</xdr:rowOff>
    </xdr:from>
    <xdr:to>
      <xdr:col>14</xdr:col>
      <xdr:colOff>438150</xdr:colOff>
      <xdr:row>376</xdr:row>
      <xdr:rowOff>38100</xdr:rowOff>
    </xdr:to>
    <xdr:graphicFrame macro="">
      <xdr:nvGraphicFramePr>
        <xdr:cNvPr id="32282897" name="Chart 18">
          <a:extLst>
            <a:ext uri="{FF2B5EF4-FFF2-40B4-BE49-F238E27FC236}">
              <a16:creationId xmlns:a16="http://schemas.microsoft.com/office/drawing/2014/main" id="{0F7C2C3C-239D-4562-847F-CCB7199B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9525</xdr:colOff>
      <xdr:row>18</xdr:row>
      <xdr:rowOff>104775</xdr:rowOff>
    </xdr:from>
    <xdr:to>
      <xdr:col>69</xdr:col>
      <xdr:colOff>209550</xdr:colOff>
      <xdr:row>32</xdr:row>
      <xdr:rowOff>47625</xdr:rowOff>
    </xdr:to>
    <xdr:graphicFrame macro="">
      <xdr:nvGraphicFramePr>
        <xdr:cNvPr id="26890927" name="Chart 1">
          <a:extLst>
            <a:ext uri="{FF2B5EF4-FFF2-40B4-BE49-F238E27FC236}">
              <a16:creationId xmlns:a16="http://schemas.microsoft.com/office/drawing/2014/main" id="{68FF075A-16D8-4BBA-97F7-1EF2C0FC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58</xdr:col>
      <xdr:colOff>133350</xdr:colOff>
      <xdr:row>41</xdr:row>
      <xdr:rowOff>95250</xdr:rowOff>
    </xdr:from>
    <xdr:to>
      <xdr:col>69</xdr:col>
      <xdr:colOff>409575</xdr:colOff>
      <xdr:row>58</xdr:row>
      <xdr:rowOff>95250</xdr:rowOff>
    </xdr:to>
    <xdr:graphicFrame macro="">
      <xdr:nvGraphicFramePr>
        <xdr:cNvPr id="26890928" name="Grafiek 2">
          <a:extLst>
            <a:ext uri="{FF2B5EF4-FFF2-40B4-BE49-F238E27FC236}">
              <a16:creationId xmlns:a16="http://schemas.microsoft.com/office/drawing/2014/main" id="{C2DF79E8-B877-4796-9BF4-7704E2842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60</xdr:col>
      <xdr:colOff>228600</xdr:colOff>
      <xdr:row>59</xdr:row>
      <xdr:rowOff>114300</xdr:rowOff>
    </xdr:from>
    <xdr:to>
      <xdr:col>68</xdr:col>
      <xdr:colOff>76200</xdr:colOff>
      <xdr:row>71</xdr:row>
      <xdr:rowOff>19050</xdr:rowOff>
    </xdr:to>
    <xdr:graphicFrame macro="">
      <xdr:nvGraphicFramePr>
        <xdr:cNvPr id="26890929" name="Grafiek 3">
          <a:extLst>
            <a:ext uri="{FF2B5EF4-FFF2-40B4-BE49-F238E27FC236}">
              <a16:creationId xmlns:a16="http://schemas.microsoft.com/office/drawing/2014/main" id="{E1C34295-C0E0-438C-8352-F9DAAEF1F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923925</xdr:colOff>
      <xdr:row>6</xdr:row>
      <xdr:rowOff>95250</xdr:rowOff>
    </xdr:to>
    <xdr:pic>
      <xdr:nvPicPr>
        <xdr:cNvPr id="32568192" name="Picture 1">
          <a:extLst>
            <a:ext uri="{FF2B5EF4-FFF2-40B4-BE49-F238E27FC236}">
              <a16:creationId xmlns:a16="http://schemas.microsoft.com/office/drawing/2014/main" id="{5A1B216C-D54B-4C25-B0FB-8D9AFD83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"/>
          <a:ext cx="9239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574</xdr:row>
      <xdr:rowOff>28575</xdr:rowOff>
    </xdr:from>
    <xdr:to>
      <xdr:col>2</xdr:col>
      <xdr:colOff>47625</xdr:colOff>
      <xdr:row>606</xdr:row>
      <xdr:rowOff>95250</xdr:rowOff>
    </xdr:to>
    <xdr:grpSp>
      <xdr:nvGrpSpPr>
        <xdr:cNvPr id="32568193" name="Group 587">
          <a:extLst>
            <a:ext uri="{FF2B5EF4-FFF2-40B4-BE49-F238E27FC236}">
              <a16:creationId xmlns:a16="http://schemas.microsoft.com/office/drawing/2014/main" id="{9E0BE863-FB6B-4662-A702-282CDAAE7817}"/>
            </a:ext>
          </a:extLst>
        </xdr:cNvPr>
        <xdr:cNvGrpSpPr>
          <a:grpSpLocks noChangeAspect="1"/>
        </xdr:cNvGrpSpPr>
      </xdr:nvGrpSpPr>
      <xdr:grpSpPr bwMode="auto">
        <a:xfrm>
          <a:off x="0" y="114871500"/>
          <a:ext cx="5486400" cy="6467475"/>
          <a:chOff x="1418" y="2893"/>
          <a:chExt cx="8635" cy="10181"/>
        </a:xfrm>
      </xdr:grpSpPr>
      <xdr:sp macro="" textlink="">
        <xdr:nvSpPr>
          <xdr:cNvPr id="32642123" name="AutoShape 768">
            <a:extLst>
              <a:ext uri="{FF2B5EF4-FFF2-40B4-BE49-F238E27FC236}">
                <a16:creationId xmlns:a16="http://schemas.microsoft.com/office/drawing/2014/main" id="{299FF36F-11D5-4C7C-BF48-3C6ED3A472D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18" y="2893"/>
            <a:ext cx="8635" cy="101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4" name="Line 767">
            <a:extLst>
              <a:ext uri="{FF2B5EF4-FFF2-40B4-BE49-F238E27FC236}">
                <a16:creationId xmlns:a16="http://schemas.microsoft.com/office/drawing/2014/main" id="{1B1E221D-333C-48A3-A196-BEA7C0BBB180}"/>
              </a:ext>
            </a:extLst>
          </xdr:cNvPr>
          <xdr:cNvSpPr>
            <a:spLocks noChangeShapeType="1"/>
          </xdr:cNvSpPr>
        </xdr:nvSpPr>
        <xdr:spPr bwMode="auto">
          <a:xfrm>
            <a:off x="8136" y="8626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5" name="Rectangle 766">
            <a:extLst>
              <a:ext uri="{FF2B5EF4-FFF2-40B4-BE49-F238E27FC236}">
                <a16:creationId xmlns:a16="http://schemas.microsoft.com/office/drawing/2014/main" id="{BB588D24-0103-4D63-8EC5-A49C7E5A3D22}"/>
              </a:ext>
            </a:extLst>
          </xdr:cNvPr>
          <xdr:cNvSpPr>
            <a:spLocks noChangeArrowheads="1"/>
          </xdr:cNvSpPr>
        </xdr:nvSpPr>
        <xdr:spPr bwMode="auto">
          <a:xfrm>
            <a:off x="8136" y="8626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6" name="Line 765">
            <a:extLst>
              <a:ext uri="{FF2B5EF4-FFF2-40B4-BE49-F238E27FC236}">
                <a16:creationId xmlns:a16="http://schemas.microsoft.com/office/drawing/2014/main" id="{CF63146E-D3AD-4106-B331-10D1A851E232}"/>
              </a:ext>
            </a:extLst>
          </xdr:cNvPr>
          <xdr:cNvSpPr>
            <a:spLocks noChangeShapeType="1"/>
          </xdr:cNvSpPr>
        </xdr:nvSpPr>
        <xdr:spPr bwMode="auto">
          <a:xfrm>
            <a:off x="9527" y="8644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7" name="Rectangle 764">
            <a:extLst>
              <a:ext uri="{FF2B5EF4-FFF2-40B4-BE49-F238E27FC236}">
                <a16:creationId xmlns:a16="http://schemas.microsoft.com/office/drawing/2014/main" id="{D938906F-A0D0-47BD-A4C9-22976AF5EB00}"/>
              </a:ext>
            </a:extLst>
          </xdr:cNvPr>
          <xdr:cNvSpPr>
            <a:spLocks noChangeArrowheads="1"/>
          </xdr:cNvSpPr>
        </xdr:nvSpPr>
        <xdr:spPr bwMode="auto">
          <a:xfrm>
            <a:off x="9527" y="8644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8" name="Line 763">
            <a:extLst>
              <a:ext uri="{FF2B5EF4-FFF2-40B4-BE49-F238E27FC236}">
                <a16:creationId xmlns:a16="http://schemas.microsoft.com/office/drawing/2014/main" id="{61CC7D34-A00B-4AE8-BAFD-501176B22B69}"/>
              </a:ext>
            </a:extLst>
          </xdr:cNvPr>
          <xdr:cNvSpPr>
            <a:spLocks noChangeShapeType="1"/>
          </xdr:cNvSpPr>
        </xdr:nvSpPr>
        <xdr:spPr bwMode="auto">
          <a:xfrm>
            <a:off x="5137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9" name="Rectangle 762">
            <a:extLst>
              <a:ext uri="{FF2B5EF4-FFF2-40B4-BE49-F238E27FC236}">
                <a16:creationId xmlns:a16="http://schemas.microsoft.com/office/drawing/2014/main" id="{039B936D-25B6-4C68-AC62-9AF3CC503D7B}"/>
              </a:ext>
            </a:extLst>
          </xdr:cNvPr>
          <xdr:cNvSpPr>
            <a:spLocks noChangeArrowheads="1"/>
          </xdr:cNvSpPr>
        </xdr:nvSpPr>
        <xdr:spPr bwMode="auto">
          <a:xfrm>
            <a:off x="5137" y="12274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0" name="Line 761">
            <a:extLst>
              <a:ext uri="{FF2B5EF4-FFF2-40B4-BE49-F238E27FC236}">
                <a16:creationId xmlns:a16="http://schemas.microsoft.com/office/drawing/2014/main" id="{183AE44B-E604-4B4E-A1D7-637DD38262D4}"/>
              </a:ext>
            </a:extLst>
          </xdr:cNvPr>
          <xdr:cNvSpPr>
            <a:spLocks noChangeShapeType="1"/>
          </xdr:cNvSpPr>
        </xdr:nvSpPr>
        <xdr:spPr bwMode="auto">
          <a:xfrm>
            <a:off x="6528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1" name="Rectangle 760">
            <a:extLst>
              <a:ext uri="{FF2B5EF4-FFF2-40B4-BE49-F238E27FC236}">
                <a16:creationId xmlns:a16="http://schemas.microsoft.com/office/drawing/2014/main" id="{20CFC0D5-219D-4C45-8387-6F1DFA006C80}"/>
              </a:ext>
            </a:extLst>
          </xdr:cNvPr>
          <xdr:cNvSpPr>
            <a:spLocks noChangeArrowheads="1"/>
          </xdr:cNvSpPr>
        </xdr:nvSpPr>
        <xdr:spPr bwMode="auto">
          <a:xfrm>
            <a:off x="6528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2" name="Line 759">
            <a:extLst>
              <a:ext uri="{FF2B5EF4-FFF2-40B4-BE49-F238E27FC236}">
                <a16:creationId xmlns:a16="http://schemas.microsoft.com/office/drawing/2014/main" id="{F81B3D76-9119-452B-87C3-F8BF6E1D6341}"/>
              </a:ext>
            </a:extLst>
          </xdr:cNvPr>
          <xdr:cNvSpPr>
            <a:spLocks noChangeShapeType="1"/>
          </xdr:cNvSpPr>
        </xdr:nvSpPr>
        <xdr:spPr bwMode="auto">
          <a:xfrm>
            <a:off x="9800" y="1177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3" name="Rectangle 758">
            <a:extLst>
              <a:ext uri="{FF2B5EF4-FFF2-40B4-BE49-F238E27FC236}">
                <a16:creationId xmlns:a16="http://schemas.microsoft.com/office/drawing/2014/main" id="{301E765B-383B-4B01-AA33-1561140882EB}"/>
              </a:ext>
            </a:extLst>
          </xdr:cNvPr>
          <xdr:cNvSpPr>
            <a:spLocks noChangeArrowheads="1"/>
          </xdr:cNvSpPr>
        </xdr:nvSpPr>
        <xdr:spPr bwMode="auto">
          <a:xfrm>
            <a:off x="9800" y="11770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4" name="Line 757">
            <a:extLst>
              <a:ext uri="{FF2B5EF4-FFF2-40B4-BE49-F238E27FC236}">
                <a16:creationId xmlns:a16="http://schemas.microsoft.com/office/drawing/2014/main" id="{B37ADCF9-ABCB-4FA1-A364-AAD36447097F}"/>
              </a:ext>
            </a:extLst>
          </xdr:cNvPr>
          <xdr:cNvSpPr>
            <a:spLocks noChangeShapeType="1"/>
          </xdr:cNvSpPr>
        </xdr:nvSpPr>
        <xdr:spPr bwMode="auto">
          <a:xfrm>
            <a:off x="3561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5" name="Rectangle 756">
            <a:extLst>
              <a:ext uri="{FF2B5EF4-FFF2-40B4-BE49-F238E27FC236}">
                <a16:creationId xmlns:a16="http://schemas.microsoft.com/office/drawing/2014/main" id="{D79DA5B6-5343-4CD6-8F8C-FFA76EEDC9A2}"/>
              </a:ext>
            </a:extLst>
          </xdr:cNvPr>
          <xdr:cNvSpPr>
            <a:spLocks noChangeArrowheads="1"/>
          </xdr:cNvSpPr>
        </xdr:nvSpPr>
        <xdr:spPr bwMode="auto">
          <a:xfrm>
            <a:off x="3561" y="12274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6" name="Line 755">
            <a:extLst>
              <a:ext uri="{FF2B5EF4-FFF2-40B4-BE49-F238E27FC236}">
                <a16:creationId xmlns:a16="http://schemas.microsoft.com/office/drawing/2014/main" id="{07725F92-B1CB-43A2-8D00-201407E37275}"/>
              </a:ext>
            </a:extLst>
          </xdr:cNvPr>
          <xdr:cNvSpPr>
            <a:spLocks noChangeShapeType="1"/>
          </xdr:cNvSpPr>
        </xdr:nvSpPr>
        <xdr:spPr bwMode="auto">
          <a:xfrm>
            <a:off x="5022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7" name="Rectangle 754">
            <a:extLst>
              <a:ext uri="{FF2B5EF4-FFF2-40B4-BE49-F238E27FC236}">
                <a16:creationId xmlns:a16="http://schemas.microsoft.com/office/drawing/2014/main" id="{42212FE9-E70F-4F06-BEEA-E5BB4394BD8A}"/>
              </a:ext>
            </a:extLst>
          </xdr:cNvPr>
          <xdr:cNvSpPr>
            <a:spLocks noChangeArrowheads="1"/>
          </xdr:cNvSpPr>
        </xdr:nvSpPr>
        <xdr:spPr bwMode="auto">
          <a:xfrm>
            <a:off x="5022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8" name="Line 753">
            <a:extLst>
              <a:ext uri="{FF2B5EF4-FFF2-40B4-BE49-F238E27FC236}">
                <a16:creationId xmlns:a16="http://schemas.microsoft.com/office/drawing/2014/main" id="{D1D91662-8F5D-42C7-B798-CD255D1C58E1}"/>
              </a:ext>
            </a:extLst>
          </xdr:cNvPr>
          <xdr:cNvSpPr>
            <a:spLocks noChangeShapeType="1"/>
          </xdr:cNvSpPr>
        </xdr:nvSpPr>
        <xdr:spPr bwMode="auto">
          <a:xfrm>
            <a:off x="8021" y="11753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9" name="Rectangle 752">
            <a:extLst>
              <a:ext uri="{FF2B5EF4-FFF2-40B4-BE49-F238E27FC236}">
                <a16:creationId xmlns:a16="http://schemas.microsoft.com/office/drawing/2014/main" id="{0ED81008-18B7-4039-A4E2-F78605FDB46E}"/>
              </a:ext>
            </a:extLst>
          </xdr:cNvPr>
          <xdr:cNvSpPr>
            <a:spLocks noChangeArrowheads="1"/>
          </xdr:cNvSpPr>
        </xdr:nvSpPr>
        <xdr:spPr bwMode="auto">
          <a:xfrm>
            <a:off x="8021" y="11753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0" name="Line 751">
            <a:extLst>
              <a:ext uri="{FF2B5EF4-FFF2-40B4-BE49-F238E27FC236}">
                <a16:creationId xmlns:a16="http://schemas.microsoft.com/office/drawing/2014/main" id="{9AD504D9-A0B4-4787-B660-1449C22141B2}"/>
              </a:ext>
            </a:extLst>
          </xdr:cNvPr>
          <xdr:cNvSpPr>
            <a:spLocks noChangeShapeType="1"/>
          </xdr:cNvSpPr>
        </xdr:nvSpPr>
        <xdr:spPr bwMode="auto">
          <a:xfrm>
            <a:off x="6630" y="1071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1" name="Rectangle 750">
            <a:extLst>
              <a:ext uri="{FF2B5EF4-FFF2-40B4-BE49-F238E27FC236}">
                <a16:creationId xmlns:a16="http://schemas.microsoft.com/office/drawing/2014/main" id="{DC0052F9-259A-485A-A07E-6FC4991F41C3}"/>
              </a:ext>
            </a:extLst>
          </xdr:cNvPr>
          <xdr:cNvSpPr>
            <a:spLocks noChangeArrowheads="1"/>
          </xdr:cNvSpPr>
        </xdr:nvSpPr>
        <xdr:spPr bwMode="auto">
          <a:xfrm>
            <a:off x="6630" y="1071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2" name="Line 749">
            <a:extLst>
              <a:ext uri="{FF2B5EF4-FFF2-40B4-BE49-F238E27FC236}">
                <a16:creationId xmlns:a16="http://schemas.microsoft.com/office/drawing/2014/main" id="{0D6EA7E3-17EE-4F42-8C1E-026D9F364D87}"/>
              </a:ext>
            </a:extLst>
          </xdr:cNvPr>
          <xdr:cNvSpPr>
            <a:spLocks noChangeShapeType="1"/>
          </xdr:cNvSpPr>
        </xdr:nvSpPr>
        <xdr:spPr bwMode="auto">
          <a:xfrm>
            <a:off x="4241" y="7862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3" name="Rectangle 748">
            <a:extLst>
              <a:ext uri="{FF2B5EF4-FFF2-40B4-BE49-F238E27FC236}">
                <a16:creationId xmlns:a16="http://schemas.microsoft.com/office/drawing/2014/main" id="{6699588A-82B1-489C-AC21-1FF33F591A82}"/>
              </a:ext>
            </a:extLst>
          </xdr:cNvPr>
          <xdr:cNvSpPr>
            <a:spLocks noChangeArrowheads="1"/>
          </xdr:cNvSpPr>
        </xdr:nvSpPr>
        <xdr:spPr bwMode="auto">
          <a:xfrm>
            <a:off x="4241" y="7862"/>
            <a:ext cx="17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4" name="Line 747">
            <a:extLst>
              <a:ext uri="{FF2B5EF4-FFF2-40B4-BE49-F238E27FC236}">
                <a16:creationId xmlns:a16="http://schemas.microsoft.com/office/drawing/2014/main" id="{36FB247E-FA41-47D3-AA2A-BA85F2A96FF9}"/>
              </a:ext>
            </a:extLst>
          </xdr:cNvPr>
          <xdr:cNvSpPr>
            <a:spLocks noChangeShapeType="1"/>
          </xdr:cNvSpPr>
        </xdr:nvSpPr>
        <xdr:spPr bwMode="auto">
          <a:xfrm>
            <a:off x="1437" y="2894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5" name="Rectangle 746">
            <a:extLst>
              <a:ext uri="{FF2B5EF4-FFF2-40B4-BE49-F238E27FC236}">
                <a16:creationId xmlns:a16="http://schemas.microsoft.com/office/drawing/2014/main" id="{80B55F40-2517-4C9F-867A-60890BE128E9}"/>
              </a:ext>
            </a:extLst>
          </xdr:cNvPr>
          <xdr:cNvSpPr>
            <a:spLocks noChangeArrowheads="1"/>
          </xdr:cNvSpPr>
        </xdr:nvSpPr>
        <xdr:spPr bwMode="auto">
          <a:xfrm>
            <a:off x="1437" y="2894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6" name="Rectangle 745">
            <a:extLst>
              <a:ext uri="{FF2B5EF4-FFF2-40B4-BE49-F238E27FC236}">
                <a16:creationId xmlns:a16="http://schemas.microsoft.com/office/drawing/2014/main" id="{81793103-385A-4BFA-9E5C-D2C30506F982}"/>
              </a:ext>
            </a:extLst>
          </xdr:cNvPr>
          <xdr:cNvSpPr>
            <a:spLocks noChangeArrowheads="1"/>
          </xdr:cNvSpPr>
        </xdr:nvSpPr>
        <xdr:spPr bwMode="auto">
          <a:xfrm>
            <a:off x="8144" y="3397"/>
            <a:ext cx="167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7" name="Rectangle 744">
            <a:extLst>
              <a:ext uri="{FF2B5EF4-FFF2-40B4-BE49-F238E27FC236}">
                <a16:creationId xmlns:a16="http://schemas.microsoft.com/office/drawing/2014/main" id="{F36084DC-6DC8-4281-9BB0-BFAA9FDFEE11}"/>
              </a:ext>
            </a:extLst>
          </xdr:cNvPr>
          <xdr:cNvSpPr>
            <a:spLocks noChangeArrowheads="1"/>
          </xdr:cNvSpPr>
        </xdr:nvSpPr>
        <xdr:spPr bwMode="auto">
          <a:xfrm>
            <a:off x="8144" y="3433"/>
            <a:ext cx="167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8" name="Line 743">
            <a:extLst>
              <a:ext uri="{FF2B5EF4-FFF2-40B4-BE49-F238E27FC236}">
                <a16:creationId xmlns:a16="http://schemas.microsoft.com/office/drawing/2014/main" id="{F374EC61-BEB4-444D-9A56-3DF81A048446}"/>
              </a:ext>
            </a:extLst>
          </xdr:cNvPr>
          <xdr:cNvSpPr>
            <a:spLocks noChangeShapeType="1"/>
          </xdr:cNvSpPr>
        </xdr:nvSpPr>
        <xdr:spPr bwMode="auto">
          <a:xfrm>
            <a:off x="1755" y="3936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9" name="Rectangle 742">
            <a:extLst>
              <a:ext uri="{FF2B5EF4-FFF2-40B4-BE49-F238E27FC236}">
                <a16:creationId xmlns:a16="http://schemas.microsoft.com/office/drawing/2014/main" id="{1B7724EB-1986-4C3E-992C-5B1E294CE955}"/>
              </a:ext>
            </a:extLst>
          </xdr:cNvPr>
          <xdr:cNvSpPr>
            <a:spLocks noChangeArrowheads="1"/>
          </xdr:cNvSpPr>
        </xdr:nvSpPr>
        <xdr:spPr bwMode="auto">
          <a:xfrm>
            <a:off x="1755" y="3936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0" name="Line 741">
            <a:extLst>
              <a:ext uri="{FF2B5EF4-FFF2-40B4-BE49-F238E27FC236}">
                <a16:creationId xmlns:a16="http://schemas.microsoft.com/office/drawing/2014/main" id="{A1ED7923-E95E-4184-8B35-E970FBE258AD}"/>
              </a:ext>
            </a:extLst>
          </xdr:cNvPr>
          <xdr:cNvSpPr>
            <a:spLocks noChangeShapeType="1"/>
          </xdr:cNvSpPr>
        </xdr:nvSpPr>
        <xdr:spPr bwMode="auto">
          <a:xfrm>
            <a:off x="8153" y="419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1" name="Rectangle 740">
            <a:extLst>
              <a:ext uri="{FF2B5EF4-FFF2-40B4-BE49-F238E27FC236}">
                <a16:creationId xmlns:a16="http://schemas.microsoft.com/office/drawing/2014/main" id="{4627456D-3777-4B8E-85A4-8F441EF9A851}"/>
              </a:ext>
            </a:extLst>
          </xdr:cNvPr>
          <xdr:cNvSpPr>
            <a:spLocks noChangeArrowheads="1"/>
          </xdr:cNvSpPr>
        </xdr:nvSpPr>
        <xdr:spPr bwMode="auto">
          <a:xfrm>
            <a:off x="8153" y="4197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2" name="Line 739">
            <a:extLst>
              <a:ext uri="{FF2B5EF4-FFF2-40B4-BE49-F238E27FC236}">
                <a16:creationId xmlns:a16="http://schemas.microsoft.com/office/drawing/2014/main" id="{10E2EEE1-5955-4F5A-A92E-14E0495F5311}"/>
              </a:ext>
            </a:extLst>
          </xdr:cNvPr>
          <xdr:cNvSpPr>
            <a:spLocks noChangeShapeType="1"/>
          </xdr:cNvSpPr>
        </xdr:nvSpPr>
        <xdr:spPr bwMode="auto">
          <a:xfrm>
            <a:off x="5155" y="445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3" name="Rectangle 738">
            <a:extLst>
              <a:ext uri="{FF2B5EF4-FFF2-40B4-BE49-F238E27FC236}">
                <a16:creationId xmlns:a16="http://schemas.microsoft.com/office/drawing/2014/main" id="{52F185D4-5D6E-45C3-BFD0-782B00CC0AB2}"/>
              </a:ext>
            </a:extLst>
          </xdr:cNvPr>
          <xdr:cNvSpPr>
            <a:spLocks noChangeArrowheads="1"/>
          </xdr:cNvSpPr>
        </xdr:nvSpPr>
        <xdr:spPr bwMode="auto">
          <a:xfrm>
            <a:off x="5155" y="445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4" name="Line 737">
            <a:extLst>
              <a:ext uri="{FF2B5EF4-FFF2-40B4-BE49-F238E27FC236}">
                <a16:creationId xmlns:a16="http://schemas.microsoft.com/office/drawing/2014/main" id="{CA8284CB-802F-4FAD-8DC5-6D3FA2EC7D17}"/>
              </a:ext>
            </a:extLst>
          </xdr:cNvPr>
          <xdr:cNvSpPr>
            <a:spLocks noChangeShapeType="1"/>
          </xdr:cNvSpPr>
        </xdr:nvSpPr>
        <xdr:spPr bwMode="auto">
          <a:xfrm>
            <a:off x="8153" y="471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5" name="Rectangle 736">
            <a:extLst>
              <a:ext uri="{FF2B5EF4-FFF2-40B4-BE49-F238E27FC236}">
                <a16:creationId xmlns:a16="http://schemas.microsoft.com/office/drawing/2014/main" id="{8BDEF65A-6114-4111-ADC0-43C838A848BE}"/>
              </a:ext>
            </a:extLst>
          </xdr:cNvPr>
          <xdr:cNvSpPr>
            <a:spLocks noChangeArrowheads="1"/>
          </xdr:cNvSpPr>
        </xdr:nvSpPr>
        <xdr:spPr bwMode="auto">
          <a:xfrm>
            <a:off x="8153" y="4718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6" name="Line 735">
            <a:extLst>
              <a:ext uri="{FF2B5EF4-FFF2-40B4-BE49-F238E27FC236}">
                <a16:creationId xmlns:a16="http://schemas.microsoft.com/office/drawing/2014/main" id="{E5368522-0FEF-460F-9FDB-BFB5D36345A5}"/>
              </a:ext>
            </a:extLst>
          </xdr:cNvPr>
          <xdr:cNvSpPr>
            <a:spLocks noChangeShapeType="1"/>
          </xdr:cNvSpPr>
        </xdr:nvSpPr>
        <xdr:spPr bwMode="auto">
          <a:xfrm>
            <a:off x="5155" y="497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7" name="Rectangle 734">
            <a:extLst>
              <a:ext uri="{FF2B5EF4-FFF2-40B4-BE49-F238E27FC236}">
                <a16:creationId xmlns:a16="http://schemas.microsoft.com/office/drawing/2014/main" id="{461A7064-2611-4A11-834A-DA4D548A2014}"/>
              </a:ext>
            </a:extLst>
          </xdr:cNvPr>
          <xdr:cNvSpPr>
            <a:spLocks noChangeArrowheads="1"/>
          </xdr:cNvSpPr>
        </xdr:nvSpPr>
        <xdr:spPr bwMode="auto">
          <a:xfrm>
            <a:off x="5155" y="497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8" name="Line 733">
            <a:extLst>
              <a:ext uri="{FF2B5EF4-FFF2-40B4-BE49-F238E27FC236}">
                <a16:creationId xmlns:a16="http://schemas.microsoft.com/office/drawing/2014/main" id="{5A9CF560-247B-47EE-9117-F949B65D4C2A}"/>
              </a:ext>
            </a:extLst>
          </xdr:cNvPr>
          <xdr:cNvSpPr>
            <a:spLocks noChangeShapeType="1"/>
          </xdr:cNvSpPr>
        </xdr:nvSpPr>
        <xdr:spPr bwMode="auto">
          <a:xfrm>
            <a:off x="8153" y="5239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9" name="Rectangle 732">
            <a:extLst>
              <a:ext uri="{FF2B5EF4-FFF2-40B4-BE49-F238E27FC236}">
                <a16:creationId xmlns:a16="http://schemas.microsoft.com/office/drawing/2014/main" id="{77A44B71-8760-4E88-BD36-7775DDAA3C9F}"/>
              </a:ext>
            </a:extLst>
          </xdr:cNvPr>
          <xdr:cNvSpPr>
            <a:spLocks noChangeArrowheads="1"/>
          </xdr:cNvSpPr>
        </xdr:nvSpPr>
        <xdr:spPr bwMode="auto">
          <a:xfrm>
            <a:off x="8153" y="5239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0" name="Line 731">
            <a:extLst>
              <a:ext uri="{FF2B5EF4-FFF2-40B4-BE49-F238E27FC236}">
                <a16:creationId xmlns:a16="http://schemas.microsoft.com/office/drawing/2014/main" id="{12CE924C-88EE-42E4-945D-777B40F72AC4}"/>
              </a:ext>
            </a:extLst>
          </xdr:cNvPr>
          <xdr:cNvSpPr>
            <a:spLocks noChangeShapeType="1"/>
          </xdr:cNvSpPr>
        </xdr:nvSpPr>
        <xdr:spPr bwMode="auto">
          <a:xfrm>
            <a:off x="8153" y="5760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1" name="Rectangle 730">
            <a:extLst>
              <a:ext uri="{FF2B5EF4-FFF2-40B4-BE49-F238E27FC236}">
                <a16:creationId xmlns:a16="http://schemas.microsoft.com/office/drawing/2014/main" id="{B3D05941-1BC7-4B1C-82E1-6A43CBEC5F10}"/>
              </a:ext>
            </a:extLst>
          </xdr:cNvPr>
          <xdr:cNvSpPr>
            <a:spLocks noChangeArrowheads="1"/>
          </xdr:cNvSpPr>
        </xdr:nvSpPr>
        <xdr:spPr bwMode="auto">
          <a:xfrm>
            <a:off x="8153" y="5760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2" name="Line 729">
            <a:extLst>
              <a:ext uri="{FF2B5EF4-FFF2-40B4-BE49-F238E27FC236}">
                <a16:creationId xmlns:a16="http://schemas.microsoft.com/office/drawing/2014/main" id="{70E052F0-62EB-4E6D-9C53-F799507337D6}"/>
              </a:ext>
            </a:extLst>
          </xdr:cNvPr>
          <xdr:cNvSpPr>
            <a:spLocks noChangeShapeType="1"/>
          </xdr:cNvSpPr>
        </xdr:nvSpPr>
        <xdr:spPr bwMode="auto">
          <a:xfrm>
            <a:off x="1812" y="628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3" name="Rectangle 728">
            <a:extLst>
              <a:ext uri="{FF2B5EF4-FFF2-40B4-BE49-F238E27FC236}">
                <a16:creationId xmlns:a16="http://schemas.microsoft.com/office/drawing/2014/main" id="{0BE0D673-1BC1-4073-9333-778FC8646CA3}"/>
              </a:ext>
            </a:extLst>
          </xdr:cNvPr>
          <xdr:cNvSpPr>
            <a:spLocks noChangeArrowheads="1"/>
          </xdr:cNvSpPr>
        </xdr:nvSpPr>
        <xdr:spPr bwMode="auto">
          <a:xfrm>
            <a:off x="1812" y="628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4" name="Line 727">
            <a:extLst>
              <a:ext uri="{FF2B5EF4-FFF2-40B4-BE49-F238E27FC236}">
                <a16:creationId xmlns:a16="http://schemas.microsoft.com/office/drawing/2014/main" id="{1B6D54B7-F9D6-4C04-BA49-A0CA9EA1A130}"/>
              </a:ext>
            </a:extLst>
          </xdr:cNvPr>
          <xdr:cNvSpPr>
            <a:spLocks noChangeShapeType="1"/>
          </xdr:cNvSpPr>
        </xdr:nvSpPr>
        <xdr:spPr bwMode="auto">
          <a:xfrm>
            <a:off x="5155" y="654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5" name="Rectangle 726">
            <a:extLst>
              <a:ext uri="{FF2B5EF4-FFF2-40B4-BE49-F238E27FC236}">
                <a16:creationId xmlns:a16="http://schemas.microsoft.com/office/drawing/2014/main" id="{003B32F7-6013-419B-98E2-F9388110FA60}"/>
              </a:ext>
            </a:extLst>
          </xdr:cNvPr>
          <xdr:cNvSpPr>
            <a:spLocks noChangeArrowheads="1"/>
          </xdr:cNvSpPr>
        </xdr:nvSpPr>
        <xdr:spPr bwMode="auto">
          <a:xfrm>
            <a:off x="5155" y="654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6" name="Line 725">
            <a:extLst>
              <a:ext uri="{FF2B5EF4-FFF2-40B4-BE49-F238E27FC236}">
                <a16:creationId xmlns:a16="http://schemas.microsoft.com/office/drawing/2014/main" id="{EAA08A87-A9BF-464D-A315-611798F1845C}"/>
              </a:ext>
            </a:extLst>
          </xdr:cNvPr>
          <xdr:cNvSpPr>
            <a:spLocks noChangeShapeType="1"/>
          </xdr:cNvSpPr>
        </xdr:nvSpPr>
        <xdr:spPr bwMode="auto">
          <a:xfrm>
            <a:off x="8038" y="6802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7" name="Rectangle 724">
            <a:extLst>
              <a:ext uri="{FF2B5EF4-FFF2-40B4-BE49-F238E27FC236}">
                <a16:creationId xmlns:a16="http://schemas.microsoft.com/office/drawing/2014/main" id="{443AA1F8-B1B1-42E4-8675-2BCB7977BC25}"/>
              </a:ext>
            </a:extLst>
          </xdr:cNvPr>
          <xdr:cNvSpPr>
            <a:spLocks noChangeArrowheads="1"/>
          </xdr:cNvSpPr>
        </xdr:nvSpPr>
        <xdr:spPr bwMode="auto">
          <a:xfrm>
            <a:off x="8038" y="6802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8" name="Line 723">
            <a:extLst>
              <a:ext uri="{FF2B5EF4-FFF2-40B4-BE49-F238E27FC236}">
                <a16:creationId xmlns:a16="http://schemas.microsoft.com/office/drawing/2014/main" id="{04724129-106E-413C-9FC3-9DADBAA99C94}"/>
              </a:ext>
            </a:extLst>
          </xdr:cNvPr>
          <xdr:cNvSpPr>
            <a:spLocks noChangeShapeType="1"/>
          </xdr:cNvSpPr>
        </xdr:nvSpPr>
        <xdr:spPr bwMode="auto">
          <a:xfrm>
            <a:off x="5155" y="706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9" name="Rectangle 722">
            <a:extLst>
              <a:ext uri="{FF2B5EF4-FFF2-40B4-BE49-F238E27FC236}">
                <a16:creationId xmlns:a16="http://schemas.microsoft.com/office/drawing/2014/main" id="{B3997DAE-6B0A-432C-8342-788E3F1DD169}"/>
              </a:ext>
            </a:extLst>
          </xdr:cNvPr>
          <xdr:cNvSpPr>
            <a:spLocks noChangeArrowheads="1"/>
          </xdr:cNvSpPr>
        </xdr:nvSpPr>
        <xdr:spPr bwMode="auto">
          <a:xfrm>
            <a:off x="5155" y="7063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0" name="Line 721">
            <a:extLst>
              <a:ext uri="{FF2B5EF4-FFF2-40B4-BE49-F238E27FC236}">
                <a16:creationId xmlns:a16="http://schemas.microsoft.com/office/drawing/2014/main" id="{7E0D0E97-AC8F-4E06-A9C7-077CC52A8AA7}"/>
              </a:ext>
            </a:extLst>
          </xdr:cNvPr>
          <xdr:cNvSpPr>
            <a:spLocks noChangeShapeType="1"/>
          </xdr:cNvSpPr>
        </xdr:nvSpPr>
        <xdr:spPr bwMode="auto">
          <a:xfrm>
            <a:off x="8038" y="7323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1" name="Rectangle 720">
            <a:extLst>
              <a:ext uri="{FF2B5EF4-FFF2-40B4-BE49-F238E27FC236}">
                <a16:creationId xmlns:a16="http://schemas.microsoft.com/office/drawing/2014/main" id="{19B3C94B-9479-412F-8A6A-748EF27759A2}"/>
              </a:ext>
            </a:extLst>
          </xdr:cNvPr>
          <xdr:cNvSpPr>
            <a:spLocks noChangeArrowheads="1"/>
          </xdr:cNvSpPr>
        </xdr:nvSpPr>
        <xdr:spPr bwMode="auto">
          <a:xfrm>
            <a:off x="8038" y="7323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2" name="Line 719">
            <a:extLst>
              <a:ext uri="{FF2B5EF4-FFF2-40B4-BE49-F238E27FC236}">
                <a16:creationId xmlns:a16="http://schemas.microsoft.com/office/drawing/2014/main" id="{D1679026-A19E-416E-ADBD-8B171E3BFAAB}"/>
              </a:ext>
            </a:extLst>
          </xdr:cNvPr>
          <xdr:cNvSpPr>
            <a:spLocks noChangeShapeType="1"/>
          </xdr:cNvSpPr>
        </xdr:nvSpPr>
        <xdr:spPr bwMode="auto">
          <a:xfrm>
            <a:off x="6647" y="7584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3" name="Rectangle 718">
            <a:extLst>
              <a:ext uri="{FF2B5EF4-FFF2-40B4-BE49-F238E27FC236}">
                <a16:creationId xmlns:a16="http://schemas.microsoft.com/office/drawing/2014/main" id="{BCB6F354-89F7-40E2-9BD0-8FCFA822FAD1}"/>
              </a:ext>
            </a:extLst>
          </xdr:cNvPr>
          <xdr:cNvSpPr>
            <a:spLocks noChangeArrowheads="1"/>
          </xdr:cNvSpPr>
        </xdr:nvSpPr>
        <xdr:spPr bwMode="auto">
          <a:xfrm>
            <a:off x="6647" y="7584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4" name="Line 717">
            <a:extLst>
              <a:ext uri="{FF2B5EF4-FFF2-40B4-BE49-F238E27FC236}">
                <a16:creationId xmlns:a16="http://schemas.microsoft.com/office/drawing/2014/main" id="{4B371FC0-B767-4063-A9FB-328718D67E74}"/>
              </a:ext>
            </a:extLst>
          </xdr:cNvPr>
          <xdr:cNvSpPr>
            <a:spLocks noChangeShapeType="1"/>
          </xdr:cNvSpPr>
        </xdr:nvSpPr>
        <xdr:spPr bwMode="auto">
          <a:xfrm>
            <a:off x="3578" y="7844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5" name="Rectangle 716">
            <a:extLst>
              <a:ext uri="{FF2B5EF4-FFF2-40B4-BE49-F238E27FC236}">
                <a16:creationId xmlns:a16="http://schemas.microsoft.com/office/drawing/2014/main" id="{977E3566-FD06-4783-87F6-C190E440E649}"/>
              </a:ext>
            </a:extLst>
          </xdr:cNvPr>
          <xdr:cNvSpPr>
            <a:spLocks noChangeArrowheads="1"/>
          </xdr:cNvSpPr>
        </xdr:nvSpPr>
        <xdr:spPr bwMode="auto">
          <a:xfrm>
            <a:off x="3578" y="7844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6" name="Line 715">
            <a:extLst>
              <a:ext uri="{FF2B5EF4-FFF2-40B4-BE49-F238E27FC236}">
                <a16:creationId xmlns:a16="http://schemas.microsoft.com/office/drawing/2014/main" id="{104B3BDC-7B59-4B69-B90A-8091F1178959}"/>
              </a:ext>
            </a:extLst>
          </xdr:cNvPr>
          <xdr:cNvSpPr>
            <a:spLocks noChangeShapeType="1"/>
          </xdr:cNvSpPr>
        </xdr:nvSpPr>
        <xdr:spPr bwMode="auto">
          <a:xfrm>
            <a:off x="6647" y="810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7" name="Rectangle 714">
            <a:extLst>
              <a:ext uri="{FF2B5EF4-FFF2-40B4-BE49-F238E27FC236}">
                <a16:creationId xmlns:a16="http://schemas.microsoft.com/office/drawing/2014/main" id="{2594CE18-58F7-4D8A-8DEB-FE4D88D7801A}"/>
              </a:ext>
            </a:extLst>
          </xdr:cNvPr>
          <xdr:cNvSpPr>
            <a:spLocks noChangeArrowheads="1"/>
          </xdr:cNvSpPr>
        </xdr:nvSpPr>
        <xdr:spPr bwMode="auto">
          <a:xfrm>
            <a:off x="6647" y="810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8" name="Line 713">
            <a:extLst>
              <a:ext uri="{FF2B5EF4-FFF2-40B4-BE49-F238E27FC236}">
                <a16:creationId xmlns:a16="http://schemas.microsoft.com/office/drawing/2014/main" id="{318CF48A-3FF9-4EA2-84C8-880CD995AAFC}"/>
              </a:ext>
            </a:extLst>
          </xdr:cNvPr>
          <xdr:cNvSpPr>
            <a:spLocks noChangeShapeType="1"/>
          </xdr:cNvSpPr>
        </xdr:nvSpPr>
        <xdr:spPr bwMode="auto">
          <a:xfrm>
            <a:off x="5155" y="836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9" name="Rectangle 712">
            <a:extLst>
              <a:ext uri="{FF2B5EF4-FFF2-40B4-BE49-F238E27FC236}">
                <a16:creationId xmlns:a16="http://schemas.microsoft.com/office/drawing/2014/main" id="{E0896903-71F4-4584-8027-58B8F3ECE41D}"/>
              </a:ext>
            </a:extLst>
          </xdr:cNvPr>
          <xdr:cNvSpPr>
            <a:spLocks noChangeArrowheads="1"/>
          </xdr:cNvSpPr>
        </xdr:nvSpPr>
        <xdr:spPr bwMode="auto">
          <a:xfrm>
            <a:off x="5155" y="836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0" name="Line 711">
            <a:extLst>
              <a:ext uri="{FF2B5EF4-FFF2-40B4-BE49-F238E27FC236}">
                <a16:creationId xmlns:a16="http://schemas.microsoft.com/office/drawing/2014/main" id="{FFC59D47-2A32-4B47-851B-7956A7F3D193}"/>
              </a:ext>
            </a:extLst>
          </xdr:cNvPr>
          <xdr:cNvSpPr>
            <a:spLocks noChangeShapeType="1"/>
          </xdr:cNvSpPr>
        </xdr:nvSpPr>
        <xdr:spPr bwMode="auto">
          <a:xfrm>
            <a:off x="8153" y="8626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1" name="Rectangle 710">
            <a:extLst>
              <a:ext uri="{FF2B5EF4-FFF2-40B4-BE49-F238E27FC236}">
                <a16:creationId xmlns:a16="http://schemas.microsoft.com/office/drawing/2014/main" id="{F34C7F80-0644-4C64-A1CD-25359D9EC9FB}"/>
              </a:ext>
            </a:extLst>
          </xdr:cNvPr>
          <xdr:cNvSpPr>
            <a:spLocks noChangeArrowheads="1"/>
          </xdr:cNvSpPr>
        </xdr:nvSpPr>
        <xdr:spPr bwMode="auto">
          <a:xfrm>
            <a:off x="8153" y="8626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2" name="Line 709">
            <a:extLst>
              <a:ext uri="{FF2B5EF4-FFF2-40B4-BE49-F238E27FC236}">
                <a16:creationId xmlns:a16="http://schemas.microsoft.com/office/drawing/2014/main" id="{E7B73C1B-B33D-4768-A76D-1D2807E74152}"/>
              </a:ext>
            </a:extLst>
          </xdr:cNvPr>
          <xdr:cNvSpPr>
            <a:spLocks noChangeShapeType="1"/>
          </xdr:cNvSpPr>
        </xdr:nvSpPr>
        <xdr:spPr bwMode="auto">
          <a:xfrm>
            <a:off x="8153" y="914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3" name="Rectangle 708">
            <a:extLst>
              <a:ext uri="{FF2B5EF4-FFF2-40B4-BE49-F238E27FC236}">
                <a16:creationId xmlns:a16="http://schemas.microsoft.com/office/drawing/2014/main" id="{7474D58D-B98E-4991-A2EF-C738E29261DE}"/>
              </a:ext>
            </a:extLst>
          </xdr:cNvPr>
          <xdr:cNvSpPr>
            <a:spLocks noChangeArrowheads="1"/>
          </xdr:cNvSpPr>
        </xdr:nvSpPr>
        <xdr:spPr bwMode="auto">
          <a:xfrm>
            <a:off x="8153" y="914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4" name="Line 707">
            <a:extLst>
              <a:ext uri="{FF2B5EF4-FFF2-40B4-BE49-F238E27FC236}">
                <a16:creationId xmlns:a16="http://schemas.microsoft.com/office/drawing/2014/main" id="{703A2BC6-6228-4156-82F6-1C0A23553C1E}"/>
              </a:ext>
            </a:extLst>
          </xdr:cNvPr>
          <xdr:cNvSpPr>
            <a:spLocks noChangeShapeType="1"/>
          </xdr:cNvSpPr>
        </xdr:nvSpPr>
        <xdr:spPr bwMode="auto">
          <a:xfrm>
            <a:off x="1812" y="9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5" name="Rectangle 706">
            <a:extLst>
              <a:ext uri="{FF2B5EF4-FFF2-40B4-BE49-F238E27FC236}">
                <a16:creationId xmlns:a16="http://schemas.microsoft.com/office/drawing/2014/main" id="{A7D61DDD-63DD-4C1E-B656-EB466E723B94}"/>
              </a:ext>
            </a:extLst>
          </xdr:cNvPr>
          <xdr:cNvSpPr>
            <a:spLocks noChangeArrowheads="1"/>
          </xdr:cNvSpPr>
        </xdr:nvSpPr>
        <xdr:spPr bwMode="auto">
          <a:xfrm>
            <a:off x="1812" y="9408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6" name="Line 705">
            <a:extLst>
              <a:ext uri="{FF2B5EF4-FFF2-40B4-BE49-F238E27FC236}">
                <a16:creationId xmlns:a16="http://schemas.microsoft.com/office/drawing/2014/main" id="{B018A421-F477-4F9B-8141-967478D0600F}"/>
              </a:ext>
            </a:extLst>
          </xdr:cNvPr>
          <xdr:cNvSpPr>
            <a:spLocks noChangeShapeType="1"/>
          </xdr:cNvSpPr>
        </xdr:nvSpPr>
        <xdr:spPr bwMode="auto">
          <a:xfrm>
            <a:off x="5155" y="966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7" name="Rectangle 704">
            <a:extLst>
              <a:ext uri="{FF2B5EF4-FFF2-40B4-BE49-F238E27FC236}">
                <a16:creationId xmlns:a16="http://schemas.microsoft.com/office/drawing/2014/main" id="{18D6040B-A945-459B-A629-9996E4F2B1B1}"/>
              </a:ext>
            </a:extLst>
          </xdr:cNvPr>
          <xdr:cNvSpPr>
            <a:spLocks noChangeArrowheads="1"/>
          </xdr:cNvSpPr>
        </xdr:nvSpPr>
        <xdr:spPr bwMode="auto">
          <a:xfrm>
            <a:off x="5155" y="966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8" name="Line 703">
            <a:extLst>
              <a:ext uri="{FF2B5EF4-FFF2-40B4-BE49-F238E27FC236}">
                <a16:creationId xmlns:a16="http://schemas.microsoft.com/office/drawing/2014/main" id="{F77E5825-2AAB-4560-8C53-AF799A8A9BE1}"/>
              </a:ext>
            </a:extLst>
          </xdr:cNvPr>
          <xdr:cNvSpPr>
            <a:spLocks noChangeShapeType="1"/>
          </xdr:cNvSpPr>
        </xdr:nvSpPr>
        <xdr:spPr bwMode="auto">
          <a:xfrm>
            <a:off x="6647" y="9929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9" name="Rectangle 702">
            <a:extLst>
              <a:ext uri="{FF2B5EF4-FFF2-40B4-BE49-F238E27FC236}">
                <a16:creationId xmlns:a16="http://schemas.microsoft.com/office/drawing/2014/main" id="{388C00BA-BF2D-4172-AC3C-4A0353E3431C}"/>
              </a:ext>
            </a:extLst>
          </xdr:cNvPr>
          <xdr:cNvSpPr>
            <a:spLocks noChangeArrowheads="1"/>
          </xdr:cNvSpPr>
        </xdr:nvSpPr>
        <xdr:spPr bwMode="auto">
          <a:xfrm>
            <a:off x="6647" y="9929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0" name="Line 701">
            <a:extLst>
              <a:ext uri="{FF2B5EF4-FFF2-40B4-BE49-F238E27FC236}">
                <a16:creationId xmlns:a16="http://schemas.microsoft.com/office/drawing/2014/main" id="{5A4EB838-0189-4D94-8768-A4CB2176BCA6}"/>
              </a:ext>
            </a:extLst>
          </xdr:cNvPr>
          <xdr:cNvSpPr>
            <a:spLocks noChangeShapeType="1"/>
          </xdr:cNvSpPr>
        </xdr:nvSpPr>
        <xdr:spPr bwMode="auto">
          <a:xfrm>
            <a:off x="6647" y="1045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1" name="Rectangle 700">
            <a:extLst>
              <a:ext uri="{FF2B5EF4-FFF2-40B4-BE49-F238E27FC236}">
                <a16:creationId xmlns:a16="http://schemas.microsoft.com/office/drawing/2014/main" id="{6ACB77CE-1620-4570-9A7F-5C0BA791225F}"/>
              </a:ext>
            </a:extLst>
          </xdr:cNvPr>
          <xdr:cNvSpPr>
            <a:spLocks noChangeArrowheads="1"/>
          </xdr:cNvSpPr>
        </xdr:nvSpPr>
        <xdr:spPr bwMode="auto">
          <a:xfrm>
            <a:off x="6647" y="1045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2" name="Line 699">
            <a:extLst>
              <a:ext uri="{FF2B5EF4-FFF2-40B4-BE49-F238E27FC236}">
                <a16:creationId xmlns:a16="http://schemas.microsoft.com/office/drawing/2014/main" id="{75A2B16C-FC96-4E4C-8C28-B496D8250883}"/>
              </a:ext>
            </a:extLst>
          </xdr:cNvPr>
          <xdr:cNvSpPr>
            <a:spLocks noChangeShapeType="1"/>
          </xdr:cNvSpPr>
        </xdr:nvSpPr>
        <xdr:spPr bwMode="auto">
          <a:xfrm>
            <a:off x="6647" y="1071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3" name="Rectangle 698">
            <a:extLst>
              <a:ext uri="{FF2B5EF4-FFF2-40B4-BE49-F238E27FC236}">
                <a16:creationId xmlns:a16="http://schemas.microsoft.com/office/drawing/2014/main" id="{96BBCBB1-1939-43BC-8AD0-B281BDCB4F36}"/>
              </a:ext>
            </a:extLst>
          </xdr:cNvPr>
          <xdr:cNvSpPr>
            <a:spLocks noChangeArrowheads="1"/>
          </xdr:cNvSpPr>
        </xdr:nvSpPr>
        <xdr:spPr bwMode="auto">
          <a:xfrm>
            <a:off x="6647" y="1071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4" name="Line 697">
            <a:extLst>
              <a:ext uri="{FF2B5EF4-FFF2-40B4-BE49-F238E27FC236}">
                <a16:creationId xmlns:a16="http://schemas.microsoft.com/office/drawing/2014/main" id="{7576E03C-A2C9-40B3-A7BA-DF8E2CF94E2E}"/>
              </a:ext>
            </a:extLst>
          </xdr:cNvPr>
          <xdr:cNvSpPr>
            <a:spLocks noChangeShapeType="1"/>
          </xdr:cNvSpPr>
        </xdr:nvSpPr>
        <xdr:spPr bwMode="auto">
          <a:xfrm>
            <a:off x="1812" y="10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5" name="Rectangle 696">
            <a:extLst>
              <a:ext uri="{FF2B5EF4-FFF2-40B4-BE49-F238E27FC236}">
                <a16:creationId xmlns:a16="http://schemas.microsoft.com/office/drawing/2014/main" id="{CAE94C28-94A6-4D25-94B1-94CB8AA943C1}"/>
              </a:ext>
            </a:extLst>
          </xdr:cNvPr>
          <xdr:cNvSpPr>
            <a:spLocks noChangeArrowheads="1"/>
          </xdr:cNvSpPr>
        </xdr:nvSpPr>
        <xdr:spPr bwMode="auto">
          <a:xfrm>
            <a:off x="1812" y="10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6" name="Line 695">
            <a:extLst>
              <a:ext uri="{FF2B5EF4-FFF2-40B4-BE49-F238E27FC236}">
                <a16:creationId xmlns:a16="http://schemas.microsoft.com/office/drawing/2014/main" id="{2518800F-3609-46EC-A31E-8B952217B077}"/>
              </a:ext>
            </a:extLst>
          </xdr:cNvPr>
          <xdr:cNvSpPr>
            <a:spLocks noChangeShapeType="1"/>
          </xdr:cNvSpPr>
        </xdr:nvSpPr>
        <xdr:spPr bwMode="auto">
          <a:xfrm>
            <a:off x="6647" y="11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7" name="Rectangle 694">
            <a:extLst>
              <a:ext uri="{FF2B5EF4-FFF2-40B4-BE49-F238E27FC236}">
                <a16:creationId xmlns:a16="http://schemas.microsoft.com/office/drawing/2014/main" id="{160169DA-16D9-4D67-BE77-463CBD72B35E}"/>
              </a:ext>
            </a:extLst>
          </xdr:cNvPr>
          <xdr:cNvSpPr>
            <a:spLocks noChangeArrowheads="1"/>
          </xdr:cNvSpPr>
        </xdr:nvSpPr>
        <xdr:spPr bwMode="auto">
          <a:xfrm>
            <a:off x="6647" y="11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8" name="Line 693">
            <a:extLst>
              <a:ext uri="{FF2B5EF4-FFF2-40B4-BE49-F238E27FC236}">
                <a16:creationId xmlns:a16="http://schemas.microsoft.com/office/drawing/2014/main" id="{D1BAD2B3-C992-4D75-8CAE-1B87C4534248}"/>
              </a:ext>
            </a:extLst>
          </xdr:cNvPr>
          <xdr:cNvSpPr>
            <a:spLocks noChangeShapeType="1"/>
          </xdr:cNvSpPr>
        </xdr:nvSpPr>
        <xdr:spPr bwMode="auto">
          <a:xfrm>
            <a:off x="5155" y="1149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9" name="Rectangle 692">
            <a:extLst>
              <a:ext uri="{FF2B5EF4-FFF2-40B4-BE49-F238E27FC236}">
                <a16:creationId xmlns:a16="http://schemas.microsoft.com/office/drawing/2014/main" id="{D0624944-1356-413D-B51B-3AF11FBA559D}"/>
              </a:ext>
            </a:extLst>
          </xdr:cNvPr>
          <xdr:cNvSpPr>
            <a:spLocks noChangeArrowheads="1"/>
          </xdr:cNvSpPr>
        </xdr:nvSpPr>
        <xdr:spPr bwMode="auto">
          <a:xfrm>
            <a:off x="5155" y="11492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0" name="Line 691">
            <a:extLst>
              <a:ext uri="{FF2B5EF4-FFF2-40B4-BE49-F238E27FC236}">
                <a16:creationId xmlns:a16="http://schemas.microsoft.com/office/drawing/2014/main" id="{5D4EC980-134D-4862-A5FC-205F3F494481}"/>
              </a:ext>
            </a:extLst>
          </xdr:cNvPr>
          <xdr:cNvSpPr>
            <a:spLocks noChangeShapeType="1"/>
          </xdr:cNvSpPr>
        </xdr:nvSpPr>
        <xdr:spPr bwMode="auto">
          <a:xfrm>
            <a:off x="8038" y="11753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1" name="Rectangle 690">
            <a:extLst>
              <a:ext uri="{FF2B5EF4-FFF2-40B4-BE49-F238E27FC236}">
                <a16:creationId xmlns:a16="http://schemas.microsoft.com/office/drawing/2014/main" id="{91625AF6-ADD6-4A71-9CE5-FFCD158FF629}"/>
              </a:ext>
            </a:extLst>
          </xdr:cNvPr>
          <xdr:cNvSpPr>
            <a:spLocks noChangeArrowheads="1"/>
          </xdr:cNvSpPr>
        </xdr:nvSpPr>
        <xdr:spPr bwMode="auto">
          <a:xfrm>
            <a:off x="8038" y="11753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2" name="Line 689">
            <a:extLst>
              <a:ext uri="{FF2B5EF4-FFF2-40B4-BE49-F238E27FC236}">
                <a16:creationId xmlns:a16="http://schemas.microsoft.com/office/drawing/2014/main" id="{F3CF4088-E191-49B1-9E66-48CCF3452C97}"/>
              </a:ext>
            </a:extLst>
          </xdr:cNvPr>
          <xdr:cNvSpPr>
            <a:spLocks noChangeShapeType="1"/>
          </xdr:cNvSpPr>
        </xdr:nvSpPr>
        <xdr:spPr bwMode="auto">
          <a:xfrm>
            <a:off x="5155" y="1201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3" name="Rectangle 688">
            <a:extLst>
              <a:ext uri="{FF2B5EF4-FFF2-40B4-BE49-F238E27FC236}">
                <a16:creationId xmlns:a16="http://schemas.microsoft.com/office/drawing/2014/main" id="{C380E9D1-5863-48EA-8690-243C7F81A91B}"/>
              </a:ext>
            </a:extLst>
          </xdr:cNvPr>
          <xdr:cNvSpPr>
            <a:spLocks noChangeArrowheads="1"/>
          </xdr:cNvSpPr>
        </xdr:nvSpPr>
        <xdr:spPr bwMode="auto">
          <a:xfrm>
            <a:off x="5155" y="12013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4" name="Line 687">
            <a:extLst>
              <a:ext uri="{FF2B5EF4-FFF2-40B4-BE49-F238E27FC236}">
                <a16:creationId xmlns:a16="http://schemas.microsoft.com/office/drawing/2014/main" id="{A1A68E37-EC84-4FAC-A474-070A83419718}"/>
              </a:ext>
            </a:extLst>
          </xdr:cNvPr>
          <xdr:cNvSpPr>
            <a:spLocks noChangeShapeType="1"/>
          </xdr:cNvSpPr>
        </xdr:nvSpPr>
        <xdr:spPr bwMode="auto">
          <a:xfrm>
            <a:off x="8038" y="12274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5" name="Rectangle 686">
            <a:extLst>
              <a:ext uri="{FF2B5EF4-FFF2-40B4-BE49-F238E27FC236}">
                <a16:creationId xmlns:a16="http://schemas.microsoft.com/office/drawing/2014/main" id="{61858864-F579-474F-904C-BC6B9584D745}"/>
              </a:ext>
            </a:extLst>
          </xdr:cNvPr>
          <xdr:cNvSpPr>
            <a:spLocks noChangeArrowheads="1"/>
          </xdr:cNvSpPr>
        </xdr:nvSpPr>
        <xdr:spPr bwMode="auto">
          <a:xfrm>
            <a:off x="8038" y="12274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6" name="Line 685">
            <a:extLst>
              <a:ext uri="{FF2B5EF4-FFF2-40B4-BE49-F238E27FC236}">
                <a16:creationId xmlns:a16="http://schemas.microsoft.com/office/drawing/2014/main" id="{FF6F0071-11CF-4859-9A46-C40C00CC249B}"/>
              </a:ext>
            </a:extLst>
          </xdr:cNvPr>
          <xdr:cNvSpPr>
            <a:spLocks noChangeShapeType="1"/>
          </xdr:cNvSpPr>
        </xdr:nvSpPr>
        <xdr:spPr bwMode="auto">
          <a:xfrm>
            <a:off x="5155" y="1279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7" name="Rectangle 684">
            <a:extLst>
              <a:ext uri="{FF2B5EF4-FFF2-40B4-BE49-F238E27FC236}">
                <a16:creationId xmlns:a16="http://schemas.microsoft.com/office/drawing/2014/main" id="{4504ED1D-2FC8-4232-92D8-460B4C1FE1F8}"/>
              </a:ext>
            </a:extLst>
          </xdr:cNvPr>
          <xdr:cNvSpPr>
            <a:spLocks noChangeArrowheads="1"/>
          </xdr:cNvSpPr>
        </xdr:nvSpPr>
        <xdr:spPr bwMode="auto">
          <a:xfrm>
            <a:off x="5155" y="12795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8" name="Line 683">
            <a:extLst>
              <a:ext uri="{FF2B5EF4-FFF2-40B4-BE49-F238E27FC236}">
                <a16:creationId xmlns:a16="http://schemas.microsoft.com/office/drawing/2014/main" id="{7AB20080-1E2E-4EF3-8A6F-B203FF7E241B}"/>
              </a:ext>
            </a:extLst>
          </xdr:cNvPr>
          <xdr:cNvSpPr>
            <a:spLocks noChangeShapeType="1"/>
          </xdr:cNvSpPr>
        </xdr:nvSpPr>
        <xdr:spPr bwMode="auto">
          <a:xfrm>
            <a:off x="1437" y="13055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9" name="Rectangle 682">
            <a:extLst>
              <a:ext uri="{FF2B5EF4-FFF2-40B4-BE49-F238E27FC236}">
                <a16:creationId xmlns:a16="http://schemas.microsoft.com/office/drawing/2014/main" id="{069EE6FE-AB2F-49BA-B9DE-685753616C34}"/>
              </a:ext>
            </a:extLst>
          </xdr:cNvPr>
          <xdr:cNvSpPr>
            <a:spLocks noChangeArrowheads="1"/>
          </xdr:cNvSpPr>
        </xdr:nvSpPr>
        <xdr:spPr bwMode="auto">
          <a:xfrm>
            <a:off x="1437" y="13055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32642210" name="Group 679">
            <a:extLst>
              <a:ext uri="{FF2B5EF4-FFF2-40B4-BE49-F238E27FC236}">
                <a16:creationId xmlns:a16="http://schemas.microsoft.com/office/drawing/2014/main" id="{76A52B00-C256-499D-BC4C-8D2C5B100506}"/>
              </a:ext>
            </a:extLst>
          </xdr:cNvPr>
          <xdr:cNvGrpSpPr>
            <a:grpSpLocks/>
          </xdr:cNvGrpSpPr>
        </xdr:nvGrpSpPr>
        <xdr:grpSpPr bwMode="auto">
          <a:xfrm>
            <a:off x="3388" y="4241"/>
            <a:ext cx="4748" cy="146"/>
            <a:chOff x="3387" y="4199"/>
            <a:chExt cx="4748" cy="146"/>
          </a:xfrm>
        </xdr:grpSpPr>
        <xdr:sp macro="" textlink="">
          <xdr:nvSpPr>
            <xdr:cNvPr id="32642302" name="Line 681">
              <a:extLst>
                <a:ext uri="{FF2B5EF4-FFF2-40B4-BE49-F238E27FC236}">
                  <a16:creationId xmlns:a16="http://schemas.microsoft.com/office/drawing/2014/main" id="{40F92139-301A-4A27-8EBC-28819A1BB11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520" y="4274"/>
              <a:ext cx="4615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303" name="Freeform 680">
              <a:extLst>
                <a:ext uri="{FF2B5EF4-FFF2-40B4-BE49-F238E27FC236}">
                  <a16:creationId xmlns:a16="http://schemas.microsoft.com/office/drawing/2014/main" id="{88B77715-EDC4-4695-9290-B2926202098B}"/>
                </a:ext>
              </a:extLst>
            </xdr:cNvPr>
            <xdr:cNvSpPr>
              <a:spLocks/>
            </xdr:cNvSpPr>
          </xdr:nvSpPr>
          <xdr:spPr bwMode="auto">
            <a:xfrm>
              <a:off x="3387" y="4199"/>
              <a:ext cx="142" cy="146"/>
            </a:xfrm>
            <a:custGeom>
              <a:avLst/>
              <a:gdLst>
                <a:gd name="T0" fmla="*/ 142 w 142"/>
                <a:gd name="T1" fmla="*/ 0 h 146"/>
                <a:gd name="T2" fmla="*/ 0 w 142"/>
                <a:gd name="T3" fmla="*/ 75 h 146"/>
                <a:gd name="T4" fmla="*/ 142 w 142"/>
                <a:gd name="T5" fmla="*/ 146 h 146"/>
                <a:gd name="T6" fmla="*/ 142 w 142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6"/>
                <a:gd name="T14" fmla="*/ 142 w 142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6">
                  <a:moveTo>
                    <a:pt x="142" y="0"/>
                  </a:moveTo>
                  <a:lnTo>
                    <a:pt x="0" y="75"/>
                  </a:lnTo>
                  <a:lnTo>
                    <a:pt x="142" y="146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1" name="Group 676">
            <a:extLst>
              <a:ext uri="{FF2B5EF4-FFF2-40B4-BE49-F238E27FC236}">
                <a16:creationId xmlns:a16="http://schemas.microsoft.com/office/drawing/2014/main" id="{79018651-4364-40FC-A9B0-5A0103F43E9C}"/>
              </a:ext>
            </a:extLst>
          </xdr:cNvPr>
          <xdr:cNvGrpSpPr>
            <a:grpSpLocks/>
          </xdr:cNvGrpSpPr>
        </xdr:nvGrpSpPr>
        <xdr:grpSpPr bwMode="auto">
          <a:xfrm>
            <a:off x="3371" y="5301"/>
            <a:ext cx="4765" cy="145"/>
            <a:chOff x="3370" y="5259"/>
            <a:chExt cx="4765" cy="145"/>
          </a:xfrm>
        </xdr:grpSpPr>
        <xdr:sp macro="" textlink="">
          <xdr:nvSpPr>
            <xdr:cNvPr id="32642300" name="Line 678">
              <a:extLst>
                <a:ext uri="{FF2B5EF4-FFF2-40B4-BE49-F238E27FC236}">
                  <a16:creationId xmlns:a16="http://schemas.microsoft.com/office/drawing/2014/main" id="{BEE8D9FC-16B8-492B-A746-DB72318C9DE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5329"/>
              <a:ext cx="4632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301" name="Freeform 677">
              <a:extLst>
                <a:ext uri="{FF2B5EF4-FFF2-40B4-BE49-F238E27FC236}">
                  <a16:creationId xmlns:a16="http://schemas.microsoft.com/office/drawing/2014/main" id="{87075F52-81A7-44DE-8E18-148F2F7EF807}"/>
                </a:ext>
              </a:extLst>
            </xdr:cNvPr>
            <xdr:cNvSpPr>
              <a:spLocks/>
            </xdr:cNvSpPr>
          </xdr:nvSpPr>
          <xdr:spPr bwMode="auto">
            <a:xfrm>
              <a:off x="7993" y="5259"/>
              <a:ext cx="142" cy="145"/>
            </a:xfrm>
            <a:custGeom>
              <a:avLst/>
              <a:gdLst>
                <a:gd name="T0" fmla="*/ 0 w 142"/>
                <a:gd name="T1" fmla="*/ 145 h 145"/>
                <a:gd name="T2" fmla="*/ 142 w 142"/>
                <a:gd name="T3" fmla="*/ 70 h 145"/>
                <a:gd name="T4" fmla="*/ 0 w 142"/>
                <a:gd name="T5" fmla="*/ 0 h 145"/>
                <a:gd name="T6" fmla="*/ 0 w 142"/>
                <a:gd name="T7" fmla="*/ 145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0" y="145"/>
                  </a:moveTo>
                  <a:lnTo>
                    <a:pt x="142" y="70"/>
                  </a:lnTo>
                  <a:lnTo>
                    <a:pt x="0" y="0"/>
                  </a:lnTo>
                  <a:lnTo>
                    <a:pt x="0" y="1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2" name="Group 673">
            <a:extLst>
              <a:ext uri="{FF2B5EF4-FFF2-40B4-BE49-F238E27FC236}">
                <a16:creationId xmlns:a16="http://schemas.microsoft.com/office/drawing/2014/main" id="{9737D0E3-6037-499D-8BEE-15570501251F}"/>
              </a:ext>
            </a:extLst>
          </xdr:cNvPr>
          <xdr:cNvGrpSpPr>
            <a:grpSpLocks/>
          </xdr:cNvGrpSpPr>
        </xdr:nvGrpSpPr>
        <xdr:grpSpPr bwMode="auto">
          <a:xfrm>
            <a:off x="2514" y="7050"/>
            <a:ext cx="146" cy="768"/>
            <a:chOff x="2513" y="7008"/>
            <a:chExt cx="146" cy="768"/>
          </a:xfrm>
        </xdr:grpSpPr>
        <xdr:sp macro="" textlink="">
          <xdr:nvSpPr>
            <xdr:cNvPr id="32642298" name="Line 675">
              <a:extLst>
                <a:ext uri="{FF2B5EF4-FFF2-40B4-BE49-F238E27FC236}">
                  <a16:creationId xmlns:a16="http://schemas.microsoft.com/office/drawing/2014/main" id="{F8B7AEF8-1F19-47BE-B2E2-46FE10B4EC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88" y="7008"/>
              <a:ext cx="1" cy="63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9" name="Freeform 674">
              <a:extLst>
                <a:ext uri="{FF2B5EF4-FFF2-40B4-BE49-F238E27FC236}">
                  <a16:creationId xmlns:a16="http://schemas.microsoft.com/office/drawing/2014/main" id="{5A8D566D-F9E9-49CA-9ADC-2803507CBB77}"/>
                </a:ext>
              </a:extLst>
            </xdr:cNvPr>
            <xdr:cNvSpPr>
              <a:spLocks/>
            </xdr:cNvSpPr>
          </xdr:nvSpPr>
          <xdr:spPr bwMode="auto">
            <a:xfrm>
              <a:off x="2513" y="7635"/>
              <a:ext cx="146" cy="141"/>
            </a:xfrm>
            <a:custGeom>
              <a:avLst/>
              <a:gdLst>
                <a:gd name="T0" fmla="*/ 0 w 146"/>
                <a:gd name="T1" fmla="*/ 0 h 141"/>
                <a:gd name="T2" fmla="*/ 75 w 146"/>
                <a:gd name="T3" fmla="*/ 141 h 141"/>
                <a:gd name="T4" fmla="*/ 146 w 146"/>
                <a:gd name="T5" fmla="*/ 0 h 141"/>
                <a:gd name="T6" fmla="*/ 0 w 146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0" y="0"/>
                  </a:moveTo>
                  <a:lnTo>
                    <a:pt x="75" y="141"/>
                  </a:lnTo>
                  <a:lnTo>
                    <a:pt x="146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3" name="Group 670">
            <a:extLst>
              <a:ext uri="{FF2B5EF4-FFF2-40B4-BE49-F238E27FC236}">
                <a16:creationId xmlns:a16="http://schemas.microsoft.com/office/drawing/2014/main" id="{22170535-3FC0-47FC-A23E-FAD7EEBD5B07}"/>
              </a:ext>
            </a:extLst>
          </xdr:cNvPr>
          <xdr:cNvGrpSpPr>
            <a:grpSpLocks/>
          </xdr:cNvGrpSpPr>
        </xdr:nvGrpSpPr>
        <xdr:grpSpPr bwMode="auto">
          <a:xfrm>
            <a:off x="2505" y="8105"/>
            <a:ext cx="146" cy="795"/>
            <a:chOff x="2504" y="8063"/>
            <a:chExt cx="146" cy="795"/>
          </a:xfrm>
        </xdr:grpSpPr>
        <xdr:sp macro="" textlink="">
          <xdr:nvSpPr>
            <xdr:cNvPr id="32642296" name="Line 672">
              <a:extLst>
                <a:ext uri="{FF2B5EF4-FFF2-40B4-BE49-F238E27FC236}">
                  <a16:creationId xmlns:a16="http://schemas.microsoft.com/office/drawing/2014/main" id="{54099352-5C11-47B3-8556-D036FCB45229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575" y="8195"/>
              <a:ext cx="1" cy="66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7" name="Freeform 671">
              <a:extLst>
                <a:ext uri="{FF2B5EF4-FFF2-40B4-BE49-F238E27FC236}">
                  <a16:creationId xmlns:a16="http://schemas.microsoft.com/office/drawing/2014/main" id="{8F98EC67-47A0-40F7-8C44-ECEC990F5080}"/>
                </a:ext>
              </a:extLst>
            </xdr:cNvPr>
            <xdr:cNvSpPr>
              <a:spLocks/>
            </xdr:cNvSpPr>
          </xdr:nvSpPr>
          <xdr:spPr bwMode="auto">
            <a:xfrm>
              <a:off x="2504" y="8063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4" name="Group 667">
            <a:extLst>
              <a:ext uri="{FF2B5EF4-FFF2-40B4-BE49-F238E27FC236}">
                <a16:creationId xmlns:a16="http://schemas.microsoft.com/office/drawing/2014/main" id="{8B43E667-FE35-4F0C-8C75-6336911032B4}"/>
              </a:ext>
            </a:extLst>
          </xdr:cNvPr>
          <xdr:cNvGrpSpPr>
            <a:grpSpLocks/>
          </xdr:cNvGrpSpPr>
        </xdr:nvGrpSpPr>
        <xdr:grpSpPr bwMode="auto">
          <a:xfrm>
            <a:off x="3371" y="7919"/>
            <a:ext cx="203" cy="146"/>
            <a:chOff x="3370" y="7877"/>
            <a:chExt cx="203" cy="146"/>
          </a:xfrm>
        </xdr:grpSpPr>
        <xdr:sp macro="" textlink="">
          <xdr:nvSpPr>
            <xdr:cNvPr id="32642294" name="Line 669">
              <a:extLst>
                <a:ext uri="{FF2B5EF4-FFF2-40B4-BE49-F238E27FC236}">
                  <a16:creationId xmlns:a16="http://schemas.microsoft.com/office/drawing/2014/main" id="{6198BD93-7A93-49D3-AE2E-E8620CE36B5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7948"/>
              <a:ext cx="7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5" name="Freeform 668">
              <a:extLst>
                <a:ext uri="{FF2B5EF4-FFF2-40B4-BE49-F238E27FC236}">
                  <a16:creationId xmlns:a16="http://schemas.microsoft.com/office/drawing/2014/main" id="{34BC31E5-1E30-4CB0-AF56-70FC8BC3B707}"/>
                </a:ext>
              </a:extLst>
            </xdr:cNvPr>
            <xdr:cNvSpPr>
              <a:spLocks/>
            </xdr:cNvSpPr>
          </xdr:nvSpPr>
          <xdr:spPr bwMode="auto">
            <a:xfrm>
              <a:off x="3432" y="7877"/>
              <a:ext cx="141" cy="146"/>
            </a:xfrm>
            <a:custGeom>
              <a:avLst/>
              <a:gdLst>
                <a:gd name="T0" fmla="*/ 0 w 141"/>
                <a:gd name="T1" fmla="*/ 146 h 146"/>
                <a:gd name="T2" fmla="*/ 141 w 141"/>
                <a:gd name="T3" fmla="*/ 71 h 146"/>
                <a:gd name="T4" fmla="*/ 0 w 141"/>
                <a:gd name="T5" fmla="*/ 0 h 146"/>
                <a:gd name="T6" fmla="*/ 0 w 141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0" y="146"/>
                  </a:moveTo>
                  <a:lnTo>
                    <a:pt x="141" y="71"/>
                  </a:lnTo>
                  <a:lnTo>
                    <a:pt x="0" y="0"/>
                  </a:lnTo>
                  <a:lnTo>
                    <a:pt x="0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5" name="Group 664">
            <a:extLst>
              <a:ext uri="{FF2B5EF4-FFF2-40B4-BE49-F238E27FC236}">
                <a16:creationId xmlns:a16="http://schemas.microsoft.com/office/drawing/2014/main" id="{D9B43468-1863-4309-844D-383B55E83ECB}"/>
              </a:ext>
            </a:extLst>
          </xdr:cNvPr>
          <xdr:cNvGrpSpPr>
            <a:grpSpLocks/>
          </xdr:cNvGrpSpPr>
        </xdr:nvGrpSpPr>
        <xdr:grpSpPr bwMode="auto">
          <a:xfrm>
            <a:off x="5747" y="7063"/>
            <a:ext cx="145" cy="1276"/>
            <a:chOff x="5746" y="7021"/>
            <a:chExt cx="145" cy="1276"/>
          </a:xfrm>
        </xdr:grpSpPr>
        <xdr:sp macro="" textlink="">
          <xdr:nvSpPr>
            <xdr:cNvPr id="32642292" name="Line 666">
              <a:extLst>
                <a:ext uri="{FF2B5EF4-FFF2-40B4-BE49-F238E27FC236}">
                  <a16:creationId xmlns:a16="http://schemas.microsoft.com/office/drawing/2014/main" id="{D5911A15-1CE5-447F-859C-2BBA49D1EF1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21" y="7021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3" name="Freeform 665">
              <a:extLst>
                <a:ext uri="{FF2B5EF4-FFF2-40B4-BE49-F238E27FC236}">
                  <a16:creationId xmlns:a16="http://schemas.microsoft.com/office/drawing/2014/main" id="{5DD2C90D-19E7-4CDC-B5B6-4098F9B6DE22}"/>
                </a:ext>
              </a:extLst>
            </xdr:cNvPr>
            <xdr:cNvSpPr>
              <a:spLocks/>
            </xdr:cNvSpPr>
          </xdr:nvSpPr>
          <xdr:spPr bwMode="auto">
            <a:xfrm>
              <a:off x="5746" y="8156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6" name="Group 661">
            <a:extLst>
              <a:ext uri="{FF2B5EF4-FFF2-40B4-BE49-F238E27FC236}">
                <a16:creationId xmlns:a16="http://schemas.microsoft.com/office/drawing/2014/main" id="{36BABD39-33E5-4879-A05D-5657193EE39A}"/>
              </a:ext>
            </a:extLst>
          </xdr:cNvPr>
          <xdr:cNvGrpSpPr>
            <a:grpSpLocks/>
          </xdr:cNvGrpSpPr>
        </xdr:nvGrpSpPr>
        <xdr:grpSpPr bwMode="auto">
          <a:xfrm>
            <a:off x="6546" y="4718"/>
            <a:ext cx="1607" cy="1810"/>
            <a:chOff x="6545" y="4676"/>
            <a:chExt cx="1607" cy="1810"/>
          </a:xfrm>
        </xdr:grpSpPr>
        <xdr:sp macro="" textlink="">
          <xdr:nvSpPr>
            <xdr:cNvPr id="32642290" name="Line 663">
              <a:extLst>
                <a:ext uri="{FF2B5EF4-FFF2-40B4-BE49-F238E27FC236}">
                  <a16:creationId xmlns:a16="http://schemas.microsoft.com/office/drawing/2014/main" id="{EB3C453A-61CB-4A7D-A539-501D3876C9F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9" y="4676"/>
              <a:ext cx="1523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1" name="Freeform 662">
              <a:extLst>
                <a:ext uri="{FF2B5EF4-FFF2-40B4-BE49-F238E27FC236}">
                  <a16:creationId xmlns:a16="http://schemas.microsoft.com/office/drawing/2014/main" id="{3F43CC43-8E8B-412F-ACC4-F4069A765867}"/>
                </a:ext>
              </a:extLst>
            </xdr:cNvPr>
            <xdr:cNvSpPr>
              <a:spLocks/>
            </xdr:cNvSpPr>
          </xdr:nvSpPr>
          <xdr:spPr bwMode="auto">
            <a:xfrm>
              <a:off x="6545" y="6332"/>
              <a:ext cx="146" cy="154"/>
            </a:xfrm>
            <a:custGeom>
              <a:avLst/>
              <a:gdLst>
                <a:gd name="T0" fmla="*/ 35 w 146"/>
                <a:gd name="T1" fmla="*/ 0 h 154"/>
                <a:gd name="T2" fmla="*/ 0 w 146"/>
                <a:gd name="T3" fmla="*/ 154 h 154"/>
                <a:gd name="T4" fmla="*/ 146 w 146"/>
                <a:gd name="T5" fmla="*/ 93 h 154"/>
                <a:gd name="T6" fmla="*/ 35 w 146"/>
                <a:gd name="T7" fmla="*/ 0 h 154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4"/>
                <a:gd name="T14" fmla="*/ 146 w 146"/>
                <a:gd name="T15" fmla="*/ 154 h 154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4">
                  <a:moveTo>
                    <a:pt x="35" y="0"/>
                  </a:moveTo>
                  <a:lnTo>
                    <a:pt x="0" y="154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7" name="Group 658">
            <a:extLst>
              <a:ext uri="{FF2B5EF4-FFF2-40B4-BE49-F238E27FC236}">
                <a16:creationId xmlns:a16="http://schemas.microsoft.com/office/drawing/2014/main" id="{244E1A2C-659F-43F8-8E12-739746E3101C}"/>
              </a:ext>
            </a:extLst>
          </xdr:cNvPr>
          <xdr:cNvGrpSpPr>
            <a:grpSpLocks/>
          </xdr:cNvGrpSpPr>
        </xdr:nvGrpSpPr>
        <xdr:grpSpPr bwMode="auto">
          <a:xfrm>
            <a:off x="3402" y="9121"/>
            <a:ext cx="1740" cy="534"/>
            <a:chOff x="3401" y="9079"/>
            <a:chExt cx="1740" cy="534"/>
          </a:xfrm>
        </xdr:grpSpPr>
        <xdr:sp macro="" textlink="">
          <xdr:nvSpPr>
            <xdr:cNvPr id="32642288" name="Line 660">
              <a:extLst>
                <a:ext uri="{FF2B5EF4-FFF2-40B4-BE49-F238E27FC236}">
                  <a16:creationId xmlns:a16="http://schemas.microsoft.com/office/drawing/2014/main" id="{F21D831B-67F8-4C49-A869-E41466A5442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01" y="9145"/>
              <a:ext cx="1612" cy="46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9" name="Freeform 659">
              <a:extLst>
                <a:ext uri="{FF2B5EF4-FFF2-40B4-BE49-F238E27FC236}">
                  <a16:creationId xmlns:a16="http://schemas.microsoft.com/office/drawing/2014/main" id="{F93B747A-52D0-4812-9BDE-34F39C912535}"/>
                </a:ext>
              </a:extLst>
            </xdr:cNvPr>
            <xdr:cNvSpPr>
              <a:spLocks/>
            </xdr:cNvSpPr>
          </xdr:nvSpPr>
          <xdr:spPr bwMode="auto">
            <a:xfrm>
              <a:off x="4986" y="9079"/>
              <a:ext cx="155" cy="137"/>
            </a:xfrm>
            <a:custGeom>
              <a:avLst/>
              <a:gdLst>
                <a:gd name="T0" fmla="*/ 40 w 155"/>
                <a:gd name="T1" fmla="*/ 137 h 137"/>
                <a:gd name="T2" fmla="*/ 155 w 155"/>
                <a:gd name="T3" fmla="*/ 26 h 137"/>
                <a:gd name="T4" fmla="*/ 0 w 155"/>
                <a:gd name="T5" fmla="*/ 0 h 137"/>
                <a:gd name="T6" fmla="*/ 40 w 155"/>
                <a:gd name="T7" fmla="*/ 137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40" y="137"/>
                  </a:moveTo>
                  <a:lnTo>
                    <a:pt x="155" y="26"/>
                  </a:lnTo>
                  <a:lnTo>
                    <a:pt x="0" y="0"/>
                  </a:lnTo>
                  <a:lnTo>
                    <a:pt x="40" y="1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8" name="Group 655">
            <a:extLst>
              <a:ext uri="{FF2B5EF4-FFF2-40B4-BE49-F238E27FC236}">
                <a16:creationId xmlns:a16="http://schemas.microsoft.com/office/drawing/2014/main" id="{E397AECE-EDB3-4DFD-BCDC-AA4F5ECEA1FE}"/>
              </a:ext>
            </a:extLst>
          </xdr:cNvPr>
          <xdr:cNvGrpSpPr>
            <a:grpSpLocks/>
          </xdr:cNvGrpSpPr>
        </xdr:nvGrpSpPr>
        <xdr:grpSpPr bwMode="auto">
          <a:xfrm>
            <a:off x="3388" y="9381"/>
            <a:ext cx="1767" cy="1316"/>
            <a:chOff x="3387" y="9339"/>
            <a:chExt cx="1767" cy="1316"/>
          </a:xfrm>
        </xdr:grpSpPr>
        <xdr:sp macro="" textlink="">
          <xdr:nvSpPr>
            <xdr:cNvPr id="32642286" name="Line 657">
              <a:extLst>
                <a:ext uri="{FF2B5EF4-FFF2-40B4-BE49-F238E27FC236}">
                  <a16:creationId xmlns:a16="http://schemas.microsoft.com/office/drawing/2014/main" id="{937C246D-F632-47FA-A28F-964F6A25DA6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387" y="9414"/>
              <a:ext cx="1661" cy="124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7" name="Freeform 656">
              <a:extLst>
                <a:ext uri="{FF2B5EF4-FFF2-40B4-BE49-F238E27FC236}">
                  <a16:creationId xmlns:a16="http://schemas.microsoft.com/office/drawing/2014/main" id="{F44CCA71-9E55-4E40-BEE2-BC83501B66EF}"/>
                </a:ext>
              </a:extLst>
            </xdr:cNvPr>
            <xdr:cNvSpPr>
              <a:spLocks/>
            </xdr:cNvSpPr>
          </xdr:nvSpPr>
          <xdr:spPr bwMode="auto">
            <a:xfrm>
              <a:off x="4999" y="9339"/>
              <a:ext cx="155" cy="146"/>
            </a:xfrm>
            <a:custGeom>
              <a:avLst/>
              <a:gdLst>
                <a:gd name="T0" fmla="*/ 84 w 155"/>
                <a:gd name="T1" fmla="*/ 146 h 146"/>
                <a:gd name="T2" fmla="*/ 155 w 155"/>
                <a:gd name="T3" fmla="*/ 0 h 146"/>
                <a:gd name="T4" fmla="*/ 0 w 155"/>
                <a:gd name="T5" fmla="*/ 27 h 146"/>
                <a:gd name="T6" fmla="*/ 84 w 155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46"/>
                <a:gd name="T14" fmla="*/ 155 w 155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46">
                  <a:moveTo>
                    <a:pt x="84" y="146"/>
                  </a:moveTo>
                  <a:lnTo>
                    <a:pt x="155" y="0"/>
                  </a:lnTo>
                  <a:lnTo>
                    <a:pt x="0" y="27"/>
                  </a:lnTo>
                  <a:lnTo>
                    <a:pt x="84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9" name="Group 652">
            <a:extLst>
              <a:ext uri="{FF2B5EF4-FFF2-40B4-BE49-F238E27FC236}">
                <a16:creationId xmlns:a16="http://schemas.microsoft.com/office/drawing/2014/main" id="{CE0F5FAE-7732-47C8-BD44-042D6232FE8C}"/>
              </a:ext>
            </a:extLst>
          </xdr:cNvPr>
          <xdr:cNvGrpSpPr>
            <a:grpSpLocks/>
          </xdr:cNvGrpSpPr>
        </xdr:nvGrpSpPr>
        <xdr:grpSpPr bwMode="auto">
          <a:xfrm>
            <a:off x="3415" y="9655"/>
            <a:ext cx="1740" cy="1811"/>
            <a:chOff x="3414" y="9613"/>
            <a:chExt cx="1740" cy="1811"/>
          </a:xfrm>
        </xdr:grpSpPr>
        <xdr:sp macro="" textlink="">
          <xdr:nvSpPr>
            <xdr:cNvPr id="32642284" name="Line 654">
              <a:extLst>
                <a:ext uri="{FF2B5EF4-FFF2-40B4-BE49-F238E27FC236}">
                  <a16:creationId xmlns:a16="http://schemas.microsoft.com/office/drawing/2014/main" id="{AD02BEF4-42C6-4F03-9BDD-FB5EC9BEAB6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14" y="9706"/>
              <a:ext cx="1651" cy="171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5" name="Freeform 653">
              <a:extLst>
                <a:ext uri="{FF2B5EF4-FFF2-40B4-BE49-F238E27FC236}">
                  <a16:creationId xmlns:a16="http://schemas.microsoft.com/office/drawing/2014/main" id="{3D58D751-5A97-4161-8C4B-95199C3E9D4E}"/>
                </a:ext>
              </a:extLst>
            </xdr:cNvPr>
            <xdr:cNvSpPr>
              <a:spLocks/>
            </xdr:cNvSpPr>
          </xdr:nvSpPr>
          <xdr:spPr bwMode="auto">
            <a:xfrm>
              <a:off x="5004" y="9613"/>
              <a:ext cx="150" cy="155"/>
            </a:xfrm>
            <a:custGeom>
              <a:avLst/>
              <a:gdLst>
                <a:gd name="T0" fmla="*/ 106 w 150"/>
                <a:gd name="T1" fmla="*/ 155 h 155"/>
                <a:gd name="T2" fmla="*/ 150 w 150"/>
                <a:gd name="T3" fmla="*/ 0 h 155"/>
                <a:gd name="T4" fmla="*/ 0 w 150"/>
                <a:gd name="T5" fmla="*/ 53 h 155"/>
                <a:gd name="T6" fmla="*/ 106 w 150"/>
                <a:gd name="T7" fmla="*/ 155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0"/>
                <a:gd name="T13" fmla="*/ 0 h 155"/>
                <a:gd name="T14" fmla="*/ 150 w 150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0" h="155">
                  <a:moveTo>
                    <a:pt x="106" y="155"/>
                  </a:moveTo>
                  <a:lnTo>
                    <a:pt x="150" y="0"/>
                  </a:lnTo>
                  <a:lnTo>
                    <a:pt x="0" y="53"/>
                  </a:lnTo>
                  <a:lnTo>
                    <a:pt x="106" y="1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0" name="Group 649">
            <a:extLst>
              <a:ext uri="{FF2B5EF4-FFF2-40B4-BE49-F238E27FC236}">
                <a16:creationId xmlns:a16="http://schemas.microsoft.com/office/drawing/2014/main" id="{70550E2C-2E1F-4AE9-8479-4D02DDB3B5F0}"/>
              </a:ext>
            </a:extLst>
          </xdr:cNvPr>
          <xdr:cNvGrpSpPr>
            <a:grpSpLocks/>
          </xdr:cNvGrpSpPr>
        </xdr:nvGrpSpPr>
        <xdr:grpSpPr bwMode="auto">
          <a:xfrm>
            <a:off x="9703" y="5760"/>
            <a:ext cx="146" cy="6006"/>
            <a:chOff x="9702" y="5718"/>
            <a:chExt cx="146" cy="6006"/>
          </a:xfrm>
        </xdr:grpSpPr>
        <xdr:sp macro="" textlink="">
          <xdr:nvSpPr>
            <xdr:cNvPr id="32642282" name="Line 651">
              <a:extLst>
                <a:ext uri="{FF2B5EF4-FFF2-40B4-BE49-F238E27FC236}">
                  <a16:creationId xmlns:a16="http://schemas.microsoft.com/office/drawing/2014/main" id="{CEC5EF61-5D22-4BD8-8BCE-9C44C1B3233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9773" y="5850"/>
              <a:ext cx="1" cy="587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3" name="Freeform 650">
              <a:extLst>
                <a:ext uri="{FF2B5EF4-FFF2-40B4-BE49-F238E27FC236}">
                  <a16:creationId xmlns:a16="http://schemas.microsoft.com/office/drawing/2014/main" id="{348D6713-4B3C-43CC-AAA9-F7E03E18961F}"/>
                </a:ext>
              </a:extLst>
            </xdr:cNvPr>
            <xdr:cNvSpPr>
              <a:spLocks/>
            </xdr:cNvSpPr>
          </xdr:nvSpPr>
          <xdr:spPr bwMode="auto">
            <a:xfrm>
              <a:off x="9702" y="5718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21" name="Line 648">
            <a:extLst>
              <a:ext uri="{FF2B5EF4-FFF2-40B4-BE49-F238E27FC236}">
                <a16:creationId xmlns:a16="http://schemas.microsoft.com/office/drawing/2014/main" id="{F92A3F3D-9DD6-413C-A8E1-1FE97C1FB1D4}"/>
              </a:ext>
            </a:extLst>
          </xdr:cNvPr>
          <xdr:cNvSpPr>
            <a:spLocks noChangeShapeType="1"/>
          </xdr:cNvSpPr>
        </xdr:nvSpPr>
        <xdr:spPr bwMode="auto">
          <a:xfrm>
            <a:off x="9672" y="5760"/>
            <a:ext cx="1" cy="3113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22" name="Group 645">
            <a:extLst>
              <a:ext uri="{FF2B5EF4-FFF2-40B4-BE49-F238E27FC236}">
                <a16:creationId xmlns:a16="http://schemas.microsoft.com/office/drawing/2014/main" id="{1BDA7D2F-7E3A-46E2-AE7B-8F8D00FB5C4C}"/>
              </a:ext>
            </a:extLst>
          </xdr:cNvPr>
          <xdr:cNvGrpSpPr>
            <a:grpSpLocks/>
          </xdr:cNvGrpSpPr>
        </xdr:nvGrpSpPr>
        <xdr:grpSpPr bwMode="auto">
          <a:xfrm>
            <a:off x="9500" y="8798"/>
            <a:ext cx="172" cy="146"/>
            <a:chOff x="9499" y="8756"/>
            <a:chExt cx="172" cy="146"/>
          </a:xfrm>
        </xdr:grpSpPr>
        <xdr:sp macro="" textlink="">
          <xdr:nvSpPr>
            <xdr:cNvPr id="32642280" name="Line 647">
              <a:extLst>
                <a:ext uri="{FF2B5EF4-FFF2-40B4-BE49-F238E27FC236}">
                  <a16:creationId xmlns:a16="http://schemas.microsoft.com/office/drawing/2014/main" id="{6701C058-0304-418F-B5EB-8BF4722AEC8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9631" y="8831"/>
              <a:ext cx="4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1" name="Freeform 646">
              <a:extLst>
                <a:ext uri="{FF2B5EF4-FFF2-40B4-BE49-F238E27FC236}">
                  <a16:creationId xmlns:a16="http://schemas.microsoft.com/office/drawing/2014/main" id="{4004F7E1-B98E-4CDF-BBA4-B26C1C41A294}"/>
                </a:ext>
              </a:extLst>
            </xdr:cNvPr>
            <xdr:cNvSpPr>
              <a:spLocks/>
            </xdr:cNvSpPr>
          </xdr:nvSpPr>
          <xdr:spPr bwMode="auto">
            <a:xfrm>
              <a:off x="9499" y="8756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3" name="Group 642">
            <a:extLst>
              <a:ext uri="{FF2B5EF4-FFF2-40B4-BE49-F238E27FC236}">
                <a16:creationId xmlns:a16="http://schemas.microsoft.com/office/drawing/2014/main" id="{7AE2BDFE-9467-410B-8652-B24787CD711C}"/>
              </a:ext>
            </a:extLst>
          </xdr:cNvPr>
          <xdr:cNvGrpSpPr>
            <a:grpSpLocks/>
          </xdr:cNvGrpSpPr>
        </xdr:nvGrpSpPr>
        <xdr:grpSpPr bwMode="auto">
          <a:xfrm>
            <a:off x="9178" y="7323"/>
            <a:ext cx="145" cy="1303"/>
            <a:chOff x="9177" y="7281"/>
            <a:chExt cx="145" cy="1303"/>
          </a:xfrm>
        </xdr:grpSpPr>
        <xdr:sp macro="" textlink="">
          <xdr:nvSpPr>
            <xdr:cNvPr id="32642278" name="Line 644">
              <a:extLst>
                <a:ext uri="{FF2B5EF4-FFF2-40B4-BE49-F238E27FC236}">
                  <a16:creationId xmlns:a16="http://schemas.microsoft.com/office/drawing/2014/main" id="{CA76BE59-5B41-4425-980D-6B20F70F177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252" y="7281"/>
              <a:ext cx="1" cy="117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9" name="Freeform 643">
              <a:extLst>
                <a:ext uri="{FF2B5EF4-FFF2-40B4-BE49-F238E27FC236}">
                  <a16:creationId xmlns:a16="http://schemas.microsoft.com/office/drawing/2014/main" id="{44A91303-19E1-43D3-B985-19AC7C8525A1}"/>
                </a:ext>
              </a:extLst>
            </xdr:cNvPr>
            <xdr:cNvSpPr>
              <a:spLocks/>
            </xdr:cNvSpPr>
          </xdr:nvSpPr>
          <xdr:spPr bwMode="auto">
            <a:xfrm>
              <a:off x="9177" y="8443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4" name="Group 639">
            <a:extLst>
              <a:ext uri="{FF2B5EF4-FFF2-40B4-BE49-F238E27FC236}">
                <a16:creationId xmlns:a16="http://schemas.microsoft.com/office/drawing/2014/main" id="{C8EB57AF-5D84-4321-8DD1-A640C63B0727}"/>
              </a:ext>
            </a:extLst>
          </xdr:cNvPr>
          <xdr:cNvGrpSpPr>
            <a:grpSpLocks/>
          </xdr:cNvGrpSpPr>
        </xdr:nvGrpSpPr>
        <xdr:grpSpPr bwMode="auto">
          <a:xfrm>
            <a:off x="8718" y="7337"/>
            <a:ext cx="146" cy="1276"/>
            <a:chOff x="8717" y="7295"/>
            <a:chExt cx="146" cy="1276"/>
          </a:xfrm>
        </xdr:grpSpPr>
        <xdr:sp macro="" textlink="">
          <xdr:nvSpPr>
            <xdr:cNvPr id="32642276" name="Line 641">
              <a:extLst>
                <a:ext uri="{FF2B5EF4-FFF2-40B4-BE49-F238E27FC236}">
                  <a16:creationId xmlns:a16="http://schemas.microsoft.com/office/drawing/2014/main" id="{DD687166-F296-419E-9FC9-98941DE55DCD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88" y="7427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7" name="Freeform 640">
              <a:extLst>
                <a:ext uri="{FF2B5EF4-FFF2-40B4-BE49-F238E27FC236}">
                  <a16:creationId xmlns:a16="http://schemas.microsoft.com/office/drawing/2014/main" id="{B02D32B0-F12A-4DF2-9A9A-B317999CE2D1}"/>
                </a:ext>
              </a:extLst>
            </xdr:cNvPr>
            <xdr:cNvSpPr>
              <a:spLocks/>
            </xdr:cNvSpPr>
          </xdr:nvSpPr>
          <xdr:spPr bwMode="auto">
            <a:xfrm>
              <a:off x="8717" y="729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5" name="Group 636">
            <a:extLst>
              <a:ext uri="{FF2B5EF4-FFF2-40B4-BE49-F238E27FC236}">
                <a16:creationId xmlns:a16="http://schemas.microsoft.com/office/drawing/2014/main" id="{4BFCEDDD-DE4F-42A0-A383-0AF2538BF9DE}"/>
              </a:ext>
            </a:extLst>
          </xdr:cNvPr>
          <xdr:cNvGrpSpPr>
            <a:grpSpLocks/>
          </xdr:cNvGrpSpPr>
        </xdr:nvGrpSpPr>
        <xdr:grpSpPr bwMode="auto">
          <a:xfrm>
            <a:off x="8705" y="5747"/>
            <a:ext cx="146" cy="1055"/>
            <a:chOff x="8704" y="5705"/>
            <a:chExt cx="146" cy="1055"/>
          </a:xfrm>
        </xdr:grpSpPr>
        <xdr:sp macro="" textlink="">
          <xdr:nvSpPr>
            <xdr:cNvPr id="32642274" name="Line 638">
              <a:extLst>
                <a:ext uri="{FF2B5EF4-FFF2-40B4-BE49-F238E27FC236}">
                  <a16:creationId xmlns:a16="http://schemas.microsoft.com/office/drawing/2014/main" id="{5F60135D-353C-4ABE-A8F9-0781497F0A6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75" y="5837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5" name="Freeform 637">
              <a:extLst>
                <a:ext uri="{FF2B5EF4-FFF2-40B4-BE49-F238E27FC236}">
                  <a16:creationId xmlns:a16="http://schemas.microsoft.com/office/drawing/2014/main" id="{9AD0077D-F3A1-4420-B268-56B10BE55C89}"/>
                </a:ext>
              </a:extLst>
            </xdr:cNvPr>
            <xdr:cNvSpPr>
              <a:spLocks/>
            </xdr:cNvSpPr>
          </xdr:nvSpPr>
          <xdr:spPr bwMode="auto">
            <a:xfrm>
              <a:off x="8704" y="570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6" name="Group 633">
            <a:extLst>
              <a:ext uri="{FF2B5EF4-FFF2-40B4-BE49-F238E27FC236}">
                <a16:creationId xmlns:a16="http://schemas.microsoft.com/office/drawing/2014/main" id="{F7E858B0-693A-4598-9F5B-27FD21D9EA65}"/>
              </a:ext>
            </a:extLst>
          </xdr:cNvPr>
          <xdr:cNvGrpSpPr>
            <a:grpSpLocks/>
          </xdr:cNvGrpSpPr>
        </xdr:nvGrpSpPr>
        <xdr:grpSpPr bwMode="auto">
          <a:xfrm>
            <a:off x="8732" y="9134"/>
            <a:ext cx="145" cy="1055"/>
            <a:chOff x="8731" y="9092"/>
            <a:chExt cx="145" cy="1055"/>
          </a:xfrm>
        </xdr:grpSpPr>
        <xdr:sp macro="" textlink="">
          <xdr:nvSpPr>
            <xdr:cNvPr id="32642272" name="Line 635">
              <a:extLst>
                <a:ext uri="{FF2B5EF4-FFF2-40B4-BE49-F238E27FC236}">
                  <a16:creationId xmlns:a16="http://schemas.microsoft.com/office/drawing/2014/main" id="{5037332C-FE5A-4448-97EA-9116D480BFD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801" y="9224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3" name="Freeform 634">
              <a:extLst>
                <a:ext uri="{FF2B5EF4-FFF2-40B4-BE49-F238E27FC236}">
                  <a16:creationId xmlns:a16="http://schemas.microsoft.com/office/drawing/2014/main" id="{709620BA-A18C-4184-A588-266D7EAABA2A}"/>
                </a:ext>
              </a:extLst>
            </xdr:cNvPr>
            <xdr:cNvSpPr>
              <a:spLocks/>
            </xdr:cNvSpPr>
          </xdr:nvSpPr>
          <xdr:spPr bwMode="auto">
            <a:xfrm>
              <a:off x="8731" y="9092"/>
              <a:ext cx="145" cy="141"/>
            </a:xfrm>
            <a:custGeom>
              <a:avLst/>
              <a:gdLst>
                <a:gd name="T0" fmla="*/ 145 w 145"/>
                <a:gd name="T1" fmla="*/ 141 h 141"/>
                <a:gd name="T2" fmla="*/ 70 w 145"/>
                <a:gd name="T3" fmla="*/ 0 h 141"/>
                <a:gd name="T4" fmla="*/ 0 w 145"/>
                <a:gd name="T5" fmla="*/ 141 h 141"/>
                <a:gd name="T6" fmla="*/ 145 w 145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145" y="141"/>
                  </a:moveTo>
                  <a:lnTo>
                    <a:pt x="70" y="0"/>
                  </a:lnTo>
                  <a:lnTo>
                    <a:pt x="0" y="141"/>
                  </a:lnTo>
                  <a:lnTo>
                    <a:pt x="145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27" name="Line 632">
            <a:extLst>
              <a:ext uri="{FF2B5EF4-FFF2-40B4-BE49-F238E27FC236}">
                <a16:creationId xmlns:a16="http://schemas.microsoft.com/office/drawing/2014/main" id="{C6FF9670-BB14-48A3-AF83-2E6E67DE0661}"/>
              </a:ext>
            </a:extLst>
          </xdr:cNvPr>
          <xdr:cNvSpPr>
            <a:spLocks noChangeShapeType="1"/>
          </xdr:cNvSpPr>
        </xdr:nvSpPr>
        <xdr:spPr bwMode="auto">
          <a:xfrm flipH="1">
            <a:off x="8021" y="10189"/>
            <a:ext cx="781" cy="1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28" name="Group 629">
            <a:extLst>
              <a:ext uri="{FF2B5EF4-FFF2-40B4-BE49-F238E27FC236}">
                <a16:creationId xmlns:a16="http://schemas.microsoft.com/office/drawing/2014/main" id="{AE537B45-925A-45B8-B881-C501ABAB9D2C}"/>
              </a:ext>
            </a:extLst>
          </xdr:cNvPr>
          <xdr:cNvGrpSpPr>
            <a:grpSpLocks/>
          </xdr:cNvGrpSpPr>
        </xdr:nvGrpSpPr>
        <xdr:grpSpPr bwMode="auto">
          <a:xfrm>
            <a:off x="6515" y="8105"/>
            <a:ext cx="839" cy="963"/>
            <a:chOff x="6514" y="8063"/>
            <a:chExt cx="839" cy="963"/>
          </a:xfrm>
        </xdr:grpSpPr>
        <xdr:sp macro="" textlink="">
          <xdr:nvSpPr>
            <xdr:cNvPr id="32642270" name="Line 631">
              <a:extLst>
                <a:ext uri="{FF2B5EF4-FFF2-40B4-BE49-F238E27FC236}">
                  <a16:creationId xmlns:a16="http://schemas.microsoft.com/office/drawing/2014/main" id="{E71358C3-99F3-4897-A38F-2C73AC8D740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598" y="8063"/>
              <a:ext cx="755" cy="86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1" name="Freeform 630">
              <a:extLst>
                <a:ext uri="{FF2B5EF4-FFF2-40B4-BE49-F238E27FC236}">
                  <a16:creationId xmlns:a16="http://schemas.microsoft.com/office/drawing/2014/main" id="{F9896C23-A458-45FA-A3CE-5DC8B3F57E4D}"/>
                </a:ext>
              </a:extLst>
            </xdr:cNvPr>
            <xdr:cNvSpPr>
              <a:spLocks/>
            </xdr:cNvSpPr>
          </xdr:nvSpPr>
          <xdr:spPr bwMode="auto">
            <a:xfrm>
              <a:off x="6514" y="8871"/>
              <a:ext cx="146" cy="155"/>
            </a:xfrm>
            <a:custGeom>
              <a:avLst/>
              <a:gdLst>
                <a:gd name="T0" fmla="*/ 35 w 146"/>
                <a:gd name="T1" fmla="*/ 0 h 155"/>
                <a:gd name="T2" fmla="*/ 0 w 146"/>
                <a:gd name="T3" fmla="*/ 155 h 155"/>
                <a:gd name="T4" fmla="*/ 146 w 146"/>
                <a:gd name="T5" fmla="*/ 93 h 155"/>
                <a:gd name="T6" fmla="*/ 35 w 146"/>
                <a:gd name="T7" fmla="*/ 0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5"/>
                <a:gd name="T14" fmla="*/ 146 w 146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5">
                  <a:moveTo>
                    <a:pt x="35" y="0"/>
                  </a:moveTo>
                  <a:lnTo>
                    <a:pt x="0" y="155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9" name="Group 626">
            <a:extLst>
              <a:ext uri="{FF2B5EF4-FFF2-40B4-BE49-F238E27FC236}">
                <a16:creationId xmlns:a16="http://schemas.microsoft.com/office/drawing/2014/main" id="{2A6CF5A6-2763-479D-9317-F89281A82FDE}"/>
              </a:ext>
            </a:extLst>
          </xdr:cNvPr>
          <xdr:cNvGrpSpPr>
            <a:grpSpLocks/>
          </xdr:cNvGrpSpPr>
        </xdr:nvGrpSpPr>
        <xdr:grpSpPr bwMode="auto">
          <a:xfrm>
            <a:off x="6546" y="9306"/>
            <a:ext cx="781" cy="623"/>
            <a:chOff x="6545" y="9264"/>
            <a:chExt cx="781" cy="623"/>
          </a:xfrm>
        </xdr:grpSpPr>
        <xdr:sp macro="" textlink="">
          <xdr:nvSpPr>
            <xdr:cNvPr id="32642268" name="Line 628">
              <a:extLst>
                <a:ext uri="{FF2B5EF4-FFF2-40B4-BE49-F238E27FC236}">
                  <a16:creationId xmlns:a16="http://schemas.microsoft.com/office/drawing/2014/main" id="{ACCD7A13-DCC5-4ACC-98EC-D06B98FC27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45" y="9264"/>
              <a:ext cx="680" cy="54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9" name="Freeform 627">
              <a:extLst>
                <a:ext uri="{FF2B5EF4-FFF2-40B4-BE49-F238E27FC236}">
                  <a16:creationId xmlns:a16="http://schemas.microsoft.com/office/drawing/2014/main" id="{3BB63B59-14B2-49C0-AFE3-B37CE8BC5882}"/>
                </a:ext>
              </a:extLst>
            </xdr:cNvPr>
            <xdr:cNvSpPr>
              <a:spLocks/>
            </xdr:cNvSpPr>
          </xdr:nvSpPr>
          <xdr:spPr bwMode="auto">
            <a:xfrm>
              <a:off x="7167" y="9745"/>
              <a:ext cx="159" cy="142"/>
            </a:xfrm>
            <a:custGeom>
              <a:avLst/>
              <a:gdLst>
                <a:gd name="T0" fmla="*/ 0 w 159"/>
                <a:gd name="T1" fmla="*/ 111 h 142"/>
                <a:gd name="T2" fmla="*/ 159 w 159"/>
                <a:gd name="T3" fmla="*/ 142 h 142"/>
                <a:gd name="T4" fmla="*/ 93 w 159"/>
                <a:gd name="T5" fmla="*/ 0 h 142"/>
                <a:gd name="T6" fmla="*/ 0 w 159"/>
                <a:gd name="T7" fmla="*/ 111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9"/>
                <a:gd name="T13" fmla="*/ 0 h 142"/>
                <a:gd name="T14" fmla="*/ 159 w 159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9" h="142">
                  <a:moveTo>
                    <a:pt x="0" y="111"/>
                  </a:moveTo>
                  <a:lnTo>
                    <a:pt x="159" y="142"/>
                  </a:lnTo>
                  <a:lnTo>
                    <a:pt x="93" y="0"/>
                  </a:lnTo>
                  <a:lnTo>
                    <a:pt x="0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0" name="Group 623">
            <a:extLst>
              <a:ext uri="{FF2B5EF4-FFF2-40B4-BE49-F238E27FC236}">
                <a16:creationId xmlns:a16="http://schemas.microsoft.com/office/drawing/2014/main" id="{EFD31813-1507-415E-BC34-904105652012}"/>
              </a:ext>
            </a:extLst>
          </xdr:cNvPr>
          <xdr:cNvGrpSpPr>
            <a:grpSpLocks/>
          </xdr:cNvGrpSpPr>
        </xdr:nvGrpSpPr>
        <xdr:grpSpPr bwMode="auto">
          <a:xfrm>
            <a:off x="5791" y="9681"/>
            <a:ext cx="145" cy="1811"/>
            <a:chOff x="5790" y="9639"/>
            <a:chExt cx="145" cy="1811"/>
          </a:xfrm>
        </xdr:grpSpPr>
        <xdr:sp macro="" textlink="">
          <xdr:nvSpPr>
            <xdr:cNvPr id="32642266" name="Line 625">
              <a:extLst>
                <a:ext uri="{FF2B5EF4-FFF2-40B4-BE49-F238E27FC236}">
                  <a16:creationId xmlns:a16="http://schemas.microsoft.com/office/drawing/2014/main" id="{28C5C710-D37C-42CE-88A8-A8C89C4E023B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60" y="9772"/>
              <a:ext cx="1" cy="167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7" name="Freeform 624">
              <a:extLst>
                <a:ext uri="{FF2B5EF4-FFF2-40B4-BE49-F238E27FC236}">
                  <a16:creationId xmlns:a16="http://schemas.microsoft.com/office/drawing/2014/main" id="{7725EBCB-2C29-43DD-80DF-FD9ED5945592}"/>
                </a:ext>
              </a:extLst>
            </xdr:cNvPr>
            <xdr:cNvSpPr>
              <a:spLocks/>
            </xdr:cNvSpPr>
          </xdr:nvSpPr>
          <xdr:spPr bwMode="auto">
            <a:xfrm>
              <a:off x="5790" y="9639"/>
              <a:ext cx="145" cy="142"/>
            </a:xfrm>
            <a:custGeom>
              <a:avLst/>
              <a:gdLst>
                <a:gd name="T0" fmla="*/ 145 w 145"/>
                <a:gd name="T1" fmla="*/ 142 h 142"/>
                <a:gd name="T2" fmla="*/ 70 w 145"/>
                <a:gd name="T3" fmla="*/ 0 h 142"/>
                <a:gd name="T4" fmla="*/ 0 w 145"/>
                <a:gd name="T5" fmla="*/ 142 h 142"/>
                <a:gd name="T6" fmla="*/ 145 w 145"/>
                <a:gd name="T7" fmla="*/ 142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145" y="142"/>
                  </a:moveTo>
                  <a:lnTo>
                    <a:pt x="70" y="0"/>
                  </a:lnTo>
                  <a:lnTo>
                    <a:pt x="0" y="142"/>
                  </a:lnTo>
                  <a:lnTo>
                    <a:pt x="145" y="1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1" name="Group 620">
            <a:extLst>
              <a:ext uri="{FF2B5EF4-FFF2-40B4-BE49-F238E27FC236}">
                <a16:creationId xmlns:a16="http://schemas.microsoft.com/office/drawing/2014/main" id="{88173F8F-2344-4D11-BB6D-8B7A473A74B5}"/>
              </a:ext>
            </a:extLst>
          </xdr:cNvPr>
          <xdr:cNvGrpSpPr>
            <a:grpSpLocks/>
          </xdr:cNvGrpSpPr>
        </xdr:nvGrpSpPr>
        <xdr:grpSpPr bwMode="auto">
          <a:xfrm>
            <a:off x="4126" y="9681"/>
            <a:ext cx="1214" cy="1798"/>
            <a:chOff x="4125" y="9639"/>
            <a:chExt cx="1214" cy="1798"/>
          </a:xfrm>
        </xdr:grpSpPr>
        <xdr:sp macro="" textlink="">
          <xdr:nvSpPr>
            <xdr:cNvPr id="32642264" name="Line 622">
              <a:extLst>
                <a:ext uri="{FF2B5EF4-FFF2-40B4-BE49-F238E27FC236}">
                  <a16:creationId xmlns:a16="http://schemas.microsoft.com/office/drawing/2014/main" id="{40843F78-A7EF-4A72-96AE-65E9AD0094E1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125" y="9750"/>
              <a:ext cx="1144" cy="1687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5" name="Freeform 621">
              <a:extLst>
                <a:ext uri="{FF2B5EF4-FFF2-40B4-BE49-F238E27FC236}">
                  <a16:creationId xmlns:a16="http://schemas.microsoft.com/office/drawing/2014/main" id="{6460BD76-717E-4977-A7D9-2E2517EC7DE4}"/>
                </a:ext>
              </a:extLst>
            </xdr:cNvPr>
            <xdr:cNvSpPr>
              <a:spLocks/>
            </xdr:cNvSpPr>
          </xdr:nvSpPr>
          <xdr:spPr bwMode="auto">
            <a:xfrm>
              <a:off x="5202" y="9639"/>
              <a:ext cx="137" cy="159"/>
            </a:xfrm>
            <a:custGeom>
              <a:avLst/>
              <a:gdLst>
                <a:gd name="T0" fmla="*/ 120 w 137"/>
                <a:gd name="T1" fmla="*/ 159 h 159"/>
                <a:gd name="T2" fmla="*/ 137 w 137"/>
                <a:gd name="T3" fmla="*/ 0 h 159"/>
                <a:gd name="T4" fmla="*/ 0 w 137"/>
                <a:gd name="T5" fmla="*/ 80 h 159"/>
                <a:gd name="T6" fmla="*/ 120 w 137"/>
                <a:gd name="T7" fmla="*/ 159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120" y="159"/>
                  </a:moveTo>
                  <a:lnTo>
                    <a:pt x="137" y="0"/>
                  </a:lnTo>
                  <a:lnTo>
                    <a:pt x="0" y="80"/>
                  </a:lnTo>
                  <a:lnTo>
                    <a:pt x="120" y="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2" name="Group 617">
            <a:extLst>
              <a:ext uri="{FF2B5EF4-FFF2-40B4-BE49-F238E27FC236}">
                <a16:creationId xmlns:a16="http://schemas.microsoft.com/office/drawing/2014/main" id="{3E89D30D-A7C8-49CD-898C-AE0F1A67B1BE}"/>
              </a:ext>
            </a:extLst>
          </xdr:cNvPr>
          <xdr:cNvGrpSpPr>
            <a:grpSpLocks/>
          </xdr:cNvGrpSpPr>
        </xdr:nvGrpSpPr>
        <xdr:grpSpPr bwMode="auto">
          <a:xfrm>
            <a:off x="4859" y="9655"/>
            <a:ext cx="773" cy="1837"/>
            <a:chOff x="4858" y="9613"/>
            <a:chExt cx="773" cy="1837"/>
          </a:xfrm>
        </xdr:grpSpPr>
        <xdr:sp macro="" textlink="">
          <xdr:nvSpPr>
            <xdr:cNvPr id="32642262" name="Line 619">
              <a:extLst>
                <a:ext uri="{FF2B5EF4-FFF2-40B4-BE49-F238E27FC236}">
                  <a16:creationId xmlns:a16="http://schemas.microsoft.com/office/drawing/2014/main" id="{3DCCC5F4-B224-4989-9062-F4D504846D3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29" y="9613"/>
              <a:ext cx="702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3" name="Freeform 618">
              <a:extLst>
                <a:ext uri="{FF2B5EF4-FFF2-40B4-BE49-F238E27FC236}">
                  <a16:creationId xmlns:a16="http://schemas.microsoft.com/office/drawing/2014/main" id="{5FF45AD8-9041-414D-9CCB-3693B46FAF4E}"/>
                </a:ext>
              </a:extLst>
            </xdr:cNvPr>
            <xdr:cNvSpPr>
              <a:spLocks/>
            </xdr:cNvSpPr>
          </xdr:nvSpPr>
          <xdr:spPr bwMode="auto">
            <a:xfrm>
              <a:off x="4858" y="11291"/>
              <a:ext cx="137" cy="159"/>
            </a:xfrm>
            <a:custGeom>
              <a:avLst/>
              <a:gdLst>
                <a:gd name="T0" fmla="*/ 0 w 137"/>
                <a:gd name="T1" fmla="*/ 0 h 159"/>
                <a:gd name="T2" fmla="*/ 18 w 137"/>
                <a:gd name="T3" fmla="*/ 159 h 159"/>
                <a:gd name="T4" fmla="*/ 137 w 137"/>
                <a:gd name="T5" fmla="*/ 53 h 159"/>
                <a:gd name="T6" fmla="*/ 0 w 137"/>
                <a:gd name="T7" fmla="*/ 0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0"/>
                  </a:moveTo>
                  <a:lnTo>
                    <a:pt x="18" y="159"/>
                  </a:lnTo>
                  <a:lnTo>
                    <a:pt x="137" y="5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3" name="Group 614">
            <a:extLst>
              <a:ext uri="{FF2B5EF4-FFF2-40B4-BE49-F238E27FC236}">
                <a16:creationId xmlns:a16="http://schemas.microsoft.com/office/drawing/2014/main" id="{C15A80CF-7EDA-4BCA-8FB8-00C918E61B0D}"/>
              </a:ext>
            </a:extLst>
          </xdr:cNvPr>
          <xdr:cNvGrpSpPr>
            <a:grpSpLocks/>
          </xdr:cNvGrpSpPr>
        </xdr:nvGrpSpPr>
        <xdr:grpSpPr bwMode="auto">
          <a:xfrm>
            <a:off x="6488" y="11797"/>
            <a:ext cx="1506" cy="145"/>
            <a:chOff x="6487" y="11755"/>
            <a:chExt cx="1506" cy="145"/>
          </a:xfrm>
        </xdr:grpSpPr>
        <xdr:sp macro="" textlink="">
          <xdr:nvSpPr>
            <xdr:cNvPr id="32642260" name="Line 616">
              <a:extLst>
                <a:ext uri="{FF2B5EF4-FFF2-40B4-BE49-F238E27FC236}">
                  <a16:creationId xmlns:a16="http://schemas.microsoft.com/office/drawing/2014/main" id="{681E1BE4-D6D5-493B-8CA1-6D00019504C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0" y="11830"/>
              <a:ext cx="1373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1" name="Freeform 615">
              <a:extLst>
                <a:ext uri="{FF2B5EF4-FFF2-40B4-BE49-F238E27FC236}">
                  <a16:creationId xmlns:a16="http://schemas.microsoft.com/office/drawing/2014/main" id="{EDD3EA91-789B-42F7-9A07-510C58DF898B}"/>
                </a:ext>
              </a:extLst>
            </xdr:cNvPr>
            <xdr:cNvSpPr>
              <a:spLocks/>
            </xdr:cNvSpPr>
          </xdr:nvSpPr>
          <xdr:spPr bwMode="auto">
            <a:xfrm>
              <a:off x="6487" y="11755"/>
              <a:ext cx="142" cy="145"/>
            </a:xfrm>
            <a:custGeom>
              <a:avLst/>
              <a:gdLst>
                <a:gd name="T0" fmla="*/ 142 w 142"/>
                <a:gd name="T1" fmla="*/ 0 h 145"/>
                <a:gd name="T2" fmla="*/ 0 w 142"/>
                <a:gd name="T3" fmla="*/ 75 h 145"/>
                <a:gd name="T4" fmla="*/ 142 w 142"/>
                <a:gd name="T5" fmla="*/ 145 h 145"/>
                <a:gd name="T6" fmla="*/ 142 w 142"/>
                <a:gd name="T7" fmla="*/ 0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142" y="0"/>
                  </a:moveTo>
                  <a:lnTo>
                    <a:pt x="0" y="75"/>
                  </a:lnTo>
                  <a:lnTo>
                    <a:pt x="142" y="145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4" name="Group 611">
            <a:extLst>
              <a:ext uri="{FF2B5EF4-FFF2-40B4-BE49-F238E27FC236}">
                <a16:creationId xmlns:a16="http://schemas.microsoft.com/office/drawing/2014/main" id="{6AF10521-61B5-48AE-9CB5-F47C5C59159A}"/>
              </a:ext>
            </a:extLst>
          </xdr:cNvPr>
          <xdr:cNvGrpSpPr>
            <a:grpSpLocks/>
          </xdr:cNvGrpSpPr>
        </xdr:nvGrpSpPr>
        <xdr:grpSpPr bwMode="auto">
          <a:xfrm>
            <a:off x="5777" y="12013"/>
            <a:ext cx="146" cy="261"/>
            <a:chOff x="5776" y="11971"/>
            <a:chExt cx="146" cy="261"/>
          </a:xfrm>
        </xdr:grpSpPr>
        <xdr:sp macro="" textlink="">
          <xdr:nvSpPr>
            <xdr:cNvPr id="32642258" name="Line 613">
              <a:extLst>
                <a:ext uri="{FF2B5EF4-FFF2-40B4-BE49-F238E27FC236}">
                  <a16:creationId xmlns:a16="http://schemas.microsoft.com/office/drawing/2014/main" id="{C4CC53A0-D2D7-404E-988A-78A0BD3453E3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47" y="12104"/>
              <a:ext cx="1" cy="12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9" name="Freeform 612">
              <a:extLst>
                <a:ext uri="{FF2B5EF4-FFF2-40B4-BE49-F238E27FC236}">
                  <a16:creationId xmlns:a16="http://schemas.microsoft.com/office/drawing/2014/main" id="{10EBBD95-0677-46BD-AE27-7856BEB8FCA7}"/>
                </a:ext>
              </a:extLst>
            </xdr:cNvPr>
            <xdr:cNvSpPr>
              <a:spLocks/>
            </xdr:cNvSpPr>
          </xdr:nvSpPr>
          <xdr:spPr bwMode="auto">
            <a:xfrm>
              <a:off x="5776" y="11971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5" name="Group 608">
            <a:extLst>
              <a:ext uri="{FF2B5EF4-FFF2-40B4-BE49-F238E27FC236}">
                <a16:creationId xmlns:a16="http://schemas.microsoft.com/office/drawing/2014/main" id="{2F17472E-8E75-4512-B7F3-87EA27D6E99E}"/>
              </a:ext>
            </a:extLst>
          </xdr:cNvPr>
          <xdr:cNvGrpSpPr>
            <a:grpSpLocks/>
          </xdr:cNvGrpSpPr>
        </xdr:nvGrpSpPr>
        <xdr:grpSpPr bwMode="auto">
          <a:xfrm>
            <a:off x="4166" y="12026"/>
            <a:ext cx="145" cy="248"/>
            <a:chOff x="4165" y="11984"/>
            <a:chExt cx="145" cy="248"/>
          </a:xfrm>
        </xdr:grpSpPr>
        <xdr:sp macro="" textlink="">
          <xdr:nvSpPr>
            <xdr:cNvPr id="32642256" name="Line 610">
              <a:extLst>
                <a:ext uri="{FF2B5EF4-FFF2-40B4-BE49-F238E27FC236}">
                  <a16:creationId xmlns:a16="http://schemas.microsoft.com/office/drawing/2014/main" id="{3E5AB14A-B04E-4B39-B713-DFF814DB77C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40" y="11984"/>
              <a:ext cx="1" cy="11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7" name="Freeform 609">
              <a:extLst>
                <a:ext uri="{FF2B5EF4-FFF2-40B4-BE49-F238E27FC236}">
                  <a16:creationId xmlns:a16="http://schemas.microsoft.com/office/drawing/2014/main" id="{AF63ED0C-194F-4DFD-B214-B115B5342556}"/>
                </a:ext>
              </a:extLst>
            </xdr:cNvPr>
            <xdr:cNvSpPr>
              <a:spLocks/>
            </xdr:cNvSpPr>
          </xdr:nvSpPr>
          <xdr:spPr bwMode="auto">
            <a:xfrm>
              <a:off x="4165" y="12090"/>
              <a:ext cx="145" cy="142"/>
            </a:xfrm>
            <a:custGeom>
              <a:avLst/>
              <a:gdLst>
                <a:gd name="T0" fmla="*/ 0 w 145"/>
                <a:gd name="T1" fmla="*/ 0 h 142"/>
                <a:gd name="T2" fmla="*/ 75 w 145"/>
                <a:gd name="T3" fmla="*/ 142 h 142"/>
                <a:gd name="T4" fmla="*/ 145 w 145"/>
                <a:gd name="T5" fmla="*/ 0 h 142"/>
                <a:gd name="T6" fmla="*/ 0 w 145"/>
                <a:gd name="T7" fmla="*/ 0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0" y="0"/>
                  </a:moveTo>
                  <a:lnTo>
                    <a:pt x="75" y="142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6" name="Group 605">
            <a:extLst>
              <a:ext uri="{FF2B5EF4-FFF2-40B4-BE49-F238E27FC236}">
                <a16:creationId xmlns:a16="http://schemas.microsoft.com/office/drawing/2014/main" id="{5FB0F8D0-D1BF-4C13-94D9-99DB23E4EFB7}"/>
              </a:ext>
            </a:extLst>
          </xdr:cNvPr>
          <xdr:cNvGrpSpPr>
            <a:grpSpLocks/>
          </xdr:cNvGrpSpPr>
        </xdr:nvGrpSpPr>
        <xdr:grpSpPr bwMode="auto">
          <a:xfrm>
            <a:off x="4691" y="12026"/>
            <a:ext cx="795" cy="270"/>
            <a:chOff x="4690" y="11984"/>
            <a:chExt cx="795" cy="270"/>
          </a:xfrm>
        </xdr:grpSpPr>
        <xdr:sp macro="" textlink="">
          <xdr:nvSpPr>
            <xdr:cNvPr id="32642254" name="Line 607">
              <a:extLst>
                <a:ext uri="{FF2B5EF4-FFF2-40B4-BE49-F238E27FC236}">
                  <a16:creationId xmlns:a16="http://schemas.microsoft.com/office/drawing/2014/main" id="{C93B34BA-0D61-4207-8C4C-F2342643FE7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818" y="11984"/>
              <a:ext cx="667" cy="20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5" name="Freeform 606">
              <a:extLst>
                <a:ext uri="{FF2B5EF4-FFF2-40B4-BE49-F238E27FC236}">
                  <a16:creationId xmlns:a16="http://schemas.microsoft.com/office/drawing/2014/main" id="{64435FCB-0080-4038-99CF-E92ED7799589}"/>
                </a:ext>
              </a:extLst>
            </xdr:cNvPr>
            <xdr:cNvSpPr>
              <a:spLocks/>
            </xdr:cNvSpPr>
          </xdr:nvSpPr>
          <xdr:spPr bwMode="auto">
            <a:xfrm>
              <a:off x="4690" y="12117"/>
              <a:ext cx="155" cy="137"/>
            </a:xfrm>
            <a:custGeom>
              <a:avLst/>
              <a:gdLst>
                <a:gd name="T0" fmla="*/ 111 w 155"/>
                <a:gd name="T1" fmla="*/ 0 h 137"/>
                <a:gd name="T2" fmla="*/ 0 w 155"/>
                <a:gd name="T3" fmla="*/ 115 h 137"/>
                <a:gd name="T4" fmla="*/ 155 w 155"/>
                <a:gd name="T5" fmla="*/ 137 h 137"/>
                <a:gd name="T6" fmla="*/ 111 w 155"/>
                <a:gd name="T7" fmla="*/ 0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111" y="0"/>
                  </a:moveTo>
                  <a:lnTo>
                    <a:pt x="0" y="115"/>
                  </a:lnTo>
                  <a:lnTo>
                    <a:pt x="155" y="137"/>
                  </a:lnTo>
                  <a:lnTo>
                    <a:pt x="11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37" name="Line 604">
            <a:extLst>
              <a:ext uri="{FF2B5EF4-FFF2-40B4-BE49-F238E27FC236}">
                <a16:creationId xmlns:a16="http://schemas.microsoft.com/office/drawing/2014/main" id="{794D7C15-D95F-4634-B018-EF56E78AC346}"/>
              </a:ext>
            </a:extLst>
          </xdr:cNvPr>
          <xdr:cNvSpPr>
            <a:spLocks noChangeShapeType="1"/>
          </xdr:cNvSpPr>
        </xdr:nvSpPr>
        <xdr:spPr bwMode="auto">
          <a:xfrm>
            <a:off x="8078" y="7323"/>
            <a:ext cx="1" cy="4288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38" name="Group 601">
            <a:extLst>
              <a:ext uri="{FF2B5EF4-FFF2-40B4-BE49-F238E27FC236}">
                <a16:creationId xmlns:a16="http://schemas.microsoft.com/office/drawing/2014/main" id="{051CE637-4C0E-4C55-8A71-9D91D115AC26}"/>
              </a:ext>
            </a:extLst>
          </xdr:cNvPr>
          <xdr:cNvGrpSpPr>
            <a:grpSpLocks/>
          </xdr:cNvGrpSpPr>
        </xdr:nvGrpSpPr>
        <xdr:grpSpPr bwMode="auto">
          <a:xfrm>
            <a:off x="6528" y="11536"/>
            <a:ext cx="1550" cy="146"/>
            <a:chOff x="6527" y="11494"/>
            <a:chExt cx="1550" cy="146"/>
          </a:xfrm>
        </xdr:grpSpPr>
        <xdr:sp macro="" textlink="">
          <xdr:nvSpPr>
            <xdr:cNvPr id="32642252" name="Line 603">
              <a:extLst>
                <a:ext uri="{FF2B5EF4-FFF2-40B4-BE49-F238E27FC236}">
                  <a16:creationId xmlns:a16="http://schemas.microsoft.com/office/drawing/2014/main" id="{88B31BA4-4DF6-4CE4-A258-A9E1ADE1E0E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60" y="11569"/>
              <a:ext cx="1417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3" name="Freeform 602">
              <a:extLst>
                <a:ext uri="{FF2B5EF4-FFF2-40B4-BE49-F238E27FC236}">
                  <a16:creationId xmlns:a16="http://schemas.microsoft.com/office/drawing/2014/main" id="{4C0DC9A1-884E-420C-9AB0-1B38CAB4691B}"/>
                </a:ext>
              </a:extLst>
            </xdr:cNvPr>
            <xdr:cNvSpPr>
              <a:spLocks/>
            </xdr:cNvSpPr>
          </xdr:nvSpPr>
          <xdr:spPr bwMode="auto">
            <a:xfrm>
              <a:off x="6527" y="11494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9" name="Group 598">
            <a:extLst>
              <a:ext uri="{FF2B5EF4-FFF2-40B4-BE49-F238E27FC236}">
                <a16:creationId xmlns:a16="http://schemas.microsoft.com/office/drawing/2014/main" id="{AB8DD125-2A92-43A9-AA38-6B03EEF3ADA4}"/>
              </a:ext>
            </a:extLst>
          </xdr:cNvPr>
          <xdr:cNvGrpSpPr>
            <a:grpSpLocks/>
          </xdr:cNvGrpSpPr>
        </xdr:nvGrpSpPr>
        <xdr:grpSpPr bwMode="auto">
          <a:xfrm>
            <a:off x="6095" y="9681"/>
            <a:ext cx="544" cy="1175"/>
            <a:chOff x="6094" y="9639"/>
            <a:chExt cx="544" cy="1175"/>
          </a:xfrm>
        </xdr:grpSpPr>
        <xdr:sp macro="" textlink="">
          <xdr:nvSpPr>
            <xdr:cNvPr id="32642250" name="Line 600">
              <a:extLst>
                <a:ext uri="{FF2B5EF4-FFF2-40B4-BE49-F238E27FC236}">
                  <a16:creationId xmlns:a16="http://schemas.microsoft.com/office/drawing/2014/main" id="{9D4C3E7B-7D5F-4D18-B4F8-05D0EFBFEB8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94" y="9639"/>
              <a:ext cx="477" cy="1056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1" name="Freeform 599">
              <a:extLst>
                <a:ext uri="{FF2B5EF4-FFF2-40B4-BE49-F238E27FC236}">
                  <a16:creationId xmlns:a16="http://schemas.microsoft.com/office/drawing/2014/main" id="{3C9D0A55-8996-4322-9EBA-48CC44245895}"/>
                </a:ext>
              </a:extLst>
            </xdr:cNvPr>
            <xdr:cNvSpPr>
              <a:spLocks/>
            </xdr:cNvSpPr>
          </xdr:nvSpPr>
          <xdr:spPr bwMode="auto">
            <a:xfrm>
              <a:off x="6501" y="10655"/>
              <a:ext cx="137" cy="159"/>
            </a:xfrm>
            <a:custGeom>
              <a:avLst/>
              <a:gdLst>
                <a:gd name="T0" fmla="*/ 0 w 137"/>
                <a:gd name="T1" fmla="*/ 62 h 159"/>
                <a:gd name="T2" fmla="*/ 128 w 137"/>
                <a:gd name="T3" fmla="*/ 159 h 159"/>
                <a:gd name="T4" fmla="*/ 137 w 137"/>
                <a:gd name="T5" fmla="*/ 0 h 159"/>
                <a:gd name="T6" fmla="*/ 0 w 137"/>
                <a:gd name="T7" fmla="*/ 62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62"/>
                  </a:moveTo>
                  <a:lnTo>
                    <a:pt x="128" y="159"/>
                  </a:lnTo>
                  <a:lnTo>
                    <a:pt x="137" y="0"/>
                  </a:lnTo>
                  <a:lnTo>
                    <a:pt x="0" y="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40" name="Line 597">
            <a:extLst>
              <a:ext uri="{FF2B5EF4-FFF2-40B4-BE49-F238E27FC236}">
                <a16:creationId xmlns:a16="http://schemas.microsoft.com/office/drawing/2014/main" id="{1A574B50-7223-4A5A-BE76-B7B36BB32CE9}"/>
              </a:ext>
            </a:extLst>
          </xdr:cNvPr>
          <xdr:cNvSpPr>
            <a:spLocks noChangeShapeType="1"/>
          </xdr:cNvSpPr>
        </xdr:nvSpPr>
        <xdr:spPr bwMode="auto">
          <a:xfrm flipH="1">
            <a:off x="8078" y="11061"/>
            <a:ext cx="1080" cy="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1" name="Line 596">
            <a:extLst>
              <a:ext uri="{FF2B5EF4-FFF2-40B4-BE49-F238E27FC236}">
                <a16:creationId xmlns:a16="http://schemas.microsoft.com/office/drawing/2014/main" id="{23FC5A69-4E2F-4A0E-ABC3-B26C30613D98}"/>
              </a:ext>
            </a:extLst>
          </xdr:cNvPr>
          <xdr:cNvSpPr>
            <a:spLocks noChangeShapeType="1"/>
          </xdr:cNvSpPr>
        </xdr:nvSpPr>
        <xdr:spPr bwMode="auto">
          <a:xfrm flipV="1">
            <a:off x="9158" y="9261"/>
            <a:ext cx="1" cy="18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99123" name="Rectangle 595">
            <a:extLst>
              <a:ext uri="{FF2B5EF4-FFF2-40B4-BE49-F238E27FC236}">
                <a16:creationId xmlns:a16="http://schemas.microsoft.com/office/drawing/2014/main" id="{9462D3ED-BD58-45AD-8BBE-A87A794B6614}"/>
              </a:ext>
            </a:extLst>
          </xdr:cNvPr>
          <xdr:cNvSpPr>
            <a:spLocks noChangeArrowheads="1"/>
          </xdr:cNvSpPr>
        </xdr:nvSpPr>
        <xdr:spPr bwMode="auto">
          <a:xfrm>
            <a:off x="2752" y="7226"/>
            <a:ext cx="1994" cy="36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Disposable income</a:t>
            </a:r>
          </a:p>
        </xdr:txBody>
      </xdr:sp>
      <xdr:sp macro="" textlink="">
        <xdr:nvSpPr>
          <xdr:cNvPr id="32642243" name="Line 594">
            <a:extLst>
              <a:ext uri="{FF2B5EF4-FFF2-40B4-BE49-F238E27FC236}">
                <a16:creationId xmlns:a16="http://schemas.microsoft.com/office/drawing/2014/main" id="{243B7692-740F-43DB-8CA2-77AA8D03322A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559" y="7584"/>
            <a:ext cx="540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4" name="Line 593">
            <a:extLst>
              <a:ext uri="{FF2B5EF4-FFF2-40B4-BE49-F238E27FC236}">
                <a16:creationId xmlns:a16="http://schemas.microsoft.com/office/drawing/2014/main" id="{F2900849-F758-4168-8A34-8E9389BC1018}"/>
              </a:ext>
            </a:extLst>
          </xdr:cNvPr>
          <xdr:cNvSpPr>
            <a:spLocks noChangeShapeType="1"/>
          </xdr:cNvSpPr>
        </xdr:nvSpPr>
        <xdr:spPr bwMode="auto">
          <a:xfrm>
            <a:off x="3299" y="6684"/>
            <a:ext cx="36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5" name="Line 592">
            <a:extLst>
              <a:ext uri="{FF2B5EF4-FFF2-40B4-BE49-F238E27FC236}">
                <a16:creationId xmlns:a16="http://schemas.microsoft.com/office/drawing/2014/main" id="{C8FDFDF7-014F-4B0C-A906-9E51288393DD}"/>
              </a:ext>
            </a:extLst>
          </xdr:cNvPr>
          <xdr:cNvSpPr>
            <a:spLocks noChangeShapeType="1"/>
          </xdr:cNvSpPr>
        </xdr:nvSpPr>
        <xdr:spPr bwMode="auto">
          <a:xfrm flipV="1">
            <a:off x="4379" y="6864"/>
            <a:ext cx="72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6" name="Line 591">
            <a:extLst>
              <a:ext uri="{FF2B5EF4-FFF2-40B4-BE49-F238E27FC236}">
                <a16:creationId xmlns:a16="http://schemas.microsoft.com/office/drawing/2014/main" id="{8DA8447B-A50D-43B6-BD95-EF3B36B79926}"/>
              </a:ext>
            </a:extLst>
          </xdr:cNvPr>
          <xdr:cNvSpPr>
            <a:spLocks noChangeShapeType="1"/>
          </xdr:cNvSpPr>
        </xdr:nvSpPr>
        <xdr:spPr bwMode="auto">
          <a:xfrm>
            <a:off x="8879" y="4622"/>
            <a:ext cx="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7" name="Line 590">
            <a:extLst>
              <a:ext uri="{FF2B5EF4-FFF2-40B4-BE49-F238E27FC236}">
                <a16:creationId xmlns:a16="http://schemas.microsoft.com/office/drawing/2014/main" id="{2BA4CBD9-12E6-4824-B2EA-4CCFC39476E4}"/>
              </a:ext>
            </a:extLst>
          </xdr:cNvPr>
          <xdr:cNvSpPr>
            <a:spLocks noChangeShapeType="1"/>
          </xdr:cNvSpPr>
        </xdr:nvSpPr>
        <xdr:spPr bwMode="auto">
          <a:xfrm>
            <a:off x="4658" y="7354"/>
            <a:ext cx="198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8" name="Line 589">
            <a:extLst>
              <a:ext uri="{FF2B5EF4-FFF2-40B4-BE49-F238E27FC236}">
                <a16:creationId xmlns:a16="http://schemas.microsoft.com/office/drawing/2014/main" id="{07EE326C-1EE9-426D-B058-7F33731C2F3F}"/>
              </a:ext>
            </a:extLst>
          </xdr:cNvPr>
          <xdr:cNvSpPr>
            <a:spLocks noChangeShapeType="1"/>
          </xdr:cNvSpPr>
        </xdr:nvSpPr>
        <xdr:spPr bwMode="auto">
          <a:xfrm flipV="1">
            <a:off x="5918" y="5012"/>
            <a:ext cx="0" cy="16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9" name="Line 588">
            <a:extLst>
              <a:ext uri="{FF2B5EF4-FFF2-40B4-BE49-F238E27FC236}">
                <a16:creationId xmlns:a16="http://schemas.microsoft.com/office/drawing/2014/main" id="{DADB7F1A-38A6-432B-9596-5EDAADF76981}"/>
              </a:ext>
            </a:extLst>
          </xdr:cNvPr>
          <xdr:cNvSpPr>
            <a:spLocks noChangeShapeType="1"/>
          </xdr:cNvSpPr>
        </xdr:nvSpPr>
        <xdr:spPr bwMode="auto">
          <a:xfrm>
            <a:off x="6539" y="5074"/>
            <a:ext cx="144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47625</xdr:colOff>
      <xdr:row>574</xdr:row>
      <xdr:rowOff>38100</xdr:rowOff>
    </xdr:from>
    <xdr:to>
      <xdr:col>2</xdr:col>
      <xdr:colOff>95250</xdr:colOff>
      <xdr:row>606</xdr:row>
      <xdr:rowOff>104775</xdr:rowOff>
    </xdr:to>
    <xdr:grpSp>
      <xdr:nvGrpSpPr>
        <xdr:cNvPr id="32568194" name="Group 386">
          <a:extLst>
            <a:ext uri="{FF2B5EF4-FFF2-40B4-BE49-F238E27FC236}">
              <a16:creationId xmlns:a16="http://schemas.microsoft.com/office/drawing/2014/main" id="{E9287501-AFFD-45DC-9352-A9AEBFC60595}"/>
            </a:ext>
          </a:extLst>
        </xdr:cNvPr>
        <xdr:cNvGrpSpPr>
          <a:grpSpLocks/>
        </xdr:cNvGrpSpPr>
      </xdr:nvGrpSpPr>
      <xdr:grpSpPr bwMode="auto">
        <a:xfrm>
          <a:off x="47625" y="114881025"/>
          <a:ext cx="5486400" cy="6467475"/>
          <a:chOff x="1418" y="2852"/>
          <a:chExt cx="8633" cy="10179"/>
        </a:xfrm>
      </xdr:grpSpPr>
      <xdr:sp macro="" textlink="">
        <xdr:nvSpPr>
          <xdr:cNvPr id="32568195" name="Rectangle 586">
            <a:extLst>
              <a:ext uri="{FF2B5EF4-FFF2-40B4-BE49-F238E27FC236}">
                <a16:creationId xmlns:a16="http://schemas.microsoft.com/office/drawing/2014/main" id="{02173C86-CEA4-4D1F-8D29-A53276205C0A}"/>
              </a:ext>
            </a:extLst>
          </xdr:cNvPr>
          <xdr:cNvSpPr>
            <a:spLocks noChangeArrowheads="1"/>
          </xdr:cNvSpPr>
        </xdr:nvSpPr>
        <xdr:spPr bwMode="auto">
          <a:xfrm>
            <a:off x="1745" y="3903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6" name="Rectangle 585">
            <a:extLst>
              <a:ext uri="{FF2B5EF4-FFF2-40B4-BE49-F238E27FC236}">
                <a16:creationId xmlns:a16="http://schemas.microsoft.com/office/drawing/2014/main" id="{CE77178A-7A1F-41A1-87CB-B60A634DED19}"/>
              </a:ext>
            </a:extLst>
          </xdr:cNvPr>
          <xdr:cNvSpPr>
            <a:spLocks noChangeArrowheads="1"/>
          </xdr:cNvSpPr>
        </xdr:nvSpPr>
        <xdr:spPr bwMode="auto">
          <a:xfrm>
            <a:off x="1745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7" name="Rectangle 584">
            <a:extLst>
              <a:ext uri="{FF2B5EF4-FFF2-40B4-BE49-F238E27FC236}">
                <a16:creationId xmlns:a16="http://schemas.microsoft.com/office/drawing/2014/main" id="{19192D3D-DC36-4F1E-BDE0-4B5C55DC6AA2}"/>
              </a:ext>
            </a:extLst>
          </xdr:cNvPr>
          <xdr:cNvSpPr>
            <a:spLocks noChangeArrowheads="1"/>
          </xdr:cNvSpPr>
        </xdr:nvSpPr>
        <xdr:spPr bwMode="auto">
          <a:xfrm>
            <a:off x="3396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8" name="Rectangle 583">
            <a:extLst>
              <a:ext uri="{FF2B5EF4-FFF2-40B4-BE49-F238E27FC236}">
                <a16:creationId xmlns:a16="http://schemas.microsoft.com/office/drawing/2014/main" id="{2982DA45-8DA5-44C0-8734-7E92FDA22BC8}"/>
              </a:ext>
            </a:extLst>
          </xdr:cNvPr>
          <xdr:cNvSpPr>
            <a:spLocks noChangeArrowheads="1"/>
          </xdr:cNvSpPr>
        </xdr:nvSpPr>
        <xdr:spPr bwMode="auto">
          <a:xfrm>
            <a:off x="1745" y="4685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9" name="Rectangle 582">
            <a:extLst>
              <a:ext uri="{FF2B5EF4-FFF2-40B4-BE49-F238E27FC236}">
                <a16:creationId xmlns:a16="http://schemas.microsoft.com/office/drawing/2014/main" id="{A0365BE6-E4DD-4CF0-BC05-B06F13768658}"/>
              </a:ext>
            </a:extLst>
          </xdr:cNvPr>
          <xdr:cNvSpPr>
            <a:spLocks noChangeArrowheads="1"/>
          </xdr:cNvSpPr>
        </xdr:nvSpPr>
        <xdr:spPr bwMode="auto">
          <a:xfrm>
            <a:off x="1745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0" name="Rectangle 581">
            <a:extLst>
              <a:ext uri="{FF2B5EF4-FFF2-40B4-BE49-F238E27FC236}">
                <a16:creationId xmlns:a16="http://schemas.microsoft.com/office/drawing/2014/main" id="{2CE8C209-D951-47EE-9531-C8FD93D829C3}"/>
              </a:ext>
            </a:extLst>
          </xdr:cNvPr>
          <xdr:cNvSpPr>
            <a:spLocks noChangeArrowheads="1"/>
          </xdr:cNvSpPr>
        </xdr:nvSpPr>
        <xdr:spPr bwMode="auto">
          <a:xfrm>
            <a:off x="3396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1" name="Rectangle 580">
            <a:extLst>
              <a:ext uri="{FF2B5EF4-FFF2-40B4-BE49-F238E27FC236}">
                <a16:creationId xmlns:a16="http://schemas.microsoft.com/office/drawing/2014/main" id="{68E664C8-4804-447B-B98B-6B1C1746E6E3}"/>
              </a:ext>
            </a:extLst>
          </xdr:cNvPr>
          <xdr:cNvSpPr>
            <a:spLocks noChangeArrowheads="1"/>
          </xdr:cNvSpPr>
        </xdr:nvSpPr>
        <xdr:spPr bwMode="auto">
          <a:xfrm>
            <a:off x="1745" y="5727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2" name="Rectangle 579">
            <a:extLst>
              <a:ext uri="{FF2B5EF4-FFF2-40B4-BE49-F238E27FC236}">
                <a16:creationId xmlns:a16="http://schemas.microsoft.com/office/drawing/2014/main" id="{80C755AD-0DF9-4EC0-A6AB-2CCFD98E0095}"/>
              </a:ext>
            </a:extLst>
          </xdr:cNvPr>
          <xdr:cNvSpPr>
            <a:spLocks noChangeArrowheads="1"/>
          </xdr:cNvSpPr>
        </xdr:nvSpPr>
        <xdr:spPr bwMode="auto">
          <a:xfrm>
            <a:off x="1745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3" name="Rectangle 578">
            <a:extLst>
              <a:ext uri="{FF2B5EF4-FFF2-40B4-BE49-F238E27FC236}">
                <a16:creationId xmlns:a16="http://schemas.microsoft.com/office/drawing/2014/main" id="{5F9BC5AF-A7D7-4562-B4BF-D7ACE4F16BA2}"/>
              </a:ext>
            </a:extLst>
          </xdr:cNvPr>
          <xdr:cNvSpPr>
            <a:spLocks noChangeArrowheads="1"/>
          </xdr:cNvSpPr>
        </xdr:nvSpPr>
        <xdr:spPr bwMode="auto">
          <a:xfrm>
            <a:off x="3396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4" name="Rectangle 577">
            <a:extLst>
              <a:ext uri="{FF2B5EF4-FFF2-40B4-BE49-F238E27FC236}">
                <a16:creationId xmlns:a16="http://schemas.microsoft.com/office/drawing/2014/main" id="{4F5C7480-B0C9-4D91-98EC-8F4CB6999B2B}"/>
              </a:ext>
            </a:extLst>
          </xdr:cNvPr>
          <xdr:cNvSpPr>
            <a:spLocks noChangeArrowheads="1"/>
          </xdr:cNvSpPr>
        </xdr:nvSpPr>
        <xdr:spPr bwMode="auto">
          <a:xfrm>
            <a:off x="1745" y="6769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5" name="Rectangle 576">
            <a:extLst>
              <a:ext uri="{FF2B5EF4-FFF2-40B4-BE49-F238E27FC236}">
                <a16:creationId xmlns:a16="http://schemas.microsoft.com/office/drawing/2014/main" id="{8F5C2C4E-4B83-4BBD-A0F8-15A0D71436DE}"/>
              </a:ext>
            </a:extLst>
          </xdr:cNvPr>
          <xdr:cNvSpPr>
            <a:spLocks noChangeArrowheads="1"/>
          </xdr:cNvSpPr>
        </xdr:nvSpPr>
        <xdr:spPr bwMode="auto">
          <a:xfrm>
            <a:off x="1745" y="9114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6" name="Rectangle 575">
            <a:extLst>
              <a:ext uri="{FF2B5EF4-FFF2-40B4-BE49-F238E27FC236}">
                <a16:creationId xmlns:a16="http://schemas.microsoft.com/office/drawing/2014/main" id="{C69BEB9C-02AD-415D-804A-D35BDFCB02C9}"/>
              </a:ext>
            </a:extLst>
          </xdr:cNvPr>
          <xdr:cNvSpPr>
            <a:spLocks noChangeArrowheads="1"/>
          </xdr:cNvSpPr>
        </xdr:nvSpPr>
        <xdr:spPr bwMode="auto">
          <a:xfrm>
            <a:off x="1745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7" name="Rectangle 574">
            <a:extLst>
              <a:ext uri="{FF2B5EF4-FFF2-40B4-BE49-F238E27FC236}">
                <a16:creationId xmlns:a16="http://schemas.microsoft.com/office/drawing/2014/main" id="{6292C7C1-A143-48DB-B1A1-61E4B8FF5B1E}"/>
              </a:ext>
            </a:extLst>
          </xdr:cNvPr>
          <xdr:cNvSpPr>
            <a:spLocks noChangeArrowheads="1"/>
          </xdr:cNvSpPr>
        </xdr:nvSpPr>
        <xdr:spPr bwMode="auto">
          <a:xfrm>
            <a:off x="3396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8" name="Rectangle 573">
            <a:extLst>
              <a:ext uri="{FF2B5EF4-FFF2-40B4-BE49-F238E27FC236}">
                <a16:creationId xmlns:a16="http://schemas.microsoft.com/office/drawing/2014/main" id="{2B64C6FD-B864-4456-A0BD-1A80D49A82D8}"/>
              </a:ext>
            </a:extLst>
          </xdr:cNvPr>
          <xdr:cNvSpPr>
            <a:spLocks noChangeArrowheads="1"/>
          </xdr:cNvSpPr>
        </xdr:nvSpPr>
        <xdr:spPr bwMode="auto">
          <a:xfrm>
            <a:off x="1745" y="9896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9" name="Rectangle 572">
            <a:extLst>
              <a:ext uri="{FF2B5EF4-FFF2-40B4-BE49-F238E27FC236}">
                <a16:creationId xmlns:a16="http://schemas.microsoft.com/office/drawing/2014/main" id="{7482A03D-ADDE-4A94-B196-2B97BA2B83F9}"/>
              </a:ext>
            </a:extLst>
          </xdr:cNvPr>
          <xdr:cNvSpPr>
            <a:spLocks noChangeArrowheads="1"/>
          </xdr:cNvSpPr>
        </xdr:nvSpPr>
        <xdr:spPr bwMode="auto">
          <a:xfrm>
            <a:off x="1745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0" name="Rectangle 571">
            <a:extLst>
              <a:ext uri="{FF2B5EF4-FFF2-40B4-BE49-F238E27FC236}">
                <a16:creationId xmlns:a16="http://schemas.microsoft.com/office/drawing/2014/main" id="{9A9E6F98-1BE4-4170-8471-F60887E7C9D4}"/>
              </a:ext>
            </a:extLst>
          </xdr:cNvPr>
          <xdr:cNvSpPr>
            <a:spLocks noChangeArrowheads="1"/>
          </xdr:cNvSpPr>
        </xdr:nvSpPr>
        <xdr:spPr bwMode="auto">
          <a:xfrm>
            <a:off x="3396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1" name="Rectangle 570">
            <a:extLst>
              <a:ext uri="{FF2B5EF4-FFF2-40B4-BE49-F238E27FC236}">
                <a16:creationId xmlns:a16="http://schemas.microsoft.com/office/drawing/2014/main" id="{B017AEB8-4CD0-4E4B-A64F-F0CB76729C4A}"/>
              </a:ext>
            </a:extLst>
          </xdr:cNvPr>
          <xdr:cNvSpPr>
            <a:spLocks noChangeArrowheads="1"/>
          </xdr:cNvSpPr>
        </xdr:nvSpPr>
        <xdr:spPr bwMode="auto">
          <a:xfrm>
            <a:off x="1745" y="10938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2" name="Rectangle 569">
            <a:extLst>
              <a:ext uri="{FF2B5EF4-FFF2-40B4-BE49-F238E27FC236}">
                <a16:creationId xmlns:a16="http://schemas.microsoft.com/office/drawing/2014/main" id="{B187F79F-12F7-45A4-BA9F-5FC01EBC174E}"/>
              </a:ext>
            </a:extLst>
          </xdr:cNvPr>
          <xdr:cNvSpPr>
            <a:spLocks noChangeArrowheads="1"/>
          </xdr:cNvSpPr>
        </xdr:nvSpPr>
        <xdr:spPr bwMode="auto">
          <a:xfrm>
            <a:off x="1745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3" name="Rectangle 568">
            <a:extLst>
              <a:ext uri="{FF2B5EF4-FFF2-40B4-BE49-F238E27FC236}">
                <a16:creationId xmlns:a16="http://schemas.microsoft.com/office/drawing/2014/main" id="{2643FE6D-E80A-45DC-A548-32B937671974}"/>
              </a:ext>
            </a:extLst>
          </xdr:cNvPr>
          <xdr:cNvSpPr>
            <a:spLocks noChangeArrowheads="1"/>
          </xdr:cNvSpPr>
        </xdr:nvSpPr>
        <xdr:spPr bwMode="auto">
          <a:xfrm>
            <a:off x="3396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4" name="Rectangle 567">
            <a:extLst>
              <a:ext uri="{FF2B5EF4-FFF2-40B4-BE49-F238E27FC236}">
                <a16:creationId xmlns:a16="http://schemas.microsoft.com/office/drawing/2014/main" id="{3CF0F306-05F0-41DE-9543-E7A070F0F825}"/>
              </a:ext>
            </a:extLst>
          </xdr:cNvPr>
          <xdr:cNvSpPr>
            <a:spLocks noChangeArrowheads="1"/>
          </xdr:cNvSpPr>
        </xdr:nvSpPr>
        <xdr:spPr bwMode="auto">
          <a:xfrm>
            <a:off x="1745" y="11980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999094" name="Rectangle 566">
            <a:extLst>
              <a:ext uri="{FF2B5EF4-FFF2-40B4-BE49-F238E27FC236}">
                <a16:creationId xmlns:a16="http://schemas.microsoft.com/office/drawing/2014/main" id="{AB2A138B-442A-42A8-9A3A-BC86FD6A7048}"/>
              </a:ext>
            </a:extLst>
          </xdr:cNvPr>
          <xdr:cNvSpPr>
            <a:spLocks noChangeArrowheads="1"/>
          </xdr:cNvSpPr>
        </xdr:nvSpPr>
        <xdr:spPr bwMode="auto">
          <a:xfrm>
            <a:off x="2062" y="3107"/>
            <a:ext cx="109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Government</a:t>
            </a:r>
          </a:p>
        </xdr:txBody>
      </xdr:sp>
      <xdr:sp macro="" textlink="">
        <xdr:nvSpPr>
          <xdr:cNvPr id="14999093" name="Rectangle 565">
            <a:extLst>
              <a:ext uri="{FF2B5EF4-FFF2-40B4-BE49-F238E27FC236}">
                <a16:creationId xmlns:a16="http://schemas.microsoft.com/office/drawing/2014/main" id="{4ADFAEB0-D1BE-4956-96E8-83F3E0FB9E18}"/>
              </a:ext>
            </a:extLst>
          </xdr:cNvPr>
          <xdr:cNvSpPr>
            <a:spLocks noChangeArrowheads="1"/>
          </xdr:cNvSpPr>
        </xdr:nvSpPr>
        <xdr:spPr bwMode="auto">
          <a:xfrm>
            <a:off x="5360" y="3107"/>
            <a:ext cx="97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Real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sector</a:t>
            </a:r>
          </a:p>
        </xdr:txBody>
      </xdr:sp>
      <xdr:sp macro="" textlink="">
        <xdr:nvSpPr>
          <xdr:cNvPr id="14999092" name="Rectangle 564">
            <a:extLst>
              <a:ext uri="{FF2B5EF4-FFF2-40B4-BE49-F238E27FC236}">
                <a16:creationId xmlns:a16="http://schemas.microsoft.com/office/drawing/2014/main" id="{7EB60AC5-00F9-4DD2-95F3-EFC749D60A40}"/>
              </a:ext>
            </a:extLst>
          </xdr:cNvPr>
          <xdr:cNvSpPr>
            <a:spLocks noChangeArrowheads="1"/>
          </xdr:cNvSpPr>
        </xdr:nvSpPr>
        <xdr:spPr bwMode="auto">
          <a:xfrm>
            <a:off x="8582" y="3107"/>
            <a:ext cx="54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91" name="Rectangle 563">
            <a:extLst>
              <a:ext uri="{FF2B5EF4-FFF2-40B4-BE49-F238E27FC236}">
                <a16:creationId xmlns:a16="http://schemas.microsoft.com/office/drawing/2014/main" id="{F8DD56E2-EBD5-4CB2-8769-D54DB3A974D7}"/>
              </a:ext>
            </a:extLst>
          </xdr:cNvPr>
          <xdr:cNvSpPr>
            <a:spLocks noChangeArrowheads="1"/>
          </xdr:cNvSpPr>
        </xdr:nvSpPr>
        <xdr:spPr bwMode="auto">
          <a:xfrm>
            <a:off x="2257" y="3647"/>
            <a:ext cx="779" cy="7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Revenue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90" name="Rectangle 562">
            <a:extLst>
              <a:ext uri="{FF2B5EF4-FFF2-40B4-BE49-F238E27FC236}">
                <a16:creationId xmlns:a16="http://schemas.microsoft.com/office/drawing/2014/main" id="{22F3993D-0B1B-4135-9A20-29AA77617380}"/>
              </a:ext>
            </a:extLst>
          </xdr:cNvPr>
          <xdr:cNvSpPr>
            <a:spLocks noChangeArrowheads="1"/>
          </xdr:cNvSpPr>
        </xdr:nvSpPr>
        <xdr:spPr bwMode="auto">
          <a:xfrm>
            <a:off x="2257" y="4171"/>
            <a:ext cx="6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 </a:t>
            </a:r>
          </a:p>
        </xdr:txBody>
      </xdr:sp>
      <xdr:sp macro="" textlink="">
        <xdr:nvSpPr>
          <xdr:cNvPr id="14999089" name="Rectangle 561">
            <a:extLst>
              <a:ext uri="{FF2B5EF4-FFF2-40B4-BE49-F238E27FC236}">
                <a16:creationId xmlns:a16="http://schemas.microsoft.com/office/drawing/2014/main" id="{2A095F31-D8B8-4F44-B8BB-AD1FAF6D2491}"/>
              </a:ext>
            </a:extLst>
          </xdr:cNvPr>
          <xdr:cNvSpPr>
            <a:spLocks noChangeArrowheads="1"/>
          </xdr:cNvSpPr>
        </xdr:nvSpPr>
        <xdr:spPr bwMode="auto">
          <a:xfrm>
            <a:off x="8492" y="4171"/>
            <a:ext cx="6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8" name="Rectangle 560">
            <a:extLst>
              <a:ext uri="{FF2B5EF4-FFF2-40B4-BE49-F238E27FC236}">
                <a16:creationId xmlns:a16="http://schemas.microsoft.com/office/drawing/2014/main" id="{CD89A824-1A7D-44AD-8BF5-FF340A650D48}"/>
              </a:ext>
            </a:extLst>
          </xdr:cNvPr>
          <xdr:cNvSpPr>
            <a:spLocks noChangeArrowheads="1"/>
          </xdr:cNvSpPr>
        </xdr:nvSpPr>
        <xdr:spPr bwMode="auto">
          <a:xfrm>
            <a:off x="2197" y="4426"/>
            <a:ext cx="109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Payments %  </a:t>
            </a:r>
          </a:p>
        </xdr:txBody>
      </xdr:sp>
      <xdr:sp macro="" textlink="">
        <xdr:nvSpPr>
          <xdr:cNvPr id="14999087" name="Rectangle 559">
            <a:extLst>
              <a:ext uri="{FF2B5EF4-FFF2-40B4-BE49-F238E27FC236}">
                <a16:creationId xmlns:a16="http://schemas.microsoft.com/office/drawing/2014/main" id="{346183BF-7676-46C5-92DA-F0C2CE05AF77}"/>
              </a:ext>
            </a:extLst>
          </xdr:cNvPr>
          <xdr:cNvSpPr>
            <a:spLocks noChangeArrowheads="1"/>
          </xdr:cNvSpPr>
        </xdr:nvSpPr>
        <xdr:spPr bwMode="auto">
          <a:xfrm>
            <a:off x="5360" y="4426"/>
            <a:ext cx="1604" cy="6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lnSpc>
                <a:spcPts val="1000"/>
              </a:lnSpc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Production capacity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lnSpc>
                <a:spcPts val="1000"/>
              </a:lnSpc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(number of rooms)</a:t>
            </a:r>
          </a:p>
        </xdr:txBody>
      </xdr:sp>
      <xdr:sp macro="" textlink="">
        <xdr:nvSpPr>
          <xdr:cNvPr id="14999086" name="Rectangle 558">
            <a:extLst>
              <a:ext uri="{FF2B5EF4-FFF2-40B4-BE49-F238E27FC236}">
                <a16:creationId xmlns:a16="http://schemas.microsoft.com/office/drawing/2014/main" id="{0C0D7952-9E0E-437D-9119-60F7903E6879}"/>
              </a:ext>
            </a:extLst>
          </xdr:cNvPr>
          <xdr:cNvSpPr>
            <a:spLocks noChangeArrowheads="1"/>
          </xdr:cNvSpPr>
        </xdr:nvSpPr>
        <xdr:spPr bwMode="auto">
          <a:xfrm>
            <a:off x="8522" y="4426"/>
            <a:ext cx="74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(10)</a:t>
            </a:r>
          </a:p>
        </xdr:txBody>
      </xdr:sp>
      <xdr:sp macro="" textlink="">
        <xdr:nvSpPr>
          <xdr:cNvPr id="14999085" name="Rectangle 557">
            <a:extLst>
              <a:ext uri="{FF2B5EF4-FFF2-40B4-BE49-F238E27FC236}">
                <a16:creationId xmlns:a16="http://schemas.microsoft.com/office/drawing/2014/main" id="{BEEC7EFA-7B3A-4FBE-86E8-6FC067BF8127}"/>
              </a:ext>
            </a:extLst>
          </xdr:cNvPr>
          <xdr:cNvSpPr>
            <a:spLocks noChangeArrowheads="1"/>
          </xdr:cNvSpPr>
        </xdr:nvSpPr>
        <xdr:spPr bwMode="auto">
          <a:xfrm>
            <a:off x="5330" y="4696"/>
            <a:ext cx="90" cy="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84" name="Rectangle 556">
            <a:extLst>
              <a:ext uri="{FF2B5EF4-FFF2-40B4-BE49-F238E27FC236}">
                <a16:creationId xmlns:a16="http://schemas.microsoft.com/office/drawing/2014/main" id="{18835B73-FB69-410B-B06A-7D14369E2471}"/>
              </a:ext>
            </a:extLst>
          </xdr:cNvPr>
          <xdr:cNvSpPr>
            <a:spLocks noChangeArrowheads="1"/>
          </xdr:cNvSpPr>
        </xdr:nvSpPr>
        <xdr:spPr bwMode="auto">
          <a:xfrm>
            <a:off x="2242" y="5206"/>
            <a:ext cx="67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indirect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3" name="Rectangle 555">
            <a:extLst>
              <a:ext uri="{FF2B5EF4-FFF2-40B4-BE49-F238E27FC236}">
                <a16:creationId xmlns:a16="http://schemas.microsoft.com/office/drawing/2014/main" id="{34D292A1-7364-4B9C-9E60-81F16CCDB7EC}"/>
              </a:ext>
            </a:extLst>
          </xdr:cNvPr>
          <xdr:cNvSpPr>
            <a:spLocks noChangeArrowheads="1"/>
          </xdr:cNvSpPr>
        </xdr:nvSpPr>
        <xdr:spPr bwMode="auto">
          <a:xfrm>
            <a:off x="2377" y="5460"/>
            <a:ext cx="4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2" name="Rectangle 554">
            <a:extLst>
              <a:ext uri="{FF2B5EF4-FFF2-40B4-BE49-F238E27FC236}">
                <a16:creationId xmlns:a16="http://schemas.microsoft.com/office/drawing/2014/main" id="{F8244CF5-7B80-46A1-A075-65307240135A}"/>
              </a:ext>
            </a:extLst>
          </xdr:cNvPr>
          <xdr:cNvSpPr>
            <a:spLocks noChangeArrowheads="1"/>
          </xdr:cNvSpPr>
        </xdr:nvSpPr>
        <xdr:spPr bwMode="auto">
          <a:xfrm>
            <a:off x="2332" y="6255"/>
            <a:ext cx="49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direct </a:t>
            </a:r>
          </a:p>
        </xdr:txBody>
      </xdr:sp>
      <xdr:sp macro="" textlink="">
        <xdr:nvSpPr>
          <xdr:cNvPr id="14999081" name="Rectangle 553">
            <a:extLst>
              <a:ext uri="{FF2B5EF4-FFF2-40B4-BE49-F238E27FC236}">
                <a16:creationId xmlns:a16="http://schemas.microsoft.com/office/drawing/2014/main" id="{AE997C67-A914-426D-A673-F957A5579D23}"/>
              </a:ext>
            </a:extLst>
          </xdr:cNvPr>
          <xdr:cNvSpPr>
            <a:spLocks noChangeArrowheads="1"/>
          </xdr:cNvSpPr>
        </xdr:nvSpPr>
        <xdr:spPr bwMode="auto">
          <a:xfrm>
            <a:off x="2377" y="6510"/>
            <a:ext cx="4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0" name="Rectangle 552">
            <a:extLst>
              <a:ext uri="{FF2B5EF4-FFF2-40B4-BE49-F238E27FC236}">
                <a16:creationId xmlns:a16="http://schemas.microsoft.com/office/drawing/2014/main" id="{CD6CB0F0-711D-4BFB-901C-324E9531D213}"/>
              </a:ext>
            </a:extLst>
          </xdr:cNvPr>
          <xdr:cNvSpPr>
            <a:spLocks noChangeArrowheads="1"/>
          </xdr:cNvSpPr>
        </xdr:nvSpPr>
        <xdr:spPr bwMode="auto">
          <a:xfrm>
            <a:off x="5330" y="6510"/>
            <a:ext cx="106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79" name="Rectangle 551">
            <a:extLst>
              <a:ext uri="{FF2B5EF4-FFF2-40B4-BE49-F238E27FC236}">
                <a16:creationId xmlns:a16="http://schemas.microsoft.com/office/drawing/2014/main" id="{3271C8C4-9FC6-484B-A44D-38097871EF6A}"/>
              </a:ext>
            </a:extLst>
          </xdr:cNvPr>
          <xdr:cNvSpPr>
            <a:spLocks noChangeArrowheads="1"/>
          </xdr:cNvSpPr>
        </xdr:nvSpPr>
        <xdr:spPr bwMode="auto">
          <a:xfrm>
            <a:off x="5720" y="6765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(2)</a:t>
            </a:r>
          </a:p>
        </xdr:txBody>
      </xdr:sp>
      <xdr:sp macro="" textlink="">
        <xdr:nvSpPr>
          <xdr:cNvPr id="14999078" name="Rectangle 550">
            <a:extLst>
              <a:ext uri="{FF2B5EF4-FFF2-40B4-BE49-F238E27FC236}">
                <a16:creationId xmlns:a16="http://schemas.microsoft.com/office/drawing/2014/main" id="{1241CD15-A465-4BD5-9F85-FE63E927DADF}"/>
              </a:ext>
            </a:extLst>
          </xdr:cNvPr>
          <xdr:cNvSpPr>
            <a:spLocks noChangeArrowheads="1"/>
          </xdr:cNvSpPr>
        </xdr:nvSpPr>
        <xdr:spPr bwMode="auto">
          <a:xfrm>
            <a:off x="8552" y="6765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cost of</a:t>
            </a:r>
          </a:p>
        </xdr:txBody>
      </xdr:sp>
      <xdr:sp macro="" textlink="">
        <xdr:nvSpPr>
          <xdr:cNvPr id="14999077" name="Rectangle 549">
            <a:extLst>
              <a:ext uri="{FF2B5EF4-FFF2-40B4-BE49-F238E27FC236}">
                <a16:creationId xmlns:a16="http://schemas.microsoft.com/office/drawing/2014/main" id="{6C4FFA73-B9ED-4A4D-8F50-83420254D37A}"/>
              </a:ext>
            </a:extLst>
          </xdr:cNvPr>
          <xdr:cNvSpPr>
            <a:spLocks noChangeArrowheads="1"/>
          </xdr:cNvSpPr>
        </xdr:nvSpPr>
        <xdr:spPr bwMode="auto">
          <a:xfrm>
            <a:off x="8372" y="7035"/>
            <a:ext cx="9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Production </a:t>
            </a:r>
          </a:p>
        </xdr:txBody>
      </xdr:sp>
      <xdr:sp macro="" textlink="">
        <xdr:nvSpPr>
          <xdr:cNvPr id="14999076" name="Rectangle 548">
            <a:extLst>
              <a:ext uri="{FF2B5EF4-FFF2-40B4-BE49-F238E27FC236}">
                <a16:creationId xmlns:a16="http://schemas.microsoft.com/office/drawing/2014/main" id="{F0F225FF-2140-4EC5-9E09-4E029540F428}"/>
              </a:ext>
            </a:extLst>
          </xdr:cNvPr>
          <xdr:cNvSpPr>
            <a:spLocks noChangeArrowheads="1"/>
          </xdr:cNvSpPr>
        </xdr:nvSpPr>
        <xdr:spPr bwMode="auto">
          <a:xfrm>
            <a:off x="6874" y="7559"/>
            <a:ext cx="92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(1) private</a:t>
            </a:r>
          </a:p>
        </xdr:txBody>
      </xdr:sp>
      <xdr:sp macro="" textlink="">
        <xdr:nvSpPr>
          <xdr:cNvPr id="14999075" name="Rectangle 547">
            <a:extLst>
              <a:ext uri="{FF2B5EF4-FFF2-40B4-BE49-F238E27FC236}">
                <a16:creationId xmlns:a16="http://schemas.microsoft.com/office/drawing/2014/main" id="{E3239E30-7402-4504-9916-65A050E662C1}"/>
              </a:ext>
            </a:extLst>
          </xdr:cNvPr>
          <xdr:cNvSpPr>
            <a:spLocks noChangeArrowheads="1"/>
          </xdr:cNvSpPr>
        </xdr:nvSpPr>
        <xdr:spPr bwMode="auto">
          <a:xfrm>
            <a:off x="2332" y="7814"/>
            <a:ext cx="57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74" name="Rectangle 546">
            <a:extLst>
              <a:ext uri="{FF2B5EF4-FFF2-40B4-BE49-F238E27FC236}">
                <a16:creationId xmlns:a16="http://schemas.microsoft.com/office/drawing/2014/main" id="{A26E4CDE-F948-46D8-B3B8-298E060D11AD}"/>
              </a:ext>
            </a:extLst>
          </xdr:cNvPr>
          <xdr:cNvSpPr>
            <a:spLocks noChangeArrowheads="1"/>
          </xdr:cNvSpPr>
        </xdr:nvSpPr>
        <xdr:spPr bwMode="auto">
          <a:xfrm>
            <a:off x="3606" y="7814"/>
            <a:ext cx="37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debt</a:t>
            </a:r>
          </a:p>
        </xdr:txBody>
      </xdr:sp>
      <xdr:sp macro="" textlink="">
        <xdr:nvSpPr>
          <xdr:cNvPr id="14999073" name="Rectangle 545">
            <a:extLst>
              <a:ext uri="{FF2B5EF4-FFF2-40B4-BE49-F238E27FC236}">
                <a16:creationId xmlns:a16="http://schemas.microsoft.com/office/drawing/2014/main" id="{73382906-0CB2-4294-87F1-9466126584F5}"/>
              </a:ext>
            </a:extLst>
          </xdr:cNvPr>
          <xdr:cNvSpPr>
            <a:spLocks noChangeArrowheads="1"/>
          </xdr:cNvSpPr>
        </xdr:nvSpPr>
        <xdr:spPr bwMode="auto">
          <a:xfrm>
            <a:off x="6784" y="7814"/>
            <a:ext cx="113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72" name="Rectangle 544">
            <a:extLst>
              <a:ext uri="{FF2B5EF4-FFF2-40B4-BE49-F238E27FC236}">
                <a16:creationId xmlns:a16="http://schemas.microsoft.com/office/drawing/2014/main" id="{2C15FD95-C5C1-453A-979B-04A90C7C0475}"/>
              </a:ext>
            </a:extLst>
          </xdr:cNvPr>
          <xdr:cNvSpPr>
            <a:spLocks noChangeArrowheads="1"/>
          </xdr:cNvSpPr>
        </xdr:nvSpPr>
        <xdr:spPr bwMode="auto">
          <a:xfrm>
            <a:off x="8582" y="8594"/>
            <a:ext cx="46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 </a:t>
            </a:r>
          </a:p>
        </xdr:txBody>
      </xdr:sp>
      <xdr:sp macro="" textlink="">
        <xdr:nvSpPr>
          <xdr:cNvPr id="14999071" name="Rectangle 543">
            <a:extLst>
              <a:ext uri="{FF2B5EF4-FFF2-40B4-BE49-F238E27FC236}">
                <a16:creationId xmlns:a16="http://schemas.microsoft.com/office/drawing/2014/main" id="{4B9FA892-B9BE-4339-9BBB-1A9C55E5C29C}"/>
              </a:ext>
            </a:extLst>
          </xdr:cNvPr>
          <xdr:cNvSpPr>
            <a:spLocks noChangeArrowheads="1"/>
          </xdr:cNvSpPr>
        </xdr:nvSpPr>
        <xdr:spPr bwMode="auto">
          <a:xfrm>
            <a:off x="2092" y="8848"/>
            <a:ext cx="103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expenditure</a:t>
            </a:r>
          </a:p>
        </xdr:txBody>
      </xdr:sp>
      <xdr:sp macro="" textlink="">
        <xdr:nvSpPr>
          <xdr:cNvPr id="14999070" name="Rectangle 542">
            <a:extLst>
              <a:ext uri="{FF2B5EF4-FFF2-40B4-BE49-F238E27FC236}">
                <a16:creationId xmlns:a16="http://schemas.microsoft.com/office/drawing/2014/main" id="{6D76AA0A-1CA9-47A8-8542-D05B95612C97}"/>
              </a:ext>
            </a:extLst>
          </xdr:cNvPr>
          <xdr:cNvSpPr>
            <a:spLocks noChangeArrowheads="1"/>
          </xdr:cNvSpPr>
        </xdr:nvSpPr>
        <xdr:spPr bwMode="auto">
          <a:xfrm>
            <a:off x="5630" y="8848"/>
            <a:ext cx="43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GDP</a:t>
            </a:r>
          </a:p>
        </xdr:txBody>
      </xdr:sp>
      <xdr:sp macro="" textlink="">
        <xdr:nvSpPr>
          <xdr:cNvPr id="14999069" name="Rectangle 541">
            <a:extLst>
              <a:ext uri="{FF2B5EF4-FFF2-40B4-BE49-F238E27FC236}">
                <a16:creationId xmlns:a16="http://schemas.microsoft.com/office/drawing/2014/main" id="{FD2D8D1D-BD28-4243-A176-CBAE900D345F}"/>
              </a:ext>
            </a:extLst>
          </xdr:cNvPr>
          <xdr:cNvSpPr>
            <a:spLocks noChangeArrowheads="1"/>
          </xdr:cNvSpPr>
        </xdr:nvSpPr>
        <xdr:spPr bwMode="auto">
          <a:xfrm>
            <a:off x="8462" y="8848"/>
            <a:ext cx="64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 (8)</a:t>
            </a:r>
          </a:p>
        </xdr:txBody>
      </xdr:sp>
      <xdr:sp macro="" textlink="">
        <xdr:nvSpPr>
          <xdr:cNvPr id="14999068" name="Rectangle 540">
            <a:extLst>
              <a:ext uri="{FF2B5EF4-FFF2-40B4-BE49-F238E27FC236}">
                <a16:creationId xmlns:a16="http://schemas.microsoft.com/office/drawing/2014/main" id="{B89BA991-857B-404A-B8ED-4794B1DAD4C9}"/>
              </a:ext>
            </a:extLst>
          </xdr:cNvPr>
          <xdr:cNvSpPr>
            <a:spLocks noChangeArrowheads="1"/>
          </xdr:cNvSpPr>
        </xdr:nvSpPr>
        <xdr:spPr bwMode="auto">
          <a:xfrm>
            <a:off x="2047" y="9373"/>
            <a:ext cx="113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67" name="Rectangle 539">
            <a:extLst>
              <a:ext uri="{FF2B5EF4-FFF2-40B4-BE49-F238E27FC236}">
                <a16:creationId xmlns:a16="http://schemas.microsoft.com/office/drawing/2014/main" id="{55CD05ED-8DBC-4199-9EB2-BA74DFD86AD8}"/>
              </a:ext>
            </a:extLst>
          </xdr:cNvPr>
          <xdr:cNvSpPr>
            <a:spLocks noChangeArrowheads="1"/>
          </xdr:cNvSpPr>
        </xdr:nvSpPr>
        <xdr:spPr bwMode="auto">
          <a:xfrm>
            <a:off x="7068" y="9898"/>
            <a:ext cx="5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labour</a:t>
            </a:r>
          </a:p>
        </xdr:txBody>
      </xdr:sp>
      <xdr:sp macro="" textlink="">
        <xdr:nvSpPr>
          <xdr:cNvPr id="14999066" name="Rectangle 538">
            <a:extLst>
              <a:ext uri="{FF2B5EF4-FFF2-40B4-BE49-F238E27FC236}">
                <a16:creationId xmlns:a16="http://schemas.microsoft.com/office/drawing/2014/main" id="{A5640383-2ABC-45F1-85FE-F83594297B5D}"/>
              </a:ext>
            </a:extLst>
          </xdr:cNvPr>
          <xdr:cNvSpPr>
            <a:spLocks noChangeArrowheads="1"/>
          </xdr:cNvSpPr>
        </xdr:nvSpPr>
        <xdr:spPr bwMode="auto">
          <a:xfrm>
            <a:off x="6814" y="10153"/>
            <a:ext cx="107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productivity</a:t>
            </a:r>
          </a:p>
        </xdr:txBody>
      </xdr:sp>
      <xdr:sp macro="" textlink="">
        <xdr:nvSpPr>
          <xdr:cNvPr id="14999065" name="Rectangle 537">
            <a:extLst>
              <a:ext uri="{FF2B5EF4-FFF2-40B4-BE49-F238E27FC236}">
                <a16:creationId xmlns:a16="http://schemas.microsoft.com/office/drawing/2014/main" id="{DD891996-F192-4A7F-AB8D-5C89C46CBC39}"/>
              </a:ext>
            </a:extLst>
          </xdr:cNvPr>
          <xdr:cNvSpPr>
            <a:spLocks noChangeArrowheads="1"/>
          </xdr:cNvSpPr>
        </xdr:nvSpPr>
        <xdr:spPr bwMode="auto">
          <a:xfrm>
            <a:off x="2377" y="10423"/>
            <a:ext cx="46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</a:t>
            </a:r>
          </a:p>
        </xdr:txBody>
      </xdr:sp>
      <xdr:sp macro="" textlink="">
        <xdr:nvSpPr>
          <xdr:cNvPr id="14999064" name="Rectangle 536">
            <a:extLst>
              <a:ext uri="{FF2B5EF4-FFF2-40B4-BE49-F238E27FC236}">
                <a16:creationId xmlns:a16="http://schemas.microsoft.com/office/drawing/2014/main" id="{FA9F4C9A-A748-4A98-89B4-0E277C40A81C}"/>
              </a:ext>
            </a:extLst>
          </xdr:cNvPr>
          <xdr:cNvSpPr>
            <a:spLocks noChangeArrowheads="1"/>
          </xdr:cNvSpPr>
        </xdr:nvSpPr>
        <xdr:spPr bwMode="auto">
          <a:xfrm>
            <a:off x="2467" y="10677"/>
            <a:ext cx="30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bill</a:t>
            </a:r>
          </a:p>
        </xdr:txBody>
      </xdr:sp>
      <xdr:sp macro="" textlink="">
        <xdr:nvSpPr>
          <xdr:cNvPr id="14999063" name="Rectangle 535">
            <a:extLst>
              <a:ext uri="{FF2B5EF4-FFF2-40B4-BE49-F238E27FC236}">
                <a16:creationId xmlns:a16="http://schemas.microsoft.com/office/drawing/2014/main" id="{68943256-41B0-4F8E-BDCD-52D30C8F0F8F}"/>
              </a:ext>
            </a:extLst>
          </xdr:cNvPr>
          <xdr:cNvSpPr>
            <a:spLocks noChangeArrowheads="1"/>
          </xdr:cNvSpPr>
        </xdr:nvSpPr>
        <xdr:spPr bwMode="auto">
          <a:xfrm>
            <a:off x="6799" y="10677"/>
            <a:ext cx="110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employment</a:t>
            </a:r>
          </a:p>
        </xdr:txBody>
      </xdr:sp>
      <xdr:sp macro="" textlink="">
        <xdr:nvSpPr>
          <xdr:cNvPr id="14999062" name="Rectangle 534">
            <a:extLst>
              <a:ext uri="{FF2B5EF4-FFF2-40B4-BE49-F238E27FC236}">
                <a16:creationId xmlns:a16="http://schemas.microsoft.com/office/drawing/2014/main" id="{183FDD12-71F4-4AB0-958F-98B1C03CCD56}"/>
              </a:ext>
            </a:extLst>
          </xdr:cNvPr>
          <xdr:cNvSpPr>
            <a:spLocks noChangeArrowheads="1"/>
          </xdr:cNvSpPr>
        </xdr:nvSpPr>
        <xdr:spPr bwMode="auto">
          <a:xfrm>
            <a:off x="7158" y="1093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(9)</a:t>
            </a:r>
          </a:p>
        </xdr:txBody>
      </xdr:sp>
      <xdr:sp macro="" textlink="">
        <xdr:nvSpPr>
          <xdr:cNvPr id="14999061" name="Rectangle 533">
            <a:extLst>
              <a:ext uri="{FF2B5EF4-FFF2-40B4-BE49-F238E27FC236}">
                <a16:creationId xmlns:a16="http://schemas.microsoft.com/office/drawing/2014/main" id="{67FDBB4C-DA0A-48F4-BCE4-D321AB8E2B00}"/>
              </a:ext>
            </a:extLst>
          </xdr:cNvPr>
          <xdr:cNvSpPr>
            <a:spLocks noChangeArrowheads="1"/>
          </xdr:cNvSpPr>
        </xdr:nvSpPr>
        <xdr:spPr bwMode="auto">
          <a:xfrm>
            <a:off x="2092" y="11457"/>
            <a:ext cx="104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60" name="Rectangle 532">
            <a:extLst>
              <a:ext uri="{FF2B5EF4-FFF2-40B4-BE49-F238E27FC236}">
                <a16:creationId xmlns:a16="http://schemas.microsoft.com/office/drawing/2014/main" id="{21805F7D-7933-4589-98CD-2D41332C2318}"/>
              </a:ext>
            </a:extLst>
          </xdr:cNvPr>
          <xdr:cNvSpPr>
            <a:spLocks noChangeArrowheads="1"/>
          </xdr:cNvSpPr>
        </xdr:nvSpPr>
        <xdr:spPr bwMode="auto">
          <a:xfrm>
            <a:off x="5540" y="11457"/>
            <a:ext cx="5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export </a:t>
            </a:r>
          </a:p>
        </xdr:txBody>
      </xdr:sp>
      <xdr:sp macro="" textlink="">
        <xdr:nvSpPr>
          <xdr:cNvPr id="14999059" name="Rectangle 531">
            <a:extLst>
              <a:ext uri="{FF2B5EF4-FFF2-40B4-BE49-F238E27FC236}">
                <a16:creationId xmlns:a16="http://schemas.microsoft.com/office/drawing/2014/main" id="{427BA8E8-6655-405D-A97F-43E249C26F22}"/>
              </a:ext>
            </a:extLst>
          </xdr:cNvPr>
          <xdr:cNvSpPr>
            <a:spLocks noChangeArrowheads="1"/>
          </xdr:cNvSpPr>
        </xdr:nvSpPr>
        <xdr:spPr bwMode="auto">
          <a:xfrm>
            <a:off x="5720" y="1171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(3)</a:t>
            </a:r>
          </a:p>
        </xdr:txBody>
      </xdr:sp>
      <xdr:sp macro="" textlink="">
        <xdr:nvSpPr>
          <xdr:cNvPr id="14999058" name="Rectangle 530">
            <a:extLst>
              <a:ext uri="{FF2B5EF4-FFF2-40B4-BE49-F238E27FC236}">
                <a16:creationId xmlns:a16="http://schemas.microsoft.com/office/drawing/2014/main" id="{2E36A35F-FB54-4655-B42A-BC6B7EE18617}"/>
              </a:ext>
            </a:extLst>
          </xdr:cNvPr>
          <xdr:cNvSpPr>
            <a:spLocks noChangeArrowheads="1"/>
          </xdr:cNvSpPr>
        </xdr:nvSpPr>
        <xdr:spPr bwMode="auto">
          <a:xfrm>
            <a:off x="8073" y="11712"/>
            <a:ext cx="163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(11) exchange rate </a:t>
            </a:r>
          </a:p>
        </xdr:txBody>
      </xdr:sp>
      <xdr:sp macro="" textlink="">
        <xdr:nvSpPr>
          <xdr:cNvPr id="14999057" name="Rectangle 529">
            <a:extLst>
              <a:ext uri="{FF2B5EF4-FFF2-40B4-BE49-F238E27FC236}">
                <a16:creationId xmlns:a16="http://schemas.microsoft.com/office/drawing/2014/main" id="{089DAEC6-D0CF-4DDA-9BA7-300E6E0FD5DF}"/>
              </a:ext>
            </a:extLst>
          </xdr:cNvPr>
          <xdr:cNvSpPr>
            <a:spLocks noChangeArrowheads="1"/>
          </xdr:cNvSpPr>
        </xdr:nvSpPr>
        <xdr:spPr bwMode="auto">
          <a:xfrm>
            <a:off x="8073" y="11982"/>
            <a:ext cx="175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&amp; internat. inflation</a:t>
            </a:r>
          </a:p>
        </xdr:txBody>
      </xdr:sp>
      <xdr:sp macro="" textlink="">
        <xdr:nvSpPr>
          <xdr:cNvPr id="14999056" name="Rectangle 528">
            <a:extLst>
              <a:ext uri="{FF2B5EF4-FFF2-40B4-BE49-F238E27FC236}">
                <a16:creationId xmlns:a16="http://schemas.microsoft.com/office/drawing/2014/main" id="{D20620AC-7AD7-42FB-A199-C3E219E6F7A0}"/>
              </a:ext>
            </a:extLst>
          </xdr:cNvPr>
          <xdr:cNvSpPr>
            <a:spLocks noChangeArrowheads="1"/>
          </xdr:cNvSpPr>
        </xdr:nvSpPr>
        <xdr:spPr bwMode="auto">
          <a:xfrm>
            <a:off x="5345" y="12236"/>
            <a:ext cx="1094" cy="7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World trade 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5" name="Rectangle 527">
            <a:extLst>
              <a:ext uri="{FF2B5EF4-FFF2-40B4-BE49-F238E27FC236}">
                <a16:creationId xmlns:a16="http://schemas.microsoft.com/office/drawing/2014/main" id="{14AA7AEC-5B58-4900-85D6-7C6D655F5C09}"/>
              </a:ext>
            </a:extLst>
          </xdr:cNvPr>
          <xdr:cNvSpPr>
            <a:spLocks noChangeArrowheads="1"/>
          </xdr:cNvSpPr>
        </xdr:nvSpPr>
        <xdr:spPr bwMode="auto">
          <a:xfrm>
            <a:off x="5180" y="12506"/>
            <a:ext cx="1334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volume growth</a:t>
            </a:r>
          </a:p>
        </xdr:txBody>
      </xdr:sp>
      <xdr:sp macro="" textlink="">
        <xdr:nvSpPr>
          <xdr:cNvPr id="14999054" name="Rectangle 526">
            <a:extLst>
              <a:ext uri="{FF2B5EF4-FFF2-40B4-BE49-F238E27FC236}">
                <a16:creationId xmlns:a16="http://schemas.microsoft.com/office/drawing/2014/main" id="{7514C9F7-2E02-4953-BFDC-8185A58A8A37}"/>
              </a:ext>
            </a:extLst>
          </xdr:cNvPr>
          <xdr:cNvSpPr>
            <a:spLocks noChangeArrowheads="1"/>
          </xdr:cNvSpPr>
        </xdr:nvSpPr>
        <xdr:spPr bwMode="auto">
          <a:xfrm>
            <a:off x="4041" y="12506"/>
            <a:ext cx="55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53" name="Rectangle 525">
            <a:extLst>
              <a:ext uri="{FF2B5EF4-FFF2-40B4-BE49-F238E27FC236}">
                <a16:creationId xmlns:a16="http://schemas.microsoft.com/office/drawing/2014/main" id="{9C0674E8-6941-499F-949F-EC3862176CED}"/>
              </a:ext>
            </a:extLst>
          </xdr:cNvPr>
          <xdr:cNvSpPr>
            <a:spLocks noChangeArrowheads="1"/>
          </xdr:cNvSpPr>
        </xdr:nvSpPr>
        <xdr:spPr bwMode="auto">
          <a:xfrm>
            <a:off x="3981" y="5730"/>
            <a:ext cx="90" cy="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2" name="Rectangle 524">
            <a:extLst>
              <a:ext uri="{FF2B5EF4-FFF2-40B4-BE49-F238E27FC236}">
                <a16:creationId xmlns:a16="http://schemas.microsoft.com/office/drawing/2014/main" id="{9B8ED77A-91D0-41FA-9A12-BA57CC588E1C}"/>
              </a:ext>
            </a:extLst>
          </xdr:cNvPr>
          <xdr:cNvSpPr>
            <a:spLocks noChangeArrowheads="1"/>
          </xdr:cNvSpPr>
        </xdr:nvSpPr>
        <xdr:spPr bwMode="auto">
          <a:xfrm>
            <a:off x="8732" y="5206"/>
            <a:ext cx="52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51" name="Rectangle 523">
            <a:extLst>
              <a:ext uri="{FF2B5EF4-FFF2-40B4-BE49-F238E27FC236}">
                <a16:creationId xmlns:a16="http://schemas.microsoft.com/office/drawing/2014/main" id="{75BC8417-7B26-4EB1-ABAD-284682E02D1B}"/>
              </a:ext>
            </a:extLst>
          </xdr:cNvPr>
          <xdr:cNvSpPr>
            <a:spLocks noChangeArrowheads="1"/>
          </xdr:cNvSpPr>
        </xdr:nvSpPr>
        <xdr:spPr bwMode="auto">
          <a:xfrm>
            <a:off x="8582" y="5460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(5,6,7)</a:t>
            </a:r>
          </a:p>
        </xdr:txBody>
      </xdr:sp>
      <xdr:sp macro="" textlink="">
        <xdr:nvSpPr>
          <xdr:cNvPr id="14999050" name="Rectangle 522">
            <a:extLst>
              <a:ext uri="{FF2B5EF4-FFF2-40B4-BE49-F238E27FC236}">
                <a16:creationId xmlns:a16="http://schemas.microsoft.com/office/drawing/2014/main" id="{EB289BC3-09B7-4E12-9544-5998A93D839E}"/>
              </a:ext>
            </a:extLst>
          </xdr:cNvPr>
          <xdr:cNvSpPr>
            <a:spLocks noChangeArrowheads="1"/>
          </xdr:cNvSpPr>
        </xdr:nvSpPr>
        <xdr:spPr bwMode="auto">
          <a:xfrm>
            <a:off x="4176" y="1171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(4)</a:t>
            </a:r>
          </a:p>
        </xdr:txBody>
      </xdr:sp>
      <xdr:sp macro="" textlink="">
        <xdr:nvSpPr>
          <xdr:cNvPr id="14999049" name="Rectangle 521">
            <a:extLst>
              <a:ext uri="{FF2B5EF4-FFF2-40B4-BE49-F238E27FC236}">
                <a16:creationId xmlns:a16="http://schemas.microsoft.com/office/drawing/2014/main" id="{8FE3EDFB-F40D-401B-AA18-5991465B13E1}"/>
              </a:ext>
            </a:extLst>
          </xdr:cNvPr>
          <xdr:cNvSpPr>
            <a:spLocks noChangeArrowheads="1"/>
          </xdr:cNvSpPr>
        </xdr:nvSpPr>
        <xdr:spPr bwMode="auto">
          <a:xfrm>
            <a:off x="3846" y="5460"/>
            <a:ext cx="90" cy="2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48" name="Rectangle 520">
            <a:extLst>
              <a:ext uri="{FF2B5EF4-FFF2-40B4-BE49-F238E27FC236}">
                <a16:creationId xmlns:a16="http://schemas.microsoft.com/office/drawing/2014/main" id="{15EC4CEA-6BBA-40D3-90AF-191A8FBE1AD1}"/>
              </a:ext>
            </a:extLst>
          </xdr:cNvPr>
          <xdr:cNvSpPr>
            <a:spLocks noChangeArrowheads="1"/>
          </xdr:cNvSpPr>
        </xdr:nvSpPr>
        <xdr:spPr bwMode="auto">
          <a:xfrm>
            <a:off x="4011" y="11457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import</a:t>
            </a:r>
          </a:p>
        </xdr:txBody>
      </xdr:sp>
      <xdr:sp macro="" textlink="">
        <xdr:nvSpPr>
          <xdr:cNvPr id="14999047" name="Rectangle 519">
            <a:extLst>
              <a:ext uri="{FF2B5EF4-FFF2-40B4-BE49-F238E27FC236}">
                <a16:creationId xmlns:a16="http://schemas.microsoft.com/office/drawing/2014/main" id="{F633FDA0-8B07-4670-BBD2-6E74AAC600B5}"/>
              </a:ext>
            </a:extLst>
          </xdr:cNvPr>
          <xdr:cNvSpPr>
            <a:spLocks noChangeArrowheads="1"/>
          </xdr:cNvSpPr>
        </xdr:nvSpPr>
        <xdr:spPr bwMode="auto">
          <a:xfrm>
            <a:off x="4116" y="12236"/>
            <a:ext cx="37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BoP</a:t>
            </a:r>
          </a:p>
        </xdr:txBody>
      </xdr:sp>
      <xdr:sp macro="" textlink="">
        <xdr:nvSpPr>
          <xdr:cNvPr id="32568263" name="Rectangle 518">
            <a:extLst>
              <a:ext uri="{FF2B5EF4-FFF2-40B4-BE49-F238E27FC236}">
                <a16:creationId xmlns:a16="http://schemas.microsoft.com/office/drawing/2014/main" id="{D0675DD6-F23B-428A-9DCC-689E7CC1C233}"/>
              </a:ext>
            </a:extLst>
          </xdr:cNvPr>
          <xdr:cNvSpPr>
            <a:spLocks noChangeArrowheads="1"/>
          </xdr:cNvSpPr>
        </xdr:nvSpPr>
        <xdr:spPr bwMode="auto">
          <a:xfrm>
            <a:off x="1745" y="3355"/>
            <a:ext cx="1713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4" name="Rectangle 517">
            <a:extLst>
              <a:ext uri="{FF2B5EF4-FFF2-40B4-BE49-F238E27FC236}">
                <a16:creationId xmlns:a16="http://schemas.microsoft.com/office/drawing/2014/main" id="{A254E2D5-D8F9-4F3F-BD12-BE7C5D223E56}"/>
              </a:ext>
            </a:extLst>
          </xdr:cNvPr>
          <xdr:cNvSpPr>
            <a:spLocks noChangeArrowheads="1"/>
          </xdr:cNvSpPr>
        </xdr:nvSpPr>
        <xdr:spPr bwMode="auto">
          <a:xfrm>
            <a:off x="1745" y="3391"/>
            <a:ext cx="1713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5" name="Rectangle 516">
            <a:extLst>
              <a:ext uri="{FF2B5EF4-FFF2-40B4-BE49-F238E27FC236}">
                <a16:creationId xmlns:a16="http://schemas.microsoft.com/office/drawing/2014/main" id="{FEDB0657-DD0F-457F-8CCE-C7E6860949B9}"/>
              </a:ext>
            </a:extLst>
          </xdr:cNvPr>
          <xdr:cNvSpPr>
            <a:spLocks noChangeArrowheads="1"/>
          </xdr:cNvSpPr>
        </xdr:nvSpPr>
        <xdr:spPr bwMode="auto">
          <a:xfrm>
            <a:off x="3569" y="3355"/>
            <a:ext cx="446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6" name="Rectangle 515">
            <a:extLst>
              <a:ext uri="{FF2B5EF4-FFF2-40B4-BE49-F238E27FC236}">
                <a16:creationId xmlns:a16="http://schemas.microsoft.com/office/drawing/2014/main" id="{CE9B8769-7EBE-40CF-92FB-7B2A9CCA667B}"/>
              </a:ext>
            </a:extLst>
          </xdr:cNvPr>
          <xdr:cNvSpPr>
            <a:spLocks noChangeArrowheads="1"/>
          </xdr:cNvSpPr>
        </xdr:nvSpPr>
        <xdr:spPr bwMode="auto">
          <a:xfrm>
            <a:off x="3569" y="3391"/>
            <a:ext cx="446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7" name="Line 514">
            <a:extLst>
              <a:ext uri="{FF2B5EF4-FFF2-40B4-BE49-F238E27FC236}">
                <a16:creationId xmlns:a16="http://schemas.microsoft.com/office/drawing/2014/main" id="{E8B9828E-A05B-497B-AD07-99DF40040634}"/>
              </a:ext>
            </a:extLst>
          </xdr:cNvPr>
          <xdr:cNvSpPr>
            <a:spLocks noChangeShapeType="1"/>
          </xdr:cNvSpPr>
        </xdr:nvSpPr>
        <xdr:spPr bwMode="auto">
          <a:xfrm>
            <a:off x="1811" y="4155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68" name="Rectangle 513">
            <a:extLst>
              <a:ext uri="{FF2B5EF4-FFF2-40B4-BE49-F238E27FC236}">
                <a16:creationId xmlns:a16="http://schemas.microsoft.com/office/drawing/2014/main" id="{72E953D9-2E55-4F65-B456-C57731EFD034}"/>
              </a:ext>
            </a:extLst>
          </xdr:cNvPr>
          <xdr:cNvSpPr>
            <a:spLocks noChangeArrowheads="1"/>
          </xdr:cNvSpPr>
        </xdr:nvSpPr>
        <xdr:spPr bwMode="auto">
          <a:xfrm>
            <a:off x="1811" y="4155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9" name="Line 512">
            <a:extLst>
              <a:ext uri="{FF2B5EF4-FFF2-40B4-BE49-F238E27FC236}">
                <a16:creationId xmlns:a16="http://schemas.microsoft.com/office/drawing/2014/main" id="{25F9C9E9-6CB9-47AC-A58E-E7D921058156}"/>
              </a:ext>
            </a:extLst>
          </xdr:cNvPr>
          <xdr:cNvSpPr>
            <a:spLocks noChangeShapeType="1"/>
          </xdr:cNvSpPr>
        </xdr:nvSpPr>
        <xdr:spPr bwMode="auto">
          <a:xfrm>
            <a:off x="1811" y="4676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0" name="Rectangle 511">
            <a:extLst>
              <a:ext uri="{FF2B5EF4-FFF2-40B4-BE49-F238E27FC236}">
                <a16:creationId xmlns:a16="http://schemas.microsoft.com/office/drawing/2014/main" id="{A101F452-EDDC-475A-B974-804FE1F2AF17}"/>
              </a:ext>
            </a:extLst>
          </xdr:cNvPr>
          <xdr:cNvSpPr>
            <a:spLocks noChangeArrowheads="1"/>
          </xdr:cNvSpPr>
        </xdr:nvSpPr>
        <xdr:spPr bwMode="auto">
          <a:xfrm>
            <a:off x="1811" y="4676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1" name="Line 510">
            <a:extLst>
              <a:ext uri="{FF2B5EF4-FFF2-40B4-BE49-F238E27FC236}">
                <a16:creationId xmlns:a16="http://schemas.microsoft.com/office/drawing/2014/main" id="{8D9C4C8C-731C-4C52-BFD4-AA8B97C747EA}"/>
              </a:ext>
            </a:extLst>
          </xdr:cNvPr>
          <xdr:cNvSpPr>
            <a:spLocks noChangeShapeType="1"/>
          </xdr:cNvSpPr>
        </xdr:nvSpPr>
        <xdr:spPr bwMode="auto">
          <a:xfrm>
            <a:off x="1793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2" name="Rectangle 509">
            <a:extLst>
              <a:ext uri="{FF2B5EF4-FFF2-40B4-BE49-F238E27FC236}">
                <a16:creationId xmlns:a16="http://schemas.microsoft.com/office/drawing/2014/main" id="{CE194121-70BA-4F0B-AD73-68E4EE971DC6}"/>
              </a:ext>
            </a:extLst>
          </xdr:cNvPr>
          <xdr:cNvSpPr>
            <a:spLocks noChangeArrowheads="1"/>
          </xdr:cNvSpPr>
        </xdr:nvSpPr>
        <xdr:spPr bwMode="auto">
          <a:xfrm>
            <a:off x="1793" y="4155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3" name="Line 508">
            <a:extLst>
              <a:ext uri="{FF2B5EF4-FFF2-40B4-BE49-F238E27FC236}">
                <a16:creationId xmlns:a16="http://schemas.microsoft.com/office/drawing/2014/main" id="{ECFD41BC-F8C1-4954-BDCA-58DD646D822B}"/>
              </a:ext>
            </a:extLst>
          </xdr:cNvPr>
          <xdr:cNvSpPr>
            <a:spLocks noChangeShapeType="1"/>
          </xdr:cNvSpPr>
        </xdr:nvSpPr>
        <xdr:spPr bwMode="auto">
          <a:xfrm>
            <a:off x="3387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4" name="Rectangle 507">
            <a:extLst>
              <a:ext uri="{FF2B5EF4-FFF2-40B4-BE49-F238E27FC236}">
                <a16:creationId xmlns:a16="http://schemas.microsoft.com/office/drawing/2014/main" id="{C9A98A54-9DFB-41DF-9FBE-5CD6D9E47DFE}"/>
              </a:ext>
            </a:extLst>
          </xdr:cNvPr>
          <xdr:cNvSpPr>
            <a:spLocks noChangeArrowheads="1"/>
          </xdr:cNvSpPr>
        </xdr:nvSpPr>
        <xdr:spPr bwMode="auto">
          <a:xfrm>
            <a:off x="3387" y="4172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5" name="Line 506">
            <a:extLst>
              <a:ext uri="{FF2B5EF4-FFF2-40B4-BE49-F238E27FC236}">
                <a16:creationId xmlns:a16="http://schemas.microsoft.com/office/drawing/2014/main" id="{FB648DCB-1C06-4595-8A56-39E0EB49C103}"/>
              </a:ext>
            </a:extLst>
          </xdr:cNvPr>
          <xdr:cNvSpPr>
            <a:spLocks noChangeShapeType="1"/>
          </xdr:cNvSpPr>
        </xdr:nvSpPr>
        <xdr:spPr bwMode="auto">
          <a:xfrm>
            <a:off x="1811" y="519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6" name="Rectangle 505">
            <a:extLst>
              <a:ext uri="{FF2B5EF4-FFF2-40B4-BE49-F238E27FC236}">
                <a16:creationId xmlns:a16="http://schemas.microsoft.com/office/drawing/2014/main" id="{FE44CFAA-1FFE-4B3C-9A7C-5CBF85FD535F}"/>
              </a:ext>
            </a:extLst>
          </xdr:cNvPr>
          <xdr:cNvSpPr>
            <a:spLocks noChangeArrowheads="1"/>
          </xdr:cNvSpPr>
        </xdr:nvSpPr>
        <xdr:spPr bwMode="auto">
          <a:xfrm>
            <a:off x="1811" y="5197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7" name="Line 504">
            <a:extLst>
              <a:ext uri="{FF2B5EF4-FFF2-40B4-BE49-F238E27FC236}">
                <a16:creationId xmlns:a16="http://schemas.microsoft.com/office/drawing/2014/main" id="{AC79BA53-86D4-4431-B485-BD4BDF0892C9}"/>
              </a:ext>
            </a:extLst>
          </xdr:cNvPr>
          <xdr:cNvSpPr>
            <a:spLocks noChangeShapeType="1"/>
          </xdr:cNvSpPr>
        </xdr:nvSpPr>
        <xdr:spPr bwMode="auto">
          <a:xfrm>
            <a:off x="8135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8" name="Rectangle 503">
            <a:extLst>
              <a:ext uri="{FF2B5EF4-FFF2-40B4-BE49-F238E27FC236}">
                <a16:creationId xmlns:a16="http://schemas.microsoft.com/office/drawing/2014/main" id="{8719D7D4-1960-4AA7-9B78-99BBC012A15C}"/>
              </a:ext>
            </a:extLst>
          </xdr:cNvPr>
          <xdr:cNvSpPr>
            <a:spLocks noChangeArrowheads="1"/>
          </xdr:cNvSpPr>
        </xdr:nvSpPr>
        <xdr:spPr bwMode="auto">
          <a:xfrm>
            <a:off x="8135" y="4155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9" name="Line 502">
            <a:extLst>
              <a:ext uri="{FF2B5EF4-FFF2-40B4-BE49-F238E27FC236}">
                <a16:creationId xmlns:a16="http://schemas.microsoft.com/office/drawing/2014/main" id="{0A2FCB3E-99C7-4A48-9F70-8D53D9EE1D09}"/>
              </a:ext>
            </a:extLst>
          </xdr:cNvPr>
          <xdr:cNvSpPr>
            <a:spLocks noChangeShapeType="1"/>
          </xdr:cNvSpPr>
        </xdr:nvSpPr>
        <xdr:spPr bwMode="auto">
          <a:xfrm>
            <a:off x="1811" y="571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0" name="Rectangle 501">
            <a:extLst>
              <a:ext uri="{FF2B5EF4-FFF2-40B4-BE49-F238E27FC236}">
                <a16:creationId xmlns:a16="http://schemas.microsoft.com/office/drawing/2014/main" id="{0D869E80-4E2B-4BDF-828E-492E559FF842}"/>
              </a:ext>
            </a:extLst>
          </xdr:cNvPr>
          <xdr:cNvSpPr>
            <a:spLocks noChangeArrowheads="1"/>
          </xdr:cNvSpPr>
        </xdr:nvSpPr>
        <xdr:spPr bwMode="auto">
          <a:xfrm>
            <a:off x="1811" y="571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1" name="Line 500">
            <a:extLst>
              <a:ext uri="{FF2B5EF4-FFF2-40B4-BE49-F238E27FC236}">
                <a16:creationId xmlns:a16="http://schemas.microsoft.com/office/drawing/2014/main" id="{97C2F59C-13D1-405F-9BBA-1BA55D28DDE9}"/>
              </a:ext>
            </a:extLst>
          </xdr:cNvPr>
          <xdr:cNvSpPr>
            <a:spLocks noChangeShapeType="1"/>
          </xdr:cNvSpPr>
        </xdr:nvSpPr>
        <xdr:spPr bwMode="auto">
          <a:xfrm>
            <a:off x="1793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2" name="Rectangle 499">
            <a:extLst>
              <a:ext uri="{FF2B5EF4-FFF2-40B4-BE49-F238E27FC236}">
                <a16:creationId xmlns:a16="http://schemas.microsoft.com/office/drawing/2014/main" id="{77D1B968-354B-46E7-AF12-221EB7A94622}"/>
              </a:ext>
            </a:extLst>
          </xdr:cNvPr>
          <xdr:cNvSpPr>
            <a:spLocks noChangeArrowheads="1"/>
          </xdr:cNvSpPr>
        </xdr:nvSpPr>
        <xdr:spPr bwMode="auto">
          <a:xfrm>
            <a:off x="1793" y="5197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3" name="Line 498">
            <a:extLst>
              <a:ext uri="{FF2B5EF4-FFF2-40B4-BE49-F238E27FC236}">
                <a16:creationId xmlns:a16="http://schemas.microsoft.com/office/drawing/2014/main" id="{6899DE41-AF51-4923-BBEB-09A07E104AC8}"/>
              </a:ext>
            </a:extLst>
          </xdr:cNvPr>
          <xdr:cNvSpPr>
            <a:spLocks noChangeShapeType="1"/>
          </xdr:cNvSpPr>
        </xdr:nvSpPr>
        <xdr:spPr bwMode="auto">
          <a:xfrm>
            <a:off x="3387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4" name="Rectangle 497">
            <a:extLst>
              <a:ext uri="{FF2B5EF4-FFF2-40B4-BE49-F238E27FC236}">
                <a16:creationId xmlns:a16="http://schemas.microsoft.com/office/drawing/2014/main" id="{E3F6CBEE-FE0F-4817-BDD6-312E8E58AB07}"/>
              </a:ext>
            </a:extLst>
          </xdr:cNvPr>
          <xdr:cNvSpPr>
            <a:spLocks noChangeArrowheads="1"/>
          </xdr:cNvSpPr>
        </xdr:nvSpPr>
        <xdr:spPr bwMode="auto">
          <a:xfrm>
            <a:off x="3387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5" name="Line 496">
            <a:extLst>
              <a:ext uri="{FF2B5EF4-FFF2-40B4-BE49-F238E27FC236}">
                <a16:creationId xmlns:a16="http://schemas.microsoft.com/office/drawing/2014/main" id="{F9562F9C-20F2-48AA-A192-88A944540728}"/>
              </a:ext>
            </a:extLst>
          </xdr:cNvPr>
          <xdr:cNvSpPr>
            <a:spLocks noChangeShapeType="1"/>
          </xdr:cNvSpPr>
        </xdr:nvSpPr>
        <xdr:spPr bwMode="auto">
          <a:xfrm>
            <a:off x="5136" y="4415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6" name="Rectangle 495">
            <a:extLst>
              <a:ext uri="{FF2B5EF4-FFF2-40B4-BE49-F238E27FC236}">
                <a16:creationId xmlns:a16="http://schemas.microsoft.com/office/drawing/2014/main" id="{2B536D1E-4165-4095-94FF-8906A572F64B}"/>
              </a:ext>
            </a:extLst>
          </xdr:cNvPr>
          <xdr:cNvSpPr>
            <a:spLocks noChangeArrowheads="1"/>
          </xdr:cNvSpPr>
        </xdr:nvSpPr>
        <xdr:spPr bwMode="auto">
          <a:xfrm>
            <a:off x="5136" y="4415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7" name="Line 494">
            <a:extLst>
              <a:ext uri="{FF2B5EF4-FFF2-40B4-BE49-F238E27FC236}">
                <a16:creationId xmlns:a16="http://schemas.microsoft.com/office/drawing/2014/main" id="{5DA20480-8877-498D-A1B2-CC1ABE3C1081}"/>
              </a:ext>
            </a:extLst>
          </xdr:cNvPr>
          <xdr:cNvSpPr>
            <a:spLocks noChangeShapeType="1"/>
          </xdr:cNvSpPr>
        </xdr:nvSpPr>
        <xdr:spPr bwMode="auto">
          <a:xfrm>
            <a:off x="6527" y="443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8" name="Rectangle 493">
            <a:extLst>
              <a:ext uri="{FF2B5EF4-FFF2-40B4-BE49-F238E27FC236}">
                <a16:creationId xmlns:a16="http://schemas.microsoft.com/office/drawing/2014/main" id="{C1C63F13-FC8A-4A1E-AFDD-AD940D04497B}"/>
              </a:ext>
            </a:extLst>
          </xdr:cNvPr>
          <xdr:cNvSpPr>
            <a:spLocks noChangeArrowheads="1"/>
          </xdr:cNvSpPr>
        </xdr:nvSpPr>
        <xdr:spPr bwMode="auto">
          <a:xfrm>
            <a:off x="6527" y="443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9" name="Line 492">
            <a:extLst>
              <a:ext uri="{FF2B5EF4-FFF2-40B4-BE49-F238E27FC236}">
                <a16:creationId xmlns:a16="http://schemas.microsoft.com/office/drawing/2014/main" id="{D8FB5ACF-7307-4A08-BFC4-8A642FA4375D}"/>
              </a:ext>
            </a:extLst>
          </xdr:cNvPr>
          <xdr:cNvSpPr>
            <a:spLocks noChangeShapeType="1"/>
          </xdr:cNvSpPr>
        </xdr:nvSpPr>
        <xdr:spPr bwMode="auto">
          <a:xfrm>
            <a:off x="1811" y="676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0" name="Rectangle 491">
            <a:extLst>
              <a:ext uri="{FF2B5EF4-FFF2-40B4-BE49-F238E27FC236}">
                <a16:creationId xmlns:a16="http://schemas.microsoft.com/office/drawing/2014/main" id="{D41EE668-AA60-4883-B0FA-D35F009EE8FE}"/>
              </a:ext>
            </a:extLst>
          </xdr:cNvPr>
          <xdr:cNvSpPr>
            <a:spLocks noChangeArrowheads="1"/>
          </xdr:cNvSpPr>
        </xdr:nvSpPr>
        <xdr:spPr bwMode="auto">
          <a:xfrm>
            <a:off x="1811" y="676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1" name="Line 490">
            <a:extLst>
              <a:ext uri="{FF2B5EF4-FFF2-40B4-BE49-F238E27FC236}">
                <a16:creationId xmlns:a16="http://schemas.microsoft.com/office/drawing/2014/main" id="{435B062A-63C2-437F-BA48-09240BBEC9AC}"/>
              </a:ext>
            </a:extLst>
          </xdr:cNvPr>
          <xdr:cNvSpPr>
            <a:spLocks noChangeShapeType="1"/>
          </xdr:cNvSpPr>
        </xdr:nvSpPr>
        <xdr:spPr bwMode="auto">
          <a:xfrm>
            <a:off x="9526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2" name="Rectangle 489">
            <a:extLst>
              <a:ext uri="{FF2B5EF4-FFF2-40B4-BE49-F238E27FC236}">
                <a16:creationId xmlns:a16="http://schemas.microsoft.com/office/drawing/2014/main" id="{C6D52C73-F64F-45C7-89D8-E1F2663E5CD6}"/>
              </a:ext>
            </a:extLst>
          </xdr:cNvPr>
          <xdr:cNvSpPr>
            <a:spLocks noChangeArrowheads="1"/>
          </xdr:cNvSpPr>
        </xdr:nvSpPr>
        <xdr:spPr bwMode="auto">
          <a:xfrm>
            <a:off x="9526" y="4172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3" name="Line 488">
            <a:extLst>
              <a:ext uri="{FF2B5EF4-FFF2-40B4-BE49-F238E27FC236}">
                <a16:creationId xmlns:a16="http://schemas.microsoft.com/office/drawing/2014/main" id="{BDF8CCC3-90AB-4B03-8E15-9B60EE36120A}"/>
              </a:ext>
            </a:extLst>
          </xdr:cNvPr>
          <xdr:cNvSpPr>
            <a:spLocks noChangeShapeType="1"/>
          </xdr:cNvSpPr>
        </xdr:nvSpPr>
        <xdr:spPr bwMode="auto">
          <a:xfrm>
            <a:off x="1754" y="7021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4" name="Rectangle 487">
            <a:extLst>
              <a:ext uri="{FF2B5EF4-FFF2-40B4-BE49-F238E27FC236}">
                <a16:creationId xmlns:a16="http://schemas.microsoft.com/office/drawing/2014/main" id="{6222E18A-96C6-4911-8EE2-938EC9C7FED5}"/>
              </a:ext>
            </a:extLst>
          </xdr:cNvPr>
          <xdr:cNvSpPr>
            <a:spLocks noChangeArrowheads="1"/>
          </xdr:cNvSpPr>
        </xdr:nvSpPr>
        <xdr:spPr bwMode="auto">
          <a:xfrm>
            <a:off x="1754" y="7021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5" name="Line 486">
            <a:extLst>
              <a:ext uri="{FF2B5EF4-FFF2-40B4-BE49-F238E27FC236}">
                <a16:creationId xmlns:a16="http://schemas.microsoft.com/office/drawing/2014/main" id="{CB617971-3D32-4EEC-9899-1960FC3281F7}"/>
              </a:ext>
            </a:extLst>
          </xdr:cNvPr>
          <xdr:cNvSpPr>
            <a:spLocks noChangeShapeType="1"/>
          </xdr:cNvSpPr>
        </xdr:nvSpPr>
        <xdr:spPr bwMode="auto">
          <a:xfrm>
            <a:off x="8020" y="676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6" name="Rectangle 485">
            <a:extLst>
              <a:ext uri="{FF2B5EF4-FFF2-40B4-BE49-F238E27FC236}">
                <a16:creationId xmlns:a16="http://schemas.microsoft.com/office/drawing/2014/main" id="{37053727-56A2-492B-A3B8-F1BB343D6DCE}"/>
              </a:ext>
            </a:extLst>
          </xdr:cNvPr>
          <xdr:cNvSpPr>
            <a:spLocks noChangeArrowheads="1"/>
          </xdr:cNvSpPr>
        </xdr:nvSpPr>
        <xdr:spPr bwMode="auto">
          <a:xfrm>
            <a:off x="8020" y="676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7" name="Line 484">
            <a:extLst>
              <a:ext uri="{FF2B5EF4-FFF2-40B4-BE49-F238E27FC236}">
                <a16:creationId xmlns:a16="http://schemas.microsoft.com/office/drawing/2014/main" id="{2BDD1E19-690F-44EC-AE90-534B0072D469}"/>
              </a:ext>
            </a:extLst>
          </xdr:cNvPr>
          <xdr:cNvSpPr>
            <a:spLocks noChangeShapeType="1"/>
          </xdr:cNvSpPr>
        </xdr:nvSpPr>
        <xdr:spPr bwMode="auto">
          <a:xfrm>
            <a:off x="1793" y="6239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8" name="Rectangle 483">
            <a:extLst>
              <a:ext uri="{FF2B5EF4-FFF2-40B4-BE49-F238E27FC236}">
                <a16:creationId xmlns:a16="http://schemas.microsoft.com/office/drawing/2014/main" id="{1569BBDF-8D55-48E0-A2A5-EC198D1D9DB2}"/>
              </a:ext>
            </a:extLst>
          </xdr:cNvPr>
          <xdr:cNvSpPr>
            <a:spLocks noChangeArrowheads="1"/>
          </xdr:cNvSpPr>
        </xdr:nvSpPr>
        <xdr:spPr bwMode="auto">
          <a:xfrm>
            <a:off x="1793" y="6239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9" name="Line 482">
            <a:extLst>
              <a:ext uri="{FF2B5EF4-FFF2-40B4-BE49-F238E27FC236}">
                <a16:creationId xmlns:a16="http://schemas.microsoft.com/office/drawing/2014/main" id="{7DFE787B-E64D-497B-9CAD-1A3FA7B03E74}"/>
              </a:ext>
            </a:extLst>
          </xdr:cNvPr>
          <xdr:cNvSpPr>
            <a:spLocks noChangeShapeType="1"/>
          </xdr:cNvSpPr>
        </xdr:nvSpPr>
        <xdr:spPr bwMode="auto">
          <a:xfrm>
            <a:off x="3387" y="625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0" name="Rectangle 481">
            <a:extLst>
              <a:ext uri="{FF2B5EF4-FFF2-40B4-BE49-F238E27FC236}">
                <a16:creationId xmlns:a16="http://schemas.microsoft.com/office/drawing/2014/main" id="{6085914D-5C6C-4D9B-868E-FC348B9C572B}"/>
              </a:ext>
            </a:extLst>
          </xdr:cNvPr>
          <xdr:cNvSpPr>
            <a:spLocks noChangeArrowheads="1"/>
          </xdr:cNvSpPr>
        </xdr:nvSpPr>
        <xdr:spPr bwMode="auto">
          <a:xfrm>
            <a:off x="3387" y="625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1" name="Line 480">
            <a:extLst>
              <a:ext uri="{FF2B5EF4-FFF2-40B4-BE49-F238E27FC236}">
                <a16:creationId xmlns:a16="http://schemas.microsoft.com/office/drawing/2014/main" id="{778498A3-BA4F-4988-893D-9C8F9CCDBD6C}"/>
              </a:ext>
            </a:extLst>
          </xdr:cNvPr>
          <xdr:cNvSpPr>
            <a:spLocks noChangeShapeType="1"/>
          </xdr:cNvSpPr>
        </xdr:nvSpPr>
        <xdr:spPr bwMode="auto">
          <a:xfrm>
            <a:off x="1811" y="7802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2" name="Rectangle 479">
            <a:extLst>
              <a:ext uri="{FF2B5EF4-FFF2-40B4-BE49-F238E27FC236}">
                <a16:creationId xmlns:a16="http://schemas.microsoft.com/office/drawing/2014/main" id="{6D568A70-E8F8-489C-B1E9-A257FD30E0C6}"/>
              </a:ext>
            </a:extLst>
          </xdr:cNvPr>
          <xdr:cNvSpPr>
            <a:spLocks noChangeArrowheads="1"/>
          </xdr:cNvSpPr>
        </xdr:nvSpPr>
        <xdr:spPr bwMode="auto">
          <a:xfrm>
            <a:off x="1811" y="7802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3" name="Line 478">
            <a:extLst>
              <a:ext uri="{FF2B5EF4-FFF2-40B4-BE49-F238E27FC236}">
                <a16:creationId xmlns:a16="http://schemas.microsoft.com/office/drawing/2014/main" id="{FBB2C56E-FC28-4BB3-86E3-24A58B7708AB}"/>
              </a:ext>
            </a:extLst>
          </xdr:cNvPr>
          <xdr:cNvSpPr>
            <a:spLocks noChangeShapeType="1"/>
          </xdr:cNvSpPr>
        </xdr:nvSpPr>
        <xdr:spPr bwMode="auto">
          <a:xfrm>
            <a:off x="3560" y="545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4" name="Rectangle 477">
            <a:extLst>
              <a:ext uri="{FF2B5EF4-FFF2-40B4-BE49-F238E27FC236}">
                <a16:creationId xmlns:a16="http://schemas.microsoft.com/office/drawing/2014/main" id="{F5B65688-08D2-419A-B912-3F95D9BCF8B8}"/>
              </a:ext>
            </a:extLst>
          </xdr:cNvPr>
          <xdr:cNvSpPr>
            <a:spLocks noChangeArrowheads="1"/>
          </xdr:cNvSpPr>
        </xdr:nvSpPr>
        <xdr:spPr bwMode="auto">
          <a:xfrm>
            <a:off x="3560" y="545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5" name="Line 476">
            <a:extLst>
              <a:ext uri="{FF2B5EF4-FFF2-40B4-BE49-F238E27FC236}">
                <a16:creationId xmlns:a16="http://schemas.microsoft.com/office/drawing/2014/main" id="{63CFF636-91AC-425C-BDF0-167DCD5FB930}"/>
              </a:ext>
            </a:extLst>
          </xdr:cNvPr>
          <xdr:cNvSpPr>
            <a:spLocks noChangeShapeType="1"/>
          </xdr:cNvSpPr>
        </xdr:nvSpPr>
        <xdr:spPr bwMode="auto">
          <a:xfrm>
            <a:off x="1811" y="8063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6" name="Rectangle 475">
            <a:extLst>
              <a:ext uri="{FF2B5EF4-FFF2-40B4-BE49-F238E27FC236}">
                <a16:creationId xmlns:a16="http://schemas.microsoft.com/office/drawing/2014/main" id="{085CB730-FCC8-489D-8F4A-69E64E3092DD}"/>
              </a:ext>
            </a:extLst>
          </xdr:cNvPr>
          <xdr:cNvSpPr>
            <a:spLocks noChangeArrowheads="1"/>
          </xdr:cNvSpPr>
        </xdr:nvSpPr>
        <xdr:spPr bwMode="auto">
          <a:xfrm>
            <a:off x="1811" y="8063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7" name="Line 474">
            <a:extLst>
              <a:ext uri="{FF2B5EF4-FFF2-40B4-BE49-F238E27FC236}">
                <a16:creationId xmlns:a16="http://schemas.microsoft.com/office/drawing/2014/main" id="{D0D29C95-62F1-4DEA-9DA9-832BA65A1FF4}"/>
              </a:ext>
            </a:extLst>
          </xdr:cNvPr>
          <xdr:cNvSpPr>
            <a:spLocks noChangeShapeType="1"/>
          </xdr:cNvSpPr>
        </xdr:nvSpPr>
        <xdr:spPr bwMode="auto">
          <a:xfrm>
            <a:off x="3577" y="8063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8" name="Rectangle 473">
            <a:extLst>
              <a:ext uri="{FF2B5EF4-FFF2-40B4-BE49-F238E27FC236}">
                <a16:creationId xmlns:a16="http://schemas.microsoft.com/office/drawing/2014/main" id="{A10D6AE7-FA5B-4ACF-B4E0-DF1235380645}"/>
              </a:ext>
            </a:extLst>
          </xdr:cNvPr>
          <xdr:cNvSpPr>
            <a:spLocks noChangeArrowheads="1"/>
          </xdr:cNvSpPr>
        </xdr:nvSpPr>
        <xdr:spPr bwMode="auto">
          <a:xfrm>
            <a:off x="3577" y="8063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9" name="Line 472">
            <a:extLst>
              <a:ext uri="{FF2B5EF4-FFF2-40B4-BE49-F238E27FC236}">
                <a16:creationId xmlns:a16="http://schemas.microsoft.com/office/drawing/2014/main" id="{F0F36F20-F3A6-4F20-AED1-F0EBB8344222}"/>
              </a:ext>
            </a:extLst>
          </xdr:cNvPr>
          <xdr:cNvSpPr>
            <a:spLocks noChangeShapeType="1"/>
          </xdr:cNvSpPr>
        </xdr:nvSpPr>
        <xdr:spPr bwMode="auto">
          <a:xfrm>
            <a:off x="5136" y="6500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0" name="Rectangle 471">
            <a:extLst>
              <a:ext uri="{FF2B5EF4-FFF2-40B4-BE49-F238E27FC236}">
                <a16:creationId xmlns:a16="http://schemas.microsoft.com/office/drawing/2014/main" id="{56BBA49F-5BCF-4341-AA18-785EB9B95D56}"/>
              </a:ext>
            </a:extLst>
          </xdr:cNvPr>
          <xdr:cNvSpPr>
            <a:spLocks noChangeArrowheads="1"/>
          </xdr:cNvSpPr>
        </xdr:nvSpPr>
        <xdr:spPr bwMode="auto">
          <a:xfrm>
            <a:off x="5136" y="6500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1" name="Line 470">
            <a:extLst>
              <a:ext uri="{FF2B5EF4-FFF2-40B4-BE49-F238E27FC236}">
                <a16:creationId xmlns:a16="http://schemas.microsoft.com/office/drawing/2014/main" id="{F0EE4BF2-9D04-48D5-8F1C-34B7CDA0C4F1}"/>
              </a:ext>
            </a:extLst>
          </xdr:cNvPr>
          <xdr:cNvSpPr>
            <a:spLocks noChangeShapeType="1"/>
          </xdr:cNvSpPr>
        </xdr:nvSpPr>
        <xdr:spPr bwMode="auto">
          <a:xfrm>
            <a:off x="6527" y="651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2" name="Rectangle 469">
            <a:extLst>
              <a:ext uri="{FF2B5EF4-FFF2-40B4-BE49-F238E27FC236}">
                <a16:creationId xmlns:a16="http://schemas.microsoft.com/office/drawing/2014/main" id="{EB1ED856-971A-4946-98EA-268149929161}"/>
              </a:ext>
            </a:extLst>
          </xdr:cNvPr>
          <xdr:cNvSpPr>
            <a:spLocks noChangeArrowheads="1"/>
          </xdr:cNvSpPr>
        </xdr:nvSpPr>
        <xdr:spPr bwMode="auto">
          <a:xfrm>
            <a:off x="6527" y="651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3" name="Line 468">
            <a:extLst>
              <a:ext uri="{FF2B5EF4-FFF2-40B4-BE49-F238E27FC236}">
                <a16:creationId xmlns:a16="http://schemas.microsoft.com/office/drawing/2014/main" id="{611562ED-6535-4280-BB35-BBC72961B503}"/>
              </a:ext>
            </a:extLst>
          </xdr:cNvPr>
          <xdr:cNvSpPr>
            <a:spLocks noChangeShapeType="1"/>
          </xdr:cNvSpPr>
        </xdr:nvSpPr>
        <xdr:spPr bwMode="auto">
          <a:xfrm>
            <a:off x="8135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4" name="Rectangle 467">
            <a:extLst>
              <a:ext uri="{FF2B5EF4-FFF2-40B4-BE49-F238E27FC236}">
                <a16:creationId xmlns:a16="http://schemas.microsoft.com/office/drawing/2014/main" id="{5C3EC160-D472-4D06-B7C8-D7F627D85ECB}"/>
              </a:ext>
            </a:extLst>
          </xdr:cNvPr>
          <xdr:cNvSpPr>
            <a:spLocks noChangeArrowheads="1"/>
          </xdr:cNvSpPr>
        </xdr:nvSpPr>
        <xdr:spPr bwMode="auto">
          <a:xfrm>
            <a:off x="8135" y="519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5" name="Line 466">
            <a:extLst>
              <a:ext uri="{FF2B5EF4-FFF2-40B4-BE49-F238E27FC236}">
                <a16:creationId xmlns:a16="http://schemas.microsoft.com/office/drawing/2014/main" id="{DE114716-1243-4378-8698-CEF7B50E12E3}"/>
              </a:ext>
            </a:extLst>
          </xdr:cNvPr>
          <xdr:cNvSpPr>
            <a:spLocks noChangeShapeType="1"/>
          </xdr:cNvSpPr>
        </xdr:nvSpPr>
        <xdr:spPr bwMode="auto">
          <a:xfrm>
            <a:off x="9526" y="677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6" name="Rectangle 465">
            <a:extLst>
              <a:ext uri="{FF2B5EF4-FFF2-40B4-BE49-F238E27FC236}">
                <a16:creationId xmlns:a16="http://schemas.microsoft.com/office/drawing/2014/main" id="{6F9E75A9-0FBF-4E39-A91F-A92C47EDA05F}"/>
              </a:ext>
            </a:extLst>
          </xdr:cNvPr>
          <xdr:cNvSpPr>
            <a:spLocks noChangeArrowheads="1"/>
          </xdr:cNvSpPr>
        </xdr:nvSpPr>
        <xdr:spPr bwMode="auto">
          <a:xfrm>
            <a:off x="9526" y="6778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7" name="Line 464">
            <a:extLst>
              <a:ext uri="{FF2B5EF4-FFF2-40B4-BE49-F238E27FC236}">
                <a16:creationId xmlns:a16="http://schemas.microsoft.com/office/drawing/2014/main" id="{F3E4659E-1632-42CA-B471-983B65702740}"/>
              </a:ext>
            </a:extLst>
          </xdr:cNvPr>
          <xdr:cNvSpPr>
            <a:spLocks noChangeShapeType="1"/>
          </xdr:cNvSpPr>
        </xdr:nvSpPr>
        <xdr:spPr bwMode="auto">
          <a:xfrm>
            <a:off x="1736" y="3894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8" name="Rectangle 463">
            <a:extLst>
              <a:ext uri="{FF2B5EF4-FFF2-40B4-BE49-F238E27FC236}">
                <a16:creationId xmlns:a16="http://schemas.microsoft.com/office/drawing/2014/main" id="{C43C5829-BABC-4E4D-AD9E-DF1B11667BC6}"/>
              </a:ext>
            </a:extLst>
          </xdr:cNvPr>
          <xdr:cNvSpPr>
            <a:spLocks noChangeArrowheads="1"/>
          </xdr:cNvSpPr>
        </xdr:nvSpPr>
        <xdr:spPr bwMode="auto">
          <a:xfrm>
            <a:off x="1736" y="3894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9" name="Line 462">
            <a:extLst>
              <a:ext uri="{FF2B5EF4-FFF2-40B4-BE49-F238E27FC236}">
                <a16:creationId xmlns:a16="http://schemas.microsoft.com/office/drawing/2014/main" id="{949399F4-EBA3-44E3-B72A-F776F6D292A3}"/>
              </a:ext>
            </a:extLst>
          </xdr:cNvPr>
          <xdr:cNvSpPr>
            <a:spLocks noChangeShapeType="1"/>
          </xdr:cNvSpPr>
        </xdr:nvSpPr>
        <xdr:spPr bwMode="auto">
          <a:xfrm>
            <a:off x="3445" y="3912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48" name="Rectangle 461">
            <a:extLst>
              <a:ext uri="{FF2B5EF4-FFF2-40B4-BE49-F238E27FC236}">
                <a16:creationId xmlns:a16="http://schemas.microsoft.com/office/drawing/2014/main" id="{4BABE983-DC66-4442-BC31-1E9AC0E88784}"/>
              </a:ext>
            </a:extLst>
          </xdr:cNvPr>
          <xdr:cNvSpPr>
            <a:spLocks noChangeArrowheads="1"/>
          </xdr:cNvSpPr>
        </xdr:nvSpPr>
        <xdr:spPr bwMode="auto">
          <a:xfrm>
            <a:off x="3445" y="3912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49" name="Line 460">
            <a:extLst>
              <a:ext uri="{FF2B5EF4-FFF2-40B4-BE49-F238E27FC236}">
                <a16:creationId xmlns:a16="http://schemas.microsoft.com/office/drawing/2014/main" id="{175DF9F4-A622-412A-B4B6-590B980027F1}"/>
              </a:ext>
            </a:extLst>
          </xdr:cNvPr>
          <xdr:cNvSpPr>
            <a:spLocks noChangeShapeType="1"/>
          </xdr:cNvSpPr>
        </xdr:nvSpPr>
        <xdr:spPr bwMode="auto">
          <a:xfrm>
            <a:off x="1754" y="9105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0" name="Rectangle 459">
            <a:extLst>
              <a:ext uri="{FF2B5EF4-FFF2-40B4-BE49-F238E27FC236}">
                <a16:creationId xmlns:a16="http://schemas.microsoft.com/office/drawing/2014/main" id="{F18035C9-52FD-41B3-B830-937D1ABDEF7E}"/>
              </a:ext>
            </a:extLst>
          </xdr:cNvPr>
          <xdr:cNvSpPr>
            <a:spLocks noChangeArrowheads="1"/>
          </xdr:cNvSpPr>
        </xdr:nvSpPr>
        <xdr:spPr bwMode="auto">
          <a:xfrm>
            <a:off x="1754" y="9105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1" name="Line 458">
            <a:extLst>
              <a:ext uri="{FF2B5EF4-FFF2-40B4-BE49-F238E27FC236}">
                <a16:creationId xmlns:a16="http://schemas.microsoft.com/office/drawing/2014/main" id="{83CF39F1-00F7-41BC-BC27-1AFC86B84DC5}"/>
              </a:ext>
            </a:extLst>
          </xdr:cNvPr>
          <xdr:cNvSpPr>
            <a:spLocks noChangeShapeType="1"/>
          </xdr:cNvSpPr>
        </xdr:nvSpPr>
        <xdr:spPr bwMode="auto">
          <a:xfrm>
            <a:off x="1793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2" name="Rectangle 457">
            <a:extLst>
              <a:ext uri="{FF2B5EF4-FFF2-40B4-BE49-F238E27FC236}">
                <a16:creationId xmlns:a16="http://schemas.microsoft.com/office/drawing/2014/main" id="{A59F6BA4-4C6E-44BD-AF27-4FF8FF3129AC}"/>
              </a:ext>
            </a:extLst>
          </xdr:cNvPr>
          <xdr:cNvSpPr>
            <a:spLocks noChangeArrowheads="1"/>
          </xdr:cNvSpPr>
        </xdr:nvSpPr>
        <xdr:spPr bwMode="auto">
          <a:xfrm>
            <a:off x="1793" y="7802"/>
            <a:ext cx="18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3" name="Line 456">
            <a:extLst>
              <a:ext uri="{FF2B5EF4-FFF2-40B4-BE49-F238E27FC236}">
                <a16:creationId xmlns:a16="http://schemas.microsoft.com/office/drawing/2014/main" id="{817FB02A-540E-444E-B22C-A0059D270E05}"/>
              </a:ext>
            </a:extLst>
          </xdr:cNvPr>
          <xdr:cNvSpPr>
            <a:spLocks noChangeShapeType="1"/>
          </xdr:cNvSpPr>
        </xdr:nvSpPr>
        <xdr:spPr bwMode="auto">
          <a:xfrm>
            <a:off x="3387" y="7820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4" name="Rectangle 455">
            <a:extLst>
              <a:ext uri="{FF2B5EF4-FFF2-40B4-BE49-F238E27FC236}">
                <a16:creationId xmlns:a16="http://schemas.microsoft.com/office/drawing/2014/main" id="{EC39567D-86ED-4F38-8C5B-1C5FB40B868B}"/>
              </a:ext>
            </a:extLst>
          </xdr:cNvPr>
          <xdr:cNvSpPr>
            <a:spLocks noChangeArrowheads="1"/>
          </xdr:cNvSpPr>
        </xdr:nvSpPr>
        <xdr:spPr bwMode="auto">
          <a:xfrm>
            <a:off x="3387" y="7820"/>
            <a:ext cx="18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5" name="Line 454">
            <a:extLst>
              <a:ext uri="{FF2B5EF4-FFF2-40B4-BE49-F238E27FC236}">
                <a16:creationId xmlns:a16="http://schemas.microsoft.com/office/drawing/2014/main" id="{CB923A60-F764-49F0-83DA-DEAECD857B48}"/>
              </a:ext>
            </a:extLst>
          </xdr:cNvPr>
          <xdr:cNvSpPr>
            <a:spLocks noChangeShapeType="1"/>
          </xdr:cNvSpPr>
        </xdr:nvSpPr>
        <xdr:spPr bwMode="auto">
          <a:xfrm>
            <a:off x="1811" y="988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6" name="Rectangle 453">
            <a:extLst>
              <a:ext uri="{FF2B5EF4-FFF2-40B4-BE49-F238E27FC236}">
                <a16:creationId xmlns:a16="http://schemas.microsoft.com/office/drawing/2014/main" id="{37A2CE4C-64C0-4B74-87BD-CB29E19C24B5}"/>
              </a:ext>
            </a:extLst>
          </xdr:cNvPr>
          <xdr:cNvSpPr>
            <a:spLocks noChangeArrowheads="1"/>
          </xdr:cNvSpPr>
        </xdr:nvSpPr>
        <xdr:spPr bwMode="auto">
          <a:xfrm>
            <a:off x="1811" y="9887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7" name="Line 452">
            <a:extLst>
              <a:ext uri="{FF2B5EF4-FFF2-40B4-BE49-F238E27FC236}">
                <a16:creationId xmlns:a16="http://schemas.microsoft.com/office/drawing/2014/main" id="{ABC0CA2A-757D-484B-A345-F2B3703A8AFD}"/>
              </a:ext>
            </a:extLst>
          </xdr:cNvPr>
          <xdr:cNvSpPr>
            <a:spLocks noChangeShapeType="1"/>
          </xdr:cNvSpPr>
        </xdr:nvSpPr>
        <xdr:spPr bwMode="auto">
          <a:xfrm>
            <a:off x="6629" y="7542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8" name="Rectangle 451">
            <a:extLst>
              <a:ext uri="{FF2B5EF4-FFF2-40B4-BE49-F238E27FC236}">
                <a16:creationId xmlns:a16="http://schemas.microsoft.com/office/drawing/2014/main" id="{1175956F-938A-40EF-A4EC-57F93B61F872}"/>
              </a:ext>
            </a:extLst>
          </xdr:cNvPr>
          <xdr:cNvSpPr>
            <a:spLocks noChangeArrowheads="1"/>
          </xdr:cNvSpPr>
        </xdr:nvSpPr>
        <xdr:spPr bwMode="auto">
          <a:xfrm>
            <a:off x="6629" y="7542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9" name="Line 450">
            <a:extLst>
              <a:ext uri="{FF2B5EF4-FFF2-40B4-BE49-F238E27FC236}">
                <a16:creationId xmlns:a16="http://schemas.microsoft.com/office/drawing/2014/main" id="{11097F6A-5ECF-4BC5-B4B1-8336F4C8BE70}"/>
              </a:ext>
            </a:extLst>
          </xdr:cNvPr>
          <xdr:cNvSpPr>
            <a:spLocks noChangeShapeType="1"/>
          </xdr:cNvSpPr>
        </xdr:nvSpPr>
        <xdr:spPr bwMode="auto">
          <a:xfrm>
            <a:off x="8020" y="756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0" name="Rectangle 449">
            <a:extLst>
              <a:ext uri="{FF2B5EF4-FFF2-40B4-BE49-F238E27FC236}">
                <a16:creationId xmlns:a16="http://schemas.microsoft.com/office/drawing/2014/main" id="{528BB466-2F47-4940-8328-BAB1350D8C65}"/>
              </a:ext>
            </a:extLst>
          </xdr:cNvPr>
          <xdr:cNvSpPr>
            <a:spLocks noChangeArrowheads="1"/>
          </xdr:cNvSpPr>
        </xdr:nvSpPr>
        <xdr:spPr bwMode="auto">
          <a:xfrm>
            <a:off x="8020" y="7560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1" name="Line 448">
            <a:extLst>
              <a:ext uri="{FF2B5EF4-FFF2-40B4-BE49-F238E27FC236}">
                <a16:creationId xmlns:a16="http://schemas.microsoft.com/office/drawing/2014/main" id="{3293D91C-40E1-47BB-9CED-FC8C0B2FFD09}"/>
              </a:ext>
            </a:extLst>
          </xdr:cNvPr>
          <xdr:cNvSpPr>
            <a:spLocks noChangeShapeType="1"/>
          </xdr:cNvSpPr>
        </xdr:nvSpPr>
        <xdr:spPr bwMode="auto">
          <a:xfrm>
            <a:off x="1793" y="9366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2" name="Rectangle 447">
            <a:extLst>
              <a:ext uri="{FF2B5EF4-FFF2-40B4-BE49-F238E27FC236}">
                <a16:creationId xmlns:a16="http://schemas.microsoft.com/office/drawing/2014/main" id="{79DE3D3D-AB1E-4795-85F1-98BD54363488}"/>
              </a:ext>
            </a:extLst>
          </xdr:cNvPr>
          <xdr:cNvSpPr>
            <a:spLocks noChangeArrowheads="1"/>
          </xdr:cNvSpPr>
        </xdr:nvSpPr>
        <xdr:spPr bwMode="auto">
          <a:xfrm>
            <a:off x="1793" y="9366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3" name="Line 446">
            <a:extLst>
              <a:ext uri="{FF2B5EF4-FFF2-40B4-BE49-F238E27FC236}">
                <a16:creationId xmlns:a16="http://schemas.microsoft.com/office/drawing/2014/main" id="{53110131-8101-4FD7-A7B8-FDA4A77D7317}"/>
              </a:ext>
            </a:extLst>
          </xdr:cNvPr>
          <xdr:cNvSpPr>
            <a:spLocks noChangeShapeType="1"/>
          </xdr:cNvSpPr>
        </xdr:nvSpPr>
        <xdr:spPr bwMode="auto">
          <a:xfrm>
            <a:off x="3387" y="938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4" name="Rectangle 445">
            <a:extLst>
              <a:ext uri="{FF2B5EF4-FFF2-40B4-BE49-F238E27FC236}">
                <a16:creationId xmlns:a16="http://schemas.microsoft.com/office/drawing/2014/main" id="{0B4F2CB6-7F19-4535-818A-8B98E8ADA2BA}"/>
              </a:ext>
            </a:extLst>
          </xdr:cNvPr>
          <xdr:cNvSpPr>
            <a:spLocks noChangeArrowheads="1"/>
          </xdr:cNvSpPr>
        </xdr:nvSpPr>
        <xdr:spPr bwMode="auto">
          <a:xfrm>
            <a:off x="3387" y="938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5" name="Line 444">
            <a:extLst>
              <a:ext uri="{FF2B5EF4-FFF2-40B4-BE49-F238E27FC236}">
                <a16:creationId xmlns:a16="http://schemas.microsoft.com/office/drawing/2014/main" id="{D86AB097-A5DF-4D7E-9ABA-001FE773D6A2}"/>
              </a:ext>
            </a:extLst>
          </xdr:cNvPr>
          <xdr:cNvSpPr>
            <a:spLocks noChangeShapeType="1"/>
          </xdr:cNvSpPr>
        </xdr:nvSpPr>
        <xdr:spPr bwMode="auto">
          <a:xfrm>
            <a:off x="1811" y="10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6" name="Rectangle 443">
            <a:extLst>
              <a:ext uri="{FF2B5EF4-FFF2-40B4-BE49-F238E27FC236}">
                <a16:creationId xmlns:a16="http://schemas.microsoft.com/office/drawing/2014/main" id="{75F8FC98-C2CD-4D8F-8B8B-879BCE1EF4F0}"/>
              </a:ext>
            </a:extLst>
          </xdr:cNvPr>
          <xdr:cNvSpPr>
            <a:spLocks noChangeArrowheads="1"/>
          </xdr:cNvSpPr>
        </xdr:nvSpPr>
        <xdr:spPr bwMode="auto">
          <a:xfrm>
            <a:off x="1811" y="1040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7" name="Line 442">
            <a:extLst>
              <a:ext uri="{FF2B5EF4-FFF2-40B4-BE49-F238E27FC236}">
                <a16:creationId xmlns:a16="http://schemas.microsoft.com/office/drawing/2014/main" id="{CA672EFC-8E56-4CAB-A4F3-280ABD8CC4BD}"/>
              </a:ext>
            </a:extLst>
          </xdr:cNvPr>
          <xdr:cNvSpPr>
            <a:spLocks noChangeShapeType="1"/>
          </xdr:cNvSpPr>
        </xdr:nvSpPr>
        <xdr:spPr bwMode="auto">
          <a:xfrm>
            <a:off x="6629" y="988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8" name="Rectangle 441">
            <a:extLst>
              <a:ext uri="{FF2B5EF4-FFF2-40B4-BE49-F238E27FC236}">
                <a16:creationId xmlns:a16="http://schemas.microsoft.com/office/drawing/2014/main" id="{98DB7D5C-F6AC-473F-A825-F0CF0D72E023}"/>
              </a:ext>
            </a:extLst>
          </xdr:cNvPr>
          <xdr:cNvSpPr>
            <a:spLocks noChangeArrowheads="1"/>
          </xdr:cNvSpPr>
        </xdr:nvSpPr>
        <xdr:spPr bwMode="auto">
          <a:xfrm>
            <a:off x="6629" y="988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9" name="Line 440">
            <a:extLst>
              <a:ext uri="{FF2B5EF4-FFF2-40B4-BE49-F238E27FC236}">
                <a16:creationId xmlns:a16="http://schemas.microsoft.com/office/drawing/2014/main" id="{5D0A73A7-4C39-4F9B-BC1D-53F9CEEA814B}"/>
              </a:ext>
            </a:extLst>
          </xdr:cNvPr>
          <xdr:cNvSpPr>
            <a:spLocks noChangeShapeType="1"/>
          </xdr:cNvSpPr>
        </xdr:nvSpPr>
        <xdr:spPr bwMode="auto">
          <a:xfrm>
            <a:off x="8020" y="9904"/>
            <a:ext cx="1" cy="522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0" name="Rectangle 439">
            <a:extLst>
              <a:ext uri="{FF2B5EF4-FFF2-40B4-BE49-F238E27FC236}">
                <a16:creationId xmlns:a16="http://schemas.microsoft.com/office/drawing/2014/main" id="{5F83A983-5D61-414E-BAD6-AF7F9784C6A2}"/>
              </a:ext>
            </a:extLst>
          </xdr:cNvPr>
          <xdr:cNvSpPr>
            <a:spLocks noChangeArrowheads="1"/>
          </xdr:cNvSpPr>
        </xdr:nvSpPr>
        <xdr:spPr bwMode="auto">
          <a:xfrm>
            <a:off x="8020" y="9904"/>
            <a:ext cx="17" cy="52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1" name="Line 438">
            <a:extLst>
              <a:ext uri="{FF2B5EF4-FFF2-40B4-BE49-F238E27FC236}">
                <a16:creationId xmlns:a16="http://schemas.microsoft.com/office/drawing/2014/main" id="{F77B8D6E-0380-4616-9410-72FF677AFC1D}"/>
              </a:ext>
            </a:extLst>
          </xdr:cNvPr>
          <xdr:cNvSpPr>
            <a:spLocks noChangeShapeType="1"/>
          </xdr:cNvSpPr>
        </xdr:nvSpPr>
        <xdr:spPr bwMode="auto">
          <a:xfrm>
            <a:off x="1793" y="10408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2" name="Rectangle 437">
            <a:extLst>
              <a:ext uri="{FF2B5EF4-FFF2-40B4-BE49-F238E27FC236}">
                <a16:creationId xmlns:a16="http://schemas.microsoft.com/office/drawing/2014/main" id="{0BAAEE13-E081-4445-B73B-A73FFF51767E}"/>
              </a:ext>
            </a:extLst>
          </xdr:cNvPr>
          <xdr:cNvSpPr>
            <a:spLocks noChangeArrowheads="1"/>
          </xdr:cNvSpPr>
        </xdr:nvSpPr>
        <xdr:spPr bwMode="auto">
          <a:xfrm>
            <a:off x="1793" y="10408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3" name="Line 436">
            <a:extLst>
              <a:ext uri="{FF2B5EF4-FFF2-40B4-BE49-F238E27FC236}">
                <a16:creationId xmlns:a16="http://schemas.microsoft.com/office/drawing/2014/main" id="{AD8CF297-6D33-49D3-A64D-CFF60E101815}"/>
              </a:ext>
            </a:extLst>
          </xdr:cNvPr>
          <xdr:cNvSpPr>
            <a:spLocks noChangeShapeType="1"/>
          </xdr:cNvSpPr>
        </xdr:nvSpPr>
        <xdr:spPr bwMode="auto">
          <a:xfrm>
            <a:off x="3387" y="1042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4" name="Rectangle 435">
            <a:extLst>
              <a:ext uri="{FF2B5EF4-FFF2-40B4-BE49-F238E27FC236}">
                <a16:creationId xmlns:a16="http://schemas.microsoft.com/office/drawing/2014/main" id="{CDA42A59-EE3A-42D0-B8DB-919077481AE4}"/>
              </a:ext>
            </a:extLst>
          </xdr:cNvPr>
          <xdr:cNvSpPr>
            <a:spLocks noChangeArrowheads="1"/>
          </xdr:cNvSpPr>
        </xdr:nvSpPr>
        <xdr:spPr bwMode="auto">
          <a:xfrm>
            <a:off x="3387" y="10426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5" name="Line 434">
            <a:extLst>
              <a:ext uri="{FF2B5EF4-FFF2-40B4-BE49-F238E27FC236}">
                <a16:creationId xmlns:a16="http://schemas.microsoft.com/office/drawing/2014/main" id="{C4DACDF2-C66B-47E6-B0FC-EAD4FCC8D67F}"/>
              </a:ext>
            </a:extLst>
          </xdr:cNvPr>
          <xdr:cNvSpPr>
            <a:spLocks noChangeShapeType="1"/>
          </xdr:cNvSpPr>
        </xdr:nvSpPr>
        <xdr:spPr bwMode="auto">
          <a:xfrm>
            <a:off x="1811" y="1145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6" name="Rectangle 433">
            <a:extLst>
              <a:ext uri="{FF2B5EF4-FFF2-40B4-BE49-F238E27FC236}">
                <a16:creationId xmlns:a16="http://schemas.microsoft.com/office/drawing/2014/main" id="{3349F27D-4BE9-4252-A74C-2D0713642DD7}"/>
              </a:ext>
            </a:extLst>
          </xdr:cNvPr>
          <xdr:cNvSpPr>
            <a:spLocks noChangeArrowheads="1"/>
          </xdr:cNvSpPr>
        </xdr:nvSpPr>
        <xdr:spPr bwMode="auto">
          <a:xfrm>
            <a:off x="1811" y="1145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7" name="Line 432">
            <a:extLst>
              <a:ext uri="{FF2B5EF4-FFF2-40B4-BE49-F238E27FC236}">
                <a16:creationId xmlns:a16="http://schemas.microsoft.com/office/drawing/2014/main" id="{4E071BFB-C437-4ED1-9470-B53A42B72E27}"/>
              </a:ext>
            </a:extLst>
          </xdr:cNvPr>
          <xdr:cNvSpPr>
            <a:spLocks noChangeShapeType="1"/>
          </xdr:cNvSpPr>
        </xdr:nvSpPr>
        <xdr:spPr bwMode="auto">
          <a:xfrm>
            <a:off x="3560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8" name="Rectangle 431">
            <a:extLst>
              <a:ext uri="{FF2B5EF4-FFF2-40B4-BE49-F238E27FC236}">
                <a16:creationId xmlns:a16="http://schemas.microsoft.com/office/drawing/2014/main" id="{9734887E-1A10-4A34-B636-17C37538E9EA}"/>
              </a:ext>
            </a:extLst>
          </xdr:cNvPr>
          <xdr:cNvSpPr>
            <a:spLocks noChangeArrowheads="1"/>
          </xdr:cNvSpPr>
        </xdr:nvSpPr>
        <xdr:spPr bwMode="auto">
          <a:xfrm>
            <a:off x="3560" y="7802"/>
            <a:ext cx="17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9" name="Line 430">
            <a:extLst>
              <a:ext uri="{FF2B5EF4-FFF2-40B4-BE49-F238E27FC236}">
                <a16:creationId xmlns:a16="http://schemas.microsoft.com/office/drawing/2014/main" id="{F6D70D37-9B2D-46AE-A423-1850FE1B5BA5}"/>
              </a:ext>
            </a:extLst>
          </xdr:cNvPr>
          <xdr:cNvSpPr>
            <a:spLocks noChangeShapeType="1"/>
          </xdr:cNvSpPr>
        </xdr:nvSpPr>
        <xdr:spPr bwMode="auto">
          <a:xfrm>
            <a:off x="5021" y="547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0" name="Rectangle 429">
            <a:extLst>
              <a:ext uri="{FF2B5EF4-FFF2-40B4-BE49-F238E27FC236}">
                <a16:creationId xmlns:a16="http://schemas.microsoft.com/office/drawing/2014/main" id="{D12355E1-30DB-4945-8B5B-A67771E222E1}"/>
              </a:ext>
            </a:extLst>
          </xdr:cNvPr>
          <xdr:cNvSpPr>
            <a:spLocks noChangeArrowheads="1"/>
          </xdr:cNvSpPr>
        </xdr:nvSpPr>
        <xdr:spPr bwMode="auto">
          <a:xfrm>
            <a:off x="5021" y="547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1" name="Line 428">
            <a:extLst>
              <a:ext uri="{FF2B5EF4-FFF2-40B4-BE49-F238E27FC236}">
                <a16:creationId xmlns:a16="http://schemas.microsoft.com/office/drawing/2014/main" id="{16556B32-8622-4BA3-B4BC-7DD19CE37821}"/>
              </a:ext>
            </a:extLst>
          </xdr:cNvPr>
          <xdr:cNvSpPr>
            <a:spLocks noChangeShapeType="1"/>
          </xdr:cNvSpPr>
        </xdr:nvSpPr>
        <xdr:spPr bwMode="auto">
          <a:xfrm>
            <a:off x="3577" y="11450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2" name="Rectangle 427">
            <a:extLst>
              <a:ext uri="{FF2B5EF4-FFF2-40B4-BE49-F238E27FC236}">
                <a16:creationId xmlns:a16="http://schemas.microsoft.com/office/drawing/2014/main" id="{7380365F-9A79-4208-88BC-58FCF099F8DE}"/>
              </a:ext>
            </a:extLst>
          </xdr:cNvPr>
          <xdr:cNvSpPr>
            <a:spLocks noChangeArrowheads="1"/>
          </xdr:cNvSpPr>
        </xdr:nvSpPr>
        <xdr:spPr bwMode="auto">
          <a:xfrm>
            <a:off x="3577" y="11450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3" name="Line 426">
            <a:extLst>
              <a:ext uri="{FF2B5EF4-FFF2-40B4-BE49-F238E27FC236}">
                <a16:creationId xmlns:a16="http://schemas.microsoft.com/office/drawing/2014/main" id="{FA1BA5BE-DFB4-4F39-971D-BB17D25C48E6}"/>
              </a:ext>
            </a:extLst>
          </xdr:cNvPr>
          <xdr:cNvSpPr>
            <a:spLocks noChangeShapeType="1"/>
          </xdr:cNvSpPr>
        </xdr:nvSpPr>
        <xdr:spPr bwMode="auto">
          <a:xfrm>
            <a:off x="5136" y="8323"/>
            <a:ext cx="1" cy="13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4" name="Rectangle 425">
            <a:extLst>
              <a:ext uri="{FF2B5EF4-FFF2-40B4-BE49-F238E27FC236}">
                <a16:creationId xmlns:a16="http://schemas.microsoft.com/office/drawing/2014/main" id="{0D346B06-4DBD-433B-8E16-C69E6191F935}"/>
              </a:ext>
            </a:extLst>
          </xdr:cNvPr>
          <xdr:cNvSpPr>
            <a:spLocks noChangeArrowheads="1"/>
          </xdr:cNvSpPr>
        </xdr:nvSpPr>
        <xdr:spPr bwMode="auto">
          <a:xfrm>
            <a:off x="5136" y="8323"/>
            <a:ext cx="18" cy="13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5" name="Line 424">
            <a:extLst>
              <a:ext uri="{FF2B5EF4-FFF2-40B4-BE49-F238E27FC236}">
                <a16:creationId xmlns:a16="http://schemas.microsoft.com/office/drawing/2014/main" id="{BD55EB3A-6DAA-421F-90D4-7B5FCD5DBF58}"/>
              </a:ext>
            </a:extLst>
          </xdr:cNvPr>
          <xdr:cNvSpPr>
            <a:spLocks noChangeShapeType="1"/>
          </xdr:cNvSpPr>
        </xdr:nvSpPr>
        <xdr:spPr bwMode="auto">
          <a:xfrm>
            <a:off x="6527" y="8341"/>
            <a:ext cx="1" cy="1303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6" name="Rectangle 423">
            <a:extLst>
              <a:ext uri="{FF2B5EF4-FFF2-40B4-BE49-F238E27FC236}">
                <a16:creationId xmlns:a16="http://schemas.microsoft.com/office/drawing/2014/main" id="{799C8B13-7C01-46C0-AD55-654ED6FAD8E5}"/>
              </a:ext>
            </a:extLst>
          </xdr:cNvPr>
          <xdr:cNvSpPr>
            <a:spLocks noChangeArrowheads="1"/>
          </xdr:cNvSpPr>
        </xdr:nvSpPr>
        <xdr:spPr bwMode="auto">
          <a:xfrm>
            <a:off x="6527" y="8341"/>
            <a:ext cx="18" cy="130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7" name="Line 422">
            <a:extLst>
              <a:ext uri="{FF2B5EF4-FFF2-40B4-BE49-F238E27FC236}">
                <a16:creationId xmlns:a16="http://schemas.microsoft.com/office/drawing/2014/main" id="{E83270FF-E293-4ACC-8964-DA6B66C69F4B}"/>
              </a:ext>
            </a:extLst>
          </xdr:cNvPr>
          <xdr:cNvSpPr>
            <a:spLocks noChangeShapeType="1"/>
          </xdr:cNvSpPr>
        </xdr:nvSpPr>
        <xdr:spPr bwMode="auto">
          <a:xfrm>
            <a:off x="8020" y="1068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8" name="Rectangle 421">
            <a:extLst>
              <a:ext uri="{FF2B5EF4-FFF2-40B4-BE49-F238E27FC236}">
                <a16:creationId xmlns:a16="http://schemas.microsoft.com/office/drawing/2014/main" id="{3ADA368C-E072-49B1-B2DF-F4E601026D03}"/>
              </a:ext>
            </a:extLst>
          </xdr:cNvPr>
          <xdr:cNvSpPr>
            <a:spLocks noChangeArrowheads="1"/>
          </xdr:cNvSpPr>
        </xdr:nvSpPr>
        <xdr:spPr bwMode="auto">
          <a:xfrm>
            <a:off x="8020" y="10686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9" name="Line 420">
            <a:extLst>
              <a:ext uri="{FF2B5EF4-FFF2-40B4-BE49-F238E27FC236}">
                <a16:creationId xmlns:a16="http://schemas.microsoft.com/office/drawing/2014/main" id="{44CA740B-63CE-4EED-864F-3D8626F47428}"/>
              </a:ext>
            </a:extLst>
          </xdr:cNvPr>
          <xdr:cNvSpPr>
            <a:spLocks noChangeShapeType="1"/>
          </xdr:cNvSpPr>
        </xdr:nvSpPr>
        <xdr:spPr bwMode="auto">
          <a:xfrm>
            <a:off x="9799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0" name="Rectangle 419">
            <a:extLst>
              <a:ext uri="{FF2B5EF4-FFF2-40B4-BE49-F238E27FC236}">
                <a16:creationId xmlns:a16="http://schemas.microsoft.com/office/drawing/2014/main" id="{222FDC37-BA5E-4566-B1F1-6F0CF6CB364F}"/>
              </a:ext>
            </a:extLst>
          </xdr:cNvPr>
          <xdr:cNvSpPr>
            <a:spLocks noChangeArrowheads="1"/>
          </xdr:cNvSpPr>
        </xdr:nvSpPr>
        <xdr:spPr bwMode="auto">
          <a:xfrm>
            <a:off x="9799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1" name="Line 418">
            <a:extLst>
              <a:ext uri="{FF2B5EF4-FFF2-40B4-BE49-F238E27FC236}">
                <a16:creationId xmlns:a16="http://schemas.microsoft.com/office/drawing/2014/main" id="{1043FAAC-D501-476A-9ADA-021FC8193C51}"/>
              </a:ext>
            </a:extLst>
          </xdr:cNvPr>
          <xdr:cNvSpPr>
            <a:spLocks noChangeShapeType="1"/>
          </xdr:cNvSpPr>
        </xdr:nvSpPr>
        <xdr:spPr bwMode="auto">
          <a:xfrm>
            <a:off x="1811" y="11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2" name="Rectangle 417">
            <a:extLst>
              <a:ext uri="{FF2B5EF4-FFF2-40B4-BE49-F238E27FC236}">
                <a16:creationId xmlns:a16="http://schemas.microsoft.com/office/drawing/2014/main" id="{27A4B058-E32A-47BC-A4CB-F9596E353370}"/>
              </a:ext>
            </a:extLst>
          </xdr:cNvPr>
          <xdr:cNvSpPr>
            <a:spLocks noChangeArrowheads="1"/>
          </xdr:cNvSpPr>
        </xdr:nvSpPr>
        <xdr:spPr bwMode="auto">
          <a:xfrm>
            <a:off x="1811" y="11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3" name="Line 416">
            <a:extLst>
              <a:ext uri="{FF2B5EF4-FFF2-40B4-BE49-F238E27FC236}">
                <a16:creationId xmlns:a16="http://schemas.microsoft.com/office/drawing/2014/main" id="{D1986A8D-2757-4A6A-99D0-7337150ECD4D}"/>
              </a:ext>
            </a:extLst>
          </xdr:cNvPr>
          <xdr:cNvSpPr>
            <a:spLocks noChangeShapeType="1"/>
          </xdr:cNvSpPr>
        </xdr:nvSpPr>
        <xdr:spPr bwMode="auto">
          <a:xfrm>
            <a:off x="3577" y="11971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4" name="Rectangle 415">
            <a:extLst>
              <a:ext uri="{FF2B5EF4-FFF2-40B4-BE49-F238E27FC236}">
                <a16:creationId xmlns:a16="http://schemas.microsoft.com/office/drawing/2014/main" id="{B6076052-6736-41F2-B32B-7E7FDCE74E7E}"/>
              </a:ext>
            </a:extLst>
          </xdr:cNvPr>
          <xdr:cNvSpPr>
            <a:spLocks noChangeArrowheads="1"/>
          </xdr:cNvSpPr>
        </xdr:nvSpPr>
        <xdr:spPr bwMode="auto">
          <a:xfrm>
            <a:off x="3577" y="11971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5" name="Line 414">
            <a:extLst>
              <a:ext uri="{FF2B5EF4-FFF2-40B4-BE49-F238E27FC236}">
                <a16:creationId xmlns:a16="http://schemas.microsoft.com/office/drawing/2014/main" id="{48A828B0-7C38-416F-BCEE-8D0198837E55}"/>
              </a:ext>
            </a:extLst>
          </xdr:cNvPr>
          <xdr:cNvSpPr>
            <a:spLocks noChangeShapeType="1"/>
          </xdr:cNvSpPr>
        </xdr:nvSpPr>
        <xdr:spPr bwMode="auto">
          <a:xfrm>
            <a:off x="1754" y="12232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6" name="Rectangle 413">
            <a:extLst>
              <a:ext uri="{FF2B5EF4-FFF2-40B4-BE49-F238E27FC236}">
                <a16:creationId xmlns:a16="http://schemas.microsoft.com/office/drawing/2014/main" id="{FC2948E1-1B2A-4E99-AF1A-E731C1AAEF8A}"/>
              </a:ext>
            </a:extLst>
          </xdr:cNvPr>
          <xdr:cNvSpPr>
            <a:spLocks noChangeArrowheads="1"/>
          </xdr:cNvSpPr>
        </xdr:nvSpPr>
        <xdr:spPr bwMode="auto">
          <a:xfrm>
            <a:off x="1754" y="12232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7" name="Line 412">
            <a:extLst>
              <a:ext uri="{FF2B5EF4-FFF2-40B4-BE49-F238E27FC236}">
                <a16:creationId xmlns:a16="http://schemas.microsoft.com/office/drawing/2014/main" id="{ED44B964-917C-4206-94B1-9085761F45AE}"/>
              </a:ext>
            </a:extLst>
          </xdr:cNvPr>
          <xdr:cNvSpPr>
            <a:spLocks noChangeShapeType="1"/>
          </xdr:cNvSpPr>
        </xdr:nvSpPr>
        <xdr:spPr bwMode="auto">
          <a:xfrm>
            <a:off x="3560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8" name="Rectangle 411">
            <a:extLst>
              <a:ext uri="{FF2B5EF4-FFF2-40B4-BE49-F238E27FC236}">
                <a16:creationId xmlns:a16="http://schemas.microsoft.com/office/drawing/2014/main" id="{EBF87C5D-B02D-44F1-88E7-69F756E9C1D0}"/>
              </a:ext>
            </a:extLst>
          </xdr:cNvPr>
          <xdr:cNvSpPr>
            <a:spLocks noChangeArrowheads="1"/>
          </xdr:cNvSpPr>
        </xdr:nvSpPr>
        <xdr:spPr bwMode="auto">
          <a:xfrm>
            <a:off x="3560" y="1145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9" name="Line 410">
            <a:extLst>
              <a:ext uri="{FF2B5EF4-FFF2-40B4-BE49-F238E27FC236}">
                <a16:creationId xmlns:a16="http://schemas.microsoft.com/office/drawing/2014/main" id="{136647F2-5818-426D-BDFF-882D25F54DA1}"/>
              </a:ext>
            </a:extLst>
          </xdr:cNvPr>
          <xdr:cNvSpPr>
            <a:spLocks noChangeShapeType="1"/>
          </xdr:cNvSpPr>
        </xdr:nvSpPr>
        <xdr:spPr bwMode="auto">
          <a:xfrm>
            <a:off x="5021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0" name="Rectangle 409">
            <a:extLst>
              <a:ext uri="{FF2B5EF4-FFF2-40B4-BE49-F238E27FC236}">
                <a16:creationId xmlns:a16="http://schemas.microsoft.com/office/drawing/2014/main" id="{54C21C2A-821F-47EF-87C6-0F72806713A1}"/>
              </a:ext>
            </a:extLst>
          </xdr:cNvPr>
          <xdr:cNvSpPr>
            <a:spLocks noChangeArrowheads="1"/>
          </xdr:cNvSpPr>
        </xdr:nvSpPr>
        <xdr:spPr bwMode="auto">
          <a:xfrm>
            <a:off x="5021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1" name="Line 408">
            <a:extLst>
              <a:ext uri="{FF2B5EF4-FFF2-40B4-BE49-F238E27FC236}">
                <a16:creationId xmlns:a16="http://schemas.microsoft.com/office/drawing/2014/main" id="{3C9E579A-67A1-4BAF-9830-02C2B96C836C}"/>
              </a:ext>
            </a:extLst>
          </xdr:cNvPr>
          <xdr:cNvSpPr>
            <a:spLocks noChangeShapeType="1"/>
          </xdr:cNvSpPr>
        </xdr:nvSpPr>
        <xdr:spPr bwMode="auto">
          <a:xfrm>
            <a:off x="3577" y="12232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2" name="Rectangle 407">
            <a:extLst>
              <a:ext uri="{FF2B5EF4-FFF2-40B4-BE49-F238E27FC236}">
                <a16:creationId xmlns:a16="http://schemas.microsoft.com/office/drawing/2014/main" id="{B77788E3-81A3-4A1F-BC42-20C97442F241}"/>
              </a:ext>
            </a:extLst>
          </xdr:cNvPr>
          <xdr:cNvSpPr>
            <a:spLocks noChangeArrowheads="1"/>
          </xdr:cNvSpPr>
        </xdr:nvSpPr>
        <xdr:spPr bwMode="auto">
          <a:xfrm>
            <a:off x="3577" y="12232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3" name="Line 406">
            <a:extLst>
              <a:ext uri="{FF2B5EF4-FFF2-40B4-BE49-F238E27FC236}">
                <a16:creationId xmlns:a16="http://schemas.microsoft.com/office/drawing/2014/main" id="{ED488FFB-462B-4467-870D-660922FC54FF}"/>
              </a:ext>
            </a:extLst>
          </xdr:cNvPr>
          <xdr:cNvSpPr>
            <a:spLocks noChangeShapeType="1"/>
          </xdr:cNvSpPr>
        </xdr:nvSpPr>
        <xdr:spPr bwMode="auto">
          <a:xfrm>
            <a:off x="5136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4" name="Rectangle 405">
            <a:extLst>
              <a:ext uri="{FF2B5EF4-FFF2-40B4-BE49-F238E27FC236}">
                <a16:creationId xmlns:a16="http://schemas.microsoft.com/office/drawing/2014/main" id="{49D04335-BFBF-46BC-A184-4954C9B7F597}"/>
              </a:ext>
            </a:extLst>
          </xdr:cNvPr>
          <xdr:cNvSpPr>
            <a:spLocks noChangeArrowheads="1"/>
          </xdr:cNvSpPr>
        </xdr:nvSpPr>
        <xdr:spPr bwMode="auto">
          <a:xfrm>
            <a:off x="5136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5" name="Line 404">
            <a:extLst>
              <a:ext uri="{FF2B5EF4-FFF2-40B4-BE49-F238E27FC236}">
                <a16:creationId xmlns:a16="http://schemas.microsoft.com/office/drawing/2014/main" id="{F05D6CAF-EA8D-4A76-8BEF-EB03D5133B3D}"/>
              </a:ext>
            </a:extLst>
          </xdr:cNvPr>
          <xdr:cNvSpPr>
            <a:spLocks noChangeShapeType="1"/>
          </xdr:cNvSpPr>
        </xdr:nvSpPr>
        <xdr:spPr bwMode="auto">
          <a:xfrm>
            <a:off x="652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6" name="Rectangle 403">
            <a:extLst>
              <a:ext uri="{FF2B5EF4-FFF2-40B4-BE49-F238E27FC236}">
                <a16:creationId xmlns:a16="http://schemas.microsoft.com/office/drawing/2014/main" id="{99C6A961-F97E-47E6-B04D-492948B35FDA}"/>
              </a:ext>
            </a:extLst>
          </xdr:cNvPr>
          <xdr:cNvSpPr>
            <a:spLocks noChangeArrowheads="1"/>
          </xdr:cNvSpPr>
        </xdr:nvSpPr>
        <xdr:spPr bwMode="auto">
          <a:xfrm>
            <a:off x="652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7" name="Line 402">
            <a:extLst>
              <a:ext uri="{FF2B5EF4-FFF2-40B4-BE49-F238E27FC236}">
                <a16:creationId xmlns:a16="http://schemas.microsoft.com/office/drawing/2014/main" id="{3662C0AA-2EB4-46A3-AE5B-42E09533512F}"/>
              </a:ext>
            </a:extLst>
          </xdr:cNvPr>
          <xdr:cNvSpPr>
            <a:spLocks noChangeShapeType="1"/>
          </xdr:cNvSpPr>
        </xdr:nvSpPr>
        <xdr:spPr bwMode="auto">
          <a:xfrm>
            <a:off x="5154" y="12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8" name="Rectangle 401">
            <a:extLst>
              <a:ext uri="{FF2B5EF4-FFF2-40B4-BE49-F238E27FC236}">
                <a16:creationId xmlns:a16="http://schemas.microsoft.com/office/drawing/2014/main" id="{10C8710F-E036-4B80-B08E-655EAFDBDBF3}"/>
              </a:ext>
            </a:extLst>
          </xdr:cNvPr>
          <xdr:cNvSpPr>
            <a:spLocks noChangeArrowheads="1"/>
          </xdr:cNvSpPr>
        </xdr:nvSpPr>
        <xdr:spPr bwMode="auto">
          <a:xfrm>
            <a:off x="5154" y="12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9" name="Line 400">
            <a:extLst>
              <a:ext uri="{FF2B5EF4-FFF2-40B4-BE49-F238E27FC236}">
                <a16:creationId xmlns:a16="http://schemas.microsoft.com/office/drawing/2014/main" id="{FD461FAA-78C5-472A-831C-1E642E36C2B8}"/>
              </a:ext>
            </a:extLst>
          </xdr:cNvPr>
          <xdr:cNvSpPr>
            <a:spLocks noChangeShapeType="1"/>
          </xdr:cNvSpPr>
        </xdr:nvSpPr>
        <xdr:spPr bwMode="auto">
          <a:xfrm>
            <a:off x="3577" y="12753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0" name="Rectangle 399">
            <a:extLst>
              <a:ext uri="{FF2B5EF4-FFF2-40B4-BE49-F238E27FC236}">
                <a16:creationId xmlns:a16="http://schemas.microsoft.com/office/drawing/2014/main" id="{F4D70F1A-45D2-40DE-A32E-CC185CB3173E}"/>
              </a:ext>
            </a:extLst>
          </xdr:cNvPr>
          <xdr:cNvSpPr>
            <a:spLocks noChangeArrowheads="1"/>
          </xdr:cNvSpPr>
        </xdr:nvSpPr>
        <xdr:spPr bwMode="auto">
          <a:xfrm>
            <a:off x="3577" y="12753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1" name="Line 398">
            <a:extLst>
              <a:ext uri="{FF2B5EF4-FFF2-40B4-BE49-F238E27FC236}">
                <a16:creationId xmlns:a16="http://schemas.microsoft.com/office/drawing/2014/main" id="{42067543-E553-4225-8445-83629A60C0E5}"/>
              </a:ext>
            </a:extLst>
          </xdr:cNvPr>
          <xdr:cNvSpPr>
            <a:spLocks noChangeShapeType="1"/>
          </xdr:cNvSpPr>
        </xdr:nvSpPr>
        <xdr:spPr bwMode="auto">
          <a:xfrm>
            <a:off x="1418" y="2852"/>
            <a:ext cx="1" cy="101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2" name="Rectangle 397">
            <a:extLst>
              <a:ext uri="{FF2B5EF4-FFF2-40B4-BE49-F238E27FC236}">
                <a16:creationId xmlns:a16="http://schemas.microsoft.com/office/drawing/2014/main" id="{26C8E753-F568-450D-89BF-0BEAED21F267}"/>
              </a:ext>
            </a:extLst>
          </xdr:cNvPr>
          <xdr:cNvSpPr>
            <a:spLocks noChangeArrowheads="1"/>
          </xdr:cNvSpPr>
        </xdr:nvSpPr>
        <xdr:spPr bwMode="auto">
          <a:xfrm>
            <a:off x="1418" y="2852"/>
            <a:ext cx="18" cy="101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3" name="Line 396">
            <a:extLst>
              <a:ext uri="{FF2B5EF4-FFF2-40B4-BE49-F238E27FC236}">
                <a16:creationId xmlns:a16="http://schemas.microsoft.com/office/drawing/2014/main" id="{660AA992-E6D5-4843-A89F-93165891E6AA}"/>
              </a:ext>
            </a:extLst>
          </xdr:cNvPr>
          <xdr:cNvSpPr>
            <a:spLocks noChangeShapeType="1"/>
          </xdr:cNvSpPr>
        </xdr:nvSpPr>
        <xdr:spPr bwMode="auto">
          <a:xfrm>
            <a:off x="10033" y="2870"/>
            <a:ext cx="1" cy="101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4" name="Rectangle 395">
            <a:extLst>
              <a:ext uri="{FF2B5EF4-FFF2-40B4-BE49-F238E27FC236}">
                <a16:creationId xmlns:a16="http://schemas.microsoft.com/office/drawing/2014/main" id="{73A8ADD2-C444-400C-BF4C-0CB809F5D475}"/>
              </a:ext>
            </a:extLst>
          </xdr:cNvPr>
          <xdr:cNvSpPr>
            <a:spLocks noChangeArrowheads="1"/>
          </xdr:cNvSpPr>
        </xdr:nvSpPr>
        <xdr:spPr bwMode="auto">
          <a:xfrm>
            <a:off x="10033" y="2870"/>
            <a:ext cx="18" cy="101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5" name="Line 394">
            <a:extLst>
              <a:ext uri="{FF2B5EF4-FFF2-40B4-BE49-F238E27FC236}">
                <a16:creationId xmlns:a16="http://schemas.microsoft.com/office/drawing/2014/main" id="{2AA4C015-025C-47EE-B44A-4828B3C47C82}"/>
              </a:ext>
            </a:extLst>
          </xdr:cNvPr>
          <xdr:cNvSpPr>
            <a:spLocks noChangeShapeType="1"/>
          </xdr:cNvSpPr>
        </xdr:nvSpPr>
        <xdr:spPr bwMode="auto">
          <a:xfrm>
            <a:off x="1736" y="9105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6" name="Rectangle 393">
            <a:extLst>
              <a:ext uri="{FF2B5EF4-FFF2-40B4-BE49-F238E27FC236}">
                <a16:creationId xmlns:a16="http://schemas.microsoft.com/office/drawing/2014/main" id="{0A091C5B-F00F-4F21-9F49-8DBAAEFDB652}"/>
              </a:ext>
            </a:extLst>
          </xdr:cNvPr>
          <xdr:cNvSpPr>
            <a:spLocks noChangeArrowheads="1"/>
          </xdr:cNvSpPr>
        </xdr:nvSpPr>
        <xdr:spPr bwMode="auto">
          <a:xfrm>
            <a:off x="1736" y="9105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7" name="Line 392">
            <a:extLst>
              <a:ext uri="{FF2B5EF4-FFF2-40B4-BE49-F238E27FC236}">
                <a16:creationId xmlns:a16="http://schemas.microsoft.com/office/drawing/2014/main" id="{3922153C-EB9E-4D8C-86C8-6ABF239EDDC1}"/>
              </a:ext>
            </a:extLst>
          </xdr:cNvPr>
          <xdr:cNvSpPr>
            <a:spLocks noChangeShapeType="1"/>
          </xdr:cNvSpPr>
        </xdr:nvSpPr>
        <xdr:spPr bwMode="auto">
          <a:xfrm>
            <a:off x="3445" y="9123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8" name="Rectangle 391">
            <a:extLst>
              <a:ext uri="{FF2B5EF4-FFF2-40B4-BE49-F238E27FC236}">
                <a16:creationId xmlns:a16="http://schemas.microsoft.com/office/drawing/2014/main" id="{896F2A95-12E4-42C6-BC79-08CE7FFF77F3}"/>
              </a:ext>
            </a:extLst>
          </xdr:cNvPr>
          <xdr:cNvSpPr>
            <a:spLocks noChangeArrowheads="1"/>
          </xdr:cNvSpPr>
        </xdr:nvSpPr>
        <xdr:spPr bwMode="auto">
          <a:xfrm>
            <a:off x="3445" y="9123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9" name="Line 390">
            <a:extLst>
              <a:ext uri="{FF2B5EF4-FFF2-40B4-BE49-F238E27FC236}">
                <a16:creationId xmlns:a16="http://schemas.microsoft.com/office/drawing/2014/main" id="{74DA3FE9-35EB-4BCC-93AF-64700ECA538E}"/>
              </a:ext>
            </a:extLst>
          </xdr:cNvPr>
          <xdr:cNvSpPr>
            <a:spLocks noChangeShapeType="1"/>
          </xdr:cNvSpPr>
        </xdr:nvSpPr>
        <xdr:spPr bwMode="auto">
          <a:xfrm>
            <a:off x="1793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0" name="Rectangle 389">
            <a:extLst>
              <a:ext uri="{FF2B5EF4-FFF2-40B4-BE49-F238E27FC236}">
                <a16:creationId xmlns:a16="http://schemas.microsoft.com/office/drawing/2014/main" id="{5895E1ED-36F1-4B18-962C-6CEA08A99F74}"/>
              </a:ext>
            </a:extLst>
          </xdr:cNvPr>
          <xdr:cNvSpPr>
            <a:spLocks noChangeArrowheads="1"/>
          </xdr:cNvSpPr>
        </xdr:nvSpPr>
        <xdr:spPr bwMode="auto">
          <a:xfrm>
            <a:off x="1793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1" name="Line 388">
            <a:extLst>
              <a:ext uri="{FF2B5EF4-FFF2-40B4-BE49-F238E27FC236}">
                <a16:creationId xmlns:a16="http://schemas.microsoft.com/office/drawing/2014/main" id="{3480FCCC-E683-479C-B70D-1FF4B905F8EF}"/>
              </a:ext>
            </a:extLst>
          </xdr:cNvPr>
          <xdr:cNvSpPr>
            <a:spLocks noChangeShapeType="1"/>
          </xdr:cNvSpPr>
        </xdr:nvSpPr>
        <xdr:spPr bwMode="auto">
          <a:xfrm>
            <a:off x="338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2" name="Rectangle 387">
            <a:extLst>
              <a:ext uri="{FF2B5EF4-FFF2-40B4-BE49-F238E27FC236}">
                <a16:creationId xmlns:a16="http://schemas.microsoft.com/office/drawing/2014/main" id="{05FD2924-1F8B-4204-BA52-3950D0E86BEA}"/>
              </a:ext>
            </a:extLst>
          </xdr:cNvPr>
          <xdr:cNvSpPr>
            <a:spLocks noChangeArrowheads="1"/>
          </xdr:cNvSpPr>
        </xdr:nvSpPr>
        <xdr:spPr bwMode="auto">
          <a:xfrm>
            <a:off x="338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36828</xdr:colOff>
      <xdr:row>1</xdr:row>
      <xdr:rowOff>20955</xdr:rowOff>
    </xdr:from>
    <xdr:to>
      <xdr:col>17</xdr:col>
      <xdr:colOff>1934</xdr:colOff>
      <xdr:row>3</xdr:row>
      <xdr:rowOff>457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2A54959-58ED-4D71-8438-BA08B15C1529}"/>
            </a:ext>
          </a:extLst>
        </xdr:cNvPr>
        <xdr:cNvSpPr>
          <a:spLocks noChangeArrowheads="1"/>
        </xdr:cNvSpPr>
      </xdr:nvSpPr>
      <xdr:spPr bwMode="auto">
        <a:xfrm>
          <a:off x="352424" y="171450"/>
          <a:ext cx="6791326" cy="238125"/>
        </a:xfrm>
        <a:prstGeom prst="flowChartAlternateProcess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Macroabc Country 'X'</a:t>
          </a:r>
        </a:p>
      </xdr:txBody>
    </xdr:sp>
    <xdr:clientData/>
  </xdr:twoCellAnchor>
  <xdr:twoCellAnchor>
    <xdr:from>
      <xdr:col>6</xdr:col>
      <xdr:colOff>172719</xdr:colOff>
      <xdr:row>4</xdr:row>
      <xdr:rowOff>38417</xdr:rowOff>
    </xdr:from>
    <xdr:to>
      <xdr:col>10</xdr:col>
      <xdr:colOff>306</xdr:colOff>
      <xdr:row>21</xdr:row>
      <xdr:rowOff>34971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7DA07752-09D9-42A9-9612-382D3DD0C0FA}"/>
            </a:ext>
          </a:extLst>
        </xdr:cNvPr>
        <xdr:cNvSpPr>
          <a:spLocks noChangeArrowheads="1"/>
        </xdr:cNvSpPr>
      </xdr:nvSpPr>
      <xdr:spPr bwMode="auto">
        <a:xfrm>
          <a:off x="2028825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 sheet: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(Historical data)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revenues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expenditures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National Accounts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Balance of payments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Monetary Survey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etc.</a:t>
          </a:r>
        </a:p>
      </xdr:txBody>
    </xdr:sp>
    <xdr:clientData/>
  </xdr:twoCellAnchor>
  <xdr:twoCellAnchor>
    <xdr:from>
      <xdr:col>10</xdr:col>
      <xdr:colOff>1270</xdr:colOff>
      <xdr:row>4</xdr:row>
      <xdr:rowOff>0</xdr:rowOff>
    </xdr:from>
    <xdr:to>
      <xdr:col>13</xdr:col>
      <xdr:colOff>166525</xdr:colOff>
      <xdr:row>13</xdr:row>
      <xdr:rowOff>43014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EB3D9788-1E5C-4508-AD17-439146ACD443}"/>
            </a:ext>
          </a:extLst>
        </xdr:cNvPr>
        <xdr:cNvSpPr>
          <a:spLocks noChangeArrowheads="1"/>
        </xdr:cNvSpPr>
      </xdr:nvSpPr>
      <xdr:spPr bwMode="auto">
        <a:xfrm>
          <a:off x="3790950" y="571500"/>
          <a:ext cx="1543050" cy="1466850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Assumptions baseline scenario: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World inflation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 rates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Population growth</a:t>
          </a:r>
        </a:p>
      </xdr:txBody>
    </xdr:sp>
    <xdr:clientData/>
  </xdr:twoCellAnchor>
  <xdr:twoCellAnchor>
    <xdr:from>
      <xdr:col>14</xdr:col>
      <xdr:colOff>39687</xdr:colOff>
      <xdr:row>4</xdr:row>
      <xdr:rowOff>38418</xdr:rowOff>
    </xdr:from>
    <xdr:to>
      <xdr:col>17</xdr:col>
      <xdr:colOff>39758</xdr:colOff>
      <xdr:row>21</xdr:row>
      <xdr:rowOff>84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3B281323-AE09-479D-A3A3-8C55870E1DC1}"/>
            </a:ext>
          </a:extLst>
        </xdr:cNvPr>
        <xdr:cNvSpPr>
          <a:spLocks noChangeArrowheads="1"/>
        </xdr:cNvSpPr>
      </xdr:nvSpPr>
      <xdr:spPr bwMode="auto">
        <a:xfrm>
          <a:off x="5619750" y="581026"/>
          <a:ext cx="1543050" cy="2724150"/>
        </a:xfrm>
        <a:prstGeom prst="flowChartAlternateProcess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SIM: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(Policy assumptions)</a:t>
          </a: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Recurrent expenditures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Public investments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Private investments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of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agricultural sector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formal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Import substitution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rate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Foreign Direct Invest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etc. </a:t>
          </a:r>
        </a:p>
        <a:p>
          <a:pPr algn="l" rtl="0">
            <a:lnSpc>
              <a:spcPts val="5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318135</xdr:colOff>
      <xdr:row>23</xdr:row>
      <xdr:rowOff>114300</xdr:rowOff>
    </xdr:from>
    <xdr:to>
      <xdr:col>11</xdr:col>
      <xdr:colOff>4857</xdr:colOff>
      <xdr:row>33</xdr:row>
      <xdr:rowOff>89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7BB907A8-FE47-4BBB-B840-B61D99AAE22D}"/>
            </a:ext>
          </a:extLst>
        </xdr:cNvPr>
        <xdr:cNvSpPr>
          <a:spLocks noChangeArrowheads="1"/>
        </xdr:cNvSpPr>
      </xdr:nvSpPr>
      <xdr:spPr bwMode="auto">
        <a:xfrm>
          <a:off x="2543175" y="3771900"/>
          <a:ext cx="1543050" cy="146685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Macroabc Module: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Consistency framework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and forecasts</a:t>
          </a:r>
        </a:p>
      </xdr:txBody>
    </xdr:sp>
    <xdr:clientData/>
  </xdr:twoCellAnchor>
  <xdr:twoCellAnchor>
    <xdr:from>
      <xdr:col>3</xdr:col>
      <xdr:colOff>39687</xdr:colOff>
      <xdr:row>24</xdr:row>
      <xdr:rowOff>19050</xdr:rowOff>
    </xdr:from>
    <xdr:to>
      <xdr:col>6</xdr:col>
      <xdr:colOff>6379</xdr:colOff>
      <xdr:row>32</xdr:row>
      <xdr:rowOff>119179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EBF379A1-40D9-4654-97C7-B140D51B6D4D}"/>
            </a:ext>
          </a:extLst>
        </xdr:cNvPr>
        <xdr:cNvSpPr>
          <a:spLocks noChangeArrowheads="1"/>
        </xdr:cNvSpPr>
      </xdr:nvSpPr>
      <xdr:spPr bwMode="auto">
        <a:xfrm>
          <a:off x="457200" y="3781425"/>
          <a:ext cx="1524000" cy="144780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Poverty module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11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36829</xdr:colOff>
      <xdr:row>35</xdr:row>
      <xdr:rowOff>52387</xdr:rowOff>
    </xdr:from>
    <xdr:to>
      <xdr:col>6</xdr:col>
      <xdr:colOff>20649</xdr:colOff>
      <xdr:row>40</xdr:row>
      <xdr:rowOff>36826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549F5659-E0FE-4009-8164-04F85FDB1E9D}"/>
            </a:ext>
          </a:extLst>
        </xdr:cNvPr>
        <xdr:cNvSpPr>
          <a:spLocks noChangeArrowheads="1"/>
        </xdr:cNvSpPr>
      </xdr:nvSpPr>
      <xdr:spPr bwMode="auto">
        <a:xfrm>
          <a:off x="447675" y="5629275"/>
          <a:ext cx="1543050" cy="80010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MDG target 1: </a:t>
          </a:r>
        </a:p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numbers below the </a:t>
          </a:r>
        </a:p>
        <a:p>
          <a:pPr algn="ctr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poverty line</a:t>
          </a: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39687</xdr:colOff>
      <xdr:row>4</xdr:row>
      <xdr:rowOff>38417</xdr:rowOff>
    </xdr:from>
    <xdr:to>
      <xdr:col>6</xdr:col>
      <xdr:colOff>39687</xdr:colOff>
      <xdr:row>21</xdr:row>
      <xdr:rowOff>34971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605B22A-C5C6-43C9-9C29-EA62FC030420}"/>
            </a:ext>
          </a:extLst>
        </xdr:cNvPr>
        <xdr:cNvSpPr>
          <a:spLocks noChangeArrowheads="1"/>
        </xdr:cNvSpPr>
      </xdr:nvSpPr>
      <xdr:spPr bwMode="auto">
        <a:xfrm>
          <a:off x="361950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Income distribution: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(households to main source of income)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private 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public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Agricultural sector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Informal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Other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318135</xdr:colOff>
      <xdr:row>35</xdr:row>
      <xdr:rowOff>52387</xdr:rowOff>
    </xdr:from>
    <xdr:to>
      <xdr:col>11</xdr:col>
      <xdr:colOff>4857</xdr:colOff>
      <xdr:row>46</xdr:row>
      <xdr:rowOff>38206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A2F81B10-45C2-4B7C-A3C7-8A17D1C64D53}"/>
            </a:ext>
          </a:extLst>
        </xdr:cNvPr>
        <xdr:cNvSpPr>
          <a:spLocks noChangeArrowheads="1"/>
        </xdr:cNvSpPr>
      </xdr:nvSpPr>
      <xdr:spPr bwMode="auto">
        <a:xfrm>
          <a:off x="2543175" y="5629275"/>
          <a:ext cx="1543050" cy="177165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Output (key variables):</a:t>
          </a:r>
        </a:p>
        <a:p>
          <a:pPr algn="l" rtl="0">
            <a:lnSpc>
              <a:spcPts val="900"/>
            </a:lnSpc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Real GDP %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BoP</a:t>
          </a:r>
        </a:p>
        <a:p>
          <a:pPr algn="l" rtl="0">
            <a:lnSpc>
              <a:spcPts val="11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etc. </a:t>
          </a:r>
        </a:p>
      </xdr:txBody>
    </xdr:sp>
    <xdr:clientData/>
  </xdr:twoCellAnchor>
  <xdr:twoCellAnchor>
    <xdr:from>
      <xdr:col>1</xdr:col>
      <xdr:colOff>22860</xdr:colOff>
      <xdr:row>4</xdr:row>
      <xdr:rowOff>17780</xdr:rowOff>
    </xdr:from>
    <xdr:to>
      <xdr:col>2</xdr:col>
      <xdr:colOff>2055</xdr:colOff>
      <xdr:row>20</xdr:row>
      <xdr:rowOff>119134</xdr:rowOff>
    </xdr:to>
    <xdr:sp macro="" textlink="">
      <xdr:nvSpPr>
        <xdr:cNvPr id="39" name="Flowchart: Process 38">
          <a:extLst>
            <a:ext uri="{FF2B5EF4-FFF2-40B4-BE49-F238E27FC236}">
              <a16:creationId xmlns:a16="http://schemas.microsoft.com/office/drawing/2014/main" id="{A794391B-85D4-412C-B226-045F8C46E112}"/>
            </a:ext>
          </a:extLst>
        </xdr:cNvPr>
        <xdr:cNvSpPr/>
      </xdr:nvSpPr>
      <xdr:spPr>
        <a:xfrm>
          <a:off x="142875" y="561975"/>
          <a:ext cx="209550" cy="2724150"/>
        </a:xfrm>
        <a:prstGeom prst="flowChart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INPUT</a:t>
          </a:r>
        </a:p>
      </xdr:txBody>
    </xdr:sp>
    <xdr:clientData/>
  </xdr:twoCellAnchor>
  <xdr:twoCellAnchor>
    <xdr:from>
      <xdr:col>1</xdr:col>
      <xdr:colOff>0</xdr:colOff>
      <xdr:row>24</xdr:row>
      <xdr:rowOff>38417</xdr:rowOff>
    </xdr:from>
    <xdr:to>
      <xdr:col>2</xdr:col>
      <xdr:colOff>32383</xdr:colOff>
      <xdr:row>33</xdr:row>
      <xdr:rowOff>35014</xdr:rowOff>
    </xdr:to>
    <xdr:sp macro="" textlink="">
      <xdr:nvSpPr>
        <xdr:cNvPr id="41" name="Flowchart: Process 40">
          <a:extLst>
            <a:ext uri="{FF2B5EF4-FFF2-40B4-BE49-F238E27FC236}">
              <a16:creationId xmlns:a16="http://schemas.microsoft.com/office/drawing/2014/main" id="{FC3A25EE-1A02-4D09-8035-7B7980D262A1}"/>
            </a:ext>
          </a:extLst>
        </xdr:cNvPr>
        <xdr:cNvSpPr/>
      </xdr:nvSpPr>
      <xdr:spPr>
        <a:xfrm>
          <a:off x="152400" y="3981450"/>
          <a:ext cx="219075" cy="1438275"/>
        </a:xfrm>
        <a:prstGeom prst="flowChart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SIM</a:t>
          </a:r>
        </a:p>
      </xdr:txBody>
    </xdr:sp>
    <xdr:clientData/>
  </xdr:twoCellAnchor>
  <xdr:twoCellAnchor>
    <xdr:from>
      <xdr:col>1</xdr:col>
      <xdr:colOff>16510</xdr:colOff>
      <xdr:row>35</xdr:row>
      <xdr:rowOff>0</xdr:rowOff>
    </xdr:from>
    <xdr:to>
      <xdr:col>2</xdr:col>
      <xdr:colOff>277</xdr:colOff>
      <xdr:row>46</xdr:row>
      <xdr:rowOff>0</xdr:rowOff>
    </xdr:to>
    <xdr:sp macro="" textlink="">
      <xdr:nvSpPr>
        <xdr:cNvPr id="43" name="Flowchart: Process 42">
          <a:extLst>
            <a:ext uri="{FF2B5EF4-FFF2-40B4-BE49-F238E27FC236}">
              <a16:creationId xmlns:a16="http://schemas.microsoft.com/office/drawing/2014/main" id="{E1293AB7-80B0-4AB1-8231-4061732DEB8F}"/>
            </a:ext>
          </a:extLst>
        </xdr:cNvPr>
        <xdr:cNvSpPr/>
      </xdr:nvSpPr>
      <xdr:spPr>
        <a:xfrm>
          <a:off x="161925" y="5591175"/>
          <a:ext cx="219075" cy="1752600"/>
        </a:xfrm>
        <a:prstGeom prst="flowChart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OUTPUT</a:t>
          </a:r>
        </a:p>
      </xdr:txBody>
    </xdr:sp>
    <xdr:clientData/>
  </xdr:twoCellAnchor>
  <xdr:twoCellAnchor>
    <xdr:from>
      <xdr:col>13</xdr:col>
      <xdr:colOff>166369</xdr:colOff>
      <xdr:row>8</xdr:row>
      <xdr:rowOff>84772</xdr:rowOff>
    </xdr:from>
    <xdr:to>
      <xdr:col>13</xdr:col>
      <xdr:colOff>440342</xdr:colOff>
      <xdr:row>8</xdr:row>
      <xdr:rowOff>84772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D07D8C88-51B5-4F6E-8413-89A1D38E39F1}"/>
            </a:ext>
          </a:extLst>
        </xdr:cNvPr>
        <xdr:cNvCxnSpPr>
          <a:stCxn id="1027" idx="3"/>
        </xdr:cNvCxnSpPr>
      </xdr:nvCxnSpPr>
      <xdr:spPr>
        <a:xfrm>
          <a:off x="5334000" y="1304925"/>
          <a:ext cx="209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91440</xdr:colOff>
      <xdr:row>21</xdr:row>
      <xdr:rowOff>34925</xdr:rowOff>
    </xdr:from>
    <xdr:to>
      <xdr:col>8</xdr:col>
      <xdr:colOff>429689</xdr:colOff>
      <xdr:row>23</xdr:row>
      <xdr:rowOff>114544</xdr:rowOff>
    </xdr:to>
    <xdr:cxnSp macro="">
      <xdr:nvCxnSpPr>
        <xdr:cNvPr id="66" name="Elbow Connector 65">
          <a:extLst>
            <a:ext uri="{FF2B5EF4-FFF2-40B4-BE49-F238E27FC236}">
              <a16:creationId xmlns:a16="http://schemas.microsoft.com/office/drawing/2014/main" id="{D76C6B1C-A5FE-4A42-94DD-51B29398ED0C}"/>
            </a:ext>
          </a:extLst>
        </xdr:cNvPr>
        <xdr:cNvCxnSpPr>
          <a:stCxn id="1026" idx="2"/>
          <a:endCxn id="1030" idx="0"/>
        </xdr:cNvCxnSpPr>
      </xdr:nvCxnSpPr>
      <xdr:spPr>
        <a:xfrm rot="16200000" flipH="1">
          <a:off x="2876550" y="3333750"/>
          <a:ext cx="457200" cy="41910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2</xdr:rowOff>
    </xdr:from>
    <xdr:to>
      <xdr:col>15</xdr:col>
      <xdr:colOff>287722</xdr:colOff>
      <xdr:row>23</xdr:row>
      <xdr:rowOff>114612</xdr:rowOff>
    </xdr:to>
    <xdr:cxnSp macro="">
      <xdr:nvCxnSpPr>
        <xdr:cNvPr id="70" name="Elbow Connector 69">
          <a:extLst>
            <a:ext uri="{FF2B5EF4-FFF2-40B4-BE49-F238E27FC236}">
              <a16:creationId xmlns:a16="http://schemas.microsoft.com/office/drawing/2014/main" id="{25D55612-A6F1-466C-BB11-AD7F355A81AC}"/>
            </a:ext>
          </a:extLst>
        </xdr:cNvPr>
        <xdr:cNvCxnSpPr>
          <a:stCxn id="1029" idx="2"/>
          <a:endCxn id="1030" idx="0"/>
        </xdr:cNvCxnSpPr>
      </xdr:nvCxnSpPr>
      <xdr:spPr>
        <a:xfrm rot="5400000">
          <a:off x="4667251" y="1952626"/>
          <a:ext cx="466724" cy="31718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428307</xdr:colOff>
      <xdr:row>8</xdr:row>
      <xdr:rowOff>84774</xdr:rowOff>
    </xdr:from>
    <xdr:to>
      <xdr:col>13</xdr:col>
      <xdr:colOff>428307</xdr:colOff>
      <xdr:row>22</xdr:row>
      <xdr:rowOff>73403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971F99AE-62D3-4453-A1FC-97A888E94EE3}"/>
            </a:ext>
          </a:extLst>
        </xdr:cNvPr>
        <xdr:cNvCxnSpPr/>
      </xdr:nvCxnSpPr>
      <xdr:spPr>
        <a:xfrm rot="16200000" flipH="1">
          <a:off x="4443414" y="2414588"/>
          <a:ext cx="2228847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300991</xdr:colOff>
      <xdr:row>21</xdr:row>
      <xdr:rowOff>34925</xdr:rowOff>
    </xdr:from>
    <xdr:to>
      <xdr:col>4</xdr:col>
      <xdr:colOff>300991</xdr:colOff>
      <xdr:row>24</xdr:row>
      <xdr:rowOff>19024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973FEFA8-77B6-47B6-A338-0632F2DC5FBA}"/>
            </a:ext>
          </a:extLst>
        </xdr:cNvPr>
        <xdr:cNvCxnSpPr>
          <a:stCxn id="1033" idx="2"/>
          <a:endCxn id="1031" idx="0"/>
        </xdr:cNvCxnSpPr>
      </xdr:nvCxnSpPr>
      <xdr:spPr>
        <a:xfrm rot="5400000">
          <a:off x="990601" y="3543300"/>
          <a:ext cx="466725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314483</xdr:colOff>
      <xdr:row>32</xdr:row>
      <xdr:rowOff>119857</xdr:rowOff>
    </xdr:from>
    <xdr:to>
      <xdr:col>4</xdr:col>
      <xdr:colOff>314483</xdr:colOff>
      <xdr:row>35</xdr:row>
      <xdr:rowOff>37588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79ED524B-08BF-4032-B8CF-E50324AE945A}"/>
            </a:ext>
          </a:extLst>
        </xdr:cNvPr>
        <xdr:cNvCxnSpPr>
          <a:stCxn id="1031" idx="2"/>
          <a:endCxn id="1032" idx="0"/>
        </xdr:cNvCxnSpPr>
      </xdr:nvCxnSpPr>
      <xdr:spPr>
        <a:xfrm rot="5400000">
          <a:off x="1019175" y="5429250"/>
          <a:ext cx="400050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21749</xdr:colOff>
      <xdr:row>33</xdr:row>
      <xdr:rowOff>793</xdr:rowOff>
    </xdr:from>
    <xdr:to>
      <xdr:col>9</xdr:col>
      <xdr:colOff>18442</xdr:colOff>
      <xdr:row>35</xdr:row>
      <xdr:rowOff>37697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BE6291AE-F63A-4FE4-B1EF-C142F806A2D7}"/>
            </a:ext>
          </a:extLst>
        </xdr:cNvPr>
        <xdr:cNvCxnSpPr>
          <a:stCxn id="1030" idx="2"/>
          <a:endCxn id="1034" idx="0"/>
        </xdr:cNvCxnSpPr>
      </xdr:nvCxnSpPr>
      <xdr:spPr>
        <a:xfrm rot="5400000">
          <a:off x="3119438" y="5434012"/>
          <a:ext cx="39052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28</xdr:row>
      <xdr:rowOff>81597</xdr:rowOff>
    </xdr:from>
    <xdr:to>
      <xdr:col>7</xdr:col>
      <xdr:colOff>326658</xdr:colOff>
      <xdr:row>28</xdr:row>
      <xdr:rowOff>83185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4E7E64CD-C753-431B-BE04-A3975FEF358D}"/>
            </a:ext>
          </a:extLst>
        </xdr:cNvPr>
        <xdr:cNvCxnSpPr>
          <a:stCxn id="1030" idx="1"/>
          <a:endCxn id="1031" idx="3"/>
        </xdr:cNvCxnSpPr>
      </xdr:nvCxnSpPr>
      <xdr:spPr>
        <a:xfrm rot="10800000">
          <a:off x="1981201" y="4505325"/>
          <a:ext cx="56197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in/Documents/MMC2016/Stuseco/Stuseco%20Aug%20Dec%202016/Surya%2019juli2016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MMC2016%20tm%2022%20dec/Stuseco/Stuseco%20Aug%20Dec%202016/Surya%2019juli2016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Users/Marein/Documents/MMC2016/Stuseco/Stuseco%20Aug%20Dec%202016/Surya%2019juli2016%20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C\DECHEN_2010\Documents%20and%20Settings\wb96681\My%20Documents\Bhutan\MTFF\Data\BOP%20graph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@\Mmc14\shareddocs\Ethiopia%20july%2006\EMM12JAN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@\Mmc14\shareddocs\Documents%20and%20Settings\MVS\Mijn%20documenten\MMC2006\Namibia\Namibia%20Scenarios%2010%20Nov\NAMMAC%20NEW%20Middle%20Scenario%2010%20Nov%20SECTORSab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P%20to%20be%20replac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351">
          <cell r="A1351" t="str">
            <v>31. OGOWN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$"/>
      <sheetName val="ThirdC$"/>
      <sheetName val="ThirdC"/>
      <sheetName val="WsheetCOTI"/>
      <sheetName val="WORKSHEET"/>
      <sheetName val="New BOPI"/>
      <sheetName val="NewBOPCOTI"/>
      <sheetName val="BoPI Revised"/>
      <sheetName val="BoPCOTI Revised"/>
      <sheetName val="Indianew"/>
      <sheetName val="GraphI"/>
      <sheetName val="COTInew"/>
      <sheetName val="GraphT"/>
      <sheetName val="for MTFF"/>
      <sheetName val="Finalnew"/>
      <sheetName val="GraphF"/>
      <sheetName val="graphforinvisible"/>
      <sheetName val="COTInew$"/>
      <sheetName val="Final$"/>
      <sheetName val="Final"/>
      <sheetName val="Ext.Sector Indicators"/>
      <sheetName val="FINALNEW$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Keyind"/>
      <sheetName val="sect.dist.toGDP"/>
      <sheetName val="budGraph"/>
      <sheetName val="Budget"/>
      <sheetName val="DebtRe"/>
      <sheetName val="Debt$"/>
      <sheetName val="ExRate"/>
      <sheetName val="Reserves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 refreshError="1">
        <row r="1">
          <cell r="A1" t="str">
            <v xml:space="preserve">TABLE 16. BALANCE OF PAYMENTS ESTIMATES WITH INDIA </v>
          </cell>
        </row>
        <row r="2">
          <cell r="A2" t="str">
            <v xml:space="preserve">Millions of Ngultrum </v>
          </cell>
        </row>
        <row r="4">
          <cell r="A4" t="str">
            <v/>
          </cell>
          <cell r="B4" t="str">
            <v>Period</v>
          </cell>
          <cell r="C4" t="str">
            <v/>
          </cell>
        </row>
        <row r="5">
          <cell r="L5" t="str">
            <v xml:space="preserve">TABLE 17. BALANCE OF PAYMENTS ESTIMATES WITH THIRD COUNTRIES </v>
          </cell>
          <cell r="W5" t="str">
            <v xml:space="preserve">TABLE 15. BALANCE OF PAYMENTS ESTIMATES </v>
          </cell>
        </row>
        <row r="6">
          <cell r="A6" t="str">
            <v>Item</v>
          </cell>
          <cell r="B6" t="str">
            <v xml:space="preserve">    1990/91 </v>
          </cell>
          <cell r="C6" t="str">
            <v xml:space="preserve">1991/92 </v>
          </cell>
          <cell r="D6" t="str">
            <v xml:space="preserve">1992/93 </v>
          </cell>
          <cell r="E6" t="str">
            <v xml:space="preserve">1993/94 </v>
          </cell>
          <cell r="F6" t="str">
            <v>1994/95</v>
          </cell>
          <cell r="G6" t="str">
            <v xml:space="preserve">1995/96 </v>
          </cell>
        </row>
        <row r="7">
          <cell r="L7" t="str">
            <v xml:space="preserve">Millions of Ngultrum </v>
          </cell>
          <cell r="W7" t="str">
            <v xml:space="preserve">Millions of Ngultrum </v>
          </cell>
        </row>
        <row r="8">
          <cell r="A8" t="str">
            <v>Exports,fob</v>
          </cell>
          <cell r="B8">
            <v>1129.57</v>
          </cell>
          <cell r="C8">
            <v>1465.13</v>
          </cell>
          <cell r="D8">
            <v>1522.18</v>
          </cell>
          <cell r="E8">
            <v>1785.98</v>
          </cell>
          <cell r="F8">
            <v>2059.81</v>
          </cell>
          <cell r="G8">
            <v>3078.95</v>
          </cell>
        </row>
        <row r="9">
          <cell r="A9" t="str">
            <v/>
          </cell>
          <cell r="L9" t="str">
            <v/>
          </cell>
          <cell r="M9" t="str">
            <v xml:space="preserve"> Period</v>
          </cell>
          <cell r="N9" t="str">
            <v/>
          </cell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A10" t="str">
            <v>Imports,cif</v>
          </cell>
          <cell r="B10">
            <v>-1254.92</v>
          </cell>
          <cell r="C10">
            <v>-1814.14</v>
          </cell>
          <cell r="D10">
            <v>-2086.2600000000002</v>
          </cell>
          <cell r="E10">
            <v>-2065.9</v>
          </cell>
          <cell r="F10">
            <v>-2228.09</v>
          </cell>
          <cell r="G10">
            <v>-2790.52</v>
          </cell>
          <cell r="L10" t="str">
            <v/>
          </cell>
          <cell r="W10" t="str">
            <v/>
          </cell>
        </row>
        <row r="11">
          <cell r="A11" t="str">
            <v/>
          </cell>
          <cell r="L11" t="str">
            <v>Item</v>
          </cell>
          <cell r="M11" t="str">
            <v xml:space="preserve">   1990/91</v>
          </cell>
          <cell r="N11" t="str">
            <v>1991/92</v>
          </cell>
          <cell r="O11" t="str">
            <v>1992/93</v>
          </cell>
          <cell r="P11" t="str">
            <v xml:space="preserve">1993/94 </v>
          </cell>
          <cell r="Q11" t="str">
            <v>1994/95</v>
          </cell>
          <cell r="R11" t="str">
            <v xml:space="preserve">1995/96 </v>
          </cell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2">
          <cell r="A12" t="str">
            <v xml:space="preserve">  Tala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</row>
        <row r="13">
          <cell r="A13" t="str">
            <v/>
          </cell>
          <cell r="L13" t="str">
            <v>Exports,fob</v>
          </cell>
          <cell r="M13">
            <v>178.92</v>
          </cell>
          <cell r="N13">
            <v>166.82</v>
          </cell>
          <cell r="O13">
            <v>315.07</v>
          </cell>
          <cell r="P13">
            <v>204.35</v>
          </cell>
          <cell r="Q13">
            <v>136.87</v>
          </cell>
          <cell r="R13">
            <v>270.18</v>
          </cell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A14" t="str">
            <v xml:space="preserve">  Other</v>
          </cell>
          <cell r="B14">
            <v>-1254.92</v>
          </cell>
          <cell r="C14">
            <v>-1814.14</v>
          </cell>
          <cell r="D14">
            <v>-2086.2600000000002</v>
          </cell>
          <cell r="E14">
            <v>-2065.9</v>
          </cell>
          <cell r="F14">
            <v>-2228.09</v>
          </cell>
          <cell r="G14">
            <v>-2790.52</v>
          </cell>
          <cell r="L14" t="str">
            <v/>
          </cell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A15" t="str">
            <v/>
          </cell>
          <cell r="L15" t="str">
            <v>Imports,cif</v>
          </cell>
          <cell r="M15">
            <v>-270.52999999999997</v>
          </cell>
          <cell r="N15">
            <v>-334.39</v>
          </cell>
          <cell r="O15">
            <v>-1384.6</v>
          </cell>
          <cell r="P15">
            <v>-848.3</v>
          </cell>
          <cell r="Q15">
            <v>-825.08999999999992</v>
          </cell>
          <cell r="R15">
            <v>-1011.82</v>
          </cell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A16" t="str">
            <v>Trade balance</v>
          </cell>
          <cell r="B16">
            <v>-125.35</v>
          </cell>
          <cell r="C16">
            <v>-349.01</v>
          </cell>
          <cell r="D16">
            <v>-564.08000000000004</v>
          </cell>
          <cell r="E16">
            <v>-279.92000000000007</v>
          </cell>
          <cell r="F16">
            <v>-168.2800000000002</v>
          </cell>
          <cell r="G16">
            <v>288.42999999999984</v>
          </cell>
          <cell r="L16" t="str">
            <v/>
          </cell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A17" t="str">
            <v>Service and transfer</v>
          </cell>
          <cell r="L17" t="str">
            <v xml:space="preserve">  Aid-related</v>
          </cell>
          <cell r="M17">
            <v>-115.82</v>
          </cell>
          <cell r="N17">
            <v>-168.69</v>
          </cell>
          <cell r="O17">
            <v>-357.28</v>
          </cell>
          <cell r="P17">
            <v>-378.29</v>
          </cell>
          <cell r="Q17">
            <v>-361.03</v>
          </cell>
          <cell r="R17">
            <v>-416.47</v>
          </cell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A18" t="str">
            <v>receipts</v>
          </cell>
          <cell r="B18">
            <v>228.68</v>
          </cell>
          <cell r="C18">
            <v>235.12</v>
          </cell>
          <cell r="D18">
            <v>201.37</v>
          </cell>
          <cell r="E18">
            <v>224.93</v>
          </cell>
          <cell r="F18">
            <v>215.93</v>
          </cell>
          <cell r="G18">
            <v>282.26</v>
          </cell>
          <cell r="L18" t="str">
            <v/>
          </cell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A19" t="str">
            <v>Service and transfer</v>
          </cell>
          <cell r="L19" t="str">
            <v xml:space="preserve">  Other</v>
          </cell>
          <cell r="M19">
            <v>-154.71</v>
          </cell>
          <cell r="N19">
            <v>-165.7</v>
          </cell>
          <cell r="O19">
            <v>-1027.32</v>
          </cell>
          <cell r="P19">
            <v>-470.01</v>
          </cell>
          <cell r="Q19">
            <v>-464.06</v>
          </cell>
          <cell r="R19">
            <v>-595.35</v>
          </cell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A20" t="str">
            <v>payments</v>
          </cell>
          <cell r="B20">
            <v>-342.16</v>
          </cell>
          <cell r="C20">
            <v>-402.5</v>
          </cell>
          <cell r="D20">
            <v>-495.85</v>
          </cell>
          <cell r="E20">
            <v>-591.34</v>
          </cell>
          <cell r="F20">
            <v>-497.66</v>
          </cell>
          <cell r="G20">
            <v>-776.14</v>
          </cell>
          <cell r="L20" t="str">
            <v/>
          </cell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A21" t="str">
            <v/>
          </cell>
          <cell r="L21" t="str">
            <v>Trade balance</v>
          </cell>
          <cell r="M21">
            <v>-91.61</v>
          </cell>
          <cell r="N21">
            <v>-167.57</v>
          </cell>
          <cell r="O21">
            <v>-1069.53</v>
          </cell>
          <cell r="P21">
            <v>-643.94999999999993</v>
          </cell>
          <cell r="Q21">
            <v>-688.21999999999991</v>
          </cell>
          <cell r="R21">
            <v>-741.6400000000001</v>
          </cell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A22" t="str">
            <v>Current account balance</v>
          </cell>
          <cell r="B22">
            <v>-238.83</v>
          </cell>
          <cell r="C22">
            <v>-516.39</v>
          </cell>
          <cell r="D22">
            <v>-858.56</v>
          </cell>
          <cell r="E22">
            <v>-646.33000000000015</v>
          </cell>
          <cell r="F22">
            <v>-450.01000000000022</v>
          </cell>
          <cell r="G22">
            <v>-205.45000000000016</v>
          </cell>
          <cell r="L22" t="str">
            <v/>
          </cell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A23" t="str">
            <v/>
          </cell>
          <cell r="L23" t="str">
            <v>Service receipts</v>
          </cell>
          <cell r="M23">
            <v>145.93</v>
          </cell>
          <cell r="N23">
            <v>209.47</v>
          </cell>
          <cell r="O23">
            <v>317.42</v>
          </cell>
          <cell r="P23">
            <v>408.86</v>
          </cell>
          <cell r="Q23">
            <v>420.2</v>
          </cell>
          <cell r="R23">
            <v>513.34</v>
          </cell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A24" t="str">
            <v>Foreign aid</v>
          </cell>
          <cell r="B24">
            <v>730.43</v>
          </cell>
          <cell r="C24">
            <v>554.64</v>
          </cell>
          <cell r="D24">
            <v>700.03</v>
          </cell>
          <cell r="E24">
            <v>849.24</v>
          </cell>
          <cell r="F24">
            <v>805.65</v>
          </cell>
          <cell r="G24">
            <v>682.08999999999992</v>
          </cell>
          <cell r="L24" t="str">
            <v/>
          </cell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A25" t="str">
            <v/>
          </cell>
          <cell r="L25" t="str">
            <v>Service payments</v>
          </cell>
          <cell r="M25">
            <v>-219</v>
          </cell>
          <cell r="N25">
            <v>-303.94</v>
          </cell>
          <cell r="O25">
            <v>-529.22</v>
          </cell>
          <cell r="P25">
            <v>-585.77</v>
          </cell>
          <cell r="Q25">
            <v>-603.83000000000004</v>
          </cell>
          <cell r="R25">
            <v>-1038.8</v>
          </cell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A26" t="str">
            <v xml:space="preserve">  Loans (net)</v>
          </cell>
          <cell r="B26">
            <v>-2.14</v>
          </cell>
          <cell r="C26">
            <v>-2.14</v>
          </cell>
          <cell r="D26">
            <v>-193.13</v>
          </cell>
          <cell r="E26">
            <v>-97.14</v>
          </cell>
          <cell r="F26">
            <v>-13.82</v>
          </cell>
          <cell r="G26">
            <v>-385.52</v>
          </cell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A27" t="str">
            <v/>
          </cell>
          <cell r="L27" t="str">
            <v>Private transfers</v>
          </cell>
          <cell r="M27">
            <v>90.24</v>
          </cell>
          <cell r="N27">
            <v>138.88999999999999</v>
          </cell>
          <cell r="O27">
            <v>186.74</v>
          </cell>
          <cell r="P27">
            <v>213.61</v>
          </cell>
          <cell r="Q27">
            <v>250.32</v>
          </cell>
          <cell r="R27">
            <v>200.1</v>
          </cell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A28" t="str">
            <v xml:space="preserve">  Grants</v>
          </cell>
          <cell r="B28">
            <v>732.57</v>
          </cell>
          <cell r="C28">
            <v>556.78</v>
          </cell>
          <cell r="D28">
            <v>893.16</v>
          </cell>
          <cell r="E28">
            <v>946.38</v>
          </cell>
          <cell r="F28">
            <v>819.47</v>
          </cell>
          <cell r="G28">
            <v>1067.6099999999999</v>
          </cell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A29" t="str">
            <v/>
          </cell>
          <cell r="L29" t="str">
            <v>Current account balance</v>
          </cell>
          <cell r="M29">
            <v>-74.44</v>
          </cell>
          <cell r="N29">
            <v>-123.15</v>
          </cell>
          <cell r="O29">
            <v>-1094.5899999999999</v>
          </cell>
          <cell r="P29">
            <v>-607.24999999999989</v>
          </cell>
          <cell r="Q29">
            <v>-621.53</v>
          </cell>
          <cell r="R29">
            <v>-1067</v>
          </cell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A30" t="str">
            <v>Other loans</v>
          </cell>
          <cell r="B30" t="str">
            <v>-</v>
          </cell>
          <cell r="C30">
            <v>286</v>
          </cell>
          <cell r="D30">
            <v>347.83</v>
          </cell>
          <cell r="E30">
            <v>229.68</v>
          </cell>
          <cell r="F30">
            <v>0</v>
          </cell>
          <cell r="G30">
            <v>0</v>
          </cell>
          <cell r="L30" t="str">
            <v/>
          </cell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L31" t="str">
            <v>Foreign aid</v>
          </cell>
          <cell r="M31">
            <v>306.93</v>
          </cell>
          <cell r="N31">
            <v>435.55</v>
          </cell>
          <cell r="O31">
            <v>886.7</v>
          </cell>
          <cell r="P31">
            <v>931.31</v>
          </cell>
          <cell r="Q31">
            <v>887.06000000000006</v>
          </cell>
          <cell r="R31">
            <v>1714.4099999999999</v>
          </cell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A32" t="str">
            <v>Errors and omissions</v>
          </cell>
          <cell r="B32">
            <v>-664.09</v>
          </cell>
          <cell r="C32">
            <v>-472.4</v>
          </cell>
          <cell r="D32">
            <v>-207.29</v>
          </cell>
          <cell r="E32">
            <v>-387.14999999999986</v>
          </cell>
          <cell r="F32">
            <v>-409.93999999999977</v>
          </cell>
          <cell r="G32">
            <v>-397.04999999999973</v>
          </cell>
          <cell r="L32" t="str">
            <v/>
          </cell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A33" t="str">
            <v/>
          </cell>
          <cell r="L33" t="str">
            <v xml:space="preserve">  Loans (net)</v>
          </cell>
          <cell r="M33">
            <v>89.94</v>
          </cell>
          <cell r="N33">
            <v>102.72</v>
          </cell>
          <cell r="O33">
            <v>107.56</v>
          </cell>
          <cell r="P33">
            <v>82.51</v>
          </cell>
          <cell r="Q33">
            <v>81.36</v>
          </cell>
          <cell r="R33">
            <v>47.31</v>
          </cell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A34" t="str">
            <v>Overall balance</v>
          </cell>
          <cell r="B34">
            <v>-172.49</v>
          </cell>
          <cell r="C34">
            <v>-148.15</v>
          </cell>
          <cell r="D34">
            <v>-17.989999999999998</v>
          </cell>
          <cell r="E34">
            <v>45.44</v>
          </cell>
          <cell r="F34">
            <v>-54.3</v>
          </cell>
          <cell r="G34">
            <v>79.59</v>
          </cell>
          <cell r="L34" t="str">
            <v/>
          </cell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L35" t="str">
            <v xml:space="preserve">  Grants</v>
          </cell>
          <cell r="M35">
            <v>216.99</v>
          </cell>
          <cell r="N35">
            <v>332.83</v>
          </cell>
          <cell r="O35">
            <v>779.14</v>
          </cell>
          <cell r="P35">
            <v>848.8</v>
          </cell>
          <cell r="Q35">
            <v>805.7</v>
          </cell>
          <cell r="R35">
            <v>1667.1</v>
          </cell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A36" t="str">
            <v>(*) Preliminary estimates.  Total  may not add up due to rounding. -</v>
          </cell>
          <cell r="L36" t="str">
            <v/>
          </cell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A37" t="str">
            <v xml:space="preserve"> Imports by Tala Hydro Power Project includes only those made by the project  and some imports made  by the contractors</v>
          </cell>
          <cell r="L37" t="str">
            <v>Other loans</v>
          </cell>
          <cell r="M37">
            <v>-51.98</v>
          </cell>
          <cell r="N37">
            <v>-72.3</v>
          </cell>
          <cell r="O37">
            <v>118.11</v>
          </cell>
          <cell r="P37">
            <v>-70.900000000000006</v>
          </cell>
          <cell r="Q37">
            <v>-70.98</v>
          </cell>
          <cell r="R37">
            <v>-77.5</v>
          </cell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L39" t="str">
            <v>Foreign direct investment</v>
          </cell>
          <cell r="M39">
            <v>7.68</v>
          </cell>
          <cell r="N39">
            <v>22.32</v>
          </cell>
          <cell r="O39" t="str">
            <v>-</v>
          </cell>
          <cell r="P39" t="str">
            <v>-</v>
          </cell>
          <cell r="Q39" t="str">
            <v>-</v>
          </cell>
          <cell r="R39" t="str">
            <v>-</v>
          </cell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L41" t="str">
            <v>Errors and omissions</v>
          </cell>
          <cell r="M41">
            <v>346.71</v>
          </cell>
          <cell r="N41">
            <v>552.63</v>
          </cell>
          <cell r="O41">
            <v>487.95</v>
          </cell>
          <cell r="P41">
            <v>94.109999999999928</v>
          </cell>
          <cell r="Q41">
            <v>300.62999999999994</v>
          </cell>
          <cell r="R41">
            <v>206.2800000000002</v>
          </cell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A42" t="str">
            <v/>
          </cell>
          <cell r="L42" t="str">
            <v/>
          </cell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A43" t="str">
            <v/>
          </cell>
          <cell r="L43" t="str">
            <v>Overall balance</v>
          </cell>
          <cell r="M43">
            <v>534.9</v>
          </cell>
          <cell r="N43">
            <v>815.05</v>
          </cell>
          <cell r="O43">
            <v>398.17</v>
          </cell>
          <cell r="P43">
            <v>347.27</v>
          </cell>
          <cell r="Q43">
            <v>495.18</v>
          </cell>
          <cell r="R43">
            <v>776.19</v>
          </cell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L45" t="str">
            <v xml:space="preserve">(*) Preliminary  estimates.  Totals may not add up because of rounding.- </v>
          </cell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6">
          <cell r="L46" t="str">
            <v/>
          </cell>
        </row>
        <row r="47">
          <cell r="L47" t="str">
            <v/>
          </cell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1"/>
      <sheetName val="S2"/>
      <sheetName val="S3"/>
      <sheetName val="S4"/>
      <sheetName val="Model"/>
      <sheetName val="Output"/>
      <sheetName val="add-factors"/>
      <sheetName val="Variant"/>
      <sheetName val="monCPI"/>
      <sheetName val="decomposition"/>
      <sheetName val="SIM"/>
      <sheetName val="SOURCEMEFF"/>
      <sheetName val="LT-OUTPUT"/>
      <sheetName val="DIFMEFF"/>
      <sheetName val="DIF"/>
      <sheetName val="graphs"/>
      <sheetName val="Analysis"/>
      <sheetName val="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Block Government Federal + regions</v>
          </cell>
        </row>
        <row r="132">
          <cell r="A132" t="str">
            <v>Block Integrated Accounts</v>
          </cell>
        </row>
        <row r="153">
          <cell r="A153" t="str">
            <v>private consumption</v>
          </cell>
        </row>
        <row r="156">
          <cell r="A156" t="str">
            <v>gross investments &lt;E&gt;</v>
          </cell>
        </row>
        <row r="159">
          <cell r="A159" t="str">
            <v>exports of goods and services &lt;E&gt;</v>
          </cell>
        </row>
        <row r="160">
          <cell r="A160" t="str">
            <v>imports of goods and services &lt;E&gt;</v>
          </cell>
        </row>
        <row r="172">
          <cell r="A172" t="str">
            <v>wage bill &lt;E&gt;</v>
          </cell>
        </row>
        <row r="196">
          <cell r="A196" t="str">
            <v>Annual price mutations in %</v>
          </cell>
        </row>
        <row r="198">
          <cell r="A198" t="str">
            <v xml:space="preserve">consumer price </v>
          </cell>
        </row>
        <row r="200">
          <cell r="A200" t="str">
            <v xml:space="preserve">import price </v>
          </cell>
        </row>
        <row r="202">
          <cell r="A202" t="str">
            <v xml:space="preserve">investment price </v>
          </cell>
        </row>
        <row r="207">
          <cell r="A207" t="str">
            <v>AUXILIARY VARIABLES:</v>
          </cell>
        </row>
        <row r="236">
          <cell r="A236" t="str">
            <v>Block BoP, Mon, LM</v>
          </cell>
        </row>
        <row r="250">
          <cell r="A250" t="str">
            <v>Monetary data &amp; stocks</v>
          </cell>
        </row>
        <row r="260">
          <cell r="A260" t="str">
            <v>money supply M2</v>
          </cell>
        </row>
        <row r="267">
          <cell r="A267" t="str">
            <v>Birr per dollar</v>
          </cell>
        </row>
        <row r="268">
          <cell r="A268" t="str">
            <v>Nominal Lending interest rate</v>
          </cell>
        </row>
        <row r="270">
          <cell r="A270" t="str">
            <v>Labour market</v>
          </cell>
        </row>
        <row r="272">
          <cell r="A272" t="str">
            <v xml:space="preserve">employment wage earners &lt;E&gt; </v>
          </cell>
        </row>
        <row r="274">
          <cell r="A274" t="str">
            <v>rural workers (population of working age in rural sector)</v>
          </cell>
        </row>
        <row r="308">
          <cell r="A308" t="str">
            <v>MICRO BLOCK</v>
          </cell>
        </row>
        <row r="342">
          <cell r="A342" t="str">
            <v xml:space="preserve">export price </v>
          </cell>
        </row>
        <row r="401">
          <cell r="A401" t="str">
            <v>Total Food Crops Price Change</v>
          </cell>
        </row>
        <row r="403">
          <cell r="A403" t="str">
            <v>Food Crops volume % change</v>
          </cell>
        </row>
        <row r="406">
          <cell r="A406" t="str">
            <v>BLOCK SECTORS</v>
          </cell>
        </row>
        <row r="427">
          <cell r="A427" t="str">
            <v>% growth value added prices 80/81 agri</v>
          </cell>
        </row>
      </sheetData>
      <sheetData sheetId="6" refreshError="1">
        <row r="4">
          <cell r="A4" t="str">
            <v>Macro Key figures (main indicators)</v>
          </cell>
        </row>
        <row r="15">
          <cell r="A15" t="str">
            <v xml:space="preserve">export price </v>
          </cell>
        </row>
        <row r="68">
          <cell r="A68" t="str">
            <v>ACCOUNTS OF THE SECTORS: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OURCE"/>
      <sheetName val="ModelNA"/>
      <sheetName val="SectorsAbcNA"/>
      <sheetName val="Output Ec. Chapter"/>
      <sheetName val="Variants"/>
      <sheetName val="InputMMSNA"/>
      <sheetName val="incdis"/>
      <sheetName val="CalcMMSNA"/>
      <sheetName val="gini"/>
      <sheetName val="OutputMMSNA"/>
      <sheetName val="beh.eq."/>
      <sheetName val="Title NEW"/>
      <sheetName val="ASU"/>
      <sheetName val="SNAact"/>
      <sheetName val="SNAexp"/>
      <sheetName val="SUMMARY"/>
      <sheetName val="MON"/>
      <sheetName val="AGRICULTURE"/>
      <sheetName val="DIAMOND"/>
      <sheetName val="PIT"/>
      <sheetName val="TRA"/>
      <sheetName val="BOP"/>
      <sheetName val="BOL"/>
      <sheetName val="GOVfy"/>
      <sheetName val="GOVcy"/>
      <sheetName val="GOVdebt"/>
      <sheetName val="PRS"/>
      <sheetName val="CCH"/>
      <sheetName val="FOF"/>
      <sheetName val="DIT"/>
      <sheetName val="SACU (to be updated)"/>
      <sheetName val="EPZ (not finshed)"/>
      <sheetName val="GAS (not finshed)"/>
      <sheetName val="LAB (not finshed)"/>
      <sheetName val="GFCF (not finishe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D1">
            <v>1980</v>
          </cell>
          <cell r="E1">
            <v>1981</v>
          </cell>
          <cell r="F1">
            <v>1982</v>
          </cell>
          <cell r="G1">
            <v>1983</v>
          </cell>
          <cell r="H1">
            <v>1984</v>
          </cell>
          <cell r="I1">
            <v>1985</v>
          </cell>
          <cell r="J1">
            <v>1986</v>
          </cell>
          <cell r="K1">
            <v>1987</v>
          </cell>
          <cell r="L1">
            <v>1988</v>
          </cell>
          <cell r="M1">
            <v>1989</v>
          </cell>
          <cell r="N1">
            <v>1990</v>
          </cell>
          <cell r="O1">
            <v>1991</v>
          </cell>
          <cell r="P1">
            <v>1992</v>
          </cell>
          <cell r="Q1">
            <v>1993</v>
          </cell>
          <cell r="R1">
            <v>1994</v>
          </cell>
          <cell r="S1">
            <v>1995</v>
          </cell>
          <cell r="T1">
            <v>1996</v>
          </cell>
          <cell r="U1">
            <v>1997</v>
          </cell>
          <cell r="V1">
            <v>1998</v>
          </cell>
          <cell r="W1">
            <v>1999</v>
          </cell>
          <cell r="X1">
            <v>2000</v>
          </cell>
          <cell r="Y1">
            <v>2001</v>
          </cell>
          <cell r="Z1">
            <v>2002</v>
          </cell>
          <cell r="AA1">
            <v>2003</v>
          </cell>
          <cell r="AB1">
            <v>2004</v>
          </cell>
          <cell r="AC1">
            <v>2005</v>
          </cell>
          <cell r="AD1">
            <v>2006</v>
          </cell>
          <cell r="AE1">
            <v>2007</v>
          </cell>
          <cell r="AF1">
            <v>2008</v>
          </cell>
          <cell r="AG1">
            <v>2009</v>
          </cell>
          <cell r="AH1">
            <v>2010</v>
          </cell>
          <cell r="AI1">
            <v>2011</v>
          </cell>
          <cell r="AJ1">
            <v>2012</v>
          </cell>
          <cell r="AK1">
            <v>2013</v>
          </cell>
          <cell r="AL1">
            <v>2014</v>
          </cell>
          <cell r="AM1">
            <v>2015</v>
          </cell>
          <cell r="AN1">
            <v>2016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2.6434580477216585E-2</v>
          </cell>
          <cell r="Q5">
            <v>2.6434580477216585E-2</v>
          </cell>
          <cell r="R5">
            <v>2.6434580477216585E-2</v>
          </cell>
          <cell r="S5">
            <v>2.6434580477216585E-2</v>
          </cell>
          <cell r="T5">
            <v>2.6434580477216585E-2</v>
          </cell>
          <cell r="U5">
            <v>2.6434580477216585E-2</v>
          </cell>
          <cell r="V5">
            <v>2.6434580477216585E-2</v>
          </cell>
          <cell r="W5">
            <v>2.6434580477216585E-2</v>
          </cell>
          <cell r="X5">
            <v>2.6434580477216585E-2</v>
          </cell>
          <cell r="Y5">
            <v>2.6434580470180213E-2</v>
          </cell>
          <cell r="Z5">
            <v>1.6999999999999904E-2</v>
          </cell>
          <cell r="AA5">
            <v>1.6999999999999904E-2</v>
          </cell>
          <cell r="AB5">
            <v>1.6999999999999904E-2</v>
          </cell>
          <cell r="AC5">
            <v>1.8000000000000016E-2</v>
          </cell>
          <cell r="AD5">
            <v>1.7999999999999999E-2</v>
          </cell>
          <cell r="AE5">
            <v>1.7999999999999999E-2</v>
          </cell>
          <cell r="AF5">
            <v>1.9E-2</v>
          </cell>
          <cell r="AG5">
            <v>1.9E-2</v>
          </cell>
          <cell r="AH5">
            <v>1.9E-2</v>
          </cell>
          <cell r="AI5">
            <v>1.9E-2</v>
          </cell>
          <cell r="AJ5">
            <v>1.9E-2</v>
          </cell>
          <cell r="AK5">
            <v>1.9E-2</v>
          </cell>
          <cell r="AL5">
            <v>1.9E-2</v>
          </cell>
          <cell r="AM5">
            <v>1.9E-2</v>
          </cell>
        </row>
        <row r="7">
          <cell r="D7">
            <v>0.32168218162167089</v>
          </cell>
          <cell r="E7">
            <v>0.29308838120110309</v>
          </cell>
          <cell r="F7">
            <v>0.19831778239916928</v>
          </cell>
          <cell r="G7">
            <v>0.19165144360748451</v>
          </cell>
          <cell r="H7">
            <v>0.15700997622750495</v>
          </cell>
          <cell r="I7">
            <v>0.10788096342365897</v>
          </cell>
          <cell r="J7">
            <v>6.9926900826824165E-2</v>
          </cell>
          <cell r="K7">
            <v>0.14324278632449647</v>
          </cell>
          <cell r="L7">
            <v>0.1860174772961414</v>
          </cell>
          <cell r="M7">
            <v>0.16525265521125354</v>
          </cell>
          <cell r="N7">
            <v>0.26705839725556313</v>
          </cell>
          <cell r="O7">
            <v>0.15847393289131084</v>
          </cell>
          <cell r="P7">
            <v>0.2043616901806439</v>
          </cell>
          <cell r="Q7">
            <v>0.12478016180091453</v>
          </cell>
          <cell r="R7">
            <v>0.2418059652572927</v>
          </cell>
          <cell r="S7">
            <v>0.21698410199905557</v>
          </cell>
          <cell r="T7">
            <v>0.24841735946914803</v>
          </cell>
          <cell r="U7">
            <v>0.21646542261251372</v>
          </cell>
          <cell r="V7">
            <v>0.27941905773999293</v>
          </cell>
          <cell r="W7">
            <v>0.25832762165867035</v>
          </cell>
          <cell r="X7">
            <v>0.23675496688741721</v>
          </cell>
          <cell r="Y7">
            <v>0.29155348596559305</v>
          </cell>
          <cell r="Z7">
            <v>0.28101127682793742</v>
          </cell>
          <cell r="AA7">
            <v>0.35262757044935261</v>
          </cell>
          <cell r="AB7">
            <v>0.30429285989116694</v>
          </cell>
          <cell r="AC7">
            <v>0.32487202490896616</v>
          </cell>
          <cell r="AD7">
            <v>0.32726415174982859</v>
          </cell>
          <cell r="AE7">
            <v>0.31</v>
          </cell>
          <cell r="AF7">
            <v>0.32</v>
          </cell>
          <cell r="AG7">
            <v>0.33</v>
          </cell>
          <cell r="AH7">
            <v>0.33</v>
          </cell>
          <cell r="AI7">
            <v>0.33</v>
          </cell>
          <cell r="AJ7">
            <v>0.33</v>
          </cell>
          <cell r="AK7">
            <v>0.33</v>
          </cell>
          <cell r="AL7">
            <v>0.33</v>
          </cell>
          <cell r="AM7">
            <v>0.33</v>
          </cell>
        </row>
        <row r="8">
          <cell r="D8">
            <v>2.3906082611687734E-2</v>
          </cell>
          <cell r="E8">
            <v>2.6706735490121456E-2</v>
          </cell>
          <cell r="F8">
            <v>-2.4434668082857595E-2</v>
          </cell>
          <cell r="G8">
            <v>1.9524917060026407E-2</v>
          </cell>
          <cell r="H8">
            <v>9.2559687246421551E-3</v>
          </cell>
          <cell r="I8">
            <v>-4.1938352442218343E-2</v>
          </cell>
          <cell r="J8">
            <v>-6.2991596505846445E-2</v>
          </cell>
          <cell r="K8">
            <v>8.778001064739218E-3</v>
          </cell>
          <cell r="L8">
            <v>3.5013330974868452E-2</v>
          </cell>
          <cell r="M8">
            <v>2.6046881570655359E-3</v>
          </cell>
          <cell r="N8">
            <v>6.8040723714127685E-2</v>
          </cell>
          <cell r="O8">
            <v>1.5350593880009193E-2</v>
          </cell>
          <cell r="P8">
            <v>1.7429939892491305E-2</v>
          </cell>
          <cell r="Q8">
            <v>-4.57263454097784E-2</v>
          </cell>
          <cell r="R8">
            <v>1.8764339560799738E-2</v>
          </cell>
          <cell r="S8">
            <v>-4.7221784983472372E-3</v>
          </cell>
          <cell r="T8">
            <v>-3.7373198077949813E-3</v>
          </cell>
          <cell r="U8">
            <v>6.7325283571167214E-3</v>
          </cell>
          <cell r="V8">
            <v>2.6921714488133193E-2</v>
          </cell>
          <cell r="W8">
            <v>3.838245373543523E-3</v>
          </cell>
          <cell r="X8">
            <v>1.2980132450331127E-2</v>
          </cell>
          <cell r="Y8">
            <v>1.3775708187815289E-2</v>
          </cell>
          <cell r="Z8">
            <v>-1.0367406329574391E-2</v>
          </cell>
          <cell r="AA8">
            <v>3.0464584920030465E-3</v>
          </cell>
          <cell r="AB8">
            <v>4.4522618589567416E-3</v>
          </cell>
          <cell r="AC8">
            <v>1.5145917990395271E-2</v>
          </cell>
          <cell r="AD8">
            <v>7.5482127804516854E-3</v>
          </cell>
          <cell r="AE8">
            <v>9.0487975432678985E-3</v>
          </cell>
          <cell r="AF8">
            <v>1.0580976104704952E-2</v>
          </cell>
          <cell r="AG8">
            <v>9.059328809474845E-3</v>
          </cell>
          <cell r="AH8">
            <v>9.5630341524825663E-3</v>
          </cell>
          <cell r="AI8">
            <v>9.7344463555541216E-3</v>
          </cell>
          <cell r="AJ8">
            <v>9.4522697725038449E-3</v>
          </cell>
          <cell r="AK8">
            <v>9.5832500935135109E-3</v>
          </cell>
          <cell r="AL8">
            <v>9.5899887405238252E-3</v>
          </cell>
          <cell r="AM8">
            <v>9.5418362021803937E-3</v>
          </cell>
        </row>
        <row r="9">
          <cell r="E9">
            <v>0.14800000000000013</v>
          </cell>
          <cell r="F9">
            <v>0.15199999999999991</v>
          </cell>
          <cell r="G9">
            <v>0.12199999999999989</v>
          </cell>
          <cell r="H9">
            <v>9.099999999999997E-2</v>
          </cell>
          <cell r="I9">
            <v>0.11899999999999999</v>
          </cell>
          <cell r="J9">
            <v>0.1339999999999999</v>
          </cell>
          <cell r="K9">
            <v>0.12599999999999989</v>
          </cell>
          <cell r="L9">
            <v>0.12800000000000011</v>
          </cell>
          <cell r="M9">
            <v>0.15199999999999991</v>
          </cell>
          <cell r="N9">
            <v>0.12000000000000011</v>
          </cell>
          <cell r="O9">
            <v>0.11899999999999999</v>
          </cell>
          <cell r="P9">
            <v>0.11699999999999999</v>
          </cell>
          <cell r="Q9">
            <v>8.4999999999999964E-2</v>
          </cell>
          <cell r="R9">
            <v>0.10762929802838372</v>
          </cell>
          <cell r="S9">
            <v>0.10009459110843566</v>
          </cell>
          <cell r="T9">
            <v>8.0043773938872631E-2</v>
          </cell>
          <cell r="U9">
            <v>8.8218619574919943E-2</v>
          </cell>
          <cell r="V9">
            <v>6.2084675028127201E-2</v>
          </cell>
          <cell r="W9">
            <v>8.5783763756763998E-2</v>
          </cell>
          <cell r="X9">
            <v>9.2660232996270242E-2</v>
          </cell>
          <cell r="Y9">
            <v>9.2658360191907985E-2</v>
          </cell>
          <cell r="Z9">
            <v>0.11702030650218864</v>
          </cell>
          <cell r="AA9">
            <v>7.1522563665918026E-2</v>
          </cell>
          <cell r="AB9">
            <v>4.1465000361193161E-2</v>
          </cell>
          <cell r="AC9">
            <v>2.3229608092007803E-2</v>
          </cell>
          <cell r="AD9">
            <v>4.7E-2</v>
          </cell>
          <cell r="AE9">
            <v>0.05</v>
          </cell>
          <cell r="AF9">
            <v>0.04</v>
          </cell>
          <cell r="AG9">
            <v>0.04</v>
          </cell>
          <cell r="AH9">
            <v>4.4999999999999998E-2</v>
          </cell>
          <cell r="AI9">
            <v>4.4999999999999998E-2</v>
          </cell>
          <cell r="AJ9">
            <v>4.4999999999999998E-2</v>
          </cell>
          <cell r="AK9">
            <v>4.4999999999999998E-2</v>
          </cell>
          <cell r="AL9">
            <v>4.4999999999999998E-2</v>
          </cell>
          <cell r="AM9">
            <v>4.4999999999999998E-2</v>
          </cell>
        </row>
        <row r="11">
          <cell r="E11">
            <v>9.4076593820683119E-2</v>
          </cell>
          <cell r="F11">
            <v>0.29958006366596113</v>
          </cell>
          <cell r="G11">
            <v>2.8686695825020259E-2</v>
          </cell>
          <cell r="H11">
            <v>-0.29151439788782352</v>
          </cell>
          <cell r="I11">
            <v>9.1090394909064676E-2</v>
          </cell>
          <cell r="J11">
            <v>-9.6042281880909686E-2</v>
          </cell>
          <cell r="K11">
            <v>0.23728643693121154</v>
          </cell>
          <cell r="L11">
            <v>-5.6351580916054633E-2</v>
          </cell>
          <cell r="M11">
            <v>-3.8635327135186568</v>
          </cell>
          <cell r="N11">
            <v>-1.4797556664479428</v>
          </cell>
          <cell r="O11">
            <v>0.27414699933066999</v>
          </cell>
          <cell r="P11">
            <v>0.32317073170731714</v>
          </cell>
          <cell r="Q11">
            <v>1.1751152073732718</v>
          </cell>
          <cell r="R11">
            <v>4.237288135593209E-3</v>
          </cell>
          <cell r="S11">
            <v>3.5864978902953482E-2</v>
          </cell>
          <cell r="T11">
            <v>-1.6293279022403295E-2</v>
          </cell>
          <cell r="U11">
            <v>-3.5196687370600444E-2</v>
          </cell>
          <cell r="V11">
            <v>0.21673819742489275</v>
          </cell>
          <cell r="W11">
            <v>-1.2345679012345734E-2</v>
          </cell>
          <cell r="X11">
            <v>0.14464285714285707</v>
          </cell>
          <cell r="Y11">
            <v>-1.5600624024960985E-2</v>
          </cell>
          <cell r="Z11">
            <v>0.11410459587955635</v>
          </cell>
          <cell r="AA11">
            <v>4.1251778093883251E-2</v>
          </cell>
          <cell r="AB11">
            <v>-9.1530054644808789E-2</v>
          </cell>
          <cell r="AC11">
            <v>-3.157894736842104E-2</v>
          </cell>
          <cell r="AD11">
            <v>1.4999999999999999E-2</v>
          </cell>
          <cell r="AE11">
            <v>2.5000000000000001E-2</v>
          </cell>
          <cell r="AF11">
            <v>3.7552155771905404E-2</v>
          </cell>
          <cell r="AG11">
            <v>3.7552155771905404E-2</v>
          </cell>
          <cell r="AH11">
            <v>3.7552155771905404E-2</v>
          </cell>
          <cell r="AI11">
            <v>3.7552155771905404E-2</v>
          </cell>
          <cell r="AJ11">
            <v>3.7552155771905404E-2</v>
          </cell>
          <cell r="AK11">
            <v>3.7552155771905404E-2</v>
          </cell>
          <cell r="AL11">
            <v>3.7552155771905404E-2</v>
          </cell>
          <cell r="AM11">
            <v>3.7552155771905404E-2</v>
          </cell>
        </row>
        <row r="12">
          <cell r="E12">
            <v>-0.10345018717932264</v>
          </cell>
          <cell r="F12">
            <v>-8.6361902714175653E-2</v>
          </cell>
          <cell r="G12">
            <v>-1.6660311886069201E-2</v>
          </cell>
          <cell r="H12">
            <v>-2.6417365217019984E-2</v>
          </cell>
          <cell r="I12">
            <v>-2.7284280921392456E-2</v>
          </cell>
          <cell r="J12">
            <v>8.3346051035760649E-2</v>
          </cell>
          <cell r="K12">
            <v>1.8568159765711245E-2</v>
          </cell>
          <cell r="L12">
            <v>-1.0462209642345566E-2</v>
          </cell>
          <cell r="M12">
            <v>-6.206486094910757E-2</v>
          </cell>
          <cell r="N12">
            <v>-0.20931338310833303</v>
          </cell>
          <cell r="O12">
            <v>0.19433385473099962</v>
          </cell>
          <cell r="P12">
            <v>0.10038610038610041</v>
          </cell>
          <cell r="Q12">
            <v>-0.36701754385964913</v>
          </cell>
          <cell r="R12">
            <v>0.10643015521064303</v>
          </cell>
          <cell r="S12">
            <v>6.0120240480961984E-2</v>
          </cell>
          <cell r="T12">
            <v>3.969754253308122E-2</v>
          </cell>
          <cell r="U12">
            <v>4.0909090909091006E-2</v>
          </cell>
          <cell r="V12">
            <v>-2.4454148471615755E-2</v>
          </cell>
          <cell r="W12">
            <v>8.3258728737690246E-2</v>
          </cell>
          <cell r="X12">
            <v>-1.6528925619834656E-2</v>
          </cell>
          <cell r="Y12">
            <v>-6.1344537815126055E-2</v>
          </cell>
          <cell r="Z12">
            <v>0.16025067144136074</v>
          </cell>
          <cell r="AA12">
            <v>-4.5524691358024727E-2</v>
          </cell>
          <cell r="AB12">
            <v>0.36459175424413903</v>
          </cell>
          <cell r="AC12">
            <v>-1.7772511848341277E-2</v>
          </cell>
          <cell r="AD12">
            <v>0.1021447527141135</v>
          </cell>
          <cell r="AE12">
            <v>5.7137003675255427E-2</v>
          </cell>
          <cell r="AF12">
            <v>2.1018879277903357E-2</v>
          </cell>
          <cell r="AG12">
            <v>3.8928777643685297E-2</v>
          </cell>
          <cell r="AH12">
            <v>3.8970644200679194E-2</v>
          </cell>
          <cell r="AI12">
            <v>4.6850334623096179E-2</v>
          </cell>
          <cell r="AJ12">
            <v>4.6853795642321616E-2</v>
          </cell>
          <cell r="AK12">
            <v>4.6857263248679448E-2</v>
          </cell>
          <cell r="AL12">
            <v>4.6860737431713373E-2</v>
          </cell>
          <cell r="AM12">
            <v>4.6864218180814543E-2</v>
          </cell>
        </row>
        <row r="13">
          <cell r="E13">
            <v>-0.19264157749017974</v>
          </cell>
          <cell r="F13">
            <v>-0.18036271126895254</v>
          </cell>
          <cell r="G13">
            <v>-3.3689651985236879E-2</v>
          </cell>
          <cell r="H13">
            <v>-2.1602343785296907E-2</v>
          </cell>
          <cell r="I13">
            <v>8.1962377392905683E-3</v>
          </cell>
          <cell r="J13">
            <v>0.14934872494684681</v>
          </cell>
          <cell r="K13">
            <v>5.6480126454221846E-2</v>
          </cell>
          <cell r="L13">
            <v>-3.5710971039393247E-2</v>
          </cell>
          <cell r="M13">
            <v>-2.4795381916247305E-2</v>
          </cell>
          <cell r="N13">
            <v>-0.16276536201624348</v>
          </cell>
          <cell r="O13">
            <v>0.5388142995426568</v>
          </cell>
          <cell r="P13">
            <v>0.22566587372472768</v>
          </cell>
          <cell r="Q13">
            <v>-0.37974994941047702</v>
          </cell>
          <cell r="R13">
            <v>9.259259259259256E-2</v>
          </cell>
          <cell r="S13">
            <v>7.7683615819209129E-2</v>
          </cell>
          <cell r="T13">
            <v>2.6212319790301475E-2</v>
          </cell>
          <cell r="U13">
            <v>-1.2771392081737387E-3</v>
          </cell>
          <cell r="V13">
            <v>1.406649616368294E-2</v>
          </cell>
          <cell r="W13">
            <v>0.14501891551071888</v>
          </cell>
          <cell r="X13">
            <v>-6.7180616740088128E-2</v>
          </cell>
          <cell r="Y13">
            <v>-5.1948051948051965E-2</v>
          </cell>
          <cell r="Z13">
            <v>0.17310087173100874</v>
          </cell>
          <cell r="AA13">
            <v>-3.5031847133757954E-2</v>
          </cell>
          <cell r="AB13">
            <v>0.38613861386138604</v>
          </cell>
          <cell r="AC13">
            <v>-4.1269841269841234E-2</v>
          </cell>
          <cell r="AD13">
            <v>6.4635086092715177E-2</v>
          </cell>
          <cell r="AE13">
            <v>1.1115384615384638E-2</v>
          </cell>
          <cell r="AF13">
            <v>3.499999999999992E-2</v>
          </cell>
          <cell r="AG13">
            <v>3.499999999999992E-2</v>
          </cell>
          <cell r="AH13">
            <v>4.5700000000000074E-2</v>
          </cell>
          <cell r="AI13">
            <v>4.5700000000000074E-2</v>
          </cell>
          <cell r="AJ13">
            <v>4.5699999999999852E-2</v>
          </cell>
          <cell r="AK13">
            <v>4.5700000000000074E-2</v>
          </cell>
          <cell r="AL13">
            <v>4.5700000000000074E-2</v>
          </cell>
          <cell r="AM13">
            <v>4.5700000000000074E-2</v>
          </cell>
        </row>
        <row r="14">
          <cell r="E14">
            <v>-5.5377529826931005E-3</v>
          </cell>
          <cell r="F14">
            <v>-2.5849454643356307E-3</v>
          </cell>
          <cell r="G14">
            <v>-4.1882975394521571E-3</v>
          </cell>
          <cell r="H14">
            <v>-2.9839336904024183E-2</v>
          </cell>
          <cell r="I14">
            <v>-5.2713902033630244E-2</v>
          </cell>
          <cell r="J14">
            <v>3.2998845744199867E-2</v>
          </cell>
          <cell r="K14">
            <v>-1.3608587145422679E-2</v>
          </cell>
          <cell r="L14">
            <v>1.2489653614045082E-2</v>
          </cell>
          <cell r="M14">
            <v>-9.4331061090797141E-2</v>
          </cell>
          <cell r="N14">
            <v>-0.25270661523947591</v>
          </cell>
          <cell r="O14">
            <v>-0.16544977613141776</v>
          </cell>
          <cell r="P14">
            <v>-0.14087734270644492</v>
          </cell>
          <cell r="Q14">
            <v>-0.33203608258770712</v>
          </cell>
          <cell r="R14">
            <v>0.1417322834645669</v>
          </cell>
          <cell r="S14">
            <v>1.7241379310344751E-2</v>
          </cell>
          <cell r="T14">
            <v>7.4576271186440612E-2</v>
          </cell>
          <cell r="U14">
            <v>0.14511041009463721</v>
          </cell>
          <cell r="V14">
            <v>-0.1074380165289256</v>
          </cell>
          <cell r="W14">
            <v>-6.7901234567901203E-2</v>
          </cell>
          <cell r="X14">
            <v>0.13576158940397343</v>
          </cell>
          <cell r="Y14">
            <v>-8.4548104956268189E-2</v>
          </cell>
          <cell r="Z14">
            <v>0.12738853503184711</v>
          </cell>
          <cell r="AA14">
            <v>-7.3446327683615809E-2</v>
          </cell>
          <cell r="AB14">
            <v>0.30487804878048785</v>
          </cell>
          <cell r="AC14">
            <v>5.1401869158878455E-2</v>
          </cell>
          <cell r="AD14">
            <v>5.555555555555558E-2</v>
          </cell>
          <cell r="AE14">
            <v>3.5789473684210593E-2</v>
          </cell>
          <cell r="AF14">
            <v>5.0000000000000044E-2</v>
          </cell>
          <cell r="AG14">
            <v>5.0000000000000044E-2</v>
          </cell>
          <cell r="AH14">
            <v>5.0000000000000044E-2</v>
          </cell>
          <cell r="AI14">
            <v>5.0000000000000044E-2</v>
          </cell>
          <cell r="AJ14">
            <v>5.0000000000000044E-2</v>
          </cell>
          <cell r="AK14">
            <v>5.0000000000000044E-2</v>
          </cell>
          <cell r="AL14">
            <v>5.0000000000000044E-2</v>
          </cell>
          <cell r="AM14">
            <v>5.0000000000000044E-2</v>
          </cell>
        </row>
        <row r="15">
          <cell r="E15">
            <v>-8.3489468263032829E-2</v>
          </cell>
          <cell r="F15">
            <v>-6.243396789561384E-2</v>
          </cell>
          <cell r="G15">
            <v>-1.71172014196741E-2</v>
          </cell>
          <cell r="H15">
            <v>-2.8155580886338738E-2</v>
          </cell>
          <cell r="I15">
            <v>-4.3460758226852025E-3</v>
          </cell>
          <cell r="J15">
            <v>5.6323380531756673E-2</v>
          </cell>
          <cell r="K15">
            <v>3.6579606042364432E-2</v>
          </cell>
          <cell r="L15">
            <v>-9.8585614443621461E-3</v>
          </cell>
          <cell r="M15">
            <v>-0.20868909080345133</v>
          </cell>
          <cell r="N15">
            <v>7.8750000000000098E-2</v>
          </cell>
          <cell r="O15">
            <v>0.16570104287369647</v>
          </cell>
          <cell r="P15">
            <v>3.6282306163021971E-2</v>
          </cell>
          <cell r="Q15">
            <v>1.342925659472427E-2</v>
          </cell>
          <cell r="R15">
            <v>0.13440605773781344</v>
          </cell>
          <cell r="S15">
            <v>1.0012515644555631E-2</v>
          </cell>
          <cell r="T15">
            <v>6.8979760429574544E-2</v>
          </cell>
          <cell r="U15">
            <v>-1.9706336939721791E-2</v>
          </cell>
          <cell r="V15">
            <v>2.2073314938904298E-2</v>
          </cell>
          <cell r="W15">
            <v>7.1731585036637124E-2</v>
          </cell>
          <cell r="X15">
            <v>3.8862900323857419E-2</v>
          </cell>
          <cell r="Y15">
            <v>-8.3131278143401488E-2</v>
          </cell>
          <cell r="Z15">
            <v>0.12353607857952409</v>
          </cell>
          <cell r="AA15">
            <v>1.6812373907195699E-3</v>
          </cell>
          <cell r="AB15">
            <v>0.13192346424974821</v>
          </cell>
          <cell r="AC15">
            <v>1.720047449584805E-2</v>
          </cell>
          <cell r="AD15">
            <v>4.7351895043731718E-2</v>
          </cell>
          <cell r="AE15">
            <v>4.347547071924085E-2</v>
          </cell>
          <cell r="AF15">
            <v>2.4463470847740476E-2</v>
          </cell>
          <cell r="AG15">
            <v>4.9038426447772565E-2</v>
          </cell>
          <cell r="AH15">
            <v>4.5005739239134535E-2</v>
          </cell>
          <cell r="AI15">
            <v>4.9818261512992512E-2</v>
          </cell>
          <cell r="AJ15">
            <v>5.2307053761522226E-2</v>
          </cell>
          <cell r="AK15">
            <v>5.5643383837927773E-2</v>
          </cell>
          <cell r="AL15">
            <v>6.0117259922110033E-2</v>
          </cell>
          <cell r="AM15">
            <v>6.6099134021481376E-2</v>
          </cell>
        </row>
        <row r="16">
          <cell r="E16">
            <v>0.12617739544162943</v>
          </cell>
          <cell r="F16">
            <v>3.9005543271597221E-2</v>
          </cell>
          <cell r="G16">
            <v>4.4435526665604907E-3</v>
          </cell>
          <cell r="H16">
            <v>1.4593226252114011E-2</v>
          </cell>
          <cell r="I16">
            <v>1.5895150571957117E-2</v>
          </cell>
          <cell r="J16">
            <v>5.208045055867605E-2</v>
          </cell>
          <cell r="K16">
            <v>6.7986250420394523E-2</v>
          </cell>
          <cell r="L16">
            <v>9.4581498716732604E-3</v>
          </cell>
          <cell r="M16">
            <v>3.5532632561513067E-2</v>
          </cell>
          <cell r="N16">
            <v>0.10193664165462124</v>
          </cell>
          <cell r="O16">
            <v>-4.1059602649006655E-2</v>
          </cell>
          <cell r="P16">
            <v>9.2541436464088411E-2</v>
          </cell>
          <cell r="Q16">
            <v>0.76991150442477885</v>
          </cell>
          <cell r="R16">
            <v>6.4285714285714279E-2</v>
          </cell>
          <cell r="S16">
            <v>-1.9463087248322131E-2</v>
          </cell>
          <cell r="T16">
            <v>-0.161533196440794</v>
          </cell>
          <cell r="U16">
            <v>0.17959183673469381</v>
          </cell>
          <cell r="V16">
            <v>8.9273356401384119E-2</v>
          </cell>
          <cell r="W16">
            <v>-3.7484116899618836E-2</v>
          </cell>
          <cell r="X16">
            <v>3.630363036303641E-2</v>
          </cell>
          <cell r="Y16">
            <v>5.5414012738853602E-2</v>
          </cell>
          <cell r="Z16">
            <v>9.595654797827402E-2</v>
          </cell>
          <cell r="AA16">
            <v>5.2312775330396466E-2</v>
          </cell>
          <cell r="AB16">
            <v>2.982731554160134E-2</v>
          </cell>
          <cell r="AC16">
            <v>-5.5894308943089666E-3</v>
          </cell>
          <cell r="AD16">
            <v>2.4016351558507898E-2</v>
          </cell>
          <cell r="AE16">
            <v>3.0628742514970053E-2</v>
          </cell>
          <cell r="AF16">
            <v>5.0836165986525073E-2</v>
          </cell>
          <cell r="AG16">
            <v>5.1160812313665538E-2</v>
          </cell>
          <cell r="AH16">
            <v>5.1488493055882101E-2</v>
          </cell>
          <cell r="AI16">
            <v>5.1819042962592876E-2</v>
          </cell>
          <cell r="AJ16">
            <v>5.215228997949839E-2</v>
          </cell>
          <cell r="AK16">
            <v>5.2488055562582181E-2</v>
          </cell>
          <cell r="AL16">
            <v>5.2826155023789179E-2</v>
          </cell>
          <cell r="AM16">
            <v>5.3166397907246088E-2</v>
          </cell>
        </row>
        <row r="17">
          <cell r="E17">
            <v>-3.5945136735460959E-2</v>
          </cell>
          <cell r="F17">
            <v>3.7285364251720576E-2</v>
          </cell>
          <cell r="G17">
            <v>3.5945136735461736E-2</v>
          </cell>
          <cell r="H17">
            <v>3.4697915421210812E-2</v>
          </cell>
          <cell r="I17">
            <v>3.3534343603162542E-2</v>
          </cell>
          <cell r="J17">
            <v>3.2446278936655082E-2</v>
          </cell>
          <cell r="K17">
            <v>3.1426602621953181E-2</v>
          </cell>
          <cell r="L17">
            <v>3.0469063471955549E-2</v>
          </cell>
          <cell r="M17">
            <v>2.9568149643713015E-2</v>
          </cell>
          <cell r="N17">
            <v>2.871898247235527E-2</v>
          </cell>
          <cell r="O17">
            <v>2.7917228088214507E-2</v>
          </cell>
          <cell r="P17">
            <v>2.7159023436289065E-2</v>
          </cell>
          <cell r="Q17">
            <v>1.7247450731535863</v>
          </cell>
          <cell r="R17">
            <v>-1.5873015873015928E-2</v>
          </cell>
          <cell r="S17">
            <v>-8.0645161290322509E-3</v>
          </cell>
          <cell r="T17">
            <v>4.0650406504065151E-2</v>
          </cell>
          <cell r="U17">
            <v>-0.28125</v>
          </cell>
          <cell r="V17">
            <v>7.6086956521739024E-2</v>
          </cell>
          <cell r="W17">
            <v>0.1212121212121211</v>
          </cell>
          <cell r="X17">
            <v>-9.0090090090090058E-2</v>
          </cell>
          <cell r="Y17">
            <v>5.9405940594059459E-2</v>
          </cell>
          <cell r="Z17">
            <v>1.8691588785046731E-2</v>
          </cell>
          <cell r="AA17">
            <v>-0.11009174311926606</v>
          </cell>
          <cell r="AB17">
            <v>-9.2783505154639179E-2</v>
          </cell>
          <cell r="AC17">
            <v>7.9545454545454586E-2</v>
          </cell>
          <cell r="AD17">
            <v>-2.1052631578947323E-2</v>
          </cell>
          <cell r="AE17">
            <v>4.3010752688172005E-2</v>
          </cell>
          <cell r="AF17">
            <v>4.629629629629628E-2</v>
          </cell>
          <cell r="AG17">
            <v>4.629629629629628E-2</v>
          </cell>
          <cell r="AH17">
            <v>4.629629629629628E-2</v>
          </cell>
          <cell r="AI17">
            <v>4.629629629629628E-2</v>
          </cell>
          <cell r="AJ17">
            <v>4.629629629629628E-2</v>
          </cell>
          <cell r="AK17">
            <v>4.629629629629628E-2</v>
          </cell>
          <cell r="AL17">
            <v>4.629629629629628E-2</v>
          </cell>
          <cell r="AM17">
            <v>4.629629629629628E-2</v>
          </cell>
        </row>
        <row r="18">
          <cell r="E18">
            <v>0.14038519721972831</v>
          </cell>
          <cell r="F18">
            <v>0.52692300535153391</v>
          </cell>
          <cell r="G18">
            <v>7.3997593930057448E-3</v>
          </cell>
          <cell r="H18">
            <v>-0.14454455367387098</v>
          </cell>
          <cell r="I18">
            <v>0.11761292588349792</v>
          </cell>
          <cell r="J18">
            <v>0.26831493400632644</v>
          </cell>
          <cell r="K18">
            <v>0.21857410905342256</v>
          </cell>
          <cell r="L18">
            <v>-0.11909259205978129</v>
          </cell>
          <cell r="M18">
            <v>-2.607686579902746E-2</v>
          </cell>
          <cell r="N18">
            <v>0.36932327136264842</v>
          </cell>
          <cell r="O18">
            <v>-0.21903437879861554</v>
          </cell>
          <cell r="P18">
            <v>0.43650793650793651</v>
          </cell>
          <cell r="Q18">
            <v>1.0939226519337018</v>
          </cell>
          <cell r="R18">
            <v>0.20052770448548807</v>
          </cell>
          <cell r="S18">
            <v>-0.1428571428571429</v>
          </cell>
          <cell r="T18">
            <v>-0.64358974358974352</v>
          </cell>
          <cell r="U18">
            <v>0.8848920863309353</v>
          </cell>
          <cell r="V18">
            <v>0.35877862595419852</v>
          </cell>
          <cell r="W18">
            <v>-0.2106741573033708</v>
          </cell>
          <cell r="X18">
            <v>-0.14234875444839856</v>
          </cell>
          <cell r="Y18">
            <v>-0.15352697095435686</v>
          </cell>
          <cell r="Z18">
            <v>-0.1029411764705882</v>
          </cell>
          <cell r="AA18">
            <v>0.51366120218579225</v>
          </cell>
          <cell r="AB18">
            <v>-2.8880866425992746E-2</v>
          </cell>
          <cell r="AC18">
            <v>-4.8327137546468446E-2</v>
          </cell>
          <cell r="AD18">
            <v>-2.34375E-2</v>
          </cell>
          <cell r="AE18">
            <v>4.4000000000000039E-2</v>
          </cell>
          <cell r="AF18">
            <v>4.482758620689653E-2</v>
          </cell>
          <cell r="AG18">
            <v>4.482758620689653E-2</v>
          </cell>
          <cell r="AH18">
            <v>4.482758620689653E-2</v>
          </cell>
          <cell r="AI18">
            <v>4.482758620689653E-2</v>
          </cell>
          <cell r="AJ18">
            <v>4.482758620689653E-2</v>
          </cell>
          <cell r="AK18">
            <v>4.482758620689653E-2</v>
          </cell>
          <cell r="AL18">
            <v>4.482758620689653E-2</v>
          </cell>
          <cell r="AM18">
            <v>4.482758620689653E-2</v>
          </cell>
        </row>
        <row r="19">
          <cell r="E19">
            <v>0.13836544150060837</v>
          </cell>
          <cell r="F19">
            <v>-2.6547034136900627E-2</v>
          </cell>
          <cell r="G19">
            <v>-2.5214739061088398E-2</v>
          </cell>
          <cell r="H19">
            <v>4.6703232918536175E-2</v>
          </cell>
          <cell r="I19">
            <v>-3.0551750628927676E-3</v>
          </cell>
          <cell r="J19">
            <v>1.1637720178494737E-2</v>
          </cell>
          <cell r="K19">
            <v>3.4375117628726359E-2</v>
          </cell>
          <cell r="L19">
            <v>4.4595839874147281E-2</v>
          </cell>
          <cell r="M19">
            <v>5.0989217776976847E-2</v>
          </cell>
          <cell r="N19">
            <v>4.7758804520006803E-2</v>
          </cell>
          <cell r="O19">
            <v>5.6007369626898118E-3</v>
          </cell>
          <cell r="P19">
            <v>1.9452336018046301E-2</v>
          </cell>
          <cell r="Q19">
            <v>0.58744235544519352</v>
          </cell>
          <cell r="R19">
            <v>5.0955414012738842E-2</v>
          </cell>
          <cell r="S19">
            <v>8.8888888888888795E-2</v>
          </cell>
          <cell r="T19">
            <v>8.7198515769944418E-2</v>
          </cell>
          <cell r="U19">
            <v>0.11604095563139927</v>
          </cell>
          <cell r="V19">
            <v>0.10856269113149852</v>
          </cell>
          <cell r="W19">
            <v>4.689655172413798E-2</v>
          </cell>
          <cell r="X19">
            <v>1.9762845849802479E-2</v>
          </cell>
          <cell r="Y19">
            <v>4.3927648578811374E-2</v>
          </cell>
          <cell r="Z19">
            <v>8.2920792079207883E-2</v>
          </cell>
          <cell r="AA19">
            <v>-3.4285714285714475E-3</v>
          </cell>
          <cell r="AB19">
            <v>1.4908256880733939E-2</v>
          </cell>
          <cell r="AC19">
            <v>5.6497175141242861E-2</v>
          </cell>
          <cell r="AD19">
            <v>3.6363636363636376E-2</v>
          </cell>
          <cell r="AE19">
            <v>3.7151702786377694E-2</v>
          </cell>
          <cell r="AF19">
            <v>3.5196687370600444E-2</v>
          </cell>
          <cell r="AG19">
            <v>3.5196687370600444E-2</v>
          </cell>
          <cell r="AH19">
            <v>3.5196687370600444E-2</v>
          </cell>
          <cell r="AI19">
            <v>3.5196687370600444E-2</v>
          </cell>
          <cell r="AJ19">
            <v>3.5196687370600444E-2</v>
          </cell>
          <cell r="AK19">
            <v>3.5196687370600444E-2</v>
          </cell>
          <cell r="AL19">
            <v>3.5196687370600444E-2</v>
          </cell>
          <cell r="AM19">
            <v>3.5196687370600444E-2</v>
          </cell>
        </row>
        <row r="20">
          <cell r="E20">
            <v>0.13810758996236006</v>
          </cell>
          <cell r="F20">
            <v>-2.647702624421544E-2</v>
          </cell>
          <cell r="G20">
            <v>3.266349137811253E-2</v>
          </cell>
          <cell r="H20">
            <v>4.6824076514616619E-2</v>
          </cell>
          <cell r="I20">
            <v>-3.2695498026434899E-3</v>
          </cell>
          <cell r="J20">
            <v>1.1637164750308404E-2</v>
          </cell>
          <cell r="K20">
            <v>3.4298979644656669E-2</v>
          </cell>
          <cell r="L20">
            <v>4.4666246915974872E-2</v>
          </cell>
          <cell r="M20">
            <v>5.0914505455968984E-2</v>
          </cell>
          <cell r="N20">
            <v>4.7932005595275884E-2</v>
          </cell>
          <cell r="O20">
            <v>5.7404300279380038E-3</v>
          </cell>
          <cell r="P20">
            <v>1.9530777602342564E-2</v>
          </cell>
          <cell r="Q20">
            <v>0.58769711677565928</v>
          </cell>
          <cell r="R20">
            <v>-1.8867924528301883E-2</v>
          </cell>
          <cell r="S20">
            <v>-1.6826923076923128E-2</v>
          </cell>
          <cell r="T20">
            <v>-9.0464547677261642E-2</v>
          </cell>
          <cell r="U20">
            <v>0.17473118279569899</v>
          </cell>
          <cell r="V20">
            <v>-9.8398169336384456E-2</v>
          </cell>
          <cell r="W20">
            <v>-7.6142131979695438E-2</v>
          </cell>
          <cell r="X20">
            <v>0.24725274725274726</v>
          </cell>
          <cell r="Y20">
            <v>0.18502202643171817</v>
          </cell>
          <cell r="Z20">
            <v>0.20631970260223054</v>
          </cell>
          <cell r="AA20">
            <v>2.4653312788905923E-2</v>
          </cell>
          <cell r="AB20">
            <v>9.1729323308270772E-2</v>
          </cell>
          <cell r="AC20">
            <v>-7.5757575757575801E-2</v>
          </cell>
          <cell r="AD20">
            <v>3.1296572280178792E-2</v>
          </cell>
          <cell r="AE20">
            <v>1.4999999999999999E-2</v>
          </cell>
          <cell r="AF20">
            <v>7.6073619631901845E-2</v>
          </cell>
          <cell r="AG20">
            <v>7.6073619631901845E-2</v>
          </cell>
          <cell r="AH20">
            <v>7.6073619631901845E-2</v>
          </cell>
          <cell r="AI20">
            <v>7.6073619631901845E-2</v>
          </cell>
          <cell r="AJ20">
            <v>7.6073619631901845E-2</v>
          </cell>
          <cell r="AK20">
            <v>7.6073619631901845E-2</v>
          </cell>
          <cell r="AL20">
            <v>7.6073619631901845E-2</v>
          </cell>
          <cell r="AM20">
            <v>7.6073619631901845E-2</v>
          </cell>
        </row>
        <row r="21">
          <cell r="E21">
            <v>5.5551570836922748E-2</v>
          </cell>
          <cell r="F21">
            <v>4.524726574223803E-2</v>
          </cell>
          <cell r="G21">
            <v>4.2800829151927733E-2</v>
          </cell>
          <cell r="H21">
            <v>3.3564798253919559E-2</v>
          </cell>
          <cell r="I21">
            <v>2.976551419530038E-2</v>
          </cell>
          <cell r="J21">
            <v>2.2763534261911467E-2</v>
          </cell>
          <cell r="K21">
            <v>3.2752696946990234E-2</v>
          </cell>
          <cell r="L21">
            <v>0.11307716444342852</v>
          </cell>
          <cell r="M21">
            <v>3.9694035458961441E-2</v>
          </cell>
          <cell r="N21">
            <v>2.7994750409650271E-2</v>
          </cell>
          <cell r="O21">
            <v>-7.569732168690424E-2</v>
          </cell>
          <cell r="P21">
            <v>0.3833994037082582</v>
          </cell>
          <cell r="Q21">
            <v>0.45415889527082554</v>
          </cell>
          <cell r="R21">
            <v>0.21717171717171713</v>
          </cell>
          <cell r="S21">
            <v>7.8838174273858863E-2</v>
          </cell>
          <cell r="T21">
            <v>-8.4615384615384648E-2</v>
          </cell>
          <cell r="U21">
            <v>-0.10084033613445376</v>
          </cell>
          <cell r="V21">
            <v>4.20560747663552E-2</v>
          </cell>
          <cell r="W21">
            <v>0.20179372197309409</v>
          </cell>
          <cell r="X21">
            <v>0.11567164179104483</v>
          </cell>
          <cell r="Y21">
            <v>-0.23745819397993306</v>
          </cell>
          <cell r="Z21">
            <v>8.7719298245614308E-3</v>
          </cell>
          <cell r="AA21">
            <v>0.15652173913043477</v>
          </cell>
          <cell r="AB21">
            <v>4.5112781954887327E-2</v>
          </cell>
          <cell r="AC21">
            <v>0.1151079136690647</v>
          </cell>
          <cell r="AD21">
            <v>7.6411960132890311E-2</v>
          </cell>
          <cell r="AE21">
            <v>0.12</v>
          </cell>
          <cell r="AF21">
            <v>0.12</v>
          </cell>
          <cell r="AG21">
            <v>2.9940119760478945E-2</v>
          </cell>
          <cell r="AH21">
            <v>0.15</v>
          </cell>
          <cell r="AI21">
            <v>0.15</v>
          </cell>
          <cell r="AJ21">
            <v>0.15</v>
          </cell>
          <cell r="AK21">
            <v>0.15</v>
          </cell>
          <cell r="AL21">
            <v>2.9940119760478945E-2</v>
          </cell>
          <cell r="AM21">
            <v>2.9940119760478945E-2</v>
          </cell>
        </row>
        <row r="22">
          <cell r="E22">
            <v>5.009042340512293E-2</v>
          </cell>
          <cell r="F22">
            <v>-2.7622990177831208E-2</v>
          </cell>
          <cell r="G22">
            <v>-6.1282684984927949E-2</v>
          </cell>
          <cell r="H22">
            <v>-3.422012071557845E-2</v>
          </cell>
          <cell r="I22">
            <v>1.9608077850000738E-2</v>
          </cell>
          <cell r="J22">
            <v>-8.7724565791347242E-4</v>
          </cell>
          <cell r="K22">
            <v>4.1870366831703532E-2</v>
          </cell>
          <cell r="L22">
            <v>5.408166809730508E-2</v>
          </cell>
          <cell r="M22">
            <v>3.4698924482083449E-2</v>
          </cell>
          <cell r="N22">
            <v>6.4370471074368218E-2</v>
          </cell>
          <cell r="O22">
            <v>-4.9000000000000044E-2</v>
          </cell>
          <cell r="P22">
            <v>0.1608832807570979</v>
          </cell>
          <cell r="Q22">
            <v>0.73460144927536231</v>
          </cell>
          <cell r="R22">
            <v>8.2506527415143527E-2</v>
          </cell>
          <cell r="S22">
            <v>3.8591413410515862E-3</v>
          </cell>
          <cell r="T22">
            <v>-9.7068716962998569E-2</v>
          </cell>
          <cell r="U22">
            <v>7.8233102714209579E-2</v>
          </cell>
          <cell r="V22">
            <v>9.5755182625863799E-2</v>
          </cell>
          <cell r="W22">
            <v>-3.2432432432432434E-2</v>
          </cell>
          <cell r="X22">
            <v>3.0726256983240274E-2</v>
          </cell>
          <cell r="Y22">
            <v>8.9430894308943021E-2</v>
          </cell>
          <cell r="Z22">
            <v>3.8557213930348277E-2</v>
          </cell>
          <cell r="AA22">
            <v>9.4211576846307432E-2</v>
          </cell>
          <cell r="AB22">
            <v>2.7727106895293785E-2</v>
          </cell>
          <cell r="AC22">
            <v>1.3489527866524575E-2</v>
          </cell>
          <cell r="AD22">
            <v>3.8448949112536823E-2</v>
          </cell>
          <cell r="AE22">
            <v>3.5356613683831473E-2</v>
          </cell>
          <cell r="AF22">
            <v>6.1589109097176076E-2</v>
          </cell>
          <cell r="AG22">
            <v>5.4706740791234942E-2</v>
          </cell>
          <cell r="AH22">
            <v>6.5540448678937935E-2</v>
          </cell>
          <cell r="AI22">
            <v>6.8088035413032877E-2</v>
          </cell>
          <cell r="AJ22">
            <v>7.0912112301914965E-2</v>
          </cell>
          <cell r="AK22">
            <v>7.2395213080448828E-2</v>
          </cell>
          <cell r="AL22">
            <v>5.0256493713177086E-2</v>
          </cell>
          <cell r="AM22">
            <v>5.1939716015206194E-2</v>
          </cell>
        </row>
        <row r="23">
          <cell r="E23">
            <v>5.6038983640793516E-2</v>
          </cell>
          <cell r="F23">
            <v>2.9334212261041603E-2</v>
          </cell>
          <cell r="G23">
            <v>-8.1652257444764786E-2</v>
          </cell>
          <cell r="H23">
            <v>-3.138075313807609E-3</v>
          </cell>
          <cell r="I23">
            <v>-1.0842952081147272E-2</v>
          </cell>
          <cell r="J23">
            <v>2.3691654879773871E-2</v>
          </cell>
          <cell r="K23">
            <v>3.5233160621761295E-2</v>
          </cell>
          <cell r="L23">
            <v>4.0040040040040026E-2</v>
          </cell>
          <cell r="M23">
            <v>3.0478023740776461E-2</v>
          </cell>
          <cell r="N23">
            <v>4.9813200498132204E-3</v>
          </cell>
          <cell r="O23">
            <v>0</v>
          </cell>
          <cell r="P23">
            <v>4.9999999999999822E-2</v>
          </cell>
          <cell r="Q23">
            <v>1.0364133811361658</v>
          </cell>
          <cell r="R23">
            <v>9.3541202672605683E-2</v>
          </cell>
          <cell r="S23">
            <v>9.6741344195519385E-2</v>
          </cell>
          <cell r="T23">
            <v>9.4707520891364805E-2</v>
          </cell>
          <cell r="U23">
            <v>5.8524173027989734E-2</v>
          </cell>
          <cell r="V23">
            <v>7.0512820512820484E-2</v>
          </cell>
          <cell r="W23">
            <v>3.2934131736527039E-2</v>
          </cell>
          <cell r="X23">
            <v>5.4347826086956541E-2</v>
          </cell>
          <cell r="Y23">
            <v>2.8178694158075501E-2</v>
          </cell>
          <cell r="Z23">
            <v>7.4197860962566864E-2</v>
          </cell>
          <cell r="AA23">
            <v>4.1692594897324131E-2</v>
          </cell>
          <cell r="AB23">
            <v>7.5866188769414533E-2</v>
          </cell>
          <cell r="AC23">
            <v>7.8289838978345294E-2</v>
          </cell>
          <cell r="AD23">
            <v>2.9866117404737436E-2</v>
          </cell>
          <cell r="AE23">
            <v>2.4000000000000021E-2</v>
          </cell>
          <cell r="AF23">
            <v>4.4002095337873248E-2</v>
          </cell>
          <cell r="AG23">
            <v>4.4002095337873248E-2</v>
          </cell>
          <cell r="AH23">
            <v>4.4002095337873248E-2</v>
          </cell>
          <cell r="AI23">
            <v>4.4002095337873248E-2</v>
          </cell>
          <cell r="AJ23">
            <v>4.4002095337873248E-2</v>
          </cell>
          <cell r="AK23">
            <v>4.4002095337873248E-2</v>
          </cell>
          <cell r="AL23">
            <v>4.4002095337873248E-2</v>
          </cell>
          <cell r="AM23">
            <v>4.4002095337873248E-2</v>
          </cell>
        </row>
        <row r="24">
          <cell r="E24">
            <v>1.1715417538981976E-2</v>
          </cell>
          <cell r="F24">
            <v>-6.3688657252194747E-2</v>
          </cell>
          <cell r="G24">
            <v>-9.0218745183786142E-2</v>
          </cell>
          <cell r="H24">
            <v>3.4629434433913975E-2</v>
          </cell>
          <cell r="I24">
            <v>-3.008459411302733E-2</v>
          </cell>
          <cell r="J24">
            <v>0.11440096663695831</v>
          </cell>
          <cell r="K24">
            <v>0.19615961320678821</v>
          </cell>
          <cell r="L24">
            <v>0.12105797604081436</v>
          </cell>
          <cell r="M24">
            <v>-0.24045752216730765</v>
          </cell>
          <cell r="N24">
            <v>0.11428571428571432</v>
          </cell>
          <cell r="O24">
            <v>0.10256410256410264</v>
          </cell>
          <cell r="P24">
            <v>9.3023255813953432E-2</v>
          </cell>
          <cell r="Q24">
            <v>0.65957446808510634</v>
          </cell>
          <cell r="R24">
            <v>0.22435897435897445</v>
          </cell>
          <cell r="S24">
            <v>0.13612565445026181</v>
          </cell>
          <cell r="T24">
            <v>-7.8341013824884786E-2</v>
          </cell>
          <cell r="U24">
            <v>0.27</v>
          </cell>
          <cell r="V24">
            <v>0.12204724409448819</v>
          </cell>
          <cell r="W24">
            <v>-0.11929824561403513</v>
          </cell>
          <cell r="X24">
            <v>7.1713147410358502E-2</v>
          </cell>
          <cell r="Y24">
            <v>8.5501858736059422E-2</v>
          </cell>
          <cell r="Z24">
            <v>8.2191780821917915E-2</v>
          </cell>
          <cell r="AA24">
            <v>5.0632911392405111E-2</v>
          </cell>
          <cell r="AB24">
            <v>-3.3132530120481896E-2</v>
          </cell>
          <cell r="AC24">
            <v>3.1152647975076775E-3</v>
          </cell>
          <cell r="AD24">
            <v>4.481792717086841E-2</v>
          </cell>
          <cell r="AE24">
            <v>7.8E-2</v>
          </cell>
          <cell r="AF24">
            <v>6.5000000000000002E-2</v>
          </cell>
          <cell r="AG24">
            <v>6.5000000000000002E-2</v>
          </cell>
          <cell r="AH24">
            <v>6.5000000000000002E-2</v>
          </cell>
          <cell r="AI24">
            <v>6.5000000000000002E-2</v>
          </cell>
          <cell r="AJ24">
            <v>6.5000000000000002E-2</v>
          </cell>
          <cell r="AK24">
            <v>6.5000000000000002E-2</v>
          </cell>
          <cell r="AL24">
            <v>4.6153846153846212E-2</v>
          </cell>
          <cell r="AM24">
            <v>4.6153846153846212E-2</v>
          </cell>
        </row>
        <row r="25">
          <cell r="E25">
            <v>-8.2999999999999963E-2</v>
          </cell>
          <cell r="F25">
            <v>-6.4000000000000057E-2</v>
          </cell>
          <cell r="G25">
            <v>7.4999999999999956E-2</v>
          </cell>
          <cell r="H25">
            <v>9.6000000000000085E-2</v>
          </cell>
          <cell r="I25">
            <v>2.9999999999998916E-3</v>
          </cell>
          <cell r="J25">
            <v>5.4000000000000048E-2</v>
          </cell>
          <cell r="K25">
            <v>2.0999999999999908E-2</v>
          </cell>
          <cell r="L25">
            <v>-4.0000000000000036E-3</v>
          </cell>
          <cell r="M25">
            <v>0.10400000000000009</v>
          </cell>
          <cell r="N25">
            <v>3.9871503402679975E-2</v>
          </cell>
          <cell r="O25">
            <v>6.0283687943262443E-2</v>
          </cell>
          <cell r="P25">
            <v>3.6789297658862852E-2</v>
          </cell>
          <cell r="Q25">
            <v>1.2000000000000002</v>
          </cell>
          <cell r="R25">
            <v>0.12903225806451624</v>
          </cell>
          <cell r="S25">
            <v>0.10519480519480529</v>
          </cell>
          <cell r="T25">
            <v>5.052878965922436E-2</v>
          </cell>
          <cell r="U25">
            <v>7.6062639821029121E-2</v>
          </cell>
          <cell r="V25">
            <v>-0.10395010395010396</v>
          </cell>
          <cell r="W25">
            <v>0.12296983758700697</v>
          </cell>
          <cell r="X25">
            <v>8.3677685950413139E-2</v>
          </cell>
          <cell r="Y25">
            <v>0.14013346043851294</v>
          </cell>
          <cell r="Z25">
            <v>0.11371237458193972</v>
          </cell>
          <cell r="AA25">
            <v>3.0030030030030019E-2</v>
          </cell>
          <cell r="AB25">
            <v>0.11953352769679304</v>
          </cell>
          <cell r="AC25">
            <v>8.7890625E-2</v>
          </cell>
          <cell r="AD25">
            <v>9.7451267076829939E-2</v>
          </cell>
          <cell r="AE25">
            <v>0.10352100335848768</v>
          </cell>
          <cell r="AF25">
            <v>0.1059792297750215</v>
          </cell>
          <cell r="AG25">
            <v>0.10921990817262239</v>
          </cell>
          <cell r="AH25">
            <v>4.6961875114963858E-2</v>
          </cell>
          <cell r="AI25">
            <v>4.6996270329654255E-2</v>
          </cell>
          <cell r="AJ25">
            <v>4.7030578311028082E-2</v>
          </cell>
          <cell r="AK25">
            <v>4.7064797034843231E-2</v>
          </cell>
          <cell r="AL25">
            <v>4.7098924499648476E-2</v>
          </cell>
          <cell r="AM25">
            <v>4.7132958727200025E-2</v>
          </cell>
        </row>
        <row r="26">
          <cell r="E26" t="str">
            <v>…</v>
          </cell>
          <cell r="F26" t="str">
            <v>…</v>
          </cell>
          <cell r="G26" t="str">
            <v>…</v>
          </cell>
          <cell r="H26" t="str">
            <v>…</v>
          </cell>
          <cell r="I26" t="str">
            <v>…</v>
          </cell>
          <cell r="J26" t="str">
            <v>…</v>
          </cell>
          <cell r="K26" t="str">
            <v>…</v>
          </cell>
          <cell r="L26" t="str">
            <v>…</v>
          </cell>
          <cell r="M26" t="str">
            <v>…</v>
          </cell>
          <cell r="N26" t="str">
            <v>…</v>
          </cell>
          <cell r="O26">
            <v>2.4166359731095266E-2</v>
          </cell>
          <cell r="P26">
            <v>2.3809523809523725E-2</v>
          </cell>
          <cell r="Q26">
            <v>1.9651162790697674</v>
          </cell>
          <cell r="R26">
            <v>0.1215686274509804</v>
          </cell>
          <cell r="S26">
            <v>0.11013986013986021</v>
          </cell>
          <cell r="T26">
            <v>3.1496062992125928E-2</v>
          </cell>
          <cell r="U26">
            <v>2.7480916030534264E-2</v>
          </cell>
          <cell r="V26">
            <v>-0.20802377414561668</v>
          </cell>
          <cell r="W26">
            <v>0.18386491557223272</v>
          </cell>
          <cell r="X26">
            <v>6.3391442155309008E-2</v>
          </cell>
          <cell r="Y26">
            <v>8.0476900149031305E-2</v>
          </cell>
          <cell r="Z26">
            <v>0.15448275862068961</v>
          </cell>
          <cell r="AA26">
            <v>-0.10035842293906805</v>
          </cell>
          <cell r="AB26">
            <v>8.3665338645418252E-2</v>
          </cell>
          <cell r="AC26">
            <v>2.3284313725490113E-2</v>
          </cell>
          <cell r="AD26">
            <v>4.2923433874709982E-2</v>
          </cell>
          <cell r="AE26">
            <v>4.1156840934371441E-2</v>
          </cell>
          <cell r="AF26">
            <v>3.9529914529914612E-2</v>
          </cell>
          <cell r="AG26">
            <v>3.9529914529914612E-2</v>
          </cell>
          <cell r="AH26">
            <v>3.9529914529914612E-2</v>
          </cell>
          <cell r="AI26">
            <v>3.9529914529914612E-2</v>
          </cell>
          <cell r="AJ26">
            <v>3.9529914529914612E-2</v>
          </cell>
          <cell r="AK26">
            <v>3.9529914529914612E-2</v>
          </cell>
          <cell r="AL26">
            <v>3.9529914529914612E-2</v>
          </cell>
          <cell r="AM26">
            <v>3.9529914529914612E-2</v>
          </cell>
        </row>
        <row r="27">
          <cell r="E27" t="str">
            <v>…</v>
          </cell>
          <cell r="F27" t="str">
            <v>…</v>
          </cell>
          <cell r="G27" t="str">
            <v>…</v>
          </cell>
          <cell r="H27" t="str">
            <v>…</v>
          </cell>
          <cell r="I27" t="str">
            <v>…</v>
          </cell>
          <cell r="J27" t="str">
            <v>…</v>
          </cell>
          <cell r="K27" t="str">
            <v>…</v>
          </cell>
          <cell r="L27" t="str">
            <v>…</v>
          </cell>
          <cell r="M27" t="str">
            <v>…</v>
          </cell>
          <cell r="N27" t="str">
            <v>…</v>
          </cell>
          <cell r="O27">
            <v>0.11050688445656442</v>
          </cell>
          <cell r="P27">
            <v>5.3435114503816772E-2</v>
          </cell>
          <cell r="Q27">
            <v>0.24637681159420288</v>
          </cell>
          <cell r="R27">
            <v>0.15116279069767447</v>
          </cell>
          <cell r="S27">
            <v>9.0909090909090828E-2</v>
          </cell>
          <cell r="T27">
            <v>0.1064814814814814</v>
          </cell>
          <cell r="U27">
            <v>0.20920502092050208</v>
          </cell>
          <cell r="V27">
            <v>0.1384083044982698</v>
          </cell>
          <cell r="W27">
            <v>2.4316109422492405E-2</v>
          </cell>
          <cell r="X27">
            <v>0.12166172106824935</v>
          </cell>
          <cell r="Y27">
            <v>0.24603174603174605</v>
          </cell>
          <cell r="Z27">
            <v>5.0955414012738842E-2</v>
          </cell>
          <cell r="AA27">
            <v>0.25050505050505056</v>
          </cell>
          <cell r="AB27">
            <v>0.16316639741518579</v>
          </cell>
          <cell r="AC27">
            <v>0.1611111111111112</v>
          </cell>
          <cell r="AD27">
            <v>0.15191387559808622</v>
          </cell>
          <cell r="AE27">
            <v>0.15991692627206655</v>
          </cell>
          <cell r="AF27">
            <v>0.15991692627206655</v>
          </cell>
          <cell r="AG27">
            <v>0.15991692627206655</v>
          </cell>
          <cell r="AH27">
            <v>5.1807228915662584E-2</v>
          </cell>
          <cell r="AI27">
            <v>5.1807228915662584E-2</v>
          </cell>
          <cell r="AJ27">
            <v>5.1807228915662584E-2</v>
          </cell>
          <cell r="AK27">
            <v>5.1807228915662584E-2</v>
          </cell>
          <cell r="AL27">
            <v>5.1807228915662584E-2</v>
          </cell>
          <cell r="AM27">
            <v>5.1807228915662584E-2</v>
          </cell>
        </row>
        <row r="28">
          <cell r="E28" t="str">
            <v>…</v>
          </cell>
          <cell r="F28" t="str">
            <v>…</v>
          </cell>
          <cell r="G28" t="str">
            <v>…</v>
          </cell>
          <cell r="H28" t="str">
            <v>…</v>
          </cell>
          <cell r="I28" t="str">
            <v>…</v>
          </cell>
          <cell r="J28" t="str">
            <v>…</v>
          </cell>
          <cell r="K28" t="str">
            <v>…</v>
          </cell>
          <cell r="L28" t="str">
            <v>…</v>
          </cell>
          <cell r="M28" t="str">
            <v>…</v>
          </cell>
          <cell r="N28" t="str">
            <v>…</v>
          </cell>
          <cell r="O28">
            <v>0.22335120722340118</v>
          </cell>
          <cell r="P28">
            <v>-2.1262580470332804E-2</v>
          </cell>
          <cell r="Q28">
            <v>0.21501394453464728</v>
          </cell>
          <cell r="R28">
            <v>6.4638783269961975E-2</v>
          </cell>
          <cell r="S28">
            <v>0.16071428571428581</v>
          </cell>
          <cell r="T28">
            <v>0.1692307692307693</v>
          </cell>
          <cell r="U28">
            <v>0.11315789473684212</v>
          </cell>
          <cell r="V28">
            <v>6.3829787234042534E-2</v>
          </cell>
          <cell r="W28">
            <v>2.4444444444444491E-2</v>
          </cell>
          <cell r="X28">
            <v>6.0737527114967493E-2</v>
          </cell>
          <cell r="Y28">
            <v>1.8404907975460016E-2</v>
          </cell>
          <cell r="Z28">
            <v>3.2128514056224855E-2</v>
          </cell>
          <cell r="AA28">
            <v>9.7276264591439787E-2</v>
          </cell>
          <cell r="AB28">
            <v>0.14539007092198575</v>
          </cell>
          <cell r="AC28">
            <v>0.21981424148606821</v>
          </cell>
          <cell r="AD28">
            <v>2.5547445255474477E-2</v>
          </cell>
          <cell r="AE28">
            <v>3.5587188612099752E-2</v>
          </cell>
          <cell r="AF28">
            <v>3.7800687285223455E-2</v>
          </cell>
          <cell r="AG28">
            <v>3.7800687285223455E-2</v>
          </cell>
          <cell r="AH28">
            <v>3.7800687285223455E-2</v>
          </cell>
          <cell r="AI28">
            <v>3.7800687285223455E-2</v>
          </cell>
          <cell r="AJ28">
            <v>3.7800687285223455E-2</v>
          </cell>
          <cell r="AK28">
            <v>3.7800687285223455E-2</v>
          </cell>
          <cell r="AL28">
            <v>3.7800687285223455E-2</v>
          </cell>
          <cell r="AM28">
            <v>3.7800687285223455E-2</v>
          </cell>
        </row>
        <row r="29">
          <cell r="E29" t="str">
            <v>…</v>
          </cell>
          <cell r="F29" t="str">
            <v>…</v>
          </cell>
          <cell r="G29" t="str">
            <v>…</v>
          </cell>
          <cell r="H29" t="str">
            <v>…</v>
          </cell>
          <cell r="I29" t="str">
            <v>…</v>
          </cell>
          <cell r="J29" t="str">
            <v>…</v>
          </cell>
          <cell r="K29" t="str">
            <v>…</v>
          </cell>
          <cell r="L29" t="str">
            <v>…</v>
          </cell>
          <cell r="M29" t="str">
            <v>…</v>
          </cell>
          <cell r="N29" t="str">
            <v>…</v>
          </cell>
          <cell r="O29">
            <v>1.9368812212439357E-2</v>
          </cell>
          <cell r="P29">
            <v>3.5280253025108621E-2</v>
          </cell>
          <cell r="Q29">
            <v>1.2264529058116231</v>
          </cell>
          <cell r="R29">
            <v>2.7902790279027867E-2</v>
          </cell>
          <cell r="S29">
            <v>7.7057793345008729E-2</v>
          </cell>
          <cell r="T29">
            <v>4.471544715447151E-2</v>
          </cell>
          <cell r="U29">
            <v>-3.268482490272373E-2</v>
          </cell>
          <cell r="V29">
            <v>2.3330651649235756E-2</v>
          </cell>
          <cell r="W29">
            <v>3.6949685534591215E-2</v>
          </cell>
          <cell r="X29">
            <v>1.4404852160727843E-2</v>
          </cell>
          <cell r="Y29">
            <v>4.1106128550074672E-2</v>
          </cell>
          <cell r="Z29">
            <v>7.2505384063173084E-2</v>
          </cell>
          <cell r="AA29">
            <v>5.2208835341365445E-2</v>
          </cell>
          <cell r="AB29">
            <v>7.0610687022900853E-2</v>
          </cell>
          <cell r="AC29">
            <v>2.3172905525846721E-2</v>
          </cell>
          <cell r="AD29">
            <v>3.0236809297300438E-2</v>
          </cell>
          <cell r="AE29">
            <v>2.941394294844768E-2</v>
          </cell>
          <cell r="AF29">
            <v>3.0232949772489803E-2</v>
          </cell>
          <cell r="AG29">
            <v>3.0251836914743313E-2</v>
          </cell>
          <cell r="AH29">
            <v>3.0270709372896443E-2</v>
          </cell>
          <cell r="AI29">
            <v>3.0289566467224249E-2</v>
          </cell>
          <cell r="AJ29">
            <v>3.0308407520243108E-2</v>
          </cell>
          <cell r="AK29">
            <v>3.032723185680708E-2</v>
          </cell>
          <cell r="AL29">
            <v>3.0346038804201836E-2</v>
          </cell>
          <cell r="AM29">
            <v>3.0364827692239915E-2</v>
          </cell>
        </row>
        <row r="30">
          <cell r="E30" t="str">
            <v>…</v>
          </cell>
          <cell r="F30" t="str">
            <v>…</v>
          </cell>
          <cell r="G30" t="str">
            <v>…</v>
          </cell>
          <cell r="H30" t="str">
            <v>…</v>
          </cell>
          <cell r="I30" t="str">
            <v>…</v>
          </cell>
          <cell r="J30" t="str">
            <v>…</v>
          </cell>
          <cell r="K30" t="str">
            <v>…</v>
          </cell>
          <cell r="L30" t="str">
            <v>…</v>
          </cell>
          <cell r="M30" t="str">
            <v>…</v>
          </cell>
          <cell r="N30" t="str">
            <v>…</v>
          </cell>
          <cell r="O30">
            <v>2.5050510720445729E-2</v>
          </cell>
          <cell r="P30">
            <v>2.5050754613080262E-2</v>
          </cell>
          <cell r="Q30">
            <v>0.83659386756660958</v>
          </cell>
          <cell r="R30">
            <v>3.6971830985915499E-2</v>
          </cell>
          <cell r="S30">
            <v>2.8862478777589073E-2</v>
          </cell>
          <cell r="T30">
            <v>3.630363036303641E-2</v>
          </cell>
          <cell r="U30">
            <v>2.5477707006369421E-2</v>
          </cell>
          <cell r="V30">
            <v>2.4844720496894457E-2</v>
          </cell>
          <cell r="W30">
            <v>2.5757575757575868E-2</v>
          </cell>
          <cell r="X30">
            <v>2.5110782865583436E-2</v>
          </cell>
          <cell r="Y30">
            <v>2.4495677233429491E-2</v>
          </cell>
          <cell r="Z30">
            <v>4.0787623066104173E-2</v>
          </cell>
          <cell r="AA30">
            <v>2.5675675675675746E-2</v>
          </cell>
          <cell r="AB30">
            <v>2.5032938076416267E-2</v>
          </cell>
          <cell r="AC30">
            <v>2.4421593830334265E-2</v>
          </cell>
          <cell r="AD30">
            <v>2.414231257941557E-2</v>
          </cell>
          <cell r="AE30">
            <v>2.2277227722772297E-2</v>
          </cell>
          <cell r="AF30">
            <v>2.5423728813559254E-2</v>
          </cell>
          <cell r="AG30">
            <v>2.5423728813559254E-2</v>
          </cell>
          <cell r="AH30">
            <v>2.5423728813559254E-2</v>
          </cell>
          <cell r="AI30">
            <v>2.5423728813559254E-2</v>
          </cell>
          <cell r="AJ30">
            <v>2.5423728813559254E-2</v>
          </cell>
          <cell r="AK30">
            <v>2.5423728813559254E-2</v>
          </cell>
          <cell r="AL30">
            <v>2.5423728813559254E-2</v>
          </cell>
          <cell r="AM30">
            <v>2.5423728813559254E-2</v>
          </cell>
        </row>
        <row r="31">
          <cell r="E31" t="str">
            <v>…</v>
          </cell>
          <cell r="F31" t="str">
            <v>…</v>
          </cell>
          <cell r="G31" t="str">
            <v>…</v>
          </cell>
          <cell r="H31" t="str">
            <v>…</v>
          </cell>
          <cell r="I31" t="str">
            <v>…</v>
          </cell>
          <cell r="J31" t="str">
            <v>…</v>
          </cell>
          <cell r="K31" t="str">
            <v>…</v>
          </cell>
          <cell r="L31" t="str">
            <v>…</v>
          </cell>
          <cell r="M31" t="str">
            <v>…</v>
          </cell>
          <cell r="N31" t="str">
            <v>…</v>
          </cell>
          <cell r="O31">
            <v>1.0000000000000231E-2</v>
          </cell>
          <cell r="P31">
            <v>5.239949699480273E-2</v>
          </cell>
          <cell r="Q31">
            <v>1.8619339300702649</v>
          </cell>
          <cell r="R31">
            <v>1.8416206261510082E-2</v>
          </cell>
          <cell r="S31">
            <v>0.12839059674502717</v>
          </cell>
          <cell r="T31">
            <v>5.2884615384615419E-2</v>
          </cell>
          <cell r="U31">
            <v>-8.8280060882800604E-2</v>
          </cell>
          <cell r="V31">
            <v>2.1702838063438978E-2</v>
          </cell>
          <cell r="W31">
            <v>4.9019607843137303E-2</v>
          </cell>
          <cell r="X31">
            <v>3.1152647975076775E-3</v>
          </cell>
          <cell r="Y31">
            <v>5.9006211180124168E-2</v>
          </cell>
          <cell r="Z31">
            <v>0.10557184750733128</v>
          </cell>
          <cell r="AA31">
            <v>7.8249336870026553E-2</v>
          </cell>
          <cell r="AB31">
            <v>0.11316113161131613</v>
          </cell>
          <cell r="AC31">
            <v>2.2099447513812098E-2</v>
          </cell>
          <cell r="AD31">
            <v>3.5487959442332073E-2</v>
          </cell>
          <cell r="AE31">
            <v>3.5495716034271707E-2</v>
          </cell>
          <cell r="AF31">
            <v>3.4278959810874809E-2</v>
          </cell>
          <cell r="AG31">
            <v>3.4278959810874809E-2</v>
          </cell>
          <cell r="AH31">
            <v>3.4278959810874809E-2</v>
          </cell>
          <cell r="AI31">
            <v>3.4278959810874809E-2</v>
          </cell>
          <cell r="AJ31">
            <v>3.4278959810874809E-2</v>
          </cell>
          <cell r="AK31">
            <v>3.4278959810874809E-2</v>
          </cell>
          <cell r="AL31">
            <v>3.4278959810874809E-2</v>
          </cell>
          <cell r="AM31">
            <v>3.4278959810874809E-2</v>
          </cell>
        </row>
        <row r="32">
          <cell r="E32">
            <v>0.17330769440657945</v>
          </cell>
          <cell r="F32">
            <v>3.6971090378446592E-2</v>
          </cell>
          <cell r="G32">
            <v>4.3254627660423761E-2</v>
          </cell>
          <cell r="H32">
            <v>4.3404985126404672E-2</v>
          </cell>
          <cell r="I32">
            <v>1.2934123930868013E-2</v>
          </cell>
          <cell r="J32">
            <v>1.2947615706567328E-2</v>
          </cell>
          <cell r="K32">
            <v>2.2346274841891889E-2</v>
          </cell>
          <cell r="L32">
            <v>2.2347775134825776E-2</v>
          </cell>
          <cell r="M32">
            <v>1.5301454120912883E-2</v>
          </cell>
          <cell r="N32">
            <v>2.2300128805961439E-2</v>
          </cell>
          <cell r="O32">
            <v>1.817918380160255E-2</v>
          </cell>
          <cell r="P32">
            <v>1.2644312862815976E-2</v>
          </cell>
          <cell r="Q32">
            <v>0.63146304285481025</v>
          </cell>
          <cell r="R32">
            <v>8.4112149532710179E-2</v>
          </cell>
          <cell r="S32">
            <v>-1.7241379310344862E-2</v>
          </cell>
          <cell r="T32">
            <v>5.2631578947368363E-2</v>
          </cell>
          <cell r="U32">
            <v>1.6666666666666607E-2</v>
          </cell>
          <cell r="V32">
            <v>0</v>
          </cell>
          <cell r="W32">
            <v>0</v>
          </cell>
          <cell r="X32">
            <v>9.0163934426229497E-2</v>
          </cell>
          <cell r="Y32">
            <v>0</v>
          </cell>
          <cell r="Z32">
            <v>3.007518796992481E-2</v>
          </cell>
          <cell r="AA32">
            <v>5.1094890510948954E-2</v>
          </cell>
          <cell r="AB32">
            <v>-6.25E-2</v>
          </cell>
          <cell r="AC32">
            <v>0.125925925925926</v>
          </cell>
          <cell r="AD32">
            <v>4.4585987261146487E-2</v>
          </cell>
          <cell r="AE32">
            <v>3.6585365853658569E-2</v>
          </cell>
          <cell r="AF32">
            <v>3.529411764705892E-2</v>
          </cell>
          <cell r="AG32">
            <v>3.529411764705892E-2</v>
          </cell>
          <cell r="AH32">
            <v>3.529411764705892E-2</v>
          </cell>
          <cell r="AI32">
            <v>3.529411764705892E-2</v>
          </cell>
          <cell r="AJ32">
            <v>3.529411764705892E-2</v>
          </cell>
          <cell r="AK32">
            <v>3.529411764705892E-2</v>
          </cell>
          <cell r="AL32">
            <v>3.529411764705892E-2</v>
          </cell>
          <cell r="AM32">
            <v>3.529411764705892E-2</v>
          </cell>
        </row>
        <row r="33">
          <cell r="E33">
            <v>0.26748732949612886</v>
          </cell>
          <cell r="F33">
            <v>0.16588382967170912</v>
          </cell>
          <cell r="G33">
            <v>4.9575185334096217E-2</v>
          </cell>
          <cell r="H33">
            <v>2.929205752832531E-2</v>
          </cell>
          <cell r="I33">
            <v>2.8706865178806273E-2</v>
          </cell>
          <cell r="J33">
            <v>2.5250574454906971E-2</v>
          </cell>
          <cell r="K33">
            <v>3.0912398497767057E-2</v>
          </cell>
          <cell r="L33">
            <v>2.0454065500263185E-2</v>
          </cell>
          <cell r="M33">
            <v>2.2539018502037544E-2</v>
          </cell>
          <cell r="N33">
            <v>7.8104853550138076E-2</v>
          </cell>
          <cell r="O33">
            <v>0.14792417828650506</v>
          </cell>
          <cell r="P33">
            <v>6.8779851852163176E-5</v>
          </cell>
          <cell r="Q33">
            <v>0.84924965893588</v>
          </cell>
          <cell r="R33">
            <v>2.323865732202135E-2</v>
          </cell>
          <cell r="S33">
            <v>2.1629416005768398E-3</v>
          </cell>
          <cell r="T33">
            <v>3.4532374100719521E-2</v>
          </cell>
          <cell r="U33">
            <v>3.6161335187760768E-2</v>
          </cell>
          <cell r="V33">
            <v>2.6510067114093872E-2</v>
          </cell>
          <cell r="W33">
            <v>3.3344230140568865E-2</v>
          </cell>
          <cell r="X33">
            <v>2.3726668775703841E-2</v>
          </cell>
          <cell r="Y33">
            <v>1.3906056860321314E-2</v>
          </cell>
          <cell r="Z33">
            <v>3.870771106370019E-2</v>
          </cell>
          <cell r="AA33">
            <v>1.9659624413145504E-2</v>
          </cell>
          <cell r="AB33">
            <v>5.4100719424460486E-2</v>
          </cell>
          <cell r="AC33">
            <v>4.8867048867048846E-2</v>
          </cell>
          <cell r="AD33">
            <v>1.0000000000000231E-2</v>
          </cell>
          <cell r="AE33">
            <v>9.9999999999997868E-3</v>
          </cell>
          <cell r="AF33">
            <v>9.9999999999997868E-3</v>
          </cell>
          <cell r="AG33">
            <v>1.0000000000000009E-2</v>
          </cell>
          <cell r="AH33">
            <v>1.0000000000000009E-2</v>
          </cell>
          <cell r="AI33">
            <v>1.0000000000000009E-2</v>
          </cell>
          <cell r="AJ33">
            <v>1.0000000000000231E-2</v>
          </cell>
          <cell r="AK33">
            <v>1.0000000000000009E-2</v>
          </cell>
          <cell r="AL33">
            <v>9.9999999999997868E-3</v>
          </cell>
          <cell r="AM33">
            <v>1.0000000000000231E-2</v>
          </cell>
        </row>
        <row r="34">
          <cell r="E34">
            <v>-3.3612740096340299E-2</v>
          </cell>
          <cell r="F34">
            <v>2.1132728566442438E-2</v>
          </cell>
          <cell r="G34">
            <v>2.9013560001771133E-2</v>
          </cell>
          <cell r="H34">
            <v>2.6819002177853823E-2</v>
          </cell>
          <cell r="I34">
            <v>1.6364073152315584E-2</v>
          </cell>
          <cell r="J34">
            <v>2.5309854909810747E-2</v>
          </cell>
          <cell r="K34">
            <v>3.3718764806972112E-2</v>
          </cell>
          <cell r="L34">
            <v>1.5910225440994408E-2</v>
          </cell>
          <cell r="M34">
            <v>0.635825249955428</v>
          </cell>
          <cell r="N34">
            <v>-0.23285980784144378</v>
          </cell>
          <cell r="O34">
            <v>2.4756087640817492E-2</v>
          </cell>
          <cell r="P34">
            <v>0.91165351299103903</v>
          </cell>
          <cell r="Q34">
            <v>-5.5592405276938317E-2</v>
          </cell>
          <cell r="R34">
            <v>1.9685039370078705E-2</v>
          </cell>
          <cell r="S34">
            <v>1.9305019305019266E-2</v>
          </cell>
          <cell r="T34">
            <v>1.8939393939394034E-2</v>
          </cell>
          <cell r="U34">
            <v>1.8587360594795488E-2</v>
          </cell>
          <cell r="V34">
            <v>2.5547445255474477E-2</v>
          </cell>
          <cell r="W34">
            <v>2.1352313167259718E-2</v>
          </cell>
          <cell r="X34">
            <v>1.7421602787456525E-2</v>
          </cell>
          <cell r="Y34">
            <v>2.0547945205479534E-2</v>
          </cell>
          <cell r="Z34">
            <v>3.0201342281879207E-2</v>
          </cell>
          <cell r="AA34">
            <v>1.3029315960912058E-2</v>
          </cell>
          <cell r="AB34">
            <v>2.5723472668810254E-2</v>
          </cell>
          <cell r="AC34">
            <v>1.5673981191222541E-2</v>
          </cell>
          <cell r="AD34">
            <v>2.1538461538461506E-2</v>
          </cell>
          <cell r="AE34">
            <v>2.7108433734939652E-2</v>
          </cell>
          <cell r="AF34">
            <v>2.346041055718473E-2</v>
          </cell>
          <cell r="AG34">
            <v>2.346041055718473E-2</v>
          </cell>
          <cell r="AH34">
            <v>2.346041055718473E-2</v>
          </cell>
          <cell r="AI34">
            <v>2.346041055718473E-2</v>
          </cell>
          <cell r="AJ34">
            <v>2.346041055718473E-2</v>
          </cell>
          <cell r="AK34">
            <v>2.346041055718473E-2</v>
          </cell>
          <cell r="AL34">
            <v>2.346041055718473E-2</v>
          </cell>
          <cell r="AM34">
            <v>2.346041055718473E-2</v>
          </cell>
        </row>
        <row r="35">
          <cell r="E35">
            <v>8.6888964469034269E-2</v>
          </cell>
          <cell r="F35">
            <v>6.9167027437161188E-2</v>
          </cell>
          <cell r="G35">
            <v>1.8491727909354827E-2</v>
          </cell>
          <cell r="H35">
            <v>2.9960904000305488E-2</v>
          </cell>
          <cell r="I35">
            <v>1.4896044095440653E-2</v>
          </cell>
          <cell r="J35">
            <v>2.9811091410328228E-2</v>
          </cell>
          <cell r="K35">
            <v>3.5723501177853612E-2</v>
          </cell>
          <cell r="L35">
            <v>2.3283712863125139E-2</v>
          </cell>
          <cell r="M35">
            <v>0.17103022949174762</v>
          </cell>
          <cell r="N35">
            <v>-4.1254120657522542E-2</v>
          </cell>
          <cell r="O35">
            <v>9.2045765869643414E-2</v>
          </cell>
          <cell r="P35">
            <v>5.7079033029580506E-2</v>
          </cell>
          <cell r="Q35">
            <v>0.83935171929997665</v>
          </cell>
          <cell r="R35">
            <v>5.3704302814623128E-2</v>
          </cell>
          <cell r="S35">
            <v>5.280933374270802E-2</v>
          </cell>
          <cell r="T35">
            <v>5.0306211723534666E-2</v>
          </cell>
          <cell r="U35">
            <v>4.2065805914202503E-2</v>
          </cell>
          <cell r="V35">
            <v>2.1449507061017892E-2</v>
          </cell>
          <cell r="W35">
            <v>3.6781009521325236E-2</v>
          </cell>
          <cell r="X35">
            <v>3.9250220153478343E-2</v>
          </cell>
          <cell r="Y35">
            <v>3.9462534802082061E-2</v>
          </cell>
          <cell r="Z35">
            <v>6.1488296261791087E-2</v>
          </cell>
          <cell r="AA35">
            <v>3.609434997257277E-2</v>
          </cell>
          <cell r="AB35">
            <v>6.9885641677255306E-2</v>
          </cell>
          <cell r="AC35">
            <v>6.5221694378464035E-2</v>
          </cell>
          <cell r="AD35">
            <v>3.3415139264872717E-2</v>
          </cell>
          <cell r="AE35">
            <v>3.5837655083079234E-2</v>
          </cell>
          <cell r="AF35">
            <v>4.0619077455861463E-2</v>
          </cell>
          <cell r="AG35">
            <v>4.2300213018869437E-2</v>
          </cell>
          <cell r="AH35">
            <v>3.1117406550529525E-2</v>
          </cell>
          <cell r="AI35">
            <v>3.1384504748466435E-2</v>
          </cell>
          <cell r="AJ35">
            <v>3.1651239818548227E-2</v>
          </cell>
          <cell r="AK35">
            <v>3.1917527859323558E-2</v>
          </cell>
          <cell r="AL35">
            <v>3.1478358817119467E-2</v>
          </cell>
          <cell r="AM35">
            <v>3.1711231556751818E-2</v>
          </cell>
        </row>
        <row r="36">
          <cell r="E36" t="str">
            <v>…</v>
          </cell>
          <cell r="F36" t="str">
            <v>…</v>
          </cell>
          <cell r="G36" t="str">
            <v>…</v>
          </cell>
          <cell r="H36" t="str">
            <v>…</v>
          </cell>
          <cell r="I36" t="str">
            <v>…</v>
          </cell>
          <cell r="J36" t="str">
            <v>…</v>
          </cell>
          <cell r="K36" t="str">
            <v>…</v>
          </cell>
          <cell r="L36" t="str">
            <v>…</v>
          </cell>
          <cell r="M36" t="str">
            <v>…</v>
          </cell>
          <cell r="N36" t="str">
            <v>…</v>
          </cell>
          <cell r="O36">
            <v>0.22076972816396467</v>
          </cell>
          <cell r="P36">
            <v>-1.818271328268295E-2</v>
          </cell>
          <cell r="Q36">
            <v>-0.63677857256585457</v>
          </cell>
          <cell r="R36">
            <v>0.20289855072463769</v>
          </cell>
          <cell r="S36">
            <v>0.31325301204819267</v>
          </cell>
          <cell r="T36">
            <v>0.14678899082568808</v>
          </cell>
          <cell r="U36">
            <v>9.6000000000000085E-2</v>
          </cell>
          <cell r="V36">
            <v>5.1094890510948954E-2</v>
          </cell>
          <cell r="W36">
            <v>5.555555555555558E-2</v>
          </cell>
          <cell r="X36">
            <v>-6.5789473684210176E-3</v>
          </cell>
          <cell r="Y36">
            <v>4.635761589403975E-2</v>
          </cell>
          <cell r="Z36">
            <v>-1.8987341772151889E-2</v>
          </cell>
          <cell r="AA36">
            <v>0.14838709677419359</v>
          </cell>
          <cell r="AB36">
            <v>0.15730337078651679</v>
          </cell>
          <cell r="AC36">
            <v>0.13106796116504849</v>
          </cell>
          <cell r="AD36">
            <v>8.247422680412364E-2</v>
          </cell>
          <cell r="AE36">
            <v>7.6190476190476142E-2</v>
          </cell>
          <cell r="AF36">
            <v>7.9646017699114946E-2</v>
          </cell>
          <cell r="AG36">
            <v>7.9646017699114946E-2</v>
          </cell>
          <cell r="AH36">
            <v>7.9646017699114946E-2</v>
          </cell>
          <cell r="AI36">
            <v>7.9646017699114946E-2</v>
          </cell>
          <cell r="AJ36">
            <v>7.9646017699114946E-2</v>
          </cell>
          <cell r="AK36">
            <v>7.9646017699114946E-2</v>
          </cell>
          <cell r="AL36">
            <v>7.9646017699114946E-2</v>
          </cell>
          <cell r="AM36">
            <v>7.9646017699114946E-2</v>
          </cell>
        </row>
        <row r="38">
          <cell r="E38">
            <v>0.17114588029597755</v>
          </cell>
          <cell r="F38">
            <v>0.34492561502726082</v>
          </cell>
          <cell r="G38">
            <v>0.20590721421738967</v>
          </cell>
          <cell r="H38">
            <v>0.24956786699316114</v>
          </cell>
          <cell r="I38">
            <v>0.1284072461307677</v>
          </cell>
          <cell r="J38">
            <v>0.17758853963111787</v>
          </cell>
          <cell r="K38">
            <v>5.041950614570001E-2</v>
          </cell>
          <cell r="L38">
            <v>0.32330346123058451</v>
          </cell>
          <cell r="M38">
            <v>-1.4429148452889893</v>
          </cell>
          <cell r="N38">
            <v>-3.7350864809607129</v>
          </cell>
          <cell r="O38">
            <v>0.15022167551492749</v>
          </cell>
          <cell r="P38">
            <v>-2.8408300235402972E-2</v>
          </cell>
          <cell r="Q38">
            <v>-0.29033243880340576</v>
          </cell>
          <cell r="R38">
            <v>0.29333632936359333</v>
          </cell>
          <cell r="S38">
            <v>7.9726651480638067E-2</v>
          </cell>
          <cell r="T38">
            <v>0.3022774327122153</v>
          </cell>
          <cell r="U38">
            <v>7.1084970352832011E-2</v>
          </cell>
          <cell r="V38">
            <v>0.18096323429656769</v>
          </cell>
          <cell r="W38">
            <v>5.2609743040685331E-2</v>
          </cell>
          <cell r="X38">
            <v>-6.0684981467229782E-2</v>
          </cell>
          <cell r="Y38">
            <v>0.40506160020887583</v>
          </cell>
          <cell r="Z38">
            <v>-1.0983793240681994E-3</v>
          </cell>
          <cell r="AA38">
            <v>5.0026183262434465E-2</v>
          </cell>
          <cell r="AB38">
            <v>-3.0812089985920887E-2</v>
          </cell>
          <cell r="AC38">
            <v>0.27891290295382376</v>
          </cell>
          <cell r="AD38">
            <v>5.8000000000000003E-2</v>
          </cell>
          <cell r="AE38">
            <v>6.2E-2</v>
          </cell>
          <cell r="AF38">
            <v>6.2E-2</v>
          </cell>
          <cell r="AG38">
            <v>6.2E-2</v>
          </cell>
          <cell r="AH38">
            <v>6.2E-2</v>
          </cell>
          <cell r="AI38">
            <v>6.2E-2</v>
          </cell>
          <cell r="AJ38">
            <v>6.2E-2</v>
          </cell>
          <cell r="AK38">
            <v>6.2E-2</v>
          </cell>
          <cell r="AL38">
            <v>6.2E-2</v>
          </cell>
          <cell r="AM38">
            <v>6.2E-2</v>
          </cell>
        </row>
        <row r="39">
          <cell r="E39">
            <v>-0.19353075520581864</v>
          </cell>
          <cell r="F39">
            <v>0.12368178927531903</v>
          </cell>
          <cell r="G39">
            <v>4.0664485549145812E-2</v>
          </cell>
          <cell r="H39">
            <v>0.11134312207233399</v>
          </cell>
          <cell r="I39">
            <v>0.67255852240131508</v>
          </cell>
          <cell r="J39">
            <v>1.0381953600026916E-2</v>
          </cell>
          <cell r="K39">
            <v>-0.14453070635514986</v>
          </cell>
          <cell r="L39">
            <v>0.43169648510395042</v>
          </cell>
          <cell r="M39">
            <v>0.28831840006035736</v>
          </cell>
          <cell r="N39">
            <v>-7.9113753340748216E-3</v>
          </cell>
          <cell r="O39">
            <v>-0.14780940206073057</v>
          </cell>
          <cell r="P39">
            <v>-8.461340953720764E-2</v>
          </cell>
          <cell r="Q39">
            <v>0.16395470364565878</v>
          </cell>
          <cell r="R39">
            <v>0.37943775218324305</v>
          </cell>
          <cell r="S39">
            <v>-0.2016</v>
          </cell>
          <cell r="T39">
            <v>0.39909090909090916</v>
          </cell>
          <cell r="U39">
            <v>7.9303466494150543E-2</v>
          </cell>
          <cell r="V39">
            <v>8.7911052336439921E-2</v>
          </cell>
          <cell r="W39">
            <v>-1.9509086405296472E-2</v>
          </cell>
          <cell r="X39">
            <v>0.36165497497100429</v>
          </cell>
          <cell r="Y39">
            <v>0.495168709289044</v>
          </cell>
          <cell r="Z39">
            <v>7.4118099581062635E-2</v>
          </cell>
          <cell r="AA39">
            <v>-0.31721890132736419</v>
          </cell>
          <cell r="AB39">
            <v>-0.14056852124736152</v>
          </cell>
          <cell r="AC39">
            <v>-3.2095702467966669E-2</v>
          </cell>
          <cell r="AD39">
            <v>0.17938716530495258</v>
          </cell>
          <cell r="AE39">
            <v>9.8870200504770356E-2</v>
          </cell>
          <cell r="AF39">
            <v>5.5141214512757886E-2</v>
          </cell>
          <cell r="AG39">
            <v>5.951717089866726E-2</v>
          </cell>
          <cell r="AH39">
            <v>6.0263294306899695E-2</v>
          </cell>
          <cell r="AI39">
            <v>6.1946044317953364E-2</v>
          </cell>
          <cell r="AJ39">
            <v>6.1944410733290933E-2</v>
          </cell>
          <cell r="AK39">
            <v>6.1942775130031213E-2</v>
          </cell>
          <cell r="AL39">
            <v>6.1941137523684686E-2</v>
          </cell>
          <cell r="AM39">
            <v>6.1939497929877962E-2</v>
          </cell>
        </row>
        <row r="40">
          <cell r="E40">
            <v>-0.36199414143882147</v>
          </cell>
          <cell r="F40">
            <v>-5.2192632570161934E-2</v>
          </cell>
          <cell r="G40">
            <v>0.28062531652171652</v>
          </cell>
          <cell r="H40">
            <v>-7.2855399500893259E-2</v>
          </cell>
          <cell r="I40">
            <v>0.61295906017142032</v>
          </cell>
          <cell r="J40">
            <v>6.4763753814147229E-2</v>
          </cell>
          <cell r="K40">
            <v>1.2667845467593919E-2</v>
          </cell>
          <cell r="L40">
            <v>0.80258767464704328</v>
          </cell>
          <cell r="M40">
            <v>0.20028226208704258</v>
          </cell>
          <cell r="N40">
            <v>-7.4365310108869043E-2</v>
          </cell>
          <cell r="O40">
            <v>-0.15250510716412879</v>
          </cell>
          <cell r="P40">
            <v>-0.12487483798588705</v>
          </cell>
          <cell r="Q40">
            <v>0.2442822828485347</v>
          </cell>
          <cell r="R40">
            <v>0.33461821892182986</v>
          </cell>
          <cell r="S40">
            <v>-0.18807339449541294</v>
          </cell>
          <cell r="T40">
            <v>0.49297573435504449</v>
          </cell>
          <cell r="U40">
            <v>7.1513895847326259E-2</v>
          </cell>
          <cell r="V40">
            <v>7.0473759705980576E-2</v>
          </cell>
          <cell r="W40">
            <v>9.1363465318912818E-2</v>
          </cell>
          <cell r="X40">
            <v>0.2217351406294461</v>
          </cell>
          <cell r="Y40">
            <v>0.55655820147044244</v>
          </cell>
          <cell r="Z40">
            <v>2.3587039161336421E-2</v>
          </cell>
          <cell r="AA40">
            <v>-0.20470424632191841</v>
          </cell>
          <cell r="AB40">
            <v>-0.16391091797935886</v>
          </cell>
          <cell r="AC40">
            <v>-7.3303957866193814E-2</v>
          </cell>
          <cell r="AD40">
            <v>0.19745671031404477</v>
          </cell>
          <cell r="AE40">
            <v>0.10200000000000009</v>
          </cell>
          <cell r="AF40">
            <v>5.8899999999999952E-2</v>
          </cell>
          <cell r="AG40">
            <v>6.0999999999999943E-2</v>
          </cell>
          <cell r="AH40">
            <v>6.1900000000000066E-2</v>
          </cell>
          <cell r="AI40">
            <v>6.25E-2</v>
          </cell>
          <cell r="AJ40">
            <v>6.25E-2</v>
          </cell>
          <cell r="AK40">
            <v>6.25E-2</v>
          </cell>
          <cell r="AL40">
            <v>6.25E-2</v>
          </cell>
          <cell r="AM40">
            <v>6.25E-2</v>
          </cell>
        </row>
        <row r="41">
          <cell r="E41">
            <v>1.6036295222171981E-2</v>
          </cell>
          <cell r="F41">
            <v>0.20573141569898823</v>
          </cell>
          <cell r="G41">
            <v>-7.0242014963498911E-2</v>
          </cell>
          <cell r="H41">
            <v>0.22490332141232883</v>
          </cell>
          <cell r="I41">
            <v>0.71782289961725376</v>
          </cell>
          <cell r="J41">
            <v>1.5954089717038489E-3</v>
          </cell>
          <cell r="K41">
            <v>-0.22707689282431132</v>
          </cell>
          <cell r="L41">
            <v>0.1546893105423448</v>
          </cell>
          <cell r="M41">
            <v>0.38205759933116945</v>
          </cell>
          <cell r="N41">
            <v>6.324875566755761E-2</v>
          </cell>
          <cell r="O41">
            <v>-0.13876642608143264</v>
          </cell>
          <cell r="P41">
            <v>2.8338451172830847E-2</v>
          </cell>
          <cell r="Q41">
            <v>-1.757019373652724E-2</v>
          </cell>
          <cell r="R41">
            <v>0.4980808238414729</v>
          </cell>
          <cell r="S41">
            <v>-0.23280423280423268</v>
          </cell>
          <cell r="T41">
            <v>0.16719242902208209</v>
          </cell>
          <cell r="U41">
            <v>0.12818107363561904</v>
          </cell>
          <cell r="V41">
            <v>0.11802649930264986</v>
          </cell>
          <cell r="W41">
            <v>-0.43321254529551423</v>
          </cell>
          <cell r="X41">
            <v>1.361886251099079</v>
          </cell>
          <cell r="Y41">
            <v>0.30727301850525746</v>
          </cell>
          <cell r="Z41">
            <v>0.24772859008471082</v>
          </cell>
          <cell r="AA41">
            <v>-0.67280530669981564</v>
          </cell>
          <cell r="AB41">
            <v>-2.0398212108898917E-2</v>
          </cell>
          <cell r="AC41">
            <v>0.31343915343915341</v>
          </cell>
          <cell r="AD41">
            <v>0.06</v>
          </cell>
          <cell r="AE41">
            <v>6.2E-2</v>
          </cell>
          <cell r="AF41">
            <v>6.2E-2</v>
          </cell>
          <cell r="AG41">
            <v>6.2E-2</v>
          </cell>
          <cell r="AH41">
            <v>6.2E-2</v>
          </cell>
          <cell r="AI41">
            <v>6.2E-2</v>
          </cell>
          <cell r="AJ41">
            <v>6.2E-2</v>
          </cell>
          <cell r="AK41">
            <v>6.2E-2</v>
          </cell>
          <cell r="AL41">
            <v>6.2E-2</v>
          </cell>
          <cell r="AM41">
            <v>6.2E-2</v>
          </cell>
        </row>
        <row r="42">
          <cell r="E42">
            <v>-0.12199716997302368</v>
          </cell>
          <cell r="F42">
            <v>0.11343747050755448</v>
          </cell>
          <cell r="G42">
            <v>4.007560020977663E-2</v>
          </cell>
          <cell r="H42">
            <v>0.11875767787706226</v>
          </cell>
          <cell r="I42">
            <v>0.47555155472095412</v>
          </cell>
          <cell r="J42">
            <v>6.936987040260556E-2</v>
          </cell>
          <cell r="K42">
            <v>-2.6747796156069592E-2</v>
          </cell>
          <cell r="L42">
            <v>0.34968251051010912</v>
          </cell>
          <cell r="M42">
            <v>0.47415703772520068</v>
          </cell>
          <cell r="N42">
            <v>-0.19374188228159128</v>
          </cell>
          <cell r="O42">
            <v>-6.7097415506958358E-2</v>
          </cell>
          <cell r="P42">
            <v>-8.4880843327469147E-2</v>
          </cell>
          <cell r="Q42">
            <v>-0.1091544053132828</v>
          </cell>
          <cell r="R42">
            <v>0.40867434635547073</v>
          </cell>
          <cell r="S42">
            <v>-6.6588785046728827E-2</v>
          </cell>
          <cell r="T42">
            <v>0.21290571870170005</v>
          </cell>
          <cell r="U42">
            <v>9.1272423939646519E-2</v>
          </cell>
          <cell r="V42">
            <v>7.0474707756508437E-2</v>
          </cell>
          <cell r="W42">
            <v>2.119549706240309E-2</v>
          </cell>
          <cell r="X42">
            <v>0.18570327050735647</v>
          </cell>
          <cell r="Y42">
            <v>0.37495159447808257</v>
          </cell>
          <cell r="Z42">
            <v>0.120256239534001</v>
          </cell>
          <cell r="AA42">
            <v>-0.16846760508442682</v>
          </cell>
          <cell r="AB42">
            <v>-6.7557352130501513E-2</v>
          </cell>
          <cell r="AC42">
            <v>8.6678422997510163E-2</v>
          </cell>
          <cell r="AD42">
            <v>0.11250475126409576</v>
          </cell>
          <cell r="AE42">
            <v>7.8571746334321846E-2</v>
          </cell>
          <cell r="AF42">
            <v>6.2005547653543047E-2</v>
          </cell>
          <cell r="AG42">
            <v>5.7369218395264321E-2</v>
          </cell>
          <cell r="AH42">
            <v>6.0513258375627155E-2</v>
          </cell>
          <cell r="AI42">
            <v>6.0853158368676441E-2</v>
          </cell>
          <cell r="AJ42">
            <v>5.938197704445991E-2</v>
          </cell>
          <cell r="AK42">
            <v>5.7201615433496222E-2</v>
          </cell>
          <cell r="AL42">
            <v>5.4069313549763409E-2</v>
          </cell>
          <cell r="AM42">
            <v>4.9684334071079528E-2</v>
          </cell>
        </row>
        <row r="43">
          <cell r="E43">
            <v>0.12296499590193699</v>
          </cell>
          <cell r="F43">
            <v>0.14273543588005522</v>
          </cell>
          <cell r="G43">
            <v>0.13059955397895484</v>
          </cell>
          <cell r="H43">
            <v>7.2495381468147047E-2</v>
          </cell>
          <cell r="I43">
            <v>0.13761056430776408</v>
          </cell>
          <cell r="J43">
            <v>0.12558710913565374</v>
          </cell>
          <cell r="K43">
            <v>0.15907366501629139</v>
          </cell>
          <cell r="L43">
            <v>0.13360993258088882</v>
          </cell>
          <cell r="M43">
            <v>0.14290212738707253</v>
          </cell>
          <cell r="N43">
            <v>0.10508427464087111</v>
          </cell>
          <cell r="O43">
            <v>0.11325966850828717</v>
          </cell>
          <cell r="P43">
            <v>0.12538389386805027</v>
          </cell>
          <cell r="Q43">
            <v>-0.3289556004036327</v>
          </cell>
          <cell r="R43">
            <v>8.6484236456010999E-2</v>
          </cell>
          <cell r="S43">
            <v>9.4783247612049815E-2</v>
          </cell>
          <cell r="T43">
            <v>9.0612244897959382E-2</v>
          </cell>
          <cell r="U43">
            <v>5.0170420404864968E-2</v>
          </cell>
          <cell r="V43">
            <v>0.13216083102684473</v>
          </cell>
          <cell r="W43">
            <v>5.5742105322732272E-2</v>
          </cell>
          <cell r="X43">
            <v>0.1031530812178687</v>
          </cell>
          <cell r="Y43">
            <v>4.0606585254789884E-2</v>
          </cell>
          <cell r="Z43">
            <v>0.1580762314162556</v>
          </cell>
          <cell r="AA43">
            <v>0.1127424552970262</v>
          </cell>
          <cell r="AB43">
            <v>3.9062992374108152E-3</v>
          </cell>
          <cell r="AC43">
            <v>3.5027906283521038E-2</v>
          </cell>
          <cell r="AD43">
            <v>6.1656731694880396E-2</v>
          </cell>
          <cell r="AE43">
            <v>5.8348400754453689E-2</v>
          </cell>
          <cell r="AF43">
            <v>6.5535869346714071E-2</v>
          </cell>
          <cell r="AG43">
            <v>6.5579665987493874E-2</v>
          </cell>
          <cell r="AH43">
            <v>6.5622029525559178E-2</v>
          </cell>
          <cell r="AI43">
            <v>6.5662878478336406E-2</v>
          </cell>
          <cell r="AJ43">
            <v>6.570213442009365E-2</v>
          </cell>
          <cell r="AK43">
            <v>6.573972234205816E-2</v>
          </cell>
          <cell r="AL43">
            <v>6.5775570998603428E-2</v>
          </cell>
          <cell r="AM43">
            <v>6.5809613236657016E-2</v>
          </cell>
        </row>
        <row r="44">
          <cell r="E44">
            <v>-1.695153763139734E-2</v>
          </cell>
          <cell r="F44">
            <v>0.35426146411540849</v>
          </cell>
          <cell r="G44">
            <v>-2.7461812629361204E-2</v>
          </cell>
          <cell r="H44">
            <v>0.13121512267199864</v>
          </cell>
          <cell r="I44">
            <v>0.10388837445676002</v>
          </cell>
          <cell r="J44">
            <v>9.6753677498388813E-2</v>
          </cell>
          <cell r="K44">
            <v>3.7065689783625233E-2</v>
          </cell>
          <cell r="L44">
            <v>7.4575982996828438E-2</v>
          </cell>
          <cell r="M44">
            <v>0.27691683485849494</v>
          </cell>
          <cell r="N44">
            <v>-9.633048063079408E-3</v>
          </cell>
          <cell r="O44">
            <v>0.25952641767213125</v>
          </cell>
          <cell r="P44">
            <v>9.4138581071590455E-2</v>
          </cell>
          <cell r="Q44">
            <v>-0.29163849308661605</v>
          </cell>
          <cell r="R44">
            <v>-7.4744295830055041E-2</v>
          </cell>
          <cell r="S44">
            <v>0.10714285714285721</v>
          </cell>
          <cell r="T44">
            <v>0.15625</v>
          </cell>
          <cell r="U44">
            <v>9.0481786133959963E-2</v>
          </cell>
          <cell r="V44">
            <v>4.9460118425635802E-2</v>
          </cell>
          <cell r="W44">
            <v>-5.3641427687229015E-2</v>
          </cell>
          <cell r="X44">
            <v>-4.3307927915093636E-2</v>
          </cell>
          <cell r="Y44">
            <v>0.10774696840967013</v>
          </cell>
          <cell r="Z44">
            <v>-1.1435585993022412E-2</v>
          </cell>
          <cell r="AA44">
            <v>9.2278855165452978E-2</v>
          </cell>
          <cell r="AB44">
            <v>-8.1752779594501668E-4</v>
          </cell>
          <cell r="AC44">
            <v>-0.12514619883040945</v>
          </cell>
          <cell r="AD44">
            <v>6.0999999999999999E-2</v>
          </cell>
          <cell r="AE44">
            <v>0.06</v>
          </cell>
          <cell r="AF44">
            <v>5.7000000000000002E-2</v>
          </cell>
          <cell r="AG44">
            <v>5.7000000000000002E-2</v>
          </cell>
          <cell r="AH44">
            <v>5.7000000000000002E-2</v>
          </cell>
          <cell r="AI44">
            <v>5.7000000000000002E-2</v>
          </cell>
          <cell r="AJ44">
            <v>5.7000000000000002E-2</v>
          </cell>
          <cell r="AK44">
            <v>5.7000000000000002E-2</v>
          </cell>
          <cell r="AL44">
            <v>5.7000000000000002E-2</v>
          </cell>
          <cell r="AM44">
            <v>5.7000000000000002E-2</v>
          </cell>
        </row>
        <row r="45">
          <cell r="E45">
            <v>9.8794581310091889E-2</v>
          </cell>
          <cell r="F45">
            <v>3.1846446945327012E-2</v>
          </cell>
          <cell r="G45">
            <v>0.23780314294609073</v>
          </cell>
          <cell r="H45">
            <v>-7.5274151004973699E-2</v>
          </cell>
          <cell r="I45">
            <v>0.12375622522406271</v>
          </cell>
          <cell r="J45">
            <v>5.8994403180847144E-2</v>
          </cell>
          <cell r="K45">
            <v>0.32010237640669414</v>
          </cell>
          <cell r="L45">
            <v>0.22060481041037927</v>
          </cell>
          <cell r="M45">
            <v>5.6749879082558019E-2</v>
          </cell>
          <cell r="N45">
            <v>3.5026453212298136E-2</v>
          </cell>
          <cell r="O45">
            <v>-4.7705530594938095E-2</v>
          </cell>
          <cell r="P45">
            <v>0.334375314431963</v>
          </cell>
          <cell r="Q45">
            <v>-0.3376276241826317</v>
          </cell>
          <cell r="R45">
            <v>2.3583313238485726E-2</v>
          </cell>
          <cell r="S45">
            <v>0.16071428571428581</v>
          </cell>
          <cell r="T45">
            <v>0.10071942446043169</v>
          </cell>
          <cell r="U45">
            <v>-2.561991717806722E-2</v>
          </cell>
          <cell r="V45">
            <v>0.42214802671038432</v>
          </cell>
          <cell r="W45">
            <v>5.2253527588263404E-2</v>
          </cell>
          <cell r="X45">
            <v>0.41675023691013968</v>
          </cell>
          <cell r="Y45">
            <v>6.4959925576069777E-2</v>
          </cell>
          <cell r="Z45">
            <v>0.58638083228247173</v>
          </cell>
          <cell r="AA45">
            <v>-0.17677205991855416</v>
          </cell>
          <cell r="AB45">
            <v>-0.11484697255181553</v>
          </cell>
          <cell r="AC45">
            <v>-0.34971572045152721</v>
          </cell>
          <cell r="AD45">
            <v>0.06</v>
          </cell>
          <cell r="AE45">
            <v>6.2E-2</v>
          </cell>
          <cell r="AF45">
            <v>6.0999999999999999E-2</v>
          </cell>
          <cell r="AG45">
            <v>6.0999999999999999E-2</v>
          </cell>
          <cell r="AH45">
            <v>6.0999999999999999E-2</v>
          </cell>
          <cell r="AI45">
            <v>6.0999999999999999E-2</v>
          </cell>
          <cell r="AJ45">
            <v>6.0999999999999999E-2</v>
          </cell>
          <cell r="AK45">
            <v>6.0999999999999999E-2</v>
          </cell>
          <cell r="AL45">
            <v>6.0999999999999999E-2</v>
          </cell>
          <cell r="AM45">
            <v>6.0999999999999999E-2</v>
          </cell>
        </row>
        <row r="46">
          <cell r="E46">
            <v>0.14593841633635041</v>
          </cell>
          <cell r="F46">
            <v>0.13373576663139497</v>
          </cell>
          <cell r="G46">
            <v>0.15278996499722686</v>
          </cell>
          <cell r="H46">
            <v>0.10610976906181158</v>
          </cell>
          <cell r="I46">
            <v>0.14291601229175432</v>
          </cell>
          <cell r="J46">
            <v>0.14468330660903383</v>
          </cell>
          <cell r="K46">
            <v>0.13037143017002917</v>
          </cell>
          <cell r="L46">
            <v>0.11959017553860596</v>
          </cell>
          <cell r="M46">
            <v>0.15792957489890491</v>
          </cell>
          <cell r="N46">
            <v>0.13298791018998246</v>
          </cell>
          <cell r="O46">
            <v>0.13802849783041404</v>
          </cell>
          <cell r="P46">
            <v>8.6871291965589847E-2</v>
          </cell>
          <cell r="Q46">
            <v>-0.33599750674388917</v>
          </cell>
          <cell r="R46">
            <v>6.6990291262135848E-2</v>
          </cell>
          <cell r="S46">
            <v>7.1428571428571619E-2</v>
          </cell>
          <cell r="T46">
            <v>0.10068259385665534</v>
          </cell>
          <cell r="U46">
            <v>7.5229357798165086E-2</v>
          </cell>
          <cell r="V46">
            <v>6.2902967121090558E-2</v>
          </cell>
          <cell r="W46">
            <v>6.2036266555717479E-2</v>
          </cell>
          <cell r="X46">
            <v>5.4118312615629049E-2</v>
          </cell>
          <cell r="Y46">
            <v>6.7774093923153922E-2</v>
          </cell>
          <cell r="Z46">
            <v>0.15143562610229289</v>
          </cell>
          <cell r="AA46">
            <v>9.2855845217549415E-2</v>
          </cell>
          <cell r="AB46">
            <v>9.1970552987501453E-3</v>
          </cell>
          <cell r="AC46">
            <v>-2.6896180742330689E-4</v>
          </cell>
          <cell r="AD46">
            <v>5.9546700000000001E-2</v>
          </cell>
          <cell r="AE46">
            <v>6.0499999999999998E-2</v>
          </cell>
          <cell r="AF46">
            <v>6.2689999999999996E-2</v>
          </cell>
          <cell r="AG46">
            <v>6.2689999999999996E-2</v>
          </cell>
          <cell r="AH46">
            <v>6.2689999999999996E-2</v>
          </cell>
          <cell r="AI46">
            <v>6.2689999999999996E-2</v>
          </cell>
          <cell r="AJ46">
            <v>6.2689999999999996E-2</v>
          </cell>
          <cell r="AK46">
            <v>6.2689999999999996E-2</v>
          </cell>
          <cell r="AL46">
            <v>6.2689999999999996E-2</v>
          </cell>
          <cell r="AM46">
            <v>6.2689999999999996E-2</v>
          </cell>
        </row>
        <row r="47">
          <cell r="E47">
            <v>0.14719393810741654</v>
          </cell>
          <cell r="F47">
            <v>0.13389445763709262</v>
          </cell>
          <cell r="G47">
            <v>8.7804828686988579E-2</v>
          </cell>
          <cell r="H47">
            <v>0.10659796926856147</v>
          </cell>
          <cell r="I47">
            <v>0.14260123714587158</v>
          </cell>
          <cell r="J47">
            <v>0.1446344356235405</v>
          </cell>
          <cell r="K47">
            <v>0.1307454531542529</v>
          </cell>
          <cell r="L47">
            <v>0.11954467446341011</v>
          </cell>
          <cell r="M47">
            <v>0.15827814059183143</v>
          </cell>
          <cell r="N47">
            <v>0.13291558279701321</v>
          </cell>
          <cell r="O47">
            <v>0.13804081721490902</v>
          </cell>
          <cell r="P47">
            <v>8.6760856965042432E-2</v>
          </cell>
          <cell r="Q47">
            <v>-0.33604529387310467</v>
          </cell>
          <cell r="R47">
            <v>0.24642772088592513</v>
          </cell>
          <cell r="S47">
            <v>5.3164556962025378E-2</v>
          </cell>
          <cell r="T47">
            <v>4.8387096774193505E-2</v>
          </cell>
          <cell r="U47">
            <v>5.6433726456609712E-2</v>
          </cell>
          <cell r="V47">
            <v>4.2680496706800408E-2</v>
          </cell>
          <cell r="W47">
            <v>0.11810167854123921</v>
          </cell>
          <cell r="X47">
            <v>4.399662573811991E-2</v>
          </cell>
          <cell r="Y47">
            <v>3.8286318244769912E-2</v>
          </cell>
          <cell r="Z47">
            <v>3.9236991428226453E-2</v>
          </cell>
          <cell r="AA47">
            <v>0.24577067669172936</v>
          </cell>
          <cell r="AB47">
            <v>8.8531486117302771E-2</v>
          </cell>
          <cell r="AC47">
            <v>0.32072534114845674</v>
          </cell>
          <cell r="AD47">
            <v>5.9990000000000002E-2</v>
          </cell>
          <cell r="AE47">
            <v>0.06</v>
          </cell>
          <cell r="AF47">
            <v>6.3200000000000006E-2</v>
          </cell>
          <cell r="AG47">
            <v>6.3200000000000006E-2</v>
          </cell>
          <cell r="AH47">
            <v>6.3200000000000006E-2</v>
          </cell>
          <cell r="AI47">
            <v>6.3200000000000006E-2</v>
          </cell>
          <cell r="AJ47">
            <v>6.3200000000000006E-2</v>
          </cell>
          <cell r="AK47">
            <v>6.3200000000000006E-2</v>
          </cell>
          <cell r="AL47">
            <v>6.3200000000000006E-2</v>
          </cell>
          <cell r="AM47">
            <v>6.3200000000000006E-2</v>
          </cell>
        </row>
        <row r="48">
          <cell r="E48">
            <v>0.30853336604524273</v>
          </cell>
          <cell r="F48">
            <v>3.7208425135587975E-2</v>
          </cell>
          <cell r="G48">
            <v>0.2914022832929426</v>
          </cell>
          <cell r="H48">
            <v>-8.7756379399213658E-2</v>
          </cell>
          <cell r="I48">
            <v>1.330988571952374E-2</v>
          </cell>
          <cell r="J48">
            <v>4.2069850124958119E-2</v>
          </cell>
          <cell r="K48">
            <v>-5.9165519621382723E-2</v>
          </cell>
          <cell r="L48">
            <v>0.24500781385937165</v>
          </cell>
          <cell r="M48">
            <v>2.2292404712991321E-3</v>
          </cell>
          <cell r="N48">
            <v>0.25800699179136988</v>
          </cell>
          <cell r="O48">
            <v>6.6582138868567453E-2</v>
          </cell>
          <cell r="P48">
            <v>0.10031958545317221</v>
          </cell>
          <cell r="Q48">
            <v>-0.38459970914060781</v>
          </cell>
          <cell r="R48">
            <v>0.3099265879348867</v>
          </cell>
          <cell r="S48">
            <v>5.7017543859649189E-2</v>
          </cell>
          <cell r="T48">
            <v>0.29831932773109249</v>
          </cell>
          <cell r="U48">
            <v>0.28491062517012966</v>
          </cell>
          <cell r="V48">
            <v>0.21231990554069147</v>
          </cell>
          <cell r="W48">
            <v>-1.8615348975742352E-3</v>
          </cell>
          <cell r="X48">
            <v>2.3553558070956715E-3</v>
          </cell>
          <cell r="Y48">
            <v>0.34391764535305192</v>
          </cell>
          <cell r="Z48">
            <v>0.36544179523141662</v>
          </cell>
          <cell r="AA48">
            <v>1.5521825641386933E-2</v>
          </cell>
          <cell r="AB48">
            <v>0.1438131648220804</v>
          </cell>
          <cell r="AC48">
            <v>5.9727192014853436E-3</v>
          </cell>
          <cell r="AD48">
            <v>5.8000000000000003E-2</v>
          </cell>
          <cell r="AE48">
            <v>6.0999999999999999E-2</v>
          </cell>
          <cell r="AF48">
            <v>6.3399999999999998E-2</v>
          </cell>
          <cell r="AG48">
            <v>6.3399999999999998E-2</v>
          </cell>
          <cell r="AH48">
            <v>6.3399999999999998E-2</v>
          </cell>
          <cell r="AI48">
            <v>6.3399999999999998E-2</v>
          </cell>
          <cell r="AJ48">
            <v>6.3399999999999998E-2</v>
          </cell>
          <cell r="AK48">
            <v>6.3399999999999998E-2</v>
          </cell>
          <cell r="AL48">
            <v>6.3399999999999998E-2</v>
          </cell>
          <cell r="AM48">
            <v>6.3399999999999998E-2</v>
          </cell>
        </row>
        <row r="49">
          <cell r="E49">
            <v>0.15406927943720228</v>
          </cell>
          <cell r="F49">
            <v>0.1581392350063815</v>
          </cell>
          <cell r="G49">
            <v>0.15251535791647775</v>
          </cell>
          <cell r="H49">
            <v>8.7857110462562726E-2</v>
          </cell>
          <cell r="I49">
            <v>0.14363839041729265</v>
          </cell>
          <cell r="J49">
            <v>0.18038700427636356</v>
          </cell>
          <cell r="K49">
            <v>0.129207973174428</v>
          </cell>
          <cell r="L49">
            <v>0.16418576273588981</v>
          </cell>
          <cell r="M49">
            <v>0.16160625253037031</v>
          </cell>
          <cell r="N49">
            <v>0.13397120147597752</v>
          </cell>
          <cell r="O49">
            <v>0.12791489330985972</v>
          </cell>
          <cell r="P49">
            <v>8.395031829884636E-2</v>
          </cell>
          <cell r="Q49">
            <v>-0.29818292003209912</v>
          </cell>
          <cell r="R49">
            <v>6.6617217062263423E-2</v>
          </cell>
          <cell r="S49">
            <v>9.2651757188498607E-2</v>
          </cell>
          <cell r="T49">
            <v>8.4134615384615419E-2</v>
          </cell>
          <cell r="U49">
            <v>8.8274920400925661E-2</v>
          </cell>
          <cell r="V49">
            <v>5.7966029515339024E-2</v>
          </cell>
          <cell r="W49">
            <v>5.7938978829389809E-2</v>
          </cell>
          <cell r="X49">
            <v>3.6021408382945319E-2</v>
          </cell>
          <cell r="Y49">
            <v>9.4317852892934262E-2</v>
          </cell>
          <cell r="Z49">
            <v>5.5015725484673483E-2</v>
          </cell>
          <cell r="AA49">
            <v>0.15395451210564937</v>
          </cell>
          <cell r="AB49">
            <v>7.4216167962547708E-2</v>
          </cell>
          <cell r="AC49">
            <v>8.4874289608508846E-2</v>
          </cell>
          <cell r="AD49">
            <v>3.0000000000000001E-3</v>
          </cell>
          <cell r="AE49">
            <v>8.5999999999999993E-2</v>
          </cell>
          <cell r="AF49">
            <v>8.7900000000000006E-2</v>
          </cell>
          <cell r="AG49">
            <v>8.7900000000000006E-2</v>
          </cell>
          <cell r="AH49">
            <v>8.7900000000000006E-2</v>
          </cell>
          <cell r="AI49">
            <v>8.7900000000000006E-2</v>
          </cell>
          <cell r="AJ49">
            <v>8.7900000000000006E-2</v>
          </cell>
          <cell r="AK49">
            <v>8.7900000000000006E-2</v>
          </cell>
          <cell r="AL49">
            <v>8.7900000000000006E-2</v>
          </cell>
          <cell r="AM49">
            <v>8.7900000000000006E-2</v>
          </cell>
        </row>
        <row r="50">
          <cell r="E50">
            <v>-0.12199716997302368</v>
          </cell>
          <cell r="F50">
            <v>0.11343747050755448</v>
          </cell>
          <cell r="G50">
            <v>4.007560020977663E-2</v>
          </cell>
          <cell r="H50">
            <v>0.11875767787706226</v>
          </cell>
          <cell r="I50">
            <v>0.47555155472095412</v>
          </cell>
          <cell r="J50">
            <v>6.936987040260556E-2</v>
          </cell>
          <cell r="K50">
            <v>-2.6747796156069592E-2</v>
          </cell>
          <cell r="L50">
            <v>0.34968251051010912</v>
          </cell>
          <cell r="M50">
            <v>0.47415703772520068</v>
          </cell>
          <cell r="N50">
            <v>-0.19374188228159128</v>
          </cell>
          <cell r="O50">
            <v>-6.7097415506958358E-2</v>
          </cell>
          <cell r="P50">
            <v>-8.4880843327469147E-2</v>
          </cell>
          <cell r="Q50">
            <v>-0.1091544053132828</v>
          </cell>
          <cell r="R50">
            <v>0.40867434635547073</v>
          </cell>
          <cell r="S50">
            <v>-6.6588785046728827E-2</v>
          </cell>
          <cell r="T50">
            <v>0.21290571870170005</v>
          </cell>
          <cell r="U50">
            <v>9.1272423939646519E-2</v>
          </cell>
          <cell r="V50">
            <v>7.0474707756508437E-2</v>
          </cell>
          <cell r="W50">
            <v>2.119549706240309E-2</v>
          </cell>
          <cell r="X50">
            <v>0.18570327050735647</v>
          </cell>
          <cell r="Y50">
            <v>0.37495159447808257</v>
          </cell>
          <cell r="Z50">
            <v>0.120256239534001</v>
          </cell>
          <cell r="AA50">
            <v>-0.16846760508442682</v>
          </cell>
          <cell r="AB50">
            <v>-6.7557352130501513E-2</v>
          </cell>
          <cell r="AC50">
            <v>8.6678422997510163E-2</v>
          </cell>
          <cell r="AD50">
            <v>0.11250475126409576</v>
          </cell>
          <cell r="AE50">
            <v>7.8571746334321846E-2</v>
          </cell>
          <cell r="AF50">
            <v>6.2005547653543047E-2</v>
          </cell>
          <cell r="AG50">
            <v>5.7369218395264321E-2</v>
          </cell>
          <cell r="AH50">
            <v>6.0513258375627155E-2</v>
          </cell>
          <cell r="AI50">
            <v>6.0853158368676441E-2</v>
          </cell>
          <cell r="AJ50">
            <v>5.938197704445991E-2</v>
          </cell>
          <cell r="AK50">
            <v>5.7201615433496222E-2</v>
          </cell>
          <cell r="AL50">
            <v>5.4069313549763409E-2</v>
          </cell>
          <cell r="AM50">
            <v>4.9684334071079528E-2</v>
          </cell>
        </row>
        <row r="51">
          <cell r="E51">
            <v>0.14830119375573925</v>
          </cell>
          <cell r="F51">
            <v>0.15473810475809668</v>
          </cell>
          <cell r="G51">
            <v>0.12015235457063733</v>
          </cell>
          <cell r="H51">
            <v>9.0880989180834204E-2</v>
          </cell>
          <cell r="I51">
            <v>0.11958061773873618</v>
          </cell>
          <cell r="J51">
            <v>0.13414325487218415</v>
          </cell>
          <cell r="K51">
            <v>0.12586476232983745</v>
          </cell>
          <cell r="L51">
            <v>0.12864222001982162</v>
          </cell>
          <cell r="M51">
            <v>0.15121180189673322</v>
          </cell>
          <cell r="N51">
            <v>0.1202135774218156</v>
          </cell>
          <cell r="O51">
            <v>0.11902492169412993</v>
          </cell>
          <cell r="P51">
            <v>0.17731532189363564</v>
          </cell>
          <cell r="Q51">
            <v>-0.36689910687522365</v>
          </cell>
          <cell r="R51">
            <v>9.6375615552576566E-2</v>
          </cell>
          <cell r="S51">
            <v>9.3541202672605683E-2</v>
          </cell>
          <cell r="T51">
            <v>0.10856658184902468</v>
          </cell>
          <cell r="U51">
            <v>9.1441792713789827E-2</v>
          </cell>
          <cell r="V51">
            <v>6.8374509259626404E-2</v>
          </cell>
          <cell r="W51">
            <v>4.0990911608469016E-2</v>
          </cell>
          <cell r="X51">
            <v>0.36981829688723078</v>
          </cell>
          <cell r="Y51">
            <v>8.9362834822763748E-2</v>
          </cell>
          <cell r="Z51">
            <v>6.2323042415132868E-2</v>
          </cell>
          <cell r="AA51">
            <v>0.116518299644923</v>
          </cell>
          <cell r="AB51">
            <v>-7.098263693483553E-2</v>
          </cell>
          <cell r="AC51">
            <v>-6.0736774231896828E-2</v>
          </cell>
          <cell r="AD51">
            <v>5.9299999999999999E-2</v>
          </cell>
          <cell r="AE51">
            <v>6.13E-2</v>
          </cell>
          <cell r="AF51">
            <v>6.1899999999999997E-2</v>
          </cell>
          <cell r="AG51">
            <v>6.1899999999999997E-2</v>
          </cell>
          <cell r="AH51">
            <v>6.1899999999999997E-2</v>
          </cell>
          <cell r="AI51">
            <v>6.1899999999999997E-2</v>
          </cell>
          <cell r="AJ51">
            <v>6.1899999999999997E-2</v>
          </cell>
          <cell r="AK51">
            <v>6.1899999999999997E-2</v>
          </cell>
          <cell r="AL51">
            <v>6.1899999999999997E-2</v>
          </cell>
          <cell r="AM51">
            <v>6.1899999999999997E-2</v>
          </cell>
        </row>
        <row r="52">
          <cell r="E52">
            <v>0.14830119375573925</v>
          </cell>
          <cell r="F52">
            <v>0.15473810475809735</v>
          </cell>
          <cell r="G52">
            <v>0.12015235457063689</v>
          </cell>
          <cell r="H52">
            <v>9.0880989180834648E-2</v>
          </cell>
          <cell r="I52">
            <v>0.11958061773873685</v>
          </cell>
          <cell r="J52">
            <v>0.13414325487218348</v>
          </cell>
          <cell r="K52">
            <v>0.12586476232983701</v>
          </cell>
          <cell r="L52">
            <v>0.12864222001982162</v>
          </cell>
          <cell r="M52">
            <v>0.6597576960465541</v>
          </cell>
          <cell r="N52">
            <v>-0.21893871094778106</v>
          </cell>
          <cell r="O52">
            <v>0.11045008650198906</v>
          </cell>
          <cell r="P52">
            <v>0.17622783063125347</v>
          </cell>
          <cell r="Q52">
            <v>-0.37020257715489124</v>
          </cell>
          <cell r="R52">
            <v>0.10799951296724686</v>
          </cell>
          <cell r="S52">
            <v>9.1428571428571415E-2</v>
          </cell>
          <cell r="T52">
            <v>9.4999999999999973E-2</v>
          </cell>
          <cell r="U52">
            <v>8.5823176212562524E-2</v>
          </cell>
          <cell r="V52">
            <v>5.9439990705239865E-2</v>
          </cell>
          <cell r="W52">
            <v>8.8015625520203367E-2</v>
          </cell>
          <cell r="X52">
            <v>9.3120515258926506E-2</v>
          </cell>
          <cell r="Y52">
            <v>9.0392263503178194E-2</v>
          </cell>
          <cell r="Z52">
            <v>0.11583472653451143</v>
          </cell>
          <cell r="AA52">
            <v>7.0783132530120474E-2</v>
          </cell>
          <cell r="AB52">
            <v>4.2248375062497567E-2</v>
          </cell>
          <cell r="AC52">
            <v>2.2847250625398496E-2</v>
          </cell>
          <cell r="AD52">
            <v>5.8000000000000003E-2</v>
          </cell>
          <cell r="AE52">
            <v>6.4000000000000001E-2</v>
          </cell>
          <cell r="AF52">
            <v>0.06</v>
          </cell>
          <cell r="AG52">
            <v>0.06</v>
          </cell>
          <cell r="AH52">
            <v>0.06</v>
          </cell>
          <cell r="AI52">
            <v>0.06</v>
          </cell>
          <cell r="AJ52">
            <v>0.06</v>
          </cell>
          <cell r="AK52">
            <v>0.06</v>
          </cell>
          <cell r="AL52">
            <v>0.06</v>
          </cell>
          <cell r="AM52">
            <v>0.06</v>
          </cell>
        </row>
        <row r="53">
          <cell r="E53">
            <v>8.9171974522293196E-2</v>
          </cell>
          <cell r="F53">
            <v>0.14035087719298223</v>
          </cell>
          <cell r="G53">
            <v>0.21794871794871762</v>
          </cell>
          <cell r="H53">
            <v>0.15578947368421048</v>
          </cell>
          <cell r="I53">
            <v>6.5573770491803351E-2</v>
          </cell>
          <cell r="J53">
            <v>0.20170940170940121</v>
          </cell>
          <cell r="K53">
            <v>0.14082503556187809</v>
          </cell>
          <cell r="L53">
            <v>9.7256857855361645E-2</v>
          </cell>
          <cell r="M53">
            <v>2.9545454545454319E-2</v>
          </cell>
          <cell r="N53">
            <v>0.10347184951794541</v>
          </cell>
          <cell r="O53">
            <v>1.9845678929375721E-2</v>
          </cell>
          <cell r="P53">
            <v>0.13024716699901795</v>
          </cell>
          <cell r="Q53">
            <v>-0.21239415406403117</v>
          </cell>
          <cell r="R53">
            <v>5.0265405031156174E-2</v>
          </cell>
          <cell r="S53">
            <v>4.9046321525885395E-2</v>
          </cell>
          <cell r="T53">
            <v>8.7248322147650992E-2</v>
          </cell>
          <cell r="U53">
            <v>3.6395369728702942E-2</v>
          </cell>
          <cell r="V53">
            <v>0.14380655987534352</v>
          </cell>
          <cell r="W53">
            <v>-1.73285923633687E-2</v>
          </cell>
          <cell r="X53">
            <v>4.0954097509163789E-2</v>
          </cell>
          <cell r="Y53">
            <v>-2.7780599104752612E-2</v>
          </cell>
          <cell r="Z53">
            <v>0.22004000086191877</v>
          </cell>
          <cell r="AA53">
            <v>0.11020352177631221</v>
          </cell>
          <cell r="AB53">
            <v>-6.6481685558353876E-3</v>
          </cell>
          <cell r="AC53">
            <v>-1.5206442863503922E-2</v>
          </cell>
          <cell r="AD53">
            <v>5.2715436875386379E-2</v>
          </cell>
          <cell r="AE53">
            <v>5.6507053865827883E-2</v>
          </cell>
          <cell r="AF53">
            <v>5.6489725456052797E-2</v>
          </cell>
          <cell r="AG53">
            <v>5.6579211846679245E-2</v>
          </cell>
          <cell r="AH53">
            <v>6.1245326919851184E-2</v>
          </cell>
          <cell r="AI53">
            <v>6.1249145613681222E-2</v>
          </cell>
          <cell r="AJ53">
            <v>6.1252992391266137E-2</v>
          </cell>
          <cell r="AK53">
            <v>6.1256866587154901E-2</v>
          </cell>
          <cell r="AL53">
            <v>6.1260767531041038E-2</v>
          </cell>
          <cell r="AM53">
            <v>6.1264694548075482E-2</v>
          </cell>
        </row>
        <row r="54">
          <cell r="E54" t="str">
            <v>…</v>
          </cell>
          <cell r="F54" t="str">
            <v>…</v>
          </cell>
          <cell r="G54" t="str">
            <v>…</v>
          </cell>
          <cell r="H54" t="str">
            <v>…</v>
          </cell>
          <cell r="I54" t="str">
            <v>…</v>
          </cell>
          <cell r="J54" t="str">
            <v>…</v>
          </cell>
          <cell r="K54" t="str">
            <v>…</v>
          </cell>
          <cell r="L54" t="str">
            <v>…</v>
          </cell>
          <cell r="M54" t="str">
            <v>…</v>
          </cell>
          <cell r="N54" t="str">
            <v>…</v>
          </cell>
          <cell r="O54">
            <v>0.13345395824856143</v>
          </cell>
          <cell r="P54">
            <v>0.10435972207757538</v>
          </cell>
          <cell r="Q54">
            <v>-0.27003624198660592</v>
          </cell>
          <cell r="R54">
            <v>3.7020918995167795E-2</v>
          </cell>
          <cell r="S54">
            <v>5.5350553505534972E-2</v>
          </cell>
          <cell r="T54">
            <v>7.4809160305343569E-2</v>
          </cell>
          <cell r="U54">
            <v>4.9289561664190185E-2</v>
          </cell>
          <cell r="V54">
            <v>0.16118522693284087</v>
          </cell>
          <cell r="W54">
            <v>-4.7604884228881206E-2</v>
          </cell>
          <cell r="X54">
            <v>4.7928616470704011E-2</v>
          </cell>
          <cell r="Y54">
            <v>2.8938780324774926E-2</v>
          </cell>
          <cell r="Z54">
            <v>0.14514597310296229</v>
          </cell>
          <cell r="AA54">
            <v>0.21503435443640484</v>
          </cell>
          <cell r="AB54">
            <v>-1.9572183025090673E-2</v>
          </cell>
          <cell r="AC54">
            <v>1.0538442153768646E-2</v>
          </cell>
          <cell r="AD54">
            <v>5.8000000000000003E-2</v>
          </cell>
          <cell r="AE54">
            <v>6.1539999999999997E-2</v>
          </cell>
          <cell r="AF54">
            <v>6.1539999999999997E-2</v>
          </cell>
          <cell r="AG54">
            <v>6.1539999999999997E-2</v>
          </cell>
          <cell r="AH54">
            <v>6.1539999999999997E-2</v>
          </cell>
          <cell r="AI54">
            <v>6.1539999999999997E-2</v>
          </cell>
          <cell r="AJ54">
            <v>6.1539999999999997E-2</v>
          </cell>
          <cell r="AK54">
            <v>6.1539999999999997E-2</v>
          </cell>
          <cell r="AL54">
            <v>6.1539999999999997E-2</v>
          </cell>
          <cell r="AM54">
            <v>6.1539999999999997E-2</v>
          </cell>
        </row>
        <row r="55">
          <cell r="E55" t="str">
            <v>…</v>
          </cell>
          <cell r="F55" t="str">
            <v>…</v>
          </cell>
          <cell r="G55" t="str">
            <v>…</v>
          </cell>
          <cell r="H55" t="str">
            <v>…</v>
          </cell>
          <cell r="I55" t="str">
            <v>…</v>
          </cell>
          <cell r="J55" t="str">
            <v>…</v>
          </cell>
          <cell r="K55" t="str">
            <v>…</v>
          </cell>
          <cell r="L55" t="str">
            <v>…</v>
          </cell>
          <cell r="M55" t="str">
            <v>…</v>
          </cell>
          <cell r="N55" t="str">
            <v>…</v>
          </cell>
          <cell r="O55">
            <v>-0.12591105287341864</v>
          </cell>
          <cell r="P55">
            <v>0.1774256648272603</v>
          </cell>
          <cell r="Q55">
            <v>-0.13515522594435747</v>
          </cell>
          <cell r="R55">
            <v>9.0116854822737125E-2</v>
          </cell>
          <cell r="S55">
            <v>3.125E-2</v>
          </cell>
          <cell r="T55">
            <v>0.12133891213389125</v>
          </cell>
          <cell r="U55">
            <v>2.8792026029025308E-3</v>
          </cell>
          <cell r="V55">
            <v>0.11626841243862529</v>
          </cell>
          <cell r="W55">
            <v>3.7720665895488503E-2</v>
          </cell>
          <cell r="X55">
            <v>2.7600004820961477E-2</v>
          </cell>
          <cell r="Y55">
            <v>-0.11497696432617499</v>
          </cell>
          <cell r="Z55">
            <v>0.35394808298034097</v>
          </cell>
          <cell r="AA55">
            <v>-2.0043297265842752E-2</v>
          </cell>
          <cell r="AB55">
            <v>1.7882836587872486E-2</v>
          </cell>
          <cell r="AC55">
            <v>-3.5586124401913888E-2</v>
          </cell>
          <cell r="AD55">
            <v>5.7000000000000002E-2</v>
          </cell>
          <cell r="AE55">
            <v>6.2E-2</v>
          </cell>
          <cell r="AF55">
            <v>6.2E-2</v>
          </cell>
          <cell r="AG55">
            <v>6.2E-2</v>
          </cell>
          <cell r="AH55">
            <v>6.2E-2</v>
          </cell>
          <cell r="AI55">
            <v>6.2E-2</v>
          </cell>
          <cell r="AJ55">
            <v>6.2E-2</v>
          </cell>
          <cell r="AK55">
            <v>6.2E-2</v>
          </cell>
          <cell r="AL55">
            <v>6.2E-2</v>
          </cell>
          <cell r="AM55">
            <v>6.2E-2</v>
          </cell>
        </row>
        <row r="56">
          <cell r="E56" t="str">
            <v>…</v>
          </cell>
          <cell r="F56" t="str">
            <v>…</v>
          </cell>
          <cell r="G56" t="str">
            <v>…</v>
          </cell>
          <cell r="H56" t="str">
            <v>…</v>
          </cell>
          <cell r="I56" t="str">
            <v>…</v>
          </cell>
          <cell r="J56" t="str">
            <v>…</v>
          </cell>
          <cell r="K56" t="str">
            <v>…</v>
          </cell>
          <cell r="L56" t="str">
            <v>…</v>
          </cell>
          <cell r="M56" t="str">
            <v>…</v>
          </cell>
          <cell r="N56" t="str">
            <v>…</v>
          </cell>
          <cell r="O56">
            <v>0.15224780648450076</v>
          </cell>
          <cell r="P56">
            <v>0.15978695522226971</v>
          </cell>
          <cell r="Q56">
            <v>-7.2449119856175193E-2</v>
          </cell>
          <cell r="R56">
            <v>-0.17020157756354071</v>
          </cell>
          <cell r="S56">
            <v>-2.777777777777779E-2</v>
          </cell>
          <cell r="T56">
            <v>0.25263157894736832</v>
          </cell>
          <cell r="U56">
            <v>0.14369151916085565</v>
          </cell>
          <cell r="V56">
            <v>-5.7095709570956776E-3</v>
          </cell>
          <cell r="W56">
            <v>0.12537690227782639</v>
          </cell>
          <cell r="X56">
            <v>6.2655830157926307E-2</v>
          </cell>
          <cell r="Y56">
            <v>0.13634851530973857</v>
          </cell>
          <cell r="Z56">
            <v>9.3498232074527454E-2</v>
          </cell>
          <cell r="AA56">
            <v>4.6206847100542126E-2</v>
          </cell>
          <cell r="AB56">
            <v>-0.15209938848911941</v>
          </cell>
          <cell r="AC56">
            <v>-3.1323102933116242E-3</v>
          </cell>
          <cell r="AD56">
            <v>5.8000000000000003E-2</v>
          </cell>
          <cell r="AE56">
            <v>6.2E-2</v>
          </cell>
          <cell r="AF56">
            <v>6.1400000000000003E-2</v>
          </cell>
          <cell r="AG56">
            <v>6.1400000000000003E-2</v>
          </cell>
          <cell r="AH56">
            <v>6.1400000000000003E-2</v>
          </cell>
          <cell r="AI56">
            <v>6.1400000000000003E-2</v>
          </cell>
          <cell r="AJ56">
            <v>6.1400000000000003E-2</v>
          </cell>
          <cell r="AK56">
            <v>6.1400000000000003E-2</v>
          </cell>
          <cell r="AL56">
            <v>6.1400000000000003E-2</v>
          </cell>
          <cell r="AM56">
            <v>6.1400000000000003E-2</v>
          </cell>
        </row>
        <row r="57">
          <cell r="E57" t="str">
            <v>…</v>
          </cell>
          <cell r="F57" t="str">
            <v>…</v>
          </cell>
          <cell r="G57" t="str">
            <v>…</v>
          </cell>
          <cell r="H57" t="str">
            <v>…</v>
          </cell>
          <cell r="I57" t="str">
            <v>…</v>
          </cell>
          <cell r="J57" t="str">
            <v>…</v>
          </cell>
          <cell r="K57" t="str">
            <v>…</v>
          </cell>
          <cell r="L57" t="str">
            <v>…</v>
          </cell>
          <cell r="M57" t="str">
            <v>…</v>
          </cell>
          <cell r="N57" t="str">
            <v>…</v>
          </cell>
          <cell r="O57">
            <v>0.11902492169413037</v>
          </cell>
          <cell r="P57">
            <v>0.17629468313866159</v>
          </cell>
          <cell r="Q57">
            <v>-0.33124213431618399</v>
          </cell>
          <cell r="R57">
            <v>0.13002338666064994</v>
          </cell>
          <cell r="S57">
            <v>5.2816901408452299E-3</v>
          </cell>
          <cell r="T57">
            <v>0.18988326848249049</v>
          </cell>
          <cell r="U57">
            <v>9.8696848854566532E-2</v>
          </cell>
          <cell r="V57">
            <v>8.1235607160135448E-2</v>
          </cell>
          <cell r="W57">
            <v>8.5046901577947365E-2</v>
          </cell>
          <cell r="X57">
            <v>8.9106441838143757E-2</v>
          </cell>
          <cell r="Y57">
            <v>7.3114373401041766E-2</v>
          </cell>
          <cell r="Z57">
            <v>5.748745884619777E-2</v>
          </cell>
          <cell r="AA57">
            <v>5.9111786777073405E-2</v>
          </cell>
          <cell r="AB57">
            <v>4.82864882328089E-2</v>
          </cell>
          <cell r="AC57">
            <v>1.4602765814703433E-2</v>
          </cell>
          <cell r="AD57">
            <v>5.885817920897507E-2</v>
          </cell>
          <cell r="AE57">
            <v>6.1525640312330099E-2</v>
          </cell>
          <cell r="AF57">
            <v>6.1995024677597099E-2</v>
          </cell>
          <cell r="AG57">
            <v>6.2001846134995375E-2</v>
          </cell>
          <cell r="AH57">
            <v>6.2008675958479698E-2</v>
          </cell>
          <cell r="AI57">
            <v>6.20155135493623E-2</v>
          </cell>
          <cell r="AJ57">
            <v>6.2022358308258196E-2</v>
          </cell>
          <cell r="AK57">
            <v>6.2029209635236615E-2</v>
          </cell>
          <cell r="AL57">
            <v>6.2036066929982647E-2</v>
          </cell>
          <cell r="AM57">
            <v>6.2042929591950458E-2</v>
          </cell>
        </row>
        <row r="58">
          <cell r="E58" t="str">
            <v>…</v>
          </cell>
          <cell r="F58" t="str">
            <v>…</v>
          </cell>
          <cell r="G58" t="str">
            <v>…</v>
          </cell>
          <cell r="H58" t="str">
            <v>…</v>
          </cell>
          <cell r="I58" t="str">
            <v>…</v>
          </cell>
          <cell r="J58" t="str">
            <v>…</v>
          </cell>
          <cell r="K58" t="str">
            <v>…</v>
          </cell>
          <cell r="L58" t="str">
            <v>…</v>
          </cell>
          <cell r="M58" t="str">
            <v>…</v>
          </cell>
          <cell r="N58" t="str">
            <v>…</v>
          </cell>
          <cell r="O58">
            <v>0.11902492169413059</v>
          </cell>
          <cell r="P58">
            <v>0.17731532189363541</v>
          </cell>
          <cell r="Q58">
            <v>-0.32648131917408951</v>
          </cell>
          <cell r="R58">
            <v>0.13655105505699727</v>
          </cell>
          <cell r="S58">
            <v>-8.4175084175084347E-3</v>
          </cell>
          <cell r="T58">
            <v>0.21974522292993637</v>
          </cell>
          <cell r="U58">
            <v>9.4821854272416184E-2</v>
          </cell>
          <cell r="V58">
            <v>8.4679351656095969E-2</v>
          </cell>
          <cell r="W58">
            <v>9.1141697001909661E-2</v>
          </cell>
          <cell r="X58">
            <v>8.8553421853537762E-2</v>
          </cell>
          <cell r="Y58">
            <v>7.6642000438196467E-2</v>
          </cell>
          <cell r="Z58">
            <v>5.7110755402326907E-2</v>
          </cell>
          <cell r="AA58">
            <v>7.1858198512262605E-2</v>
          </cell>
          <cell r="AB58">
            <v>7.0502858747379715E-2</v>
          </cell>
          <cell r="AC58">
            <v>1.5810146171713724E-2</v>
          </cell>
          <cell r="AD58">
            <v>6.0499999999999998E-2</v>
          </cell>
          <cell r="AE58">
            <v>6.3500000000000001E-2</v>
          </cell>
          <cell r="AF58">
            <v>6.1559999999999997E-2</v>
          </cell>
          <cell r="AG58">
            <v>6.1559999999999997E-2</v>
          </cell>
          <cell r="AH58">
            <v>6.1559999999999997E-2</v>
          </cell>
          <cell r="AI58">
            <v>6.1559999999999997E-2</v>
          </cell>
          <cell r="AJ58">
            <v>6.1559999999999997E-2</v>
          </cell>
          <cell r="AK58">
            <v>6.1559999999999997E-2</v>
          </cell>
          <cell r="AL58">
            <v>6.1559999999999997E-2</v>
          </cell>
          <cell r="AM58">
            <v>6.1559999999999997E-2</v>
          </cell>
        </row>
        <row r="59">
          <cell r="E59" t="str">
            <v>…</v>
          </cell>
          <cell r="F59" t="str">
            <v>…</v>
          </cell>
          <cell r="G59" t="str">
            <v>…</v>
          </cell>
          <cell r="H59" t="str">
            <v>…</v>
          </cell>
          <cell r="I59" t="str">
            <v>…</v>
          </cell>
          <cell r="J59" t="str">
            <v>…</v>
          </cell>
          <cell r="K59" t="str">
            <v>…</v>
          </cell>
          <cell r="L59" t="str">
            <v>…</v>
          </cell>
          <cell r="M59" t="str">
            <v>…</v>
          </cell>
          <cell r="N59" t="str">
            <v>…</v>
          </cell>
          <cell r="O59">
            <v>0.11902492169413037</v>
          </cell>
          <cell r="P59">
            <v>0.17463101371514789</v>
          </cell>
          <cell r="Q59">
            <v>-0.33589417427696266</v>
          </cell>
          <cell r="R59">
            <v>0.12278252111612153</v>
          </cell>
          <cell r="S59">
            <v>2.0295202952029356E-2</v>
          </cell>
          <cell r="T59">
            <v>0.16133942161339432</v>
          </cell>
          <cell r="U59">
            <v>9.9703087496198384E-2</v>
          </cell>
          <cell r="V59">
            <v>7.7273698150284176E-2</v>
          </cell>
          <cell r="W59">
            <v>7.8939774013807806E-2</v>
          </cell>
          <cell r="X59">
            <v>8.8947618830369057E-2</v>
          </cell>
          <cell r="Y59">
            <v>7.0367146410653003E-2</v>
          </cell>
          <cell r="Z59">
            <v>6.0115541968259745E-2</v>
          </cell>
          <cell r="AA59">
            <v>4.8135904352535785E-2</v>
          </cell>
          <cell r="AB59">
            <v>3.1111016850298601E-2</v>
          </cell>
          <cell r="AC59">
            <v>1.3281508933682851E-2</v>
          </cell>
          <cell r="AD59">
            <v>5.8000000000000003E-2</v>
          </cell>
          <cell r="AE59">
            <v>6.0499999999999998E-2</v>
          </cell>
          <cell r="AF59">
            <v>6.3E-2</v>
          </cell>
          <cell r="AG59">
            <v>6.3E-2</v>
          </cell>
          <cell r="AH59">
            <v>6.3E-2</v>
          </cell>
          <cell r="AI59">
            <v>6.3E-2</v>
          </cell>
          <cell r="AJ59">
            <v>6.3E-2</v>
          </cell>
          <cell r="AK59">
            <v>6.3E-2</v>
          </cell>
          <cell r="AL59">
            <v>6.3E-2</v>
          </cell>
          <cell r="AM59">
            <v>6.3E-2</v>
          </cell>
        </row>
        <row r="60">
          <cell r="E60">
            <v>7.0631970260223165E-2</v>
          </cell>
          <cell r="F60">
            <v>0.14583333333333348</v>
          </cell>
          <cell r="G60">
            <v>0.19393939393939386</v>
          </cell>
          <cell r="H60">
            <v>9.3908629441624258E-2</v>
          </cell>
          <cell r="I60">
            <v>9.0487238979118478E-2</v>
          </cell>
          <cell r="J60">
            <v>0.17659574468085082</v>
          </cell>
          <cell r="K60">
            <v>0.16455696202531667</v>
          </cell>
          <cell r="L60">
            <v>0.11335403726708049</v>
          </cell>
          <cell r="M60">
            <v>0.25531286058025016</v>
          </cell>
          <cell r="N60">
            <v>0.11103788009097126</v>
          </cell>
          <cell r="O60">
            <v>0.18413031743379915</v>
          </cell>
          <cell r="P60">
            <v>0.10262754124835549</v>
          </cell>
          <cell r="Q60">
            <v>-0.44883883312526318</v>
          </cell>
          <cell r="R60">
            <v>0.1979399910434394</v>
          </cell>
          <cell r="S60">
            <v>0.15999999999999992</v>
          </cell>
          <cell r="T60">
            <v>9.1666666666666785E-2</v>
          </cell>
          <cell r="U60">
            <v>7.3707921411588107E-2</v>
          </cell>
          <cell r="V60">
            <v>8.3916083916083961E-2</v>
          </cell>
          <cell r="W60">
            <v>0.10322580645161294</v>
          </cell>
          <cell r="X60">
            <v>7.8221870465637888E-2</v>
          </cell>
          <cell r="Y60">
            <v>7.4626865671641784E-2</v>
          </cell>
          <cell r="Z60">
            <v>9.6647742633144018E-2</v>
          </cell>
          <cell r="AA60">
            <v>9.5656876138433322E-2</v>
          </cell>
          <cell r="AB60">
            <v>7.0462633451957357E-2</v>
          </cell>
          <cell r="AC60">
            <v>8.9725643896976459E-2</v>
          </cell>
          <cell r="AD60">
            <v>5.2449999999999997E-2</v>
          </cell>
          <cell r="AE60">
            <v>6.0499999999999998E-2</v>
          </cell>
          <cell r="AF60">
            <v>6.4677999999999999E-2</v>
          </cell>
          <cell r="AG60">
            <v>6.4677999999999999E-2</v>
          </cell>
          <cell r="AH60">
            <v>6.4677999999999999E-2</v>
          </cell>
          <cell r="AI60">
            <v>6.4677999999999999E-2</v>
          </cell>
          <cell r="AJ60">
            <v>6.4677999999999999E-2</v>
          </cell>
          <cell r="AK60">
            <v>6.4677999999999999E-2</v>
          </cell>
          <cell r="AL60">
            <v>6.4677999999999999E-2</v>
          </cell>
          <cell r="AM60">
            <v>6.4677999999999999E-2</v>
          </cell>
        </row>
        <row r="61">
          <cell r="E61">
            <v>0.22213356801348882</v>
          </cell>
          <cell r="F61">
            <v>0.17157814873051969</v>
          </cell>
          <cell r="G61">
            <v>0.11323955304687527</v>
          </cell>
          <cell r="H61">
            <v>0.12406890683768568</v>
          </cell>
          <cell r="I61">
            <v>0.10372781878625204</v>
          </cell>
          <cell r="J61">
            <v>0.14481106198685234</v>
          </cell>
          <cell r="K61">
            <v>0.22657111601194502</v>
          </cell>
          <cell r="L61">
            <v>6.8945814210349621E-2</v>
          </cell>
          <cell r="M61">
            <v>0.10829631269608098</v>
          </cell>
          <cell r="N61">
            <v>0.1218926706484178</v>
          </cell>
          <cell r="O61">
            <v>0.10344804090027138</v>
          </cell>
          <cell r="P61">
            <v>0.26244339202838507</v>
          </cell>
          <cell r="Q61">
            <v>-0.43685438444674229</v>
          </cell>
          <cell r="R61">
            <v>9.5887697955955753E-2</v>
          </cell>
          <cell r="S61">
            <v>0.16359060402684555</v>
          </cell>
          <cell r="T61">
            <v>0.18358831710709311</v>
          </cell>
          <cell r="U61">
            <v>6.6600682970685998E-2</v>
          </cell>
          <cell r="V61">
            <v>6.9209672124281418E-2</v>
          </cell>
          <cell r="W61">
            <v>8.2340792271147434E-2</v>
          </cell>
          <cell r="X61">
            <v>7.2644140920063105E-2</v>
          </cell>
          <cell r="Y61">
            <v>0.13001655071589036</v>
          </cell>
          <cell r="Z61">
            <v>8.5852110655903147E-2</v>
          </cell>
          <cell r="AA61">
            <v>2.7113903566601927E-2</v>
          </cell>
          <cell r="AB61">
            <v>-1.2757740719273714E-2</v>
          </cell>
          <cell r="AC61">
            <v>-2.1760549839640264E-2</v>
          </cell>
          <cell r="AD61">
            <v>9.772934955156054E-2</v>
          </cell>
          <cell r="AE61">
            <v>8.4066404770773095E-2</v>
          </cell>
          <cell r="AF61">
            <v>7.1030868322740748E-2</v>
          </cell>
          <cell r="AG61">
            <v>7.4581534506923175E-2</v>
          </cell>
          <cell r="AH61">
            <v>7.1644542112700993E-2</v>
          </cell>
          <cell r="AI61">
            <v>6.7857233125147243E-2</v>
          </cell>
          <cell r="AJ61">
            <v>6.2724539819122516E-2</v>
          </cell>
          <cell r="AK61">
            <v>6.1050796591615386E-2</v>
          </cell>
          <cell r="AL61">
            <v>6.2614591236267003E-2</v>
          </cell>
          <cell r="AM61">
            <v>5.8156084570889277E-2</v>
          </cell>
        </row>
        <row r="62">
          <cell r="E62">
            <v>0.13795494202040604</v>
          </cell>
          <cell r="F62">
            <v>0.17114442929066231</v>
          </cell>
          <cell r="G62">
            <v>0.15970541164690522</v>
          </cell>
          <cell r="H62">
            <v>0.14041840695726338</v>
          </cell>
          <cell r="I62">
            <v>0.15512570146560889</v>
          </cell>
          <cell r="J62">
            <v>8.2706789319591634E-2</v>
          </cell>
          <cell r="K62">
            <v>0.14607142598553113</v>
          </cell>
          <cell r="L62">
            <v>0.17417891618338599</v>
          </cell>
          <cell r="M62">
            <v>-0.26633390814488644</v>
          </cell>
          <cell r="N62">
            <v>0.88369829947530887</v>
          </cell>
          <cell r="O62">
            <v>0.10210575282982415</v>
          </cell>
          <cell r="P62">
            <v>-0.36783448397784613</v>
          </cell>
          <cell r="Q62">
            <v>0.19140893921840241</v>
          </cell>
          <cell r="R62">
            <v>0.10153891196545217</v>
          </cell>
          <cell r="S62">
            <v>9.2827004219409259E-2</v>
          </cell>
          <cell r="T62">
            <v>9.665427509293667E-2</v>
          </cell>
          <cell r="U62">
            <v>7.8263021155511536E-2</v>
          </cell>
          <cell r="V62">
            <v>6.2365449672685758E-2</v>
          </cell>
          <cell r="W62">
            <v>9.2813218702806122E-2</v>
          </cell>
          <cell r="X62">
            <v>8.7650372018635681E-2</v>
          </cell>
          <cell r="Y62">
            <v>9.6730496890585327E-2</v>
          </cell>
          <cell r="Z62">
            <v>0.11191061034869443</v>
          </cell>
          <cell r="AA62">
            <v>7.0135577426387208E-2</v>
          </cell>
          <cell r="AB62">
            <v>4.7316800645581969E-2</v>
          </cell>
          <cell r="AC62">
            <v>2.6914907739280514E-2</v>
          </cell>
          <cell r="AD62">
            <v>6.0999999999999999E-2</v>
          </cell>
          <cell r="AE62">
            <v>0.06</v>
          </cell>
          <cell r="AF62">
            <v>6.3E-2</v>
          </cell>
          <cell r="AG62">
            <v>6.3E-2</v>
          </cell>
          <cell r="AH62">
            <v>6.3E-2</v>
          </cell>
          <cell r="AI62">
            <v>6.3E-2</v>
          </cell>
          <cell r="AJ62">
            <v>6.3E-2</v>
          </cell>
          <cell r="AK62">
            <v>6.3E-2</v>
          </cell>
          <cell r="AL62">
            <v>6.3E-2</v>
          </cell>
          <cell r="AM62">
            <v>6.3E-2</v>
          </cell>
        </row>
        <row r="63">
          <cell r="E63">
            <v>0.15956583252700529</v>
          </cell>
          <cell r="F63">
            <v>0.14335919334763214</v>
          </cell>
          <cell r="G63">
            <v>0.16805491486732782</v>
          </cell>
          <cell r="H63">
            <v>5.8384835344991837E-2</v>
          </cell>
          <cell r="I63">
            <v>0.12188132835666399</v>
          </cell>
          <cell r="J63">
            <v>0.12705103530080586</v>
          </cell>
          <cell r="K63">
            <v>0.13063234543305424</v>
          </cell>
          <cell r="L63">
            <v>0.1470504868235929</v>
          </cell>
          <cell r="M63">
            <v>0.13021522967916366</v>
          </cell>
          <cell r="N63">
            <v>0.12475695900690131</v>
          </cell>
          <cell r="O63">
            <v>0.11041009463722418</v>
          </cell>
          <cell r="P63">
            <v>0.11510571063899855</v>
          </cell>
          <cell r="Q63">
            <v>-0.3286100377988429</v>
          </cell>
          <cell r="R63">
            <v>0.10366412380280576</v>
          </cell>
          <cell r="S63">
            <v>8.9905362776025344E-2</v>
          </cell>
          <cell r="T63">
            <v>0.11548696114954771</v>
          </cell>
          <cell r="U63">
            <v>8.1869616738129647E-2</v>
          </cell>
          <cell r="V63">
            <v>0.12723521067079346</v>
          </cell>
          <cell r="W63">
            <v>5.9870879425801826E-2</v>
          </cell>
          <cell r="X63">
            <v>8.014662322922872E-2</v>
          </cell>
          <cell r="Y63">
            <v>6.8322107559649625E-2</v>
          </cell>
          <cell r="Z63">
            <v>0.17186091311023621</v>
          </cell>
          <cell r="AA63">
            <v>0.10420231680720549</v>
          </cell>
          <cell r="AB63">
            <v>4.1780431431722498E-2</v>
          </cell>
          <cell r="AC63">
            <v>4.822149375564444E-2</v>
          </cell>
          <cell r="AD63">
            <v>5.3742882705332562E-2</v>
          </cell>
          <cell r="AE63">
            <v>7.3364215516910969E-2</v>
          </cell>
          <cell r="AF63">
            <v>7.5757583746570045E-2</v>
          </cell>
          <cell r="AG63">
            <v>6.6231467721608261E-2</v>
          </cell>
          <cell r="AH63">
            <v>7.9055136901316381E-2</v>
          </cell>
          <cell r="AI63">
            <v>7.9342901947218269E-2</v>
          </cell>
          <cell r="AJ63">
            <v>7.9616668059812046E-2</v>
          </cell>
          <cell r="AK63">
            <v>7.9997421650175315E-2</v>
          </cell>
          <cell r="AL63">
            <v>6.6626170343227598E-2</v>
          </cell>
          <cell r="AM63">
            <v>6.6789976304877596E-2</v>
          </cell>
        </row>
        <row r="64">
          <cell r="E64" t="str">
            <v>…</v>
          </cell>
          <cell r="F64" t="str">
            <v>…</v>
          </cell>
          <cell r="G64" t="str">
            <v>…</v>
          </cell>
          <cell r="H64" t="str">
            <v>…</v>
          </cell>
          <cell r="I64" t="str">
            <v>…</v>
          </cell>
          <cell r="J64" t="str">
            <v>…</v>
          </cell>
          <cell r="K64" t="str">
            <v>…</v>
          </cell>
          <cell r="L64" t="str">
            <v>…</v>
          </cell>
          <cell r="M64" t="str">
            <v>…</v>
          </cell>
          <cell r="N64" t="str">
            <v>…</v>
          </cell>
          <cell r="O64">
            <v>0.15700000000000025</v>
          </cell>
          <cell r="P64">
            <v>0.15730337078651813</v>
          </cell>
          <cell r="Q64">
            <v>-4.232013940753232E-3</v>
          </cell>
          <cell r="R64">
            <v>-0.21385542168674698</v>
          </cell>
          <cell r="S64">
            <v>-4.5977011494252817E-2</v>
          </cell>
          <cell r="T64">
            <v>0.29600000000000004</v>
          </cell>
          <cell r="U64">
            <v>0.17711994232675488</v>
          </cell>
          <cell r="V64">
            <v>-1.674641148325362E-2</v>
          </cell>
          <cell r="W64">
            <v>0.13596491228070184</v>
          </cell>
          <cell r="X64">
            <v>6.1034544478252961E-2</v>
          </cell>
          <cell r="Y64">
            <v>0.15523716789539566</v>
          </cell>
          <cell r="Z64">
            <v>0.10893450635386115</v>
          </cell>
          <cell r="AA64">
            <v>4.7854527244843625E-2</v>
          </cell>
          <cell r="AB64">
            <v>-0.21192916217188051</v>
          </cell>
          <cell r="AC64">
            <v>-3.6818369970151865E-3</v>
          </cell>
          <cell r="AD64">
            <v>5.5E-2</v>
          </cell>
          <cell r="AE64">
            <v>6.0999999999999999E-2</v>
          </cell>
          <cell r="AF64">
            <v>6.4000000000000001E-2</v>
          </cell>
          <cell r="AG64">
            <v>6.4000000000000001E-2</v>
          </cell>
          <cell r="AH64">
            <v>6.4000000000000001E-2</v>
          </cell>
          <cell r="AI64">
            <v>6.4000000000000001E-2</v>
          </cell>
          <cell r="AJ64">
            <v>6.4000000000000001E-2</v>
          </cell>
          <cell r="AK64">
            <v>6.4000000000000001E-2</v>
          </cell>
          <cell r="AL64">
            <v>6.4000000000000001E-2</v>
          </cell>
          <cell r="AM64">
            <v>6.4000000000000001E-2</v>
          </cell>
        </row>
        <row r="65">
          <cell r="E65">
            <v>2.836837075967491E-3</v>
          </cell>
          <cell r="F65">
            <v>0.27007128666588764</v>
          </cell>
          <cell r="G65">
            <v>0.17797583101619874</v>
          </cell>
          <cell r="H65">
            <v>9.5468329980869626E-2</v>
          </cell>
          <cell r="I65">
            <v>0.302357202087703</v>
          </cell>
          <cell r="J65">
            <v>0.12130261660978392</v>
          </cell>
          <cell r="K65">
            <v>0.12707624574744858</v>
          </cell>
          <cell r="L65">
            <v>0.36542820387160013</v>
          </cell>
          <cell r="M65">
            <v>0.21251159948396436</v>
          </cell>
          <cell r="N65">
            <v>0.14456480352670353</v>
          </cell>
          <cell r="O65">
            <v>6.093294116605863E-2</v>
          </cell>
          <cell r="P65">
            <v>0.16773878771749717</v>
          </cell>
          <cell r="Q65">
            <v>-0.23225501452015929</v>
          </cell>
          <cell r="R65">
            <v>0.16839632245837688</v>
          </cell>
          <cell r="S65">
            <v>7.5082508250825075E-2</v>
          </cell>
          <cell r="T65">
            <v>2.5542784163473886E-2</v>
          </cell>
          <cell r="U65">
            <v>1.3354421783861703E-2</v>
          </cell>
          <cell r="V65">
            <v>0.10179280201274743</v>
          </cell>
          <cell r="W65">
            <v>0.14807650112784865</v>
          </cell>
          <cell r="X65">
            <v>-6.65403174168816E-2</v>
          </cell>
          <cell r="Y65">
            <v>0.14395226818353879</v>
          </cell>
          <cell r="Z65">
            <v>9.5779804913770583E-2</v>
          </cell>
          <cell r="AA65">
            <v>-0.17136631136527569</v>
          </cell>
          <cell r="AB65">
            <v>0.20477623792124722</v>
          </cell>
          <cell r="AC65">
            <v>0.10039766098140701</v>
          </cell>
          <cell r="AD65">
            <v>0</v>
          </cell>
          <cell r="AE65">
            <v>0.1</v>
          </cell>
          <cell r="AF65">
            <v>-0.08</v>
          </cell>
          <cell r="AG65">
            <v>0.02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7">
          <cell r="D67">
            <v>0.45938638778320406</v>
          </cell>
          <cell r="E67">
            <v>0.45938638778320406</v>
          </cell>
          <cell r="F67">
            <v>0.48046007978474264</v>
          </cell>
          <cell r="G67">
            <v>0.49371207609959783</v>
          </cell>
          <cell r="H67">
            <v>0.49130077033718694</v>
          </cell>
          <cell r="I67">
            <v>0.43745788241012129</v>
          </cell>
          <cell r="J67">
            <v>0.43056311615653353</v>
          </cell>
          <cell r="K67">
            <v>0.45101019523483044</v>
          </cell>
          <cell r="L67">
            <v>0.41672963653978012</v>
          </cell>
          <cell r="M67">
            <v>0.41311281371155195</v>
          </cell>
          <cell r="N67">
            <v>0.48202226683701405</v>
          </cell>
          <cell r="O67">
            <v>0.50634742085810702</v>
          </cell>
          <cell r="P67">
            <v>0.51933471933471931</v>
          </cell>
          <cell r="Q67">
            <v>0.49182888728670993</v>
          </cell>
          <cell r="R67">
            <v>0.44983067247218189</v>
          </cell>
          <cell r="S67">
            <v>0.47560216869611588</v>
          </cell>
          <cell r="T67">
            <v>0.46867074444278684</v>
          </cell>
          <cell r="U67">
            <v>0.46735785953177256</v>
          </cell>
          <cell r="V67">
            <v>0.4656438421586771</v>
          </cell>
          <cell r="W67">
            <v>0.4556524600954418</v>
          </cell>
          <cell r="X67">
            <v>0.43758188283735727</v>
          </cell>
          <cell r="Y67">
            <v>0.42607160057794191</v>
          </cell>
          <cell r="Z67">
            <v>0.40380542575721923</v>
          </cell>
          <cell r="AA67">
            <v>0.41847564690415878</v>
          </cell>
          <cell r="AB67">
            <v>0.42194233687405158</v>
          </cell>
          <cell r="AC67">
            <v>0.41417291297133374</v>
          </cell>
          <cell r="AD67">
            <v>0.41099999999999998</v>
          </cell>
          <cell r="AE67">
            <v>0.41099999999999998</v>
          </cell>
          <cell r="AF67">
            <v>0.41099999999999998</v>
          </cell>
          <cell r="AG67">
            <v>0.41099999999999998</v>
          </cell>
          <cell r="AH67">
            <v>0.41099999999999998</v>
          </cell>
          <cell r="AI67">
            <v>0.41099999999999998</v>
          </cell>
          <cell r="AJ67">
            <v>0.41099999999999998</v>
          </cell>
          <cell r="AK67">
            <v>0.41099999999999998</v>
          </cell>
          <cell r="AL67">
            <v>0.41099999999999998</v>
          </cell>
          <cell r="AM67">
            <v>0.41099999999999998</v>
          </cell>
        </row>
        <row r="68">
          <cell r="D68">
            <v>0.1572067931561697</v>
          </cell>
          <cell r="E68">
            <v>0.1572067931561697</v>
          </cell>
          <cell r="F68">
            <v>0.16319537905537626</v>
          </cell>
          <cell r="G68">
            <v>0.17142780420124926</v>
          </cell>
          <cell r="H68">
            <v>0.16435601309841147</v>
          </cell>
          <cell r="I68">
            <v>0.15385471715234411</v>
          </cell>
          <cell r="J68">
            <v>0.16598161764254021</v>
          </cell>
          <cell r="K68">
            <v>0.16745563275527017</v>
          </cell>
          <cell r="L68">
            <v>0.15981379265360501</v>
          </cell>
          <cell r="M68">
            <v>0.16058001578241848</v>
          </cell>
          <cell r="N68">
            <v>0.17503194013506115</v>
          </cell>
          <cell r="O68">
            <v>0.17130001606941989</v>
          </cell>
          <cell r="P68">
            <v>0.16396396396396395</v>
          </cell>
          <cell r="Q68">
            <v>0.16210045662100456</v>
          </cell>
          <cell r="R68">
            <v>0.14610546686018383</v>
          </cell>
          <cell r="S68">
            <v>0.15296418096169229</v>
          </cell>
          <cell r="T68">
            <v>0.14508429061614203</v>
          </cell>
          <cell r="U68">
            <v>0.14655518394648828</v>
          </cell>
          <cell r="V68">
            <v>0.14817025849203033</v>
          </cell>
          <cell r="W68">
            <v>0.15638198672590642</v>
          </cell>
          <cell r="X68">
            <v>0.14518996818266891</v>
          </cell>
          <cell r="Y68">
            <v>0.14292021191202439</v>
          </cell>
          <cell r="Z68">
            <v>0.13692137022220729</v>
          </cell>
          <cell r="AA68">
            <v>0.17003879821720588</v>
          </cell>
          <cell r="AB68">
            <v>0.18003034901365705</v>
          </cell>
          <cell r="AC68">
            <v>0.19027865194255306</v>
          </cell>
          <cell r="AD68">
            <v>0.152</v>
          </cell>
          <cell r="AE68">
            <v>0.152</v>
          </cell>
          <cell r="AF68">
            <v>0.152</v>
          </cell>
          <cell r="AG68">
            <v>0.152</v>
          </cell>
          <cell r="AH68">
            <v>0.152</v>
          </cell>
          <cell r="AI68">
            <v>0.152</v>
          </cell>
          <cell r="AJ68">
            <v>0.152</v>
          </cell>
          <cell r="AK68">
            <v>0.152</v>
          </cell>
          <cell r="AL68">
            <v>0.152</v>
          </cell>
          <cell r="AM68">
            <v>0.152</v>
          </cell>
        </row>
        <row r="70">
          <cell r="E70">
            <v>0.12949251889557312</v>
          </cell>
          <cell r="F70">
            <v>0.23773756686013403</v>
          </cell>
          <cell r="G70">
            <v>2.4825303420375366E-2</v>
          </cell>
          <cell r="H70">
            <v>0.3243315987798312</v>
          </cell>
          <cell r="I70">
            <v>0.51371858275184601</v>
          </cell>
          <cell r="J70">
            <v>2.573397780164699E-2</v>
          </cell>
          <cell r="K70">
            <v>-0.11056328810157512</v>
          </cell>
          <cell r="L70">
            <v>0.11699779249448139</v>
          </cell>
          <cell r="M70">
            <v>0.15578392621870885</v>
          </cell>
          <cell r="N70">
            <v>-1.6878695301931868E-2</v>
          </cell>
          <cell r="O70">
            <v>6.7259305067058239E-2</v>
          </cell>
          <cell r="P70">
            <v>3.2842988136108753E-2</v>
          </cell>
          <cell r="Q70">
            <v>0.14576737108214899</v>
          </cell>
          <cell r="R70">
            <v>8.6622558710301334E-2</v>
          </cell>
          <cell r="S70">
            <v>2.5121099470541752E-2</v>
          </cell>
          <cell r="T70">
            <v>0.18131868131868112</v>
          </cell>
          <cell r="U70">
            <v>4.6511627906976827E-2</v>
          </cell>
          <cell r="V70">
            <v>0.22911111111111104</v>
          </cell>
          <cell r="W70">
            <v>0.10468269752305193</v>
          </cell>
          <cell r="X70">
            <v>0.13779050736497545</v>
          </cell>
          <cell r="Y70">
            <v>0.23707187963002907</v>
          </cell>
          <cell r="Z70">
            <v>0.22325581395348837</v>
          </cell>
          <cell r="AA70">
            <v>-0.28517110266159695</v>
          </cell>
          <cell r="AB70">
            <v>-0.14192708333333326</v>
          </cell>
          <cell r="AC70">
            <v>-1.1183558782787206E-2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-6.9338422391857502E-2</v>
          </cell>
          <cell r="X71">
            <v>3.7623762376237657E-2</v>
          </cell>
          <cell r="Y71">
            <v>0.36980108499095832</v>
          </cell>
          <cell r="Z71">
            <v>8.4668192219679916E-2</v>
          </cell>
          <cell r="AA71">
            <v>-0.13053364598877293</v>
          </cell>
          <cell r="AB71">
            <v>-6.0798184730379234E-2</v>
          </cell>
          <cell r="AC71">
            <v>-1.2463946978760299E-2</v>
          </cell>
          <cell r="AD71">
            <v>0.02</v>
          </cell>
          <cell r="AE71">
            <v>0.03</v>
          </cell>
          <cell r="AF71">
            <v>0.04</v>
          </cell>
          <cell r="AG71">
            <v>0.04</v>
          </cell>
          <cell r="AH71">
            <v>0.04</v>
          </cell>
          <cell r="AI71">
            <v>0.04</v>
          </cell>
          <cell r="AJ71">
            <v>0.04</v>
          </cell>
          <cell r="AK71">
            <v>0.04</v>
          </cell>
          <cell r="AL71">
            <v>0.04</v>
          </cell>
          <cell r="AM71">
            <v>0.04</v>
          </cell>
        </row>
        <row r="72">
          <cell r="N72">
            <v>2.7E-2</v>
          </cell>
          <cell r="O72">
            <v>1.2E-2</v>
          </cell>
          <cell r="P72">
            <v>1.9E-2</v>
          </cell>
          <cell r="Q72">
            <v>1.2E-2</v>
          </cell>
          <cell r="R72">
            <v>3.1E-2</v>
          </cell>
          <cell r="S72">
            <v>2.5000000000000001E-2</v>
          </cell>
          <cell r="T72">
            <v>0.03</v>
          </cell>
          <cell r="U72">
            <v>3.4000000000000002E-2</v>
          </cell>
          <cell r="V72">
            <v>2.7E-2</v>
          </cell>
          <cell r="W72">
            <v>3.5000000000000003E-2</v>
          </cell>
          <cell r="X72">
            <v>3.9E-2</v>
          </cell>
          <cell r="Y72">
            <v>1.2E-2</v>
          </cell>
          <cell r="Z72">
            <v>1.6E-2</v>
          </cell>
          <cell r="AA72">
            <v>2.1000000000000001E-2</v>
          </cell>
          <cell r="AB72">
            <v>2.1000000000000001E-2</v>
          </cell>
          <cell r="AC72">
            <v>2.1000000000000001E-2</v>
          </cell>
          <cell r="AD72">
            <v>0.03</v>
          </cell>
          <cell r="AE72">
            <v>0.03</v>
          </cell>
          <cell r="AF72">
            <v>0.03</v>
          </cell>
          <cell r="AG72">
            <v>0.03</v>
          </cell>
          <cell r="AH72">
            <v>0.03</v>
          </cell>
          <cell r="AI72">
            <v>0.03</v>
          </cell>
          <cell r="AJ72">
            <v>0.03</v>
          </cell>
          <cell r="AK72">
            <v>0.03</v>
          </cell>
          <cell r="AL72">
            <v>0.03</v>
          </cell>
          <cell r="AM72">
            <v>0.03</v>
          </cell>
        </row>
        <row r="74">
          <cell r="F74">
            <v>8.8762214983713353E-2</v>
          </cell>
          <cell r="G74">
            <v>7.4500768049155147E-2</v>
          </cell>
          <cell r="H74">
            <v>7.4338813438170115E-2</v>
          </cell>
          <cell r="I74">
            <v>7.4672825250192462E-2</v>
          </cell>
          <cell r="J74">
            <v>7.4558907228229943E-2</v>
          </cell>
          <cell r="K74">
            <v>7.4666666666666673E-2</v>
          </cell>
          <cell r="L74">
            <v>7.4659639877031184E-2</v>
          </cell>
          <cell r="M74">
            <v>7.4486599373477208E-2</v>
          </cell>
          <cell r="N74">
            <v>7.4440244257051466E-2</v>
          </cell>
          <cell r="O74">
            <v>7.373020207536865E-2</v>
          </cell>
          <cell r="P74">
            <v>7.2782588345424754E-2</v>
          </cell>
          <cell r="Q74">
            <v>7.6177285318559551E-2</v>
          </cell>
          <cell r="R74">
            <v>9.1761420307201275E-2</v>
          </cell>
          <cell r="S74">
            <v>9.3717992488904056E-2</v>
          </cell>
          <cell r="T74">
            <v>8.2556035082834475E-2</v>
          </cell>
          <cell r="U74">
            <v>8.3931666254023277E-2</v>
          </cell>
          <cell r="V74">
            <v>8.098321079776144E-2</v>
          </cell>
          <cell r="W74">
            <v>8.5621313809233268E-2</v>
          </cell>
          <cell r="X74">
            <v>8.4053928405392844E-2</v>
          </cell>
          <cell r="Y74">
            <v>8.0331771753321554E-2</v>
          </cell>
          <cell r="Z74">
            <v>6.2488165120242377E-2</v>
          </cell>
          <cell r="AA74">
            <v>5.5574994168416145E-2</v>
          </cell>
          <cell r="AB74">
            <v>5.6124852767962308E-2</v>
          </cell>
          <cell r="AC74">
            <v>5.0864645602049528E-2</v>
          </cell>
          <cell r="AD74">
            <v>5.6124852767962308E-2</v>
          </cell>
          <cell r="AE74">
            <v>5.0864645602049528E-2</v>
          </cell>
          <cell r="AF74">
            <v>5.6124852767962308E-2</v>
          </cell>
          <cell r="AG74">
            <v>5.0864645602049528E-2</v>
          </cell>
          <cell r="AH74">
            <v>5.6124852767962308E-2</v>
          </cell>
          <cell r="AI74">
            <v>5.0864645602049528E-2</v>
          </cell>
          <cell r="AJ74">
            <v>5.6124852767962308E-2</v>
          </cell>
          <cell r="AK74">
            <v>5.0864645602049528E-2</v>
          </cell>
          <cell r="AL74">
            <v>5.6124852767962308E-2</v>
          </cell>
          <cell r="AM74">
            <v>5.0864645602049528E-2</v>
          </cell>
        </row>
        <row r="76">
          <cell r="AB76">
            <v>0.3</v>
          </cell>
          <cell r="AC76">
            <v>0.3</v>
          </cell>
          <cell r="AD76">
            <v>0.3</v>
          </cell>
          <cell r="AE76">
            <v>0.3</v>
          </cell>
          <cell r="AF76">
            <v>0.3</v>
          </cell>
          <cell r="AG76">
            <v>0.3</v>
          </cell>
          <cell r="AH76">
            <v>0.3</v>
          </cell>
          <cell r="AI76">
            <v>0.3</v>
          </cell>
          <cell r="AJ76">
            <v>0.3</v>
          </cell>
          <cell r="AK76">
            <v>0.3</v>
          </cell>
          <cell r="AL76">
            <v>0.3</v>
          </cell>
          <cell r="AM76">
            <v>0.3</v>
          </cell>
        </row>
        <row r="78">
          <cell r="AB78">
            <v>2</v>
          </cell>
          <cell r="AC78">
            <v>2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</row>
        <row r="79">
          <cell r="AB79">
            <v>2</v>
          </cell>
          <cell r="AC79">
            <v>2</v>
          </cell>
          <cell r="AD79">
            <v>2</v>
          </cell>
          <cell r="AE79">
            <v>2</v>
          </cell>
          <cell r="AF79">
            <v>2</v>
          </cell>
          <cell r="AG79">
            <v>2</v>
          </cell>
          <cell r="AH79">
            <v>2</v>
          </cell>
          <cell r="AI79">
            <v>2</v>
          </cell>
          <cell r="AJ79">
            <v>2</v>
          </cell>
          <cell r="AK79">
            <v>2</v>
          </cell>
          <cell r="AL79">
            <v>2</v>
          </cell>
          <cell r="AM79">
            <v>2</v>
          </cell>
        </row>
        <row r="81">
          <cell r="AB81">
            <v>1.4267180729291765E-2</v>
          </cell>
          <cell r="AC81">
            <v>1.4267180729291765E-2</v>
          </cell>
          <cell r="AD81">
            <v>1.4267180729291765E-2</v>
          </cell>
          <cell r="AE81">
            <v>1.4267180729291765E-2</v>
          </cell>
          <cell r="AF81">
            <v>1.4124508921998848E-2</v>
          </cell>
          <cell r="AG81">
            <v>1.384201874355887E-2</v>
          </cell>
          <cell r="AH81">
            <v>1.3149917806380926E-2</v>
          </cell>
          <cell r="AI81">
            <v>1.2492421916061879E-2</v>
          </cell>
          <cell r="AJ81">
            <v>1.1867800820258784E-2</v>
          </cell>
          <cell r="AK81">
            <v>1.1274410779245844E-2</v>
          </cell>
          <cell r="AL81">
            <v>1.071069024028355E-2</v>
          </cell>
          <cell r="AM81">
            <v>1.0175155728269372E-2</v>
          </cell>
        </row>
        <row r="82">
          <cell r="AB82">
            <v>8.5138349894250259E-3</v>
          </cell>
          <cell r="AC82">
            <v>8.5138349894250259E-3</v>
          </cell>
          <cell r="AD82">
            <v>8.5138349894250259E-3</v>
          </cell>
          <cell r="AE82">
            <v>8.5138349894250259E-3</v>
          </cell>
          <cell r="AF82">
            <v>8.428696639530775E-3</v>
          </cell>
          <cell r="AG82">
            <v>8.2601227067401594E-3</v>
          </cell>
          <cell r="AH82">
            <v>7.8471165714031517E-3</v>
          </cell>
          <cell r="AI82">
            <v>7.4547607428329934E-3</v>
          </cell>
          <cell r="AJ82">
            <v>7.0820227056913434E-3</v>
          </cell>
          <cell r="AK82">
            <v>6.7279215704067761E-3</v>
          </cell>
          <cell r="AL82">
            <v>6.3915254918864373E-3</v>
          </cell>
          <cell r="AM82">
            <v>6.071949217292115E-3</v>
          </cell>
        </row>
        <row r="83">
          <cell r="AB83">
            <v>3.9861868481103985E-2</v>
          </cell>
          <cell r="AC83">
            <v>3.9861868481103985E-2</v>
          </cell>
          <cell r="AD83">
            <v>3.9861868481103985E-2</v>
          </cell>
          <cell r="AE83">
            <v>3.9861868481103985E-2</v>
          </cell>
          <cell r="AF83">
            <v>3.9463249796292947E-2</v>
          </cell>
          <cell r="AG83">
            <v>3.8673984800367087E-2</v>
          </cell>
          <cell r="AH83">
            <v>3.674028556034873E-2</v>
          </cell>
          <cell r="AI83">
            <v>3.490327128233129E-2</v>
          </cell>
          <cell r="AJ83">
            <v>3.3158107718214723E-2</v>
          </cell>
          <cell r="AK83">
            <v>3.1500202332303988E-2</v>
          </cell>
          <cell r="AL83">
            <v>2.9925192215688786E-2</v>
          </cell>
          <cell r="AM83">
            <v>2.8428932604904346E-2</v>
          </cell>
        </row>
        <row r="84">
          <cell r="AB84">
            <v>3.6864578769211113E-2</v>
          </cell>
          <cell r="AC84">
            <v>3.6864578769211113E-2</v>
          </cell>
          <cell r="AD84">
            <v>3.6864578769211113E-2</v>
          </cell>
          <cell r="AE84">
            <v>3.6864578769211113E-2</v>
          </cell>
          <cell r="AF84">
            <v>3.6495932981519E-2</v>
          </cell>
          <cell r="AG84">
            <v>3.5766014321888619E-2</v>
          </cell>
          <cell r="AH84">
            <v>3.3977713605794185E-2</v>
          </cell>
          <cell r="AI84">
            <v>3.2278827925504475E-2</v>
          </cell>
          <cell r="AJ84">
            <v>3.066488652922925E-2</v>
          </cell>
          <cell r="AK84">
            <v>2.9131642202767784E-2</v>
          </cell>
          <cell r="AL84">
            <v>2.7675060092629395E-2</v>
          </cell>
          <cell r="AM84">
            <v>2.6291307087997925E-2</v>
          </cell>
        </row>
        <row r="85">
          <cell r="AB85">
            <v>3.6382780879455651E-2</v>
          </cell>
          <cell r="AC85">
            <v>3.6382780879455651E-2</v>
          </cell>
          <cell r="AD85">
            <v>3.6382780879455651E-2</v>
          </cell>
          <cell r="AE85">
            <v>3.6382780879455651E-2</v>
          </cell>
          <cell r="AF85">
            <v>3.6018953070661094E-2</v>
          </cell>
          <cell r="AG85">
            <v>3.5298574009247873E-2</v>
          </cell>
          <cell r="AH85">
            <v>3.3533645308785477E-2</v>
          </cell>
          <cell r="AI85">
            <v>3.1856963043346204E-2</v>
          </cell>
          <cell r="AJ85">
            <v>3.0264114891178893E-2</v>
          </cell>
          <cell r="AK85">
            <v>2.8750909146619947E-2</v>
          </cell>
          <cell r="AL85">
            <v>2.7313363689288949E-2</v>
          </cell>
          <cell r="AM85">
            <v>2.5947695504824501E-2</v>
          </cell>
        </row>
        <row r="86">
          <cell r="AB86">
            <v>1.5019826917993494E-2</v>
          </cell>
          <cell r="AC86">
            <v>1.5019826917993494E-2</v>
          </cell>
          <cell r="AD86">
            <v>1.5019826917993494E-2</v>
          </cell>
          <cell r="AE86">
            <v>1.5019826917993494E-2</v>
          </cell>
          <cell r="AF86">
            <v>1.4869628648813559E-2</v>
          </cell>
          <cell r="AG86">
            <v>1.4572236075837288E-2</v>
          </cell>
          <cell r="AH86">
            <v>1.3843624272045423E-2</v>
          </cell>
          <cell r="AI86">
            <v>1.3151443058443152E-2</v>
          </cell>
          <cell r="AJ86">
            <v>1.2493870905520994E-2</v>
          </cell>
          <cell r="AK86">
            <v>1.1869177360244943E-2</v>
          </cell>
          <cell r="AL86">
            <v>1.1275718492232696E-2</v>
          </cell>
          <cell r="AM86">
            <v>1.0711932567621062E-2</v>
          </cell>
        </row>
        <row r="87">
          <cell r="AB87">
            <v>4.9986815734882027E-2</v>
          </cell>
          <cell r="AC87">
            <v>4.9986815734882027E-2</v>
          </cell>
          <cell r="AD87">
            <v>4.9986815734882027E-2</v>
          </cell>
          <cell r="AE87">
            <v>4.9986815734882027E-2</v>
          </cell>
          <cell r="AF87">
            <v>4.9486947577533205E-2</v>
          </cell>
          <cell r="AG87">
            <v>4.8497208625982544E-2</v>
          </cell>
          <cell r="AH87">
            <v>4.6072348194683414E-2</v>
          </cell>
          <cell r="AI87">
            <v>4.3768730784949243E-2</v>
          </cell>
          <cell r="AJ87">
            <v>4.1580294245701782E-2</v>
          </cell>
          <cell r="AK87">
            <v>3.9501279533416693E-2</v>
          </cell>
          <cell r="AL87">
            <v>3.7526215556745859E-2</v>
          </cell>
          <cell r="AM87">
            <v>3.5649904778908566E-2</v>
          </cell>
        </row>
        <row r="88">
          <cell r="AB88">
            <v>0.10494132223798905</v>
          </cell>
          <cell r="AC88">
            <v>0.10494132223798905</v>
          </cell>
          <cell r="AD88">
            <v>0.10494132223798905</v>
          </cell>
          <cell r="AE88">
            <v>0.10494132223798905</v>
          </cell>
          <cell r="AF88">
            <v>0.10389190901560916</v>
          </cell>
          <cell r="AG88">
            <v>0.10181407083529698</v>
          </cell>
          <cell r="AH88">
            <v>9.672336729353212E-2</v>
          </cell>
          <cell r="AI88">
            <v>9.188719892885551E-2</v>
          </cell>
          <cell r="AJ88">
            <v>8.7292838982412732E-2</v>
          </cell>
          <cell r="AK88">
            <v>8.2928197033292086E-2</v>
          </cell>
          <cell r="AL88">
            <v>7.8781787181627483E-2</v>
          </cell>
          <cell r="AM88">
            <v>7.48426978225461E-2</v>
          </cell>
        </row>
        <row r="89">
          <cell r="AB89">
            <v>1.0858066641718806E-2</v>
          </cell>
          <cell r="AC89">
            <v>1.0858066641718806E-2</v>
          </cell>
          <cell r="AD89">
            <v>1.0858066641718806E-2</v>
          </cell>
          <cell r="AE89">
            <v>1.0858066641718806E-2</v>
          </cell>
          <cell r="AF89">
            <v>1.0749485975301619E-2</v>
          </cell>
          <cell r="AG89">
            <v>1.0534496255795585E-2</v>
          </cell>
          <cell r="AH89">
            <v>1.0007771443005806E-2</v>
          </cell>
          <cell r="AI89">
            <v>9.5073828708555144E-3</v>
          </cell>
          <cell r="AJ89">
            <v>9.032013727312738E-3</v>
          </cell>
          <cell r="AK89">
            <v>8.5804130409471002E-3</v>
          </cell>
          <cell r="AL89">
            <v>8.1513923888997444E-3</v>
          </cell>
          <cell r="AM89">
            <v>7.7438227694547569E-3</v>
          </cell>
        </row>
        <row r="90">
          <cell r="AB90">
            <v>1.100025018775436E-2</v>
          </cell>
          <cell r="AC90">
            <v>1.100025018775436E-2</v>
          </cell>
          <cell r="AD90">
            <v>1.100025018775436E-2</v>
          </cell>
          <cell r="AE90">
            <v>1.100025018775436E-2</v>
          </cell>
          <cell r="AF90">
            <v>1.0890247685876816E-2</v>
          </cell>
          <cell r="AG90">
            <v>1.067244273215928E-2</v>
          </cell>
          <cell r="AH90">
            <v>1.0138820595551316E-2</v>
          </cell>
          <cell r="AI90">
            <v>9.6318795657737502E-3</v>
          </cell>
          <cell r="AJ90">
            <v>9.1502855874850617E-3</v>
          </cell>
          <cell r="AK90">
            <v>8.6927713081108079E-3</v>
          </cell>
          <cell r="AL90">
            <v>8.2581327427052667E-3</v>
          </cell>
          <cell r="AM90">
            <v>7.8452261055700027E-3</v>
          </cell>
        </row>
        <row r="91">
          <cell r="AB91">
            <v>2.7012013505446027E-2</v>
          </cell>
          <cell r="AC91">
            <v>2.7012013505446027E-2</v>
          </cell>
          <cell r="AD91">
            <v>2.7012013505446027E-2</v>
          </cell>
          <cell r="AE91">
            <v>2.7012013505446027E-2</v>
          </cell>
          <cell r="AF91">
            <v>2.6741893370391567E-2</v>
          </cell>
          <cell r="AG91">
            <v>2.6207055502983734E-2</v>
          </cell>
          <cell r="AH91">
            <v>2.4896702727834546E-2</v>
          </cell>
          <cell r="AI91">
            <v>2.3651867591442818E-2</v>
          </cell>
          <cell r="AJ91">
            <v>2.2469274211870675E-2</v>
          </cell>
          <cell r="AK91">
            <v>2.1345810501277141E-2</v>
          </cell>
          <cell r="AL91">
            <v>2.0278519976213282E-2</v>
          </cell>
          <cell r="AM91">
            <v>1.9264593977402617E-2</v>
          </cell>
        </row>
        <row r="92">
          <cell r="AB92">
            <v>4.313795480357388E-2</v>
          </cell>
          <cell r="AC92">
            <v>4.313795480357388E-2</v>
          </cell>
          <cell r="AD92">
            <v>4.313795480357388E-2</v>
          </cell>
          <cell r="AE92">
            <v>4.313795480357388E-2</v>
          </cell>
          <cell r="AF92">
            <v>4.2706575255538143E-2</v>
          </cell>
          <cell r="AG92">
            <v>4.1852443750427376E-2</v>
          </cell>
          <cell r="AH92">
            <v>3.9759821562906007E-2</v>
          </cell>
          <cell r="AI92">
            <v>3.7771830484760703E-2</v>
          </cell>
          <cell r="AJ92">
            <v>3.5883238960522666E-2</v>
          </cell>
          <cell r="AK92">
            <v>3.4089077012496534E-2</v>
          </cell>
          <cell r="AL92">
            <v>3.2384623161871705E-2</v>
          </cell>
          <cell r="AM92">
            <v>3.0765392003778119E-2</v>
          </cell>
        </row>
        <row r="93">
          <cell r="AB93">
            <v>8.7786179543769272E-3</v>
          </cell>
          <cell r="AC93">
            <v>8.7786179543769272E-3</v>
          </cell>
          <cell r="AD93">
            <v>8.7786179543769272E-3</v>
          </cell>
          <cell r="AE93">
            <v>8.7786179543769272E-3</v>
          </cell>
          <cell r="AF93">
            <v>8.6908317748331573E-3</v>
          </cell>
          <cell r="AG93">
            <v>8.5170151393364948E-3</v>
          </cell>
          <cell r="AH93">
            <v>8.0911643823696703E-3</v>
          </cell>
          <cell r="AI93">
            <v>7.6866061632511863E-3</v>
          </cell>
          <cell r="AJ93">
            <v>7.3022758550886271E-3</v>
          </cell>
          <cell r="AK93">
            <v>6.9371620623341953E-3</v>
          </cell>
          <cell r="AL93">
            <v>6.5903039592174854E-3</v>
          </cell>
          <cell r="AM93">
            <v>6.2607887612566105E-3</v>
          </cell>
        </row>
        <row r="94">
          <cell r="AB94">
            <v>1.6404488126451875E-2</v>
          </cell>
          <cell r="AC94">
            <v>1.6404488126451875E-2</v>
          </cell>
          <cell r="AD94">
            <v>1.6404488126451875E-2</v>
          </cell>
          <cell r="AE94">
            <v>1.6404488126451875E-2</v>
          </cell>
          <cell r="AF94">
            <v>1.6240443245187357E-2</v>
          </cell>
          <cell r="AG94">
            <v>1.5915634380283608E-2</v>
          </cell>
          <cell r="AH94">
            <v>1.5119852661269428E-2</v>
          </cell>
          <cell r="AI94">
            <v>1.4363860028205956E-2</v>
          </cell>
          <cell r="AJ94">
            <v>1.3645667026795658E-2</v>
          </cell>
          <cell r="AK94">
            <v>1.2963383675455874E-2</v>
          </cell>
          <cell r="AL94">
            <v>1.2315214491683079E-2</v>
          </cell>
          <cell r="AM94">
            <v>1.1699453767098925E-2</v>
          </cell>
        </row>
        <row r="95">
          <cell r="AB95">
            <v>1.0104087485624655E-2</v>
          </cell>
          <cell r="AC95">
            <v>1.0104087485624655E-2</v>
          </cell>
          <cell r="AD95">
            <v>1.0104087485624655E-2</v>
          </cell>
          <cell r="AE95">
            <v>1.0104087485624655E-2</v>
          </cell>
          <cell r="AF95">
            <v>1.0003046610768408E-2</v>
          </cell>
          <cell r="AG95">
            <v>9.8029856785530403E-3</v>
          </cell>
          <cell r="AH95">
            <v>9.3128363946253876E-3</v>
          </cell>
          <cell r="AI95">
            <v>8.8471945748941176E-3</v>
          </cell>
          <cell r="AJ95">
            <v>8.4048348461494109E-3</v>
          </cell>
          <cell r="AK95">
            <v>7.9845931038419402E-3</v>
          </cell>
          <cell r="AL95">
            <v>7.5853634486498425E-3</v>
          </cell>
          <cell r="AM95">
            <v>7.2060952762173502E-3</v>
          </cell>
        </row>
        <row r="96">
          <cell r="AB96">
            <v>6.4848270553839451E-3</v>
          </cell>
          <cell r="AC96">
            <v>6.4848270553839451E-3</v>
          </cell>
          <cell r="AD96">
            <v>6.4848270553839451E-3</v>
          </cell>
          <cell r="AE96">
            <v>6.4848270553839451E-3</v>
          </cell>
          <cell r="AF96">
            <v>6.4199787848301052E-3</v>
          </cell>
          <cell r="AG96">
            <v>6.2915792091335033E-3</v>
          </cell>
          <cell r="AH96">
            <v>5.9770002486768279E-3</v>
          </cell>
          <cell r="AI96">
            <v>5.678150236242986E-3</v>
          </cell>
          <cell r="AJ96">
            <v>5.3942427244308361E-3</v>
          </cell>
          <cell r="AK96">
            <v>5.1245305882092942E-3</v>
          </cell>
          <cell r="AL96">
            <v>4.868304058798829E-3</v>
          </cell>
          <cell r="AM96">
            <v>4.624888855858887E-3</v>
          </cell>
        </row>
        <row r="97">
          <cell r="AB97">
            <v>0.21409291030197222</v>
          </cell>
          <cell r="AC97">
            <v>0.21409291030197222</v>
          </cell>
          <cell r="AD97">
            <v>0.21409291030197222</v>
          </cell>
          <cell r="AE97">
            <v>0.21409291030197222</v>
          </cell>
          <cell r="AF97">
            <v>0.2119519811989525</v>
          </cell>
          <cell r="AG97">
            <v>0.20771294157497344</v>
          </cell>
          <cell r="AH97">
            <v>0.19732729449622477</v>
          </cell>
          <cell r="AI97">
            <v>0.18746092977141351</v>
          </cell>
          <cell r="AJ97">
            <v>0.17808788328284283</v>
          </cell>
          <cell r="AK97">
            <v>0.16918348911870068</v>
          </cell>
          <cell r="AL97">
            <v>0.16072431466276563</v>
          </cell>
          <cell r="AM97">
            <v>0.15268809892962734</v>
          </cell>
        </row>
        <row r="98">
          <cell r="AB98">
            <v>2.6558463655095638E-2</v>
          </cell>
          <cell r="AC98">
            <v>2.6558463655095638E-2</v>
          </cell>
          <cell r="AD98">
            <v>2.6558463655095638E-2</v>
          </cell>
          <cell r="AE98">
            <v>2.6558463655095638E-2</v>
          </cell>
          <cell r="AF98">
            <v>2.6292879018544681E-2</v>
          </cell>
          <cell r="AG98">
            <v>2.5767021438173787E-2</v>
          </cell>
          <cell r="AH98">
            <v>2.4478670366265096E-2</v>
          </cell>
          <cell r="AI98">
            <v>2.3254736847951839E-2</v>
          </cell>
          <cell r="AJ98">
            <v>2.2092000005554245E-2</v>
          </cell>
          <cell r="AK98">
            <v>2.0987400005276532E-2</v>
          </cell>
          <cell r="AL98">
            <v>1.9938030005012704E-2</v>
          </cell>
          <cell r="AM98">
            <v>1.8941128504762067E-2</v>
          </cell>
        </row>
        <row r="100">
          <cell r="R100">
            <v>0.29142857142857137</v>
          </cell>
          <cell r="S100">
            <v>4.4247787610618428E-3</v>
          </cell>
          <cell r="T100">
            <v>0.15418502202643181</v>
          </cell>
          <cell r="U100">
            <v>0.33206106870229002</v>
          </cell>
          <cell r="V100">
            <v>2.005730659025784E-2</v>
          </cell>
          <cell r="W100">
            <v>-0.1179775280898876</v>
          </cell>
          <cell r="X100">
            <v>-0.21019108280254772</v>
          </cell>
          <cell r="Y100">
            <v>-0.14516129032258063</v>
          </cell>
          <cell r="Z100">
            <v>0.16509433962264142</v>
          </cell>
          <cell r="AA100">
            <v>0.24291497975708509</v>
          </cell>
          <cell r="AB100">
            <v>4.8859934853420217E-2</v>
          </cell>
          <cell r="AC100">
            <v>0.14906832298136652</v>
          </cell>
          <cell r="AD100">
            <v>4.1764200681564147E-2</v>
          </cell>
          <cell r="AE100">
            <v>8.3756747928916131E-2</v>
          </cell>
          <cell r="AF100">
            <v>0.12190975430416558</v>
          </cell>
          <cell r="AG100">
            <v>0.11471232341775295</v>
          </cell>
          <cell r="AH100">
            <v>9.3345214027864262E-2</v>
          </cell>
          <cell r="AI100">
            <v>0.10075942722360492</v>
          </cell>
          <cell r="AJ100">
            <v>9.270794459731134E-2</v>
          </cell>
          <cell r="AK100">
            <v>0.1011985685832692</v>
          </cell>
          <cell r="AL100">
            <v>0.10410553869232804</v>
          </cell>
          <cell r="AM100">
            <v>0.10113816942368846</v>
          </cell>
        </row>
        <row r="101">
          <cell r="R101">
            <v>0.75</v>
          </cell>
          <cell r="S101">
            <v>9.5238095238095344E-2</v>
          </cell>
          <cell r="T101">
            <v>0</v>
          </cell>
          <cell r="U101">
            <v>-0.17391304347826086</v>
          </cell>
          <cell r="V101">
            <v>-0.78947368421052633</v>
          </cell>
          <cell r="W101">
            <v>0</v>
          </cell>
          <cell r="X101">
            <v>-0.25</v>
          </cell>
          <cell r="Y101">
            <v>-0.33333333333333337</v>
          </cell>
          <cell r="Z101">
            <v>0</v>
          </cell>
          <cell r="AA101">
            <v>0</v>
          </cell>
          <cell r="AB101">
            <v>2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R102">
            <v>-0.31775700934579443</v>
          </cell>
          <cell r="S102">
            <v>-0.22602739726027399</v>
          </cell>
          <cell r="T102">
            <v>0.33628318584070804</v>
          </cell>
          <cell r="U102">
            <v>6.6225165562914245E-3</v>
          </cell>
          <cell r="V102">
            <v>-0.21710526315789469</v>
          </cell>
          <cell r="W102">
            <v>0.20168067226890751</v>
          </cell>
          <cell r="X102">
            <v>-0.24475524475524479</v>
          </cell>
          <cell r="Y102">
            <v>3.7037037037036979E-2</v>
          </cell>
          <cell r="Z102">
            <v>-8.9285714285714302E-2</v>
          </cell>
          <cell r="AA102">
            <v>-8.8235294117647078E-2</v>
          </cell>
          <cell r="AB102">
            <v>2.193548387096774</v>
          </cell>
          <cell r="AC102">
            <v>1.3468013468013407E-2</v>
          </cell>
          <cell r="AD102">
            <v>0.30362953074053639</v>
          </cell>
          <cell r="AE102">
            <v>0.39502699332316654</v>
          </cell>
          <cell r="AF102">
            <v>0.45469198603752153</v>
          </cell>
          <cell r="AG102">
            <v>0.54535493609139407</v>
          </cell>
          <cell r="AH102">
            <v>0.65095330779290095</v>
          </cell>
          <cell r="AI102">
            <v>0.3938541279089221</v>
          </cell>
          <cell r="AJ102">
            <v>0.45725181364907358</v>
          </cell>
          <cell r="AK102">
            <v>0.48285552746716315</v>
          </cell>
          <cell r="AL102">
            <v>0.49749361649116258</v>
          </cell>
          <cell r="AM102">
            <v>0.50462722156676942</v>
          </cell>
        </row>
        <row r="103">
          <cell r="R103">
            <v>-4.2857142857142816E-2</v>
          </cell>
          <cell r="S103">
            <v>-0.44776119402985071</v>
          </cell>
          <cell r="T103">
            <v>0.10810810810810811</v>
          </cell>
          <cell r="U103">
            <v>-0.12195121951219512</v>
          </cell>
          <cell r="V103">
            <v>-0.30555555555555558</v>
          </cell>
          <cell r="W103">
            <v>-0.19999999999999996</v>
          </cell>
          <cell r="X103">
            <v>0.25</v>
          </cell>
          <cell r="Y103">
            <v>-0.48</v>
          </cell>
          <cell r="Z103">
            <v>0.38461538461538458</v>
          </cell>
          <cell r="AA103">
            <v>1</v>
          </cell>
          <cell r="AB103">
            <v>0.63888888888888884</v>
          </cell>
          <cell r="AC103">
            <v>-5.084745762711862E-2</v>
          </cell>
          <cell r="AD103">
            <v>0.29044280264619249</v>
          </cell>
          <cell r="AE103">
            <v>0.29718326975389125</v>
          </cell>
          <cell r="AF103">
            <v>0.42671381471287312</v>
          </cell>
          <cell r="AG103">
            <v>0.43373021972912124</v>
          </cell>
          <cell r="AH103">
            <v>0.33935192301730804</v>
          </cell>
          <cell r="AI103">
            <v>0.28942909537204459</v>
          </cell>
          <cell r="AJ103">
            <v>0.34614185420523841</v>
          </cell>
          <cell r="AK103">
            <v>0.35542502946507942</v>
          </cell>
          <cell r="AL103">
            <v>0.36513198941694419</v>
          </cell>
          <cell r="AM103">
            <v>0.35486835186762261</v>
          </cell>
        </row>
        <row r="104">
          <cell r="E104">
            <v>0.14609286523216314</v>
          </cell>
          <cell r="F104">
            <v>-0.12574110671936756</v>
          </cell>
          <cell r="G104">
            <v>-1.6106244701893146E-2</v>
          </cell>
          <cell r="H104">
            <v>1.2349224583572571E-2</v>
          </cell>
          <cell r="I104">
            <v>3.0921985815602904E-2</v>
          </cell>
          <cell r="J104">
            <v>6.1640066042927932E-2</v>
          </cell>
          <cell r="K104">
            <v>0.13037843442198027</v>
          </cell>
          <cell r="L104">
            <v>-3.6459527631277244E-2</v>
          </cell>
          <cell r="M104">
            <v>-1.499286054259874E-2</v>
          </cell>
          <cell r="N104">
            <v>-0.23749697994684704</v>
          </cell>
          <cell r="O104">
            <v>-2.217997465145749E-2</v>
          </cell>
          <cell r="P104">
            <v>6.4160725858716683E-2</v>
          </cell>
          <cell r="Q104">
            <v>-0.87058465286236297</v>
          </cell>
          <cell r="R104">
            <v>-0.56941176470588228</v>
          </cell>
          <cell r="S104">
            <v>-0.59562841530054644</v>
          </cell>
          <cell r="T104">
            <v>1.3513513513513598E-2</v>
          </cell>
          <cell r="U104">
            <v>0.89333333333333331</v>
          </cell>
          <cell r="V104">
            <v>-0.45070422535211263</v>
          </cell>
          <cell r="W104">
            <v>-0.14102564102564108</v>
          </cell>
          <cell r="X104">
            <v>-0.22388059701492535</v>
          </cell>
          <cell r="Y104">
            <v>-0.32692307692307687</v>
          </cell>
          <cell r="Z104">
            <v>18.542857142857144</v>
          </cell>
          <cell r="AA104">
            <v>1.371345029239766</v>
          </cell>
          <cell r="AB104">
            <v>-0.97595561035758327</v>
          </cell>
          <cell r="AC104">
            <v>-2.5641025641025661E-2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</row>
        <row r="105">
          <cell r="R105">
            <v>-0.13793103448275867</v>
          </cell>
          <cell r="S105">
            <v>6.6666666666666652E-2</v>
          </cell>
          <cell r="T105">
            <v>0.21249999999999991</v>
          </cell>
          <cell r="U105">
            <v>0.38144329896907214</v>
          </cell>
          <cell r="V105">
            <v>-0.42537313432835822</v>
          </cell>
          <cell r="W105">
            <v>-0.24675324675324672</v>
          </cell>
          <cell r="X105">
            <v>0.34482758620689657</v>
          </cell>
          <cell r="Y105">
            <v>6.4102564102564097E-2</v>
          </cell>
          <cell r="Z105">
            <v>0.12048192771084332</v>
          </cell>
          <cell r="AA105">
            <v>1.0752688172043001E-2</v>
          </cell>
          <cell r="AB105">
            <v>0.42553191489361697</v>
          </cell>
          <cell r="AC105">
            <v>7.4626865671641784E-2</v>
          </cell>
          <cell r="AD105">
            <v>0.17338725779293429</v>
          </cell>
          <cell r="AE105">
            <v>0.14481386972394059</v>
          </cell>
          <cell r="AF105">
            <v>0.15826575399417001</v>
          </cell>
          <cell r="AG105">
            <v>0.16456305837472443</v>
          </cell>
          <cell r="AH105">
            <v>0.19019812007517134</v>
          </cell>
          <cell r="AI105">
            <v>0.15097582093876374</v>
          </cell>
          <cell r="AJ105">
            <v>0.16370064681661739</v>
          </cell>
          <cell r="AK105">
            <v>0.16208621165389792</v>
          </cell>
          <cell r="AL105">
            <v>0.16496493530889078</v>
          </cell>
          <cell r="AM105">
            <v>0.16608146552801092</v>
          </cell>
        </row>
        <row r="106">
          <cell r="O106">
            <v>0.23362445414847155</v>
          </cell>
          <cell r="P106">
            <v>2.5663716814159354E-2</v>
          </cell>
          <cell r="Q106">
            <v>1.1216566005176842E-2</v>
          </cell>
          <cell r="R106">
            <v>-2.3037542662115995E-2</v>
          </cell>
          <cell r="S106">
            <v>0.21135371179039297</v>
          </cell>
          <cell r="T106">
            <v>0.19250180245133386</v>
          </cell>
          <cell r="U106">
            <v>-9.3107617896009631E-2</v>
          </cell>
          <cell r="V106">
            <v>9.4000000000000083E-2</v>
          </cell>
          <cell r="W106">
            <v>2.864107251675807E-2</v>
          </cell>
          <cell r="X106">
            <v>-0.25592417061611372</v>
          </cell>
          <cell r="Y106">
            <v>-0.12898089171974525</v>
          </cell>
          <cell r="Z106">
            <v>-0.1681901279707495</v>
          </cell>
          <cell r="AA106">
            <v>-0.11318681318681323</v>
          </cell>
          <cell r="AB106">
            <v>0.48451053283767043</v>
          </cell>
          <cell r="AC106">
            <v>-0.14774624373956591</v>
          </cell>
          <cell r="AD106">
            <v>-5.4919619065886195E-2</v>
          </cell>
          <cell r="AE106">
            <v>-2.1418860474181609E-2</v>
          </cell>
          <cell r="AF106">
            <v>-3.4918552665876693E-3</v>
          </cell>
          <cell r="AG106">
            <v>2.3957856850772643E-2</v>
          </cell>
          <cell r="AH106">
            <v>4.6815301857036938E-2</v>
          </cell>
          <cell r="AI106">
            <v>-2.6133903306401959E-2</v>
          </cell>
          <cell r="AJ106">
            <v>-5.865179900874643E-3</v>
          </cell>
          <cell r="AK106">
            <v>2.310559959960616E-3</v>
          </cell>
          <cell r="AL106">
            <v>6.2654633656509867E-3</v>
          </cell>
          <cell r="AM106">
            <v>7.8916831376907633E-3</v>
          </cell>
        </row>
        <row r="108">
          <cell r="E108">
            <v>0.25870815843556816</v>
          </cell>
          <cell r="F108">
            <v>-0.33886060082614267</v>
          </cell>
          <cell r="G108">
            <v>-0.36010987294178409</v>
          </cell>
          <cell r="H108">
            <v>8.3640000687441596E-2</v>
          </cell>
          <cell r="I108">
            <v>0.28894694354901507</v>
          </cell>
          <cell r="J108">
            <v>1.8079528905607711E-2</v>
          </cell>
          <cell r="K108">
            <v>0.19960778040280314</v>
          </cell>
          <cell r="L108">
            <v>-9.1936200950201385E-2</v>
          </cell>
          <cell r="M108">
            <v>6.3961938321121403E-2</v>
          </cell>
          <cell r="N108">
            <v>-6.1476221933646324E-2</v>
          </cell>
          <cell r="O108">
            <v>-3.9132206653730739E-2</v>
          </cell>
          <cell r="P108">
            <v>0.17296067151888428</v>
          </cell>
          <cell r="Q108">
            <v>0.42092885635107757</v>
          </cell>
          <cell r="R108">
            <v>0.13144329896907214</v>
          </cell>
          <cell r="S108">
            <v>2.5056947608200542E-2</v>
          </cell>
          <cell r="T108">
            <v>0.2022222222222223</v>
          </cell>
          <cell r="U108">
            <v>-0.4898336414048059</v>
          </cell>
          <cell r="V108">
            <v>0.35144927536231885</v>
          </cell>
          <cell r="W108">
            <v>-5.8981233243967868E-2</v>
          </cell>
          <cell r="X108">
            <v>-0.33048433048433046</v>
          </cell>
          <cell r="Y108">
            <v>0.26382978723404249</v>
          </cell>
          <cell r="Z108">
            <v>0.63973063973063971</v>
          </cell>
          <cell r="AA108">
            <v>-2.0533880903490509E-3</v>
          </cell>
          <cell r="AB108">
            <v>-6.1728395061728669E-3</v>
          </cell>
          <cell r="AC108">
            <v>9.9378881987577605E-2</v>
          </cell>
          <cell r="AD108">
            <v>4.7E-2</v>
          </cell>
          <cell r="AE108">
            <v>4.9000000000000002E-2</v>
          </cell>
          <cell r="AF108">
            <v>3.4000000000000002E-2</v>
          </cell>
          <cell r="AG108">
            <v>3.4000000000000002E-2</v>
          </cell>
          <cell r="AH108">
            <v>3.4000000000000002E-2</v>
          </cell>
          <cell r="AI108">
            <v>3.4000000000000002E-2</v>
          </cell>
          <cell r="AJ108">
            <v>3.4000000000000002E-2</v>
          </cell>
          <cell r="AK108">
            <v>3.4000000000000002E-2</v>
          </cell>
          <cell r="AL108">
            <v>3.4000000000000002E-2</v>
          </cell>
          <cell r="AM108">
            <v>3.4000000000000002E-2</v>
          </cell>
        </row>
        <row r="109">
          <cell r="E109">
            <v>0.46970408642555195</v>
          </cell>
          <cell r="F109">
            <v>-0.16075423457973803</v>
          </cell>
          <cell r="G109">
            <v>9.7486671744097642E-2</v>
          </cell>
          <cell r="H109">
            <v>4.1637751561415692E-2</v>
          </cell>
          <cell r="I109">
            <v>0.36608927381745504</v>
          </cell>
          <cell r="J109">
            <v>7.071445988783287E-3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0.36979969183359018</v>
          </cell>
          <cell r="P109">
            <v>2.5309336332958381</v>
          </cell>
          <cell r="Q109">
            <v>0.242433896145269</v>
          </cell>
          <cell r="R109">
            <v>1.5384615384615383</v>
          </cell>
          <cell r="S109">
            <v>-0.54545454545454541</v>
          </cell>
          <cell r="T109">
            <v>-0.1333333333333333</v>
          </cell>
          <cell r="U109">
            <v>-0.15384615384615385</v>
          </cell>
          <cell r="V109">
            <v>9.0909090909090828E-2</v>
          </cell>
          <cell r="W109">
            <v>8.3333333333333259E-2</v>
          </cell>
          <cell r="X109">
            <v>0.15384615384615374</v>
          </cell>
          <cell r="Y109">
            <v>-0.4</v>
          </cell>
          <cell r="Z109">
            <v>0.22222222222222232</v>
          </cell>
          <cell r="AA109">
            <v>8</v>
          </cell>
          <cell r="AB109">
            <v>-9.0909090909090939E-2</v>
          </cell>
          <cell r="AC109">
            <v>0.73333333333333339</v>
          </cell>
          <cell r="AD109">
            <v>8.1000000000000003E-2</v>
          </cell>
          <cell r="AE109">
            <v>0.06</v>
          </cell>
          <cell r="AF109">
            <v>0.05</v>
          </cell>
          <cell r="AG109">
            <v>0.05</v>
          </cell>
          <cell r="AH109">
            <v>0.05</v>
          </cell>
          <cell r="AI109">
            <v>0.05</v>
          </cell>
          <cell r="AJ109">
            <v>0.05</v>
          </cell>
          <cell r="AK109">
            <v>0.05</v>
          </cell>
          <cell r="AL109">
            <v>0.05</v>
          </cell>
          <cell r="AM109">
            <v>0.05</v>
          </cell>
        </row>
        <row r="110"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>
            <v>-0.18272620446533494</v>
          </cell>
          <cell r="S110">
            <v>0.26743350107836084</v>
          </cell>
          <cell r="T110">
            <v>3.1196823596142842E-2</v>
          </cell>
          <cell r="U110">
            <v>-2.6402640264026389E-2</v>
          </cell>
          <cell r="V110">
            <v>-0.18644067796610164</v>
          </cell>
          <cell r="W110">
            <v>0.35277777777777786</v>
          </cell>
          <cell r="X110">
            <v>4.2094455852156099E-2</v>
          </cell>
          <cell r="Y110">
            <v>-0.21330049261083739</v>
          </cell>
          <cell r="Z110">
            <v>0.23919849718221675</v>
          </cell>
          <cell r="AA110">
            <v>-0.17079332996462859</v>
          </cell>
          <cell r="AB110">
            <v>0.48019500304692264</v>
          </cell>
          <cell r="AC110">
            <v>-7.7398106216549967E-2</v>
          </cell>
          <cell r="AD110">
            <v>0.44326562682751924</v>
          </cell>
          <cell r="AE110">
            <v>4.0000000000000036E-2</v>
          </cell>
          <cell r="AF110">
            <v>3.499999999999992E-2</v>
          </cell>
          <cell r="AG110">
            <v>3.499999999999992E-2</v>
          </cell>
          <cell r="AH110">
            <v>3.499999999999992E-2</v>
          </cell>
          <cell r="AI110">
            <v>4.5700000000000074E-2</v>
          </cell>
          <cell r="AJ110">
            <v>4.5700000000000074E-2</v>
          </cell>
          <cell r="AK110">
            <v>4.5700000000000074E-2</v>
          </cell>
          <cell r="AL110">
            <v>4.5700000000000074E-2</v>
          </cell>
          <cell r="AM110">
            <v>4.5700000000000074E-2</v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5.8852140077821025E-2</v>
          </cell>
          <cell r="U111">
            <v>4.3638033991731717E-2</v>
          </cell>
          <cell r="V111">
            <v>-0.15580985915492962</v>
          </cell>
          <cell r="W111">
            <v>4.6923879040667416E-2</v>
          </cell>
          <cell r="X111">
            <v>0.20617529880478092</v>
          </cell>
          <cell r="Y111">
            <v>0.15152766308835663</v>
          </cell>
          <cell r="Z111">
            <v>2.9401219074937313E-2</v>
          </cell>
          <cell r="AA111">
            <v>-0.12238453500522462</v>
          </cell>
          <cell r="AB111">
            <v>-0.27693104808527014</v>
          </cell>
          <cell r="AC111">
            <v>0.17045454545454541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-0.36117759693633322</v>
          </cell>
          <cell r="U112">
            <v>-5.8917197452229342E-2</v>
          </cell>
          <cell r="V112">
            <v>-0.65213496566139151</v>
          </cell>
          <cell r="W112">
            <v>-0.99999964234620886</v>
          </cell>
          <cell r="X112">
            <v>3399999</v>
          </cell>
          <cell r="Y112">
            <v>0.18829411764705872</v>
          </cell>
          <cell r="Z112">
            <v>1.1257858521855355</v>
          </cell>
          <cell r="AA112">
            <v>-0.31355517779381969</v>
          </cell>
          <cell r="AB112">
            <v>-6.4651436021978981E-2</v>
          </cell>
          <cell r="AC112">
            <v>-5.8823529411764719E-2</v>
          </cell>
          <cell r="AD112">
            <v>4.7500000000000001E-2</v>
          </cell>
          <cell r="AE112">
            <v>4.7500000000000001E-2</v>
          </cell>
          <cell r="AF112">
            <v>4.7500000000000001E-2</v>
          </cell>
          <cell r="AG112">
            <v>4.7500000000000001E-2</v>
          </cell>
          <cell r="AH112">
            <v>4.7500000000000001E-2</v>
          </cell>
          <cell r="AI112">
            <v>4.7500000000000001E-2</v>
          </cell>
          <cell r="AJ112">
            <v>4.7500000000000001E-2</v>
          </cell>
          <cell r="AK112">
            <v>4.7500000000000001E-2</v>
          </cell>
          <cell r="AL112">
            <v>4.7500000000000001E-2</v>
          </cell>
          <cell r="AM112">
            <v>4.7500000000000001E-2</v>
          </cell>
        </row>
        <row r="113"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0.10096045452495828</v>
          </cell>
          <cell r="U113">
            <v>-0.47735091743119262</v>
          </cell>
          <cell r="V113">
            <v>-3.7536243241125256E-2</v>
          </cell>
          <cell r="W113">
            <v>-0.56358899202084345</v>
          </cell>
          <cell r="X113">
            <v>1.3833955223880596</v>
          </cell>
          <cell r="Y113">
            <v>1.0828180039138942</v>
          </cell>
          <cell r="Z113">
            <v>-0.41010222489476844</v>
          </cell>
          <cell r="AA113">
            <v>0.28408511722731911</v>
          </cell>
          <cell r="AB113">
            <v>-5.6866428039834216E-2</v>
          </cell>
          <cell r="AC113">
            <v>-0.16666666666666663</v>
          </cell>
          <cell r="AD113">
            <v>4.7500000000000001E-2</v>
          </cell>
          <cell r="AE113">
            <v>4.7500000000000001E-2</v>
          </cell>
          <cell r="AF113">
            <v>4.7500000000000001E-2</v>
          </cell>
          <cell r="AG113">
            <v>4.7500000000000001E-2</v>
          </cell>
          <cell r="AH113">
            <v>4.7500000000000001E-2</v>
          </cell>
          <cell r="AI113">
            <v>4.7500000000000001E-2</v>
          </cell>
          <cell r="AJ113">
            <v>4.7500000000000001E-2</v>
          </cell>
          <cell r="AK113">
            <v>4.7500000000000001E-2</v>
          </cell>
          <cell r="AL113">
            <v>4.7500000000000001E-2</v>
          </cell>
          <cell r="AM113">
            <v>4.7500000000000001E-2</v>
          </cell>
        </row>
        <row r="114"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0.4948471539766055</v>
          </cell>
          <cell r="U114">
            <v>4.2761148442271857E-3</v>
          </cell>
          <cell r="V114">
            <v>4.5533541883906903E-2</v>
          </cell>
          <cell r="W114">
            <v>-9.715757978723405E-2</v>
          </cell>
          <cell r="X114">
            <v>-1.0555708981558221E-2</v>
          </cell>
          <cell r="Y114">
            <v>-5.7745386881687066E-2</v>
          </cell>
          <cell r="Z114">
            <v>-1.0762597505183824E-2</v>
          </cell>
          <cell r="AA114">
            <v>-0.64293540945790073</v>
          </cell>
          <cell r="AB114">
            <v>3.2857142857142856</v>
          </cell>
          <cell r="AC114">
            <v>-7.7777777777777724E-2</v>
          </cell>
          <cell r="AD114">
            <v>0.05</v>
          </cell>
          <cell r="AE114">
            <v>0.05</v>
          </cell>
          <cell r="AF114">
            <v>0.05</v>
          </cell>
          <cell r="AG114">
            <v>0.05</v>
          </cell>
          <cell r="AH114">
            <v>0.05</v>
          </cell>
          <cell r="AI114">
            <v>0.05</v>
          </cell>
          <cell r="AJ114">
            <v>0.05</v>
          </cell>
          <cell r="AK114">
            <v>0.05</v>
          </cell>
          <cell r="AL114">
            <v>0.05</v>
          </cell>
          <cell r="AM114">
            <v>0.05</v>
          </cell>
        </row>
        <row r="115">
          <cell r="E115">
            <v>-0.1401831939030469</v>
          </cell>
          <cell r="F115">
            <v>3.5727115769956796E-3</v>
          </cell>
          <cell r="G115">
            <v>-0.12770843971794776</v>
          </cell>
          <cell r="H115">
            <v>5.3369311982359724E-2</v>
          </cell>
          <cell r="I115">
            <v>0.26559551789956992</v>
          </cell>
          <cell r="J115">
            <v>0.12914794693449805</v>
          </cell>
          <cell r="K115">
            <v>-0.14171354242694445</v>
          </cell>
          <cell r="L115">
            <v>-6.0585563104386675E-2</v>
          </cell>
          <cell r="M115">
            <v>-2.9592133299044532E-3</v>
          </cell>
          <cell r="N115">
            <v>-0.35231416643079083</v>
          </cell>
          <cell r="O115">
            <v>0.60428264253588182</v>
          </cell>
          <cell r="P115">
            <v>-6.165702504215631E-2</v>
          </cell>
          <cell r="Q115">
            <v>-0.73661110986762091</v>
          </cell>
          <cell r="R115">
            <v>-0.12342215988779803</v>
          </cell>
          <cell r="S115">
            <v>-0.34963999999999973</v>
          </cell>
          <cell r="T115">
            <v>3.6475956591842884E-2</v>
          </cell>
          <cell r="U115">
            <v>0.18377954961173359</v>
          </cell>
          <cell r="V115">
            <v>-3.9620580282648477E-2</v>
          </cell>
          <cell r="W115">
            <v>0.11781346752823518</v>
          </cell>
          <cell r="X115">
            <v>6.5019211744430372E-2</v>
          </cell>
          <cell r="Y115">
            <v>-0.14489601893358806</v>
          </cell>
          <cell r="Z115">
            <v>-8.66157610279783E-2</v>
          </cell>
          <cell r="AA115">
            <v>0.31039187887361064</v>
          </cell>
          <cell r="AB115">
            <v>-0.38484113845656187</v>
          </cell>
          <cell r="AC115">
            <v>-8.3565459610027704E-3</v>
          </cell>
          <cell r="AD115">
            <v>0.14599999999999999</v>
          </cell>
          <cell r="AE115">
            <v>0.124</v>
          </cell>
          <cell r="AF115">
            <v>0.124</v>
          </cell>
          <cell r="AG115">
            <v>0.124</v>
          </cell>
          <cell r="AH115">
            <v>0.124</v>
          </cell>
          <cell r="AI115">
            <v>0.124</v>
          </cell>
          <cell r="AJ115">
            <v>0.124</v>
          </cell>
          <cell r="AK115">
            <v>0.124</v>
          </cell>
          <cell r="AL115">
            <v>0.124</v>
          </cell>
          <cell r="AM115">
            <v>0.124</v>
          </cell>
        </row>
        <row r="116"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>
            <v>-0.13043478260869568</v>
          </cell>
          <cell r="S116">
            <v>4.1666666666666741E-2</v>
          </cell>
          <cell r="T116">
            <v>-0.38</v>
          </cell>
          <cell r="U116">
            <v>0.25806451612903225</v>
          </cell>
          <cell r="V116">
            <v>-0.63589743589743586</v>
          </cell>
          <cell r="W116">
            <v>-1</v>
          </cell>
          <cell r="X116" t="str">
            <v/>
          </cell>
          <cell r="Y116">
            <v>2.5217391304347827</v>
          </cell>
          <cell r="Z116">
            <v>0.5</v>
          </cell>
          <cell r="AA116">
            <v>-0.19341563786008231</v>
          </cell>
          <cell r="AB116">
            <v>0.11224489795918369</v>
          </cell>
          <cell r="AC116">
            <v>-0.19724770642201839</v>
          </cell>
          <cell r="AD116">
            <v>4.7500000000000001E-2</v>
          </cell>
          <cell r="AE116">
            <v>4.7500000000000001E-2</v>
          </cell>
          <cell r="AF116">
            <v>4.7500000000000001E-2</v>
          </cell>
          <cell r="AG116">
            <v>4.7500000000000001E-2</v>
          </cell>
          <cell r="AH116">
            <v>4.7500000000000001E-2</v>
          </cell>
          <cell r="AI116">
            <v>4.7500000000000001E-2</v>
          </cell>
          <cell r="AJ116">
            <v>4.7500000000000001E-2</v>
          </cell>
          <cell r="AK116">
            <v>4.7500000000000001E-2</v>
          </cell>
          <cell r="AL116">
            <v>4.7500000000000001E-2</v>
          </cell>
          <cell r="AM116">
            <v>4.7500000000000001E-2</v>
          </cell>
        </row>
        <row r="117">
          <cell r="E117">
            <v>2.5081625050172862E-2</v>
          </cell>
          <cell r="F117">
            <v>0.16109166358782256</v>
          </cell>
          <cell r="G117">
            <v>4.3280707285703102E-2</v>
          </cell>
          <cell r="H117">
            <v>-0.13479901942288031</v>
          </cell>
          <cell r="I117">
            <v>2.4843467152229959E-2</v>
          </cell>
          <cell r="J117">
            <v>-4.3735689598788374E-3</v>
          </cell>
          <cell r="K117">
            <v>0.1445370719293908</v>
          </cell>
          <cell r="L117">
            <v>-4.1304775257048454E-2</v>
          </cell>
          <cell r="M117">
            <v>1.0029103711518994E-2</v>
          </cell>
          <cell r="N117">
            <v>0.49899408001486933</v>
          </cell>
          <cell r="O117">
            <v>0.3132992327365729</v>
          </cell>
          <cell r="P117">
            <v>0.37098344693281415</v>
          </cell>
          <cell r="Q117">
            <v>-0.92755681818181812</v>
          </cell>
          <cell r="R117">
            <v>-0.10784313725490191</v>
          </cell>
          <cell r="S117">
            <v>9.8901098901098772E-2</v>
          </cell>
          <cell r="T117">
            <v>-7.0000000000000062E-2</v>
          </cell>
          <cell r="U117">
            <v>2.1505376344086002E-2</v>
          </cell>
          <cell r="V117">
            <v>0.36842105263157898</v>
          </cell>
          <cell r="W117">
            <v>-0.11538461538461542</v>
          </cell>
          <cell r="X117">
            <v>0.34782608695652195</v>
          </cell>
          <cell r="Y117">
            <v>7.0967741935483941E-2</v>
          </cell>
          <cell r="Z117">
            <v>0.96385542168674698</v>
          </cell>
          <cell r="AA117">
            <v>4.9079754601226933E-2</v>
          </cell>
          <cell r="AB117">
            <v>1.6403508771929824</v>
          </cell>
          <cell r="AC117">
            <v>5.75858250276855E-2</v>
          </cell>
          <cell r="AD117">
            <v>0.03</v>
          </cell>
          <cell r="AE117">
            <v>0.03</v>
          </cell>
          <cell r="AF117">
            <v>0.03</v>
          </cell>
          <cell r="AG117">
            <v>0.03</v>
          </cell>
          <cell r="AH117">
            <v>0.03</v>
          </cell>
          <cell r="AI117">
            <v>0.03</v>
          </cell>
          <cell r="AJ117">
            <v>0.03</v>
          </cell>
          <cell r="AK117">
            <v>0.03</v>
          </cell>
          <cell r="AL117">
            <v>0.03</v>
          </cell>
          <cell r="AM117">
            <v>0.03</v>
          </cell>
        </row>
        <row r="118">
          <cell r="E118" t="str">
            <v/>
          </cell>
          <cell r="F118" t="str">
            <v/>
          </cell>
          <cell r="G118" t="str">
            <v/>
          </cell>
          <cell r="H118">
            <v>2.6063284103856268</v>
          </cell>
          <cell r="I118">
            <v>-5.5650913317780382E-2</v>
          </cell>
          <cell r="J118">
            <v>0.46502774554289461</v>
          </cell>
          <cell r="K118">
            <v>0.14040255959500469</v>
          </cell>
          <cell r="L118">
            <v>6.7419393980523878E-2</v>
          </cell>
          <cell r="M118">
            <v>1.8049715851468306E-2</v>
          </cell>
          <cell r="N118">
            <v>-1.6337724048161806E-2</v>
          </cell>
          <cell r="O118">
            <v>-0.29553504757450955</v>
          </cell>
          <cell r="P118">
            <v>0.83405859954712613</v>
          </cell>
          <cell r="Q118">
            <v>-1</v>
          </cell>
          <cell r="R118" t="str">
            <v/>
          </cell>
          <cell r="S118">
            <v>3</v>
          </cell>
          <cell r="T118">
            <v>-0.99975000000000003</v>
          </cell>
          <cell r="U118">
            <v>0</v>
          </cell>
          <cell r="V118">
            <v>999</v>
          </cell>
          <cell r="W118">
            <v>1</v>
          </cell>
          <cell r="X118">
            <v>-0.5</v>
          </cell>
          <cell r="Y118">
            <v>1</v>
          </cell>
          <cell r="Z118">
            <v>-0.5</v>
          </cell>
          <cell r="AA118">
            <v>1</v>
          </cell>
          <cell r="AB118">
            <v>-0.5</v>
          </cell>
          <cell r="AC118">
            <v>0</v>
          </cell>
          <cell r="AD118">
            <v>4.7500000000000001E-2</v>
          </cell>
          <cell r="AE118">
            <v>4.7500000000000001E-2</v>
          </cell>
          <cell r="AF118">
            <v>4.7500000000000001E-2</v>
          </cell>
          <cell r="AG118">
            <v>4.7500000000000001E-2</v>
          </cell>
          <cell r="AH118">
            <v>4.7500000000000001E-2</v>
          </cell>
          <cell r="AI118">
            <v>4.7500000000000001E-2</v>
          </cell>
          <cell r="AJ118">
            <v>4.7500000000000001E-2</v>
          </cell>
          <cell r="AK118">
            <v>4.7500000000000001E-2</v>
          </cell>
          <cell r="AL118">
            <v>4.7500000000000001E-2</v>
          </cell>
          <cell r="AM118">
            <v>4.7500000000000001E-2</v>
          </cell>
        </row>
        <row r="119"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-4.9504950495049549E-2</v>
          </cell>
          <cell r="S119">
            <v>8.3333333333333259E-2</v>
          </cell>
          <cell r="T119">
            <v>0.36538461538461542</v>
          </cell>
          <cell r="U119">
            <v>4.9295774647887258E-2</v>
          </cell>
          <cell r="V119">
            <v>-0.18120805369127513</v>
          </cell>
          <cell r="W119">
            <v>4.9180327868852514E-2</v>
          </cell>
          <cell r="X119">
            <v>-0.3046875</v>
          </cell>
          <cell r="Y119">
            <v>-2.2471910112359605E-2</v>
          </cell>
          <cell r="Z119">
            <v>3.4482758620689724E-2</v>
          </cell>
          <cell r="AA119">
            <v>-0.11111111111111116</v>
          </cell>
          <cell r="AB119">
            <v>0.55000000000000004</v>
          </cell>
          <cell r="AC119">
            <v>-0.12903225806451613</v>
          </cell>
          <cell r="AD119">
            <v>4.7500000000000001E-2</v>
          </cell>
          <cell r="AE119">
            <v>4.7500000000000001E-2</v>
          </cell>
          <cell r="AF119">
            <v>4.7500000000000001E-2</v>
          </cell>
          <cell r="AG119">
            <v>4.7500000000000001E-2</v>
          </cell>
          <cell r="AH119">
            <v>4.7500000000000001E-2</v>
          </cell>
          <cell r="AI119">
            <v>4.7500000000000001E-2</v>
          </cell>
          <cell r="AJ119">
            <v>4.7500000000000001E-2</v>
          </cell>
          <cell r="AK119">
            <v>4.7500000000000001E-2</v>
          </cell>
          <cell r="AL119">
            <v>4.7500000000000001E-2</v>
          </cell>
          <cell r="AM119">
            <v>4.7500000000000001E-2</v>
          </cell>
        </row>
        <row r="120">
          <cell r="E120">
            <v>-0.1725139212607647</v>
          </cell>
          <cell r="F120">
            <v>-4.9718547706163019E-2</v>
          </cell>
          <cell r="G120">
            <v>-9.6822943499914382E-2</v>
          </cell>
          <cell r="H120">
            <v>7.3887650412137518E-2</v>
          </cell>
          <cell r="I120">
            <v>0.12163122427366746</v>
          </cell>
          <cell r="J120">
            <v>6.0146113540299195E-2</v>
          </cell>
          <cell r="K120">
            <v>-8.4702600344180867E-2</v>
          </cell>
          <cell r="L120">
            <v>0.10424737734390455</v>
          </cell>
          <cell r="M120">
            <v>0.10883636794164886</v>
          </cell>
          <cell r="N120">
            <v>4.6939657170375737E-2</v>
          </cell>
          <cell r="O120">
            <v>3.7037858617879005E-2</v>
          </cell>
          <cell r="P120">
            <v>1.9278835560453844E-2</v>
          </cell>
          <cell r="Q120">
            <v>1.2323814496121059</v>
          </cell>
          <cell r="R120">
            <v>0.12725090036014408</v>
          </cell>
          <cell r="S120">
            <v>0.14057507987220452</v>
          </cell>
          <cell r="T120">
            <v>0.13725396825396796</v>
          </cell>
          <cell r="U120">
            <v>0.11494262310560188</v>
          </cell>
          <cell r="V120">
            <v>7.3711394485576065E-4</v>
          </cell>
          <cell r="W120">
            <v>1.3245033112582849E-2</v>
          </cell>
          <cell r="X120">
            <v>-0.24981844589687729</v>
          </cell>
          <cell r="Y120">
            <v>7.4540174249758007E-2</v>
          </cell>
          <cell r="Z120">
            <v>0.20270270270270263</v>
          </cell>
          <cell r="AA120">
            <v>1.1625468164794008</v>
          </cell>
          <cell r="AB120">
            <v>-0.44960166262556289</v>
          </cell>
          <cell r="AC120">
            <v>0.20201384518565146</v>
          </cell>
          <cell r="AD120">
            <v>4.7500000000000001E-2</v>
          </cell>
          <cell r="AE120">
            <v>4.7500000000000001E-2</v>
          </cell>
          <cell r="AF120">
            <v>4.7500000000000001E-2</v>
          </cell>
          <cell r="AG120">
            <v>4.7500000000000001E-2</v>
          </cell>
          <cell r="AH120">
            <v>4.7500000000000001E-2</v>
          </cell>
          <cell r="AI120">
            <v>4.7500000000000001E-2</v>
          </cell>
          <cell r="AJ120">
            <v>4.7500000000000001E-2</v>
          </cell>
          <cell r="AK120">
            <v>4.7500000000000001E-2</v>
          </cell>
          <cell r="AL120">
            <v>4.7500000000000001E-2</v>
          </cell>
          <cell r="AM120">
            <v>4.7500000000000001E-2</v>
          </cell>
        </row>
        <row r="122">
          <cell r="D122" t="str">
            <v/>
          </cell>
          <cell r="E122">
            <v>0.66153359907246223</v>
          </cell>
          <cell r="F122">
            <v>-0.4354036756911539</v>
          </cell>
          <cell r="G122">
            <v>-3.6209294758312249E-2</v>
          </cell>
          <cell r="H122">
            <v>-0.28201208392105381</v>
          </cell>
          <cell r="I122">
            <v>-0.31099466517540797</v>
          </cell>
          <cell r="J122">
            <v>0.15047111279198866</v>
          </cell>
          <cell r="K122">
            <v>0.34204184992652054</v>
          </cell>
          <cell r="L122">
            <v>6.4458083455969151E-2</v>
          </cell>
          <cell r="M122">
            <v>-4.7999337491832383E-2</v>
          </cell>
          <cell r="N122">
            <v>-4.8476690731420469E-3</v>
          </cell>
          <cell r="O122">
            <v>-1.0972259690907205E-2</v>
          </cell>
          <cell r="P122">
            <v>-9.9637536703901852E-2</v>
          </cell>
          <cell r="Q122">
            <v>-0.44772071028918214</v>
          </cell>
          <cell r="R122">
            <v>0.46474213720250246</v>
          </cell>
          <cell r="S122">
            <v>-1.3267078543576227E-2</v>
          </cell>
          <cell r="T122">
            <v>-0.15348837209302335</v>
          </cell>
          <cell r="U122">
            <v>-4.4444444444444398E-2</v>
          </cell>
          <cell r="V122">
            <v>-0.18640390526125472</v>
          </cell>
          <cell r="W122">
            <v>-2.7708068133600161E-2</v>
          </cell>
          <cell r="X122">
            <v>5.8544649912130264E-2</v>
          </cell>
          <cell r="Y122">
            <v>-0.22994103751715422</v>
          </cell>
          <cell r="Z122">
            <v>0.24501708127579613</v>
          </cell>
          <cell r="AA122">
            <v>0.366539216599159</v>
          </cell>
          <cell r="AB122">
            <v>0.21475568701272985</v>
          </cell>
          <cell r="AC122">
            <v>5.2444366922348218E-2</v>
          </cell>
          <cell r="AD122">
            <v>5.0999999999999997E-2</v>
          </cell>
          <cell r="AE122">
            <v>0.05</v>
          </cell>
          <cell r="AF122">
            <v>0.05</v>
          </cell>
          <cell r="AG122">
            <v>0.05</v>
          </cell>
          <cell r="AH122">
            <v>0.05</v>
          </cell>
          <cell r="AI122">
            <v>0.05</v>
          </cell>
          <cell r="AJ122">
            <v>0.05</v>
          </cell>
          <cell r="AK122">
            <v>0.05</v>
          </cell>
          <cell r="AL122">
            <v>0.05</v>
          </cell>
          <cell r="AM122">
            <v>0.05</v>
          </cell>
        </row>
        <row r="123">
          <cell r="D123" t="str">
            <v/>
          </cell>
          <cell r="E123">
            <v>4.004106563332499E-3</v>
          </cell>
          <cell r="F123">
            <v>-0.80746385831895207</v>
          </cell>
          <cell r="G123">
            <v>-0.11089939560633233</v>
          </cell>
          <cell r="H123">
            <v>-0.52009782169874907</v>
          </cell>
          <cell r="I123">
            <v>-0.2875922840695222</v>
          </cell>
          <cell r="J123">
            <v>0.10375459408570276</v>
          </cell>
          <cell r="K123">
            <v>0.34085650832371805</v>
          </cell>
          <cell r="L123">
            <v>0.16544048900953645</v>
          </cell>
          <cell r="M123">
            <v>-3.82901190781888E-2</v>
          </cell>
          <cell r="N123">
            <v>0.14675138307832758</v>
          </cell>
          <cell r="O123">
            <v>8.6251092445524424E-2</v>
          </cell>
          <cell r="P123">
            <v>-5.2790659570781773E-2</v>
          </cell>
          <cell r="Q123">
            <v>-0.23047435778780279</v>
          </cell>
          <cell r="R123">
            <v>-0.19126667144578613</v>
          </cell>
          <cell r="S123">
            <v>0.11004547176960977</v>
          </cell>
          <cell r="T123">
            <v>4.1860465116279055E-2</v>
          </cell>
          <cell r="U123">
            <v>-8.2449494949494939E-2</v>
          </cell>
          <cell r="V123">
            <v>-0.13946566902632707</v>
          </cell>
          <cell r="W123">
            <v>-0.1086894120609343</v>
          </cell>
          <cell r="X123">
            <v>4.7351563361575089E-2</v>
          </cell>
          <cell r="Y123">
            <v>-0.51008456659619461</v>
          </cell>
          <cell r="Z123">
            <v>-8.0323193916349678E-2</v>
          </cell>
          <cell r="AA123">
            <v>0.55437352245862903</v>
          </cell>
          <cell r="AB123">
            <v>0.39848254931714711</v>
          </cell>
          <cell r="AC123">
            <v>-0.32417261393165653</v>
          </cell>
          <cell r="AD123">
            <v>2.8000000000000001E-2</v>
          </cell>
          <cell r="AE123">
            <v>2.8000000000000001E-2</v>
          </cell>
          <cell r="AF123">
            <v>2.8000000000000001E-2</v>
          </cell>
          <cell r="AG123">
            <v>2.8000000000000001E-2</v>
          </cell>
          <cell r="AH123">
            <v>2.8000000000000001E-2</v>
          </cell>
          <cell r="AI123">
            <v>2.8000000000000001E-2</v>
          </cell>
          <cell r="AJ123">
            <v>2.8000000000000001E-2</v>
          </cell>
          <cell r="AK123">
            <v>2.8000000000000001E-2</v>
          </cell>
          <cell r="AL123">
            <v>2.8000000000000001E-2</v>
          </cell>
          <cell r="AM123">
            <v>2.8000000000000001E-2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>
            <v>0.10448516105742955</v>
          </cell>
          <cell r="S124">
            <v>-8.6868871370890277E-2</v>
          </cell>
          <cell r="T124">
            <v>8.3981886560749119E-2</v>
          </cell>
          <cell r="U124">
            <v>5.1874987865726974E-2</v>
          </cell>
          <cell r="V124">
            <v>-0.13823760339337132</v>
          </cell>
          <cell r="W124">
            <v>-0.10984925225583142</v>
          </cell>
          <cell r="X124">
            <v>0.16394297049548334</v>
          </cell>
          <cell r="Y124">
            <v>8.6108869373327179E-2</v>
          </cell>
          <cell r="Z124">
            <v>-0.17696506966079351</v>
          </cell>
          <cell r="AA124">
            <v>0.15421403838251879</v>
          </cell>
          <cell r="AB124">
            <v>9.0013350675338888E-2</v>
          </cell>
          <cell r="AC124">
            <v>0.11638317206198145</v>
          </cell>
          <cell r="AD124">
            <v>0.21099999999999999</v>
          </cell>
          <cell r="AE124">
            <v>0.10199999999999999</v>
          </cell>
          <cell r="AF124">
            <v>5.8900000000000001E-2</v>
          </cell>
          <cell r="AG124">
            <v>6.0999999999999999E-2</v>
          </cell>
          <cell r="AH124">
            <v>6.1899999999999997E-2</v>
          </cell>
          <cell r="AI124">
            <v>6.25E-2</v>
          </cell>
          <cell r="AJ124">
            <v>6.25E-2</v>
          </cell>
          <cell r="AK124">
            <v>6.25E-2</v>
          </cell>
          <cell r="AL124">
            <v>6.25E-2</v>
          </cell>
          <cell r="AM124">
            <v>6.25E-2</v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-4.668215026793765E-2</v>
          </cell>
          <cell r="U125">
            <v>-4.520725513819257E-2</v>
          </cell>
          <cell r="V125">
            <v>-0.20395620649421742</v>
          </cell>
          <cell r="W125">
            <v>2.5902806279360924E-2</v>
          </cell>
          <cell r="X125">
            <v>-7.1196914467219541E-2</v>
          </cell>
          <cell r="Y125">
            <v>-5.5389478908818179E-2</v>
          </cell>
          <cell r="Z125">
            <v>0.14446753186028327</v>
          </cell>
          <cell r="AA125">
            <v>0.14698154886409265</v>
          </cell>
          <cell r="AB125">
            <v>0.43015692772526659</v>
          </cell>
          <cell r="AC125">
            <v>0.14902669310387417</v>
          </cell>
          <cell r="AD125">
            <v>1.6899999999999998E-2</v>
          </cell>
          <cell r="AE125">
            <v>1.6899999999999998E-2</v>
          </cell>
          <cell r="AF125">
            <v>1.6899999999999998E-2</v>
          </cell>
          <cell r="AG125">
            <v>1.6899999999999998E-2</v>
          </cell>
          <cell r="AH125">
            <v>1.6899999999999998E-2</v>
          </cell>
          <cell r="AI125">
            <v>1.6899999999999998E-2</v>
          </cell>
          <cell r="AJ125">
            <v>1.6899999999999998E-2</v>
          </cell>
          <cell r="AK125">
            <v>1.6899999999999998E-2</v>
          </cell>
          <cell r="AL125">
            <v>1.6899999999999998E-2</v>
          </cell>
          <cell r="AM125">
            <v>1.6899999999999998E-2</v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-7.2908008607985852E-3</v>
          </cell>
          <cell r="U126">
            <v>-0.15197106960844831</v>
          </cell>
          <cell r="V126">
            <v>0.36041582434791386</v>
          </cell>
          <cell r="W126">
            <v>-1</v>
          </cell>
          <cell r="X126" t="e">
            <v>#DIV/0!</v>
          </cell>
          <cell r="Y126">
            <v>-7.1391661684203522E-2</v>
          </cell>
          <cell r="Z126">
            <v>-2.9275865444081783E-2</v>
          </cell>
          <cell r="AA126">
            <v>0.11157669186579477</v>
          </cell>
          <cell r="AB126">
            <v>0.2459548977918149</v>
          </cell>
          <cell r="AC126">
            <v>3.9712789593357112E-2</v>
          </cell>
          <cell r="AD126">
            <v>0.01</v>
          </cell>
          <cell r="AE126">
            <v>0.01</v>
          </cell>
          <cell r="AF126">
            <v>0.01</v>
          </cell>
          <cell r="AG126">
            <v>0.01</v>
          </cell>
          <cell r="AH126">
            <v>0.01</v>
          </cell>
          <cell r="AI126">
            <v>0.01</v>
          </cell>
          <cell r="AJ126">
            <v>0.01</v>
          </cell>
          <cell r="AK126">
            <v>0.01</v>
          </cell>
          <cell r="AL126">
            <v>0.01</v>
          </cell>
          <cell r="AM126">
            <v>0.01</v>
          </cell>
        </row>
        <row r="127"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0.77877548075876413</v>
          </cell>
          <cell r="U127">
            <v>-0.93255127076501476</v>
          </cell>
          <cell r="V127">
            <v>-0.79786550097573272</v>
          </cell>
          <cell r="W127">
            <v>16.907175250910669</v>
          </cell>
          <cell r="X127">
            <v>-7.2503508292383723E-2</v>
          </cell>
          <cell r="Y127">
            <v>-0.60328995135691588</v>
          </cell>
          <cell r="Z127">
            <v>1.7217913751294009</v>
          </cell>
          <cell r="AA127">
            <v>0.38249274891353591</v>
          </cell>
          <cell r="AB127">
            <v>0.3179425052807836</v>
          </cell>
          <cell r="AC127">
            <v>-0.32122241024658804</v>
          </cell>
          <cell r="AD127">
            <v>5.8799999999999998E-2</v>
          </cell>
          <cell r="AE127">
            <v>5.8799999999999998E-2</v>
          </cell>
          <cell r="AF127">
            <v>5.8799999999999998E-2</v>
          </cell>
          <cell r="AG127">
            <v>5.8799999999999998E-2</v>
          </cell>
          <cell r="AH127">
            <v>5.8799999999999998E-2</v>
          </cell>
          <cell r="AI127">
            <v>5.8799999999999998E-2</v>
          </cell>
          <cell r="AJ127">
            <v>5.8799999999999998E-2</v>
          </cell>
          <cell r="AK127">
            <v>5.8799999999999998E-2</v>
          </cell>
          <cell r="AL127">
            <v>5.8799999999999998E-2</v>
          </cell>
          <cell r="AM127">
            <v>5.8799999999999998E-2</v>
          </cell>
        </row>
        <row r="128"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-8.2515343112571471E-2</v>
          </cell>
          <cell r="U128">
            <v>0.50969653167016493</v>
          </cell>
          <cell r="V128">
            <v>-0.20623698669806512</v>
          </cell>
          <cell r="W128">
            <v>-1.3696015731306077E-2</v>
          </cell>
          <cell r="X128">
            <v>0.18470789494785889</v>
          </cell>
          <cell r="Y128">
            <v>-0.25366239910356947</v>
          </cell>
          <cell r="Z128">
            <v>-0.13985248489614566</v>
          </cell>
          <cell r="AA128">
            <v>3.3599267151705918</v>
          </cell>
          <cell r="AB128">
            <v>-0.60779736197035139</v>
          </cell>
          <cell r="AC128">
            <v>0.35978555493865327</v>
          </cell>
          <cell r="AD128">
            <v>0.05</v>
          </cell>
          <cell r="AE128">
            <v>0.05</v>
          </cell>
          <cell r="AF128">
            <v>0.05</v>
          </cell>
          <cell r="AG128">
            <v>0.05</v>
          </cell>
          <cell r="AH128">
            <v>0.05</v>
          </cell>
          <cell r="AI128">
            <v>0.05</v>
          </cell>
          <cell r="AJ128">
            <v>0.05</v>
          </cell>
          <cell r="AK128">
            <v>0.05</v>
          </cell>
          <cell r="AL128">
            <v>0.05</v>
          </cell>
          <cell r="AM128">
            <v>0.05</v>
          </cell>
        </row>
        <row r="129">
          <cell r="D129" t="str">
            <v/>
          </cell>
          <cell r="E129">
            <v>-4.9662472724812168E-2</v>
          </cell>
          <cell r="F129">
            <v>1.5090427630665815E-2</v>
          </cell>
          <cell r="G129">
            <v>2.3343555501686986E-4</v>
          </cell>
          <cell r="H129">
            <v>-7.5497457344406493E-2</v>
          </cell>
          <cell r="I129">
            <v>-0.48189328679632271</v>
          </cell>
          <cell r="J129">
            <v>9.5608526108658998E-2</v>
          </cell>
          <cell r="K129">
            <v>4.8947014044273818E-2</v>
          </cell>
          <cell r="L129">
            <v>-0.25860947345517127</v>
          </cell>
          <cell r="M129">
            <v>0.32105150357689571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ell>
          <cell r="Q129">
            <v>3.6435159984204795</v>
          </cell>
          <cell r="R129">
            <v>-6.3796185027114594E-2</v>
          </cell>
          <cell r="S129">
            <v>0.49251657535744897</v>
          </cell>
          <cell r="T129">
            <v>6.5790951735438918E-2</v>
          </cell>
          <cell r="U129">
            <v>1.1191217738124593E-3</v>
          </cell>
          <cell r="V129">
            <v>-3.6759381724301154E-2</v>
          </cell>
          <cell r="W129">
            <v>-1.4487817511825929E-2</v>
          </cell>
          <cell r="X129">
            <v>-0.18401071349020603</v>
          </cell>
          <cell r="Y129">
            <v>6.791697815776887E-2</v>
          </cell>
          <cell r="Z129">
            <v>0.122797787996892</v>
          </cell>
          <cell r="AA129">
            <v>-0.38959137069663707</v>
          </cell>
          <cell r="AB129">
            <v>-6.5420908199224637E-2</v>
          </cell>
          <cell r="AC129">
            <v>0.31521532286007292</v>
          </cell>
          <cell r="AD129">
            <v>8.9999999999999993E-3</v>
          </cell>
          <cell r="AE129">
            <v>8.9999999999999993E-3</v>
          </cell>
          <cell r="AF129">
            <v>8.9999999999999993E-3</v>
          </cell>
          <cell r="AG129">
            <v>8.9999999999999993E-3</v>
          </cell>
          <cell r="AH129">
            <v>8.9999999999999993E-3</v>
          </cell>
          <cell r="AI129">
            <v>8.9999999999999993E-3</v>
          </cell>
          <cell r="AJ129">
            <v>8.9999999999999993E-3</v>
          </cell>
          <cell r="AK129">
            <v>8.9999999999999993E-3</v>
          </cell>
          <cell r="AL129">
            <v>8.9999999999999993E-3</v>
          </cell>
          <cell r="AM129">
            <v>8.9999999999999993E-3</v>
          </cell>
        </row>
        <row r="130"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>
            <v>0.19519729319380597</v>
          </cell>
          <cell r="S130">
            <v>4.5800415800415939E-2</v>
          </cell>
          <cell r="T130">
            <v>-0.1411079460907273</v>
          </cell>
          <cell r="U130">
            <v>7.2584807029251408E-2</v>
          </cell>
          <cell r="V130">
            <v>-0.18733027463861662</v>
          </cell>
          <cell r="W130" t="e">
            <v>#VALUE!</v>
          </cell>
          <cell r="X130" t="str">
            <v/>
          </cell>
          <cell r="Y130">
            <v>-0.12118038360831118</v>
          </cell>
          <cell r="Z130">
            <v>-4.6315140900883289E-3</v>
          </cell>
          <cell r="AA130">
            <v>0.39591153469557683</v>
          </cell>
          <cell r="AB130">
            <v>0.22648877343019769</v>
          </cell>
          <cell r="AC130">
            <v>0.21547547932013988</v>
          </cell>
          <cell r="AD130">
            <v>6.1000000000000004E-3</v>
          </cell>
          <cell r="AE130">
            <v>6.1000000000000004E-3</v>
          </cell>
          <cell r="AF130">
            <v>6.1000000000000004E-3</v>
          </cell>
          <cell r="AG130">
            <v>6.1000000000000004E-3</v>
          </cell>
          <cell r="AH130">
            <v>6.1000000000000004E-3</v>
          </cell>
          <cell r="AI130">
            <v>6.1000000000000004E-3</v>
          </cell>
          <cell r="AJ130">
            <v>6.1000000000000004E-3</v>
          </cell>
          <cell r="AK130">
            <v>6.1000000000000004E-3</v>
          </cell>
          <cell r="AL130">
            <v>6.1000000000000004E-3</v>
          </cell>
          <cell r="AM130">
            <v>6.1000000000000004E-3</v>
          </cell>
        </row>
        <row r="131"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>
            <v>0.10918969051533844</v>
          </cell>
          <cell r="S131">
            <v>7.2352115969137154E-2</v>
          </cell>
          <cell r="T131">
            <v>5.0842020850040193E-2</v>
          </cell>
          <cell r="U131">
            <v>-2.1985692857967587E-3</v>
          </cell>
          <cell r="V131">
            <v>1.77305723447585E-2</v>
          </cell>
          <cell r="W131">
            <v>-4.2045686846453934E-2</v>
          </cell>
          <cell r="X131">
            <v>-0.10236835299724345</v>
          </cell>
          <cell r="Y131">
            <v>2.7972085068733055E-2</v>
          </cell>
          <cell r="Z131">
            <v>-3.3196171083104353E-2</v>
          </cell>
          <cell r="AA131">
            <v>0.37909844497168432</v>
          </cell>
          <cell r="AB131">
            <v>0.11284103974400028</v>
          </cell>
          <cell r="AC131">
            <v>0.23499435790091439</v>
          </cell>
          <cell r="AD131">
            <v>6.1000000000000004E-3</v>
          </cell>
          <cell r="AE131">
            <v>6.1000000000000004E-3</v>
          </cell>
          <cell r="AF131">
            <v>6.1000000000000004E-3</v>
          </cell>
          <cell r="AG131">
            <v>6.1000000000000004E-3</v>
          </cell>
          <cell r="AH131">
            <v>6.1000000000000004E-3</v>
          </cell>
          <cell r="AI131">
            <v>6.1000000000000004E-3</v>
          </cell>
          <cell r="AJ131">
            <v>6.1000000000000004E-3</v>
          </cell>
          <cell r="AK131">
            <v>6.1000000000000004E-3</v>
          </cell>
          <cell r="AL131">
            <v>6.1000000000000004E-3</v>
          </cell>
          <cell r="AM131">
            <v>6.1000000000000004E-3</v>
          </cell>
        </row>
        <row r="132"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>
            <v>5.6785714285714217E-2</v>
          </cell>
          <cell r="T132">
            <v>-8.9231713869061258E-2</v>
          </cell>
          <cell r="U132">
            <v>3.4001313570074299E-2</v>
          </cell>
          <cell r="V132">
            <v>-0.13124734444652997</v>
          </cell>
          <cell r="W132">
            <v>-3.1240166401675817E-2</v>
          </cell>
          <cell r="X132">
            <v>-7.0992663733169703E-2</v>
          </cell>
          <cell r="Y132">
            <v>-0.13899847657566555</v>
          </cell>
          <cell r="Z132">
            <v>-0.10783400286856726</v>
          </cell>
          <cell r="AA132">
            <v>0.54100846446374762</v>
          </cell>
          <cell r="AB132">
            <v>0.24933815250135849</v>
          </cell>
          <cell r="AC132">
            <v>4.2822938860132664E-2</v>
          </cell>
          <cell r="AD132">
            <v>6.1000000000000004E-3</v>
          </cell>
          <cell r="AE132">
            <v>6.1000000000000004E-3</v>
          </cell>
          <cell r="AF132">
            <v>6.1000000000000004E-3</v>
          </cell>
          <cell r="AG132">
            <v>6.1000000000000004E-3</v>
          </cell>
          <cell r="AH132">
            <v>6.1000000000000004E-3</v>
          </cell>
          <cell r="AI132">
            <v>6.1000000000000004E-3</v>
          </cell>
          <cell r="AJ132">
            <v>6.1000000000000004E-3</v>
          </cell>
          <cell r="AK132">
            <v>6.1000000000000004E-3</v>
          </cell>
          <cell r="AL132">
            <v>6.1000000000000004E-3</v>
          </cell>
          <cell r="AM132">
            <v>6.1000000000000004E-3</v>
          </cell>
        </row>
        <row r="133"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>
            <v>0.37570782024276683</v>
          </cell>
          <cell r="S133">
            <v>-4.1683399224209938E-2</v>
          </cell>
          <cell r="T133">
            <v>-0.15691509442249729</v>
          </cell>
          <cell r="U133">
            <v>-4.4145371687387525E-2</v>
          </cell>
          <cell r="V133">
            <v>-0.40178918003375286</v>
          </cell>
          <cell r="W133" t="e">
            <v>#VALUE!</v>
          </cell>
          <cell r="X133" t="str">
            <v/>
          </cell>
          <cell r="Y133">
            <v>-0.20454439543794001</v>
          </cell>
          <cell r="Z133">
            <v>-0.28961025039567678</v>
          </cell>
          <cell r="AA133">
            <v>0.2312883046673273</v>
          </cell>
          <cell r="AB133">
            <v>0.19425838695755848</v>
          </cell>
          <cell r="AC133">
            <v>0.17066633981557611</v>
          </cell>
          <cell r="AD133">
            <v>0.1525</v>
          </cell>
          <cell r="AE133">
            <v>0.1525</v>
          </cell>
          <cell r="AF133">
            <v>0.1525</v>
          </cell>
          <cell r="AG133">
            <v>0.1525</v>
          </cell>
          <cell r="AH133">
            <v>0.1525</v>
          </cell>
          <cell r="AI133">
            <v>0.1525</v>
          </cell>
          <cell r="AJ133">
            <v>0.1525</v>
          </cell>
          <cell r="AK133">
            <v>0.1525</v>
          </cell>
          <cell r="AL133">
            <v>0.1525</v>
          </cell>
          <cell r="AM133">
            <v>0.1525</v>
          </cell>
        </row>
        <row r="134">
          <cell r="D134" t="str">
            <v/>
          </cell>
          <cell r="E134">
            <v>0.15088868673826905</v>
          </cell>
          <cell r="F134">
            <v>-0.24839913806215341</v>
          </cell>
          <cell r="G134">
            <v>-3.7891336157287459E-2</v>
          </cell>
          <cell r="H134">
            <v>-0.101504173340767</v>
          </cell>
          <cell r="I134">
            <v>-0.35538958153094125</v>
          </cell>
          <cell r="J134">
            <v>-5.3583717945349107E-4</v>
          </cell>
          <cell r="K134">
            <v>-6.9478386109316226E-3</v>
          </cell>
          <cell r="L134">
            <v>2.4617374295981209E-2</v>
          </cell>
          <cell r="M134">
            <v>0.22529543029433841</v>
          </cell>
          <cell r="N134">
            <v>1.1484630726322034</v>
          </cell>
          <cell r="O134">
            <v>-0.33750641678853233</v>
          </cell>
          <cell r="P134">
            <v>-7.4133518316248148E-2</v>
          </cell>
          <cell r="Q134">
            <v>1.6431293480504325</v>
          </cell>
          <cell r="R134">
            <v>7.5367530368826152E-3</v>
          </cell>
          <cell r="S134">
            <v>5.6785714285714217E-2</v>
          </cell>
          <cell r="T134">
            <v>-9.8874718679669793E-2</v>
          </cell>
          <cell r="U134">
            <v>2.9927343611553914E-2</v>
          </cell>
          <cell r="V134">
            <v>-0.13817379096481541</v>
          </cell>
          <cell r="W134">
            <v>-4.1454817972107261E-2</v>
          </cell>
          <cell r="X134">
            <v>-7.0339077863129207E-2</v>
          </cell>
          <cell r="Y134">
            <v>-0.12000272555005642</v>
          </cell>
          <cell r="Z134">
            <v>-9.80856407505033E-2</v>
          </cell>
          <cell r="AA134">
            <v>0.7988339460016185</v>
          </cell>
          <cell r="AB134">
            <v>-5.8918089124324946E-2</v>
          </cell>
          <cell r="AC134">
            <v>2.6730293180116549E-2</v>
          </cell>
          <cell r="AD134">
            <v>6.1000000000000004E-3</v>
          </cell>
          <cell r="AE134">
            <v>6.1000000000000004E-3</v>
          </cell>
          <cell r="AF134">
            <v>6.1000000000000004E-3</v>
          </cell>
          <cell r="AG134">
            <v>6.1000000000000004E-3</v>
          </cell>
          <cell r="AH134">
            <v>6.1000000000000004E-3</v>
          </cell>
          <cell r="AI134">
            <v>6.1000000000000004E-3</v>
          </cell>
          <cell r="AJ134">
            <v>6.1000000000000004E-3</v>
          </cell>
          <cell r="AK134">
            <v>6.1000000000000004E-3</v>
          </cell>
          <cell r="AL134">
            <v>6.1000000000000004E-3</v>
          </cell>
          <cell r="AM134">
            <v>6.1000000000000004E-3</v>
          </cell>
        </row>
        <row r="135"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-0.32353719306042195</v>
          </cell>
          <cell r="I135">
            <v>-0.35041257426816008</v>
          </cell>
          <cell r="J135">
            <v>4.0841587416871494E-2</v>
          </cell>
          <cell r="K135">
            <v>6.6696489799833447E-2</v>
          </cell>
          <cell r="L135">
            <v>0.15640524475769313</v>
          </cell>
          <cell r="M135">
            <v>-0.13144781159708141</v>
          </cell>
          <cell r="N135">
            <v>0.14525224645214863</v>
          </cell>
          <cell r="O135">
            <v>-0.52221208809645425</v>
          </cell>
          <cell r="P135">
            <v>-0.18674710390120031</v>
          </cell>
          <cell r="Q135" t="e">
            <v>#VALUE!</v>
          </cell>
          <cell r="R135" t="str">
            <v/>
          </cell>
          <cell r="S135">
            <v>0.21784582458739754</v>
          </cell>
          <cell r="T135">
            <v>-1</v>
          </cell>
          <cell r="U135" t="str">
            <v/>
          </cell>
          <cell r="V135" t="str">
            <v/>
          </cell>
          <cell r="W135">
            <v>-0.32107201309328981</v>
          </cell>
          <cell r="X135">
            <v>1.3437237781517766</v>
          </cell>
          <cell r="Y135">
            <v>-0.59581976744186038</v>
          </cell>
          <cell r="Z135">
            <v>1.043726235741445</v>
          </cell>
          <cell r="AA135">
            <v>-2.0744680851063735E-2</v>
          </cell>
          <cell r="AB135">
            <v>1.6637762844136135</v>
          </cell>
          <cell r="AC135">
            <v>0.51696506800951925</v>
          </cell>
          <cell r="AD135">
            <v>6.1000000000000004E-3</v>
          </cell>
          <cell r="AE135">
            <v>6.1000000000000004E-3</v>
          </cell>
          <cell r="AF135">
            <v>6.1000000000000004E-3</v>
          </cell>
          <cell r="AG135">
            <v>6.1000000000000004E-3</v>
          </cell>
          <cell r="AH135">
            <v>6.1000000000000004E-3</v>
          </cell>
          <cell r="AI135">
            <v>6.1000000000000004E-3</v>
          </cell>
          <cell r="AJ135">
            <v>6.1000000000000004E-3</v>
          </cell>
          <cell r="AK135">
            <v>6.1000000000000004E-3</v>
          </cell>
          <cell r="AL135">
            <v>6.1000000000000004E-3</v>
          </cell>
          <cell r="AM135">
            <v>6.1000000000000004E-3</v>
          </cell>
        </row>
        <row r="136"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>
            <v>3.7372299904246731E-2</v>
          </cell>
          <cell r="S136">
            <v>4.0527472527472463E-2</v>
          </cell>
          <cell r="T136">
            <v>7.468064199148472E-3</v>
          </cell>
          <cell r="U136">
            <v>-1.3896721072766738E-2</v>
          </cell>
          <cell r="V136">
            <v>-0.14752067346486297</v>
          </cell>
          <cell r="W136">
            <v>-4.3771012071679327E-2</v>
          </cell>
          <cell r="X136">
            <v>-5.560917114380215E-2</v>
          </cell>
          <cell r="Y136">
            <v>-9.0362189254210135E-2</v>
          </cell>
          <cell r="Z136">
            <v>2.2549079564288697</v>
          </cell>
          <cell r="AA136">
            <v>0.39745173030379655</v>
          </cell>
          <cell r="AB136">
            <v>-0.71391473168227937</v>
          </cell>
          <cell r="AC136">
            <v>-1.3911534052748808E-2</v>
          </cell>
          <cell r="AD136">
            <v>6.1000000000000004E-3</v>
          </cell>
          <cell r="AE136">
            <v>6.1000000000000004E-3</v>
          </cell>
          <cell r="AF136">
            <v>6.1000000000000004E-3</v>
          </cell>
          <cell r="AG136">
            <v>6.1000000000000004E-3</v>
          </cell>
          <cell r="AH136">
            <v>6.1000000000000004E-3</v>
          </cell>
          <cell r="AI136">
            <v>6.1000000000000004E-3</v>
          </cell>
          <cell r="AJ136">
            <v>6.1000000000000004E-3</v>
          </cell>
          <cell r="AK136">
            <v>6.1000000000000004E-3</v>
          </cell>
          <cell r="AL136">
            <v>6.1000000000000004E-3</v>
          </cell>
          <cell r="AM136">
            <v>6.1000000000000004E-3</v>
          </cell>
        </row>
        <row r="137">
          <cell r="D137" t="str">
            <v/>
          </cell>
          <cell r="E137">
            <v>1.6652323539564806E-2</v>
          </cell>
          <cell r="F137">
            <v>-6.7057399180821209E-2</v>
          </cell>
          <cell r="G137">
            <v>9.3017854684214196E-2</v>
          </cell>
          <cell r="H137">
            <v>-0.17627806345033681</v>
          </cell>
          <cell r="I137">
            <v>-0.26037730493906652</v>
          </cell>
          <cell r="J137">
            <v>0.10568946668109458</v>
          </cell>
          <cell r="K137">
            <v>0.26581773303103229</v>
          </cell>
          <cell r="L137">
            <v>1.0424754286520344E-2</v>
          </cell>
          <cell r="M137">
            <v>-3.9558642565086233E-3</v>
          </cell>
          <cell r="N137">
            <v>-0.83207442853851321</v>
          </cell>
          <cell r="O137">
            <v>9.0817617039843812E-2</v>
          </cell>
          <cell r="P137">
            <v>-0.11326588500492418</v>
          </cell>
          <cell r="Q137">
            <v>3.6074822344604316</v>
          </cell>
          <cell r="R137">
            <v>1.9608484138832205E-2</v>
          </cell>
          <cell r="S137">
            <v>6.239235938603982E-2</v>
          </cell>
          <cell r="T137">
            <v>-7.7204086231966396E-2</v>
          </cell>
          <cell r="U137">
            <v>3.8900565995700465E-2</v>
          </cell>
          <cell r="V137">
            <v>-0.15823792582059137</v>
          </cell>
          <cell r="W137">
            <v>-1.7683928015637784E-2</v>
          </cell>
          <cell r="X137">
            <v>-3.0924615741744543E-2</v>
          </cell>
          <cell r="Y137">
            <v>-0.13068185792528586</v>
          </cell>
          <cell r="Z137">
            <v>-8.0664432809810616E-2</v>
          </cell>
          <cell r="AA137">
            <v>-0.28135137711753011</v>
          </cell>
          <cell r="AB137">
            <v>1.2098238746677716</v>
          </cell>
          <cell r="AC137">
            <v>-0.275872815741111</v>
          </cell>
          <cell r="AD137">
            <v>6.1000000000000004E-3</v>
          </cell>
          <cell r="AE137">
            <v>6.1000000000000004E-3</v>
          </cell>
          <cell r="AF137">
            <v>6.1000000000000004E-3</v>
          </cell>
          <cell r="AG137">
            <v>6.1000000000000004E-3</v>
          </cell>
          <cell r="AH137">
            <v>6.1000000000000004E-3</v>
          </cell>
          <cell r="AI137">
            <v>6.1000000000000004E-3</v>
          </cell>
          <cell r="AJ137">
            <v>6.1000000000000004E-3</v>
          </cell>
          <cell r="AK137">
            <v>6.1000000000000004E-3</v>
          </cell>
          <cell r="AL137">
            <v>6.1000000000000004E-3</v>
          </cell>
          <cell r="AM137">
            <v>6.1000000000000004E-3</v>
          </cell>
        </row>
        <row r="139"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>
            <v>3.5097209820296182E-3</v>
          </cell>
          <cell r="S139">
            <v>7.0950620195255665E-2</v>
          </cell>
          <cell r="T139">
            <v>-6.5939463744304372E-2</v>
          </cell>
          <cell r="U139">
            <v>2.9600443037500757E-3</v>
          </cell>
          <cell r="V139">
            <v>-0.14368585382094456</v>
          </cell>
          <cell r="W139">
            <v>-4.9205258410250585E-2</v>
          </cell>
          <cell r="X139">
            <v>-7.268758950557852E-2</v>
          </cell>
          <cell r="Y139">
            <v>-0.13195864163801485</v>
          </cell>
          <cell r="Z139">
            <v>-3.2820166003384443E-2</v>
          </cell>
          <cell r="AA139">
            <v>0.39143223467293109</v>
          </cell>
          <cell r="AB139">
            <v>0.24758874933077002</v>
          </cell>
          <cell r="AC139">
            <v>-9.0904745668898279E-3</v>
          </cell>
          <cell r="AD139">
            <v>5.0999999999999997E-2</v>
          </cell>
          <cell r="AE139">
            <v>0.05</v>
          </cell>
          <cell r="AF139">
            <v>0.05</v>
          </cell>
          <cell r="AG139">
            <v>0.05</v>
          </cell>
          <cell r="AH139">
            <v>0.05</v>
          </cell>
          <cell r="AI139">
            <v>0.05</v>
          </cell>
          <cell r="AJ139">
            <v>0.05</v>
          </cell>
          <cell r="AK139">
            <v>0.05</v>
          </cell>
          <cell r="AL139">
            <v>0.05</v>
          </cell>
          <cell r="AM139">
            <v>0.05</v>
          </cell>
        </row>
        <row r="140"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>
            <v>-1.5443364872511633E-2</v>
          </cell>
          <cell r="S140">
            <v>9.032967032967032E-2</v>
          </cell>
          <cell r="T140">
            <v>-9.5108259823576624E-2</v>
          </cell>
          <cell r="U140">
            <v>1.5453519145707251E-2</v>
          </cell>
          <cell r="V140">
            <v>-0.1461476561981021</v>
          </cell>
          <cell r="W140">
            <v>-5.9898428347300969E-2</v>
          </cell>
          <cell r="X140">
            <v>-7.4413378305338673E-2</v>
          </cell>
          <cell r="Y140">
            <v>-0.14735644282091598</v>
          </cell>
          <cell r="Z140">
            <v>-0.10372384481042807</v>
          </cell>
          <cell r="AA140">
            <v>0.51476192191259185</v>
          </cell>
          <cell r="AB140">
            <v>0.14009791104707459</v>
          </cell>
          <cell r="AC140">
            <v>1.8394949130607241E-2</v>
          </cell>
          <cell r="AD140">
            <v>5.0999999999999997E-2</v>
          </cell>
          <cell r="AE140">
            <v>0.05</v>
          </cell>
          <cell r="AF140">
            <v>0.05</v>
          </cell>
          <cell r="AG140">
            <v>0.05</v>
          </cell>
          <cell r="AH140">
            <v>0.05</v>
          </cell>
          <cell r="AI140">
            <v>0.05</v>
          </cell>
          <cell r="AJ140">
            <v>0.05</v>
          </cell>
          <cell r="AK140">
            <v>0.05</v>
          </cell>
          <cell r="AL140">
            <v>0.05</v>
          </cell>
          <cell r="AM140">
            <v>0.05</v>
          </cell>
        </row>
        <row r="141"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>
            <v>-1.5394610711452317E-2</v>
          </cell>
          <cell r="S141">
            <v>7.5271997119067624E-2</v>
          </cell>
          <cell r="T141">
            <v>-9.3234229701877558E-2</v>
          </cell>
          <cell r="U141">
            <v>2.9391117370919373E-2</v>
          </cell>
          <cell r="V141">
            <v>-0.14797136881159867</v>
          </cell>
          <cell r="W141">
            <v>-3.8416937853514743E-2</v>
          </cell>
          <cell r="X141">
            <v>-6.7792096573224159E-2</v>
          </cell>
          <cell r="Y141">
            <v>-0.11682650659767402</v>
          </cell>
          <cell r="Z141">
            <v>-8.5411827206771318E-2</v>
          </cell>
          <cell r="AA141">
            <v>0.49362353243542878</v>
          </cell>
          <cell r="AB141">
            <v>0.18838698777141016</v>
          </cell>
          <cell r="AC141">
            <v>4.9026282382467645E-2</v>
          </cell>
          <cell r="AD141">
            <v>5.0999999999999997E-2</v>
          </cell>
          <cell r="AE141">
            <v>0.05</v>
          </cell>
          <cell r="AF141">
            <v>0.05</v>
          </cell>
          <cell r="AG141">
            <v>0.05</v>
          </cell>
          <cell r="AH141">
            <v>0.05</v>
          </cell>
          <cell r="AI141">
            <v>0.05</v>
          </cell>
          <cell r="AJ141">
            <v>0.05</v>
          </cell>
          <cell r="AK141">
            <v>0.05</v>
          </cell>
          <cell r="AL141">
            <v>0.05</v>
          </cell>
          <cell r="AM141">
            <v>0.05</v>
          </cell>
        </row>
        <row r="142"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>
            <v>-0.10957333356069077</v>
          </cell>
          <cell r="S142">
            <v>5.2805972653302558E-3</v>
          </cell>
          <cell r="T142">
            <v>-2.577481894651612E-2</v>
          </cell>
          <cell r="U142">
            <v>-7.5563727600743702E-3</v>
          </cell>
          <cell r="V142">
            <v>-0.30831846281346309</v>
          </cell>
          <cell r="W142">
            <v>0.22239971547521886</v>
          </cell>
          <cell r="X142">
            <v>0.17382350777840538</v>
          </cell>
          <cell r="Y142">
            <v>0.23470253187641088</v>
          </cell>
          <cell r="Z142">
            <v>-0.17398673734180581</v>
          </cell>
          <cell r="AA142">
            <v>0.41178808491834418</v>
          </cell>
          <cell r="AB142">
            <v>0.17683203919133472</v>
          </cell>
          <cell r="AC142">
            <v>0.43745096437302333</v>
          </cell>
          <cell r="AD142">
            <v>6.8699999999999997E-2</v>
          </cell>
          <cell r="AE142">
            <v>6.8699999999999997E-2</v>
          </cell>
          <cell r="AF142">
            <v>6.8699999999999997E-2</v>
          </cell>
          <cell r="AG142">
            <v>6.8699999999999997E-2</v>
          </cell>
          <cell r="AH142">
            <v>6.8699999999999997E-2</v>
          </cell>
          <cell r="AI142">
            <v>6.8699999999999997E-2</v>
          </cell>
          <cell r="AJ142">
            <v>6.8699999999999997E-2</v>
          </cell>
          <cell r="AK142">
            <v>6.8699999999999997E-2</v>
          </cell>
          <cell r="AL142">
            <v>6.8699999999999997E-2</v>
          </cell>
          <cell r="AM142">
            <v>6.8699999999999997E-2</v>
          </cell>
        </row>
        <row r="143"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>
            <v>-6.9853014489722476E-3</v>
          </cell>
          <cell r="S143">
            <v>4.0608611600501776E-2</v>
          </cell>
          <cell r="T143">
            <v>-0.12013545142174198</v>
          </cell>
          <cell r="U143">
            <v>1.2954354966097759E-2</v>
          </cell>
          <cell r="V143">
            <v>-0.15279258230415926</v>
          </cell>
          <cell r="W143">
            <v>-7.9406365582143201E-2</v>
          </cell>
          <cell r="X143">
            <v>-5.9697111840275707E-2</v>
          </cell>
          <cell r="Y143">
            <v>-0.14553395701487271</v>
          </cell>
          <cell r="Z143">
            <v>-0.17248639506209085</v>
          </cell>
          <cell r="AA143">
            <v>0.54003852319845613</v>
          </cell>
          <cell r="AB143">
            <v>0.19921176422096587</v>
          </cell>
          <cell r="AC143">
            <v>-2.5271458174022099E-3</v>
          </cell>
          <cell r="AD143">
            <v>6.1000000000000004E-3</v>
          </cell>
          <cell r="AE143">
            <v>6.1000000000000004E-3</v>
          </cell>
          <cell r="AF143">
            <v>6.1000000000000004E-3</v>
          </cell>
          <cell r="AG143">
            <v>6.1000000000000004E-3</v>
          </cell>
          <cell r="AH143">
            <v>6.1000000000000004E-3</v>
          </cell>
          <cell r="AI143">
            <v>6.1000000000000004E-3</v>
          </cell>
          <cell r="AJ143">
            <v>6.1000000000000004E-3</v>
          </cell>
          <cell r="AK143">
            <v>6.1000000000000004E-3</v>
          </cell>
          <cell r="AL143">
            <v>6.1000000000000004E-3</v>
          </cell>
          <cell r="AM143">
            <v>6.1000000000000004E-3</v>
          </cell>
        </row>
        <row r="144"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>
            <v>9.8217674156210855E-2</v>
          </cell>
          <cell r="P144">
            <v>7.8336924884889081E-2</v>
          </cell>
          <cell r="Q144">
            <v>-0.31614076326440321</v>
          </cell>
          <cell r="R144">
            <v>-1.041432913352236E-3</v>
          </cell>
          <cell r="S144">
            <v>6.1731187063886805E-2</v>
          </cell>
          <cell r="T144">
            <v>-9.3608166249542935E-2</v>
          </cell>
          <cell r="U144">
            <v>2.4506631532718481E-2</v>
          </cell>
          <cell r="V144">
            <v>-0.14618249298862807</v>
          </cell>
          <cell r="W144">
            <v>-4.4294771177639136E-2</v>
          </cell>
          <cell r="X144">
            <v>-5.867745160021931E-2</v>
          </cell>
          <cell r="Y144">
            <v>-0.12997499047756444</v>
          </cell>
          <cell r="Z144">
            <v>-0.14036923839650861</v>
          </cell>
          <cell r="AA144">
            <v>0.40545873430807355</v>
          </cell>
          <cell r="AB144">
            <v>0.16562936811732221</v>
          </cell>
          <cell r="AC144">
            <v>2.0399676391590349E-2</v>
          </cell>
          <cell r="AD144">
            <v>6.8699999999999997E-2</v>
          </cell>
          <cell r="AE144">
            <v>6.8699999999999997E-2</v>
          </cell>
          <cell r="AF144">
            <v>6.8699999999999997E-2</v>
          </cell>
          <cell r="AG144">
            <v>6.8699999999999997E-2</v>
          </cell>
          <cell r="AH144">
            <v>6.8699999999999997E-2</v>
          </cell>
          <cell r="AI144">
            <v>6.8699999999999997E-2</v>
          </cell>
          <cell r="AJ144">
            <v>6.8699999999999997E-2</v>
          </cell>
          <cell r="AK144">
            <v>6.8699999999999997E-2</v>
          </cell>
          <cell r="AL144">
            <v>6.8699999999999997E-2</v>
          </cell>
          <cell r="AM144">
            <v>6.8699999999999997E-2</v>
          </cell>
        </row>
        <row r="145"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>
            <v>2.2629834478457234E-2</v>
          </cell>
          <cell r="S145">
            <v>7.6092376373626314E-2</v>
          </cell>
          <cell r="T145">
            <v>-8.1892861275020157E-2</v>
          </cell>
          <cell r="U145">
            <v>1.9010186838522403E-2</v>
          </cell>
          <cell r="V145">
            <v>-9.769282508192334E-2</v>
          </cell>
          <cell r="W145">
            <v>-2.0945358629058886E-2</v>
          </cell>
          <cell r="X145">
            <v>-7.4587264173846535E-2</v>
          </cell>
          <cell r="Y145">
            <v>-0.23820055519198957</v>
          </cell>
          <cell r="Z145">
            <v>8.3836284898421987E-3</v>
          </cell>
          <cell r="AA145">
            <v>0.38515521134256114</v>
          </cell>
          <cell r="AB145">
            <v>0.17085754861350666</v>
          </cell>
          <cell r="AC145">
            <v>4.4782424879549643E-2</v>
          </cell>
          <cell r="AD145">
            <v>6.8699999999999997E-2</v>
          </cell>
          <cell r="AE145">
            <v>6.8699999999999997E-2</v>
          </cell>
          <cell r="AF145">
            <v>6.8699999999999997E-2</v>
          </cell>
          <cell r="AG145">
            <v>6.8699999999999997E-2</v>
          </cell>
          <cell r="AH145">
            <v>6.8699999999999997E-2</v>
          </cell>
          <cell r="AI145">
            <v>6.8699999999999997E-2</v>
          </cell>
          <cell r="AJ145">
            <v>6.8699999999999997E-2</v>
          </cell>
          <cell r="AK145">
            <v>6.8699999999999997E-2</v>
          </cell>
          <cell r="AL145">
            <v>6.8699999999999997E-2</v>
          </cell>
          <cell r="AM145">
            <v>6.8699999999999997E-2</v>
          </cell>
        </row>
        <row r="146">
          <cell r="P146">
            <v>0.13905325443786998</v>
          </cell>
          <cell r="Q146">
            <v>9.740259740259738E-2</v>
          </cell>
          <cell r="R146">
            <v>8.9940828402366835E-2</v>
          </cell>
          <cell r="S146">
            <v>8.5776330076004381E-2</v>
          </cell>
          <cell r="T146">
            <v>7.0000000000000007E-2</v>
          </cell>
          <cell r="U146">
            <v>7.0093457943925186E-2</v>
          </cell>
          <cell r="V146">
            <v>3.5807860262008662E-2</v>
          </cell>
          <cell r="W146">
            <v>5.817875210792578E-2</v>
          </cell>
          <cell r="X146">
            <v>9.0836653386454191E-2</v>
          </cell>
          <cell r="Y146">
            <v>8.4733382030679261E-2</v>
          </cell>
          <cell r="Z146">
            <v>0.14141414141414144</v>
          </cell>
          <cell r="AB146">
            <v>0.14141414141414144</v>
          </cell>
          <cell r="AC146">
            <v>0.14141414141414144</v>
          </cell>
          <cell r="AD146">
            <v>5.0999999999999997E-2</v>
          </cell>
          <cell r="AE146">
            <v>0.05</v>
          </cell>
          <cell r="AF146">
            <v>0.05</v>
          </cell>
          <cell r="AG146">
            <v>0.05</v>
          </cell>
          <cell r="AH146">
            <v>0.05</v>
          </cell>
          <cell r="AI146">
            <v>0.05</v>
          </cell>
          <cell r="AJ146">
            <v>0.05</v>
          </cell>
          <cell r="AK146">
            <v>0.05</v>
          </cell>
          <cell r="AL146">
            <v>0.05</v>
          </cell>
          <cell r="AM146">
            <v>0.05</v>
          </cell>
        </row>
        <row r="148">
          <cell r="O148">
            <v>0.16639999999999999</v>
          </cell>
          <cell r="P148">
            <v>0.13880000000000001</v>
          </cell>
          <cell r="Q148">
            <v>0.12239999999999999</v>
          </cell>
          <cell r="R148">
            <v>0.114</v>
          </cell>
          <cell r="S148">
            <v>0.1484</v>
          </cell>
          <cell r="T148">
            <v>0.1608</v>
          </cell>
          <cell r="U148">
            <v>0.15681666666666666</v>
          </cell>
          <cell r="V148">
            <v>0.17265</v>
          </cell>
          <cell r="W148">
            <v>0.13269999999999998</v>
          </cell>
          <cell r="X148">
            <v>0.10250833333333334</v>
          </cell>
          <cell r="Y148">
            <v>9.3049999999999994E-2</v>
          </cell>
          <cell r="Z148">
            <v>0.110025</v>
          </cell>
          <cell r="AA148">
            <v>0.10511666666666666</v>
          </cell>
          <cell r="AB148">
            <v>7.8741666666666668E-2</v>
          </cell>
          <cell r="AC148">
            <v>7.0916666666667003E-2</v>
          </cell>
          <cell r="AD148">
            <v>5.1999999999999998E-2</v>
          </cell>
          <cell r="AE148">
            <v>5.1999999999999998E-2</v>
          </cell>
          <cell r="AF148">
            <v>5.1999999999999998E-2</v>
          </cell>
          <cell r="AG148">
            <v>5.1999999999999998E-2</v>
          </cell>
          <cell r="AH148">
            <v>5.1999999999999998E-2</v>
          </cell>
          <cell r="AI148">
            <v>5.1999999999999998E-2</v>
          </cell>
          <cell r="AJ148">
            <v>5.1999999999999998E-2</v>
          </cell>
          <cell r="AK148">
            <v>5.1999999999999998E-2</v>
          </cell>
          <cell r="AL148">
            <v>5.1999999999999998E-2</v>
          </cell>
          <cell r="AM148">
            <v>5.1999999999999998E-2</v>
          </cell>
        </row>
        <row r="149">
          <cell r="O149">
            <v>0.29882625047469508</v>
          </cell>
          <cell r="P149">
            <v>0.50942535713560888</v>
          </cell>
          <cell r="Q149">
            <v>-0.18844845869910659</v>
          </cell>
          <cell r="R149">
            <v>-1.3955236102277169E-2</v>
          </cell>
          <cell r="S149">
            <v>1.098997469905777</v>
          </cell>
          <cell r="T149">
            <v>-0.18992317911880185</v>
          </cell>
          <cell r="U149">
            <v>-0.6350422716227887</v>
          </cell>
          <cell r="V149">
            <v>-0.61099933207367241</v>
          </cell>
          <cell r="W149">
            <v>0.26622525713353312</v>
          </cell>
          <cell r="X149">
            <v>5.8198534187252493</v>
          </cell>
          <cell r="Y149">
            <v>0.26078686035725079</v>
          </cell>
          <cell r="Z149">
            <v>-0.42698598992718356</v>
          </cell>
          <cell r="AA149">
            <v>4.8036477343541398E-2</v>
          </cell>
          <cell r="AB149">
            <v>-0.11951711347159003</v>
          </cell>
          <cell r="AC149">
            <v>0.43912170036037063</v>
          </cell>
          <cell r="AD149">
            <v>5.1999999999999998E-2</v>
          </cell>
          <cell r="AE149">
            <v>5.1999999999999998E-2</v>
          </cell>
          <cell r="AF149">
            <v>5.1999999999999998E-2</v>
          </cell>
          <cell r="AG149">
            <v>5.1999999999999998E-2</v>
          </cell>
          <cell r="AH149">
            <v>5.1999999999999998E-2</v>
          </cell>
          <cell r="AI149">
            <v>5.1999999999999998E-2</v>
          </cell>
          <cell r="AJ149">
            <v>5.1999999999999998E-2</v>
          </cell>
          <cell r="AK149">
            <v>5.1999999999999998E-2</v>
          </cell>
          <cell r="AL149">
            <v>5.1999999999999998E-2</v>
          </cell>
          <cell r="AM149">
            <v>5.1999999999999998E-2</v>
          </cell>
        </row>
        <row r="150">
          <cell r="O150">
            <v>0.67674407529732128</v>
          </cell>
          <cell r="P150">
            <v>0.84373065194673036</v>
          </cell>
          <cell r="Q150">
            <v>-3.9080965305205863E-2</v>
          </cell>
          <cell r="R150">
            <v>8.115167588408799E-2</v>
          </cell>
          <cell r="S150">
            <v>-8.3804722239619267E-2</v>
          </cell>
          <cell r="T150">
            <v>3.1976354249528237E-2</v>
          </cell>
          <cell r="U150">
            <v>-0.19663600961140115</v>
          </cell>
          <cell r="V150">
            <v>-0.13944102934972583</v>
          </cell>
          <cell r="W150">
            <v>-0.14405480403473978</v>
          </cell>
          <cell r="X150">
            <v>0.2315105621705662</v>
          </cell>
          <cell r="Y150">
            <v>-0.4211828145858218</v>
          </cell>
          <cell r="Z150">
            <v>-9.2526103897632633E-2</v>
          </cell>
          <cell r="AA150">
            <v>0.53365034188330851</v>
          </cell>
          <cell r="AB150">
            <v>1.5330460161349808</v>
          </cell>
          <cell r="AC150">
            <v>0.19283715007648283</v>
          </cell>
          <cell r="AD150">
            <v>5.1999999999999998E-2</v>
          </cell>
          <cell r="AE150">
            <v>5.1999999999999998E-2</v>
          </cell>
          <cell r="AF150">
            <v>5.1999999999999998E-2</v>
          </cell>
          <cell r="AG150">
            <v>5.1999999999999998E-2</v>
          </cell>
          <cell r="AH150">
            <v>5.1999999999999998E-2</v>
          </cell>
          <cell r="AI150">
            <v>5.1999999999999998E-2</v>
          </cell>
          <cell r="AJ150">
            <v>5.1999999999999998E-2</v>
          </cell>
          <cell r="AK150">
            <v>5.1999999999999998E-2</v>
          </cell>
          <cell r="AL150">
            <v>5.1999999999999998E-2</v>
          </cell>
          <cell r="AM150">
            <v>5.1999999999999998E-2</v>
          </cell>
        </row>
        <row r="151">
          <cell r="O151">
            <v>-0.70992421899979985</v>
          </cell>
          <cell r="P151">
            <v>4.2946288972906679</v>
          </cell>
          <cell r="Q151">
            <v>0.57782344361927895</v>
          </cell>
          <cell r="R151">
            <v>-1.2706967616593428</v>
          </cell>
          <cell r="S151">
            <v>1.5468377908941582</v>
          </cell>
          <cell r="T151">
            <v>-0.10512073763146723</v>
          </cell>
          <cell r="U151">
            <v>2.0844961240310078</v>
          </cell>
          <cell r="V151">
            <v>7.8660406885759038E-2</v>
          </cell>
          <cell r="W151">
            <v>-0.75971795335382386</v>
          </cell>
          <cell r="X151">
            <v>-0.28992556080175191</v>
          </cell>
          <cell r="Y151">
            <v>-0.11640271005048979</v>
          </cell>
          <cell r="Z151">
            <v>0.15822113423092618</v>
          </cell>
          <cell r="AA151">
            <v>-0.16085094094431343</v>
          </cell>
          <cell r="AB151">
            <v>-0.12673004079254077</v>
          </cell>
          <cell r="AC151">
            <v>-8.3295995778741916E-2</v>
          </cell>
          <cell r="AD151">
            <v>5.1999999999999998E-2</v>
          </cell>
          <cell r="AE151">
            <v>5.1999999999999998E-2</v>
          </cell>
          <cell r="AF151">
            <v>5.1999999999999998E-2</v>
          </cell>
          <cell r="AG151">
            <v>5.1999999999999998E-2</v>
          </cell>
          <cell r="AH151">
            <v>5.1999999999999998E-2</v>
          </cell>
          <cell r="AI151">
            <v>5.1999999999999998E-2</v>
          </cell>
          <cell r="AJ151">
            <v>5.1999999999999998E-2</v>
          </cell>
          <cell r="AK151">
            <v>5.1999999999999998E-2</v>
          </cell>
          <cell r="AL151">
            <v>5.1999999999999998E-2</v>
          </cell>
          <cell r="AM151">
            <v>5.1999999999999998E-2</v>
          </cell>
        </row>
        <row r="152">
          <cell r="O152">
            <v>-0.56674081610695071</v>
          </cell>
          <cell r="P152">
            <v>2.2266361740037386</v>
          </cell>
          <cell r="Q152">
            <v>-0.1616304224135498</v>
          </cell>
          <cell r="R152">
            <v>-0.16689273419181258</v>
          </cell>
          <cell r="S152">
            <v>0.65789209283633088</v>
          </cell>
          <cell r="T152">
            <v>-0.47544740973312377</v>
          </cell>
          <cell r="U152">
            <v>-0.32121443177485887</v>
          </cell>
          <cell r="V152">
            <v>5.439879091098606E-2</v>
          </cell>
          <cell r="W152">
            <v>-5.026069816007412E-2</v>
          </cell>
          <cell r="X152">
            <v>7.0140042300371436E-2</v>
          </cell>
          <cell r="Y152">
            <v>0.37651184994557063</v>
          </cell>
          <cell r="Z152">
            <v>-6.3103748381705432E-2</v>
          </cell>
          <cell r="AA152">
            <v>0.32097692178268539</v>
          </cell>
          <cell r="AB152">
            <v>0.10713318309232708</v>
          </cell>
          <cell r="AC152">
            <v>0.10532438778972147</v>
          </cell>
          <cell r="AD152">
            <v>5.1999999999999998E-2</v>
          </cell>
          <cell r="AE152">
            <v>5.1999999999999998E-2</v>
          </cell>
          <cell r="AF152">
            <v>5.1999999999999998E-2</v>
          </cell>
          <cell r="AG152">
            <v>5.1999999999999998E-2</v>
          </cell>
          <cell r="AH152">
            <v>5.1999999999999998E-2</v>
          </cell>
          <cell r="AI152">
            <v>5.1999999999999998E-2</v>
          </cell>
          <cell r="AJ152">
            <v>5.1999999999999998E-2</v>
          </cell>
          <cell r="AK152">
            <v>5.1999999999999998E-2</v>
          </cell>
          <cell r="AL152">
            <v>5.1999999999999998E-2</v>
          </cell>
          <cell r="AM152">
            <v>5.1999999999999998E-2</v>
          </cell>
        </row>
        <row r="153">
          <cell r="O153">
            <v>0.24750949822184479</v>
          </cell>
          <cell r="P153">
            <v>-0.14180577351302115</v>
          </cell>
          <cell r="Q153">
            <v>7.7754109947095473E-2</v>
          </cell>
          <cell r="R153">
            <v>-1.1577036882216757E-2</v>
          </cell>
          <cell r="S153">
            <v>0.49763639195020964</v>
          </cell>
          <cell r="T153">
            <v>-0.29871311070340228</v>
          </cell>
          <cell r="U153">
            <v>-0.36885064666750261</v>
          </cell>
          <cell r="V153">
            <v>-0.43743207617568197</v>
          </cell>
          <cell r="W153">
            <v>1.6171661619332534E-2</v>
          </cell>
          <cell r="X153">
            <v>0.14763665135603396</v>
          </cell>
          <cell r="Y153">
            <v>-0.34011469126538313</v>
          </cell>
          <cell r="Z153">
            <v>-6.4559770937888353E-2</v>
          </cell>
          <cell r="AA153">
            <v>0.10052713526557157</v>
          </cell>
          <cell r="AB153">
            <v>-0.17081874195998012</v>
          </cell>
          <cell r="AC153">
            <v>-4.9325387416811313E-2</v>
          </cell>
          <cell r="AD153">
            <v>0.1</v>
          </cell>
          <cell r="AE153">
            <v>0.1</v>
          </cell>
          <cell r="AF153">
            <v>0.1</v>
          </cell>
          <cell r="AG153">
            <v>0.1</v>
          </cell>
          <cell r="AH153">
            <v>0.1</v>
          </cell>
          <cell r="AI153">
            <v>0.1</v>
          </cell>
          <cell r="AJ153">
            <v>0.1</v>
          </cell>
          <cell r="AK153">
            <v>0.1</v>
          </cell>
          <cell r="AL153">
            <v>0.1</v>
          </cell>
          <cell r="AM153">
            <v>0.1</v>
          </cell>
        </row>
        <row r="154"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1.0666666666666667</v>
          </cell>
          <cell r="V154">
            <v>1.2294340987163261</v>
          </cell>
          <cell r="W154">
            <v>1.8657937806873977</v>
          </cell>
          <cell r="X154">
            <v>2.2152217379421453</v>
          </cell>
          <cell r="Y154">
            <v>2.441860465116279</v>
          </cell>
          <cell r="Z154">
            <v>3.2129277566539924</v>
          </cell>
          <cell r="AA154">
            <v>4.4946808510638299</v>
          </cell>
          <cell r="AB154">
            <v>5.2381106124689234</v>
          </cell>
          <cell r="AC154">
            <v>5.2973538809902037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</row>
        <row r="155">
          <cell r="O155">
            <v>135.8046151840424</v>
          </cell>
          <cell r="P155">
            <v>175.31495331362794</v>
          </cell>
          <cell r="Q155">
            <v>38.252737365885906</v>
          </cell>
          <cell r="R155">
            <v>0</v>
          </cell>
          <cell r="S155">
            <v>12.362637362637361</v>
          </cell>
          <cell r="T155">
            <v>1.4330553242265676</v>
          </cell>
          <cell r="U155">
            <v>0.24444444444444446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28.466472553129073</v>
          </cell>
          <cell r="AE155">
            <v>23.969371570684238</v>
          </cell>
          <cell r="AF155">
            <v>16.390550504490005</v>
          </cell>
          <cell r="AG155">
            <v>16.390550504490005</v>
          </cell>
          <cell r="AH155">
            <v>16.390550504490005</v>
          </cell>
          <cell r="AI155">
            <v>16.390550504490005</v>
          </cell>
          <cell r="AJ155">
            <v>16.390550504490005</v>
          </cell>
          <cell r="AK155">
            <v>16.390550504490005</v>
          </cell>
          <cell r="AL155">
            <v>16.390550504490005</v>
          </cell>
          <cell r="AM155">
            <v>16.390550504490005</v>
          </cell>
        </row>
        <row r="156">
          <cell r="O156">
            <v>36.716860052438669</v>
          </cell>
          <cell r="P156">
            <v>60.124263238908711</v>
          </cell>
          <cell r="Q156">
            <v>32.942951397602016</v>
          </cell>
          <cell r="R156">
            <v>29.22468176185647</v>
          </cell>
          <cell r="S156">
            <v>38.349175824175795</v>
          </cell>
          <cell r="T156">
            <v>44.769534883720937</v>
          </cell>
          <cell r="U156">
            <v>39.244444444444426</v>
          </cell>
          <cell r="V156">
            <v>26.72211173386367</v>
          </cell>
          <cell r="W156">
            <v>26.677577741407529</v>
          </cell>
          <cell r="X156">
            <v>3.2796789366935917</v>
          </cell>
          <cell r="Y156">
            <v>24.860465116279091</v>
          </cell>
          <cell r="Z156">
            <v>17.309885931558927</v>
          </cell>
          <cell r="AA156">
            <v>21.15691489361701</v>
          </cell>
          <cell r="AB156">
            <v>29.35350265957447</v>
          </cell>
          <cell r="AC156">
            <v>29.35350265957447</v>
          </cell>
          <cell r="AD156">
            <v>29.712707635855239</v>
          </cell>
          <cell r="AE156">
            <v>29.893955152433957</v>
          </cell>
          <cell r="AF156">
            <v>30.076308278863802</v>
          </cell>
          <cell r="AG156">
            <v>30.076308278863802</v>
          </cell>
          <cell r="AH156">
            <v>30.076308278863802</v>
          </cell>
          <cell r="AI156">
            <v>30.076308278863802</v>
          </cell>
          <cell r="AJ156">
            <v>30.076308278863802</v>
          </cell>
          <cell r="AK156">
            <v>30.076308278863802</v>
          </cell>
          <cell r="AL156">
            <v>30.076308278863802</v>
          </cell>
          <cell r="AM156">
            <v>30.076308278863802</v>
          </cell>
        </row>
        <row r="157">
          <cell r="O157">
            <v>95.461590833369556</v>
          </cell>
          <cell r="P157">
            <v>146.56330097019296</v>
          </cell>
          <cell r="Q157">
            <v>100.40578503797732</v>
          </cell>
          <cell r="R157">
            <v>69.561788892643904</v>
          </cell>
          <cell r="S157">
            <v>85.989010989010993</v>
          </cell>
          <cell r="T157">
            <v>97.674418604651166</v>
          </cell>
          <cell r="U157">
            <v>88.666666666666671</v>
          </cell>
          <cell r="V157">
            <v>92.388356535888647</v>
          </cell>
          <cell r="W157">
            <v>77.250409165302784</v>
          </cell>
          <cell r="X157">
            <v>71.635092564622624</v>
          </cell>
          <cell r="Y157">
            <v>39.883720930232563</v>
          </cell>
          <cell r="Z157">
            <v>34.79087452471483</v>
          </cell>
          <cell r="AA157">
            <v>70.34574468085107</v>
          </cell>
          <cell r="AB157">
            <v>62.454395764052556</v>
          </cell>
          <cell r="AC157">
            <v>65.354928058370263</v>
          </cell>
          <cell r="AD157">
            <v>90</v>
          </cell>
          <cell r="AE157">
            <v>90</v>
          </cell>
          <cell r="AF157">
            <v>90</v>
          </cell>
          <cell r="AG157">
            <v>90</v>
          </cell>
          <cell r="AH157">
            <v>90</v>
          </cell>
          <cell r="AI157">
            <v>90</v>
          </cell>
          <cell r="AJ157">
            <v>90</v>
          </cell>
          <cell r="AK157">
            <v>90</v>
          </cell>
          <cell r="AL157">
            <v>90</v>
          </cell>
          <cell r="AM157">
            <v>90</v>
          </cell>
        </row>
        <row r="159">
          <cell r="O159">
            <v>-0.38363764734633943</v>
          </cell>
          <cell r="P159">
            <v>-0.31220742942334112</v>
          </cell>
          <cell r="Q159">
            <v>-0.31677722265329133</v>
          </cell>
          <cell r="R159">
            <v>6.6650375946817997E-2</v>
          </cell>
          <cell r="S159">
            <v>0.49088565737040701</v>
          </cell>
          <cell r="T159">
            <v>-0.12258249904872853</v>
          </cell>
          <cell r="U159">
            <v>0.2069922128452788</v>
          </cell>
          <cell r="V159">
            <v>-0.26671181934284172</v>
          </cell>
          <cell r="W159">
            <v>3.9585323746460368</v>
          </cell>
          <cell r="X159">
            <v>-0.99582914604289885</v>
          </cell>
          <cell r="Y159">
            <v>-126.44608397204058</v>
          </cell>
          <cell r="Z159">
            <v>-1.6485889718094877</v>
          </cell>
          <cell r="AA159">
            <v>-2.7642865822672942</v>
          </cell>
          <cell r="AB159">
            <v>-1.0947087706509222</v>
          </cell>
          <cell r="AC159">
            <v>0</v>
          </cell>
          <cell r="AD159">
            <v>2.5600000000000001E-2</v>
          </cell>
          <cell r="AE159">
            <v>2.5600000000000001E-2</v>
          </cell>
          <cell r="AF159">
            <v>2.5600000000000001E-2</v>
          </cell>
          <cell r="AG159">
            <v>2.5600000000000001E-2</v>
          </cell>
          <cell r="AH159">
            <v>2.5600000000000001E-2</v>
          </cell>
          <cell r="AI159">
            <v>2.5600000000000001E-2</v>
          </cell>
          <cell r="AJ159">
            <v>2.5600000000000001E-2</v>
          </cell>
          <cell r="AK159">
            <v>2.5600000000000001E-2</v>
          </cell>
          <cell r="AL159">
            <v>2.5600000000000001E-2</v>
          </cell>
          <cell r="AM159">
            <v>2.5600000000000001E-2</v>
          </cell>
        </row>
        <row r="160">
          <cell r="O160">
            <v>0.12437529877015341</v>
          </cell>
          <cell r="P160">
            <v>0.18335723460530184</v>
          </cell>
          <cell r="Q160">
            <v>-0.16689418931182343</v>
          </cell>
          <cell r="R160">
            <v>7.9287296759413817E-3</v>
          </cell>
          <cell r="S160">
            <v>1.7907310081223038E-2</v>
          </cell>
          <cell r="T160">
            <v>-8.2945736434108519E-2</v>
          </cell>
          <cell r="U160">
            <v>2.9059829059828957E-2</v>
          </cell>
          <cell r="V160">
            <v>-0.18640390526125483</v>
          </cell>
          <cell r="W160">
            <v>-3.0102875847556776E-2</v>
          </cell>
          <cell r="X160">
            <v>-3.3213941512392209E-2</v>
          </cell>
          <cell r="Y160">
            <v>-2.0169133192388999E-2</v>
          </cell>
          <cell r="Z160">
            <v>-5.9885931558935401E-2</v>
          </cell>
          <cell r="AA160">
            <v>0.70305272895467175</v>
          </cell>
          <cell r="AB160">
            <v>0.16540212443095581</v>
          </cell>
          <cell r="AC160">
            <v>1.1310045339679498E-2</v>
          </cell>
          <cell r="AD160">
            <v>2.5600000000000001E-2</v>
          </cell>
          <cell r="AE160">
            <v>2.5600000000000001E-2</v>
          </cell>
          <cell r="AF160">
            <v>2.5600000000000001E-2</v>
          </cell>
          <cell r="AG160">
            <v>2.5600000000000001E-2</v>
          </cell>
          <cell r="AH160">
            <v>2.5600000000000001E-2</v>
          </cell>
          <cell r="AI160">
            <v>2.5600000000000001E-2</v>
          </cell>
          <cell r="AJ160">
            <v>2.5600000000000001E-2</v>
          </cell>
          <cell r="AK160">
            <v>2.5600000000000001E-2</v>
          </cell>
          <cell r="AL160">
            <v>2.5600000000000001E-2</v>
          </cell>
          <cell r="AM160">
            <v>2.5600000000000001E-2</v>
          </cell>
        </row>
        <row r="161">
          <cell r="O161">
            <v>-0.10601444876772581</v>
          </cell>
          <cell r="P161">
            <v>1.2191423985663365</v>
          </cell>
          <cell r="Q161">
            <v>1.6684047101346877</v>
          </cell>
          <cell r="R161">
            <v>-7.6612123620757533E-2</v>
          </cell>
          <cell r="S161">
            <v>-0.93448757800689897</v>
          </cell>
          <cell r="T161">
            <v>-0.1039731004615343</v>
          </cell>
          <cell r="U161">
            <v>-6.5751512967143988E-2</v>
          </cell>
          <cell r="V161">
            <v>-0.38650760747006307</v>
          </cell>
          <cell r="W161">
            <v>-0.14458940369621942</v>
          </cell>
          <cell r="X161">
            <v>-0.18312775952432458</v>
          </cell>
          <cell r="Y161">
            <v>0.10193866979937716</v>
          </cell>
          <cell r="Z161">
            <v>-0.58532048397538294</v>
          </cell>
          <cell r="AA161">
            <v>-1.6787206362680149</v>
          </cell>
          <cell r="AB161">
            <v>0.19432263139077577</v>
          </cell>
          <cell r="AC161">
            <v>0</v>
          </cell>
          <cell r="AD161">
            <v>2.5600000000000001E-2</v>
          </cell>
          <cell r="AE161">
            <v>2.5600000000000001E-2</v>
          </cell>
          <cell r="AF161">
            <v>2.5600000000000001E-2</v>
          </cell>
          <cell r="AG161">
            <v>2.5600000000000001E-2</v>
          </cell>
          <cell r="AH161">
            <v>2.5600000000000001E-2</v>
          </cell>
          <cell r="AI161">
            <v>2.5600000000000001E-2</v>
          </cell>
          <cell r="AJ161">
            <v>2.5600000000000001E-2</v>
          </cell>
          <cell r="AK161">
            <v>2.5600000000000001E-2</v>
          </cell>
          <cell r="AL161">
            <v>2.5600000000000001E-2</v>
          </cell>
          <cell r="AM161">
            <v>2.5600000000000001E-2</v>
          </cell>
        </row>
        <row r="163">
          <cell r="N163">
            <v>29.567502802148958</v>
          </cell>
          <cell r="O163">
            <v>120.48585459128243</v>
          </cell>
          <cell r="P163">
            <v>118.23240451471068</v>
          </cell>
          <cell r="Q163">
            <v>55.298157136124658</v>
          </cell>
          <cell r="R163">
            <v>97.977920468626778</v>
          </cell>
          <cell r="S163">
            <v>152.44505494505492</v>
          </cell>
          <cell r="T163">
            <v>128.67441860465115</v>
          </cell>
          <cell r="U163">
            <v>85.777777777777771</v>
          </cell>
          <cell r="V163">
            <v>77.255469173747969</v>
          </cell>
          <cell r="W163">
            <v>19.607201309328968</v>
          </cell>
          <cell r="X163">
            <v>186.07862598714019</v>
          </cell>
          <cell r="Y163">
            <v>365.55813953488376</v>
          </cell>
          <cell r="Z163">
            <v>181.74904942965779</v>
          </cell>
          <cell r="AA163">
            <v>149.60106382978725</v>
          </cell>
          <cell r="AB163">
            <v>226.10660898201658</v>
          </cell>
          <cell r="AC163">
            <v>348.08943697275868</v>
          </cell>
          <cell r="AD163">
            <v>100</v>
          </cell>
          <cell r="AE163">
            <v>100</v>
          </cell>
          <cell r="AF163">
            <v>100</v>
          </cell>
          <cell r="AG163">
            <v>100</v>
          </cell>
          <cell r="AH163">
            <v>100</v>
          </cell>
          <cell r="AI163">
            <v>100</v>
          </cell>
          <cell r="AJ163">
            <v>100</v>
          </cell>
          <cell r="AK163">
            <v>100</v>
          </cell>
          <cell r="AL163">
            <v>100</v>
          </cell>
          <cell r="AM163">
            <v>100</v>
          </cell>
        </row>
        <row r="164">
          <cell r="N164">
            <v>-1.3527615661113903</v>
          </cell>
          <cell r="O164">
            <v>-6.3737632726377242</v>
          </cell>
          <cell r="P164">
            <v>-1.5778345798226514</v>
          </cell>
          <cell r="Q164">
            <v>-8.6910219295292777</v>
          </cell>
          <cell r="R164">
            <v>-6.1112988622282298</v>
          </cell>
          <cell r="S164">
            <v>-3.5439560439560438</v>
          </cell>
          <cell r="T164">
            <v>-21.674418604651166</v>
          </cell>
          <cell r="U164">
            <v>-0.66666666666666663</v>
          </cell>
          <cell r="V164">
            <v>-1.2836738383655759</v>
          </cell>
          <cell r="W164">
            <v>-0.73649754500818332</v>
          </cell>
          <cell r="X164">
            <v>-2.6483263568233149</v>
          </cell>
          <cell r="Y164">
            <v>-12.790697674418606</v>
          </cell>
          <cell r="Z164">
            <v>-5.418250950570342</v>
          </cell>
          <cell r="AA164">
            <v>-10.50531914893617</v>
          </cell>
          <cell r="AB164">
            <v>-22.161237206599296</v>
          </cell>
          <cell r="AC164">
            <v>-12.067936356101944</v>
          </cell>
          <cell r="AD164">
            <v>6.0734232600000002</v>
          </cell>
          <cell r="AE164">
            <v>6.1104711418860003</v>
          </cell>
          <cell r="AF164">
            <v>6.1477450158515046</v>
          </cell>
          <cell r="AG164">
            <v>6.1477450158515046</v>
          </cell>
          <cell r="AH164">
            <v>6.1477450158515046</v>
          </cell>
          <cell r="AI164">
            <v>6.1477450158515046</v>
          </cell>
          <cell r="AJ164">
            <v>6.1477450158515046</v>
          </cell>
          <cell r="AK164">
            <v>6.1477450158515046</v>
          </cell>
          <cell r="AL164">
            <v>6.1477450158515046</v>
          </cell>
          <cell r="AM164">
            <v>6.1477450158515046</v>
          </cell>
        </row>
        <row r="165">
          <cell r="N165">
            <v>15.460132184130174</v>
          </cell>
          <cell r="O165">
            <v>-14.956614952269204</v>
          </cell>
          <cell r="P165">
            <v>15.042022994309276</v>
          </cell>
          <cell r="Q165">
            <v>60.010894379601808</v>
          </cell>
          <cell r="R165">
            <v>64.239044722316095</v>
          </cell>
          <cell r="S165">
            <v>81.92307692307692</v>
          </cell>
          <cell r="T165">
            <v>31.186046511627907</v>
          </cell>
          <cell r="U165">
            <v>26.666666666666668</v>
          </cell>
          <cell r="V165">
            <v>9.2026758271560318</v>
          </cell>
          <cell r="W165">
            <v>21.849427168576103</v>
          </cell>
          <cell r="X165">
            <v>19.045153123606497</v>
          </cell>
          <cell r="Y165">
            <v>11.267441860465118</v>
          </cell>
          <cell r="Z165">
            <v>5.8269961977186329</v>
          </cell>
          <cell r="AA165">
            <v>8.1515957446808525</v>
          </cell>
          <cell r="AB165">
            <v>9.4998869983534053</v>
          </cell>
          <cell r="AC165">
            <v>9.6073311510266137</v>
          </cell>
          <cell r="AD165">
            <v>1.5183558150000001</v>
          </cell>
          <cell r="AE165">
            <v>1.5276177854715001</v>
          </cell>
          <cell r="AF165">
            <v>1.5369362539628761</v>
          </cell>
          <cell r="AG165">
            <v>1.5369362539628761</v>
          </cell>
          <cell r="AH165">
            <v>1.5369362539628761</v>
          </cell>
          <cell r="AI165">
            <v>1.5369362539628761</v>
          </cell>
          <cell r="AJ165">
            <v>1.5369362539628761</v>
          </cell>
          <cell r="AK165">
            <v>1.5369362539628761</v>
          </cell>
          <cell r="AL165">
            <v>1.5369362539628761</v>
          </cell>
          <cell r="AM165">
            <v>1.5369362539628761</v>
          </cell>
        </row>
        <row r="166">
          <cell r="N166">
            <v>4.5220886638580762</v>
          </cell>
          <cell r="O166">
            <v>10.719510958527081</v>
          </cell>
          <cell r="P166">
            <v>-0.84151177590541404</v>
          </cell>
          <cell r="Q166">
            <v>-15.484708085710615</v>
          </cell>
          <cell r="R166">
            <v>16.925763208291087</v>
          </cell>
          <cell r="S166">
            <v>5.0824175824175821</v>
          </cell>
          <cell r="T166">
            <v>8.1395348837209305</v>
          </cell>
          <cell r="U166">
            <v>14.91111111111111</v>
          </cell>
          <cell r="V166">
            <v>19.273187488700053</v>
          </cell>
          <cell r="W166">
            <v>28.363338788870703</v>
          </cell>
          <cell r="X166">
            <v>77.662221838634039</v>
          </cell>
          <cell r="Y166">
            <v>178.87209302325581</v>
          </cell>
          <cell r="Z166">
            <v>153.16539923954375</v>
          </cell>
          <cell r="AA166">
            <v>214.26861702127664</v>
          </cell>
          <cell r="AB166">
            <v>249.70910147547866</v>
          </cell>
          <cell r="AC166">
            <v>252.53332273489696</v>
          </cell>
          <cell r="AD166">
            <v>200</v>
          </cell>
          <cell r="AE166">
            <v>200</v>
          </cell>
          <cell r="AF166">
            <v>200</v>
          </cell>
          <cell r="AG166">
            <v>200</v>
          </cell>
          <cell r="AH166">
            <v>200</v>
          </cell>
          <cell r="AI166">
            <v>200</v>
          </cell>
          <cell r="AJ166">
            <v>200</v>
          </cell>
          <cell r="AK166">
            <v>200</v>
          </cell>
          <cell r="AL166">
            <v>200</v>
          </cell>
          <cell r="AM166">
            <v>200</v>
          </cell>
        </row>
        <row r="167">
          <cell r="N167">
            <v>3.8650330460325441E-2</v>
          </cell>
          <cell r="O167">
            <v>0</v>
          </cell>
          <cell r="P167">
            <v>28.190644492831375</v>
          </cell>
          <cell r="Q167">
            <v>30.908211791635811</v>
          </cell>
          <cell r="R167">
            <v>28.613270248957978</v>
          </cell>
          <cell r="S167">
            <v>17.5</v>
          </cell>
          <cell r="T167">
            <v>17.02325581395349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</row>
        <row r="168">
          <cell r="N168">
            <v>-191.47373710045221</v>
          </cell>
          <cell r="O168">
            <v>-275.91876348992508</v>
          </cell>
          <cell r="P168">
            <v>-292.1448382018296</v>
          </cell>
          <cell r="Q168">
            <v>-268.93204477712425</v>
          </cell>
          <cell r="R168">
            <v>-351.2729525740678</v>
          </cell>
          <cell r="S168">
            <v>-475.74175824175825</v>
          </cell>
          <cell r="T168">
            <v>-400.46511627906978</v>
          </cell>
          <cell r="U168">
            <v>-237.02222222222221</v>
          </cell>
          <cell r="V168">
            <v>-127.13794973784127</v>
          </cell>
          <cell r="W168">
            <v>-127.03764320785598</v>
          </cell>
          <cell r="X168">
            <v>-381.4784447417253</v>
          </cell>
          <cell r="Y168">
            <v>-360.58139534883725</v>
          </cell>
          <cell r="Z168">
            <v>-277.50000000000006</v>
          </cell>
          <cell r="AA168">
            <v>-439.375</v>
          </cell>
          <cell r="AB168">
            <v>-512.04855842185123</v>
          </cell>
          <cell r="AC168">
            <v>-517.83985083371988</v>
          </cell>
          <cell r="AD168">
            <v>-400</v>
          </cell>
          <cell r="AE168">
            <v>-400</v>
          </cell>
          <cell r="AF168">
            <v>-400</v>
          </cell>
          <cell r="AG168">
            <v>-400</v>
          </cell>
          <cell r="AH168">
            <v>-400</v>
          </cell>
          <cell r="AI168">
            <v>-400</v>
          </cell>
          <cell r="AJ168">
            <v>-400</v>
          </cell>
          <cell r="AK168">
            <v>-400</v>
          </cell>
          <cell r="AL168">
            <v>-400</v>
          </cell>
          <cell r="AM168">
            <v>-400</v>
          </cell>
        </row>
        <row r="169">
          <cell r="N169">
            <v>28.214741236037568</v>
          </cell>
          <cell r="O169">
            <v>-130.51728883287703</v>
          </cell>
          <cell r="P169">
            <v>65.602855529959569</v>
          </cell>
          <cell r="Q169">
            <v>77.760164517372871</v>
          </cell>
          <cell r="R169">
            <v>70.660132927790912</v>
          </cell>
          <cell r="S169">
            <v>27.527472527472526</v>
          </cell>
          <cell r="T169">
            <v>-96.418604651162795</v>
          </cell>
          <cell r="U169">
            <v>77.644444444444446</v>
          </cell>
          <cell r="V169">
            <v>-30.591213162176821</v>
          </cell>
          <cell r="W169">
            <v>-96.873977086743039</v>
          </cell>
          <cell r="X169">
            <v>-44.994893482357341</v>
          </cell>
          <cell r="Y169">
            <v>100.63953488372094</v>
          </cell>
          <cell r="Z169">
            <v>60.684410646387832</v>
          </cell>
          <cell r="AA169">
            <v>84.893617021276597</v>
          </cell>
          <cell r="AB169">
            <v>98.935201627223705</v>
          </cell>
          <cell r="AC169">
            <v>100.05416324331793</v>
          </cell>
          <cell r="AD169">
            <v>10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</row>
        <row r="170">
          <cell r="N170">
            <v>-5.5656475862868628</v>
          </cell>
          <cell r="O170">
            <v>18.614285921226081</v>
          </cell>
          <cell r="P170">
            <v>-24.158400566617932</v>
          </cell>
          <cell r="Q170">
            <v>0.82625912710313554</v>
          </cell>
          <cell r="R170">
            <v>16.418835192069391</v>
          </cell>
          <cell r="S170">
            <v>-7.3351648351648349</v>
          </cell>
          <cell r="T170">
            <v>74.674418604651166</v>
          </cell>
          <cell r="U170">
            <v>-28.511111111111113</v>
          </cell>
          <cell r="V170">
            <v>-3.7244621225818122</v>
          </cell>
          <cell r="W170">
            <v>29.247135842880521</v>
          </cell>
          <cell r="X170">
            <v>20.1239948790978</v>
          </cell>
          <cell r="Y170">
            <v>-45.116279069767444</v>
          </cell>
          <cell r="Z170">
            <v>-21.815589353612168</v>
          </cell>
          <cell r="AA170">
            <v>-7.8989361702127665</v>
          </cell>
          <cell r="AB170">
            <v>-9.2054369935104763</v>
          </cell>
          <cell r="AC170">
            <v>-9.3095509032786428</v>
          </cell>
          <cell r="AD170">
            <v>-10</v>
          </cell>
          <cell r="AE170">
            <v>-10</v>
          </cell>
          <cell r="AF170">
            <v>-10</v>
          </cell>
          <cell r="AG170">
            <v>-10</v>
          </cell>
          <cell r="AH170">
            <v>-10</v>
          </cell>
          <cell r="AI170">
            <v>-10</v>
          </cell>
          <cell r="AJ170">
            <v>-10</v>
          </cell>
          <cell r="AK170">
            <v>-10</v>
          </cell>
          <cell r="AL170">
            <v>-10</v>
          </cell>
          <cell r="AM170">
            <v>-10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N172">
            <v>42.238627140262054</v>
          </cell>
          <cell r="O172">
            <v>28.891254907073431</v>
          </cell>
          <cell r="P172">
            <v>32.067559370408937</v>
          </cell>
          <cell r="Q172">
            <v>27.022039697160732</v>
          </cell>
          <cell r="R172">
            <v>43.254477864143283</v>
          </cell>
          <cell r="S172">
            <v>39.979395604395606</v>
          </cell>
          <cell r="T172">
            <v>42.051627906976748</v>
          </cell>
          <cell r="U172">
            <v>34.266666666666666</v>
          </cell>
          <cell r="V172">
            <v>45.507141565720488</v>
          </cell>
          <cell r="W172">
            <v>22.913256955810148</v>
          </cell>
          <cell r="X172">
            <v>111.86869776607834</v>
          </cell>
          <cell r="Y172">
            <v>94.848837209302332</v>
          </cell>
          <cell r="Z172">
            <v>110.80798479087454</v>
          </cell>
          <cell r="AA172">
            <v>160.78457446808511</v>
          </cell>
          <cell r="AB172">
            <v>187.37868466083361</v>
          </cell>
          <cell r="AC172">
            <v>189.49794608003714</v>
          </cell>
          <cell r="AD172">
            <v>151.83558149999999</v>
          </cell>
          <cell r="AE172">
            <v>152.76177854714999</v>
          </cell>
          <cell r="AF172">
            <v>153.69362539628762</v>
          </cell>
          <cell r="AG172">
            <v>153.69362539628762</v>
          </cell>
          <cell r="AH172">
            <v>153.69362539628762</v>
          </cell>
          <cell r="AI172">
            <v>153.69362539628762</v>
          </cell>
          <cell r="AJ172">
            <v>153.69362539628762</v>
          </cell>
          <cell r="AK172">
            <v>153.69362539628762</v>
          </cell>
          <cell r="AL172">
            <v>153.69362539628762</v>
          </cell>
          <cell r="AM172">
            <v>153.69362539628762</v>
          </cell>
        </row>
        <row r="173">
          <cell r="N173">
            <v>169.713601051289</v>
          </cell>
          <cell r="O173">
            <v>25.350194834354586</v>
          </cell>
          <cell r="P173">
            <v>4.3127478515152475</v>
          </cell>
          <cell r="Q173">
            <v>-14.658448958607478</v>
          </cell>
          <cell r="R173">
            <v>19.291427283992338</v>
          </cell>
          <cell r="S173">
            <v>-22.225274725274726</v>
          </cell>
          <cell r="T173">
            <v>11.930232558139535</v>
          </cell>
          <cell r="U173">
            <v>14.733333333333333</v>
          </cell>
          <cell r="V173">
            <v>6.6714879768577111</v>
          </cell>
          <cell r="W173">
            <v>11.71849427168576</v>
          </cell>
          <cell r="X173">
            <v>-9.5513456752830166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5.3</v>
          </cell>
          <cell r="AE173">
            <v>5.3</v>
          </cell>
          <cell r="AF173">
            <v>5.3</v>
          </cell>
          <cell r="AG173">
            <v>5.3</v>
          </cell>
          <cell r="AH173">
            <v>5.3</v>
          </cell>
          <cell r="AI173">
            <v>5.3</v>
          </cell>
          <cell r="AJ173">
            <v>5.3</v>
          </cell>
          <cell r="AK173">
            <v>5.3</v>
          </cell>
          <cell r="AL173">
            <v>5.3</v>
          </cell>
          <cell r="AM173">
            <v>5.3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8.9720930232558143</v>
          </cell>
          <cell r="U174">
            <v>0</v>
          </cell>
          <cell r="V174">
            <v>-55.939251491592842</v>
          </cell>
          <cell r="W174">
            <v>-57.266775777414068</v>
          </cell>
          <cell r="X174">
            <v>-15.434629381895595</v>
          </cell>
          <cell r="Y174">
            <v>-41.5</v>
          </cell>
          <cell r="Z174">
            <v>-74.258555133079852</v>
          </cell>
          <cell r="AA174">
            <v>0</v>
          </cell>
          <cell r="AB174">
            <v>0</v>
          </cell>
          <cell r="AC174">
            <v>0</v>
          </cell>
          <cell r="AD174">
            <v>-50</v>
          </cell>
          <cell r="AE174">
            <v>-50</v>
          </cell>
          <cell r="AF174">
            <v>-50</v>
          </cell>
          <cell r="AG174">
            <v>-50</v>
          </cell>
          <cell r="AH174">
            <v>-50</v>
          </cell>
          <cell r="AI174">
            <v>-50</v>
          </cell>
          <cell r="AJ174">
            <v>-50</v>
          </cell>
          <cell r="AK174">
            <v>-50</v>
          </cell>
          <cell r="AL174">
            <v>-50</v>
          </cell>
          <cell r="AM174">
            <v>-50</v>
          </cell>
        </row>
        <row r="176">
          <cell r="N176">
            <v>0.86075115239290956</v>
          </cell>
          <cell r="O176">
            <v>1.5932474707774047</v>
          </cell>
          <cell r="P176">
            <v>-0.20483382719246795</v>
          </cell>
          <cell r="Q176">
            <v>-0.28980073907268022</v>
          </cell>
          <cell r="R176">
            <v>-0.41198623259203426</v>
          </cell>
          <cell r="S176">
            <v>-0.56836646298500404</v>
          </cell>
          <cell r="T176">
            <v>0.94878199415243303</v>
          </cell>
          <cell r="U176">
            <v>1.0544812046813512</v>
          </cell>
          <cell r="V176">
            <v>1.5401279523065949</v>
          </cell>
          <cell r="W176">
            <v>1.8532444844412679</v>
          </cell>
          <cell r="X176">
            <v>1.7306785428778504</v>
          </cell>
          <cell r="Y176">
            <v>1.6537672770838867</v>
          </cell>
          <cell r="Z176">
            <v>2.3625638527127424</v>
          </cell>
          <cell r="AA176">
            <v>1.5740658065380027</v>
          </cell>
          <cell r="AB176">
            <v>1.447588712778126</v>
          </cell>
          <cell r="AC176">
            <v>0.51590972869813045</v>
          </cell>
          <cell r="AD176">
            <v>1.5</v>
          </cell>
          <cell r="AE176">
            <v>1.6</v>
          </cell>
          <cell r="AF176">
            <v>1.7000000000000002</v>
          </cell>
          <cell r="AG176">
            <v>1.8000000000000003</v>
          </cell>
          <cell r="AH176">
            <v>1.9000000000000004</v>
          </cell>
          <cell r="AI176">
            <v>2.0000000000000004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</row>
        <row r="179">
          <cell r="AD179">
            <v>3.2000000000000001E-2</v>
          </cell>
          <cell r="AE179">
            <v>3.2000000000000001E-2</v>
          </cell>
          <cell r="AF179">
            <v>3.2000000000000001E-2</v>
          </cell>
          <cell r="AG179">
            <v>3.2000000000000001E-2</v>
          </cell>
          <cell r="AH179">
            <v>3.2000000000000001E-2</v>
          </cell>
          <cell r="AI179">
            <v>3.2000000000000001E-2</v>
          </cell>
          <cell r="AJ179">
            <v>3.2000000000000001E-2</v>
          </cell>
          <cell r="AK179">
            <v>3.2000000000000001E-2</v>
          </cell>
          <cell r="AL179">
            <v>3.2000000000000001E-2</v>
          </cell>
          <cell r="AM179">
            <v>3.2000000000000001E-2</v>
          </cell>
        </row>
        <row r="180">
          <cell r="AD180">
            <v>0.94599999999999995</v>
          </cell>
          <cell r="AE180">
            <v>0.94599999999999995</v>
          </cell>
          <cell r="AF180">
            <v>0.94599999999999995</v>
          </cell>
          <cell r="AG180">
            <v>0.94599999999999995</v>
          </cell>
          <cell r="AH180">
            <v>0.94599999999999995</v>
          </cell>
          <cell r="AI180">
            <v>0.94599999999999995</v>
          </cell>
          <cell r="AJ180">
            <v>0.94599999999999995</v>
          </cell>
          <cell r="AK180">
            <v>0.94599999999999995</v>
          </cell>
          <cell r="AL180">
            <v>0.94599999999999995</v>
          </cell>
          <cell r="AM180">
            <v>0.94599999999999995</v>
          </cell>
        </row>
        <row r="181">
          <cell r="AD181">
            <v>0.02</v>
          </cell>
          <cell r="AE181">
            <v>0.02</v>
          </cell>
          <cell r="AF181">
            <v>0.02</v>
          </cell>
          <cell r="AG181">
            <v>0.02</v>
          </cell>
          <cell r="AH181">
            <v>0.02</v>
          </cell>
          <cell r="AI181">
            <v>0.02</v>
          </cell>
          <cell r="AJ181">
            <v>0.02</v>
          </cell>
          <cell r="AK181">
            <v>0.02</v>
          </cell>
          <cell r="AL181">
            <v>0.02</v>
          </cell>
          <cell r="AM181">
            <v>0.02</v>
          </cell>
        </row>
        <row r="182">
          <cell r="AD182">
            <v>2E-3</v>
          </cell>
          <cell r="AE182">
            <v>2E-3</v>
          </cell>
          <cell r="AF182">
            <v>2E-3</v>
          </cell>
          <cell r="AG182">
            <v>2E-3</v>
          </cell>
          <cell r="AH182">
            <v>2E-3</v>
          </cell>
          <cell r="AI182">
            <v>2E-3</v>
          </cell>
          <cell r="AJ182">
            <v>2E-3</v>
          </cell>
          <cell r="AK182">
            <v>2E-3</v>
          </cell>
          <cell r="AL182">
            <v>2E-3</v>
          </cell>
          <cell r="AM182">
            <v>2E-3</v>
          </cell>
        </row>
        <row r="184">
          <cell r="O184">
            <v>0.1275</v>
          </cell>
          <cell r="P184">
            <v>0.11360000000000001</v>
          </cell>
          <cell r="Q184">
            <v>9.6100000000000005E-2</v>
          </cell>
          <cell r="R184">
            <v>9.2100000000000001E-2</v>
          </cell>
          <cell r="S184">
            <v>0.1084</v>
          </cell>
          <cell r="T184">
            <v>0.12909999999999999</v>
          </cell>
          <cell r="U184">
            <v>0.12784166666666669</v>
          </cell>
          <cell r="V184">
            <v>0.12906666666666669</v>
          </cell>
          <cell r="W184">
            <v>0.10904999999999999</v>
          </cell>
          <cell r="X184">
            <v>7.3883333333333315E-2</v>
          </cell>
          <cell r="Y184">
            <v>6.7941666666666678E-2</v>
          </cell>
          <cell r="Z184">
            <v>7.809166666666667E-2</v>
          </cell>
          <cell r="AA184">
            <v>8.7433333333333321E-2</v>
          </cell>
          <cell r="AB184">
            <v>6.3516666666666666E-2</v>
          </cell>
          <cell r="AC184">
            <v>6.3516666666666666E-2</v>
          </cell>
          <cell r="AD184">
            <v>0.06</v>
          </cell>
          <cell r="AE184">
            <v>0.06</v>
          </cell>
          <cell r="AF184">
            <v>0.06</v>
          </cell>
          <cell r="AG184">
            <v>0.06</v>
          </cell>
          <cell r="AH184">
            <v>0.06</v>
          </cell>
          <cell r="AI184">
            <v>0.06</v>
          </cell>
          <cell r="AJ184">
            <v>0.06</v>
          </cell>
          <cell r="AK184">
            <v>0.06</v>
          </cell>
          <cell r="AL184">
            <v>0.06</v>
          </cell>
          <cell r="AM184">
            <v>0.06</v>
          </cell>
        </row>
        <row r="185">
          <cell r="O185">
            <v>0.16339999999999999</v>
          </cell>
          <cell r="P185">
            <v>0.15440000000000001</v>
          </cell>
          <cell r="Q185">
            <v>0.1394</v>
          </cell>
          <cell r="R185">
            <v>0.14630000000000001</v>
          </cell>
          <cell r="S185">
            <v>0.14560000000000001</v>
          </cell>
          <cell r="T185">
            <v>0.16189999999999999</v>
          </cell>
          <cell r="U185">
            <v>0.14697499999999999</v>
          </cell>
          <cell r="V185">
            <v>0.15104166666666666</v>
          </cell>
          <cell r="W185">
            <v>0.14901666666666669</v>
          </cell>
          <cell r="X185">
            <v>0.13717499999999999</v>
          </cell>
          <cell r="Y185">
            <v>0.11284166666666669</v>
          </cell>
          <cell r="Z185">
            <v>0.12740833333333337</v>
          </cell>
          <cell r="AA185">
            <v>0.12886666666666671</v>
          </cell>
          <cell r="AB185">
            <v>0.12969166666666671</v>
          </cell>
          <cell r="AC185">
            <v>0.12969166666666671</v>
          </cell>
          <cell r="AD185">
            <v>0.14099999999999999</v>
          </cell>
          <cell r="AE185">
            <v>0.1426</v>
          </cell>
          <cell r="AF185">
            <v>0.1426</v>
          </cell>
          <cell r="AG185">
            <v>0.1426</v>
          </cell>
          <cell r="AH185">
            <v>0.1426</v>
          </cell>
          <cell r="AI185">
            <v>0.1426</v>
          </cell>
          <cell r="AJ185">
            <v>0.1426</v>
          </cell>
          <cell r="AK185">
            <v>0.1426</v>
          </cell>
          <cell r="AL185">
            <v>0.1426</v>
          </cell>
          <cell r="AM185">
            <v>0.1426</v>
          </cell>
        </row>
        <row r="186">
          <cell r="O186">
            <v>0.22070000000000001</v>
          </cell>
          <cell r="P186">
            <v>0.2021</v>
          </cell>
          <cell r="Q186">
            <v>0.1802</v>
          </cell>
          <cell r="R186">
            <v>0.17050000000000001</v>
          </cell>
          <cell r="S186">
            <v>0.1903</v>
          </cell>
          <cell r="T186">
            <v>0.19919999999999999</v>
          </cell>
          <cell r="U186">
            <v>0.20179166666666667</v>
          </cell>
          <cell r="V186">
            <v>0.20719166666666669</v>
          </cell>
          <cell r="W186">
            <v>0.18484999999999999</v>
          </cell>
          <cell r="X186">
            <v>0.15270833333333333</v>
          </cell>
          <cell r="Y186">
            <v>0.14531666666666668</v>
          </cell>
          <cell r="Z186">
            <v>0.138375</v>
          </cell>
          <cell r="AA186">
            <v>0.14671666666666666</v>
          </cell>
          <cell r="AB186">
            <v>0.11305833333333332</v>
          </cell>
          <cell r="AC186">
            <v>0.11305833333333332</v>
          </cell>
          <cell r="AD186">
            <v>0.11</v>
          </cell>
          <cell r="AE186">
            <v>0.11</v>
          </cell>
          <cell r="AF186">
            <v>0.11</v>
          </cell>
          <cell r="AG186">
            <v>0.11</v>
          </cell>
          <cell r="AH186">
            <v>0.11</v>
          </cell>
          <cell r="AI186">
            <v>0.11</v>
          </cell>
          <cell r="AJ186">
            <v>0.11</v>
          </cell>
          <cell r="AK186">
            <v>0.11</v>
          </cell>
          <cell r="AL186">
            <v>0.11</v>
          </cell>
          <cell r="AM186">
            <v>0.11</v>
          </cell>
        </row>
        <row r="187">
          <cell r="O187">
            <v>0.16639999999999999</v>
          </cell>
          <cell r="P187">
            <v>0.13880000000000001</v>
          </cell>
          <cell r="Q187">
            <v>0.12239999999999999</v>
          </cell>
          <cell r="R187">
            <v>0.114</v>
          </cell>
          <cell r="S187">
            <v>0.1484</v>
          </cell>
          <cell r="T187">
            <v>0.1608</v>
          </cell>
          <cell r="U187">
            <v>0.15681666666666666</v>
          </cell>
          <cell r="V187">
            <v>0.17265</v>
          </cell>
          <cell r="W187">
            <v>0.13269999999999998</v>
          </cell>
          <cell r="X187">
            <v>0.10250833333333334</v>
          </cell>
          <cell r="Y187">
            <v>9.3049999999999994E-2</v>
          </cell>
          <cell r="Z187">
            <v>0.110025</v>
          </cell>
          <cell r="AA187">
            <v>0.10511666666666666</v>
          </cell>
          <cell r="AB187">
            <v>7.8741666666666668E-2</v>
          </cell>
          <cell r="AC187">
            <v>7.0916666666667003E-2</v>
          </cell>
          <cell r="AD187">
            <v>9.1999999999999998E-2</v>
          </cell>
          <cell r="AE187">
            <v>0.107</v>
          </cell>
          <cell r="AF187">
            <v>7.8E-2</v>
          </cell>
          <cell r="AG187">
            <v>7.8E-2</v>
          </cell>
          <cell r="AH187">
            <v>7.8E-2</v>
          </cell>
          <cell r="AI187">
            <v>7.8E-2</v>
          </cell>
          <cell r="AJ187">
            <v>7.8E-2</v>
          </cell>
          <cell r="AK187">
            <v>7.8E-2</v>
          </cell>
          <cell r="AL187">
            <v>7.8E-2</v>
          </cell>
          <cell r="AM187">
            <v>7.8E-2</v>
          </cell>
        </row>
        <row r="189"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</row>
        <row r="190">
          <cell r="O190">
            <v>0.45654528225260593</v>
          </cell>
          <cell r="P190">
            <v>0.28444630326688047</v>
          </cell>
          <cell r="Q190">
            <v>0.26291606367583209</v>
          </cell>
          <cell r="R190">
            <v>0.30937634285386895</v>
          </cell>
          <cell r="S190">
            <v>0.22783680184831878</v>
          </cell>
          <cell r="T190">
            <v>0.23998574483250179</v>
          </cell>
          <cell r="U190">
            <v>8.0703569580962142E-2</v>
          </cell>
          <cell r="V190">
            <v>0.10621775437476755</v>
          </cell>
          <cell r="W190">
            <v>0.20227906529473971</v>
          </cell>
          <cell r="X190">
            <v>0.12775444911017786</v>
          </cell>
          <cell r="Y190">
            <v>6.7864678451745597E-2</v>
          </cell>
          <cell r="Z190">
            <v>7.6668908204859942E-2</v>
          </cell>
          <cell r="AA190">
            <v>5.0721732157177346E-2</v>
          </cell>
          <cell r="AB190">
            <v>0.16161771828629301</v>
          </cell>
          <cell r="AC190">
            <v>9.7372527465584779E-2</v>
          </cell>
          <cell r="AD190">
            <v>0.15</v>
          </cell>
          <cell r="AE190">
            <v>0.15</v>
          </cell>
          <cell r="AF190">
            <v>0.15</v>
          </cell>
          <cell r="AG190">
            <v>0.15</v>
          </cell>
          <cell r="AH190">
            <v>0.15</v>
          </cell>
          <cell r="AI190">
            <v>0.15</v>
          </cell>
          <cell r="AJ190">
            <v>0.15</v>
          </cell>
          <cell r="AK190">
            <v>0.15</v>
          </cell>
          <cell r="AL190">
            <v>0.15</v>
          </cell>
          <cell r="AM190">
            <v>0.15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3.8330420832497783E-2</v>
          </cell>
          <cell r="R191">
            <v>4.7573206378100218E-2</v>
          </cell>
          <cell r="S191">
            <v>4.2801140413399857E-2</v>
          </cell>
          <cell r="T191">
            <v>4.0639190665057195E-2</v>
          </cell>
          <cell r="U191">
            <v>4.462528588904846E-2</v>
          </cell>
          <cell r="V191">
            <v>4.3862390614482154E-2</v>
          </cell>
          <cell r="W191">
            <v>4.2261547690461906E-2</v>
          </cell>
          <cell r="X191">
            <v>4.2660330856930086E-2</v>
          </cell>
          <cell r="Y191">
            <v>4.2132616041111473E-2</v>
          </cell>
          <cell r="Z191">
            <v>4.2085620874714701E-2</v>
          </cell>
          <cell r="AA191">
            <v>4.2901384057651946E-2</v>
          </cell>
          <cell r="AB191">
            <v>3.9971191933741448E-2</v>
          </cell>
          <cell r="AC191">
            <v>3.9147505497921738E-2</v>
          </cell>
          <cell r="AD191">
            <v>0.05</v>
          </cell>
          <cell r="AE191">
            <v>0.05</v>
          </cell>
          <cell r="AF191">
            <v>0.05</v>
          </cell>
          <cell r="AG191">
            <v>0.05</v>
          </cell>
          <cell r="AH191">
            <v>0.05</v>
          </cell>
          <cell r="AI191">
            <v>0.05</v>
          </cell>
          <cell r="AJ191">
            <v>0.05</v>
          </cell>
          <cell r="AK191">
            <v>0.05</v>
          </cell>
          <cell r="AL191">
            <v>0.05</v>
          </cell>
          <cell r="AM191">
            <v>0.05</v>
          </cell>
        </row>
        <row r="192">
          <cell r="N192">
            <v>0.5842019764451063</v>
          </cell>
          <cell r="O192">
            <v>0.68753194851061861</v>
          </cell>
          <cell r="P192">
            <v>0.68740955137481907</v>
          </cell>
          <cell r="Q192">
            <v>0.58123012576274102</v>
          </cell>
          <cell r="R192">
            <v>0.60993646404004687</v>
          </cell>
          <cell r="S192">
            <v>0.66299002138275132</v>
          </cell>
          <cell r="T192">
            <v>0.57034258780249469</v>
          </cell>
          <cell r="U192">
            <v>0.59152438700069143</v>
          </cell>
          <cell r="V192">
            <v>0.52812770458697955</v>
          </cell>
          <cell r="W192">
            <v>0.51589682063587272</v>
          </cell>
          <cell r="X192">
            <v>0.4559389350875015</v>
          </cell>
          <cell r="Y192">
            <v>0.43357160054128985</v>
          </cell>
          <cell r="Z192">
            <v>0.43281568071062859</v>
          </cell>
          <cell r="AA192">
            <v>0.40699073870224411</v>
          </cell>
          <cell r="AB192">
            <v>0.39542229719058186</v>
          </cell>
          <cell r="AC192">
            <v>0.45833669157522638</v>
          </cell>
          <cell r="AD192">
            <v>0.438</v>
          </cell>
          <cell r="AE192">
            <v>0.438</v>
          </cell>
          <cell r="AF192">
            <v>0.438</v>
          </cell>
          <cell r="AG192">
            <v>0.438</v>
          </cell>
          <cell r="AH192">
            <v>0.438</v>
          </cell>
          <cell r="AI192">
            <v>0.438</v>
          </cell>
          <cell r="AJ192">
            <v>0.438</v>
          </cell>
          <cell r="AK192">
            <v>0.438</v>
          </cell>
          <cell r="AL192">
            <v>0.438</v>
          </cell>
          <cell r="AM192">
            <v>0.438</v>
          </cell>
        </row>
        <row r="193">
          <cell r="N193">
            <v>1.1967600463846964</v>
          </cell>
          <cell r="O193">
            <v>0.91732033713461192</v>
          </cell>
          <cell r="P193">
            <v>0.4939917235396909</v>
          </cell>
          <cell r="Q193">
            <v>1.3476261280759316</v>
          </cell>
          <cell r="R193">
            <v>0.44206034122448457</v>
          </cell>
          <cell r="S193">
            <v>0.57298977906974058</v>
          </cell>
          <cell r="T193">
            <v>0.25356274728005129</v>
          </cell>
          <cell r="U193">
            <v>0.33971484399696417</v>
          </cell>
          <cell r="V193">
            <v>0.19133264102762518</v>
          </cell>
          <cell r="W193">
            <v>0.12149072649414161</v>
          </cell>
          <cell r="X193">
            <v>0.42050594217625015</v>
          </cell>
          <cell r="Y193">
            <v>0.33644999563861117</v>
          </cell>
          <cell r="Z193">
            <v>0.4149111946938065</v>
          </cell>
          <cell r="AA193">
            <v>0.21211446831578631</v>
          </cell>
          <cell r="AB193">
            <v>0.44135964217377011</v>
          </cell>
          <cell r="AC193">
            <v>0.41092711630002965</v>
          </cell>
          <cell r="AD193">
            <v>0.41092711630002965</v>
          </cell>
          <cell r="AE193">
            <v>0.41092711630002965</v>
          </cell>
          <cell r="AF193">
            <v>0.41092711630002965</v>
          </cell>
          <cell r="AG193">
            <v>0.41092711630002965</v>
          </cell>
          <cell r="AH193">
            <v>0.41092711630002965</v>
          </cell>
          <cell r="AI193">
            <v>0.41092711630002965</v>
          </cell>
          <cell r="AJ193">
            <v>0.41092711630002965</v>
          </cell>
          <cell r="AK193">
            <v>0.41092711630002965</v>
          </cell>
          <cell r="AL193">
            <v>0.41092711630002965</v>
          </cell>
          <cell r="AM193">
            <v>0.41092711630002965</v>
          </cell>
        </row>
        <row r="194">
          <cell r="N194">
            <v>4.2757547042100983</v>
          </cell>
          <cell r="O194">
            <v>3.3133509921464754</v>
          </cell>
          <cell r="P194">
            <v>3.0224312590448625</v>
          </cell>
          <cell r="Q194">
            <v>2.6647950267854585</v>
          </cell>
          <cell r="R194">
            <v>2.5263420440025901</v>
          </cell>
          <cell r="S194">
            <v>2.2640769779044905</v>
          </cell>
          <cell r="T194">
            <v>2.1572684945680289</v>
          </cell>
          <cell r="U194">
            <v>2.2274081165895434</v>
          </cell>
          <cell r="V194">
            <v>2.2583902298297911</v>
          </cell>
          <cell r="W194">
            <v>2.0679864027194563</v>
          </cell>
          <cell r="X194">
            <v>2.100214542811043</v>
          </cell>
          <cell r="Y194">
            <v>2.2985728873502529</v>
          </cell>
          <cell r="Z194">
            <v>2.5374745543149713</v>
          </cell>
          <cell r="AA194">
            <v>2.4835248704739259</v>
          </cell>
          <cell r="AB194">
            <v>2.2859453278496926</v>
          </cell>
          <cell r="AC194">
            <v>2.2198938411762676</v>
          </cell>
          <cell r="AD194">
            <v>2.2198938411762676</v>
          </cell>
          <cell r="AE194">
            <v>2.2198938411762676</v>
          </cell>
          <cell r="AF194">
            <v>2.2198938411762676</v>
          </cell>
          <cell r="AG194">
            <v>2.2198938411762676</v>
          </cell>
          <cell r="AH194">
            <v>2.2198938411762676</v>
          </cell>
          <cell r="AI194">
            <v>2.2198938411762676</v>
          </cell>
          <cell r="AJ194">
            <v>2.2198938411762676</v>
          </cell>
          <cell r="AK194">
            <v>2.2198938411762676</v>
          </cell>
          <cell r="AL194">
            <v>2.2198938411762676</v>
          </cell>
          <cell r="AM194">
            <v>2.2198938411762676</v>
          </cell>
        </row>
        <row r="195"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-10</v>
          </cell>
          <cell r="AA195">
            <v>-10</v>
          </cell>
          <cell r="AB195">
            <v>-10</v>
          </cell>
          <cell r="AC195">
            <v>-10</v>
          </cell>
          <cell r="AD195">
            <v>-10</v>
          </cell>
          <cell r="AE195">
            <v>-10</v>
          </cell>
          <cell r="AF195">
            <v>-10</v>
          </cell>
          <cell r="AG195">
            <v>-10</v>
          </cell>
          <cell r="AH195">
            <v>-10</v>
          </cell>
          <cell r="AI195">
            <v>-10</v>
          </cell>
          <cell r="AJ195">
            <v>-10</v>
          </cell>
          <cell r="AK195">
            <v>-10</v>
          </cell>
          <cell r="AL195">
            <v>-10</v>
          </cell>
          <cell r="AM195">
            <v>-10</v>
          </cell>
        </row>
        <row r="199">
          <cell r="N199">
            <v>6.5975687731685786E-2</v>
          </cell>
          <cell r="O199">
            <v>6.3829633596043892E-2</v>
          </cell>
          <cell r="P199">
            <v>6.7607701805319179E-2</v>
          </cell>
          <cell r="Q199">
            <v>5.8751876717373447E-2</v>
          </cell>
          <cell r="R199">
            <v>5.3171147292692164E-2</v>
          </cell>
          <cell r="S199">
            <v>5.6488898916431649E-2</v>
          </cell>
          <cell r="T199">
            <v>6.1409794591067282E-2</v>
          </cell>
          <cell r="U199">
            <v>6.2720946608009615E-2</v>
          </cell>
          <cell r="V199">
            <v>7.2508020033876519E-2</v>
          </cell>
          <cell r="W199">
            <v>7.9356462656938145E-2</v>
          </cell>
          <cell r="X199">
            <v>6.7724373259052922E-2</v>
          </cell>
          <cell r="Y199">
            <v>7.0168908981290967E-2</v>
          </cell>
          <cell r="Z199">
            <v>7.2428286525724916E-2</v>
          </cell>
          <cell r="AA199">
            <v>7.3795954501980066E-2</v>
          </cell>
          <cell r="AB199">
            <v>7.9576096379779387E-2</v>
          </cell>
          <cell r="AC199">
            <v>8.0765670438082998E-2</v>
          </cell>
          <cell r="AD199">
            <v>8.5740499999999997E-2</v>
          </cell>
          <cell r="AE199">
            <v>8.5739999999999997E-2</v>
          </cell>
          <cell r="AF199">
            <v>8.5739999999999997E-2</v>
          </cell>
          <cell r="AG199">
            <v>8.5739999999999997E-2</v>
          </cell>
          <cell r="AH199">
            <v>8.5739999999999997E-2</v>
          </cell>
          <cell r="AI199">
            <v>8.5739999999999997E-2</v>
          </cell>
          <cell r="AJ199">
            <v>8.5739999999999997E-2</v>
          </cell>
          <cell r="AK199">
            <v>8.5739999999999997E-2</v>
          </cell>
          <cell r="AL199">
            <v>8.5739999999999997E-2</v>
          </cell>
          <cell r="AM199">
            <v>8.5739999999999997E-2</v>
          </cell>
        </row>
        <row r="200">
          <cell r="N200">
            <v>0.14296868402857266</v>
          </cell>
          <cell r="O200">
            <v>6.8558305569909231E-2</v>
          </cell>
          <cell r="P200">
            <v>7.7091428405353501E-3</v>
          </cell>
          <cell r="Q200">
            <v>2.642378733031674E-2</v>
          </cell>
          <cell r="R200">
            <v>9.9244444444444455E-2</v>
          </cell>
          <cell r="S200">
            <v>0.22224705762711866</v>
          </cell>
          <cell r="T200">
            <v>0.12115617567567567</v>
          </cell>
          <cell r="U200">
            <v>5.9754179916317998E-2</v>
          </cell>
          <cell r="V200">
            <v>4.0277689727463317E-2</v>
          </cell>
          <cell r="W200">
            <v>0.83997286904761903</v>
          </cell>
          <cell r="X200">
            <v>5.3790772189349106E-2</v>
          </cell>
          <cell r="Y200">
            <v>0.13126615698393079</v>
          </cell>
          <cell r="Z200">
            <v>0.24945716168717047</v>
          </cell>
          <cell r="AA200">
            <v>8.6956521739130436E-3</v>
          </cell>
          <cell r="AB200">
            <v>1.8140589569160998E-2</v>
          </cell>
          <cell r="AC200">
            <v>1.6420361247947454E-3</v>
          </cell>
          <cell r="AD200">
            <v>1.2E-2</v>
          </cell>
          <cell r="AE200">
            <v>1.2E-2</v>
          </cell>
          <cell r="AF200">
            <v>2.9000000000000001E-2</v>
          </cell>
          <cell r="AG200">
            <v>2.9000000000000001E-2</v>
          </cell>
          <cell r="AH200">
            <v>2.9000000000000001E-2</v>
          </cell>
          <cell r="AI200">
            <v>2.9000000000000001E-2</v>
          </cell>
          <cell r="AJ200">
            <v>2.9000000000000001E-2</v>
          </cell>
          <cell r="AK200">
            <v>2.9000000000000001E-2</v>
          </cell>
          <cell r="AL200">
            <v>2.9000000000000001E-2</v>
          </cell>
          <cell r="AM200">
            <v>2.9000000000000001E-2</v>
          </cell>
        </row>
        <row r="201">
          <cell r="N201">
            <v>2.51740986760812E-2</v>
          </cell>
          <cell r="O201">
            <v>1.831582599289136E-2</v>
          </cell>
          <cell r="P201">
            <v>2.1138934427870657E-2</v>
          </cell>
          <cell r="Q201">
            <v>2.2584753859664033E-2</v>
          </cell>
          <cell r="R201">
            <v>2.4741177584248389E-2</v>
          </cell>
          <cell r="S201">
            <v>2.0331066986153227E-2</v>
          </cell>
          <cell r="T201">
            <v>2.0419004495359629E-2</v>
          </cell>
          <cell r="U201">
            <v>2.6338949627441113E-2</v>
          </cell>
          <cell r="V201">
            <v>3.153660913498043E-2</v>
          </cell>
          <cell r="W201">
            <v>1.8865039479392623E-2</v>
          </cell>
          <cell r="X201">
            <v>1.9156804384940246E-2</v>
          </cell>
          <cell r="Y201">
            <v>1.7794481420163644E-2</v>
          </cell>
          <cell r="Z201">
            <v>2.2312794366758561E-2</v>
          </cell>
          <cell r="AA201">
            <v>3.2250160065132677E-2</v>
          </cell>
          <cell r="AB201">
            <v>2.7290663956234491E-2</v>
          </cell>
          <cell r="AC201">
            <v>3.817255267176866E-2</v>
          </cell>
          <cell r="AD201">
            <v>2.9229999999999999E-2</v>
          </cell>
          <cell r="AE201">
            <v>2.9239999999999999E-2</v>
          </cell>
          <cell r="AF201">
            <v>2.9000000000000001E-2</v>
          </cell>
          <cell r="AG201">
            <v>2.9000000000000001E-2</v>
          </cell>
          <cell r="AH201">
            <v>2.9000000000000001E-2</v>
          </cell>
          <cell r="AI201">
            <v>2.9000000000000001E-2</v>
          </cell>
          <cell r="AJ201">
            <v>2.9000000000000001E-2</v>
          </cell>
          <cell r="AK201">
            <v>2.9000000000000001E-2</v>
          </cell>
          <cell r="AL201">
            <v>2.9000000000000001E-2</v>
          </cell>
          <cell r="AM201">
            <v>2.9000000000000001E-2</v>
          </cell>
        </row>
        <row r="202">
          <cell r="N202">
            <v>6.378915092674315E-3</v>
          </cell>
          <cell r="O202">
            <v>6.2089040333796943E-3</v>
          </cell>
          <cell r="P202">
            <v>6.281726699369306E-3</v>
          </cell>
          <cell r="Q202">
            <v>4.8239102574997878E-3</v>
          </cell>
          <cell r="R202">
            <v>2.800340780007573E-3</v>
          </cell>
          <cell r="S202">
            <v>2.8165736338768847E-3</v>
          </cell>
          <cell r="T202">
            <v>6.5733322940835261E-3</v>
          </cell>
          <cell r="U202">
            <v>4.8065726855083517E-3</v>
          </cell>
          <cell r="V202">
            <v>4.0475651539045613E-3</v>
          </cell>
          <cell r="W202">
            <v>4.900596121737987E-3</v>
          </cell>
          <cell r="X202">
            <v>8.9915949770868892E-3</v>
          </cell>
          <cell r="Y202">
            <v>4.4798145365806978E-3</v>
          </cell>
          <cell r="Z202">
            <v>4.9400245125718273E-3</v>
          </cell>
          <cell r="AA202">
            <v>2.7191311427464805E-3</v>
          </cell>
          <cell r="AB202">
            <v>4.2151206241965861E-3</v>
          </cell>
          <cell r="AC202">
            <v>2.6968227306347855E-3</v>
          </cell>
          <cell r="AD202">
            <v>2.9099999999999998E-3</v>
          </cell>
          <cell r="AE202">
            <v>2.8709999999999999E-3</v>
          </cell>
          <cell r="AF202">
            <v>3.0000000000000001E-3</v>
          </cell>
          <cell r="AG202">
            <v>3.0000000000000001E-3</v>
          </cell>
          <cell r="AH202">
            <v>3.0000000000000001E-3</v>
          </cell>
          <cell r="AI202">
            <v>3.0000000000000001E-3</v>
          </cell>
          <cell r="AJ202">
            <v>3.0000000000000001E-3</v>
          </cell>
          <cell r="AK202">
            <v>3.0000000000000001E-3</v>
          </cell>
          <cell r="AL202">
            <v>3.0000000000000001E-3</v>
          </cell>
          <cell r="AM202">
            <v>3.0000000000000001E-3</v>
          </cell>
        </row>
        <row r="203">
          <cell r="N203">
            <v>2.1935678729037953E-3</v>
          </cell>
          <cell r="O203">
            <v>2.2096267964765879E-3</v>
          </cell>
          <cell r="P203">
            <v>3.710748490005673E-3</v>
          </cell>
          <cell r="Q203">
            <v>4.309056400668536E-3</v>
          </cell>
          <cell r="R203">
            <v>3.411586520257478E-3</v>
          </cell>
          <cell r="S203">
            <v>2.7990415403210418E-3</v>
          </cell>
          <cell r="T203">
            <v>2.6102088167053363E-3</v>
          </cell>
          <cell r="U203">
            <v>2.5973604324605118E-3</v>
          </cell>
          <cell r="V203">
            <v>2.7276444132936163E-3</v>
          </cell>
          <cell r="W203">
            <v>3.3042927496220336E-3</v>
          </cell>
          <cell r="X203">
            <v>2.8798634198939706E-3</v>
          </cell>
          <cell r="Y203">
            <v>3.0340494760514856E-3</v>
          </cell>
          <cell r="Z203">
            <v>2.4977579964792244E-3</v>
          </cell>
          <cell r="AA203">
            <v>2.7159693623479385E-3</v>
          </cell>
          <cell r="AB203">
            <v>3.2883919763235779E-3</v>
          </cell>
          <cell r="AC203">
            <v>3.0871716398626677E-3</v>
          </cell>
          <cell r="AD203">
            <v>2.7699999999999999E-3</v>
          </cell>
          <cell r="AE203">
            <v>2.6800000000000001E-3</v>
          </cell>
          <cell r="AF203">
            <v>2.6800000000000001E-3</v>
          </cell>
          <cell r="AG203">
            <v>2.6800000000000001E-3</v>
          </cell>
          <cell r="AH203">
            <v>2.6800000000000001E-3</v>
          </cell>
          <cell r="AI203">
            <v>2.6800000000000001E-3</v>
          </cell>
          <cell r="AJ203">
            <v>2.6800000000000001E-3</v>
          </cell>
          <cell r="AK203">
            <v>2.6800000000000001E-3</v>
          </cell>
          <cell r="AL203">
            <v>2.6800000000000001E-3</v>
          </cell>
          <cell r="AM203">
            <v>2.6800000000000001E-3</v>
          </cell>
        </row>
        <row r="204">
          <cell r="N204">
            <v>4.9245256742256244E-2</v>
          </cell>
          <cell r="O204">
            <v>0.27171994049413462</v>
          </cell>
          <cell r="P204">
            <v>0.19335215369366218</v>
          </cell>
          <cell r="Q204">
            <v>0.19902818279749016</v>
          </cell>
          <cell r="R204">
            <v>0.17332618079150117</v>
          </cell>
          <cell r="S204">
            <v>0.18673756400210043</v>
          </cell>
          <cell r="T204">
            <v>0.18209606102541601</v>
          </cell>
          <cell r="U204">
            <v>0.18716946052118633</v>
          </cell>
          <cell r="V204">
            <v>0.19425088101579102</v>
          </cell>
          <cell r="W204">
            <v>0.22264381349827359</v>
          </cell>
          <cell r="X204">
            <v>0.25414476880272052</v>
          </cell>
          <cell r="Y204">
            <v>0.19241612938476668</v>
          </cell>
          <cell r="Z204">
            <v>0.16060651545371615</v>
          </cell>
          <cell r="AA204">
            <v>0.17746124166958963</v>
          </cell>
          <cell r="AB204">
            <v>0.24150708995923992</v>
          </cell>
          <cell r="AC204">
            <v>0.20573799010603494</v>
          </cell>
          <cell r="AD204">
            <v>0.26869999999999999</v>
          </cell>
          <cell r="AE204">
            <v>0.26105</v>
          </cell>
          <cell r="AF204">
            <v>0.221</v>
          </cell>
          <cell r="AG204">
            <v>0.21099999999999999</v>
          </cell>
          <cell r="AH204">
            <v>0.20099999999999998</v>
          </cell>
          <cell r="AI204">
            <v>0.19099999999999998</v>
          </cell>
          <cell r="AJ204">
            <v>0.18099999999999997</v>
          </cell>
          <cell r="AK204">
            <v>0.17099999999999996</v>
          </cell>
          <cell r="AL204">
            <v>0.16099999999999995</v>
          </cell>
          <cell r="AM204">
            <v>0.15099999999999994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7.3458060194267663E-2</v>
          </cell>
          <cell r="Z205">
            <v>6.6534949380542732E-2</v>
          </cell>
          <cell r="AA205">
            <v>5.5489245994419456E-2</v>
          </cell>
          <cell r="AB205">
            <v>5.4593285701473801E-2</v>
          </cell>
          <cell r="AC205">
            <v>8.6409536565081574E-2</v>
          </cell>
          <cell r="AD205">
            <v>7.4950000000000003E-2</v>
          </cell>
          <cell r="AE205">
            <v>7.0150000000000004E-2</v>
          </cell>
          <cell r="AF205">
            <v>7.0150000000000004E-2</v>
          </cell>
          <cell r="AG205">
            <v>7.0150000000000004E-2</v>
          </cell>
          <cell r="AH205">
            <v>7.0150000000000004E-2</v>
          </cell>
          <cell r="AI205">
            <v>7.0150000000000004E-2</v>
          </cell>
          <cell r="AJ205">
            <v>7.0150000000000004E-2</v>
          </cell>
          <cell r="AK205">
            <v>7.0150000000000004E-2</v>
          </cell>
          <cell r="AL205">
            <v>7.0150000000000004E-2</v>
          </cell>
          <cell r="AM205">
            <v>7.0150000000000004E-2</v>
          </cell>
        </row>
        <row r="206">
          <cell r="N206">
            <v>5.7561481553398061E-2</v>
          </cell>
          <cell r="O206">
            <v>8.026497017462525E-2</v>
          </cell>
          <cell r="P206">
            <v>0.106849307438182</v>
          </cell>
          <cell r="Q206">
            <v>0.10273815755927594</v>
          </cell>
          <cell r="R206">
            <v>0.10562922188564937</v>
          </cell>
          <cell r="S206">
            <v>0.12952977891812803</v>
          </cell>
          <cell r="T206">
            <v>9.730288152552205E-2</v>
          </cell>
          <cell r="U206">
            <v>9.6800129738153606E-2</v>
          </cell>
          <cell r="V206">
            <v>9.2157551136031773E-2</v>
          </cell>
          <cell r="W206">
            <v>0.10220820808519029</v>
          </cell>
          <cell r="X206">
            <v>8.7382123865576422E-2</v>
          </cell>
          <cell r="Y206">
            <v>7.1965165797406574E-3</v>
          </cell>
          <cell r="Z206">
            <v>4.3787916099246012E-3</v>
          </cell>
          <cell r="AA206">
            <v>6.1654717771577171E-3</v>
          </cell>
          <cell r="AB206">
            <v>6.8996442557771051E-3</v>
          </cell>
          <cell r="AC206">
            <v>4.5595765755062348E-3</v>
          </cell>
          <cell r="AD206">
            <v>5.94E-3</v>
          </cell>
          <cell r="AE206">
            <v>5.4999999999999997E-3</v>
          </cell>
          <cell r="AF206">
            <v>5.4999999999999997E-3</v>
          </cell>
          <cell r="AG206">
            <v>5.4999999999999997E-3</v>
          </cell>
          <cell r="AH206">
            <v>5.4999999999999997E-3</v>
          </cell>
          <cell r="AI206">
            <v>5.4999999999999997E-3</v>
          </cell>
          <cell r="AJ206">
            <v>5.4999999999999997E-3</v>
          </cell>
          <cell r="AK206">
            <v>5.4999999999999997E-3</v>
          </cell>
          <cell r="AL206">
            <v>5.4999999999999997E-3</v>
          </cell>
          <cell r="AM206">
            <v>5.4999999999999997E-3</v>
          </cell>
        </row>
        <row r="207">
          <cell r="N207">
            <v>9.297250872282504E-4</v>
          </cell>
          <cell r="O207">
            <v>1.0758472296933835E-3</v>
          </cell>
          <cell r="P207">
            <v>8.1480619252706325E-4</v>
          </cell>
          <cell r="Q207">
            <v>1.5410741895419866E-3</v>
          </cell>
          <cell r="R207">
            <v>2.4933955688850405E-3</v>
          </cell>
          <cell r="S207">
            <v>2.7178618482966311E-3</v>
          </cell>
          <cell r="T207">
            <v>2.3564827552721443E-3</v>
          </cell>
          <cell r="U207">
            <v>2.3058762184788749E-3</v>
          </cell>
          <cell r="V207">
            <v>2.2209887862111931E-3</v>
          </cell>
          <cell r="W207">
            <v>2.3932189592031907E-3</v>
          </cell>
          <cell r="X207">
            <v>2.2293220328685561E-3</v>
          </cell>
          <cell r="Y207">
            <v>2.3316575981512299E-3</v>
          </cell>
          <cell r="Z207">
            <v>2.2807286332845529E-3</v>
          </cell>
          <cell r="AA207">
            <v>2.4050540991939584E-3</v>
          </cell>
          <cell r="AB207">
            <v>2.5585948121159387E-3</v>
          </cell>
          <cell r="AC207">
            <v>2.8562720572599099E-3</v>
          </cell>
          <cell r="AD207">
            <v>2.2200000000000002E-3</v>
          </cell>
          <cell r="AE207">
            <v>2.2000000000000001E-3</v>
          </cell>
          <cell r="AF207">
            <v>2.2699999999999999E-3</v>
          </cell>
          <cell r="AG207">
            <v>2.2699999999999999E-3</v>
          </cell>
          <cell r="AH207">
            <v>2.2699999999999999E-3</v>
          </cell>
          <cell r="AI207">
            <v>2.2699999999999999E-3</v>
          </cell>
          <cell r="AJ207">
            <v>2.2699999999999999E-3</v>
          </cell>
          <cell r="AK207">
            <v>2.2699999999999999E-3</v>
          </cell>
          <cell r="AL207">
            <v>2.2699999999999999E-3</v>
          </cell>
          <cell r="AM207">
            <v>2.2699999999999999E-3</v>
          </cell>
        </row>
        <row r="208">
          <cell r="N208">
            <v>1.3114654966767606E-3</v>
          </cell>
          <cell r="O208">
            <v>1.5243923341663169E-3</v>
          </cell>
          <cell r="P208">
            <v>2.3855322214386201E-2</v>
          </cell>
          <cell r="Q208">
            <v>7.4194258986388971E-3</v>
          </cell>
          <cell r="R208">
            <v>1.6542134955376361E-2</v>
          </cell>
          <cell r="S208">
            <v>1.9836859447150124E-2</v>
          </cell>
          <cell r="T208">
            <v>1.964950685419263E-2</v>
          </cell>
          <cell r="U208">
            <v>1.6170487000133047E-2</v>
          </cell>
          <cell r="V208">
            <v>1.6815399338439889E-2</v>
          </cell>
          <cell r="W208">
            <v>1.8026802701606951E-2</v>
          </cell>
          <cell r="X208">
            <v>1.4678942900250107E-2</v>
          </cell>
          <cell r="Y208">
            <v>4.3379040097374765E-3</v>
          </cell>
          <cell r="Z208">
            <v>5.3468138796342705E-3</v>
          </cell>
          <cell r="AA208">
            <v>4.2139320168083803E-3</v>
          </cell>
          <cell r="AB208">
            <v>2.5536620825166263E-3</v>
          </cell>
          <cell r="AC208">
            <v>2.7997319722885324E-3</v>
          </cell>
          <cell r="AD208">
            <v>1.4370000000000001E-2</v>
          </cell>
          <cell r="AE208">
            <v>1.2829999999999999E-2</v>
          </cell>
          <cell r="AF208">
            <v>1.2829999999999999E-2</v>
          </cell>
          <cell r="AG208">
            <v>1.2829999999999999E-2</v>
          </cell>
          <cell r="AH208">
            <v>1.2829999999999999E-2</v>
          </cell>
          <cell r="AI208">
            <v>1.2829999999999999E-2</v>
          </cell>
          <cell r="AJ208">
            <v>1.2829999999999999E-2</v>
          </cell>
          <cell r="AK208">
            <v>1.2829999999999999E-2</v>
          </cell>
          <cell r="AL208">
            <v>1.2829999999999999E-2</v>
          </cell>
          <cell r="AM208">
            <v>1.2829999999999999E-2</v>
          </cell>
        </row>
        <row r="209">
          <cell r="N209">
            <v>0.26063471961739915</v>
          </cell>
          <cell r="O209">
            <v>0.24218722838029594</v>
          </cell>
          <cell r="P209">
            <v>5.7879508388047878E-3</v>
          </cell>
          <cell r="Q209">
            <v>1.9705293153084551E-2</v>
          </cell>
          <cell r="R209">
            <v>1.8220075864456425E-2</v>
          </cell>
          <cell r="S209">
            <v>2.5258157949314401E-2</v>
          </cell>
          <cell r="T209">
            <v>0</v>
          </cell>
          <cell r="U209">
            <v>7.7523598567362961E-2</v>
          </cell>
          <cell r="V209">
            <v>0.16962535204437554</v>
          </cell>
          <cell r="W209">
            <v>4.2079731832181798E-2</v>
          </cell>
          <cell r="X209">
            <v>0</v>
          </cell>
          <cell r="Y209">
            <v>0.41081409773352018</v>
          </cell>
          <cell r="Z209">
            <v>0.26547530810674475</v>
          </cell>
          <cell r="AA209">
            <v>0.29588014981273408</v>
          </cell>
          <cell r="AB209">
            <v>0.12437810945273629</v>
          </cell>
          <cell r="AC209">
            <v>0.24590163934426229</v>
          </cell>
          <cell r="AD209">
            <v>0.05</v>
          </cell>
          <cell r="AE209">
            <v>0.05</v>
          </cell>
          <cell r="AF209">
            <v>0.05</v>
          </cell>
          <cell r="AG209">
            <v>0.05</v>
          </cell>
          <cell r="AH209">
            <v>0.05</v>
          </cell>
          <cell r="AI209">
            <v>0.05</v>
          </cell>
          <cell r="AJ209">
            <v>0.05</v>
          </cell>
          <cell r="AK209">
            <v>0.05</v>
          </cell>
          <cell r="AL209">
            <v>0.05</v>
          </cell>
          <cell r="AM209">
            <v>0.05</v>
          </cell>
        </row>
        <row r="210">
          <cell r="N210">
            <v>6.548332349219739E-2</v>
          </cell>
          <cell r="O210">
            <v>6.8195133808499189E-2</v>
          </cell>
          <cell r="P210">
            <v>2.9468439762542199E-2</v>
          </cell>
          <cell r="Q210">
            <v>2.1267322028743062E-2</v>
          </cell>
          <cell r="R210">
            <v>2.712616216444548E-2</v>
          </cell>
          <cell r="S210">
            <v>1.6877923433088651E-2</v>
          </cell>
          <cell r="T210">
            <v>1.3498333112143329E-2</v>
          </cell>
          <cell r="U210">
            <v>1.1787746759172083E-2</v>
          </cell>
          <cell r="V210">
            <v>1.013705783407746E-2</v>
          </cell>
          <cell r="W210">
            <v>8.6454772690163547E-3</v>
          </cell>
          <cell r="X210">
            <v>1.1100482760715699E-2</v>
          </cell>
          <cell r="Y210">
            <v>5.1241923662358087E-3</v>
          </cell>
          <cell r="Z210">
            <v>9.6812571437623479E-3</v>
          </cell>
          <cell r="AA210">
            <v>1.129910681867693E-2</v>
          </cell>
          <cell r="AB210">
            <v>9.3534178041220287E-3</v>
          </cell>
          <cell r="AC210">
            <v>1.2233944032865453E-2</v>
          </cell>
          <cell r="AD210">
            <v>8.0400000000000003E-3</v>
          </cell>
          <cell r="AE210">
            <v>6.9899999999999997E-3</v>
          </cell>
          <cell r="AF210">
            <v>6.9899999999999997E-3</v>
          </cell>
          <cell r="AG210">
            <v>6.9899999999999997E-3</v>
          </cell>
          <cell r="AH210">
            <v>6.9899999999999997E-3</v>
          </cell>
          <cell r="AI210">
            <v>6.9899999999999997E-3</v>
          </cell>
          <cell r="AJ210">
            <v>6.9899999999999997E-3</v>
          </cell>
          <cell r="AK210">
            <v>6.9899999999999997E-3</v>
          </cell>
          <cell r="AL210">
            <v>6.9899999999999997E-3</v>
          </cell>
          <cell r="AM210">
            <v>6.9899999999999997E-3</v>
          </cell>
        </row>
        <row r="211">
          <cell r="N211">
            <v>75.900000000000006</v>
          </cell>
          <cell r="O211">
            <v>75.112499999999997</v>
          </cell>
          <cell r="P211">
            <v>30.518722</v>
          </cell>
          <cell r="Q211">
            <v>7.1</v>
          </cell>
          <cell r="R211">
            <v>1.8402000000000001</v>
          </cell>
          <cell r="S211">
            <v>0.4</v>
          </cell>
          <cell r="T211">
            <v>0.4</v>
          </cell>
          <cell r="U211">
            <v>0</v>
          </cell>
          <cell r="V211">
            <v>25.30059</v>
          </cell>
          <cell r="W211">
            <v>44.429667999999999</v>
          </cell>
          <cell r="X211">
            <v>25.471966999999999</v>
          </cell>
          <cell r="Y211">
            <v>3.3611749999999998</v>
          </cell>
          <cell r="Z211">
            <v>10.39613527</v>
          </cell>
          <cell r="AA211">
            <v>2.37</v>
          </cell>
          <cell r="AB211">
            <v>70.5</v>
          </cell>
          <cell r="AC211">
            <v>51</v>
          </cell>
          <cell r="AD211">
            <v>50.571029522420368</v>
          </cell>
          <cell r="AE211">
            <v>50.571029522420368</v>
          </cell>
          <cell r="AF211">
            <v>50.571029522420368</v>
          </cell>
          <cell r="AG211">
            <v>50.571029522420368</v>
          </cell>
          <cell r="AH211">
            <v>50.571029522420368</v>
          </cell>
          <cell r="AI211">
            <v>50.571029522420368</v>
          </cell>
          <cell r="AJ211">
            <v>50.571029522420368</v>
          </cell>
          <cell r="AK211">
            <v>50.571029522420368</v>
          </cell>
          <cell r="AL211">
            <v>50.571029522420368</v>
          </cell>
          <cell r="AM211">
            <v>50.571029522420368</v>
          </cell>
        </row>
        <row r="212">
          <cell r="N212">
            <v>107.00125</v>
          </cell>
          <cell r="O212">
            <v>86.388750000000002</v>
          </cell>
          <cell r="P212">
            <v>42.936903000000001</v>
          </cell>
          <cell r="Q212">
            <v>47.783999999999999</v>
          </cell>
          <cell r="R212">
            <v>32.5824</v>
          </cell>
          <cell r="S212">
            <v>32.5824</v>
          </cell>
          <cell r="T212">
            <v>32.5824</v>
          </cell>
          <cell r="U212">
            <v>54.024662999999997</v>
          </cell>
          <cell r="V212">
            <v>12.147779</v>
          </cell>
          <cell r="W212">
            <v>0</v>
          </cell>
          <cell r="X212">
            <v>18.223140999999998</v>
          </cell>
          <cell r="Y212">
            <v>54.739255399999998</v>
          </cell>
          <cell r="Z212">
            <v>24.05041928</v>
          </cell>
          <cell r="AA212">
            <v>31.830000000000002</v>
          </cell>
          <cell r="AB212">
            <v>0</v>
          </cell>
          <cell r="AC212">
            <v>102.2</v>
          </cell>
          <cell r="AD212">
            <v>99.428970477579639</v>
          </cell>
          <cell r="AE212">
            <v>-24.571029522420368</v>
          </cell>
          <cell r="AF212">
            <v>-24.571029522420368</v>
          </cell>
          <cell r="AG212">
            <v>-24.571029522420368</v>
          </cell>
          <cell r="AH212">
            <v>-24.571029522420368</v>
          </cell>
          <cell r="AI212">
            <v>-24.571029522420368</v>
          </cell>
          <cell r="AJ212">
            <v>-24.571029522420368</v>
          </cell>
          <cell r="AK212">
            <v>-24.571029522420368</v>
          </cell>
          <cell r="AL212">
            <v>-24.571029522420368</v>
          </cell>
          <cell r="AM212">
            <v>-24.571029522420368</v>
          </cell>
        </row>
        <row r="213">
          <cell r="N213">
            <v>24.607199999999999</v>
          </cell>
          <cell r="O213">
            <v>37.314999999999998</v>
          </cell>
          <cell r="P213">
            <v>15.625055</v>
          </cell>
          <cell r="Q213">
            <v>11.03317</v>
          </cell>
          <cell r="R213">
            <v>10.728899999999999</v>
          </cell>
          <cell r="S213">
            <v>7.0406079999999998</v>
          </cell>
          <cell r="T213">
            <v>13.956771</v>
          </cell>
          <cell r="U213">
            <v>43.869957999999997</v>
          </cell>
          <cell r="V213">
            <v>54.283261000000003</v>
          </cell>
          <cell r="W213">
            <v>20.122412000000001</v>
          </cell>
          <cell r="X213">
            <v>20.866415</v>
          </cell>
          <cell r="Y213">
            <v>21.38325987</v>
          </cell>
          <cell r="Z213">
            <v>15.945774370000001</v>
          </cell>
          <cell r="AA213">
            <v>13.5</v>
          </cell>
          <cell r="AB213">
            <v>36.799999999999997</v>
          </cell>
          <cell r="AC213">
            <v>32.4</v>
          </cell>
          <cell r="AD213">
            <v>36</v>
          </cell>
          <cell r="AE213">
            <v>32</v>
          </cell>
          <cell r="AF213">
            <v>32</v>
          </cell>
          <cell r="AG213">
            <v>32</v>
          </cell>
          <cell r="AH213">
            <v>32</v>
          </cell>
          <cell r="AI213">
            <v>32</v>
          </cell>
          <cell r="AJ213">
            <v>32</v>
          </cell>
          <cell r="AK213">
            <v>32</v>
          </cell>
          <cell r="AL213">
            <v>32</v>
          </cell>
          <cell r="AM213">
            <v>32</v>
          </cell>
        </row>
        <row r="215">
          <cell r="O215">
            <v>0</v>
          </cell>
          <cell r="P215">
            <v>0</v>
          </cell>
          <cell r="Q215">
            <v>0</v>
          </cell>
          <cell r="R215">
            <v>0.16666666666666674</v>
          </cell>
          <cell r="S215">
            <v>0.11482857142857128</v>
          </cell>
          <cell r="T215">
            <v>-3.8929752172018772E-2</v>
          </cell>
          <cell r="U215">
            <v>2.6106666666666722E-2</v>
          </cell>
          <cell r="V215">
            <v>3.9528054263364476E-2</v>
          </cell>
          <cell r="W215">
            <v>-0.125</v>
          </cell>
          <cell r="X215">
            <v>7.1428571428571397E-2</v>
          </cell>
          <cell r="Y215">
            <v>0.17565333333333344</v>
          </cell>
          <cell r="Z215">
            <v>-3.5997005920112568E-2</v>
          </cell>
          <cell r="AA215">
            <v>5.6705882352941162E-2</v>
          </cell>
          <cell r="AB215">
            <v>5.7002894678245486E-2</v>
          </cell>
          <cell r="AC215">
            <v>0</v>
          </cell>
          <cell r="AD215">
            <v>0.01</v>
          </cell>
          <cell r="AE215">
            <v>0.01</v>
          </cell>
          <cell r="AF215">
            <v>0.01</v>
          </cell>
          <cell r="AG215">
            <v>0.01</v>
          </cell>
          <cell r="AH215">
            <v>0.01</v>
          </cell>
          <cell r="AI215">
            <v>0.01</v>
          </cell>
          <cell r="AJ215">
            <v>0.01</v>
          </cell>
          <cell r="AK215">
            <v>0.01</v>
          </cell>
          <cell r="AL215">
            <v>0.01</v>
          </cell>
          <cell r="AM215">
            <v>0.01</v>
          </cell>
        </row>
        <row r="216">
          <cell r="O216">
            <v>0.13715186966536685</v>
          </cell>
          <cell r="P216">
            <v>0.16977938411875004</v>
          </cell>
          <cell r="Q216">
            <v>0.41751359855784043</v>
          </cell>
          <cell r="R216">
            <v>-0.18642333472407002</v>
          </cell>
          <cell r="S216">
            <v>-1.3962329868393186E-2</v>
          </cell>
          <cell r="T216">
            <v>0.18584996734044634</v>
          </cell>
          <cell r="U216">
            <v>-3.1283383544593923E-2</v>
          </cell>
          <cell r="V216">
            <v>-9.0861240520072606E-3</v>
          </cell>
          <cell r="W216">
            <v>0.22566466982203259</v>
          </cell>
          <cell r="X216">
            <v>-7.6700138364694692E-2</v>
          </cell>
          <cell r="Y216">
            <v>-0.18654849272328455</v>
          </cell>
          <cell r="Z216">
            <v>1.3543210574416431E-2</v>
          </cell>
          <cell r="AA216">
            <v>3.4824287409539689E-2</v>
          </cell>
          <cell r="AB216">
            <v>1.8670098898432297E-2</v>
          </cell>
          <cell r="AC216">
            <v>4.1213672964898418E-2</v>
          </cell>
          <cell r="AD216">
            <v>2.5000000000000001E-2</v>
          </cell>
          <cell r="AE216">
            <v>1.4999999999999999E-2</v>
          </cell>
          <cell r="AF216">
            <v>0.02</v>
          </cell>
          <cell r="AG216">
            <v>0.02</v>
          </cell>
          <cell r="AH216">
            <v>0.02</v>
          </cell>
          <cell r="AI216">
            <v>0.02</v>
          </cell>
          <cell r="AJ216">
            <v>0.02</v>
          </cell>
          <cell r="AK216">
            <v>0.02</v>
          </cell>
          <cell r="AL216">
            <v>0.02</v>
          </cell>
          <cell r="AM216">
            <v>0.02</v>
          </cell>
        </row>
        <row r="217">
          <cell r="N217">
            <v>8.5748245849468968E-2</v>
          </cell>
          <cell r="O217">
            <v>0.10792541594943518</v>
          </cell>
          <cell r="P217">
            <v>0.10111403729949948</v>
          </cell>
          <cell r="Q217">
            <v>8.5462138443210905E-2</v>
          </cell>
          <cell r="R217">
            <v>8.259807690286608E-2</v>
          </cell>
          <cell r="S217">
            <v>7.9064672162619989E-2</v>
          </cell>
          <cell r="T217">
            <v>7.6965625390454304E-2</v>
          </cell>
          <cell r="U217">
            <v>7.3625739650932054E-2</v>
          </cell>
          <cell r="V217">
            <v>7.1304122105700349E-2</v>
          </cell>
          <cell r="W217">
            <v>7.3869498402183292E-2</v>
          </cell>
          <cell r="X217">
            <v>6.6317121824275752E-2</v>
          </cell>
          <cell r="Y217">
            <v>6.8200984745923482E-2</v>
          </cell>
          <cell r="Z217">
            <v>6.0181343632605647E-2</v>
          </cell>
          <cell r="AA217">
            <v>6.0399390022511074E-2</v>
          </cell>
          <cell r="AB217">
            <v>5.201479145141117E-2</v>
          </cell>
          <cell r="AC217">
            <v>4.8581901717288024E-2</v>
          </cell>
          <cell r="AD217">
            <v>4.0196000000000003E-2</v>
          </cell>
          <cell r="AE217">
            <v>3.7199999999999997E-2</v>
          </cell>
          <cell r="AF217">
            <v>3.7999999999999999E-2</v>
          </cell>
          <cell r="AG217">
            <v>3.9E-2</v>
          </cell>
          <cell r="AH217">
            <v>0.04</v>
          </cell>
          <cell r="AI217">
            <v>0.04</v>
          </cell>
          <cell r="AJ217">
            <v>0.04</v>
          </cell>
          <cell r="AK217">
            <v>0.04</v>
          </cell>
          <cell r="AL217">
            <v>0.04</v>
          </cell>
          <cell r="AM217">
            <v>0.04</v>
          </cell>
        </row>
        <row r="218">
          <cell r="N218">
            <v>0</v>
          </cell>
          <cell r="O218">
            <v>2.6498520710059169E-4</v>
          </cell>
          <cell r="P218">
            <v>6.8556074962169717E-4</v>
          </cell>
          <cell r="Q218">
            <v>8.7627252680404525E-4</v>
          </cell>
          <cell r="R218">
            <v>9.6599245316493119E-4</v>
          </cell>
          <cell r="S218">
            <v>6.8385590062111797E-4</v>
          </cell>
          <cell r="T218">
            <v>6.0225218897179021E-4</v>
          </cell>
          <cell r="U218">
            <v>6.5634197824481107E-4</v>
          </cell>
          <cell r="V218">
            <v>9.8172567749974047E-4</v>
          </cell>
          <cell r="W218">
            <v>9.5369279932821724E-4</v>
          </cell>
          <cell r="X218">
            <v>8.7568476158652046E-4</v>
          </cell>
          <cell r="Y218">
            <v>6.836309703455234E-4</v>
          </cell>
          <cell r="Z218">
            <v>9.058129535476668E-4</v>
          </cell>
          <cell r="AA218">
            <v>1.320223658412606E-3</v>
          </cell>
          <cell r="AB218">
            <v>8.4651150144107886E-4</v>
          </cell>
          <cell r="AC218">
            <v>9.0237975614317512E-4</v>
          </cell>
          <cell r="AD218">
            <v>7.6499999999999995E-4</v>
          </cell>
          <cell r="AE218">
            <v>7.2199999999999999E-4</v>
          </cell>
          <cell r="AF218">
            <v>7.2199999999999999E-4</v>
          </cell>
          <cell r="AG218">
            <v>7.2199999999999999E-4</v>
          </cell>
          <cell r="AH218">
            <v>7.2199999999999999E-4</v>
          </cell>
          <cell r="AI218">
            <v>7.2199999999999999E-4</v>
          </cell>
          <cell r="AJ218">
            <v>7.2199999999999999E-4</v>
          </cell>
          <cell r="AK218">
            <v>7.2199999999999999E-4</v>
          </cell>
          <cell r="AL218">
            <v>7.2199999999999999E-4</v>
          </cell>
          <cell r="AM218">
            <v>7.2199999999999999E-4</v>
          </cell>
        </row>
        <row r="219">
          <cell r="N219">
            <v>4.6010505732142174E-4</v>
          </cell>
          <cell r="O219">
            <v>6.6312533620225926E-4</v>
          </cell>
          <cell r="P219">
            <v>0</v>
          </cell>
          <cell r="Q219">
            <v>7.4366968291384686E-4</v>
          </cell>
          <cell r="R219">
            <v>1.5641117705451242E-3</v>
          </cell>
          <cell r="S219">
            <v>2.7469226425748164E-3</v>
          </cell>
          <cell r="T219">
            <v>1.6017608882127308E-3</v>
          </cell>
          <cell r="U219">
            <v>6.3753114120595014E-4</v>
          </cell>
          <cell r="V219">
            <v>5.9651126570449593E-4</v>
          </cell>
          <cell r="W219">
            <v>7.0300669450211104E-4</v>
          </cell>
          <cell r="X219">
            <v>8.2627054284759559E-4</v>
          </cell>
          <cell r="Y219">
            <v>5.4566306512947424E-4</v>
          </cell>
          <cell r="Z219">
            <v>2.5134649910233393E-3</v>
          </cell>
          <cell r="AA219">
            <v>3.7876697407595674E-3</v>
          </cell>
          <cell r="AB219">
            <v>1.2589047800315407E-5</v>
          </cell>
          <cell r="AC219">
            <v>1.1703132411604763E-5</v>
          </cell>
          <cell r="AD219">
            <v>9.5000000000000005E-6</v>
          </cell>
          <cell r="AE219">
            <v>9.5000000000000005E-6</v>
          </cell>
          <cell r="AF219">
            <v>9.5000000000000005E-6</v>
          </cell>
          <cell r="AG219">
            <v>9.5000000000000005E-6</v>
          </cell>
          <cell r="AH219">
            <v>9.5000000000000005E-6</v>
          </cell>
          <cell r="AI219">
            <v>9.5000000000000005E-6</v>
          </cell>
          <cell r="AJ219">
            <v>9.5000000000000005E-6</v>
          </cell>
          <cell r="AK219">
            <v>9.5000000000000005E-6</v>
          </cell>
          <cell r="AL219">
            <v>9.5000000000000005E-6</v>
          </cell>
          <cell r="AM219">
            <v>9.5000000000000005E-6</v>
          </cell>
        </row>
        <row r="220">
          <cell r="N220">
            <v>1.2269468195237913E-3</v>
          </cell>
          <cell r="O220">
            <v>1.1346768154922001E-2</v>
          </cell>
          <cell r="P220">
            <v>0</v>
          </cell>
          <cell r="Q220">
            <v>1.2778459331356297E-2</v>
          </cell>
          <cell r="R220">
            <v>1.3149306971930641E-2</v>
          </cell>
          <cell r="S220">
            <v>1.7782073555430076E-2</v>
          </cell>
          <cell r="T220">
            <v>1.8300318384126112E-2</v>
          </cell>
          <cell r="U220">
            <v>1.7471255624918525E-2</v>
          </cell>
          <cell r="V220">
            <v>1.8592565673346485E-2</v>
          </cell>
          <cell r="W220">
            <v>1.7335788621678991E-2</v>
          </cell>
          <cell r="X220">
            <v>2.1188168939923247E-2</v>
          </cell>
          <cell r="Y220">
            <v>1.5421362605523891E-2</v>
          </cell>
          <cell r="Z220">
            <v>1.8677488948900926E-2</v>
          </cell>
          <cell r="AA220">
            <v>2.3319265122358577E-2</v>
          </cell>
          <cell r="AB220">
            <v>3.1975637609440423E-2</v>
          </cell>
          <cell r="AC220">
            <v>2.1930102981227415E-2</v>
          </cell>
          <cell r="AD220">
            <v>1.8550000000000001E-2</v>
          </cell>
          <cell r="AE220">
            <v>1.6969999999999999E-2</v>
          </cell>
          <cell r="AF220">
            <v>1.6969999999999999E-2</v>
          </cell>
          <cell r="AG220">
            <v>1.6969999999999999E-2</v>
          </cell>
          <cell r="AH220">
            <v>1.6969999999999999E-2</v>
          </cell>
          <cell r="AI220">
            <v>1.6969999999999999E-2</v>
          </cell>
          <cell r="AJ220">
            <v>1.6969999999999999E-2</v>
          </cell>
          <cell r="AK220">
            <v>1.6969999999999999E-2</v>
          </cell>
          <cell r="AL220">
            <v>1.6969999999999999E-2</v>
          </cell>
          <cell r="AM220">
            <v>1.6969999999999999E-2</v>
          </cell>
        </row>
        <row r="221">
          <cell r="N221">
            <v>0</v>
          </cell>
          <cell r="O221">
            <v>3.5358997982786446E-2</v>
          </cell>
          <cell r="P221">
            <v>0</v>
          </cell>
          <cell r="Q221">
            <v>2.160168108889058E-2</v>
          </cell>
          <cell r="R221">
            <v>2.1500123027013325E-2</v>
          </cell>
          <cell r="S221">
            <v>2.2896200263504612E-2</v>
          </cell>
          <cell r="T221">
            <v>2.6091570459805462E-2</v>
          </cell>
          <cell r="U221">
            <v>2.426154839008705E-2</v>
          </cell>
          <cell r="V221">
            <v>2.888277437441595E-2</v>
          </cell>
          <cell r="W221">
            <v>2.832999015651606E-2</v>
          </cell>
          <cell r="X221">
            <v>3.217675709063661E-2</v>
          </cell>
          <cell r="Y221">
            <v>3.2722192999853413E-2</v>
          </cell>
          <cell r="Z221">
            <v>3.0887256159196172E-2</v>
          </cell>
          <cell r="AA221">
            <v>3.274548834507298E-2</v>
          </cell>
          <cell r="AB221">
            <v>4.1674397737778021E-2</v>
          </cell>
          <cell r="AC221">
            <v>3.3880947482753832E-2</v>
          </cell>
          <cell r="AD221">
            <v>3.0624999999999999E-2</v>
          </cell>
          <cell r="AE221">
            <v>2.904E-2</v>
          </cell>
          <cell r="AF221">
            <v>2.904E-2</v>
          </cell>
          <cell r="AG221">
            <v>2.904E-2</v>
          </cell>
          <cell r="AH221">
            <v>2.904E-2</v>
          </cell>
          <cell r="AI221">
            <v>2.904E-2</v>
          </cell>
          <cell r="AJ221">
            <v>2.904E-2</v>
          </cell>
          <cell r="AK221">
            <v>2.904E-2</v>
          </cell>
          <cell r="AL221">
            <v>2.904E-2</v>
          </cell>
          <cell r="AM221">
            <v>2.904E-2</v>
          </cell>
        </row>
        <row r="222">
          <cell r="N222">
            <v>0</v>
          </cell>
          <cell r="O222">
            <v>6.3442009144701449E-3</v>
          </cell>
          <cell r="P222">
            <v>5.0412289139797464E-2</v>
          </cell>
          <cell r="Q222">
            <v>4.0457497275238887E-3</v>
          </cell>
          <cell r="R222">
            <v>1.0775982439436501E-2</v>
          </cell>
          <cell r="S222">
            <v>4.4843299830604182E-3</v>
          </cell>
          <cell r="T222">
            <v>5.9202665932963239E-3</v>
          </cell>
          <cell r="U222">
            <v>5.0933102185657794E-3</v>
          </cell>
          <cell r="V222">
            <v>8.1336309832831469E-3</v>
          </cell>
          <cell r="W222">
            <v>7.2033293368477533E-3</v>
          </cell>
          <cell r="X222">
            <v>6.2002693479955859E-3</v>
          </cell>
          <cell r="Y222">
            <v>1.2206365494226906E-2</v>
          </cell>
          <cell r="Z222">
            <v>6.6469532157566796E-3</v>
          </cell>
          <cell r="AA222">
            <v>8.1266138987727832E-3</v>
          </cell>
          <cell r="AB222">
            <v>3.7931100114198704E-3</v>
          </cell>
          <cell r="AC222">
            <v>3.6676555354726802E-3</v>
          </cell>
          <cell r="AD222">
            <v>2.8900010000000001E-3</v>
          </cell>
          <cell r="AE222">
            <v>2.5300000000000001E-3</v>
          </cell>
          <cell r="AF222">
            <v>2.5300000000000001E-3</v>
          </cell>
          <cell r="AG222">
            <v>2.5300000000000001E-3</v>
          </cell>
          <cell r="AH222">
            <v>2.5300000000000001E-3</v>
          </cell>
          <cell r="AI222">
            <v>2.5300000000000001E-3</v>
          </cell>
          <cell r="AJ222">
            <v>2.5300000000000001E-3</v>
          </cell>
          <cell r="AK222">
            <v>2.5300000000000001E-3</v>
          </cell>
          <cell r="AL222">
            <v>2.5300000000000001E-3</v>
          </cell>
          <cell r="AM222">
            <v>2.5300000000000001E-3</v>
          </cell>
        </row>
        <row r="224">
          <cell r="AA224">
            <v>0.60099999999999998</v>
          </cell>
          <cell r="AB224">
            <v>0.54300000000000004</v>
          </cell>
          <cell r="AC224">
            <v>0.54300000000000004</v>
          </cell>
          <cell r="AD224">
            <v>0.54300000000000004</v>
          </cell>
          <cell r="AE224">
            <v>0.54300000000000004</v>
          </cell>
          <cell r="AF224">
            <v>0.54300000000000004</v>
          </cell>
          <cell r="AG224">
            <v>0.54300000000000004</v>
          </cell>
          <cell r="AH224">
            <v>0.54300000000000004</v>
          </cell>
          <cell r="AI224">
            <v>0.54300000000000004</v>
          </cell>
          <cell r="AJ224">
            <v>0.54300000000000004</v>
          </cell>
          <cell r="AK224">
            <v>0.54300000000000004</v>
          </cell>
          <cell r="AL224">
            <v>0.54300000000000004</v>
          </cell>
          <cell r="AM224">
            <v>0.54300000000000004</v>
          </cell>
        </row>
        <row r="225">
          <cell r="AA225">
            <v>0.14399999999999999</v>
          </cell>
          <cell r="AB225">
            <v>0.215</v>
          </cell>
          <cell r="AC225">
            <v>0.215</v>
          </cell>
          <cell r="AD225">
            <v>0.215</v>
          </cell>
          <cell r="AE225">
            <v>0.215</v>
          </cell>
          <cell r="AF225">
            <v>0.4</v>
          </cell>
          <cell r="AG225">
            <v>0.4</v>
          </cell>
          <cell r="AH225">
            <v>0.4</v>
          </cell>
          <cell r="AI225">
            <v>0.4</v>
          </cell>
          <cell r="AJ225">
            <v>0.4</v>
          </cell>
          <cell r="AK225">
            <v>0.4</v>
          </cell>
          <cell r="AL225">
            <v>0.4</v>
          </cell>
          <cell r="AM225">
            <v>0.4</v>
          </cell>
        </row>
        <row r="226">
          <cell r="N226">
            <v>42.05</v>
          </cell>
          <cell r="O226">
            <v>57.541750999999998</v>
          </cell>
          <cell r="P226">
            <v>45.901880689999999</v>
          </cell>
          <cell r="Q226">
            <v>19.511001</v>
          </cell>
          <cell r="R226">
            <v>43.972621590000003</v>
          </cell>
          <cell r="S226">
            <v>22.444983000000001</v>
          </cell>
          <cell r="T226">
            <v>45.860363</v>
          </cell>
          <cell r="U226">
            <v>87.557382279999999</v>
          </cell>
          <cell r="V226">
            <v>95.95</v>
          </cell>
          <cell r="W226">
            <v>121.4</v>
          </cell>
          <cell r="X226">
            <v>122.05</v>
          </cell>
          <cell r="Y226">
            <v>477.84</v>
          </cell>
          <cell r="Z226">
            <v>649.70000000000005</v>
          </cell>
          <cell r="AA226">
            <v>400</v>
          </cell>
          <cell r="AB226">
            <v>386.5</v>
          </cell>
          <cell r="AC226">
            <v>207.5</v>
          </cell>
          <cell r="AD226">
            <v>146</v>
          </cell>
          <cell r="AE226">
            <v>84.1</v>
          </cell>
          <cell r="AF226">
            <v>50</v>
          </cell>
          <cell r="AG226">
            <v>50</v>
          </cell>
          <cell r="AH226">
            <v>50</v>
          </cell>
          <cell r="AI226">
            <v>50</v>
          </cell>
          <cell r="AJ226">
            <v>50</v>
          </cell>
          <cell r="AK226">
            <v>50</v>
          </cell>
          <cell r="AL226">
            <v>50</v>
          </cell>
          <cell r="AM226">
            <v>50</v>
          </cell>
        </row>
        <row r="227">
          <cell r="N227">
            <v>0</v>
          </cell>
          <cell r="O227">
            <v>39.155000000000001</v>
          </cell>
          <cell r="P227">
            <v>0.8</v>
          </cell>
          <cell r="Q227">
            <v>41.425353000000001</v>
          </cell>
          <cell r="R227">
            <v>41.604145000000003</v>
          </cell>
          <cell r="S227">
            <v>33.776432</v>
          </cell>
          <cell r="T227">
            <v>39.054558999999998</v>
          </cell>
          <cell r="U227">
            <v>5.4319546799999996</v>
          </cell>
          <cell r="V227">
            <v>5.93</v>
          </cell>
          <cell r="W227">
            <v>2.8720409999999998</v>
          </cell>
          <cell r="X227">
            <v>2.85</v>
          </cell>
          <cell r="Y227">
            <v>35.299999999999997</v>
          </cell>
          <cell r="Z227">
            <v>36.200000000000003</v>
          </cell>
          <cell r="AA227">
            <v>33.200000000000003</v>
          </cell>
          <cell r="AB227">
            <v>91</v>
          </cell>
          <cell r="AC227">
            <v>133.19999999999999</v>
          </cell>
          <cell r="AD227">
            <v>20.6</v>
          </cell>
          <cell r="AE227">
            <v>19.600000000000001</v>
          </cell>
          <cell r="AF227">
            <v>19.600000000000001</v>
          </cell>
          <cell r="AG227">
            <v>19.600000000000001</v>
          </cell>
          <cell r="AH227">
            <v>19.600000000000001</v>
          </cell>
          <cell r="AI227">
            <v>19.600000000000001</v>
          </cell>
          <cell r="AJ227">
            <v>19.600000000000001</v>
          </cell>
          <cell r="AK227">
            <v>19.600000000000001</v>
          </cell>
          <cell r="AL227">
            <v>19.600000000000001</v>
          </cell>
          <cell r="AM227">
            <v>19.600000000000001</v>
          </cell>
        </row>
        <row r="228">
          <cell r="N228">
            <v>2.9256546911544803E-2</v>
          </cell>
          <cell r="O228">
            <v>6.1256757261968803E-2</v>
          </cell>
          <cell r="P228">
            <v>4.4561940015132112E-2</v>
          </cell>
          <cell r="Q228">
            <v>3.7303775023445618E-2</v>
          </cell>
          <cell r="R228">
            <v>2.96303663775952E-2</v>
          </cell>
          <cell r="S228">
            <v>3.2251286805947674E-2</v>
          </cell>
          <cell r="T228">
            <v>3.3636160227879651E-2</v>
          </cell>
          <cell r="U228">
            <v>3.7340166277429358E-2</v>
          </cell>
          <cell r="V228">
            <v>3.5574187519468385E-2</v>
          </cell>
          <cell r="W228">
            <v>4.2755596323855283E-2</v>
          </cell>
          <cell r="X228">
            <v>3.7631357777170228E-2</v>
          </cell>
          <cell r="Y228">
            <v>3.8441307590821684E-2</v>
          </cell>
          <cell r="Z228">
            <v>3.6473907336722837E-2</v>
          </cell>
          <cell r="AA228">
            <v>3.9602062304843505E-2</v>
          </cell>
          <cell r="AB228">
            <v>3.6037848713905057E-2</v>
          </cell>
          <cell r="AC228">
            <v>3.3486630278388746E-2</v>
          </cell>
          <cell r="AD228">
            <v>3.3090000000000001E-2</v>
          </cell>
          <cell r="AE228">
            <v>3.1220000000000001E-2</v>
          </cell>
          <cell r="AF228">
            <v>3.2219999999999999E-2</v>
          </cell>
          <cell r="AG228">
            <v>3.322E-2</v>
          </cell>
          <cell r="AH228">
            <v>3.422E-2</v>
          </cell>
          <cell r="AI228">
            <v>3.5220000000000001E-2</v>
          </cell>
          <cell r="AJ228">
            <v>3.6220000000000002E-2</v>
          </cell>
          <cell r="AK228">
            <v>3.7220000000000003E-2</v>
          </cell>
          <cell r="AL228">
            <v>3.8220000000000004E-2</v>
          </cell>
          <cell r="AM228">
            <v>3.9220000000000005E-2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3.8481846790715354E-2</v>
          </cell>
          <cell r="S229">
            <v>4.7543760587238845E-2</v>
          </cell>
          <cell r="T229">
            <v>4.7213815203845468E-2</v>
          </cell>
          <cell r="U229">
            <v>5.0213641169739726E-2</v>
          </cell>
          <cell r="V229">
            <v>4.3245768871352924E-2</v>
          </cell>
          <cell r="W229">
            <v>5.5767301905717152E-2</v>
          </cell>
          <cell r="X229">
            <v>5.0961450833864941E-2</v>
          </cell>
          <cell r="Y229">
            <v>3.2995024532418149E-2</v>
          </cell>
          <cell r="Z229">
            <v>3.2880225698897154E-2</v>
          </cell>
          <cell r="AA229">
            <v>3.5823106528211454E-2</v>
          </cell>
          <cell r="AB229">
            <v>3.262820164228615E-2</v>
          </cell>
          <cell r="AC229">
            <v>3.3486630278388746E-2</v>
          </cell>
          <cell r="AD229">
            <v>3.7999999999999999E-2</v>
          </cell>
          <cell r="AE229">
            <v>3.2000000000000001E-2</v>
          </cell>
          <cell r="AF229">
            <v>3.3000000000000002E-2</v>
          </cell>
          <cell r="AG229">
            <v>3.4000000000000002E-2</v>
          </cell>
          <cell r="AH229">
            <v>3.5000000000000003E-2</v>
          </cell>
          <cell r="AI229">
            <v>3.6000000000000004E-2</v>
          </cell>
          <cell r="AJ229">
            <v>3.7000000000000005E-2</v>
          </cell>
          <cell r="AK229">
            <v>3.8000000000000006E-2</v>
          </cell>
          <cell r="AL229">
            <v>3.9000000000000007E-2</v>
          </cell>
          <cell r="AM229">
            <v>4.0000000000000008E-2</v>
          </cell>
        </row>
        <row r="230">
          <cell r="N230">
            <v>5.1577740420771665</v>
          </cell>
          <cell r="O230">
            <v>1.1442218744290968</v>
          </cell>
          <cell r="P230">
            <v>1.6406935348719303</v>
          </cell>
          <cell r="Q230">
            <v>0.14828214273857881</v>
          </cell>
          <cell r="R230">
            <v>0.21291967286017102</v>
          </cell>
          <cell r="S230">
            <v>2.0019678193107637</v>
          </cell>
          <cell r="T230">
            <v>-0.48964346512054208</v>
          </cell>
          <cell r="U230">
            <v>-1.3989015334538164</v>
          </cell>
          <cell r="V230">
            <v>5.6590473767503958E-2</v>
          </cell>
          <cell r="W230">
            <v>-0.16245629450893428</v>
          </cell>
          <cell r="X230">
            <v>0.29614696185749378</v>
          </cell>
          <cell r="Y230">
            <v>-0.11803069399272259</v>
          </cell>
          <cell r="Z230">
            <v>-0.11392289374259798</v>
          </cell>
          <cell r="AA230">
            <v>0.1638779561127672</v>
          </cell>
          <cell r="AB230">
            <v>-0.18329662641398958</v>
          </cell>
          <cell r="AC230">
            <v>5.2531969309463413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</row>
        <row r="231">
          <cell r="N231">
            <v>-0.70545641336381526</v>
          </cell>
          <cell r="O231">
            <v>-6.2659769313974332</v>
          </cell>
          <cell r="P231">
            <v>0.84863458700272254</v>
          </cell>
          <cell r="Q231">
            <v>0.50003233894368682</v>
          </cell>
          <cell r="R231">
            <v>-4.2030896460709052E-2</v>
          </cell>
          <cell r="S231">
            <v>-4.5331914988990851</v>
          </cell>
          <cell r="T231">
            <v>0.21223085225131613</v>
          </cell>
          <cell r="U231">
            <v>0.31626132833660875</v>
          </cell>
          <cell r="V231">
            <v>-9.1370035770449068E-2</v>
          </cell>
          <cell r="W231">
            <v>0.51757202560452031</v>
          </cell>
          <cell r="X231">
            <v>-0.39337522689238857</v>
          </cell>
          <cell r="Y231">
            <v>0.18677974107809406</v>
          </cell>
          <cell r="Z231">
            <v>0.31650594871887572</v>
          </cell>
          <cell r="AA231">
            <v>-6.1390285328403987E-2</v>
          </cell>
          <cell r="AB231">
            <v>-5.4078751512598687E-2</v>
          </cell>
          <cell r="AC231">
            <v>1.5498721227621632</v>
          </cell>
          <cell r="AD231">
            <v>0.8</v>
          </cell>
          <cell r="AE231">
            <v>0.8</v>
          </cell>
          <cell r="AF231">
            <v>0.8</v>
          </cell>
          <cell r="AG231">
            <v>0.8</v>
          </cell>
          <cell r="AH231">
            <v>0.8</v>
          </cell>
          <cell r="AI231">
            <v>0.8</v>
          </cell>
          <cell r="AJ231">
            <v>0.8</v>
          </cell>
          <cell r="AK231">
            <v>0.8</v>
          </cell>
          <cell r="AL231">
            <v>0.8</v>
          </cell>
          <cell r="AM231">
            <v>0.8</v>
          </cell>
        </row>
        <row r="232">
          <cell r="N232">
            <v>0</v>
          </cell>
          <cell r="O232">
            <v>0.45392646391284608</v>
          </cell>
          <cell r="P232">
            <v>0.73611431205346856</v>
          </cell>
          <cell r="Q232">
            <v>0.99607403252944449</v>
          </cell>
          <cell r="R232">
            <v>0.67607289829512063</v>
          </cell>
          <cell r="S232">
            <v>0.15206758559359707</v>
          </cell>
          <cell r="T232">
            <v>0.24061981184283351</v>
          </cell>
          <cell r="U232">
            <v>0.74576476282671811</v>
          </cell>
          <cell r="V232">
            <v>9.1457286432160959E-2</v>
          </cell>
          <cell r="W232">
            <v>0.52976859132779153</v>
          </cell>
          <cell r="X232">
            <v>0.76723509692464731</v>
          </cell>
          <cell r="Y232">
            <v>0.31032823178361724</v>
          </cell>
          <cell r="Z232">
            <v>0.27785044691519517</v>
          </cell>
          <cell r="AA232">
            <v>0.56587969794288662</v>
          </cell>
          <cell r="AB232">
            <v>0.28501518731015857</v>
          </cell>
          <cell r="AC232">
            <v>2.4154019642186442E-2</v>
          </cell>
          <cell r="AD232">
            <v>4.5475216007303555E-4</v>
          </cell>
          <cell r="AE232">
            <v>4.5475216007303555E-4</v>
          </cell>
          <cell r="AF232">
            <v>4.5475216007303555E-4</v>
          </cell>
          <cell r="AG232">
            <v>4.5475216007303555E-4</v>
          </cell>
          <cell r="AH232">
            <v>4.5475216007303555E-4</v>
          </cell>
          <cell r="AI232">
            <v>4.5475216007303555E-4</v>
          </cell>
          <cell r="AJ232">
            <v>4.5475216007303555E-4</v>
          </cell>
          <cell r="AK232">
            <v>4.5475216007303555E-4</v>
          </cell>
          <cell r="AL232">
            <v>4.5475216007303555E-4</v>
          </cell>
          <cell r="AM232">
            <v>4.5475216007303555E-4</v>
          </cell>
        </row>
      </sheetData>
      <sheetData sheetId="14" refreshError="1">
        <row r="5">
          <cell r="D5">
            <v>167.88743810332195</v>
          </cell>
          <cell r="E5">
            <v>180.43564640359921</v>
          </cell>
          <cell r="F5">
            <v>184.23197656947019</v>
          </cell>
          <cell r="G5">
            <v>181.31575163835214</v>
          </cell>
          <cell r="H5">
            <v>207.16315761559738</v>
          </cell>
          <cell r="I5">
            <v>230.06003860536373</v>
          </cell>
          <cell r="J5">
            <v>292.14374393033199</v>
          </cell>
          <cell r="K5">
            <v>409.63050655966293</v>
          </cell>
          <cell r="L5">
            <v>487.45132709095981</v>
          </cell>
          <cell r="M5">
            <v>513.64778504564742</v>
          </cell>
          <cell r="N5">
            <v>525.49413958317689</v>
          </cell>
          <cell r="O5">
            <v>603.0876258468337</v>
          </cell>
          <cell r="P5">
            <v>449.41310968812684</v>
          </cell>
          <cell r="Q5">
            <v>450</v>
          </cell>
          <cell r="R5">
            <v>879</v>
          </cell>
          <cell r="S5">
            <v>872</v>
          </cell>
          <cell r="T5">
            <v>971</v>
          </cell>
          <cell r="U5">
            <v>979</v>
          </cell>
          <cell r="V5">
            <v>905</v>
          </cell>
          <cell r="W5">
            <v>1101</v>
          </cell>
          <cell r="X5">
            <v>1299</v>
          </cell>
          <cell r="Y5">
            <v>1137</v>
          </cell>
          <cell r="Z5">
            <v>1687</v>
          </cell>
          <cell r="AA5">
            <v>1814</v>
          </cell>
          <cell r="AB5">
            <v>1873</v>
          </cell>
          <cell r="AC5">
            <v>2404</v>
          </cell>
          <cell r="AD5">
            <v>2529.3546974993728</v>
          </cell>
          <cell r="AE5">
            <v>2766.5943554704349</v>
          </cell>
          <cell r="AF5">
            <v>3032.3216016921147</v>
          </cell>
          <cell r="AG5">
            <v>3427.2691850090314</v>
          </cell>
          <cell r="AH5">
            <v>3855.1034686630437</v>
          </cell>
          <cell r="AI5">
            <v>4341.9806125191017</v>
          </cell>
          <cell r="AJ5">
            <v>4905.5683826837685</v>
          </cell>
          <cell r="AK5">
            <v>5561.196570822508</v>
          </cell>
          <cell r="AL5">
            <v>6328.1823775992443</v>
          </cell>
          <cell r="AM5">
            <v>7231.1455451250031</v>
          </cell>
        </row>
        <row r="6">
          <cell r="D6">
            <v>135.29663679499907</v>
          </cell>
          <cell r="E6">
            <v>139.30743775139851</v>
          </cell>
          <cell r="F6">
            <v>135.79254238036074</v>
          </cell>
          <cell r="G6">
            <v>125.17019021488099</v>
          </cell>
          <cell r="H6">
            <v>143.30691895578411</v>
          </cell>
          <cell r="I6">
            <v>157.28415359759396</v>
          </cell>
          <cell r="J6">
            <v>205.62121819164838</v>
          </cell>
          <cell r="K6">
            <v>305.02617496527279</v>
          </cell>
          <cell r="L6">
            <v>365.86882661453808</v>
          </cell>
          <cell r="M6">
            <v>373.75146529438643</v>
          </cell>
          <cell r="N6">
            <v>364.30027316868814</v>
          </cell>
          <cell r="O6">
            <v>392.71805711398747</v>
          </cell>
          <cell r="P6">
            <v>327.31252542800166</v>
          </cell>
          <cell r="Q6">
            <v>293</v>
          </cell>
          <cell r="R6">
            <v>571</v>
          </cell>
          <cell r="S6">
            <v>517</v>
          </cell>
          <cell r="T6">
            <v>583</v>
          </cell>
          <cell r="U6">
            <v>542</v>
          </cell>
          <cell r="V6">
            <v>459</v>
          </cell>
          <cell r="W6">
            <v>532</v>
          </cell>
          <cell r="X6">
            <v>792</v>
          </cell>
          <cell r="Y6">
            <v>711</v>
          </cell>
          <cell r="Z6">
            <v>1309</v>
          </cell>
          <cell r="AA6">
            <v>1353</v>
          </cell>
          <cell r="AB6">
            <v>1294</v>
          </cell>
          <cell r="AC6">
            <v>1718</v>
          </cell>
          <cell r="AD6">
            <v>1787.0624220494194</v>
          </cell>
          <cell r="AE6">
            <v>1974.0363280867123</v>
          </cell>
          <cell r="AF6">
            <v>2189.7160080729464</v>
          </cell>
          <cell r="AG6">
            <v>2506.2686628697898</v>
          </cell>
          <cell r="AH6">
            <v>2834.2500890252077</v>
          </cell>
          <cell r="AI6">
            <v>3225.585088950796</v>
          </cell>
          <cell r="AJ6">
            <v>3684.0180109185071</v>
          </cell>
          <cell r="AK6">
            <v>4223.8270293280439</v>
          </cell>
          <cell r="AL6">
            <v>4863.1495741549152</v>
          </cell>
          <cell r="AM6">
            <v>5625.2798294821941</v>
          </cell>
        </row>
        <row r="7">
          <cell r="D7">
            <v>32.590801308322881</v>
          </cell>
          <cell r="E7">
            <v>41.128208652200698</v>
          </cell>
          <cell r="F7">
            <v>48.439434189109448</v>
          </cell>
          <cell r="G7">
            <v>56.14556142347115</v>
          </cell>
          <cell r="H7">
            <v>63.856238659813272</v>
          </cell>
          <cell r="I7">
            <v>72.775885007769773</v>
          </cell>
          <cell r="J7">
            <v>86.522525738683612</v>
          </cell>
          <cell r="K7">
            <v>104.60433159439015</v>
          </cell>
          <cell r="L7">
            <v>121.58250047642173</v>
          </cell>
          <cell r="M7">
            <v>139.89631975126099</v>
          </cell>
          <cell r="N7">
            <v>161.19386641448875</v>
          </cell>
          <cell r="O7">
            <v>210.36956873284623</v>
          </cell>
          <cell r="P7">
            <v>122.10058426012517</v>
          </cell>
          <cell r="Q7">
            <v>157</v>
          </cell>
          <cell r="R7">
            <v>308</v>
          </cell>
          <cell r="S7">
            <v>355</v>
          </cell>
          <cell r="T7">
            <v>388</v>
          </cell>
          <cell r="U7">
            <v>437</v>
          </cell>
          <cell r="V7">
            <v>446</v>
          </cell>
          <cell r="W7">
            <v>569</v>
          </cell>
          <cell r="X7">
            <v>507</v>
          </cell>
          <cell r="Y7">
            <v>426</v>
          </cell>
          <cell r="Z7">
            <v>378</v>
          </cell>
          <cell r="AA7">
            <v>461</v>
          </cell>
          <cell r="AB7">
            <v>579</v>
          </cell>
          <cell r="AC7">
            <v>686</v>
          </cell>
          <cell r="AD7">
            <v>742.29227544995331</v>
          </cell>
          <cell r="AE7">
            <v>792.55802738372279</v>
          </cell>
          <cell r="AF7">
            <v>842.60559361916842</v>
          </cell>
          <cell r="AG7">
            <v>921.00052213924175</v>
          </cell>
          <cell r="AH7">
            <v>1020.8533796378358</v>
          </cell>
          <cell r="AI7">
            <v>1116.3955235683054</v>
          </cell>
          <cell r="AJ7">
            <v>1221.5503717652618</v>
          </cell>
          <cell r="AK7">
            <v>1337.3695414944641</v>
          </cell>
          <cell r="AL7">
            <v>1465.0328034443291</v>
          </cell>
          <cell r="AM7">
            <v>1605.8657156428087</v>
          </cell>
        </row>
        <row r="8">
          <cell r="D8">
            <v>13.348923718175939</v>
          </cell>
          <cell r="E8">
            <v>17.104286931037223</v>
          </cell>
          <cell r="F8">
            <v>29.895531493677197</v>
          </cell>
          <cell r="G8">
            <v>37.085427973923117</v>
          </cell>
          <cell r="H8">
            <v>32.831760634485107</v>
          </cell>
          <cell r="I8">
            <v>40.422276808199626</v>
          </cell>
          <cell r="J8">
            <v>43.029119511503836</v>
          </cell>
          <cell r="K8">
            <v>55.923647495734883</v>
          </cell>
          <cell r="L8">
            <v>69.833716364437237</v>
          </cell>
          <cell r="M8">
            <v>88.570182689156354</v>
          </cell>
          <cell r="N8">
            <v>116.21942336219115</v>
          </cell>
          <cell r="O8">
            <v>170.32554982181239</v>
          </cell>
          <cell r="P8">
            <v>218.96740994416461</v>
          </cell>
          <cell r="Q8">
            <v>338</v>
          </cell>
          <cell r="R8">
            <v>439</v>
          </cell>
          <cell r="S8">
            <v>491</v>
          </cell>
          <cell r="T8">
            <v>629</v>
          </cell>
          <cell r="U8">
            <v>650</v>
          </cell>
          <cell r="V8">
            <v>934</v>
          </cell>
          <cell r="W8">
            <v>971</v>
          </cell>
          <cell r="X8">
            <v>1044</v>
          </cell>
          <cell r="Y8">
            <v>1444</v>
          </cell>
          <cell r="Z8">
            <v>1607</v>
          </cell>
          <cell r="AA8">
            <v>1757</v>
          </cell>
          <cell r="AB8">
            <v>1547</v>
          </cell>
          <cell r="AC8">
            <v>1916</v>
          </cell>
          <cell r="AD8">
            <v>2057.5349200000001</v>
          </cell>
          <cell r="AE8">
            <v>2239.729637166</v>
          </cell>
          <cell r="AF8">
            <v>2467.9141648178552</v>
          </cell>
          <cell r="AG8">
            <v>2719.3462210087278</v>
          </cell>
          <cell r="AH8">
            <v>2996.3942729994533</v>
          </cell>
          <cell r="AI8">
            <v>3301.6680884177508</v>
          </cell>
          <cell r="AJ8">
            <v>3638.0433190335739</v>
          </cell>
          <cell r="AK8">
            <v>4008.6885891390643</v>
          </cell>
          <cell r="AL8">
            <v>4417.0953437032022</v>
          </cell>
          <cell r="AM8">
            <v>4867.1107374680796</v>
          </cell>
        </row>
        <row r="9">
          <cell r="D9">
            <v>633.11146764745558</v>
          </cell>
          <cell r="E9">
            <v>457.76482089603508</v>
          </cell>
          <cell r="F9">
            <v>469.9589853733479</v>
          </cell>
          <cell r="G9">
            <v>480.92157324387625</v>
          </cell>
          <cell r="H9">
            <v>520.34962300987706</v>
          </cell>
          <cell r="I9">
            <v>846.5692722794679</v>
          </cell>
          <cell r="J9">
            <v>926.64905297462667</v>
          </cell>
          <cell r="K9">
            <v>807.43915890134247</v>
          </cell>
          <cell r="L9">
            <v>1143.9134097225615</v>
          </cell>
          <cell r="M9">
            <v>1382.2581756220698</v>
          </cell>
          <cell r="N9">
            <v>1084.286437054632</v>
          </cell>
          <cell r="O9">
            <v>1103.5868243313539</v>
          </cell>
          <cell r="P9">
            <v>1111.6194803677085</v>
          </cell>
          <cell r="Q9">
            <v>819</v>
          </cell>
          <cell r="R9">
            <v>1250</v>
          </cell>
          <cell r="S9">
            <v>1058</v>
          </cell>
          <cell r="T9">
            <v>1539</v>
          </cell>
          <cell r="U9">
            <v>1729</v>
          </cell>
          <cell r="V9">
            <v>1835</v>
          </cell>
          <cell r="W9">
            <v>1949</v>
          </cell>
          <cell r="X9">
            <v>2610</v>
          </cell>
          <cell r="Y9">
            <v>3663</v>
          </cell>
          <cell r="Z9">
            <v>4565</v>
          </cell>
          <cell r="AA9">
            <v>2975</v>
          </cell>
          <cell r="AB9">
            <v>3489</v>
          </cell>
          <cell r="AC9">
            <v>3317</v>
          </cell>
          <cell r="AD9">
            <v>4311.6202810616533</v>
          </cell>
          <cell r="AE9">
            <v>5008.6210834133308</v>
          </cell>
          <cell r="AF9">
            <v>5395.8831594353578</v>
          </cell>
          <cell r="AG9">
            <v>5939.587882699574</v>
          </cell>
          <cell r="AH9">
            <v>6542.9456999952336</v>
          </cell>
          <cell r="AI9">
            <v>7273.7833903501241</v>
          </cell>
          <cell r="AJ9">
            <v>8086.268902072562</v>
          </cell>
          <cell r="AK9">
            <v>8989.5254131306865</v>
          </cell>
          <cell r="AL9">
            <v>9993.6956958608098</v>
          </cell>
          <cell r="AM9">
            <v>11110.056086905322</v>
          </cell>
        </row>
        <row r="10">
          <cell r="D10">
            <v>367.31955377470621</v>
          </cell>
          <cell r="E10">
            <v>189.20608305057516</v>
          </cell>
          <cell r="F10">
            <v>146.98630862649284</v>
          </cell>
          <cell r="G10">
            <v>181.89283698547843</v>
          </cell>
          <cell r="H10">
            <v>164.99792165004422</v>
          </cell>
          <cell r="I10">
            <v>268.31619748564913</v>
          </cell>
          <cell r="J10">
            <v>328.36130093126133</v>
          </cell>
          <cell r="K10">
            <v>351.30175538896759</v>
          </cell>
          <cell r="L10">
            <v>610.63816285888106</v>
          </cell>
          <cell r="M10">
            <v>714.76467394798431</v>
          </cell>
          <cell r="N10">
            <v>553.92362707838481</v>
          </cell>
          <cell r="O10">
            <v>722.39244120368176</v>
          </cell>
          <cell r="P10">
            <v>774.84611221207217</v>
          </cell>
          <cell r="Q10">
            <v>598</v>
          </cell>
          <cell r="R10">
            <v>872</v>
          </cell>
          <cell r="S10">
            <v>763</v>
          </cell>
          <cell r="T10">
            <v>1169</v>
          </cell>
          <cell r="U10">
            <v>1251</v>
          </cell>
          <cell r="V10">
            <v>1358</v>
          </cell>
          <cell r="W10">
            <v>1697</v>
          </cell>
          <cell r="X10">
            <v>1934</v>
          </cell>
          <cell r="Y10">
            <v>2854</v>
          </cell>
          <cell r="Z10">
            <v>3427</v>
          </cell>
          <cell r="AA10">
            <v>2630</v>
          </cell>
          <cell r="AB10">
            <v>3048</v>
          </cell>
          <cell r="AC10">
            <v>2708</v>
          </cell>
          <cell r="AD10">
            <v>3630.2169477283196</v>
          </cell>
          <cell r="AE10">
            <v>4259.0716786133307</v>
          </cell>
          <cell r="AF10">
            <v>4560.0606181428775</v>
          </cell>
          <cell r="AG10">
            <v>5007.5621669043285</v>
          </cell>
          <cell r="AH10">
            <v>5503.6438243119555</v>
          </cell>
          <cell r="AI10">
            <v>6114.8578687757008</v>
          </cell>
          <cell r="AJ10">
            <v>6793.9510529649224</v>
          </cell>
          <cell r="AK10">
            <v>7548.4617795907579</v>
          </cell>
          <cell r="AL10">
            <v>8386.7656381004344</v>
          </cell>
          <cell r="AM10">
            <v>9318.1683794967284</v>
          </cell>
        </row>
        <row r="11">
          <cell r="D11">
            <v>265.79191387274938</v>
          </cell>
          <cell r="E11">
            <v>268.55873784545992</v>
          </cell>
          <cell r="F11">
            <v>322.97267674685509</v>
          </cell>
          <cell r="G11">
            <v>299.02873625839783</v>
          </cell>
          <cell r="H11">
            <v>355.35170135983287</v>
          </cell>
          <cell r="I11">
            <v>578.25307479381877</v>
          </cell>
          <cell r="J11">
            <v>598.28775204336534</v>
          </cell>
          <cell r="K11">
            <v>456.13740351237487</v>
          </cell>
          <cell r="L11">
            <v>533.27524686368042</v>
          </cell>
          <cell r="M11">
            <v>667.49350167408545</v>
          </cell>
          <cell r="N11">
            <v>530.36280997624715</v>
          </cell>
          <cell r="O11">
            <v>381.19438312767215</v>
          </cell>
          <cell r="P11">
            <v>336.77336815563638</v>
          </cell>
          <cell r="Q11">
            <v>221</v>
          </cell>
          <cell r="R11">
            <v>378</v>
          </cell>
          <cell r="S11">
            <v>295</v>
          </cell>
          <cell r="T11">
            <v>370</v>
          </cell>
          <cell r="U11">
            <v>478</v>
          </cell>
          <cell r="V11">
            <v>477</v>
          </cell>
          <cell r="W11">
            <v>252</v>
          </cell>
          <cell r="X11">
            <v>676</v>
          </cell>
          <cell r="Y11">
            <v>809</v>
          </cell>
          <cell r="Z11">
            <v>1138</v>
          </cell>
          <cell r="AA11">
            <v>345</v>
          </cell>
          <cell r="AB11">
            <v>441</v>
          </cell>
          <cell r="AC11">
            <v>609</v>
          </cell>
          <cell r="AD11">
            <v>681.40333333333342</v>
          </cell>
          <cell r="AE11">
            <v>749.54940480000016</v>
          </cell>
          <cell r="AF11">
            <v>835.82254129248042</v>
          </cell>
          <cell r="AG11">
            <v>932.02571579524511</v>
          </cell>
          <cell r="AH11">
            <v>1039.301875683278</v>
          </cell>
          <cell r="AI11">
            <v>1158.9255215744233</v>
          </cell>
          <cell r="AJ11">
            <v>1292.3178491076396</v>
          </cell>
          <cell r="AK11">
            <v>1441.063633539929</v>
          </cell>
          <cell r="AL11">
            <v>1606.9300577603749</v>
          </cell>
          <cell r="AM11">
            <v>1791.8877074085942</v>
          </cell>
        </row>
        <row r="12">
          <cell r="D12">
            <v>814.34782946895348</v>
          </cell>
          <cell r="E12">
            <v>655.30475423067151</v>
          </cell>
          <cell r="F12">
            <v>684.08649343649529</v>
          </cell>
          <cell r="G12">
            <v>699.32275285615151</v>
          </cell>
          <cell r="H12">
            <v>760.34454125995956</v>
          </cell>
          <cell r="I12">
            <v>1117.0515876930313</v>
          </cell>
          <cell r="J12">
            <v>1261.8219164164625</v>
          </cell>
          <cell r="K12">
            <v>1272.9933129567403</v>
          </cell>
          <cell r="L12">
            <v>1701.1984531779585</v>
          </cell>
          <cell r="M12">
            <v>1984.4761433568735</v>
          </cell>
          <cell r="N12">
            <v>1726</v>
          </cell>
          <cell r="O12">
            <v>1877</v>
          </cell>
          <cell r="P12">
            <v>1780</v>
          </cell>
          <cell r="Q12">
            <v>1607</v>
          </cell>
          <cell r="R12">
            <v>2568</v>
          </cell>
          <cell r="S12">
            <v>2421</v>
          </cell>
          <cell r="T12">
            <v>3139</v>
          </cell>
          <cell r="U12">
            <v>3358</v>
          </cell>
          <cell r="V12">
            <v>3674</v>
          </cell>
          <cell r="W12">
            <v>4021</v>
          </cell>
          <cell r="X12">
            <v>4953</v>
          </cell>
          <cell r="Y12">
            <v>6244</v>
          </cell>
          <cell r="Z12">
            <v>7859</v>
          </cell>
          <cell r="AA12">
            <v>6546</v>
          </cell>
          <cell r="AB12">
            <v>6909</v>
          </cell>
          <cell r="AC12">
            <v>7637</v>
          </cell>
          <cell r="AD12">
            <v>8898.5098985610257</v>
          </cell>
          <cell r="AE12">
            <v>10014.945076049766</v>
          </cell>
          <cell r="AF12">
            <v>10896.118925945328</v>
          </cell>
          <cell r="AG12">
            <v>12086.203288717334</v>
          </cell>
          <cell r="AH12">
            <v>13394.443441657731</v>
          </cell>
          <cell r="AI12">
            <v>14917.432091286977</v>
          </cell>
          <cell r="AJ12">
            <v>16629.880603789905</v>
          </cell>
          <cell r="AK12">
            <v>18559.41057309226</v>
          </cell>
          <cell r="AL12">
            <v>20738.973417163255</v>
          </cell>
          <cell r="AM12">
            <v>23208.312369498406</v>
          </cell>
        </row>
        <row r="13">
          <cell r="D13">
            <v>145.63459510874429</v>
          </cell>
          <cell r="E13">
            <v>184.17792581773051</v>
          </cell>
          <cell r="F13">
            <v>218.67600806378292</v>
          </cell>
          <cell r="G13">
            <v>248.33359891381008</v>
          </cell>
          <cell r="H13">
            <v>270.22334871450363</v>
          </cell>
          <cell r="I13">
            <v>312.29524754862609</v>
          </cell>
          <cell r="J13">
            <v>369.82259075783588</v>
          </cell>
          <cell r="K13">
            <v>457.79404244178897</v>
          </cell>
          <cell r="L13">
            <v>523.86827385015238</v>
          </cell>
          <cell r="M13">
            <v>620.004623598075</v>
          </cell>
          <cell r="N13">
            <v>755</v>
          </cell>
          <cell r="O13">
            <v>806</v>
          </cell>
          <cell r="P13">
            <v>991</v>
          </cell>
          <cell r="Q13">
            <v>1177</v>
          </cell>
          <cell r="R13">
            <v>1361</v>
          </cell>
          <cell r="S13">
            <v>1461</v>
          </cell>
          <cell r="T13">
            <v>1336</v>
          </cell>
          <cell r="U13">
            <v>1655</v>
          </cell>
          <cell r="V13">
            <v>2041</v>
          </cell>
          <cell r="W13">
            <v>2074</v>
          </cell>
          <cell r="X13">
            <v>2371</v>
          </cell>
          <cell r="Y13">
            <v>2604</v>
          </cell>
          <cell r="Z13">
            <v>3305</v>
          </cell>
          <cell r="AA13">
            <v>3870</v>
          </cell>
          <cell r="AB13">
            <v>4001</v>
          </cell>
          <cell r="AC13">
            <v>4118</v>
          </cell>
          <cell r="AD13">
            <v>4476.8995666446153</v>
          </cell>
          <cell r="AE13">
            <v>4883.2421387661161</v>
          </cell>
          <cell r="AF13">
            <v>5467.783937545064</v>
          </cell>
          <cell r="AG13">
            <v>6124.4406606684115</v>
          </cell>
          <cell r="AH13">
            <v>6862.3702409697798</v>
          </cell>
          <cell r="AI13">
            <v>7691.9244978637944</v>
          </cell>
          <cell r="AJ13">
            <v>8624.8083403436103</v>
          </cell>
          <cell r="AK13">
            <v>9674.2605994105961</v>
          </cell>
          <cell r="AL13">
            <v>10855.259472505339</v>
          </cell>
          <cell r="AM13">
            <v>12184.755978540066</v>
          </cell>
        </row>
        <row r="14">
          <cell r="D14">
            <v>13.611790973871734</v>
          </cell>
          <cell r="E14">
            <v>12.900066508313543</v>
          </cell>
          <cell r="F14">
            <v>18.121440617577193</v>
          </cell>
          <cell r="G14">
            <v>18.25728266033255</v>
          </cell>
          <cell r="H14">
            <v>21.369527315914482</v>
          </cell>
          <cell r="I14">
            <v>24.380633610451298</v>
          </cell>
          <cell r="J14">
            <v>27.607148456057018</v>
          </cell>
          <cell r="K14">
            <v>29.530183491686444</v>
          </cell>
          <cell r="L14">
            <v>32.69928325415674</v>
          </cell>
          <cell r="M14">
            <v>42.988861638954859</v>
          </cell>
          <cell r="N14">
            <v>43.797451306413279</v>
          </cell>
          <cell r="O14">
            <v>56.704074228028503</v>
          </cell>
          <cell r="P14">
            <v>63.727118580760077</v>
          </cell>
          <cell r="Q14">
            <v>123</v>
          </cell>
          <cell r="R14">
            <v>112</v>
          </cell>
          <cell r="S14">
            <v>123</v>
          </cell>
          <cell r="T14">
            <v>148</v>
          </cell>
          <cell r="U14">
            <v>116</v>
          </cell>
          <cell r="V14">
            <v>131</v>
          </cell>
          <cell r="W14">
            <v>139</v>
          </cell>
          <cell r="X14">
            <v>121</v>
          </cell>
          <cell r="Y14">
            <v>142</v>
          </cell>
          <cell r="Z14">
            <v>143</v>
          </cell>
          <cell r="AA14">
            <v>139</v>
          </cell>
          <cell r="AB14">
            <v>126</v>
          </cell>
          <cell r="AC14">
            <v>119</v>
          </cell>
          <cell r="AD14">
            <v>123.60091578947367</v>
          </cell>
          <cell r="AE14">
            <v>136.65210926315791</v>
          </cell>
          <cell r="AF14">
            <v>151.12837576389668</v>
          </cell>
          <cell r="AG14">
            <v>167.13818823718131</v>
          </cell>
          <cell r="AH14">
            <v>184.84400315960346</v>
          </cell>
          <cell r="AI14">
            <v>204.425486864687</v>
          </cell>
          <cell r="AJ14">
            <v>226.08133867226928</v>
          </cell>
          <cell r="AK14">
            <v>250.0313071514307</v>
          </cell>
          <cell r="AL14">
            <v>276.51841997661143</v>
          </cell>
          <cell r="AM14">
            <v>305.81145000394855</v>
          </cell>
        </row>
        <row r="15">
          <cell r="D15">
            <v>19.465743485859878</v>
          </cell>
          <cell r="E15">
            <v>24.391531875203253</v>
          </cell>
          <cell r="F15">
            <v>38.430079944395281</v>
          </cell>
          <cell r="G15">
            <v>47.92087195910571</v>
          </cell>
          <cell r="H15">
            <v>37.908369498702434</v>
          </cell>
          <cell r="I15">
            <v>47.61004935843782</v>
          </cell>
          <cell r="J15">
            <v>63.946886308748986</v>
          </cell>
          <cell r="K15">
            <v>102.86768399492392</v>
          </cell>
          <cell r="L15">
            <v>110.60742998733497</v>
          </cell>
          <cell r="M15">
            <v>113.83640975796746</v>
          </cell>
          <cell r="N15">
            <v>161.33872808148732</v>
          </cell>
          <cell r="O15">
            <v>119.9891031450378</v>
          </cell>
          <cell r="P15">
            <v>230</v>
          </cell>
          <cell r="Q15">
            <v>319</v>
          </cell>
          <cell r="R15">
            <v>392</v>
          </cell>
          <cell r="S15">
            <v>390</v>
          </cell>
          <cell r="T15">
            <v>153</v>
          </cell>
          <cell r="U15">
            <v>281</v>
          </cell>
          <cell r="V15">
            <v>543</v>
          </cell>
          <cell r="W15">
            <v>451</v>
          </cell>
          <cell r="X15">
            <v>548</v>
          </cell>
          <cell r="Y15">
            <v>494</v>
          </cell>
          <cell r="Z15">
            <v>703</v>
          </cell>
          <cell r="AA15">
            <v>876</v>
          </cell>
          <cell r="AB15">
            <v>753</v>
          </cell>
          <cell r="AC15">
            <v>466</v>
          </cell>
          <cell r="AD15">
            <v>482.38281250000006</v>
          </cell>
          <cell r="AE15">
            <v>534.83133093750007</v>
          </cell>
          <cell r="AF15">
            <v>592.89372677165625</v>
          </cell>
          <cell r="AG15">
            <v>657.2594964266633</v>
          </cell>
          <cell r="AH15">
            <v>728.61294720597584</v>
          </cell>
          <cell r="AI15">
            <v>807.71267622971959</v>
          </cell>
          <cell r="AJ15">
            <v>895.39963549089282</v>
          </cell>
          <cell r="AK15">
            <v>992.60607247075416</v>
          </cell>
          <cell r="AL15">
            <v>1100.3654413659151</v>
          </cell>
          <cell r="AM15">
            <v>1219.8233902987533</v>
          </cell>
        </row>
        <row r="16">
          <cell r="D16">
            <v>63.137245050381757</v>
          </cell>
          <cell r="E16">
            <v>82.362327262562744</v>
          </cell>
          <cell r="F16">
            <v>90.898230748123737</v>
          </cell>
          <cell r="G16">
            <v>102.14440226709938</v>
          </cell>
          <cell r="H16">
            <v>118.25958888736056</v>
          </cell>
          <cell r="I16">
            <v>134.74783790875239</v>
          </cell>
          <cell r="J16">
            <v>156.0386445195646</v>
          </cell>
          <cell r="K16">
            <v>182.44476490067248</v>
          </cell>
          <cell r="L16">
            <v>213.37266273964391</v>
          </cell>
          <cell r="M16">
            <v>259.6684490414695</v>
          </cell>
          <cell r="N16">
            <v>308.25191166312754</v>
          </cell>
          <cell r="O16">
            <v>352.7641954853629</v>
          </cell>
          <cell r="P16">
            <v>390.86748299319726</v>
          </cell>
          <cell r="Q16">
            <v>412</v>
          </cell>
          <cell r="R16">
            <v>462</v>
          </cell>
          <cell r="S16">
            <v>539</v>
          </cell>
          <cell r="T16">
            <v>645</v>
          </cell>
          <cell r="U16">
            <v>774</v>
          </cell>
          <cell r="V16">
            <v>912</v>
          </cell>
          <cell r="W16">
            <v>1014</v>
          </cell>
          <cell r="X16">
            <v>1090</v>
          </cell>
          <cell r="Y16">
            <v>1215</v>
          </cell>
          <cell r="Z16">
            <v>1515</v>
          </cell>
          <cell r="AA16">
            <v>1650</v>
          </cell>
          <cell r="AB16">
            <v>1690</v>
          </cell>
          <cell r="AC16">
            <v>1785</v>
          </cell>
          <cell r="AD16">
            <v>1960.0650725727276</v>
          </cell>
          <cell r="AE16">
            <v>2155.8743596601594</v>
          </cell>
          <cell r="AF16">
            <v>2371.662653485771</v>
          </cell>
          <cell r="AG16">
            <v>2609.049881193368</v>
          </cell>
          <cell r="AH16">
            <v>2870.1979484941821</v>
          </cell>
          <cell r="AI16">
            <v>3157.4851530903547</v>
          </cell>
          <cell r="AJ16">
            <v>3473.5278440347711</v>
          </cell>
          <cell r="AK16">
            <v>3821.2042490448353</v>
          </cell>
          <cell r="AL16">
            <v>4203.6806867675523</v>
          </cell>
          <cell r="AM16">
            <v>4624.4404027132614</v>
          </cell>
        </row>
        <row r="17">
          <cell r="D17">
            <v>49.419815598630926</v>
          </cell>
          <cell r="E17">
            <v>64.524000171650968</v>
          </cell>
          <cell r="F17">
            <v>71.226256753686712</v>
          </cell>
          <cell r="G17">
            <v>80.011042027272438</v>
          </cell>
          <cell r="H17">
            <v>92.68586301252617</v>
          </cell>
          <cell r="I17">
            <v>105.55672667098457</v>
          </cell>
          <cell r="J17">
            <v>122.22991147346525</v>
          </cell>
          <cell r="K17">
            <v>142.95141005450611</v>
          </cell>
          <cell r="L17">
            <v>167.18889786901676</v>
          </cell>
          <cell r="M17">
            <v>203.51090315968321</v>
          </cell>
          <cell r="N17">
            <v>241.61190894897197</v>
          </cell>
          <cell r="O17">
            <v>276.54262714157079</v>
          </cell>
          <cell r="P17">
            <v>306.40539842604261</v>
          </cell>
          <cell r="Q17">
            <v>323</v>
          </cell>
          <cell r="R17">
            <v>395</v>
          </cell>
          <cell r="S17">
            <v>409</v>
          </cell>
          <cell r="T17">
            <v>390</v>
          </cell>
          <cell r="U17">
            <v>484</v>
          </cell>
          <cell r="V17">
            <v>455</v>
          </cell>
          <cell r="W17">
            <v>470</v>
          </cell>
          <cell r="X17">
            <v>612</v>
          </cell>
          <cell r="Y17">
            <v>753</v>
          </cell>
          <cell r="Z17">
            <v>944</v>
          </cell>
          <cell r="AA17">
            <v>1205</v>
          </cell>
          <cell r="AB17">
            <v>1432</v>
          </cell>
          <cell r="AC17">
            <v>1748</v>
          </cell>
          <cell r="AD17">
            <v>1910.8507657824143</v>
          </cell>
          <cell r="AE17">
            <v>2055.8843389052995</v>
          </cell>
          <cell r="AF17">
            <v>2352.0991815237403</v>
          </cell>
          <cell r="AG17">
            <v>2690.9930948111992</v>
          </cell>
          <cell r="AH17">
            <v>3078.7153421100184</v>
          </cell>
          <cell r="AI17">
            <v>3522.3011816790336</v>
          </cell>
          <cell r="AJ17">
            <v>4029.7995221456777</v>
          </cell>
          <cell r="AK17">
            <v>4610.4189707435762</v>
          </cell>
          <cell r="AL17">
            <v>5274.6949243952613</v>
          </cell>
          <cell r="AM17">
            <v>6034.6807355241044</v>
          </cell>
        </row>
        <row r="18">
          <cell r="D18">
            <v>27.75393447411307</v>
          </cell>
          <cell r="E18">
            <v>38.334412879941851</v>
          </cell>
          <cell r="F18">
            <v>41.55984241002097</v>
          </cell>
          <cell r="G18">
            <v>55.96761622890638</v>
          </cell>
          <cell r="H18">
            <v>52.769788590220152</v>
          </cell>
          <cell r="I18">
            <v>55.063774439416058</v>
          </cell>
          <cell r="J18">
            <v>58.686477583680187</v>
          </cell>
          <cell r="K18">
            <v>57.022677621428073</v>
          </cell>
          <cell r="L18">
            <v>79.021443143867131</v>
          </cell>
          <cell r="M18">
            <v>82.341273323120959</v>
          </cell>
          <cell r="N18">
            <v>106.48575890145995</v>
          </cell>
          <cell r="O18">
            <v>104.97842397718314</v>
          </cell>
          <cell r="P18">
            <v>159.79621051058785</v>
          </cell>
          <cell r="Q18">
            <v>143</v>
          </cell>
          <cell r="R18">
            <v>228</v>
          </cell>
          <cell r="S18">
            <v>260</v>
          </cell>
          <cell r="T18">
            <v>309</v>
          </cell>
          <cell r="U18">
            <v>357</v>
          </cell>
          <cell r="V18">
            <v>451</v>
          </cell>
          <cell r="W18">
            <v>541</v>
          </cell>
          <cell r="X18">
            <v>605</v>
          </cell>
          <cell r="Y18">
            <v>620</v>
          </cell>
          <cell r="Z18">
            <v>854</v>
          </cell>
          <cell r="AA18">
            <v>1003</v>
          </cell>
          <cell r="AB18">
            <v>1199</v>
          </cell>
          <cell r="AC18">
            <v>1345</v>
          </cell>
          <cell r="AD18">
            <v>1531.7449833887044</v>
          </cell>
          <cell r="AE18">
            <v>1820.203198660465</v>
          </cell>
          <cell r="AF18">
            <v>2167.8765712302029</v>
          </cell>
          <cell r="AG18">
            <v>2374.3415011110537</v>
          </cell>
          <cell r="AH18">
            <v>2903.6059651237183</v>
          </cell>
          <cell r="AI18">
            <v>3550.8487708094453</v>
          </cell>
          <cell r="AJ18">
            <v>4342.3684703105782</v>
          </cell>
          <cell r="AK18">
            <v>5310.3258260275079</v>
          </cell>
          <cell r="AL18">
            <v>5816.0723541580601</v>
          </cell>
          <cell r="AM18">
            <v>6369.9853336695151</v>
          </cell>
        </row>
        <row r="19">
          <cell r="D19">
            <v>83.224973801098599</v>
          </cell>
          <cell r="E19">
            <v>89.952830936967018</v>
          </cell>
          <cell r="F19">
            <v>87.155486448942412</v>
          </cell>
          <cell r="G19">
            <v>76.604135968754804</v>
          </cell>
          <cell r="H19">
            <v>66.35565836037506</v>
          </cell>
          <cell r="I19">
            <v>78.008992140930559</v>
          </cell>
          <cell r="J19">
            <v>73.003077437607374</v>
          </cell>
          <cell r="K19">
            <v>75.950714077390444</v>
          </cell>
          <cell r="L19">
            <v>111.39826145015059</v>
          </cell>
          <cell r="M19">
            <v>132.96566698946333</v>
          </cell>
          <cell r="N19">
            <v>138.51424109854008</v>
          </cell>
          <cell r="O19">
            <v>145.02157602281682</v>
          </cell>
          <cell r="P19">
            <v>216.2037894894122</v>
          </cell>
          <cell r="Q19">
            <v>272</v>
          </cell>
          <cell r="R19">
            <v>313</v>
          </cell>
          <cell r="S19">
            <v>360</v>
          </cell>
          <cell r="T19">
            <v>451</v>
          </cell>
          <cell r="U19">
            <v>433</v>
          </cell>
          <cell r="V19">
            <v>528</v>
          </cell>
          <cell r="W19">
            <v>482</v>
          </cell>
          <cell r="X19">
            <v>472</v>
          </cell>
          <cell r="Y19">
            <v>789</v>
          </cell>
          <cell r="Z19">
            <v>725</v>
          </cell>
          <cell r="AA19">
            <v>1028</v>
          </cell>
          <cell r="AB19">
            <v>1118</v>
          </cell>
          <cell r="AC19">
            <v>1249</v>
          </cell>
          <cell r="AD19">
            <v>1336.0164157439644</v>
          </cell>
          <cell r="AE19">
            <v>1458.7846499357972</v>
          </cell>
          <cell r="AF19">
            <v>1685.7084498071767</v>
          </cell>
          <cell r="AG19">
            <v>1983.6706478070071</v>
          </cell>
          <cell r="AH19">
            <v>2286.5058343947085</v>
          </cell>
          <cell r="AI19">
            <v>2651.728648221354</v>
          </cell>
          <cell r="AJ19">
            <v>3097.2929194042222</v>
          </cell>
          <cell r="AK19">
            <v>3621.0264304679331</v>
          </cell>
          <cell r="AL19">
            <v>4171.253617741264</v>
          </cell>
          <cell r="AM19">
            <v>4834.7819102628046</v>
          </cell>
        </row>
        <row r="20">
          <cell r="D20">
            <v>256.61350338395596</v>
          </cell>
          <cell r="E20">
            <v>312.46516963463938</v>
          </cell>
          <cell r="F20">
            <v>347.39133692274629</v>
          </cell>
          <cell r="G20">
            <v>380.90535111147125</v>
          </cell>
          <cell r="H20">
            <v>389.34879566509886</v>
          </cell>
          <cell r="I20">
            <v>445.36801412897273</v>
          </cell>
          <cell r="J20">
            <v>501.51214577912344</v>
          </cell>
          <cell r="K20">
            <v>590.76743414060752</v>
          </cell>
          <cell r="L20">
            <v>714.28797844417011</v>
          </cell>
          <cell r="M20">
            <v>835.31156391065929</v>
          </cell>
          <cell r="N20">
            <v>1000</v>
          </cell>
          <cell r="O20">
            <v>1056</v>
          </cell>
          <cell r="P20">
            <v>1367</v>
          </cell>
          <cell r="Q20">
            <v>1592</v>
          </cell>
          <cell r="R20">
            <v>1902</v>
          </cell>
          <cell r="S20">
            <v>2081</v>
          </cell>
          <cell r="T20">
            <v>2096</v>
          </cell>
          <cell r="U20">
            <v>2445</v>
          </cell>
          <cell r="V20">
            <v>3020</v>
          </cell>
          <cell r="W20">
            <v>3097</v>
          </cell>
          <cell r="X20">
            <v>3448</v>
          </cell>
          <cell r="Y20">
            <v>4013</v>
          </cell>
          <cell r="Z20">
            <v>4884</v>
          </cell>
          <cell r="AA20">
            <v>5901</v>
          </cell>
          <cell r="AB20">
            <v>6318</v>
          </cell>
          <cell r="AC20">
            <v>6712</v>
          </cell>
          <cell r="AD20">
            <v>7344.6609657772842</v>
          </cell>
          <cell r="AE20">
            <v>8162.2299873623779</v>
          </cell>
          <cell r="AF20">
            <v>9321.3689585824432</v>
          </cell>
          <cell r="AG20">
            <v>10482.452809586473</v>
          </cell>
          <cell r="AH20">
            <v>12052.482040488207</v>
          </cell>
          <cell r="AI20">
            <v>13894.501916894595</v>
          </cell>
          <cell r="AJ20">
            <v>16064.46973005841</v>
          </cell>
          <cell r="AK20">
            <v>18605.612855906038</v>
          </cell>
          <cell r="AL20">
            <v>20842.585444404664</v>
          </cell>
          <cell r="AM20">
            <v>23389.523222472388</v>
          </cell>
        </row>
        <row r="21">
          <cell r="D21">
            <v>110.86833939919082</v>
          </cell>
          <cell r="E21">
            <v>134.44458330170664</v>
          </cell>
          <cell r="F21">
            <v>159.80236941278227</v>
          </cell>
          <cell r="G21">
            <v>164.38700129461313</v>
          </cell>
          <cell r="H21">
            <v>178.76391403289114</v>
          </cell>
          <cell r="I21">
            <v>197.97049822280991</v>
          </cell>
          <cell r="J21">
            <v>229.84631917285461</v>
          </cell>
          <cell r="K21">
            <v>267.89336335380921</v>
          </cell>
          <cell r="L21">
            <v>314.46209709473931</v>
          </cell>
          <cell r="M21">
            <v>373.04590230606641</v>
          </cell>
          <cell r="N21">
            <v>419.97273400400496</v>
          </cell>
          <cell r="O21">
            <v>469.95995578250142</v>
          </cell>
          <cell r="P21">
            <v>580.95560945015404</v>
          </cell>
          <cell r="Q21">
            <v>749</v>
          </cell>
          <cell r="R21">
            <v>898</v>
          </cell>
          <cell r="S21">
            <v>1077</v>
          </cell>
          <cell r="T21">
            <v>1307</v>
          </cell>
          <cell r="U21">
            <v>1510</v>
          </cell>
          <cell r="V21">
            <v>1727</v>
          </cell>
          <cell r="W21">
            <v>1857</v>
          </cell>
          <cell r="X21">
            <v>2682</v>
          </cell>
          <cell r="Y21">
            <v>3004</v>
          </cell>
          <cell r="Z21">
            <v>3428</v>
          </cell>
          <cell r="AA21">
            <v>3987</v>
          </cell>
          <cell r="AB21">
            <v>3985</v>
          </cell>
          <cell r="AC21">
            <v>4036</v>
          </cell>
          <cell r="AD21">
            <v>4403.0224510813587</v>
          </cell>
          <cell r="AE21">
            <v>4785.0779927886297</v>
          </cell>
          <cell r="AF21">
            <v>5304.8610376326324</v>
          </cell>
          <cell r="AG21">
            <v>5881.1059445642486</v>
          </cell>
          <cell r="AH21">
            <v>6519.9459299359996</v>
          </cell>
          <cell r="AI21">
            <v>7228.1804357868423</v>
          </cell>
          <cell r="AJ21">
            <v>8013.3474991570265</v>
          </cell>
          <cell r="AK21">
            <v>8883.8039825794713</v>
          </cell>
          <cell r="AL21">
            <v>9848.8145196744754</v>
          </cell>
          <cell r="AM21">
            <v>10918.65012253303</v>
          </cell>
        </row>
        <row r="22">
          <cell r="D22">
            <v>21.151311819470543</v>
          </cell>
          <cell r="E22">
            <v>24.572621570523893</v>
          </cell>
          <cell r="F22">
            <v>26.567780476317189</v>
          </cell>
          <cell r="G22">
            <v>27.075055440873157</v>
          </cell>
          <cell r="H22">
            <v>30.55846657584074</v>
          </cell>
          <cell r="I22">
            <v>33.183392689334937</v>
          </cell>
          <cell r="J22">
            <v>41.940169453025121</v>
          </cell>
          <cell r="K22">
            <v>56.481411629763997</v>
          </cell>
          <cell r="L22">
            <v>71.464425631285849</v>
          </cell>
          <cell r="M22">
            <v>90.092090765386828</v>
          </cell>
          <cell r="N22">
            <v>78.409438209093693</v>
          </cell>
          <cell r="O22">
            <v>96</v>
          </cell>
          <cell r="P22">
            <v>123.42185980949338</v>
          </cell>
          <cell r="Q22">
            <v>129</v>
          </cell>
          <cell r="R22">
            <v>175</v>
          </cell>
          <cell r="S22">
            <v>217</v>
          </cell>
          <cell r="T22">
            <v>219</v>
          </cell>
          <cell r="U22">
            <v>302</v>
          </cell>
          <cell r="V22">
            <v>359</v>
          </cell>
          <cell r="W22">
            <v>344</v>
          </cell>
          <cell r="X22">
            <v>403</v>
          </cell>
          <cell r="Y22">
            <v>477</v>
          </cell>
          <cell r="Z22">
            <v>576</v>
          </cell>
          <cell r="AA22">
            <v>648</v>
          </cell>
          <cell r="AB22">
            <v>653</v>
          </cell>
          <cell r="AC22">
            <v>670</v>
          </cell>
          <cell r="AD22">
            <v>740.62963585434181</v>
          </cell>
          <cell r="AE22">
            <v>849.49626728784335</v>
          </cell>
          <cell r="AF22">
            <v>958.99633614124639</v>
          </cell>
          <cell r="AG22">
            <v>1082.6109638698531</v>
          </cell>
          <cell r="AH22">
            <v>1222.1595171126771</v>
          </cell>
          <cell r="AI22">
            <v>1379.6958788685015</v>
          </cell>
          <cell r="AJ22">
            <v>1557.5386776546513</v>
          </cell>
          <cell r="AK22">
            <v>1758.3054132043358</v>
          </cell>
          <cell r="AL22">
            <v>1949.8254489810543</v>
          </cell>
          <cell r="AM22">
            <v>2162.2064363469908</v>
          </cell>
        </row>
        <row r="23">
          <cell r="D23">
            <v>70.947840140677926</v>
          </cell>
          <cell r="E23">
            <v>70.860624005982714</v>
          </cell>
          <cell r="F23">
            <v>75.634392360069953</v>
          </cell>
          <cell r="G23">
            <v>99.027722048360786</v>
          </cell>
          <cell r="H23">
            <v>125.44289782607765</v>
          </cell>
          <cell r="I23">
            <v>134.06966760280542</v>
          </cell>
          <cell r="J23">
            <v>169.81287016463227</v>
          </cell>
          <cell r="K23">
            <v>197.79503589096424</v>
          </cell>
          <cell r="L23">
            <v>216.16383174278346</v>
          </cell>
          <cell r="M23">
            <v>245.69574141033388</v>
          </cell>
          <cell r="N23">
            <v>281.92822977703889</v>
          </cell>
          <cell r="O23">
            <v>304.85625101060305</v>
          </cell>
          <cell r="P23">
            <v>357.2391416537439</v>
          </cell>
          <cell r="Q23">
            <v>619</v>
          </cell>
          <cell r="R23">
            <v>734</v>
          </cell>
          <cell r="S23">
            <v>851</v>
          </cell>
          <cell r="T23">
            <v>972</v>
          </cell>
          <cell r="U23">
            <v>1084</v>
          </cell>
          <cell r="V23">
            <v>1111</v>
          </cell>
          <cell r="W23">
            <v>1226</v>
          </cell>
          <cell r="X23">
            <v>1383</v>
          </cell>
          <cell r="Y23">
            <v>1533</v>
          </cell>
          <cell r="Z23">
            <v>2083</v>
          </cell>
          <cell r="AA23">
            <v>2382</v>
          </cell>
          <cell r="AB23">
            <v>2649</v>
          </cell>
          <cell r="AC23">
            <v>2838</v>
          </cell>
          <cell r="AD23">
            <v>3278.7524400193161</v>
          </cell>
          <cell r="AE23">
            <v>3822.6244327794643</v>
          </cell>
          <cell r="AF23">
            <v>4466.5672800135198</v>
          </cell>
          <cell r="AG23">
            <v>5234.7216979526283</v>
          </cell>
          <cell r="AH23">
            <v>5816.2123687565108</v>
          </cell>
          <cell r="AI23">
            <v>6462.5325549767058</v>
          </cell>
          <cell r="AJ23">
            <v>7180.9356847158933</v>
          </cell>
          <cell r="AK23">
            <v>7979.4895235743479</v>
          </cell>
          <cell r="AL23">
            <v>8867.1679018176292</v>
          </cell>
          <cell r="AM23">
            <v>9853.9528062991194</v>
          </cell>
        </row>
        <row r="24">
          <cell r="D24">
            <v>41.279971561153886</v>
          </cell>
          <cell r="E24">
            <v>41.22922611840675</v>
          </cell>
          <cell r="F24">
            <v>44.00677398322572</v>
          </cell>
          <cell r="G24">
            <v>57.617843500473398</v>
          </cell>
          <cell r="H24">
            <v>72.987130327597583</v>
          </cell>
          <cell r="I24">
            <v>78.006491175536439</v>
          </cell>
          <cell r="J24">
            <v>98.803155067363789</v>
          </cell>
          <cell r="K24">
            <v>115.08417226411142</v>
          </cell>
          <cell r="L24">
            <v>125.77178965841442</v>
          </cell>
          <cell r="M24">
            <v>142.95450288556577</v>
          </cell>
          <cell r="N24">
            <v>164.03585062500002</v>
          </cell>
          <cell r="O24">
            <v>190.42026498575831</v>
          </cell>
          <cell r="P24">
            <v>215.29943451088673</v>
          </cell>
          <cell r="Q24">
            <v>466</v>
          </cell>
          <cell r="R24">
            <v>542</v>
          </cell>
          <cell r="S24">
            <v>635</v>
          </cell>
          <cell r="T24">
            <v>704</v>
          </cell>
          <cell r="U24">
            <v>759</v>
          </cell>
          <cell r="V24">
            <v>698</v>
          </cell>
          <cell r="W24">
            <v>787</v>
          </cell>
          <cell r="X24">
            <v>877</v>
          </cell>
          <cell r="Y24">
            <v>975</v>
          </cell>
          <cell r="Z24">
            <v>1289</v>
          </cell>
          <cell r="AA24">
            <v>1409</v>
          </cell>
          <cell r="AB24">
            <v>1497</v>
          </cell>
          <cell r="AC24">
            <v>1548</v>
          </cell>
          <cell r="AD24">
            <v>1708.083313225058</v>
          </cell>
          <cell r="AE24">
            <v>1887.8242932818562</v>
          </cell>
          <cell r="AF24">
            <v>2083.2189885497651</v>
          </cell>
          <cell r="AG24">
            <v>2298.8375399650422</v>
          </cell>
          <cell r="AH24">
            <v>2536.773168927115</v>
          </cell>
          <cell r="AI24">
            <v>2799.3357506622128</v>
          </cell>
          <cell r="AJ24">
            <v>3089.0742384545947</v>
          </cell>
          <cell r="AK24">
            <v>3408.8014088436807</v>
          </cell>
          <cell r="AL24">
            <v>3761.6211680130718</v>
          </cell>
          <cell r="AM24">
            <v>4150.9586844614278</v>
          </cell>
        </row>
        <row r="25">
          <cell r="D25">
            <v>29.66786857952404</v>
          </cell>
          <cell r="E25">
            <v>29.631397887575964</v>
          </cell>
          <cell r="F25">
            <v>31.627618376844232</v>
          </cell>
          <cell r="G25">
            <v>41.409878547887388</v>
          </cell>
          <cell r="H25">
            <v>52.455767498480071</v>
          </cell>
          <cell r="I25">
            <v>56.063176427268985</v>
          </cell>
          <cell r="J25">
            <v>71.009715097268483</v>
          </cell>
          <cell r="K25">
            <v>82.710863626852827</v>
          </cell>
          <cell r="L25">
            <v>90.392042084369038</v>
          </cell>
          <cell r="M25">
            <v>102.74123852476811</v>
          </cell>
          <cell r="N25">
            <v>117.89237915203887</v>
          </cell>
          <cell r="O25">
            <v>114.43598602484474</v>
          </cell>
          <cell r="P25">
            <v>141.93970714285717</v>
          </cell>
          <cell r="Q25">
            <v>153</v>
          </cell>
          <cell r="R25">
            <v>192</v>
          </cell>
          <cell r="S25">
            <v>216</v>
          </cell>
          <cell r="T25">
            <v>268</v>
          </cell>
          <cell r="U25">
            <v>325</v>
          </cell>
          <cell r="V25">
            <v>413</v>
          </cell>
          <cell r="W25">
            <v>439</v>
          </cell>
          <cell r="X25">
            <v>506</v>
          </cell>
          <cell r="Y25">
            <v>558</v>
          </cell>
          <cell r="Z25">
            <v>794</v>
          </cell>
          <cell r="AA25">
            <v>973</v>
          </cell>
          <cell r="AB25">
            <v>1152</v>
          </cell>
          <cell r="AC25">
            <v>1290</v>
          </cell>
          <cell r="AD25">
            <v>1570.6691267942583</v>
          </cell>
          <cell r="AE25">
            <v>1934.8001394976081</v>
          </cell>
          <cell r="AF25">
            <v>2383.3482914637552</v>
          </cell>
          <cell r="AG25">
            <v>2935.8841579875861</v>
          </cell>
          <cell r="AH25">
            <v>3279.4391998293963</v>
          </cell>
          <cell r="AI25">
            <v>3663.1968043144925</v>
          </cell>
          <cell r="AJ25">
            <v>4091.8614462612986</v>
          </cell>
          <cell r="AK25">
            <v>4570.6881147306667</v>
          </cell>
          <cell r="AL25">
            <v>5105.5467338045582</v>
          </cell>
          <cell r="AM25">
            <v>5702.9941218376925</v>
          </cell>
        </row>
        <row r="26">
          <cell r="D26">
            <v>30.7958113427228</v>
          </cell>
          <cell r="E26">
            <v>33.866312588024066</v>
          </cell>
          <cell r="F26">
            <v>40.500516863942032</v>
          </cell>
          <cell r="G26">
            <v>48.331396865706068</v>
          </cell>
          <cell r="H26">
            <v>56.596224773730093</v>
          </cell>
          <cell r="I26">
            <v>66.445567460319396</v>
          </cell>
          <cell r="J26">
            <v>73.761884977547922</v>
          </cell>
          <cell r="K26">
            <v>87.386851307791403</v>
          </cell>
          <cell r="L26">
            <v>104.24031156112927</v>
          </cell>
          <cell r="M26">
            <v>125.10395968592383</v>
          </cell>
          <cell r="N26">
            <v>180.78281248248749</v>
          </cell>
          <cell r="O26">
            <v>254.83212952201177</v>
          </cell>
          <cell r="P26">
            <v>289.26680310449876</v>
          </cell>
          <cell r="Q26">
            <v>326</v>
          </cell>
          <cell r="R26">
            <v>288</v>
          </cell>
          <cell r="S26">
            <v>325</v>
          </cell>
          <cell r="T26">
            <v>476</v>
          </cell>
          <cell r="U26">
            <v>606</v>
          </cell>
          <cell r="V26">
            <v>641</v>
          </cell>
          <cell r="W26">
            <v>739</v>
          </cell>
          <cell r="X26">
            <v>833</v>
          </cell>
          <cell r="Y26">
            <v>964</v>
          </cell>
          <cell r="Z26">
            <v>1088</v>
          </cell>
          <cell r="AA26">
            <v>1249</v>
          </cell>
          <cell r="AB26">
            <v>1213</v>
          </cell>
          <cell r="AC26">
            <v>1475</v>
          </cell>
          <cell r="AD26">
            <v>1600.4180656934307</v>
          </cell>
          <cell r="AE26">
            <v>1760.1295368613144</v>
          </cell>
          <cell r="AF26">
            <v>1938.8207907499275</v>
          </cell>
          <cell r="AG26">
            <v>2135.6530754817727</v>
          </cell>
          <cell r="AH26">
            <v>2352.4680984314045</v>
          </cell>
          <cell r="AI26">
            <v>2591.2945401439106</v>
          </cell>
          <cell r="AJ26">
            <v>2854.3670361595932</v>
          </cell>
          <cell r="AK26">
            <v>3144.1470859048013</v>
          </cell>
          <cell r="AL26">
            <v>3463.346084287854</v>
          </cell>
          <cell r="AM26">
            <v>3814.9506915005659</v>
          </cell>
        </row>
        <row r="27">
          <cell r="D27">
            <v>80.546335189414606</v>
          </cell>
          <cell r="E27">
            <v>88.577220291001396</v>
          </cell>
          <cell r="F27">
            <v>105.92895801196288</v>
          </cell>
          <cell r="G27">
            <v>126.41059684364178</v>
          </cell>
          <cell r="H27">
            <v>148.02722488289103</v>
          </cell>
          <cell r="I27">
            <v>173.78814569775696</v>
          </cell>
          <cell r="J27">
            <v>192.92394817870471</v>
          </cell>
          <cell r="K27">
            <v>228.55999922366641</v>
          </cell>
          <cell r="L27">
            <v>272.64016465784022</v>
          </cell>
          <cell r="M27">
            <v>327.20896222682558</v>
          </cell>
          <cell r="N27">
            <v>472.83680396166767</v>
          </cell>
          <cell r="O27">
            <v>539.36451921471007</v>
          </cell>
          <cell r="P27">
            <v>656.83522977854295</v>
          </cell>
          <cell r="Q27">
            <v>978</v>
          </cell>
          <cell r="R27">
            <v>1136</v>
          </cell>
          <cell r="S27">
            <v>1230</v>
          </cell>
          <cell r="T27">
            <v>1529</v>
          </cell>
          <cell r="U27">
            <v>1625</v>
          </cell>
          <cell r="V27">
            <v>1798</v>
          </cell>
          <cell r="W27">
            <v>2023</v>
          </cell>
          <cell r="X27">
            <v>2235</v>
          </cell>
          <cell r="Y27">
            <v>2497</v>
          </cell>
          <cell r="Z27">
            <v>2832</v>
          </cell>
          <cell r="AA27">
            <v>3156</v>
          </cell>
          <cell r="AB27">
            <v>3542</v>
          </cell>
          <cell r="AC27">
            <v>3677</v>
          </cell>
          <cell r="AD27">
            <v>4011.1461691153618</v>
          </cell>
          <cell r="AE27">
            <v>4383.1771481812011</v>
          </cell>
          <cell r="AF27">
            <v>4795.6440541251977</v>
          </cell>
          <cell r="AG27">
            <v>5247.0549251388784</v>
          </cell>
          <cell r="AH27">
            <v>5741.0988950827041</v>
          </cell>
          <cell r="AI27">
            <v>6281.8157002990738</v>
          </cell>
          <cell r="AJ27">
            <v>6873.629105013546</v>
          </cell>
          <cell r="AK27">
            <v>7521.3835231761313</v>
          </cell>
          <cell r="AL27">
            <v>8230.3841433168327</v>
          </cell>
          <cell r="AM27">
            <v>9006.4408924764484</v>
          </cell>
        </row>
        <row r="28">
          <cell r="D28">
            <v>50.139394124657557</v>
          </cell>
          <cell r="E28">
            <v>55.138550353570864</v>
          </cell>
          <cell r="F28">
            <v>65.939856388079448</v>
          </cell>
          <cell r="G28">
            <v>78.689498681369045</v>
          </cell>
          <cell r="H28">
            <v>92.145661899189548</v>
          </cell>
          <cell r="I28">
            <v>108.18161137737765</v>
          </cell>
          <cell r="J28">
            <v>120.09348223068906</v>
          </cell>
          <cell r="K28">
            <v>142.27661451334276</v>
          </cell>
          <cell r="L28">
            <v>169.71613466763287</v>
          </cell>
          <cell r="M28">
            <v>203.68473723391801</v>
          </cell>
          <cell r="N28">
            <v>294.33680396166767</v>
          </cell>
          <cell r="O28">
            <v>337.62111120708374</v>
          </cell>
          <cell r="P28">
            <v>407.44384417320452</v>
          </cell>
          <cell r="Q28">
            <v>504</v>
          </cell>
          <cell r="R28">
            <v>594</v>
          </cell>
          <cell r="S28">
            <v>606</v>
          </cell>
          <cell r="T28">
            <v>766</v>
          </cell>
          <cell r="U28">
            <v>860</v>
          </cell>
          <cell r="V28">
            <v>956</v>
          </cell>
          <cell r="W28">
            <v>1070</v>
          </cell>
          <cell r="X28">
            <v>1194</v>
          </cell>
          <cell r="Y28">
            <v>1317</v>
          </cell>
          <cell r="Z28">
            <v>1449</v>
          </cell>
          <cell r="AA28">
            <v>1593</v>
          </cell>
          <cell r="AB28">
            <v>1748</v>
          </cell>
          <cell r="AC28">
            <v>1819</v>
          </cell>
          <cell r="AD28">
            <v>1975.6212160101654</v>
          </cell>
          <cell r="AE28">
            <v>2147.8792485462195</v>
          </cell>
          <cell r="AF28">
            <v>2338.0714076736758</v>
          </cell>
          <cell r="AG28">
            <v>2545.1048568401534</v>
          </cell>
          <cell r="AH28">
            <v>2770.4708722974174</v>
          </cell>
          <cell r="AI28">
            <v>3015.7927810400138</v>
          </cell>
          <cell r="AJ28">
            <v>3282.8376537418753</v>
          </cell>
          <cell r="AK28">
            <v>3573.5290330885869</v>
          </cell>
          <cell r="AL28">
            <v>3889.960789188372</v>
          </cell>
          <cell r="AM28">
            <v>4234.412201863287</v>
          </cell>
        </row>
        <row r="29">
          <cell r="D29">
            <v>30.406941064757049</v>
          </cell>
          <cell r="E29">
            <v>33.438669937430532</v>
          </cell>
          <cell r="F29">
            <v>39.989101623883428</v>
          </cell>
          <cell r="G29">
            <v>47.721098162272739</v>
          </cell>
          <cell r="H29">
            <v>55.881562983701485</v>
          </cell>
          <cell r="I29">
            <v>65.606534320379311</v>
          </cell>
          <cell r="J29">
            <v>72.830465948015643</v>
          </cell>
          <cell r="K29">
            <v>86.283384710323645</v>
          </cell>
          <cell r="L29">
            <v>102.92402999020734</v>
          </cell>
          <cell r="M29">
            <v>123.52422499290756</v>
          </cell>
          <cell r="N29">
            <v>178.5</v>
          </cell>
          <cell r="O29">
            <v>201.74340800762633</v>
          </cell>
          <cell r="P29">
            <v>249.39138560533843</v>
          </cell>
          <cell r="Q29">
            <v>474</v>
          </cell>
          <cell r="R29">
            <v>542</v>
          </cell>
          <cell r="S29">
            <v>624</v>
          </cell>
          <cell r="T29">
            <v>763</v>
          </cell>
          <cell r="U29">
            <v>765</v>
          </cell>
          <cell r="V29">
            <v>842</v>
          </cell>
          <cell r="W29">
            <v>953</v>
          </cell>
          <cell r="X29">
            <v>1041</v>
          </cell>
          <cell r="Y29">
            <v>1180</v>
          </cell>
          <cell r="Z29">
            <v>1383</v>
          </cell>
          <cell r="AA29">
            <v>1563</v>
          </cell>
          <cell r="AB29">
            <v>1794</v>
          </cell>
          <cell r="AC29">
            <v>1858</v>
          </cell>
          <cell r="AD29">
            <v>2035.5249531051963</v>
          </cell>
          <cell r="AE29">
            <v>2235.2978996349811</v>
          </cell>
          <cell r="AF29">
            <v>2457.5726464515215</v>
          </cell>
          <cell r="AG29">
            <v>2701.9500682987255</v>
          </cell>
          <cell r="AH29">
            <v>2970.6280227852867</v>
          </cell>
          <cell r="AI29">
            <v>3266.02291925906</v>
          </cell>
          <cell r="AJ29">
            <v>3590.7914512716707</v>
          </cell>
          <cell r="AK29">
            <v>3947.8544900875445</v>
          </cell>
          <cell r="AL29">
            <v>4340.4233541284602</v>
          </cell>
          <cell r="AM29">
            <v>4772.0286906131614</v>
          </cell>
        </row>
        <row r="30">
          <cell r="D30">
            <v>11.606936099612929</v>
          </cell>
          <cell r="E30">
            <v>14.580409446239655</v>
          </cell>
          <cell r="F30">
            <v>17.32438478103591</v>
          </cell>
          <cell r="G30">
            <v>21.578955666997267</v>
          </cell>
          <cell r="H30">
            <v>24.629998106919835</v>
          </cell>
          <cell r="I30">
            <v>27.206092368399862</v>
          </cell>
          <cell r="J30">
            <v>32.425033101460826</v>
          </cell>
          <cell r="K30">
            <v>38.604611213507894</v>
          </cell>
          <cell r="L30">
            <v>43.941120530095631</v>
          </cell>
          <cell r="M30">
            <v>56.003879680591695</v>
          </cell>
          <cell r="N30">
            <v>63.61</v>
          </cell>
          <cell r="O30">
            <v>76.691831600000015</v>
          </cell>
          <cell r="P30">
            <v>85.631760742500006</v>
          </cell>
          <cell r="Q30">
            <v>77</v>
          </cell>
          <cell r="R30">
            <v>100</v>
          </cell>
          <cell r="S30">
            <v>114</v>
          </cell>
          <cell r="T30">
            <v>131</v>
          </cell>
          <cell r="U30">
            <v>143</v>
          </cell>
          <cell r="V30">
            <v>155</v>
          </cell>
          <cell r="W30">
            <v>171</v>
          </cell>
          <cell r="X30">
            <v>201</v>
          </cell>
          <cell r="Y30">
            <v>216</v>
          </cell>
          <cell r="Z30">
            <v>244</v>
          </cell>
          <cell r="AA30">
            <v>281</v>
          </cell>
          <cell r="AB30">
            <v>282</v>
          </cell>
          <cell r="AC30">
            <v>346</v>
          </cell>
          <cell r="AD30">
            <v>380.38358471337574</v>
          </cell>
          <cell r="AE30">
            <v>418.15521079299361</v>
          </cell>
          <cell r="AF30">
            <v>460.91361775842745</v>
          </cell>
          <cell r="AG30">
            <v>508.0442800946708</v>
          </cell>
          <cell r="AH30">
            <v>559.99428220884465</v>
          </cell>
          <cell r="AI30">
            <v>617.25642506626184</v>
          </cell>
          <cell r="AJ30">
            <v>680.37390093116926</v>
          </cell>
          <cell r="AK30">
            <v>749.94544612249888</v>
          </cell>
          <cell r="AL30">
            <v>826.63102066399154</v>
          </cell>
          <cell r="AM30">
            <v>911.15806870620895</v>
          </cell>
        </row>
        <row r="31">
          <cell r="D31">
            <v>177.12846072654742</v>
          </cell>
          <cell r="E31">
            <v>274.37886044768385</v>
          </cell>
          <cell r="F31">
            <v>374.7806757369118</v>
          </cell>
          <cell r="G31">
            <v>437.90446408500213</v>
          </cell>
          <cell r="H31">
            <v>506.65336209520706</v>
          </cell>
          <cell r="I31">
            <v>575.2605019584131</v>
          </cell>
          <cell r="J31">
            <v>675.19372028245277</v>
          </cell>
          <cell r="K31">
            <v>853.77393236746548</v>
          </cell>
          <cell r="L31">
            <v>931.30523017423252</v>
          </cell>
          <cell r="M31">
            <v>1055.4260744511564</v>
          </cell>
          <cell r="N31">
            <v>1276.5567644143794</v>
          </cell>
          <cell r="O31">
            <v>1616.9821382563673</v>
          </cell>
          <cell r="P31">
            <v>2041.4888191112741</v>
          </cell>
          <cell r="Q31">
            <v>2126</v>
          </cell>
          <cell r="R31">
            <v>2384</v>
          </cell>
          <cell r="S31">
            <v>2780</v>
          </cell>
          <cell r="T31">
            <v>3404</v>
          </cell>
          <cell r="U31">
            <v>3762</v>
          </cell>
          <cell r="V31">
            <v>4129</v>
          </cell>
          <cell r="W31">
            <v>4618</v>
          </cell>
          <cell r="X31">
            <v>5071</v>
          </cell>
          <cell r="Y31">
            <v>5810</v>
          </cell>
          <cell r="Z31">
            <v>6553</v>
          </cell>
          <cell r="AA31">
            <v>6863</v>
          </cell>
          <cell r="AB31">
            <v>7142</v>
          </cell>
          <cell r="AC31">
            <v>7328</v>
          </cell>
          <cell r="AD31">
            <v>8124.6022802489761</v>
          </cell>
          <cell r="AE31">
            <v>8895.6844679833503</v>
          </cell>
          <cell r="AF31">
            <v>9622.8281866700199</v>
          </cell>
          <cell r="AG31">
            <v>10443.918613919628</v>
          </cell>
          <cell r="AH31">
            <v>11304.090064684975</v>
          </cell>
          <cell r="AI31">
            <v>12191.865882866681</v>
          </cell>
          <cell r="AJ31">
            <v>13086.161010505013</v>
          </cell>
          <cell r="AK31">
            <v>14023.932380167713</v>
          </cell>
          <cell r="AL31">
            <v>15051.055525413729</v>
          </cell>
          <cell r="AM31">
            <v>16085.629643265156</v>
          </cell>
        </row>
        <row r="32">
          <cell r="D32">
            <v>23.405228456248054</v>
          </cell>
          <cell r="E32">
            <v>25.738850464828516</v>
          </cell>
          <cell r="F32">
            <v>30.780934434470993</v>
          </cell>
          <cell r="G32">
            <v>36.732507959032944</v>
          </cell>
          <cell r="H32">
            <v>43.013887695585538</v>
          </cell>
          <cell r="I32">
            <v>50.499519853738605</v>
          </cell>
          <cell r="J32">
            <v>56.060019008752505</v>
          </cell>
          <cell r="K32">
            <v>66.415175627913868</v>
          </cell>
          <cell r="L32">
            <v>79.224030803631877</v>
          </cell>
          <cell r="M32">
            <v>95.080682390341053</v>
          </cell>
          <cell r="N32">
            <v>137.39735511516363</v>
          </cell>
          <cell r="O32">
            <v>155.17514110917853</v>
          </cell>
          <cell r="P32">
            <v>187.52627634979274</v>
          </cell>
          <cell r="Q32">
            <v>211</v>
          </cell>
          <cell r="R32">
            <v>237</v>
          </cell>
          <cell r="S32">
            <v>264</v>
          </cell>
          <cell r="T32">
            <v>295</v>
          </cell>
          <cell r="U32">
            <v>324</v>
          </cell>
          <cell r="V32">
            <v>353</v>
          </cell>
          <cell r="W32">
            <v>394</v>
          </cell>
          <cell r="X32">
            <v>436</v>
          </cell>
          <cell r="Y32">
            <v>488</v>
          </cell>
          <cell r="Z32">
            <v>559</v>
          </cell>
          <cell r="AA32">
            <v>606</v>
          </cell>
          <cell r="AB32">
            <v>651</v>
          </cell>
          <cell r="AC32">
            <v>679</v>
          </cell>
          <cell r="AD32">
            <v>735.93571692307694</v>
          </cell>
          <cell r="AE32">
            <v>801.23892843076931</v>
          </cell>
          <cell r="AF32">
            <v>871.6986109728615</v>
          </cell>
          <cell r="AG32">
            <v>948.35440641932246</v>
          </cell>
          <cell r="AH32">
            <v>1031.7511911269357</v>
          </cell>
          <cell r="AI32">
            <v>1122.4817570164473</v>
          </cell>
          <cell r="AJ32">
            <v>1221.1910251913803</v>
          </cell>
          <cell r="AK32">
            <v>1328.58063009582</v>
          </cell>
          <cell r="AL32">
            <v>1445.413906795771</v>
          </cell>
          <cell r="AM32">
            <v>1572.5213168341427</v>
          </cell>
        </row>
        <row r="33">
          <cell r="D33">
            <v>526.45026317388511</v>
          </cell>
          <cell r="E33">
            <v>667.01948211599074</v>
          </cell>
          <cell r="F33">
            <v>831.32001207749306</v>
          </cell>
          <cell r="G33">
            <v>961.4477002042272</v>
          </cell>
          <cell r="H33">
            <v>1113.6859759891431</v>
          </cell>
          <cell r="I33">
            <v>1258.4233858535781</v>
          </cell>
          <cell r="J33">
            <v>1471.9639643394307</v>
          </cell>
          <cell r="K33">
            <v>1796.9103806148826</v>
          </cell>
          <cell r="L33">
            <v>2033.441212195738</v>
          </cell>
          <cell r="M33">
            <v>2367.6572929166259</v>
          </cell>
          <cell r="N33">
            <v>2911.4941379638358</v>
          </cell>
          <cell r="O33">
            <v>3513.8619664953721</v>
          </cell>
          <cell r="P33">
            <v>4322.3654999999999</v>
          </cell>
          <cell r="Q33">
            <v>5215</v>
          </cell>
          <cell r="R33">
            <v>5952</v>
          </cell>
          <cell r="S33">
            <v>6858</v>
          </cell>
          <cell r="T33">
            <v>8333</v>
          </cell>
          <cell r="U33">
            <v>9356</v>
          </cell>
          <cell r="V33">
            <v>10273</v>
          </cell>
          <cell r="W33">
            <v>11372</v>
          </cell>
          <cell r="X33">
            <v>13244</v>
          </cell>
          <cell r="Y33">
            <v>14989</v>
          </cell>
          <cell r="Z33">
            <v>17363</v>
          </cell>
          <cell r="AA33">
            <v>19172</v>
          </cell>
          <cell r="AB33">
            <v>20117</v>
          </cell>
          <cell r="AC33">
            <v>21049</v>
          </cell>
          <cell r="AD33">
            <v>23274.890343649233</v>
          </cell>
          <cell r="AE33">
            <v>25715.583985105564</v>
          </cell>
          <cell r="AF33">
            <v>28420.329914063834</v>
          </cell>
          <cell r="AG33">
            <v>31481.463907441004</v>
          </cell>
          <cell r="AH33">
            <v>34547.720347340051</v>
          </cell>
          <cell r="AI33">
            <v>37875.123175024419</v>
          </cell>
          <cell r="AJ33">
            <v>41467.543939328272</v>
          </cell>
          <cell r="AK33">
            <v>45389.587984825113</v>
          </cell>
          <cell r="AL33">
            <v>49682.638550951335</v>
          </cell>
          <cell r="AM33">
            <v>54325.509977961658</v>
          </cell>
        </row>
        <row r="34">
          <cell r="N34">
            <v>158.49413796383601</v>
          </cell>
          <cell r="O34">
            <v>223.861966495372</v>
          </cell>
          <cell r="P34">
            <v>254.3655</v>
          </cell>
          <cell r="Q34">
            <v>92</v>
          </cell>
          <cell r="R34">
            <v>87</v>
          </cell>
          <cell r="S34">
            <v>109</v>
          </cell>
          <cell r="T34">
            <v>162</v>
          </cell>
          <cell r="U34">
            <v>209</v>
          </cell>
          <cell r="V34">
            <v>216</v>
          </cell>
          <cell r="W34">
            <v>259</v>
          </cell>
          <cell r="X34">
            <v>273</v>
          </cell>
          <cell r="Y34">
            <v>330</v>
          </cell>
          <cell r="Z34">
            <v>359</v>
          </cell>
          <cell r="AA34">
            <v>432</v>
          </cell>
          <cell r="AB34">
            <v>394</v>
          </cell>
          <cell r="AC34">
            <v>444</v>
          </cell>
          <cell r="AD34">
            <v>507.05257731958761</v>
          </cell>
          <cell r="AE34">
            <v>578.97194907216488</v>
          </cell>
          <cell r="AF34">
            <v>665.09018376247423</v>
          </cell>
          <cell r="AG34">
            <v>764.01793428176325</v>
          </cell>
          <cell r="AH34">
            <v>877.66053109068264</v>
          </cell>
          <cell r="AI34">
            <v>1008.2067099099056</v>
          </cell>
          <cell r="AJ34">
            <v>1158.170766371549</v>
          </cell>
          <cell r="AK34">
            <v>1330.4409808952037</v>
          </cell>
          <cell r="AL34">
            <v>1528.3352464428724</v>
          </cell>
          <cell r="AM34">
            <v>1755.6649705332422</v>
          </cell>
        </row>
        <row r="35">
          <cell r="D35">
            <v>1597.4115960267945</v>
          </cell>
          <cell r="E35">
            <v>1634.7894059813016</v>
          </cell>
          <cell r="F35">
            <v>1862.7978424367348</v>
          </cell>
          <cell r="G35">
            <v>2041.6758041718499</v>
          </cell>
          <cell r="H35">
            <v>2263.3793129142014</v>
          </cell>
          <cell r="I35">
            <v>2820.8429876755822</v>
          </cell>
          <cell r="J35">
            <v>3235.2980265350166</v>
          </cell>
          <cell r="K35">
            <v>3660.6711277122304</v>
          </cell>
          <cell r="L35">
            <v>4448.9276438178667</v>
          </cell>
          <cell r="M35">
            <v>5187.4450001841587</v>
          </cell>
          <cell r="N35">
            <v>5479</v>
          </cell>
          <cell r="O35">
            <v>6223</v>
          </cell>
          <cell r="P35">
            <v>7215</v>
          </cell>
          <cell r="Q35">
            <v>8322</v>
          </cell>
          <cell r="R35">
            <v>10335</v>
          </cell>
          <cell r="S35">
            <v>11251</v>
          </cell>
          <cell r="T35">
            <v>13406</v>
          </cell>
          <cell r="U35">
            <v>14950</v>
          </cell>
          <cell r="V35">
            <v>16751</v>
          </cell>
          <cell r="W35">
            <v>18231</v>
          </cell>
          <cell r="X35">
            <v>21372</v>
          </cell>
          <cell r="Y35">
            <v>24916</v>
          </cell>
          <cell r="Z35">
            <v>29747</v>
          </cell>
          <cell r="AA35">
            <v>31187</v>
          </cell>
          <cell r="AB35">
            <v>32950</v>
          </cell>
          <cell r="AC35">
            <v>34954</v>
          </cell>
          <cell r="AD35">
            <v>39011.008630667959</v>
          </cell>
          <cell r="AE35">
            <v>43313.787099445544</v>
          </cell>
          <cell r="AF35">
            <v>47972.727614829128</v>
          </cell>
          <cell r="AG35">
            <v>53286.10207146305</v>
          </cell>
          <cell r="AH35">
            <v>59116.98529839531</v>
          </cell>
          <cell r="AI35">
            <v>65678.850473296086</v>
          </cell>
          <cell r="AJ35">
            <v>73003.723506805036</v>
          </cell>
          <cell r="AK35">
            <v>81224.170432928207</v>
          </cell>
          <cell r="AL35">
            <v>89735.862166076375</v>
          </cell>
          <cell r="AM35">
            <v>99167.680599399217</v>
          </cell>
        </row>
        <row r="36">
          <cell r="D36">
            <v>161</v>
          </cell>
          <cell r="E36">
            <v>172</v>
          </cell>
          <cell r="F36">
            <v>209</v>
          </cell>
          <cell r="G36">
            <v>223</v>
          </cell>
          <cell r="H36">
            <v>247</v>
          </cell>
          <cell r="I36">
            <v>293</v>
          </cell>
          <cell r="J36">
            <v>380</v>
          </cell>
          <cell r="K36">
            <v>440</v>
          </cell>
          <cell r="L36">
            <v>565</v>
          </cell>
          <cell r="M36">
            <v>722</v>
          </cell>
          <cell r="N36">
            <v>838</v>
          </cell>
          <cell r="O36">
            <v>907</v>
          </cell>
          <cell r="P36">
            <v>1139</v>
          </cell>
          <cell r="Q36">
            <v>980</v>
          </cell>
          <cell r="R36">
            <v>1212</v>
          </cell>
          <cell r="S36">
            <v>1455</v>
          </cell>
          <cell r="T36">
            <v>1606</v>
          </cell>
          <cell r="U36">
            <v>1801</v>
          </cell>
          <cell r="V36">
            <v>2037</v>
          </cell>
          <cell r="W36">
            <v>2453</v>
          </cell>
          <cell r="X36">
            <v>2318</v>
          </cell>
          <cell r="Y36">
            <v>2771</v>
          </cell>
          <cell r="Z36">
            <v>3161</v>
          </cell>
          <cell r="AA36">
            <v>2655</v>
          </cell>
          <cell r="AB36">
            <v>3234</v>
          </cell>
          <cell r="AC36">
            <v>3606</v>
          </cell>
          <cell r="AD36">
            <v>3557.222258659307</v>
          </cell>
          <cell r="AE36">
            <v>4988.5367125004423</v>
          </cell>
          <cell r="AF36">
            <v>4743.5499950496805</v>
          </cell>
          <cell r="AG36">
            <v>5673.5402955672489</v>
          </cell>
          <cell r="AH36">
            <v>7056.6855965368377</v>
          </cell>
          <cell r="AI36">
            <v>8802.1212104784681</v>
          </cell>
          <cell r="AJ36">
            <v>11042.875942385406</v>
          </cell>
          <cell r="AK36">
            <v>13499.888623677358</v>
          </cell>
          <cell r="AL36">
            <v>15388.487147325901</v>
          </cell>
          <cell r="AM36">
            <v>17753.019495222667</v>
          </cell>
        </row>
        <row r="37">
          <cell r="D37">
            <v>1758.4115960267945</v>
          </cell>
          <cell r="E37">
            <v>1806.7894059813016</v>
          </cell>
          <cell r="F37">
            <v>2071.7978424367348</v>
          </cell>
          <cell r="G37">
            <v>2264.6758041718499</v>
          </cell>
          <cell r="H37">
            <v>2510.3793129142014</v>
          </cell>
          <cell r="I37">
            <v>3113.8429876755822</v>
          </cell>
          <cell r="J37">
            <v>3615.2980265350166</v>
          </cell>
          <cell r="K37">
            <v>4100.6711277122304</v>
          </cell>
          <cell r="L37">
            <v>5013.9276438178667</v>
          </cell>
          <cell r="M37">
            <v>5909.4450001841587</v>
          </cell>
          <cell r="N37">
            <v>6317</v>
          </cell>
          <cell r="O37">
            <v>7130</v>
          </cell>
          <cell r="P37">
            <v>8354</v>
          </cell>
          <cell r="Q37">
            <v>9302</v>
          </cell>
          <cell r="R37">
            <v>11547</v>
          </cell>
          <cell r="S37">
            <v>12706</v>
          </cell>
          <cell r="T37">
            <v>15012</v>
          </cell>
          <cell r="U37">
            <v>16751</v>
          </cell>
          <cell r="V37">
            <v>18788</v>
          </cell>
          <cell r="W37">
            <v>20684</v>
          </cell>
          <cell r="X37">
            <v>23690</v>
          </cell>
          <cell r="Y37">
            <v>27687</v>
          </cell>
          <cell r="Z37">
            <v>32908</v>
          </cell>
          <cell r="AA37">
            <v>33842</v>
          </cell>
          <cell r="AB37">
            <v>36184</v>
          </cell>
          <cell r="AC37">
            <v>38560</v>
          </cell>
          <cell r="AD37">
            <v>42568.230889327264</v>
          </cell>
          <cell r="AE37">
            <v>48302.323811945986</v>
          </cell>
          <cell r="AF37">
            <v>52716.277609878809</v>
          </cell>
          <cell r="AG37">
            <v>58959.642367030297</v>
          </cell>
          <cell r="AH37">
            <v>66173.670894932147</v>
          </cell>
          <cell r="AI37">
            <v>74480.971683774551</v>
          </cell>
          <cell r="AJ37">
            <v>84046.599449190442</v>
          </cell>
          <cell r="AK37">
            <v>94724.059056605562</v>
          </cell>
          <cell r="AL37">
            <v>105124.34931340227</v>
          </cell>
          <cell r="AM37">
            <v>116920.70009462189</v>
          </cell>
        </row>
        <row r="39">
          <cell r="D39">
            <v>9.5476757820905367E-2</v>
          </cell>
          <cell r="E39">
            <v>9.9865344464758574E-2</v>
          </cell>
          <cell r="F39">
            <v>8.8923722573620731E-2</v>
          </cell>
          <cell r="G39">
            <v>8.0062564056340046E-2</v>
          </cell>
          <cell r="H39">
            <v>8.2522651676534789E-2</v>
          </cell>
          <cell r="I39">
            <v>7.3882992660814495E-2</v>
          </cell>
          <cell r="J39">
            <v>8.0807651758195209E-2</v>
          </cell>
          <cell r="K39">
            <v>9.989352810845778E-2</v>
          </cell>
          <cell r="L39">
            <v>9.7219457822049632E-2</v>
          </cell>
          <cell r="M39">
            <v>8.6919801272309055E-2</v>
          </cell>
          <cell r="N39">
            <v>8.3187294535883624E-2</v>
          </cell>
          <cell r="O39">
            <v>8.4584519754114129E-2</v>
          </cell>
          <cell r="P39">
            <v>5.3796158689026437E-2</v>
          </cell>
          <cell r="Q39">
            <v>4.8376693184261452E-2</v>
          </cell>
          <cell r="R39">
            <v>7.6123668485320858E-2</v>
          </cell>
          <cell r="S39">
            <v>6.8628994175979854E-2</v>
          </cell>
          <cell r="T39">
            <v>6.468158806288303E-2</v>
          </cell>
          <cell r="U39">
            <v>5.8444271983762161E-2</v>
          </cell>
          <cell r="V39">
            <v>4.8169044070683412E-2</v>
          </cell>
          <cell r="W39">
            <v>5.3229549410172113E-2</v>
          </cell>
          <cell r="X39">
            <v>5.4833262980160405E-2</v>
          </cell>
          <cell r="Y39">
            <v>4.106620435583487E-2</v>
          </cell>
          <cell r="Z39">
            <v>5.126413030266197E-2</v>
          </cell>
          <cell r="AA39">
            <v>5.3602032976774419E-2</v>
          </cell>
          <cell r="AB39">
            <v>5.1763210258677868E-2</v>
          </cell>
          <cell r="AC39">
            <v>6.2344398340248963E-2</v>
          </cell>
          <cell r="AD39">
            <v>5.9418835235963127E-2</v>
          </cell>
          <cell r="AE39">
            <v>5.7276630545593114E-2</v>
          </cell>
          <cell r="AF39">
            <v>5.7521542475599041E-2</v>
          </cell>
          <cell r="AG39">
            <v>5.8129070113314148E-2</v>
          </cell>
          <cell r="AH39">
            <v>5.8257361523498065E-2</v>
          </cell>
          <cell r="AI39">
            <v>5.8296508683505652E-2</v>
          </cell>
          <cell r="AJ39">
            <v>5.8367244062615314E-2</v>
          </cell>
          <cell r="AK39">
            <v>5.8709441151579313E-2</v>
          </cell>
          <cell r="AL39">
            <v>6.0197113408363007E-2</v>
          </cell>
          <cell r="AM39">
            <v>6.1846580967039731E-2</v>
          </cell>
        </row>
        <row r="40">
          <cell r="D40">
            <v>7.6942529894995892E-2</v>
          </cell>
          <cell r="E40">
            <v>7.7102199786110659E-2</v>
          </cell>
          <cell r="F40">
            <v>6.554333613005843E-2</v>
          </cell>
          <cell r="G40">
            <v>5.5270688186052935E-2</v>
          </cell>
          <cell r="H40">
            <v>5.7085763182705924E-2</v>
          </cell>
          <cell r="I40">
            <v>5.0511266695243119E-2</v>
          </cell>
          <cell r="J40">
            <v>5.6875316137829007E-2</v>
          </cell>
          <cell r="K40">
            <v>7.4384452072714075E-2</v>
          </cell>
          <cell r="L40">
            <v>7.2970503885442281E-2</v>
          </cell>
          <cell r="M40">
            <v>6.3246458048554319E-2</v>
          </cell>
          <cell r="N40">
            <v>5.7669823202261855E-2</v>
          </cell>
          <cell r="O40">
            <v>5.5079671404486323E-2</v>
          </cell>
          <cell r="P40">
            <v>3.9180335818530247E-2</v>
          </cell>
          <cell r="Q40">
            <v>3.1498602451085787E-2</v>
          </cell>
          <cell r="R40">
            <v>4.945007361219364E-2</v>
          </cell>
          <cell r="S40">
            <v>4.0689438060758698E-2</v>
          </cell>
          <cell r="T40">
            <v>3.8835598188116174E-2</v>
          </cell>
          <cell r="U40">
            <v>3.2356277237179869E-2</v>
          </cell>
          <cell r="V40">
            <v>2.4430487545241644E-2</v>
          </cell>
          <cell r="W40">
            <v>2.5720363566041383E-2</v>
          </cell>
          <cell r="X40">
            <v>3.3431827775432674E-2</v>
          </cell>
          <cell r="Y40">
            <v>2.5679921985047136E-2</v>
          </cell>
          <cell r="Z40">
            <v>3.9777561687127753E-2</v>
          </cell>
          <cell r="AA40">
            <v>3.9979906624903964E-2</v>
          </cell>
          <cell r="AB40">
            <v>3.576166261330975E-2</v>
          </cell>
          <cell r="AC40">
            <v>4.4553941908713694E-2</v>
          </cell>
          <cell r="AD40">
            <v>4.1981129699648213E-2</v>
          </cell>
          <cell r="AE40">
            <v>4.0868351091599024E-2</v>
          </cell>
          <cell r="AF40">
            <v>4.1537758494211333E-2</v>
          </cell>
          <cell r="AG40">
            <v>4.250820666902947E-2</v>
          </cell>
          <cell r="AH40">
            <v>4.2830480018636326E-2</v>
          </cell>
          <cell r="AI40">
            <v>4.3307505474629568E-2</v>
          </cell>
          <cell r="AJ40">
            <v>4.3833040659136298E-2</v>
          </cell>
          <cell r="AK40">
            <v>4.4590857606766551E-2</v>
          </cell>
          <cell r="AL40">
            <v>4.6260924380674515E-2</v>
          </cell>
          <cell r="AM40">
            <v>4.8111923935879215E-2</v>
          </cell>
        </row>
        <row r="41">
          <cell r="D41">
            <v>1.8534227925909485E-2</v>
          </cell>
          <cell r="E41">
            <v>2.2763144678647918E-2</v>
          </cell>
          <cell r="F41">
            <v>2.3380386443562298E-2</v>
          </cell>
          <cell r="G41">
            <v>2.4791875870287115E-2</v>
          </cell>
          <cell r="H41">
            <v>2.5436888493828868E-2</v>
          </cell>
          <cell r="I41">
            <v>2.3371725965571383E-2</v>
          </cell>
          <cell r="J41">
            <v>2.3932335620366202E-2</v>
          </cell>
          <cell r="K41">
            <v>2.5509076035743698E-2</v>
          </cell>
          <cell r="L41">
            <v>2.4248953936607361E-2</v>
          </cell>
          <cell r="M41">
            <v>2.367334322375474E-2</v>
          </cell>
          <cell r="N41">
            <v>2.5517471333621776E-2</v>
          </cell>
          <cell r="O41">
            <v>2.9504848349627803E-2</v>
          </cell>
          <cell r="P41">
            <v>1.461582287049619E-2</v>
          </cell>
          <cell r="Q41">
            <v>1.6878090733175661E-2</v>
          </cell>
          <cell r="R41">
            <v>2.6673594873127218E-2</v>
          </cell>
          <cell r="S41">
            <v>2.7939556115221156E-2</v>
          </cell>
          <cell r="T41">
            <v>2.5845989874766852E-2</v>
          </cell>
          <cell r="U41">
            <v>2.6087994746582292E-2</v>
          </cell>
          <cell r="V41">
            <v>2.3738556525441771E-2</v>
          </cell>
          <cell r="W41">
            <v>2.7509185844130729E-2</v>
          </cell>
          <cell r="X41">
            <v>2.1401435204727735E-2</v>
          </cell>
          <cell r="Y41">
            <v>1.5386282370787735E-2</v>
          </cell>
          <cell r="Z41">
            <v>1.1486568615534216E-2</v>
          </cell>
          <cell r="AA41">
            <v>1.3622126351870456E-2</v>
          </cell>
          <cell r="AB41">
            <v>1.6001547645368118E-2</v>
          </cell>
          <cell r="AC41">
            <v>1.7790456431535269E-2</v>
          </cell>
          <cell r="AD41">
            <v>1.7437705536314907E-2</v>
          </cell>
          <cell r="AE41">
            <v>1.640827945399409E-2</v>
          </cell>
          <cell r="AF41">
            <v>1.5983783981387709E-2</v>
          </cell>
          <cell r="AG41">
            <v>1.5620863444284679E-2</v>
          </cell>
          <cell r="AH41">
            <v>1.5426881504861732E-2</v>
          </cell>
          <cell r="AI41">
            <v>1.4989003208876082E-2</v>
          </cell>
          <cell r="AJ41">
            <v>1.4534203403479022E-2</v>
          </cell>
          <cell r="AK41">
            <v>1.4118583544812768E-2</v>
          </cell>
          <cell r="AL41">
            <v>1.3936189027688494E-2</v>
          </cell>
          <cell r="AM41">
            <v>1.3734657031160518E-2</v>
          </cell>
        </row>
        <row r="42">
          <cell r="D42">
            <v>7.5914670651276396E-3</v>
          </cell>
          <cell r="E42">
            <v>9.4666743530896231E-3</v>
          </cell>
          <cell r="F42">
            <v>1.4429753174429275E-2</v>
          </cell>
          <cell r="G42">
            <v>1.6375601269553269E-2</v>
          </cell>
          <cell r="H42">
            <v>1.3078406305209709E-2</v>
          </cell>
          <cell r="I42">
            <v>1.2981475613314079E-2</v>
          </cell>
          <cell r="J42">
            <v>1.1901956407379205E-2</v>
          </cell>
          <cell r="K42">
            <v>1.3637681675519967E-2</v>
          </cell>
          <cell r="L42">
            <v>1.392794657707948E-2</v>
          </cell>
          <cell r="M42">
            <v>1.4987902025722585E-2</v>
          </cell>
          <cell r="N42">
            <v>1.8397882438212942E-2</v>
          </cell>
          <cell r="O42">
            <v>2.3888576412596407E-2</v>
          </cell>
          <cell r="P42">
            <v>2.6211085700761864E-2</v>
          </cell>
          <cell r="Q42">
            <v>3.633627176951193E-2</v>
          </cell>
          <cell r="R42">
            <v>3.8018532952281976E-2</v>
          </cell>
          <cell r="S42">
            <v>3.8643160711474896E-2</v>
          </cell>
          <cell r="T42">
            <v>4.1899813482547295E-2</v>
          </cell>
          <cell r="U42">
            <v>3.8803653513223089E-2</v>
          </cell>
          <cell r="V42">
            <v>4.9712582499467743E-2</v>
          </cell>
          <cell r="W42">
            <v>4.6944498162831173E-2</v>
          </cell>
          <cell r="X42">
            <v>4.4069227522161247E-2</v>
          </cell>
          <cell r="Y42">
            <v>5.2154440712247625E-2</v>
          </cell>
          <cell r="Z42">
            <v>4.8833110489850493E-2</v>
          </cell>
          <cell r="AA42">
            <v>5.1917735358430354E-2</v>
          </cell>
          <cell r="AB42">
            <v>4.2753703294273714E-2</v>
          </cell>
          <cell r="AC42">
            <v>4.9688796680497922E-2</v>
          </cell>
          <cell r="AD42">
            <v>4.8334987783480256E-2</v>
          </cell>
          <cell r="AE42">
            <v>4.6368983113232259E-2</v>
          </cell>
          <cell r="AF42">
            <v>4.6815030892002479E-2</v>
          </cell>
          <cell r="AG42">
            <v>4.6122162751268007E-2</v>
          </cell>
          <cell r="AH42">
            <v>4.5280762461508382E-2</v>
          </cell>
          <cell r="AI42">
            <v>4.432901469701165E-2</v>
          </cell>
          <cell r="AJ42">
            <v>4.3286026357710256E-2</v>
          </cell>
          <cell r="AK42">
            <v>4.2319645389599883E-2</v>
          </cell>
          <cell r="AL42">
            <v>4.2017813879967274E-2</v>
          </cell>
          <cell r="AM42">
            <v>4.162745120008015E-2</v>
          </cell>
        </row>
        <row r="43">
          <cell r="D43">
            <v>0.36004736836244583</v>
          </cell>
          <cell r="E43">
            <v>0.25335814975482124</v>
          </cell>
          <cell r="F43">
            <v>0.22683631373059449</v>
          </cell>
          <cell r="G43">
            <v>0.21235780077570104</v>
          </cell>
          <cell r="H43">
            <v>0.20727928259009731</v>
          </cell>
          <cell r="I43">
            <v>0.27187281941643882</v>
          </cell>
          <cell r="J43">
            <v>0.25631332359693404</v>
          </cell>
          <cell r="K43">
            <v>0.19690414904152867</v>
          </cell>
          <cell r="L43">
            <v>0.22814717143614902</v>
          </cell>
          <cell r="M43">
            <v>0.23390659792569249</v>
          </cell>
          <cell r="N43">
            <v>0.17164578709112427</v>
          </cell>
          <cell r="O43">
            <v>0.15478076077578595</v>
          </cell>
          <cell r="P43">
            <v>0.13306433808567256</v>
          </cell>
          <cell r="Q43">
            <v>8.8045581595355832E-2</v>
          </cell>
          <cell r="R43">
            <v>0.10825322594613319</v>
          </cell>
          <cell r="S43">
            <v>8.3267747520856292E-2</v>
          </cell>
          <cell r="T43">
            <v>0.10251798561151079</v>
          </cell>
          <cell r="U43">
            <v>0.10321771834517342</v>
          </cell>
          <cell r="V43">
            <v>9.7668724717905039E-2</v>
          </cell>
          <cell r="W43">
            <v>9.4227422162057622E-2</v>
          </cell>
          <cell r="X43">
            <v>0.11017306880540312</v>
          </cell>
          <cell r="Y43">
            <v>0.13230035756853398</v>
          </cell>
          <cell r="Z43">
            <v>0.13872006806855475</v>
          </cell>
          <cell r="AA43">
            <v>8.7908516045151E-2</v>
          </cell>
          <cell r="AB43">
            <v>9.6423833738669029E-2</v>
          </cell>
          <cell r="AC43">
            <v>8.6021784232365145E-2</v>
          </cell>
          <cell r="AD43">
            <v>0.10128727905727146</v>
          </cell>
          <cell r="AE43">
            <v>0.10369317018604007</v>
          </cell>
          <cell r="AF43">
            <v>0.10235705941468431</v>
          </cell>
          <cell r="AG43">
            <v>0.10073988993564416</v>
          </cell>
          <cell r="AH43">
            <v>9.887536253480414E-2</v>
          </cell>
          <cell r="AI43">
            <v>9.7659619979618167E-2</v>
          </cell>
          <cell r="AJ43">
            <v>9.621173200423222E-2</v>
          </cell>
          <cell r="AK43">
            <v>9.4902240282573741E-2</v>
          </cell>
          <cell r="AL43">
            <v>9.5065470189661536E-2</v>
          </cell>
          <cell r="AM43">
            <v>9.5022148156093375E-2</v>
          </cell>
        </row>
        <row r="44">
          <cell r="D44">
            <v>0.20889281815740995</v>
          </cell>
          <cell r="E44">
            <v>0.10471949991748693</v>
          </cell>
          <cell r="F44">
            <v>7.0946260110791318E-2</v>
          </cell>
          <cell r="G44">
            <v>8.0317384347201634E-2</v>
          </cell>
          <cell r="H44">
            <v>6.5726291162949618E-2</v>
          </cell>
          <cell r="I44">
            <v>8.6168826927892558E-2</v>
          </cell>
          <cell r="J44">
            <v>9.0825513836260474E-2</v>
          </cell>
          <cell r="K44">
            <v>8.5669331786906625E-2</v>
          </cell>
          <cell r="L44">
            <v>0.12178838751528318</v>
          </cell>
          <cell r="M44">
            <v>0.12095292771583623</v>
          </cell>
          <cell r="N44">
            <v>8.7687767465313413E-2</v>
          </cell>
          <cell r="O44">
            <v>0.10131731293179268</v>
          </cell>
          <cell r="P44">
            <v>9.2751509721339734E-2</v>
          </cell>
          <cell r="Q44">
            <v>6.4287250053751882E-2</v>
          </cell>
          <cell r="R44">
            <v>7.5517450420022517E-2</v>
          </cell>
          <cell r="S44">
            <v>6.0050369903982367E-2</v>
          </cell>
          <cell r="T44">
            <v>7.7871036504130034E-2</v>
          </cell>
          <cell r="U44">
            <v>7.4682108530833985E-2</v>
          </cell>
          <cell r="V44">
            <v>7.2280178837555886E-2</v>
          </cell>
          <cell r="W44">
            <v>8.20440920518275E-2</v>
          </cell>
          <cell r="X44">
            <v>8.1637821865766153E-2</v>
          </cell>
          <cell r="Y44">
            <v>0.10308086827753098</v>
          </cell>
          <cell r="Z44">
            <v>0.10413881123131154</v>
          </cell>
          <cell r="AA44">
            <v>7.7714083092015843E-2</v>
          </cell>
          <cell r="AB44">
            <v>8.42361264647358E-2</v>
          </cell>
          <cell r="AC44">
            <v>7.0228215767634855E-2</v>
          </cell>
          <cell r="AD44">
            <v>8.5279958125731983E-2</v>
          </cell>
          <cell r="AE44">
            <v>8.8175295565386239E-2</v>
          </cell>
          <cell r="AF44">
            <v>8.6501946360650117E-2</v>
          </cell>
          <cell r="AG44">
            <v>8.4932030892109212E-2</v>
          </cell>
          <cell r="AH44">
            <v>8.3169691961783657E-2</v>
          </cell>
          <cell r="AI44">
            <v>8.2099598468420673E-2</v>
          </cell>
          <cell r="AJ44">
            <v>8.0835525737982292E-2</v>
          </cell>
          <cell r="AK44">
            <v>7.9688960278612206E-2</v>
          </cell>
          <cell r="AL44">
            <v>7.9779477284538186E-2</v>
          </cell>
          <cell r="AM44">
            <v>7.9696481221509075E-2</v>
          </cell>
        </row>
        <row r="45">
          <cell r="D45">
            <v>0.15115455020503588</v>
          </cell>
          <cell r="E45">
            <v>0.1486386498373343</v>
          </cell>
          <cell r="F45">
            <v>0.15589005361980315</v>
          </cell>
          <cell r="G45">
            <v>0.1320404164284994</v>
          </cell>
          <cell r="H45">
            <v>0.1415529914271477</v>
          </cell>
          <cell r="I45">
            <v>0.18570399248854627</v>
          </cell>
          <cell r="J45">
            <v>0.16548780976067357</v>
          </cell>
          <cell r="K45">
            <v>0.11123481725462206</v>
          </cell>
          <cell r="L45">
            <v>0.10635878392086583</v>
          </cell>
          <cell r="M45">
            <v>0.11295367020985626</v>
          </cell>
          <cell r="N45">
            <v>8.3958019625810856E-2</v>
          </cell>
          <cell r="O45">
            <v>5.3463447843993289E-2</v>
          </cell>
          <cell r="P45">
            <v>4.0312828364332823E-2</v>
          </cell>
          <cell r="Q45">
            <v>2.3758331541603957E-2</v>
          </cell>
          <cell r="R45">
            <v>3.2735775526110678E-2</v>
          </cell>
          <cell r="S45">
            <v>2.3217377616873917E-2</v>
          </cell>
          <cell r="T45">
            <v>2.4646949107380762E-2</v>
          </cell>
          <cell r="U45">
            <v>2.8535609814339443E-2</v>
          </cell>
          <cell r="V45">
            <v>2.538854588034916E-2</v>
          </cell>
          <cell r="W45">
            <v>1.218333011023013E-2</v>
          </cell>
          <cell r="X45">
            <v>2.8535246939636976E-2</v>
          </cell>
          <cell r="Y45">
            <v>2.9219489291002997E-2</v>
          </cell>
          <cell r="Z45">
            <v>3.4581256837243224E-2</v>
          </cell>
          <cell r="AA45">
            <v>1.0194432953135157E-2</v>
          </cell>
          <cell r="AB45">
            <v>1.2187707273933231E-2</v>
          </cell>
          <cell r="AC45">
            <v>1.579356846473029E-2</v>
          </cell>
          <cell r="AD45">
            <v>1.6007320931539473E-2</v>
          </cell>
          <cell r="AE45">
            <v>1.5517874620653838E-2</v>
          </cell>
          <cell r="AF45">
            <v>1.5855113054034201E-2</v>
          </cell>
          <cell r="AG45">
            <v>1.580785904353493E-2</v>
          </cell>
          <cell r="AH45">
            <v>1.5705670573020487E-2</v>
          </cell>
          <cell r="AI45">
            <v>1.5560021511197493E-2</v>
          </cell>
          <cell r="AJ45">
            <v>1.5376206266249927E-2</v>
          </cell>
          <cell r="AK45">
            <v>1.5213280003961535E-2</v>
          </cell>
          <cell r="AL45">
            <v>1.5285992905123341E-2</v>
          </cell>
          <cell r="AM45">
            <v>1.5325666934584301E-2</v>
          </cell>
        </row>
        <row r="46">
          <cell r="D46">
            <v>0.46311559324847884</v>
          </cell>
          <cell r="E46">
            <v>0.36269016857266939</v>
          </cell>
          <cell r="F46">
            <v>0.33018978947864447</v>
          </cell>
          <cell r="G46">
            <v>0.30879596610159438</v>
          </cell>
          <cell r="H46">
            <v>0.30288034057184182</v>
          </cell>
          <cell r="I46">
            <v>0.3587372876905674</v>
          </cell>
          <cell r="J46">
            <v>0.34902293176250843</v>
          </cell>
          <cell r="K46">
            <v>0.31043535882550644</v>
          </cell>
          <cell r="L46">
            <v>0.33929457583527811</v>
          </cell>
          <cell r="M46">
            <v>0.33581430122372413</v>
          </cell>
          <cell r="N46">
            <v>0.27323096406522085</v>
          </cell>
          <cell r="O46">
            <v>0.26325385694249648</v>
          </cell>
          <cell r="P46">
            <v>0.21307158247546085</v>
          </cell>
          <cell r="Q46">
            <v>0.17275854654912923</v>
          </cell>
          <cell r="R46">
            <v>0.22239542738373602</v>
          </cell>
          <cell r="S46">
            <v>0.19053990240831103</v>
          </cell>
          <cell r="T46">
            <v>0.20909938715694112</v>
          </cell>
          <cell r="U46">
            <v>0.20046564384215868</v>
          </cell>
          <cell r="V46">
            <v>0.1955503512880562</v>
          </cell>
          <cell r="W46">
            <v>0.19440146973506092</v>
          </cell>
          <cell r="X46">
            <v>0.20907555930772478</v>
          </cell>
          <cell r="Y46">
            <v>0.22552100263661645</v>
          </cell>
          <cell r="Z46">
            <v>0.23881730886106722</v>
          </cell>
          <cell r="AA46">
            <v>0.19342828438035578</v>
          </cell>
          <cell r="AB46">
            <v>0.19094074729162061</v>
          </cell>
          <cell r="AC46">
            <v>0.19805497925311202</v>
          </cell>
          <cell r="AD46">
            <v>0.20904110207671484</v>
          </cell>
          <cell r="AE46">
            <v>0.20733878384486545</v>
          </cell>
          <cell r="AF46">
            <v>0.20669363278228584</v>
          </cell>
          <cell r="AG46">
            <v>0.2049911228002263</v>
          </cell>
          <cell r="AH46">
            <v>0.20241348651981061</v>
          </cell>
          <cell r="AI46">
            <v>0.20028514336013548</v>
          </cell>
          <cell r="AJ46">
            <v>0.19786500242455779</v>
          </cell>
          <cell r="AK46">
            <v>0.19593132682375294</v>
          </cell>
          <cell r="AL46">
            <v>0.19728039747799181</v>
          </cell>
          <cell r="AM46">
            <v>0.19849618032321328</v>
          </cell>
        </row>
        <row r="47">
          <cell r="D47">
            <v>8.28216757884285E-2</v>
          </cell>
          <cell r="E47">
            <v>0.1019365761211667</v>
          </cell>
          <cell r="F47">
            <v>0.10554891195686748</v>
          </cell>
          <cell r="G47">
            <v>0.10965525328452966</v>
          </cell>
          <cell r="H47">
            <v>0.1076424376684382</v>
          </cell>
          <cell r="I47">
            <v>0.10029254807794528</v>
          </cell>
          <cell r="J47">
            <v>0.10229380483807091</v>
          </cell>
          <cell r="K47">
            <v>0.1116388094007414</v>
          </cell>
          <cell r="L47">
            <v>0.10448261543943056</v>
          </cell>
          <cell r="M47">
            <v>0.10491757239110501</v>
          </cell>
          <cell r="N47">
            <v>0.11951875890454329</v>
          </cell>
          <cell r="O47">
            <v>0.11304347826086956</v>
          </cell>
          <cell r="P47">
            <v>0.11862580799616949</v>
          </cell>
          <cell r="Q47">
            <v>0.12653192861750162</v>
          </cell>
          <cell r="R47">
            <v>0.11786611241014983</v>
          </cell>
          <cell r="S47">
            <v>0.11498504643475524</v>
          </cell>
          <cell r="T47">
            <v>8.8995470290434323E-2</v>
          </cell>
          <cell r="U47">
            <v>9.8800071637514184E-2</v>
          </cell>
          <cell r="V47">
            <v>0.10863317010857994</v>
          </cell>
          <cell r="W47">
            <v>0.10027074066911623</v>
          </cell>
          <cell r="X47">
            <v>0.10008442380751371</v>
          </cell>
          <cell r="Y47">
            <v>9.4051359843970089E-2</v>
          </cell>
          <cell r="Z47">
            <v>0.10043150601677403</v>
          </cell>
          <cell r="AA47">
            <v>0.11435494356125525</v>
          </cell>
          <cell r="AB47">
            <v>0.11057373424718107</v>
          </cell>
          <cell r="AC47">
            <v>0.10679460580912863</v>
          </cell>
          <cell r="AD47">
            <v>0.10516997002492454</v>
          </cell>
          <cell r="AE47">
            <v>0.10109745770778852</v>
          </cell>
          <cell r="AF47">
            <v>0.10372097927719434</v>
          </cell>
          <cell r="AG47">
            <v>0.10387513245998153</v>
          </cell>
          <cell r="AH47">
            <v>0.10370242648115398</v>
          </cell>
          <cell r="AI47">
            <v>0.10327368620433099</v>
          </cell>
          <cell r="AJ47">
            <v>0.10261936112665278</v>
          </cell>
          <cell r="AK47">
            <v>0.10213097597126211</v>
          </cell>
          <cell r="AL47">
            <v>0.10326113353760759</v>
          </cell>
          <cell r="AM47">
            <v>0.10421384723730832</v>
          </cell>
        </row>
        <row r="48">
          <cell r="D48">
            <v>7.7409583766554725E-3</v>
          </cell>
          <cell r="E48">
            <v>7.1397731609496974E-3</v>
          </cell>
          <cell r="F48">
            <v>8.7467224100705454E-3</v>
          </cell>
          <cell r="G48">
            <v>8.0617643490958311E-3</v>
          </cell>
          <cell r="H48">
            <v>8.5124694925514787E-3</v>
          </cell>
          <cell r="I48">
            <v>7.8297568974892099E-3</v>
          </cell>
          <cell r="J48">
            <v>7.6362026735915696E-3</v>
          </cell>
          <cell r="K48">
            <v>7.2013049991066632E-3</v>
          </cell>
          <cell r="L48">
            <v>6.52169029492771E-3</v>
          </cell>
          <cell r="M48">
            <v>7.2746022067411032E-3</v>
          </cell>
          <cell r="N48">
            <v>6.9332675805624947E-3</v>
          </cell>
          <cell r="O48">
            <v>7.9528855859787514E-3</v>
          </cell>
          <cell r="P48">
            <v>7.6283359565190419E-3</v>
          </cell>
          <cell r="Q48">
            <v>1.322296280369813E-2</v>
          </cell>
          <cell r="R48">
            <v>9.6994890447735342E-3</v>
          </cell>
          <cell r="S48">
            <v>9.6804659216118364E-3</v>
          </cell>
          <cell r="T48">
            <v>9.8587796429523041E-3</v>
          </cell>
          <cell r="U48">
            <v>6.9249597038982744E-3</v>
          </cell>
          <cell r="V48">
            <v>6.972535661060251E-3</v>
          </cell>
          <cell r="W48">
            <v>6.7201701798491591E-3</v>
          </cell>
          <cell r="X48">
            <v>5.1076403545799913E-3</v>
          </cell>
          <cell r="Y48">
            <v>5.128760790262578E-3</v>
          </cell>
          <cell r="Z48">
            <v>4.3454479154005103E-3</v>
          </cell>
          <cell r="AA48">
            <v>4.1073222622776432E-3</v>
          </cell>
          <cell r="AB48">
            <v>3.4822020782666373E-3</v>
          </cell>
          <cell r="AC48">
            <v>3.0860995850622405E-3</v>
          </cell>
          <cell r="AD48">
            <v>2.9035953152674468E-3</v>
          </cell>
          <cell r="AE48">
            <v>2.8291001028269685E-3</v>
          </cell>
          <cell r="AF48">
            <v>2.866825629880511E-3</v>
          </cell>
          <cell r="AG48">
            <v>2.8347897227179162E-3</v>
          </cell>
          <cell r="AH48">
            <v>2.7933164453441193E-3</v>
          </cell>
          <cell r="AI48">
            <v>2.7446672921054341E-3</v>
          </cell>
          <cell r="AJ48">
            <v>2.689952242612083E-3</v>
          </cell>
          <cell r="AK48">
            <v>2.6395755169446025E-3</v>
          </cell>
          <cell r="AL48">
            <v>2.6303936412699221E-3</v>
          </cell>
          <cell r="AM48">
            <v>2.6155458336843745E-3</v>
          </cell>
        </row>
        <row r="49">
          <cell r="D49">
            <v>1.1070072291290362E-2</v>
          </cell>
          <cell r="E49">
            <v>1.3499930758092834E-2</v>
          </cell>
          <cell r="F49">
            <v>1.8549145653707185E-2</v>
          </cell>
          <cell r="G49">
            <v>2.1160146574105112E-2</v>
          </cell>
          <cell r="H49">
            <v>1.5100654034109326E-2</v>
          </cell>
          <cell r="I49">
            <v>1.5289804125280483E-2</v>
          </cell>
          <cell r="J49">
            <v>1.7687860264742027E-2</v>
          </cell>
          <cell r="K49">
            <v>2.5085572773623992E-2</v>
          </cell>
          <cell r="L49">
            <v>2.2060037129517228E-2</v>
          </cell>
          <cell r="M49">
            <v>1.9263468862883049E-2</v>
          </cell>
          <cell r="N49">
            <v>2.5540403368923114E-2</v>
          </cell>
          <cell r="O49">
            <v>1.6828766219500392E-2</v>
          </cell>
          <cell r="P49">
            <v>2.7531721331098876E-2</v>
          </cell>
          <cell r="Q49">
            <v>3.429370027950978E-2</v>
          </cell>
          <cell r="R49">
            <v>3.3948211656707368E-2</v>
          </cell>
          <cell r="S49">
            <v>3.0694160239257043E-2</v>
          </cell>
          <cell r="T49">
            <v>1.0191846522781775E-2</v>
          </cell>
          <cell r="U49">
            <v>1.6775117903408753E-2</v>
          </cell>
          <cell r="V49">
            <v>2.890142644241005E-2</v>
          </cell>
          <cell r="W49">
            <v>2.1804293173467413E-2</v>
          </cell>
          <cell r="X49">
            <v>2.313212325875897E-2</v>
          </cell>
          <cell r="Y49">
            <v>1.7842308664716294E-2</v>
          </cell>
          <cell r="Z49">
            <v>2.1362586605080832E-2</v>
          </cell>
          <cell r="AA49">
            <v>2.5884994976656226E-2</v>
          </cell>
          <cell r="AB49">
            <v>2.081030289630776E-2</v>
          </cell>
          <cell r="AC49">
            <v>1.2085062240663901E-2</v>
          </cell>
          <cell r="AD49">
            <v>1.1331991074614835E-2</v>
          </cell>
          <cell r="AE49">
            <v>1.1072579717277022E-2</v>
          </cell>
          <cell r="AF49">
            <v>1.1246881488091838E-2</v>
          </cell>
          <cell r="AG49">
            <v>1.1147616743248717E-2</v>
          </cell>
          <cell r="AH49">
            <v>1.1010617022634844E-2</v>
          </cell>
          <cell r="AI49">
            <v>1.0844550735173576E-2</v>
          </cell>
          <cell r="AJ49">
            <v>1.0653609323387296E-2</v>
          </cell>
          <cell r="AK49">
            <v>1.0478922486604895E-2</v>
          </cell>
          <cell r="AL49">
            <v>1.0467274694708905E-2</v>
          </cell>
          <cell r="AM49">
            <v>1.0432912130286352E-2</v>
          </cell>
        </row>
        <row r="50">
          <cell r="D50">
            <v>3.5905839789184192E-2</v>
          </cell>
          <cell r="E50">
            <v>4.5584907123046921E-2</v>
          </cell>
          <cell r="F50">
            <v>4.3874083120587784E-2</v>
          </cell>
          <cell r="G50">
            <v>4.5103322108592803E-2</v>
          </cell>
          <cell r="H50">
            <v>4.710825502703718E-2</v>
          </cell>
          <cell r="I50">
            <v>4.3273806175223625E-2</v>
          </cell>
          <cell r="J50">
            <v>4.3160658782290091E-2</v>
          </cell>
          <cell r="K50">
            <v>4.4491440356607834E-2</v>
          </cell>
          <cell r="L50">
            <v>4.2555991609238862E-2</v>
          </cell>
          <cell r="M50">
            <v>4.3941258279479263E-2</v>
          </cell>
          <cell r="N50">
            <v>4.8797199883350885E-2</v>
          </cell>
          <cell r="O50">
            <v>4.9476044247596482E-2</v>
          </cell>
          <cell r="P50">
            <v>4.6788063561551026E-2</v>
          </cell>
          <cell r="Q50">
            <v>4.4291550204257152E-2</v>
          </cell>
          <cell r="R50">
            <v>4.0010392309690827E-2</v>
          </cell>
          <cell r="S50">
            <v>4.2420903510152687E-2</v>
          </cell>
          <cell r="T50">
            <v>4.2965627498001598E-2</v>
          </cell>
          <cell r="U50">
            <v>4.6206196644976417E-2</v>
          </cell>
          <cell r="V50">
            <v>4.8541622312114119E-2</v>
          </cell>
          <cell r="W50">
            <v>4.9023399729259329E-2</v>
          </cell>
          <cell r="X50">
            <v>4.6010975094976786E-2</v>
          </cell>
          <cell r="Y50">
            <v>4.388341098710586E-2</v>
          </cell>
          <cell r="Z50">
            <v>4.6037437705117298E-2</v>
          </cell>
          <cell r="AA50">
            <v>4.8755983688907274E-2</v>
          </cell>
          <cell r="AB50">
            <v>4.6705726287862036E-2</v>
          </cell>
          <cell r="AC50">
            <v>4.6291493775933612E-2</v>
          </cell>
          <cell r="AD50">
            <v>4.6045255619588277E-2</v>
          </cell>
          <cell r="AE50">
            <v>4.4632932528330553E-2</v>
          </cell>
          <cell r="AF50">
            <v>4.4989190455308845E-2</v>
          </cell>
          <cell r="AG50">
            <v>4.4251453646067661E-2</v>
          </cell>
          <cell r="AH50">
            <v>4.3373715099640844E-2</v>
          </cell>
          <cell r="AI50">
            <v>4.2393178844338346E-2</v>
          </cell>
          <cell r="AJ50">
            <v>4.1328594693883586E-2</v>
          </cell>
          <cell r="AK50">
            <v>4.0340376954933338E-2</v>
          </cell>
          <cell r="AL50">
            <v>3.9987697562201475E-2</v>
          </cell>
          <cell r="AM50">
            <v>3.9551939040484554E-2</v>
          </cell>
        </row>
        <row r="51">
          <cell r="D51">
            <v>2.8104805331298482E-2</v>
          </cell>
          <cell r="E51">
            <v>3.571196507907725E-2</v>
          </cell>
          <cell r="F51">
            <v>3.4378960772501965E-2</v>
          </cell>
          <cell r="G51">
            <v>3.5330020252735912E-2</v>
          </cell>
          <cell r="H51">
            <v>3.6921059114740223E-2</v>
          </cell>
          <cell r="I51">
            <v>3.3899180879951959E-2</v>
          </cell>
          <cell r="J51">
            <v>3.3809083117447208E-2</v>
          </cell>
          <cell r="K51">
            <v>3.4860491271402907E-2</v>
          </cell>
          <cell r="L51">
            <v>3.3344896405746768E-2</v>
          </cell>
          <cell r="M51">
            <v>3.443824304200159E-2</v>
          </cell>
          <cell r="N51">
            <v>3.8247888071706822E-2</v>
          </cell>
          <cell r="O51">
            <v>3.878578220779394E-2</v>
          </cell>
          <cell r="P51">
            <v>3.6677687147000551E-2</v>
          </cell>
          <cell r="Q51">
            <v>3.4723715330036549E-2</v>
          </cell>
          <cell r="R51">
            <v>3.4208019398978093E-2</v>
          </cell>
          <cell r="S51">
            <v>3.2189516763733668E-2</v>
          </cell>
          <cell r="T51">
            <v>2.597921662669864E-2</v>
          </cell>
          <cell r="U51">
            <v>2.8893797385230732E-2</v>
          </cell>
          <cell r="V51">
            <v>2.4217585692995529E-2</v>
          </cell>
          <cell r="W51">
            <v>2.2722877586540322E-2</v>
          </cell>
          <cell r="X51">
            <v>2.5833685099197975E-2</v>
          </cell>
          <cell r="Y51">
            <v>2.7196879401885362E-2</v>
          </cell>
          <cell r="Z51">
            <v>2.8686033791175399E-2</v>
          </cell>
          <cell r="AA51">
            <v>3.56066426334141E-2</v>
          </cell>
          <cell r="AB51">
            <v>3.9575502984744639E-2</v>
          </cell>
          <cell r="AC51">
            <v>4.5331950207468878E-2</v>
          </cell>
          <cell r="AD51">
            <v>4.4889128015453986E-2</v>
          </cell>
          <cell r="AE51">
            <v>4.2562845359354E-2</v>
          </cell>
          <cell r="AF51">
            <v>4.4618081703913154E-2</v>
          </cell>
          <cell r="AG51">
            <v>4.5641272347947251E-2</v>
          </cell>
          <cell r="AH51">
            <v>4.6524777913534175E-2</v>
          </cell>
          <cell r="AI51">
            <v>4.7291289332713635E-2</v>
          </cell>
          <cell r="AJ51">
            <v>4.7947204866769823E-2</v>
          </cell>
          <cell r="AK51">
            <v>4.867210101277928E-2</v>
          </cell>
          <cell r="AL51">
            <v>5.0175767639427299E-2</v>
          </cell>
          <cell r="AM51">
            <v>5.1613450232853055E-2</v>
          </cell>
        </row>
        <row r="52">
          <cell r="D52">
            <v>1.5783525618702846E-2</v>
          </cell>
          <cell r="E52">
            <v>2.1216868304096408E-2</v>
          </cell>
          <cell r="F52">
            <v>2.0059796162901961E-2</v>
          </cell>
          <cell r="G52">
            <v>2.4713301623926123E-2</v>
          </cell>
          <cell r="H52">
            <v>2.1020643501464233E-2</v>
          </cell>
          <cell r="I52">
            <v>1.7683542380703018E-2</v>
          </cell>
          <cell r="J52">
            <v>1.6232818747705467E-2</v>
          </cell>
          <cell r="K52">
            <v>1.3905693932895589E-2</v>
          </cell>
          <cell r="L52">
            <v>1.5760387615744706E-2</v>
          </cell>
          <cell r="M52">
            <v>1.3933842064788643E-2</v>
          </cell>
          <cell r="N52">
            <v>1.6857014231670089E-2</v>
          </cell>
          <cell r="O52">
            <v>1.472348162372835E-2</v>
          </cell>
          <cell r="P52">
            <v>1.9128107554535295E-2</v>
          </cell>
          <cell r="Q52">
            <v>1.5373038056331972E-2</v>
          </cell>
          <cell r="R52">
            <v>1.9745388412574696E-2</v>
          </cell>
          <cell r="S52">
            <v>2.0462773492838031E-2</v>
          </cell>
          <cell r="T52">
            <v>2.0583533173461233E-2</v>
          </cell>
          <cell r="U52">
            <v>2.1312160468031759E-2</v>
          </cell>
          <cell r="V52">
            <v>2.4004683840749413E-2</v>
          </cell>
          <cell r="W52">
            <v>2.6155482498549605E-2</v>
          </cell>
          <cell r="X52">
            <v>2.5538201772899959E-2</v>
          </cell>
          <cell r="Y52">
            <v>2.2393180915230976E-2</v>
          </cell>
          <cell r="Z52">
            <v>2.5951136501762489E-2</v>
          </cell>
          <cell r="AA52">
            <v>2.9637728266650908E-2</v>
          </cell>
          <cell r="AB52">
            <v>3.313619279239443E-2</v>
          </cell>
          <cell r="AC52">
            <v>3.4880705394190872E-2</v>
          </cell>
          <cell r="AD52">
            <v>3.5983289683122456E-2</v>
          </cell>
          <cell r="AE52">
            <v>3.7683553398942221E-2</v>
          </cell>
          <cell r="AF52">
            <v>4.1123475888668437E-2</v>
          </cell>
          <cell r="AG52">
            <v>4.0270622510403219E-2</v>
          </cell>
          <cell r="AH52">
            <v>4.3878568709509035E-2</v>
          </cell>
          <cell r="AI52">
            <v>4.767457634528937E-2</v>
          </cell>
          <cell r="AJ52">
            <v>5.166620064070189E-2</v>
          </cell>
          <cell r="AK52">
            <v>5.6061003708193537E-2</v>
          </cell>
          <cell r="AL52">
            <v>5.5325644269329816E-2</v>
          </cell>
          <cell r="AM52">
            <v>5.4481245224450386E-2</v>
          </cell>
        </row>
        <row r="53">
          <cell r="D53">
            <v>4.7329632032198234E-2</v>
          </cell>
          <cell r="E53">
            <v>4.9786007510992644E-2</v>
          </cell>
          <cell r="F53">
            <v>4.2067563091211117E-2</v>
          </cell>
          <cell r="G53">
            <v>3.3825652143074633E-2</v>
          </cell>
          <cell r="H53">
            <v>2.6432522774156135E-2</v>
          </cell>
          <cell r="I53">
            <v>2.5052320380213718E-2</v>
          </cell>
          <cell r="J53">
            <v>2.0192824188155569E-2</v>
          </cell>
          <cell r="K53">
            <v>1.8521532625261624E-2</v>
          </cell>
          <cell r="L53">
            <v>2.2217764069153205E-2</v>
          </cell>
          <cell r="M53">
            <v>2.2500533803989996E-2</v>
          </cell>
          <cell r="N53">
            <v>2.1927218790334033E-2</v>
          </cell>
          <cell r="O53">
            <v>2.033963198075972E-2</v>
          </cell>
          <cell r="P53">
            <v>2.5880271665000263E-2</v>
          </cell>
          <cell r="Q53">
            <v>2.9241023435820253E-2</v>
          </cell>
          <cell r="R53">
            <v>2.7106607776911752E-2</v>
          </cell>
          <cell r="S53">
            <v>2.8333070990083427E-2</v>
          </cell>
          <cell r="T53">
            <v>3.0042632560618173E-2</v>
          </cell>
          <cell r="U53">
            <v>2.5849203032654765E-2</v>
          </cell>
          <cell r="V53">
            <v>2.8103044496487119E-2</v>
          </cell>
          <cell r="W53">
            <v>2.3303036163217945E-2</v>
          </cell>
          <cell r="X53">
            <v>1.9924018573237653E-2</v>
          </cell>
          <cell r="Y53">
            <v>2.8497128616318129E-2</v>
          </cell>
          <cell r="Z53">
            <v>2.2031117053603985E-2</v>
          </cell>
          <cell r="AA53">
            <v>3.0376455292240413E-2</v>
          </cell>
          <cell r="AB53">
            <v>3.0897634313508733E-2</v>
          </cell>
          <cell r="AC53">
            <v>3.2391078838174277E-2</v>
          </cell>
          <cell r="AD53">
            <v>3.1385293394443868E-2</v>
          </cell>
          <cell r="AE53">
            <v>3.0201127705889275E-2</v>
          </cell>
          <cell r="AF53">
            <v>3.1977000771603835E-2</v>
          </cell>
          <cell r="AG53">
            <v>3.3644550207045654E-2</v>
          </cell>
          <cell r="AH53">
            <v>3.4553105539892583E-2</v>
          </cell>
          <cell r="AI53">
            <v>3.5602766562711545E-2</v>
          </cell>
          <cell r="AJ53">
            <v>3.6852090860340643E-2</v>
          </cell>
          <cell r="AK53">
            <v>3.8227103721390009E-2</v>
          </cell>
          <cell r="AL53">
            <v>3.967923364077814E-2</v>
          </cell>
          <cell r="AM53">
            <v>4.1350949030839704E-2</v>
          </cell>
        </row>
        <row r="54">
          <cell r="D54">
            <v>0.14593483343932959</v>
          </cell>
          <cell r="E54">
            <v>0.17293945193625576</v>
          </cell>
          <cell r="F54">
            <v>0.16767627121098055</v>
          </cell>
          <cell r="G54">
            <v>0.1681942070515304</v>
          </cell>
          <cell r="H54">
            <v>0.15509560394405858</v>
          </cell>
          <cell r="I54">
            <v>0.14302841083886203</v>
          </cell>
          <cell r="J54">
            <v>0.13871944777393194</v>
          </cell>
          <cell r="K54">
            <v>0.14406603595889861</v>
          </cell>
          <cell r="L54">
            <v>0.14246076712432848</v>
          </cell>
          <cell r="M54">
            <v>0.14135194825988365</v>
          </cell>
          <cell r="N54">
            <v>0.1583029919265474</v>
          </cell>
          <cell r="O54">
            <v>0.14810659186535766</v>
          </cell>
          <cell r="P54">
            <v>0.16363418721570505</v>
          </cell>
          <cell r="Q54">
            <v>0.17114599010965384</v>
          </cell>
          <cell r="R54">
            <v>0.16471810859963626</v>
          </cell>
          <cell r="S54">
            <v>0.1637808909176767</v>
          </cell>
          <cell r="T54">
            <v>0.13962163602451372</v>
          </cell>
          <cell r="U54">
            <v>0.1459614351382007</v>
          </cell>
          <cell r="V54">
            <v>0.16074089844581649</v>
          </cell>
          <cell r="W54">
            <v>0.14972925933088377</v>
          </cell>
          <cell r="X54">
            <v>0.14554664415365132</v>
          </cell>
          <cell r="Y54">
            <v>0.14494166937551919</v>
          </cell>
          <cell r="Z54">
            <v>0.14841375957214051</v>
          </cell>
          <cell r="AA54">
            <v>0.17436912712014657</v>
          </cell>
          <cell r="AB54">
            <v>0.17460756135308422</v>
          </cell>
          <cell r="AC54">
            <v>0.17406639004149377</v>
          </cell>
          <cell r="AD54">
            <v>0.17253855310249086</v>
          </cell>
          <cell r="AE54">
            <v>0.16898213881262003</v>
          </cell>
          <cell r="AF54">
            <v>0.17682145593746659</v>
          </cell>
          <cell r="AG54">
            <v>0.17779030517743044</v>
          </cell>
          <cell r="AH54">
            <v>0.18213410073055558</v>
          </cell>
          <cell r="AI54">
            <v>0.1865510291123319</v>
          </cell>
          <cell r="AJ54">
            <v>0.1911376526276953</v>
          </cell>
          <cell r="AK54">
            <v>0.19641908340084566</v>
          </cell>
          <cell r="AL54">
            <v>0.19826601144771555</v>
          </cell>
          <cell r="AM54">
            <v>0.20004604149259844</v>
          </cell>
        </row>
        <row r="55">
          <cell r="D55">
            <v>6.3050277676570454E-2</v>
          </cell>
          <cell r="E55">
            <v>7.4410765779693758E-2</v>
          </cell>
          <cell r="F55">
            <v>7.7132221175031004E-2</v>
          </cell>
          <cell r="G55">
            <v>7.2587432157746046E-2</v>
          </cell>
          <cell r="H55">
            <v>7.1209921589646577E-2</v>
          </cell>
          <cell r="I55">
            <v>6.3577546782662503E-2</v>
          </cell>
          <cell r="J55">
            <v>6.3576036466665653E-2</v>
          </cell>
          <cell r="K55">
            <v>6.5329151012231315E-2</v>
          </cell>
          <cell r="L55">
            <v>6.2717717413107985E-2</v>
          </cell>
          <cell r="M55">
            <v>6.312706223586835E-2</v>
          </cell>
          <cell r="N55">
            <v>6.6482940320406039E-2</v>
          </cell>
          <cell r="O55">
            <v>6.591303727664817E-2</v>
          </cell>
          <cell r="P55">
            <v>6.9542208457045007E-2</v>
          </cell>
          <cell r="Q55">
            <v>8.0520318211137393E-2</v>
          </cell>
          <cell r="R55">
            <v>7.7769117519702086E-2</v>
          </cell>
          <cell r="S55">
            <v>8.476310404533291E-2</v>
          </cell>
          <cell r="T55">
            <v>8.7063682387423388E-2</v>
          </cell>
          <cell r="U55">
            <v>9.0143872007641332E-2</v>
          </cell>
          <cell r="V55">
            <v>9.1920374707259958E-2</v>
          </cell>
          <cell r="W55">
            <v>8.9779539740862502E-2</v>
          </cell>
          <cell r="X55">
            <v>0.113212325875897</v>
          </cell>
          <cell r="Y55">
            <v>0.10849857333766749</v>
          </cell>
          <cell r="Z55">
            <v>0.10416919897897167</v>
          </cell>
          <cell r="AA55">
            <v>0.11781218604101412</v>
          </cell>
          <cell r="AB55">
            <v>0.11013154985629008</v>
          </cell>
          <cell r="AC55">
            <v>0.10466804979253112</v>
          </cell>
          <cell r="AD55">
            <v>0.10343447117942803</v>
          </cell>
          <cell r="AE55">
            <v>9.9065171510551595E-2</v>
          </cell>
          <cell r="AF55">
            <v>0.10063041774100005</v>
          </cell>
          <cell r="AG55">
            <v>9.9747992159682941E-2</v>
          </cell>
          <cell r="AH55">
            <v>9.8527795749582994E-2</v>
          </cell>
          <cell r="AI55">
            <v>9.7047343400347708E-2</v>
          </cell>
          <cell r="AJ55">
            <v>9.5344101387485863E-2</v>
          </cell>
          <cell r="AK55">
            <v>9.3786141251301886E-2</v>
          </cell>
          <cell r="AL55">
            <v>9.3687281624095176E-2</v>
          </cell>
          <cell r="AM55">
            <v>9.3385090182463465E-2</v>
          </cell>
        </row>
        <row r="56">
          <cell r="D56">
            <v>1.2028646687307356E-2</v>
          </cell>
          <cell r="E56">
            <v>1.3600158097660549E-2</v>
          </cell>
          <cell r="F56">
            <v>1.2823539021099485E-2</v>
          </cell>
          <cell r="G56">
            <v>1.1955378068241429E-2</v>
          </cell>
          <cell r="H56">
            <v>1.2172848309671023E-2</v>
          </cell>
          <cell r="I56">
            <v>1.065673279631406E-2</v>
          </cell>
          <cell r="J56">
            <v>1.1600750241114016E-2</v>
          </cell>
          <cell r="K56">
            <v>1.3773699443504275E-2</v>
          </cell>
          <cell r="L56">
            <v>1.4253182476496429E-2</v>
          </cell>
          <cell r="M56">
            <v>1.5245440267669679E-2</v>
          </cell>
          <cell r="N56">
            <v>1.2412448663779278E-2</v>
          </cell>
          <cell r="O56">
            <v>1.3464235624123423E-2</v>
          </cell>
          <cell r="P56">
            <v>1.4773983697569234E-2</v>
          </cell>
          <cell r="Q56">
            <v>1.3867985379488282E-2</v>
          </cell>
          <cell r="R56">
            <v>1.5155451632458647E-2</v>
          </cell>
          <cell r="S56">
            <v>1.707854556902251E-2</v>
          </cell>
          <cell r="T56">
            <v>1.4588329336530776E-2</v>
          </cell>
          <cell r="U56">
            <v>1.8028774401528266E-2</v>
          </cell>
          <cell r="V56">
            <v>1.910794123908878E-2</v>
          </cell>
          <cell r="W56">
            <v>1.6631212531425257E-2</v>
          </cell>
          <cell r="X56">
            <v>1.7011397214014352E-2</v>
          </cell>
          <cell r="Y56">
            <v>1.7228302091234153E-2</v>
          </cell>
          <cell r="Z56">
            <v>1.7503342652242616E-2</v>
          </cell>
          <cell r="AA56">
            <v>1.9147804503279946E-2</v>
          </cell>
          <cell r="AB56">
            <v>1.8046650453238999E-2</v>
          </cell>
          <cell r="AC56">
            <v>1.7375518672199171E-2</v>
          </cell>
          <cell r="AD56">
            <v>1.7398647310006791E-2</v>
          </cell>
          <cell r="AE56">
            <v>1.7587068286717678E-2</v>
          </cell>
          <cell r="AF56">
            <v>1.8191655018554166E-2</v>
          </cell>
          <cell r="AG56">
            <v>1.8361898417403554E-2</v>
          </cell>
          <cell r="AH56">
            <v>1.8468969615622083E-2</v>
          </cell>
          <cell r="AI56">
            <v>1.8524139087850593E-2</v>
          </cell>
          <cell r="AJ56">
            <v>1.8531846474005725E-2</v>
          </cell>
          <cell r="AK56">
            <v>1.8562395137159408E-2</v>
          </cell>
          <cell r="AL56">
            <v>1.8547800407003056E-2</v>
          </cell>
          <cell r="AM56">
            <v>1.8492930974559292E-2</v>
          </cell>
        </row>
        <row r="57">
          <cell r="D57">
            <v>4.0347686685522077E-2</v>
          </cell>
          <cell r="E57">
            <v>3.9219083182246671E-2</v>
          </cell>
          <cell r="F57">
            <v>3.6506646937672714E-2</v>
          </cell>
          <cell r="G57">
            <v>4.3727107370484491E-2</v>
          </cell>
          <cell r="H57">
            <v>4.9969698674920918E-2</v>
          </cell>
          <cell r="I57">
            <v>4.3056014106506245E-2</v>
          </cell>
          <cell r="J57">
            <v>4.697064223150222E-2</v>
          </cell>
          <cell r="K57">
            <v>4.8234796142092563E-2</v>
          </cell>
          <cell r="L57">
            <v>4.3112674752957748E-2</v>
          </cell>
          <cell r="M57">
            <v>4.1576787905239353E-2</v>
          </cell>
          <cell r="N57">
            <v>4.463008228226039E-2</v>
          </cell>
          <cell r="O57">
            <v>4.2756837448892436E-2</v>
          </cell>
          <cell r="P57">
            <v>4.2762645637268844E-2</v>
          </cell>
          <cell r="Q57">
            <v>6.6544829069017417E-2</v>
          </cell>
          <cell r="R57">
            <v>6.356629427556941E-2</v>
          </cell>
          <cell r="S57">
            <v>6.6976231701558323E-2</v>
          </cell>
          <cell r="T57">
            <v>6.4748201438848921E-2</v>
          </cell>
          <cell r="U57">
            <v>6.4712554474359738E-2</v>
          </cell>
          <cell r="V57">
            <v>5.9133489461358317E-2</v>
          </cell>
          <cell r="W57" t="str">
            <v/>
          </cell>
          <cell r="X57">
            <v>5.8379062895736598E-2</v>
          </cell>
          <cell r="Y57">
            <v>5.5368945714595295E-2</v>
          </cell>
          <cell r="Z57">
            <v>6.3297678376078761E-2</v>
          </cell>
          <cell r="AA57">
            <v>7.0385910998167961E-2</v>
          </cell>
          <cell r="AB57">
            <v>7.3209153216891448E-2</v>
          </cell>
          <cell r="AC57">
            <v>7.3599585062240666E-2</v>
          </cell>
          <cell r="AD57">
            <v>7.7023460254754608E-2</v>
          </cell>
          <cell r="AE57">
            <v>7.9139555431369621E-2</v>
          </cell>
          <cell r="AF57">
            <v>8.4728427015804769E-2</v>
          </cell>
          <cell r="AG57">
            <v>8.8784827855059006E-2</v>
          </cell>
          <cell r="AH57">
            <v>8.7893149799582002E-2</v>
          </cell>
          <cell r="AI57">
            <v>8.6767565042180417E-2</v>
          </cell>
          <cell r="AJ57">
            <v>8.543993132116022E-2</v>
          </cell>
          <cell r="AK57">
            <v>8.4239311565036862E-2</v>
          </cell>
          <cell r="AL57">
            <v>8.4349324963547301E-2</v>
          </cell>
          <cell r="AM57">
            <v>8.4278941182566361E-2</v>
          </cell>
        </row>
        <row r="58">
          <cell r="D58">
            <v>2.3475716182961789E-2</v>
          </cell>
          <cell r="E58">
            <v>2.2819054606983583E-2</v>
          </cell>
          <cell r="F58">
            <v>2.1240862926793752E-2</v>
          </cell>
          <cell r="G58">
            <v>2.5441983083995184E-2</v>
          </cell>
          <cell r="H58">
            <v>2.9074144274583616E-2</v>
          </cell>
          <cell r="I58">
            <v>2.5051517203751698E-2</v>
          </cell>
          <cell r="J58">
            <v>2.7329186789632105E-2</v>
          </cell>
          <cell r="K58">
            <v>2.8064716403706585E-2</v>
          </cell>
          <cell r="L58">
            <v>2.5084484378925978E-2</v>
          </cell>
          <cell r="M58">
            <v>2.4190850897353441E-2</v>
          </cell>
          <cell r="N58">
            <v>2.5967365937153715E-2</v>
          </cell>
          <cell r="O58">
            <v>2.6706909535169469E-2</v>
          </cell>
          <cell r="P58">
            <v>2.5772017537812632E-2</v>
          </cell>
          <cell r="Q58">
            <v>5.0096753386368521E-2</v>
          </cell>
          <cell r="R58">
            <v>4.6938598770243353E-2</v>
          </cell>
          <cell r="S58">
            <v>4.9976389107508262E-2</v>
          </cell>
          <cell r="T58">
            <v>4.6895816679989343E-2</v>
          </cell>
          <cell r="U58">
            <v>4.5310727717748196E-2</v>
          </cell>
          <cell r="V58">
            <v>3.715137321694699E-2</v>
          </cell>
          <cell r="W58">
            <v>3.8048733320440918E-2</v>
          </cell>
          <cell r="X58">
            <v>3.7019839594765722E-2</v>
          </cell>
          <cell r="Y58">
            <v>3.5215082890887421E-2</v>
          </cell>
          <cell r="Z58">
            <v>3.9169806733924881E-2</v>
          </cell>
          <cell r="AA58">
            <v>4.1634655162224456E-2</v>
          </cell>
          <cell r="AB58">
            <v>4.137187707273933E-2</v>
          </cell>
          <cell r="AC58">
            <v>4.0145228215767638E-2</v>
          </cell>
          <cell r="AD58">
            <v>4.0125776372193792E-2</v>
          </cell>
          <cell r="AE58">
            <v>3.9083508707193196E-2</v>
          </cell>
          <cell r="AF58">
            <v>3.9517566167444618E-2</v>
          </cell>
          <cell r="AG58">
            <v>3.8990018386721621E-2</v>
          </cell>
          <cell r="AH58">
            <v>3.8335083041635999E-2</v>
          </cell>
          <cell r="AI58">
            <v>3.7584576132376632E-2</v>
          </cell>
          <cell r="AJ58">
            <v>3.6754303668431756E-2</v>
          </cell>
          <cell r="AK58">
            <v>3.5986648405835694E-2</v>
          </cell>
          <cell r="AL58">
            <v>3.5782586932345498E-2</v>
          </cell>
          <cell r="AM58">
            <v>3.550234202414225E-2</v>
          </cell>
        </row>
        <row r="59">
          <cell r="D59">
            <v>1.6871970502560292E-2</v>
          </cell>
          <cell r="E59">
            <v>1.6400028575263088E-2</v>
          </cell>
          <cell r="F59">
            <v>1.526578401087896E-2</v>
          </cell>
          <cell r="G59">
            <v>1.8285124286489304E-2</v>
          </cell>
          <cell r="H59">
            <v>2.0895554400337302E-2</v>
          </cell>
          <cell r="I59">
            <v>1.8004496902754547E-2</v>
          </cell>
          <cell r="J59">
            <v>1.9641455441870112E-2</v>
          </cell>
          <cell r="K59">
            <v>2.0170079738385974E-2</v>
          </cell>
          <cell r="L59">
            <v>1.8028190374031767E-2</v>
          </cell>
          <cell r="M59">
            <v>1.7385937007885908E-2</v>
          </cell>
          <cell r="N59">
            <v>1.8662716345106675E-2</v>
          </cell>
          <cell r="O59">
            <v>1.6049927913722964E-2</v>
          </cell>
          <cell r="P59">
            <v>1.6990628099456208E-2</v>
          </cell>
          <cell r="Q59" t="str">
            <v/>
          </cell>
          <cell r="R59">
            <v>1.662769550532606E-2</v>
          </cell>
          <cell r="S59">
            <v>1.6999842594050057E-2</v>
          </cell>
          <cell r="T59">
            <v>1.7852384758859578E-2</v>
          </cell>
          <cell r="U59">
            <v>1.9401826756611545E-2</v>
          </cell>
          <cell r="V59">
            <v>2.1982116244411327E-2</v>
          </cell>
          <cell r="W59">
            <v>2.122413459678979E-2</v>
          </cell>
          <cell r="X59">
            <v>2.1359223300970873E-2</v>
          </cell>
          <cell r="Y59">
            <v>2.0153862823707878E-2</v>
          </cell>
          <cell r="Z59">
            <v>2.4127871642153884E-2</v>
          </cell>
          <cell r="AA59">
            <v>2.8751255835943502E-2</v>
          </cell>
          <cell r="AB59">
            <v>3.1837276144152112E-2</v>
          </cell>
          <cell r="AC59">
            <v>3.3454356846473028E-2</v>
          </cell>
          <cell r="AD59">
            <v>3.6897683882560824E-2</v>
          </cell>
          <cell r="AE59">
            <v>4.0056046724176432E-2</v>
          </cell>
          <cell r="AF59">
            <v>4.5210860848360158E-2</v>
          </cell>
          <cell r="AG59">
            <v>4.9794809468337385E-2</v>
          </cell>
          <cell r="AH59">
            <v>4.9558066757946009E-2</v>
          </cell>
          <cell r="AI59">
            <v>4.9182988909803771E-2</v>
          </cell>
          <cell r="AJ59">
            <v>4.8685627652728457E-2</v>
          </cell>
          <cell r="AK59">
            <v>4.8252663159201167E-2</v>
          </cell>
          <cell r="AL59">
            <v>4.856673803120181E-2</v>
          </cell>
          <cell r="AM59">
            <v>4.8776599158424118E-2</v>
          </cell>
        </row>
        <row r="60">
          <cell r="D60">
            <v>1.7513425987582907E-2</v>
          </cell>
          <cell r="E60">
            <v>1.874391806588584E-2</v>
          </cell>
          <cell r="F60">
            <v>1.9548488773551163E-2</v>
          </cell>
          <cell r="G60">
            <v>2.1341419719622945E-2</v>
          </cell>
          <cell r="H60">
            <v>2.2544889723469616E-2</v>
          </cell>
          <cell r="I60">
            <v>2.1338766188053561E-2</v>
          </cell>
          <cell r="J60">
            <v>2.0402712151574121E-2</v>
          </cell>
          <cell r="K60">
            <v>2.1310377883569667E-2</v>
          </cell>
          <cell r="L60">
            <v>2.0790150749314614E-2</v>
          </cell>
          <cell r="M60">
            <v>2.1170170749033986E-2</v>
          </cell>
          <cell r="N60">
            <v>2.861846010487375E-2</v>
          </cell>
          <cell r="O60">
            <v>3.5740831630015679E-2</v>
          </cell>
          <cell r="P60">
            <v>3.4626143536569162E-2</v>
          </cell>
          <cell r="Q60">
            <v>3.5046226617931629E-2</v>
          </cell>
          <cell r="R60">
            <v>2.4941543257989088E-2</v>
          </cell>
          <cell r="S60">
            <v>2.5578466866047537E-2</v>
          </cell>
          <cell r="T60">
            <v>3.1707966959765521E-2</v>
          </cell>
          <cell r="U60">
            <v>3.6176944660020298E-2</v>
          </cell>
          <cell r="V60">
            <v>3.4117521822439857E-2</v>
          </cell>
          <cell r="W60">
            <v>3.5728099013730419E-2</v>
          </cell>
          <cell r="X60">
            <v>3.5162515829463906E-2</v>
          </cell>
          <cell r="Y60">
            <v>3.4817784519810741E-2</v>
          </cell>
          <cell r="Z60">
            <v>3.3061869454236052E-2</v>
          </cell>
          <cell r="AA60">
            <v>3.6906802198451626E-2</v>
          </cell>
          <cell r="AB60">
            <v>3.3523104134424053E-2</v>
          </cell>
          <cell r="AC60">
            <v>3.8252074688796683E-2</v>
          </cell>
          <cell r="AD60">
            <v>3.7596536953916224E-2</v>
          </cell>
          <cell r="AE60">
            <v>3.6439852122104412E-2</v>
          </cell>
          <cell r="AF60">
            <v>3.6778408466128128E-2</v>
          </cell>
          <cell r="AG60">
            <v>3.6222286800640616E-2</v>
          </cell>
          <cell r="AH60">
            <v>3.5549910812210456E-2</v>
          </cell>
          <cell r="AI60">
            <v>3.4791363237657871E-2</v>
          </cell>
          <cell r="AJ60">
            <v>3.3961719508772907E-2</v>
          </cell>
          <cell r="AK60">
            <v>3.319269800321701E-2</v>
          </cell>
          <cell r="AL60">
            <v>3.294523206952505E-2</v>
          </cell>
          <cell r="AM60">
            <v>3.2628531033539764E-2</v>
          </cell>
        </row>
        <row r="61">
          <cell r="D61">
            <v>4.5806303468091579E-2</v>
          </cell>
          <cell r="E61">
            <v>4.9024651128554426E-2</v>
          </cell>
          <cell r="F61">
            <v>5.1129002956859466E-2</v>
          </cell>
          <cell r="G61">
            <v>5.5818407478357729E-2</v>
          </cell>
          <cell r="H61">
            <v>5.8966078999054532E-2</v>
          </cell>
          <cell r="I61">
            <v>5.5811467175962567E-2</v>
          </cell>
          <cell r="J61">
            <v>5.3363221168133509E-2</v>
          </cell>
          <cell r="K61">
            <v>5.5737217666411674E-2</v>
          </cell>
          <cell r="L61">
            <v>5.4376565444458173E-2</v>
          </cell>
          <cell r="M61">
            <v>5.5370506404007251E-2</v>
          </cell>
          <cell r="N61">
            <v>7.4851480760118355E-2</v>
          </cell>
          <cell r="O61">
            <v>7.5647197645821895E-2</v>
          </cell>
          <cell r="P61">
            <v>7.8625236985700619E-2</v>
          </cell>
          <cell r="Q61">
            <v>0.10513867985379488</v>
          </cell>
          <cell r="R61">
            <v>9.8380531739845845E-2</v>
          </cell>
          <cell r="S61">
            <v>9.6804659216118374E-2</v>
          </cell>
          <cell r="T61">
            <v>0.10185185185185185</v>
          </cell>
          <cell r="U61">
            <v>9.7009133783057727E-2</v>
          </cell>
          <cell r="V61">
            <v>9.5699382584628484E-2</v>
          </cell>
          <cell r="W61">
            <v>9.7805066718236314E-2</v>
          </cell>
          <cell r="X61">
            <v>9.4343604896580835E-2</v>
          </cell>
          <cell r="Y61">
            <v>9.0186730234406043E-2</v>
          </cell>
          <cell r="Z61">
            <v>8.6058101373526194E-2</v>
          </cell>
          <cell r="AA61">
            <v>9.3256899710419006E-2</v>
          </cell>
          <cell r="AB61">
            <v>9.7888569533495465E-2</v>
          </cell>
          <cell r="AC61">
            <v>9.535788381742738E-2</v>
          </cell>
          <cell r="AD61">
            <v>9.4228632135169119E-2</v>
          </cell>
          <cell r="AE61">
            <v>9.0744643368424582E-2</v>
          </cell>
          <cell r="AF61">
            <v>9.0970839967397743E-2</v>
          </cell>
          <cell r="AG61">
            <v>8.8994008689458809E-2</v>
          </cell>
          <cell r="AH61">
            <v>8.6758053731040355E-2</v>
          </cell>
          <cell r="AI61">
            <v>8.4341215726479943E-2</v>
          </cell>
          <cell r="AJ61">
            <v>8.1783548056205801E-2</v>
          </cell>
          <cell r="AK61">
            <v>7.9403095666344639E-2</v>
          </cell>
          <cell r="AL61">
            <v>7.8291891432116983E-2</v>
          </cell>
          <cell r="AM61">
            <v>7.7030336674238975E-2</v>
          </cell>
        </row>
        <row r="62">
          <cell r="D62">
            <v>2.8514026089198705E-2</v>
          </cell>
          <cell r="E62">
            <v>3.0517419557053508E-2</v>
          </cell>
          <cell r="F62">
            <v>3.1827360294247924E-2</v>
          </cell>
          <cell r="G62">
            <v>3.4746473882227194E-2</v>
          </cell>
          <cell r="H62">
            <v>3.6705872066887475E-2</v>
          </cell>
          <cell r="I62">
            <v>3.4742153604261507E-2</v>
          </cell>
          <cell r="J62">
            <v>3.3218141726973856E-2</v>
          </cell>
          <cell r="K62">
            <v>3.4695933929410006E-2</v>
          </cell>
          <cell r="L62">
            <v>3.3848939738269163E-2</v>
          </cell>
          <cell r="M62">
            <v>3.4467659353386061E-2</v>
          </cell>
          <cell r="N62">
            <v>4.6594396701229647E-2</v>
          </cell>
          <cell r="O62">
            <v>4.7352189510109922E-2</v>
          </cell>
          <cell r="P62">
            <v>4.8772305981949308E-2</v>
          </cell>
          <cell r="Q62">
            <v>5.4181896366372821E-2</v>
          </cell>
          <cell r="R62">
            <v>5.1441932969602491E-2</v>
          </cell>
          <cell r="S62">
            <v>4.7694002833307096E-2</v>
          </cell>
          <cell r="T62">
            <v>5.1025845989874766E-2</v>
          </cell>
          <cell r="U62">
            <v>5.1340218494418242E-2</v>
          </cell>
          <cell r="V62">
            <v>5.0883542686821374E-2</v>
          </cell>
          <cell r="W62">
            <v>5.1730806420421584E-2</v>
          </cell>
          <cell r="X62">
            <v>5.0401013085690165E-2</v>
          </cell>
          <cell r="Y62">
            <v>4.7567450427998703E-2</v>
          </cell>
          <cell r="Z62">
            <v>4.4031846359547828E-2</v>
          </cell>
          <cell r="AA62">
            <v>4.7071686070563203E-2</v>
          </cell>
          <cell r="AB62">
            <v>4.8308644704841919E-2</v>
          </cell>
          <cell r="AC62">
            <v>4.7173236514522821E-2</v>
          </cell>
          <cell r="AD62">
            <v>4.6410695834331571E-2</v>
          </cell>
          <cell r="AE62">
            <v>4.4467410241140662E-2</v>
          </cell>
          <cell r="AF62">
            <v>4.4351982227886499E-2</v>
          </cell>
          <cell r="AG62">
            <v>4.3166897807768133E-2</v>
          </cell>
          <cell r="AH62">
            <v>4.1866664412440684E-2</v>
          </cell>
          <cell r="AI62">
            <v>4.0490781911979204E-2</v>
          </cell>
          <cell r="AJ62">
            <v>3.905973204456039E-2</v>
          </cell>
          <cell r="AK62">
            <v>3.7725674645689579E-2</v>
          </cell>
          <cell r="AL62">
            <v>3.7003423227775854E-2</v>
          </cell>
          <cell r="AM62">
            <v>3.6216103721893989E-2</v>
          </cell>
        </row>
        <row r="63">
          <cell r="D63">
            <v>1.729227737889287E-2</v>
          </cell>
          <cell r="E63">
            <v>1.8507231571500918E-2</v>
          </cell>
          <cell r="F63">
            <v>1.9301642662611543E-2</v>
          </cell>
          <cell r="G63">
            <v>2.1071933596130535E-2</v>
          </cell>
          <cell r="H63">
            <v>2.226020693216706E-2</v>
          </cell>
          <cell r="I63">
            <v>2.1069313571701057E-2</v>
          </cell>
          <cell r="J63">
            <v>2.0145079441159657E-2</v>
          </cell>
          <cell r="K63">
            <v>2.1041283737001669E-2</v>
          </cell>
          <cell r="L63">
            <v>2.0527625706189011E-2</v>
          </cell>
          <cell r="M63">
            <v>2.0902847050621187E-2</v>
          </cell>
          <cell r="N63">
            <v>2.8257084058888712E-2</v>
          </cell>
          <cell r="O63">
            <v>2.8295008135711966E-2</v>
          </cell>
          <cell r="P63">
            <v>2.9852931003751308E-2</v>
          </cell>
          <cell r="Q63">
            <v>5.095678348742206E-2</v>
          </cell>
          <cell r="R63">
            <v>4.6938598770243353E-2</v>
          </cell>
          <cell r="S63">
            <v>4.9110656382811271E-2</v>
          </cell>
          <cell r="T63">
            <v>5.0826005861977087E-2</v>
          </cell>
          <cell r="U63">
            <v>4.5668915288639485E-2</v>
          </cell>
          <cell r="V63">
            <v>4.481583989780711E-2</v>
          </cell>
          <cell r="W63">
            <v>4.6074260297814737E-2</v>
          </cell>
          <cell r="X63">
            <v>4.394259181089067E-2</v>
          </cell>
          <cell r="Y63">
            <v>4.261927980640734E-2</v>
          </cell>
          <cell r="Z63">
            <v>4.2026255013978366E-2</v>
          </cell>
          <cell r="AA63">
            <v>4.6185213639855803E-2</v>
          </cell>
          <cell r="AB63">
            <v>4.9579924828653546E-2</v>
          </cell>
          <cell r="AC63">
            <v>4.8184647302904567E-2</v>
          </cell>
          <cell r="AD63">
            <v>4.7817936300837548E-2</v>
          </cell>
          <cell r="AE63">
            <v>4.6277233127283907E-2</v>
          </cell>
          <cell r="AF63">
            <v>4.6618857739511237E-2</v>
          </cell>
          <cell r="AG63">
            <v>4.582711088169069E-2</v>
          </cell>
          <cell r="AH63">
            <v>4.4891389318599664E-2</v>
          </cell>
          <cell r="AI63">
            <v>4.3850433814500746E-2</v>
          </cell>
          <cell r="AJ63">
            <v>4.2723816011645405E-2</v>
          </cell>
          <cell r="AK63">
            <v>4.1677421020655067E-2</v>
          </cell>
          <cell r="AL63">
            <v>4.1288468204341129E-2</v>
          </cell>
          <cell r="AM63">
            <v>4.081423295234498E-2</v>
          </cell>
        </row>
        <row r="64">
          <cell r="D64">
            <v>6.6008073000879269E-3</v>
          </cell>
          <cell r="E64">
            <v>8.0697890954927083E-3</v>
          </cell>
          <cell r="F64">
            <v>8.3620054168315576E-3</v>
          </cell>
          <cell r="G64">
            <v>9.5284965853592862E-3</v>
          </cell>
          <cell r="H64">
            <v>9.8112655646161416E-3</v>
          </cell>
          <cell r="I64">
            <v>8.7371432908081963E-3</v>
          </cell>
          <cell r="J64">
            <v>8.9688409817039929E-3</v>
          </cell>
          <cell r="K64">
            <v>9.414217822204498E-3</v>
          </cell>
          <cell r="L64">
            <v>8.7638122549045325E-3</v>
          </cell>
          <cell r="M64">
            <v>9.4770117462547529E-3</v>
          </cell>
          <cell r="N64">
            <v>1.006965331644768E-2</v>
          </cell>
          <cell r="O64">
            <v>1.0756217615708276E-2</v>
          </cell>
          <cell r="P64">
            <v>1.0250390321103664E-2</v>
          </cell>
          <cell r="Q64">
            <v>8.277789722640292E-3</v>
          </cell>
          <cell r="R64">
            <v>8.6602580756906557E-3</v>
          </cell>
          <cell r="S64">
            <v>8.9721391468597506E-3</v>
          </cell>
          <cell r="T64">
            <v>8.7263522515321074E-3</v>
          </cell>
          <cell r="U64">
            <v>8.5368037729090795E-3</v>
          </cell>
          <cell r="V64">
            <v>8.2499467745369391E-3</v>
          </cell>
          <cell r="W64">
            <v>8.2672597176561592E-3</v>
          </cell>
          <cell r="X64">
            <v>8.4845926551287455E-3</v>
          </cell>
          <cell r="Y64">
            <v>7.8014952865965975E-3</v>
          </cell>
          <cell r="Z64">
            <v>7.4146104290749972E-3</v>
          </cell>
          <cell r="AA64">
            <v>8.3032917676260261E-3</v>
          </cell>
          <cell r="AB64">
            <v>7.7934998894539026E-3</v>
          </cell>
          <cell r="AC64">
            <v>8.9730290456431529E-3</v>
          </cell>
          <cell r="AD64">
            <v>8.9358560777949968E-3</v>
          </cell>
          <cell r="AE64">
            <v>8.6570412724030626E-3</v>
          </cell>
          <cell r="AF64">
            <v>8.7432883855982687E-3</v>
          </cell>
          <cell r="AG64">
            <v>8.6168141409684769E-3</v>
          </cell>
          <cell r="AH64">
            <v>8.4624938383421507E-3</v>
          </cell>
          <cell r="AI64">
            <v>8.2874378665058323E-3</v>
          </cell>
          <cell r="AJ64">
            <v>8.0951984421747218E-3</v>
          </cell>
          <cell r="AK64">
            <v>7.9171590997208392E-3</v>
          </cell>
          <cell r="AL64">
            <v>7.8633639690800401E-3</v>
          </cell>
          <cell r="AM64">
            <v>7.7929576881495283E-3</v>
          </cell>
        </row>
        <row r="65">
          <cell r="D65">
            <v>0.1007320817985827</v>
          </cell>
          <cell r="E65">
            <v>0.15185990107057523</v>
          </cell>
          <cell r="F65">
            <v>0.18089635391072489</v>
          </cell>
          <cell r="G65">
            <v>0.19336298081973624</v>
          </cell>
          <cell r="H65">
            <v>0.20182342942710635</v>
          </cell>
          <cell r="I65">
            <v>0.18474293798218544</v>
          </cell>
          <cell r="J65">
            <v>0.18676018279178319</v>
          </cell>
          <cell r="K65">
            <v>0.20820346372028792</v>
          </cell>
          <cell r="L65">
            <v>0.18574365175024504</v>
          </cell>
          <cell r="M65">
            <v>0.17859986418661408</v>
          </cell>
          <cell r="N65">
            <v>0.20208275517086899</v>
          </cell>
          <cell r="O65">
            <v>0.22678571364044423</v>
          </cell>
          <cell r="P65">
            <v>0.2443726142101118</v>
          </cell>
          <cell r="Q65">
            <v>0.22855299935497742</v>
          </cell>
          <cell r="R65">
            <v>0.20646055252446524</v>
          </cell>
          <cell r="S65">
            <v>0.218794270423422</v>
          </cell>
          <cell r="T65">
            <v>0.22675193178790301</v>
          </cell>
          <cell r="U65">
            <v>0.22458360694883889</v>
          </cell>
          <cell r="V65">
            <v>0.21976793698105174</v>
          </cell>
          <cell r="W65">
            <v>0.22326435892477278</v>
          </cell>
          <cell r="X65">
            <v>0.2140565639510342</v>
          </cell>
          <cell r="Y65">
            <v>0.20984577599595478</v>
          </cell>
          <cell r="Z65">
            <v>0.19913091041691991</v>
          </cell>
          <cell r="AA65">
            <v>0.20279534306483069</v>
          </cell>
          <cell r="AB65">
            <v>0.19738005748397081</v>
          </cell>
          <cell r="AC65">
            <v>0.1900414937759336</v>
          </cell>
          <cell r="AD65">
            <v>0.19086069847187334</v>
          </cell>
          <cell r="AE65">
            <v>0.1841668012209238</v>
          </cell>
          <cell r="AF65">
            <v>0.18253997859793389</v>
          </cell>
          <cell r="AG65">
            <v>0.17713673615767678</v>
          </cell>
          <cell r="AH65">
            <v>0.17082458796389197</v>
          </cell>
          <cell r="AI65">
            <v>0.16369101539961034</v>
          </cell>
          <cell r="AJ65">
            <v>0.15570125497363074</v>
          </cell>
          <cell r="AK65">
            <v>0.14805037410598335</v>
          </cell>
          <cell r="AL65">
            <v>0.14317382817317353</v>
          </cell>
          <cell r="AM65">
            <v>0.13757726074379759</v>
          </cell>
        </row>
        <row r="66">
          <cell r="D66">
            <v>1.3310437959538688E-2</v>
          </cell>
          <cell r="E66">
            <v>1.4245628394555069E-2</v>
          </cell>
          <cell r="F66">
            <v>1.4857112891993434E-2</v>
          </cell>
          <cell r="G66">
            <v>1.6219764388071142E-2</v>
          </cell>
          <cell r="H66">
            <v>1.7134417685131572E-2</v>
          </cell>
          <cell r="I66">
            <v>1.6217747668592443E-2</v>
          </cell>
          <cell r="J66">
            <v>1.5506334082914236E-2</v>
          </cell>
          <cell r="K66">
            <v>1.6196172177544748E-2</v>
          </cell>
          <cell r="L66">
            <v>1.5800792598456119E-2</v>
          </cell>
          <cell r="M66">
            <v>1.6089612880292144E-2</v>
          </cell>
          <cell r="N66">
            <v>2.1750412397524718E-2</v>
          </cell>
          <cell r="O66">
            <v>2.176369440521438E-2</v>
          </cell>
          <cell r="P66">
            <v>2.2447483403135352E-2</v>
          </cell>
          <cell r="Q66">
            <v>2.2683293915287034E-2</v>
          </cell>
          <cell r="R66">
            <v>2.0524811639386853E-2</v>
          </cell>
          <cell r="S66">
            <v>2.0777585392727844E-2</v>
          </cell>
          <cell r="T66">
            <v>1.9650945909938714E-2</v>
          </cell>
          <cell r="U66">
            <v>1.9342128828129662E-2</v>
          </cell>
          <cell r="V66">
            <v>1.8788588460719607E-2</v>
          </cell>
          <cell r="W66">
            <v>1.9048539934248696E-2</v>
          </cell>
          <cell r="X66">
            <v>1.8404390037990714E-2</v>
          </cell>
          <cell r="Y66">
            <v>1.762560046231083E-2</v>
          </cell>
          <cell r="Z66">
            <v>1.6986750942020179E-2</v>
          </cell>
          <cell r="AA66">
            <v>1.7906743100289581E-2</v>
          </cell>
          <cell r="AB66">
            <v>1.7991377404377625E-2</v>
          </cell>
          <cell r="AC66">
            <v>1.7608921161825726E-2</v>
          </cell>
          <cell r="AD66">
            <v>1.7288379186732688E-2</v>
          </cell>
          <cell r="AE66">
            <v>1.658799960743523E-2</v>
          </cell>
          <cell r="AF66">
            <v>1.6535663185928532E-2</v>
          </cell>
          <cell r="AG66">
            <v>1.6084805951089583E-2</v>
          </cell>
          <cell r="AH66">
            <v>1.5591566512383878E-2</v>
          </cell>
          <cell r="AI66">
            <v>1.5070718488773106E-2</v>
          </cell>
          <cell r="AJ66">
            <v>1.4529927839967392E-2</v>
          </cell>
          <cell r="AK66">
            <v>1.4025799182675245E-2</v>
          </cell>
          <cell r="AL66">
            <v>1.3749563409773189E-2</v>
          </cell>
          <cell r="AM66">
            <v>1.3449468875584293E-2</v>
          </cell>
        </row>
        <row r="67">
          <cell r="D67">
            <v>0.29938966756328367</v>
          </cell>
          <cell r="E67">
            <v>0.36917389481466428</v>
          </cell>
          <cell r="F67">
            <v>0.40125537108376375</v>
          </cell>
          <cell r="G67">
            <v>0.42454098658761924</v>
          </cell>
          <cell r="H67">
            <v>0.44363254997361673</v>
          </cell>
          <cell r="I67">
            <v>0.404138355991085</v>
          </cell>
          <cell r="J67">
            <v>0.40714872011539094</v>
          </cell>
          <cell r="K67">
            <v>0.43819909586784667</v>
          </cell>
          <cell r="L67">
            <v>0.40555854743994063</v>
          </cell>
          <cell r="M67">
            <v>0.40065645637497965</v>
          </cell>
          <cell r="N67">
            <v>0.46089823301627919</v>
          </cell>
          <cell r="O67">
            <v>0.49282776528686845</v>
          </cell>
          <cell r="P67">
            <v>0.51740070624850365</v>
          </cell>
          <cell r="Q67">
            <v>0.56063212212427438</v>
          </cell>
          <cell r="R67">
            <v>0.51545856066510787</v>
          </cell>
          <cell r="S67">
            <v>0.53974500236108924</v>
          </cell>
          <cell r="T67">
            <v>0.55508926192379426</v>
          </cell>
          <cell r="U67">
            <v>0.55853381887648501</v>
          </cell>
          <cell r="V67">
            <v>0.54678518203108362</v>
          </cell>
          <cell r="W67">
            <v>0.54979694449816285</v>
          </cell>
          <cell r="X67">
            <v>0.55905445335584636</v>
          </cell>
          <cell r="Y67">
            <v>0.5413732076425759</v>
          </cell>
          <cell r="Z67">
            <v>0.52762246262307033</v>
          </cell>
          <cell r="AA67">
            <v>0.56651498138407896</v>
          </cell>
          <cell r="AB67">
            <v>0.55596396197214237</v>
          </cell>
          <cell r="AC67">
            <v>0.54587655601659746</v>
          </cell>
          <cell r="AD67">
            <v>0.54676668156967567</v>
          </cell>
          <cell r="AE67">
            <v>0.53238813281992992</v>
          </cell>
          <cell r="AF67">
            <v>0.53911867837834559</v>
          </cell>
          <cell r="AG67">
            <v>0.53394937017197985</v>
          </cell>
          <cell r="AH67">
            <v>0.52207652802265592</v>
          </cell>
          <cell r="AI67">
            <v>0.50852079824940577</v>
          </cell>
          <cell r="AJ67">
            <v>0.49338752800340335</v>
          </cell>
          <cell r="AK67">
            <v>0.47917697401143916</v>
          </cell>
          <cell r="AL67">
            <v>0.47260828604831429</v>
          </cell>
          <cell r="AM67">
            <v>0.46463551735489922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3.54380190747779E-2</v>
          </cell>
          <cell r="O68">
            <v>3.1397190251805332E-2</v>
          </cell>
          <cell r="P68">
            <v>3.0448348096720135E-2</v>
          </cell>
          <cell r="Q68">
            <v>9.8903461621156746E-3</v>
          </cell>
          <cell r="R68">
            <v>7.5344245258508703E-3</v>
          </cell>
          <cell r="S68">
            <v>8.5786242719974818E-3</v>
          </cell>
          <cell r="T68">
            <v>1.0791366906474821E-2</v>
          </cell>
          <cell r="U68">
            <v>1.247686705271327E-2</v>
          </cell>
          <cell r="V68">
            <v>1.1496700021290185E-2</v>
          </cell>
          <cell r="W68">
            <v>1.2521755946625411E-2</v>
          </cell>
          <cell r="X68">
            <v>1.1523849725622625E-2</v>
          </cell>
          <cell r="Y68">
            <v>1.1918951132300357E-2</v>
          </cell>
          <cell r="Z68">
            <v>1.0909201409991491E-2</v>
          </cell>
          <cell r="AA68">
            <v>1.2765203002186632E-2</v>
          </cell>
          <cell r="AB68">
            <v>1.0888790625690913E-2</v>
          </cell>
          <cell r="AC68">
            <v>1.1514522821576764E-2</v>
          </cell>
          <cell r="AD68">
            <v>1.1911525725320105E-2</v>
          </cell>
          <cell r="AE68">
            <v>1.1986420183970016E-2</v>
          </cell>
          <cell r="AF68">
            <v>1.2616410223126966E-2</v>
          </cell>
          <cell r="AG68">
            <v>1.2958320363031836E-2</v>
          </cell>
          <cell r="AH68">
            <v>1.3262986913393338E-2</v>
          </cell>
          <cell r="AI68">
            <v>1.3536433361670822E-2</v>
          </cell>
          <cell r="AJ68">
            <v>1.3780102633084042E-2</v>
          </cell>
          <cell r="AK68">
            <v>1.4045438868916647E-2</v>
          </cell>
          <cell r="AL68">
            <v>1.4538356303034215E-2</v>
          </cell>
          <cell r="AM68">
            <v>1.5015860913528684E-2</v>
          </cell>
        </row>
        <row r="69">
          <cell r="D69">
            <v>0.90844009425109207</v>
          </cell>
          <cell r="E69">
            <v>0.90480351532358938</v>
          </cell>
          <cell r="F69">
            <v>0.89912143177338877</v>
          </cell>
          <cell r="G69">
            <v>0.90153115974074405</v>
          </cell>
          <cell r="H69">
            <v>0.90160849448951708</v>
          </cell>
          <cell r="I69">
            <v>0.90590405452051448</v>
          </cell>
          <cell r="J69">
            <v>0.89489109965183133</v>
          </cell>
          <cell r="K69">
            <v>0.89270049065225165</v>
          </cell>
          <cell r="L69">
            <v>0.88731389039954722</v>
          </cell>
          <cell r="M69">
            <v>0.87782270585858735</v>
          </cell>
          <cell r="N69">
            <v>0.8673420927655533</v>
          </cell>
          <cell r="O69">
            <v>0.87279102384291729</v>
          </cell>
          <cell r="P69">
            <v>0.86365812784294949</v>
          </cell>
          <cell r="Q69">
            <v>0.89464631262094174</v>
          </cell>
          <cell r="R69">
            <v>0.8950376721226293</v>
          </cell>
          <cell r="S69">
            <v>0.88548717141507949</v>
          </cell>
          <cell r="T69">
            <v>0.89301891819877433</v>
          </cell>
          <cell r="U69">
            <v>0.89248403080413108</v>
          </cell>
          <cell r="V69">
            <v>0.89157973174366612</v>
          </cell>
          <cell r="W69">
            <v>0.8814059176174821</v>
          </cell>
          <cell r="X69">
            <v>0.90215280709159984</v>
          </cell>
          <cell r="Y69">
            <v>0.89991692852241123</v>
          </cell>
          <cell r="Z69">
            <v>0.90394432964628657</v>
          </cell>
          <cell r="AA69">
            <v>0.9215471898823947</v>
          </cell>
          <cell r="AB69">
            <v>0.91062347999115634</v>
          </cell>
          <cell r="AC69">
            <v>0.90648340248962656</v>
          </cell>
          <cell r="AD69">
            <v>0.91643481102356139</v>
          </cell>
          <cell r="AE69">
            <v>0.89672263529344542</v>
          </cell>
          <cell r="AF69">
            <v>0.91001735687497098</v>
          </cell>
          <cell r="AG69">
            <v>0.90377247778660474</v>
          </cell>
          <cell r="AH69">
            <v>0.89336112835962878</v>
          </cell>
          <cell r="AI69">
            <v>0.88182053736020227</v>
          </cell>
          <cell r="AJ69">
            <v>0.86861008042257237</v>
          </cell>
          <cell r="AK69">
            <v>0.85748194536712119</v>
          </cell>
          <cell r="AL69">
            <v>0.85361633867098741</v>
          </cell>
          <cell r="AM69">
            <v>0.84816187825718237</v>
          </cell>
        </row>
        <row r="70">
          <cell r="D70">
            <v>9.1559905748907891E-2</v>
          </cell>
          <cell r="E70">
            <v>9.5196484676410606E-2</v>
          </cell>
          <cell r="F70">
            <v>0.10087856822661119</v>
          </cell>
          <cell r="G70">
            <v>9.8468840259255994E-2</v>
          </cell>
          <cell r="H70">
            <v>9.8391505510482938E-2</v>
          </cell>
          <cell r="I70">
            <v>9.4095945479485563E-2</v>
          </cell>
          <cell r="J70">
            <v>0.10510890034816869</v>
          </cell>
          <cell r="K70">
            <v>0.10729950934774829</v>
          </cell>
          <cell r="L70">
            <v>0.11268610960045276</v>
          </cell>
          <cell r="M70">
            <v>0.1221772941414126</v>
          </cell>
          <cell r="N70">
            <v>0.13265790723444673</v>
          </cell>
          <cell r="O70">
            <v>0.12720897615708274</v>
          </cell>
          <cell r="P70">
            <v>0.13634187215705051</v>
          </cell>
          <cell r="Q70">
            <v>0.10535368737905827</v>
          </cell>
          <cell r="R70">
            <v>0.10496232787737074</v>
          </cell>
          <cell r="S70">
            <v>0.11451282858492051</v>
          </cell>
          <cell r="T70">
            <v>0.10698108180122569</v>
          </cell>
          <cell r="U70">
            <v>0.10751596919586891</v>
          </cell>
          <cell r="V70">
            <v>0.10842026825633383</v>
          </cell>
          <cell r="W70">
            <v>0.11859408238251788</v>
          </cell>
          <cell r="X70">
            <v>9.7847192908400174E-2</v>
          </cell>
          <cell r="Y70">
            <v>0.10008307147758876</v>
          </cell>
          <cell r="Z70">
            <v>9.6055670353713388E-2</v>
          </cell>
          <cell r="AA70">
            <v>7.845281011760534E-2</v>
          </cell>
          <cell r="AB70">
            <v>8.9376520008843691E-2</v>
          </cell>
          <cell r="AC70">
            <v>9.3516597510373445E-2</v>
          </cell>
          <cell r="AD70">
            <v>8.3565188976438678E-2</v>
          </cell>
          <cell r="AE70">
            <v>0.1032773647065546</v>
          </cell>
          <cell r="AF70">
            <v>8.9982643125028974E-2</v>
          </cell>
          <cell r="AG70">
            <v>9.622752221339527E-2</v>
          </cell>
          <cell r="AH70">
            <v>0.10663887164037121</v>
          </cell>
          <cell r="AI70">
            <v>0.11817946263979774</v>
          </cell>
          <cell r="AJ70">
            <v>0.13138991957742763</v>
          </cell>
          <cell r="AK70">
            <v>0.14251805463287889</v>
          </cell>
          <cell r="AL70">
            <v>0.14638366132901265</v>
          </cell>
          <cell r="AM70">
            <v>0.15183812174281763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</row>
        <row r="72">
          <cell r="B72">
            <v>1995</v>
          </cell>
        </row>
        <row r="73">
          <cell r="D73">
            <v>448.20040869004379</v>
          </cell>
          <cell r="E73">
            <v>431.87719804774258</v>
          </cell>
          <cell r="F73">
            <v>411.47322613324405</v>
          </cell>
          <cell r="G73">
            <v>398.65971863569121</v>
          </cell>
          <cell r="H73">
            <v>415.22088827619473</v>
          </cell>
          <cell r="I73">
            <v>437.22709307805451</v>
          </cell>
          <cell r="J73">
            <v>439.19585658754738</v>
          </cell>
          <cell r="K73">
            <v>465.28281889388677</v>
          </cell>
          <cell r="L73">
            <v>466.20385066152147</v>
          </cell>
          <cell r="M73">
            <v>496.96721084482601</v>
          </cell>
          <cell r="N73">
            <v>513</v>
          </cell>
          <cell r="O73">
            <v>553</v>
          </cell>
          <cell r="P73">
            <v>443</v>
          </cell>
          <cell r="Q73">
            <v>739</v>
          </cell>
          <cell r="R73">
            <v>925</v>
          </cell>
          <cell r="S73">
            <v>872</v>
          </cell>
          <cell r="T73">
            <v>1005</v>
          </cell>
          <cell r="U73">
            <v>926</v>
          </cell>
          <cell r="V73">
            <v>909</v>
          </cell>
          <cell r="W73">
            <v>1009</v>
          </cell>
          <cell r="X73">
            <v>1056</v>
          </cell>
          <cell r="Y73">
            <v>899</v>
          </cell>
          <cell r="Z73">
            <v>975</v>
          </cell>
          <cell r="AA73">
            <v>1010</v>
          </cell>
          <cell r="AB73">
            <v>1019</v>
          </cell>
          <cell r="AC73">
            <v>1128</v>
          </cell>
          <cell r="AD73">
            <v>1111.4009999999998</v>
          </cell>
          <cell r="AE73">
            <v>1146.8318736068027</v>
          </cell>
          <cell r="AF73">
            <v>1172.7720668426182</v>
          </cell>
          <cell r="AG73">
            <v>1258.2077366204537</v>
          </cell>
          <cell r="AH73">
            <v>1332.5771463351159</v>
          </cell>
          <cell r="AI73">
            <v>1414.4619203954098</v>
          </cell>
          <cell r="AJ73">
            <v>1512.0587133188392</v>
          </cell>
          <cell r="AK73">
            <v>1631.2688556570336</v>
          </cell>
          <cell r="AL73">
            <v>1780.576733087624</v>
          </cell>
          <cell r="AM73">
            <v>1972.2116875640916</v>
          </cell>
        </row>
        <row r="74">
          <cell r="D74">
            <v>328.00752661069362</v>
          </cell>
          <cell r="E74">
            <v>309.64103697304353</v>
          </cell>
          <cell r="F74">
            <v>284.7143270987811</v>
          </cell>
          <cell r="G74">
            <v>267.46425813502208</v>
          </cell>
          <cell r="H74">
            <v>280.35195488150686</v>
          </cell>
          <cell r="I74">
            <v>297.90748488134193</v>
          </cell>
          <cell r="J74">
            <v>295.41802092853999</v>
          </cell>
          <cell r="K74">
            <v>317.04787032945018</v>
          </cell>
          <cell r="L74">
            <v>314.26302838297397</v>
          </cell>
          <cell r="M74">
            <v>340.62010472020063</v>
          </cell>
          <cell r="N74">
            <v>352</v>
          </cell>
          <cell r="O74">
            <v>360</v>
          </cell>
          <cell r="P74">
            <v>344</v>
          </cell>
          <cell r="Q74">
            <v>546</v>
          </cell>
          <cell r="R74">
            <v>575</v>
          </cell>
          <cell r="S74">
            <v>517</v>
          </cell>
          <cell r="T74">
            <v>602</v>
          </cell>
          <cell r="U74">
            <v>519</v>
          </cell>
          <cell r="V74">
            <v>489</v>
          </cell>
          <cell r="W74">
            <v>495</v>
          </cell>
          <cell r="X74">
            <v>648</v>
          </cell>
          <cell r="Y74">
            <v>589</v>
          </cell>
          <cell r="Z74">
            <v>723</v>
          </cell>
          <cell r="AA74">
            <v>755</v>
          </cell>
          <cell r="AB74">
            <v>681</v>
          </cell>
          <cell r="AC74">
            <v>753</v>
          </cell>
          <cell r="AD74">
            <v>728.15099999999995</v>
          </cell>
          <cell r="AE74">
            <v>753.63628499999993</v>
          </cell>
          <cell r="AF74">
            <v>768.90401431307646</v>
          </cell>
          <cell r="AG74">
            <v>843.20805077666614</v>
          </cell>
          <cell r="AH74">
            <v>897.60965000023964</v>
          </cell>
          <cell r="AI74">
            <v>966.93850949409739</v>
          </cell>
          <cell r="AJ74">
            <v>1051.4224229637982</v>
          </cell>
          <cell r="AK74">
            <v>1156.9338956335068</v>
          </cell>
          <cell r="AL74">
            <v>1291.926917651183</v>
          </cell>
          <cell r="AM74">
            <v>1468.5987773399299</v>
          </cell>
        </row>
        <row r="75">
          <cell r="D75">
            <v>120.19288207935017</v>
          </cell>
          <cell r="E75">
            <v>122.23616107469906</v>
          </cell>
          <cell r="F75">
            <v>126.75889903446296</v>
          </cell>
          <cell r="G75">
            <v>131.19546050066913</v>
          </cell>
          <cell r="H75">
            <v>134.86893339468787</v>
          </cell>
          <cell r="I75">
            <v>139.31960819671258</v>
          </cell>
          <cell r="J75">
            <v>143.77783565900739</v>
          </cell>
          <cell r="K75">
            <v>148.23494856443659</v>
          </cell>
          <cell r="L75">
            <v>151.9408222785475</v>
          </cell>
          <cell r="M75">
            <v>156.34710612462538</v>
          </cell>
          <cell r="N75">
            <v>161</v>
          </cell>
          <cell r="O75">
            <v>193</v>
          </cell>
          <cell r="P75">
            <v>99</v>
          </cell>
          <cell r="Q75">
            <v>193</v>
          </cell>
          <cell r="R75">
            <v>350</v>
          </cell>
          <cell r="S75">
            <v>355</v>
          </cell>
          <cell r="T75">
            <v>403</v>
          </cell>
          <cell r="U75">
            <v>407</v>
          </cell>
          <cell r="V75">
            <v>420</v>
          </cell>
          <cell r="W75">
            <v>514</v>
          </cell>
          <cell r="X75">
            <v>408</v>
          </cell>
          <cell r="Y75">
            <v>310</v>
          </cell>
          <cell r="Z75">
            <v>252</v>
          </cell>
          <cell r="AA75">
            <v>255</v>
          </cell>
          <cell r="AB75">
            <v>338</v>
          </cell>
          <cell r="AC75">
            <v>375</v>
          </cell>
          <cell r="AD75">
            <v>383.25</v>
          </cell>
          <cell r="AE75">
            <v>393.19558860680269</v>
          </cell>
          <cell r="AF75">
            <v>403.86805252954179</v>
          </cell>
          <cell r="AG75">
            <v>414.99968584378752</v>
          </cell>
          <cell r="AH75">
            <v>434.96749633487633</v>
          </cell>
          <cell r="AI75">
            <v>447.52341090131256</v>
          </cell>
          <cell r="AJ75">
            <v>460.63629035504096</v>
          </cell>
          <cell r="AK75">
            <v>474.33496002352672</v>
          </cell>
          <cell r="AL75">
            <v>488.64981543644097</v>
          </cell>
          <cell r="AM75">
            <v>503.61291022416168</v>
          </cell>
        </row>
        <row r="76">
          <cell r="D76">
            <v>78.51412811661362</v>
          </cell>
          <cell r="E76">
            <v>85.900469856625364</v>
          </cell>
          <cell r="F76">
            <v>111.63453808520916</v>
          </cell>
          <cell r="G76">
            <v>114.8369641228262</v>
          </cell>
          <cell r="H76">
            <v>81.360335671294933</v>
          </cell>
          <cell r="I76">
            <v>88.771480777527245</v>
          </cell>
          <cell r="J76">
            <v>80.245665197706217</v>
          </cell>
          <cell r="K76">
            <v>99.286873171644856</v>
          </cell>
          <cell r="L76">
            <v>93.691900904210854</v>
          </cell>
          <cell r="M76">
            <v>-268.28982323095602</v>
          </cell>
          <cell r="N76">
            <v>128.71356294536804</v>
          </cell>
          <cell r="O76">
            <v>164</v>
          </cell>
          <cell r="P76">
            <v>217</v>
          </cell>
          <cell r="Q76">
            <v>472</v>
          </cell>
          <cell r="R76">
            <v>474</v>
          </cell>
          <cell r="S76">
            <v>491</v>
          </cell>
          <cell r="T76">
            <v>483</v>
          </cell>
          <cell r="U76">
            <v>466</v>
          </cell>
          <cell r="V76">
            <v>567</v>
          </cell>
          <cell r="W76">
            <v>560</v>
          </cell>
          <cell r="X76">
            <v>641</v>
          </cell>
          <cell r="Y76">
            <v>631</v>
          </cell>
          <cell r="Z76">
            <v>703</v>
          </cell>
          <cell r="AA76">
            <v>732</v>
          </cell>
          <cell r="AB76">
            <v>665</v>
          </cell>
          <cell r="AC76">
            <v>644</v>
          </cell>
          <cell r="AD76">
            <v>653.66</v>
          </cell>
          <cell r="AE76">
            <v>670.00149999999996</v>
          </cell>
          <cell r="AF76">
            <v>695.16150069541027</v>
          </cell>
          <cell r="AG76">
            <v>721.26631365615583</v>
          </cell>
          <cell r="AH76">
            <v>748.35141861959983</v>
          </cell>
          <cell r="AI76">
            <v>776.45362766372943</v>
          </cell>
          <cell r="AJ76">
            <v>805.61113523941879</v>
          </cell>
          <cell r="AK76">
            <v>835.86357008151094</v>
          </cell>
          <cell r="AL76">
            <v>867.25204906927286</v>
          </cell>
          <cell r="AM76">
            <v>899.81923310942636</v>
          </cell>
        </row>
        <row r="77">
          <cell r="D77">
            <v>1755.3600072747688</v>
          </cell>
          <cell r="E77">
            <v>1573.7676859550968</v>
          </cell>
          <cell r="F77">
            <v>1437.8541141659293</v>
          </cell>
          <cell r="G77">
            <v>1413.8990161772572</v>
          </cell>
          <cell r="H77">
            <v>1376.5475294869173</v>
          </cell>
          <cell r="I77">
            <v>1338.9894199907474</v>
          </cell>
          <cell r="J77">
            <v>1450.5889005256397</v>
          </cell>
          <cell r="K77">
            <v>1477.5236669849671</v>
          </cell>
          <cell r="L77">
            <v>1462.0655046294432</v>
          </cell>
          <cell r="M77">
            <v>1371.32261238613</v>
          </cell>
          <cell r="N77">
            <v>1084.286437054632</v>
          </cell>
          <cell r="O77">
            <v>1295</v>
          </cell>
          <cell r="P77">
            <v>1425</v>
          </cell>
          <cell r="Q77">
            <v>902</v>
          </cell>
          <cell r="R77">
            <v>998</v>
          </cell>
          <cell r="S77">
            <v>1058</v>
          </cell>
          <cell r="T77">
            <v>1100</v>
          </cell>
          <cell r="U77">
            <v>1145</v>
          </cell>
          <cell r="V77">
            <v>1117</v>
          </cell>
          <cell r="W77">
            <v>1210</v>
          </cell>
          <cell r="X77">
            <v>1190</v>
          </cell>
          <cell r="Y77">
            <v>1117</v>
          </cell>
          <cell r="Z77">
            <v>1296</v>
          </cell>
          <cell r="AA77">
            <v>1237</v>
          </cell>
          <cell r="AB77">
            <v>1688</v>
          </cell>
          <cell r="AC77">
            <v>1658</v>
          </cell>
          <cell r="AD77">
            <v>1827.356</v>
          </cell>
          <cell r="AE77">
            <v>1931.7656464879999</v>
          </cell>
          <cell r="AF77">
            <v>1972.369195404732</v>
          </cell>
          <cell r="AG77">
            <v>2049.1511172438973</v>
          </cell>
          <cell r="AH77">
            <v>2129.0078563474335</v>
          </cell>
          <cell r="AI77">
            <v>2228.7525868325115</v>
          </cell>
          <cell r="AJ77">
            <v>2333.1781050732575</v>
          </cell>
          <cell r="AK77">
            <v>2442.5044457487302</v>
          </cell>
          <cell r="AL77">
            <v>2556.9620052567539</v>
          </cell>
          <cell r="AM77">
            <v>2676.7920305511593</v>
          </cell>
        </row>
        <row r="78">
          <cell r="D78">
            <v>918.5893001177476</v>
          </cell>
          <cell r="E78">
            <v>741.63080827746455</v>
          </cell>
          <cell r="F78">
            <v>607.86826493595629</v>
          </cell>
          <cell r="G78">
            <v>587.38939463739416</v>
          </cell>
          <cell r="H78">
            <v>574.70040699859976</v>
          </cell>
          <cell r="I78">
            <v>579.41078816322738</v>
          </cell>
          <cell r="J78">
            <v>665.94505059585299</v>
          </cell>
          <cell r="K78">
            <v>703.55771126506988</v>
          </cell>
          <cell r="L78">
            <v>678.43298221354121</v>
          </cell>
          <cell r="M78">
            <v>661.61097731497784</v>
          </cell>
          <cell r="N78">
            <v>553.92362707838481</v>
          </cell>
          <cell r="O78">
            <v>852.38559820275259</v>
          </cell>
          <cell r="P78">
            <v>1044.7399389715515</v>
          </cell>
          <cell r="Q78">
            <v>648</v>
          </cell>
          <cell r="R78">
            <v>708</v>
          </cell>
          <cell r="S78">
            <v>763</v>
          </cell>
          <cell r="T78">
            <v>783</v>
          </cell>
          <cell r="U78">
            <v>782</v>
          </cell>
          <cell r="V78">
            <v>793</v>
          </cell>
          <cell r="W78">
            <v>908</v>
          </cell>
          <cell r="X78">
            <v>847</v>
          </cell>
          <cell r="Y78">
            <v>803</v>
          </cell>
          <cell r="Z78">
            <v>942</v>
          </cell>
          <cell r="AA78">
            <v>909</v>
          </cell>
          <cell r="AB78">
            <v>1260</v>
          </cell>
          <cell r="AC78">
            <v>1208</v>
          </cell>
          <cell r="AD78">
            <v>1352.356</v>
          </cell>
          <cell r="AE78">
            <v>1439.7656464879999</v>
          </cell>
          <cell r="AF78">
            <v>1455.7691954047318</v>
          </cell>
          <cell r="AG78">
            <v>1506.7211172438972</v>
          </cell>
          <cell r="AH78">
            <v>1559.4563563474335</v>
          </cell>
          <cell r="AI78">
            <v>1630.7235118325113</v>
          </cell>
          <cell r="AJ78">
            <v>1705.2475763232571</v>
          </cell>
          <cell r="AK78">
            <v>1783.1773905612299</v>
          </cell>
          <cell r="AL78">
            <v>1864.6685973098784</v>
          </cell>
          <cell r="AM78">
            <v>1949.88395220694</v>
          </cell>
        </row>
        <row r="79">
          <cell r="D79">
            <v>836.77070715702121</v>
          </cell>
          <cell r="E79">
            <v>832.13687767763224</v>
          </cell>
          <cell r="F79">
            <v>829.98584922997304</v>
          </cell>
          <cell r="G79">
            <v>826.50962153986302</v>
          </cell>
          <cell r="H79">
            <v>801.8471224883175</v>
          </cell>
          <cell r="I79">
            <v>759.57863182751998</v>
          </cell>
          <cell r="J79">
            <v>784.64384992978671</v>
          </cell>
          <cell r="K79">
            <v>773.96595571989724</v>
          </cell>
          <cell r="L79">
            <v>783.63252241590203</v>
          </cell>
          <cell r="M79">
            <v>709.71163507115216</v>
          </cell>
          <cell r="N79">
            <v>530.36280997624715</v>
          </cell>
          <cell r="O79">
            <v>442.61440179724741</v>
          </cell>
          <cell r="P79">
            <v>380.26006102844849</v>
          </cell>
          <cell r="Q79">
            <v>254</v>
          </cell>
          <cell r="R79">
            <v>290</v>
          </cell>
          <cell r="S79">
            <v>295</v>
          </cell>
          <cell r="T79">
            <v>317</v>
          </cell>
          <cell r="U79">
            <v>363</v>
          </cell>
          <cell r="V79">
            <v>324</v>
          </cell>
          <cell r="W79">
            <v>302</v>
          </cell>
          <cell r="X79">
            <v>343</v>
          </cell>
          <cell r="Y79">
            <v>314</v>
          </cell>
          <cell r="Z79">
            <v>354</v>
          </cell>
          <cell r="AA79">
            <v>328</v>
          </cell>
          <cell r="AB79">
            <v>428</v>
          </cell>
          <cell r="AC79">
            <v>450</v>
          </cell>
          <cell r="AD79">
            <v>475</v>
          </cell>
          <cell r="AE79">
            <v>492.00000000000006</v>
          </cell>
          <cell r="AF79">
            <v>516.60000000000014</v>
          </cell>
          <cell r="AG79">
            <v>542.43000000000018</v>
          </cell>
          <cell r="AH79">
            <v>569.55150000000026</v>
          </cell>
          <cell r="AI79">
            <v>598.02907500000026</v>
          </cell>
          <cell r="AJ79">
            <v>627.93052875000035</v>
          </cell>
          <cell r="AK79">
            <v>659.32705518750038</v>
          </cell>
          <cell r="AL79">
            <v>692.29340794687539</v>
          </cell>
          <cell r="AM79">
            <v>726.90807834421923</v>
          </cell>
        </row>
        <row r="80">
          <cell r="D80">
            <v>2282.0745440814262</v>
          </cell>
          <cell r="E80">
            <v>2091.5453538594647</v>
          </cell>
          <cell r="F80">
            <v>1960.9618783843825</v>
          </cell>
          <cell r="G80">
            <v>1927.3956989357746</v>
          </cell>
          <cell r="H80">
            <v>1873.1287534344069</v>
          </cell>
          <cell r="I80">
            <v>1864.9879938463291</v>
          </cell>
          <cell r="J80">
            <v>1970.0304223108933</v>
          </cell>
          <cell r="K80">
            <v>2042.0933590504987</v>
          </cell>
          <cell r="L80">
            <v>2021.9612561951756</v>
          </cell>
          <cell r="M80">
            <v>1600</v>
          </cell>
          <cell r="N80">
            <v>1726</v>
          </cell>
          <cell r="O80">
            <v>2012</v>
          </cell>
          <cell r="P80">
            <v>2085</v>
          </cell>
          <cell r="Q80">
            <v>2113</v>
          </cell>
          <cell r="R80">
            <v>2397</v>
          </cell>
          <cell r="S80">
            <v>2421</v>
          </cell>
          <cell r="T80">
            <v>2588</v>
          </cell>
          <cell r="U80">
            <v>2537</v>
          </cell>
          <cell r="V80">
            <v>2593</v>
          </cell>
          <cell r="W80">
            <v>2779</v>
          </cell>
          <cell r="X80">
            <v>2887</v>
          </cell>
          <cell r="Y80">
            <v>2647</v>
          </cell>
          <cell r="Z80">
            <v>2974</v>
          </cell>
          <cell r="AA80">
            <v>2979</v>
          </cell>
          <cell r="AB80">
            <v>3372</v>
          </cell>
          <cell r="AC80">
            <v>3430</v>
          </cell>
          <cell r="AD80">
            <v>3592.4169999999999</v>
          </cell>
          <cell r="AE80">
            <v>3748.5990200948027</v>
          </cell>
          <cell r="AF80">
            <v>3840.3027629427606</v>
          </cell>
          <cell r="AG80">
            <v>4028.6251675205067</v>
          </cell>
          <cell r="AH80">
            <v>4209.936421302149</v>
          </cell>
          <cell r="AI80">
            <v>4419.6681348916509</v>
          </cell>
          <cell r="AJ80">
            <v>4650.8479536315153</v>
          </cell>
          <cell r="AK80">
            <v>4909.6368714872751</v>
          </cell>
          <cell r="AL80">
            <v>5204.7907874136508</v>
          </cell>
          <cell r="AM80">
            <v>5548.8229512246771</v>
          </cell>
        </row>
        <row r="81">
          <cell r="D81">
            <v>481.5402071227229</v>
          </cell>
          <cell r="E81">
            <v>542.2996962578909</v>
          </cell>
          <cell r="F81">
            <v>563.45239052645206</v>
          </cell>
          <cell r="G81">
            <v>565.95612089885572</v>
          </cell>
          <cell r="H81">
            <v>574.21524661990156</v>
          </cell>
          <cell r="I81">
            <v>583.34248442563842</v>
          </cell>
          <cell r="J81">
            <v>613.7232238445431</v>
          </cell>
          <cell r="K81">
            <v>655.44796462965007</v>
          </cell>
          <cell r="L81">
            <v>661.64728971220052</v>
          </cell>
          <cell r="M81">
            <v>685.1573597428652</v>
          </cell>
          <cell r="N81">
            <v>755</v>
          </cell>
          <cell r="O81">
            <v>724</v>
          </cell>
          <cell r="P81">
            <v>791</v>
          </cell>
          <cell r="Q81">
            <v>1400</v>
          </cell>
          <cell r="R81">
            <v>1490</v>
          </cell>
          <cell r="S81">
            <v>1461</v>
          </cell>
          <cell r="T81">
            <v>1225</v>
          </cell>
          <cell r="U81">
            <v>1445</v>
          </cell>
          <cell r="V81">
            <v>1574</v>
          </cell>
          <cell r="W81">
            <v>1515</v>
          </cell>
          <cell r="X81">
            <v>1570</v>
          </cell>
          <cell r="Y81">
            <v>1657</v>
          </cell>
          <cell r="Z81">
            <v>1816</v>
          </cell>
          <cell r="AA81">
            <v>1911</v>
          </cell>
          <cell r="AB81">
            <v>1968</v>
          </cell>
          <cell r="AC81">
            <v>1957</v>
          </cell>
          <cell r="AD81">
            <v>2004</v>
          </cell>
          <cell r="AE81">
            <v>2065.38</v>
          </cell>
          <cell r="AF81">
            <v>2170.3760005052491</v>
          </cell>
          <cell r="AG81">
            <v>2281.4141997171823</v>
          </cell>
          <cell r="AH81">
            <v>2398.8807788969111</v>
          </cell>
          <cell r="AI81">
            <v>2523.1884850407087</v>
          </cell>
          <cell r="AJ81">
            <v>2654.7785425854831</v>
          </cell>
          <cell r="AK81">
            <v>2794.1227062350608</v>
          </cell>
          <cell r="AL81">
            <v>2941.7254654701237</v>
          </cell>
          <cell r="AM81">
            <v>3098.1264121011873</v>
          </cell>
        </row>
        <row r="82">
          <cell r="D82">
            <v>34.015823803984631</v>
          </cell>
          <cell r="E82">
            <v>32.793120366181057</v>
          </cell>
          <cell r="F82">
            <v>34.015823803984631</v>
          </cell>
          <cell r="G82">
            <v>35.238527241788233</v>
          </cell>
          <cell r="H82">
            <v>36.461230679591836</v>
          </cell>
          <cell r="I82">
            <v>37.683934117395438</v>
          </cell>
          <cell r="J82">
            <v>38.906637555198984</v>
          </cell>
          <cell r="K82">
            <v>40.129340993002586</v>
          </cell>
          <cell r="L82">
            <v>41.352044430806131</v>
          </cell>
          <cell r="M82">
            <v>42.574747868609677</v>
          </cell>
          <cell r="N82">
            <v>43.797451306413222</v>
          </cell>
          <cell r="O82">
            <v>45.020154744216825</v>
          </cell>
          <cell r="P82">
            <v>46.24285818202037</v>
          </cell>
          <cell r="Q82">
            <v>126</v>
          </cell>
          <cell r="R82">
            <v>124</v>
          </cell>
          <cell r="S82">
            <v>123</v>
          </cell>
          <cell r="T82">
            <v>128</v>
          </cell>
          <cell r="U82">
            <v>92</v>
          </cell>
          <cell r="V82">
            <v>99</v>
          </cell>
          <cell r="W82">
            <v>111</v>
          </cell>
          <cell r="X82">
            <v>101</v>
          </cell>
          <cell r="Y82">
            <v>107</v>
          </cell>
          <cell r="Z82">
            <v>109</v>
          </cell>
          <cell r="AA82">
            <v>97</v>
          </cell>
          <cell r="AB82">
            <v>88</v>
          </cell>
          <cell r="AC82">
            <v>95</v>
          </cell>
          <cell r="AD82">
            <v>93</v>
          </cell>
          <cell r="AE82">
            <v>97</v>
          </cell>
          <cell r="AF82">
            <v>101.49074074074073</v>
          </cell>
          <cell r="AG82">
            <v>106.18938614540465</v>
          </cell>
          <cell r="AH82">
            <v>111.10556142991413</v>
          </cell>
          <cell r="AI82">
            <v>116.24933742203979</v>
          </cell>
          <cell r="AJ82">
            <v>121.63125119157867</v>
          </cell>
          <cell r="AK82">
            <v>127.26232763563324</v>
          </cell>
          <cell r="AL82">
            <v>133.15410206320885</v>
          </cell>
          <cell r="AM82">
            <v>139.31864382539445</v>
          </cell>
        </row>
        <row r="83">
          <cell r="D83">
            <v>52.983333497337526</v>
          </cell>
          <cell r="E83">
            <v>60.421409219719891</v>
          </cell>
          <cell r="F83">
            <v>92.258839753349577</v>
          </cell>
          <cell r="G83">
            <v>92.941532969402232</v>
          </cell>
          <cell r="H83">
            <v>79.50734056857462</v>
          </cell>
          <cell r="I83">
            <v>88.858431522060414</v>
          </cell>
          <cell r="J83">
            <v>112.70047571180774</v>
          </cell>
          <cell r="K83">
            <v>137.33388178041301</v>
          </cell>
          <cell r="L83">
            <v>120.97843382155204</v>
          </cell>
          <cell r="M83">
            <v>117.8236954382109</v>
          </cell>
          <cell r="N83">
            <v>161.33872808148732</v>
          </cell>
          <cell r="O83">
            <v>126</v>
          </cell>
          <cell r="P83">
            <v>181</v>
          </cell>
          <cell r="Q83">
            <v>379</v>
          </cell>
          <cell r="R83">
            <v>455</v>
          </cell>
          <cell r="S83">
            <v>390</v>
          </cell>
          <cell r="T83">
            <v>139</v>
          </cell>
          <cell r="U83">
            <v>262</v>
          </cell>
          <cell r="V83">
            <v>356</v>
          </cell>
          <cell r="W83">
            <v>281</v>
          </cell>
          <cell r="X83">
            <v>241</v>
          </cell>
          <cell r="Y83">
            <v>204</v>
          </cell>
          <cell r="Z83">
            <v>183</v>
          </cell>
          <cell r="AA83">
            <v>277</v>
          </cell>
          <cell r="AB83">
            <v>269</v>
          </cell>
          <cell r="AC83">
            <v>256</v>
          </cell>
          <cell r="AD83">
            <v>250</v>
          </cell>
          <cell r="AE83">
            <v>261</v>
          </cell>
          <cell r="AF83">
            <v>272.7</v>
          </cell>
          <cell r="AG83">
            <v>284.92448275862068</v>
          </cell>
          <cell r="AH83">
            <v>297.69695957193818</v>
          </cell>
          <cell r="AI83">
            <v>311.04199569068021</v>
          </cell>
          <cell r="AJ83">
            <v>324.98525756646933</v>
          </cell>
          <cell r="AK83">
            <v>339.55356221600073</v>
          </cell>
          <cell r="AL83">
            <v>354.77492879809728</v>
          </cell>
          <cell r="AM83">
            <v>370.67863250283955</v>
          </cell>
        </row>
        <row r="84">
          <cell r="D84">
            <v>213.31390500837375</v>
          </cell>
          <cell r="E84">
            <v>242.82917765307621</v>
          </cell>
          <cell r="F84">
            <v>236.38278318448448</v>
          </cell>
          <cell r="G84">
            <v>230.42245298795387</v>
          </cell>
          <cell r="H84">
            <v>241.18392647951072</v>
          </cell>
          <cell r="I84">
            <v>240.44706736175996</v>
          </cell>
          <cell r="J84">
            <v>243.24532304945578</v>
          </cell>
          <cell r="K84">
            <v>251.60690964191838</v>
          </cell>
          <cell r="L84">
            <v>262.8275310955384</v>
          </cell>
          <cell r="M84">
            <v>276.22890131635398</v>
          </cell>
          <cell r="N84">
            <v>289.42126341709798</v>
          </cell>
          <cell r="O84">
            <v>291.0422357849065</v>
          </cell>
          <cell r="P84">
            <v>296.70368715083794</v>
          </cell>
          <cell r="Q84">
            <v>471</v>
          </cell>
          <cell r="R84">
            <v>495</v>
          </cell>
          <cell r="S84">
            <v>539</v>
          </cell>
          <cell r="T84">
            <v>586</v>
          </cell>
          <cell r="U84">
            <v>654</v>
          </cell>
          <cell r="V84">
            <v>725</v>
          </cell>
          <cell r="W84">
            <v>759</v>
          </cell>
          <cell r="X84">
            <v>774</v>
          </cell>
          <cell r="Y84">
            <v>808</v>
          </cell>
          <cell r="Z84">
            <v>875</v>
          </cell>
          <cell r="AA84">
            <v>872</v>
          </cell>
          <cell r="AB84">
            <v>885</v>
          </cell>
          <cell r="AC84">
            <v>935</v>
          </cell>
          <cell r="AD84">
            <v>969</v>
          </cell>
          <cell r="AE84">
            <v>1005</v>
          </cell>
          <cell r="AF84">
            <v>1040.3726708074535</v>
          </cell>
          <cell r="AG84">
            <v>1076.99034245078</v>
          </cell>
          <cell r="AH84">
            <v>1114.8968348351759</v>
          </cell>
          <cell r="AI84">
            <v>1154.1375101813417</v>
          </cell>
          <cell r="AJ84">
            <v>1194.7593273098776</v>
          </cell>
          <cell r="AK84">
            <v>1236.8108978363123</v>
          </cell>
          <cell r="AL84">
            <v>1280.3425443440085</v>
          </cell>
          <cell r="AM84">
            <v>1325.4063606045638</v>
          </cell>
        </row>
        <row r="85">
          <cell r="D85">
            <v>181.227144813027</v>
          </cell>
          <cell r="E85">
            <v>206.25598901891379</v>
          </cell>
          <cell r="F85">
            <v>200.7949437846334</v>
          </cell>
          <cell r="G85">
            <v>207.35360769971135</v>
          </cell>
          <cell r="H85">
            <v>217.06274889222442</v>
          </cell>
          <cell r="I85">
            <v>216.3530514244226</v>
          </cell>
          <cell r="J85">
            <v>218.87078752808057</v>
          </cell>
          <cell r="K85">
            <v>226.37783221431619</v>
          </cell>
          <cell r="L85">
            <v>236.48928036430397</v>
          </cell>
          <cell r="M85">
            <v>248.53001511969052</v>
          </cell>
          <cell r="N85">
            <v>260.44255719500154</v>
          </cell>
          <cell r="O85">
            <v>261.93760947087668</v>
          </cell>
          <cell r="P85">
            <v>267.05345466714164</v>
          </cell>
          <cell r="Q85">
            <v>424</v>
          </cell>
          <cell r="R85">
            <v>416</v>
          </cell>
          <cell r="S85">
            <v>409</v>
          </cell>
          <cell r="T85">
            <v>372</v>
          </cell>
          <cell r="U85">
            <v>437</v>
          </cell>
          <cell r="V85">
            <v>394</v>
          </cell>
          <cell r="W85">
            <v>364</v>
          </cell>
          <cell r="X85">
            <v>454</v>
          </cell>
          <cell r="Y85">
            <v>538</v>
          </cell>
          <cell r="Z85">
            <v>649</v>
          </cell>
          <cell r="AA85">
            <v>665</v>
          </cell>
          <cell r="AB85">
            <v>726</v>
          </cell>
          <cell r="AC85">
            <v>671</v>
          </cell>
          <cell r="AD85">
            <v>692</v>
          </cell>
          <cell r="AE85">
            <v>702.37999999999988</v>
          </cell>
          <cell r="AF85">
            <v>755.81258895705514</v>
          </cell>
          <cell r="AG85">
            <v>813.30998836237711</v>
          </cell>
          <cell r="AH85">
            <v>875.18142305988306</v>
          </cell>
          <cell r="AI85">
            <v>941.75964174664716</v>
          </cell>
          <cell r="AJ85">
            <v>1013.4027065175577</v>
          </cell>
          <cell r="AK85">
            <v>1090.4959185471143</v>
          </cell>
          <cell r="AL85">
            <v>1173.4538902648089</v>
          </cell>
          <cell r="AM85">
            <v>1262.7227751683895</v>
          </cell>
        </row>
        <row r="86">
          <cell r="D86">
            <v>69.202585012399581</v>
          </cell>
          <cell r="E86">
            <v>73.046897315814064</v>
          </cell>
          <cell r="F86">
            <v>76.352069690308682</v>
          </cell>
          <cell r="G86">
            <v>79.620001580519656</v>
          </cell>
          <cell r="H86">
            <v>82.292430870546553</v>
          </cell>
          <cell r="I86">
            <v>84.741907389789574</v>
          </cell>
          <cell r="J86">
            <v>86.670932702076783</v>
          </cell>
          <cell r="K86">
            <v>89.509639494980888</v>
          </cell>
          <cell r="L86">
            <v>99.631135719426851</v>
          </cell>
          <cell r="M86">
            <v>103.58589755349038</v>
          </cell>
          <cell r="N86">
            <v>106.48575890145995</v>
          </cell>
          <cell r="O86">
            <v>98.425072154822004</v>
          </cell>
          <cell r="P86">
            <v>136.16118612892305</v>
          </cell>
          <cell r="Q86">
            <v>198</v>
          </cell>
          <cell r="R86">
            <v>241</v>
          </cell>
          <cell r="S86">
            <v>260</v>
          </cell>
          <cell r="T86">
            <v>238</v>
          </cell>
          <cell r="U86">
            <v>214</v>
          </cell>
          <cell r="V86">
            <v>223</v>
          </cell>
          <cell r="W86">
            <v>268</v>
          </cell>
          <cell r="X86">
            <v>299</v>
          </cell>
          <cell r="Y86">
            <v>228</v>
          </cell>
          <cell r="Z86">
            <v>230</v>
          </cell>
          <cell r="AA86">
            <v>266</v>
          </cell>
          <cell r="AB86">
            <v>278</v>
          </cell>
          <cell r="AC86">
            <v>310</v>
          </cell>
          <cell r="AD86">
            <v>333.68770764119597</v>
          </cell>
          <cell r="AE86">
            <v>373.73023255813951</v>
          </cell>
          <cell r="AF86">
            <v>418.57786046511626</v>
          </cell>
          <cell r="AG86">
            <v>431.11013173652691</v>
          </cell>
          <cell r="AH86">
            <v>495.7766514970059</v>
          </cell>
          <cell r="AI86">
            <v>570.14314922155677</v>
          </cell>
          <cell r="AJ86">
            <v>655.66462160479023</v>
          </cell>
          <cell r="AK86">
            <v>754.01431484550869</v>
          </cell>
          <cell r="AL86">
            <v>776.5895937330987</v>
          </cell>
          <cell r="AM86">
            <v>799.84077917420939</v>
          </cell>
        </row>
        <row r="87">
          <cell r="D87">
            <v>326.0132337177389</v>
          </cell>
          <cell r="E87">
            <v>305.32651283711914</v>
          </cell>
          <cell r="F87">
            <v>255.43690201868378</v>
          </cell>
          <cell r="G87">
            <v>194.80244536871658</v>
          </cell>
          <cell r="H87">
            <v>155.11303431909721</v>
          </cell>
          <cell r="I87">
            <v>159.45064209595193</v>
          </cell>
          <cell r="J87">
            <v>126.41492584949003</v>
          </cell>
          <cell r="K87">
            <v>116.47027785118826</v>
          </cell>
          <cell r="L87">
            <v>146.73691334697253</v>
          </cell>
          <cell r="M87">
            <v>150.77923715109648</v>
          </cell>
          <cell r="N87">
            <v>138.51424109854008</v>
          </cell>
          <cell r="O87">
            <v>128.57492784517797</v>
          </cell>
          <cell r="P87">
            <v>176.83881387107692</v>
          </cell>
          <cell r="Q87">
            <v>317</v>
          </cell>
          <cell r="R87">
            <v>342</v>
          </cell>
          <cell r="S87">
            <v>360</v>
          </cell>
          <cell r="T87">
            <v>416</v>
          </cell>
          <cell r="U87">
            <v>367</v>
          </cell>
          <cell r="V87">
            <v>423</v>
          </cell>
          <cell r="W87">
            <v>365</v>
          </cell>
          <cell r="X87">
            <v>345</v>
          </cell>
          <cell r="Y87">
            <v>527</v>
          </cell>
          <cell r="Z87">
            <v>459</v>
          </cell>
          <cell r="AA87">
            <v>564</v>
          </cell>
          <cell r="AB87">
            <v>571</v>
          </cell>
          <cell r="AC87">
            <v>588</v>
          </cell>
          <cell r="AD87">
            <v>627.08404207509693</v>
          </cell>
          <cell r="AE87">
            <v>630.48580657360935</v>
          </cell>
          <cell r="AF87">
            <v>669.6958634997286</v>
          </cell>
          <cell r="AG87">
            <v>724.39549882239885</v>
          </cell>
          <cell r="AH87">
            <v>767.5196676320262</v>
          </cell>
          <cell r="AI87">
            <v>818.19590770286595</v>
          </cell>
          <cell r="AJ87">
            <v>878.45905810272245</v>
          </cell>
          <cell r="AK87">
            <v>944.02167016849376</v>
          </cell>
          <cell r="AL87">
            <v>999.60377707119278</v>
          </cell>
          <cell r="AM87">
            <v>1064.9990095379039</v>
          </cell>
        </row>
        <row r="88">
          <cell r="D88">
            <v>876.7560258528614</v>
          </cell>
          <cell r="E88">
            <v>920.67310641082406</v>
          </cell>
          <cell r="F88">
            <v>895.24136223544451</v>
          </cell>
          <cell r="G88">
            <v>840.37856784809196</v>
          </cell>
          <cell r="H88">
            <v>811.62071180954536</v>
          </cell>
          <cell r="I88">
            <v>827.53503391137997</v>
          </cell>
          <cell r="J88">
            <v>826.80908239610994</v>
          </cell>
          <cell r="K88">
            <v>861.42788197581922</v>
          </cell>
          <cell r="L88">
            <v>908.01533877859993</v>
          </cell>
          <cell r="M88">
            <v>939.522494447452</v>
          </cell>
          <cell r="N88">
            <v>1000</v>
          </cell>
          <cell r="O88">
            <v>951</v>
          </cell>
          <cell r="P88">
            <v>1104</v>
          </cell>
          <cell r="Q88">
            <v>1915</v>
          </cell>
          <cell r="R88">
            <v>2073</v>
          </cell>
          <cell r="S88">
            <v>2081</v>
          </cell>
          <cell r="T88">
            <v>1879</v>
          </cell>
          <cell r="U88">
            <v>2026</v>
          </cell>
          <cell r="V88">
            <v>2220</v>
          </cell>
          <cell r="W88">
            <v>2148</v>
          </cell>
          <cell r="X88">
            <v>2214</v>
          </cell>
          <cell r="Y88">
            <v>2412</v>
          </cell>
          <cell r="Z88">
            <v>2505</v>
          </cell>
          <cell r="AA88">
            <v>2741</v>
          </cell>
          <cell r="AB88">
            <v>2817</v>
          </cell>
          <cell r="AC88">
            <v>2855</v>
          </cell>
          <cell r="AD88">
            <v>2964.771749716293</v>
          </cell>
          <cell r="AE88">
            <v>3069.596039131749</v>
          </cell>
          <cell r="AF88">
            <v>3258.649724470094</v>
          </cell>
          <cell r="AG88">
            <v>3436.9198302761079</v>
          </cell>
          <cell r="AH88">
            <v>3662.1770980259435</v>
          </cell>
          <cell r="AI88">
            <v>3911.5275419651316</v>
          </cell>
          <cell r="AJ88">
            <v>4188.9022222929962</v>
          </cell>
          <cell r="AK88">
            <v>4492.1586912490638</v>
          </cell>
          <cell r="AL88">
            <v>4717.9188362744153</v>
          </cell>
          <cell r="AM88">
            <v>4962.9662008133</v>
          </cell>
        </row>
        <row r="89">
          <cell r="D89">
            <v>373.78614150976045</v>
          </cell>
          <cell r="E89">
            <v>394.73273697898122</v>
          </cell>
          <cell r="F89">
            <v>406.31191087190456</v>
          </cell>
          <cell r="G89">
            <v>373.13562612251746</v>
          </cell>
          <cell r="H89">
            <v>371.96469842548026</v>
          </cell>
          <cell r="I89">
            <v>367.9315030245744</v>
          </cell>
          <cell r="J89">
            <v>376.64840921362907</v>
          </cell>
          <cell r="K89">
            <v>389.91892311338376</v>
          </cell>
          <cell r="L89">
            <v>405.53129240721296</v>
          </cell>
          <cell r="M89">
            <v>417.89108476482772</v>
          </cell>
          <cell r="N89">
            <v>419.97273400400496</v>
          </cell>
          <cell r="O89">
            <v>419.97273400400502</v>
          </cell>
          <cell r="P89">
            <v>440.97137070420519</v>
          </cell>
          <cell r="Q89">
            <v>898</v>
          </cell>
          <cell r="R89">
            <v>982</v>
          </cell>
          <cell r="S89">
            <v>1077</v>
          </cell>
          <cell r="T89">
            <v>1179</v>
          </cell>
          <cell r="U89">
            <v>1248</v>
          </cell>
          <cell r="V89">
            <v>1336</v>
          </cell>
          <cell r="W89">
            <v>1380</v>
          </cell>
          <cell r="X89">
            <v>1455</v>
          </cell>
          <cell r="Y89">
            <v>1496</v>
          </cell>
          <cell r="Z89">
            <v>1607</v>
          </cell>
          <cell r="AA89">
            <v>1674</v>
          </cell>
          <cell r="AB89">
            <v>1801</v>
          </cell>
          <cell r="AC89">
            <v>1942</v>
          </cell>
          <cell r="AD89">
            <v>2000</v>
          </cell>
          <cell r="AE89">
            <v>2048</v>
          </cell>
          <cell r="AF89">
            <v>2138.1162912519644</v>
          </cell>
          <cell r="AG89">
            <v>2232.1978881430932</v>
          </cell>
          <cell r="AH89">
            <v>2330.4192724301647</v>
          </cell>
          <cell r="AI89">
            <v>2432.9626034328539</v>
          </cell>
          <cell r="AJ89">
            <v>2540.0180558625866</v>
          </cell>
          <cell r="AK89">
            <v>2651.7841725165717</v>
          </cell>
          <cell r="AL89">
            <v>2768.4682324911091</v>
          </cell>
          <cell r="AM89">
            <v>2890.2866355970564</v>
          </cell>
        </row>
        <row r="90">
          <cell r="D90">
            <v>71.310414458389459</v>
          </cell>
          <cell r="E90">
            <v>72.145845738647353</v>
          </cell>
          <cell r="F90">
            <v>67.550973697228926</v>
          </cell>
          <cell r="G90">
            <v>61.456609614321991</v>
          </cell>
          <cell r="H90">
            <v>63.584817247491799</v>
          </cell>
          <cell r="I90">
            <v>61.671893828849988</v>
          </cell>
          <cell r="J90">
            <v>68.727218097202297</v>
          </cell>
          <cell r="K90">
            <v>82.208722615928068</v>
          </cell>
          <cell r="L90">
            <v>92.160744188713039</v>
          </cell>
          <cell r="M90">
            <v>70</v>
          </cell>
          <cell r="N90">
            <v>78</v>
          </cell>
          <cell r="O90">
            <v>86</v>
          </cell>
          <cell r="P90">
            <v>94</v>
          </cell>
          <cell r="Q90">
            <v>156</v>
          </cell>
          <cell r="R90">
            <v>191</v>
          </cell>
          <cell r="S90">
            <v>217</v>
          </cell>
          <cell r="T90">
            <v>200</v>
          </cell>
          <cell r="U90">
            <v>254</v>
          </cell>
          <cell r="V90">
            <v>285</v>
          </cell>
          <cell r="W90">
            <v>251</v>
          </cell>
          <cell r="X90">
            <v>269</v>
          </cell>
          <cell r="Y90">
            <v>292</v>
          </cell>
          <cell r="Z90">
            <v>316</v>
          </cell>
          <cell r="AA90">
            <v>332</v>
          </cell>
          <cell r="AB90">
            <v>321</v>
          </cell>
          <cell r="AC90">
            <v>322</v>
          </cell>
          <cell r="AD90">
            <v>336.43137254901961</v>
          </cell>
          <cell r="AE90">
            <v>362.67301960784317</v>
          </cell>
          <cell r="AF90">
            <v>386.24676588235297</v>
          </cell>
          <cell r="AG90">
            <v>411.3528056647059</v>
          </cell>
          <cell r="AH90">
            <v>438.09073803291176</v>
          </cell>
          <cell r="AI90">
            <v>466.56663600505101</v>
          </cell>
          <cell r="AJ90">
            <v>496.89346734537929</v>
          </cell>
          <cell r="AK90">
            <v>529.1915427228289</v>
          </cell>
          <cell r="AL90">
            <v>553.61576777157484</v>
          </cell>
          <cell r="AM90">
            <v>579.16726474564757</v>
          </cell>
        </row>
        <row r="91">
          <cell r="D91">
            <v>225.94853547986588</v>
          </cell>
          <cell r="E91">
            <v>207.19480703503703</v>
          </cell>
          <cell r="F91">
            <v>193.93433938479464</v>
          </cell>
          <cell r="G91">
            <v>208.47941483865424</v>
          </cell>
          <cell r="H91">
            <v>228.49343866316505</v>
          </cell>
          <cell r="I91">
            <v>229.17891897915453</v>
          </cell>
          <cell r="J91">
            <v>241.5545806040289</v>
          </cell>
          <cell r="K91">
            <v>246.62722679671347</v>
          </cell>
          <cell r="L91">
            <v>245.64071788952663</v>
          </cell>
          <cell r="M91">
            <v>271.18735255003742</v>
          </cell>
          <cell r="N91">
            <v>282</v>
          </cell>
          <cell r="O91">
            <v>299</v>
          </cell>
          <cell r="P91">
            <v>310</v>
          </cell>
          <cell r="Q91">
            <v>682</v>
          </cell>
          <cell r="R91">
            <v>770</v>
          </cell>
          <cell r="S91">
            <v>851</v>
          </cell>
          <cell r="T91">
            <v>894</v>
          </cell>
          <cell r="U91">
            <v>962</v>
          </cell>
          <cell r="V91">
            <v>862</v>
          </cell>
          <cell r="W91">
            <v>968</v>
          </cell>
          <cell r="X91">
            <v>1049</v>
          </cell>
          <cell r="Y91">
            <v>1196</v>
          </cell>
          <cell r="Z91">
            <v>1332</v>
          </cell>
          <cell r="AA91">
            <v>1372</v>
          </cell>
          <cell r="AB91">
            <v>1536</v>
          </cell>
          <cell r="AC91">
            <v>1671</v>
          </cell>
          <cell r="AD91">
            <v>1833.8410672853829</v>
          </cell>
          <cell r="AE91">
            <v>2023.6821345707658</v>
          </cell>
          <cell r="AF91">
            <v>2238.150408502047</v>
          </cell>
          <cell r="AG91">
            <v>2482.6009905951578</v>
          </cell>
          <cell r="AH91">
            <v>2599.1885882757733</v>
          </cell>
          <cell r="AI91">
            <v>2721.3407578081337</v>
          </cell>
          <cell r="AJ91">
            <v>2849.3269874292218</v>
          </cell>
          <cell r="AK91">
            <v>2983.4299837784797</v>
          </cell>
          <cell r="AL91">
            <v>3123.94632733445</v>
          </cell>
          <cell r="AM91">
            <v>3271.187160646693</v>
          </cell>
        </row>
        <row r="92">
          <cell r="D92">
            <v>131.43141920181844</v>
          </cell>
          <cell r="E92">
            <v>120.52261140806752</v>
          </cell>
          <cell r="F92">
            <v>112.80916427795118</v>
          </cell>
          <cell r="G92">
            <v>121.26985159879753</v>
          </cell>
          <cell r="H92">
            <v>132.91175735228208</v>
          </cell>
          <cell r="I92">
            <v>133.31049262433893</v>
          </cell>
          <cell r="J92">
            <v>140.50925922605325</v>
          </cell>
          <cell r="K92">
            <v>143.45995366980034</v>
          </cell>
          <cell r="L92">
            <v>142.88611385512115</v>
          </cell>
          <cell r="M92">
            <v>157.74626969605376</v>
          </cell>
          <cell r="N92">
            <v>164.03585062500002</v>
          </cell>
          <cell r="O92">
            <v>168</v>
          </cell>
          <cell r="P92">
            <v>172</v>
          </cell>
          <cell r="Q92">
            <v>510</v>
          </cell>
          <cell r="R92">
            <v>572</v>
          </cell>
          <cell r="S92">
            <v>635</v>
          </cell>
          <cell r="T92">
            <v>655</v>
          </cell>
          <cell r="U92">
            <v>673</v>
          </cell>
          <cell r="V92">
            <v>533</v>
          </cell>
          <cell r="W92">
            <v>631</v>
          </cell>
          <cell r="X92">
            <v>671</v>
          </cell>
          <cell r="Y92">
            <v>725</v>
          </cell>
          <cell r="Z92">
            <v>837</v>
          </cell>
          <cell r="AA92">
            <v>753</v>
          </cell>
          <cell r="AB92">
            <v>816</v>
          </cell>
          <cell r="AC92">
            <v>835</v>
          </cell>
          <cell r="AD92">
            <v>870.84106728538279</v>
          </cell>
          <cell r="AE92">
            <v>906.68213457076558</v>
          </cell>
          <cell r="AF92">
            <v>942.52320185614849</v>
          </cell>
          <cell r="AG92">
            <v>979.78106346798347</v>
          </cell>
          <cell r="AH92">
            <v>1018.5117251649017</v>
          </cell>
          <cell r="AI92">
            <v>1058.773406608386</v>
          </cell>
          <cell r="AJ92">
            <v>1100.6266288781621</v>
          </cell>
          <cell r="AK92">
            <v>1144.134305447064</v>
          </cell>
          <cell r="AL92">
            <v>1189.3618367521296</v>
          </cell>
          <cell r="AM92">
            <v>1236.3772085040837</v>
          </cell>
        </row>
        <row r="93">
          <cell r="D93">
            <v>94.517116278047439</v>
          </cell>
          <cell r="E93">
            <v>86.672195626969511</v>
          </cell>
          <cell r="F93">
            <v>81.125175106843457</v>
          </cell>
          <cell r="G93">
            <v>87.209563239856706</v>
          </cell>
          <cell r="H93">
            <v>95.581681310882971</v>
          </cell>
          <cell r="I93">
            <v>95.868426354815597</v>
          </cell>
          <cell r="J93">
            <v>101.04532137797565</v>
          </cell>
          <cell r="K93">
            <v>103.16727312691313</v>
          </cell>
          <cell r="L93">
            <v>102.75460403440547</v>
          </cell>
          <cell r="M93">
            <v>113.44108285398366</v>
          </cell>
          <cell r="N93">
            <v>117.96414937499998</v>
          </cell>
          <cell r="O93">
            <v>131</v>
          </cell>
          <cell r="P93">
            <v>138</v>
          </cell>
          <cell r="Q93">
            <v>172</v>
          </cell>
          <cell r="R93">
            <v>198</v>
          </cell>
          <cell r="S93">
            <v>216</v>
          </cell>
          <cell r="T93">
            <v>239</v>
          </cell>
          <cell r="U93">
            <v>289</v>
          </cell>
          <cell r="V93">
            <v>329</v>
          </cell>
          <cell r="W93">
            <v>337</v>
          </cell>
          <cell r="X93">
            <v>378</v>
          </cell>
          <cell r="Y93">
            <v>471</v>
          </cell>
          <cell r="Z93">
            <v>495</v>
          </cell>
          <cell r="AA93">
            <v>619</v>
          </cell>
          <cell r="AB93">
            <v>720</v>
          </cell>
          <cell r="AC93">
            <v>836</v>
          </cell>
          <cell r="AD93">
            <v>963.00000000000011</v>
          </cell>
          <cell r="AE93">
            <v>1117.0000000000002</v>
          </cell>
          <cell r="AF93">
            <v>1295.6272066458987</v>
          </cell>
          <cell r="AG93">
            <v>1502.8199271271744</v>
          </cell>
          <cell r="AH93">
            <v>1580.6768631108714</v>
          </cell>
          <cell r="AI93">
            <v>1662.5673511997477</v>
          </cell>
          <cell r="AJ93">
            <v>1748.7003585510597</v>
          </cell>
          <cell r="AK93">
            <v>1839.2956783314157</v>
          </cell>
          <cell r="AL93">
            <v>1934.5844905823203</v>
          </cell>
          <cell r="AM93">
            <v>2034.8099521426091</v>
          </cell>
        </row>
        <row r="94">
          <cell r="D94">
            <v>126.25103259271425</v>
          </cell>
          <cell r="E94">
            <v>122.00738944728056</v>
          </cell>
          <cell r="F94">
            <v>124.58573849157017</v>
          </cell>
          <cell r="G94">
            <v>128.20041429066043</v>
          </cell>
          <cell r="H94">
            <v>131.63862148072329</v>
          </cell>
          <cell r="I94">
            <v>133.79276551230413</v>
          </cell>
          <cell r="J94">
            <v>137.1790409954028</v>
          </cell>
          <cell r="K94">
            <v>141.80454881517258</v>
          </cell>
          <cell r="L94">
            <v>144.06069115538051</v>
          </cell>
          <cell r="M94">
            <v>235.65811611800183</v>
          </cell>
          <cell r="N94">
            <v>180.78281248248749</v>
          </cell>
          <cell r="O94">
            <v>221.16087189569282</v>
          </cell>
          <cell r="P94">
            <v>216.45842106012168</v>
          </cell>
          <cell r="Q94">
            <v>263</v>
          </cell>
          <cell r="R94">
            <v>280</v>
          </cell>
          <cell r="S94">
            <v>325</v>
          </cell>
          <cell r="T94">
            <v>380</v>
          </cell>
          <cell r="U94">
            <v>423</v>
          </cell>
          <cell r="V94">
            <v>450</v>
          </cell>
          <cell r="W94">
            <v>461</v>
          </cell>
          <cell r="X94">
            <v>489</v>
          </cell>
          <cell r="Y94">
            <v>498</v>
          </cell>
          <cell r="Z94">
            <v>514</v>
          </cell>
          <cell r="AA94">
            <v>564</v>
          </cell>
          <cell r="AB94">
            <v>646</v>
          </cell>
          <cell r="AC94">
            <v>788</v>
          </cell>
          <cell r="AD94">
            <v>808.1313868613139</v>
          </cell>
          <cell r="AE94">
            <v>836.89051094890522</v>
          </cell>
          <cell r="AF94">
            <v>868.52554744525571</v>
          </cell>
          <cell r="AG94">
            <v>901.35641006346134</v>
          </cell>
          <cell r="AH94">
            <v>935.42830185280184</v>
          </cell>
          <cell r="AI94">
            <v>970.78813456888724</v>
          </cell>
          <cell r="AJ94">
            <v>1007.4845932639312</v>
          </cell>
          <cell r="AK94">
            <v>1045.5682033185815</v>
          </cell>
          <cell r="AL94">
            <v>1085.0914000076002</v>
          </cell>
          <cell r="AM94">
            <v>1126.1086006951728</v>
          </cell>
        </row>
        <row r="95">
          <cell r="D95">
            <v>330.20912734047732</v>
          </cell>
          <cell r="E95">
            <v>319.10989376574202</v>
          </cell>
          <cell r="F95">
            <v>325.8535565335597</v>
          </cell>
          <cell r="G95">
            <v>335.30772824783696</v>
          </cell>
          <cell r="H95">
            <v>344.30034694196661</v>
          </cell>
          <cell r="I95">
            <v>349.93450300569339</v>
          </cell>
          <cell r="J95">
            <v>358.79129450470401</v>
          </cell>
          <cell r="K95">
            <v>370.88929377889662</v>
          </cell>
          <cell r="L95">
            <v>376.79022605657019</v>
          </cell>
          <cell r="M95">
            <v>616.3629657197506</v>
          </cell>
          <cell r="N95">
            <v>472.83680396166767</v>
          </cell>
          <cell r="O95">
            <v>481.9950912247312</v>
          </cell>
          <cell r="P95">
            <v>499</v>
          </cell>
          <cell r="Q95">
            <v>1111</v>
          </cell>
          <cell r="R95">
            <v>1142</v>
          </cell>
          <cell r="S95">
            <v>1230</v>
          </cell>
          <cell r="T95">
            <v>1285</v>
          </cell>
          <cell r="U95">
            <v>1243</v>
          </cell>
          <cell r="V95">
            <v>1272</v>
          </cell>
          <cell r="W95">
            <v>1319</v>
          </cell>
          <cell r="X95">
            <v>1338</v>
          </cell>
          <cell r="Y95">
            <v>1393</v>
          </cell>
          <cell r="Z95">
            <v>1494</v>
          </cell>
          <cell r="AA95">
            <v>1572</v>
          </cell>
          <cell r="AB95">
            <v>1683</v>
          </cell>
          <cell r="AC95">
            <v>1722</v>
          </cell>
          <cell r="AD95">
            <v>1774.0677856099514</v>
          </cell>
          <cell r="AE95">
            <v>1826.2501142425615</v>
          </cell>
          <cell r="AF95">
            <v>1881.4630422184605</v>
          </cell>
          <cell r="AG95">
            <v>1938.3807553327701</v>
          </cell>
          <cell r="AH95">
            <v>1997.0569158314638</v>
          </cell>
          <cell r="AI95">
            <v>2057.5469040223707</v>
          </cell>
          <cell r="AJ95">
            <v>2119.9078740814953</v>
          </cell>
          <cell r="AK95">
            <v>2184.198811693836</v>
          </cell>
          <cell r="AL95">
            <v>2250.4805935895888</v>
          </cell>
          <cell r="AM95">
            <v>2318.8160490386663</v>
          </cell>
        </row>
        <row r="96">
          <cell r="D96">
            <v>205.55231396125996</v>
          </cell>
          <cell r="E96">
            <v>198.64313745587847</v>
          </cell>
          <cell r="F96">
            <v>202.84100896132003</v>
          </cell>
          <cell r="G96">
            <v>208.72614874563928</v>
          </cell>
          <cell r="H96">
            <v>214.32397578342344</v>
          </cell>
          <cell r="I96">
            <v>217.83118900143899</v>
          </cell>
          <cell r="J96">
            <v>223.34446478989685</v>
          </cell>
          <cell r="K96">
            <v>230.87536426908608</v>
          </cell>
          <cell r="L96">
            <v>234.54864336337903</v>
          </cell>
          <cell r="M96">
            <v>383.68059315660571</v>
          </cell>
          <cell r="N96">
            <v>294.33680396166767</v>
          </cell>
          <cell r="O96">
            <v>301.71009122473117</v>
          </cell>
          <cell r="P96">
            <v>309.26815668429197</v>
          </cell>
          <cell r="Q96">
            <v>568</v>
          </cell>
          <cell r="R96">
            <v>589</v>
          </cell>
          <cell r="S96">
            <v>606</v>
          </cell>
          <cell r="T96">
            <v>628</v>
          </cell>
          <cell r="U96">
            <v>644</v>
          </cell>
          <cell r="V96">
            <v>660</v>
          </cell>
          <cell r="W96">
            <v>677</v>
          </cell>
          <cell r="X96">
            <v>694</v>
          </cell>
          <cell r="Y96">
            <v>711</v>
          </cell>
          <cell r="Z96">
            <v>740</v>
          </cell>
          <cell r="AA96">
            <v>759</v>
          </cell>
          <cell r="AB96">
            <v>778</v>
          </cell>
          <cell r="AC96">
            <v>797</v>
          </cell>
          <cell r="AD96">
            <v>816.2414231257942</v>
          </cell>
          <cell r="AE96">
            <v>834.42501918552728</v>
          </cell>
          <cell r="AF96">
            <v>855.63921458854907</v>
          </cell>
          <cell r="AG96">
            <v>877.39275394249512</v>
          </cell>
          <cell r="AH96">
            <v>899.69934938171104</v>
          </cell>
          <cell r="AI96">
            <v>922.5730616541274</v>
          </cell>
          <cell r="AJ96">
            <v>946.02830898431705</v>
          </cell>
          <cell r="AK96">
            <v>970.07987616188439</v>
          </cell>
          <cell r="AL96">
            <v>994.74292386091531</v>
          </cell>
          <cell r="AM96">
            <v>1020.0329981963622</v>
          </cell>
        </row>
        <row r="97">
          <cell r="D97">
            <v>124.65681337921737</v>
          </cell>
          <cell r="E97">
            <v>120.46675630986354</v>
          </cell>
          <cell r="F97">
            <v>123.01254757223967</v>
          </cell>
          <cell r="G97">
            <v>126.58157950219768</v>
          </cell>
          <cell r="H97">
            <v>129.97637115854317</v>
          </cell>
          <cell r="I97">
            <v>132.1033140042544</v>
          </cell>
          <cell r="J97">
            <v>135.44682971480717</v>
          </cell>
          <cell r="K97">
            <v>140.01392950981054</v>
          </cell>
          <cell r="L97">
            <v>142.24158269319116</v>
          </cell>
          <cell r="M97">
            <v>232.6823725631449</v>
          </cell>
          <cell r="N97">
            <v>178.5</v>
          </cell>
          <cell r="O97">
            <v>180.28500000000003</v>
          </cell>
          <cell r="P97">
            <v>189.73184331570803</v>
          </cell>
          <cell r="Q97">
            <v>543</v>
          </cell>
          <cell r="R97">
            <v>553</v>
          </cell>
          <cell r="S97">
            <v>624</v>
          </cell>
          <cell r="T97">
            <v>657</v>
          </cell>
          <cell r="U97">
            <v>599</v>
          </cell>
          <cell r="V97">
            <v>612</v>
          </cell>
          <cell r="W97">
            <v>642</v>
          </cell>
          <cell r="X97">
            <v>644</v>
          </cell>
          <cell r="Y97">
            <v>682</v>
          </cell>
          <cell r="Z97">
            <v>754</v>
          </cell>
          <cell r="AA97">
            <v>813</v>
          </cell>
          <cell r="AB97">
            <v>905</v>
          </cell>
          <cell r="AC97">
            <v>925</v>
          </cell>
          <cell r="AD97">
            <v>957.82636248415713</v>
          </cell>
          <cell r="AE97">
            <v>991.82509505703422</v>
          </cell>
          <cell r="AF97">
            <v>1025.8238276299114</v>
          </cell>
          <cell r="AG97">
            <v>1060.988001390275</v>
          </cell>
          <cell r="AH97">
            <v>1097.3575664497528</v>
          </cell>
          <cell r="AI97">
            <v>1134.9738423682431</v>
          </cell>
          <cell r="AJ97">
            <v>1173.8795650971783</v>
          </cell>
          <cell r="AK97">
            <v>1214.1189355319516</v>
          </cell>
          <cell r="AL97">
            <v>1255.7376697286734</v>
          </cell>
          <cell r="AM97">
            <v>1298.7830508423042</v>
          </cell>
        </row>
        <row r="98">
          <cell r="D98">
            <v>43.148461336851042</v>
          </cell>
          <cell r="E98">
            <v>50.62642168833213</v>
          </cell>
          <cell r="F98">
            <v>52.498135700108804</v>
          </cell>
          <cell r="G98">
            <v>54.768923012683416</v>
          </cell>
          <cell r="H98">
            <v>57.14616730143814</v>
          </cell>
          <cell r="I98">
            <v>57.885302911489063</v>
          </cell>
          <cell r="J98">
            <v>58.634779568645264</v>
          </cell>
          <cell r="K98">
            <v>59.945048468179955</v>
          </cell>
          <cell r="L98">
            <v>61.284686931793075</v>
          </cell>
          <cell r="M98">
            <v>62.222431757194421</v>
          </cell>
          <cell r="N98">
            <v>63.61</v>
          </cell>
          <cell r="O98">
            <v>64.766377881619931</v>
          </cell>
          <cell r="P98">
            <v>65.585304226546498</v>
          </cell>
          <cell r="Q98">
            <v>107</v>
          </cell>
          <cell r="R98">
            <v>116</v>
          </cell>
          <cell r="S98">
            <v>114</v>
          </cell>
          <cell r="T98">
            <v>120</v>
          </cell>
          <cell r="U98">
            <v>122</v>
          </cell>
          <cell r="V98">
            <v>122</v>
          </cell>
          <cell r="W98">
            <v>122</v>
          </cell>
          <cell r="X98">
            <v>133</v>
          </cell>
          <cell r="Y98">
            <v>133</v>
          </cell>
          <cell r="Z98">
            <v>137</v>
          </cell>
          <cell r="AA98">
            <v>144</v>
          </cell>
          <cell r="AB98">
            <v>135</v>
          </cell>
          <cell r="AC98">
            <v>152</v>
          </cell>
          <cell r="AD98">
            <v>158.77707006369425</v>
          </cell>
          <cell r="AE98">
            <v>164.5859872611465</v>
          </cell>
          <cell r="AF98">
            <v>170.39490445859875</v>
          </cell>
          <cell r="AG98">
            <v>176.40884226301989</v>
          </cell>
          <cell r="AH98">
            <v>182.63503669583238</v>
          </cell>
          <cell r="AI98">
            <v>189.08097916745001</v>
          </cell>
          <cell r="AJ98">
            <v>195.75442549100708</v>
          </cell>
          <cell r="AK98">
            <v>202.66340521421913</v>
          </cell>
          <cell r="AL98">
            <v>209.81623128060335</v>
          </cell>
          <cell r="AM98">
            <v>217.22151003168349</v>
          </cell>
        </row>
        <row r="99">
          <cell r="D99">
            <v>653.97635027426907</v>
          </cell>
          <cell r="E99">
            <v>828.90673776275821</v>
          </cell>
          <cell r="F99">
            <v>966.40896186352768</v>
          </cell>
          <cell r="G99">
            <v>1014.3188652564436</v>
          </cell>
          <cell r="H99">
            <v>1044.0303518096009</v>
          </cell>
          <cell r="I99">
            <v>1074.0011903615807</v>
          </cell>
          <cell r="J99">
            <v>1101.1203373834644</v>
          </cell>
          <cell r="K99">
            <v>1135.1586080466577</v>
          </cell>
          <cell r="L99">
            <v>1158.3772165688317</v>
          </cell>
          <cell r="M99">
            <v>1184.4859020854153</v>
          </cell>
          <cell r="N99">
            <v>1277</v>
          </cell>
          <cell r="O99">
            <v>1465.8991756718669</v>
          </cell>
          <cell r="P99">
            <v>1466</v>
          </cell>
          <cell r="Q99">
            <v>2711</v>
          </cell>
          <cell r="R99">
            <v>2774</v>
          </cell>
          <cell r="S99">
            <v>2780</v>
          </cell>
          <cell r="T99">
            <v>2876</v>
          </cell>
          <cell r="U99">
            <v>2980</v>
          </cell>
          <cell r="V99">
            <v>3059</v>
          </cell>
          <cell r="W99">
            <v>3161</v>
          </cell>
          <cell r="X99">
            <v>3236</v>
          </cell>
          <cell r="Y99">
            <v>3281</v>
          </cell>
          <cell r="Z99">
            <v>3408</v>
          </cell>
          <cell r="AA99">
            <v>3475</v>
          </cell>
          <cell r="AB99">
            <v>3663</v>
          </cell>
          <cell r="AC99">
            <v>3842</v>
          </cell>
          <cell r="AD99">
            <v>3880.420000000001</v>
          </cell>
          <cell r="AE99">
            <v>3919.2242000000001</v>
          </cell>
          <cell r="AF99">
            <v>3958.4164419999993</v>
          </cell>
          <cell r="AG99">
            <v>3998.0006064199993</v>
          </cell>
          <cell r="AH99">
            <v>4037.9806124841994</v>
          </cell>
          <cell r="AI99">
            <v>4078.3604186090415</v>
          </cell>
          <cell r="AJ99">
            <v>4119.1440227951325</v>
          </cell>
          <cell r="AK99">
            <v>4160.3354630230842</v>
          </cell>
          <cell r="AL99">
            <v>4201.9388176533139</v>
          </cell>
          <cell r="AM99">
            <v>4243.9582058298483</v>
          </cell>
        </row>
        <row r="100">
          <cell r="D100">
            <v>95.87874921479397</v>
          </cell>
          <cell r="E100">
            <v>92.656001736674909</v>
          </cell>
          <cell r="F100">
            <v>94.614075871427872</v>
          </cell>
          <cell r="G100">
            <v>97.359167038735677</v>
          </cell>
          <cell r="H100">
            <v>99.970242751581566</v>
          </cell>
          <cell r="I100">
            <v>101.60616311702319</v>
          </cell>
          <cell r="J100">
            <v>104.17780036345761</v>
          </cell>
          <cell r="K100">
            <v>107.69054711202074</v>
          </cell>
          <cell r="L100">
            <v>109.40392799443703</v>
          </cell>
          <cell r="M100">
            <v>178.96570785760559</v>
          </cell>
          <cell r="N100">
            <v>137.29178751567559</v>
          </cell>
          <cell r="O100">
            <v>140.69059503977815</v>
          </cell>
          <cell r="P100">
            <v>268.95167025259155</v>
          </cell>
          <cell r="Q100">
            <v>254</v>
          </cell>
          <cell r="R100">
            <v>259</v>
          </cell>
          <cell r="S100">
            <v>264</v>
          </cell>
          <cell r="T100">
            <v>269</v>
          </cell>
          <cell r="U100">
            <v>274</v>
          </cell>
          <cell r="V100">
            <v>281</v>
          </cell>
          <cell r="W100">
            <v>287</v>
          </cell>
          <cell r="X100">
            <v>292</v>
          </cell>
          <cell r="Y100">
            <v>298</v>
          </cell>
          <cell r="Z100">
            <v>307</v>
          </cell>
          <cell r="AA100">
            <v>311</v>
          </cell>
          <cell r="AB100">
            <v>319</v>
          </cell>
          <cell r="AC100">
            <v>324</v>
          </cell>
          <cell r="AD100">
            <v>330.97846153846154</v>
          </cell>
          <cell r="AE100">
            <v>339.9507692307692</v>
          </cell>
          <cell r="AF100">
            <v>347.9261538461538</v>
          </cell>
          <cell r="AG100">
            <v>356.08864425896678</v>
          </cell>
          <cell r="AH100">
            <v>364.44263004803344</v>
          </cell>
          <cell r="AI100">
            <v>372.99260377350049</v>
          </cell>
          <cell r="AJ100">
            <v>381.74316339282012</v>
          </cell>
          <cell r="AK100">
            <v>390.69901473341412</v>
          </cell>
          <cell r="AL100">
            <v>399.8649740233476</v>
          </cell>
          <cell r="AM100">
            <v>409.24597048137332</v>
          </cell>
        </row>
        <row r="101">
          <cell r="D101">
            <v>1920.5088122071215</v>
          </cell>
          <cell r="E101">
            <v>2087.3798341534534</v>
          </cell>
          <cell r="F101">
            <v>2231.7576924141222</v>
          </cell>
          <cell r="G101">
            <v>2273.0267484218539</v>
          </cell>
          <cell r="H101">
            <v>2341.1286846214475</v>
          </cell>
          <cell r="I101">
            <v>2376.0022407406695</v>
          </cell>
          <cell r="J101">
            <v>2446.8334607305342</v>
          </cell>
          <cell r="K101">
            <v>2534.2429187469529</v>
          </cell>
          <cell r="L101">
            <v>2593.249503192465</v>
          </cell>
          <cell r="M101">
            <v>3036.7735608528328</v>
          </cell>
          <cell r="N101">
            <v>2911.4941379638358</v>
          </cell>
          <cell r="O101">
            <v>3179.484845717694</v>
          </cell>
          <cell r="P101">
            <v>3360.9667662434649</v>
          </cell>
          <cell r="Q101">
            <v>6182</v>
          </cell>
          <cell r="R101">
            <v>6514</v>
          </cell>
          <cell r="S101">
            <v>6858</v>
          </cell>
          <cell r="T101">
            <v>7203</v>
          </cell>
          <cell r="U101">
            <v>7506</v>
          </cell>
          <cell r="V101">
            <v>7667</v>
          </cell>
          <cell r="W101">
            <v>7949</v>
          </cell>
          <cell r="X101">
            <v>8261</v>
          </cell>
          <cell r="Y101">
            <v>8587</v>
          </cell>
          <cell r="Z101">
            <v>9115</v>
          </cell>
          <cell r="AA101">
            <v>9444</v>
          </cell>
          <cell r="AB101">
            <v>10104</v>
          </cell>
          <cell r="AC101">
            <v>10763</v>
          </cell>
          <cell r="AD101">
            <v>11122.647143907825</v>
          </cell>
          <cell r="AE101">
            <v>11521.256735861991</v>
          </cell>
          <cell r="AF101">
            <v>11989.239555604834</v>
          </cell>
          <cell r="AG101">
            <v>12496.386942741176</v>
          </cell>
          <cell r="AH101">
            <v>12885.242095651181</v>
          </cell>
          <cell r="AI101">
            <v>13289.639037387287</v>
          </cell>
          <cell r="AJ101">
            <v>13710.272589661574</v>
          </cell>
          <cell r="AK101">
            <v>14147.870597001016</v>
          </cell>
          <cell r="AL101">
            <v>14593.222344151587</v>
          </cell>
          <cell r="AM101">
            <v>15055.991397066144</v>
          </cell>
        </row>
        <row r="102">
          <cell r="N102">
            <v>158.49413796383601</v>
          </cell>
          <cell r="O102">
            <v>193.48484571769399</v>
          </cell>
          <cell r="P102">
            <v>189.966766243465</v>
          </cell>
          <cell r="Q102">
            <v>69</v>
          </cell>
          <cell r="R102">
            <v>83</v>
          </cell>
          <cell r="S102">
            <v>109</v>
          </cell>
          <cell r="T102">
            <v>125</v>
          </cell>
          <cell r="U102">
            <v>137</v>
          </cell>
          <cell r="V102">
            <v>144</v>
          </cell>
          <cell r="W102">
            <v>152</v>
          </cell>
          <cell r="X102">
            <v>151</v>
          </cell>
          <cell r="Y102">
            <v>158</v>
          </cell>
          <cell r="Z102">
            <v>155</v>
          </cell>
          <cell r="AA102">
            <v>178</v>
          </cell>
          <cell r="AB102">
            <v>206</v>
          </cell>
          <cell r="AC102">
            <v>233</v>
          </cell>
          <cell r="AD102">
            <v>252.21649484536081</v>
          </cell>
          <cell r="AE102">
            <v>271.43298969072163</v>
          </cell>
          <cell r="AF102">
            <v>293.05154639175254</v>
          </cell>
          <cell r="AG102">
            <v>316.39193504242309</v>
          </cell>
          <cell r="AH102">
            <v>341.59129270066916</v>
          </cell>
          <cell r="AI102">
            <v>368.79767884497022</v>
          </cell>
          <cell r="AJ102">
            <v>398.17094530164923</v>
          </cell>
          <cell r="AK102">
            <v>429.88367545841771</v>
          </cell>
          <cell r="AL102">
            <v>464.12219828253944</v>
          </cell>
          <cell r="AM102">
            <v>501.08768310150271</v>
          </cell>
        </row>
        <row r="103">
          <cell r="D103">
            <v>5079.3393821414093</v>
          </cell>
          <cell r="E103">
            <v>5099.5982944237421</v>
          </cell>
          <cell r="F103">
            <v>5087.960933033949</v>
          </cell>
          <cell r="G103">
            <v>5040.8010152057204</v>
          </cell>
          <cell r="H103">
            <v>5025.8781498653998</v>
          </cell>
          <cell r="I103">
            <v>5068.5252684983789</v>
          </cell>
          <cell r="J103">
            <v>5243.6729654375376</v>
          </cell>
          <cell r="K103">
            <v>5437.7641597732709</v>
          </cell>
          <cell r="L103">
            <v>5523.2260981662403</v>
          </cell>
          <cell r="M103">
            <v>5576.2960553002849</v>
          </cell>
          <cell r="N103">
            <v>5479</v>
          </cell>
          <cell r="O103">
            <v>5949</v>
          </cell>
          <cell r="P103">
            <v>6360</v>
          </cell>
          <cell r="Q103">
            <v>10141</v>
          </cell>
          <cell r="R103">
            <v>10901</v>
          </cell>
          <cell r="S103">
            <v>11251</v>
          </cell>
          <cell r="T103">
            <v>11545</v>
          </cell>
          <cell r="U103">
            <v>11932</v>
          </cell>
          <cell r="V103">
            <v>12336</v>
          </cell>
          <cell r="W103">
            <v>12724</v>
          </cell>
          <cell r="X103">
            <v>13211</v>
          </cell>
          <cell r="Y103">
            <v>13488</v>
          </cell>
          <cell r="Z103">
            <v>14439</v>
          </cell>
          <cell r="AA103">
            <v>14986</v>
          </cell>
          <cell r="AB103">
            <v>16087</v>
          </cell>
          <cell r="AC103">
            <v>16815</v>
          </cell>
          <cell r="AD103">
            <v>17427.619398778759</v>
          </cell>
          <cell r="AE103">
            <v>18068.01880539782</v>
          </cell>
          <cell r="AF103">
            <v>18795.14049662594</v>
          </cell>
          <cell r="AG103">
            <v>19645.540005495368</v>
          </cell>
          <cell r="AH103">
            <v>20415.764322278606</v>
          </cell>
          <cell r="AI103">
            <v>21252.037035399098</v>
          </cell>
          <cell r="AJ103">
            <v>22151.851820284439</v>
          </cell>
          <cell r="AK103">
            <v>23119.782484278934</v>
          </cell>
          <cell r="AL103">
            <v>24051.809769557112</v>
          </cell>
          <cell r="AM103">
            <v>25066.692866002621</v>
          </cell>
        </row>
        <row r="104">
          <cell r="D104">
            <v>986.06256410256412</v>
          </cell>
          <cell r="E104">
            <v>1050.4533333333334</v>
          </cell>
          <cell r="F104">
            <v>1005.0010256410256</v>
          </cell>
          <cell r="G104">
            <v>910.30871794871791</v>
          </cell>
          <cell r="H104">
            <v>920.4092307692307</v>
          </cell>
          <cell r="I104">
            <v>838.3425641025641</v>
          </cell>
          <cell r="J104">
            <v>969.64923076923071</v>
          </cell>
          <cell r="K104">
            <v>996.16307692307691</v>
          </cell>
          <cell r="L104">
            <v>936.82256410256412</v>
          </cell>
          <cell r="M104">
            <v>987.32512820512829</v>
          </cell>
          <cell r="N104">
            <v>1001.2133333333335</v>
          </cell>
          <cell r="O104">
            <v>1021.4143589743591</v>
          </cell>
          <cell r="P104">
            <v>1098.4307692307693</v>
          </cell>
          <cell r="Q104">
            <v>1231</v>
          </cell>
          <cell r="R104">
            <v>1303</v>
          </cell>
          <cell r="S104">
            <v>1455</v>
          </cell>
          <cell r="T104">
            <v>1566</v>
          </cell>
          <cell r="U104">
            <v>1733</v>
          </cell>
          <cell r="V104">
            <v>1779</v>
          </cell>
          <cell r="W104">
            <v>1866</v>
          </cell>
          <cell r="X104">
            <v>1889</v>
          </cell>
          <cell r="Y104">
            <v>1974</v>
          </cell>
          <cell r="Z104">
            <v>2055</v>
          </cell>
          <cell r="AA104">
            <v>2083</v>
          </cell>
          <cell r="AB104">
            <v>2106</v>
          </cell>
          <cell r="AC104">
            <v>2134</v>
          </cell>
          <cell r="AD104">
            <v>2105.1337493008768</v>
          </cell>
          <cell r="AE104">
            <v>2683.7940161538709</v>
          </cell>
          <cell r="AF104">
            <v>2773.9055048338455</v>
          </cell>
          <cell r="AG104">
            <v>3252.6860879188698</v>
          </cell>
          <cell r="AH104">
            <v>4045.6543658650353</v>
          </cell>
          <cell r="AI104">
            <v>5046.3265816351077</v>
          </cell>
          <cell r="AJ104">
            <v>6330.9692144911005</v>
          </cell>
          <cell r="AK104">
            <v>7739.5942616283619</v>
          </cell>
          <cell r="AL104">
            <v>8822.3429200516202</v>
          </cell>
          <cell r="AM104">
            <v>10177.948251425931</v>
          </cell>
        </row>
        <row r="105">
          <cell r="D105">
            <v>6065.4019462439737</v>
          </cell>
          <cell r="E105">
            <v>6150.051627757075</v>
          </cell>
          <cell r="F105">
            <v>6092.961958674975</v>
          </cell>
          <cell r="G105">
            <v>5951.1097331544388</v>
          </cell>
          <cell r="H105">
            <v>5946.2873806346306</v>
          </cell>
          <cell r="I105">
            <v>5906.8678326009431</v>
          </cell>
          <cell r="J105">
            <v>6213.3221962067682</v>
          </cell>
          <cell r="K105">
            <v>6433.9272366963478</v>
          </cell>
          <cell r="L105">
            <v>6460.048662268804</v>
          </cell>
          <cell r="M105">
            <v>6563.6211835054128</v>
          </cell>
          <cell r="N105">
            <v>6480.2133333333331</v>
          </cell>
          <cell r="O105">
            <v>6970.4143589743589</v>
          </cell>
          <cell r="P105">
            <v>7458.4307692307693</v>
          </cell>
          <cell r="Q105">
            <v>11372</v>
          </cell>
          <cell r="R105">
            <v>12204</v>
          </cell>
          <cell r="S105">
            <v>12706</v>
          </cell>
          <cell r="T105">
            <v>13111</v>
          </cell>
          <cell r="U105">
            <v>13665</v>
          </cell>
          <cell r="V105">
            <v>14115</v>
          </cell>
          <cell r="W105">
            <v>14590</v>
          </cell>
          <cell r="X105">
            <v>15100</v>
          </cell>
          <cell r="Y105">
            <v>15462</v>
          </cell>
          <cell r="Z105">
            <v>16494</v>
          </cell>
          <cell r="AA105">
            <v>17069</v>
          </cell>
          <cell r="AB105">
            <v>18193</v>
          </cell>
          <cell r="AC105">
            <v>18949</v>
          </cell>
          <cell r="AD105">
            <v>19532.753148079635</v>
          </cell>
          <cell r="AE105">
            <v>20751.812821551692</v>
          </cell>
          <cell r="AF105">
            <v>21569.046001459785</v>
          </cell>
          <cell r="AG105">
            <v>22898.22609341424</v>
          </cell>
          <cell r="AH105">
            <v>24461.41868814364</v>
          </cell>
          <cell r="AI105">
            <v>26298.363617034207</v>
          </cell>
          <cell r="AJ105">
            <v>28482.821034775538</v>
          </cell>
          <cell r="AK105">
            <v>30859.376745907295</v>
          </cell>
          <cell r="AL105">
            <v>32874.152689608731</v>
          </cell>
          <cell r="AM105">
            <v>35244.641117428553</v>
          </cell>
        </row>
        <row r="107">
          <cell r="E107">
            <v>-3.6419446135734446E-2</v>
          </cell>
          <cell r="F107">
            <v>-4.7244846467312085E-2</v>
          </cell>
          <cell r="G107">
            <v>-3.1140561970376068E-2</v>
          </cell>
          <cell r="H107">
            <v>4.1542119422498525E-2</v>
          </cell>
          <cell r="I107">
            <v>5.2998790338365076E-2</v>
          </cell>
          <cell r="J107">
            <v>4.502839692830829E-3</v>
          </cell>
          <cell r="K107">
            <v>5.9397104765580355E-2</v>
          </cell>
          <cell r="L107">
            <v>1.9795095160062282E-3</v>
          </cell>
          <cell r="M107">
            <v>6.5986928549931045E-2</v>
          </cell>
          <cell r="N107">
            <v>3.2261261518478968E-2</v>
          </cell>
          <cell r="O107">
            <v>7.7972709551656916E-2</v>
          </cell>
          <cell r="P107">
            <v>-0.19891500904159132</v>
          </cell>
          <cell r="Q107">
            <v>0.6681715575620768</v>
          </cell>
          <cell r="R107">
            <v>0.2516914749661705</v>
          </cell>
          <cell r="S107">
            <v>-5.7297297297297267E-2</v>
          </cell>
          <cell r="T107">
            <v>0.15252293577981657</v>
          </cell>
          <cell r="U107">
            <v>-7.8606965174129351E-2</v>
          </cell>
          <cell r="V107">
            <v>-1.8358531317494653E-2</v>
          </cell>
          <cell r="W107">
            <v>0.11001100110011008</v>
          </cell>
          <cell r="X107">
            <v>4.658077304261643E-2</v>
          </cell>
          <cell r="Y107">
            <v>-0.14867424242424243</v>
          </cell>
          <cell r="Z107">
            <v>8.4538375973303603E-2</v>
          </cell>
          <cell r="AA107">
            <v>3.5897435897435992E-2</v>
          </cell>
          <cell r="AB107">
            <v>8.9108910891089188E-3</v>
          </cell>
          <cell r="AC107">
            <v>0.10696761530912657</v>
          </cell>
          <cell r="AD107">
            <v>-1.4715425531915072E-2</v>
          </cell>
          <cell r="AE107">
            <v>3.1879468892688445E-2</v>
          </cell>
          <cell r="AF107">
            <v>2.2619002691504519E-2</v>
          </cell>
          <cell r="AG107">
            <v>7.2849338923844487E-2</v>
          </cell>
          <cell r="AH107">
            <v>5.9107417281043295E-2</v>
          </cell>
          <cell r="AI107">
            <v>6.1448430423330702E-2</v>
          </cell>
          <cell r="AJ107">
            <v>6.8999236752974147E-2</v>
          </cell>
          <cell r="AK107">
            <v>7.8839625265964886E-2</v>
          </cell>
          <cell r="AL107">
            <v>9.1528675308677476E-2</v>
          </cell>
          <cell r="AM107">
            <v>0.1076252154234103</v>
          </cell>
        </row>
        <row r="108">
          <cell r="E108">
            <v>-5.5994110340793934E-2</v>
          </cell>
          <cell r="F108">
            <v>-8.0501958390071127E-2</v>
          </cell>
          <cell r="G108">
            <v>-6.0587288105716341E-2</v>
          </cell>
          <cell r="H108">
            <v>4.818474377230153E-2</v>
          </cell>
          <cell r="I108">
            <v>6.2619609723267633E-2</v>
          </cell>
          <cell r="J108">
            <v>-8.3565001859335908E-3</v>
          </cell>
          <cell r="K108">
            <v>7.3217772338073805E-2</v>
          </cell>
          <cell r="L108">
            <v>-8.7836639419227591E-3</v>
          </cell>
          <cell r="M108">
            <v>8.3869478611104276E-2</v>
          </cell>
          <cell r="N108">
            <v>3.3409347017690827E-2</v>
          </cell>
          <cell r="O108">
            <v>2.2727272727272707E-2</v>
          </cell>
          <cell r="P108">
            <v>-4.4444444444444398E-2</v>
          </cell>
          <cell r="Q108">
            <v>0.58720930232558133</v>
          </cell>
          <cell r="R108">
            <v>5.3113553113553147E-2</v>
          </cell>
          <cell r="S108">
            <v>-0.10086956521739132</v>
          </cell>
          <cell r="T108">
            <v>0.16441005802707931</v>
          </cell>
          <cell r="U108">
            <v>-0.13787375415282388</v>
          </cell>
          <cell r="V108">
            <v>-5.7803468208092457E-2</v>
          </cell>
          <cell r="W108">
            <v>1.2269938650306678E-2</v>
          </cell>
          <cell r="X108">
            <v>0.30909090909090908</v>
          </cell>
          <cell r="Y108">
            <v>-9.1049382716049343E-2</v>
          </cell>
          <cell r="Z108">
            <v>0.2275042444821731</v>
          </cell>
          <cell r="AA108">
            <v>4.4260027662517354E-2</v>
          </cell>
          <cell r="AB108">
            <v>-9.8013245033112595E-2</v>
          </cell>
          <cell r="AC108">
            <v>0.10572687224669597</v>
          </cell>
          <cell r="AD108">
            <v>-3.3000000000000002E-2</v>
          </cell>
          <cell r="AE108">
            <v>3.5000000000000003E-2</v>
          </cell>
          <cell r="AF108">
            <v>2.0258750297667216E-2</v>
          </cell>
          <cell r="AG108">
            <v>9.6636296703394686E-2</v>
          </cell>
          <cell r="AH108">
            <v>6.4517409639845091E-2</v>
          </cell>
          <cell r="AI108">
            <v>7.7237203826673761E-2</v>
          </cell>
          <cell r="AJ108">
            <v>8.7372581234667068E-2</v>
          </cell>
          <cell r="AK108">
            <v>0.10035117224558321</v>
          </cell>
          <cell r="AL108">
            <v>0.11668170716336168</v>
          </cell>
          <cell r="AM108">
            <v>0.13675066079585152</v>
          </cell>
        </row>
        <row r="109">
          <cell r="E109">
            <v>1.699999999999946E-2</v>
          </cell>
          <cell r="F109">
            <v>3.7000000000000366E-2</v>
          </cell>
          <cell r="G109">
            <v>3.4999999999999698E-2</v>
          </cell>
          <cell r="H109">
            <v>2.8000000000000025E-2</v>
          </cell>
          <cell r="I109">
            <v>3.300000000000014E-2</v>
          </cell>
          <cell r="J109">
            <v>3.2000000000000028E-2</v>
          </cell>
          <cell r="K109">
            <v>3.0999999999999694E-2</v>
          </cell>
          <cell r="L109">
            <v>2.4999999999999911E-2</v>
          </cell>
          <cell r="M109">
            <v>2.9000000000000137E-2</v>
          </cell>
          <cell r="N109">
            <v>2.9760025565588322E-2</v>
          </cell>
          <cell r="O109">
            <v>0.19875776397515521</v>
          </cell>
          <cell r="P109">
            <v>-0.48704663212435229</v>
          </cell>
          <cell r="Q109">
            <v>0.94949494949494939</v>
          </cell>
          <cell r="R109">
            <v>0.81347150259067358</v>
          </cell>
          <cell r="S109">
            <v>1.4285714285714235E-2</v>
          </cell>
          <cell r="T109">
            <v>0.13521126760563384</v>
          </cell>
          <cell r="U109">
            <v>9.9255583126551805E-3</v>
          </cell>
          <cell r="V109">
            <v>3.1941031941032039E-2</v>
          </cell>
          <cell r="W109">
            <v>0.2238095238095239</v>
          </cell>
          <cell r="X109">
            <v>-0.20622568093385218</v>
          </cell>
          <cell r="Y109">
            <v>-0.24019607843137258</v>
          </cell>
          <cell r="Z109">
            <v>-0.18709677419354842</v>
          </cell>
          <cell r="AA109">
            <v>1.1904761904761862E-2</v>
          </cell>
          <cell r="AB109">
            <v>0.32549019607843133</v>
          </cell>
          <cell r="AC109">
            <v>0.10946745562130178</v>
          </cell>
          <cell r="AD109">
            <v>2.1999999999999999E-2</v>
          </cell>
          <cell r="AE109">
            <v>2.5950655203659911E-2</v>
          </cell>
          <cell r="AF109">
            <v>2.7142888252013497E-2</v>
          </cell>
          <cell r="AG109">
            <v>2.75625498093377E-2</v>
          </cell>
          <cell r="AH109">
            <v>4.8115242426002736E-2</v>
          </cell>
          <cell r="AI109">
            <v>2.8866328340013681E-2</v>
          </cell>
          <cell r="AJ109">
            <v>2.9300991041606217E-2</v>
          </cell>
          <cell r="AK109">
            <v>2.9738581078636583E-2</v>
          </cell>
          <cell r="AL109">
            <v>3.0178790558056834E-2</v>
          </cell>
          <cell r="AM109">
            <v>3.0621304490530354E-2</v>
          </cell>
        </row>
        <row r="110">
          <cell r="E110">
            <v>9.4076593820683119E-2</v>
          </cell>
          <cell r="F110">
            <v>0.29958006366596113</v>
          </cell>
          <cell r="G110">
            <v>2.8686695825020259E-2</v>
          </cell>
          <cell r="H110">
            <v>-0.29151439788782352</v>
          </cell>
          <cell r="I110">
            <v>9.1090394909064676E-2</v>
          </cell>
          <cell r="J110">
            <v>-9.6042281880909686E-2</v>
          </cell>
          <cell r="K110">
            <v>0.23728643693121154</v>
          </cell>
          <cell r="L110">
            <v>-5.6351580916054633E-2</v>
          </cell>
          <cell r="M110">
            <v>-3.8635327135186568</v>
          </cell>
          <cell r="N110">
            <v>-1.4797556664479428</v>
          </cell>
          <cell r="O110">
            <v>0.27414699933066999</v>
          </cell>
          <cell r="P110">
            <v>0.32317073170731714</v>
          </cell>
          <cell r="Q110">
            <v>1.1751152073732718</v>
          </cell>
          <cell r="R110">
            <v>4.237288135593209E-3</v>
          </cell>
          <cell r="S110">
            <v>3.5864978902953482E-2</v>
          </cell>
          <cell r="T110">
            <v>-1.6293279022403295E-2</v>
          </cell>
          <cell r="U110">
            <v>-3.5196687370600444E-2</v>
          </cell>
          <cell r="V110">
            <v>0.21673819742489275</v>
          </cell>
          <cell r="W110">
            <v>-1.2345679012345734E-2</v>
          </cell>
          <cell r="X110">
            <v>0.14464285714285707</v>
          </cell>
          <cell r="Y110">
            <v>-1.5600624024960985E-2</v>
          </cell>
          <cell r="Z110">
            <v>0.11410459587955635</v>
          </cell>
          <cell r="AA110">
            <v>4.1251778093883251E-2</v>
          </cell>
          <cell r="AB110">
            <v>-9.1530054644808789E-2</v>
          </cell>
          <cell r="AC110">
            <v>-3.157894736842104E-2</v>
          </cell>
          <cell r="AD110">
            <v>1.4999999999999902E-2</v>
          </cell>
          <cell r="AE110">
            <v>2.4999999999999911E-2</v>
          </cell>
          <cell r="AF110">
            <v>3.7552155771905404E-2</v>
          </cell>
          <cell r="AG110">
            <v>3.7552155771905404E-2</v>
          </cell>
          <cell r="AH110">
            <v>3.7552155771905404E-2</v>
          </cell>
          <cell r="AI110">
            <v>3.7552155771905404E-2</v>
          </cell>
          <cell r="AJ110">
            <v>3.7552155771905404E-2</v>
          </cell>
          <cell r="AK110">
            <v>3.7552155771905404E-2</v>
          </cell>
          <cell r="AL110">
            <v>3.7552155771905404E-2</v>
          </cell>
          <cell r="AM110">
            <v>3.7552155771905404E-2</v>
          </cell>
        </row>
        <row r="111">
          <cell r="E111">
            <v>-0.10345018717932264</v>
          </cell>
          <cell r="F111">
            <v>-8.6361902714175653E-2</v>
          </cell>
          <cell r="G111">
            <v>-1.6660311886069201E-2</v>
          </cell>
          <cell r="H111">
            <v>-2.6417365217019984E-2</v>
          </cell>
          <cell r="I111">
            <v>-2.7284280921392456E-2</v>
          </cell>
          <cell r="J111">
            <v>8.3346051035760649E-2</v>
          </cell>
          <cell r="K111">
            <v>1.8568159765711245E-2</v>
          </cell>
          <cell r="L111">
            <v>-1.0462209642345566E-2</v>
          </cell>
          <cell r="M111">
            <v>-6.206486094910757E-2</v>
          </cell>
          <cell r="N111">
            <v>-0.20931338310833303</v>
          </cell>
          <cell r="O111">
            <v>0.19433385473099962</v>
          </cell>
          <cell r="P111">
            <v>0.10038610038610041</v>
          </cell>
          <cell r="Q111">
            <v>-0.36701754385964913</v>
          </cell>
          <cell r="R111">
            <v>0.10643015521064303</v>
          </cell>
          <cell r="S111">
            <v>6.0120240480961984E-2</v>
          </cell>
          <cell r="T111">
            <v>3.969754253308122E-2</v>
          </cell>
          <cell r="U111">
            <v>4.0909090909091006E-2</v>
          </cell>
          <cell r="V111">
            <v>-2.4454148471615755E-2</v>
          </cell>
          <cell r="W111">
            <v>8.3258728737690246E-2</v>
          </cell>
          <cell r="X111">
            <v>-1.6528925619834656E-2</v>
          </cell>
          <cell r="Y111">
            <v>-6.1344537815126055E-2</v>
          </cell>
          <cell r="Z111">
            <v>0.16025067144136074</v>
          </cell>
          <cell r="AA111">
            <v>-4.5524691358024727E-2</v>
          </cell>
          <cell r="AB111">
            <v>0.36459175424413903</v>
          </cell>
          <cell r="AC111">
            <v>-1.7772511848341277E-2</v>
          </cell>
          <cell r="AD111">
            <v>0.1021447527141135</v>
          </cell>
          <cell r="AE111">
            <v>5.7137003675255427E-2</v>
          </cell>
          <cell r="AF111">
            <v>2.1018879277903357E-2</v>
          </cell>
          <cell r="AG111">
            <v>3.8928777643685297E-2</v>
          </cell>
          <cell r="AH111">
            <v>3.8970644200679194E-2</v>
          </cell>
          <cell r="AI111">
            <v>4.6850334623096179E-2</v>
          </cell>
          <cell r="AJ111">
            <v>4.6853795642321616E-2</v>
          </cell>
          <cell r="AK111">
            <v>4.6857263248679448E-2</v>
          </cell>
          <cell r="AL111">
            <v>4.6860737431713373E-2</v>
          </cell>
          <cell r="AM111">
            <v>4.6864218180814543E-2</v>
          </cell>
        </row>
        <row r="112">
          <cell r="E112">
            <v>-0.19264157749017974</v>
          </cell>
          <cell r="F112">
            <v>-0.18036271126895254</v>
          </cell>
          <cell r="G112">
            <v>-3.3689651985236879E-2</v>
          </cell>
          <cell r="H112">
            <v>-2.1602343785296907E-2</v>
          </cell>
          <cell r="I112">
            <v>8.1962377392905683E-3</v>
          </cell>
          <cell r="J112">
            <v>0.14934872494684681</v>
          </cell>
          <cell r="K112">
            <v>5.6480126454221846E-2</v>
          </cell>
          <cell r="L112">
            <v>-3.5710971039393247E-2</v>
          </cell>
          <cell r="M112">
            <v>-2.4795381916247305E-2</v>
          </cell>
          <cell r="N112">
            <v>-0.16276536201624348</v>
          </cell>
          <cell r="O112">
            <v>0.5388142995426568</v>
          </cell>
          <cell r="P112">
            <v>0.22566587372472768</v>
          </cell>
          <cell r="Q112">
            <v>-0.37974994941047702</v>
          </cell>
          <cell r="R112">
            <v>9.259259259259256E-2</v>
          </cell>
          <cell r="S112">
            <v>7.7683615819209129E-2</v>
          </cell>
          <cell r="T112">
            <v>2.6212319790301475E-2</v>
          </cell>
          <cell r="U112">
            <v>-1.2771392081737387E-3</v>
          </cell>
          <cell r="V112">
            <v>1.406649616368294E-2</v>
          </cell>
          <cell r="W112">
            <v>0.14501891551071888</v>
          </cell>
          <cell r="X112">
            <v>-6.7180616740088128E-2</v>
          </cell>
          <cell r="Y112">
            <v>-5.1948051948051965E-2</v>
          </cell>
          <cell r="Z112">
            <v>0.17310087173100874</v>
          </cell>
          <cell r="AA112">
            <v>-3.5031847133757954E-2</v>
          </cell>
          <cell r="AB112">
            <v>0.38613861386138604</v>
          </cell>
          <cell r="AC112">
            <v>-4.1269841269841234E-2</v>
          </cell>
          <cell r="AD112">
            <v>0.11949999999999994</v>
          </cell>
          <cell r="AE112">
            <v>6.4635086092715177E-2</v>
          </cell>
          <cell r="AF112">
            <v>1.1115384615384638E-2</v>
          </cell>
          <cell r="AG112">
            <v>3.499999999999992E-2</v>
          </cell>
          <cell r="AH112">
            <v>3.499999999999992E-2</v>
          </cell>
          <cell r="AI112">
            <v>4.5700000000000074E-2</v>
          </cell>
          <cell r="AJ112">
            <v>4.5700000000000074E-2</v>
          </cell>
          <cell r="AK112">
            <v>4.5699999999999852E-2</v>
          </cell>
          <cell r="AL112">
            <v>4.5700000000000074E-2</v>
          </cell>
          <cell r="AM112">
            <v>4.5700000000000074E-2</v>
          </cell>
        </row>
        <row r="113">
          <cell r="E113">
            <v>-5.5377529826931005E-3</v>
          </cell>
          <cell r="F113">
            <v>-2.5849454643356307E-3</v>
          </cell>
          <cell r="G113">
            <v>-4.1882975394521571E-3</v>
          </cell>
          <cell r="H113">
            <v>-2.9839336904024183E-2</v>
          </cell>
          <cell r="I113">
            <v>-5.2713902033630244E-2</v>
          </cell>
          <cell r="J113">
            <v>3.2998845744199867E-2</v>
          </cell>
          <cell r="K113">
            <v>-1.3608587145422679E-2</v>
          </cell>
          <cell r="L113">
            <v>1.2489653614045082E-2</v>
          </cell>
          <cell r="M113">
            <v>-9.4331061090797141E-2</v>
          </cell>
          <cell r="N113">
            <v>-0.25270661523947591</v>
          </cell>
          <cell r="O113">
            <v>-0.16544977613141776</v>
          </cell>
          <cell r="P113">
            <v>-0.14087734270644492</v>
          </cell>
          <cell r="Q113">
            <v>-0.33203608258770712</v>
          </cell>
          <cell r="R113">
            <v>0.1417322834645669</v>
          </cell>
          <cell r="S113">
            <v>1.7241379310344751E-2</v>
          </cell>
          <cell r="T113">
            <v>7.4576271186440612E-2</v>
          </cell>
          <cell r="U113">
            <v>0.14511041009463721</v>
          </cell>
          <cell r="V113">
            <v>-0.1074380165289256</v>
          </cell>
          <cell r="W113">
            <v>-6.7901234567901203E-2</v>
          </cell>
          <cell r="X113">
            <v>0.13576158940397343</v>
          </cell>
          <cell r="Y113">
            <v>-8.4548104956268189E-2</v>
          </cell>
          <cell r="Z113">
            <v>0.12738853503184711</v>
          </cell>
          <cell r="AA113">
            <v>-7.3446327683615809E-2</v>
          </cell>
          <cell r="AB113">
            <v>0.30487804878048785</v>
          </cell>
          <cell r="AC113">
            <v>5.1401869158878455E-2</v>
          </cell>
          <cell r="AD113">
            <v>5.555555555555558E-2</v>
          </cell>
          <cell r="AE113">
            <v>3.5789473684210593E-2</v>
          </cell>
          <cell r="AF113">
            <v>5.0000000000000266E-2</v>
          </cell>
          <cell r="AG113">
            <v>5.0000000000000044E-2</v>
          </cell>
          <cell r="AH113">
            <v>5.0000000000000044E-2</v>
          </cell>
          <cell r="AI113">
            <v>5.0000000000000044E-2</v>
          </cell>
          <cell r="AJ113">
            <v>5.0000000000000044E-2</v>
          </cell>
          <cell r="AK113">
            <v>5.0000000000000044E-2</v>
          </cell>
          <cell r="AL113">
            <v>5.0000000000000044E-2</v>
          </cell>
          <cell r="AM113">
            <v>5.0000000000000044E-2</v>
          </cell>
        </row>
        <row r="114">
          <cell r="E114">
            <v>-8.3489468263032829E-2</v>
          </cell>
          <cell r="F114">
            <v>-6.243396789561384E-2</v>
          </cell>
          <cell r="G114">
            <v>-1.71172014196741E-2</v>
          </cell>
          <cell r="H114">
            <v>-2.8155580886338738E-2</v>
          </cell>
          <cell r="I114">
            <v>-4.3460758226852025E-3</v>
          </cell>
          <cell r="J114">
            <v>5.6323380531756673E-2</v>
          </cell>
          <cell r="K114">
            <v>3.6579606042364432E-2</v>
          </cell>
          <cell r="L114">
            <v>-9.8585614443621461E-3</v>
          </cell>
          <cell r="M114">
            <v>-0.20868909080345133</v>
          </cell>
          <cell r="N114">
            <v>7.8750000000000098E-2</v>
          </cell>
          <cell r="O114">
            <v>0.16570104287369647</v>
          </cell>
          <cell r="P114">
            <v>3.6282306163021971E-2</v>
          </cell>
          <cell r="Q114">
            <v>1.342925659472427E-2</v>
          </cell>
          <cell r="R114">
            <v>0.13440605773781344</v>
          </cell>
          <cell r="S114">
            <v>1.0012515644555631E-2</v>
          </cell>
          <cell r="T114">
            <v>6.8979760429574544E-2</v>
          </cell>
          <cell r="U114">
            <v>-1.9706336939721791E-2</v>
          </cell>
          <cell r="V114">
            <v>2.2073314938904298E-2</v>
          </cell>
          <cell r="W114">
            <v>7.1731585036637124E-2</v>
          </cell>
          <cell r="X114">
            <v>3.8862900323857419E-2</v>
          </cell>
          <cell r="Y114">
            <v>-8.3131278143401488E-2</v>
          </cell>
          <cell r="Z114">
            <v>0.12353607857952409</v>
          </cell>
          <cell r="AA114">
            <v>1.6812373907195699E-3</v>
          </cell>
          <cell r="AB114">
            <v>0.13192346424974821</v>
          </cell>
          <cell r="AC114">
            <v>1.720047449584805E-2</v>
          </cell>
          <cell r="AD114">
            <v>4.7351895043731718E-2</v>
          </cell>
          <cell r="AE114">
            <v>4.347547071924085E-2</v>
          </cell>
          <cell r="AF114">
            <v>2.4463470847740476E-2</v>
          </cell>
          <cell r="AG114">
            <v>4.9038426447772565E-2</v>
          </cell>
          <cell r="AH114">
            <v>4.5005739239134535E-2</v>
          </cell>
          <cell r="AI114">
            <v>4.9818261512992512E-2</v>
          </cell>
          <cell r="AJ114">
            <v>5.2307053761522226E-2</v>
          </cell>
          <cell r="AK114">
            <v>5.5643383837927773E-2</v>
          </cell>
          <cell r="AL114">
            <v>6.0117259922110033E-2</v>
          </cell>
          <cell r="AM114">
            <v>6.6099134021481376E-2</v>
          </cell>
        </row>
        <row r="115">
          <cell r="E115">
            <v>0.12617739544162943</v>
          </cell>
          <cell r="F115">
            <v>3.9005543271597221E-2</v>
          </cell>
          <cell r="G115">
            <v>4.4435526665604907E-3</v>
          </cell>
          <cell r="H115">
            <v>1.4593226252114011E-2</v>
          </cell>
          <cell r="I115">
            <v>1.5895150571957117E-2</v>
          </cell>
          <cell r="J115">
            <v>5.208045055867605E-2</v>
          </cell>
          <cell r="K115">
            <v>6.7986250420394523E-2</v>
          </cell>
          <cell r="L115">
            <v>9.4581498716732604E-3</v>
          </cell>
          <cell r="M115">
            <v>3.5532632561513067E-2</v>
          </cell>
          <cell r="N115">
            <v>0.10193664165462124</v>
          </cell>
          <cell r="O115">
            <v>-4.1059602649006655E-2</v>
          </cell>
          <cell r="P115">
            <v>9.2541436464088411E-2</v>
          </cell>
          <cell r="Q115">
            <v>0.76991150442477885</v>
          </cell>
          <cell r="R115">
            <v>6.4285714285714279E-2</v>
          </cell>
          <cell r="S115">
            <v>-1.9463087248322131E-2</v>
          </cell>
          <cell r="T115">
            <v>-0.161533196440794</v>
          </cell>
          <cell r="U115">
            <v>0.17959183673469381</v>
          </cell>
          <cell r="V115">
            <v>8.9273356401384119E-2</v>
          </cell>
          <cell r="W115">
            <v>-3.7484116899618836E-2</v>
          </cell>
          <cell r="X115">
            <v>3.630363036303641E-2</v>
          </cell>
          <cell r="Y115">
            <v>5.5414012738853602E-2</v>
          </cell>
          <cell r="Z115">
            <v>9.595654797827402E-2</v>
          </cell>
          <cell r="AA115">
            <v>5.2312775330396466E-2</v>
          </cell>
          <cell r="AB115">
            <v>2.982731554160134E-2</v>
          </cell>
          <cell r="AC115">
            <v>-5.5894308943089666E-3</v>
          </cell>
          <cell r="AD115">
            <v>2.4016351558507898E-2</v>
          </cell>
          <cell r="AE115">
            <v>3.0628742514970053E-2</v>
          </cell>
          <cell r="AF115">
            <v>5.0836165986525073E-2</v>
          </cell>
          <cell r="AG115">
            <v>5.1160812313665538E-2</v>
          </cell>
          <cell r="AH115">
            <v>5.1488493055882101E-2</v>
          </cell>
          <cell r="AI115">
            <v>5.1819042962592876E-2</v>
          </cell>
          <cell r="AJ115">
            <v>5.215228997949839E-2</v>
          </cell>
          <cell r="AK115">
            <v>5.2488055562582181E-2</v>
          </cell>
          <cell r="AL115">
            <v>5.2826155023789179E-2</v>
          </cell>
          <cell r="AM115">
            <v>5.3166397907246088E-2</v>
          </cell>
        </row>
        <row r="116">
          <cell r="E116">
            <v>-3.5945136735460959E-2</v>
          </cell>
          <cell r="F116">
            <v>3.7285364251720576E-2</v>
          </cell>
          <cell r="G116">
            <v>3.5945136735461736E-2</v>
          </cell>
          <cell r="H116">
            <v>3.4697915421210812E-2</v>
          </cell>
          <cell r="I116">
            <v>3.3534343603162542E-2</v>
          </cell>
          <cell r="J116">
            <v>3.2446278936655082E-2</v>
          </cell>
          <cell r="K116">
            <v>3.1426602621953181E-2</v>
          </cell>
          <cell r="L116">
            <v>3.0469063471955549E-2</v>
          </cell>
          <cell r="M116">
            <v>2.9568149643713015E-2</v>
          </cell>
          <cell r="N116">
            <v>2.871898247235527E-2</v>
          </cell>
          <cell r="O116">
            <v>2.7917228088214507E-2</v>
          </cell>
          <cell r="P116">
            <v>2.7159023436289065E-2</v>
          </cell>
          <cell r="Q116">
            <v>1.7247450731535863</v>
          </cell>
          <cell r="R116">
            <v>-1.5873015873015928E-2</v>
          </cell>
          <cell r="S116">
            <v>-8.0645161290322509E-3</v>
          </cell>
          <cell r="T116">
            <v>4.0650406504065151E-2</v>
          </cell>
          <cell r="U116">
            <v>-0.28125</v>
          </cell>
          <cell r="V116">
            <v>7.6086956521739024E-2</v>
          </cell>
          <cell r="W116">
            <v>0.1212121212121211</v>
          </cell>
          <cell r="X116">
            <v>-9.0090090090090058E-2</v>
          </cell>
          <cell r="Y116">
            <v>5.9405940594059459E-2</v>
          </cell>
          <cell r="Z116">
            <v>1.8691588785046731E-2</v>
          </cell>
          <cell r="AA116">
            <v>-0.11009174311926606</v>
          </cell>
          <cell r="AB116">
            <v>-9.2783505154639179E-2</v>
          </cell>
          <cell r="AC116">
            <v>7.9545454545454586E-2</v>
          </cell>
          <cell r="AD116">
            <v>-2.1052631578947323E-2</v>
          </cell>
          <cell r="AE116">
            <v>4.3010752688172005E-2</v>
          </cell>
          <cell r="AF116">
            <v>4.629629629629628E-2</v>
          </cell>
          <cell r="AG116">
            <v>4.629629629629628E-2</v>
          </cell>
          <cell r="AH116">
            <v>4.629629629629628E-2</v>
          </cell>
          <cell r="AI116">
            <v>4.629629629629628E-2</v>
          </cell>
          <cell r="AJ116">
            <v>4.629629629629628E-2</v>
          </cell>
          <cell r="AK116">
            <v>4.629629629629628E-2</v>
          </cell>
          <cell r="AL116">
            <v>4.629629629629628E-2</v>
          </cell>
          <cell r="AM116">
            <v>4.629629629629628E-2</v>
          </cell>
        </row>
        <row r="117">
          <cell r="E117">
            <v>0.14038519721972831</v>
          </cell>
          <cell r="F117">
            <v>0.52692300535153391</v>
          </cell>
          <cell r="G117">
            <v>7.3997593930057448E-3</v>
          </cell>
          <cell r="H117">
            <v>-0.14454455367387098</v>
          </cell>
          <cell r="I117">
            <v>0.11761292588349792</v>
          </cell>
          <cell r="J117">
            <v>0.26831493400632644</v>
          </cell>
          <cell r="K117">
            <v>0.21857410905342256</v>
          </cell>
          <cell r="L117">
            <v>-0.11909259205978129</v>
          </cell>
          <cell r="M117">
            <v>-2.607686579902746E-2</v>
          </cell>
          <cell r="N117">
            <v>0.36932327136264842</v>
          </cell>
          <cell r="O117">
            <v>-0.21903437879861554</v>
          </cell>
          <cell r="P117">
            <v>0.43650793650793651</v>
          </cell>
          <cell r="Q117">
            <v>1.0939226519337018</v>
          </cell>
          <cell r="R117">
            <v>0.20052770448548807</v>
          </cell>
          <cell r="S117">
            <v>-0.1428571428571429</v>
          </cell>
          <cell r="T117">
            <v>-0.64358974358974352</v>
          </cell>
          <cell r="U117">
            <v>0.8848920863309353</v>
          </cell>
          <cell r="V117">
            <v>0.35877862595419852</v>
          </cell>
          <cell r="W117">
            <v>-0.2106741573033708</v>
          </cell>
          <cell r="X117">
            <v>-0.14234875444839856</v>
          </cell>
          <cell r="Y117">
            <v>-0.15352697095435686</v>
          </cell>
          <cell r="Z117">
            <v>-0.1029411764705882</v>
          </cell>
          <cell r="AA117">
            <v>0.51366120218579225</v>
          </cell>
          <cell r="AB117">
            <v>-2.8880866425992746E-2</v>
          </cell>
          <cell r="AC117">
            <v>-4.8327137546468446E-2</v>
          </cell>
          <cell r="AD117">
            <v>-2.34375E-2</v>
          </cell>
          <cell r="AE117">
            <v>4.4000000000000039E-2</v>
          </cell>
          <cell r="AF117">
            <v>4.482758620689653E-2</v>
          </cell>
          <cell r="AG117">
            <v>4.482758620689653E-2</v>
          </cell>
          <cell r="AH117">
            <v>4.482758620689653E-2</v>
          </cell>
          <cell r="AI117">
            <v>4.482758620689653E-2</v>
          </cell>
          <cell r="AJ117">
            <v>4.482758620689653E-2</v>
          </cell>
          <cell r="AK117">
            <v>4.482758620689653E-2</v>
          </cell>
          <cell r="AL117">
            <v>4.482758620689653E-2</v>
          </cell>
          <cell r="AM117">
            <v>4.482758620689653E-2</v>
          </cell>
        </row>
        <row r="118">
          <cell r="E118">
            <v>0.13836544150060837</v>
          </cell>
          <cell r="F118">
            <v>-2.6547034136900627E-2</v>
          </cell>
          <cell r="G118">
            <v>-2.5214739061088398E-2</v>
          </cell>
          <cell r="H118">
            <v>4.6703232918536175E-2</v>
          </cell>
          <cell r="I118">
            <v>-3.0551750628927676E-3</v>
          </cell>
          <cell r="J118">
            <v>1.1637720178494737E-2</v>
          </cell>
          <cell r="K118">
            <v>3.4375117628726359E-2</v>
          </cell>
          <cell r="L118">
            <v>4.4595839874147281E-2</v>
          </cell>
          <cell r="M118">
            <v>5.0989217776976847E-2</v>
          </cell>
          <cell r="N118">
            <v>4.7758804520006803E-2</v>
          </cell>
          <cell r="O118">
            <v>5.6007369626898118E-3</v>
          </cell>
          <cell r="P118">
            <v>1.9452336018046301E-2</v>
          </cell>
          <cell r="Q118">
            <v>0.58744235544519352</v>
          </cell>
          <cell r="R118">
            <v>5.0955414012738842E-2</v>
          </cell>
          <cell r="S118">
            <v>8.8888888888888795E-2</v>
          </cell>
          <cell r="T118">
            <v>8.7198515769944418E-2</v>
          </cell>
          <cell r="U118">
            <v>0.11604095563139927</v>
          </cell>
          <cell r="V118">
            <v>0.10856269113149852</v>
          </cell>
          <cell r="W118">
            <v>4.689655172413798E-2</v>
          </cell>
          <cell r="X118">
            <v>1.9762845849802479E-2</v>
          </cell>
          <cell r="Y118">
            <v>4.3927648578811374E-2</v>
          </cell>
          <cell r="Z118">
            <v>8.2920792079207883E-2</v>
          </cell>
          <cell r="AA118">
            <v>-3.4285714285714475E-3</v>
          </cell>
          <cell r="AB118">
            <v>1.4908256880733939E-2</v>
          </cell>
          <cell r="AC118">
            <v>5.6497175141242861E-2</v>
          </cell>
          <cell r="AD118">
            <v>3.6363636363636376E-2</v>
          </cell>
          <cell r="AE118">
            <v>3.7151702786377694E-2</v>
          </cell>
          <cell r="AF118">
            <v>3.5196687370600444E-2</v>
          </cell>
          <cell r="AG118">
            <v>3.5196687370600444E-2</v>
          </cell>
          <cell r="AH118">
            <v>3.5196687370600444E-2</v>
          </cell>
          <cell r="AI118">
            <v>3.5196687370600444E-2</v>
          </cell>
          <cell r="AJ118">
            <v>3.5196687370600444E-2</v>
          </cell>
          <cell r="AK118">
            <v>3.5196687370600444E-2</v>
          </cell>
          <cell r="AL118">
            <v>3.5196687370600444E-2</v>
          </cell>
          <cell r="AM118">
            <v>3.5196687370600444E-2</v>
          </cell>
        </row>
        <row r="119">
          <cell r="E119">
            <v>0.13810758996236006</v>
          </cell>
          <cell r="F119">
            <v>-2.647702624421544E-2</v>
          </cell>
          <cell r="G119">
            <v>3.266349137811253E-2</v>
          </cell>
          <cell r="H119">
            <v>4.6824076514616619E-2</v>
          </cell>
          <cell r="I119">
            <v>-3.2695498026434899E-3</v>
          </cell>
          <cell r="J119">
            <v>1.1637164750308404E-2</v>
          </cell>
          <cell r="K119">
            <v>3.4298979644656669E-2</v>
          </cell>
          <cell r="L119">
            <v>4.4666246915974872E-2</v>
          </cell>
          <cell r="M119">
            <v>5.0914505455968984E-2</v>
          </cell>
          <cell r="N119">
            <v>4.7932005595275884E-2</v>
          </cell>
          <cell r="O119">
            <v>5.7404300279380038E-3</v>
          </cell>
          <cell r="P119">
            <v>1.9530777602342564E-2</v>
          </cell>
          <cell r="Q119">
            <v>0.58769711677565928</v>
          </cell>
          <cell r="R119">
            <v>-1.8867924528301883E-2</v>
          </cell>
          <cell r="S119">
            <v>-1.6826923076923128E-2</v>
          </cell>
          <cell r="T119">
            <v>-9.0464547677261642E-2</v>
          </cell>
          <cell r="U119">
            <v>0.17473118279569899</v>
          </cell>
          <cell r="V119">
            <v>-9.8398169336384456E-2</v>
          </cell>
          <cell r="W119">
            <v>-7.6142131979695438E-2</v>
          </cell>
          <cell r="X119">
            <v>0.24725274725274726</v>
          </cell>
          <cell r="Y119">
            <v>0.18502202643171817</v>
          </cell>
          <cell r="Z119">
            <v>0.20631970260223054</v>
          </cell>
          <cell r="AA119">
            <v>2.4653312788905923E-2</v>
          </cell>
          <cell r="AB119">
            <v>9.1729323308270772E-2</v>
          </cell>
          <cell r="AC119">
            <v>-7.5757575757575801E-2</v>
          </cell>
          <cell r="AD119">
            <v>3.1296572280178792E-2</v>
          </cell>
          <cell r="AE119">
            <v>1.4999999999999902E-2</v>
          </cell>
          <cell r="AF119">
            <v>7.6073619631901845E-2</v>
          </cell>
          <cell r="AG119">
            <v>7.6073619631901845E-2</v>
          </cell>
          <cell r="AH119">
            <v>7.6073619631901845E-2</v>
          </cell>
          <cell r="AI119">
            <v>7.6073619631901845E-2</v>
          </cell>
          <cell r="AJ119">
            <v>7.6073619631901845E-2</v>
          </cell>
          <cell r="AK119">
            <v>7.6073619631901845E-2</v>
          </cell>
          <cell r="AL119">
            <v>7.6073619631901845E-2</v>
          </cell>
          <cell r="AM119">
            <v>7.6073619631901845E-2</v>
          </cell>
        </row>
        <row r="120">
          <cell r="E120">
            <v>5.5551570836922748E-2</v>
          </cell>
          <cell r="F120">
            <v>4.524726574223803E-2</v>
          </cell>
          <cell r="G120">
            <v>4.2800829151927733E-2</v>
          </cell>
          <cell r="H120">
            <v>3.3564798253919559E-2</v>
          </cell>
          <cell r="I120">
            <v>2.976551419530038E-2</v>
          </cell>
          <cell r="J120">
            <v>2.2763534261911467E-2</v>
          </cell>
          <cell r="K120">
            <v>3.2752696946990234E-2</v>
          </cell>
          <cell r="L120">
            <v>0.11307716444342852</v>
          </cell>
          <cell r="M120">
            <v>3.9694035458961441E-2</v>
          </cell>
          <cell r="N120">
            <v>2.7994750409650271E-2</v>
          </cell>
          <cell r="O120">
            <v>-7.569732168690424E-2</v>
          </cell>
          <cell r="P120">
            <v>0.3833994037082582</v>
          </cell>
          <cell r="Q120">
            <v>0.45415889527082554</v>
          </cell>
          <cell r="R120">
            <v>0.21717171717171713</v>
          </cell>
          <cell r="S120">
            <v>7.8838174273858863E-2</v>
          </cell>
          <cell r="T120">
            <v>-8.4615384615384648E-2</v>
          </cell>
          <cell r="U120">
            <v>-0.10084033613445376</v>
          </cell>
          <cell r="V120">
            <v>4.20560747663552E-2</v>
          </cell>
          <cell r="W120">
            <v>0.20179372197309409</v>
          </cell>
          <cell r="X120">
            <v>0.11567164179104483</v>
          </cell>
          <cell r="Y120">
            <v>-0.23745819397993306</v>
          </cell>
          <cell r="Z120">
            <v>8.7719298245614308E-3</v>
          </cell>
          <cell r="AA120">
            <v>0.15652173913043477</v>
          </cell>
          <cell r="AB120">
            <v>4.5112781954887327E-2</v>
          </cell>
          <cell r="AC120">
            <v>0.1151079136690647</v>
          </cell>
          <cell r="AD120">
            <v>7.6411960132890311E-2</v>
          </cell>
          <cell r="AE120">
            <v>0.12000000000000011</v>
          </cell>
          <cell r="AF120">
            <v>0.12000000000000011</v>
          </cell>
          <cell r="AG120">
            <v>2.9940119760478945E-2</v>
          </cell>
          <cell r="AH120">
            <v>0.14999999999999991</v>
          </cell>
          <cell r="AI120">
            <v>0.14999999999999991</v>
          </cell>
          <cell r="AJ120">
            <v>0.14999999999999991</v>
          </cell>
          <cell r="AK120">
            <v>0.14999999999999991</v>
          </cell>
          <cell r="AL120">
            <v>2.9940119760478945E-2</v>
          </cell>
          <cell r="AM120">
            <v>2.9940119760478945E-2</v>
          </cell>
        </row>
        <row r="121">
          <cell r="E121">
            <v>-6.3453623169574258E-2</v>
          </cell>
          <cell r="F121">
            <v>-0.16339757184810777</v>
          </cell>
          <cell r="G121">
            <v>-0.23737547774335332</v>
          </cell>
          <cell r="H121">
            <v>-0.20374185228782093</v>
          </cell>
          <cell r="I121">
            <v>2.7964173326217256E-2</v>
          </cell>
          <cell r="J121">
            <v>-0.20718459212338658</v>
          </cell>
          <cell r="K121">
            <v>-7.8666723343586042E-2</v>
          </cell>
          <cell r="L121">
            <v>0.25986574475640345</v>
          </cell>
          <cell r="M121">
            <v>2.754810437211197E-2</v>
          </cell>
          <cell r="N121">
            <v>-8.1344064901095026E-2</v>
          </cell>
          <cell r="O121">
            <v>-7.1756616319986977E-2</v>
          </cell>
          <cell r="P121">
            <v>0.3753755637647751</v>
          </cell>
          <cell r="Q121">
            <v>0.79259288761745816</v>
          </cell>
          <cell r="R121">
            <v>7.8864353312302793E-2</v>
          </cell>
          <cell r="S121">
            <v>5.2631578947368363E-2</v>
          </cell>
          <cell r="T121">
            <v>0.15555555555555545</v>
          </cell>
          <cell r="U121">
            <v>-0.11778846153846156</v>
          </cell>
          <cell r="V121">
            <v>0.15258855585831066</v>
          </cell>
          <cell r="W121">
            <v>-0.13711583924349879</v>
          </cell>
          <cell r="X121">
            <v>-5.4794520547945202E-2</v>
          </cell>
          <cell r="Y121">
            <v>0.52753623188405796</v>
          </cell>
          <cell r="Z121">
            <v>-0.12903225806451613</v>
          </cell>
          <cell r="AA121">
            <v>0.2287581699346406</v>
          </cell>
          <cell r="AB121">
            <v>1.2411347517730542E-2</v>
          </cell>
          <cell r="AC121">
            <v>2.9772329246935181E-2</v>
          </cell>
          <cell r="AD121">
            <v>6.6469459311389256E-2</v>
          </cell>
          <cell r="AE121">
            <v>5.4247345973843508E-3</v>
          </cell>
          <cell r="AF121">
            <v>6.2190229371232419E-2</v>
          </cell>
          <cell r="AG121">
            <v>8.1678323406118025E-2</v>
          </cell>
          <cell r="AH121">
            <v>5.9531248992755303E-2</v>
          </cell>
          <cell r="AI121">
            <v>6.6025982405359729E-2</v>
          </cell>
          <cell r="AJ121">
            <v>7.3653693244505325E-2</v>
          </cell>
          <cell r="AK121">
            <v>7.4633657039603118E-2</v>
          </cell>
          <cell r="AL121">
            <v>5.8877998947607368E-2</v>
          </cell>
          <cell r="AM121">
            <v>6.5421153827886824E-2</v>
          </cell>
        </row>
        <row r="122">
          <cell r="E122">
            <v>5.009042340512293E-2</v>
          </cell>
          <cell r="F122">
            <v>-2.7622990177831208E-2</v>
          </cell>
          <cell r="G122">
            <v>-6.1282684984927949E-2</v>
          </cell>
          <cell r="H122">
            <v>-3.422012071557845E-2</v>
          </cell>
          <cell r="I122">
            <v>1.9608077850000738E-2</v>
          </cell>
          <cell r="J122">
            <v>-8.7724565791347242E-4</v>
          </cell>
          <cell r="K122">
            <v>4.1870366831703532E-2</v>
          </cell>
          <cell r="L122">
            <v>5.408166809730508E-2</v>
          </cell>
          <cell r="M122">
            <v>3.4698924482083449E-2</v>
          </cell>
          <cell r="N122">
            <v>6.4370471074368218E-2</v>
          </cell>
          <cell r="O122">
            <v>-4.9000000000000044E-2</v>
          </cell>
          <cell r="P122">
            <v>0.1608832807570979</v>
          </cell>
          <cell r="Q122">
            <v>0.73460144927536231</v>
          </cell>
          <cell r="R122">
            <v>8.2506527415143527E-2</v>
          </cell>
          <cell r="S122">
            <v>3.8591413410515862E-3</v>
          </cell>
          <cell r="T122">
            <v>-9.7068716962998569E-2</v>
          </cell>
          <cell r="U122">
            <v>7.8233102714209579E-2</v>
          </cell>
          <cell r="V122">
            <v>9.5755182625863799E-2</v>
          </cell>
          <cell r="W122">
            <v>-3.2432432432432434E-2</v>
          </cell>
          <cell r="X122">
            <v>3.0726256983240274E-2</v>
          </cell>
          <cell r="Y122">
            <v>8.9430894308943021E-2</v>
          </cell>
          <cell r="Z122">
            <v>3.8557213930348277E-2</v>
          </cell>
          <cell r="AA122">
            <v>9.4211576846307432E-2</v>
          </cell>
          <cell r="AB122">
            <v>2.7727106895293785E-2</v>
          </cell>
          <cell r="AC122">
            <v>1.3489527866524575E-2</v>
          </cell>
          <cell r="AD122">
            <v>3.8448949112537045E-2</v>
          </cell>
          <cell r="AE122">
            <v>3.5356613683831473E-2</v>
          </cell>
          <cell r="AF122">
            <v>6.1589109097176076E-2</v>
          </cell>
          <cell r="AG122">
            <v>5.470674079123472E-2</v>
          </cell>
          <cell r="AH122">
            <v>6.5540448678937935E-2</v>
          </cell>
          <cell r="AI122">
            <v>6.8088035413032877E-2</v>
          </cell>
          <cell r="AJ122">
            <v>7.0912112301914965E-2</v>
          </cell>
          <cell r="AK122">
            <v>7.239521308044905E-2</v>
          </cell>
          <cell r="AL122">
            <v>5.0256493713176864E-2</v>
          </cell>
          <cell r="AM122">
            <v>5.1939716015206194E-2</v>
          </cell>
        </row>
        <row r="123">
          <cell r="E123">
            <v>5.6038983640793516E-2</v>
          </cell>
          <cell r="F123">
            <v>2.9334212261041603E-2</v>
          </cell>
          <cell r="G123">
            <v>-8.1652257444764786E-2</v>
          </cell>
          <cell r="H123">
            <v>-3.138075313807609E-3</v>
          </cell>
          <cell r="I123">
            <v>-1.0842952081147272E-2</v>
          </cell>
          <cell r="J123">
            <v>2.3691654879773871E-2</v>
          </cell>
          <cell r="K123">
            <v>3.5233160621761295E-2</v>
          </cell>
          <cell r="L123">
            <v>4.0040040040040026E-2</v>
          </cell>
          <cell r="M123">
            <v>3.0478023740776461E-2</v>
          </cell>
          <cell r="N123">
            <v>4.9813200498132204E-3</v>
          </cell>
          <cell r="O123">
            <v>0</v>
          </cell>
          <cell r="P123">
            <v>4.9999999999999822E-2</v>
          </cell>
          <cell r="Q123">
            <v>1.0364133811361658</v>
          </cell>
          <cell r="R123">
            <v>9.3541202672605683E-2</v>
          </cell>
          <cell r="S123">
            <v>9.6741344195519385E-2</v>
          </cell>
          <cell r="T123">
            <v>9.4707520891364805E-2</v>
          </cell>
          <cell r="U123">
            <v>5.8524173027989734E-2</v>
          </cell>
          <cell r="V123">
            <v>7.0512820512820484E-2</v>
          </cell>
          <cell r="W123">
            <v>3.2934131736527039E-2</v>
          </cell>
          <cell r="X123">
            <v>5.4347826086956541E-2</v>
          </cell>
          <cell r="Y123">
            <v>2.8178694158075501E-2</v>
          </cell>
          <cell r="Z123">
            <v>7.4197860962566864E-2</v>
          </cell>
          <cell r="AA123">
            <v>4.1692594897324131E-2</v>
          </cell>
          <cell r="AB123">
            <v>7.5866188769414533E-2</v>
          </cell>
          <cell r="AC123">
            <v>7.8289838978345294E-2</v>
          </cell>
          <cell r="AD123">
            <v>2.9866117404737436E-2</v>
          </cell>
          <cell r="AE123">
            <v>2.4000000000000021E-2</v>
          </cell>
          <cell r="AF123">
            <v>4.4002095337873248E-2</v>
          </cell>
          <cell r="AG123">
            <v>4.4002095337873248E-2</v>
          </cell>
          <cell r="AH123">
            <v>4.4002095337873248E-2</v>
          </cell>
          <cell r="AI123">
            <v>4.4002095337873248E-2</v>
          </cell>
          <cell r="AJ123">
            <v>4.4002095337873248E-2</v>
          </cell>
          <cell r="AK123">
            <v>4.4002095337873248E-2</v>
          </cell>
          <cell r="AL123">
            <v>4.4002095337873248E-2</v>
          </cell>
          <cell r="AM123">
            <v>4.4002095337873248E-2</v>
          </cell>
        </row>
        <row r="124">
          <cell r="E124">
            <v>1.1715417538981976E-2</v>
          </cell>
          <cell r="F124">
            <v>-6.3688657252194747E-2</v>
          </cell>
          <cell r="G124">
            <v>-9.0218745183786142E-2</v>
          </cell>
          <cell r="H124">
            <v>3.4629434433913975E-2</v>
          </cell>
          <cell r="I124">
            <v>-3.008459411302733E-2</v>
          </cell>
          <cell r="J124">
            <v>0.11440096663695831</v>
          </cell>
          <cell r="K124">
            <v>0.19615961320678821</v>
          </cell>
          <cell r="L124">
            <v>0.12105797604081436</v>
          </cell>
          <cell r="M124">
            <v>-0.24045752216730765</v>
          </cell>
          <cell r="N124">
            <v>0.11428571428571432</v>
          </cell>
          <cell r="O124">
            <v>0.10256410256410264</v>
          </cell>
          <cell r="P124">
            <v>9.3023255813953432E-2</v>
          </cell>
          <cell r="Q124">
            <v>0.65957446808510634</v>
          </cell>
          <cell r="R124">
            <v>0.22435897435897445</v>
          </cell>
          <cell r="S124">
            <v>0.13612565445026181</v>
          </cell>
          <cell r="T124">
            <v>-7.8341013824884786E-2</v>
          </cell>
          <cell r="U124">
            <v>0.27</v>
          </cell>
          <cell r="V124">
            <v>0.12204724409448819</v>
          </cell>
          <cell r="W124">
            <v>-0.11929824561403513</v>
          </cell>
          <cell r="X124">
            <v>7.1713147410358502E-2</v>
          </cell>
          <cell r="Y124">
            <v>8.5501858736059422E-2</v>
          </cell>
          <cell r="Z124">
            <v>8.2191780821917915E-2</v>
          </cell>
          <cell r="AA124">
            <v>5.0632911392405111E-2</v>
          </cell>
          <cell r="AB124">
            <v>-3.3132530120481896E-2</v>
          </cell>
          <cell r="AC124">
            <v>3.1152647975076775E-3</v>
          </cell>
          <cell r="AD124">
            <v>4.481792717086841E-2</v>
          </cell>
          <cell r="AE124">
            <v>7.8000000000000069E-2</v>
          </cell>
          <cell r="AF124">
            <v>6.4999999999999947E-2</v>
          </cell>
          <cell r="AG124">
            <v>6.4999999999999947E-2</v>
          </cell>
          <cell r="AH124">
            <v>6.4999999999999947E-2</v>
          </cell>
          <cell r="AI124">
            <v>6.4999999999999947E-2</v>
          </cell>
          <cell r="AJ124">
            <v>6.4999999999999947E-2</v>
          </cell>
          <cell r="AK124">
            <v>6.4999999999999947E-2</v>
          </cell>
          <cell r="AL124">
            <v>4.6153846153846212E-2</v>
          </cell>
          <cell r="AM124">
            <v>4.6153846153846212E-2</v>
          </cell>
        </row>
        <row r="125">
          <cell r="E125">
            <v>-8.2999999999999963E-2</v>
          </cell>
          <cell r="F125">
            <v>-6.4000000000000057E-2</v>
          </cell>
          <cell r="G125">
            <v>7.4999999999999956E-2</v>
          </cell>
          <cell r="H125">
            <v>9.6000000000000085E-2</v>
          </cell>
          <cell r="I125">
            <v>2.9999999999998916E-3</v>
          </cell>
          <cell r="J125">
            <v>5.4000000000000048E-2</v>
          </cell>
          <cell r="K125">
            <v>2.0999999999999908E-2</v>
          </cell>
          <cell r="L125">
            <v>-4.0000000000000036E-3</v>
          </cell>
          <cell r="M125">
            <v>0.10400000000000009</v>
          </cell>
          <cell r="N125">
            <v>3.9871503402679975E-2</v>
          </cell>
          <cell r="O125">
            <v>6.0283687943262443E-2</v>
          </cell>
          <cell r="P125">
            <v>3.6789297658862852E-2</v>
          </cell>
          <cell r="Q125">
            <v>1.2000000000000002</v>
          </cell>
          <cell r="R125">
            <v>0.12903225806451624</v>
          </cell>
          <cell r="S125">
            <v>0.10519480519480529</v>
          </cell>
          <cell r="T125">
            <v>5.052878965922436E-2</v>
          </cell>
          <cell r="U125">
            <v>7.6062639821029121E-2</v>
          </cell>
          <cell r="V125">
            <v>-0.10395010395010396</v>
          </cell>
          <cell r="W125">
            <v>0.12296983758700697</v>
          </cell>
          <cell r="X125">
            <v>8.3677685950413139E-2</v>
          </cell>
          <cell r="Y125">
            <v>0.14013346043851294</v>
          </cell>
          <cell r="Z125">
            <v>0.11371237458193972</v>
          </cell>
          <cell r="AA125">
            <v>3.0030030030030019E-2</v>
          </cell>
          <cell r="AB125">
            <v>0.11953352769679304</v>
          </cell>
          <cell r="AC125">
            <v>8.7890625E-2</v>
          </cell>
          <cell r="AD125">
            <v>9.7451267076829939E-2</v>
          </cell>
          <cell r="AE125">
            <v>0.10352100335848768</v>
          </cell>
          <cell r="AF125">
            <v>0.1059792297750215</v>
          </cell>
          <cell r="AG125">
            <v>0.10921990817262239</v>
          </cell>
          <cell r="AH125">
            <v>4.6961875114963858E-2</v>
          </cell>
          <cell r="AI125">
            <v>4.6996270329654255E-2</v>
          </cell>
          <cell r="AJ125">
            <v>4.7030578311028082E-2</v>
          </cell>
          <cell r="AK125">
            <v>4.7064797034843231E-2</v>
          </cell>
          <cell r="AL125">
            <v>4.7098924499648476E-2</v>
          </cell>
          <cell r="AM125">
            <v>4.7132958727200025E-2</v>
          </cell>
        </row>
        <row r="126">
          <cell r="E126" t="str">
            <v>…</v>
          </cell>
          <cell r="F126" t="str">
            <v>…</v>
          </cell>
          <cell r="G126" t="str">
            <v>…</v>
          </cell>
          <cell r="H126" t="str">
            <v>…</v>
          </cell>
          <cell r="I126" t="str">
            <v>…</v>
          </cell>
          <cell r="J126" t="str">
            <v>…</v>
          </cell>
          <cell r="K126" t="str">
            <v>…</v>
          </cell>
          <cell r="L126" t="str">
            <v>…</v>
          </cell>
          <cell r="M126" t="str">
            <v>…</v>
          </cell>
          <cell r="N126" t="str">
            <v>…</v>
          </cell>
          <cell r="O126">
            <v>2.4166359731095266E-2</v>
          </cell>
          <cell r="P126">
            <v>2.3809523809523725E-2</v>
          </cell>
          <cell r="Q126">
            <v>1.9651162790697674</v>
          </cell>
          <cell r="R126">
            <v>0.1215686274509804</v>
          </cell>
          <cell r="S126">
            <v>0.11013986013986021</v>
          </cell>
          <cell r="T126">
            <v>3.1496062992125928E-2</v>
          </cell>
          <cell r="U126">
            <v>2.7480916030534264E-2</v>
          </cell>
          <cell r="V126">
            <v>-0.20802377414561668</v>
          </cell>
          <cell r="W126">
            <v>0.18386491557223272</v>
          </cell>
          <cell r="X126">
            <v>6.3391442155309008E-2</v>
          </cell>
          <cell r="Y126">
            <v>8.0476900149031305E-2</v>
          </cell>
          <cell r="Z126">
            <v>0.15448275862068961</v>
          </cell>
          <cell r="AA126">
            <v>-0.10035842293906805</v>
          </cell>
          <cell r="AB126">
            <v>8.3665338645418252E-2</v>
          </cell>
          <cell r="AC126">
            <v>2.3284313725490113E-2</v>
          </cell>
          <cell r="AD126">
            <v>4.2923433874709982E-2</v>
          </cell>
          <cell r="AE126">
            <v>4.1156840934371441E-2</v>
          </cell>
          <cell r="AF126">
            <v>3.9529914529914612E-2</v>
          </cell>
          <cell r="AG126">
            <v>3.9529914529914612E-2</v>
          </cell>
          <cell r="AH126">
            <v>3.9529914529914612E-2</v>
          </cell>
          <cell r="AI126">
            <v>3.9529914529914612E-2</v>
          </cell>
          <cell r="AJ126">
            <v>3.9529914529914612E-2</v>
          </cell>
          <cell r="AK126">
            <v>3.9529914529914612E-2</v>
          </cell>
          <cell r="AL126">
            <v>3.9529914529914612E-2</v>
          </cell>
          <cell r="AM126">
            <v>3.9529914529914612E-2</v>
          </cell>
        </row>
        <row r="127">
          <cell r="E127" t="str">
            <v>…</v>
          </cell>
          <cell r="F127" t="str">
            <v>…</v>
          </cell>
          <cell r="G127" t="str">
            <v>…</v>
          </cell>
          <cell r="H127" t="str">
            <v>…</v>
          </cell>
          <cell r="I127" t="str">
            <v>…</v>
          </cell>
          <cell r="J127" t="str">
            <v>…</v>
          </cell>
          <cell r="K127" t="str">
            <v>…</v>
          </cell>
          <cell r="L127" t="str">
            <v>…</v>
          </cell>
          <cell r="M127" t="str">
            <v>…</v>
          </cell>
          <cell r="N127" t="str">
            <v>…</v>
          </cell>
          <cell r="O127">
            <v>0.11050688445656442</v>
          </cell>
          <cell r="P127">
            <v>5.3435114503816772E-2</v>
          </cell>
          <cell r="Q127">
            <v>0.24637681159420288</v>
          </cell>
          <cell r="R127">
            <v>0.15116279069767447</v>
          </cell>
          <cell r="S127">
            <v>9.0909090909090828E-2</v>
          </cell>
          <cell r="T127">
            <v>0.1064814814814814</v>
          </cell>
          <cell r="U127">
            <v>0.20920502092050208</v>
          </cell>
          <cell r="V127">
            <v>0.1384083044982698</v>
          </cell>
          <cell r="W127">
            <v>2.4316109422492405E-2</v>
          </cell>
          <cell r="X127">
            <v>0.12166172106824935</v>
          </cell>
          <cell r="Y127">
            <v>0.24603174603174605</v>
          </cell>
          <cell r="Z127">
            <v>5.0955414012738842E-2</v>
          </cell>
          <cell r="AA127">
            <v>0.25050505050505056</v>
          </cell>
          <cell r="AB127">
            <v>0.16316639741518579</v>
          </cell>
          <cell r="AC127">
            <v>0.1611111111111112</v>
          </cell>
          <cell r="AD127">
            <v>0.15191387559808622</v>
          </cell>
          <cell r="AE127">
            <v>0.15991692627206655</v>
          </cell>
          <cell r="AF127">
            <v>0.15991692627206655</v>
          </cell>
          <cell r="AG127">
            <v>0.15991692627206655</v>
          </cell>
          <cell r="AH127">
            <v>5.1807228915662584E-2</v>
          </cell>
          <cell r="AI127">
            <v>5.1807228915662584E-2</v>
          </cell>
          <cell r="AJ127">
            <v>5.1807228915662584E-2</v>
          </cell>
          <cell r="AK127">
            <v>5.1807228915662584E-2</v>
          </cell>
          <cell r="AL127">
            <v>5.1807228915662584E-2</v>
          </cell>
          <cell r="AM127">
            <v>5.1807228915662584E-2</v>
          </cell>
        </row>
        <row r="128">
          <cell r="E128" t="str">
            <v>…</v>
          </cell>
          <cell r="F128" t="str">
            <v>…</v>
          </cell>
          <cell r="G128" t="str">
            <v>…</v>
          </cell>
          <cell r="H128" t="str">
            <v>…</v>
          </cell>
          <cell r="I128" t="str">
            <v>…</v>
          </cell>
          <cell r="J128" t="str">
            <v>…</v>
          </cell>
          <cell r="K128" t="str">
            <v>…</v>
          </cell>
          <cell r="L128" t="str">
            <v>…</v>
          </cell>
          <cell r="M128" t="str">
            <v>…</v>
          </cell>
          <cell r="N128" t="str">
            <v>…</v>
          </cell>
          <cell r="O128">
            <v>0.22335120722340118</v>
          </cell>
          <cell r="P128">
            <v>-2.1262580470332804E-2</v>
          </cell>
          <cell r="Q128">
            <v>0.21501394453464728</v>
          </cell>
          <cell r="R128">
            <v>6.4638783269961975E-2</v>
          </cell>
          <cell r="S128">
            <v>0.16071428571428581</v>
          </cell>
          <cell r="T128">
            <v>0.1692307692307693</v>
          </cell>
          <cell r="U128">
            <v>0.11315789473684212</v>
          </cell>
          <cell r="V128">
            <v>6.3829787234042534E-2</v>
          </cell>
          <cell r="W128">
            <v>2.4444444444444491E-2</v>
          </cell>
          <cell r="X128">
            <v>6.0737527114967493E-2</v>
          </cell>
          <cell r="Y128">
            <v>1.8404907975460016E-2</v>
          </cell>
          <cell r="Z128">
            <v>3.2128514056224855E-2</v>
          </cell>
          <cell r="AA128">
            <v>9.7276264591439787E-2</v>
          </cell>
          <cell r="AB128">
            <v>0.14539007092198575</v>
          </cell>
          <cell r="AC128">
            <v>0.21981424148606821</v>
          </cell>
          <cell r="AD128">
            <v>2.5547445255474477E-2</v>
          </cell>
          <cell r="AE128">
            <v>3.5587188612099752E-2</v>
          </cell>
          <cell r="AF128">
            <v>3.7800687285223455E-2</v>
          </cell>
          <cell r="AG128">
            <v>3.7800687285223455E-2</v>
          </cell>
          <cell r="AH128">
            <v>3.7800687285223455E-2</v>
          </cell>
          <cell r="AI128">
            <v>3.7800687285223455E-2</v>
          </cell>
          <cell r="AJ128">
            <v>3.7800687285223455E-2</v>
          </cell>
          <cell r="AK128">
            <v>3.7800687285223455E-2</v>
          </cell>
          <cell r="AL128">
            <v>3.7800687285223455E-2</v>
          </cell>
          <cell r="AM128">
            <v>3.7800687285223455E-2</v>
          </cell>
        </row>
        <row r="129">
          <cell r="E129" t="str">
            <v>…</v>
          </cell>
          <cell r="F129" t="str">
            <v>…</v>
          </cell>
          <cell r="G129" t="str">
            <v>…</v>
          </cell>
          <cell r="H129" t="str">
            <v>…</v>
          </cell>
          <cell r="I129" t="str">
            <v>…</v>
          </cell>
          <cell r="J129" t="str">
            <v>…</v>
          </cell>
          <cell r="K129" t="str">
            <v>…</v>
          </cell>
          <cell r="L129" t="str">
            <v>…</v>
          </cell>
          <cell r="M129" t="str">
            <v>…</v>
          </cell>
          <cell r="N129" t="str">
            <v>…</v>
          </cell>
          <cell r="O129">
            <v>1.9368812212439357E-2</v>
          </cell>
          <cell r="P129">
            <v>3.5280253025108621E-2</v>
          </cell>
          <cell r="Q129">
            <v>1.2264529058116231</v>
          </cell>
          <cell r="R129">
            <v>2.7902790279027867E-2</v>
          </cell>
          <cell r="S129">
            <v>7.7057793345008729E-2</v>
          </cell>
          <cell r="T129">
            <v>4.471544715447151E-2</v>
          </cell>
          <cell r="U129">
            <v>-3.268482490272373E-2</v>
          </cell>
          <cell r="V129">
            <v>2.3330651649235756E-2</v>
          </cell>
          <cell r="W129">
            <v>3.6949685534591215E-2</v>
          </cell>
          <cell r="X129">
            <v>1.4404852160727843E-2</v>
          </cell>
          <cell r="Y129">
            <v>4.1106128550074672E-2</v>
          </cell>
          <cell r="Z129">
            <v>7.2505384063173084E-2</v>
          </cell>
          <cell r="AA129">
            <v>5.2208835341365445E-2</v>
          </cell>
          <cell r="AB129">
            <v>7.0610687022900853E-2</v>
          </cell>
          <cell r="AC129">
            <v>2.3172905525846721E-2</v>
          </cell>
          <cell r="AD129">
            <v>3.0236809297300438E-2</v>
          </cell>
          <cell r="AE129">
            <v>2.941394294844768E-2</v>
          </cell>
          <cell r="AF129">
            <v>3.0232949772489803E-2</v>
          </cell>
          <cell r="AG129">
            <v>3.0251836914743313E-2</v>
          </cell>
          <cell r="AH129">
            <v>3.0270709372896443E-2</v>
          </cell>
          <cell r="AI129">
            <v>3.0289566467224249E-2</v>
          </cell>
          <cell r="AJ129">
            <v>3.0308407520243108E-2</v>
          </cell>
          <cell r="AK129">
            <v>3.032723185680708E-2</v>
          </cell>
          <cell r="AL129">
            <v>3.0346038804201836E-2</v>
          </cell>
          <cell r="AM129">
            <v>3.0364827692239915E-2</v>
          </cell>
        </row>
        <row r="130">
          <cell r="E130" t="str">
            <v>…</v>
          </cell>
          <cell r="F130" t="str">
            <v>…</v>
          </cell>
          <cell r="G130" t="str">
            <v>…</v>
          </cell>
          <cell r="H130" t="str">
            <v>…</v>
          </cell>
          <cell r="I130" t="str">
            <v>…</v>
          </cell>
          <cell r="J130" t="str">
            <v>…</v>
          </cell>
          <cell r="K130" t="str">
            <v>…</v>
          </cell>
          <cell r="L130" t="str">
            <v>…</v>
          </cell>
          <cell r="M130" t="str">
            <v>…</v>
          </cell>
          <cell r="N130" t="str">
            <v>…</v>
          </cell>
          <cell r="O130">
            <v>2.5050510720445729E-2</v>
          </cell>
          <cell r="P130">
            <v>2.5050754613080262E-2</v>
          </cell>
          <cell r="Q130">
            <v>0.83659386756660958</v>
          </cell>
          <cell r="R130">
            <v>3.6971830985915499E-2</v>
          </cell>
          <cell r="S130">
            <v>2.8862478777589073E-2</v>
          </cell>
          <cell r="T130">
            <v>3.630363036303641E-2</v>
          </cell>
          <cell r="U130">
            <v>2.5477707006369421E-2</v>
          </cell>
          <cell r="V130">
            <v>2.4844720496894457E-2</v>
          </cell>
          <cell r="W130">
            <v>2.5757575757575868E-2</v>
          </cell>
          <cell r="X130">
            <v>2.5110782865583436E-2</v>
          </cell>
          <cell r="Y130">
            <v>2.4495677233429491E-2</v>
          </cell>
          <cell r="Z130">
            <v>4.0787623066104173E-2</v>
          </cell>
          <cell r="AA130">
            <v>2.5675675675675746E-2</v>
          </cell>
          <cell r="AB130">
            <v>2.5032938076416267E-2</v>
          </cell>
          <cell r="AC130">
            <v>2.4421593830334265E-2</v>
          </cell>
          <cell r="AD130">
            <v>2.414231257941557E-2</v>
          </cell>
          <cell r="AE130">
            <v>2.2277227722772297E-2</v>
          </cell>
          <cell r="AF130">
            <v>2.5423728813559254E-2</v>
          </cell>
          <cell r="AG130">
            <v>2.5423728813559254E-2</v>
          </cell>
          <cell r="AH130">
            <v>2.5423728813559254E-2</v>
          </cell>
          <cell r="AI130">
            <v>2.5423728813559254E-2</v>
          </cell>
          <cell r="AJ130">
            <v>2.5423728813559254E-2</v>
          </cell>
          <cell r="AK130">
            <v>2.5423728813559254E-2</v>
          </cell>
          <cell r="AL130">
            <v>2.5423728813559254E-2</v>
          </cell>
          <cell r="AM130">
            <v>2.5423728813559254E-2</v>
          </cell>
        </row>
        <row r="131">
          <cell r="E131" t="str">
            <v>…</v>
          </cell>
          <cell r="F131" t="str">
            <v>…</v>
          </cell>
          <cell r="G131" t="str">
            <v>…</v>
          </cell>
          <cell r="H131" t="str">
            <v>…</v>
          </cell>
          <cell r="I131" t="str">
            <v>…</v>
          </cell>
          <cell r="J131" t="str">
            <v>…</v>
          </cell>
          <cell r="K131" t="str">
            <v>…</v>
          </cell>
          <cell r="L131" t="str">
            <v>…</v>
          </cell>
          <cell r="M131" t="str">
            <v>…</v>
          </cell>
          <cell r="N131" t="str">
            <v>…</v>
          </cell>
          <cell r="O131">
            <v>1.0000000000000231E-2</v>
          </cell>
          <cell r="P131">
            <v>5.239949699480273E-2</v>
          </cell>
          <cell r="Q131">
            <v>1.8619339300702649</v>
          </cell>
          <cell r="R131">
            <v>1.8416206261510082E-2</v>
          </cell>
          <cell r="S131">
            <v>0.12839059674502717</v>
          </cell>
          <cell r="T131">
            <v>5.2884615384615419E-2</v>
          </cell>
          <cell r="U131">
            <v>-8.8280060882800604E-2</v>
          </cell>
          <cell r="V131">
            <v>2.1702838063438978E-2</v>
          </cell>
          <cell r="W131">
            <v>4.9019607843137303E-2</v>
          </cell>
          <cell r="X131">
            <v>3.1152647975076775E-3</v>
          </cell>
          <cell r="Y131">
            <v>5.9006211180124168E-2</v>
          </cell>
          <cell r="Z131">
            <v>0.10557184750733128</v>
          </cell>
          <cell r="AA131">
            <v>7.8249336870026553E-2</v>
          </cell>
          <cell r="AB131">
            <v>0.11316113161131613</v>
          </cell>
          <cell r="AC131">
            <v>2.2099447513812098E-2</v>
          </cell>
          <cell r="AD131">
            <v>3.5487959442332073E-2</v>
          </cell>
          <cell r="AE131">
            <v>3.5495716034271707E-2</v>
          </cell>
          <cell r="AF131">
            <v>3.4278959810874809E-2</v>
          </cell>
          <cell r="AG131">
            <v>3.4278959810874809E-2</v>
          </cell>
          <cell r="AH131">
            <v>3.4278959810874809E-2</v>
          </cell>
          <cell r="AI131">
            <v>3.4278959810874809E-2</v>
          </cell>
          <cell r="AJ131">
            <v>3.4278959810874809E-2</v>
          </cell>
          <cell r="AK131">
            <v>3.4278959810874809E-2</v>
          </cell>
          <cell r="AL131">
            <v>3.4278959810874809E-2</v>
          </cell>
          <cell r="AM131">
            <v>3.4278959810874809E-2</v>
          </cell>
        </row>
        <row r="132">
          <cell r="E132">
            <v>0.17330769440657945</v>
          </cell>
          <cell r="F132">
            <v>3.6971090378446592E-2</v>
          </cell>
          <cell r="G132">
            <v>4.3254627660423761E-2</v>
          </cell>
          <cell r="H132">
            <v>4.3404985126404672E-2</v>
          </cell>
          <cell r="I132">
            <v>1.2934123930868013E-2</v>
          </cell>
          <cell r="J132">
            <v>1.2947615706567328E-2</v>
          </cell>
          <cell r="K132">
            <v>2.2346274841891889E-2</v>
          </cell>
          <cell r="L132">
            <v>2.2347775134825776E-2</v>
          </cell>
          <cell r="M132">
            <v>1.5301454120912883E-2</v>
          </cell>
          <cell r="N132">
            <v>2.2300128805961439E-2</v>
          </cell>
          <cell r="O132">
            <v>1.817918380160255E-2</v>
          </cell>
          <cell r="P132">
            <v>1.2644312862815976E-2</v>
          </cell>
          <cell r="Q132">
            <v>0.63146304285481025</v>
          </cell>
          <cell r="R132">
            <v>8.4112149532710179E-2</v>
          </cell>
          <cell r="S132">
            <v>-1.7241379310344862E-2</v>
          </cell>
          <cell r="T132">
            <v>5.2631578947368363E-2</v>
          </cell>
          <cell r="U132">
            <v>1.6666666666666607E-2</v>
          </cell>
          <cell r="V132">
            <v>0</v>
          </cell>
          <cell r="W132">
            <v>0</v>
          </cell>
          <cell r="X132">
            <v>9.0163934426229497E-2</v>
          </cell>
          <cell r="Y132">
            <v>0</v>
          </cell>
          <cell r="Z132">
            <v>3.007518796992481E-2</v>
          </cell>
          <cell r="AA132">
            <v>5.1094890510948954E-2</v>
          </cell>
          <cell r="AB132">
            <v>-6.25E-2</v>
          </cell>
          <cell r="AC132">
            <v>0.125925925925926</v>
          </cell>
          <cell r="AD132">
            <v>4.4585987261146487E-2</v>
          </cell>
          <cell r="AE132">
            <v>3.6585365853658569E-2</v>
          </cell>
          <cell r="AF132">
            <v>3.529411764705892E-2</v>
          </cell>
          <cell r="AG132">
            <v>3.529411764705892E-2</v>
          </cell>
          <cell r="AH132">
            <v>3.529411764705892E-2</v>
          </cell>
          <cell r="AI132">
            <v>3.529411764705892E-2</v>
          </cell>
          <cell r="AJ132">
            <v>3.529411764705892E-2</v>
          </cell>
          <cell r="AK132">
            <v>3.529411764705892E-2</v>
          </cell>
          <cell r="AL132">
            <v>3.529411764705892E-2</v>
          </cell>
          <cell r="AM132">
            <v>3.529411764705892E-2</v>
          </cell>
        </row>
        <row r="133">
          <cell r="E133">
            <v>0.26748732949612886</v>
          </cell>
          <cell r="F133">
            <v>0.16588382967170912</v>
          </cell>
          <cell r="G133">
            <v>4.9575185334096217E-2</v>
          </cell>
          <cell r="H133">
            <v>2.929205752832531E-2</v>
          </cell>
          <cell r="I133">
            <v>2.8706865178806273E-2</v>
          </cell>
          <cell r="J133">
            <v>2.5250574454906971E-2</v>
          </cell>
          <cell r="K133">
            <v>3.0912398497767057E-2</v>
          </cell>
          <cell r="L133">
            <v>2.0454065500263185E-2</v>
          </cell>
          <cell r="M133">
            <v>2.2539018502037544E-2</v>
          </cell>
          <cell r="N133">
            <v>7.8104853550138076E-2</v>
          </cell>
          <cell r="O133">
            <v>0.14792417828650506</v>
          </cell>
          <cell r="P133">
            <v>6.8779851852163176E-5</v>
          </cell>
          <cell r="Q133">
            <v>0.84924965893588</v>
          </cell>
          <cell r="R133">
            <v>2.323865732202135E-2</v>
          </cell>
          <cell r="S133">
            <v>2.1629416005768398E-3</v>
          </cell>
          <cell r="T133">
            <v>3.4532374100719521E-2</v>
          </cell>
          <cell r="U133">
            <v>3.6161335187760768E-2</v>
          </cell>
          <cell r="V133">
            <v>2.6510067114093872E-2</v>
          </cell>
          <cell r="W133">
            <v>3.3344230140568865E-2</v>
          </cell>
          <cell r="X133">
            <v>2.3726668775703841E-2</v>
          </cell>
          <cell r="Y133">
            <v>1.3906056860321314E-2</v>
          </cell>
          <cell r="Z133">
            <v>3.870771106370019E-2</v>
          </cell>
          <cell r="AA133">
            <v>1.9659624413145504E-2</v>
          </cell>
          <cell r="AB133">
            <v>5.4100719424460486E-2</v>
          </cell>
          <cell r="AC133">
            <v>4.8867048867048846E-2</v>
          </cell>
          <cell r="AD133">
            <v>1.0000000000000231E-2</v>
          </cell>
          <cell r="AE133">
            <v>9.9999999999997868E-3</v>
          </cell>
          <cell r="AF133">
            <v>9.9999999999997868E-3</v>
          </cell>
          <cell r="AG133">
            <v>1.0000000000000009E-2</v>
          </cell>
          <cell r="AH133">
            <v>1.0000000000000009E-2</v>
          </cell>
          <cell r="AI133">
            <v>1.0000000000000009E-2</v>
          </cell>
          <cell r="AJ133">
            <v>1.0000000000000231E-2</v>
          </cell>
          <cell r="AK133">
            <v>1.0000000000000009E-2</v>
          </cell>
          <cell r="AL133">
            <v>9.9999999999997868E-3</v>
          </cell>
          <cell r="AM133">
            <v>1.0000000000000231E-2</v>
          </cell>
        </row>
        <row r="134">
          <cell r="E134">
            <v>-3.3612740096340299E-2</v>
          </cell>
          <cell r="F134">
            <v>2.1132728566442438E-2</v>
          </cell>
          <cell r="G134">
            <v>2.9013560001771133E-2</v>
          </cell>
          <cell r="H134">
            <v>2.6819002177853823E-2</v>
          </cell>
          <cell r="I134">
            <v>1.6364073152315584E-2</v>
          </cell>
          <cell r="J134">
            <v>2.5309854909810747E-2</v>
          </cell>
          <cell r="K134">
            <v>3.3718764806972112E-2</v>
          </cell>
          <cell r="L134">
            <v>1.5910225440994408E-2</v>
          </cell>
          <cell r="M134">
            <v>0.635825249955428</v>
          </cell>
          <cell r="N134">
            <v>-0.23285980784144378</v>
          </cell>
          <cell r="O134">
            <v>2.4756087640817492E-2</v>
          </cell>
          <cell r="P134">
            <v>0.91165351299103903</v>
          </cell>
          <cell r="Q134">
            <v>-5.5592405276938317E-2</v>
          </cell>
          <cell r="R134">
            <v>1.9685039370078705E-2</v>
          </cell>
          <cell r="S134">
            <v>1.9305019305019266E-2</v>
          </cell>
          <cell r="T134">
            <v>1.8939393939394034E-2</v>
          </cell>
          <cell r="U134">
            <v>1.8587360594795488E-2</v>
          </cell>
          <cell r="V134">
            <v>2.5547445255474477E-2</v>
          </cell>
          <cell r="W134">
            <v>2.1352313167259718E-2</v>
          </cell>
          <cell r="X134">
            <v>1.7421602787456525E-2</v>
          </cell>
          <cell r="Y134">
            <v>2.0547945205479534E-2</v>
          </cell>
          <cell r="Z134">
            <v>3.0201342281879207E-2</v>
          </cell>
          <cell r="AA134">
            <v>1.3029315960912058E-2</v>
          </cell>
          <cell r="AB134">
            <v>2.5723472668810254E-2</v>
          </cell>
          <cell r="AC134">
            <v>1.5673981191222541E-2</v>
          </cell>
          <cell r="AD134">
            <v>2.1538461538461506E-2</v>
          </cell>
          <cell r="AE134">
            <v>2.7108433734939652E-2</v>
          </cell>
          <cell r="AF134">
            <v>2.346041055718473E-2</v>
          </cell>
          <cell r="AG134">
            <v>2.346041055718473E-2</v>
          </cell>
          <cell r="AH134">
            <v>2.346041055718473E-2</v>
          </cell>
          <cell r="AI134">
            <v>2.346041055718473E-2</v>
          </cell>
          <cell r="AJ134">
            <v>2.346041055718473E-2</v>
          </cell>
          <cell r="AK134">
            <v>2.346041055718473E-2</v>
          </cell>
          <cell r="AL134">
            <v>2.346041055718473E-2</v>
          </cell>
          <cell r="AM134">
            <v>2.346041055718473E-2</v>
          </cell>
        </row>
        <row r="135">
          <cell r="E135">
            <v>8.6888964469034269E-2</v>
          </cell>
          <cell r="F135">
            <v>6.9167027437161188E-2</v>
          </cell>
          <cell r="G135">
            <v>1.8491727909354827E-2</v>
          </cell>
          <cell r="H135">
            <v>2.9960904000305488E-2</v>
          </cell>
          <cell r="I135">
            <v>1.4896044095440653E-2</v>
          </cell>
          <cell r="J135">
            <v>2.9811091410328228E-2</v>
          </cell>
          <cell r="K135">
            <v>3.5723501177853612E-2</v>
          </cell>
          <cell r="L135">
            <v>2.3283712863125139E-2</v>
          </cell>
          <cell r="M135">
            <v>0.17103022949174762</v>
          </cell>
          <cell r="N135">
            <v>-4.1254120657522542E-2</v>
          </cell>
          <cell r="O135">
            <v>9.2045765869643414E-2</v>
          </cell>
          <cell r="P135">
            <v>5.7079033029580506E-2</v>
          </cell>
          <cell r="Q135">
            <v>0.83935171929997665</v>
          </cell>
          <cell r="R135">
            <v>5.3704302814623128E-2</v>
          </cell>
          <cell r="S135">
            <v>5.280933374270802E-2</v>
          </cell>
          <cell r="T135">
            <v>5.0306211723534666E-2</v>
          </cell>
          <cell r="U135">
            <v>4.2065805914202503E-2</v>
          </cell>
          <cell r="V135">
            <v>2.1449507061017892E-2</v>
          </cell>
          <cell r="W135">
            <v>3.6781009521325236E-2</v>
          </cell>
          <cell r="X135">
            <v>3.9250220153478343E-2</v>
          </cell>
          <cell r="Y135">
            <v>3.9462534802082061E-2</v>
          </cell>
          <cell r="Z135">
            <v>6.1488296261791087E-2</v>
          </cell>
          <cell r="AA135">
            <v>3.609434997257277E-2</v>
          </cell>
          <cell r="AB135">
            <v>6.9885641677255306E-2</v>
          </cell>
          <cell r="AC135">
            <v>6.5221694378464035E-2</v>
          </cell>
          <cell r="AD135">
            <v>3.3415139264872717E-2</v>
          </cell>
          <cell r="AE135">
            <v>3.5837655083079234E-2</v>
          </cell>
          <cell r="AF135">
            <v>4.0619077455861463E-2</v>
          </cell>
          <cell r="AG135">
            <v>4.2300213018869659E-2</v>
          </cell>
          <cell r="AH135">
            <v>3.1117406550529525E-2</v>
          </cell>
          <cell r="AI135">
            <v>3.1384504748466657E-2</v>
          </cell>
          <cell r="AJ135">
            <v>3.1651239818548227E-2</v>
          </cell>
          <cell r="AK135">
            <v>3.1917527859323558E-2</v>
          </cell>
          <cell r="AL135">
            <v>3.1478358817119467E-2</v>
          </cell>
          <cell r="AM135">
            <v>3.1711231556751818E-2</v>
          </cell>
        </row>
        <row r="136">
          <cell r="E136" t="str">
            <v>…</v>
          </cell>
          <cell r="F136" t="str">
            <v>…</v>
          </cell>
          <cell r="G136" t="str">
            <v>…</v>
          </cell>
          <cell r="H136" t="str">
            <v>…</v>
          </cell>
          <cell r="I136" t="str">
            <v>…</v>
          </cell>
          <cell r="J136" t="str">
            <v>…</v>
          </cell>
          <cell r="K136" t="str">
            <v>…</v>
          </cell>
          <cell r="L136" t="str">
            <v>…</v>
          </cell>
          <cell r="M136" t="str">
            <v>…</v>
          </cell>
          <cell r="N136" t="str">
            <v>…</v>
          </cell>
          <cell r="O136">
            <v>0.22076972816396467</v>
          </cell>
          <cell r="P136">
            <v>-1.818271328268295E-2</v>
          </cell>
          <cell r="Q136">
            <v>-0.63677857256585457</v>
          </cell>
          <cell r="R136">
            <v>0.20289855072463769</v>
          </cell>
          <cell r="S136">
            <v>0.31325301204819267</v>
          </cell>
          <cell r="T136">
            <v>0.14678899082568808</v>
          </cell>
          <cell r="U136">
            <v>9.6000000000000085E-2</v>
          </cell>
          <cell r="V136">
            <v>5.1094890510948954E-2</v>
          </cell>
          <cell r="W136">
            <v>5.555555555555558E-2</v>
          </cell>
          <cell r="X136">
            <v>-6.5789473684210176E-3</v>
          </cell>
          <cell r="Y136">
            <v>4.635761589403975E-2</v>
          </cell>
          <cell r="Z136">
            <v>-1.8987341772151889E-2</v>
          </cell>
          <cell r="AA136">
            <v>0.14838709677419359</v>
          </cell>
          <cell r="AB136">
            <v>0.15730337078651679</v>
          </cell>
          <cell r="AC136">
            <v>0.13106796116504849</v>
          </cell>
          <cell r="AD136">
            <v>8.247422680412364E-2</v>
          </cell>
          <cell r="AE136">
            <v>7.6190476190476142E-2</v>
          </cell>
          <cell r="AF136">
            <v>7.9646017699114946E-2</v>
          </cell>
          <cell r="AG136">
            <v>7.9646017699114946E-2</v>
          </cell>
          <cell r="AH136">
            <v>7.9646017699114946E-2</v>
          </cell>
          <cell r="AI136">
            <v>7.9646017699114946E-2</v>
          </cell>
          <cell r="AJ136">
            <v>7.9646017699114946E-2</v>
          </cell>
          <cell r="AK136">
            <v>7.9646017699114946E-2</v>
          </cell>
          <cell r="AL136">
            <v>7.9646017699114946E-2</v>
          </cell>
          <cell r="AM136">
            <v>7.9646017699114946E-2</v>
          </cell>
        </row>
        <row r="137">
          <cell r="E137">
            <v>3.9884935339351557E-3</v>
          </cell>
          <cell r="F137">
            <v>-2.2820153113860542E-3</v>
          </cell>
          <cell r="G137">
            <v>-9.2689229435782838E-3</v>
          </cell>
          <cell r="H137">
            <v>-2.9604154766882385E-3</v>
          </cell>
          <cell r="I137">
            <v>8.4855058879851342E-3</v>
          </cell>
          <cell r="J137">
            <v>3.4555948261267844E-2</v>
          </cell>
          <cell r="K137">
            <v>3.7014359136246844E-2</v>
          </cell>
          <cell r="L137">
            <v>1.5716374576372427E-2</v>
          </cell>
          <cell r="M137">
            <v>9.6085070918361382E-3</v>
          </cell>
          <cell r="N137">
            <v>-1.7448150947402596E-2</v>
          </cell>
          <cell r="O137">
            <v>8.5782077021354208E-2</v>
          </cell>
          <cell r="P137">
            <v>6.9087241553202228E-2</v>
          </cell>
          <cell r="Q137">
            <v>0.59449685534591201</v>
          </cell>
          <cell r="R137">
            <v>7.4943299477369107E-2</v>
          </cell>
          <cell r="S137">
            <v>3.2107146133382169E-2</v>
          </cell>
          <cell r="T137">
            <v>2.6131010576837532E-2</v>
          </cell>
          <cell r="U137">
            <v>3.3521004763967133E-2</v>
          </cell>
          <cell r="V137">
            <v>3.3858531679517245E-2</v>
          </cell>
          <cell r="W137">
            <v>3.145265888456561E-2</v>
          </cell>
          <cell r="X137">
            <v>3.8274127632819788E-2</v>
          </cell>
          <cell r="Y137">
            <v>2.0967375671788746E-2</v>
          </cell>
          <cell r="Z137">
            <v>7.0507117437722311E-2</v>
          </cell>
          <cell r="AA137">
            <v>3.7883509938361426E-2</v>
          </cell>
          <cell r="AB137">
            <v>7.3468570665954802E-2</v>
          </cell>
          <cell r="AC137">
            <v>4.525393174613046E-2</v>
          </cell>
          <cell r="AD137">
            <v>3.643291101865942E-2</v>
          </cell>
          <cell r="AE137">
            <v>3.6746235499263591E-2</v>
          </cell>
          <cell r="AF137">
            <v>4.0243576180632123E-2</v>
          </cell>
          <cell r="AG137">
            <v>4.5245711731821903E-2</v>
          </cell>
          <cell r="AH137">
            <v>3.9206064916911698E-2</v>
          </cell>
          <cell r="AI137">
            <v>4.0962106532936193E-2</v>
          </cell>
          <cell r="AJ137">
            <v>4.2340166422001557E-2</v>
          </cell>
          <cell r="AK137">
            <v>4.3695248227877848E-2</v>
          </cell>
          <cell r="AL137">
            <v>4.03129781135243E-2</v>
          </cell>
          <cell r="AM137">
            <v>4.2195706109819042E-2</v>
          </cell>
        </row>
        <row r="138">
          <cell r="E138">
            <v>6.5300896286811794E-2</v>
          </cell>
          <cell r="F138">
            <v>-4.3269230769230838E-2</v>
          </cell>
          <cell r="G138">
            <v>-9.4221105527638183E-2</v>
          </cell>
          <cell r="H138">
            <v>1.1095700416088761E-2</v>
          </cell>
          <cell r="I138">
            <v>-8.9163237311385424E-2</v>
          </cell>
          <cell r="J138">
            <v>0.15662650602409633</v>
          </cell>
          <cell r="K138">
            <v>2.734375E-2</v>
          </cell>
          <cell r="L138">
            <v>-5.9569074778200282E-2</v>
          </cell>
          <cell r="M138">
            <v>5.3908355795148299E-2</v>
          </cell>
          <cell r="N138">
            <v>1.406649616368294E-2</v>
          </cell>
          <cell r="O138">
            <v>2.0176544766708604E-2</v>
          </cell>
          <cell r="P138">
            <v>7.5401730531520439E-2</v>
          </cell>
          <cell r="Q138">
            <v>0.1206896551724137</v>
          </cell>
          <cell r="R138">
            <v>5.84890333062551E-2</v>
          </cell>
          <cell r="S138">
            <v>0.11665387567152719</v>
          </cell>
          <cell r="T138">
            <v>7.6288659793814384E-2</v>
          </cell>
          <cell r="U138">
            <v>0.10664112388250313</v>
          </cell>
          <cell r="V138">
            <v>2.6543566070398095E-2</v>
          </cell>
          <cell r="W138">
            <v>4.8903878583473892E-2</v>
          </cell>
          <cell r="X138">
            <v>1.2325830653804992E-2</v>
          </cell>
          <cell r="Y138">
            <v>4.499735309687658E-2</v>
          </cell>
          <cell r="Z138">
            <v>4.1033434650455947E-2</v>
          </cell>
          <cell r="AA138">
            <v>1.3625304136253069E-2</v>
          </cell>
          <cell r="AB138">
            <v>1.1041766682669207E-2</v>
          </cell>
          <cell r="AC138">
            <v>1.3295346628680038E-2</v>
          </cell>
          <cell r="AD138">
            <v>-1.3526827881501058E-2</v>
          </cell>
          <cell r="AE138">
            <v>0.27488052340862867</v>
          </cell>
          <cell r="AF138">
            <v>3.3576156790569467E-2</v>
          </cell>
          <cell r="AG138">
            <v>0.17260161972017252</v>
          </cell>
          <cell r="AH138">
            <v>0.24378875074708528</v>
          </cell>
          <cell r="AI138">
            <v>0.24734495962215264</v>
          </cell>
          <cell r="AJ138">
            <v>0.25456985632502271</v>
          </cell>
          <cell r="AK138">
            <v>0.22249753543470518</v>
          </cell>
          <cell r="AL138">
            <v>0.13989734110369945</v>
          </cell>
          <cell r="AM138">
            <v>0.15365593285806889</v>
          </cell>
        </row>
        <row r="139">
          <cell r="E139">
            <v>1.3956153650381165E-2</v>
          </cell>
          <cell r="F139">
            <v>-9.2827950946682281E-3</v>
          </cell>
          <cell r="G139">
            <v>-2.3281324663215974E-2</v>
          </cell>
          <cell r="H139">
            <v>-8.1032828094940168E-4</v>
          </cell>
          <cell r="I139">
            <v>-6.6292705868986612E-3</v>
          </cell>
          <cell r="J139">
            <v>5.1881026000692776E-2</v>
          </cell>
          <cell r="K139">
            <v>3.5505166724535631E-2</v>
          </cell>
          <cell r="L139">
            <v>4.0599504177589729E-3</v>
          </cell>
          <cell r="M139">
            <v>1.6032777251593355E-2</v>
          </cell>
          <cell r="N139">
            <v>-1.2707596590383119E-2</v>
          </cell>
          <cell r="O139">
            <v>7.5645816028848678E-2</v>
          </cell>
          <cell r="P139">
            <v>7.0012539445103883E-2</v>
          </cell>
          <cell r="Q139">
            <v>0.52471751121085486</v>
          </cell>
          <cell r="R139">
            <v>7.3162152655645407E-2</v>
          </cell>
          <cell r="S139">
            <v>4.1134054408390686E-2</v>
          </cell>
          <cell r="T139">
            <v>3.1874704863843917E-2</v>
          </cell>
          <cell r="U139">
            <v>4.2254595377926973E-2</v>
          </cell>
          <cell r="V139">
            <v>3.2930845225027428E-2</v>
          </cell>
          <cell r="W139">
            <v>3.3652143110166399E-2</v>
          </cell>
          <cell r="X139">
            <v>3.4955448937628475E-2</v>
          </cell>
          <cell r="Y139">
            <v>2.3973509933774784E-2</v>
          </cell>
          <cell r="Z139">
            <v>6.6744276290259918E-2</v>
          </cell>
          <cell r="AA139">
            <v>3.4861161634533788E-2</v>
          </cell>
          <cell r="AB139">
            <v>6.5850372019450543E-2</v>
          </cell>
          <cell r="AC139">
            <v>4.1554444016929537E-2</v>
          </cell>
          <cell r="AD139">
            <v>3.0806541140937949E-2</v>
          </cell>
          <cell r="AE139">
            <v>6.2411052053453542E-2</v>
          </cell>
          <cell r="AF139">
            <v>3.938129101951815E-2</v>
          </cell>
          <cell r="AG139">
            <v>6.1624426590981107E-2</v>
          </cell>
          <cell r="AH139">
            <v>6.826697353551725E-2</v>
          </cell>
          <cell r="AI139">
            <v>7.5095600639914162E-2</v>
          </cell>
          <cell r="AJ139">
            <v>8.3064385661106188E-2</v>
          </cell>
          <cell r="AK139">
            <v>8.3438213800176131E-2</v>
          </cell>
          <cell r="AL139">
            <v>6.5288938279307374E-2</v>
          </cell>
          <cell r="AM139">
            <v>7.2107970362050189E-2</v>
          </cell>
        </row>
        <row r="140">
          <cell r="U140" t="str">
            <v/>
          </cell>
          <cell r="V140" t="str">
            <v/>
          </cell>
        </row>
        <row r="141">
          <cell r="E141">
            <v>0.11536268515254178</v>
          </cell>
          <cell r="F141">
            <v>7.1670720031738355E-2</v>
          </cell>
          <cell r="G141">
            <v>1.5803602912381809E-2</v>
          </cell>
          <cell r="H141">
            <v>9.6983638277910789E-2</v>
          </cell>
          <cell r="I141">
            <v>5.4631634198002876E-2</v>
          </cell>
          <cell r="J141">
            <v>0.26416637184924574</v>
          </cell>
          <cell r="K141">
            <v>0.32353954024915765</v>
          </cell>
          <cell r="L141">
            <v>0.18762716898269849</v>
          </cell>
          <cell r="M141">
            <v>-1.1487231730376912E-2</v>
          </cell>
          <cell r="N141">
            <v>-8.9106078115572807E-3</v>
          </cell>
          <cell r="O141">
            <v>6.4644891274723282E-2</v>
          </cell>
          <cell r="P141">
            <v>-6.9777747614641505E-2</v>
          </cell>
          <cell r="Q141">
            <v>-0.39975843652609355</v>
          </cell>
          <cell r="R141">
            <v>0.56055495495495489</v>
          </cell>
          <cell r="S141">
            <v>5.2332195676905391E-2</v>
          </cell>
          <cell r="T141">
            <v>-3.3830845771144369E-2</v>
          </cell>
          <cell r="U141">
            <v>9.4254993071203108E-2</v>
          </cell>
          <cell r="V141">
            <v>-5.8299088335799776E-2</v>
          </cell>
          <cell r="W141">
            <v>9.6002277841963801E-2</v>
          </cell>
          <cell r="X141">
            <v>0.12732484931054411</v>
          </cell>
          <cell r="Y141">
            <v>2.8147775177448819E-2</v>
          </cell>
          <cell r="Z141">
            <v>0.36807432965744313</v>
          </cell>
          <cell r="AA141">
            <v>3.8019332460809574E-2</v>
          </cell>
          <cell r="AB141">
            <v>2.3405353411964258E-2</v>
          </cell>
          <cell r="AC141">
            <v>0.15947601791793042</v>
          </cell>
          <cell r="AD141">
            <v>6.7858204821551693E-2</v>
          </cell>
          <cell r="AE141">
            <v>6.0002230913362764E-2</v>
          </cell>
          <cell r="AF141">
            <v>7.1805335227065337E-2</v>
          </cell>
          <cell r="AG141">
            <v>5.3499220204358933E-2</v>
          </cell>
          <cell r="AH141">
            <v>6.2056968936849977E-2</v>
          </cell>
          <cell r="AI141">
            <v>6.1091760043838983E-2</v>
          </cell>
          <cell r="AJ141">
            <v>5.6876056298007072E-2</v>
          </cell>
          <cell r="AK141">
            <v>5.0804738960400053E-2</v>
          </cell>
          <cell r="AL141">
            <v>4.2498866044943018E-2</v>
          </cell>
          <cell r="AM141">
            <v>3.1656887339142514E-2</v>
          </cell>
        </row>
        <row r="142">
          <cell r="E142">
            <v>9.0718299379147105E-2</v>
          </cell>
          <cell r="F142">
            <v>6.0109695485306647E-2</v>
          </cell>
          <cell r="G142">
            <v>-1.877510102615243E-2</v>
          </cell>
          <cell r="H142">
            <v>9.2265993117639722E-2</v>
          </cell>
          <cell r="I142">
            <v>3.2856494070530706E-2</v>
          </cell>
          <cell r="J142">
            <v>0.31833987691587096</v>
          </cell>
          <cell r="K142">
            <v>0.38223321558086654</v>
          </cell>
          <cell r="L142">
            <v>0.21009606275214776</v>
          </cell>
          <cell r="M142">
            <v>-5.7501843187966362E-2</v>
          </cell>
          <cell r="N142">
            <v>-5.6799097683667754E-2</v>
          </cell>
          <cell r="O142">
            <v>5.4050785738267271E-2</v>
          </cell>
          <cell r="P142">
            <v>-0.12778045823194828</v>
          </cell>
          <cell r="Q142">
            <v>-0.43601079011765809</v>
          </cell>
          <cell r="R142">
            <v>0.85051788099124481</v>
          </cell>
          <cell r="S142">
            <v>7.0052539404554803E-3</v>
          </cell>
          <cell r="T142">
            <v>-3.1561461794019974E-2</v>
          </cell>
          <cell r="U142">
            <v>7.8350304220082823E-2</v>
          </cell>
          <cell r="V142">
            <v>-0.10118171733864589</v>
          </cell>
          <cell r="W142">
            <v>0.14499240773750599</v>
          </cell>
          <cell r="X142">
            <v>0.13721804511278202</v>
          </cell>
          <cell r="Y142">
            <v>-1.2347584503781484E-2</v>
          </cell>
          <cell r="Z142">
            <v>0.49984729201074618</v>
          </cell>
          <cell r="AA142">
            <v>-1.0195336412710754E-2</v>
          </cell>
          <cell r="AB142">
            <v>6.0318452603829176E-2</v>
          </cell>
          <cell r="AC142">
            <v>0.20071799355899422</v>
          </cell>
          <cell r="AD142">
            <v>7.569732610934965E-2</v>
          </cell>
          <cell r="AE142">
            <v>6.7271883108030783E-2</v>
          </cell>
          <cell r="AF142">
            <v>8.7232245601351677E-2</v>
          </cell>
          <cell r="AG142">
            <v>4.3703679301568599E-2</v>
          </cell>
          <cell r="AH142">
            <v>6.2325916155074434E-2</v>
          </cell>
          <cell r="AI142">
            <v>5.647442924273216E-2</v>
          </cell>
          <cell r="AJ142">
            <v>5.035199379764399E-2</v>
          </cell>
          <cell r="AK142">
            <v>4.1964852940895359E-2</v>
          </cell>
          <cell r="AL142">
            <v>3.1055635553694616E-2</v>
          </cell>
          <cell r="AM142">
            <v>1.7562957133890444E-2</v>
          </cell>
        </row>
        <row r="143">
          <cell r="E143">
            <v>0.24086290759123519</v>
          </cell>
          <cell r="F143">
            <v>0.13574415666951745</v>
          </cell>
          <cell r="G143">
            <v>0.11989167829559078</v>
          </cell>
          <cell r="H143">
            <v>0.1063557314593655</v>
          </cell>
          <cell r="I143">
            <v>0.1032751603010873</v>
          </cell>
          <cell r="J143">
            <v>0.15202524455153865</v>
          </cell>
          <cell r="K143">
            <v>0.17263219772410254</v>
          </cell>
          <cell r="L143">
            <v>0.13395948167307781</v>
          </cell>
          <cell r="M143">
            <v>0.11820091688154677</v>
          </cell>
          <cell r="N143">
            <v>0.11893844016364374</v>
          </cell>
          <cell r="O143">
            <v>8.8686834938449977E-2</v>
          </cell>
          <cell r="P143">
            <v>0.1315062049101916</v>
          </cell>
          <cell r="Q143">
            <v>-0.34043166751023601</v>
          </cell>
          <cell r="R143">
            <v>8.1783439490445753E-2</v>
          </cell>
          <cell r="S143">
            <v>0.13636363636363646</v>
          </cell>
          <cell r="T143">
            <v>-3.7220843672456483E-2</v>
          </cell>
          <cell r="U143">
            <v>0.11521948377618463</v>
          </cell>
          <cell r="V143">
            <v>-1.0994878500599325E-2</v>
          </cell>
          <cell r="W143">
            <v>4.2470031931042929E-2</v>
          </cell>
          <cell r="X143">
            <v>0.12253178951721289</v>
          </cell>
          <cell r="Y143">
            <v>0.10585989692689446</v>
          </cell>
          <cell r="Z143">
            <v>9.1549295774647987E-2</v>
          </cell>
          <cell r="AA143">
            <v>0.20522875816993458</v>
          </cell>
          <cell r="AB143">
            <v>-5.2452219897572872E-2</v>
          </cell>
          <cell r="AC143">
            <v>6.7900978698905989E-2</v>
          </cell>
          <cell r="AD143">
            <v>5.8765861612960046E-2</v>
          </cell>
          <cell r="AE143">
            <v>4.0709825297374325E-2</v>
          </cell>
          <cell r="AF143">
            <v>3.5052563415421512E-2</v>
          </cell>
          <cell r="AG143">
            <v>6.3719867546883968E-2</v>
          </cell>
          <cell r="AH143">
            <v>5.7534289008071227E-2</v>
          </cell>
          <cell r="AI143">
            <v>6.2908209046433239E-2</v>
          </cell>
          <cell r="AJ143">
            <v>6.3043173330746827E-2</v>
          </cell>
          <cell r="AK143">
            <v>6.3195336601426177E-2</v>
          </cell>
          <cell r="AL143">
            <v>6.3367338547867025E-2</v>
          </cell>
          <cell r="AM143">
            <v>6.3561876149889507E-2</v>
          </cell>
        </row>
        <row r="144">
          <cell r="E144">
            <v>0.17114588029597755</v>
          </cell>
          <cell r="F144">
            <v>0.34492561502726082</v>
          </cell>
          <cell r="G144">
            <v>0.20590721421738967</v>
          </cell>
          <cell r="H144">
            <v>0.24956786699316114</v>
          </cell>
          <cell r="I144">
            <v>0.1284072461307677</v>
          </cell>
          <cell r="J144">
            <v>0.17758853963111787</v>
          </cell>
          <cell r="K144">
            <v>5.041950614570001E-2</v>
          </cell>
          <cell r="L144">
            <v>0.32330346123058451</v>
          </cell>
          <cell r="M144">
            <v>-1.4429148452889893</v>
          </cell>
          <cell r="N144">
            <v>-3.7350864809607129</v>
          </cell>
          <cell r="O144">
            <v>0.15022167551492749</v>
          </cell>
          <cell r="P144">
            <v>-2.8408300235402972E-2</v>
          </cell>
          <cell r="Q144">
            <v>-0.29033243880340576</v>
          </cell>
          <cell r="R144">
            <v>0.29333632936359333</v>
          </cell>
          <cell r="S144">
            <v>7.9726651480638067E-2</v>
          </cell>
          <cell r="T144">
            <v>0.3022774327122153</v>
          </cell>
          <cell r="U144">
            <v>7.1084970352832011E-2</v>
          </cell>
          <cell r="V144">
            <v>0.18096323429656769</v>
          </cell>
          <cell r="W144">
            <v>5.2609743040685331E-2</v>
          </cell>
          <cell r="X144">
            <v>-6.0684981467229782E-2</v>
          </cell>
          <cell r="Y144">
            <v>0.40506160020887583</v>
          </cell>
          <cell r="Z144">
            <v>-1.0983793240681994E-3</v>
          </cell>
          <cell r="AA144">
            <v>5.0026183262434465E-2</v>
          </cell>
          <cell r="AB144">
            <v>-3.0812089985920887E-2</v>
          </cell>
          <cell r="AC144">
            <v>0.27891290295382376</v>
          </cell>
          <cell r="AD144">
            <v>5.8000000000000274E-2</v>
          </cell>
          <cell r="AE144">
            <v>6.2000000000000055E-2</v>
          </cell>
          <cell r="AF144">
            <v>6.2000000000000055E-2</v>
          </cell>
          <cell r="AG144">
            <v>6.2000000000000055E-2</v>
          </cell>
          <cell r="AH144">
            <v>6.2000000000000277E-2</v>
          </cell>
          <cell r="AI144">
            <v>6.2000000000000055E-2</v>
          </cell>
          <cell r="AJ144">
            <v>6.2000000000000055E-2</v>
          </cell>
          <cell r="AK144">
            <v>6.2000000000000277E-2</v>
          </cell>
          <cell r="AL144">
            <v>6.2000000000000277E-2</v>
          </cell>
          <cell r="AM144">
            <v>6.2000000000000055E-2</v>
          </cell>
        </row>
        <row r="145">
          <cell r="E145">
            <v>-0.19353075520581864</v>
          </cell>
          <cell r="F145">
            <v>0.12368178927531903</v>
          </cell>
          <cell r="G145">
            <v>4.0664485549145812E-2</v>
          </cell>
          <cell r="H145">
            <v>0.11134312207233399</v>
          </cell>
          <cell r="I145">
            <v>0.67255852240131508</v>
          </cell>
          <cell r="J145">
            <v>1.0381953600026916E-2</v>
          </cell>
          <cell r="K145">
            <v>-0.14453070635514986</v>
          </cell>
          <cell r="L145">
            <v>0.43169648510395042</v>
          </cell>
          <cell r="M145">
            <v>0.28831840006035736</v>
          </cell>
          <cell r="N145">
            <v>-7.9113753340748216E-3</v>
          </cell>
          <cell r="O145">
            <v>-0.14780940206073057</v>
          </cell>
          <cell r="P145">
            <v>-8.461340953720764E-2</v>
          </cell>
          <cell r="Q145">
            <v>0.16395470364565878</v>
          </cell>
          <cell r="R145">
            <v>0.37943775218324305</v>
          </cell>
          <cell r="S145">
            <v>-0.2016</v>
          </cell>
          <cell r="T145">
            <v>0.39909090909090916</v>
          </cell>
          <cell r="U145">
            <v>7.9303466494150543E-2</v>
          </cell>
          <cell r="V145">
            <v>8.7911052336439921E-2</v>
          </cell>
          <cell r="W145">
            <v>-1.9509086405296472E-2</v>
          </cell>
          <cell r="X145">
            <v>0.36165497497100429</v>
          </cell>
          <cell r="Y145">
            <v>0.495168709289044</v>
          </cell>
          <cell r="Z145">
            <v>7.4118099581062635E-2</v>
          </cell>
          <cell r="AA145">
            <v>-0.31721890132736419</v>
          </cell>
          <cell r="AB145">
            <v>-0.14056852124736152</v>
          </cell>
          <cell r="AC145">
            <v>-3.2095702467966669E-2</v>
          </cell>
          <cell r="AD145">
            <v>0.17938716530495258</v>
          </cell>
          <cell r="AE145">
            <v>9.8870200504770356E-2</v>
          </cell>
          <cell r="AF145">
            <v>5.5141214512757886E-2</v>
          </cell>
          <cell r="AG145">
            <v>5.951717089866726E-2</v>
          </cell>
          <cell r="AH145">
            <v>6.0263294306899695E-2</v>
          </cell>
          <cell r="AI145">
            <v>6.1946044317953364E-2</v>
          </cell>
          <cell r="AJ145">
            <v>6.1944410733290933E-2</v>
          </cell>
          <cell r="AK145">
            <v>6.1942775130031213E-2</v>
          </cell>
          <cell r="AL145">
            <v>6.1941137523684686E-2</v>
          </cell>
          <cell r="AM145">
            <v>6.1939497929877962E-2</v>
          </cell>
        </row>
        <row r="146">
          <cell r="E146">
            <v>-0.36199414143882147</v>
          </cell>
          <cell r="F146">
            <v>-5.2192632570161934E-2</v>
          </cell>
          <cell r="G146">
            <v>0.28062531652171652</v>
          </cell>
          <cell r="H146">
            <v>-7.2855399500893259E-2</v>
          </cell>
          <cell r="I146">
            <v>0.61295906017142032</v>
          </cell>
          <cell r="J146">
            <v>6.4763753814147229E-2</v>
          </cell>
          <cell r="K146">
            <v>1.2667845467593919E-2</v>
          </cell>
          <cell r="L146">
            <v>0.80258767464704328</v>
          </cell>
          <cell r="M146">
            <v>0.20028226208704258</v>
          </cell>
          <cell r="N146">
            <v>-7.4365310108869043E-2</v>
          </cell>
          <cell r="O146">
            <v>-0.15250510716412879</v>
          </cell>
          <cell r="P146">
            <v>-0.12487483798588705</v>
          </cell>
          <cell r="Q146">
            <v>0.2442822828485347</v>
          </cell>
          <cell r="R146">
            <v>0.33461821892182986</v>
          </cell>
          <cell r="S146">
            <v>-0.18807339449541294</v>
          </cell>
          <cell r="T146">
            <v>0.49297573435504449</v>
          </cell>
          <cell r="U146">
            <v>7.1513895847326259E-2</v>
          </cell>
          <cell r="V146">
            <v>7.0473759705980576E-2</v>
          </cell>
          <cell r="W146">
            <v>9.1363465318912818E-2</v>
          </cell>
          <cell r="X146">
            <v>0.2217351406294461</v>
          </cell>
          <cell r="Y146">
            <v>0.55655820147044244</v>
          </cell>
          <cell r="Z146">
            <v>2.3587039161336421E-2</v>
          </cell>
          <cell r="AA146">
            <v>-0.20470424632191841</v>
          </cell>
          <cell r="AB146">
            <v>-0.16391091797935886</v>
          </cell>
          <cell r="AC146">
            <v>-7.3303957866193814E-2</v>
          </cell>
          <cell r="AD146">
            <v>0.19745671031404477</v>
          </cell>
          <cell r="AE146">
            <v>0.10199999999999987</v>
          </cell>
          <cell r="AF146">
            <v>5.8899999999999952E-2</v>
          </cell>
          <cell r="AG146">
            <v>6.0999999999999943E-2</v>
          </cell>
          <cell r="AH146">
            <v>6.1900000000000066E-2</v>
          </cell>
          <cell r="AI146">
            <v>6.25E-2</v>
          </cell>
          <cell r="AJ146">
            <v>6.25E-2</v>
          </cell>
          <cell r="AK146">
            <v>6.2500000000000222E-2</v>
          </cell>
          <cell r="AL146">
            <v>6.25E-2</v>
          </cell>
          <cell r="AM146">
            <v>6.2500000000000222E-2</v>
          </cell>
        </row>
        <row r="147">
          <cell r="E147">
            <v>1.6036295222171981E-2</v>
          </cell>
          <cell r="F147">
            <v>0.20573141569898823</v>
          </cell>
          <cell r="G147">
            <v>-7.0242014963498911E-2</v>
          </cell>
          <cell r="H147">
            <v>0.22490332141232883</v>
          </cell>
          <cell r="I147">
            <v>0.71782289961725376</v>
          </cell>
          <cell r="J147">
            <v>1.5954089717038489E-3</v>
          </cell>
          <cell r="K147">
            <v>-0.22707689282431132</v>
          </cell>
          <cell r="L147">
            <v>0.1546893105423448</v>
          </cell>
          <cell r="M147">
            <v>0.38205759933116945</v>
          </cell>
          <cell r="N147">
            <v>6.324875566755761E-2</v>
          </cell>
          <cell r="O147">
            <v>-0.13876642608143264</v>
          </cell>
          <cell r="P147">
            <v>2.8338451172830847E-2</v>
          </cell>
          <cell r="Q147">
            <v>-1.757019373652724E-2</v>
          </cell>
          <cell r="R147">
            <v>0.4980808238414729</v>
          </cell>
          <cell r="S147">
            <v>-0.23280423280423268</v>
          </cell>
          <cell r="T147">
            <v>0.16719242902208209</v>
          </cell>
          <cell r="U147">
            <v>0.12818107363561904</v>
          </cell>
          <cell r="V147">
            <v>0.11802649930264986</v>
          </cell>
          <cell r="W147">
            <v>-0.43321254529551423</v>
          </cell>
          <cell r="X147">
            <v>1.361886251099079</v>
          </cell>
          <cell r="Y147">
            <v>0.30727301850525746</v>
          </cell>
          <cell r="Z147">
            <v>0.24772859008471082</v>
          </cell>
          <cell r="AA147">
            <v>-0.67280530669981564</v>
          </cell>
          <cell r="AB147">
            <v>-2.0398212108898917E-2</v>
          </cell>
          <cell r="AC147">
            <v>0.31343915343915341</v>
          </cell>
          <cell r="AD147">
            <v>6.0000000000000053E-2</v>
          </cell>
          <cell r="AE147">
            <v>6.2000000000000055E-2</v>
          </cell>
          <cell r="AF147">
            <v>6.2000000000000055E-2</v>
          </cell>
          <cell r="AG147">
            <v>6.2000000000000055E-2</v>
          </cell>
          <cell r="AH147">
            <v>6.2000000000000055E-2</v>
          </cell>
          <cell r="AI147">
            <v>6.1999999999999833E-2</v>
          </cell>
          <cell r="AJ147">
            <v>6.2000000000000055E-2</v>
          </cell>
          <cell r="AK147">
            <v>6.1999999999999833E-2</v>
          </cell>
          <cell r="AL147">
            <v>6.1999999999999833E-2</v>
          </cell>
          <cell r="AM147">
            <v>6.2000000000000055E-2</v>
          </cell>
        </row>
        <row r="148">
          <cell r="E148">
            <v>-0.12199716997302368</v>
          </cell>
          <cell r="F148">
            <v>0.11343747050755448</v>
          </cell>
          <cell r="G148">
            <v>4.007560020977663E-2</v>
          </cell>
          <cell r="H148">
            <v>0.11875767787706226</v>
          </cell>
          <cell r="I148">
            <v>0.47555155472095412</v>
          </cell>
          <cell r="J148">
            <v>6.936987040260556E-2</v>
          </cell>
          <cell r="K148">
            <v>-2.6747796156069592E-2</v>
          </cell>
          <cell r="L148">
            <v>0.34968251051010912</v>
          </cell>
          <cell r="M148">
            <v>0.47415703772520068</v>
          </cell>
          <cell r="N148">
            <v>-0.19374188228159128</v>
          </cell>
          <cell r="O148">
            <v>-6.7097415506958358E-2</v>
          </cell>
          <cell r="P148">
            <v>-8.4880843327469147E-2</v>
          </cell>
          <cell r="Q148">
            <v>-0.1091544053132828</v>
          </cell>
          <cell r="R148">
            <v>0.40867434635547073</v>
          </cell>
          <cell r="S148">
            <v>-6.6588785046728827E-2</v>
          </cell>
          <cell r="T148">
            <v>0.21290571870170005</v>
          </cell>
          <cell r="U148">
            <v>9.1272423939646519E-2</v>
          </cell>
          <cell r="V148">
            <v>7.0474707756508437E-2</v>
          </cell>
          <cell r="W148">
            <v>2.119549706240309E-2</v>
          </cell>
          <cell r="X148">
            <v>0.18570327050735647</v>
          </cell>
          <cell r="Y148">
            <v>0.37495159447808257</v>
          </cell>
          <cell r="Z148">
            <v>0.120256239534001</v>
          </cell>
          <cell r="AA148">
            <v>-0.16846760508442682</v>
          </cell>
          <cell r="AB148">
            <v>-6.7557352130501513E-2</v>
          </cell>
          <cell r="AC148">
            <v>8.6678422997510163E-2</v>
          </cell>
          <cell r="AD148">
            <v>0.11250475126409576</v>
          </cell>
          <cell r="AE148">
            <v>7.8571746334321846E-2</v>
          </cell>
          <cell r="AF148">
            <v>6.2005547653543047E-2</v>
          </cell>
          <cell r="AG148">
            <v>5.7369218395264321E-2</v>
          </cell>
          <cell r="AH148">
            <v>6.0513258375627155E-2</v>
          </cell>
          <cell r="AI148">
            <v>6.0853158368676441E-2</v>
          </cell>
          <cell r="AJ148">
            <v>5.938197704445991E-2</v>
          </cell>
          <cell r="AK148">
            <v>5.7201615433496222E-2</v>
          </cell>
          <cell r="AL148">
            <v>5.4069313549763409E-2</v>
          </cell>
          <cell r="AM148">
            <v>4.9684334071079528E-2</v>
          </cell>
        </row>
        <row r="149">
          <cell r="E149">
            <v>0.12296499590193699</v>
          </cell>
          <cell r="F149">
            <v>0.14273543588005522</v>
          </cell>
          <cell r="G149">
            <v>0.13059955397895484</v>
          </cell>
          <cell r="H149">
            <v>7.2495381468147047E-2</v>
          </cell>
          <cell r="I149">
            <v>0.13761056430776408</v>
          </cell>
          <cell r="J149">
            <v>0.12558710913565374</v>
          </cell>
          <cell r="K149">
            <v>0.15907366501629139</v>
          </cell>
          <cell r="L149">
            <v>0.13360993258088882</v>
          </cell>
          <cell r="M149">
            <v>0.14290212738707253</v>
          </cell>
          <cell r="N149">
            <v>0.10508427464087111</v>
          </cell>
          <cell r="O149">
            <v>0.11325966850828717</v>
          </cell>
          <cell r="P149">
            <v>0.12538389386805027</v>
          </cell>
          <cell r="Q149">
            <v>-0.3289556004036327</v>
          </cell>
          <cell r="R149">
            <v>8.6484236456010999E-2</v>
          </cell>
          <cell r="S149">
            <v>9.4783247612049815E-2</v>
          </cell>
          <cell r="T149">
            <v>9.0612244897959382E-2</v>
          </cell>
          <cell r="U149">
            <v>5.0170420404864968E-2</v>
          </cell>
          <cell r="V149">
            <v>0.13216083102684473</v>
          </cell>
          <cell r="W149">
            <v>5.5742105322732272E-2</v>
          </cell>
          <cell r="X149">
            <v>0.1031530812178687</v>
          </cell>
          <cell r="Y149">
            <v>4.0606585254789884E-2</v>
          </cell>
          <cell r="Z149">
            <v>0.1580762314162556</v>
          </cell>
          <cell r="AA149">
            <v>0.1127424552970262</v>
          </cell>
          <cell r="AB149">
            <v>3.9062992374108152E-3</v>
          </cell>
          <cell r="AC149">
            <v>3.5027906283521038E-2</v>
          </cell>
          <cell r="AD149">
            <v>6.1656731694880396E-2</v>
          </cell>
          <cell r="AE149">
            <v>5.8348400754453689E-2</v>
          </cell>
          <cell r="AF149">
            <v>6.5535869346714071E-2</v>
          </cell>
          <cell r="AG149">
            <v>6.5579665987493874E-2</v>
          </cell>
          <cell r="AH149">
            <v>6.5622029525559178E-2</v>
          </cell>
          <cell r="AI149">
            <v>6.5662878478336406E-2</v>
          </cell>
          <cell r="AJ149">
            <v>6.570213442009365E-2</v>
          </cell>
          <cell r="AK149">
            <v>6.573972234205816E-2</v>
          </cell>
          <cell r="AL149">
            <v>6.5775570998603428E-2</v>
          </cell>
          <cell r="AM149">
            <v>6.5809613236657016E-2</v>
          </cell>
        </row>
        <row r="150">
          <cell r="E150">
            <v>-1.695153763139734E-2</v>
          </cell>
          <cell r="F150">
            <v>0.35426146411540849</v>
          </cell>
          <cell r="G150">
            <v>-2.7461812629361204E-2</v>
          </cell>
          <cell r="H150">
            <v>0.13121512267199864</v>
          </cell>
          <cell r="I150">
            <v>0.10388837445676002</v>
          </cell>
          <cell r="J150">
            <v>9.6753677498388813E-2</v>
          </cell>
          <cell r="K150">
            <v>3.7065689783625233E-2</v>
          </cell>
          <cell r="L150">
            <v>7.4575982996828438E-2</v>
          </cell>
          <cell r="M150">
            <v>0.27691683485849494</v>
          </cell>
          <cell r="N150">
            <v>-9.633048063079408E-3</v>
          </cell>
          <cell r="O150">
            <v>0.25952641767213125</v>
          </cell>
          <cell r="P150">
            <v>9.4138581071590455E-2</v>
          </cell>
          <cell r="Q150">
            <v>-0.29163849308661605</v>
          </cell>
          <cell r="R150">
            <v>-7.4744295830055041E-2</v>
          </cell>
          <cell r="S150">
            <v>0.10714285714285721</v>
          </cell>
          <cell r="T150">
            <v>0.15625</v>
          </cell>
          <cell r="U150">
            <v>9.0481786133959963E-2</v>
          </cell>
          <cell r="V150">
            <v>4.9460118425635802E-2</v>
          </cell>
          <cell r="W150">
            <v>-5.3641427687229015E-2</v>
          </cell>
          <cell r="X150">
            <v>-4.3307927915093636E-2</v>
          </cell>
          <cell r="Y150">
            <v>0.10774696840967013</v>
          </cell>
          <cell r="Z150">
            <v>-1.1435585993022412E-2</v>
          </cell>
          <cell r="AA150">
            <v>9.2278855165452978E-2</v>
          </cell>
          <cell r="AB150">
            <v>-8.1752779594501668E-4</v>
          </cell>
          <cell r="AC150">
            <v>-0.12514619883040945</v>
          </cell>
          <cell r="AD150">
            <v>6.0999999999999943E-2</v>
          </cell>
          <cell r="AE150">
            <v>6.0000000000000053E-2</v>
          </cell>
          <cell r="AF150">
            <v>5.699999999999994E-2</v>
          </cell>
          <cell r="AG150">
            <v>5.699999999999994E-2</v>
          </cell>
          <cell r="AH150">
            <v>5.7000000000000162E-2</v>
          </cell>
          <cell r="AI150">
            <v>5.699999999999994E-2</v>
          </cell>
          <cell r="AJ150">
            <v>5.7000000000000162E-2</v>
          </cell>
          <cell r="AK150">
            <v>5.699999999999994E-2</v>
          </cell>
          <cell r="AL150">
            <v>5.7000000000000162E-2</v>
          </cell>
          <cell r="AM150">
            <v>5.699999999999994E-2</v>
          </cell>
        </row>
        <row r="151">
          <cell r="E151">
            <v>9.8794581310091889E-2</v>
          </cell>
          <cell r="F151">
            <v>3.1846446945327012E-2</v>
          </cell>
          <cell r="G151">
            <v>0.23780314294609073</v>
          </cell>
          <cell r="H151">
            <v>-7.5274151004973699E-2</v>
          </cell>
          <cell r="I151">
            <v>0.12375622522406271</v>
          </cell>
          <cell r="J151">
            <v>5.8994403180847144E-2</v>
          </cell>
          <cell r="K151">
            <v>0.32010237640669414</v>
          </cell>
          <cell r="L151">
            <v>0.22060481041037927</v>
          </cell>
          <cell r="M151">
            <v>5.6749879082558019E-2</v>
          </cell>
          <cell r="N151">
            <v>3.5026453212298136E-2</v>
          </cell>
          <cell r="O151">
            <v>-4.7705530594938095E-2</v>
          </cell>
          <cell r="P151">
            <v>0.334375314431963</v>
          </cell>
          <cell r="Q151">
            <v>-0.3376276241826317</v>
          </cell>
          <cell r="R151">
            <v>2.3583313238485726E-2</v>
          </cell>
          <cell r="S151">
            <v>0.16071428571428581</v>
          </cell>
          <cell r="T151">
            <v>0.10071942446043169</v>
          </cell>
          <cell r="U151">
            <v>-2.561991717806722E-2</v>
          </cell>
          <cell r="V151">
            <v>0.42214802671038432</v>
          </cell>
          <cell r="W151">
            <v>5.2253527588263404E-2</v>
          </cell>
          <cell r="X151">
            <v>0.41675023691013968</v>
          </cell>
          <cell r="Y151">
            <v>6.4959925576069777E-2</v>
          </cell>
          <cell r="Z151">
            <v>0.58638083228247173</v>
          </cell>
          <cell r="AA151">
            <v>-0.17677205991855416</v>
          </cell>
          <cell r="AB151">
            <v>-0.11484697255181553</v>
          </cell>
          <cell r="AC151">
            <v>-0.34971572045152721</v>
          </cell>
          <cell r="AD151">
            <v>6.0000000000000275E-2</v>
          </cell>
          <cell r="AE151">
            <v>6.1999999999999833E-2</v>
          </cell>
          <cell r="AF151">
            <v>6.0999999999999943E-2</v>
          </cell>
          <cell r="AG151">
            <v>6.0999999999999943E-2</v>
          </cell>
          <cell r="AH151">
            <v>6.0999999999999943E-2</v>
          </cell>
          <cell r="AI151">
            <v>6.0999999999999721E-2</v>
          </cell>
          <cell r="AJ151">
            <v>6.0999999999999943E-2</v>
          </cell>
          <cell r="AK151">
            <v>6.1000000000000165E-2</v>
          </cell>
          <cell r="AL151">
            <v>6.0999999999999721E-2</v>
          </cell>
          <cell r="AM151">
            <v>6.0999999999999943E-2</v>
          </cell>
        </row>
        <row r="152">
          <cell r="E152">
            <v>0.14593841633635041</v>
          </cell>
          <cell r="F152">
            <v>0.13373576663139497</v>
          </cell>
          <cell r="G152">
            <v>0.15278996499722686</v>
          </cell>
          <cell r="H152">
            <v>0.10610976906181158</v>
          </cell>
          <cell r="I152">
            <v>0.14291601229175432</v>
          </cell>
          <cell r="J152">
            <v>0.14468330660903383</v>
          </cell>
          <cell r="K152">
            <v>0.13037143017002917</v>
          </cell>
          <cell r="L152">
            <v>0.11959017553860596</v>
          </cell>
          <cell r="M152">
            <v>0.15792957489890491</v>
          </cell>
          <cell r="N152">
            <v>0.13298791018998246</v>
          </cell>
          <cell r="O152">
            <v>0.13802849783041404</v>
          </cell>
          <cell r="P152">
            <v>8.6871291965589847E-2</v>
          </cell>
          <cell r="Q152">
            <v>-0.33599750674388917</v>
          </cell>
          <cell r="R152">
            <v>6.6990291262135848E-2</v>
          </cell>
          <cell r="S152">
            <v>7.1428571428571619E-2</v>
          </cell>
          <cell r="T152">
            <v>0.10068259385665534</v>
          </cell>
          <cell r="U152">
            <v>7.5229357798165086E-2</v>
          </cell>
          <cell r="V152">
            <v>6.2902967121090558E-2</v>
          </cell>
          <cell r="W152">
            <v>6.2036266555717479E-2</v>
          </cell>
          <cell r="X152">
            <v>5.4118312615629049E-2</v>
          </cell>
          <cell r="Y152">
            <v>6.7774093923153922E-2</v>
          </cell>
          <cell r="Z152">
            <v>0.15143562610229289</v>
          </cell>
          <cell r="AA152">
            <v>9.2855845217549415E-2</v>
          </cell>
          <cell r="AB152">
            <v>9.1970552987501453E-3</v>
          </cell>
          <cell r="AC152">
            <v>-2.6896180742330689E-4</v>
          </cell>
          <cell r="AD152">
            <v>5.9546700000000063E-2</v>
          </cell>
          <cell r="AE152">
            <v>6.0499999999999998E-2</v>
          </cell>
          <cell r="AF152">
            <v>6.2689999999999912E-2</v>
          </cell>
          <cell r="AG152">
            <v>6.268999999999969E-2</v>
          </cell>
          <cell r="AH152">
            <v>6.2689999999999912E-2</v>
          </cell>
          <cell r="AI152">
            <v>6.2690000000000135E-2</v>
          </cell>
          <cell r="AJ152">
            <v>6.2689999999999912E-2</v>
          </cell>
          <cell r="AK152">
            <v>6.2689999999999912E-2</v>
          </cell>
          <cell r="AL152">
            <v>6.2689999999999912E-2</v>
          </cell>
          <cell r="AM152">
            <v>6.2690000000000135E-2</v>
          </cell>
        </row>
        <row r="153">
          <cell r="E153">
            <v>0.14719393810741654</v>
          </cell>
          <cell r="F153">
            <v>0.13389445763709262</v>
          </cell>
          <cell r="G153">
            <v>8.7804828686988579E-2</v>
          </cell>
          <cell r="H153">
            <v>0.10659796926856147</v>
          </cell>
          <cell r="I153">
            <v>0.14260123714587158</v>
          </cell>
          <cell r="J153">
            <v>0.1446344356235405</v>
          </cell>
          <cell r="K153">
            <v>0.1307454531542529</v>
          </cell>
          <cell r="L153">
            <v>0.11954467446341011</v>
          </cell>
          <cell r="M153">
            <v>0.15827814059183143</v>
          </cell>
          <cell r="N153">
            <v>0.13291558279701321</v>
          </cell>
          <cell r="O153">
            <v>0.13804081721490902</v>
          </cell>
          <cell r="P153">
            <v>8.6760856965042432E-2</v>
          </cell>
          <cell r="Q153">
            <v>-0.33604529387310467</v>
          </cell>
          <cell r="R153">
            <v>0.24642772088592513</v>
          </cell>
          <cell r="S153">
            <v>5.3164556962025378E-2</v>
          </cell>
          <cell r="T153">
            <v>4.8387096774193505E-2</v>
          </cell>
          <cell r="U153">
            <v>5.6433726456609712E-2</v>
          </cell>
          <cell r="V153">
            <v>4.2680496706800408E-2</v>
          </cell>
          <cell r="W153">
            <v>0.11810167854123921</v>
          </cell>
          <cell r="X153">
            <v>4.399662573811991E-2</v>
          </cell>
          <cell r="Y153">
            <v>3.8286318244769912E-2</v>
          </cell>
          <cell r="Z153">
            <v>3.9236991428226453E-2</v>
          </cell>
          <cell r="AA153">
            <v>0.24577067669172936</v>
          </cell>
          <cell r="AB153">
            <v>8.8531486117302771E-2</v>
          </cell>
          <cell r="AC153">
            <v>0.32072534114845674</v>
          </cell>
          <cell r="AD153">
            <v>5.9989999999999988E-2</v>
          </cell>
          <cell r="AE153">
            <v>6.0000000000000053E-2</v>
          </cell>
          <cell r="AF153">
            <v>6.3199999999999923E-2</v>
          </cell>
          <cell r="AG153">
            <v>6.3199999999999701E-2</v>
          </cell>
          <cell r="AH153">
            <v>6.3199999999999923E-2</v>
          </cell>
          <cell r="AI153">
            <v>6.3199999999999701E-2</v>
          </cell>
          <cell r="AJ153">
            <v>6.3199999999999923E-2</v>
          </cell>
          <cell r="AK153">
            <v>6.3199999999999923E-2</v>
          </cell>
          <cell r="AL153">
            <v>6.3199999999999923E-2</v>
          </cell>
          <cell r="AM153">
            <v>6.3199999999999701E-2</v>
          </cell>
        </row>
        <row r="154">
          <cell r="E154">
            <v>0.30853336604524273</v>
          </cell>
          <cell r="F154">
            <v>3.7208425135587975E-2</v>
          </cell>
          <cell r="G154">
            <v>0.2914022832929426</v>
          </cell>
          <cell r="H154">
            <v>-8.7756379399213658E-2</v>
          </cell>
          <cell r="I154">
            <v>1.330988571952374E-2</v>
          </cell>
          <cell r="J154">
            <v>4.2069850124958119E-2</v>
          </cell>
          <cell r="K154">
            <v>-5.9165519621382723E-2</v>
          </cell>
          <cell r="L154">
            <v>0.24500781385937165</v>
          </cell>
          <cell r="M154">
            <v>2.2292404712991321E-3</v>
          </cell>
          <cell r="N154">
            <v>0.25800699179136988</v>
          </cell>
          <cell r="O154">
            <v>6.6582138868567453E-2</v>
          </cell>
          <cell r="P154">
            <v>0.10031958545317221</v>
          </cell>
          <cell r="Q154">
            <v>-0.38459970914060781</v>
          </cell>
          <cell r="R154">
            <v>0.3099265879348867</v>
          </cell>
          <cell r="S154">
            <v>5.7017543859649189E-2</v>
          </cell>
          <cell r="T154">
            <v>0.29831932773109249</v>
          </cell>
          <cell r="U154">
            <v>0.28491062517012966</v>
          </cell>
          <cell r="V154">
            <v>0.21231990554069147</v>
          </cell>
          <cell r="W154">
            <v>-1.8615348975742352E-3</v>
          </cell>
          <cell r="X154">
            <v>2.3553558070956715E-3</v>
          </cell>
          <cell r="Y154">
            <v>0.34391764535305192</v>
          </cell>
          <cell r="Z154">
            <v>0.36544179523141662</v>
          </cell>
          <cell r="AA154">
            <v>1.5521825641386933E-2</v>
          </cell>
          <cell r="AB154">
            <v>0.1438131648220804</v>
          </cell>
          <cell r="AC154">
            <v>5.9727192014853436E-3</v>
          </cell>
          <cell r="AD154">
            <v>5.8000000000000052E-2</v>
          </cell>
          <cell r="AE154">
            <v>6.0999999999999721E-2</v>
          </cell>
          <cell r="AF154">
            <v>6.3399999999999679E-2</v>
          </cell>
          <cell r="AG154">
            <v>6.3399999999999901E-2</v>
          </cell>
          <cell r="AH154">
            <v>6.3399999999999901E-2</v>
          </cell>
          <cell r="AI154">
            <v>6.3399999999999901E-2</v>
          </cell>
          <cell r="AJ154">
            <v>6.3400000000000123E-2</v>
          </cell>
          <cell r="AK154">
            <v>6.3399999999999901E-2</v>
          </cell>
          <cell r="AL154">
            <v>6.3400000000000123E-2</v>
          </cell>
          <cell r="AM154">
            <v>6.3399999999999901E-2</v>
          </cell>
        </row>
        <row r="155">
          <cell r="E155">
            <v>0.15406927943720228</v>
          </cell>
          <cell r="F155">
            <v>0.1581392350063815</v>
          </cell>
          <cell r="G155">
            <v>0.15251535791647775</v>
          </cell>
          <cell r="H155">
            <v>8.7857110462562726E-2</v>
          </cell>
          <cell r="I155">
            <v>0.14363839041729265</v>
          </cell>
          <cell r="J155">
            <v>0.18038700427636356</v>
          </cell>
          <cell r="K155">
            <v>0.129207973174428</v>
          </cell>
          <cell r="L155">
            <v>0.16418576273588981</v>
          </cell>
          <cell r="M155">
            <v>0.16160625253037031</v>
          </cell>
          <cell r="N155">
            <v>0.13397120147597752</v>
          </cell>
          <cell r="O155">
            <v>0.12791489330985972</v>
          </cell>
          <cell r="P155">
            <v>8.395031829884636E-2</v>
          </cell>
          <cell r="Q155">
            <v>-0.29818292003209912</v>
          </cell>
          <cell r="R155">
            <v>6.6617217062263423E-2</v>
          </cell>
          <cell r="S155">
            <v>9.2651757188498607E-2</v>
          </cell>
          <cell r="T155">
            <v>8.4134615384615419E-2</v>
          </cell>
          <cell r="U155">
            <v>8.8274920400925661E-2</v>
          </cell>
          <cell r="V155">
            <v>5.7966029515339024E-2</v>
          </cell>
          <cell r="W155">
            <v>5.7938978829389809E-2</v>
          </cell>
          <cell r="X155">
            <v>3.6021408382945319E-2</v>
          </cell>
          <cell r="Y155">
            <v>9.4317852892934262E-2</v>
          </cell>
          <cell r="Z155">
            <v>5.5015725484673483E-2</v>
          </cell>
          <cell r="AA155">
            <v>0.15395451210564937</v>
          </cell>
          <cell r="AB155">
            <v>7.4216167962547708E-2</v>
          </cell>
          <cell r="AC155">
            <v>8.4874289608508846E-2</v>
          </cell>
          <cell r="AD155">
            <v>2.9999999999996696E-3</v>
          </cell>
          <cell r="AE155">
            <v>8.6000000000000298E-2</v>
          </cell>
          <cell r="AF155">
            <v>8.7899999999999867E-2</v>
          </cell>
          <cell r="AG155">
            <v>8.7899999999999867E-2</v>
          </cell>
          <cell r="AH155">
            <v>8.7900000000000311E-2</v>
          </cell>
          <cell r="AI155">
            <v>8.7900000000000089E-2</v>
          </cell>
          <cell r="AJ155">
            <v>8.7900000000000089E-2</v>
          </cell>
          <cell r="AK155">
            <v>8.7899999999999645E-2</v>
          </cell>
          <cell r="AL155">
            <v>8.7899999999999867E-2</v>
          </cell>
          <cell r="AM155">
            <v>8.7899999999999867E-2</v>
          </cell>
        </row>
        <row r="156">
          <cell r="E156">
            <v>0.15956583252700529</v>
          </cell>
          <cell r="F156">
            <v>0.14335919334763214</v>
          </cell>
          <cell r="G156">
            <v>0.16805491486732782</v>
          </cell>
          <cell r="H156">
            <v>5.8384835344991837E-2</v>
          </cell>
          <cell r="I156">
            <v>0.12188132835666399</v>
          </cell>
          <cell r="J156">
            <v>0.12705103530080586</v>
          </cell>
          <cell r="K156">
            <v>0.13063234543305424</v>
          </cell>
          <cell r="L156">
            <v>0.1470504868235929</v>
          </cell>
          <cell r="M156">
            <v>0.13021522967916366</v>
          </cell>
          <cell r="N156">
            <v>0.12475695900690131</v>
          </cell>
          <cell r="O156">
            <v>0.11041009463722418</v>
          </cell>
          <cell r="P156">
            <v>0.11510571063899855</v>
          </cell>
          <cell r="Q156">
            <v>-0.3286100377988429</v>
          </cell>
          <cell r="R156">
            <v>0.10366412380280576</v>
          </cell>
          <cell r="S156">
            <v>8.9905362776025344E-2</v>
          </cell>
          <cell r="T156">
            <v>0.11548696114954771</v>
          </cell>
          <cell r="U156">
            <v>8.1869616738129647E-2</v>
          </cell>
          <cell r="V156">
            <v>0.12723521067079346</v>
          </cell>
          <cell r="W156">
            <v>5.9870879425801826E-2</v>
          </cell>
          <cell r="X156">
            <v>8.014662322922872E-2</v>
          </cell>
          <cell r="Y156">
            <v>6.8322107559649625E-2</v>
          </cell>
          <cell r="Z156">
            <v>0.17186091311023621</v>
          </cell>
          <cell r="AA156">
            <v>0.10420231680720549</v>
          </cell>
          <cell r="AB156">
            <v>4.1780431431722498E-2</v>
          </cell>
          <cell r="AC156">
            <v>4.822149375564444E-2</v>
          </cell>
          <cell r="AD156">
            <v>5.3742882705332118E-2</v>
          </cell>
          <cell r="AE156">
            <v>7.3364215516910969E-2</v>
          </cell>
          <cell r="AF156">
            <v>7.5757583746569823E-2</v>
          </cell>
          <cell r="AG156">
            <v>6.6231467721608484E-2</v>
          </cell>
          <cell r="AH156">
            <v>7.9055136901316603E-2</v>
          </cell>
          <cell r="AI156">
            <v>7.9342901947218269E-2</v>
          </cell>
          <cell r="AJ156">
            <v>7.9616668059811602E-2</v>
          </cell>
          <cell r="AK156">
            <v>7.9997421650175093E-2</v>
          </cell>
          <cell r="AL156">
            <v>6.6626170343228042E-2</v>
          </cell>
          <cell r="AM156">
            <v>6.6789976304877596E-2</v>
          </cell>
        </row>
        <row r="157">
          <cell r="E157">
            <v>0.14830119375573925</v>
          </cell>
          <cell r="F157">
            <v>0.15473810475809668</v>
          </cell>
          <cell r="G157">
            <v>0.12015235457063733</v>
          </cell>
          <cell r="H157">
            <v>9.0880989180834204E-2</v>
          </cell>
          <cell r="I157">
            <v>0.11958061773873618</v>
          </cell>
          <cell r="J157">
            <v>0.13414325487218415</v>
          </cell>
          <cell r="K157">
            <v>0.12586476232983745</v>
          </cell>
          <cell r="L157">
            <v>0.12864222001982162</v>
          </cell>
          <cell r="M157">
            <v>0.15121180189673322</v>
          </cell>
          <cell r="N157">
            <v>0.1202135774218156</v>
          </cell>
          <cell r="O157">
            <v>0.11902492169412993</v>
          </cell>
          <cell r="P157">
            <v>0.17731532189363564</v>
          </cell>
          <cell r="Q157">
            <v>-0.36689910687522365</v>
          </cell>
          <cell r="R157">
            <v>9.6375615552576566E-2</v>
          </cell>
          <cell r="S157">
            <v>9.3541202672605683E-2</v>
          </cell>
          <cell r="T157">
            <v>0.10856658184902468</v>
          </cell>
          <cell r="U157">
            <v>9.1441792713789827E-2</v>
          </cell>
          <cell r="V157">
            <v>6.8374509259626404E-2</v>
          </cell>
          <cell r="W157">
            <v>4.0990911608469016E-2</v>
          </cell>
          <cell r="X157">
            <v>0.36981829688723078</v>
          </cell>
          <cell r="Y157">
            <v>8.9362834822763748E-2</v>
          </cell>
          <cell r="Z157">
            <v>6.2323042415132868E-2</v>
          </cell>
          <cell r="AA157">
            <v>0.116518299644923</v>
          </cell>
          <cell r="AB157">
            <v>-7.098263693483553E-2</v>
          </cell>
          <cell r="AC157">
            <v>-6.0736774231896828E-2</v>
          </cell>
          <cell r="AD157">
            <v>5.9299999999999908E-2</v>
          </cell>
          <cell r="AE157">
            <v>6.1300000000000132E-2</v>
          </cell>
          <cell r="AF157">
            <v>6.1899999999999844E-2</v>
          </cell>
          <cell r="AG157">
            <v>6.1900000000000066E-2</v>
          </cell>
          <cell r="AH157">
            <v>6.1900000000000066E-2</v>
          </cell>
          <cell r="AI157">
            <v>6.1899999999999844E-2</v>
          </cell>
          <cell r="AJ157">
            <v>6.1900000000000066E-2</v>
          </cell>
          <cell r="AK157">
            <v>6.1900000000000066E-2</v>
          </cell>
          <cell r="AL157">
            <v>6.1899999999999844E-2</v>
          </cell>
          <cell r="AM157">
            <v>6.1899999999999844E-2</v>
          </cell>
        </row>
        <row r="158">
          <cell r="E158">
            <v>0.14830119375573925</v>
          </cell>
          <cell r="F158">
            <v>0.15473810475809735</v>
          </cell>
          <cell r="G158">
            <v>0.12015235457063689</v>
          </cell>
          <cell r="H158">
            <v>9.0880989180834648E-2</v>
          </cell>
          <cell r="I158">
            <v>0.11958061773873685</v>
          </cell>
          <cell r="J158">
            <v>0.13414325487218348</v>
          </cell>
          <cell r="K158">
            <v>0.12586476232983701</v>
          </cell>
          <cell r="L158">
            <v>0.12864222001982162</v>
          </cell>
          <cell r="M158">
            <v>0.6597576960465541</v>
          </cell>
          <cell r="N158">
            <v>-0.21893871094778106</v>
          </cell>
          <cell r="O158">
            <v>0.11045008650198906</v>
          </cell>
          <cell r="P158">
            <v>0.17622783063125347</v>
          </cell>
          <cell r="Q158">
            <v>-0.37020257715489124</v>
          </cell>
          <cell r="R158">
            <v>0.10799951296724686</v>
          </cell>
          <cell r="S158">
            <v>9.1428571428571415E-2</v>
          </cell>
          <cell r="T158">
            <v>9.4999999999999973E-2</v>
          </cell>
          <cell r="U158">
            <v>8.5823176212562524E-2</v>
          </cell>
          <cell r="V158">
            <v>5.9439990705239865E-2</v>
          </cell>
          <cell r="W158">
            <v>8.8015625520203367E-2</v>
          </cell>
          <cell r="X158">
            <v>9.3120515258926506E-2</v>
          </cell>
          <cell r="Y158">
            <v>9.0392263503178194E-2</v>
          </cell>
          <cell r="Z158">
            <v>0.11583472653451143</v>
          </cell>
          <cell r="AA158">
            <v>7.0783132530120474E-2</v>
          </cell>
          <cell r="AB158">
            <v>4.2248375062497567E-2</v>
          </cell>
          <cell r="AC158">
            <v>2.2847250625398496E-2</v>
          </cell>
          <cell r="AD158">
            <v>5.8000000000000052E-2</v>
          </cell>
          <cell r="AE158">
            <v>6.4000000000000057E-2</v>
          </cell>
          <cell r="AF158">
            <v>6.0000000000000053E-2</v>
          </cell>
          <cell r="AG158">
            <v>6.0000000000000053E-2</v>
          </cell>
          <cell r="AH158">
            <v>6.0000000000000053E-2</v>
          </cell>
          <cell r="AI158">
            <v>6.0000000000000275E-2</v>
          </cell>
          <cell r="AJ158">
            <v>6.0000000000000053E-2</v>
          </cell>
          <cell r="AK158">
            <v>6.0000000000000053E-2</v>
          </cell>
          <cell r="AL158">
            <v>5.9999999999999831E-2</v>
          </cell>
          <cell r="AM158">
            <v>6.0000000000000053E-2</v>
          </cell>
        </row>
        <row r="159">
          <cell r="E159">
            <v>8.9171974522293196E-2</v>
          </cell>
          <cell r="F159">
            <v>0.14035087719298223</v>
          </cell>
          <cell r="G159">
            <v>0.21794871794871762</v>
          </cell>
          <cell r="H159">
            <v>0.15578947368421048</v>
          </cell>
          <cell r="I159">
            <v>6.5573770491803351E-2</v>
          </cell>
          <cell r="J159">
            <v>0.20170940170940121</v>
          </cell>
          <cell r="K159">
            <v>0.14082503556187809</v>
          </cell>
          <cell r="L159">
            <v>9.7256857855361645E-2</v>
          </cell>
          <cell r="M159">
            <v>2.9545454545454319E-2</v>
          </cell>
          <cell r="N159">
            <v>0.10347184951794541</v>
          </cell>
          <cell r="O159">
            <v>1.9845678929375721E-2</v>
          </cell>
          <cell r="P159">
            <v>0.13024716699901795</v>
          </cell>
          <cell r="Q159">
            <v>-0.21239415406403117</v>
          </cell>
          <cell r="R159">
            <v>5.0265405031156174E-2</v>
          </cell>
          <cell r="S159">
            <v>4.9046321525885395E-2</v>
          </cell>
          <cell r="T159">
            <v>8.7248322147650992E-2</v>
          </cell>
          <cell r="U159">
            <v>3.6395369728702942E-2</v>
          </cell>
          <cell r="V159">
            <v>0.14380655987534352</v>
          </cell>
          <cell r="W159">
            <v>-1.73285923633687E-2</v>
          </cell>
          <cell r="X159">
            <v>4.0954097509163789E-2</v>
          </cell>
          <cell r="Y159">
            <v>-2.7780599104752612E-2</v>
          </cell>
          <cell r="Z159">
            <v>0.22004000086191877</v>
          </cell>
          <cell r="AA159">
            <v>0.11020352177631221</v>
          </cell>
          <cell r="AB159">
            <v>-6.6481685558353876E-3</v>
          </cell>
          <cell r="AC159">
            <v>-1.5206442863503922E-2</v>
          </cell>
          <cell r="AD159">
            <v>5.2715436875386379E-2</v>
          </cell>
          <cell r="AE159">
            <v>5.6507053865827883E-2</v>
          </cell>
          <cell r="AF159">
            <v>5.6489725456052797E-2</v>
          </cell>
          <cell r="AG159">
            <v>5.6579211846679245E-2</v>
          </cell>
          <cell r="AH159">
            <v>6.1245326919851184E-2</v>
          </cell>
          <cell r="AI159">
            <v>6.1249145613681222E-2</v>
          </cell>
          <cell r="AJ159">
            <v>6.1252992391266137E-2</v>
          </cell>
          <cell r="AK159">
            <v>6.1256866587154901E-2</v>
          </cell>
          <cell r="AL159">
            <v>6.1260767531041038E-2</v>
          </cell>
          <cell r="AM159">
            <v>6.1264694548075482E-2</v>
          </cell>
        </row>
        <row r="160">
          <cell r="E160" t="str">
            <v>…</v>
          </cell>
          <cell r="F160" t="str">
            <v>…</v>
          </cell>
          <cell r="G160" t="str">
            <v>…</v>
          </cell>
          <cell r="H160" t="str">
            <v>…</v>
          </cell>
          <cell r="I160" t="str">
            <v>…</v>
          </cell>
          <cell r="J160" t="str">
            <v>…</v>
          </cell>
          <cell r="K160" t="str">
            <v>…</v>
          </cell>
          <cell r="L160" t="str">
            <v>…</v>
          </cell>
          <cell r="M160" t="str">
            <v>…</v>
          </cell>
          <cell r="N160" t="str">
            <v>…</v>
          </cell>
          <cell r="O160">
            <v>0.13345395824856143</v>
          </cell>
          <cell r="P160">
            <v>0.10435972207757538</v>
          </cell>
          <cell r="Q160">
            <v>-0.27003624198660592</v>
          </cell>
          <cell r="R160">
            <v>3.7020918995167795E-2</v>
          </cell>
          <cell r="S160">
            <v>5.5350553505534972E-2</v>
          </cell>
          <cell r="T160">
            <v>7.4809160305343569E-2</v>
          </cell>
          <cell r="U160">
            <v>4.9289561664190185E-2</v>
          </cell>
          <cell r="V160">
            <v>0.16118522693284087</v>
          </cell>
          <cell r="W160">
            <v>-4.7604884228881206E-2</v>
          </cell>
          <cell r="X160">
            <v>4.7928616470704011E-2</v>
          </cell>
          <cell r="Y160">
            <v>2.8938780324774926E-2</v>
          </cell>
          <cell r="Z160">
            <v>0.14514597310296229</v>
          </cell>
          <cell r="AA160">
            <v>0.21503435443640484</v>
          </cell>
          <cell r="AB160">
            <v>-1.9572183025090673E-2</v>
          </cell>
          <cell r="AC160">
            <v>1.0538442153768646E-2</v>
          </cell>
          <cell r="AD160">
            <v>5.8000000000000052E-2</v>
          </cell>
          <cell r="AE160">
            <v>6.154000000000015E-2</v>
          </cell>
          <cell r="AF160">
            <v>6.1539999999999928E-2</v>
          </cell>
          <cell r="AG160">
            <v>6.1539999999999928E-2</v>
          </cell>
          <cell r="AH160">
            <v>6.1539999999999928E-2</v>
          </cell>
          <cell r="AI160">
            <v>6.1539999999999706E-2</v>
          </cell>
          <cell r="AJ160">
            <v>6.1539999999999928E-2</v>
          </cell>
          <cell r="AK160">
            <v>6.1539999999999928E-2</v>
          </cell>
          <cell r="AL160">
            <v>6.1539999999999928E-2</v>
          </cell>
          <cell r="AM160">
            <v>6.1539999999999928E-2</v>
          </cell>
        </row>
        <row r="161">
          <cell r="E161" t="str">
            <v>…</v>
          </cell>
          <cell r="F161" t="str">
            <v>…</v>
          </cell>
          <cell r="G161" t="str">
            <v>…</v>
          </cell>
          <cell r="H161" t="str">
            <v>…</v>
          </cell>
          <cell r="I161" t="str">
            <v>…</v>
          </cell>
          <cell r="J161" t="str">
            <v>…</v>
          </cell>
          <cell r="K161" t="str">
            <v>…</v>
          </cell>
          <cell r="L161" t="str">
            <v>…</v>
          </cell>
          <cell r="M161" t="str">
            <v>…</v>
          </cell>
          <cell r="N161" t="str">
            <v>…</v>
          </cell>
          <cell r="O161">
            <v>-0.12591105287341864</v>
          </cell>
          <cell r="P161">
            <v>0.1774256648272603</v>
          </cell>
          <cell r="Q161">
            <v>-0.13515522594435747</v>
          </cell>
          <cell r="R161">
            <v>9.0116854822737125E-2</v>
          </cell>
          <cell r="S161">
            <v>3.125E-2</v>
          </cell>
          <cell r="T161">
            <v>0.12133891213389125</v>
          </cell>
          <cell r="U161">
            <v>2.8792026029025308E-3</v>
          </cell>
          <cell r="V161">
            <v>0.11626841243862529</v>
          </cell>
          <cell r="W161">
            <v>3.7720665895488503E-2</v>
          </cell>
          <cell r="X161">
            <v>2.7600004820961477E-2</v>
          </cell>
          <cell r="Y161">
            <v>-0.11497696432617499</v>
          </cell>
          <cell r="Z161">
            <v>0.35394808298034097</v>
          </cell>
          <cell r="AA161">
            <v>-2.0043297265842752E-2</v>
          </cell>
          <cell r="AB161">
            <v>1.7882836587872486E-2</v>
          </cell>
          <cell r="AC161">
            <v>-3.5586124401913888E-2</v>
          </cell>
          <cell r="AD161">
            <v>5.699999999999994E-2</v>
          </cell>
          <cell r="AE161">
            <v>6.2000000000000277E-2</v>
          </cell>
          <cell r="AF161">
            <v>6.2000000000000277E-2</v>
          </cell>
          <cell r="AG161">
            <v>6.1999999999999833E-2</v>
          </cell>
          <cell r="AH161">
            <v>6.2000000000000055E-2</v>
          </cell>
          <cell r="AI161">
            <v>6.2000000000000055E-2</v>
          </cell>
          <cell r="AJ161">
            <v>6.1999999999999833E-2</v>
          </cell>
          <cell r="AK161">
            <v>6.2000000000000277E-2</v>
          </cell>
          <cell r="AL161">
            <v>6.1999999999999833E-2</v>
          </cell>
          <cell r="AM161">
            <v>6.2000000000000055E-2</v>
          </cell>
        </row>
        <row r="162">
          <cell r="E162" t="str">
            <v>…</v>
          </cell>
          <cell r="F162" t="str">
            <v>…</v>
          </cell>
          <cell r="G162" t="str">
            <v>…</v>
          </cell>
          <cell r="H162" t="str">
            <v>…</v>
          </cell>
          <cell r="I162" t="str">
            <v>…</v>
          </cell>
          <cell r="J162" t="str">
            <v>…</v>
          </cell>
          <cell r="K162" t="str">
            <v>…</v>
          </cell>
          <cell r="L162" t="str">
            <v>…</v>
          </cell>
          <cell r="M162" t="str">
            <v>…</v>
          </cell>
          <cell r="N162" t="str">
            <v>…</v>
          </cell>
          <cell r="O162">
            <v>0.15224780648450076</v>
          </cell>
          <cell r="P162">
            <v>0.15978695522226971</v>
          </cell>
          <cell r="Q162">
            <v>-7.2449119856175193E-2</v>
          </cell>
          <cell r="R162">
            <v>-0.17020157756354071</v>
          </cell>
          <cell r="S162">
            <v>-2.777777777777779E-2</v>
          </cell>
          <cell r="T162">
            <v>0.25263157894736832</v>
          </cell>
          <cell r="U162">
            <v>0.14369151916085565</v>
          </cell>
          <cell r="V162">
            <v>-5.7095709570956776E-3</v>
          </cell>
          <cell r="W162">
            <v>0.12537690227782639</v>
          </cell>
          <cell r="X162">
            <v>6.2655830157926307E-2</v>
          </cell>
          <cell r="Y162">
            <v>0.13634851530973857</v>
          </cell>
          <cell r="Z162">
            <v>9.3498232074527454E-2</v>
          </cell>
          <cell r="AA162">
            <v>4.6206847100542126E-2</v>
          </cell>
          <cell r="AB162">
            <v>-0.15209938848911941</v>
          </cell>
          <cell r="AC162">
            <v>-3.1323102933116242E-3</v>
          </cell>
          <cell r="AD162">
            <v>5.7999999999999829E-2</v>
          </cell>
          <cell r="AE162">
            <v>6.2000000000000277E-2</v>
          </cell>
          <cell r="AF162">
            <v>6.1399999999999899E-2</v>
          </cell>
          <cell r="AG162">
            <v>6.1399999999999899E-2</v>
          </cell>
          <cell r="AH162">
            <v>6.1399999999999677E-2</v>
          </cell>
          <cell r="AI162">
            <v>6.1399999999999899E-2</v>
          </cell>
          <cell r="AJ162">
            <v>6.1400000000000121E-2</v>
          </cell>
          <cell r="AK162">
            <v>6.1399999999999677E-2</v>
          </cell>
          <cell r="AL162">
            <v>6.1399999999999899E-2</v>
          </cell>
          <cell r="AM162">
            <v>6.1399999999999899E-2</v>
          </cell>
        </row>
        <row r="163">
          <cell r="E163" t="str">
            <v>…</v>
          </cell>
          <cell r="F163" t="str">
            <v>…</v>
          </cell>
          <cell r="G163" t="str">
            <v>…</v>
          </cell>
          <cell r="H163" t="str">
            <v>…</v>
          </cell>
          <cell r="I163" t="str">
            <v>…</v>
          </cell>
          <cell r="J163" t="str">
            <v>…</v>
          </cell>
          <cell r="K163" t="str">
            <v>…</v>
          </cell>
          <cell r="L163" t="str">
            <v>…</v>
          </cell>
          <cell r="M163" t="str">
            <v>…</v>
          </cell>
          <cell r="N163" t="str">
            <v>…</v>
          </cell>
          <cell r="O163">
            <v>0.11902492169413037</v>
          </cell>
          <cell r="P163">
            <v>0.17629468313866159</v>
          </cell>
          <cell r="Q163">
            <v>-0.33124213431618399</v>
          </cell>
          <cell r="R163">
            <v>0.13002338666064994</v>
          </cell>
          <cell r="S163">
            <v>5.2816901408452299E-3</v>
          </cell>
          <cell r="T163">
            <v>0.18988326848249049</v>
          </cell>
          <cell r="U163">
            <v>9.8696848854566532E-2</v>
          </cell>
          <cell r="V163">
            <v>8.1235607160135448E-2</v>
          </cell>
          <cell r="W163">
            <v>8.5046901577947365E-2</v>
          </cell>
          <cell r="X163">
            <v>8.9106441838143757E-2</v>
          </cell>
          <cell r="Y163">
            <v>7.3114373401041766E-2</v>
          </cell>
          <cell r="Z163">
            <v>5.748745884619777E-2</v>
          </cell>
          <cell r="AA163">
            <v>5.9111786777073405E-2</v>
          </cell>
          <cell r="AB163">
            <v>4.82864882328089E-2</v>
          </cell>
          <cell r="AC163">
            <v>1.4602765814703433E-2</v>
          </cell>
          <cell r="AD163">
            <v>5.885817920897507E-2</v>
          </cell>
          <cell r="AE163">
            <v>6.1525640312330099E-2</v>
          </cell>
          <cell r="AF163">
            <v>6.1995024677597099E-2</v>
          </cell>
          <cell r="AG163">
            <v>6.2001846134995375E-2</v>
          </cell>
          <cell r="AH163">
            <v>6.2008675958479698E-2</v>
          </cell>
          <cell r="AI163">
            <v>6.20155135493623E-2</v>
          </cell>
          <cell r="AJ163">
            <v>6.2022358308258196E-2</v>
          </cell>
          <cell r="AK163">
            <v>6.2029209635236615E-2</v>
          </cell>
          <cell r="AL163">
            <v>6.2036066929982647E-2</v>
          </cell>
          <cell r="AM163">
            <v>6.2042929591950458E-2</v>
          </cell>
        </row>
        <row r="164">
          <cell r="E164" t="str">
            <v>…</v>
          </cell>
          <cell r="F164" t="str">
            <v>…</v>
          </cell>
          <cell r="G164" t="str">
            <v>…</v>
          </cell>
          <cell r="H164" t="str">
            <v>…</v>
          </cell>
          <cell r="I164" t="str">
            <v>…</v>
          </cell>
          <cell r="J164" t="str">
            <v>…</v>
          </cell>
          <cell r="K164" t="str">
            <v>…</v>
          </cell>
          <cell r="L164" t="str">
            <v>…</v>
          </cell>
          <cell r="M164" t="str">
            <v>…</v>
          </cell>
          <cell r="N164" t="str">
            <v>…</v>
          </cell>
          <cell r="O164">
            <v>0.11902492169413059</v>
          </cell>
          <cell r="P164">
            <v>0.17731532189363541</v>
          </cell>
          <cell r="Q164">
            <v>-0.32648131917408951</v>
          </cell>
          <cell r="R164">
            <v>0.13655105505699727</v>
          </cell>
          <cell r="S164">
            <v>-8.4175084175084347E-3</v>
          </cell>
          <cell r="T164">
            <v>0.21974522292993637</v>
          </cell>
          <cell r="U164">
            <v>9.4821854272416184E-2</v>
          </cell>
          <cell r="V164">
            <v>8.4679351656095969E-2</v>
          </cell>
          <cell r="W164">
            <v>9.1141697001909661E-2</v>
          </cell>
          <cell r="X164">
            <v>8.8553421853537762E-2</v>
          </cell>
          <cell r="Y164">
            <v>7.6642000438196467E-2</v>
          </cell>
          <cell r="Z164">
            <v>5.7110755402326907E-2</v>
          </cell>
          <cell r="AA164">
            <v>7.1858198512262605E-2</v>
          </cell>
          <cell r="AB164">
            <v>7.0502858747379715E-2</v>
          </cell>
          <cell r="AC164">
            <v>1.5810146171713724E-2</v>
          </cell>
          <cell r="AD164">
            <v>6.050000000000022E-2</v>
          </cell>
          <cell r="AE164">
            <v>6.349999999999989E-2</v>
          </cell>
          <cell r="AF164">
            <v>6.1560000000000281E-2</v>
          </cell>
          <cell r="AG164">
            <v>6.1560000000000059E-2</v>
          </cell>
          <cell r="AH164">
            <v>6.1560000000000281E-2</v>
          </cell>
          <cell r="AI164">
            <v>6.1560000000000059E-2</v>
          </cell>
          <cell r="AJ164">
            <v>6.1560000000000059E-2</v>
          </cell>
          <cell r="AK164">
            <v>6.1560000000000059E-2</v>
          </cell>
          <cell r="AL164">
            <v>6.1560000000000059E-2</v>
          </cell>
          <cell r="AM164">
            <v>6.1560000000000281E-2</v>
          </cell>
        </row>
        <row r="165">
          <cell r="E165" t="str">
            <v>…</v>
          </cell>
          <cell r="F165" t="str">
            <v>…</v>
          </cell>
          <cell r="G165" t="str">
            <v>…</v>
          </cell>
          <cell r="H165" t="str">
            <v>…</v>
          </cell>
          <cell r="I165" t="str">
            <v>…</v>
          </cell>
          <cell r="J165" t="str">
            <v>…</v>
          </cell>
          <cell r="K165" t="str">
            <v>…</v>
          </cell>
          <cell r="L165" t="str">
            <v>…</v>
          </cell>
          <cell r="M165" t="str">
            <v>…</v>
          </cell>
          <cell r="N165" t="str">
            <v>…</v>
          </cell>
          <cell r="O165">
            <v>0.11902492169413037</v>
          </cell>
          <cell r="P165">
            <v>0.17463101371514789</v>
          </cell>
          <cell r="Q165">
            <v>-0.33589417427696266</v>
          </cell>
          <cell r="R165">
            <v>0.12278252111612153</v>
          </cell>
          <cell r="S165">
            <v>2.0295202952029356E-2</v>
          </cell>
          <cell r="T165">
            <v>0.16133942161339432</v>
          </cell>
          <cell r="U165">
            <v>9.9703087496198384E-2</v>
          </cell>
          <cell r="V165">
            <v>7.7273698150284176E-2</v>
          </cell>
          <cell r="W165">
            <v>7.8939774013807806E-2</v>
          </cell>
          <cell r="X165">
            <v>8.8947618830369057E-2</v>
          </cell>
          <cell r="Y165">
            <v>7.0367146410653003E-2</v>
          </cell>
          <cell r="Z165">
            <v>6.0115541968259745E-2</v>
          </cell>
          <cell r="AA165">
            <v>4.8135904352535785E-2</v>
          </cell>
          <cell r="AB165">
            <v>3.1111016850298601E-2</v>
          </cell>
          <cell r="AC165">
            <v>1.3281508933682851E-2</v>
          </cell>
          <cell r="AD165">
            <v>5.8000000000000052E-2</v>
          </cell>
          <cell r="AE165">
            <v>6.050000000000022E-2</v>
          </cell>
          <cell r="AF165">
            <v>6.2999999999999945E-2</v>
          </cell>
          <cell r="AG165">
            <v>6.2999999999999945E-2</v>
          </cell>
          <cell r="AH165">
            <v>6.3000000000000167E-2</v>
          </cell>
          <cell r="AI165">
            <v>6.2999999999999945E-2</v>
          </cell>
          <cell r="AJ165">
            <v>6.2999999999999945E-2</v>
          </cell>
          <cell r="AK165">
            <v>6.2999999999999945E-2</v>
          </cell>
          <cell r="AL165">
            <v>6.2999999999999945E-2</v>
          </cell>
          <cell r="AM165">
            <v>6.2999999999999945E-2</v>
          </cell>
        </row>
        <row r="166">
          <cell r="E166">
            <v>7.0631970260223165E-2</v>
          </cell>
          <cell r="F166">
            <v>0.14583333333333348</v>
          </cell>
          <cell r="G166">
            <v>0.19393939393939386</v>
          </cell>
          <cell r="H166">
            <v>9.3908629441624258E-2</v>
          </cell>
          <cell r="I166">
            <v>9.0487238979118478E-2</v>
          </cell>
          <cell r="J166">
            <v>0.17659574468085082</v>
          </cell>
          <cell r="K166">
            <v>0.16455696202531667</v>
          </cell>
          <cell r="L166">
            <v>0.11335403726708049</v>
          </cell>
          <cell r="M166">
            <v>0.25531286058025016</v>
          </cell>
          <cell r="N166">
            <v>0.11103788009097126</v>
          </cell>
          <cell r="O166">
            <v>0.18413031743379915</v>
          </cell>
          <cell r="P166">
            <v>0.10262754124835549</v>
          </cell>
          <cell r="Q166">
            <v>-0.44883883312526318</v>
          </cell>
          <cell r="R166">
            <v>0.1979399910434394</v>
          </cell>
          <cell r="S166">
            <v>0.15999999999999992</v>
          </cell>
          <cell r="T166">
            <v>9.1666666666666785E-2</v>
          </cell>
          <cell r="U166">
            <v>7.3707921411588107E-2</v>
          </cell>
          <cell r="V166">
            <v>8.3916083916083961E-2</v>
          </cell>
          <cell r="W166">
            <v>0.10322580645161294</v>
          </cell>
          <cell r="X166">
            <v>7.8221870465637888E-2</v>
          </cell>
          <cell r="Y166">
            <v>7.4626865671641784E-2</v>
          </cell>
          <cell r="Z166">
            <v>9.6647742633144018E-2</v>
          </cell>
          <cell r="AA166">
            <v>9.5656876138433322E-2</v>
          </cell>
          <cell r="AB166">
            <v>7.0462633451957357E-2</v>
          </cell>
          <cell r="AC166">
            <v>8.9725643896976459E-2</v>
          </cell>
          <cell r="AD166">
            <v>5.2449999999999664E-2</v>
          </cell>
          <cell r="AE166">
            <v>6.0499999999999998E-2</v>
          </cell>
          <cell r="AF166">
            <v>6.4678000000000013E-2</v>
          </cell>
          <cell r="AG166">
            <v>6.4678000000000013E-2</v>
          </cell>
          <cell r="AH166">
            <v>6.4678000000000235E-2</v>
          </cell>
          <cell r="AI166">
            <v>6.4678000000000013E-2</v>
          </cell>
          <cell r="AJ166">
            <v>6.4678000000000013E-2</v>
          </cell>
          <cell r="AK166">
            <v>6.4678000000000013E-2</v>
          </cell>
          <cell r="AL166">
            <v>6.4678000000000235E-2</v>
          </cell>
          <cell r="AM166">
            <v>6.4678000000000013E-2</v>
          </cell>
        </row>
        <row r="167">
          <cell r="E167">
            <v>0.22213356801348882</v>
          </cell>
          <cell r="F167">
            <v>0.17157814873051969</v>
          </cell>
          <cell r="G167">
            <v>0.11323955304687527</v>
          </cell>
          <cell r="H167">
            <v>0.12406890683768568</v>
          </cell>
          <cell r="I167">
            <v>0.10372781878625204</v>
          </cell>
          <cell r="J167">
            <v>0.14481106198685234</v>
          </cell>
          <cell r="K167">
            <v>0.22657111601194502</v>
          </cell>
          <cell r="L167">
            <v>6.8945814210349621E-2</v>
          </cell>
          <cell r="M167">
            <v>0.10829631269608098</v>
          </cell>
          <cell r="N167">
            <v>0.1218926706484178</v>
          </cell>
          <cell r="O167">
            <v>0.10344804090027138</v>
          </cell>
          <cell r="P167">
            <v>0.26244339202838507</v>
          </cell>
          <cell r="Q167">
            <v>-0.43685438444674229</v>
          </cell>
          <cell r="R167">
            <v>9.5887697955955753E-2</v>
          </cell>
          <cell r="S167">
            <v>0.16359060402684555</v>
          </cell>
          <cell r="T167">
            <v>0.18358831710709311</v>
          </cell>
          <cell r="U167">
            <v>6.6600682970685998E-2</v>
          </cell>
          <cell r="V167">
            <v>6.9209672124281418E-2</v>
          </cell>
          <cell r="W167">
            <v>8.2340792271147434E-2</v>
          </cell>
          <cell r="X167">
            <v>7.2644140920063105E-2</v>
          </cell>
          <cell r="Y167">
            <v>0.13001655071589036</v>
          </cell>
          <cell r="Z167">
            <v>8.5852110655903147E-2</v>
          </cell>
          <cell r="AA167">
            <v>2.7113903566601927E-2</v>
          </cell>
          <cell r="AB167">
            <v>-1.2757740719273714E-2</v>
          </cell>
          <cell r="AC167">
            <v>-2.1760549839640264E-2</v>
          </cell>
          <cell r="AD167">
            <v>9.772934955156054E-2</v>
          </cell>
          <cell r="AE167">
            <v>8.4066404770773095E-2</v>
          </cell>
          <cell r="AF167">
            <v>7.103086832274097E-2</v>
          </cell>
          <cell r="AG167">
            <v>7.4581534506923397E-2</v>
          </cell>
          <cell r="AH167">
            <v>7.1644542112700771E-2</v>
          </cell>
          <cell r="AI167">
            <v>6.7857233125147021E-2</v>
          </cell>
          <cell r="AJ167">
            <v>6.2724539819122294E-2</v>
          </cell>
          <cell r="AK167">
            <v>6.1050796591615608E-2</v>
          </cell>
          <cell r="AL167">
            <v>6.2614591236267003E-2</v>
          </cell>
          <cell r="AM167">
            <v>5.8156084570889499E-2</v>
          </cell>
        </row>
        <row r="168">
          <cell r="E168">
            <v>0.13795494202040604</v>
          </cell>
          <cell r="F168">
            <v>0.17114442929066231</v>
          </cell>
          <cell r="G168">
            <v>0.15970541164690522</v>
          </cell>
          <cell r="H168">
            <v>0.14041840695726338</v>
          </cell>
          <cell r="I168">
            <v>0.15512570146560889</v>
          </cell>
          <cell r="J168">
            <v>8.2706789319591634E-2</v>
          </cell>
          <cell r="K168">
            <v>0.14607142598553113</v>
          </cell>
          <cell r="L168">
            <v>0.17417891618338599</v>
          </cell>
          <cell r="M168">
            <v>-0.26633390814488644</v>
          </cell>
          <cell r="N168">
            <v>0.88369829947530887</v>
          </cell>
          <cell r="O168">
            <v>0.10210575282982415</v>
          </cell>
          <cell r="P168">
            <v>-0.36783448397784613</v>
          </cell>
          <cell r="Q168">
            <v>0.19140893921840241</v>
          </cell>
          <cell r="R168">
            <v>0.10153891196545217</v>
          </cell>
          <cell r="S168">
            <v>9.2827004219409259E-2</v>
          </cell>
          <cell r="T168">
            <v>9.665427509293667E-2</v>
          </cell>
          <cell r="U168">
            <v>7.8263021155511536E-2</v>
          </cell>
          <cell r="V168">
            <v>6.2365449672685758E-2</v>
          </cell>
          <cell r="W168">
            <v>9.2813218702806122E-2</v>
          </cell>
          <cell r="X168">
            <v>8.7650372018635681E-2</v>
          </cell>
          <cell r="Y168">
            <v>9.6730496890585327E-2</v>
          </cell>
          <cell r="Z168">
            <v>0.11191061034869443</v>
          </cell>
          <cell r="AA168">
            <v>7.0135577426387208E-2</v>
          </cell>
          <cell r="AB168">
            <v>4.7316800645581969E-2</v>
          </cell>
          <cell r="AC168">
            <v>2.6914907739280514E-2</v>
          </cell>
          <cell r="AD168">
            <v>6.0999999999999943E-2</v>
          </cell>
          <cell r="AE168">
            <v>6.0000000000000275E-2</v>
          </cell>
          <cell r="AF168">
            <v>6.2999999999999723E-2</v>
          </cell>
          <cell r="AG168">
            <v>6.2999999999999945E-2</v>
          </cell>
          <cell r="AH168">
            <v>6.2999999999999723E-2</v>
          </cell>
          <cell r="AI168">
            <v>6.2999999999999945E-2</v>
          </cell>
          <cell r="AJ168">
            <v>6.2999999999999723E-2</v>
          </cell>
          <cell r="AK168">
            <v>6.2999999999999945E-2</v>
          </cell>
          <cell r="AL168">
            <v>6.2999999999999945E-2</v>
          </cell>
          <cell r="AM168">
            <v>6.2999999999999945E-2</v>
          </cell>
        </row>
        <row r="169">
          <cell r="E169">
            <v>0.16572468348154534</v>
          </cell>
          <cell r="F169">
            <v>0.16569292213073195</v>
          </cell>
          <cell r="G169">
            <v>0.13553342816831049</v>
          </cell>
          <cell r="H169">
            <v>0.12464730318684558</v>
          </cell>
          <cell r="I169">
            <v>0.11337757514263824</v>
          </cell>
          <cell r="J169">
            <v>0.13582868543008475</v>
          </cell>
          <cell r="K169">
            <v>0.17865148797022634</v>
          </cell>
          <cell r="L169">
            <v>0.10588289804702167</v>
          </cell>
          <cell r="M169">
            <v>-5.6961683615178726E-3</v>
          </cell>
          <cell r="N169">
            <v>0.2826068916046327</v>
          </cell>
          <cell r="O169">
            <v>0.10516707485743648</v>
          </cell>
          <cell r="P169">
            <v>0.16366864401721481</v>
          </cell>
          <cell r="Q169">
            <v>-0.34405406950322526</v>
          </cell>
          <cell r="R169">
            <v>8.3153123105893956E-2</v>
          </cell>
          <cell r="S169">
            <v>9.4422043010752521E-2</v>
          </cell>
          <cell r="T169">
            <v>0.15687907816187696</v>
          </cell>
          <cell r="U169">
            <v>7.744146696323484E-2</v>
          </cell>
          <cell r="V169">
            <v>7.4954722027346765E-2</v>
          </cell>
          <cell r="W169">
            <v>6.7708079677661903E-2</v>
          </cell>
          <cell r="X169">
            <v>0.12062987420220095</v>
          </cell>
          <cell r="Y169">
            <v>8.8791312062156846E-2</v>
          </cell>
          <cell r="Z169">
            <v>9.1281758021342307E-2</v>
          </cell>
          <cell r="AA169">
            <v>6.5720573108634328E-2</v>
          </cell>
          <cell r="AB169">
            <v>-1.9249729787055858E-2</v>
          </cell>
          <cell r="AC169">
            <v>-1.7735950163992653E-2</v>
          </cell>
          <cell r="AD169">
            <v>6.9994033226171481E-2</v>
          </cell>
          <cell r="AE169">
            <v>6.6638003528003864E-2</v>
          </cell>
          <cell r="AF169">
            <v>6.2040161980486896E-2</v>
          </cell>
          <cell r="AG169">
            <v>6.2754561048991908E-2</v>
          </cell>
          <cell r="AH169">
            <v>6.4281120048014229E-2</v>
          </cell>
          <cell r="AI169">
            <v>6.2952985430409836E-2</v>
          </cell>
          <cell r="AJ169">
            <v>6.1258923942594024E-2</v>
          </cell>
          <cell r="AK169">
            <v>6.0725324692019411E-2</v>
          </cell>
          <cell r="AL169">
            <v>6.1178130647496554E-2</v>
          </cell>
          <cell r="AM169">
            <v>5.9841695359736047E-2</v>
          </cell>
        </row>
        <row r="170">
          <cell r="E170" t="str">
            <v>…</v>
          </cell>
          <cell r="F170" t="str">
            <v>…</v>
          </cell>
          <cell r="G170" t="str">
            <v>…</v>
          </cell>
          <cell r="H170" t="str">
            <v>…</v>
          </cell>
          <cell r="I170" t="str">
            <v>…</v>
          </cell>
          <cell r="J170" t="str">
            <v>…</v>
          </cell>
          <cell r="K170" t="str">
            <v>…</v>
          </cell>
          <cell r="L170" t="str">
            <v>…</v>
          </cell>
          <cell r="M170" t="str">
            <v>…</v>
          </cell>
          <cell r="N170" t="str">
            <v>…</v>
          </cell>
          <cell r="O170">
            <v>0.15700000000000025</v>
          </cell>
          <cell r="P170">
            <v>0.15730337078651813</v>
          </cell>
          <cell r="Q170">
            <v>-4.232013940753232E-3</v>
          </cell>
          <cell r="R170">
            <v>-0.21385542168674698</v>
          </cell>
          <cell r="S170">
            <v>-4.5977011494252817E-2</v>
          </cell>
          <cell r="T170">
            <v>0.29600000000000004</v>
          </cell>
          <cell r="U170">
            <v>0.17711994232675488</v>
          </cell>
          <cell r="V170">
            <v>-1.674641148325362E-2</v>
          </cell>
          <cell r="W170">
            <v>0.13596491228070184</v>
          </cell>
          <cell r="X170">
            <v>6.1034544478252961E-2</v>
          </cell>
          <cell r="Y170">
            <v>0.15523716789539566</v>
          </cell>
          <cell r="Z170">
            <v>0.10893450635386115</v>
          </cell>
          <cell r="AA170">
            <v>4.7854527244843625E-2</v>
          </cell>
          <cell r="AB170">
            <v>-0.21192916217188051</v>
          </cell>
          <cell r="AC170">
            <v>-3.6818369970151865E-3</v>
          </cell>
          <cell r="AD170">
            <v>5.4999999999999938E-2</v>
          </cell>
          <cell r="AE170">
            <v>6.0999999999999943E-2</v>
          </cell>
          <cell r="AF170">
            <v>6.4000000000000279E-2</v>
          </cell>
          <cell r="AG170">
            <v>6.4000000000000057E-2</v>
          </cell>
          <cell r="AH170">
            <v>6.4000000000000279E-2</v>
          </cell>
          <cell r="AI170">
            <v>6.4000000000000057E-2</v>
          </cell>
          <cell r="AJ170">
            <v>6.4000000000000057E-2</v>
          </cell>
          <cell r="AK170">
            <v>6.3999999999999835E-2</v>
          </cell>
          <cell r="AL170">
            <v>6.4000000000000057E-2</v>
          </cell>
          <cell r="AM170">
            <v>6.4000000000000057E-2</v>
          </cell>
        </row>
        <row r="171">
          <cell r="E171">
            <v>2.836837075967491E-3</v>
          </cell>
          <cell r="F171">
            <v>0.27007128666588764</v>
          </cell>
          <cell r="G171">
            <v>0.17797583101619874</v>
          </cell>
          <cell r="H171">
            <v>9.5468329980869626E-2</v>
          </cell>
          <cell r="I171">
            <v>0.302357202087703</v>
          </cell>
          <cell r="J171">
            <v>0.12130261660978392</v>
          </cell>
          <cell r="K171">
            <v>0.12707624574744858</v>
          </cell>
          <cell r="L171">
            <v>0.36542820387160013</v>
          </cell>
          <cell r="M171">
            <v>0.21251159948396436</v>
          </cell>
          <cell r="N171">
            <v>0.14456480352670353</v>
          </cell>
          <cell r="O171">
            <v>6.093294116605863E-2</v>
          </cell>
          <cell r="P171">
            <v>0.16773878771749717</v>
          </cell>
          <cell r="Q171">
            <v>-0.23225501452015929</v>
          </cell>
          <cell r="R171">
            <v>0.16839632245837688</v>
          </cell>
          <cell r="S171">
            <v>7.5082508250825075E-2</v>
          </cell>
          <cell r="T171">
            <v>2.5542784163473886E-2</v>
          </cell>
          <cell r="U171">
            <v>1.3354421783861703E-2</v>
          </cell>
          <cell r="V171">
            <v>0.10179280201274743</v>
          </cell>
          <cell r="W171">
            <v>0.14807650112784865</v>
          </cell>
          <cell r="X171">
            <v>-6.65403174168816E-2</v>
          </cell>
          <cell r="Y171">
            <v>0.14395226818353879</v>
          </cell>
          <cell r="Z171">
            <v>9.5779804913770583E-2</v>
          </cell>
          <cell r="AA171">
            <v>-0.17136631136527569</v>
          </cell>
          <cell r="AB171">
            <v>0.20477623792124722</v>
          </cell>
          <cell r="AC171">
            <v>0.10039766098140701</v>
          </cell>
          <cell r="AD171">
            <v>0</v>
          </cell>
          <cell r="AE171">
            <v>0.10000000000000009</v>
          </cell>
          <cell r="AF171">
            <v>-7.9999999999999738E-2</v>
          </cell>
          <cell r="AG171">
            <v>2.0000000000000018E-2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E172">
            <v>1.3369481671136274E-2</v>
          </cell>
          <cell r="F172">
            <v>0.15741774361423655</v>
          </cell>
          <cell r="G172">
            <v>0.11915224936408331</v>
          </cell>
          <cell r="H172">
            <v>0.10939287176167345</v>
          </cell>
          <cell r="I172">
            <v>0.24866518668509996</v>
          </cell>
          <cell r="J172">
            <v>0.10377555811303396</v>
          </cell>
          <cell r="K172">
            <v>9.5364259152882935E-2</v>
          </cell>
          <cell r="L172">
            <v>0.21776497115745519</v>
          </cell>
          <cell r="M172">
            <v>0.16000781237061368</v>
          </cell>
          <cell r="N172">
            <v>8.2725552968075711E-2</v>
          </cell>
          <cell r="O172">
            <v>4.9323407033093014E-2</v>
          </cell>
          <cell r="P172">
            <v>9.5004928461107196E-2</v>
          </cell>
          <cell r="Q172">
            <v>-0.26971483901018034</v>
          </cell>
          <cell r="R172">
            <v>0.15671797037970081</v>
          </cell>
          <cell r="S172">
            <v>5.6897895557287637E-2</v>
          </cell>
          <cell r="T172">
            <v>0.14499275417588287</v>
          </cell>
          <cell r="U172">
            <v>7.0602773787799888E-2</v>
          </cell>
          <cell r="V172">
            <v>8.5846826534885512E-2</v>
          </cell>
          <cell r="W172">
            <v>6.507347302749511E-2</v>
          </cell>
          <cell r="X172">
            <v>0.10664640167208628</v>
          </cell>
          <cell r="Y172">
            <v>0.1413586074035782</v>
          </cell>
          <cell r="Z172">
            <v>0.11420541974679987</v>
          </cell>
          <cell r="AA172">
            <v>-6.2607483594481206E-3</v>
          </cell>
          <cell r="AB172">
            <v>3.1463851079025495E-3</v>
          </cell>
          <cell r="AC172">
            <v>2.3148034333567935E-2</v>
          </cell>
          <cell r="AD172">
            <v>7.0955462977132511E-2</v>
          </cell>
          <cell r="AE172">
            <v>6.804571898598355E-2</v>
          </cell>
          <cell r="AF172">
            <v>5.0030263061510372E-2</v>
          </cell>
          <cell r="AG172">
            <v>5.3511308340120856E-2</v>
          </cell>
          <cell r="AH172">
            <v>5.0631904032059527E-2</v>
          </cell>
          <cell r="AI172">
            <v>4.6918856005046194E-2</v>
          </cell>
          <cell r="AJ172">
            <v>4.1886803744237255E-2</v>
          </cell>
          <cell r="AK172">
            <v>4.0245879011387542E-2</v>
          </cell>
          <cell r="AL172">
            <v>4.1779011015947942E-2</v>
          </cell>
          <cell r="AM172">
            <v>3.7407926049891627E-2</v>
          </cell>
        </row>
      </sheetData>
      <sheetData sheetId="15" refreshError="1">
        <row r="5">
          <cell r="D5">
            <v>733.82914290175199</v>
          </cell>
          <cell r="E5">
            <v>751</v>
          </cell>
          <cell r="F5">
            <v>895</v>
          </cell>
          <cell r="G5">
            <v>1008</v>
          </cell>
          <cell r="H5">
            <v>1112</v>
          </cell>
          <cell r="I5">
            <v>1234</v>
          </cell>
          <cell r="J5">
            <v>1393</v>
          </cell>
          <cell r="K5">
            <v>1651</v>
          </cell>
          <cell r="L5">
            <v>1854</v>
          </cell>
          <cell r="M5">
            <v>2143</v>
          </cell>
          <cell r="N5">
            <v>2641</v>
          </cell>
          <cell r="O5">
            <v>3151</v>
          </cell>
          <cell r="P5">
            <v>3747</v>
          </cell>
          <cell r="Q5">
            <v>4093</v>
          </cell>
          <cell r="R5">
            <v>4649</v>
          </cell>
          <cell r="S5">
            <v>5351</v>
          </cell>
          <cell r="T5">
            <v>6283</v>
          </cell>
          <cell r="U5">
            <v>6987</v>
          </cell>
          <cell r="V5">
            <v>7800</v>
          </cell>
          <cell r="W5">
            <v>8307</v>
          </cell>
          <cell r="X5">
            <v>9352</v>
          </cell>
          <cell r="Y5">
            <v>10616</v>
          </cell>
          <cell r="Z5">
            <v>12012</v>
          </cell>
          <cell r="AA5">
            <v>13051</v>
          </cell>
          <cell r="AB5">
            <v>13903</v>
          </cell>
          <cell r="AC5">
            <v>14477</v>
          </cell>
          <cell r="AD5">
            <v>16033.524547204534</v>
          </cell>
          <cell r="AE5">
            <v>17801.966497872119</v>
          </cell>
          <cell r="AF5">
            <v>19716.79104969477</v>
          </cell>
          <cell r="AG5">
            <v>21900.587951371312</v>
          </cell>
          <cell r="AH5">
            <v>24297.080957640472</v>
          </cell>
          <cell r="AI5">
            <v>26994.007544524691</v>
          </cell>
          <cell r="AJ5">
            <v>30004.530361296867</v>
          </cell>
          <cell r="AK5">
            <v>33383.13404793349</v>
          </cell>
          <cell r="AL5">
            <v>36881.439350257388</v>
          </cell>
          <cell r="AM5">
            <v>40757.916726353084</v>
          </cell>
        </row>
        <row r="6">
          <cell r="D6">
            <v>251.12395436185119</v>
          </cell>
          <cell r="E6">
            <v>257</v>
          </cell>
          <cell r="F6">
            <v>304</v>
          </cell>
          <cell r="G6">
            <v>350</v>
          </cell>
          <cell r="H6">
            <v>372</v>
          </cell>
          <cell r="I6">
            <v>434</v>
          </cell>
          <cell r="J6">
            <v>537</v>
          </cell>
          <cell r="K6">
            <v>613</v>
          </cell>
          <cell r="L6">
            <v>711</v>
          </cell>
          <cell r="M6">
            <v>833</v>
          </cell>
          <cell r="N6">
            <v>959</v>
          </cell>
          <cell r="O6">
            <v>1066</v>
          </cell>
          <cell r="P6">
            <v>1183</v>
          </cell>
          <cell r="Q6">
            <v>1349</v>
          </cell>
          <cell r="R6">
            <v>1510</v>
          </cell>
          <cell r="S6">
            <v>1721</v>
          </cell>
          <cell r="T6">
            <v>1945</v>
          </cell>
          <cell r="U6">
            <v>2191</v>
          </cell>
          <cell r="V6">
            <v>2482</v>
          </cell>
          <cell r="W6">
            <v>2851</v>
          </cell>
          <cell r="X6">
            <v>3103</v>
          </cell>
          <cell r="Y6">
            <v>3561</v>
          </cell>
          <cell r="Z6">
            <v>4073</v>
          </cell>
          <cell r="AA6">
            <v>5303</v>
          </cell>
          <cell r="AB6">
            <v>5932</v>
          </cell>
          <cell r="AC6">
            <v>6651</v>
          </cell>
          <cell r="AD6">
            <v>5929.6733118615302</v>
          </cell>
          <cell r="AE6">
            <v>6583.6956391157228</v>
          </cell>
          <cell r="AF6">
            <v>7291.8545974540275</v>
          </cell>
          <cell r="AG6">
            <v>8099.4875148623833</v>
          </cell>
          <cell r="AH6">
            <v>8985.7817653560869</v>
          </cell>
          <cell r="AI6">
            <v>9983.1852719410053</v>
          </cell>
          <cell r="AJ6">
            <v>11096.565973034365</v>
          </cell>
          <cell r="AK6">
            <v>12346.073905805088</v>
          </cell>
          <cell r="AL6">
            <v>13639.851049243609</v>
          </cell>
          <cell r="AM6">
            <v>15073.487451108682</v>
          </cell>
        </row>
        <row r="7">
          <cell r="D7">
            <v>612.4584987631913</v>
          </cell>
          <cell r="E7">
            <v>626.78940598130157</v>
          </cell>
          <cell r="F7">
            <v>663.79784243673475</v>
          </cell>
          <cell r="G7">
            <v>683.6758041718499</v>
          </cell>
          <cell r="H7">
            <v>779.37931291420136</v>
          </cell>
          <cell r="I7">
            <v>1152.8429876755822</v>
          </cell>
          <cell r="J7">
            <v>1305.2980265350166</v>
          </cell>
          <cell r="K7">
            <v>1396.6711277122304</v>
          </cell>
          <cell r="L7">
            <v>1883.9276438178667</v>
          </cell>
          <cell r="M7">
            <v>2211.4450001841587</v>
          </cell>
          <cell r="N7">
            <v>1879</v>
          </cell>
          <cell r="O7">
            <v>2006</v>
          </cell>
          <cell r="P7">
            <v>2285</v>
          </cell>
          <cell r="Q7">
            <v>2880</v>
          </cell>
          <cell r="R7">
            <v>4176</v>
          </cell>
          <cell r="S7">
            <v>4179</v>
          </cell>
          <cell r="T7">
            <v>5178</v>
          </cell>
          <cell r="U7">
            <v>5772</v>
          </cell>
          <cell r="V7">
            <v>6469</v>
          </cell>
          <cell r="W7">
            <v>7073</v>
          </cell>
          <cell r="X7">
            <v>8917</v>
          </cell>
          <cell r="Y7">
            <v>10739</v>
          </cell>
          <cell r="Z7">
            <v>13662</v>
          </cell>
          <cell r="AA7">
            <v>12833</v>
          </cell>
          <cell r="AB7">
            <v>13115</v>
          </cell>
          <cell r="AC7">
            <v>13826</v>
          </cell>
          <cell r="AD7">
            <v>17047.8107716019</v>
          </cell>
          <cell r="AE7">
            <v>18928.124962457703</v>
          </cell>
          <cell r="AF7">
            <v>20964.081967680329</v>
          </cell>
          <cell r="AG7">
            <v>23286.026605229355</v>
          </cell>
          <cell r="AH7">
            <v>25834.122575398753</v>
          </cell>
          <cell r="AI7">
            <v>28701.65765683039</v>
          </cell>
          <cell r="AJ7">
            <v>31902.6271724738</v>
          </cell>
          <cell r="AK7">
            <v>35494.962479189628</v>
          </cell>
          <cell r="AL7">
            <v>39214.571766575376</v>
          </cell>
          <cell r="AM7">
            <v>43336.276421937466</v>
          </cell>
        </row>
        <row r="8">
          <cell r="D8">
            <v>1597.4115960267945</v>
          </cell>
          <cell r="E8">
            <v>1634.7894059813016</v>
          </cell>
          <cell r="F8">
            <v>1862.7978424367348</v>
          </cell>
          <cell r="G8">
            <v>2041.6758041718499</v>
          </cell>
          <cell r="H8">
            <v>2263.3793129142014</v>
          </cell>
          <cell r="I8">
            <v>2820.8429876755822</v>
          </cell>
          <cell r="J8">
            <v>3235.2980265350166</v>
          </cell>
          <cell r="K8">
            <v>3660.6711277122304</v>
          </cell>
          <cell r="L8">
            <v>4448.9276438178667</v>
          </cell>
          <cell r="M8">
            <v>5187.4450001841587</v>
          </cell>
          <cell r="N8">
            <v>5479</v>
          </cell>
          <cell r="O8">
            <v>6223</v>
          </cell>
          <cell r="P8">
            <v>7215</v>
          </cell>
          <cell r="Q8">
            <v>8322</v>
          </cell>
          <cell r="R8">
            <v>10335</v>
          </cell>
          <cell r="S8">
            <v>11251</v>
          </cell>
          <cell r="T8">
            <v>13406</v>
          </cell>
          <cell r="U8">
            <v>14950</v>
          </cell>
          <cell r="V8">
            <v>16751</v>
          </cell>
          <cell r="W8">
            <v>18231</v>
          </cell>
          <cell r="X8">
            <v>21372</v>
          </cell>
          <cell r="Y8">
            <v>24916</v>
          </cell>
          <cell r="Z8">
            <v>29747</v>
          </cell>
          <cell r="AA8">
            <v>31187</v>
          </cell>
          <cell r="AB8">
            <v>32950</v>
          </cell>
          <cell r="AC8">
            <v>34954</v>
          </cell>
          <cell r="AD8">
            <v>39011.008630667959</v>
          </cell>
          <cell r="AE8">
            <v>43313.787099445544</v>
          </cell>
          <cell r="AF8">
            <v>47972.72761482912</v>
          </cell>
          <cell r="AG8">
            <v>53286.102071463036</v>
          </cell>
          <cell r="AH8">
            <v>59116.985298395295</v>
          </cell>
          <cell r="AI8">
            <v>65678.850473296086</v>
          </cell>
          <cell r="AJ8">
            <v>73003.723506805036</v>
          </cell>
          <cell r="AK8">
            <v>81224.170432928207</v>
          </cell>
          <cell r="AL8">
            <v>89735.862166076389</v>
          </cell>
          <cell r="AM8">
            <v>99167.680599399231</v>
          </cell>
        </row>
        <row r="9">
          <cell r="D9">
            <v>161</v>
          </cell>
          <cell r="E9">
            <v>172</v>
          </cell>
          <cell r="F9">
            <v>209</v>
          </cell>
          <cell r="G9">
            <v>223</v>
          </cell>
          <cell r="H9">
            <v>247</v>
          </cell>
          <cell r="I9">
            <v>293</v>
          </cell>
          <cell r="J9">
            <v>380</v>
          </cell>
          <cell r="K9">
            <v>440</v>
          </cell>
          <cell r="L9">
            <v>565</v>
          </cell>
          <cell r="M9">
            <v>722</v>
          </cell>
          <cell r="N9">
            <v>838</v>
          </cell>
          <cell r="O9">
            <v>907</v>
          </cell>
          <cell r="P9">
            <v>1139</v>
          </cell>
          <cell r="Q9">
            <v>980</v>
          </cell>
          <cell r="R9">
            <v>1212</v>
          </cell>
          <cell r="S9">
            <v>1455</v>
          </cell>
          <cell r="T9">
            <v>1606</v>
          </cell>
          <cell r="U9">
            <v>1801</v>
          </cell>
          <cell r="V9">
            <v>2037</v>
          </cell>
          <cell r="W9">
            <v>2453</v>
          </cell>
          <cell r="X9">
            <v>2318</v>
          </cell>
          <cell r="Y9">
            <v>2771</v>
          </cell>
          <cell r="Z9">
            <v>3161</v>
          </cell>
          <cell r="AA9">
            <v>2655</v>
          </cell>
          <cell r="AB9">
            <v>3234</v>
          </cell>
          <cell r="AC9">
            <v>3606</v>
          </cell>
          <cell r="AD9">
            <v>3557.222258659307</v>
          </cell>
          <cell r="AE9">
            <v>4988.5367125004423</v>
          </cell>
          <cell r="AF9">
            <v>4743.5499950496805</v>
          </cell>
          <cell r="AG9">
            <v>5673.5402955672489</v>
          </cell>
          <cell r="AH9">
            <v>7056.6855965368377</v>
          </cell>
          <cell r="AI9">
            <v>8802.1212104784681</v>
          </cell>
          <cell r="AJ9">
            <v>11042.875942385406</v>
          </cell>
          <cell r="AK9">
            <v>13499.888623677358</v>
          </cell>
          <cell r="AL9">
            <v>15388.487147325901</v>
          </cell>
          <cell r="AM9">
            <v>17753.019495222667</v>
          </cell>
        </row>
        <row r="10">
          <cell r="D10">
            <v>1758.4115960267945</v>
          </cell>
          <cell r="E10">
            <v>1806.7894059813016</v>
          </cell>
          <cell r="F10">
            <v>2071.7978424367348</v>
          </cell>
          <cell r="G10">
            <v>2264.6758041718499</v>
          </cell>
          <cell r="H10">
            <v>2510.3793129142014</v>
          </cell>
          <cell r="I10">
            <v>3113.8429876755822</v>
          </cell>
          <cell r="J10">
            <v>3615.2980265350166</v>
          </cell>
          <cell r="K10">
            <v>4100.6711277122304</v>
          </cell>
          <cell r="L10">
            <v>5013.9276438178667</v>
          </cell>
          <cell r="M10">
            <v>5909.4450001841587</v>
          </cell>
          <cell r="N10">
            <v>6317</v>
          </cell>
          <cell r="O10">
            <v>7130</v>
          </cell>
          <cell r="P10">
            <v>8354</v>
          </cell>
          <cell r="Q10">
            <v>9302</v>
          </cell>
          <cell r="R10">
            <v>11547</v>
          </cell>
          <cell r="S10">
            <v>12706</v>
          </cell>
          <cell r="T10">
            <v>15012</v>
          </cell>
          <cell r="U10">
            <v>16751</v>
          </cell>
          <cell r="V10">
            <v>18788</v>
          </cell>
          <cell r="W10">
            <v>20684</v>
          </cell>
          <cell r="X10">
            <v>23690</v>
          </cell>
          <cell r="Y10">
            <v>27687</v>
          </cell>
          <cell r="Z10">
            <v>32908</v>
          </cell>
          <cell r="AA10">
            <v>33842</v>
          </cell>
          <cell r="AB10">
            <v>36184</v>
          </cell>
          <cell r="AC10">
            <v>38560</v>
          </cell>
          <cell r="AD10">
            <v>42568.230889327264</v>
          </cell>
          <cell r="AE10">
            <v>48302.323811945986</v>
          </cell>
          <cell r="AF10">
            <v>52716.277609878809</v>
          </cell>
          <cell r="AG10">
            <v>58959.642367030297</v>
          </cell>
          <cell r="AH10">
            <v>66173.670894932147</v>
          </cell>
          <cell r="AI10">
            <v>74480.971683774551</v>
          </cell>
          <cell r="AJ10">
            <v>84046.599449190442</v>
          </cell>
          <cell r="AK10">
            <v>94724.059056605562</v>
          </cell>
          <cell r="AL10">
            <v>105124.34931340227</v>
          </cell>
          <cell r="AM10">
            <v>116920.70009462189</v>
          </cell>
        </row>
        <row r="11">
          <cell r="D11">
            <v>163.49900000000025</v>
          </cell>
          <cell r="E11">
            <v>-197.77800000000002</v>
          </cell>
          <cell r="F11">
            <v>-263.62272366771731</v>
          </cell>
          <cell r="G11">
            <v>-366.01763048948351</v>
          </cell>
          <cell r="H11">
            <v>-366.80792961764359</v>
          </cell>
          <cell r="I11">
            <v>231.4901180267791</v>
          </cell>
          <cell r="J11">
            <v>185.92847927960975</v>
          </cell>
          <cell r="K11">
            <v>-537.09451596521603</v>
          </cell>
          <cell r="L11">
            <v>-237.4893586823855</v>
          </cell>
          <cell r="M11">
            <v>-168.90717807756528</v>
          </cell>
          <cell r="N11">
            <v>-940.13614733578152</v>
          </cell>
          <cell r="O11">
            <v>-1014.6233117837432</v>
          </cell>
          <cell r="P11">
            <v>-1198.4132773028768</v>
          </cell>
          <cell r="Q11">
            <v>-446.00900000000001</v>
          </cell>
          <cell r="R11">
            <v>-326.93900000000031</v>
          </cell>
          <cell r="S11">
            <v>-782.04299999999967</v>
          </cell>
          <cell r="T11">
            <v>-1225.6540000000005</v>
          </cell>
          <cell r="U11">
            <v>-1714.7620000000006</v>
          </cell>
          <cell r="V11">
            <v>-2328</v>
          </cell>
          <cell r="W11">
            <v>-2281</v>
          </cell>
          <cell r="X11">
            <v>-1340</v>
          </cell>
          <cell r="Y11">
            <v>-1839</v>
          </cell>
          <cell r="Z11">
            <v>-943</v>
          </cell>
          <cell r="AA11">
            <v>-2879</v>
          </cell>
          <cell r="AB11">
            <v>-2258.1046669999996</v>
          </cell>
          <cell r="AC11">
            <v>-2942</v>
          </cell>
          <cell r="AD11">
            <v>-17.351713524025399</v>
          </cell>
          <cell r="AE11">
            <v>-1241.8018923573472</v>
          </cell>
          <cell r="AF11">
            <v>-2383.1100364216727</v>
          </cell>
          <cell r="AG11">
            <v>-4687.3641905095828</v>
          </cell>
          <cell r="AH11">
            <v>-7514.2377381323568</v>
          </cell>
          <cell r="AI11">
            <v>-10460.715253180831</v>
          </cell>
          <cell r="AJ11">
            <v>-15438.028128771293</v>
          </cell>
          <cell r="AK11">
            <v>-23396.817334942789</v>
          </cell>
          <cell r="AL11">
            <v>-35464.490827349691</v>
          </cell>
          <cell r="AM11">
            <v>-54891.785684225091</v>
          </cell>
        </row>
        <row r="12">
          <cell r="D12">
            <v>1293.4990000000003</v>
          </cell>
          <cell r="E12">
            <v>1221.222</v>
          </cell>
          <cell r="F12">
            <v>1209.3772763322827</v>
          </cell>
          <cell r="G12">
            <v>1157.9823695105165</v>
          </cell>
          <cell r="H12">
            <v>1311.1920703823564</v>
          </cell>
          <cell r="I12">
            <v>1857.4901180267791</v>
          </cell>
          <cell r="J12">
            <v>2345.9284792796097</v>
          </cell>
          <cell r="K12">
            <v>2184.905484034784</v>
          </cell>
          <cell r="L12">
            <v>2634.5106413176145</v>
          </cell>
          <cell r="M12">
            <v>3329.0928219224347</v>
          </cell>
          <cell r="N12">
            <v>3158.8638526642185</v>
          </cell>
          <cell r="O12">
            <v>3654.3766882162568</v>
          </cell>
          <cell r="P12">
            <v>4219.5867226971232</v>
          </cell>
          <cell r="Q12">
            <v>4826.991</v>
          </cell>
          <cell r="R12">
            <v>5598.0609999999997</v>
          </cell>
          <cell r="S12">
            <v>6288.9570000000003</v>
          </cell>
          <cell r="T12">
            <v>7571.3459999999995</v>
          </cell>
          <cell r="U12">
            <v>7924.2379999999994</v>
          </cell>
          <cell r="V12">
            <v>8573</v>
          </cell>
          <cell r="W12">
            <v>9492</v>
          </cell>
          <cell r="X12">
            <v>10780</v>
          </cell>
          <cell r="Y12">
            <v>12387</v>
          </cell>
          <cell r="Z12">
            <v>16269</v>
          </cell>
          <cell r="AA12">
            <v>15178</v>
          </cell>
          <cell r="AB12">
            <v>16249.895333</v>
          </cell>
          <cell r="AC12">
            <v>17060</v>
          </cell>
          <cell r="AD12">
            <v>21534.705028196429</v>
          </cell>
          <cell r="AE12">
            <v>23583.259695438283</v>
          </cell>
          <cell r="AF12">
            <v>25377.089659626246</v>
          </cell>
          <cell r="AG12">
            <v>27346.673718268805</v>
          </cell>
          <cell r="AH12">
            <v>29508.449408005985</v>
          </cell>
          <cell r="AI12">
            <v>32032.933408206212</v>
          </cell>
          <cell r="AJ12">
            <v>34817.867327663211</v>
          </cell>
          <cell r="AK12">
            <v>37886.744798726446</v>
          </cell>
          <cell r="AL12">
            <v>41265.69620966931</v>
          </cell>
          <cell r="AM12">
            <v>45002.02374250484</v>
          </cell>
        </row>
        <row r="13">
          <cell r="D13">
            <v>1130</v>
          </cell>
          <cell r="E13">
            <v>1419</v>
          </cell>
          <cell r="F13">
            <v>1473</v>
          </cell>
          <cell r="G13">
            <v>1524</v>
          </cell>
          <cell r="H13">
            <v>1678</v>
          </cell>
          <cell r="I13">
            <v>1626</v>
          </cell>
          <cell r="J13">
            <v>2160</v>
          </cell>
          <cell r="K13">
            <v>2722</v>
          </cell>
          <cell r="L13">
            <v>2872</v>
          </cell>
          <cell r="M13">
            <v>3498</v>
          </cell>
          <cell r="N13">
            <v>4099</v>
          </cell>
          <cell r="O13">
            <v>4669</v>
          </cell>
          <cell r="P13">
            <v>5418</v>
          </cell>
          <cell r="Q13">
            <v>5273</v>
          </cell>
          <cell r="R13">
            <v>5925</v>
          </cell>
          <cell r="S13">
            <v>7071</v>
          </cell>
          <cell r="T13">
            <v>8797</v>
          </cell>
          <cell r="U13">
            <v>9639</v>
          </cell>
          <cell r="V13">
            <v>10901</v>
          </cell>
          <cell r="W13">
            <v>11773</v>
          </cell>
          <cell r="X13">
            <v>12120</v>
          </cell>
          <cell r="Y13">
            <v>14226</v>
          </cell>
          <cell r="Z13">
            <v>17212</v>
          </cell>
          <cell r="AA13">
            <v>18057</v>
          </cell>
          <cell r="AB13">
            <v>18508</v>
          </cell>
          <cell r="AC13">
            <v>20002</v>
          </cell>
          <cell r="AD13">
            <v>21552.056741720458</v>
          </cell>
          <cell r="AE13">
            <v>24825.06158779563</v>
          </cell>
          <cell r="AF13">
            <v>27760.199696047919</v>
          </cell>
          <cell r="AG13">
            <v>32034.037908778388</v>
          </cell>
          <cell r="AH13">
            <v>37022.687146138349</v>
          </cell>
          <cell r="AI13">
            <v>42493.648661387044</v>
          </cell>
          <cell r="AJ13">
            <v>50255.895456434504</v>
          </cell>
          <cell r="AK13">
            <v>61283.562133669235</v>
          </cell>
          <cell r="AL13">
            <v>76730.187037019001</v>
          </cell>
          <cell r="AM13">
            <v>99893.809426729931</v>
          </cell>
        </row>
        <row r="14">
          <cell r="D14">
            <v>1594.9125960267943</v>
          </cell>
          <cell r="E14">
            <v>2004.5674059813016</v>
          </cell>
          <cell r="F14">
            <v>2335.4205661044521</v>
          </cell>
          <cell r="G14">
            <v>2630.6934346613334</v>
          </cell>
          <cell r="H14">
            <v>2877.1872425318452</v>
          </cell>
          <cell r="I14">
            <v>2882.3528696488029</v>
          </cell>
          <cell r="J14">
            <v>3429.3695472554064</v>
          </cell>
          <cell r="K14">
            <v>4637.7656436774469</v>
          </cell>
          <cell r="L14">
            <v>5251.4170025002522</v>
          </cell>
          <cell r="M14">
            <v>6078.3521782617245</v>
          </cell>
          <cell r="N14">
            <v>7257.1361473357811</v>
          </cell>
          <cell r="O14">
            <v>8144.6233117837437</v>
          </cell>
          <cell r="P14">
            <v>9552.4132773028759</v>
          </cell>
          <cell r="Q14">
            <v>9748.009</v>
          </cell>
          <cell r="R14">
            <v>11873.939</v>
          </cell>
          <cell r="S14">
            <v>13488.043</v>
          </cell>
          <cell r="T14">
            <v>16237.654</v>
          </cell>
          <cell r="U14">
            <v>18465.762000000002</v>
          </cell>
          <cell r="V14">
            <v>21116</v>
          </cell>
          <cell r="W14">
            <v>22965</v>
          </cell>
          <cell r="X14">
            <v>25030</v>
          </cell>
          <cell r="Y14">
            <v>29526</v>
          </cell>
          <cell r="Z14">
            <v>33851</v>
          </cell>
          <cell r="AA14">
            <v>36721</v>
          </cell>
          <cell r="AB14">
            <v>38442.104667</v>
          </cell>
          <cell r="AC14">
            <v>41502</v>
          </cell>
          <cell r="AD14">
            <v>42585.582602851289</v>
          </cell>
          <cell r="AE14">
            <v>49544.12570430334</v>
          </cell>
          <cell r="AF14">
            <v>55099.387646300478</v>
          </cell>
          <cell r="AG14">
            <v>63647.006557539862</v>
          </cell>
          <cell r="AH14">
            <v>73687.908633064493</v>
          </cell>
          <cell r="AI14">
            <v>84941.686936955375</v>
          </cell>
          <cell r="AJ14">
            <v>99484.627577961757</v>
          </cell>
          <cell r="AK14">
            <v>118120.87639154834</v>
          </cell>
          <cell r="AL14">
            <v>140588.84014075197</v>
          </cell>
          <cell r="AM14">
            <v>171812.48577884695</v>
          </cell>
        </row>
        <row r="15">
          <cell r="D15">
            <v>1100.9794373528032</v>
          </cell>
          <cell r="E15">
            <v>1518.2621004612465</v>
          </cell>
          <cell r="F15">
            <v>1927.7656564448362</v>
          </cell>
          <cell r="G15">
            <v>2213.4016115363015</v>
          </cell>
          <cell r="H15">
            <v>2484.4998534626784</v>
          </cell>
          <cell r="I15">
            <v>2564.7130053759329</v>
          </cell>
          <cell r="J15">
            <v>3137.7161143380245</v>
          </cell>
          <cell r="K15">
            <v>4054.8667963016187</v>
          </cell>
          <cell r="L15">
            <v>4407.1892369999141</v>
          </cell>
          <cell r="M15">
            <v>5114.5271722751604</v>
          </cell>
          <cell r="N15">
            <v>5967.1361473357811</v>
          </cell>
          <cell r="O15">
            <v>6670.6233117837437</v>
          </cell>
          <cell r="P15">
            <v>7703.4132773028759</v>
          </cell>
          <cell r="Q15">
            <v>8804.009</v>
          </cell>
          <cell r="R15">
            <v>9114.9390000000003</v>
          </cell>
          <cell r="S15">
            <v>10731.043</v>
          </cell>
          <cell r="T15">
            <v>12767.654</v>
          </cell>
          <cell r="U15">
            <v>15085.762000000002</v>
          </cell>
          <cell r="V15">
            <v>16277</v>
          </cell>
          <cell r="W15">
            <v>18148</v>
          </cell>
          <cell r="X15">
            <v>20399</v>
          </cell>
          <cell r="Y15">
            <v>23041</v>
          </cell>
          <cell r="Z15">
            <v>27355</v>
          </cell>
          <cell r="AA15">
            <v>26634</v>
          </cell>
          <cell r="AB15">
            <v>28902.104667</v>
          </cell>
          <cell r="AC15">
            <v>30524</v>
          </cell>
          <cell r="AD15">
            <v>30095.62467790614</v>
          </cell>
          <cell r="AE15">
            <v>36038.987805929923</v>
          </cell>
          <cell r="AF15">
            <v>39827.367795933016</v>
          </cell>
          <cell r="AG15">
            <v>46128.203744335391</v>
          </cell>
          <cell r="AH15">
            <v>53996.376040762472</v>
          </cell>
          <cell r="AI15">
            <v>62766.933336459937</v>
          </cell>
          <cell r="AJ15">
            <v>74482.74280791347</v>
          </cell>
          <cell r="AK15">
            <v>89931.825978680659</v>
          </cell>
          <cell r="AL15">
            <v>109304.13363237251</v>
          </cell>
          <cell r="AM15">
            <v>137022.15275821037</v>
          </cell>
        </row>
        <row r="16">
          <cell r="D16">
            <v>294.11299584674038</v>
          </cell>
          <cell r="E16">
            <v>449.65864235217219</v>
          </cell>
          <cell r="F16">
            <v>545.82598061381168</v>
          </cell>
          <cell r="G16">
            <v>624.42264718781587</v>
          </cell>
          <cell r="H16">
            <v>705.68390331515377</v>
          </cell>
          <cell r="I16">
            <v>864.54785906013558</v>
          </cell>
          <cell r="J16">
            <v>1046.7391307969158</v>
          </cell>
          <cell r="K16">
            <v>1267.6532041735061</v>
          </cell>
          <cell r="L16">
            <v>1457.7662317233469</v>
          </cell>
          <cell r="M16">
            <v>1605.7067363099659</v>
          </cell>
          <cell r="N16">
            <v>1177.5</v>
          </cell>
          <cell r="O16">
            <v>1899.0848379999998</v>
          </cell>
          <cell r="P16">
            <v>2312.5215567249998</v>
          </cell>
          <cell r="Q16">
            <v>2435.2446343250003</v>
          </cell>
          <cell r="R16">
            <v>3002.5682388350001</v>
          </cell>
          <cell r="S16">
            <v>3588.7665614449998</v>
          </cell>
          <cell r="T16">
            <v>4365.8963247499996</v>
          </cell>
          <cell r="U16">
            <v>4873.2169662725</v>
          </cell>
          <cell r="V16">
            <v>5274.3253817575005</v>
          </cell>
          <cell r="W16">
            <v>6142.8735072499994</v>
          </cell>
          <cell r="X16">
            <v>6743.4128357500003</v>
          </cell>
          <cell r="Y16">
            <v>7159.1324999999997</v>
          </cell>
          <cell r="Z16">
            <v>7659.6975000000002</v>
          </cell>
          <cell r="AA16">
            <v>8270.5575000000008</v>
          </cell>
          <cell r="AB16">
            <v>8587.4250000000011</v>
          </cell>
          <cell r="AC16">
            <v>9011.1</v>
          </cell>
          <cell r="AD16">
            <v>9760.3194095704712</v>
          </cell>
          <cell r="AE16">
            <v>10417.0862772368</v>
          </cell>
          <cell r="AF16">
            <v>11330.79274078838</v>
          </cell>
          <cell r="AG16">
            <v>12516.886295099572</v>
          </cell>
          <cell r="AH16">
            <v>13857.994674661411</v>
          </cell>
          <cell r="AI16">
            <v>15279.176247163981</v>
          </cell>
          <cell r="AJ16">
            <v>16803.426720571904</v>
          </cell>
          <cell r="AK16">
            <v>18442.508532991164</v>
          </cell>
          <cell r="AL16">
            <v>20188.274556510496</v>
          </cell>
          <cell r="AM16">
            <v>21965.617491855384</v>
          </cell>
        </row>
        <row r="17">
          <cell r="D17">
            <v>806.86644150606287</v>
          </cell>
          <cell r="E17">
            <v>1068.6034581090744</v>
          </cell>
          <cell r="F17">
            <v>1381.9396758310245</v>
          </cell>
          <cell r="G17">
            <v>1588.9789643484855</v>
          </cell>
          <cell r="H17">
            <v>1778.8159501475245</v>
          </cell>
          <cell r="I17">
            <v>1700.1651463157973</v>
          </cell>
          <cell r="J17">
            <v>2090.9769835411089</v>
          </cell>
          <cell r="K17">
            <v>2787.2135921281124</v>
          </cell>
          <cell r="L17">
            <v>2949.423005276567</v>
          </cell>
          <cell r="M17">
            <v>3508.8204359651945</v>
          </cell>
          <cell r="N17">
            <v>4789.6361473357811</v>
          </cell>
          <cell r="O17">
            <v>4771.5384737837439</v>
          </cell>
          <cell r="P17">
            <v>5390.8917205778762</v>
          </cell>
          <cell r="Q17">
            <v>6368.7643656749997</v>
          </cell>
          <cell r="R17">
            <v>6112.3707611650007</v>
          </cell>
          <cell r="S17">
            <v>7142.2764385549999</v>
          </cell>
          <cell r="T17">
            <v>8401.7576752500008</v>
          </cell>
          <cell r="U17">
            <v>10212.545033727503</v>
          </cell>
          <cell r="V17">
            <v>11002.674618242499</v>
          </cell>
          <cell r="W17">
            <v>12005.126492750001</v>
          </cell>
          <cell r="X17">
            <v>13655.587164249999</v>
          </cell>
          <cell r="Y17">
            <v>15881.8675</v>
          </cell>
          <cell r="Z17">
            <v>19695.302499999998</v>
          </cell>
          <cell r="AA17">
            <v>18363.442499999997</v>
          </cell>
          <cell r="AB17">
            <v>20314.679666999997</v>
          </cell>
          <cell r="AC17">
            <v>21512.9</v>
          </cell>
          <cell r="AD17">
            <v>20335.305268335669</v>
          </cell>
          <cell r="AE17">
            <v>25621.901528693124</v>
          </cell>
          <cell r="AF17">
            <v>28496.575055144636</v>
          </cell>
          <cell r="AG17">
            <v>33611.317449235823</v>
          </cell>
          <cell r="AH17">
            <v>40138.381366101064</v>
          </cell>
          <cell r="AI17">
            <v>47487.757089295956</v>
          </cell>
          <cell r="AJ17">
            <v>57679.316087341562</v>
          </cell>
          <cell r="AK17">
            <v>71489.317445689492</v>
          </cell>
          <cell r="AL17">
            <v>89115.859075862012</v>
          </cell>
          <cell r="AM17">
            <v>115056.53526635499</v>
          </cell>
        </row>
        <row r="18">
          <cell r="D18">
            <v>493.93315867399099</v>
          </cell>
          <cell r="E18">
            <v>486.30530552005501</v>
          </cell>
          <cell r="F18">
            <v>407.65490965961601</v>
          </cell>
          <cell r="G18">
            <v>417.29182312503201</v>
          </cell>
          <cell r="H18">
            <v>392.68738906916701</v>
          </cell>
          <cell r="I18">
            <v>317.63986427287</v>
          </cell>
          <cell r="J18">
            <v>291.65343291738202</v>
          </cell>
          <cell r="K18">
            <v>582.89884737582804</v>
          </cell>
          <cell r="L18">
            <v>844.22776550033802</v>
          </cell>
          <cell r="M18">
            <v>963.82500598656395</v>
          </cell>
          <cell r="N18">
            <v>1290</v>
          </cell>
          <cell r="O18">
            <v>1474</v>
          </cell>
          <cell r="P18">
            <v>1849</v>
          </cell>
          <cell r="Q18">
            <v>944</v>
          </cell>
          <cell r="R18">
            <v>2759</v>
          </cell>
          <cell r="S18">
            <v>2757</v>
          </cell>
          <cell r="T18">
            <v>3470</v>
          </cell>
          <cell r="U18">
            <v>3380</v>
          </cell>
          <cell r="V18">
            <v>4839</v>
          </cell>
          <cell r="W18">
            <v>4817</v>
          </cell>
          <cell r="X18">
            <v>4631</v>
          </cell>
          <cell r="Y18">
            <v>6485</v>
          </cell>
          <cell r="Z18">
            <v>6496</v>
          </cell>
          <cell r="AA18">
            <v>10087</v>
          </cell>
          <cell r="AB18">
            <v>9540</v>
          </cell>
          <cell r="AC18">
            <v>10978</v>
          </cell>
          <cell r="AD18">
            <v>12489.957924945147</v>
          </cell>
          <cell r="AE18">
            <v>13505.137898373414</v>
          </cell>
          <cell r="AF18">
            <v>15272.019850367469</v>
          </cell>
          <cell r="AG18">
            <v>17518.802813204486</v>
          </cell>
          <cell r="AH18">
            <v>19691.532592302035</v>
          </cell>
          <cell r="AI18">
            <v>22174.753600495438</v>
          </cell>
          <cell r="AJ18">
            <v>25001.884770048269</v>
          </cell>
          <cell r="AK18">
            <v>28189.050412867684</v>
          </cell>
          <cell r="AL18">
            <v>31284.706508379473</v>
          </cell>
          <cell r="AM18">
            <v>34790.333020636608</v>
          </cell>
        </row>
        <row r="19">
          <cell r="D19">
            <v>100</v>
          </cell>
          <cell r="E19">
            <v>201</v>
          </cell>
          <cell r="F19">
            <v>207</v>
          </cell>
          <cell r="G19">
            <v>178</v>
          </cell>
          <cell r="H19">
            <v>166</v>
          </cell>
          <cell r="I19">
            <v>214</v>
          </cell>
          <cell r="J19">
            <v>213</v>
          </cell>
          <cell r="K19">
            <v>241</v>
          </cell>
          <cell r="L19">
            <v>269</v>
          </cell>
          <cell r="M19">
            <v>264</v>
          </cell>
          <cell r="N19">
            <v>143.07</v>
          </cell>
          <cell r="O19">
            <v>389.31893524999998</v>
          </cell>
          <cell r="P19">
            <v>401.00003175250004</v>
          </cell>
          <cell r="Q19">
            <v>371.66025091749998</v>
          </cell>
          <cell r="R19">
            <v>355.029544165</v>
          </cell>
          <cell r="S19">
            <v>408.965097555</v>
          </cell>
          <cell r="T19">
            <v>496.77144774999999</v>
          </cell>
          <cell r="U19">
            <v>613.26779324250003</v>
          </cell>
          <cell r="V19">
            <v>675.04765124749997</v>
          </cell>
          <cell r="W19">
            <v>858.67318875000001</v>
          </cell>
          <cell r="X19">
            <v>925.93939624999996</v>
          </cell>
          <cell r="Y19">
            <v>1068.1475</v>
          </cell>
          <cell r="Z19">
            <v>1185.2249999999999</v>
          </cell>
          <cell r="AA19">
            <v>1324.75</v>
          </cell>
          <cell r="AB19">
            <v>1334.9</v>
          </cell>
          <cell r="AC19">
            <v>1324.9499999999998</v>
          </cell>
          <cell r="AD19">
            <v>1423.2135328726522</v>
          </cell>
          <cell r="AE19">
            <v>1520.8416050589153</v>
          </cell>
          <cell r="AF19">
            <v>1697.2189404823177</v>
          </cell>
          <cell r="AG19">
            <v>1951.116061695016</v>
          </cell>
          <cell r="AH19">
            <v>2256.2869387940864</v>
          </cell>
          <cell r="AI19">
            <v>2614.4668754510512</v>
          </cell>
          <cell r="AJ19">
            <v>3032.5004653903734</v>
          </cell>
          <cell r="AK19">
            <v>3502.0161913934699</v>
          </cell>
          <cell r="AL19">
            <v>4003.5261165861793</v>
          </cell>
          <cell r="AM19">
            <v>4520.4211074447885</v>
          </cell>
        </row>
        <row r="20">
          <cell r="D20">
            <v>393.93315867399099</v>
          </cell>
          <cell r="E20">
            <v>285.30530552005501</v>
          </cell>
          <cell r="F20">
            <v>200.65490965961601</v>
          </cell>
          <cell r="G20">
            <v>239.29182312503201</v>
          </cell>
          <cell r="H20">
            <v>226.68738906916701</v>
          </cell>
          <cell r="I20">
            <v>103.63986427287</v>
          </cell>
          <cell r="J20">
            <v>78.65343291738202</v>
          </cell>
          <cell r="K20">
            <v>341.89884737582804</v>
          </cell>
          <cell r="L20">
            <v>575.22776550033802</v>
          </cell>
          <cell r="M20">
            <v>699.82500598656395</v>
          </cell>
          <cell r="N20">
            <v>1146.93</v>
          </cell>
          <cell r="O20">
            <v>1084.6810647500001</v>
          </cell>
          <cell r="P20">
            <v>1447.9999682475</v>
          </cell>
          <cell r="Q20">
            <v>572.33974908250002</v>
          </cell>
          <cell r="R20">
            <v>2403.9704558349999</v>
          </cell>
          <cell r="S20">
            <v>2348.0349024450002</v>
          </cell>
          <cell r="T20">
            <v>2973.2285522500001</v>
          </cell>
          <cell r="U20">
            <v>2766.7322067575001</v>
          </cell>
          <cell r="V20">
            <v>4163.9523487525003</v>
          </cell>
          <cell r="W20">
            <v>3958.32681125</v>
          </cell>
          <cell r="X20">
            <v>3705.0606037500002</v>
          </cell>
          <cell r="Y20">
            <v>5416.8525</v>
          </cell>
          <cell r="Z20">
            <v>5310.7749999999996</v>
          </cell>
          <cell r="AA20">
            <v>8762.25</v>
          </cell>
          <cell r="AB20">
            <v>8205.1</v>
          </cell>
          <cell r="AC20">
            <v>9653.0499999999993</v>
          </cell>
          <cell r="AD20">
            <v>11066.744392072495</v>
          </cell>
          <cell r="AE20">
            <v>11984.296293314499</v>
          </cell>
          <cell r="AF20">
            <v>13574.800909885147</v>
          </cell>
          <cell r="AG20">
            <v>15567.686751509465</v>
          </cell>
          <cell r="AH20">
            <v>17435.245653507951</v>
          </cell>
          <cell r="AI20">
            <v>19560.286725044385</v>
          </cell>
          <cell r="AJ20">
            <v>21969.384304657891</v>
          </cell>
          <cell r="AK20">
            <v>24687.034221474209</v>
          </cell>
          <cell r="AL20">
            <v>27281.180391793288</v>
          </cell>
          <cell r="AM20">
            <v>30269.911913191805</v>
          </cell>
        </row>
        <row r="21">
          <cell r="D21">
            <v>35</v>
          </cell>
          <cell r="E21">
            <v>16</v>
          </cell>
          <cell r="F21">
            <v>-43</v>
          </cell>
          <cell r="G21">
            <v>23</v>
          </cell>
          <cell r="H21">
            <v>28</v>
          </cell>
          <cell r="I21">
            <v>-108</v>
          </cell>
          <cell r="J21">
            <v>-189</v>
          </cell>
          <cell r="K21">
            <v>12</v>
          </cell>
          <cell r="L21">
            <v>103</v>
          </cell>
          <cell r="M21">
            <v>14</v>
          </cell>
          <cell r="N21">
            <v>441</v>
          </cell>
          <cell r="O21">
            <v>183</v>
          </cell>
          <cell r="P21">
            <v>80</v>
          </cell>
          <cell r="Q21">
            <v>-436</v>
          </cell>
          <cell r="R21">
            <v>252</v>
          </cell>
          <cell r="S21">
            <v>-60</v>
          </cell>
          <cell r="T21">
            <v>-65</v>
          </cell>
          <cell r="U21">
            <v>92</v>
          </cell>
          <cell r="V21">
            <v>518</v>
          </cell>
          <cell r="W21">
            <v>57</v>
          </cell>
          <cell r="X21">
            <v>171</v>
          </cell>
          <cell r="Y21">
            <v>412</v>
          </cell>
          <cell r="Z21">
            <v>-468</v>
          </cell>
          <cell r="AA21">
            <v>220</v>
          </cell>
          <cell r="AB21">
            <v>175</v>
          </cell>
          <cell r="AC21">
            <v>544</v>
          </cell>
          <cell r="AD21">
            <v>281.58117806861463</v>
          </cell>
          <cell r="AE21">
            <v>383.02999283275039</v>
          </cell>
          <cell r="AF21">
            <v>488.81481025132103</v>
          </cell>
          <cell r="AG21">
            <v>468.08502686075417</v>
          </cell>
          <cell r="AH21">
            <v>554.56801758446397</v>
          </cell>
          <cell r="AI21">
            <v>635.37551663437455</v>
          </cell>
          <cell r="AJ21">
            <v>696.19378248945827</v>
          </cell>
          <cell r="AK21">
            <v>795.51249930843187</v>
          </cell>
          <cell r="AL21">
            <v>883.47711391219138</v>
          </cell>
          <cell r="AM21">
            <v>977.68116829218718</v>
          </cell>
        </row>
        <row r="22">
          <cell r="D22">
            <v>657.43215867399135</v>
          </cell>
          <cell r="E22">
            <v>288.52730552005505</v>
          </cell>
          <cell r="F22">
            <v>144.03218599189859</v>
          </cell>
          <cell r="G22">
            <v>51.274192635548388</v>
          </cell>
          <cell r="H22">
            <v>25.879459451522962</v>
          </cell>
          <cell r="I22">
            <v>549.12998229964933</v>
          </cell>
          <cell r="J22">
            <v>477.58191219699211</v>
          </cell>
          <cell r="K22">
            <v>45.804331410611667</v>
          </cell>
          <cell r="L22">
            <v>606.73840681795264</v>
          </cell>
          <cell r="M22">
            <v>794.91782790899833</v>
          </cell>
          <cell r="N22">
            <v>349.86385266421894</v>
          </cell>
          <cell r="O22">
            <v>459.3766882162563</v>
          </cell>
          <cell r="P22">
            <v>650.58672269712406</v>
          </cell>
          <cell r="Q22">
            <v>497.99099999999999</v>
          </cell>
          <cell r="R22">
            <v>2432.0609999999997</v>
          </cell>
          <cell r="S22">
            <v>1974.9570000000003</v>
          </cell>
          <cell r="T22">
            <v>2244.3459999999995</v>
          </cell>
          <cell r="U22">
            <v>1665.2379999999976</v>
          </cell>
          <cell r="V22">
            <v>2511</v>
          </cell>
          <cell r="W22">
            <v>2536</v>
          </cell>
          <cell r="X22">
            <v>3291</v>
          </cell>
          <cell r="Y22">
            <v>4646</v>
          </cell>
          <cell r="Z22">
            <v>5553</v>
          </cell>
          <cell r="AA22">
            <v>7208</v>
          </cell>
          <cell r="AB22">
            <v>7281.8953330000004</v>
          </cell>
          <cell r="AC22">
            <v>8036</v>
          </cell>
          <cell r="AD22">
            <v>12472.606211421124</v>
          </cell>
          <cell r="AE22">
            <v>12263.336006016063</v>
          </cell>
          <cell r="AF22">
            <v>12888.909813945793</v>
          </cell>
          <cell r="AG22">
            <v>12831.438622694906</v>
          </cell>
          <cell r="AH22">
            <v>12177.294854169675</v>
          </cell>
          <cell r="AI22">
            <v>11714.038347314614</v>
          </cell>
          <cell r="AJ22">
            <v>9563.8566412769724</v>
          </cell>
          <cell r="AK22">
            <v>4792.2330779249023</v>
          </cell>
          <cell r="AL22">
            <v>-4179.7843189702398</v>
          </cell>
          <cell r="AM22">
            <v>-20101.452663588483</v>
          </cell>
        </row>
        <row r="23">
          <cell r="D23">
            <v>70</v>
          </cell>
          <cell r="E23">
            <v>80</v>
          </cell>
          <cell r="F23">
            <v>104</v>
          </cell>
          <cell r="G23">
            <v>142</v>
          </cell>
          <cell r="H23">
            <v>182</v>
          </cell>
          <cell r="I23">
            <v>233</v>
          </cell>
          <cell r="J23">
            <v>193</v>
          </cell>
          <cell r="K23">
            <v>173</v>
          </cell>
          <cell r="L23">
            <v>301</v>
          </cell>
          <cell r="M23">
            <v>496</v>
          </cell>
          <cell r="N23">
            <v>477</v>
          </cell>
          <cell r="O23">
            <v>673</v>
          </cell>
          <cell r="P23">
            <v>579</v>
          </cell>
          <cell r="Q23">
            <v>698</v>
          </cell>
          <cell r="R23">
            <v>763</v>
          </cell>
          <cell r="S23">
            <v>1568</v>
          </cell>
          <cell r="T23">
            <v>1359</v>
          </cell>
          <cell r="U23">
            <v>1026</v>
          </cell>
          <cell r="V23">
            <v>1014</v>
          </cell>
          <cell r="W23">
            <v>1129</v>
          </cell>
          <cell r="X23">
            <v>1721</v>
          </cell>
          <cell r="Y23">
            <v>1704</v>
          </cell>
          <cell r="Z23">
            <v>1803</v>
          </cell>
          <cell r="AA23">
            <v>2123</v>
          </cell>
          <cell r="AB23">
            <v>1483</v>
          </cell>
          <cell r="AC23">
            <v>1490</v>
          </cell>
          <cell r="AD23">
            <v>1593.9836000000003</v>
          </cell>
          <cell r="AE23">
            <v>1684.9461678056668</v>
          </cell>
          <cell r="AF23">
            <v>1778.5584435578546</v>
          </cell>
          <cell r="AG23">
            <v>1875.0865522750369</v>
          </cell>
          <cell r="AH23">
            <v>1974.8356809922193</v>
          </cell>
          <cell r="AI23">
            <v>2078.1279317094018</v>
          </cell>
          <cell r="AJ23">
            <v>2185.3176166265839</v>
          </cell>
          <cell r="AK23">
            <v>2296.794479163766</v>
          </cell>
          <cell r="AL23">
            <v>2412.987237082948</v>
          </cell>
          <cell r="AM23">
            <v>2534.3674799223309</v>
          </cell>
        </row>
        <row r="24">
          <cell r="D24">
            <v>-264.8</v>
          </cell>
          <cell r="E24">
            <v>-189</v>
          </cell>
          <cell r="F24">
            <v>-274</v>
          </cell>
          <cell r="G24">
            <v>-248</v>
          </cell>
          <cell r="H24">
            <v>-362</v>
          </cell>
          <cell r="I24">
            <v>-862</v>
          </cell>
          <cell r="J24">
            <v>-755</v>
          </cell>
          <cell r="K24">
            <v>-390</v>
          </cell>
          <cell r="L24">
            <v>-896</v>
          </cell>
          <cell r="M24">
            <v>-837</v>
          </cell>
          <cell r="N24">
            <v>-391</v>
          </cell>
          <cell r="O24">
            <v>-415</v>
          </cell>
          <cell r="P24">
            <v>-537</v>
          </cell>
          <cell r="Q24">
            <v>-515</v>
          </cell>
          <cell r="R24">
            <v>-581</v>
          </cell>
          <cell r="S24">
            <v>-999</v>
          </cell>
          <cell r="T24">
            <v>-1049</v>
          </cell>
          <cell r="U24">
            <v>-720</v>
          </cell>
          <cell r="V24">
            <v>-530</v>
          </cell>
          <cell r="W24">
            <v>-1235</v>
          </cell>
          <cell r="X24">
            <v>-1491</v>
          </cell>
          <cell r="Y24">
            <v>-1714</v>
          </cell>
          <cell r="Z24">
            <v>-1447</v>
          </cell>
          <cell r="AA24">
            <v>-391</v>
          </cell>
          <cell r="AB24">
            <v>-944</v>
          </cell>
          <cell r="AC24">
            <v>-1682</v>
          </cell>
          <cell r="AD24">
            <v>-1704.541581486033</v>
          </cell>
          <cell r="AE24">
            <v>-1721.0141342359052</v>
          </cell>
          <cell r="AF24">
            <v>-1730.1749287908324</v>
          </cell>
          <cell r="AG24">
            <v>-1774.2062938024578</v>
          </cell>
          <cell r="AH24">
            <v>-1807.7102992852519</v>
          </cell>
          <cell r="AI24">
            <v>-1833.6103455715463</v>
          </cell>
          <cell r="AJ24">
            <v>-1857.5683312016897</v>
          </cell>
          <cell r="AK24">
            <v>-1881.4161652036644</v>
          </cell>
          <cell r="AL24">
            <v>-1905.2525240004759</v>
          </cell>
          <cell r="AM24">
            <v>-1929.3105073761117</v>
          </cell>
        </row>
        <row r="25">
          <cell r="D25">
            <v>1563.6115960267946</v>
          </cell>
          <cell r="E25">
            <v>1697.7894059813016</v>
          </cell>
          <cell r="F25">
            <v>1901.7978424367348</v>
          </cell>
          <cell r="G25">
            <v>2158.6758041718499</v>
          </cell>
          <cell r="H25">
            <v>2330.3793129142014</v>
          </cell>
          <cell r="I25">
            <v>2484.8429876755822</v>
          </cell>
          <cell r="J25">
            <v>3053.2980265350166</v>
          </cell>
          <cell r="K25">
            <v>3883.6711277122304</v>
          </cell>
          <cell r="L25">
            <v>4418.9276438178667</v>
          </cell>
          <cell r="M25">
            <v>5568.4450001841587</v>
          </cell>
          <cell r="N25">
            <v>6403</v>
          </cell>
          <cell r="O25">
            <v>7388</v>
          </cell>
          <cell r="P25">
            <v>8396</v>
          </cell>
          <cell r="Q25">
            <v>9485</v>
          </cell>
          <cell r="R25">
            <v>11729</v>
          </cell>
          <cell r="S25">
            <v>13275</v>
          </cell>
          <cell r="T25">
            <v>15322</v>
          </cell>
          <cell r="U25">
            <v>17057</v>
          </cell>
          <cell r="V25">
            <v>19272</v>
          </cell>
          <cell r="W25">
            <v>20578</v>
          </cell>
          <cell r="X25">
            <v>23920</v>
          </cell>
          <cell r="Y25">
            <v>27677</v>
          </cell>
          <cell r="Z25">
            <v>33264</v>
          </cell>
          <cell r="AA25">
            <v>35574</v>
          </cell>
          <cell r="AB25">
            <v>36723</v>
          </cell>
          <cell r="AC25">
            <v>38368</v>
          </cell>
          <cell r="AD25">
            <v>42457.672907841232</v>
          </cell>
          <cell r="AE25">
            <v>48266.255845515749</v>
          </cell>
          <cell r="AF25">
            <v>52764.661124645834</v>
          </cell>
          <cell r="AG25">
            <v>59060.522625502876</v>
          </cell>
          <cell r="AH25">
            <v>66340.796276639128</v>
          </cell>
          <cell r="AI25">
            <v>74725.489269912403</v>
          </cell>
          <cell r="AJ25">
            <v>84374.348734615327</v>
          </cell>
          <cell r="AK25">
            <v>95139.437370565662</v>
          </cell>
          <cell r="AL25">
            <v>105632.08402648475</v>
          </cell>
          <cell r="AM25">
            <v>117525.75706716812</v>
          </cell>
        </row>
        <row r="26">
          <cell r="D26">
            <v>418.1</v>
          </cell>
          <cell r="E26">
            <v>417</v>
          </cell>
          <cell r="F26">
            <v>561</v>
          </cell>
          <cell r="G26">
            <v>612</v>
          </cell>
          <cell r="H26">
            <v>647</v>
          </cell>
          <cell r="I26">
            <v>709</v>
          </cell>
          <cell r="J26">
            <v>882</v>
          </cell>
          <cell r="K26">
            <v>761</v>
          </cell>
          <cell r="L26">
            <v>782</v>
          </cell>
          <cell r="M26">
            <v>848</v>
          </cell>
          <cell r="N26">
            <v>970</v>
          </cell>
          <cell r="O26">
            <v>1099</v>
          </cell>
          <cell r="P26">
            <v>1359</v>
          </cell>
          <cell r="Q26">
            <v>1219</v>
          </cell>
          <cell r="R26">
            <v>1242</v>
          </cell>
          <cell r="S26">
            <v>1569</v>
          </cell>
          <cell r="T26">
            <v>1939</v>
          </cell>
          <cell r="U26">
            <v>2164</v>
          </cell>
          <cell r="V26">
            <v>2492</v>
          </cell>
          <cell r="W26">
            <v>2906</v>
          </cell>
          <cell r="X26">
            <v>3272</v>
          </cell>
          <cell r="Y26">
            <v>3297</v>
          </cell>
          <cell r="Z26">
            <v>3202</v>
          </cell>
          <cell r="AA26">
            <v>3670</v>
          </cell>
          <cell r="AB26">
            <v>4529</v>
          </cell>
          <cell r="AC26">
            <v>4548</v>
          </cell>
          <cell r="AD26">
            <v>5663.4785988378735</v>
          </cell>
          <cell r="AE26">
            <v>5171.5878880485734</v>
          </cell>
          <cell r="AF26">
            <v>5695.7213909775965</v>
          </cell>
          <cell r="AG26">
            <v>5572.3871799937078</v>
          </cell>
          <cell r="AH26">
            <v>5297.2783387922627</v>
          </cell>
          <cell r="AI26">
            <v>4803.4503383381361</v>
          </cell>
          <cell r="AJ26">
            <v>4149.5962000167237</v>
          </cell>
          <cell r="AK26">
            <v>3749.1125230744065</v>
          </cell>
          <cell r="AL26">
            <v>4521.2769712231611</v>
          </cell>
          <cell r="AM26">
            <v>5685.0014511430791</v>
          </cell>
        </row>
        <row r="27">
          <cell r="D27">
            <v>-50</v>
          </cell>
          <cell r="E27">
            <v>-66</v>
          </cell>
          <cell r="F27">
            <v>-87</v>
          </cell>
          <cell r="G27">
            <v>-78</v>
          </cell>
          <cell r="H27">
            <v>-86</v>
          </cell>
          <cell r="I27">
            <v>-82</v>
          </cell>
          <cell r="J27">
            <v>-104</v>
          </cell>
          <cell r="K27">
            <v>-111</v>
          </cell>
          <cell r="L27">
            <v>-157</v>
          </cell>
          <cell r="M27">
            <v>-185</v>
          </cell>
          <cell r="N27">
            <v>-342</v>
          </cell>
          <cell r="O27">
            <v>-359</v>
          </cell>
          <cell r="P27">
            <v>-480</v>
          </cell>
          <cell r="Q27">
            <v>-450</v>
          </cell>
          <cell r="R27">
            <v>-481</v>
          </cell>
          <cell r="S27">
            <v>-176</v>
          </cell>
          <cell r="T27">
            <v>-189</v>
          </cell>
          <cell r="U27">
            <v>-235</v>
          </cell>
          <cell r="V27">
            <v>-249</v>
          </cell>
          <cell r="W27">
            <v>-363</v>
          </cell>
          <cell r="X27">
            <v>-262</v>
          </cell>
          <cell r="Y27">
            <v>-312</v>
          </cell>
          <cell r="Z27">
            <v>-308</v>
          </cell>
          <cell r="AA27">
            <v>-203</v>
          </cell>
          <cell r="AB27">
            <v>-225</v>
          </cell>
          <cell r="AC27">
            <v>-259</v>
          </cell>
          <cell r="AD27">
            <v>-67.796430697069667</v>
          </cell>
          <cell r="AE27">
            <v>-66.673210647071173</v>
          </cell>
          <cell r="AF27">
            <v>-67.787428312498193</v>
          </cell>
          <cell r="AG27">
            <v>-70.242636834133435</v>
          </cell>
          <cell r="AH27">
            <v>-73.616492705592179</v>
          </cell>
          <cell r="AI27">
            <v>-77.865862551400014</v>
          </cell>
          <cell r="AJ27">
            <v>-83.05766165485673</v>
          </cell>
          <cell r="AK27">
            <v>-88.955968974694954</v>
          </cell>
          <cell r="AL27">
            <v>-95.136754090039148</v>
          </cell>
          <cell r="AM27">
            <v>-101.27125084990169</v>
          </cell>
        </row>
        <row r="28">
          <cell r="D28">
            <v>1931.7115960267947</v>
          </cell>
          <cell r="E28">
            <v>2048.7894059813016</v>
          </cell>
          <cell r="F28">
            <v>2375.7978424367348</v>
          </cell>
          <cell r="G28">
            <v>2692.6758041718499</v>
          </cell>
          <cell r="H28">
            <v>2891.3793129142014</v>
          </cell>
          <cell r="I28">
            <v>3111.8429876755822</v>
          </cell>
          <cell r="J28">
            <v>3831.2980265350166</v>
          </cell>
          <cell r="K28">
            <v>4533.6711277122304</v>
          </cell>
          <cell r="L28">
            <v>5043.9276438178667</v>
          </cell>
          <cell r="M28">
            <v>6231.4450001841587</v>
          </cell>
          <cell r="N28">
            <v>7031</v>
          </cell>
          <cell r="O28">
            <v>8128</v>
          </cell>
          <cell r="P28">
            <v>9275</v>
          </cell>
          <cell r="Q28">
            <v>10254</v>
          </cell>
          <cell r="R28">
            <v>12490</v>
          </cell>
          <cell r="S28">
            <v>14668</v>
          </cell>
          <cell r="T28">
            <v>17072</v>
          </cell>
          <cell r="U28">
            <v>18986</v>
          </cell>
          <cell r="V28">
            <v>21515</v>
          </cell>
          <cell r="W28">
            <v>23121</v>
          </cell>
          <cell r="X28">
            <v>26930</v>
          </cell>
          <cell r="Y28">
            <v>30662</v>
          </cell>
          <cell r="Z28">
            <v>36158</v>
          </cell>
          <cell r="AA28">
            <v>39041</v>
          </cell>
          <cell r="AB28">
            <v>41027</v>
          </cell>
          <cell r="AC28">
            <v>42657</v>
          </cell>
          <cell r="AD28">
            <v>48053.355075982035</v>
          </cell>
          <cell r="AE28">
            <v>53371.170522917251</v>
          </cell>
          <cell r="AF28">
            <v>58392.595087310932</v>
          </cell>
          <cell r="AG28">
            <v>64562.667168662454</v>
          </cell>
          <cell r="AH28">
            <v>71564.458122725802</v>
          </cell>
          <cell r="AI28">
            <v>79451.073745699134</v>
          </cell>
          <cell r="AJ28">
            <v>88440.887272977197</v>
          </cell>
          <cell r="AK28">
            <v>98799.593924665372</v>
          </cell>
          <cell r="AL28">
            <v>110058.22424361788</v>
          </cell>
          <cell r="AM28">
            <v>123109.4872674613</v>
          </cell>
        </row>
        <row r="29">
          <cell r="D29">
            <v>830.73215867399153</v>
          </cell>
          <cell r="E29">
            <v>530.52730552005505</v>
          </cell>
          <cell r="F29">
            <v>448.03218599189859</v>
          </cell>
          <cell r="G29">
            <v>479.27419263554839</v>
          </cell>
          <cell r="H29">
            <v>406.87945945152296</v>
          </cell>
          <cell r="I29">
            <v>547.12998229964933</v>
          </cell>
          <cell r="J29">
            <v>693.58191219699211</v>
          </cell>
          <cell r="K29">
            <v>478.80433141061167</v>
          </cell>
          <cell r="L29">
            <v>636.73840681795264</v>
          </cell>
          <cell r="M29">
            <v>1116.9178279089983</v>
          </cell>
          <cell r="N29">
            <v>1063.8638526642189</v>
          </cell>
          <cell r="O29">
            <v>1457.3766882162563</v>
          </cell>
          <cell r="P29">
            <v>1571.5867226971241</v>
          </cell>
          <cell r="Q29">
            <v>1449.991</v>
          </cell>
          <cell r="R29">
            <v>3375.0609999999997</v>
          </cell>
          <cell r="S29">
            <v>3936.9570000000003</v>
          </cell>
          <cell r="T29">
            <v>4304.3459999999995</v>
          </cell>
          <cell r="U29">
            <v>3900.2379999999976</v>
          </cell>
          <cell r="V29">
            <v>5238</v>
          </cell>
          <cell r="W29">
            <v>4973</v>
          </cell>
          <cell r="X29">
            <v>6531</v>
          </cell>
          <cell r="Y29">
            <v>7621</v>
          </cell>
          <cell r="Z29">
            <v>8803</v>
          </cell>
          <cell r="AA29">
            <v>12407</v>
          </cell>
          <cell r="AB29">
            <v>12124.895333</v>
          </cell>
          <cell r="AC29">
            <v>12133</v>
          </cell>
          <cell r="AD29">
            <v>17957.730398075895</v>
          </cell>
          <cell r="AE29">
            <v>17332.182716987329</v>
          </cell>
          <cell r="AF29">
            <v>18565.227291377916</v>
          </cell>
          <cell r="AG29">
            <v>18434.463424327063</v>
          </cell>
          <cell r="AH29">
            <v>17568.08208196333</v>
          </cell>
          <cell r="AI29">
            <v>16684.140409239197</v>
          </cell>
          <cell r="AJ29">
            <v>13958.144465063728</v>
          </cell>
          <cell r="AK29">
            <v>8867.7679459847132</v>
          </cell>
          <cell r="AL29">
            <v>754.09061124536674</v>
          </cell>
          <cell r="AM29">
            <v>-13912.665490749074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311.98894003793959</v>
          </cell>
          <cell r="P30">
            <v>370.59232688607</v>
          </cell>
          <cell r="Q30">
            <v>391.94286519842336</v>
          </cell>
          <cell r="R30">
            <v>520.49460580702942</v>
          </cell>
          <cell r="S30">
            <v>687.02902920154406</v>
          </cell>
          <cell r="T30">
            <v>915.63332146727464</v>
          </cell>
          <cell r="U30">
            <v>1069.0620183655328</v>
          </cell>
          <cell r="V30">
            <v>1272.4043655346613</v>
          </cell>
          <cell r="W30">
            <v>1319.5656704053738</v>
          </cell>
          <cell r="X30">
            <v>1349.3590461986328</v>
          </cell>
          <cell r="Y30">
            <v>1424.3896506469068</v>
          </cell>
          <cell r="Z30">
            <v>1458.3426546398071</v>
          </cell>
          <cell r="AA30">
            <v>1730.6595492220256</v>
          </cell>
          <cell r="AB30">
            <v>1676.6492679482233</v>
          </cell>
          <cell r="AC30">
            <v>1988.7671579952494</v>
          </cell>
          <cell r="AD30">
            <v>2321.1078673063039</v>
          </cell>
          <cell r="AE30">
            <v>2610.2772170656722</v>
          </cell>
          <cell r="AF30">
            <v>2892.3256578319629</v>
          </cell>
          <cell r="AG30">
            <v>-29701.521246518994</v>
          </cell>
          <cell r="AH30">
            <v>4991.6422483611495</v>
          </cell>
          <cell r="AI30">
            <v>6379.740517780293</v>
          </cell>
          <cell r="AJ30">
            <v>8847.4894673712079</v>
          </cell>
          <cell r="AK30">
            <v>12450.04664064146</v>
          </cell>
          <cell r="AL30">
            <v>17692.677065833286</v>
          </cell>
          <cell r="AM30">
            <v>25081.230976403564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126.90803625000012</v>
          </cell>
          <cell r="O31">
            <v>340.29773300000033</v>
          </cell>
          <cell r="P31">
            <v>185.75994979749976</v>
          </cell>
          <cell r="Q31">
            <v>185.91126243250028</v>
          </cell>
          <cell r="R31">
            <v>-102.70786399249982</v>
          </cell>
          <cell r="S31">
            <v>-175.28815599749942</v>
          </cell>
          <cell r="T31">
            <v>-794.50632875000019</v>
          </cell>
          <cell r="U31">
            <v>-637.40785205250154</v>
          </cell>
          <cell r="V31">
            <v>-740.60424901250076</v>
          </cell>
          <cell r="W31">
            <v>-860.11030691499855</v>
          </cell>
          <cell r="X31">
            <v>-739.61856838749918</v>
          </cell>
          <cell r="Y31">
            <v>-720.77519285249946</v>
          </cell>
          <cell r="Z31">
            <v>-302.3145063050024</v>
          </cell>
          <cell r="AA31">
            <v>-1510.6153064750017</v>
          </cell>
          <cell r="AB31">
            <v>-1335.0855750000021</v>
          </cell>
          <cell r="AC31">
            <v>18.880749999998898</v>
          </cell>
          <cell r="AD31">
            <v>1492.4007199517835</v>
          </cell>
          <cell r="AE31">
            <v>2357.4019445848935</v>
          </cell>
          <cell r="AF31">
            <v>2399.9885768677586</v>
          </cell>
          <cell r="AG31">
            <v>2685.5938155247704</v>
          </cell>
          <cell r="AH31">
            <v>2941.9848918765488</v>
          </cell>
          <cell r="AI31">
            <v>3648.2237807779766</v>
          </cell>
          <cell r="AJ31">
            <v>4547.4818722874425</v>
          </cell>
          <cell r="AK31">
            <v>5802.5939952655208</v>
          </cell>
          <cell r="AL31">
            <v>7627.1426627050432</v>
          </cell>
          <cell r="AM31">
            <v>10401.520317022037</v>
          </cell>
        </row>
        <row r="32">
          <cell r="D32">
            <v>830.73215867399153</v>
          </cell>
          <cell r="E32">
            <v>530.52730552005505</v>
          </cell>
          <cell r="F32">
            <v>448.03218599189859</v>
          </cell>
          <cell r="G32">
            <v>479.27419263554839</v>
          </cell>
          <cell r="H32">
            <v>406.87945945152296</v>
          </cell>
          <cell r="I32">
            <v>547.12998229964933</v>
          </cell>
          <cell r="J32">
            <v>693.58191219699211</v>
          </cell>
          <cell r="K32">
            <v>478.80433141061167</v>
          </cell>
          <cell r="L32">
            <v>636.73840681795264</v>
          </cell>
          <cell r="M32">
            <v>1116.9178279089983</v>
          </cell>
          <cell r="N32">
            <v>936.95581641421882</v>
          </cell>
          <cell r="O32">
            <v>805.09001517831643</v>
          </cell>
          <cell r="P32">
            <v>1015.2344460135544</v>
          </cell>
          <cell r="Q32">
            <v>872.1368723690764</v>
          </cell>
          <cell r="R32">
            <v>2957.27425818547</v>
          </cell>
          <cell r="S32">
            <v>3425.2161267959555</v>
          </cell>
          <cell r="T32">
            <v>4183.2190072827252</v>
          </cell>
          <cell r="U32">
            <v>3468.5838336869665</v>
          </cell>
          <cell r="V32">
            <v>4706.1998834778396</v>
          </cell>
          <cell r="W32">
            <v>4513.544636509625</v>
          </cell>
          <cell r="X32">
            <v>5921.259522188866</v>
          </cell>
          <cell r="Y32">
            <v>6917.3855422055931</v>
          </cell>
          <cell r="Z32">
            <v>7646.9718516651956</v>
          </cell>
          <cell r="AA32">
            <v>12186.955757252976</v>
          </cell>
          <cell r="AB32">
            <v>11783.33164005178</v>
          </cell>
          <cell r="AC32">
            <v>10125.352092004752</v>
          </cell>
          <cell r="AD32">
            <v>14144.221810817808</v>
          </cell>
          <cell r="AE32">
            <v>12364.503555336763</v>
          </cell>
          <cell r="AF32">
            <v>13272.913056678193</v>
          </cell>
          <cell r="AG32">
            <v>45450.390855321282</v>
          </cell>
          <cell r="AH32">
            <v>9634.4549417256312</v>
          </cell>
          <cell r="AI32">
            <v>6656.1761106809263</v>
          </cell>
          <cell r="AJ32">
            <v>563.17312540507737</v>
          </cell>
          <cell r="AK32">
            <v>-9384.8726899222675</v>
          </cell>
          <cell r="AL32">
            <v>-24565.729117292962</v>
          </cell>
          <cell r="AM32">
            <v>-49395.416784174668</v>
          </cell>
        </row>
        <row r="33">
          <cell r="D33">
            <v>-336.79900000000055</v>
          </cell>
          <cell r="E33">
            <v>-44.222000000000037</v>
          </cell>
          <cell r="F33">
            <v>-40.377276332282577</v>
          </cell>
          <cell r="G33">
            <v>-61.982369510516378</v>
          </cell>
          <cell r="H33">
            <v>-14.192070382355951</v>
          </cell>
          <cell r="I33">
            <v>-229.49011802677933</v>
          </cell>
          <cell r="J33">
            <v>-401.92847927961009</v>
          </cell>
          <cell r="K33">
            <v>104.09451596521637</v>
          </cell>
          <cell r="L33">
            <v>207.48935868238539</v>
          </cell>
          <cell r="M33">
            <v>-153.09282192243438</v>
          </cell>
          <cell r="N33">
            <v>226.13614733578106</v>
          </cell>
          <cell r="O33">
            <v>16.623311783743702</v>
          </cell>
          <cell r="P33">
            <v>277.41327730287594</v>
          </cell>
          <cell r="Q33">
            <v>-505.99099999999999</v>
          </cell>
          <cell r="R33">
            <v>-616.06099999999969</v>
          </cell>
          <cell r="S33">
            <v>-1179.9570000000003</v>
          </cell>
          <cell r="T33">
            <v>-834.34599999999955</v>
          </cell>
          <cell r="U33">
            <v>-520.23799999999756</v>
          </cell>
          <cell r="V33">
            <v>-399</v>
          </cell>
          <cell r="W33">
            <v>-156</v>
          </cell>
          <cell r="X33">
            <v>-1900</v>
          </cell>
          <cell r="Y33">
            <v>-1136</v>
          </cell>
          <cell r="Z33">
            <v>-2307</v>
          </cell>
          <cell r="AA33">
            <v>-2320</v>
          </cell>
          <cell r="AB33">
            <v>-2584.8953330000004</v>
          </cell>
          <cell r="AC33">
            <v>-1155</v>
          </cell>
          <cell r="AD33">
            <v>-5467.7724731307417</v>
          </cell>
          <cell r="AE33">
            <v>-3827.0448186139165</v>
          </cell>
          <cell r="AF33">
            <v>-3293.2074410104478</v>
          </cell>
          <cell r="AG33">
            <v>-915.66061112257285</v>
          </cell>
          <cell r="AH33">
            <v>2123.4505103387264</v>
          </cell>
          <cell r="AI33">
            <v>5490.6131912562396</v>
          </cell>
          <cell r="AJ33">
            <v>11043.740304984532</v>
          </cell>
          <cell r="AK33">
            <v>19321.282466882974</v>
          </cell>
          <cell r="AL33">
            <v>30530.615897134099</v>
          </cell>
          <cell r="AM33">
            <v>48702.998511385696</v>
          </cell>
        </row>
        <row r="34">
          <cell r="D34">
            <v>493.93315867399099</v>
          </cell>
          <cell r="E34">
            <v>486.30530552005501</v>
          </cell>
          <cell r="F34">
            <v>407.65490965961601</v>
          </cell>
          <cell r="G34">
            <v>417.29182312503201</v>
          </cell>
          <cell r="H34">
            <v>392.68738906916701</v>
          </cell>
          <cell r="I34">
            <v>317.63986427287</v>
          </cell>
          <cell r="J34">
            <v>291.65343291738202</v>
          </cell>
          <cell r="K34">
            <v>582.89884737582804</v>
          </cell>
          <cell r="L34">
            <v>844.22776550033802</v>
          </cell>
          <cell r="M34">
            <v>963.82500598656395</v>
          </cell>
          <cell r="N34">
            <v>1290</v>
          </cell>
          <cell r="O34">
            <v>1474</v>
          </cell>
          <cell r="P34">
            <v>1849</v>
          </cell>
          <cell r="Q34">
            <v>944</v>
          </cell>
          <cell r="R34">
            <v>2759</v>
          </cell>
          <cell r="S34">
            <v>2757</v>
          </cell>
          <cell r="T34">
            <v>3470</v>
          </cell>
          <cell r="U34">
            <v>3380</v>
          </cell>
          <cell r="V34">
            <v>4839</v>
          </cell>
          <cell r="W34">
            <v>4817</v>
          </cell>
          <cell r="X34">
            <v>4631</v>
          </cell>
          <cell r="Y34">
            <v>6485</v>
          </cell>
          <cell r="Z34">
            <v>6496</v>
          </cell>
          <cell r="AA34">
            <v>10087</v>
          </cell>
          <cell r="AB34">
            <v>9540</v>
          </cell>
          <cell r="AC34">
            <v>10978</v>
          </cell>
          <cell r="AD34">
            <v>12489.957924945153</v>
          </cell>
          <cell r="AE34">
            <v>13505.137898373412</v>
          </cell>
          <cell r="AF34">
            <v>15272.019850367469</v>
          </cell>
          <cell r="AG34">
            <v>17518.802813204489</v>
          </cell>
          <cell r="AH34">
            <v>19691.532592302057</v>
          </cell>
          <cell r="AI34">
            <v>22174.753600495438</v>
          </cell>
          <cell r="AJ34">
            <v>25001.884770048258</v>
          </cell>
          <cell r="AK34">
            <v>28189.050412867688</v>
          </cell>
          <cell r="AL34">
            <v>31284.706508379466</v>
          </cell>
          <cell r="AM34">
            <v>34790.333020636623</v>
          </cell>
        </row>
        <row r="36">
          <cell r="D36">
            <v>0.1672606098090465</v>
          </cell>
          <cell r="E36">
            <v>0.24887163986217534</v>
          </cell>
          <cell r="F36">
            <v>0.2634552316995567</v>
          </cell>
          <cell r="G36">
            <v>0.27572275291568971</v>
          </cell>
          <cell r="H36">
            <v>0.28110648446029174</v>
          </cell>
          <cell r="I36">
            <v>0.27764658092330541</v>
          </cell>
          <cell r="J36">
            <v>0.28953052365647824</v>
          </cell>
          <cell r="K36">
            <v>0.30913310643390496</v>
          </cell>
          <cell r="L36">
            <v>0.29074337231825853</v>
          </cell>
          <cell r="M36">
            <v>0.27171870391549907</v>
          </cell>
          <cell r="N36">
            <v>0.18640177299350957</v>
          </cell>
          <cell r="O36">
            <v>0.26635130967741932</v>
          </cell>
          <cell r="P36">
            <v>0.27681608292135501</v>
          </cell>
          <cell r="Q36">
            <v>0.26179796111857667</v>
          </cell>
          <cell r="R36">
            <v>0.2600301583818308</v>
          </cell>
          <cell r="S36">
            <v>0.28244660486738549</v>
          </cell>
          <cell r="T36">
            <v>0.29082709330868634</v>
          </cell>
          <cell r="U36">
            <v>0.29092095792922812</v>
          </cell>
          <cell r="V36">
            <v>0.28072841078121674</v>
          </cell>
          <cell r="W36">
            <v>0.29698672922307096</v>
          </cell>
          <cell r="X36">
            <v>0.28465229361544958</v>
          </cell>
          <cell r="Y36">
            <v>0.25857378914291906</v>
          </cell>
          <cell r="Z36">
            <v>0.23276095478303149</v>
          </cell>
          <cell r="AA36">
            <v>0.24438737367767865</v>
          </cell>
          <cell r="AB36">
            <v>0.23732658080919747</v>
          </cell>
          <cell r="AC36">
            <v>0.23369035269709545</v>
          </cell>
          <cell r="AD36">
            <v>0.22928647034795108</v>
          </cell>
          <cell r="AE36">
            <v>0.21566428807428262</v>
          </cell>
          <cell r="AF36">
            <v>0.21493916593733539</v>
          </cell>
          <cell r="AG36">
            <v>0.21229583139566163</v>
          </cell>
          <cell r="AH36">
            <v>0.20941855706727483</v>
          </cell>
          <cell r="AI36">
            <v>0.20514201012354008</v>
          </cell>
          <cell r="AJ36">
            <v>0.19992988212128979</v>
          </cell>
          <cell r="AK36">
            <v>0.19469719432071866</v>
          </cell>
          <cell r="AL36">
            <v>0.19204185032645618</v>
          </cell>
          <cell r="AM36">
            <v>0.18786765281151235</v>
          </cell>
        </row>
        <row r="37">
          <cell r="D37">
            <v>0.45886096482143984</v>
          </cell>
          <cell r="E37">
            <v>0.59143774840139463</v>
          </cell>
          <cell r="F37">
            <v>0.66702438216928683</v>
          </cell>
          <cell r="G37">
            <v>0.70163639379259668</v>
          </cell>
          <cell r="H37">
            <v>0.70858453182621495</v>
          </cell>
          <cell r="I37">
            <v>0.54600220789710874</v>
          </cell>
          <cell r="J37">
            <v>0.57836918787720204</v>
          </cell>
          <cell r="K37">
            <v>0.67969693382436702</v>
          </cell>
          <cell r="L37">
            <v>0.58824602483308319</v>
          </cell>
          <cell r="M37">
            <v>0.59376480123866926</v>
          </cell>
          <cell r="N37">
            <v>0.75821373236279577</v>
          </cell>
          <cell r="O37">
            <v>0.66921998229786028</v>
          </cell>
          <cell r="P37">
            <v>0.6453066459872967</v>
          </cell>
          <cell r="Q37">
            <v>0.68466613262470433</v>
          </cell>
          <cell r="R37">
            <v>0.52934708245994633</v>
          </cell>
          <cell r="S37">
            <v>0.56211840378994171</v>
          </cell>
          <cell r="T37">
            <v>0.55966944279576347</v>
          </cell>
          <cell r="U37">
            <v>0.60966778304146041</v>
          </cell>
          <cell r="V37">
            <v>0.58562245147128489</v>
          </cell>
          <cell r="W37">
            <v>0.58040642490572425</v>
          </cell>
          <cell r="X37">
            <v>0.576428331120726</v>
          </cell>
          <cell r="Y37">
            <v>0.57362182612778556</v>
          </cell>
          <cell r="Z37">
            <v>0.59849588246019203</v>
          </cell>
          <cell r="AA37">
            <v>0.54262285030435542</v>
          </cell>
          <cell r="AB37">
            <v>0.56142714091863799</v>
          </cell>
          <cell r="AC37">
            <v>0.55790715767634858</v>
          </cell>
          <cell r="AD37">
            <v>0.47771083842326534</v>
          </cell>
          <cell r="AE37">
            <v>0.53044863076248916</v>
          </cell>
          <cell r="AF37">
            <v>0.54056500851654399</v>
          </cell>
          <cell r="AG37">
            <v>0.57007329250746896</v>
          </cell>
          <cell r="AH37">
            <v>0.60656120211059694</v>
          </cell>
          <cell r="AI37">
            <v>0.63758240548895817</v>
          </cell>
          <cell r="AJ37">
            <v>0.68627780856512866</v>
          </cell>
          <cell r="AK37">
            <v>0.75471129676747317</v>
          </cell>
          <cell r="AL37">
            <v>0.84771853198525016</v>
          </cell>
          <cell r="AM37">
            <v>0.98405616091283865</v>
          </cell>
        </row>
        <row r="38">
          <cell r="D38">
            <v>0.28089735064876387</v>
          </cell>
          <cell r="E38">
            <v>0.26915439281975057</v>
          </cell>
          <cell r="F38">
            <v>0.19676384505746694</v>
          </cell>
          <cell r="G38">
            <v>0.18426117431745509</v>
          </cell>
          <cell r="H38">
            <v>0.15642551986030809</v>
          </cell>
          <cell r="I38">
            <v>0.10200895341546473</v>
          </cell>
          <cell r="J38">
            <v>8.0672030570301076E-2</v>
          </cell>
          <cell r="K38">
            <v>0.14214718255180539</v>
          </cell>
          <cell r="L38">
            <v>0.16837653541755118</v>
          </cell>
          <cell r="M38">
            <v>0.16309907376353072</v>
          </cell>
          <cell r="N38">
            <v>0.20421085958524615</v>
          </cell>
          <cell r="O38">
            <v>0.20673211781206172</v>
          </cell>
          <cell r="P38">
            <v>0.22133109887479052</v>
          </cell>
          <cell r="Q38">
            <v>0.10148355192431735</v>
          </cell>
          <cell r="R38">
            <v>0.2389365203083052</v>
          </cell>
          <cell r="S38">
            <v>0.21698410199905557</v>
          </cell>
          <cell r="T38">
            <v>0.231148414601652</v>
          </cell>
          <cell r="U38">
            <v>0.20177899826876008</v>
          </cell>
          <cell r="V38">
            <v>0.25755801575473708</v>
          </cell>
          <cell r="W38">
            <v>0.23288532198801007</v>
          </cell>
          <cell r="X38">
            <v>0.19548332629801604</v>
          </cell>
          <cell r="Y38">
            <v>0.23422544876656914</v>
          </cell>
          <cell r="Z38">
            <v>0.19739880880029173</v>
          </cell>
          <cell r="AA38">
            <v>0.29806158028485313</v>
          </cell>
          <cell r="AB38">
            <v>0.26365244306875968</v>
          </cell>
          <cell r="AC38">
            <v>0.28469917012448132</v>
          </cell>
          <cell r="AD38">
            <v>0.2934103124327076</v>
          </cell>
          <cell r="AE38">
            <v>0.27959602835988945</v>
          </cell>
          <cell r="AF38">
            <v>0.28970216682191452</v>
          </cell>
          <cell r="AG38">
            <v>0.29713210782636706</v>
          </cell>
          <cell r="AH38">
            <v>0.29757352623776073</v>
          </cell>
          <cell r="AI38">
            <v>0.29772374204035984</v>
          </cell>
          <cell r="AJ38">
            <v>0.29747645870149592</v>
          </cell>
          <cell r="AK38">
            <v>0.29759124232653889</v>
          </cell>
          <cell r="AL38">
            <v>0.29759714768946488</v>
          </cell>
          <cell r="AM38">
            <v>0.29755494957249995</v>
          </cell>
        </row>
        <row r="39">
          <cell r="D39">
            <v>5.6869506676340303E-2</v>
          </cell>
          <cell r="E39">
            <v>0.11124705476720077</v>
          </cell>
          <cell r="F39">
            <v>9.9913223076117302E-2</v>
          </cell>
          <cell r="G39">
            <v>7.8598446484966666E-2</v>
          </cell>
          <cell r="H39">
            <v>6.6125465241863024E-2</v>
          </cell>
          <cell r="I39">
            <v>6.8725366322900716E-2</v>
          </cell>
          <cell r="J39">
            <v>5.8916304668841929E-2</v>
          </cell>
          <cell r="K39">
            <v>5.8770867620016681E-2</v>
          </cell>
          <cell r="L39">
            <v>5.3650554836321758E-2</v>
          </cell>
          <cell r="M39">
            <v>4.4674246057247818E-2</v>
          </cell>
          <cell r="N39">
            <v>2.2648409054931137E-2</v>
          </cell>
          <cell r="O39">
            <v>5.4602936220196352E-2</v>
          </cell>
          <cell r="P39">
            <v>4.8000961425963613E-2</v>
          </cell>
          <cell r="Q39">
            <v>3.9954875394270048E-2</v>
          </cell>
          <cell r="R39">
            <v>3.0746474769637135E-2</v>
          </cell>
          <cell r="S39">
            <v>3.2186769837478355E-2</v>
          </cell>
          <cell r="T39">
            <v>3.3091623218092191E-2</v>
          </cell>
          <cell r="U39">
            <v>3.6610816861232166E-2</v>
          </cell>
          <cell r="V39">
            <v>3.5929723826245472E-2</v>
          </cell>
          <cell r="W39">
            <v>4.1513884584703155E-2</v>
          </cell>
          <cell r="X39">
            <v>3.908566467918953E-2</v>
          </cell>
          <cell r="Y39">
            <v>3.8579387438147872E-2</v>
          </cell>
          <cell r="Z39">
            <v>3.6016318220493497E-2</v>
          </cell>
          <cell r="AA39">
            <v>3.9145145085987827E-2</v>
          </cell>
          <cell r="AB39">
            <v>3.6891996462524876E-2</v>
          </cell>
          <cell r="AC39">
            <v>3.4360736514522816E-2</v>
          </cell>
          <cell r="AD39">
            <v>3.3433701686425531E-2</v>
          </cell>
          <cell r="AE39">
            <v>3.1485888980827569E-2</v>
          </cell>
          <cell r="AF39">
            <v>3.2195348712638731E-2</v>
          </cell>
          <cell r="AG39">
            <v>3.3092399874970452E-2</v>
          </cell>
          <cell r="AH39">
            <v>3.4096445131123629E-2</v>
          </cell>
          <cell r="AI39">
            <v>3.5102480759130653E-2</v>
          </cell>
          <cell r="AJ39">
            <v>3.6081179789119754E-2</v>
          </cell>
          <cell r="AK39">
            <v>3.6970715003890632E-2</v>
          </cell>
          <cell r="AL39">
            <v>3.8083718403342078E-2</v>
          </cell>
          <cell r="AM39">
            <v>3.8662282245885374E-2</v>
          </cell>
        </row>
        <row r="40">
          <cell r="D40">
            <v>0.22402784397242353</v>
          </cell>
          <cell r="E40">
            <v>0.15790733805254978</v>
          </cell>
          <cell r="F40">
            <v>9.6850621981349652E-2</v>
          </cell>
          <cell r="G40">
            <v>0.10566272783248841</v>
          </cell>
          <cell r="H40">
            <v>9.0300054618445078E-2</v>
          </cell>
          <cell r="I40">
            <v>3.3283587092564022E-2</v>
          </cell>
          <cell r="J40">
            <v>2.1755725901459154E-2</v>
          </cell>
          <cell r="K40">
            <v>8.3376314931788695E-2</v>
          </cell>
          <cell r="L40">
            <v>0.11472598058122943</v>
          </cell>
          <cell r="M40">
            <v>0.1184248277062829</v>
          </cell>
          <cell r="N40">
            <v>0.18156245053031503</v>
          </cell>
          <cell r="O40">
            <v>0.15212918159186536</v>
          </cell>
          <cell r="P40">
            <v>0.17333013744882692</v>
          </cell>
          <cell r="Q40">
            <v>6.1528676530047302E-2</v>
          </cell>
          <cell r="R40">
            <v>0.20819004553866804</v>
          </cell>
          <cell r="S40">
            <v>0.18479733216157723</v>
          </cell>
          <cell r="T40">
            <v>0.19805679138355983</v>
          </cell>
          <cell r="U40">
            <v>0.16516818140752793</v>
          </cell>
          <cell r="V40">
            <v>0.22162829192849159</v>
          </cell>
          <cell r="W40">
            <v>0.19137143740330689</v>
          </cell>
          <cell r="X40">
            <v>0.15639766161882651</v>
          </cell>
          <cell r="Y40">
            <v>0.19564606132842127</v>
          </cell>
          <cell r="Z40">
            <v>0.16138249057979823</v>
          </cell>
          <cell r="AA40">
            <v>0.25891643519886531</v>
          </cell>
          <cell r="AB40">
            <v>0.22676044660623482</v>
          </cell>
          <cell r="AC40">
            <v>0.2503384336099585</v>
          </cell>
          <cell r="AD40">
            <v>0.25997661074628209</v>
          </cell>
          <cell r="AE40">
            <v>0.2481101393790619</v>
          </cell>
          <cell r="AF40">
            <v>0.25750681810927573</v>
          </cell>
          <cell r="AG40">
            <v>0.26403970795139653</v>
          </cell>
          <cell r="AH40">
            <v>0.26347708110663715</v>
          </cell>
          <cell r="AI40">
            <v>0.26262126128122915</v>
          </cell>
          <cell r="AJ40">
            <v>0.26139527891237613</v>
          </cell>
          <cell r="AK40">
            <v>0.26062052732264818</v>
          </cell>
          <cell r="AL40">
            <v>0.25951342928612275</v>
          </cell>
          <cell r="AM40">
            <v>0.25889266732661448</v>
          </cell>
        </row>
        <row r="43">
          <cell r="D43">
            <v>6065.4019462439737</v>
          </cell>
          <cell r="E43">
            <v>6150.051627757075</v>
          </cell>
          <cell r="F43">
            <v>6092.961958674975</v>
          </cell>
          <cell r="G43">
            <v>5951.1097331544388</v>
          </cell>
          <cell r="H43">
            <v>5946.2873806346306</v>
          </cell>
          <cell r="I43">
            <v>5906.8678326009431</v>
          </cell>
          <cell r="J43">
            <v>6213.3221962067682</v>
          </cell>
          <cell r="K43">
            <v>6433.9272366963478</v>
          </cell>
          <cell r="L43">
            <v>6460.048662268804</v>
          </cell>
          <cell r="M43">
            <v>6563.6211835054128</v>
          </cell>
          <cell r="N43">
            <v>6480.2133333333331</v>
          </cell>
          <cell r="O43">
            <v>6970.4143589743589</v>
          </cell>
          <cell r="P43">
            <v>7458.4307692307693</v>
          </cell>
          <cell r="Q43">
            <v>11372</v>
          </cell>
          <cell r="R43">
            <v>12204</v>
          </cell>
          <cell r="S43">
            <v>12706</v>
          </cell>
          <cell r="T43">
            <v>13111</v>
          </cell>
          <cell r="U43">
            <v>13665</v>
          </cell>
          <cell r="V43">
            <v>14115</v>
          </cell>
          <cell r="W43">
            <v>14590</v>
          </cell>
          <cell r="X43">
            <v>15100</v>
          </cell>
          <cell r="Y43">
            <v>15462</v>
          </cell>
          <cell r="Z43">
            <v>16494</v>
          </cell>
          <cell r="AA43">
            <v>17069</v>
          </cell>
          <cell r="AB43">
            <v>18193</v>
          </cell>
          <cell r="AC43">
            <v>18949</v>
          </cell>
          <cell r="AD43">
            <v>19532.753148079635</v>
          </cell>
          <cell r="AE43">
            <v>20751.812821551692</v>
          </cell>
          <cell r="AF43">
            <v>21569.046001459785</v>
          </cell>
          <cell r="AG43">
            <v>22898.22609341424</v>
          </cell>
          <cell r="AH43">
            <v>24461.41868814364</v>
          </cell>
          <cell r="AI43">
            <v>26298.363617034207</v>
          </cell>
          <cell r="AJ43">
            <v>28482.821034775538</v>
          </cell>
          <cell r="AK43">
            <v>30859.376745907295</v>
          </cell>
          <cell r="AL43">
            <v>32874.152689608731</v>
          </cell>
          <cell r="AM43">
            <v>35244.641117428553</v>
          </cell>
        </row>
        <row r="44">
          <cell r="D44">
            <v>572.58737697191918</v>
          </cell>
          <cell r="E44">
            <v>-340.55559124949696</v>
          </cell>
          <cell r="F44">
            <v>109.34392526975489</v>
          </cell>
          <cell r="G44">
            <v>-259.0181059407073</v>
          </cell>
          <cell r="H44">
            <v>-216.45998630821623</v>
          </cell>
          <cell r="I44">
            <v>407.94177249546237</v>
          </cell>
          <cell r="J44">
            <v>600.61612803208845</v>
          </cell>
          <cell r="K44">
            <v>-303.61977647190406</v>
          </cell>
          <cell r="L44">
            <v>-341.67115221280619</v>
          </cell>
          <cell r="M44">
            <v>-232.93100892070834</v>
          </cell>
          <cell r="N44">
            <v>-884</v>
          </cell>
          <cell r="O44">
            <v>305</v>
          </cell>
          <cell r="P44">
            <v>342</v>
          </cell>
          <cell r="Q44">
            <v>-316</v>
          </cell>
          <cell r="R44">
            <v>-741</v>
          </cell>
          <cell r="S44">
            <v>-783</v>
          </cell>
          <cell r="T44">
            <v>-1723</v>
          </cell>
          <cell r="U44">
            <v>-2175</v>
          </cell>
          <cell r="V44">
            <v>-2869</v>
          </cell>
          <cell r="W44">
            <v>-2720</v>
          </cell>
          <cell r="X44">
            <v>-2293</v>
          </cell>
          <cell r="Y44">
            <v>-3290</v>
          </cell>
          <cell r="Z44">
            <v>-2869</v>
          </cell>
          <cell r="AA44">
            <v>-1252</v>
          </cell>
          <cell r="AB44">
            <v>-1566</v>
          </cell>
          <cell r="AC44">
            <v>-1745</v>
          </cell>
          <cell r="AD44">
            <v>-1238.7291364925877</v>
          </cell>
          <cell r="AE44">
            <v>-1795.35266468993</v>
          </cell>
          <cell r="AF44">
            <v>-1978.8732992247787</v>
          </cell>
          <cell r="AG44">
            <v>-2669.6163535582109</v>
          </cell>
          <cell r="AH44">
            <v>-3244.9904955034908</v>
          </cell>
          <cell r="AI44">
            <v>-3918.0527552531385</v>
          </cell>
          <cell r="AJ44">
            <v>-4931.3901659564872</v>
          </cell>
          <cell r="AK44">
            <v>-6799.9643677731528</v>
          </cell>
          <cell r="AL44">
            <v>-9258.7787575175171</v>
          </cell>
          <cell r="AM44">
            <v>-13391.457236737744</v>
          </cell>
        </row>
        <row r="45">
          <cell r="D45">
            <v>4104.5873769719192</v>
          </cell>
          <cell r="E45">
            <v>3707.444408750503</v>
          </cell>
          <cell r="F45">
            <v>3648.3439252697549</v>
          </cell>
          <cell r="G45">
            <v>3222.9818940592927</v>
          </cell>
          <cell r="H45">
            <v>3308.5400136917838</v>
          </cell>
          <cell r="I45">
            <v>4041.9417724954624</v>
          </cell>
          <cell r="J45">
            <v>4458.6161280320885</v>
          </cell>
          <cell r="K45">
            <v>4057.3802235280959</v>
          </cell>
          <cell r="L45">
            <v>3860.3288477871938</v>
          </cell>
          <cell r="M45">
            <v>3906.0689910792917</v>
          </cell>
          <cell r="N45">
            <v>3188</v>
          </cell>
          <cell r="O45">
            <v>4521</v>
          </cell>
          <cell r="P45">
            <v>4785</v>
          </cell>
          <cell r="Q45">
            <v>5932</v>
          </cell>
          <cell r="R45">
            <v>5740</v>
          </cell>
          <cell r="S45">
            <v>6288</v>
          </cell>
          <cell r="T45">
            <v>6461</v>
          </cell>
          <cell r="U45">
            <v>6287</v>
          </cell>
          <cell r="V45">
            <v>6243</v>
          </cell>
          <cell r="W45">
            <v>6520</v>
          </cell>
          <cell r="X45">
            <v>6465</v>
          </cell>
          <cell r="Y45">
            <v>6331</v>
          </cell>
          <cell r="Z45">
            <v>7216</v>
          </cell>
          <cell r="AA45">
            <v>8878</v>
          </cell>
          <cell r="AB45">
            <v>8514</v>
          </cell>
          <cell r="AC45">
            <v>8710</v>
          </cell>
          <cell r="AD45">
            <v>10012.72150328974</v>
          </cell>
          <cell r="AE45">
            <v>10460.478593079824</v>
          </cell>
          <cell r="AF45">
            <v>10912.658452817552</v>
          </cell>
          <cell r="AG45">
            <v>11386.441053185134</v>
          </cell>
          <cell r="AH45">
            <v>11886.491685875066</v>
          </cell>
          <cell r="AI45">
            <v>12455.094082237956</v>
          </cell>
          <cell r="AJ45">
            <v>13058.506283231</v>
          </cell>
          <cell r="AK45">
            <v>13697.321377866809</v>
          </cell>
          <cell r="AL45">
            <v>14372.086321883146</v>
          </cell>
          <cell r="AM45">
            <v>15089.374185336663</v>
          </cell>
        </row>
        <row r="46">
          <cell r="D46">
            <v>3532</v>
          </cell>
          <cell r="E46">
            <v>4048</v>
          </cell>
          <cell r="F46">
            <v>3539</v>
          </cell>
          <cell r="G46">
            <v>3482</v>
          </cell>
          <cell r="H46">
            <v>3525</v>
          </cell>
          <cell r="I46">
            <v>3634</v>
          </cell>
          <cell r="J46">
            <v>3858</v>
          </cell>
          <cell r="K46">
            <v>4361</v>
          </cell>
          <cell r="L46">
            <v>4202</v>
          </cell>
          <cell r="M46">
            <v>4139</v>
          </cell>
          <cell r="N46">
            <v>4072</v>
          </cell>
          <cell r="O46">
            <v>4216</v>
          </cell>
          <cell r="P46">
            <v>4443</v>
          </cell>
          <cell r="Q46">
            <v>6248</v>
          </cell>
          <cell r="R46">
            <v>6481</v>
          </cell>
          <cell r="S46">
            <v>7071</v>
          </cell>
          <cell r="T46">
            <v>8184</v>
          </cell>
          <cell r="U46">
            <v>8462</v>
          </cell>
          <cell r="V46">
            <v>9112</v>
          </cell>
          <cell r="W46">
            <v>9240</v>
          </cell>
          <cell r="X46">
            <v>8758</v>
          </cell>
          <cell r="Y46">
            <v>9621</v>
          </cell>
          <cell r="Z46">
            <v>10085</v>
          </cell>
          <cell r="AA46">
            <v>10130</v>
          </cell>
          <cell r="AB46">
            <v>10080</v>
          </cell>
          <cell r="AC46">
            <v>10455</v>
          </cell>
          <cell r="AD46">
            <v>11251.450639782328</v>
          </cell>
          <cell r="AE46">
            <v>12255.831257769754</v>
          </cell>
          <cell r="AF46">
            <v>12891.531752042329</v>
          </cell>
          <cell r="AG46">
            <v>14056.057406743334</v>
          </cell>
          <cell r="AH46">
            <v>15131.482181378547</v>
          </cell>
          <cell r="AI46">
            <v>16373.146837491087</v>
          </cell>
          <cell r="AJ46">
            <v>17989.896449187476</v>
          </cell>
          <cell r="AK46">
            <v>20497.285745639943</v>
          </cell>
          <cell r="AL46">
            <v>23630.865079400624</v>
          </cell>
          <cell r="AM46">
            <v>28480.831422074352</v>
          </cell>
        </row>
        <row r="47">
          <cell r="D47">
            <v>5492.8145692720545</v>
          </cell>
          <cell r="E47">
            <v>6490.6072190065715</v>
          </cell>
          <cell r="F47">
            <v>5983.6180334052206</v>
          </cell>
          <cell r="G47">
            <v>6210.1278390951466</v>
          </cell>
          <cell r="H47">
            <v>6162.7473669428473</v>
          </cell>
          <cell r="I47">
            <v>5498.9260601054812</v>
          </cell>
          <cell r="J47">
            <v>5612.7060681746798</v>
          </cell>
          <cell r="K47">
            <v>6737.5470131682523</v>
          </cell>
          <cell r="L47">
            <v>6801.7198144816102</v>
          </cell>
          <cell r="M47">
            <v>6796.5521924261211</v>
          </cell>
          <cell r="N47">
            <v>7364.2133333333331</v>
          </cell>
          <cell r="O47">
            <v>6665.414358974358</v>
          </cell>
          <cell r="P47">
            <v>7116.4307692307693</v>
          </cell>
          <cell r="Q47">
            <v>11688</v>
          </cell>
          <cell r="R47">
            <v>12945</v>
          </cell>
          <cell r="S47">
            <v>13489</v>
          </cell>
          <cell r="T47">
            <v>14834</v>
          </cell>
          <cell r="U47">
            <v>15840</v>
          </cell>
          <cell r="V47">
            <v>16984</v>
          </cell>
          <cell r="W47">
            <v>17310</v>
          </cell>
          <cell r="X47">
            <v>17393</v>
          </cell>
          <cell r="Y47">
            <v>18752</v>
          </cell>
          <cell r="Z47">
            <v>19363</v>
          </cell>
          <cell r="AA47">
            <v>18321</v>
          </cell>
          <cell r="AB47">
            <v>19759</v>
          </cell>
          <cell r="AC47">
            <v>20694</v>
          </cell>
          <cell r="AD47">
            <v>20771.482284572223</v>
          </cell>
          <cell r="AE47">
            <v>22547.165486241622</v>
          </cell>
          <cell r="AF47">
            <v>23547.919300684563</v>
          </cell>
          <cell r="AG47">
            <v>25567.842446972449</v>
          </cell>
          <cell r="AH47">
            <v>27706.409183647131</v>
          </cell>
          <cell r="AI47">
            <v>30216.416372287349</v>
          </cell>
          <cell r="AJ47">
            <v>33414.211200732025</v>
          </cell>
          <cell r="AK47">
            <v>37659.34111368045</v>
          </cell>
          <cell r="AL47">
            <v>42132.931447126248</v>
          </cell>
          <cell r="AM47">
            <v>48636.098354166301</v>
          </cell>
        </row>
        <row r="48">
          <cell r="D48">
            <v>3541.6828387919645</v>
          </cell>
          <cell r="E48">
            <v>4688.0985431240415</v>
          </cell>
          <cell r="F48">
            <v>4775.2753295183011</v>
          </cell>
          <cell r="G48">
            <v>5069.5890676695462</v>
          </cell>
          <cell r="H48">
            <v>5229.1209266674914</v>
          </cell>
          <cell r="I48">
            <v>4861.6874675082709</v>
          </cell>
          <cell r="J48">
            <v>5178.227703155424</v>
          </cell>
          <cell r="K48">
            <v>5815.933348774799</v>
          </cell>
          <cell r="L48">
            <v>5600.0378591160543</v>
          </cell>
          <cell r="M48">
            <v>5711.896364051021</v>
          </cell>
          <cell r="N48">
            <v>5633.617946659203</v>
          </cell>
          <cell r="O48">
            <v>5560.7853816256265</v>
          </cell>
          <cell r="P48">
            <v>5592.2132511354494</v>
          </cell>
          <cell r="Q48">
            <v>10269</v>
          </cell>
          <cell r="R48">
            <v>9994</v>
          </cell>
          <cell r="S48">
            <v>10732</v>
          </cell>
          <cell r="T48">
            <v>11577</v>
          </cell>
          <cell r="U48">
            <v>12882</v>
          </cell>
          <cell r="V48">
            <v>13040</v>
          </cell>
          <cell r="W48">
            <v>13541</v>
          </cell>
          <cell r="X48">
            <v>13818</v>
          </cell>
          <cell r="Y48">
            <v>14244</v>
          </cell>
          <cell r="Z48">
            <v>14728</v>
          </cell>
          <cell r="AA48">
            <v>12302</v>
          </cell>
          <cell r="AB48">
            <v>14223</v>
          </cell>
          <cell r="AC48">
            <v>14538</v>
          </cell>
          <cell r="AD48">
            <v>14379.112394227148</v>
          </cell>
          <cell r="AE48">
            <v>16114.103511560597</v>
          </cell>
          <cell r="AF48">
            <v>16645.824580217432</v>
          </cell>
          <cell r="AG48">
            <v>18011.427836145747</v>
          </cell>
          <cell r="AH48">
            <v>19634.14101655973</v>
          </cell>
          <cell r="AI48">
            <v>21537.956378666058</v>
          </cell>
          <cell r="AJ48">
            <v>24014.880259256097</v>
          </cell>
          <cell r="AK48">
            <v>27475.746787531039</v>
          </cell>
          <cell r="AL48">
            <v>31284.461059555368</v>
          </cell>
          <cell r="AM48">
            <v>37005.366785414881</v>
          </cell>
        </row>
        <row r="49">
          <cell r="D49">
            <v>1161.0630059632256</v>
          </cell>
          <cell r="E49">
            <v>1454.573774178783</v>
          </cell>
          <cell r="F49">
            <v>1499.5582705312158</v>
          </cell>
          <cell r="G49">
            <v>1518.2539282320547</v>
          </cell>
          <cell r="H49">
            <v>1547.1510235784228</v>
          </cell>
          <cell r="I49">
            <v>1693.3640787981124</v>
          </cell>
          <cell r="J49">
            <v>1728.396177151204</v>
          </cell>
          <cell r="K49">
            <v>1732.5120334675883</v>
          </cell>
          <cell r="L49">
            <v>1798.0015883770625</v>
          </cell>
          <cell r="M49">
            <v>1756.1625972338022</v>
          </cell>
          <cell r="N49">
            <v>1861.5319894243796</v>
          </cell>
          <cell r="O49">
            <v>2080.8382247925938</v>
          </cell>
          <cell r="P49">
            <v>2220.2372844036568</v>
          </cell>
          <cell r="Q49">
            <v>3683</v>
          </cell>
          <cell r="R49">
            <v>3738</v>
          </cell>
          <cell r="S49">
            <v>3588.7665614449998</v>
          </cell>
          <cell r="T49">
            <v>3939</v>
          </cell>
          <cell r="U49">
            <v>4098</v>
          </cell>
          <cell r="V49">
            <v>4224</v>
          </cell>
          <cell r="W49">
            <v>4413</v>
          </cell>
          <cell r="X49">
            <v>4469</v>
          </cell>
          <cell r="Y49">
            <v>4601</v>
          </cell>
          <cell r="Z49">
            <v>4679</v>
          </cell>
          <cell r="AA49">
            <v>4680</v>
          </cell>
          <cell r="AB49">
            <v>4780</v>
          </cell>
          <cell r="AC49">
            <v>4957</v>
          </cell>
          <cell r="AD49">
            <v>3748.2384430518409</v>
          </cell>
          <cell r="AE49">
            <v>3690.2310231020338</v>
          </cell>
          <cell r="AF49">
            <v>3747.7067610543222</v>
          </cell>
          <cell r="AG49">
            <v>3852.6738061241372</v>
          </cell>
          <cell r="AH49">
            <v>3980.2978022917191</v>
          </cell>
          <cell r="AI49">
            <v>4109.6224347884481</v>
          </cell>
          <cell r="AJ49">
            <v>4252.8408439437799</v>
          </cell>
          <cell r="AK49">
            <v>4399.1127297280291</v>
          </cell>
          <cell r="AL49">
            <v>4531.7769423855925</v>
          </cell>
          <cell r="AM49">
            <v>4659.7541735347477</v>
          </cell>
        </row>
        <row r="50">
          <cell r="D50">
            <v>2380.6198328287392</v>
          </cell>
          <cell r="E50">
            <v>3233.5247689452585</v>
          </cell>
          <cell r="F50">
            <v>3275.7170589870852</v>
          </cell>
          <cell r="G50">
            <v>3551.3351394374913</v>
          </cell>
          <cell r="H50">
            <v>3681.9699030890688</v>
          </cell>
          <cell r="I50">
            <v>3168.3233887101587</v>
          </cell>
          <cell r="J50">
            <v>3449.83152600422</v>
          </cell>
          <cell r="K50">
            <v>4083.4213153072105</v>
          </cell>
          <cell r="L50">
            <v>3802.0362707389918</v>
          </cell>
          <cell r="M50">
            <v>3955.7337668172186</v>
          </cell>
          <cell r="N50">
            <v>3772.0859572348236</v>
          </cell>
          <cell r="O50">
            <v>3479.9471568330328</v>
          </cell>
          <cell r="P50">
            <v>3371.9759667317926</v>
          </cell>
          <cell r="Q50">
            <v>6586</v>
          </cell>
          <cell r="R50">
            <v>6256</v>
          </cell>
          <cell r="S50">
            <v>7143.2334385550002</v>
          </cell>
          <cell r="T50">
            <v>7638</v>
          </cell>
          <cell r="U50">
            <v>8784</v>
          </cell>
          <cell r="V50">
            <v>8816</v>
          </cell>
          <cell r="W50">
            <v>9128</v>
          </cell>
          <cell r="X50">
            <v>9349</v>
          </cell>
          <cell r="Y50">
            <v>9643</v>
          </cell>
          <cell r="Z50">
            <v>10049</v>
          </cell>
          <cell r="AA50">
            <v>7622</v>
          </cell>
          <cell r="AB50">
            <v>9443</v>
          </cell>
          <cell r="AC50">
            <v>9581</v>
          </cell>
          <cell r="AD50">
            <v>10630.873951175307</v>
          </cell>
          <cell r="AE50">
            <v>12423.872488458564</v>
          </cell>
          <cell r="AF50">
            <v>12898.11781916311</v>
          </cell>
          <cell r="AG50">
            <v>14158.75403002161</v>
          </cell>
          <cell r="AH50">
            <v>15653.84321426801</v>
          </cell>
          <cell r="AI50">
            <v>17428.333943877609</v>
          </cell>
          <cell r="AJ50">
            <v>19762.039415312316</v>
          </cell>
          <cell r="AK50">
            <v>23076.63405780301</v>
          </cell>
          <cell r="AL50">
            <v>26752.684117169774</v>
          </cell>
          <cell r="AM50">
            <v>32345.612611880133</v>
          </cell>
        </row>
        <row r="51">
          <cell r="D51">
            <v>1951.13173048009</v>
          </cell>
          <cell r="E51">
            <v>1802.50867588253</v>
          </cell>
          <cell r="F51">
            <v>1208.3427038869199</v>
          </cell>
          <cell r="G51">
            <v>1140.5387714256001</v>
          </cell>
          <cell r="H51">
            <v>933.626440275356</v>
          </cell>
          <cell r="I51">
            <v>637.23859259721007</v>
          </cell>
          <cell r="J51">
            <v>434.47836501925599</v>
          </cell>
          <cell r="K51">
            <v>921.61366439345295</v>
          </cell>
          <cell r="L51">
            <v>1201.681955365556</v>
          </cell>
          <cell r="M51">
            <v>1084.6558283750999</v>
          </cell>
          <cell r="N51">
            <v>1730.5953866741302</v>
          </cell>
          <cell r="O51">
            <v>1104.628977348732</v>
          </cell>
          <cell r="P51">
            <v>1524.21751809532</v>
          </cell>
          <cell r="Q51">
            <v>1419</v>
          </cell>
          <cell r="R51">
            <v>2951</v>
          </cell>
          <cell r="S51">
            <v>2757</v>
          </cell>
          <cell r="T51">
            <v>3257</v>
          </cell>
          <cell r="U51">
            <v>2958</v>
          </cell>
          <cell r="V51">
            <v>3944</v>
          </cell>
          <cell r="W51">
            <v>3769</v>
          </cell>
          <cell r="X51">
            <v>3575</v>
          </cell>
          <cell r="Y51">
            <v>4508</v>
          </cell>
          <cell r="Z51">
            <v>4635</v>
          </cell>
          <cell r="AA51">
            <v>6019</v>
          </cell>
          <cell r="AB51">
            <v>5536</v>
          </cell>
          <cell r="AC51">
            <v>6156</v>
          </cell>
          <cell r="AD51">
            <v>6392.3698903450759</v>
          </cell>
          <cell r="AE51">
            <v>6433.0619746810244</v>
          </cell>
          <cell r="AF51">
            <v>6902.0947204671311</v>
          </cell>
          <cell r="AG51">
            <v>7556.4146108266996</v>
          </cell>
          <cell r="AH51">
            <v>8072.2681670874017</v>
          </cell>
          <cell r="AI51">
            <v>8678.459993621289</v>
          </cell>
          <cell r="AJ51">
            <v>9399.3309414759278</v>
          </cell>
          <cell r="AK51">
            <v>10183.594326149409</v>
          </cell>
          <cell r="AL51">
            <v>10848.470387570882</v>
          </cell>
          <cell r="AM51">
            <v>11630.731568751424</v>
          </cell>
        </row>
        <row r="52">
          <cell r="D52">
            <v>814</v>
          </cell>
          <cell r="E52">
            <v>685</v>
          </cell>
          <cell r="F52">
            <v>609</v>
          </cell>
          <cell r="G52">
            <v>453</v>
          </cell>
          <cell r="H52">
            <v>389</v>
          </cell>
          <cell r="I52">
            <v>438</v>
          </cell>
          <cell r="J52">
            <v>369</v>
          </cell>
          <cell r="K52">
            <v>369</v>
          </cell>
          <cell r="L52">
            <v>354</v>
          </cell>
          <cell r="M52">
            <v>299</v>
          </cell>
          <cell r="N52">
            <v>384</v>
          </cell>
          <cell r="O52">
            <v>341</v>
          </cell>
          <cell r="P52">
            <v>443</v>
          </cell>
          <cell r="Q52">
            <v>615</v>
          </cell>
          <cell r="R52">
            <v>876</v>
          </cell>
          <cell r="S52">
            <v>694</v>
          </cell>
          <cell r="T52">
            <v>666</v>
          </cell>
          <cell r="U52">
            <v>715</v>
          </cell>
          <cell r="V52">
            <v>658</v>
          </cell>
          <cell r="W52">
            <v>718</v>
          </cell>
          <cell r="X52">
            <v>700</v>
          </cell>
          <cell r="Y52">
            <v>731</v>
          </cell>
          <cell r="Z52">
            <v>660</v>
          </cell>
          <cell r="AA52">
            <v>588</v>
          </cell>
          <cell r="AB52">
            <v>707</v>
          </cell>
          <cell r="AC52">
            <v>795</v>
          </cell>
          <cell r="AD52">
            <v>745.20204640591533</v>
          </cell>
          <cell r="AE52">
            <v>745.58663664747951</v>
          </cell>
          <cell r="AF52">
            <v>792.41043175626476</v>
          </cell>
          <cell r="AG52">
            <v>864.68159878988763</v>
          </cell>
          <cell r="AH52">
            <v>951.73678985144818</v>
          </cell>
          <cell r="AI52">
            <v>1053.3983894479634</v>
          </cell>
          <cell r="AJ52">
            <v>1172.7078842964709</v>
          </cell>
          <cell r="AK52">
            <v>1301.880477406512</v>
          </cell>
          <cell r="AL52">
            <v>1428.6308608807783</v>
          </cell>
          <cell r="AM52">
            <v>1554.915145608818</v>
          </cell>
        </row>
        <row r="53">
          <cell r="D53">
            <v>1137.13173048009</v>
          </cell>
          <cell r="E53">
            <v>1117.50867588253</v>
          </cell>
          <cell r="F53">
            <v>599.34270388691994</v>
          </cell>
          <cell r="G53">
            <v>687.53877142560009</v>
          </cell>
          <cell r="H53">
            <v>544.626440275356</v>
          </cell>
          <cell r="I53">
            <v>199.23859259721007</v>
          </cell>
          <cell r="J53">
            <v>65.478365019255989</v>
          </cell>
          <cell r="K53">
            <v>552.61366439345295</v>
          </cell>
          <cell r="L53">
            <v>847.68195536555595</v>
          </cell>
          <cell r="M53">
            <v>785.65582837509987</v>
          </cell>
          <cell r="N53">
            <v>1346.5953866741302</v>
          </cell>
          <cell r="O53">
            <v>763.62897734873195</v>
          </cell>
          <cell r="P53">
            <v>1081.21751809532</v>
          </cell>
          <cell r="Q53">
            <v>804</v>
          </cell>
          <cell r="R53">
            <v>2075</v>
          </cell>
          <cell r="S53">
            <v>2063</v>
          </cell>
          <cell r="T53">
            <v>2591</v>
          </cell>
          <cell r="U53">
            <v>2243</v>
          </cell>
          <cell r="V53">
            <v>3286</v>
          </cell>
          <cell r="W53">
            <v>3051</v>
          </cell>
          <cell r="X53">
            <v>2875</v>
          </cell>
          <cell r="Y53">
            <v>3777</v>
          </cell>
          <cell r="Z53">
            <v>3975</v>
          </cell>
          <cell r="AA53">
            <v>5431</v>
          </cell>
          <cell r="AB53">
            <v>4829</v>
          </cell>
          <cell r="AC53">
            <v>5361</v>
          </cell>
          <cell r="AD53">
            <v>5647.1678439391608</v>
          </cell>
          <cell r="AE53">
            <v>5687.4753380335451</v>
          </cell>
          <cell r="AF53">
            <v>6109.684288710866</v>
          </cell>
          <cell r="AG53">
            <v>6691.7330120368115</v>
          </cell>
          <cell r="AH53">
            <v>7120.5313772359532</v>
          </cell>
          <cell r="AI53">
            <v>7625.0616041733256</v>
          </cell>
          <cell r="AJ53">
            <v>8226.6230571794567</v>
          </cell>
          <cell r="AK53">
            <v>8881.7138487428965</v>
          </cell>
          <cell r="AL53">
            <v>9419.8395266901043</v>
          </cell>
          <cell r="AM53">
            <v>10075.816423142605</v>
          </cell>
        </row>
        <row r="54">
          <cell r="D54">
            <v>145</v>
          </cell>
          <cell r="E54">
            <v>164.24780207309911</v>
          </cell>
          <cell r="F54">
            <v>-148.87950310170092</v>
          </cell>
          <cell r="G54">
            <v>116.19492395495629</v>
          </cell>
          <cell r="H54">
            <v>55.038650022888461</v>
          </cell>
          <cell r="I54">
            <v>-247.72430499322073</v>
          </cell>
          <cell r="J54">
            <v>-391.38708474427642</v>
          </cell>
          <cell r="K54">
            <v>56.477020134175199</v>
          </cell>
          <cell r="L54">
            <v>226.18782192577382</v>
          </cell>
          <cell r="M54">
            <v>17.096186364141026</v>
          </cell>
          <cell r="N54">
            <v>440.91840502193975</v>
          </cell>
          <cell r="O54">
            <v>107</v>
          </cell>
          <cell r="P54">
            <v>130</v>
          </cell>
          <cell r="Q54">
            <v>-520</v>
          </cell>
          <cell r="R54">
            <v>229</v>
          </cell>
          <cell r="S54">
            <v>-60</v>
          </cell>
          <cell r="T54">
            <v>-49</v>
          </cell>
          <cell r="U54">
            <v>92</v>
          </cell>
          <cell r="V54">
            <v>380</v>
          </cell>
          <cell r="W54">
            <v>56</v>
          </cell>
          <cell r="X54">
            <v>196</v>
          </cell>
          <cell r="Y54">
            <v>213</v>
          </cell>
          <cell r="Z54">
            <v>-171</v>
          </cell>
          <cell r="AA54">
            <v>52</v>
          </cell>
          <cell r="AB54">
            <v>81</v>
          </cell>
          <cell r="AC54">
            <v>287</v>
          </cell>
          <cell r="AD54">
            <v>147.4373769497426</v>
          </cell>
          <cell r="AE54">
            <v>187.77895287801223</v>
          </cell>
          <cell r="AF54">
            <v>228.22156034272788</v>
          </cell>
          <cell r="AG54">
            <v>207.44255933393626</v>
          </cell>
          <cell r="AH54">
            <v>233.92538233289292</v>
          </cell>
          <cell r="AI54">
            <v>256.00000986887574</v>
          </cell>
          <cell r="AJ54">
            <v>269.2273083026455</v>
          </cell>
          <cell r="AK54">
            <v>295.73312508598474</v>
          </cell>
          <cell r="AL54">
            <v>315.26275414760875</v>
          </cell>
          <cell r="AM54">
            <v>336.2985925471354</v>
          </cell>
        </row>
        <row r="55">
          <cell r="D55">
            <v>2523.7191074520092</v>
          </cell>
          <cell r="E55">
            <v>1461.9530846330335</v>
          </cell>
          <cell r="F55">
            <v>1317.6866291566739</v>
          </cell>
          <cell r="G55">
            <v>881.52066548489256</v>
          </cell>
          <cell r="H55">
            <v>717.1664539671392</v>
          </cell>
          <cell r="I55">
            <v>1045.1803650926722</v>
          </cell>
          <cell r="J55">
            <v>1035.0944930513442</v>
          </cell>
          <cell r="K55">
            <v>617.99388792154878</v>
          </cell>
          <cell r="L55">
            <v>860.01080315274976</v>
          </cell>
          <cell r="M55">
            <v>851.72481945439176</v>
          </cell>
          <cell r="N55">
            <v>846.59538667413017</v>
          </cell>
          <cell r="O55">
            <v>1409.6289773487324</v>
          </cell>
          <cell r="P55">
            <v>1866.21751809532</v>
          </cell>
          <cell r="Q55">
            <v>1103</v>
          </cell>
          <cell r="R55">
            <v>2210</v>
          </cell>
          <cell r="S55">
            <v>1974</v>
          </cell>
          <cell r="T55">
            <v>1534</v>
          </cell>
          <cell r="U55">
            <v>783</v>
          </cell>
          <cell r="V55">
            <v>1075</v>
          </cell>
          <cell r="W55">
            <v>1049</v>
          </cell>
          <cell r="X55">
            <v>1282</v>
          </cell>
          <cell r="Y55">
            <v>1218</v>
          </cell>
          <cell r="Z55">
            <v>1766</v>
          </cell>
          <cell r="AA55">
            <v>4767</v>
          </cell>
          <cell r="AB55">
            <v>3970</v>
          </cell>
          <cell r="AC55">
            <v>4411</v>
          </cell>
          <cell r="AD55">
            <v>5153.6407538524873</v>
          </cell>
          <cell r="AE55">
            <v>4637.7093099910944</v>
          </cell>
          <cell r="AF55">
            <v>4923.2214212423532</v>
          </cell>
          <cell r="AG55">
            <v>4886.7982572684923</v>
          </cell>
          <cell r="AH55">
            <v>4827.27767158391</v>
          </cell>
          <cell r="AI55">
            <v>4760.4072383681487</v>
          </cell>
          <cell r="AJ55">
            <v>4467.9407755194406</v>
          </cell>
          <cell r="AK55">
            <v>3383.6299583762557</v>
          </cell>
          <cell r="AL55">
            <v>1589.691630053363</v>
          </cell>
          <cell r="AM55">
            <v>-1760.7256679863276</v>
          </cell>
        </row>
        <row r="56">
          <cell r="D56">
            <v>-911.96050590273535</v>
          </cell>
          <cell r="E56">
            <v>-611.96483626935958</v>
          </cell>
          <cell r="F56">
            <v>-702.01974109005221</v>
          </cell>
          <cell r="G56">
            <v>-585.43944490204922</v>
          </cell>
          <cell r="H56">
            <v>-775.38038326284516</v>
          </cell>
          <cell r="I56">
            <v>-1644.5156017238353</v>
          </cell>
          <cell r="J56">
            <v>-1235.6770021659854</v>
          </cell>
          <cell r="K56">
            <v>-566.57527288335939</v>
          </cell>
          <cell r="L56">
            <v>-1160.5136196333192</v>
          </cell>
          <cell r="M56">
            <v>-935.897430459107</v>
          </cell>
          <cell r="N56">
            <v>-396.7691049024088</v>
          </cell>
          <cell r="O56">
            <v>-339.62859337794816</v>
          </cell>
          <cell r="P56">
            <v>-400.05841583059424</v>
          </cell>
          <cell r="Q56">
            <v>-617.49224893001224</v>
          </cell>
          <cell r="R56">
            <v>-633.40775121044499</v>
          </cell>
          <cell r="S56">
            <v>-999.07088077936874</v>
          </cell>
          <cell r="T56">
            <v>-958.31984103122284</v>
          </cell>
          <cell r="U56">
            <v>-617.61870428092811</v>
          </cell>
          <cell r="V56">
            <v>-426.28906989960223</v>
          </cell>
          <cell r="W56">
            <v>-930.88830829523192</v>
          </cell>
          <cell r="X56">
            <v>-1036.0752297243307</v>
          </cell>
          <cell r="Y56">
            <v>-1088.5635710898869</v>
          </cell>
          <cell r="Z56">
            <v>-827.69374612271429</v>
          </cell>
          <cell r="AA56">
            <v>-195.07940960213503</v>
          </cell>
          <cell r="AB56">
            <v>-485.21006228912159</v>
          </cell>
          <cell r="AC56">
            <v>-838.68989446291732</v>
          </cell>
          <cell r="AD56">
            <v>-831.40474073925805</v>
          </cell>
          <cell r="AE56">
            <v>-783.22081451943643</v>
          </cell>
          <cell r="AF56">
            <v>-739.42781108148483</v>
          </cell>
          <cell r="AG56">
            <v>-712.7220813968396</v>
          </cell>
          <cell r="AH56">
            <v>-679.69307538491694</v>
          </cell>
          <cell r="AI56">
            <v>-652.27258445486029</v>
          </cell>
          <cell r="AJ56">
            <v>-623.90725129793213</v>
          </cell>
          <cell r="AK56">
            <v>-599.8337915080599</v>
          </cell>
          <cell r="AL56">
            <v>-570.98325800831151</v>
          </cell>
          <cell r="AM56">
            <v>-546.14270416442298</v>
          </cell>
        </row>
        <row r="57">
          <cell r="D57">
            <v>5153.4414403412384</v>
          </cell>
          <cell r="E57">
            <v>5538.0867914877153</v>
          </cell>
          <cell r="F57">
            <v>5390.9422175849231</v>
          </cell>
          <cell r="G57">
            <v>5365.6702882523896</v>
          </cell>
          <cell r="H57">
            <v>5170.9069973717851</v>
          </cell>
          <cell r="I57">
            <v>4262.352230877108</v>
          </cell>
          <cell r="J57">
            <v>4977.6451940407824</v>
          </cell>
          <cell r="K57">
            <v>5867.3519638129883</v>
          </cell>
          <cell r="L57">
            <v>5299.5350426354853</v>
          </cell>
          <cell r="M57">
            <v>5627.7237530463062</v>
          </cell>
          <cell r="N57">
            <v>6083.4442284309243</v>
          </cell>
          <cell r="O57">
            <v>6630.7857655964108</v>
          </cell>
          <cell r="P57">
            <v>7058.3723534001747</v>
          </cell>
          <cell r="Q57">
            <v>10754.507751069988</v>
          </cell>
          <cell r="R57">
            <v>11570.592248789555</v>
          </cell>
          <cell r="S57">
            <v>11706.929119220631</v>
          </cell>
          <cell r="T57">
            <v>12152.680158968777</v>
          </cell>
          <cell r="U57">
            <v>13047.381295719071</v>
          </cell>
          <cell r="V57">
            <v>13688.710930100398</v>
          </cell>
          <cell r="W57">
            <v>13659.111691704768</v>
          </cell>
          <cell r="X57">
            <v>14063.924770275669</v>
          </cell>
          <cell r="Y57">
            <v>14373.436428910114</v>
          </cell>
          <cell r="Z57">
            <v>15666.306253877287</v>
          </cell>
          <cell r="AA57">
            <v>16873.920590397865</v>
          </cell>
          <cell r="AB57">
            <v>17707.789937710877</v>
          </cell>
          <cell r="AC57">
            <v>18110.310105537083</v>
          </cell>
          <cell r="AD57">
            <v>18701.348407340378</v>
          </cell>
          <cell r="AE57">
            <v>19968.592007032254</v>
          </cell>
          <cell r="AF57">
            <v>20829.6181903783</v>
          </cell>
          <cell r="AG57">
            <v>22185.504012017402</v>
          </cell>
          <cell r="AH57">
            <v>23781.725612758724</v>
          </cell>
          <cell r="AI57">
            <v>25646.091032579348</v>
          </cell>
          <cell r="AJ57">
            <v>27858.913783477605</v>
          </cell>
          <cell r="AK57">
            <v>30259.542954399236</v>
          </cell>
          <cell r="AL57">
            <v>32303.169431600418</v>
          </cell>
          <cell r="AM57">
            <v>34698.498413264133</v>
          </cell>
        </row>
        <row r="58">
          <cell r="D58">
            <v>-172.19798072181558</v>
          </cell>
          <cell r="E58">
            <v>-213.7020063162843</v>
          </cell>
          <cell r="F58">
            <v>-222.90407837530853</v>
          </cell>
          <cell r="G58">
            <v>-184.13014799338643</v>
          </cell>
          <cell r="H58">
            <v>-184.20638939393558</v>
          </cell>
          <cell r="I58">
            <v>-156.43883914310265</v>
          </cell>
          <cell r="J58">
            <v>-170.21246122551324</v>
          </cell>
          <cell r="K58">
            <v>-161.25603920526382</v>
          </cell>
          <cell r="L58">
            <v>-203.348926654499</v>
          </cell>
          <cell r="M58">
            <v>-206.85904974305231</v>
          </cell>
          <cell r="N58">
            <v>-347.04612244660819</v>
          </cell>
          <cell r="O58">
            <v>-293.79919282574309</v>
          </cell>
          <cell r="P58">
            <v>-357.59411470891104</v>
          </cell>
          <cell r="Q58">
            <v>-539.55633401651551</v>
          </cell>
          <cell r="R58">
            <v>-524.38748422069534</v>
          </cell>
          <cell r="S58">
            <v>-176.01248750467357</v>
          </cell>
          <cell r="T58">
            <v>-172.6620113964739</v>
          </cell>
          <cell r="U58">
            <v>-201.58388264724735</v>
          </cell>
          <cell r="V58">
            <v>-200.27543095283198</v>
          </cell>
          <cell r="W58">
            <v>-273.61332462442851</v>
          </cell>
          <cell r="X58">
            <v>-182.06016779864163</v>
          </cell>
          <cell r="Y58">
            <v>-198.15159520422679</v>
          </cell>
          <cell r="Z58">
            <v>-176.17807450296891</v>
          </cell>
          <cell r="AA58">
            <v>-101.28163721031564</v>
          </cell>
          <cell r="AB58">
            <v>-115.64858476170801</v>
          </cell>
          <cell r="AC58">
            <v>-129.1442822032673</v>
          </cell>
          <cell r="AD58">
            <v>-33.068289151153301</v>
          </cell>
          <cell r="AE58">
            <v>-30.342485462973595</v>
          </cell>
          <cell r="AF58">
            <v>-28.970428886623456</v>
          </cell>
          <cell r="AG58">
            <v>-28.217394167805843</v>
          </cell>
          <cell r="AH58">
            <v>-27.679557031842524</v>
          </cell>
          <cell r="AI58">
            <v>-27.699324193863642</v>
          </cell>
          <cell r="AJ58">
            <v>-27.896835078358585</v>
          </cell>
          <cell r="AK58">
            <v>-28.360974639328933</v>
          </cell>
          <cell r="AL58">
            <v>-28.511440411377482</v>
          </cell>
          <cell r="AM58">
            <v>-28.667523751010567</v>
          </cell>
        </row>
        <row r="59">
          <cell r="D59">
            <v>4981.2434596194225</v>
          </cell>
          <cell r="E59">
            <v>5324.3847851714308</v>
          </cell>
          <cell r="F59">
            <v>5168.0381392096142</v>
          </cell>
          <cell r="G59">
            <v>5181.5401402590032</v>
          </cell>
          <cell r="H59">
            <v>4986.7006079778494</v>
          </cell>
          <cell r="I59">
            <v>4105.913391734005</v>
          </cell>
          <cell r="J59">
            <v>4807.4327328152694</v>
          </cell>
          <cell r="K59">
            <v>5706.0959246077246</v>
          </cell>
          <cell r="L59">
            <v>5096.186115980986</v>
          </cell>
          <cell r="M59">
            <v>5420.8647033032539</v>
          </cell>
          <cell r="N59">
            <v>5736.3981059843163</v>
          </cell>
          <cell r="O59">
            <v>6336.9865727706674</v>
          </cell>
          <cell r="P59">
            <v>6700.7782386912641</v>
          </cell>
          <cell r="Q59">
            <v>10214.951417053473</v>
          </cell>
          <cell r="R59">
            <v>11046.20476456886</v>
          </cell>
          <cell r="S59">
            <v>11530.916631715958</v>
          </cell>
          <cell r="T59">
            <v>11980.018147572302</v>
          </cell>
          <cell r="U59">
            <v>12845.797413071823</v>
          </cell>
          <cell r="V59">
            <v>13488.435499147567</v>
          </cell>
          <cell r="W59">
            <v>13385.498367080339</v>
          </cell>
          <cell r="X59">
            <v>13881.864602477028</v>
          </cell>
          <cell r="Y59">
            <v>14175.284833705888</v>
          </cell>
          <cell r="Z59">
            <v>15490.128179374318</v>
          </cell>
          <cell r="AA59">
            <v>16772.63895318755</v>
          </cell>
          <cell r="AB59">
            <v>17592.141352949169</v>
          </cell>
          <cell r="AC59">
            <v>17981.165823333817</v>
          </cell>
          <cell r="AD59">
            <v>18668.280118189225</v>
          </cell>
          <cell r="AE59">
            <v>19938.24952156928</v>
          </cell>
          <cell r="AF59">
            <v>20800.647761491677</v>
          </cell>
          <cell r="AG59">
            <v>22157.286617849597</v>
          </cell>
          <cell r="AH59">
            <v>23754.046055726882</v>
          </cell>
          <cell r="AI59">
            <v>25618.391708385483</v>
          </cell>
          <cell r="AJ59">
            <v>27831.016948399247</v>
          </cell>
          <cell r="AK59">
            <v>30231.181979759906</v>
          </cell>
          <cell r="AL59">
            <v>32274.65799118904</v>
          </cell>
          <cell r="AM59">
            <v>34669.830889513119</v>
          </cell>
        </row>
      </sheetData>
      <sheetData sheetId="16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6">
          <cell r="D6">
            <v>1758.4115960267945</v>
          </cell>
          <cell r="E6">
            <v>1806.7894059813016</v>
          </cell>
          <cell r="F6">
            <v>2071.7978424367348</v>
          </cell>
          <cell r="G6">
            <v>2264.6758041718499</v>
          </cell>
          <cell r="H6">
            <v>2510.3793129142014</v>
          </cell>
          <cell r="I6">
            <v>3113.8429876755822</v>
          </cell>
          <cell r="J6">
            <v>3615.2980265350166</v>
          </cell>
          <cell r="K6">
            <v>4100.6711277122304</v>
          </cell>
          <cell r="L6">
            <v>5013.9276438178667</v>
          </cell>
          <cell r="M6">
            <v>5909.4450001841587</v>
          </cell>
          <cell r="N6">
            <v>6317</v>
          </cell>
          <cell r="O6">
            <v>7130</v>
          </cell>
          <cell r="P6">
            <v>8354</v>
          </cell>
          <cell r="Q6">
            <v>9302</v>
          </cell>
          <cell r="R6">
            <v>11547</v>
          </cell>
          <cell r="S6">
            <v>12706</v>
          </cell>
          <cell r="T6">
            <v>15012</v>
          </cell>
          <cell r="U6">
            <v>16751</v>
          </cell>
          <cell r="V6">
            <v>18788</v>
          </cell>
          <cell r="W6">
            <v>20684</v>
          </cell>
          <cell r="X6">
            <v>23690</v>
          </cell>
          <cell r="Y6">
            <v>27687</v>
          </cell>
          <cell r="Z6">
            <v>32908</v>
          </cell>
          <cell r="AA6">
            <v>33842</v>
          </cell>
          <cell r="AB6">
            <v>36184</v>
          </cell>
          <cell r="AC6">
            <v>38560</v>
          </cell>
          <cell r="AD6">
            <v>42568.230889327264</v>
          </cell>
          <cell r="AE6">
            <v>48302.323811945986</v>
          </cell>
          <cell r="AF6">
            <v>52716.277609878809</v>
          </cell>
          <cell r="AG6">
            <v>58959.642367030297</v>
          </cell>
          <cell r="AH6">
            <v>66173.670894932147</v>
          </cell>
          <cell r="AI6">
            <v>74480.971683774551</v>
          </cell>
          <cell r="AJ6">
            <v>84046.599449190442</v>
          </cell>
          <cell r="AK6">
            <v>94724.059056605562</v>
          </cell>
          <cell r="AL6">
            <v>105124.34931340227</v>
          </cell>
          <cell r="AM6">
            <v>116920.70009462189</v>
          </cell>
        </row>
        <row r="7">
          <cell r="D7">
            <v>0.46311559324847884</v>
          </cell>
          <cell r="E7">
            <v>0.36269016857266939</v>
          </cell>
          <cell r="F7">
            <v>0.33018978947864447</v>
          </cell>
          <cell r="G7">
            <v>0.30879596610159438</v>
          </cell>
          <cell r="H7">
            <v>0.30288034057184182</v>
          </cell>
          <cell r="I7">
            <v>0.3587372876905674</v>
          </cell>
          <cell r="J7">
            <v>0.34902293176250843</v>
          </cell>
          <cell r="K7">
            <v>0.31043535882550644</v>
          </cell>
          <cell r="L7">
            <v>0.33929457583527811</v>
          </cell>
          <cell r="M7">
            <v>0.33581430122372413</v>
          </cell>
          <cell r="N7">
            <v>0.27323096406522085</v>
          </cell>
          <cell r="O7">
            <v>0.26325385694249648</v>
          </cell>
          <cell r="P7">
            <v>0.21307158247546085</v>
          </cell>
          <cell r="Q7">
            <v>0.17275854654912923</v>
          </cell>
          <cell r="R7">
            <v>0.22239542738373602</v>
          </cell>
          <cell r="S7">
            <v>0.19053990240831103</v>
          </cell>
          <cell r="T7">
            <v>0.20909938715694112</v>
          </cell>
          <cell r="U7">
            <v>0.20046564384215868</v>
          </cell>
          <cell r="V7">
            <v>0.1955503512880562</v>
          </cell>
          <cell r="W7">
            <v>0.19440146973506092</v>
          </cell>
          <cell r="X7">
            <v>0.20907555930772478</v>
          </cell>
          <cell r="Y7">
            <v>0.22552100263661645</v>
          </cell>
          <cell r="Z7">
            <v>0.23881730886106722</v>
          </cell>
          <cell r="AA7">
            <v>0.19342828438035578</v>
          </cell>
          <cell r="AB7">
            <v>0.19094074729162061</v>
          </cell>
          <cell r="AC7">
            <v>0.19805497925311202</v>
          </cell>
          <cell r="AD7">
            <v>0.20904110207671484</v>
          </cell>
          <cell r="AE7">
            <v>0.20733878384486545</v>
          </cell>
          <cell r="AF7">
            <v>0.20669363278228584</v>
          </cell>
          <cell r="AG7">
            <v>0.2049911228002263</v>
          </cell>
          <cell r="AH7">
            <v>0.20241348651981061</v>
          </cell>
          <cell r="AI7">
            <v>0.20028514336013548</v>
          </cell>
          <cell r="AJ7">
            <v>0.19786500242455779</v>
          </cell>
          <cell r="AK7">
            <v>0.19593132682375294</v>
          </cell>
          <cell r="AL7">
            <v>0.19728039747799181</v>
          </cell>
          <cell r="AM7">
            <v>0.19849618032321328</v>
          </cell>
        </row>
        <row r="8">
          <cell r="D8">
            <v>0.14593483343932959</v>
          </cell>
          <cell r="E8">
            <v>0.17293945193625576</v>
          </cell>
          <cell r="F8">
            <v>0.16767627121098055</v>
          </cell>
          <cell r="G8">
            <v>0.1681942070515304</v>
          </cell>
          <cell r="H8">
            <v>0.15509560394405858</v>
          </cell>
          <cell r="I8">
            <v>0.14302841083886203</v>
          </cell>
          <cell r="J8">
            <v>0.13871944777393194</v>
          </cell>
          <cell r="K8">
            <v>0.14406603595889861</v>
          </cell>
          <cell r="L8">
            <v>0.14246076712432848</v>
          </cell>
          <cell r="M8">
            <v>0.14135194825988365</v>
          </cell>
          <cell r="N8">
            <v>0.1583029919265474</v>
          </cell>
          <cell r="O8">
            <v>0.14810659186535766</v>
          </cell>
          <cell r="P8">
            <v>0.16363418721570505</v>
          </cell>
          <cell r="Q8">
            <v>0.17114599010965384</v>
          </cell>
          <cell r="R8">
            <v>0.16471810859963626</v>
          </cell>
          <cell r="S8">
            <v>0.1637808909176767</v>
          </cell>
          <cell r="T8">
            <v>0.13962163602451372</v>
          </cell>
          <cell r="U8">
            <v>0.1459614351382007</v>
          </cell>
          <cell r="V8">
            <v>0.16074089844581649</v>
          </cell>
          <cell r="W8">
            <v>0.14972925933088377</v>
          </cell>
          <cell r="X8">
            <v>0.14554664415365132</v>
          </cell>
          <cell r="Y8">
            <v>0.14494166937551919</v>
          </cell>
          <cell r="Z8">
            <v>0.14841375957214051</v>
          </cell>
          <cell r="AA8">
            <v>0.17436912712014657</v>
          </cell>
          <cell r="AB8">
            <v>0.17460756135308422</v>
          </cell>
          <cell r="AC8">
            <v>0.17406639004149377</v>
          </cell>
          <cell r="AD8">
            <v>0.17253855310249086</v>
          </cell>
          <cell r="AE8">
            <v>0.16898213881262003</v>
          </cell>
          <cell r="AF8">
            <v>0.17682145593746659</v>
          </cell>
          <cell r="AG8">
            <v>0.17779030517743044</v>
          </cell>
          <cell r="AH8">
            <v>0.18213410073055558</v>
          </cell>
          <cell r="AI8">
            <v>0.1865510291123319</v>
          </cell>
          <cell r="AJ8">
            <v>0.1911376526276953</v>
          </cell>
          <cell r="AK8">
            <v>0.19641908340084566</v>
          </cell>
          <cell r="AL8">
            <v>0.19826601144771555</v>
          </cell>
          <cell r="AM8">
            <v>0.20004604149259844</v>
          </cell>
        </row>
        <row r="9">
          <cell r="D9">
            <v>0.29938966756328367</v>
          </cell>
          <cell r="E9">
            <v>0.36917389481466428</v>
          </cell>
          <cell r="F9">
            <v>0.40125537108376375</v>
          </cell>
          <cell r="G9">
            <v>0.42454098658761924</v>
          </cell>
          <cell r="H9">
            <v>0.44363254997361673</v>
          </cell>
          <cell r="I9">
            <v>0.404138355991085</v>
          </cell>
          <cell r="J9">
            <v>0.40714872011539094</v>
          </cell>
          <cell r="K9">
            <v>0.43819909586784667</v>
          </cell>
          <cell r="L9">
            <v>0.40555854743994063</v>
          </cell>
          <cell r="M9">
            <v>0.40065645637497965</v>
          </cell>
          <cell r="N9">
            <v>0.46089823301627919</v>
          </cell>
          <cell r="O9">
            <v>0.49282776528686845</v>
          </cell>
          <cell r="P9">
            <v>0.51740070624850365</v>
          </cell>
          <cell r="Q9">
            <v>0.56063212212427438</v>
          </cell>
          <cell r="R9">
            <v>0.51545856066510787</v>
          </cell>
          <cell r="S9">
            <v>0.53974500236108924</v>
          </cell>
          <cell r="T9">
            <v>0.55508926192379426</v>
          </cell>
          <cell r="U9">
            <v>0.55853381887648501</v>
          </cell>
          <cell r="V9">
            <v>0.54678518203108362</v>
          </cell>
          <cell r="W9">
            <v>0.54979694449816285</v>
          </cell>
          <cell r="X9">
            <v>0.55905445335584636</v>
          </cell>
          <cell r="Y9">
            <v>0.5413732076425759</v>
          </cell>
          <cell r="Z9">
            <v>0.52762246262307033</v>
          </cell>
          <cell r="AA9">
            <v>0.56651498138407896</v>
          </cell>
          <cell r="AB9">
            <v>0.55596396197214237</v>
          </cell>
          <cell r="AC9">
            <v>0.54587655601659746</v>
          </cell>
          <cell r="AD9">
            <v>0.54676668156967567</v>
          </cell>
          <cell r="AE9">
            <v>0.53238813281992992</v>
          </cell>
          <cell r="AF9">
            <v>0.53911867837834559</v>
          </cell>
          <cell r="AG9">
            <v>0.53394937017197985</v>
          </cell>
          <cell r="AH9">
            <v>0.52207652802265592</v>
          </cell>
          <cell r="AI9">
            <v>0.50852079824940577</v>
          </cell>
          <cell r="AJ9">
            <v>0.49338752800340335</v>
          </cell>
          <cell r="AK9">
            <v>0.47917697401143916</v>
          </cell>
          <cell r="AL9">
            <v>0.47260828604831429</v>
          </cell>
          <cell r="AM9">
            <v>0.46463551735489922</v>
          </cell>
        </row>
        <row r="10">
          <cell r="D10">
            <v>9.1559905748907891E-2</v>
          </cell>
          <cell r="E10">
            <v>9.5196484676410606E-2</v>
          </cell>
          <cell r="F10">
            <v>0.10087856822661119</v>
          </cell>
          <cell r="G10">
            <v>9.8468840259255994E-2</v>
          </cell>
          <cell r="H10">
            <v>9.8391505510482938E-2</v>
          </cell>
          <cell r="I10">
            <v>9.4095945479485563E-2</v>
          </cell>
          <cell r="J10">
            <v>0.10510890034816869</v>
          </cell>
          <cell r="K10">
            <v>0.10729950934774829</v>
          </cell>
          <cell r="L10">
            <v>0.11268610960045276</v>
          </cell>
          <cell r="M10">
            <v>0.1221772941414126</v>
          </cell>
          <cell r="N10">
            <v>0.13265790723444673</v>
          </cell>
          <cell r="O10">
            <v>0.12720897615708274</v>
          </cell>
          <cell r="P10">
            <v>0.13634187215705051</v>
          </cell>
          <cell r="Q10">
            <v>0.10535368737905827</v>
          </cell>
          <cell r="R10">
            <v>0.10496232787737074</v>
          </cell>
          <cell r="S10">
            <v>0.11451282858492051</v>
          </cell>
          <cell r="T10">
            <v>0.10698108180122569</v>
          </cell>
          <cell r="U10">
            <v>0.10751596919586891</v>
          </cell>
          <cell r="V10">
            <v>0.10842026825633383</v>
          </cell>
          <cell r="W10">
            <v>0.11859408238251788</v>
          </cell>
          <cell r="X10">
            <v>9.7847192908400174E-2</v>
          </cell>
          <cell r="Y10">
            <v>0.10008307147758876</v>
          </cell>
          <cell r="Z10">
            <v>9.6055670353713388E-2</v>
          </cell>
          <cell r="AA10">
            <v>7.845281011760534E-2</v>
          </cell>
          <cell r="AB10">
            <v>8.9376520008843691E-2</v>
          </cell>
          <cell r="AC10">
            <v>9.3516597510373445E-2</v>
          </cell>
          <cell r="AD10">
            <v>8.3565188976438678E-2</v>
          </cell>
          <cell r="AE10">
            <v>0.1032773647065546</v>
          </cell>
          <cell r="AF10">
            <v>8.9982643125028974E-2</v>
          </cell>
          <cell r="AG10">
            <v>9.622752221339527E-2</v>
          </cell>
          <cell r="AH10">
            <v>0.10663887164037121</v>
          </cell>
          <cell r="AI10">
            <v>0.11817946263979774</v>
          </cell>
          <cell r="AJ10">
            <v>0.13138991957742763</v>
          </cell>
          <cell r="AK10">
            <v>0.14251805463287889</v>
          </cell>
          <cell r="AL10">
            <v>0.14638366132901265</v>
          </cell>
          <cell r="AM10">
            <v>0.15183812174281763</v>
          </cell>
        </row>
        <row r="12">
          <cell r="D12">
            <v>6065.4019462439737</v>
          </cell>
          <cell r="E12">
            <v>6150.051627757075</v>
          </cell>
          <cell r="F12">
            <v>6092.961958674975</v>
          </cell>
          <cell r="G12">
            <v>5951.1097331544388</v>
          </cell>
          <cell r="H12">
            <v>5946.2873806346306</v>
          </cell>
          <cell r="I12">
            <v>5906.8678326009431</v>
          </cell>
          <cell r="J12">
            <v>6213.3221962067682</v>
          </cell>
          <cell r="K12">
            <v>6433.9272366963478</v>
          </cell>
          <cell r="L12">
            <v>6460.048662268804</v>
          </cell>
          <cell r="M12">
            <v>6563.6211835054128</v>
          </cell>
          <cell r="N12">
            <v>6480.2133333333331</v>
          </cell>
          <cell r="O12">
            <v>6970.4143589743589</v>
          </cell>
          <cell r="P12">
            <v>7458.4307692307693</v>
          </cell>
          <cell r="Q12">
            <v>11372</v>
          </cell>
          <cell r="R12">
            <v>12204</v>
          </cell>
          <cell r="S12">
            <v>12706</v>
          </cell>
          <cell r="T12">
            <v>13111</v>
          </cell>
          <cell r="U12">
            <v>13665</v>
          </cell>
          <cell r="V12">
            <v>14115</v>
          </cell>
          <cell r="W12">
            <v>14590</v>
          </cell>
          <cell r="X12">
            <v>15100</v>
          </cell>
          <cell r="Y12">
            <v>15462</v>
          </cell>
          <cell r="Z12">
            <v>16494</v>
          </cell>
          <cell r="AA12">
            <v>17069</v>
          </cell>
          <cell r="AB12">
            <v>18193</v>
          </cell>
          <cell r="AC12">
            <v>18949</v>
          </cell>
          <cell r="AD12">
            <v>19532.753148079635</v>
          </cell>
          <cell r="AE12">
            <v>20751.812821551692</v>
          </cell>
          <cell r="AF12">
            <v>21569.046001459785</v>
          </cell>
          <cell r="AG12">
            <v>22898.22609341424</v>
          </cell>
          <cell r="AH12">
            <v>24461.41868814364</v>
          </cell>
          <cell r="AI12">
            <v>26298.363617034207</v>
          </cell>
          <cell r="AJ12">
            <v>28482.821034775538</v>
          </cell>
          <cell r="AK12">
            <v>30859.376745907295</v>
          </cell>
          <cell r="AL12">
            <v>32874.152689608731</v>
          </cell>
          <cell r="AM12">
            <v>35244.641117428553</v>
          </cell>
        </row>
        <row r="13">
          <cell r="D13">
            <v>5954.5974825026551</v>
          </cell>
          <cell r="E13">
            <v>5861.8453979559554</v>
          </cell>
          <cell r="F13">
            <v>5638.2826099515587</v>
          </cell>
          <cell r="G13">
            <v>5346.6173999672928</v>
          </cell>
          <cell r="H13">
            <v>5186.6843540589161</v>
          </cell>
          <cell r="I13">
            <v>5002.2334175019669</v>
          </cell>
          <cell r="J13">
            <v>5108.499436404777</v>
          </cell>
          <cell r="K13">
            <v>5135.8034568995399</v>
          </cell>
          <cell r="L13">
            <v>5006.4607420290358</v>
          </cell>
          <cell r="M13">
            <v>4938.5710795386731</v>
          </cell>
          <cell r="N13">
            <v>4733.7997189582165</v>
          </cell>
          <cell r="O13">
            <v>4943.5843316659666</v>
          </cell>
          <cell r="P13">
            <v>5153.4674740085302</v>
          </cell>
          <cell r="Q13">
            <v>7655.2195829403763</v>
          </cell>
          <cell r="R13">
            <v>8003.7170248691727</v>
          </cell>
          <cell r="S13">
            <v>8118.3375101853053</v>
          </cell>
          <cell r="T13">
            <v>8161.3648659545315</v>
          </cell>
          <cell r="U13">
            <v>8287.1526328958062</v>
          </cell>
          <cell r="V13">
            <v>8339.601701285319</v>
          </cell>
          <cell r="W13">
            <v>8398.2431371427283</v>
          </cell>
          <cell r="X13">
            <v>8467.9605126396455</v>
          </cell>
          <cell r="Y13">
            <v>8447.6569798888722</v>
          </cell>
          <cell r="Z13">
            <v>8860.8551930775993</v>
          </cell>
          <cell r="AA13">
            <v>9016.4748261393088</v>
          </cell>
          <cell r="AB13">
            <v>9449.5703517645961</v>
          </cell>
          <cell r="AC13">
            <v>9668.2141394214486</v>
          </cell>
          <cell r="AD13">
            <v>9789.8412338574999</v>
          </cell>
          <cell r="AE13">
            <v>10216.930770823994</v>
          </cell>
          <cell r="AF13">
            <v>10421.28233055553</v>
          </cell>
          <cell r="AG13">
            <v>10857.201058408969</v>
          </cell>
          <cell r="AH13">
            <v>11382.128867255313</v>
          </cell>
          <cell r="AI13">
            <v>12008.711159080234</v>
          </cell>
          <cell r="AJ13">
            <v>12763.697128646618</v>
          </cell>
          <cell r="AK13">
            <v>13570.831421538107</v>
          </cell>
          <cell r="AL13">
            <v>14187.297935836894</v>
          </cell>
          <cell r="AM13">
            <v>14926.707747705397</v>
          </cell>
        </row>
        <row r="14">
          <cell r="D14">
            <v>3476.9823834598674</v>
          </cell>
          <cell r="E14">
            <v>4468.4029555371353</v>
          </cell>
          <cell r="F14">
            <v>4418.9266289148018</v>
          </cell>
          <cell r="G14">
            <v>4554.6384347241128</v>
          </cell>
          <cell r="H14">
            <v>4561.1316708567329</v>
          </cell>
          <cell r="I14">
            <v>4117.1220018159747</v>
          </cell>
          <cell r="J14">
            <v>4257.4604161513826</v>
          </cell>
          <cell r="K14">
            <v>4642.4974201405685</v>
          </cell>
          <cell r="L14">
            <v>4339.9626165810223</v>
          </cell>
          <cell r="M14">
            <v>4297.7200243843427</v>
          </cell>
          <cell r="N14">
            <v>4115.3612822335017</v>
          </cell>
          <cell r="O14">
            <v>3943.8417959999965</v>
          </cell>
          <cell r="P14">
            <v>3863.9882824062647</v>
          </cell>
          <cell r="Q14">
            <v>6912.7198291606328</v>
          </cell>
          <cell r="R14">
            <v>6554.3385731352437</v>
          </cell>
          <cell r="S14">
            <v>6857.0752525821417</v>
          </cell>
          <cell r="T14">
            <v>7206.4770843685155</v>
          </cell>
          <cell r="U14">
            <v>7812.3015160602845</v>
          </cell>
          <cell r="V14">
            <v>7704.4566903833193</v>
          </cell>
          <cell r="W14">
            <v>7794.4215435263659</v>
          </cell>
          <cell r="X14">
            <v>7749.0250571956694</v>
          </cell>
          <cell r="Y14">
            <v>7782.2032092573472</v>
          </cell>
          <cell r="Z14">
            <v>7912.1301857431126</v>
          </cell>
          <cell r="AA14">
            <v>6498.3697528364737</v>
          </cell>
          <cell r="AB14">
            <v>7387.5248234567052</v>
          </cell>
          <cell r="AC14">
            <v>7417.6208327040495</v>
          </cell>
          <cell r="AD14">
            <v>7206.8297979343542</v>
          </cell>
          <cell r="AE14">
            <v>7933.6047133445536</v>
          </cell>
          <cell r="AF14">
            <v>8042.5827625202519</v>
          </cell>
          <cell r="AG14">
            <v>8540.1241374894798</v>
          </cell>
          <cell r="AH14">
            <v>9135.9510295559921</v>
          </cell>
          <cell r="AI14">
            <v>9834.9502225583274</v>
          </cell>
          <cell r="AJ14">
            <v>10761.527372433422</v>
          </cell>
          <cell r="AK14">
            <v>12082.834041160679</v>
          </cell>
          <cell r="AL14">
            <v>13501.244397221973</v>
          </cell>
          <cell r="AM14">
            <v>15672.40515408128</v>
          </cell>
        </row>
        <row r="16">
          <cell r="D16">
            <v>17.975849788889107</v>
          </cell>
          <cell r="E16">
            <v>20.636275557644694</v>
          </cell>
          <cell r="F16">
            <v>23.772989442406686</v>
          </cell>
          <cell r="G16">
            <v>26.673294154380301</v>
          </cell>
          <cell r="H16">
            <v>29.100563922428908</v>
          </cell>
          <cell r="I16">
            <v>32.563531029197947</v>
          </cell>
          <cell r="J16">
            <v>36.927044187110461</v>
          </cell>
          <cell r="K16">
            <v>41.579851754686374</v>
          </cell>
          <cell r="L16">
            <v>46.902072779286236</v>
          </cell>
          <cell r="M16">
            <v>54.03118784173774</v>
          </cell>
          <cell r="N16">
            <v>60.514930382746272</v>
          </cell>
          <cell r="O16">
            <v>67.716207098293083</v>
          </cell>
          <cell r="P16">
            <v>75.639003328793365</v>
          </cell>
          <cell r="Q16">
            <v>82.068318611740793</v>
          </cell>
          <cell r="R16">
            <v>90.901274134292194</v>
          </cell>
          <cell r="S16">
            <v>100</v>
          </cell>
          <cell r="T16">
            <v>108.00437739388727</v>
          </cell>
          <cell r="U16">
            <v>117.53237447562468</v>
          </cell>
          <cell r="V16">
            <v>124.829333750228</v>
          </cell>
          <cell r="W16">
            <v>135.53766382657182</v>
          </cell>
          <cell r="X16">
            <v>148.09661533651212</v>
          </cell>
          <cell r="Y16">
            <v>161.81900486356511</v>
          </cell>
          <cell r="Z16">
            <v>180.75511441057864</v>
          </cell>
          <cell r="AA16">
            <v>193.68318358894959</v>
          </cell>
          <cell r="AB16">
            <v>201.71425686642243</v>
          </cell>
          <cell r="AC16">
            <v>206.4</v>
          </cell>
          <cell r="AD16">
            <v>216.10079999999999</v>
          </cell>
          <cell r="AE16">
            <v>226.90584000000001</v>
          </cell>
          <cell r="AF16">
            <v>235.98207360000001</v>
          </cell>
          <cell r="AG16">
            <v>245.42135654400005</v>
          </cell>
          <cell r="AH16">
            <v>256.46531758848005</v>
          </cell>
          <cell r="AI16">
            <v>268.0062568799616</v>
          </cell>
          <cell r="AJ16">
            <v>280.06653843955991</v>
          </cell>
          <cell r="AK16">
            <v>292.66953266934007</v>
          </cell>
          <cell r="AL16">
            <v>305.83966163946036</v>
          </cell>
          <cell r="AM16">
            <v>319.60244641323607</v>
          </cell>
        </row>
        <row r="18">
          <cell r="D18">
            <v>830.73215867399153</v>
          </cell>
          <cell r="E18">
            <v>530.52730552005505</v>
          </cell>
          <cell r="F18">
            <v>448.03218599189859</v>
          </cell>
          <cell r="G18">
            <v>479.27419263554839</v>
          </cell>
          <cell r="H18">
            <v>406.87945945152296</v>
          </cell>
          <cell r="I18">
            <v>547.12998229964933</v>
          </cell>
          <cell r="J18">
            <v>693.58191219699211</v>
          </cell>
          <cell r="K18">
            <v>478.80433141061167</v>
          </cell>
          <cell r="L18">
            <v>636.73840681795264</v>
          </cell>
          <cell r="M18">
            <v>1116.9178279089983</v>
          </cell>
          <cell r="N18">
            <v>1063.8638526642189</v>
          </cell>
          <cell r="O18">
            <v>1457.3766882162563</v>
          </cell>
          <cell r="P18">
            <v>1571.5867226971241</v>
          </cell>
          <cell r="Q18">
            <v>1449.991</v>
          </cell>
          <cell r="R18">
            <v>3375.0609999999997</v>
          </cell>
          <cell r="S18">
            <v>3936.9570000000003</v>
          </cell>
          <cell r="T18">
            <v>4304.3459999999995</v>
          </cell>
          <cell r="U18">
            <v>3900.2379999999976</v>
          </cell>
          <cell r="V18">
            <v>5238</v>
          </cell>
          <cell r="W18">
            <v>4973</v>
          </cell>
          <cell r="X18">
            <v>6531</v>
          </cell>
          <cell r="Y18">
            <v>7621</v>
          </cell>
          <cell r="Z18">
            <v>8803</v>
          </cell>
          <cell r="AA18">
            <v>12407</v>
          </cell>
          <cell r="AB18">
            <v>12124.895333</v>
          </cell>
          <cell r="AC18">
            <v>12133</v>
          </cell>
          <cell r="AD18">
            <v>17957.730398075895</v>
          </cell>
          <cell r="AE18">
            <v>17332.182716987329</v>
          </cell>
          <cell r="AF18">
            <v>18565.227291377916</v>
          </cell>
          <cell r="AG18">
            <v>18434.463424327063</v>
          </cell>
          <cell r="AH18">
            <v>17568.08208196333</v>
          </cell>
          <cell r="AI18">
            <v>16684.140409239197</v>
          </cell>
          <cell r="AJ18">
            <v>13958.144465063728</v>
          </cell>
          <cell r="AK18">
            <v>8867.7679459847132</v>
          </cell>
          <cell r="AL18">
            <v>754.09061124536674</v>
          </cell>
          <cell r="AM18">
            <v>-13912.665490749074</v>
          </cell>
        </row>
        <row r="20">
          <cell r="D20">
            <v>1951.13173048009</v>
          </cell>
          <cell r="E20">
            <v>1802.50867588253</v>
          </cell>
          <cell r="F20">
            <v>1208.3427038869199</v>
          </cell>
          <cell r="G20">
            <v>1140.5387714256001</v>
          </cell>
          <cell r="H20">
            <v>933.626440275356</v>
          </cell>
          <cell r="I20">
            <v>637.23859259721007</v>
          </cell>
          <cell r="J20">
            <v>434.47836501925599</v>
          </cell>
          <cell r="K20">
            <v>921.61366439345295</v>
          </cell>
          <cell r="L20">
            <v>1201.681955365556</v>
          </cell>
          <cell r="M20">
            <v>1084.6558283750999</v>
          </cell>
          <cell r="N20">
            <v>1730.5953866741302</v>
          </cell>
          <cell r="O20">
            <v>1104.628977348732</v>
          </cell>
          <cell r="P20">
            <v>1524.21751809532</v>
          </cell>
          <cell r="Q20">
            <v>1419</v>
          </cell>
          <cell r="R20">
            <v>2951</v>
          </cell>
          <cell r="S20">
            <v>2757</v>
          </cell>
          <cell r="T20">
            <v>3257</v>
          </cell>
          <cell r="U20">
            <v>2958</v>
          </cell>
          <cell r="V20">
            <v>3944</v>
          </cell>
          <cell r="W20">
            <v>3769</v>
          </cell>
          <cell r="X20">
            <v>3575</v>
          </cell>
          <cell r="Y20">
            <v>4508</v>
          </cell>
          <cell r="Z20">
            <v>4635</v>
          </cell>
          <cell r="AA20">
            <v>6019</v>
          </cell>
          <cell r="AB20">
            <v>5536</v>
          </cell>
          <cell r="AC20">
            <v>6156</v>
          </cell>
          <cell r="AD20">
            <v>6392.3698903450759</v>
          </cell>
          <cell r="AE20">
            <v>6433.0619746810244</v>
          </cell>
          <cell r="AF20">
            <v>6902.0947204671311</v>
          </cell>
          <cell r="AG20">
            <v>7556.4146108266996</v>
          </cell>
          <cell r="AH20">
            <v>8072.2681670874017</v>
          </cell>
          <cell r="AI20">
            <v>8678.459993621289</v>
          </cell>
          <cell r="AJ20">
            <v>9399.3309414759278</v>
          </cell>
          <cell r="AK20">
            <v>10183.594326149409</v>
          </cell>
          <cell r="AL20">
            <v>10848.470387570882</v>
          </cell>
          <cell r="AM20">
            <v>11630.731568751424</v>
          </cell>
        </row>
        <row r="21">
          <cell r="D21">
            <v>814</v>
          </cell>
          <cell r="E21">
            <v>685</v>
          </cell>
          <cell r="F21">
            <v>609</v>
          </cell>
          <cell r="G21">
            <v>453</v>
          </cell>
          <cell r="H21">
            <v>389</v>
          </cell>
          <cell r="I21">
            <v>438</v>
          </cell>
          <cell r="J21">
            <v>369</v>
          </cell>
          <cell r="K21">
            <v>369</v>
          </cell>
          <cell r="L21">
            <v>354</v>
          </cell>
          <cell r="M21">
            <v>299</v>
          </cell>
          <cell r="N21">
            <v>384</v>
          </cell>
          <cell r="O21">
            <v>341</v>
          </cell>
          <cell r="P21">
            <v>443</v>
          </cell>
          <cell r="Q21">
            <v>615</v>
          </cell>
          <cell r="R21">
            <v>876</v>
          </cell>
          <cell r="S21">
            <v>694</v>
          </cell>
          <cell r="T21">
            <v>666</v>
          </cell>
          <cell r="U21">
            <v>715</v>
          </cell>
          <cell r="V21">
            <v>658</v>
          </cell>
          <cell r="W21">
            <v>718</v>
          </cell>
          <cell r="X21">
            <v>700</v>
          </cell>
          <cell r="Y21">
            <v>731</v>
          </cell>
          <cell r="Z21">
            <v>660</v>
          </cell>
          <cell r="AA21">
            <v>588</v>
          </cell>
          <cell r="AB21">
            <v>707</v>
          </cell>
          <cell r="AC21">
            <v>795</v>
          </cell>
          <cell r="AD21">
            <v>745.20204640591533</v>
          </cell>
          <cell r="AE21">
            <v>745.58663664747951</v>
          </cell>
          <cell r="AF21">
            <v>792.41043175626476</v>
          </cell>
          <cell r="AG21">
            <v>864.68159878988763</v>
          </cell>
          <cell r="AH21">
            <v>951.73678985144818</v>
          </cell>
          <cell r="AI21">
            <v>1053.3983894479634</v>
          </cell>
          <cell r="AJ21">
            <v>1172.7078842964709</v>
          </cell>
          <cell r="AK21">
            <v>1301.880477406512</v>
          </cell>
          <cell r="AL21">
            <v>1428.6308608807783</v>
          </cell>
          <cell r="AM21">
            <v>1554.915145608818</v>
          </cell>
        </row>
        <row r="22">
          <cell r="D22">
            <v>1137.13173048009</v>
          </cell>
          <cell r="E22">
            <v>1117.50867588253</v>
          </cell>
          <cell r="F22">
            <v>599.34270388691994</v>
          </cell>
          <cell r="G22">
            <v>687.53877142560009</v>
          </cell>
          <cell r="H22">
            <v>544.626440275356</v>
          </cell>
          <cell r="I22">
            <v>199.23859259721007</v>
          </cell>
          <cell r="J22">
            <v>65.478365019255989</v>
          </cell>
          <cell r="K22">
            <v>552.61366439345295</v>
          </cell>
          <cell r="L22">
            <v>847.68195536555595</v>
          </cell>
          <cell r="M22">
            <v>785.65582837509987</v>
          </cell>
          <cell r="N22">
            <v>1346.5953866741302</v>
          </cell>
          <cell r="O22">
            <v>763.62897734873195</v>
          </cell>
          <cell r="P22">
            <v>1081.21751809532</v>
          </cell>
          <cell r="Q22">
            <v>804</v>
          </cell>
          <cell r="R22">
            <v>2075</v>
          </cell>
          <cell r="S22">
            <v>2063</v>
          </cell>
          <cell r="T22">
            <v>2591</v>
          </cell>
          <cell r="U22">
            <v>2243</v>
          </cell>
          <cell r="V22">
            <v>3286</v>
          </cell>
          <cell r="W22">
            <v>3051</v>
          </cell>
          <cell r="X22">
            <v>2875</v>
          </cell>
          <cell r="Y22">
            <v>3777</v>
          </cell>
          <cell r="Z22">
            <v>3975</v>
          </cell>
          <cell r="AA22">
            <v>5431</v>
          </cell>
          <cell r="AB22">
            <v>4829</v>
          </cell>
          <cell r="AC22">
            <v>5361</v>
          </cell>
          <cell r="AD22">
            <v>5647.1678439391608</v>
          </cell>
          <cell r="AE22">
            <v>5687.4753380335451</v>
          </cell>
          <cell r="AF22">
            <v>6109.684288710866</v>
          </cell>
          <cell r="AG22">
            <v>6691.7330120368115</v>
          </cell>
          <cell r="AH22">
            <v>7120.5313772359532</v>
          </cell>
          <cell r="AI22">
            <v>7625.0616041733256</v>
          </cell>
          <cell r="AJ22">
            <v>8226.6230571794567</v>
          </cell>
          <cell r="AK22">
            <v>8881.7138487428965</v>
          </cell>
          <cell r="AL22">
            <v>9419.8395266901043</v>
          </cell>
          <cell r="AM22">
            <v>10075.816423142605</v>
          </cell>
        </row>
        <row r="24">
          <cell r="N24">
            <v>1444.6894362500002</v>
          </cell>
          <cell r="O24">
            <v>2679.7574557500002</v>
          </cell>
          <cell r="P24">
            <v>3053.8936757499996</v>
          </cell>
          <cell r="Q24">
            <v>3182.1345850000007</v>
          </cell>
          <cell r="R24">
            <v>3687.5901792500008</v>
          </cell>
          <cell r="S24">
            <v>4329.0577095000008</v>
          </cell>
          <cell r="T24">
            <v>4746.5417339999995</v>
          </cell>
          <cell r="U24">
            <v>5568.4819462499981</v>
          </cell>
          <cell r="V24">
            <v>6200.0291775000005</v>
          </cell>
          <cell r="W24">
            <v>7068.3658590000005</v>
          </cell>
          <cell r="X24">
            <v>8111.6487630000001</v>
          </cell>
          <cell r="Y24">
            <v>8943.8684730124987</v>
          </cell>
          <cell r="Z24">
            <v>10368.273242972498</v>
          </cell>
          <cell r="AA24">
            <v>10212.405563294999</v>
          </cell>
          <cell r="AB24">
            <v>11011.572</v>
          </cell>
          <cell r="AC24">
            <v>12771.277999999998</v>
          </cell>
          <cell r="AD24">
            <v>14910.423047121829</v>
          </cell>
          <cell r="AE24">
            <v>16305.500146836264</v>
          </cell>
          <cell r="AF24">
            <v>17226.779721659299</v>
          </cell>
          <cell r="AG24">
            <v>18956.412873594953</v>
          </cell>
          <cell r="AH24">
            <v>20913.726459525344</v>
          </cell>
          <cell r="AI24">
            <v>23442.858208741021</v>
          </cell>
          <cell r="AJ24">
            <v>26325.182801530009</v>
          </cell>
          <cell r="AK24">
            <v>29721.289769035688</v>
          </cell>
          <cell r="AL24">
            <v>33808.01582707827</v>
          </cell>
          <cell r="AM24">
            <v>38868.653090458283</v>
          </cell>
        </row>
        <row r="25">
          <cell r="N25">
            <v>1331.1134362500002</v>
          </cell>
          <cell r="O25">
            <v>2592.4804557500001</v>
          </cell>
          <cell r="P25">
            <v>2970.1696757499994</v>
          </cell>
          <cell r="Q25">
            <v>3097.2505850000007</v>
          </cell>
          <cell r="R25">
            <v>3540.7481792500007</v>
          </cell>
          <cell r="S25">
            <v>4184.5737095000004</v>
          </cell>
          <cell r="T25">
            <v>4568.6837339999993</v>
          </cell>
          <cell r="U25">
            <v>5419.9819462499981</v>
          </cell>
          <cell r="V25">
            <v>6072.4291775000002</v>
          </cell>
          <cell r="W25">
            <v>6968.3658590000005</v>
          </cell>
          <cell r="X25">
            <v>7961.6487630000001</v>
          </cell>
          <cell r="Y25">
            <v>8743.8684730124987</v>
          </cell>
          <cell r="Z25">
            <v>10068.273242972498</v>
          </cell>
          <cell r="AA25">
            <v>9912.4055632949985</v>
          </cell>
          <cell r="AB25">
            <v>11003.6145</v>
          </cell>
          <cell r="AC25">
            <v>12694.627999999999</v>
          </cell>
          <cell r="AD25">
            <v>14810.301319263644</v>
          </cell>
          <cell r="AE25">
            <v>16299.071176358684</v>
          </cell>
          <cell r="AF25">
            <v>17251.350751181719</v>
          </cell>
          <cell r="AG25">
            <v>18980.983903117372</v>
          </cell>
          <cell r="AH25">
            <v>20938.297489047764</v>
          </cell>
          <cell r="AI25">
            <v>23467.429238263441</v>
          </cell>
          <cell r="AJ25">
            <v>26349.753831052429</v>
          </cell>
          <cell r="AK25">
            <v>29745.860798558107</v>
          </cell>
          <cell r="AL25">
            <v>33832.58685660069</v>
          </cell>
          <cell r="AM25">
            <v>38893.224119980703</v>
          </cell>
        </row>
        <row r="26">
          <cell r="N26">
            <v>527.48669174999998</v>
          </cell>
          <cell r="O26">
            <v>678.55516475000002</v>
          </cell>
          <cell r="P26">
            <v>781.87418000000002</v>
          </cell>
          <cell r="Q26">
            <v>923.37492224999994</v>
          </cell>
          <cell r="R26">
            <v>1030.1766232500001</v>
          </cell>
          <cell r="S26">
            <v>1107.7201435000002</v>
          </cell>
          <cell r="T26">
            <v>1321.6031045</v>
          </cell>
          <cell r="U26">
            <v>1858.0917877499999</v>
          </cell>
          <cell r="V26">
            <v>2057.2574949999998</v>
          </cell>
          <cell r="W26">
            <v>2289.3666895000006</v>
          </cell>
          <cell r="X26">
            <v>2595.3080695000003</v>
          </cell>
          <cell r="Y26">
            <v>3180.5408070125</v>
          </cell>
          <cell r="Z26">
            <v>4228.6284452224991</v>
          </cell>
          <cell r="AA26">
            <v>3900.3010185449998</v>
          </cell>
          <cell r="AB26">
            <v>4006.625</v>
          </cell>
          <cell r="AC26">
            <v>4541.5249999999996</v>
          </cell>
          <cell r="AD26">
            <v>4942.2833078163931</v>
          </cell>
          <cell r="AE26">
            <v>5333.0010155244836</v>
          </cell>
          <cell r="AF26">
            <v>5886.3272995349553</v>
          </cell>
          <cell r="AG26">
            <v>6633.6709810932425</v>
          </cell>
          <cell r="AH26">
            <v>7274.3990138329391</v>
          </cell>
          <cell r="AI26">
            <v>8308.0134939594191</v>
          </cell>
          <cell r="AJ26">
            <v>9324.8037955796117</v>
          </cell>
          <cell r="AK26">
            <v>10358.237206208763</v>
          </cell>
          <cell r="AL26">
            <v>11460.953000704683</v>
          </cell>
          <cell r="AM26">
            <v>12660.656563772471</v>
          </cell>
        </row>
        <row r="27">
          <cell r="N27">
            <v>378.18577050000005</v>
          </cell>
          <cell r="O27">
            <v>1299.01562225</v>
          </cell>
          <cell r="P27">
            <v>1618.3850632499998</v>
          </cell>
          <cell r="Q27">
            <v>1772.6069197500001</v>
          </cell>
          <cell r="R27">
            <v>1992.65121525</v>
          </cell>
          <cell r="S27">
            <v>2551.9619092500002</v>
          </cell>
          <cell r="T27">
            <v>2725.1033012500002</v>
          </cell>
          <cell r="U27">
            <v>2999.9837339999995</v>
          </cell>
          <cell r="V27">
            <v>3342.1068887500001</v>
          </cell>
          <cell r="W27">
            <v>4033.2027912500002</v>
          </cell>
          <cell r="X27">
            <v>4716.8836220000003</v>
          </cell>
          <cell r="Y27">
            <v>4831.1729004999997</v>
          </cell>
          <cell r="Z27">
            <v>4809.5552510000007</v>
          </cell>
          <cell r="AA27">
            <v>5003.2074169999996</v>
          </cell>
          <cell r="AB27">
            <v>6035.5469999999996</v>
          </cell>
          <cell r="AC27">
            <v>7047.2279999999992</v>
          </cell>
          <cell r="AD27">
            <v>8399.4350482479167</v>
          </cell>
          <cell r="AE27">
            <v>9336.2320333689495</v>
          </cell>
          <cell r="AF27">
            <v>9612.7073668399116</v>
          </cell>
          <cell r="AG27">
            <v>10417.816913269487</v>
          </cell>
          <cell r="AH27">
            <v>11524.267238430059</v>
          </cell>
          <cell r="AI27">
            <v>12774.24811226404</v>
          </cell>
          <cell r="AJ27">
            <v>14359.480321660911</v>
          </cell>
          <cell r="AK27">
            <v>16414.298231186662</v>
          </cell>
          <cell r="AL27">
            <v>19073.306304132584</v>
          </cell>
          <cell r="AM27">
            <v>22599.763307687299</v>
          </cell>
        </row>
        <row r="28">
          <cell r="N28">
            <v>504.64661874999996</v>
          </cell>
          <cell r="O28">
            <v>476.78789125000003</v>
          </cell>
          <cell r="P28">
            <v>329.53760175000002</v>
          </cell>
          <cell r="Q28">
            <v>464.59037325000008</v>
          </cell>
          <cell r="R28">
            <v>507.02897575000003</v>
          </cell>
          <cell r="S28">
            <v>509.34959799999996</v>
          </cell>
          <cell r="T28">
            <v>525.11476325000001</v>
          </cell>
          <cell r="U28">
            <v>620.98485850000009</v>
          </cell>
          <cell r="V28">
            <v>617.13375400000007</v>
          </cell>
          <cell r="W28">
            <v>628.77665724999997</v>
          </cell>
          <cell r="X28">
            <v>710.90071684750012</v>
          </cell>
          <cell r="Y28">
            <v>1012.7844010049999</v>
          </cell>
          <cell r="Z28">
            <v>994.78568415749999</v>
          </cell>
          <cell r="AA28">
            <v>877</v>
          </cell>
          <cell r="AB28">
            <v>1016.5</v>
          </cell>
          <cell r="AC28">
            <v>1382.8046910575181</v>
          </cell>
          <cell r="AD28">
            <v>1546.267097942831</v>
          </cell>
          <cell r="AE28">
            <v>1669.7450552844298</v>
          </cell>
          <cell r="AF28">
            <v>1846.924979232223</v>
          </cell>
          <cell r="AG28">
            <v>2057.0602072623456</v>
          </cell>
          <cell r="AH28">
            <v>2302.5966025175612</v>
          </cell>
          <cell r="AI28">
            <v>2582.8986842894856</v>
          </cell>
          <cell r="AJ28">
            <v>2890.7543316402634</v>
          </cell>
          <cell r="AK28">
            <v>3215.756522241003</v>
          </cell>
          <cell r="AL28">
            <v>3550.2332189985127</v>
          </cell>
          <cell r="AM28">
            <v>3355.8820776511243</v>
          </cell>
        </row>
        <row r="30">
          <cell r="N30">
            <v>1217.2874999999999</v>
          </cell>
          <cell r="O30">
            <v>2271.7134859999996</v>
          </cell>
          <cell r="P30">
            <v>2812.1740329699996</v>
          </cell>
          <cell r="Q30">
            <v>2925.2669022400005</v>
          </cell>
          <cell r="R30">
            <v>3328.8832921850003</v>
          </cell>
          <cell r="S30">
            <v>3792.2260771449996</v>
          </cell>
          <cell r="T30">
            <v>4686.1188505</v>
          </cell>
          <cell r="U30">
            <v>5265.7812645124995</v>
          </cell>
          <cell r="V30">
            <v>6013.7803368325003</v>
          </cell>
          <cell r="W30">
            <v>6810.0510416649995</v>
          </cell>
          <cell r="X30">
            <v>7559.9744171374996</v>
          </cell>
          <cell r="Y30">
            <v>8800.2821172124986</v>
          </cell>
          <cell r="Z30">
            <v>9903.592603532501</v>
          </cell>
          <cell r="AA30">
            <v>10673.9344261775</v>
          </cell>
          <cell r="AB30">
            <v>11489.275075000001</v>
          </cell>
          <cell r="AC30">
            <v>11600.89725</v>
          </cell>
          <cell r="AD30">
            <v>11858.925606892373</v>
          </cell>
          <cell r="AE30">
            <v>12404.488073359662</v>
          </cell>
          <cell r="AF30">
            <v>13139.281985943151</v>
          </cell>
          <cell r="AG30">
            <v>14316.14354527483</v>
          </cell>
          <cell r="AH30">
            <v>15706.250304010919</v>
          </cell>
          <cell r="AI30">
            <v>17164.459393800746</v>
          </cell>
          <cell r="AJ30">
            <v>18722.052540397352</v>
          </cell>
          <cell r="AK30">
            <v>20385.406381852492</v>
          </cell>
          <cell r="AL30">
            <v>22137.716910993317</v>
          </cell>
          <cell r="AM30">
            <v>23898.844072769774</v>
          </cell>
        </row>
        <row r="31">
          <cell r="N31">
            <v>1185.75</v>
          </cell>
          <cell r="O31">
            <v>2218.0446727499998</v>
          </cell>
          <cell r="P31">
            <v>2763.3621847024997</v>
          </cell>
          <cell r="Q31">
            <v>2899.1581813175003</v>
          </cell>
          <cell r="R31">
            <v>3291.0260757425003</v>
          </cell>
          <cell r="S31">
            <v>3764.3991844974998</v>
          </cell>
          <cell r="T31">
            <v>4646.1123324999999</v>
          </cell>
          <cell r="U31">
            <v>5188.6481370524998</v>
          </cell>
          <cell r="V31">
            <v>5919.9284912625008</v>
          </cell>
          <cell r="W31">
            <v>6695.0135416649991</v>
          </cell>
          <cell r="X31">
            <v>7438.0869171374998</v>
          </cell>
          <cell r="Y31">
            <v>8411.3896172124987</v>
          </cell>
          <cell r="Z31">
            <v>9296.8576035325004</v>
          </cell>
          <cell r="AA31">
            <v>10211.509426177501</v>
          </cell>
          <cell r="AB31">
            <v>11099.400075000001</v>
          </cell>
          <cell r="AC31">
            <v>11348.64725</v>
          </cell>
          <cell r="AD31">
            <v>11697.550606892373</v>
          </cell>
          <cell r="AE31">
            <v>12304.913073359661</v>
          </cell>
          <cell r="AF31">
            <v>13080.756985943151</v>
          </cell>
          <cell r="AG31">
            <v>14266.14354527483</v>
          </cell>
          <cell r="AH31">
            <v>15656.250304010919</v>
          </cell>
          <cell r="AI31">
            <v>17114.459393800746</v>
          </cell>
          <cell r="AJ31">
            <v>18672.052540397352</v>
          </cell>
          <cell r="AK31">
            <v>20335.406381852492</v>
          </cell>
          <cell r="AL31">
            <v>22087.716910993317</v>
          </cell>
          <cell r="AM31">
            <v>23848.844072769774</v>
          </cell>
        </row>
        <row r="32">
          <cell r="R32">
            <v>341.625</v>
          </cell>
          <cell r="S32">
            <v>587.5</v>
          </cell>
          <cell r="T32">
            <v>704.84999999999991</v>
          </cell>
          <cell r="U32">
            <v>832.35000000000014</v>
          </cell>
          <cell r="V32">
            <v>841.42499999999995</v>
          </cell>
          <cell r="W32">
            <v>1104.8000000000002</v>
          </cell>
          <cell r="X32">
            <v>1242.5</v>
          </cell>
          <cell r="Y32">
            <v>1032</v>
          </cell>
          <cell r="Z32">
            <v>1056.4250000000002</v>
          </cell>
          <cell r="AA32">
            <v>1197.3999999999999</v>
          </cell>
          <cell r="AB32">
            <v>1208.325</v>
          </cell>
          <cell r="AC32">
            <v>1293.5999999999999</v>
          </cell>
          <cell r="AD32">
            <v>1585.2499924194856</v>
          </cell>
          <cell r="AE32">
            <v>1603.7561584141295</v>
          </cell>
          <cell r="AF32">
            <v>1738.6051883708089</v>
          </cell>
          <cell r="AG32">
            <v>1997.2465423177721</v>
          </cell>
          <cell r="AH32">
            <v>2308.0622931602961</v>
          </cell>
          <cell r="AI32">
            <v>2672.746063684719</v>
          </cell>
          <cell r="AJ32">
            <v>3098.2194183676343</v>
          </cell>
          <cell r="AK32">
            <v>3575.8604214400948</v>
          </cell>
          <cell r="AL32">
            <v>4085.7272829023304</v>
          </cell>
          <cell r="AM32">
            <v>4610.8597301888904</v>
          </cell>
        </row>
        <row r="34">
          <cell r="N34">
            <v>-29.244063749999896</v>
          </cell>
          <cell r="O34">
            <v>-97.91821549999986</v>
          </cell>
          <cell r="P34">
            <v>-253.39313897250031</v>
          </cell>
          <cell r="Q34">
            <v>-230.94558290749956</v>
          </cell>
          <cell r="R34">
            <v>-184.72410409999975</v>
          </cell>
          <cell r="S34">
            <v>-52.35082544999932</v>
          </cell>
          <cell r="T34">
            <v>-651.94159150000087</v>
          </cell>
          <cell r="U34">
            <v>-472.90471726500164</v>
          </cell>
          <cell r="V34">
            <v>-622.20429925000099</v>
          </cell>
          <cell r="W34">
            <v>-703.99490216499908</v>
          </cell>
          <cell r="X34">
            <v>-527.12056063749969</v>
          </cell>
          <cell r="Y34">
            <v>-1151.7486442000009</v>
          </cell>
          <cell r="Z34">
            <v>-1056.5193605600016</v>
          </cell>
          <cell r="AA34">
            <v>-2120.2288628825027</v>
          </cell>
          <cell r="AB34">
            <v>-1897.1105750000024</v>
          </cell>
          <cell r="AC34">
            <v>-353.86925000000156</v>
          </cell>
          <cell r="AD34">
            <v>1479.4121794986204</v>
          </cell>
          <cell r="AE34">
            <v>2353.891497940107</v>
          </cell>
          <cell r="AF34">
            <v>2395.2498247562507</v>
          </cell>
          <cell r="AG34">
            <v>2694.1242961475291</v>
          </cell>
          <cell r="AH34">
            <v>2956.1602462427581</v>
          </cell>
          <cell r="AI34">
            <v>3668.902969011644</v>
          </cell>
          <cell r="AJ34">
            <v>4575.6008252647043</v>
          </cell>
          <cell r="AK34">
            <v>5838.838225312149</v>
          </cell>
          <cell r="AL34">
            <v>7671.7438290211903</v>
          </cell>
          <cell r="AM34">
            <v>10454.358939766138</v>
          </cell>
        </row>
        <row r="35">
          <cell r="N35">
            <v>84.331936250000098</v>
          </cell>
          <cell r="O35">
            <v>-10.641215499999859</v>
          </cell>
          <cell r="P35">
            <v>-169.66913897250032</v>
          </cell>
          <cell r="Q35">
            <v>-146.06158290749954</v>
          </cell>
          <cell r="R35">
            <v>-37.882104099999736</v>
          </cell>
          <cell r="S35">
            <v>92.133174550000689</v>
          </cell>
          <cell r="T35">
            <v>-474.08359150000086</v>
          </cell>
          <cell r="U35">
            <v>-324.40471726500164</v>
          </cell>
          <cell r="V35">
            <v>-494.60429925000096</v>
          </cell>
          <cell r="W35">
            <v>-603.99490216499908</v>
          </cell>
          <cell r="X35">
            <v>-377.12056063749969</v>
          </cell>
          <cell r="Y35">
            <v>-951.74864420000085</v>
          </cell>
          <cell r="Z35">
            <v>-756.51936056000159</v>
          </cell>
          <cell r="AA35">
            <v>-1820.2288628825027</v>
          </cell>
          <cell r="AB35">
            <v>-1889.1530750000024</v>
          </cell>
          <cell r="AC35">
            <v>-277.21925000000158</v>
          </cell>
          <cell r="AD35">
            <v>1579.5339073568052</v>
          </cell>
          <cell r="AE35">
            <v>2360.3204684176867</v>
          </cell>
          <cell r="AF35">
            <v>2370.6787952338304</v>
          </cell>
          <cell r="AG35">
            <v>2669.5532666251088</v>
          </cell>
          <cell r="AH35">
            <v>2931.5892167203378</v>
          </cell>
          <cell r="AI35">
            <v>3644.3319394892237</v>
          </cell>
          <cell r="AJ35">
            <v>4551.0297957422836</v>
          </cell>
          <cell r="AK35">
            <v>5814.2671957897282</v>
          </cell>
          <cell r="AL35">
            <v>7647.1727994987696</v>
          </cell>
          <cell r="AM35">
            <v>10429.787910243718</v>
          </cell>
        </row>
        <row r="37">
          <cell r="N37">
            <v>-84.331936250000098</v>
          </cell>
          <cell r="O37">
            <v>10.641215499999859</v>
          </cell>
          <cell r="P37">
            <v>169.66913897250032</v>
          </cell>
          <cell r="Q37">
            <v>146.06158290749954</v>
          </cell>
          <cell r="R37">
            <v>37.882104099999736</v>
          </cell>
          <cell r="S37">
            <v>-92.133174550000689</v>
          </cell>
          <cell r="T37">
            <v>474.08359150000086</v>
          </cell>
          <cell r="U37">
            <v>324.40471726500164</v>
          </cell>
          <cell r="V37">
            <v>494.60429925000096</v>
          </cell>
          <cell r="W37">
            <v>603.99490216499908</v>
          </cell>
          <cell r="X37">
            <v>377.12056063749969</v>
          </cell>
          <cell r="Y37">
            <v>951.74864420000085</v>
          </cell>
          <cell r="Z37">
            <v>756.51936056000159</v>
          </cell>
          <cell r="AA37">
            <v>1820.2288628825027</v>
          </cell>
          <cell r="AB37">
            <v>1889.1530750000024</v>
          </cell>
          <cell r="AC37">
            <v>277.21925000000158</v>
          </cell>
          <cell r="AD37">
            <v>-1579.5339073568052</v>
          </cell>
          <cell r="AE37">
            <v>-2360.3204684176867</v>
          </cell>
          <cell r="AF37">
            <v>-2370.6787952338304</v>
          </cell>
          <cell r="AG37">
            <v>-2669.5532666251088</v>
          </cell>
          <cell r="AH37">
            <v>-2931.5892167203378</v>
          </cell>
          <cell r="AI37">
            <v>-3644.3319394892237</v>
          </cell>
          <cell r="AJ37">
            <v>-4551.0297957422836</v>
          </cell>
          <cell r="AK37">
            <v>-5814.2671957897282</v>
          </cell>
          <cell r="AL37">
            <v>-7647.1727994987696</v>
          </cell>
          <cell r="AM37">
            <v>-10429.787910243718</v>
          </cell>
        </row>
        <row r="38">
          <cell r="N38">
            <v>72.974999999999994</v>
          </cell>
          <cell r="O38">
            <v>82.337499999999991</v>
          </cell>
          <cell r="P38">
            <v>32.65</v>
          </cell>
          <cell r="Q38">
            <v>16.562075</v>
          </cell>
          <cell r="R38">
            <v>22.233562500000001</v>
          </cell>
          <cell r="S38">
            <v>73.229565749999992</v>
          </cell>
          <cell r="T38">
            <v>20.266573499999993</v>
          </cell>
          <cell r="U38">
            <v>67.815454249999988</v>
          </cell>
          <cell r="V38">
            <v>126.40548500222522</v>
          </cell>
          <cell r="W38">
            <v>-98.366463582591592</v>
          </cell>
          <cell r="X38">
            <v>-11.485755249999997</v>
          </cell>
          <cell r="Y38">
            <v>110.85224150000001</v>
          </cell>
          <cell r="Z38">
            <v>274.77028624999997</v>
          </cell>
          <cell r="AA38">
            <v>277.39324175000002</v>
          </cell>
          <cell r="AB38">
            <v>204.70417400000002</v>
          </cell>
          <cell r="AC38">
            <v>211.62028450000003</v>
          </cell>
          <cell r="AD38">
            <v>306.47540365488788</v>
          </cell>
          <cell r="AE38">
            <v>172.57608414226877</v>
          </cell>
          <cell r="AF38">
            <v>86.735528043388953</v>
          </cell>
          <cell r="AG38">
            <v>64.59297018394625</v>
          </cell>
          <cell r="AH38">
            <v>-20.434870763862669</v>
          </cell>
          <cell r="AI38">
            <v>-48.641209288180399</v>
          </cell>
          <cell r="AJ38">
            <v>-51.805576932037795</v>
          </cell>
          <cell r="AK38">
            <v>-37.288177764140158</v>
          </cell>
          <cell r="AL38">
            <v>-40.881322789280375</v>
          </cell>
          <cell r="AM38">
            <v>-28.996837837017001</v>
          </cell>
        </row>
        <row r="39">
          <cell r="N39">
            <v>-157.30693625000009</v>
          </cell>
          <cell r="O39">
            <v>-71.696284500000132</v>
          </cell>
          <cell r="P39">
            <v>137.01913897250031</v>
          </cell>
          <cell r="Q39">
            <v>129.49950790749955</v>
          </cell>
          <cell r="R39">
            <v>15.648541599999735</v>
          </cell>
          <cell r="S39">
            <v>-165.36274030000067</v>
          </cell>
          <cell r="T39">
            <v>453.81701800000087</v>
          </cell>
          <cell r="U39">
            <v>256.58926301500162</v>
          </cell>
          <cell r="V39">
            <v>368.19881424777577</v>
          </cell>
          <cell r="W39">
            <v>702.36136574759064</v>
          </cell>
          <cell r="X39">
            <v>388.6063158874997</v>
          </cell>
          <cell r="Y39">
            <v>840.89640270000086</v>
          </cell>
          <cell r="Z39">
            <v>481.74907431000162</v>
          </cell>
          <cell r="AA39">
            <v>1542.8356211325026</v>
          </cell>
          <cell r="AB39">
            <v>1684.4489010000025</v>
          </cell>
          <cell r="AC39">
            <v>65.598965500001555</v>
          </cell>
          <cell r="AD39">
            <v>-1886.0093110116932</v>
          </cell>
          <cell r="AE39">
            <v>-2532.8965525599556</v>
          </cell>
          <cell r="AF39">
            <v>-2457.4143232772194</v>
          </cell>
          <cell r="AG39">
            <v>-2734.1462368090552</v>
          </cell>
          <cell r="AH39">
            <v>-2911.154345956475</v>
          </cell>
          <cell r="AI39">
            <v>-3595.6907302010432</v>
          </cell>
          <cell r="AJ39">
            <v>-4499.2242188102455</v>
          </cell>
          <cell r="AK39">
            <v>-5776.9790180255877</v>
          </cell>
          <cell r="AL39">
            <v>-7606.291476709489</v>
          </cell>
          <cell r="AM39">
            <v>-10400.791072406701</v>
          </cell>
        </row>
        <row r="41">
          <cell r="O41">
            <v>393.82499999999999</v>
          </cell>
          <cell r="P41">
            <v>713.57500000000005</v>
          </cell>
          <cell r="Q41">
            <v>1117.4357180000002</v>
          </cell>
          <cell r="R41">
            <v>1326.9388407500001</v>
          </cell>
          <cell r="S41">
            <v>1917.0785825</v>
          </cell>
          <cell r="T41">
            <v>2620.8217205000001</v>
          </cell>
          <cell r="U41">
            <v>3604.0201629999997</v>
          </cell>
          <cell r="V41">
            <v>4619.1281757522247</v>
          </cell>
          <cell r="W41">
            <v>5135.5095549955504</v>
          </cell>
          <cell r="X41">
            <v>5750.03522992739</v>
          </cell>
          <cell r="Y41">
            <v>6602.8696289332875</v>
          </cell>
          <cell r="Z41">
            <v>7985.0867382804727</v>
          </cell>
          <cell r="AA41">
            <v>9977.4147986063072</v>
          </cell>
          <cell r="AB41">
            <v>12354.573105117217</v>
          </cell>
          <cell r="AC41">
            <v>12093.742592500001</v>
          </cell>
          <cell r="AD41">
            <v>10716.12253508187</v>
          </cell>
          <cell r="AE41">
            <v>8399.3960868709764</v>
          </cell>
          <cell r="AF41">
            <v>6040.3190049906689</v>
          </cell>
          <cell r="AG41">
            <v>3370.7657383655569</v>
          </cell>
          <cell r="AH41">
            <v>439.17652164522315</v>
          </cell>
          <cell r="AI41">
            <v>-3205.1554178440019</v>
          </cell>
          <cell r="AJ41">
            <v>-7756.1852135862837</v>
          </cell>
          <cell r="AK41">
            <v>-13570.452409376014</v>
          </cell>
          <cell r="AL41">
            <v>-21217.625208874782</v>
          </cell>
          <cell r="AM41">
            <v>-31647.413119118504</v>
          </cell>
        </row>
        <row r="42">
          <cell r="O42">
            <v>19.2</v>
          </cell>
          <cell r="P42">
            <v>239.5</v>
          </cell>
          <cell r="Q42">
            <v>673.4</v>
          </cell>
          <cell r="R42">
            <v>851.7</v>
          </cell>
          <cell r="S42">
            <v>1362</v>
          </cell>
          <cell r="T42">
            <v>2036.6999999999998</v>
          </cell>
          <cell r="U42">
            <v>2940.2</v>
          </cell>
          <cell r="V42">
            <v>3766.6</v>
          </cell>
          <cell r="W42">
            <v>4363.6000000000004</v>
          </cell>
          <cell r="X42">
            <v>4808.7</v>
          </cell>
          <cell r="Y42">
            <v>5494.7999999999993</v>
          </cell>
          <cell r="Z42">
            <v>6533.7</v>
          </cell>
          <cell r="AA42">
            <v>8368.5</v>
          </cell>
          <cell r="AB42">
            <v>10672.7</v>
          </cell>
          <cell r="AC42">
            <v>10228.25</v>
          </cell>
          <cell r="AD42">
            <v>8517.78789848831</v>
          </cell>
          <cell r="AE42">
            <v>5984.8913459283594</v>
          </cell>
          <cell r="AF42">
            <v>3527.4770226511428</v>
          </cell>
          <cell r="AG42">
            <v>793.3307858420867</v>
          </cell>
          <cell r="AH42">
            <v>-2117.8235601143806</v>
          </cell>
          <cell r="AI42">
            <v>-5713.5142903154265</v>
          </cell>
          <cell r="AJ42">
            <v>-10212.738509125667</v>
          </cell>
          <cell r="AK42">
            <v>-15989.717527151255</v>
          </cell>
          <cell r="AL42">
            <v>-23596.009003860745</v>
          </cell>
          <cell r="AM42">
            <v>-33996.800076267442</v>
          </cell>
        </row>
        <row r="43">
          <cell r="O43">
            <v>0</v>
          </cell>
          <cell r="P43">
            <v>510.3</v>
          </cell>
          <cell r="Q43">
            <v>619.6</v>
          </cell>
          <cell r="R43">
            <v>721.6</v>
          </cell>
          <cell r="S43">
            <v>783.7</v>
          </cell>
          <cell r="T43">
            <v>856.9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O44">
            <v>19.2</v>
          </cell>
          <cell r="P44">
            <v>139.5</v>
          </cell>
          <cell r="Q44">
            <v>254</v>
          </cell>
          <cell r="R44">
            <v>254.7</v>
          </cell>
          <cell r="S44">
            <v>420</v>
          </cell>
          <cell r="T44">
            <v>992.1</v>
          </cell>
          <cell r="U44">
            <v>1678.2</v>
          </cell>
          <cell r="V44">
            <v>1888.3</v>
          </cell>
          <cell r="W44">
            <v>2430.6999999999998</v>
          </cell>
          <cell r="X44">
            <v>2640</v>
          </cell>
          <cell r="Y44">
            <v>2799.7</v>
          </cell>
          <cell r="Z44">
            <v>3516.2</v>
          </cell>
          <cell r="AA44">
            <v>4841.2</v>
          </cell>
          <cell r="AB44">
            <v>5841.5</v>
          </cell>
          <cell r="AC44">
            <v>5270.375</v>
          </cell>
          <cell r="AD44">
            <v>3518.5983632911793</v>
          </cell>
          <cell r="AE44">
            <v>986.85365090974392</v>
          </cell>
          <cell r="AF44">
            <v>-1469.4431578957681</v>
          </cell>
          <cell r="AG44">
            <v>-4202.3460357976828</v>
          </cell>
          <cell r="AH44">
            <v>-7112.1765280270247</v>
          </cell>
          <cell r="AI44">
            <v>-10706.232110101559</v>
          </cell>
          <cell r="AJ44">
            <v>-15203.410296979644</v>
          </cell>
          <cell r="AK44">
            <v>-20977.762221318088</v>
          </cell>
          <cell r="AL44">
            <v>-28580.594720548397</v>
          </cell>
          <cell r="AM44">
            <v>-38976.656010748455</v>
          </cell>
        </row>
        <row r="45">
          <cell r="O45">
            <v>0</v>
          </cell>
          <cell r="P45">
            <v>100</v>
          </cell>
          <cell r="Q45">
            <v>419.4</v>
          </cell>
          <cell r="R45">
            <v>597</v>
          </cell>
          <cell r="S45">
            <v>942</v>
          </cell>
          <cell r="T45">
            <v>1044.5999999999999</v>
          </cell>
          <cell r="U45">
            <v>1262</v>
          </cell>
          <cell r="V45">
            <v>1878.3</v>
          </cell>
          <cell r="W45">
            <v>1932.9</v>
          </cell>
          <cell r="X45">
            <v>2168.6999999999998</v>
          </cell>
          <cell r="Y45">
            <v>2695.1</v>
          </cell>
          <cell r="Z45">
            <v>3017.5</v>
          </cell>
          <cell r="AA45">
            <v>3527.3</v>
          </cell>
          <cell r="AB45">
            <v>4831.2</v>
          </cell>
          <cell r="AC45">
            <v>4957.875</v>
          </cell>
          <cell r="AD45">
            <v>4999.1895351971289</v>
          </cell>
          <cell r="AE45">
            <v>4998.037695018611</v>
          </cell>
          <cell r="AF45">
            <v>4996.9201805469056</v>
          </cell>
          <cell r="AG45">
            <v>4995.6768216397613</v>
          </cell>
          <cell r="AH45">
            <v>4994.3529679126323</v>
          </cell>
          <cell r="AI45">
            <v>4992.7178197861194</v>
          </cell>
          <cell r="AJ45">
            <v>4990.6717878539621</v>
          </cell>
          <cell r="AK45">
            <v>4988.0446941668179</v>
          </cell>
          <cell r="AL45">
            <v>4984.5857166876394</v>
          </cell>
          <cell r="AM45">
            <v>4979.8559344809937</v>
          </cell>
        </row>
        <row r="46">
          <cell r="O46">
            <v>374.625</v>
          </cell>
          <cell r="P46">
            <v>474.07500000000005</v>
          </cell>
          <cell r="Q46">
            <v>444.03571800000009</v>
          </cell>
          <cell r="R46">
            <v>475.23884075000001</v>
          </cell>
          <cell r="S46">
            <v>555.07858250000004</v>
          </cell>
          <cell r="T46">
            <v>584.12172050000004</v>
          </cell>
          <cell r="U46">
            <v>663.82016299999998</v>
          </cell>
          <cell r="V46">
            <v>852.52817575222525</v>
          </cell>
          <cell r="W46">
            <v>771.90955499555025</v>
          </cell>
          <cell r="X46">
            <v>941.3352299273904</v>
          </cell>
          <cell r="Y46">
            <v>1108.0696289332886</v>
          </cell>
          <cell r="Z46">
            <v>1451.3867382804729</v>
          </cell>
          <cell r="AA46">
            <v>1608.9147986063062</v>
          </cell>
          <cell r="AB46">
            <v>1681.8731051172163</v>
          </cell>
          <cell r="AC46">
            <v>1865.4925925</v>
          </cell>
          <cell r="AD46">
            <v>2198.3346365935599</v>
          </cell>
          <cell r="AE46">
            <v>2414.5047409426188</v>
          </cell>
          <cell r="AF46">
            <v>2512.8419823395297</v>
          </cell>
          <cell r="AG46">
            <v>2577.4349525234766</v>
          </cell>
          <cell r="AH46">
            <v>2557.0000817596137</v>
          </cell>
          <cell r="AI46">
            <v>2508.3588724714336</v>
          </cell>
          <cell r="AJ46">
            <v>2456.5532955393965</v>
          </cell>
          <cell r="AK46">
            <v>2419.2651177752559</v>
          </cell>
          <cell r="AL46">
            <v>2378.3837949859758</v>
          </cell>
          <cell r="AM46">
            <v>2349.386957148959</v>
          </cell>
        </row>
        <row r="48">
          <cell r="O48">
            <v>615.79999999999995</v>
          </cell>
          <cell r="P48">
            <v>-99</v>
          </cell>
          <cell r="Q48">
            <v>-132.4</v>
          </cell>
          <cell r="R48">
            <v>-203</v>
          </cell>
          <cell r="S48">
            <v>-335.6</v>
          </cell>
          <cell r="T48">
            <v>943.6</v>
          </cell>
          <cell r="U48">
            <v>876.9</v>
          </cell>
          <cell r="V48">
            <v>1332.3</v>
          </cell>
          <cell r="W48">
            <v>2262.1</v>
          </cell>
          <cell r="X48">
            <v>2608.8000000000002</v>
          </cell>
          <cell r="Y48">
            <v>2387.1</v>
          </cell>
          <cell r="Z48">
            <v>2050.6999999999998</v>
          </cell>
          <cell r="AA48">
            <v>1259.5999999999999</v>
          </cell>
          <cell r="AB48">
            <v>970.3</v>
          </cell>
          <cell r="AC48">
            <v>-156.30000000000001</v>
          </cell>
          <cell r="AD48">
            <v>3464.4559765598078</v>
          </cell>
          <cell r="AE48">
            <v>5189.2784423460462</v>
          </cell>
          <cell r="AF48">
            <v>6300.1902936391516</v>
          </cell>
          <cell r="AG48">
            <v>5064.406978406998</v>
          </cell>
          <cell r="AH48">
            <v>6440.2539614144443</v>
          </cell>
          <cell r="AI48">
            <v>7979.6304780260125</v>
          </cell>
          <cell r="AJ48">
            <v>9592.3654817195547</v>
          </cell>
          <cell r="AK48">
            <v>11749.337132444305</v>
          </cell>
          <cell r="AL48">
            <v>14642.8018208549</v>
          </cell>
          <cell r="AM48">
            <v>18822.432756992352</v>
          </cell>
        </row>
        <row r="49">
          <cell r="O49">
            <v>2068</v>
          </cell>
          <cell r="P49">
            <v>3576</v>
          </cell>
          <cell r="Q49">
            <v>4477.0999999999995</v>
          </cell>
          <cell r="R49">
            <v>5601.0999999999995</v>
          </cell>
          <cell r="S49">
            <v>7049.1</v>
          </cell>
          <cell r="T49">
            <v>7488.3</v>
          </cell>
          <cell r="U49">
            <v>8380.7999999999993</v>
          </cell>
          <cell r="V49">
            <v>9205.5</v>
          </cell>
          <cell r="W49">
            <v>10093.300000000001</v>
          </cell>
          <cell r="X49">
            <v>11622.6</v>
          </cell>
          <cell r="Y49">
            <v>13272.900000000001</v>
          </cell>
          <cell r="Z49">
            <v>14988.900000000001</v>
          </cell>
          <cell r="AA49">
            <v>17346.599999999999</v>
          </cell>
          <cell r="AB49">
            <v>21549</v>
          </cell>
          <cell r="AC49">
            <v>26068.1</v>
          </cell>
          <cell r="AD49">
            <v>28757.387098636245</v>
          </cell>
          <cell r="AE49">
            <v>31701.7701317518</v>
          </cell>
          <cell r="AF49">
            <v>35346.779759206605</v>
          </cell>
          <cell r="AG49">
            <v>39576.796805651451</v>
          </cell>
          <cell r="AH49">
            <v>44425.001246631684</v>
          </cell>
          <cell r="AI49">
            <v>49593.910308880193</v>
          </cell>
          <cell r="AJ49">
            <v>55027.25265481518</v>
          </cell>
          <cell r="AK49">
            <v>60553.639529781169</v>
          </cell>
          <cell r="AL49">
            <v>65681.732920121693</v>
          </cell>
          <cell r="AM49">
            <v>69801.912123417758</v>
          </cell>
        </row>
        <row r="50">
          <cell r="O50">
            <v>-377</v>
          </cell>
          <cell r="P50">
            <v>420.6</v>
          </cell>
          <cell r="Q50">
            <v>548</v>
          </cell>
          <cell r="R50">
            <v>599</v>
          </cell>
          <cell r="S50">
            <v>672.7</v>
          </cell>
          <cell r="T50">
            <v>353.4</v>
          </cell>
          <cell r="U50">
            <v>230.8</v>
          </cell>
          <cell r="V50">
            <v>260.5</v>
          </cell>
          <cell r="W50">
            <v>668.4</v>
          </cell>
          <cell r="X50">
            <v>309.60000000000002</v>
          </cell>
          <cell r="Y50">
            <v>423.6</v>
          </cell>
          <cell r="Z50">
            <v>-78.099999999999994</v>
          </cell>
          <cell r="AA50">
            <v>506.7</v>
          </cell>
          <cell r="AB50">
            <v>871.7</v>
          </cell>
          <cell r="AC50">
            <v>1405.7</v>
          </cell>
          <cell r="AD50">
            <v>-103.10744880935158</v>
          </cell>
          <cell r="AE50">
            <v>-2129.424690857315</v>
          </cell>
          <cell r="AF50">
            <v>-4095.3561494790888</v>
          </cell>
          <cell r="AG50">
            <v>-6282.6731389263332</v>
          </cell>
          <cell r="AH50">
            <v>-8611.596615691511</v>
          </cell>
          <cell r="AI50">
            <v>-11488.149199852345</v>
          </cell>
          <cell r="AJ50">
            <v>-15087.52857490054</v>
          </cell>
          <cell r="AK50">
            <v>-19709.111789321007</v>
          </cell>
          <cell r="AL50">
            <v>-25794.144970688598</v>
          </cell>
          <cell r="AM50">
            <v>-34114.777828613958</v>
          </cell>
        </row>
        <row r="51">
          <cell r="O51">
            <v>2367.6</v>
          </cell>
          <cell r="P51">
            <v>3082.9</v>
          </cell>
          <cell r="Q51">
            <v>3854.2</v>
          </cell>
          <cell r="R51">
            <v>4916.8999999999996</v>
          </cell>
          <cell r="S51">
            <v>6262.3</v>
          </cell>
          <cell r="T51">
            <v>7016.2</v>
          </cell>
          <cell r="U51">
            <v>7956.1</v>
          </cell>
          <cell r="V51">
            <v>8752.7999999999993</v>
          </cell>
          <cell r="W51">
            <v>9233.7000000000007</v>
          </cell>
          <cell r="X51">
            <v>10791.7</v>
          </cell>
          <cell r="Y51">
            <v>12614.2</v>
          </cell>
          <cell r="Z51">
            <v>14817.7</v>
          </cell>
          <cell r="AA51">
            <v>16676.3</v>
          </cell>
          <cell r="AB51">
            <v>20297.7</v>
          </cell>
          <cell r="AC51">
            <v>24264.400000000001</v>
          </cell>
          <cell r="AD51">
            <v>28812.025359863877</v>
          </cell>
          <cell r="AE51">
            <v>33736.69767656074</v>
          </cell>
          <cell r="AF51">
            <v>39314.951468806859</v>
          </cell>
          <cell r="AG51">
            <v>45712.136093066823</v>
          </cell>
          <cell r="AH51">
            <v>52876.75131144547</v>
          </cell>
          <cell r="AI51">
            <v>60914.603529369713</v>
          </cell>
          <cell r="AJ51">
            <v>69942.419268569909</v>
          </cell>
          <cell r="AK51">
            <v>80086.991051200457</v>
          </cell>
          <cell r="AL51">
            <v>91297.567838860996</v>
          </cell>
          <cell r="AM51">
            <v>103736.29545200482</v>
          </cell>
        </row>
        <row r="52">
          <cell r="O52">
            <v>672.4</v>
          </cell>
          <cell r="P52">
            <v>864</v>
          </cell>
          <cell r="Q52">
            <v>1461.8</v>
          </cell>
          <cell r="R52">
            <v>1782.8400000000001</v>
          </cell>
          <cell r="S52">
            <v>1891.3</v>
          </cell>
          <cell r="T52">
            <v>2989.9</v>
          </cell>
          <cell r="U52">
            <v>3071.9</v>
          </cell>
          <cell r="V52">
            <v>3925.6</v>
          </cell>
          <cell r="W52">
            <v>4842</v>
          </cell>
          <cell r="X52">
            <v>6136.9</v>
          </cell>
          <cell r="Y52">
            <v>6822.8</v>
          </cell>
          <cell r="Z52">
            <v>7355.7</v>
          </cell>
          <cell r="AA52">
            <v>8080.7000000000007</v>
          </cell>
          <cell r="AB52">
            <v>9569.8000000000011</v>
          </cell>
          <cell r="AC52">
            <v>9408.7999999999993</v>
          </cell>
          <cell r="AD52">
            <v>9263.3941917335505</v>
          </cell>
          <cell r="AE52">
            <v>9467.6197925408323</v>
          </cell>
          <cell r="AF52">
            <v>9810.9720074300603</v>
          </cell>
          <cell r="AG52">
            <v>7084.5874409851713</v>
          </cell>
          <cell r="AH52">
            <v>8987.6354054200965</v>
          </cell>
          <cell r="AI52">
            <v>11919.351225135852</v>
          </cell>
          <cell r="AJ52">
            <v>16490.477016274988</v>
          </cell>
          <cell r="AK52">
            <v>23667.049520793771</v>
          </cell>
          <cell r="AL52">
            <v>34344.837347634777</v>
          </cell>
          <cell r="AM52">
            <v>50538.461353051556</v>
          </cell>
        </row>
        <row r="54">
          <cell r="D54">
            <v>0.77795999999999998</v>
          </cell>
          <cell r="E54">
            <v>0.87870000000000004</v>
          </cell>
          <cell r="F54">
            <v>1.0875999999999999</v>
          </cell>
          <cell r="G54">
            <v>1.1146</v>
          </cell>
          <cell r="H54">
            <v>1.4761</v>
          </cell>
          <cell r="I54">
            <v>2.2343999999999999</v>
          </cell>
          <cell r="J54">
            <v>2.2919</v>
          </cell>
          <cell r="K54">
            <v>2.0385</v>
          </cell>
          <cell r="L54">
            <v>2.2770000000000001</v>
          </cell>
          <cell r="M54">
            <v>2.6317200000000001</v>
          </cell>
          <cell r="N54">
            <v>2.5872999999999999</v>
          </cell>
          <cell r="O54">
            <v>2.76132</v>
          </cell>
          <cell r="P54">
            <v>2.8520099999999999</v>
          </cell>
          <cell r="Q54">
            <v>3.2677399999999999</v>
          </cell>
          <cell r="R54">
            <v>3.5508000000000002</v>
          </cell>
          <cell r="S54">
            <v>3.64</v>
          </cell>
          <cell r="T54">
            <v>4.3</v>
          </cell>
          <cell r="U54">
            <v>4.5</v>
          </cell>
          <cell r="V54">
            <v>5.5309999999999997</v>
          </cell>
          <cell r="W54">
            <v>6.11</v>
          </cell>
          <cell r="X54">
            <v>6.9519000000000002</v>
          </cell>
          <cell r="Y54">
            <v>8.6</v>
          </cell>
          <cell r="Z54">
            <v>10.52</v>
          </cell>
          <cell r="AA54">
            <v>7.52</v>
          </cell>
          <cell r="AB54">
            <v>6.4527083333333337</v>
          </cell>
          <cell r="AC54">
            <v>6.3805440903793196</v>
          </cell>
          <cell r="AD54">
            <v>6.3805440903793196</v>
          </cell>
          <cell r="AE54">
            <v>6.3805440903793196</v>
          </cell>
          <cell r="AF54">
            <v>6.3805440903793196</v>
          </cell>
          <cell r="AG54">
            <v>6.3805440903793196</v>
          </cell>
          <cell r="AH54">
            <v>6.3805440903793196</v>
          </cell>
          <cell r="AI54">
            <v>6.3805440903793196</v>
          </cell>
          <cell r="AJ54">
            <v>6.3805440903793196</v>
          </cell>
          <cell r="AK54">
            <v>6.3805440903793196</v>
          </cell>
          <cell r="AL54">
            <v>6.3805440903793196</v>
          </cell>
          <cell r="AM54">
            <v>6.3805440903793196</v>
          </cell>
        </row>
        <row r="55">
          <cell r="D55">
            <v>0.74570000000000003</v>
          </cell>
          <cell r="E55">
            <v>0.95830000000000004</v>
          </cell>
          <cell r="F55">
            <v>1.0741000000000001</v>
          </cell>
          <cell r="G55">
            <v>1.2224999999999999</v>
          </cell>
          <cell r="H55">
            <v>1.9901</v>
          </cell>
          <cell r="I55">
            <v>2.5707</v>
          </cell>
          <cell r="J55">
            <v>2.1871999999999998</v>
          </cell>
          <cell r="K55">
            <v>1.9305000000000001</v>
          </cell>
          <cell r="L55">
            <v>2.38</v>
          </cell>
          <cell r="M55">
            <v>2.5329999999999999</v>
          </cell>
          <cell r="N55">
            <v>2.5625</v>
          </cell>
          <cell r="O55">
            <v>2.7430300000000001</v>
          </cell>
          <cell r="P55">
            <v>3.0529999999999999</v>
          </cell>
          <cell r="Q55">
            <v>3.3975</v>
          </cell>
          <cell r="R55">
            <v>3.5434999999999999</v>
          </cell>
          <cell r="S55">
            <v>3.6475</v>
          </cell>
          <cell r="T55">
            <v>4.6816000000000004</v>
          </cell>
          <cell r="U55">
            <v>4.8707000000000003</v>
          </cell>
          <cell r="V55">
            <v>5.8856999999999999</v>
          </cell>
          <cell r="W55">
            <v>6.1459999999999999</v>
          </cell>
          <cell r="X55">
            <v>7.6391999999999998</v>
          </cell>
          <cell r="Y55">
            <v>11.5467</v>
          </cell>
          <cell r="Z55">
            <v>8.9596999999999998</v>
          </cell>
          <cell r="AA55">
            <v>6.7</v>
          </cell>
          <cell r="AB55">
            <v>5.7323000000000004</v>
          </cell>
          <cell r="AC55">
            <v>6.3572790845518119</v>
          </cell>
          <cell r="AD55">
            <v>6.3805440903793196</v>
          </cell>
          <cell r="AE55">
            <v>6.3805440903793196</v>
          </cell>
          <cell r="AF55">
            <v>6.3805440903793196</v>
          </cell>
          <cell r="AG55">
            <v>6.3805440903793196</v>
          </cell>
          <cell r="AH55">
            <v>6.3805440903793196</v>
          </cell>
          <cell r="AI55">
            <v>6.3805440903793196</v>
          </cell>
          <cell r="AJ55">
            <v>6.3805440903793196</v>
          </cell>
          <cell r="AK55">
            <v>6.3805440903793196</v>
          </cell>
          <cell r="AL55">
            <v>6.3805440903793196</v>
          </cell>
          <cell r="AM55">
            <v>6.3805440903793196</v>
          </cell>
        </row>
        <row r="57">
          <cell r="D57">
            <v>1195.0990000000002</v>
          </cell>
          <cell r="E57">
            <v>1127.722</v>
          </cell>
          <cell r="F57">
            <v>1106.7772763322828</v>
          </cell>
          <cell r="G57">
            <v>1054.1823695105165</v>
          </cell>
          <cell r="H57">
            <v>1189.5920703823565</v>
          </cell>
          <cell r="I57">
            <v>1704.7901180267791</v>
          </cell>
          <cell r="J57">
            <v>2162.3284792796098</v>
          </cell>
          <cell r="K57">
            <v>1995.7054840347839</v>
          </cell>
          <cell r="L57">
            <v>2398.7106413176143</v>
          </cell>
          <cell r="M57">
            <v>3028.0928219224347</v>
          </cell>
          <cell r="N57">
            <v>2817.8388526642184</v>
          </cell>
          <cell r="O57">
            <v>3254.5666882162568</v>
          </cell>
          <cell r="P57">
            <v>3734.9527226971231</v>
          </cell>
          <cell r="Q57">
            <v>4051.991</v>
          </cell>
          <cell r="R57">
            <v>4645.0609999999997</v>
          </cell>
          <cell r="S57">
            <v>5112.9570000000003</v>
          </cell>
          <cell r="T57">
            <v>6073.3459999999995</v>
          </cell>
          <cell r="U57">
            <v>6130.2379999999994</v>
          </cell>
          <cell r="V57">
            <v>6748</v>
          </cell>
          <cell r="W57">
            <v>7484</v>
          </cell>
          <cell r="X57">
            <v>9133</v>
          </cell>
          <cell r="Y57">
            <v>10491</v>
          </cell>
          <cell r="Z57">
            <v>13309</v>
          </cell>
          <cell r="AA57">
            <v>12021</v>
          </cell>
          <cell r="AB57">
            <v>13301.895333</v>
          </cell>
          <cell r="AC57">
            <v>14525</v>
          </cell>
          <cell r="AD57">
            <v>18863.09451194643</v>
          </cell>
          <cell r="AE57">
            <v>20767.676756370198</v>
          </cell>
          <cell r="AF57">
            <v>22409.775659867519</v>
          </cell>
          <cell r="AG57">
            <v>24219.451908891577</v>
          </cell>
          <cell r="AH57">
            <v>26212.702397126872</v>
          </cell>
          <cell r="AI57">
            <v>28559.57941484758</v>
          </cell>
          <cell r="AJ57">
            <v>31157.335155940982</v>
          </cell>
          <cell r="AK57">
            <v>34028.947463403143</v>
          </cell>
          <cell r="AL57">
            <v>37200.003140394765</v>
          </cell>
          <cell r="AM57">
            <v>40717.231490150356</v>
          </cell>
        </row>
        <row r="58">
          <cell r="D58">
            <v>852</v>
          </cell>
          <cell r="E58">
            <v>1089</v>
          </cell>
          <cell r="F58">
            <v>1119</v>
          </cell>
          <cell r="G58">
            <v>1205</v>
          </cell>
          <cell r="H58">
            <v>1295</v>
          </cell>
          <cell r="I58">
            <v>1202</v>
          </cell>
          <cell r="J58">
            <v>1626</v>
          </cell>
          <cell r="K58">
            <v>2082</v>
          </cell>
          <cell r="L58">
            <v>2107</v>
          </cell>
          <cell r="M58">
            <v>2659</v>
          </cell>
          <cell r="N58">
            <v>3183</v>
          </cell>
          <cell r="O58">
            <v>3392</v>
          </cell>
          <cell r="P58">
            <v>3962</v>
          </cell>
          <cell r="Q58">
            <v>4002</v>
          </cell>
          <cell r="R58">
            <v>4553</v>
          </cell>
          <cell r="S58">
            <v>5309</v>
          </cell>
          <cell r="T58">
            <v>6590</v>
          </cell>
          <cell r="U58">
            <v>7400</v>
          </cell>
          <cell r="V58">
            <v>8375</v>
          </cell>
          <cell r="W58">
            <v>8992</v>
          </cell>
          <cell r="X58">
            <v>9851</v>
          </cell>
          <cell r="Y58">
            <v>11975</v>
          </cell>
          <cell r="Z58">
            <v>14853</v>
          </cell>
          <cell r="AA58">
            <v>16195</v>
          </cell>
          <cell r="AB58">
            <v>16027</v>
          </cell>
          <cell r="AC58">
            <v>17783</v>
          </cell>
          <cell r="AD58">
            <v>18652.460249027634</v>
          </cell>
          <cell r="AE58">
            <v>21690.738436994765</v>
          </cell>
          <cell r="AF58">
            <v>24400.378202604068</v>
          </cell>
          <cell r="AG58">
            <v>28352.053155874095</v>
          </cell>
          <cell r="AH58">
            <v>32979.65987989775</v>
          </cell>
          <cell r="AI58">
            <v>38238.390013119926</v>
          </cell>
          <cell r="AJ58">
            <v>45716.479353082301</v>
          </cell>
          <cell r="AK58">
            <v>56419.796345687879</v>
          </cell>
          <cell r="AL58">
            <v>71539.338927618548</v>
          </cell>
          <cell r="AM58">
            <v>94343.249499695812</v>
          </cell>
        </row>
        <row r="60">
          <cell r="D60">
            <v>1293.4990000000003</v>
          </cell>
          <cell r="E60">
            <v>1221.222</v>
          </cell>
          <cell r="F60">
            <v>1209.3772763322827</v>
          </cell>
          <cell r="G60">
            <v>1157.9823695105165</v>
          </cell>
          <cell r="H60">
            <v>1311.1920703823564</v>
          </cell>
          <cell r="I60">
            <v>1857.4901180267791</v>
          </cell>
          <cell r="J60">
            <v>2345.9284792796097</v>
          </cell>
          <cell r="K60">
            <v>2184.905484034784</v>
          </cell>
          <cell r="L60">
            <v>2634.5106413176145</v>
          </cell>
          <cell r="M60">
            <v>3329.0928219224347</v>
          </cell>
          <cell r="N60">
            <v>3158.8638526642185</v>
          </cell>
          <cell r="O60">
            <v>3654.3766882162568</v>
          </cell>
          <cell r="P60">
            <v>4219.5867226971232</v>
          </cell>
          <cell r="Q60">
            <v>4826.991</v>
          </cell>
          <cell r="R60">
            <v>5598.0609999999997</v>
          </cell>
          <cell r="S60">
            <v>6288.9570000000003</v>
          </cell>
          <cell r="T60">
            <v>7571.3459999999995</v>
          </cell>
          <cell r="U60">
            <v>7924.2379999999994</v>
          </cell>
          <cell r="V60">
            <v>8573</v>
          </cell>
          <cell r="W60">
            <v>9492</v>
          </cell>
          <cell r="X60">
            <v>10780</v>
          </cell>
          <cell r="Y60">
            <v>12387</v>
          </cell>
          <cell r="Z60">
            <v>16269</v>
          </cell>
          <cell r="AA60">
            <v>15178</v>
          </cell>
          <cell r="AB60">
            <v>16249.895333</v>
          </cell>
          <cell r="AC60">
            <v>17060</v>
          </cell>
          <cell r="AD60">
            <v>21534.705028196429</v>
          </cell>
          <cell r="AE60">
            <v>23583.259695438283</v>
          </cell>
          <cell r="AF60">
            <v>25377.089659626246</v>
          </cell>
          <cell r="AG60">
            <v>27346.673718268805</v>
          </cell>
          <cell r="AH60">
            <v>29508.449408005985</v>
          </cell>
          <cell r="AI60">
            <v>32032.933408206212</v>
          </cell>
          <cell r="AJ60">
            <v>34817.867327663211</v>
          </cell>
          <cell r="AK60">
            <v>37886.744798726446</v>
          </cell>
          <cell r="AL60">
            <v>41265.69620966931</v>
          </cell>
          <cell r="AM60">
            <v>45002.02374250484</v>
          </cell>
        </row>
        <row r="61">
          <cell r="D61">
            <v>1130</v>
          </cell>
          <cell r="E61">
            <v>1419</v>
          </cell>
          <cell r="F61">
            <v>1473</v>
          </cell>
          <cell r="G61">
            <v>1524</v>
          </cell>
          <cell r="H61">
            <v>1678</v>
          </cell>
          <cell r="I61">
            <v>1626</v>
          </cell>
          <cell r="J61">
            <v>2160</v>
          </cell>
          <cell r="K61">
            <v>2722</v>
          </cell>
          <cell r="L61">
            <v>2872</v>
          </cell>
          <cell r="M61">
            <v>3498</v>
          </cell>
          <cell r="N61">
            <v>4099</v>
          </cell>
          <cell r="O61">
            <v>4669</v>
          </cell>
          <cell r="P61">
            <v>5418</v>
          </cell>
          <cell r="Q61">
            <v>5273</v>
          </cell>
          <cell r="R61">
            <v>5925</v>
          </cell>
          <cell r="S61">
            <v>7071</v>
          </cell>
          <cell r="T61">
            <v>8797</v>
          </cell>
          <cell r="U61">
            <v>9639</v>
          </cell>
          <cell r="V61">
            <v>10901</v>
          </cell>
          <cell r="W61">
            <v>11773</v>
          </cell>
          <cell r="X61">
            <v>12120</v>
          </cell>
          <cell r="Y61">
            <v>14226</v>
          </cell>
          <cell r="Z61">
            <v>17212</v>
          </cell>
          <cell r="AA61">
            <v>18057</v>
          </cell>
          <cell r="AB61">
            <v>18508</v>
          </cell>
          <cell r="AC61">
            <v>20002</v>
          </cell>
          <cell r="AD61">
            <v>21552.056741720458</v>
          </cell>
          <cell r="AE61">
            <v>24825.06158779563</v>
          </cell>
          <cell r="AF61">
            <v>27760.199696047919</v>
          </cell>
          <cell r="AG61">
            <v>32034.037908778388</v>
          </cell>
          <cell r="AH61">
            <v>37022.687146138349</v>
          </cell>
          <cell r="AI61">
            <v>42493.648661387044</v>
          </cell>
          <cell r="AJ61">
            <v>50255.895456434504</v>
          </cell>
          <cell r="AK61">
            <v>61283.562133669235</v>
          </cell>
          <cell r="AL61">
            <v>76730.187037019001</v>
          </cell>
          <cell r="AM61">
            <v>99893.809426729931</v>
          </cell>
        </row>
        <row r="63">
          <cell r="E63">
            <v>93.967588153193063</v>
          </cell>
          <cell r="F63">
            <v>79.642309961371211</v>
          </cell>
          <cell r="G63">
            <v>82.089551191238428</v>
          </cell>
          <cell r="H63">
            <v>83.252462368806732</v>
          </cell>
          <cell r="I63">
            <v>102.70718845026168</v>
          </cell>
          <cell r="J63">
            <v>93.977341901436446</v>
          </cell>
          <cell r="K63">
            <v>86.274988983809308</v>
          </cell>
          <cell r="L63">
            <v>99.849815643529993</v>
          </cell>
          <cell r="M63">
            <v>100.84668245680358</v>
          </cell>
          <cell r="N63">
            <v>98.433390951986482</v>
          </cell>
          <cell r="O63">
            <v>72.988683957005946</v>
          </cell>
          <cell r="P63">
            <v>72.314483317704941</v>
          </cell>
          <cell r="Q63">
            <v>96.41810602978903</v>
          </cell>
          <cell r="R63">
            <v>106.6791141916229</v>
          </cell>
          <cell r="S63">
            <v>100.01521946564887</v>
          </cell>
          <cell r="T63">
            <v>109.01954897774471</v>
          </cell>
          <cell r="U63">
            <v>110.65093580498728</v>
          </cell>
          <cell r="V63">
            <v>114.78545504034878</v>
          </cell>
          <cell r="W63">
            <v>114.2601950287624</v>
          </cell>
          <cell r="X63">
            <v>120.49042955339615</v>
          </cell>
          <cell r="Y63">
            <v>132.32174951889641</v>
          </cell>
          <cell r="Z63">
            <v>132.10185002805756</v>
          </cell>
          <cell r="AA63">
            <v>95.909859572992701</v>
          </cell>
          <cell r="AB63">
            <v>103.94843697645632</v>
          </cell>
          <cell r="AC63">
            <v>102.37914210875122</v>
          </cell>
          <cell r="AD63">
            <v>112.28108175675014</v>
          </cell>
          <cell r="AE63">
            <v>111.30244805710996</v>
          </cell>
          <cell r="AF63">
            <v>107.99239877309232</v>
          </cell>
          <cell r="AG63">
            <v>105.38246278690291</v>
          </cell>
          <cell r="AH63">
            <v>101.46265718421567</v>
          </cell>
          <cell r="AI63">
            <v>99.096389669940692</v>
          </cell>
          <cell r="AJ63">
            <v>95.444369117225918</v>
          </cell>
          <cell r="AK63">
            <v>92.513263530777408</v>
          </cell>
          <cell r="AL63">
            <v>88.42655860150083</v>
          </cell>
          <cell r="AM63">
            <v>85.030533556806148</v>
          </cell>
        </row>
        <row r="65">
          <cell r="D65">
            <v>-194.8</v>
          </cell>
          <cell r="E65">
            <v>-109</v>
          </cell>
          <cell r="F65">
            <v>-170</v>
          </cell>
          <cell r="G65">
            <v>-106</v>
          </cell>
          <cell r="H65">
            <v>-180</v>
          </cell>
          <cell r="I65">
            <v>-629</v>
          </cell>
          <cell r="J65">
            <v>-562</v>
          </cell>
          <cell r="K65">
            <v>-217</v>
          </cell>
          <cell r="L65">
            <v>-595</v>
          </cell>
          <cell r="M65">
            <v>-341</v>
          </cell>
          <cell r="N65">
            <v>86</v>
          </cell>
          <cell r="O65">
            <v>258</v>
          </cell>
          <cell r="P65">
            <v>42</v>
          </cell>
          <cell r="Q65">
            <v>183</v>
          </cell>
          <cell r="R65">
            <v>182</v>
          </cell>
          <cell r="S65">
            <v>569</v>
          </cell>
          <cell r="T65">
            <v>310</v>
          </cell>
          <cell r="U65">
            <v>306</v>
          </cell>
          <cell r="V65">
            <v>484</v>
          </cell>
          <cell r="W65">
            <v>-106</v>
          </cell>
          <cell r="X65">
            <v>230</v>
          </cell>
          <cell r="Y65">
            <v>-10</v>
          </cell>
          <cell r="Z65">
            <v>356</v>
          </cell>
          <cell r="AA65">
            <v>1732</v>
          </cell>
          <cell r="AB65">
            <v>700.97047630796669</v>
          </cell>
          <cell r="AC65">
            <v>56.41199788189283</v>
          </cell>
          <cell r="AD65">
            <v>-110.55798148603276</v>
          </cell>
          <cell r="AE65">
            <v>-36.067966430238357</v>
          </cell>
          <cell r="AF65">
            <v>48.383514767022234</v>
          </cell>
          <cell r="AG65">
            <v>100.88025847257904</v>
          </cell>
          <cell r="AH65">
            <v>167.12538170696735</v>
          </cell>
          <cell r="AI65">
            <v>244.51758613785546</v>
          </cell>
          <cell r="AJ65">
            <v>327.7492854248942</v>
          </cell>
          <cell r="AK65">
            <v>415.37831396010165</v>
          </cell>
          <cell r="AL65">
            <v>507.73471308247213</v>
          </cell>
          <cell r="AM65">
            <v>605.05697254621919</v>
          </cell>
        </row>
        <row r="66">
          <cell r="D66">
            <v>368.1</v>
          </cell>
          <cell r="E66">
            <v>351</v>
          </cell>
          <cell r="F66">
            <v>474</v>
          </cell>
          <cell r="G66">
            <v>534</v>
          </cell>
          <cell r="H66">
            <v>561</v>
          </cell>
          <cell r="I66">
            <v>627</v>
          </cell>
          <cell r="J66">
            <v>778</v>
          </cell>
          <cell r="K66">
            <v>650</v>
          </cell>
          <cell r="L66">
            <v>625</v>
          </cell>
          <cell r="M66">
            <v>663</v>
          </cell>
          <cell r="N66">
            <v>628</v>
          </cell>
          <cell r="O66">
            <v>740</v>
          </cell>
          <cell r="P66">
            <v>879</v>
          </cell>
          <cell r="Q66">
            <v>769</v>
          </cell>
          <cell r="R66">
            <v>761</v>
          </cell>
          <cell r="S66">
            <v>1393</v>
          </cell>
          <cell r="T66">
            <v>1750</v>
          </cell>
          <cell r="U66">
            <v>1929</v>
          </cell>
          <cell r="V66">
            <v>2243</v>
          </cell>
          <cell r="W66">
            <v>2543</v>
          </cell>
          <cell r="X66">
            <v>3010</v>
          </cell>
          <cell r="Y66">
            <v>2985</v>
          </cell>
          <cell r="Z66">
            <v>2894</v>
          </cell>
          <cell r="AA66">
            <v>3467</v>
          </cell>
          <cell r="AB66">
            <v>4344.4296613895831</v>
          </cell>
          <cell r="AC66">
            <v>4323.4017747607932</v>
          </cell>
          <cell r="AD66">
            <v>5595.6821681408037</v>
          </cell>
          <cell r="AE66">
            <v>5104.9146774015026</v>
          </cell>
          <cell r="AF66">
            <v>5627.9339626650981</v>
          </cell>
          <cell r="AG66">
            <v>5502.1445431595766</v>
          </cell>
          <cell r="AH66">
            <v>5223.6618460866703</v>
          </cell>
          <cell r="AI66">
            <v>4725.5844757867362</v>
          </cell>
          <cell r="AJ66">
            <v>4066.5385383618668</v>
          </cell>
          <cell r="AK66">
            <v>3660.1565540997117</v>
          </cell>
          <cell r="AL66">
            <v>4426.140217133122</v>
          </cell>
          <cell r="AM66">
            <v>5583.7302002931774</v>
          </cell>
        </row>
        <row r="68">
          <cell r="D68">
            <v>336.79900000000026</v>
          </cell>
          <cell r="E68">
            <v>44.22199999999998</v>
          </cell>
          <cell r="F68">
            <v>40.37727633228269</v>
          </cell>
          <cell r="G68">
            <v>61.982369510516492</v>
          </cell>
          <cell r="H68">
            <v>14.192070382356405</v>
          </cell>
          <cell r="I68">
            <v>229.4901180267791</v>
          </cell>
          <cell r="J68">
            <v>401.92847927960975</v>
          </cell>
          <cell r="K68">
            <v>-104.09451596521603</v>
          </cell>
          <cell r="L68">
            <v>-207.4893586823855</v>
          </cell>
          <cell r="M68">
            <v>153.09282192243472</v>
          </cell>
          <cell r="N68">
            <v>-446.53614733578149</v>
          </cell>
          <cell r="O68">
            <v>-280.22331178374327</v>
          </cell>
          <cell r="P68">
            <v>-695.41327730287685</v>
          </cell>
          <cell r="Q68">
            <v>177.89099999999996</v>
          </cell>
          <cell r="R68">
            <v>369.06099999999969</v>
          </cell>
          <cell r="S68">
            <v>866.95700000000033</v>
          </cell>
          <cell r="T68">
            <v>414.34599999999955</v>
          </cell>
          <cell r="U68">
            <v>121.23799999999937</v>
          </cell>
          <cell r="V68">
            <v>-112</v>
          </cell>
          <cell r="W68">
            <v>-316</v>
          </cell>
          <cell r="X68">
            <v>1402</v>
          </cell>
          <cell r="Y68">
            <v>793</v>
          </cell>
          <cell r="Z68">
            <v>1941</v>
          </cell>
          <cell r="AA68">
            <v>1791</v>
          </cell>
          <cell r="AB68">
            <v>2384.2954706975506</v>
          </cell>
          <cell r="AC68">
            <v>1020.8137726426858</v>
          </cell>
          <cell r="AD68">
            <v>4893.5235049966032</v>
          </cell>
          <cell r="AE68">
            <v>3252.795850479778</v>
          </cell>
          <cell r="AF68">
            <v>2718.9584728763093</v>
          </cell>
          <cell r="AG68">
            <v>341.4116429884341</v>
          </cell>
          <cell r="AH68">
            <v>-2697.6994784728649</v>
          </cell>
          <cell r="AI68">
            <v>-6064.8621593903781</v>
          </cell>
          <cell r="AJ68">
            <v>-11617.989273118672</v>
          </cell>
          <cell r="AK68">
            <v>-19895.531435017114</v>
          </cell>
          <cell r="AL68">
            <v>-31104.864865268239</v>
          </cell>
          <cell r="AM68">
            <v>-49277.247479519836</v>
          </cell>
        </row>
        <row r="69">
          <cell r="D69">
            <v>336.79900000000026</v>
          </cell>
          <cell r="E69">
            <v>44.22199999999998</v>
          </cell>
          <cell r="F69">
            <v>40.37727633228269</v>
          </cell>
          <cell r="G69">
            <v>61.982369510516492</v>
          </cell>
          <cell r="H69">
            <v>14.192070382356405</v>
          </cell>
          <cell r="I69">
            <v>229.4901180267791</v>
          </cell>
          <cell r="J69">
            <v>401.92847927960975</v>
          </cell>
          <cell r="K69">
            <v>-104.09451596521603</v>
          </cell>
          <cell r="L69">
            <v>-207.4893586823855</v>
          </cell>
          <cell r="M69">
            <v>153.09282192243472</v>
          </cell>
          <cell r="N69">
            <v>-226.13614733578152</v>
          </cell>
          <cell r="O69">
            <v>-16.623311783743247</v>
          </cell>
          <cell r="P69">
            <v>-277.41327730287685</v>
          </cell>
          <cell r="Q69">
            <v>505.99099999999999</v>
          </cell>
          <cell r="R69">
            <v>616.06099999999969</v>
          </cell>
          <cell r="S69">
            <v>1179.9570000000003</v>
          </cell>
          <cell r="T69">
            <v>834.34599999999955</v>
          </cell>
          <cell r="U69">
            <v>520.23799999999937</v>
          </cell>
          <cell r="V69">
            <v>399</v>
          </cell>
          <cell r="W69">
            <v>156</v>
          </cell>
          <cell r="X69">
            <v>1900</v>
          </cell>
          <cell r="Y69">
            <v>1136</v>
          </cell>
          <cell r="Z69">
            <v>2307</v>
          </cell>
          <cell r="AA69">
            <v>2320</v>
          </cell>
          <cell r="AB69">
            <v>2787.2954706975506</v>
          </cell>
          <cell r="AC69">
            <v>1437.8137726426858</v>
          </cell>
          <cell r="AD69">
            <v>5467.7724731307417</v>
          </cell>
          <cell r="AE69">
            <v>3827.0448186139165</v>
          </cell>
          <cell r="AF69">
            <v>3293.2074410104478</v>
          </cell>
          <cell r="AG69">
            <v>915.66061112257285</v>
          </cell>
          <cell r="AH69">
            <v>-2123.4505103387264</v>
          </cell>
          <cell r="AI69">
            <v>-5490.6131912562396</v>
          </cell>
          <cell r="AJ69">
            <v>-11043.740304984532</v>
          </cell>
          <cell r="AK69">
            <v>-19321.282466882974</v>
          </cell>
          <cell r="AL69">
            <v>-30530.615897134099</v>
          </cell>
          <cell r="AM69">
            <v>-48702.998511385696</v>
          </cell>
        </row>
        <row r="71">
          <cell r="N71">
            <v>517.33614733578156</v>
          </cell>
          <cell r="O71">
            <v>341.22331178374321</v>
          </cell>
          <cell r="P71">
            <v>-437.3867226971231</v>
          </cell>
          <cell r="Q71">
            <v>-539.39100000000008</v>
          </cell>
          <cell r="R71">
            <v>-686.6609999999996</v>
          </cell>
          <cell r="S71">
            <v>-1312.5570000000002</v>
          </cell>
          <cell r="T71">
            <v>219.93506675000077</v>
          </cell>
          <cell r="U71">
            <v>-360.71207049999941</v>
          </cell>
          <cell r="V71">
            <v>482.41300374999992</v>
          </cell>
          <cell r="W71">
            <v>534.00000000000011</v>
          </cell>
          <cell r="X71">
            <v>-1700.8000000000002</v>
          </cell>
          <cell r="Y71">
            <v>-67.599999999999795</v>
          </cell>
          <cell r="Z71">
            <v>-1272.0000000000002</v>
          </cell>
          <cell r="AA71">
            <v>-3095.7999999999997</v>
          </cell>
          <cell r="AB71">
            <v>-2914.1954706975507</v>
          </cell>
          <cell r="AC71">
            <v>-2564.4137726426861</v>
          </cell>
          <cell r="AD71">
            <v>-1846.4445033703096</v>
          </cell>
          <cell r="AE71">
            <v>-2102.2223528276677</v>
          </cell>
          <cell r="AF71">
            <v>-2182.2955897173356</v>
          </cell>
          <cell r="AG71">
            <v>-2151.4439263547097</v>
          </cell>
          <cell r="AH71">
            <v>3499.2974933461664</v>
          </cell>
          <cell r="AI71">
            <v>7029.9897078678023</v>
          </cell>
          <cell r="AJ71">
            <v>12682.972419289106</v>
          </cell>
          <cell r="AK71">
            <v>21478.254117607721</v>
          </cell>
          <cell r="AL71">
            <v>33424.080585544682</v>
          </cell>
          <cell r="AM71">
            <v>52882.629447523126</v>
          </cell>
        </row>
        <row r="73">
          <cell r="N73">
            <v>-291.2</v>
          </cell>
          <cell r="O73">
            <v>-324.59999999999997</v>
          </cell>
          <cell r="P73">
            <v>714.8</v>
          </cell>
          <cell r="Q73">
            <v>33.400000000000006</v>
          </cell>
          <cell r="R73">
            <v>70.599999999999994</v>
          </cell>
          <cell r="S73">
            <v>132.60000000000002</v>
          </cell>
          <cell r="T73">
            <v>-1092.8610667500002</v>
          </cell>
          <cell r="U73">
            <v>-159.52592949999996</v>
          </cell>
          <cell r="V73">
            <v>-572.01300374999994</v>
          </cell>
          <cell r="W73">
            <v>-340.10000000000014</v>
          </cell>
          <cell r="X73">
            <v>-91.899999999999864</v>
          </cell>
          <cell r="Y73">
            <v>-711.50000000000023</v>
          </cell>
          <cell r="Z73">
            <v>-253.79999999999973</v>
          </cell>
          <cell r="AA73">
            <v>775.79999999999973</v>
          </cell>
          <cell r="AB73">
            <v>126.90000000000009</v>
          </cell>
          <cell r="AC73">
            <v>1126.6000000000001</v>
          </cell>
          <cell r="AD73">
            <v>-3302.3007652414685</v>
          </cell>
          <cell r="AE73">
            <v>-1405.7952612672725</v>
          </cell>
          <cell r="AF73">
            <v>-791.8846467741397</v>
          </cell>
          <cell r="AG73">
            <v>1554.8105197511193</v>
          </cell>
          <cell r="AH73">
            <v>-1056.8197784884792</v>
          </cell>
          <cell r="AI73">
            <v>-1220.3493120926007</v>
          </cell>
          <cell r="AJ73">
            <v>-1293.7077991745771</v>
          </cell>
          <cell r="AK73">
            <v>-1837.9444462057854</v>
          </cell>
          <cell r="AL73">
            <v>-2574.4374838916269</v>
          </cell>
          <cell r="AM73">
            <v>-3860.6037316184907</v>
          </cell>
        </row>
        <row r="75">
          <cell r="N75">
            <v>291.2</v>
          </cell>
          <cell r="O75">
            <v>615.79999999999995</v>
          </cell>
          <cell r="P75">
            <v>-99</v>
          </cell>
          <cell r="Q75">
            <v>-132.4</v>
          </cell>
          <cell r="R75">
            <v>-203</v>
          </cell>
          <cell r="S75">
            <v>-335.6</v>
          </cell>
          <cell r="T75">
            <v>943.6</v>
          </cell>
          <cell r="U75">
            <v>876.9</v>
          </cell>
          <cell r="V75">
            <v>1332.3</v>
          </cell>
          <cell r="W75">
            <v>2262.1</v>
          </cell>
          <cell r="X75">
            <v>2608.8000000000002</v>
          </cell>
          <cell r="Y75">
            <v>2387.1</v>
          </cell>
          <cell r="Z75">
            <v>2050.6999999999998</v>
          </cell>
          <cell r="AA75">
            <v>1259.5999999999999</v>
          </cell>
          <cell r="AB75">
            <v>970.3</v>
          </cell>
          <cell r="AC75">
            <v>-156.30000000000001</v>
          </cell>
          <cell r="AD75">
            <v>3464.4559765598078</v>
          </cell>
          <cell r="AE75">
            <v>5189.2784423460462</v>
          </cell>
          <cell r="AF75">
            <v>6300.1902936391516</v>
          </cell>
          <cell r="AG75">
            <v>5064.406978406998</v>
          </cell>
          <cell r="AH75">
            <v>6440.2539614144443</v>
          </cell>
          <cell r="AI75">
            <v>7979.6304780260125</v>
          </cell>
          <cell r="AJ75">
            <v>9592.3654817195547</v>
          </cell>
          <cell r="AK75">
            <v>11749.337132444305</v>
          </cell>
          <cell r="AL75">
            <v>14642.8018208549</v>
          </cell>
          <cell r="AM75">
            <v>18822.432756992352</v>
          </cell>
        </row>
        <row r="76">
          <cell r="S76">
            <v>-0.4962611646712114</v>
          </cell>
          <cell r="T76">
            <v>0.847698070542246</v>
          </cell>
          <cell r="U76">
            <v>0.98118972216657419</v>
          </cell>
          <cell r="V76">
            <v>1.4687196927735275</v>
          </cell>
          <cell r="W76">
            <v>1.6772945353111197</v>
          </cell>
          <cell r="X76">
            <v>1.5410935228623575</v>
          </cell>
          <cell r="Y76">
            <v>1.4759406075153934</v>
          </cell>
          <cell r="Z76">
            <v>2.1793477160025576</v>
          </cell>
          <cell r="AA76">
            <v>1.5407039391075839</v>
          </cell>
          <cell r="AB76">
            <v>1.3889025863434594</v>
          </cell>
          <cell r="AC76">
            <v>0.48140626664406561</v>
          </cell>
          <cell r="AD76">
            <v>2.147641494348655</v>
          </cell>
          <cell r="AE76">
            <v>2.516996463476203</v>
          </cell>
          <cell r="AF76">
            <v>2.5879289579635798</v>
          </cell>
          <cell r="AG76">
            <v>1.705538681343274</v>
          </cell>
          <cell r="AH76">
            <v>1.8115474011444412</v>
          </cell>
          <cell r="AI76">
            <v>1.9172694009668545</v>
          </cell>
          <cell r="AJ76">
            <v>1.9287106173264041</v>
          </cell>
          <cell r="AK76">
            <v>1.9404285027598203</v>
          </cell>
          <cell r="AL76">
            <v>1.9515421409319638</v>
          </cell>
          <cell r="AM76">
            <v>1.9621046672185134</v>
          </cell>
        </row>
        <row r="78">
          <cell r="Q78">
            <v>4.0146000000000001E-2</v>
          </cell>
          <cell r="R78">
            <v>0.22879400000000003</v>
          </cell>
          <cell r="S78">
            <v>0.99321349999999997</v>
          </cell>
          <cell r="T78">
            <v>108.11800149999999</v>
          </cell>
          <cell r="U78">
            <v>41.423236500000002</v>
          </cell>
          <cell r="V78">
            <v>9.3608927500000014</v>
          </cell>
          <cell r="W78">
            <v>255.02135499999997</v>
          </cell>
          <cell r="X78">
            <v>105.061425</v>
          </cell>
          <cell r="Y78">
            <v>35.0960605</v>
          </cell>
          <cell r="Z78">
            <v>51.101289750000007</v>
          </cell>
          <cell r="AA78">
            <v>77.851243249999996</v>
          </cell>
          <cell r="AB78">
            <v>93.184415749999999</v>
          </cell>
          <cell r="AC78">
            <v>141.42652525</v>
          </cell>
          <cell r="AD78">
            <v>191.09553123819018</v>
          </cell>
          <cell r="AE78">
            <v>221.91263934838292</v>
          </cell>
          <cell r="AF78">
            <v>249.91463728754533</v>
          </cell>
          <cell r="AG78">
            <v>271.52345386724596</v>
          </cell>
          <cell r="AH78">
            <v>271.06571044329257</v>
          </cell>
          <cell r="AI78">
            <v>262.28427753319579</v>
          </cell>
          <cell r="AJ78">
            <v>254.55482148348935</v>
          </cell>
          <cell r="AK78">
            <v>229.00367310334869</v>
          </cell>
          <cell r="AL78">
            <v>221.52105760897587</v>
          </cell>
          <cell r="AM78">
            <v>198.75111888970332</v>
          </cell>
        </row>
        <row r="82">
          <cell r="E82">
            <v>3.0000000000000027E-2</v>
          </cell>
          <cell r="F82">
            <v>3.0000000000000027E-2</v>
          </cell>
          <cell r="G82">
            <v>3.0000000000000027E-2</v>
          </cell>
          <cell r="H82">
            <v>3.0000000000000027E-2</v>
          </cell>
          <cell r="I82">
            <v>3.0000000000000027E-2</v>
          </cell>
          <cell r="J82">
            <v>3.0000000000000027E-2</v>
          </cell>
          <cell r="K82">
            <v>3.0000000000000027E-2</v>
          </cell>
          <cell r="L82">
            <v>3.0000000000000027E-2</v>
          </cell>
          <cell r="M82">
            <v>3.0000000000000027E-2</v>
          </cell>
          <cell r="N82">
            <v>3.0000000000000027E-2</v>
          </cell>
          <cell r="O82">
            <v>3.0000000000000027E-2</v>
          </cell>
          <cell r="P82">
            <v>2.6434580477216585E-2</v>
          </cell>
          <cell r="Q82">
            <v>2.6434580477216585E-2</v>
          </cell>
          <cell r="R82">
            <v>2.6434580477216585E-2</v>
          </cell>
          <cell r="S82">
            <v>2.6434580477216585E-2</v>
          </cell>
          <cell r="T82">
            <v>2.6434580477216585E-2</v>
          </cell>
          <cell r="U82">
            <v>2.6434580477216585E-2</v>
          </cell>
          <cell r="V82">
            <v>2.6434580477216585E-2</v>
          </cell>
          <cell r="W82">
            <v>2.6434580477216585E-2</v>
          </cell>
          <cell r="X82">
            <v>2.6434580477216585E-2</v>
          </cell>
          <cell r="Y82">
            <v>2.6434580470180213E-2</v>
          </cell>
          <cell r="Z82">
            <v>1.6999999999999904E-2</v>
          </cell>
          <cell r="AA82">
            <v>1.6999999999999904E-2</v>
          </cell>
          <cell r="AB82">
            <v>1.6999999999999904E-2</v>
          </cell>
          <cell r="AC82">
            <v>1.8000000000000016E-2</v>
          </cell>
          <cell r="AD82">
            <v>1.8000000000000016E-2</v>
          </cell>
          <cell r="AE82">
            <v>1.8000000000000016E-2</v>
          </cell>
          <cell r="AF82">
            <v>1.8999999999999906E-2</v>
          </cell>
          <cell r="AG82">
            <v>1.8999999999999906E-2</v>
          </cell>
          <cell r="AH82">
            <v>1.8999999999999906E-2</v>
          </cell>
          <cell r="AI82">
            <v>1.8999999999999906E-2</v>
          </cell>
          <cell r="AJ82">
            <v>1.8999999999999906E-2</v>
          </cell>
          <cell r="AK82">
            <v>1.8999999999999906E-2</v>
          </cell>
          <cell r="AL82">
            <v>1.8999999999999906E-2</v>
          </cell>
          <cell r="AM82">
            <v>1.8999999999999906E-2</v>
          </cell>
        </row>
        <row r="84">
          <cell r="E84">
            <v>2.7512221861945685E-2</v>
          </cell>
          <cell r="F84">
            <v>0.1466736718613324</v>
          </cell>
          <cell r="G84">
            <v>9.3096902499069545E-2</v>
          </cell>
          <cell r="H84">
            <v>0.10849389934300135</v>
          </cell>
          <cell r="I84">
            <v>0.24038744729012418</v>
          </cell>
          <cell r="J84">
            <v>0.16104056654242549</v>
          </cell>
          <cell r="K84">
            <v>0.13425534979820353</v>
          </cell>
          <cell r="L84">
            <v>0.22270903656083818</v>
          </cell>
          <cell r="M84">
            <v>0.17860595923645972</v>
          </cell>
          <cell r="N84">
            <v>6.8966713422857984E-2</v>
          </cell>
          <cell r="O84">
            <v>0.12870033243628298</v>
          </cell>
          <cell r="P84">
            <v>0.17166900420757369</v>
          </cell>
          <cell r="Q84">
            <v>0.11347857313861631</v>
          </cell>
          <cell r="R84">
            <v>0.24134594710814872</v>
          </cell>
          <cell r="S84">
            <v>0.10037239109725471</v>
          </cell>
          <cell r="T84">
            <v>0.18148906028647893</v>
          </cell>
          <cell r="U84">
            <v>0.11584066080468958</v>
          </cell>
          <cell r="V84">
            <v>0.12160468031759297</v>
          </cell>
          <cell r="W84">
            <v>0.10091547796465838</v>
          </cell>
          <cell r="X84">
            <v>0.14532972345774509</v>
          </cell>
          <cell r="Y84">
            <v>0.16872097931616725</v>
          </cell>
          <cell r="Z84">
            <v>0.18857225412648537</v>
          </cell>
          <cell r="AA84">
            <v>2.8382156314573859E-2</v>
          </cell>
          <cell r="AB84">
            <v>6.9203947757224826E-2</v>
          </cell>
          <cell r="AC84">
            <v>6.566438204731373E-2</v>
          </cell>
          <cell r="AD84">
            <v>0.10394789650744984</v>
          </cell>
          <cell r="AE84">
            <v>0.134703575949086</v>
          </cell>
          <cell r="AF84">
            <v>9.1381810430436916E-2</v>
          </cell>
          <cell r="AG84">
            <v>0.11843333862369509</v>
          </cell>
          <cell r="AH84">
            <v>0.12235536442018624</v>
          </cell>
          <cell r="AI84">
            <v>0.12553785631799697</v>
          </cell>
          <cell r="AJ84">
            <v>0.12843049102566595</v>
          </cell>
          <cell r="AK84">
            <v>0.12704213706909195</v>
          </cell>
          <cell r="AL84">
            <v>0.10979565656684609</v>
          </cell>
          <cell r="AM84">
            <v>0.11221330603485313</v>
          </cell>
        </row>
        <row r="85">
          <cell r="E85">
            <v>1.3956153650381165E-2</v>
          </cell>
          <cell r="F85">
            <v>-9.2827950946682281E-3</v>
          </cell>
          <cell r="G85">
            <v>-2.3281324663215974E-2</v>
          </cell>
          <cell r="H85">
            <v>-8.1032828094940168E-4</v>
          </cell>
          <cell r="I85">
            <v>-6.6292705868986612E-3</v>
          </cell>
          <cell r="J85">
            <v>5.1881026000692776E-2</v>
          </cell>
          <cell r="K85">
            <v>3.5505166724535631E-2</v>
          </cell>
          <cell r="L85">
            <v>4.0599504177589729E-3</v>
          </cell>
          <cell r="M85">
            <v>1.6032777251593355E-2</v>
          </cell>
          <cell r="N85">
            <v>-1.2707596590383119E-2</v>
          </cell>
          <cell r="O85">
            <v>7.5645816028848678E-2</v>
          </cell>
          <cell r="P85">
            <v>7.0012539445103883E-2</v>
          </cell>
          <cell r="Q85">
            <v>0.52471751121085486</v>
          </cell>
          <cell r="R85">
            <v>7.3162152655645407E-2</v>
          </cell>
          <cell r="S85">
            <v>4.1134054408390686E-2</v>
          </cell>
          <cell r="T85">
            <v>3.1874704863843917E-2</v>
          </cell>
          <cell r="U85">
            <v>4.2254595377926973E-2</v>
          </cell>
          <cell r="V85">
            <v>3.2930845225027428E-2</v>
          </cell>
          <cell r="W85">
            <v>3.3652143110166399E-2</v>
          </cell>
          <cell r="X85">
            <v>3.4955448937628475E-2</v>
          </cell>
          <cell r="Y85">
            <v>2.3973509933774784E-2</v>
          </cell>
          <cell r="Z85">
            <v>6.6744276290259918E-2</v>
          </cell>
          <cell r="AA85">
            <v>3.4861161634533788E-2</v>
          </cell>
          <cell r="AB85">
            <v>6.5850372019450543E-2</v>
          </cell>
          <cell r="AC85">
            <v>4.1554444016929537E-2</v>
          </cell>
          <cell r="AD85">
            <v>3.0806541140937949E-2</v>
          </cell>
          <cell r="AE85">
            <v>6.2411052053453542E-2</v>
          </cell>
          <cell r="AF85">
            <v>3.938129101951815E-2</v>
          </cell>
          <cell r="AG85">
            <v>6.1624426590981107E-2</v>
          </cell>
          <cell r="AH85">
            <v>6.826697353551725E-2</v>
          </cell>
          <cell r="AI85">
            <v>7.5095600639914162E-2</v>
          </cell>
          <cell r="AJ85">
            <v>8.3064385661106188E-2</v>
          </cell>
          <cell r="AK85">
            <v>8.3438213800176131E-2</v>
          </cell>
          <cell r="AL85">
            <v>6.5288938279307374E-2</v>
          </cell>
          <cell r="AM85">
            <v>7.2107970362050189E-2</v>
          </cell>
        </row>
        <row r="87">
          <cell r="E87">
            <v>1.3369481671136052E-2</v>
          </cell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7.0955462977132511E-2</v>
          </cell>
          <cell r="AE87">
            <v>6.8045718985983328E-2</v>
          </cell>
          <cell r="AF87">
            <v>5.0030263061510372E-2</v>
          </cell>
          <cell r="AG87">
            <v>5.3511308340120634E-2</v>
          </cell>
          <cell r="AH87">
            <v>5.0631904032059749E-2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4.1779011015948164E-2</v>
          </cell>
          <cell r="AM87">
            <v>3.7407926049891405E-2</v>
          </cell>
        </row>
        <row r="89">
          <cell r="E89">
            <v>-1.5576549853999033E-2</v>
          </cell>
          <cell r="F89">
            <v>-3.8138636014241167E-2</v>
          </cell>
          <cell r="G89">
            <v>-5.1729441420598099E-2</v>
          </cell>
          <cell r="H89">
            <v>-2.9912940078591577E-2</v>
          </cell>
          <cell r="I89">
            <v>-3.556239862805699E-2</v>
          </cell>
          <cell r="J89">
            <v>2.1243714563779381E-2</v>
          </cell>
          <cell r="K89">
            <v>5.3448220626561849E-3</v>
          </cell>
          <cell r="L89">
            <v>-2.5184514157515658E-2</v>
          </cell>
          <cell r="M89">
            <v>-1.3560410435346393E-2</v>
          </cell>
          <cell r="N89">
            <v>-4.1463686010080658E-2</v>
          </cell>
          <cell r="O89">
            <v>4.4316326241600645E-2</v>
          </cell>
          <cell r="P89">
            <v>4.2455661370670583E-2</v>
          </cell>
          <cell r="Q89">
            <v>0.48545025685121956</v>
          </cell>
          <cell r="R89">
            <v>4.5524160104488898E-2</v>
          </cell>
          <cell r="S89">
            <v>1.4320906768690467E-2</v>
          </cell>
          <cell r="T89">
            <v>5.3000205664328615E-3</v>
          </cell>
          <cell r="U89">
            <v>1.5412589561582202E-2</v>
          </cell>
          <cell r="V89">
            <v>6.3289613107060383E-3</v>
          </cell>
          <cell r="W89">
            <v>7.0316830416938814E-3</v>
          </cell>
          <cell r="X89">
            <v>8.3014238047693922E-3</v>
          </cell>
          <cell r="Y89">
            <v>-2.3976886430289168E-3</v>
          </cell>
          <cell r="Z89">
            <v>4.8912759380786541E-2</v>
          </cell>
          <cell r="AA89">
            <v>1.7562597477417841E-2</v>
          </cell>
          <cell r="AB89">
            <v>4.8033797462586625E-2</v>
          </cell>
          <cell r="AC89">
            <v>2.3137960723899287E-2</v>
          </cell>
          <cell r="AD89">
            <v>1.2580099352591523E-2</v>
          </cell>
          <cell r="AE89">
            <v>4.3625787871761856E-2</v>
          </cell>
          <cell r="AF89">
            <v>2.0001266947515584E-2</v>
          </cell>
          <cell r="AG89">
            <v>4.1829662994093519E-2</v>
          </cell>
          <cell r="AH89">
            <v>4.8348354794423232E-2</v>
          </cell>
          <cell r="AI89">
            <v>5.5049657153988685E-2</v>
          </cell>
          <cell r="AJ89">
            <v>6.2869858352410324E-2</v>
          </cell>
          <cell r="AK89">
            <v>6.3236716192518472E-2</v>
          </cell>
          <cell r="AL89">
            <v>4.5425847182833712E-2</v>
          </cell>
          <cell r="AM89">
            <v>5.2117733426938484E-2</v>
          </cell>
        </row>
        <row r="90">
          <cell r="E90">
            <v>0.28513822123272514</v>
          </cell>
          <cell r="F90">
            <v>-1.1072485430398293E-2</v>
          </cell>
          <cell r="G90">
            <v>3.0711486568094193E-2</v>
          </cell>
          <cell r="H90">
            <v>1.4256315239242756E-3</v>
          </cell>
          <cell r="I90">
            <v>-9.7346382670281062E-2</v>
          </cell>
          <cell r="J90">
            <v>3.4086532843454087E-2</v>
          </cell>
          <cell r="K90">
            <v>9.0438187640802026E-2</v>
          </cell>
          <cell r="L90">
            <v>-6.5166391314954275E-2</v>
          </cell>
          <cell r="M90">
            <v>-9.7334000148503463E-3</v>
          </cell>
          <cell r="N90">
            <v>-4.2431508129002427E-2</v>
          </cell>
          <cell r="O90">
            <v>-4.1677868471469259E-2</v>
          </cell>
          <cell r="P90">
            <v>-2.0247646260740604E-2</v>
          </cell>
          <cell r="Q90">
            <v>0.7890115921510501</v>
          </cell>
          <cell r="R90">
            <v>-5.1843740941675764E-2</v>
          </cell>
          <cell r="S90">
            <v>4.618874598388123E-2</v>
          </cell>
          <cell r="T90">
            <v>5.0954936166815568E-2</v>
          </cell>
          <cell r="U90">
            <v>8.4066656231497117E-2</v>
          </cell>
          <cell r="V90">
            <v>-1.3804488402714754E-2</v>
          </cell>
          <cell r="W90">
            <v>1.1676988625991092E-2</v>
          </cell>
          <cell r="X90">
            <v>-5.8242277604808601E-3</v>
          </cell>
          <cell r="Y90">
            <v>4.2815904990356479E-3</v>
          </cell>
          <cell r="Z90">
            <v>1.6695397561864E-2</v>
          </cell>
          <cell r="AA90">
            <v>-0.17868265558295504</v>
          </cell>
          <cell r="AB90">
            <v>0.13682740509373503</v>
          </cell>
          <cell r="AC90">
            <v>4.0738961921027439E-3</v>
          </cell>
          <cell r="AD90">
            <v>-2.8417607144372248E-2</v>
          </cell>
          <cell r="AE90">
            <v>0.10084530033143135</v>
          </cell>
          <cell r="AF90">
            <v>1.3736259003727991E-2</v>
          </cell>
          <cell r="AG90">
            <v>6.1863382654618437E-2</v>
          </cell>
          <cell r="AH90">
            <v>6.9767942769233038E-2</v>
          </cell>
          <cell r="AI90">
            <v>7.651082965976741E-2</v>
          </cell>
          <cell r="AJ90">
            <v>9.4212693395215652E-2</v>
          </cell>
          <cell r="AK90">
            <v>0.12278058894426991</v>
          </cell>
          <cell r="AL90">
            <v>0.11739053530234878</v>
          </cell>
          <cell r="AM90">
            <v>0.16081189947987662</v>
          </cell>
        </row>
        <row r="92">
          <cell r="E92">
            <v>0.14799999999999991</v>
          </cell>
          <cell r="F92">
            <v>0.15199999999999991</v>
          </cell>
          <cell r="G92">
            <v>0.12199999999999989</v>
          </cell>
          <cell r="H92">
            <v>9.099999999999997E-2</v>
          </cell>
          <cell r="I92">
            <v>0.11899999999999999</v>
          </cell>
          <cell r="J92">
            <v>0.13399999999999967</v>
          </cell>
          <cell r="K92">
            <v>0.12599999999999989</v>
          </cell>
          <cell r="L92">
            <v>0.12800000000000011</v>
          </cell>
          <cell r="M92">
            <v>0.15199999999999991</v>
          </cell>
          <cell r="N92">
            <v>0.12000000000000011</v>
          </cell>
          <cell r="O92">
            <v>0.11899999999999999</v>
          </cell>
          <cell r="P92">
            <v>0.11699999999999977</v>
          </cell>
          <cell r="Q92">
            <v>8.4999999999999964E-2</v>
          </cell>
          <cell r="R92">
            <v>0.10762929802838372</v>
          </cell>
          <cell r="S92">
            <v>0.10009459110843566</v>
          </cell>
          <cell r="T92">
            <v>8.0043773938872631E-2</v>
          </cell>
          <cell r="U92">
            <v>8.8218619574919721E-2</v>
          </cell>
          <cell r="V92">
            <v>6.2084675028127423E-2</v>
          </cell>
          <cell r="W92">
            <v>8.5783763756763998E-2</v>
          </cell>
          <cell r="X92">
            <v>9.2660232996270242E-2</v>
          </cell>
          <cell r="Y92">
            <v>9.2658360191907985E-2</v>
          </cell>
          <cell r="Z92">
            <v>0.11702030650218864</v>
          </cell>
          <cell r="AA92">
            <v>7.1522563665918248E-2</v>
          </cell>
          <cell r="AB92">
            <v>4.1465000361193161E-2</v>
          </cell>
          <cell r="AC92">
            <v>2.3229608092007803E-2</v>
          </cell>
          <cell r="AD92">
            <v>4.6999999999999931E-2</v>
          </cell>
          <cell r="AE92">
            <v>5.0000000000000044E-2</v>
          </cell>
          <cell r="AF92">
            <v>4.0000000000000036E-2</v>
          </cell>
          <cell r="AG92">
            <v>4.0000000000000258E-2</v>
          </cell>
          <cell r="AH92">
            <v>4.4999999999999929E-2</v>
          </cell>
          <cell r="AI92">
            <v>4.4999999999999707E-2</v>
          </cell>
          <cell r="AJ92">
            <v>4.5000000000000151E-2</v>
          </cell>
          <cell r="AK92">
            <v>4.4999999999999929E-2</v>
          </cell>
          <cell r="AL92">
            <v>4.4999999999999929E-2</v>
          </cell>
          <cell r="AM92">
            <v>4.4999999999999929E-2</v>
          </cell>
        </row>
        <row r="94">
          <cell r="E94">
            <v>-0.36137381949089487</v>
          </cell>
          <cell r="F94">
            <v>-0.15549646299032571</v>
          </cell>
          <cell r="G94">
            <v>6.9731612193180137E-2</v>
          </cell>
          <cell r="H94">
            <v>-0.1510507644609943</v>
          </cell>
          <cell r="I94">
            <v>0.34469796788755391</v>
          </cell>
          <cell r="J94">
            <v>0.26767301123178933</v>
          </cell>
          <cell r="K94">
            <v>-0.3096643338146613</v>
          </cell>
          <cell r="L94">
            <v>0.32985097470202351</v>
          </cell>
          <cell r="M94">
            <v>0.75412353950926647</v>
          </cell>
          <cell r="N94">
            <v>-4.7500338806573339E-2</v>
          </cell>
          <cell r="O94">
            <v>0.36989022097758917</v>
          </cell>
          <cell r="P94">
            <v>7.8366859717410531E-2</v>
          </cell>
          <cell r="Q94">
            <v>-7.73713094804237E-2</v>
          </cell>
          <cell r="R94">
            <v>1.3276427232996615</v>
          </cell>
          <cell r="S94">
            <v>0.16648469464700066</v>
          </cell>
          <cell r="T94">
            <v>9.3318011855348937E-2</v>
          </cell>
          <cell r="U94">
            <v>-9.3883716597132794E-2</v>
          </cell>
          <cell r="V94">
            <v>0.34299496594823276</v>
          </cell>
          <cell r="W94">
            <v>-5.0591828942344375E-2</v>
          </cell>
          <cell r="X94">
            <v>0.31329177558817611</v>
          </cell>
          <cell r="Y94">
            <v>0.16689634052978097</v>
          </cell>
          <cell r="Z94">
            <v>0.15509775619997379</v>
          </cell>
          <cell r="AA94">
            <v>0.40940588435760539</v>
          </cell>
          <cell r="AB94">
            <v>-2.2737540662529199E-2</v>
          </cell>
          <cell r="AC94">
            <v>6.6843191445475902E-4</v>
          </cell>
          <cell r="AD94">
            <v>0.48007338647291653</v>
          </cell>
          <cell r="AE94">
            <v>-3.4834451081612872E-2</v>
          </cell>
          <cell r="AF94">
            <v>7.1141909505839429E-2</v>
          </cell>
          <cell r="AG94">
            <v>-7.0434832280013016E-3</v>
          </cell>
          <cell r="AH94">
            <v>-4.6997914852265898E-2</v>
          </cell>
          <cell r="AI94">
            <v>-5.0315206213184305E-2</v>
          </cell>
          <cell r="AJ94">
            <v>-0.16338845618117015</v>
          </cell>
          <cell r="AK94">
            <v>-0.36468862547023173</v>
          </cell>
          <cell r="AL94">
            <v>-0.91496274870534744</v>
          </cell>
          <cell r="AM94">
            <v>-19.449593832991187</v>
          </cell>
        </row>
        <row r="95">
          <cell r="E95">
            <v>0.2936298518044031</v>
          </cell>
          <cell r="F95">
            <v>0.21625284900622724</v>
          </cell>
          <cell r="G95">
            <v>0.21163037630050988</v>
          </cell>
          <cell r="H95">
            <v>0.16207887682885361</v>
          </cell>
          <cell r="I95">
            <v>0.17570891803638122</v>
          </cell>
          <cell r="J95">
            <v>0.19184640024317351</v>
          </cell>
          <cell r="K95">
            <v>0.11676243144076204</v>
          </cell>
          <cell r="L95">
            <v>0.12699393610177961</v>
          </cell>
          <cell r="M95">
            <v>0.18900553738535367</v>
          </cell>
          <cell r="N95">
            <v>0.16841283087924946</v>
          </cell>
          <cell r="O95">
            <v>0.20440065753383679</v>
          </cell>
          <cell r="P95">
            <v>0.18812385955196601</v>
          </cell>
          <cell r="Q95">
            <v>0.15587948828208986</v>
          </cell>
          <cell r="R95">
            <v>0.29228899281198578</v>
          </cell>
          <cell r="S95">
            <v>0.30985022823862746</v>
          </cell>
          <cell r="T95">
            <v>0.28672701838529174</v>
          </cell>
          <cell r="U95">
            <v>0.23283612918631708</v>
          </cell>
          <cell r="V95">
            <v>0.27879497551628701</v>
          </cell>
          <cell r="W95">
            <v>0.24042738348481918</v>
          </cell>
          <cell r="X95">
            <v>0.27568594343604896</v>
          </cell>
          <cell r="Y95">
            <v>0.27525553508866979</v>
          </cell>
          <cell r="Z95">
            <v>0.26750334265224263</v>
          </cell>
          <cell r="AA95">
            <v>0.36661544825955911</v>
          </cell>
          <cell r="AB95">
            <v>0.33508996608998454</v>
          </cell>
          <cell r="AC95">
            <v>0.31465248962655601</v>
          </cell>
          <cell r="AD95">
            <v>0.421857568964142</v>
          </cell>
          <cell r="AE95">
            <v>0.35882709876374075</v>
          </cell>
          <cell r="AF95">
            <v>0.35217257615888398</v>
          </cell>
          <cell r="AG95">
            <v>0.31266240235262094</v>
          </cell>
          <cell r="AH95">
            <v>0.265484472062268</v>
          </cell>
          <cell r="AI95">
            <v>0.22400540744923961</v>
          </cell>
          <cell r="AJ95">
            <v>0.16607625479841084</v>
          </cell>
          <cell r="AK95">
            <v>9.3616849133180399E-2</v>
          </cell>
          <cell r="AL95">
            <v>7.1733201315447095E-3</v>
          </cell>
          <cell r="AM95">
            <v>-0.11899232111584856</v>
          </cell>
        </row>
        <row r="97">
          <cell r="E97">
            <v>-7.6172742350405165E-2</v>
          </cell>
          <cell r="F97">
            <v>-0.32963279452993433</v>
          </cell>
          <cell r="G97">
            <v>-5.6113164124062198E-2</v>
          </cell>
          <cell r="H97">
            <v>-0.18141630634057004</v>
          </cell>
          <cell r="I97">
            <v>-0.31745871249183111</v>
          </cell>
          <cell r="J97">
            <v>-0.31818573126834471</v>
          </cell>
          <cell r="K97">
            <v>1.1211957570145228</v>
          </cell>
          <cell r="L97">
            <v>0.30388903918479326</v>
          </cell>
          <cell r="M97">
            <v>-9.7385274421347479E-2</v>
          </cell>
          <cell r="N97">
            <v>0.59552490421473037</v>
          </cell>
          <cell r="O97">
            <v>-0.36170581185263917</v>
          </cell>
          <cell r="P97">
            <v>0.37984567610534792</v>
          </cell>
          <cell r="Q97">
            <v>-6.9030513588900999E-2</v>
          </cell>
          <cell r="R97">
            <v>1.0796335447498238</v>
          </cell>
          <cell r="S97">
            <v>-6.574042697390714E-2</v>
          </cell>
          <cell r="T97">
            <v>0.18135654697134562</v>
          </cell>
          <cell r="U97">
            <v>-9.1802272029474996E-2</v>
          </cell>
          <cell r="V97">
            <v>0.33333333333333326</v>
          </cell>
          <cell r="W97">
            <v>-4.4371196754563913E-2</v>
          </cell>
          <cell r="X97">
            <v>-5.1472539135049122E-2</v>
          </cell>
          <cell r="Y97">
            <v>0.26097902097902104</v>
          </cell>
          <cell r="Z97">
            <v>2.8172138420585524E-2</v>
          </cell>
          <cell r="AA97">
            <v>0.29859762675296664</v>
          </cell>
          <cell r="AB97">
            <v>-8.0245888021265976E-2</v>
          </cell>
          <cell r="AC97">
            <v>0.11199421965317913</v>
          </cell>
          <cell r="AD97">
            <v>3.8396668347153273E-2</v>
          </cell>
          <cell r="AE97">
            <v>6.3657274272268527E-3</v>
          </cell>
          <cell r="AF97">
            <v>7.2909719762083158E-2</v>
          </cell>
          <cell r="AG97">
            <v>9.4800189921949496E-2</v>
          </cell>
          <cell r="AH97">
            <v>6.826697353551725E-2</v>
          </cell>
          <cell r="AI97">
            <v>7.5095600639914162E-2</v>
          </cell>
          <cell r="AJ97">
            <v>8.3064385661105966E-2</v>
          </cell>
          <cell r="AK97">
            <v>8.3438213800176353E-2</v>
          </cell>
          <cell r="AL97">
            <v>6.5288938279307374E-2</v>
          </cell>
          <cell r="AM97">
            <v>7.2107970362050411E-2</v>
          </cell>
        </row>
        <row r="98">
          <cell r="E98">
            <v>-0.15847665847665848</v>
          </cell>
          <cell r="F98">
            <v>-0.11094890510948907</v>
          </cell>
          <cell r="G98">
            <v>-0.25615763546798032</v>
          </cell>
          <cell r="H98">
            <v>-0.14128035320088306</v>
          </cell>
          <cell r="I98">
            <v>0.12596401028277637</v>
          </cell>
          <cell r="J98">
            <v>-0.15753424657534243</v>
          </cell>
          <cell r="K98">
            <v>0</v>
          </cell>
          <cell r="L98">
            <v>-4.065040650406504E-2</v>
          </cell>
          <cell r="M98">
            <v>-0.15536723163841804</v>
          </cell>
          <cell r="N98">
            <v>0.28428093645484953</v>
          </cell>
          <cell r="O98">
            <v>-0.11197916666666663</v>
          </cell>
          <cell r="P98">
            <v>0.29912023460410553</v>
          </cell>
          <cell r="Q98">
            <v>0.38826185101580135</v>
          </cell>
          <cell r="R98">
            <v>0.42439024390243896</v>
          </cell>
          <cell r="S98">
            <v>-0.20776255707762559</v>
          </cell>
          <cell r="T98">
            <v>-4.0345821325648457E-2</v>
          </cell>
          <cell r="U98">
            <v>7.3573573573573636E-2</v>
          </cell>
          <cell r="V98">
            <v>-7.972027972027973E-2</v>
          </cell>
          <cell r="W98">
            <v>9.1185410334346573E-2</v>
          </cell>
          <cell r="X98">
            <v>-2.5069637883008311E-2</v>
          </cell>
          <cell r="Y98">
            <v>4.4285714285714262E-2</v>
          </cell>
          <cell r="Z98">
            <v>-9.7127222982216099E-2</v>
          </cell>
          <cell r="AA98">
            <v>-0.10909090909090913</v>
          </cell>
          <cell r="AB98">
            <v>0.20238095238095233</v>
          </cell>
          <cell r="AC98">
            <v>0.12446958981612455</v>
          </cell>
          <cell r="AD98">
            <v>-6.2638935338471313E-2</v>
          </cell>
          <cell r="AE98">
            <v>5.1608854728590892E-4</v>
          </cell>
          <cell r="AF98">
            <v>6.2801279968385471E-2</v>
          </cell>
          <cell r="AG98">
            <v>9.1204209507242506E-2</v>
          </cell>
          <cell r="AH98">
            <v>0.10067889866442559</v>
          </cell>
          <cell r="AI98">
            <v>0.10681692741160398</v>
          </cell>
          <cell r="AJ98">
            <v>0.11326151249484262</v>
          </cell>
          <cell r="AK98">
            <v>0.11014899348743978</v>
          </cell>
          <cell r="AL98">
            <v>9.7359462465223201E-2</v>
          </cell>
          <cell r="AM98">
            <v>8.8395321832949181E-2</v>
          </cell>
        </row>
        <row r="99">
          <cell r="E99">
            <v>-1.7256623899919887E-2</v>
          </cell>
          <cell r="F99">
            <v>-0.4636795965690369</v>
          </cell>
          <cell r="G99">
            <v>0.14715465286671847</v>
          </cell>
          <cell r="H99">
            <v>-0.20786075940694626</v>
          </cell>
          <cell r="I99">
            <v>-0.63417385227114997</v>
          </cell>
          <cell r="J99">
            <v>-0.67135701891033694</v>
          </cell>
          <cell r="K99">
            <v>7.4396374929480817</v>
          </cell>
          <cell r="L99">
            <v>0.53395040691939655</v>
          </cell>
          <cell r="M99">
            <v>-7.3171460826611301E-2</v>
          </cell>
          <cell r="N99">
            <v>0.7139761942060181</v>
          </cell>
          <cell r="O99">
            <v>-0.4329187631967385</v>
          </cell>
          <cell r="P99">
            <v>0.41589377848026921</v>
          </cell>
          <cell r="Q99">
            <v>-0.25639384624813355</v>
          </cell>
          <cell r="R99">
            <v>1.5808457711442787</v>
          </cell>
          <cell r="S99">
            <v>-5.7831325301205272E-3</v>
          </cell>
          <cell r="T99">
            <v>0.25593795443528844</v>
          </cell>
          <cell r="U99">
            <v>-0.13431107680432264</v>
          </cell>
          <cell r="V99">
            <v>0.46500222915737854</v>
          </cell>
          <cell r="W99">
            <v>-7.1515520389531351E-2</v>
          </cell>
          <cell r="X99">
            <v>-5.7686004588659467E-2</v>
          </cell>
          <cell r="Y99">
            <v>0.31373913043478252</v>
          </cell>
          <cell r="Z99">
            <v>5.2422557585385166E-2</v>
          </cell>
          <cell r="AA99">
            <v>0.36628930817610073</v>
          </cell>
          <cell r="AB99">
            <v>-0.11084514822316327</v>
          </cell>
          <cell r="AC99">
            <v>0.11016773659142687</v>
          </cell>
          <cell r="AD99">
            <v>5.3379564249050659E-2</v>
          </cell>
          <cell r="AE99">
            <v>7.1376476152811286E-3</v>
          </cell>
          <cell r="AF99">
            <v>7.4234862673409063E-2</v>
          </cell>
          <cell r="AG99">
            <v>9.5266579387976336E-2</v>
          </cell>
          <cell r="AH99">
            <v>6.4078821499279348E-2</v>
          </cell>
          <cell r="AI99">
            <v>7.0855698852803961E-2</v>
          </cell>
          <cell r="AJ99">
            <v>7.8892667919808757E-2</v>
          </cell>
          <cell r="AK99">
            <v>7.9630583170057223E-2</v>
          </cell>
          <cell r="AL99">
            <v>6.0588044955239395E-2</v>
          </cell>
          <cell r="AM99">
            <v>6.9637799518119214E-2</v>
          </cell>
        </row>
        <row r="101">
          <cell r="D101">
            <v>0.32168218162167089</v>
          </cell>
          <cell r="E101">
            <v>0.29308838120110309</v>
          </cell>
          <cell r="F101">
            <v>0.19831778239916928</v>
          </cell>
          <cell r="G101">
            <v>0.19165144360748451</v>
          </cell>
          <cell r="H101">
            <v>0.15700997622750495</v>
          </cell>
          <cell r="I101">
            <v>0.10788096342365897</v>
          </cell>
          <cell r="J101">
            <v>6.9926900826824165E-2</v>
          </cell>
          <cell r="K101">
            <v>0.14324278632449647</v>
          </cell>
          <cell r="L101">
            <v>0.1860174772961414</v>
          </cell>
          <cell r="M101">
            <v>0.16525265521125354</v>
          </cell>
          <cell r="N101">
            <v>0.26705839725556313</v>
          </cell>
          <cell r="O101">
            <v>0.15847393289131084</v>
          </cell>
          <cell r="P101">
            <v>0.2043616901806439</v>
          </cell>
          <cell r="Q101">
            <v>0.12478016180091453</v>
          </cell>
          <cell r="R101">
            <v>0.2418059652572927</v>
          </cell>
          <cell r="S101">
            <v>0.21698410199905557</v>
          </cell>
          <cell r="T101">
            <v>0.24841735946914803</v>
          </cell>
          <cell r="U101">
            <v>0.21646542261251372</v>
          </cell>
          <cell r="V101">
            <v>0.27941905773999293</v>
          </cell>
          <cell r="W101">
            <v>0.25832762165867035</v>
          </cell>
          <cell r="X101">
            <v>0.23675496688741721</v>
          </cell>
          <cell r="Y101">
            <v>0.29155348596559305</v>
          </cell>
          <cell r="Z101">
            <v>0.28101127682793742</v>
          </cell>
          <cell r="AA101">
            <v>0.35262757044935261</v>
          </cell>
          <cell r="AB101">
            <v>0.30429285989116694</v>
          </cell>
          <cell r="AC101">
            <v>0.32487202490896616</v>
          </cell>
          <cell r="AD101">
            <v>0.32726415174982859</v>
          </cell>
          <cell r="AE101">
            <v>0.31</v>
          </cell>
          <cell r="AF101">
            <v>0.32</v>
          </cell>
          <cell r="AG101">
            <v>0.33</v>
          </cell>
          <cell r="AH101">
            <v>0.33</v>
          </cell>
          <cell r="AI101">
            <v>0.33</v>
          </cell>
          <cell r="AJ101">
            <v>0.33</v>
          </cell>
          <cell r="AK101">
            <v>0.33</v>
          </cell>
          <cell r="AL101">
            <v>0.33</v>
          </cell>
          <cell r="AM101">
            <v>0.33</v>
          </cell>
        </row>
        <row r="102">
          <cell r="D102">
            <v>0.13420380169595736</v>
          </cell>
          <cell r="E102">
            <v>0.11138117880318016</v>
          </cell>
          <cell r="F102">
            <v>9.9951387212080689E-2</v>
          </cell>
          <cell r="G102">
            <v>7.6120256609666537E-2</v>
          </cell>
          <cell r="H102">
            <v>6.5418970712189675E-2</v>
          </cell>
          <cell r="I102">
            <v>7.4150973479143775E-2</v>
          </cell>
          <cell r="J102">
            <v>5.9388518468473178E-2</v>
          </cell>
          <cell r="K102">
            <v>5.7352218392428038E-2</v>
          </cell>
          <cell r="L102">
            <v>5.4798348821674864E-2</v>
          </cell>
          <cell r="M102">
            <v>4.5554121976356048E-2</v>
          </cell>
          <cell r="N102">
            <v>5.9257308401369502E-2</v>
          </cell>
          <cell r="O102">
            <v>4.8921051524141446E-2</v>
          </cell>
          <cell r="P102">
            <v>5.9395872095181913E-2</v>
          </cell>
          <cell r="Q102">
            <v>5.4080196975026383E-2</v>
          </cell>
          <cell r="R102">
            <v>7.1779744346116031E-2</v>
          </cell>
          <cell r="S102">
            <v>5.4619864630883044E-2</v>
          </cell>
          <cell r="T102">
            <v>5.0797040652886892E-2</v>
          </cell>
          <cell r="U102">
            <v>5.2323454079765824E-2</v>
          </cell>
          <cell r="V102">
            <v>4.6617074034714844E-2</v>
          </cell>
          <cell r="W102">
            <v>4.9211788896504453E-2</v>
          </cell>
          <cell r="X102">
            <v>4.6357615894039736E-2</v>
          </cell>
          <cell r="Y102">
            <v>4.7277195705600829E-2</v>
          </cell>
          <cell r="Z102">
            <v>4.001455074572572E-2</v>
          </cell>
          <cell r="AA102">
            <v>3.4448415255726755E-2</v>
          </cell>
          <cell r="AB102">
            <v>3.886110042323971E-2</v>
          </cell>
          <cell r="AC102">
            <v>4.1954720565729062E-2</v>
          </cell>
          <cell r="AD102">
            <v>3.8151408598494467E-2</v>
          </cell>
          <cell r="AE102">
            <v>3.5928747192300915E-2</v>
          </cell>
          <cell r="AF102">
            <v>3.6738316182488309E-2</v>
          </cell>
          <cell r="AG102">
            <v>3.776194694132131E-2</v>
          </cell>
          <cell r="AH102">
            <v>3.8907669337786673E-2</v>
          </cell>
          <cell r="AI102">
            <v>4.005566296017167E-2</v>
          </cell>
          <cell r="AJ102">
            <v>4.1172462617543266E-2</v>
          </cell>
          <cell r="AK102">
            <v>4.2187516881045661E-2</v>
          </cell>
          <cell r="AL102">
            <v>4.3457572104431991E-2</v>
          </cell>
          <cell r="AM102">
            <v>4.4117774966927072E-2</v>
          </cell>
        </row>
        <row r="103">
          <cell r="D103">
            <v>0.18747837992571353</v>
          </cell>
          <cell r="E103">
            <v>0.1817072023979229</v>
          </cell>
          <cell r="F103">
            <v>9.836639518708859E-2</v>
          </cell>
          <cell r="G103">
            <v>0.11553118699781798</v>
          </cell>
          <cell r="H103">
            <v>9.1591005515315266E-2</v>
          </cell>
          <cell r="I103">
            <v>3.3729989944515197E-2</v>
          </cell>
          <cell r="J103">
            <v>1.0538382358350983E-2</v>
          </cell>
          <cell r="K103">
            <v>8.5890567932068423E-2</v>
          </cell>
          <cell r="L103">
            <v>0.13121912847446654</v>
          </cell>
          <cell r="M103">
            <v>0.1196985332348975</v>
          </cell>
          <cell r="N103">
            <v>0.20780108885419363</v>
          </cell>
          <cell r="O103">
            <v>0.10955288136716938</v>
          </cell>
          <cell r="P103">
            <v>0.14496581808546197</v>
          </cell>
          <cell r="Q103">
            <v>7.069996482588814E-2</v>
          </cell>
          <cell r="R103">
            <v>0.17002622091117667</v>
          </cell>
          <cell r="S103">
            <v>0.16236423736817251</v>
          </cell>
          <cell r="T103">
            <v>0.19762031881626116</v>
          </cell>
          <cell r="U103">
            <v>0.1641419685327479</v>
          </cell>
          <cell r="V103">
            <v>0.23280198370527808</v>
          </cell>
          <cell r="W103">
            <v>0.20911583276216586</v>
          </cell>
          <cell r="X103">
            <v>0.19039735099337748</v>
          </cell>
          <cell r="Y103">
            <v>0.24427629025999223</v>
          </cell>
          <cell r="Z103">
            <v>0.2409967260822117</v>
          </cell>
          <cell r="AA103">
            <v>0.31817915519362588</v>
          </cell>
          <cell r="AB103">
            <v>0.26543175946792724</v>
          </cell>
          <cell r="AC103">
            <v>0.28291730434323709</v>
          </cell>
          <cell r="AD103">
            <v>0.28911274315133412</v>
          </cell>
          <cell r="AE103">
            <v>0.27407125280769912</v>
          </cell>
          <cell r="AF103">
            <v>0.28326168381751166</v>
          </cell>
          <cell r="AG103">
            <v>0.29223805305867867</v>
          </cell>
          <cell r="AH103">
            <v>0.29109233066221335</v>
          </cell>
          <cell r="AI103">
            <v>0.28994433703982836</v>
          </cell>
          <cell r="AJ103">
            <v>0.28882753738245676</v>
          </cell>
          <cell r="AK103">
            <v>0.28781248311895435</v>
          </cell>
          <cell r="AL103">
            <v>0.28654242789556805</v>
          </cell>
          <cell r="AM103">
            <v>0.28588222503307298</v>
          </cell>
        </row>
        <row r="105">
          <cell r="O105">
            <v>0.85490209072607515</v>
          </cell>
          <cell r="P105">
            <v>0.13961570260667022</v>
          </cell>
          <cell r="Q105">
            <v>4.1992591382051581E-2</v>
          </cell>
          <cell r="R105">
            <v>0.1588416771033585</v>
          </cell>
          <cell r="S105">
            <v>0.17395304224952257</v>
          </cell>
          <cell r="T105">
            <v>9.6437620497375587E-2</v>
          </cell>
          <cell r="U105">
            <v>0.17316611931637538</v>
          </cell>
          <cell r="V105">
            <v>0.11341461413470277</v>
          </cell>
          <cell r="W105">
            <v>0.14005364436851475</v>
          </cell>
          <cell r="X105">
            <v>0.14759888279857636</v>
          </cell>
          <cell r="Y105">
            <v>0.10259562936311251</v>
          </cell>
          <cell r="Z105">
            <v>0.15926047819889599</v>
          </cell>
          <cell r="AA105">
            <v>-1.5033137729384749E-2</v>
          </cell>
          <cell r="AB105">
            <v>7.8254475084433839E-2</v>
          </cell>
          <cell r="AC105">
            <v>0.15980515770137083</v>
          </cell>
          <cell r="AD105">
            <v>0.16749655336935199</v>
          </cell>
          <cell r="AE105">
            <v>9.3563884492447569E-2</v>
          </cell>
          <cell r="AF105">
            <v>5.6501153998749887E-2</v>
          </cell>
          <cell r="AG105">
            <v>0.10040374230599691</v>
          </cell>
          <cell r="AH105">
            <v>0.1032533738836634</v>
          </cell>
          <cell r="AI105">
            <v>0.12093166438369285</v>
          </cell>
          <cell r="AJ105">
            <v>0.12295107393151694</v>
          </cell>
          <cell r="AK105">
            <v>0.12900601652453858</v>
          </cell>
          <cell r="AL105">
            <v>0.13750163905404356</v>
          </cell>
          <cell r="AM105">
            <v>0.14968749687246463</v>
          </cell>
        </row>
        <row r="106">
          <cell r="O106">
            <v>0.94760295039430353</v>
          </cell>
          <cell r="P106">
            <v>0.14568642905766271</v>
          </cell>
          <cell r="Q106">
            <v>4.2785740588342724E-2</v>
          </cell>
          <cell r="R106">
            <v>0.14319073710014329</v>
          </cell>
          <cell r="S106">
            <v>0.18183318825750949</v>
          </cell>
          <cell r="T106">
            <v>9.1791912669138886E-2</v>
          </cell>
          <cell r="U106">
            <v>0.18633336466577122</v>
          </cell>
          <cell r="V106">
            <v>0.12037811891632222</v>
          </cell>
          <cell r="W106">
            <v>0.14754172594053294</v>
          </cell>
          <cell r="X106">
            <v>0.14254172701295875</v>
          </cell>
          <cell r="Y106">
            <v>9.8248457486304952E-2</v>
          </cell>
          <cell r="Z106">
            <v>0.15146668480292291</v>
          </cell>
          <cell r="AA106">
            <v>-1.5481073657421129E-2</v>
          </cell>
          <cell r="AB106">
            <v>0.11008517859132771</v>
          </cell>
          <cell r="AC106">
            <v>0.15367800280535082</v>
          </cell>
          <cell r="AD106">
            <v>0.16665894575750051</v>
          </cell>
          <cell r="AE106">
            <v>0.10052259066185298</v>
          </cell>
          <cell r="AF106">
            <v>5.8425389061696142E-2</v>
          </cell>
          <cell r="AG106">
            <v>0.10026073765946553</v>
          </cell>
          <cell r="AH106">
            <v>0.10311971159771804</v>
          </cell>
          <cell r="AI106">
            <v>0.12078975143698267</v>
          </cell>
          <cell r="AJ106">
            <v>0.12282234085058552</v>
          </cell>
          <cell r="AK106">
            <v>0.12888571898168788</v>
          </cell>
          <cell r="AL106">
            <v>0.13738805831568612</v>
          </cell>
          <cell r="AM106">
            <v>0.1495787858265023</v>
          </cell>
        </row>
        <row r="107">
          <cell r="O107">
            <v>0.28639295618779004</v>
          </cell>
          <cell r="P107">
            <v>0.1522632508265791</v>
          </cell>
          <cell r="Q107">
            <v>0.18097635894562969</v>
          </cell>
          <cell r="R107">
            <v>0.11566450249672688</v>
          </cell>
          <cell r="S107">
            <v>7.5272063547089374E-2</v>
          </cell>
          <cell r="T107">
            <v>0.1930839321240525</v>
          </cell>
          <cell r="U107">
            <v>0.40593782007872092</v>
          </cell>
          <cell r="V107">
            <v>0.10718830391644629</v>
          </cell>
          <cell r="W107">
            <v>0.11282457109240029</v>
          </cell>
          <cell r="X107">
            <v>0.13363581352134446</v>
          </cell>
          <cell r="Y107">
            <v>0.22549644274995373</v>
          </cell>
          <cell r="Z107">
            <v>0.32953126584609804</v>
          </cell>
          <cell r="AA107">
            <v>-7.764395262687207E-2</v>
          </cell>
          <cell r="AB107">
            <v>2.7260455269850992E-2</v>
          </cell>
          <cell r="AC107">
            <v>0.13350388419180725</v>
          </cell>
          <cell r="AD107">
            <v>8.8243113891565805E-2</v>
          </cell>
          <cell r="AE107">
            <v>7.9056113009579265E-2</v>
          </cell>
          <cell r="AF107">
            <v>0.10375514319230894</v>
          </cell>
          <cell r="AG107">
            <v>0.12696264470671381</v>
          </cell>
          <cell r="AH107">
            <v>9.6587249287136467E-2</v>
          </cell>
          <cell r="AI107">
            <v>0.14208932973857591</v>
          </cell>
          <cell r="AJ107">
            <v>0.12238669356513188</v>
          </cell>
          <cell r="AK107">
            <v>0.11082629010586231</v>
          </cell>
          <cell r="AL107">
            <v>0.10645786271769753</v>
          </cell>
          <cell r="AM107">
            <v>0.10467746992715377</v>
          </cell>
        </row>
        <row r="108">
          <cell r="O108">
            <v>2.434861180875656</v>
          </cell>
          <cell r="P108">
            <v>0.24585496550597763</v>
          </cell>
          <cell r="Q108">
            <v>9.5293672687695175E-2</v>
          </cell>
          <cell r="R108">
            <v>0.12413597907596663</v>
          </cell>
          <cell r="S108">
            <v>0.28068670007050311</v>
          </cell>
          <cell r="T108">
            <v>6.784638570521806E-2</v>
          </cell>
          <cell r="U108">
            <v>0.10086972946086559</v>
          </cell>
          <cell r="V108">
            <v>0.11404166991726794</v>
          </cell>
          <cell r="W108">
            <v>0.20678450016853911</v>
          </cell>
          <cell r="X108">
            <v>0.16951313041666038</v>
          </cell>
          <cell r="Y108">
            <v>2.4229827924298064E-2</v>
          </cell>
          <cell r="Z108">
            <v>-4.4746172296507014E-3</v>
          </cell>
          <cell r="AA108">
            <v>4.0264048522934637E-2</v>
          </cell>
          <cell r="AB108">
            <v>0.20633555576614615</v>
          </cell>
          <cell r="AC108">
            <v>0.1676204327461952</v>
          </cell>
          <cell r="AD108">
            <v>0.19187786293389641</v>
          </cell>
          <cell r="AE108">
            <v>0.11153095175329009</v>
          </cell>
          <cell r="AF108">
            <v>2.9613160050307563E-2</v>
          </cell>
          <cell r="AG108">
            <v>8.3754712975752321E-2</v>
          </cell>
          <cell r="AH108">
            <v>0.10620750339269747</v>
          </cell>
          <cell r="AI108">
            <v>0.10846510654192931</v>
          </cell>
          <cell r="AJ108">
            <v>0.12409593077145198</v>
          </cell>
          <cell r="AK108">
            <v>0.14309834781597974</v>
          </cell>
          <cell r="AL108">
            <v>0.16199340571830767</v>
          </cell>
          <cell r="AM108">
            <v>0.18488965401822566</v>
          </cell>
        </row>
        <row r="109">
          <cell r="O109">
            <v>-5.5204427147466983E-2</v>
          </cell>
          <cell r="P109">
            <v>-0.30883814837233448</v>
          </cell>
          <cell r="Q109">
            <v>0.40982507241299992</v>
          </cell>
          <cell r="R109">
            <v>9.1346280387009537E-2</v>
          </cell>
          <cell r="S109">
            <v>4.5769026248789757E-3</v>
          </cell>
          <cell r="T109">
            <v>3.0951561190787569E-2</v>
          </cell>
          <cell r="U109">
            <v>0.18256979608923629</v>
          </cell>
          <cell r="V109">
            <v>-6.2016077321150886E-3</v>
          </cell>
          <cell r="W109">
            <v>1.8866093735005585E-2</v>
          </cell>
          <cell r="X109">
            <v>0.1306092690474161</v>
          </cell>
          <cell r="Y109">
            <v>0.4246495706126272</v>
          </cell>
          <cell r="Z109">
            <v>-1.7771518626905736E-2</v>
          </cell>
          <cell r="AA109">
            <v>-0.11840307518825477</v>
          </cell>
          <cell r="AB109">
            <v>0.15906499429874565</v>
          </cell>
          <cell r="AC109">
            <v>0.36035877133056382</v>
          </cell>
          <cell r="AD109">
            <v>0.11821076970768951</v>
          </cell>
          <cell r="AE109">
            <v>7.9855516233822144E-2</v>
          </cell>
          <cell r="AF109">
            <v>0.10611196205495688</v>
          </cell>
          <cell r="AG109">
            <v>0.11377572472785391</v>
          </cell>
          <cell r="AH109">
            <v>0.11936276555657543</v>
          </cell>
          <cell r="AI109">
            <v>0.12173303889420062</v>
          </cell>
          <cell r="AJ109">
            <v>0.11918998186932916</v>
          </cell>
          <cell r="AK109">
            <v>0.11242816002850287</v>
          </cell>
          <cell r="AL109">
            <v>0.10401182255067587</v>
          </cell>
          <cell r="AM109">
            <v>-5.4743203997796197E-2</v>
          </cell>
        </row>
        <row r="111">
          <cell r="O111">
            <v>0.8662094911842928</v>
          </cell>
          <cell r="P111">
            <v>0.23790876371546088</v>
          </cell>
          <cell r="Q111">
            <v>4.0215458909760526E-2</v>
          </cell>
          <cell r="R111">
            <v>0.1379759192694292</v>
          </cell>
          <cell r="S111">
            <v>0.13918865405938341</v>
          </cell>
          <cell r="T111">
            <v>0.23571716326257985</v>
          </cell>
          <cell r="U111">
            <v>0.12369776194443949</v>
          </cell>
          <cell r="V111">
            <v>0.14204902079031756</v>
          </cell>
          <cell r="W111">
            <v>0.13240768039956397</v>
          </cell>
          <cell r="X111">
            <v>0.11012008146258334</v>
          </cell>
          <cell r="Y111">
            <v>0.16406242027266371</v>
          </cell>
          <cell r="Z111">
            <v>0.12537217234911524</v>
          </cell>
          <cell r="AA111">
            <v>7.7784078312169935E-2</v>
          </cell>
          <cell r="AB111">
            <v>7.6386139943196874E-2</v>
          </cell>
          <cell r="AC111">
            <v>9.7153366310187561E-3</v>
          </cell>
          <cell r="AD111">
            <v>2.2242103462503549E-2</v>
          </cell>
          <cell r="AE111">
            <v>4.6004375484926641E-2</v>
          </cell>
          <cell r="AF111">
            <v>5.9236133586323403E-2</v>
          </cell>
          <cell r="AG111">
            <v>8.9568178884563476E-2</v>
          </cell>
          <cell r="AH111">
            <v>9.7100644062409147E-2</v>
          </cell>
          <cell r="AI111">
            <v>9.2842598428311218E-2</v>
          </cell>
          <cell r="AJ111">
            <v>9.0745249288722629E-2</v>
          </cell>
          <cell r="AK111">
            <v>8.884463056954095E-2</v>
          </cell>
          <cell r="AL111">
            <v>8.5959067791788968E-2</v>
          </cell>
          <cell r="AM111">
            <v>7.9553242498186627E-2</v>
          </cell>
        </row>
        <row r="112">
          <cell r="O112">
            <v>0.87058374256799476</v>
          </cell>
          <cell r="P112">
            <v>0.24585506263784973</v>
          </cell>
          <cell r="Q112">
            <v>4.9141584612666378E-2</v>
          </cell>
          <cell r="R112">
            <v>0.13516609647250033</v>
          </cell>
          <cell r="S112">
            <v>0.14383754423708117</v>
          </cell>
          <cell r="T112">
            <v>0.23422413638637463</v>
          </cell>
          <cell r="U112">
            <v>0.11677199467550747</v>
          </cell>
          <cell r="V112">
            <v>0.14093851324931372</v>
          </cell>
          <cell r="W112">
            <v>0.13092811028823781</v>
          </cell>
          <cell r="X112">
            <v>0.11098907729583241</v>
          </cell>
          <cell r="Y112">
            <v>0.13085390247759676</v>
          </cell>
          <cell r="Z112">
            <v>0.10527011904287975</v>
          </cell>
          <cell r="AA112">
            <v>9.8382901153338365E-2</v>
          </cell>
          <cell r="AB112">
            <v>8.6949990620031725E-2</v>
          </cell>
          <cell r="AC112">
            <v>2.2455914131917387E-2</v>
          </cell>
          <cell r="AD112">
            <v>3.0744048097219201E-2</v>
          </cell>
          <cell r="AE112">
            <v>5.1922191822741048E-2</v>
          </cell>
          <cell r="AF112">
            <v>6.3051555745095467E-2</v>
          </cell>
          <cell r="AG112">
            <v>9.0620639203489395E-2</v>
          </cell>
          <cell r="AH112">
            <v>9.744096253654444E-2</v>
          </cell>
          <cell r="AI112">
            <v>9.3139101730907559E-2</v>
          </cell>
          <cell r="AJ112">
            <v>9.1010362101230147E-2</v>
          </cell>
          <cell r="AK112">
            <v>8.9082538615208096E-2</v>
          </cell>
          <cell r="AL112">
            <v>8.617042100051675E-2</v>
          </cell>
          <cell r="AM112">
            <v>7.97333273001124E-2</v>
          </cell>
        </row>
        <row r="113">
          <cell r="S113">
            <v>0.71972191730698865</v>
          </cell>
          <cell r="T113">
            <v>0.19974468085106367</v>
          </cell>
          <cell r="U113">
            <v>0.18088955096829151</v>
          </cell>
          <cell r="V113">
            <v>1.0902865381149596E-2</v>
          </cell>
          <cell r="W113">
            <v>0.3130106664289749</v>
          </cell>
          <cell r="X113">
            <v>0.12463794351918889</v>
          </cell>
          <cell r="Y113">
            <v>-0.16941649899396383</v>
          </cell>
          <cell r="Z113">
            <v>2.3667635658914943E-2</v>
          </cell>
          <cell r="AA113">
            <v>0.13344534633315153</v>
          </cell>
          <cell r="AB113">
            <v>9.1239351929182089E-3</v>
          </cell>
          <cell r="AC113">
            <v>7.0572900502761993E-2</v>
          </cell>
          <cell r="AD113">
            <v>0.22545608566750586</v>
          </cell>
          <cell r="AE113">
            <v>1.1673973242793734E-2</v>
          </cell>
          <cell r="AF113">
            <v>8.4083249968639029E-2</v>
          </cell>
          <cell r="AG113">
            <v>0.14876370764159952</v>
          </cell>
          <cell r="AH113">
            <v>0.15562212488891203</v>
          </cell>
          <cell r="AI113">
            <v>0.15800430153255629</v>
          </cell>
          <cell r="AJ113">
            <v>0.1591895917326116</v>
          </cell>
          <cell r="AK113">
            <v>0.15416629314269681</v>
          </cell>
          <cell r="AL113">
            <v>0.14258578394312682</v>
          </cell>
          <cell r="AM113">
            <v>0.12852851179864544</v>
          </cell>
        </row>
        <row r="115">
          <cell r="N115">
            <v>0.22869866016305213</v>
          </cell>
          <cell r="O115">
            <v>0.37584256041374475</v>
          </cell>
          <cell r="P115">
            <v>0.36556065067632265</v>
          </cell>
          <cell r="Q115">
            <v>0.34209144108793815</v>
          </cell>
          <cell r="R115">
            <v>0.31935482629687373</v>
          </cell>
          <cell r="S115">
            <v>0.34070972056508741</v>
          </cell>
          <cell r="T115">
            <v>0.31618316906474814</v>
          </cell>
          <cell r="U115">
            <v>0.33242683697988168</v>
          </cell>
          <cell r="V115">
            <v>0.32999942396742604</v>
          </cell>
          <cell r="W115">
            <v>0.34173108968284666</v>
          </cell>
          <cell r="X115">
            <v>0.34240813689320387</v>
          </cell>
          <cell r="Y115">
            <v>0.32303494322290238</v>
          </cell>
          <cell r="Z115">
            <v>0.31506847097886526</v>
          </cell>
          <cell r="AA115">
            <v>0.30176719943546476</v>
          </cell>
          <cell r="AB115">
            <v>0.30432157859827547</v>
          </cell>
          <cell r="AC115">
            <v>0.3312053423236514</v>
          </cell>
          <cell r="AD115">
            <v>0.35027114671237558</v>
          </cell>
          <cell r="AE115">
            <v>0.33757175348991464</v>
          </cell>
          <cell r="AF115">
            <v>0.32678293124458152</v>
          </cell>
          <cell r="AG115">
            <v>0.32151505864959601</v>
          </cell>
          <cell r="AH115">
            <v>0.31604301494368214</v>
          </cell>
          <cell r="AI115">
            <v>0.31474962904985804</v>
          </cell>
          <cell r="AJ115">
            <v>0.31322127217585577</v>
          </cell>
          <cell r="AK115">
            <v>0.31376706261367798</v>
          </cell>
          <cell r="AL115">
            <v>0.32160023864963982</v>
          </cell>
          <cell r="AM115">
            <v>0.33243602765808411</v>
          </cell>
        </row>
        <row r="116">
          <cell r="N116">
            <v>0.21071923955200256</v>
          </cell>
          <cell r="O116">
            <v>0.36360174694950914</v>
          </cell>
          <cell r="P116">
            <v>0.35553862529925778</v>
          </cell>
          <cell r="Q116">
            <v>0.33296609170070962</v>
          </cell>
          <cell r="R116">
            <v>0.30663793013336804</v>
          </cell>
          <cell r="S116">
            <v>0.32933839992916736</v>
          </cell>
          <cell r="T116">
            <v>0.30433544724220618</v>
          </cell>
          <cell r="U116">
            <v>0.32356169460032225</v>
          </cell>
          <cell r="V116">
            <v>0.32320785488077497</v>
          </cell>
          <cell r="W116">
            <v>0.33689643487719978</v>
          </cell>
          <cell r="X116">
            <v>0.33607635132967495</v>
          </cell>
          <cell r="Y116">
            <v>0.31581133647605369</v>
          </cell>
          <cell r="Z116">
            <v>0.30595214668082227</v>
          </cell>
          <cell r="AA116">
            <v>0.29290247512839074</v>
          </cell>
          <cell r="AB116">
            <v>0.30410166095511826</v>
          </cell>
          <cell r="AC116">
            <v>0.32921753112033192</v>
          </cell>
          <cell r="AD116">
            <v>0.34791911737579145</v>
          </cell>
          <cell r="AE116">
            <v>0.33743865491472785</v>
          </cell>
          <cell r="AF116">
            <v>0.32724903072346079</v>
          </cell>
          <cell r="AG116">
            <v>0.32193180184097198</v>
          </cell>
          <cell r="AH116">
            <v>0.31641432620978116</v>
          </cell>
          <cell r="AI116">
            <v>0.31507952578679566</v>
          </cell>
          <cell r="AJ116">
            <v>0.31351362224930845</v>
          </cell>
          <cell r="AK116">
            <v>0.31402645848170913</v>
          </cell>
          <cell r="AL116">
            <v>0.32183397164949096</v>
          </cell>
          <cell r="AM116">
            <v>0.33264617889308817</v>
          </cell>
        </row>
        <row r="117">
          <cell r="N117">
            <v>8.3502721505461452E-2</v>
          </cell>
          <cell r="O117">
            <v>9.5169027314165502E-2</v>
          </cell>
          <cell r="P117">
            <v>9.35927914771367E-2</v>
          </cell>
          <cell r="Q117">
            <v>9.9266278461621144E-2</v>
          </cell>
          <cell r="R117">
            <v>8.9215954208885437E-2</v>
          </cell>
          <cell r="S117">
            <v>8.7180870730363624E-2</v>
          </cell>
          <cell r="T117">
            <v>8.8036444477751136E-2</v>
          </cell>
          <cell r="U117">
            <v>0.11092423065787116</v>
          </cell>
          <cell r="V117">
            <v>0.10949848280817542</v>
          </cell>
          <cell r="W117">
            <v>0.11068297667279059</v>
          </cell>
          <cell r="X117">
            <v>0.10955289444913467</v>
          </cell>
          <cell r="Y117">
            <v>0.11487488016081554</v>
          </cell>
          <cell r="Z117">
            <v>0.12849849414192593</v>
          </cell>
          <cell r="AA117">
            <v>0.11525031081333845</v>
          </cell>
          <cell r="AB117">
            <v>0.11072918969710369</v>
          </cell>
          <cell r="AC117">
            <v>0.11777813796680497</v>
          </cell>
          <cell r="AD117">
            <v>0.11610262405937866</v>
          </cell>
          <cell r="AE117">
            <v>0.11040878770734301</v>
          </cell>
          <cell r="AF117">
            <v>0.11166052624383103</v>
          </cell>
          <cell r="AG117">
            <v>0.11251206273942278</v>
          </cell>
          <cell r="AH117">
            <v>0.10992890246912451</v>
          </cell>
          <cell r="AI117">
            <v>0.11154544987990932</v>
          </cell>
          <cell r="AJ117">
            <v>0.11094801998761213</v>
          </cell>
          <cell r="AK117">
            <v>0.10935170335150914</v>
          </cell>
          <cell r="AL117">
            <v>0.10902281988482691</v>
          </cell>
          <cell r="AM117">
            <v>0.10828413235232445</v>
          </cell>
        </row>
        <row r="118">
          <cell r="N118">
            <v>5.9867938974196622E-2</v>
          </cell>
          <cell r="O118">
            <v>0.18219012934782608</v>
          </cell>
          <cell r="P118">
            <v>0.19372576768613836</v>
          </cell>
          <cell r="Q118">
            <v>0.19056191354009891</v>
          </cell>
          <cell r="R118">
            <v>0.17256873778903611</v>
          </cell>
          <cell r="S118">
            <v>0.20084699427435859</v>
          </cell>
          <cell r="T118">
            <v>0.18152833075206504</v>
          </cell>
          <cell r="U118">
            <v>0.17909281439914032</v>
          </cell>
          <cell r="V118">
            <v>0.17788518675484352</v>
          </cell>
          <cell r="W118">
            <v>0.19499143256865212</v>
          </cell>
          <cell r="X118">
            <v>0.19910863748417054</v>
          </cell>
          <cell r="Y118">
            <v>0.17449246579622205</v>
          </cell>
          <cell r="Z118">
            <v>0.14615155132490582</v>
          </cell>
          <cell r="AA118">
            <v>0.14784018134271024</v>
          </cell>
          <cell r="AB118">
            <v>0.16680154211806322</v>
          </cell>
          <cell r="AC118">
            <v>0.18276006224066388</v>
          </cell>
          <cell r="AD118">
            <v>0.19731698670037587</v>
          </cell>
          <cell r="AE118">
            <v>0.19328743001511536</v>
          </cell>
          <cell r="AF118">
            <v>0.18234799198034671</v>
          </cell>
          <cell r="AG118">
            <v>0.17669403162959207</v>
          </cell>
          <cell r="AH118">
            <v>0.17415185046523746</v>
          </cell>
          <cell r="AI118">
            <v>0.1715102236649105</v>
          </cell>
          <cell r="AJ118">
            <v>0.17085141357018013</v>
          </cell>
          <cell r="AK118">
            <v>0.17328541866409825</v>
          </cell>
          <cell r="AL118">
            <v>0.18143566574923792</v>
          </cell>
          <cell r="AM118">
            <v>0.19329137859590051</v>
          </cell>
        </row>
        <row r="119">
          <cell r="N119">
            <v>7.9887069613740688E-2</v>
          </cell>
          <cell r="O119">
            <v>6.6870671984572236E-2</v>
          </cell>
          <cell r="P119">
            <v>3.944668443260714E-2</v>
          </cell>
          <cell r="Q119">
            <v>4.9945213206837251E-2</v>
          </cell>
          <cell r="R119">
            <v>4.3910017818480994E-2</v>
          </cell>
          <cell r="S119">
            <v>4.0087328663623481E-2</v>
          </cell>
          <cell r="T119">
            <v>3.497966714961364E-2</v>
          </cell>
          <cell r="U119">
            <v>3.7071509671064422E-2</v>
          </cell>
          <cell r="V119">
            <v>3.2847229827549507E-2</v>
          </cell>
          <cell r="W119">
            <v>3.0399180876522915E-2</v>
          </cell>
          <cell r="X119">
            <v>3.0008472640249056E-2</v>
          </cell>
          <cell r="Y119">
            <v>3.6579781161014194E-2</v>
          </cell>
          <cell r="Z119">
            <v>3.0229296346101251E-2</v>
          </cell>
          <cell r="AA119">
            <v>2.5914544057679807E-2</v>
          </cell>
          <cell r="AB119">
            <v>2.8092527083793943E-2</v>
          </cell>
          <cell r="AC119">
            <v>3.5861117506678371E-2</v>
          </cell>
          <cell r="AD119">
            <v>3.6324438804209554E-2</v>
          </cell>
          <cell r="AE119">
            <v>3.4568627832176339E-2</v>
          </cell>
          <cell r="AF119">
            <v>3.503519335906443E-2</v>
          </cell>
          <cell r="AG119">
            <v>3.4889292483440082E-2</v>
          </cell>
          <cell r="AH119">
            <v>3.479626521208911E-2</v>
          </cell>
          <cell r="AI119">
            <v>3.4678638394458033E-2</v>
          </cell>
          <cell r="AJ119">
            <v>3.4394661420987543E-2</v>
          </cell>
          <cell r="AK119">
            <v>3.3948677392713074E-2</v>
          </cell>
          <cell r="AL119">
            <v>3.3771749762886709E-2</v>
          </cell>
          <cell r="AM119">
            <v>2.870220649495998E-2</v>
          </cell>
        </row>
        <row r="121">
          <cell r="N121">
            <v>0.19270025328478707</v>
          </cell>
          <cell r="O121">
            <v>0.31861339214586248</v>
          </cell>
          <cell r="P121">
            <v>0.33662605134905432</v>
          </cell>
          <cell r="Q121">
            <v>0.31447719869275431</v>
          </cell>
          <cell r="R121">
            <v>0.28828988414176843</v>
          </cell>
          <cell r="S121">
            <v>0.29845947403943018</v>
          </cell>
          <cell r="T121">
            <v>0.3121581968092193</v>
          </cell>
          <cell r="U121">
            <v>0.31435623333009965</v>
          </cell>
          <cell r="V121">
            <v>0.32008624317822548</v>
          </cell>
          <cell r="W121">
            <v>0.32924245995286211</v>
          </cell>
          <cell r="X121">
            <v>0.31912091250052765</v>
          </cell>
          <cell r="Y121">
            <v>0.31784888638034092</v>
          </cell>
          <cell r="Z121">
            <v>0.30094787296500852</v>
          </cell>
          <cell r="AA121">
            <v>0.31540495319950063</v>
          </cell>
          <cell r="AB121">
            <v>0.3175236313011276</v>
          </cell>
          <cell r="AC121">
            <v>0.30085314445020744</v>
          </cell>
          <cell r="AD121">
            <v>0.27858629215116504</v>
          </cell>
          <cell r="AE121">
            <v>0.25680934361778723</v>
          </cell>
          <cell r="AF121">
            <v>0.24924525368006836</v>
          </cell>
          <cell r="AG121">
            <v>0.24281259130025334</v>
          </cell>
          <cell r="AH121">
            <v>0.23734893487998665</v>
          </cell>
          <cell r="AI121">
            <v>0.2304542892737256</v>
          </cell>
          <cell r="AJ121">
            <v>0.22275800166924764</v>
          </cell>
          <cell r="AK121">
            <v>0.21520832811514659</v>
          </cell>
          <cell r="AL121">
            <v>0.2105860065301825</v>
          </cell>
          <cell r="AM121">
            <v>0.20440216363252064</v>
          </cell>
        </row>
        <row r="122">
          <cell r="N122">
            <v>0.18770777267690358</v>
          </cell>
          <cell r="O122">
            <v>0.31108620936185133</v>
          </cell>
          <cell r="P122">
            <v>0.3307831200266339</v>
          </cell>
          <cell r="Q122">
            <v>0.31167041295608472</v>
          </cell>
          <cell r="R122">
            <v>0.28501135149757517</v>
          </cell>
          <cell r="S122">
            <v>0.29626941480383284</v>
          </cell>
          <cell r="T122">
            <v>0.30949322758459896</v>
          </cell>
          <cell r="U122">
            <v>0.30975154540340877</v>
          </cell>
          <cell r="V122">
            <v>0.31509093523858317</v>
          </cell>
          <cell r="W122">
            <v>0.32368079393081606</v>
          </cell>
          <cell r="X122">
            <v>0.31397580908136341</v>
          </cell>
          <cell r="Y122">
            <v>0.3038028539463466</v>
          </cell>
          <cell r="Z122">
            <v>0.2825105628884314</v>
          </cell>
          <cell r="AA122">
            <v>0.30174071940717162</v>
          </cell>
          <cell r="AB122">
            <v>0.30674884133871327</v>
          </cell>
          <cell r="AC122">
            <v>0.2943113913381743</v>
          </cell>
          <cell r="AD122">
            <v>0.27479531947909047</v>
          </cell>
          <cell r="AE122">
            <v>0.25474784859763716</v>
          </cell>
          <cell r="AF122">
            <v>0.24813506527805129</v>
          </cell>
          <cell r="AG122">
            <v>0.24196455359187066</v>
          </cell>
          <cell r="AH122">
            <v>0.2365933473581853</v>
          </cell>
          <cell r="AI122">
            <v>0.22978297687178373</v>
          </cell>
          <cell r="AJ122">
            <v>0.22216309360244088</v>
          </cell>
          <cell r="AK122">
            <v>0.21468047911355218</v>
          </cell>
          <cell r="AL122">
            <v>0.21011037932938112</v>
          </cell>
          <cell r="AM122">
            <v>0.20397452336044275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2.9585606651078202E-2</v>
          </cell>
          <cell r="S123">
            <v>4.6237997796316703E-2</v>
          </cell>
          <cell r="T123">
            <v>4.6952438049560348E-2</v>
          </cell>
          <cell r="U123">
            <v>4.9689570771894224E-2</v>
          </cell>
          <cell r="V123">
            <v>4.4785235256546728E-2</v>
          </cell>
          <cell r="W123">
            <v>5.3413266292786706E-2</v>
          </cell>
          <cell r="X123">
            <v>5.244829041789785E-2</v>
          </cell>
          <cell r="Y123">
            <v>3.7273810813739303E-2</v>
          </cell>
          <cell r="Z123">
            <v>3.2102376321867028E-2</v>
          </cell>
          <cell r="AA123">
            <v>3.538206961763489E-2</v>
          </cell>
          <cell r="AB123">
            <v>3.3393903382710595E-2</v>
          </cell>
          <cell r="AC123">
            <v>3.3547717842323646E-2</v>
          </cell>
          <cell r="AD123">
            <v>3.7240213166033653E-2</v>
          </cell>
          <cell r="AE123">
            <v>3.3202463812258519E-2</v>
          </cell>
          <cell r="AF123">
            <v>3.2980424020777249E-2</v>
          </cell>
          <cell r="AG123">
            <v>3.3874807616448746E-2</v>
          </cell>
          <cell r="AH123">
            <v>3.4878861365042653E-2</v>
          </cell>
          <cell r="AI123">
            <v>3.5884951595857986E-2</v>
          </cell>
          <cell r="AJ123">
            <v>3.6863114494485087E-2</v>
          </cell>
          <cell r="AK123">
            <v>3.7750287065963027E-2</v>
          </cell>
          <cell r="AL123">
            <v>3.886566061609327E-2</v>
          </cell>
          <cell r="AM123">
            <v>3.9435786190618098E-2</v>
          </cell>
        </row>
        <row r="125">
          <cell r="N125">
            <v>-4.6294227877156716E-3</v>
          </cell>
          <cell r="O125">
            <v>-1.3733270056100963E-2</v>
          </cell>
          <cell r="P125">
            <v>-3.0331953432188211E-2</v>
          </cell>
          <cell r="Q125">
            <v>-2.4827519125725603E-2</v>
          </cell>
          <cell r="R125">
            <v>-1.5997584143067442E-2</v>
          </cell>
          <cell r="S125">
            <v>-4.1201657051786024E-3</v>
          </cell>
          <cell r="T125">
            <v>-4.3428030342392808E-2</v>
          </cell>
          <cell r="U125">
            <v>-2.8231431990030545E-2</v>
          </cell>
          <cell r="V125">
            <v>-3.3117111946455238E-2</v>
          </cell>
          <cell r="W125">
            <v>-3.4035723369029158E-2</v>
          </cell>
          <cell r="X125">
            <v>-2.2250762373891925E-2</v>
          </cell>
          <cell r="Y125">
            <v>-4.1598896384584853E-2</v>
          </cell>
          <cell r="Z125">
            <v>-3.210524372675342E-2</v>
          </cell>
          <cell r="AA125">
            <v>-6.2650814457848314E-2</v>
          </cell>
          <cell r="AB125">
            <v>-5.2429542753703359E-2</v>
          </cell>
          <cell r="AC125">
            <v>-9.177107105809169E-3</v>
          </cell>
          <cell r="AD125">
            <v>3.4753903288697381E-2</v>
          </cell>
          <cell r="AE125">
            <v>4.873246900303272E-2</v>
          </cell>
          <cell r="AF125">
            <v>4.5436626661731344E-2</v>
          </cell>
          <cell r="AG125">
            <v>4.5694379884062171E-2</v>
          </cell>
          <cell r="AH125">
            <v>4.4672755890124767E-2</v>
          </cell>
          <cell r="AI125">
            <v>4.9259601292378184E-2</v>
          </cell>
          <cell r="AJ125">
            <v>5.4441236828752834E-2</v>
          </cell>
          <cell r="AK125">
            <v>6.1640498554046907E-2</v>
          </cell>
          <cell r="AL125">
            <v>7.29778008532522E-2</v>
          </cell>
          <cell r="AM125">
            <v>8.9414098028027605E-2</v>
          </cell>
        </row>
        <row r="126">
          <cell r="N126">
            <v>1.3349997823333876E-2</v>
          </cell>
          <cell r="O126">
            <v>-1.4924565918653379E-3</v>
          </cell>
          <cell r="P126">
            <v>-2.0309928055123331E-2</v>
          </cell>
          <cell r="Q126">
            <v>-1.5702169738497047E-2</v>
          </cell>
          <cell r="R126">
            <v>-3.2806879795617681E-3</v>
          </cell>
          <cell r="S126">
            <v>7.2511549307414363E-3</v>
          </cell>
          <cell r="T126">
            <v>-3.1580308519850844E-2</v>
          </cell>
          <cell r="U126">
            <v>-1.9366289610471113E-2</v>
          </cell>
          <cell r="V126">
            <v>-2.6325542859804183E-2</v>
          </cell>
          <cell r="W126">
            <v>-2.9201068563382278E-2</v>
          </cell>
          <cell r="X126">
            <v>-1.5918976810363011E-2</v>
          </cell>
          <cell r="Y126">
            <v>-3.4375289637736152E-2</v>
          </cell>
          <cell r="Z126">
            <v>-2.2988919428710394E-2</v>
          </cell>
          <cell r="AA126">
            <v>-5.3786090150774263E-2</v>
          </cell>
          <cell r="AB126">
            <v>-5.2209625110546165E-2</v>
          </cell>
          <cell r="AC126">
            <v>-7.1892959024896673E-3</v>
          </cell>
          <cell r="AD126">
            <v>3.7105932625281522E-2</v>
          </cell>
          <cell r="AE126">
            <v>4.8865567578219485E-2</v>
          </cell>
          <cell r="AF126">
            <v>4.4970527182852063E-2</v>
          </cell>
          <cell r="AG126">
            <v>4.5277636692686231E-2</v>
          </cell>
          <cell r="AH126">
            <v>4.4301444624025701E-2</v>
          </cell>
          <cell r="AI126">
            <v>4.8929704555440573E-2</v>
          </cell>
          <cell r="AJ126">
            <v>5.4148886755300128E-2</v>
          </cell>
          <cell r="AK126">
            <v>6.1381102686015772E-2</v>
          </cell>
          <cell r="AL126">
            <v>7.2744067853401054E-2</v>
          </cell>
          <cell r="AM126">
            <v>8.9203946793023584E-2</v>
          </cell>
        </row>
        <row r="128">
          <cell r="P128">
            <v>0.81190884276010933</v>
          </cell>
          <cell r="Q128">
            <v>0.56596814350278546</v>
          </cell>
          <cell r="R128">
            <v>0.1874856149443398</v>
          </cell>
          <cell r="S128">
            <v>0.44473771030505582</v>
          </cell>
          <cell r="T128">
            <v>0.36709144029050256</v>
          </cell>
          <cell r="U128">
            <v>0.37514892173299952</v>
          </cell>
          <cell r="V128">
            <v>0.28165991499538268</v>
          </cell>
          <cell r="W128">
            <v>0.11179195718231671</v>
          </cell>
          <cell r="X128">
            <v>0.11966206436789939</v>
          </cell>
          <cell r="Y128">
            <v>0.14831811717728671</v>
          </cell>
          <cell r="Z128">
            <v>0.20933581715598493</v>
          </cell>
          <cell r="AA128">
            <v>0.24950612631101698</v>
          </cell>
          <cell r="AB128">
            <v>0.23825393195469458</v>
          </cell>
          <cell r="AC128">
            <v>-2.1112061938358795E-2</v>
          </cell>
          <cell r="AD128">
            <v>-0.11391180578561921</v>
          </cell>
          <cell r="AE128">
            <v>-0.21619073882614892</v>
          </cell>
          <cell r="AF128">
            <v>-0.28086270220876486</v>
          </cell>
          <cell r="AG128">
            <v>-0.44195567558922921</v>
          </cell>
          <cell r="AH128">
            <v>-0.86971016210157204</v>
          </cell>
          <cell r="AI128">
            <v>-8.2981028353633164</v>
          </cell>
          <cell r="AJ128">
            <v>1.4199092407205649</v>
          </cell>
          <cell r="AK128">
            <v>0.74962975169868917</v>
          </cell>
          <cell r="AL128">
            <v>0.56351642294660942</v>
          </cell>
          <cell r="AM128">
            <v>0.49156245374158147</v>
          </cell>
        </row>
        <row r="129">
          <cell r="P129">
            <v>0.26546546546546557</v>
          </cell>
          <cell r="Q129">
            <v>-6.3363986710963327E-2</v>
          </cell>
          <cell r="R129">
            <v>7.0271650421599441E-2</v>
          </cell>
          <cell r="S129">
            <v>0.16799919304575495</v>
          </cell>
          <cell r="T129">
            <v>5.232257002097529E-2</v>
          </cell>
          <cell r="U129">
            <v>0.13644149789838189</v>
          </cell>
          <cell r="V129">
            <v>0.28427580732016011</v>
          </cell>
          <cell r="W129">
            <v>-9.4564171659829777E-2</v>
          </cell>
          <cell r="X129">
            <v>0.21948902411606608</v>
          </cell>
          <cell r="Y129">
            <v>0.17712542110928875</v>
          </cell>
          <cell r="Z129">
            <v>0.30983351621836897</v>
          </cell>
          <cell r="AA129">
            <v>0.10853624066626399</v>
          </cell>
          <cell r="AB129">
            <v>4.5346283453983283E-2</v>
          </cell>
          <cell r="AC129">
            <v>0.10917558930225391</v>
          </cell>
          <cell r="AD129">
            <v>0.17842045872050805</v>
          </cell>
          <cell r="AE129">
            <v>9.8333575221298597E-2</v>
          </cell>
          <cell r="AF129">
            <v>4.0727706899643668E-2</v>
          </cell>
          <cell r="AG129">
            <v>2.5705146060879258E-2</v>
          </cell>
          <cell r="AH129">
            <v>-7.9283749697953709E-3</v>
          </cell>
          <cell r="AI129">
            <v>-1.9022764072305964E-2</v>
          </cell>
          <cell r="AJ129">
            <v>-2.0653175867532125E-2</v>
          </cell>
          <cell r="AK129">
            <v>-1.5179063215053468E-2</v>
          </cell>
          <cell r="AL129">
            <v>-1.6898240084937233E-2</v>
          </cell>
          <cell r="AM129">
            <v>-1.2191824506266324E-2</v>
          </cell>
        </row>
        <row r="130">
          <cell r="P130">
            <v>11.473958333333334</v>
          </cell>
          <cell r="Q130">
            <v>1.8116910229645091</v>
          </cell>
          <cell r="R130">
            <v>0.26477576477576492</v>
          </cell>
          <cell r="S130">
            <v>0.59915463191264529</v>
          </cell>
          <cell r="T130">
            <v>0.49537444933920693</v>
          </cell>
          <cell r="U130">
            <v>0.44360976088771054</v>
          </cell>
          <cell r="V130">
            <v>0.28106931501258425</v>
          </cell>
          <cell r="W130">
            <v>0.15849838050230991</v>
          </cell>
          <cell r="X130">
            <v>0.10200293335777788</v>
          </cell>
          <cell r="Y130">
            <v>0.14267889450371185</v>
          </cell>
          <cell r="Z130">
            <v>0.18906966586590968</v>
          </cell>
          <cell r="AA130">
            <v>0.28082097433307318</v>
          </cell>
          <cell r="AB130">
            <v>0.27534205652147947</v>
          </cell>
          <cell r="AC130">
            <v>-4.1643632820186127E-2</v>
          </cell>
          <cell r="AD130">
            <v>-0.16722920357946769</v>
          </cell>
          <cell r="AE130">
            <v>-0.2973655346606453</v>
          </cell>
          <cell r="AF130">
            <v>-0.41060299698657765</v>
          </cell>
          <cell r="AG130">
            <v>-0.77509965883609255</v>
          </cell>
          <cell r="AH130">
            <v>-3.6695340681458637</v>
          </cell>
          <cell r="AI130">
            <v>1.697823557127133</v>
          </cell>
          <cell r="AJ130">
            <v>0.78747054618145573</v>
          </cell>
          <cell r="AK130">
            <v>0.56566404915425239</v>
          </cell>
          <cell r="AL130">
            <v>0.47569892737590069</v>
          </cell>
          <cell r="AM130">
            <v>0.4407860274466302</v>
          </cell>
        </row>
        <row r="132">
          <cell r="O132">
            <v>5.5234922861150067E-2</v>
          </cell>
          <cell r="P132">
            <v>8.5417165429734265E-2</v>
          </cell>
          <cell r="Q132">
            <v>0.12012854418404646</v>
          </cell>
          <cell r="R132">
            <v>0.11491632811552785</v>
          </cell>
          <cell r="S132">
            <v>0.15087978769872501</v>
          </cell>
          <cell r="T132">
            <v>0.17458178260724755</v>
          </cell>
          <cell r="U132">
            <v>0.21515253793803354</v>
          </cell>
          <cell r="V132">
            <v>0.24585523609496618</v>
          </cell>
          <cell r="W132">
            <v>0.24828415949504692</v>
          </cell>
          <cell r="X132">
            <v>0.24271993372424611</v>
          </cell>
          <cell r="Y132">
            <v>0.2384826680006244</v>
          </cell>
          <cell r="Z132">
            <v>0.24264880084722476</v>
          </cell>
          <cell r="AA132">
            <v>0.29482343828988555</v>
          </cell>
          <cell r="AB132">
            <v>0.34143746145028792</v>
          </cell>
          <cell r="AC132">
            <v>0.31363440333246889</v>
          </cell>
          <cell r="AD132">
            <v>0.25173990817101638</v>
          </cell>
          <cell r="AE132">
            <v>0.17389217379213676</v>
          </cell>
          <cell r="AF132">
            <v>0.11458166772873088</v>
          </cell>
          <cell r="AG132">
            <v>5.7170729045169018E-2</v>
          </cell>
          <cell r="AH132">
            <v>6.6367259924650351E-3</v>
          </cell>
          <cell r="AI132">
            <v>-4.3033211642997872E-2</v>
          </cell>
          <cell r="AJ132">
            <v>-9.2284343024195886E-2</v>
          </cell>
          <cell r="AK132">
            <v>-0.14326299510947405</v>
          </cell>
          <cell r="AL132">
            <v>-0.20183359371499818</v>
          </cell>
          <cell r="AM132">
            <v>-0.2706741671364164</v>
          </cell>
        </row>
        <row r="133">
          <cell r="O133">
            <v>5.2542075736325383E-2</v>
          </cell>
          <cell r="P133">
            <v>5.6748264304524787E-2</v>
          </cell>
          <cell r="Q133">
            <v>4.7735510427864981E-2</v>
          </cell>
          <cell r="R133">
            <v>4.1156910084870532E-2</v>
          </cell>
          <cell r="S133">
            <v>4.3686335786242723E-2</v>
          </cell>
          <cell r="T133">
            <v>3.8910319777511325E-2</v>
          </cell>
          <cell r="U133">
            <v>3.9628688615605034E-2</v>
          </cell>
          <cell r="V133">
            <v>4.5376206927412455E-2</v>
          </cell>
          <cell r="W133">
            <v>3.7319162395839794E-2</v>
          </cell>
          <cell r="X133">
            <v>3.9735552128636151E-2</v>
          </cell>
          <cell r="Y133">
            <v>4.0021296237703202E-2</v>
          </cell>
          <cell r="Z133">
            <v>4.4104373960145646E-2</v>
          </cell>
          <cell r="AA133">
            <v>4.7541953744054913E-2</v>
          </cell>
          <cell r="AB133">
            <v>4.6481127158888358E-2</v>
          </cell>
          <cell r="AC133">
            <v>4.837895727437759E-2</v>
          </cell>
          <cell r="AD133">
            <v>5.1642612123322419E-2</v>
          </cell>
          <cell r="AE133">
            <v>4.9987341195900613E-2</v>
          </cell>
          <cell r="AF133">
            <v>4.7667287909354088E-2</v>
          </cell>
          <cell r="AG133">
            <v>4.3715240612869709E-2</v>
          </cell>
          <cell r="AH133">
            <v>3.864074710045199E-2</v>
          </cell>
          <cell r="AI133">
            <v>3.3677848392220586E-2</v>
          </cell>
          <cell r="AJ133">
            <v>2.9228467441142363E-2</v>
          </cell>
          <cell r="AK133">
            <v>2.5540133540197452E-2</v>
          </cell>
          <cell r="AL133">
            <v>2.2624480536810859E-2</v>
          </cell>
          <cell r="AM133">
            <v>2.0093849551427942E-2</v>
          </cell>
        </row>
        <row r="134">
          <cell r="O134">
            <v>2.6928471248246844E-3</v>
          </cell>
          <cell r="P134">
            <v>2.8668901125209482E-2</v>
          </cell>
          <cell r="Q134">
            <v>7.239303375618146E-2</v>
          </cell>
          <cell r="R134">
            <v>7.3759418030657317E-2</v>
          </cell>
          <cell r="S134">
            <v>0.10719345191248229</v>
          </cell>
          <cell r="T134">
            <v>0.13567146282973619</v>
          </cell>
          <cell r="U134">
            <v>0.17552384932242851</v>
          </cell>
          <cell r="V134">
            <v>0.20047902916755375</v>
          </cell>
          <cell r="W134">
            <v>0.21096499709920713</v>
          </cell>
          <cell r="X134">
            <v>0.20298438159560994</v>
          </cell>
          <cell r="Y134">
            <v>0.1984613717629212</v>
          </cell>
          <cell r="Z134">
            <v>0.19854442688707913</v>
          </cell>
          <cell r="AA134">
            <v>0.24728148454583063</v>
          </cell>
          <cell r="AB134">
            <v>0.29495633429139956</v>
          </cell>
          <cell r="AC134">
            <v>0.26525544605809126</v>
          </cell>
          <cell r="AD134">
            <v>0.200097296047694</v>
          </cell>
          <cell r="AE134">
            <v>0.12390483259623616</v>
          </cell>
          <cell r="AF134">
            <v>6.6914379819376854E-2</v>
          </cell>
          <cell r="AG134">
            <v>1.3455488432299415E-2</v>
          </cell>
          <cell r="AH134">
            <v>-3.2004021107986808E-2</v>
          </cell>
          <cell r="AI134">
            <v>-7.671106003521834E-2</v>
          </cell>
          <cell r="AJ134">
            <v>-0.1215128104653381</v>
          </cell>
          <cell r="AK134">
            <v>-0.16880312864967134</v>
          </cell>
          <cell r="AL134">
            <v>-0.22445807425180891</v>
          </cell>
          <cell r="AM134">
            <v>-0.29076801668784419</v>
          </cell>
        </row>
        <row r="135">
          <cell r="O135">
            <v>0</v>
          </cell>
          <cell r="P135">
            <v>0</v>
          </cell>
          <cell r="Q135">
            <v>8.3169825674006857E-6</v>
          </cell>
          <cell r="R135">
            <v>4.087022274319627E-5</v>
          </cell>
          <cell r="S135">
            <v>1.5792976482427849E-4</v>
          </cell>
          <cell r="T135">
            <v>1.4279891778819775E-2</v>
          </cell>
          <cell r="U135">
            <v>5.2274094367180798E-3</v>
          </cell>
          <cell r="V135">
            <v>1.091903971771842E-3</v>
          </cell>
          <cell r="W135">
            <v>2.6866977981458068E-2</v>
          </cell>
          <cell r="X135">
            <v>9.745957792207792E-3</v>
          </cell>
          <cell r="Y135">
            <v>2.8332978525873898E-3</v>
          </cell>
          <cell r="Z135">
            <v>3.1410221740733914E-3</v>
          </cell>
          <cell r="AA135">
            <v>5.1292161846093025E-3</v>
          </cell>
          <cell r="AB135">
            <v>5.7344625205531467E-3</v>
          </cell>
          <cell r="AC135">
            <v>8.2899487250879256E-3</v>
          </cell>
          <cell r="AD135">
            <v>8.87384020296445E-3</v>
          </cell>
          <cell r="AE135">
            <v>9.4097526047812446E-3</v>
          </cell>
          <cell r="AF135">
            <v>9.848041703739879E-3</v>
          </cell>
          <cell r="AG135">
            <v>9.9289389512061971E-3</v>
          </cell>
          <cell r="AH135">
            <v>9.1860370802726524E-3</v>
          </cell>
          <cell r="AI135">
            <v>8.1879568814638651E-3</v>
          </cell>
          <cell r="AJ135">
            <v>7.311040021145767E-3</v>
          </cell>
          <cell r="AK135">
            <v>6.0444272613002789E-3</v>
          </cell>
          <cell r="AL135">
            <v>5.3681647943957245E-3</v>
          </cell>
          <cell r="AM135">
            <v>4.416492912117217E-3</v>
          </cell>
        </row>
        <row r="137">
          <cell r="P137">
            <v>-1.1607664826242288</v>
          </cell>
          <cell r="Q137">
            <v>0.33737373737373733</v>
          </cell>
          <cell r="R137">
            <v>0.53323262839879138</v>
          </cell>
          <cell r="S137">
            <v>0.65320197044334982</v>
          </cell>
          <cell r="T137">
            <v>-3.8116805721096543</v>
          </cell>
          <cell r="U137">
            <v>-7.0686731665960179E-2</v>
          </cell>
          <cell r="V137">
            <v>0.51932945603831682</v>
          </cell>
          <cell r="W137">
            <v>0.697890865420701</v>
          </cell>
          <cell r="X137">
            <v>0.15326466557623464</v>
          </cell>
          <cell r="Y137">
            <v>-8.4981600735970608E-2</v>
          </cell>
          <cell r="Z137">
            <v>-0.14092413388630565</v>
          </cell>
          <cell r="AA137">
            <v>-0.38577071243965477</v>
          </cell>
          <cell r="AB137">
            <v>-0.22967608764687197</v>
          </cell>
          <cell r="AC137">
            <v>-1.1610842007626507</v>
          </cell>
          <cell r="AD137">
            <v>-23.165425313882327</v>
          </cell>
          <cell r="AE137">
            <v>0.49786242846098472</v>
          </cell>
          <cell r="AF137">
            <v>0.21407828923338101</v>
          </cell>
          <cell r="AG137">
            <v>-0.19615015700078697</v>
          </cell>
          <cell r="AH137">
            <v>0.27166990900881682</v>
          </cell>
          <cell r="AI137">
            <v>0.23902419467220537</v>
          </cell>
          <cell r="AJ137">
            <v>0.20210647700224049</v>
          </cell>
          <cell r="AK137">
            <v>0.22486337231784526</v>
          </cell>
          <cell r="AL137">
            <v>0.24626620683312073</v>
          </cell>
          <cell r="AM137">
            <v>0.28543928868754098</v>
          </cell>
        </row>
        <row r="138">
          <cell r="P138">
            <v>0.72920696324951639</v>
          </cell>
          <cell r="Q138">
            <v>0.25198545861297528</v>
          </cell>
          <cell r="R138">
            <v>0.25105537066404593</v>
          </cell>
          <cell r="S138">
            <v>0.25852064772991046</v>
          </cell>
          <cell r="T138">
            <v>6.2305826275694809E-2</v>
          </cell>
          <cell r="U138">
            <v>0.1191859300508793</v>
          </cell>
          <cell r="V138">
            <v>9.8403493699885658E-2</v>
          </cell>
          <cell r="W138">
            <v>9.6442344250719847E-2</v>
          </cell>
          <cell r="X138">
            <v>0.15151635243181105</v>
          </cell>
          <cell r="Y138">
            <v>0.14199060451189927</v>
          </cell>
          <cell r="Z138">
            <v>0.12928598874398212</v>
          </cell>
          <cell r="AA138">
            <v>0.1572963993355081</v>
          </cell>
          <cell r="AB138">
            <v>0.24226073120957436</v>
          </cell>
          <cell r="AC138">
            <v>0.2097127476913081</v>
          </cell>
          <cell r="AD138">
            <v>0.10316390909334583</v>
          </cell>
          <cell r="AE138">
            <v>0.1023870153090225</v>
          </cell>
          <cell r="AF138">
            <v>0.11497811044324124</v>
          </cell>
          <cell r="AG138">
            <v>0.11967192132525373</v>
          </cell>
          <cell r="AH138">
            <v>0.12250118332689119</v>
          </cell>
          <cell r="AI138">
            <v>0.11635135435455757</v>
          </cell>
          <cell r="AJ138">
            <v>0.10955664338817228</v>
          </cell>
          <cell r="AK138">
            <v>0.10042999801630836</v>
          </cell>
          <cell r="AL138">
            <v>8.4686790590323691E-2</v>
          </cell>
          <cell r="AM138">
            <v>6.2729453382522449E-2</v>
          </cell>
        </row>
        <row r="139">
          <cell r="P139">
            <v>-2.1156498673740054</v>
          </cell>
          <cell r="Q139">
            <v>0.30290061816452685</v>
          </cell>
          <cell r="R139">
            <v>9.3065693430656848E-2</v>
          </cell>
          <cell r="S139">
            <v>0.12303839732888155</v>
          </cell>
          <cell r="T139">
            <v>-0.47465437788018439</v>
          </cell>
          <cell r="U139">
            <v>-0.34691567628749287</v>
          </cell>
          <cell r="V139">
            <v>0.12868284228769489</v>
          </cell>
          <cell r="W139">
            <v>1.5658349328214971</v>
          </cell>
          <cell r="X139">
            <v>-0.53680430879712748</v>
          </cell>
          <cell r="Y139">
            <v>0.36821705426356588</v>
          </cell>
          <cell r="Z139">
            <v>-1.1843720491029273</v>
          </cell>
          <cell r="AA139">
            <v>-7.4878361075544175</v>
          </cell>
          <cell r="AB139">
            <v>0.72034734556937052</v>
          </cell>
          <cell r="AC139">
            <v>0.61259607663186877</v>
          </cell>
          <cell r="AD139">
            <v>-1.0733495403068589</v>
          </cell>
          <cell r="AE139">
            <v>19.652481614540555</v>
          </cell>
          <cell r="AF139">
            <v>0.92322187634176522</v>
          </cell>
          <cell r="AG139">
            <v>0.53409689160378915</v>
          </cell>
          <cell r="AH139">
            <v>0.37068989986691792</v>
          </cell>
          <cell r="AI139">
            <v>0.33403243469618182</v>
          </cell>
          <cell r="AJ139">
            <v>0.31331238064826472</v>
          </cell>
          <cell r="AK139">
            <v>0.30631810846137419</v>
          </cell>
          <cell r="AL139">
            <v>0.30874213137624218</v>
          </cell>
          <cell r="AM139">
            <v>0.32257835518023903</v>
          </cell>
        </row>
        <row r="140">
          <cell r="P140">
            <v>0.30212029058962675</v>
          </cell>
          <cell r="Q140">
            <v>0.25018651269908188</v>
          </cell>
          <cell r="R140">
            <v>0.27572518291733683</v>
          </cell>
          <cell r="S140">
            <v>0.27362769224511396</v>
          </cell>
          <cell r="T140">
            <v>0.12038707823004313</v>
          </cell>
          <cell r="U140">
            <v>0.13396140360879127</v>
          </cell>
          <cell r="V140">
            <v>0.10013700179736285</v>
          </cell>
          <cell r="W140">
            <v>5.4942418426103812E-2</v>
          </cell>
          <cell r="X140">
            <v>0.16872976163401443</v>
          </cell>
          <cell r="Y140">
            <v>0.16887978724390029</v>
          </cell>
          <cell r="Z140">
            <v>0.17468408618858122</v>
          </cell>
          <cell r="AA140">
            <v>0.12543107229866979</v>
          </cell>
          <cell r="AB140">
            <v>0.21715848239717461</v>
          </cell>
          <cell r="AC140">
            <v>0.1954260827581451</v>
          </cell>
          <cell r="AD140">
            <v>0.18741965018149531</v>
          </cell>
          <cell r="AE140">
            <v>0.1709241976288518</v>
          </cell>
          <cell r="AF140">
            <v>0.16534676410020199</v>
          </cell>
          <cell r="AG140">
            <v>0.16271633018129505</v>
          </cell>
          <cell r="AH140">
            <v>0.15673332796769701</v>
          </cell>
          <cell r="AI140">
            <v>0.15201108272671826</v>
          </cell>
          <cell r="AJ140">
            <v>0.14820445699605478</v>
          </cell>
          <cell r="AK140">
            <v>0.14504176276311931</v>
          </cell>
          <cell r="AL140">
            <v>0.13997999725690158</v>
          </cell>
          <cell r="AM140">
            <v>0.13624380043834261</v>
          </cell>
        </row>
        <row r="141">
          <cell r="P141">
            <v>0.28494943486020241</v>
          </cell>
          <cell r="Q141">
            <v>0.6918981481481481</v>
          </cell>
          <cell r="R141">
            <v>0.21961964701053516</v>
          </cell>
          <cell r="S141">
            <v>6.0835520854367164E-2</v>
          </cell>
          <cell r="T141">
            <v>0.58087030085126634</v>
          </cell>
          <cell r="U141">
            <v>2.7425666410247906E-2</v>
          </cell>
          <cell r="V141">
            <v>0.27790618184185667</v>
          </cell>
          <cell r="W141">
            <v>0.23344202160179339</v>
          </cell>
          <cell r="X141">
            <v>0.26743081371334143</v>
          </cell>
          <cell r="Y141">
            <v>0.11176652707392987</v>
          </cell>
          <cell r="Z141">
            <v>7.8105763029840958E-2</v>
          </cell>
          <cell r="AA141">
            <v>9.856301915521315E-2</v>
          </cell>
          <cell r="AB141">
            <v>0.18427858972613764</v>
          </cell>
          <cell r="AC141">
            <v>-1.6823758072269213E-2</v>
          </cell>
          <cell r="AD141">
            <v>-1.5454235212402079E-2</v>
          </cell>
          <cell r="AE141">
            <v>2.2046519513282625E-2</v>
          </cell>
          <cell r="AF141">
            <v>3.6265948824829364E-2</v>
          </cell>
          <cell r="AG141">
            <v>-0.2778913816470111</v>
          </cell>
          <cell r="AH141">
            <v>0.26861803602360368</v>
          </cell>
          <cell r="AI141">
            <v>0.32619434227914379</v>
          </cell>
          <cell r="AJ141">
            <v>0.38350458047577485</v>
          </cell>
          <cell r="AK141">
            <v>0.43519496115460998</v>
          </cell>
          <cell r="AL141">
            <v>0.45116683503195221</v>
          </cell>
          <cell r="AM141">
            <v>0.4715009665501293</v>
          </cell>
        </row>
        <row r="143">
          <cell r="O143">
            <v>9.4305750350631129E-2</v>
          </cell>
          <cell r="P143">
            <v>0.10342350969595403</v>
          </cell>
          <cell r="Q143">
            <v>0.15714900021500752</v>
          </cell>
          <cell r="R143">
            <v>0.1543985450766433</v>
          </cell>
          <cell r="S143">
            <v>0.14885093656540216</v>
          </cell>
          <cell r="T143">
            <v>0.19916733280042634</v>
          </cell>
          <cell r="U143">
            <v>0.18338606650349235</v>
          </cell>
          <cell r="V143">
            <v>0.20894187779433682</v>
          </cell>
          <cell r="W143">
            <v>0.23409398568942177</v>
          </cell>
          <cell r="X143">
            <v>0.25905023216547063</v>
          </cell>
          <cell r="Y143">
            <v>0.24642612056199661</v>
          </cell>
          <cell r="Z143">
            <v>0.22352315546371701</v>
          </cell>
          <cell r="AA143">
            <v>0.23877725902724428</v>
          </cell>
          <cell r="AB143">
            <v>0.26447601149679417</v>
          </cell>
          <cell r="AC143">
            <v>0.24400414937759335</v>
          </cell>
          <cell r="AD143">
            <v>0.21761285348731924</v>
          </cell>
          <cell r="AE143">
            <v>0.19600754260604183</v>
          </cell>
          <cell r="AF143">
            <v>0.18610896770889462</v>
          </cell>
          <cell r="AG143">
            <v>0.12015994596579861</v>
          </cell>
          <cell r="AH143">
            <v>0.13581890325670912</v>
          </cell>
          <cell r="AI143">
            <v>0.16003216601069728</v>
          </cell>
          <cell r="AJ143">
            <v>0.19620635604946929</v>
          </cell>
          <cell r="AK143">
            <v>0.24985256920473314</v>
          </cell>
          <cell r="AL143">
            <v>0.32670677699268447</v>
          </cell>
          <cell r="AM143">
            <v>0.43224562726832511</v>
          </cell>
        </row>
        <row r="144">
          <cell r="O144">
            <v>10.603807257584771</v>
          </cell>
          <cell r="P144">
            <v>9.668981481481481</v>
          </cell>
          <cell r="Q144">
            <v>6.363387604323437</v>
          </cell>
          <cell r="R144">
            <v>6.4767449687016212</v>
          </cell>
          <cell r="S144">
            <v>6.718130386506636</v>
          </cell>
          <cell r="T144">
            <v>5.020903709154152</v>
          </cell>
          <cell r="U144">
            <v>5.4529769849278944</v>
          </cell>
          <cell r="V144">
            <v>4.7860199714693294</v>
          </cell>
          <cell r="W144">
            <v>4.271788517141677</v>
          </cell>
          <cell r="X144">
            <v>3.8602551776955796</v>
          </cell>
          <cell r="Y144">
            <v>4.0580113736295944</v>
          </cell>
          <cell r="Z144">
            <v>4.4738094267031014</v>
          </cell>
          <cell r="AA144">
            <v>4.1880035145470069</v>
          </cell>
          <cell r="AB144">
            <v>3.7810612551986451</v>
          </cell>
          <cell r="AC144">
            <v>4.0982909616529213</v>
          </cell>
          <cell r="AD144">
            <v>4.5953167929865515</v>
          </cell>
          <cell r="AE144">
            <v>5.1018444836580255</v>
          </cell>
          <cell r="AF144">
            <v>5.3731962103200006</v>
          </cell>
          <cell r="AG144">
            <v>8.3222407597006764</v>
          </cell>
          <cell r="AH144">
            <v>7.3627453618140049</v>
          </cell>
          <cell r="AI144">
            <v>6.248743767757011</v>
          </cell>
          <cell r="AJ144">
            <v>5.096674848534831</v>
          </cell>
          <cell r="AK144">
            <v>4.0023602846388346</v>
          </cell>
          <cell r="AL144">
            <v>3.0608486582523255</v>
          </cell>
          <cell r="AM144">
            <v>2.3134994015317822</v>
          </cell>
        </row>
        <row r="146">
          <cell r="E146">
            <v>-5.6377756152419356E-2</v>
          </cell>
          <cell r="F146">
            <v>-1.8572594724335589E-2</v>
          </cell>
          <cell r="G146">
            <v>-4.7520768583232065E-2</v>
          </cell>
          <cell r="H146">
            <v>0.12844997676703129</v>
          </cell>
          <cell r="I146">
            <v>0.43308799753417038</v>
          </cell>
          <cell r="J146">
            <v>0.2683839825294223</v>
          </cell>
          <cell r="K146">
            <v>-7.7057207931857441E-2</v>
          </cell>
          <cell r="L146">
            <v>0.20193618773250122</v>
          </cell>
          <cell r="M146">
            <v>0.26238353628977107</v>
          </cell>
          <cell r="N146">
            <v>-6.9434453176614674E-2</v>
          </cell>
          <cell r="O146">
            <v>0.15498680314494195</v>
          </cell>
          <cell r="P146">
            <v>0.14760368445366012</v>
          </cell>
          <cell r="Q146">
            <v>8.4884147361826257E-2</v>
          </cell>
          <cell r="R146">
            <v>0.14636508323932595</v>
          </cell>
          <cell r="S146">
            <v>0.10072978589516923</v>
          </cell>
          <cell r="T146">
            <v>0.18783435886513411</v>
          </cell>
          <cell r="U146">
            <v>9.367488695687598E-3</v>
          </cell>
          <cell r="V146">
            <v>0.1007729226826104</v>
          </cell>
          <cell r="W146">
            <v>0.10906935388263195</v>
          </cell>
          <cell r="X146">
            <v>0.2203367183324425</v>
          </cell>
          <cell r="Y146">
            <v>0.14869155808606149</v>
          </cell>
          <cell r="Z146">
            <v>0.26861119054427607</v>
          </cell>
          <cell r="AA146">
            <v>-9.6776617326621128E-2</v>
          </cell>
          <cell r="AB146">
            <v>0.10655480683803353</v>
          </cell>
          <cell r="AC146">
            <v>9.1949653517845675E-2</v>
          </cell>
          <cell r="AD146">
            <v>0.29866399393779219</v>
          </cell>
          <cell r="AE146">
            <v>0.10096870602103758</v>
          </cell>
          <cell r="AF146">
            <v>7.9069937516897726E-2</v>
          </cell>
          <cell r="AG146">
            <v>8.0753876187386942E-2</v>
          </cell>
          <cell r="AH146">
            <v>8.2299570433446601E-2</v>
          </cell>
          <cell r="AI146">
            <v>8.9532051375898813E-2</v>
          </cell>
          <cell r="AJ146">
            <v>9.0959173570423157E-2</v>
          </cell>
          <cell r="AK146">
            <v>9.2164888078196672E-2</v>
          </cell>
          <cell r="AL146">
            <v>9.3187004399768014E-2</v>
          </cell>
          <cell r="AM146">
            <v>9.454914120521396E-2</v>
          </cell>
        </row>
        <row r="147">
          <cell r="E147">
            <v>0.278169014084507</v>
          </cell>
          <cell r="F147">
            <v>2.7548209366391241E-2</v>
          </cell>
          <cell r="G147">
            <v>7.6854334226988286E-2</v>
          </cell>
          <cell r="H147">
            <v>7.4688796680497882E-2</v>
          </cell>
          <cell r="I147">
            <v>-7.1814671814671827E-2</v>
          </cell>
          <cell r="J147">
            <v>0.35274542429284517</v>
          </cell>
          <cell r="K147">
            <v>0.28044280442804426</v>
          </cell>
          <cell r="L147">
            <v>1.2007684918347694E-2</v>
          </cell>
          <cell r="M147">
            <v>0.26198386331276691</v>
          </cell>
          <cell r="N147">
            <v>0.19706656637833775</v>
          </cell>
          <cell r="O147">
            <v>6.566132579327677E-2</v>
          </cell>
          <cell r="P147">
            <v>0.1680424528301887</v>
          </cell>
          <cell r="Q147">
            <v>1.009591115598174E-2</v>
          </cell>
          <cell r="R147">
            <v>0.1376811594202898</v>
          </cell>
          <cell r="S147">
            <v>0.16604436635185582</v>
          </cell>
          <cell r="T147">
            <v>0.24128837822565452</v>
          </cell>
          <cell r="U147">
            <v>0.12291350531107748</v>
          </cell>
          <cell r="V147">
            <v>0.1317567567567568</v>
          </cell>
          <cell r="W147">
            <v>7.3671641791044795E-2</v>
          </cell>
          <cell r="X147">
            <v>9.5529359430605032E-2</v>
          </cell>
          <cell r="Y147">
            <v>0.2156126281595776</v>
          </cell>
          <cell r="Z147">
            <v>0.24033402922755731</v>
          </cell>
          <cell r="AA147">
            <v>9.0352117417356714E-2</v>
          </cell>
          <cell r="AB147">
            <v>-1.0373572090151328E-2</v>
          </cell>
          <cell r="AC147">
            <v>0.10956510887876703</v>
          </cell>
          <cell r="AD147">
            <v>4.8892776754632772E-2</v>
          </cell>
          <cell r="AE147">
            <v>0.16288887081936121</v>
          </cell>
          <cell r="AF147">
            <v>0.12492150848068229</v>
          </cell>
          <cell r="AG147">
            <v>0.16195138126376651</v>
          </cell>
          <cell r="AH147">
            <v>0.16321945710887209</v>
          </cell>
          <cell r="AI147">
            <v>0.15945374065023499</v>
          </cell>
          <cell r="AJ147">
            <v>0.19556496331034268</v>
          </cell>
          <cell r="AK147">
            <v>0.23412382458282921</v>
          </cell>
          <cell r="AL147">
            <v>0.26798293438161691</v>
          </cell>
          <cell r="AM147">
            <v>0.31876043186741776</v>
          </cell>
        </row>
        <row r="149">
          <cell r="D149">
            <v>0.6796469055938763</v>
          </cell>
          <cell r="E149">
            <v>0.62415796565262283</v>
          </cell>
          <cell r="F149">
            <v>0.53421103819210092</v>
          </cell>
          <cell r="G149">
            <v>0.46548930649082976</v>
          </cell>
          <cell r="H149">
            <v>0.47386945242207462</v>
          </cell>
          <cell r="I149">
            <v>0.54748750170584826</v>
          </cell>
          <cell r="J149">
            <v>0.59810518065423068</v>
          </cell>
          <cell r="K149">
            <v>0.48667777099896098</v>
          </cell>
          <cell r="L149">
            <v>0.47840950482706018</v>
          </cell>
          <cell r="M149">
            <v>0.512415772010412</v>
          </cell>
          <cell r="N149">
            <v>0.44607232114361539</v>
          </cell>
          <cell r="O149">
            <v>0.45646096608923659</v>
          </cell>
          <cell r="P149">
            <v>0.44708555454837479</v>
          </cell>
          <cell r="Q149">
            <v>0.43560427864975276</v>
          </cell>
          <cell r="R149">
            <v>0.40227427037325708</v>
          </cell>
          <cell r="S149">
            <v>0.4024049268062333</v>
          </cell>
          <cell r="T149">
            <v>0.40456608046895814</v>
          </cell>
          <cell r="U149">
            <v>0.36596250970091332</v>
          </cell>
          <cell r="V149">
            <v>0.35916542473919522</v>
          </cell>
          <cell r="W149">
            <v>0.36182556565461227</v>
          </cell>
          <cell r="X149">
            <v>0.38552131701139719</v>
          </cell>
          <cell r="Y149">
            <v>0.37891429190594866</v>
          </cell>
          <cell r="Z149">
            <v>0.4044305336088489</v>
          </cell>
          <cell r="AA149">
            <v>0.35520950298445719</v>
          </cell>
          <cell r="AB149">
            <v>0.36761815534490383</v>
          </cell>
          <cell r="AC149">
            <v>0.3766856846473029</v>
          </cell>
          <cell r="AD149">
            <v>0.44312610878728809</v>
          </cell>
          <cell r="AE149">
            <v>0.42995191778400521</v>
          </cell>
          <cell r="AF149">
            <v>0.42510163228346043</v>
          </cell>
          <cell r="AG149">
            <v>0.41078016990202909</v>
          </cell>
          <cell r="AH149">
            <v>0.39611981687922876</v>
          </cell>
          <cell r="AI149">
            <v>0.3834479971086252</v>
          </cell>
          <cell r="AJ149">
            <v>0.37071500048942307</v>
          </cell>
          <cell r="AK149">
            <v>0.35924291887732551</v>
          </cell>
          <cell r="AL149">
            <v>0.35386666726937016</v>
          </cell>
          <cell r="AM149">
            <v>0.34824655905411622</v>
          </cell>
        </row>
        <row r="150">
          <cell r="D150">
            <v>0.48452819688241938</v>
          </cell>
          <cell r="E150">
            <v>0.60272658030587878</v>
          </cell>
          <cell r="F150">
            <v>0.54011061170132979</v>
          </cell>
          <cell r="G150">
            <v>0.53208498884485866</v>
          </cell>
          <cell r="H150">
            <v>0.51585829812176276</v>
          </cell>
          <cell r="I150">
            <v>0.38601817906601243</v>
          </cell>
          <cell r="J150">
            <v>0.4497554525424271</v>
          </cell>
          <cell r="K150">
            <v>0.50772176923184531</v>
          </cell>
          <cell r="L150">
            <v>0.42022943881089198</v>
          </cell>
          <cell r="M150">
            <v>0.44995765252356801</v>
          </cell>
          <cell r="N150">
            <v>0.50387842330220045</v>
          </cell>
          <cell r="O150">
            <v>0.47573632538569427</v>
          </cell>
          <cell r="P150">
            <v>0.47426382571223363</v>
          </cell>
          <cell r="Q150">
            <v>0.43023005805203179</v>
          </cell>
          <cell r="R150">
            <v>0.39430155018619556</v>
          </cell>
          <cell r="S150">
            <v>0.41783409412875805</v>
          </cell>
          <cell r="T150">
            <v>0.43898214761524113</v>
          </cell>
          <cell r="U150">
            <v>0.44176467076592441</v>
          </cell>
          <cell r="V150">
            <v>0.4457632531403023</v>
          </cell>
          <cell r="W150">
            <v>0.43473216012376714</v>
          </cell>
          <cell r="X150">
            <v>0.41582946390882231</v>
          </cell>
          <cell r="Y150">
            <v>0.43251345396756602</v>
          </cell>
          <cell r="Z150">
            <v>0.45134921599611039</v>
          </cell>
          <cell r="AA150">
            <v>0.47854736717688079</v>
          </cell>
          <cell r="AB150">
            <v>0.4429305770506301</v>
          </cell>
          <cell r="AC150">
            <v>0.46117738589211621</v>
          </cell>
          <cell r="AD150">
            <v>0.43817795241531149</v>
          </cell>
          <cell r="AE150">
            <v>0.44906200623892711</v>
          </cell>
          <cell r="AF150">
            <v>0.46286231329109512</v>
          </cell>
          <cell r="AG150">
            <v>0.48087220372504003</v>
          </cell>
          <cell r="AH150">
            <v>0.49838038957006792</v>
          </cell>
          <cell r="AI150">
            <v>0.51339810892196025</v>
          </cell>
          <cell r="AJ150">
            <v>0.54394204706306715</v>
          </cell>
          <cell r="AK150">
            <v>0.59562266342463555</v>
          </cell>
          <cell r="AL150">
            <v>0.68052111042648822</v>
          </cell>
          <cell r="AM150">
            <v>0.80689945769521954</v>
          </cell>
        </row>
        <row r="152">
          <cell r="E152">
            <v>-5.5877120894565979E-2</v>
          </cell>
          <cell r="F152">
            <v>-9.6990749165322132E-3</v>
          </cell>
          <cell r="G152">
            <v>-4.2497000586643408E-2</v>
          </cell>
          <cell r="H152">
            <v>0.13230745554148826</v>
          </cell>
          <cell r="I152">
            <v>0.41664227536482645</v>
          </cell>
          <cell r="J152">
            <v>0.26295610216850096</v>
          </cell>
          <cell r="K152">
            <v>-6.8639345430629994E-2</v>
          </cell>
          <cell r="L152">
            <v>0.20577785197946463</v>
          </cell>
          <cell r="M152">
            <v>0.26364751377790396</v>
          </cell>
          <cell r="N152">
            <v>-5.1133740740792799E-2</v>
          </cell>
          <cell r="O152">
            <v>0.15686425837381934</v>
          </cell>
          <cell r="P152">
            <v>0.15466660465064197</v>
          </cell>
          <cell r="Q152">
            <v>0.14394876020337577</v>
          </cell>
          <cell r="R152">
            <v>0.15974133782308675</v>
          </cell>
          <cell r="S152">
            <v>0.12341701885706513</v>
          </cell>
          <cell r="T152">
            <v>0.20391123679172862</v>
          </cell>
          <cell r="U152">
            <v>4.6608885659168209E-2</v>
          </cell>
          <cell r="V152">
            <v>8.1870584906712951E-2</v>
          </cell>
          <cell r="W152">
            <v>0.10719701388078851</v>
          </cell>
          <cell r="X152">
            <v>0.13569321533923295</v>
          </cell>
          <cell r="Y152">
            <v>0.14907235621521342</v>
          </cell>
          <cell r="Z152">
            <v>0.31339307338338585</v>
          </cell>
          <cell r="AA152">
            <v>-6.7060052861269925E-2</v>
          </cell>
          <cell r="AB152">
            <v>7.0621645341942374E-2</v>
          </cell>
          <cell r="AC152">
            <v>4.985291599724051E-2</v>
          </cell>
          <cell r="AD152">
            <v>0.26229220563871225</v>
          </cell>
          <cell r="AE152">
            <v>9.512805792136847E-2</v>
          </cell>
          <cell r="AF152">
            <v>7.6063698884465181E-2</v>
          </cell>
          <cell r="AG152">
            <v>7.761268471128413E-2</v>
          </cell>
          <cell r="AH152">
            <v>7.90507727560672E-2</v>
          </cell>
          <cell r="AI152">
            <v>8.5551225186210722E-2</v>
          </cell>
          <cell r="AJ152">
            <v>8.6939709328760717E-2</v>
          </cell>
          <cell r="AK152">
            <v>8.814088014589494E-2</v>
          </cell>
          <cell r="AL152">
            <v>8.9185582685806342E-2</v>
          </cell>
          <cell r="AM152">
            <v>9.054318419472196E-2</v>
          </cell>
        </row>
        <row r="153">
          <cell r="E153">
            <v>0.25575221238938051</v>
          </cell>
          <cell r="F153">
            <v>3.8054968287526414E-2</v>
          </cell>
          <cell r="G153">
            <v>3.4623217922606919E-2</v>
          </cell>
          <cell r="H153">
            <v>0.10104986876640409</v>
          </cell>
          <cell r="I153">
            <v>-3.0989272943980906E-2</v>
          </cell>
          <cell r="J153">
            <v>0.32841328413284132</v>
          </cell>
          <cell r="K153">
            <v>0.26018518518518507</v>
          </cell>
          <cell r="L153">
            <v>5.5106539309331293E-2</v>
          </cell>
          <cell r="M153">
            <v>0.21796657381615603</v>
          </cell>
          <cell r="N153">
            <v>0.17181246426529451</v>
          </cell>
          <cell r="O153">
            <v>0.13905830690412291</v>
          </cell>
          <cell r="P153">
            <v>0.16041979010494756</v>
          </cell>
          <cell r="Q153">
            <v>-2.676264304171283E-2</v>
          </cell>
          <cell r="R153">
            <v>0.12364877678740749</v>
          </cell>
          <cell r="S153">
            <v>0.1934177215189874</v>
          </cell>
          <cell r="T153">
            <v>0.24409560175364153</v>
          </cell>
          <cell r="U153">
            <v>9.5714448107309336E-2</v>
          </cell>
          <cell r="V153">
            <v>0.13092644465193493</v>
          </cell>
          <cell r="W153">
            <v>7.9992661223740935E-2</v>
          </cell>
          <cell r="X153">
            <v>2.9474220674424512E-2</v>
          </cell>
          <cell r="Y153">
            <v>0.17376237623762369</v>
          </cell>
          <cell r="Z153">
            <v>0.20989737101082517</v>
          </cell>
          <cell r="AA153">
            <v>4.909365558912393E-2</v>
          </cell>
          <cell r="AB153">
            <v>2.4976463421387818E-2</v>
          </cell>
          <cell r="AC153">
            <v>8.0721850010806229E-2</v>
          </cell>
          <cell r="AD153">
            <v>7.7495087577265087E-2</v>
          </cell>
          <cell r="AE153">
            <v>0.15186508115205966</v>
          </cell>
          <cell r="AF153">
            <v>0.11823286310376147</v>
          </cell>
          <cell r="AG153">
            <v>0.15395560044688406</v>
          </cell>
          <cell r="AH153">
            <v>0.15572964143845591</v>
          </cell>
          <cell r="AI153">
            <v>0.14777321520864661</v>
          </cell>
          <cell r="AJ153">
            <v>0.18266839962134918</v>
          </cell>
          <cell r="AK153">
            <v>0.21943030916232154</v>
          </cell>
          <cell r="AL153">
            <v>0.25205168181409254</v>
          </cell>
          <cell r="AM153">
            <v>0.30188408609685102</v>
          </cell>
        </row>
        <row r="155">
          <cell r="D155">
            <v>0.73560650016339524</v>
          </cell>
          <cell r="E155">
            <v>0.67590721749706695</v>
          </cell>
          <cell r="F155">
            <v>0.58373324441243724</v>
          </cell>
          <cell r="G155">
            <v>0.5113236814635238</v>
          </cell>
          <cell r="H155">
            <v>0.52230834744262</v>
          </cell>
          <cell r="I155">
            <v>0.59652658318952556</v>
          </cell>
          <cell r="J155">
            <v>0.6488893756645564</v>
          </cell>
          <cell r="K155">
            <v>0.53281656001849276</v>
          </cell>
          <cell r="L155">
            <v>0.52543850419659432</v>
          </cell>
          <cell r="M155">
            <v>0.56335118134083462</v>
          </cell>
          <cell r="N155">
            <v>0.50005759896536628</v>
          </cell>
          <cell r="O155">
            <v>0.51253529989007807</v>
          </cell>
          <cell r="P155">
            <v>0.50509776426826947</v>
          </cell>
          <cell r="Q155">
            <v>0.51891969468931409</v>
          </cell>
          <cell r="R155">
            <v>0.48480652983458905</v>
          </cell>
          <cell r="S155">
            <v>0.49495962537383914</v>
          </cell>
          <cell r="T155">
            <v>0.50435291766586732</v>
          </cell>
          <cell r="U155">
            <v>0.47306059339740908</v>
          </cell>
          <cell r="V155">
            <v>0.45630189482648498</v>
          </cell>
          <cell r="W155">
            <v>0.45890543415200152</v>
          </cell>
          <cell r="X155">
            <v>0.45504432249894472</v>
          </cell>
          <cell r="Y155">
            <v>0.44739408386607432</v>
          </cell>
          <cell r="Z155">
            <v>0.49437826668287349</v>
          </cell>
          <cell r="AA155">
            <v>0.44849595177589979</v>
          </cell>
          <cell r="AB155">
            <v>0.44909062936657085</v>
          </cell>
          <cell r="AC155">
            <v>0.44242738589211617</v>
          </cell>
          <cell r="AD155">
            <v>0.50588677467438814</v>
          </cell>
          <cell r="AE155">
            <v>0.48824275592317862</v>
          </cell>
          <cell r="AF155">
            <v>0.48139001481528521</v>
          </cell>
          <cell r="AG155">
            <v>0.46382021023860243</v>
          </cell>
          <cell r="AH155">
            <v>0.44592432320791597</v>
          </cell>
          <cell r="AI155">
            <v>0.43008210935014546</v>
          </cell>
          <cell r="AJ155">
            <v>0.41426860284468753</v>
          </cell>
          <cell r="AK155">
            <v>0.39996960831340578</v>
          </cell>
          <cell r="AL155">
            <v>0.39254175154650262</v>
          </cell>
          <cell r="AM155">
            <v>0.3848935535459973</v>
          </cell>
        </row>
        <row r="156">
          <cell r="D156">
            <v>0.64262542544264545</v>
          </cell>
          <cell r="E156">
            <v>0.7853709985803875</v>
          </cell>
          <cell r="F156">
            <v>0.71097670333874774</v>
          </cell>
          <cell r="G156">
            <v>0.67294400248926523</v>
          </cell>
          <cell r="H156">
            <v>0.66842488358943464</v>
          </cell>
          <cell r="I156">
            <v>0.52218432542540449</v>
          </cell>
          <cell r="J156">
            <v>0.59746111776853783</v>
          </cell>
          <cell r="K156">
            <v>0.66379378282857016</v>
          </cell>
          <cell r="L156">
            <v>0.57280443676548731</v>
          </cell>
          <cell r="M156">
            <v>0.59193376025853361</v>
          </cell>
          <cell r="N156">
            <v>0.64888396390691783</v>
          </cell>
          <cell r="O156">
            <v>0.65483870967741931</v>
          </cell>
          <cell r="P156">
            <v>0.64855159205171176</v>
          </cell>
          <cell r="Q156">
            <v>0.56686734035691244</v>
          </cell>
          <cell r="R156">
            <v>0.51312029098467138</v>
          </cell>
          <cell r="S156">
            <v>0.556508736030222</v>
          </cell>
          <cell r="T156">
            <v>0.5859978683719691</v>
          </cell>
          <cell r="U156">
            <v>0.57542833263685755</v>
          </cell>
          <cell r="V156">
            <v>0.58021077283372369</v>
          </cell>
          <cell r="W156">
            <v>0.56918391026880677</v>
          </cell>
          <cell r="X156">
            <v>0.51160827353313632</v>
          </cell>
          <cell r="Y156">
            <v>0.51381514790334815</v>
          </cell>
          <cell r="Z156">
            <v>0.52303391272638877</v>
          </cell>
          <cell r="AA156">
            <v>0.53356775604278706</v>
          </cell>
          <cell r="AB156">
            <v>0.51149679416316607</v>
          </cell>
          <cell r="AC156">
            <v>0.51872406639004154</v>
          </cell>
          <cell r="AD156">
            <v>0.50629439587831226</v>
          </cell>
          <cell r="AE156">
            <v>0.51395170311983973</v>
          </cell>
          <cell r="AF156">
            <v>0.52659635609107902</v>
          </cell>
          <cell r="AG156">
            <v>0.54332144196810006</v>
          </cell>
          <cell r="AH156">
            <v>0.55947760862354845</v>
          </cell>
          <cell r="AI156">
            <v>0.57053026700300358</v>
          </cell>
          <cell r="AJ156">
            <v>0.5979527522326018</v>
          </cell>
          <cell r="AK156">
            <v>0.64696934172813658</v>
          </cell>
          <cell r="AL156">
            <v>0.7298992815476737</v>
          </cell>
          <cell r="AM156">
            <v>0.8543723168428482</v>
          </cell>
        </row>
        <row r="158">
          <cell r="F158">
            <v>-0.15244914202190329</v>
          </cell>
          <cell r="G158">
            <v>3.0727903686547986E-2</v>
          </cell>
          <cell r="H158">
            <v>1.4166372707522079E-2</v>
          </cell>
          <cell r="I158">
            <v>0.23368349148966794</v>
          </cell>
          <cell r="J158">
            <v>-8.4997425015220451E-2</v>
          </cell>
          <cell r="K158">
            <v>-8.1959680512195932E-2</v>
          </cell>
          <cell r="L158">
            <v>0.15734370783018226</v>
          </cell>
          <cell r="M158">
            <v>9.9836620313096258E-3</v>
          </cell>
          <cell r="N158">
            <v>-2.3930301384488262E-2</v>
          </cell>
          <cell r="O158">
            <v>-0.25849670268285152</v>
          </cell>
          <cell r="P158">
            <v>-9.2370570717256184E-3</v>
          </cell>
          <cell r="Q158">
            <v>0.33331666916830116</v>
          </cell>
          <cell r="R158">
            <v>0.10642200499835242</v>
          </cell>
          <cell r="S158">
            <v>-6.2466723467575647E-2</v>
          </cell>
          <cell r="T158">
            <v>9.0029593097963101E-2</v>
          </cell>
          <cell r="U158">
            <v>1.4964167826227337E-2</v>
          </cell>
          <cell r="V158">
            <v>3.7365424930957847E-2</v>
          </cell>
          <cell r="W158">
            <v>-4.5760154141633036E-3</v>
          </cell>
          <cell r="X158">
            <v>5.4526727554293331E-2</v>
          </cell>
          <cell r="Y158">
            <v>9.8193026693934371E-2</v>
          </cell>
          <cell r="Z158">
            <v>-1.6618544694154691E-3</v>
          </cell>
          <cell r="AA158">
            <v>-0.27397035277990367</v>
          </cell>
          <cell r="AB158">
            <v>8.3813879399393887E-2</v>
          </cell>
          <cell r="AC158">
            <v>-1.5096858724874651E-2</v>
          </cell>
          <cell r="AD158">
            <v>9.671832996491303E-2</v>
          </cell>
          <cell r="AE158">
            <v>-8.7159268892718078E-3</v>
          </cell>
          <cell r="AF158">
            <v>-2.9739231632346819E-2</v>
          </cell>
          <cell r="AG158">
            <v>-2.4167774916022289E-2</v>
          </cell>
          <cell r="AH158">
            <v>-3.7195995415419292E-2</v>
          </cell>
          <cell r="AI158">
            <v>-2.3321560660281015E-2</v>
          </cell>
          <cell r="AJ158">
            <v>-3.6853214984708504E-2</v>
          </cell>
          <cell r="AK158">
            <v>-3.0710094409534983E-2</v>
          </cell>
          <cell r="AL158">
            <v>-4.4174259704036989E-2</v>
          </cell>
          <cell r="AM158">
            <v>-3.8405034623127832E-2</v>
          </cell>
        </row>
        <row r="160">
          <cell r="D160">
            <v>0.19153592979084752</v>
          </cell>
          <cell r="E160">
            <v>2.447545898465249E-2</v>
          </cell>
          <cell r="F160">
            <v>1.9489003948760346E-2</v>
          </cell>
          <cell r="G160">
            <v>2.7369201983054831E-2</v>
          </cell>
          <cell r="H160">
            <v>5.653356968545676E-3</v>
          </cell>
          <cell r="I160">
            <v>7.3699964620916422E-2</v>
          </cell>
          <cell r="J160">
            <v>0.11117436967287234</v>
          </cell>
          <cell r="K160">
            <v>-2.5384751111043255E-2</v>
          </cell>
          <cell r="L160">
            <v>-4.1382599315771589E-2</v>
          </cell>
          <cell r="M160">
            <v>2.5906463621823E-2</v>
          </cell>
          <cell r="N160">
            <v>-7.0688008126607804E-2</v>
          </cell>
          <cell r="O160">
            <v>-3.930200726279709E-2</v>
          </cell>
          <cell r="P160">
            <v>-8.3243150263691265E-2</v>
          </cell>
          <cell r="Q160">
            <v>1.9123951838314338E-2</v>
          </cell>
          <cell r="R160">
            <v>3.1961635056724662E-2</v>
          </cell>
          <cell r="S160">
            <v>6.8232095073193791E-2</v>
          </cell>
          <cell r="T160">
            <v>2.7600985877964265E-2</v>
          </cell>
          <cell r="U160">
            <v>7.2376574532863336E-3</v>
          </cell>
          <cell r="V160">
            <v>-5.9612518628912071E-3</v>
          </cell>
          <cell r="W160">
            <v>-1.527750918584413E-2</v>
          </cell>
          <cell r="X160">
            <v>5.9181089067116929E-2</v>
          </cell>
          <cell r="Y160">
            <v>2.8641600751255103E-2</v>
          </cell>
          <cell r="Z160">
            <v>5.8982618208338396E-2</v>
          </cell>
          <cell r="AA160">
            <v>5.2922404113232076E-2</v>
          </cell>
          <cell r="AB160">
            <v>6.5893640025910638E-2</v>
          </cell>
          <cell r="AC160">
            <v>2.6473386219986662E-2</v>
          </cell>
          <cell r="AD160">
            <v>0.11495717352499868</v>
          </cell>
          <cell r="AE160">
            <v>6.7342429799936585E-2</v>
          </cell>
          <cell r="AF160">
            <v>5.1577209092752554E-2</v>
          </cell>
          <cell r="AG160">
            <v>5.790598946701692E-3</v>
          </cell>
          <cell r="AH160">
            <v>-4.0766961270082204E-2</v>
          </cell>
          <cell r="AI160">
            <v>-8.1428343673335693E-2</v>
          </cell>
          <cell r="AJ160">
            <v>-0.13823271077305413</v>
          </cell>
          <cell r="AK160">
            <v>-0.21003672808328311</v>
          </cell>
          <cell r="AL160">
            <v>-0.29588639614345452</v>
          </cell>
          <cell r="AM160">
            <v>-0.42145871038781513</v>
          </cell>
        </row>
        <row r="161">
          <cell r="D161">
            <v>0.19153592979084752</v>
          </cell>
          <cell r="E161">
            <v>2.447545898465249E-2</v>
          </cell>
          <cell r="F161">
            <v>1.9489003948760346E-2</v>
          </cell>
          <cell r="G161">
            <v>2.7369201983054831E-2</v>
          </cell>
          <cell r="H161">
            <v>5.653356968545676E-3</v>
          </cell>
          <cell r="I161">
            <v>7.3699964620916422E-2</v>
          </cell>
          <cell r="J161">
            <v>0.11117436967287234</v>
          </cell>
          <cell r="K161">
            <v>-2.5384751111043255E-2</v>
          </cell>
          <cell r="L161">
            <v>-4.1382599315771589E-2</v>
          </cell>
          <cell r="M161">
            <v>2.5906463621823E-2</v>
          </cell>
          <cell r="N161">
            <v>-3.5798028705996757E-2</v>
          </cell>
          <cell r="O161">
            <v>-2.3314602782248594E-3</v>
          </cell>
          <cell r="P161">
            <v>-3.3207239322824614E-2</v>
          </cell>
          <cell r="Q161">
            <v>5.4395936357772519E-2</v>
          </cell>
          <cell r="R161">
            <v>5.3352472503680581E-2</v>
          </cell>
          <cell r="S161">
            <v>9.2866126239571883E-2</v>
          </cell>
          <cell r="T161">
            <v>5.5578603783639727E-2</v>
          </cell>
          <cell r="U161">
            <v>3.1057130917557123E-2</v>
          </cell>
          <cell r="V161">
            <v>2.1236959761549927E-2</v>
          </cell>
          <cell r="W161">
            <v>7.5420614968091278E-3</v>
          </cell>
          <cell r="X161">
            <v>8.0202617138032922E-2</v>
          </cell>
          <cell r="Y161">
            <v>4.1030086322100624E-2</v>
          </cell>
          <cell r="Z161">
            <v>7.0104533851950895E-2</v>
          </cell>
          <cell r="AA161">
            <v>6.8553867974705987E-2</v>
          </cell>
          <cell r="AB161">
            <v>7.7031159371477739E-2</v>
          </cell>
          <cell r="AC161">
            <v>3.7287701572683761E-2</v>
          </cell>
          <cell r="AD161">
            <v>0.12844725653143424</v>
          </cell>
          <cell r="AE161">
            <v>7.9231070403851314E-2</v>
          </cell>
          <cell r="AF161">
            <v>6.2470409336969471E-2</v>
          </cell>
          <cell r="AG161">
            <v>1.553029452625381E-2</v>
          </cell>
          <cell r="AH161">
            <v>-3.2089054175493063E-2</v>
          </cell>
          <cell r="AI161">
            <v>-7.3718334591120177E-2</v>
          </cell>
          <cell r="AJ161">
            <v>-0.13140020390308496</v>
          </cell>
          <cell r="AK161">
            <v>-0.2039743931933585</v>
          </cell>
          <cell r="AL161">
            <v>-0.29042382755792012</v>
          </cell>
          <cell r="AM161">
            <v>-0.41654727068834863</v>
          </cell>
        </row>
        <row r="163">
          <cell r="N163">
            <v>8.1895859955007366E-2</v>
          </cell>
          <cell r="O163">
            <v>4.7857406982292176E-2</v>
          </cell>
          <cell r="P163">
            <v>-5.2356562448781792E-2</v>
          </cell>
          <cell r="Q163">
            <v>-5.7986562029671049E-2</v>
          </cell>
          <cell r="R163">
            <v>-5.946661470511818E-2</v>
          </cell>
          <cell r="S163">
            <v>-0.10330214072091927</v>
          </cell>
          <cell r="T163">
            <v>1.4650617289501783E-2</v>
          </cell>
          <cell r="U163">
            <v>-2.1533763387260426E-2</v>
          </cell>
          <cell r="V163">
            <v>2.5676655511496695E-2</v>
          </cell>
          <cell r="W163">
            <v>2.5817056662154329E-2</v>
          </cell>
          <cell r="X163">
            <v>-7.1794005909666531E-2</v>
          </cell>
          <cell r="Y163">
            <v>-2.4415790804348538E-3</v>
          </cell>
          <cell r="Z163">
            <v>-3.8653215023702447E-2</v>
          </cell>
          <cell r="AA163">
            <v>-9.1478045032799465E-2</v>
          </cell>
          <cell r="AB163">
            <v>-8.0538234321732002E-2</v>
          </cell>
          <cell r="AC163">
            <v>-6.6504506551936876E-2</v>
          </cell>
          <cell r="AD163">
            <v>-4.3376115586547699E-2</v>
          </cell>
          <cell r="AE163">
            <v>-4.3522178374112763E-2</v>
          </cell>
          <cell r="AF163">
            <v>-4.1396997069238869E-2</v>
          </cell>
          <cell r="AG163">
            <v>-3.6490111540394582E-2</v>
          </cell>
          <cell r="AH163">
            <v>5.2880510420862219E-2</v>
          </cell>
          <cell r="AI163">
            <v>9.4386385528308886E-2</v>
          </cell>
          <cell r="AJ163">
            <v>0.1509040520664548</v>
          </cell>
          <cell r="AK163">
            <v>0.22674549983940895</v>
          </cell>
          <cell r="AL163">
            <v>0.31794803776524738</v>
          </cell>
          <cell r="AM163">
            <v>0.4522948409026471</v>
          </cell>
        </row>
      </sheetData>
      <sheetData sheetId="17" refreshError="1">
        <row r="5">
          <cell r="O5">
            <v>504.68244003793961</v>
          </cell>
          <cell r="P5">
            <v>617.07316688607</v>
          </cell>
          <cell r="Q5">
            <v>658.98826519842339</v>
          </cell>
          <cell r="R5">
            <v>832.81509580702937</v>
          </cell>
          <cell r="S5">
            <v>1165.090909201544</v>
          </cell>
          <cell r="T5">
            <v>1610.8827014672745</v>
          </cell>
          <cell r="U5">
            <v>1946.2885570321996</v>
          </cell>
          <cell r="V5">
            <v>2270.881861701328</v>
          </cell>
          <cell r="W5">
            <v>2230.9955681553738</v>
          </cell>
          <cell r="X5">
            <v>2076.9318459486326</v>
          </cell>
          <cell r="Y5">
            <v>2271.8512698135737</v>
          </cell>
          <cell r="Z5">
            <v>2474.8630858064735</v>
          </cell>
          <cell r="AA5">
            <v>2920.1556782220255</v>
          </cell>
          <cell r="AB5">
            <v>2559.8336346148899</v>
          </cell>
          <cell r="AC5">
            <v>3015.2791279952494</v>
          </cell>
          <cell r="AD5">
            <v>3347.4813125577089</v>
          </cell>
          <cell r="AE5">
            <v>3714.3210225365142</v>
          </cell>
          <cell r="AF5">
            <v>3885.0260869024696</v>
          </cell>
          <cell r="AG5">
            <v>-28896.087266804581</v>
          </cell>
          <cell r="AH5">
            <v>7319.688417959961</v>
          </cell>
          <cell r="AI5">
            <v>7653.5753040590362</v>
          </cell>
          <cell r="AJ5">
            <v>8495.1510200180328</v>
          </cell>
          <cell r="AK5">
            <v>9559.3241543317199</v>
          </cell>
          <cell r="AL5">
            <v>10813.126013313837</v>
          </cell>
          <cell r="AM5">
            <v>12263.380785753932</v>
          </cell>
        </row>
        <row r="6">
          <cell r="O6">
            <v>75.462400000000002</v>
          </cell>
          <cell r="P6">
            <v>35.865919999999996</v>
          </cell>
          <cell r="Q6">
            <v>-14.16168</v>
          </cell>
          <cell r="R6">
            <v>-19.117799999999999</v>
          </cell>
          <cell r="S6">
            <v>-39.964120000000001</v>
          </cell>
          <cell r="T6">
            <v>48.883200000000002</v>
          </cell>
          <cell r="U6">
            <v>142.74237083333333</v>
          </cell>
          <cell r="V6">
            <v>190.70918999999998</v>
          </cell>
          <cell r="W6">
            <v>238.48843999999994</v>
          </cell>
          <cell r="X6">
            <v>249.65392041666667</v>
          </cell>
          <cell r="Y6">
            <v>232.43424749999997</v>
          </cell>
          <cell r="Z6">
            <v>244.13447249999996</v>
          </cell>
          <cell r="AA6">
            <v>173.98385083333332</v>
          </cell>
          <cell r="AB6">
            <v>87.793021249999981</v>
          </cell>
          <cell r="AC6">
            <v>28.863083333333471</v>
          </cell>
          <cell r="AD6">
            <v>86.012055390555048</v>
          </cell>
          <cell r="AE6">
            <v>224.99709489155225</v>
          </cell>
          <cell r="AF6">
            <v>298.72618713561525</v>
          </cell>
          <cell r="AG6">
            <v>295.47952907320001</v>
          </cell>
          <cell r="AH6">
            <v>299.12118443535752</v>
          </cell>
          <cell r="AI6">
            <v>374.91699542545189</v>
          </cell>
          <cell r="AJ6">
            <v>456.87189495338475</v>
          </cell>
          <cell r="AK6">
            <v>554.88426796826036</v>
          </cell>
          <cell r="AL6">
            <v>686.1956127857793</v>
          </cell>
          <cell r="AM6">
            <v>870.09609902402849</v>
          </cell>
        </row>
        <row r="7">
          <cell r="O7">
            <v>2.0220850379396418</v>
          </cell>
          <cell r="P7">
            <v>15.286826886070022</v>
          </cell>
          <cell r="Q7">
            <v>34.83649519842335</v>
          </cell>
          <cell r="R7">
            <v>90.548095807029384</v>
          </cell>
          <cell r="S7">
            <v>122.39075420154396</v>
          </cell>
          <cell r="T7">
            <v>216.27402146727457</v>
          </cell>
          <cell r="U7">
            <v>261.36346328219986</v>
          </cell>
          <cell r="V7">
            <v>309.20190086799408</v>
          </cell>
          <cell r="W7">
            <v>294.66912065537434</v>
          </cell>
          <cell r="X7">
            <v>243.85285261529941</v>
          </cell>
          <cell r="Y7">
            <v>283.82457481357335</v>
          </cell>
          <cell r="Z7">
            <v>299.26960705647355</v>
          </cell>
          <cell r="AA7">
            <v>405.53482155535892</v>
          </cell>
          <cell r="AB7">
            <v>351.22456169822374</v>
          </cell>
          <cell r="AC7">
            <v>423.4005867452488</v>
          </cell>
          <cell r="AD7">
            <v>317.710057057646</v>
          </cell>
          <cell r="AE7">
            <v>41.281012291953012</v>
          </cell>
          <cell r="AF7">
            <v>-443.73329045435884</v>
          </cell>
          <cell r="AG7">
            <v>-33883.155117804243</v>
          </cell>
          <cell r="AH7">
            <v>1581.2835041450533</v>
          </cell>
          <cell r="AI7">
            <v>1002.1321532255187</v>
          </cell>
          <cell r="AJ7">
            <v>822.45288444999233</v>
          </cell>
          <cell r="AK7">
            <v>733.67559617847417</v>
          </cell>
          <cell r="AL7">
            <v>681.30579398286807</v>
          </cell>
          <cell r="AM7">
            <v>646.69345537359084</v>
          </cell>
        </row>
        <row r="8">
          <cell r="O8">
            <v>0</v>
          </cell>
          <cell r="P8">
            <v>26.561115000000004</v>
          </cell>
          <cell r="Q8">
            <v>60.716115000000002</v>
          </cell>
          <cell r="R8">
            <v>74.623770000000007</v>
          </cell>
          <cell r="S8">
            <v>102.88204500000002</v>
          </cell>
          <cell r="T8">
            <v>126.851495</v>
          </cell>
          <cell r="U8">
            <v>83.367135624999989</v>
          </cell>
          <cell r="V8">
            <v>16.797025208333331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</row>
        <row r="9">
          <cell r="O9">
            <v>2.0220850379396418</v>
          </cell>
          <cell r="P9">
            <v>-11.274288113929982</v>
          </cell>
          <cell r="Q9">
            <v>-25.879619801576652</v>
          </cell>
          <cell r="R9">
            <v>15.924325807029382</v>
          </cell>
          <cell r="S9">
            <v>19.508709201543933</v>
          </cell>
          <cell r="T9">
            <v>89.422526467274579</v>
          </cell>
          <cell r="U9">
            <v>177.99632765719988</v>
          </cell>
          <cell r="V9">
            <v>292.40487565966077</v>
          </cell>
          <cell r="W9">
            <v>294.66912065537434</v>
          </cell>
          <cell r="X9">
            <v>243.85285261529941</v>
          </cell>
          <cell r="Y9">
            <v>283.82457481357335</v>
          </cell>
          <cell r="Z9">
            <v>299.26960705647355</v>
          </cell>
          <cell r="AA9">
            <v>405.53482155535892</v>
          </cell>
          <cell r="AB9">
            <v>351.22456169822374</v>
          </cell>
          <cell r="AC9">
            <v>423.4005867452488</v>
          </cell>
          <cell r="AD9">
            <v>317.71005705764588</v>
          </cell>
          <cell r="AE9">
            <v>41.281012291952344</v>
          </cell>
          <cell r="AF9">
            <v>-443.73329045436043</v>
          </cell>
          <cell r="AG9">
            <v>-33883.155117808004</v>
          </cell>
          <cell r="AH9">
            <v>1581.2835041450485</v>
          </cell>
          <cell r="AI9">
            <v>1002.1321532255179</v>
          </cell>
          <cell r="AJ9">
            <v>822.45288444999198</v>
          </cell>
          <cell r="AK9">
            <v>733.67559617847405</v>
          </cell>
          <cell r="AL9">
            <v>681.30579398286795</v>
          </cell>
          <cell r="AM9">
            <v>646.69345537359072</v>
          </cell>
        </row>
        <row r="10">
          <cell r="O10">
            <v>8.4417749999999998</v>
          </cell>
          <cell r="P10">
            <v>13.732695000000001</v>
          </cell>
          <cell r="Q10">
            <v>12.28964</v>
          </cell>
          <cell r="R10">
            <v>12.565850000000001</v>
          </cell>
          <cell r="S10">
            <v>17.212634999999999</v>
          </cell>
          <cell r="T10">
            <v>20.417999999999999</v>
          </cell>
          <cell r="U10">
            <v>27.927966666666663</v>
          </cell>
          <cell r="V10">
            <v>36.289620416666665</v>
          </cell>
          <cell r="W10">
            <v>31.479955</v>
          </cell>
          <cell r="X10">
            <v>48.057312500000002</v>
          </cell>
          <cell r="Y10">
            <v>49.611110000000004</v>
          </cell>
          <cell r="Z10">
            <v>31.494150000000001</v>
          </cell>
          <cell r="AA10">
            <v>29.262639166666663</v>
          </cell>
          <cell r="AB10">
            <v>30.045252083333327</v>
          </cell>
          <cell r="AC10">
            <v>41.594160833333326</v>
          </cell>
          <cell r="AD10">
            <v>21.802634200304141</v>
          </cell>
          <cell r="AE10">
            <v>5.6436778896751534</v>
          </cell>
          <cell r="AF10">
            <v>9.921558117641105</v>
          </cell>
          <cell r="AG10">
            <v>12.768903757077915</v>
          </cell>
          <cell r="AH10">
            <v>14.498874389373778</v>
          </cell>
          <cell r="AI10">
            <v>15.531107566143151</v>
          </cell>
          <cell r="AJ10">
            <v>16.135842602570779</v>
          </cell>
          <cell r="AK10">
            <v>16.498644159260273</v>
          </cell>
          <cell r="AL10">
            <v>16.721160493792517</v>
          </cell>
          <cell r="AM10">
            <v>16.86017448022001</v>
          </cell>
        </row>
        <row r="11">
          <cell r="O11">
            <v>412.73106999999999</v>
          </cell>
          <cell r="P11">
            <v>550.77302499999996</v>
          </cell>
          <cell r="Q11">
            <v>625.03271000000007</v>
          </cell>
          <cell r="R11">
            <v>747.73627499999998</v>
          </cell>
          <cell r="S11">
            <v>1063.7008800000001</v>
          </cell>
          <cell r="T11">
            <v>1322.5385999999999</v>
          </cell>
          <cell r="U11">
            <v>1510.6426854166666</v>
          </cell>
          <cell r="V11">
            <v>1730.9724195833337</v>
          </cell>
          <cell r="W11">
            <v>1662.4022624999998</v>
          </cell>
          <cell r="X11">
            <v>1529.0227291666667</v>
          </cell>
          <cell r="Y11">
            <v>1700.6336841666669</v>
          </cell>
          <cell r="Z11">
            <v>1897.9445812500001</v>
          </cell>
          <cell r="AA11">
            <v>2310.34735</v>
          </cell>
          <cell r="AB11">
            <v>2090.1094083333328</v>
          </cell>
          <cell r="AC11">
            <v>2519.0583779166668</v>
          </cell>
          <cell r="AD11">
            <v>2919.2033947925133</v>
          </cell>
          <cell r="AE11">
            <v>3440.1797670033543</v>
          </cell>
          <cell r="AF11">
            <v>4017.8407029952182</v>
          </cell>
          <cell r="AG11">
            <v>4676.4898159030527</v>
          </cell>
          <cell r="AH11">
            <v>5422.3888072481759</v>
          </cell>
          <cell r="AI11">
            <v>6258.5245162448355</v>
          </cell>
          <cell r="AJ11">
            <v>7197.1362538866797</v>
          </cell>
          <cell r="AK11">
            <v>8251.617567587371</v>
          </cell>
          <cell r="AL11">
            <v>9426.1507389533799</v>
          </cell>
          <cell r="AM11">
            <v>10726.862480997619</v>
          </cell>
        </row>
        <row r="12">
          <cell r="O12">
            <v>6.0251100000000006</v>
          </cell>
          <cell r="P12">
            <v>1.4147000000000001</v>
          </cell>
          <cell r="Q12">
            <v>0.99109999999999998</v>
          </cell>
          <cell r="R12">
            <v>1.0826750000000001</v>
          </cell>
          <cell r="S12">
            <v>1.7507599999999999</v>
          </cell>
          <cell r="T12">
            <v>2.7688799999999998</v>
          </cell>
          <cell r="U12">
            <v>3.6120708333333331</v>
          </cell>
          <cell r="V12">
            <v>3.7087308333333335</v>
          </cell>
          <cell r="W12">
            <v>3.9557899999999995</v>
          </cell>
          <cell r="X12">
            <v>6.3450312499999999</v>
          </cell>
          <cell r="Y12">
            <v>5.3476533333333336</v>
          </cell>
          <cell r="Z12">
            <v>2.0202749999999998</v>
          </cell>
          <cell r="AA12">
            <v>1.0270166666666667</v>
          </cell>
          <cell r="AB12">
            <v>0.66139124999999988</v>
          </cell>
          <cell r="AC12">
            <v>2.362919166666666</v>
          </cell>
          <cell r="AD12">
            <v>2.7531711166904245</v>
          </cell>
          <cell r="AE12">
            <v>2.2194704599799668</v>
          </cell>
          <cell r="AF12">
            <v>2.2709291083556513</v>
          </cell>
          <cell r="AG12">
            <v>2.3296022693612262</v>
          </cell>
          <cell r="AH12">
            <v>2.3960477420042787</v>
          </cell>
          <cell r="AI12">
            <v>2.4705315970874264</v>
          </cell>
          <cell r="AJ12">
            <v>2.5541441254050454</v>
          </cell>
          <cell r="AK12">
            <v>2.6480784383550526</v>
          </cell>
          <cell r="AL12">
            <v>2.7527070980152812</v>
          </cell>
          <cell r="AM12">
            <v>2.8685758784739313</v>
          </cell>
        </row>
        <row r="13">
          <cell r="O13">
            <v>504.68244003793961</v>
          </cell>
          <cell r="P13">
            <v>617.07316688607</v>
          </cell>
          <cell r="Q13">
            <v>658.98826519842339</v>
          </cell>
          <cell r="R13">
            <v>832.81509580702937</v>
          </cell>
          <cell r="S13">
            <v>1165.090909201544</v>
          </cell>
          <cell r="T13">
            <v>1610.8827014672745</v>
          </cell>
          <cell r="U13">
            <v>1946.2885570321996</v>
          </cell>
          <cell r="V13">
            <v>2270.881861701328</v>
          </cell>
          <cell r="W13">
            <v>2230.9955681553738</v>
          </cell>
          <cell r="X13">
            <v>2076.9318459486326</v>
          </cell>
          <cell r="Y13">
            <v>2271.8512698135737</v>
          </cell>
          <cell r="Z13">
            <v>2474.8630858064735</v>
          </cell>
          <cell r="AA13">
            <v>2920.1556782220255</v>
          </cell>
          <cell r="AB13">
            <v>2559.8336346148899</v>
          </cell>
          <cell r="AC13">
            <v>3015.2791279952494</v>
          </cell>
          <cell r="AD13">
            <v>3347.4813125577089</v>
          </cell>
          <cell r="AE13">
            <v>3714.3210225365146</v>
          </cell>
          <cell r="AF13">
            <v>3885.026086902471</v>
          </cell>
          <cell r="AG13">
            <v>-28896.087266803817</v>
          </cell>
          <cell r="AH13">
            <v>7319.688417959962</v>
          </cell>
          <cell r="AI13">
            <v>7653.5753040590353</v>
          </cell>
          <cell r="AJ13">
            <v>8495.1510200180328</v>
          </cell>
          <cell r="AK13">
            <v>9559.3241543317217</v>
          </cell>
          <cell r="AL13">
            <v>10813.126013313835</v>
          </cell>
          <cell r="AM13">
            <v>12263.38078575393</v>
          </cell>
        </row>
        <row r="14">
          <cell r="O14">
            <v>188.36850000000001</v>
          </cell>
          <cell r="P14">
            <v>244.45584000000002</v>
          </cell>
          <cell r="Q14">
            <v>265.62040000000002</v>
          </cell>
          <cell r="R14">
            <v>309.17049000000003</v>
          </cell>
          <cell r="S14">
            <v>471.88688000000008</v>
          </cell>
          <cell r="T14">
            <v>693.49937999999986</v>
          </cell>
          <cell r="U14">
            <v>858.27096666666671</v>
          </cell>
          <cell r="V14">
            <v>934.11818666666682</v>
          </cell>
          <cell r="W14">
            <v>878.81641500000001</v>
          </cell>
          <cell r="X14">
            <v>723.15061499999979</v>
          </cell>
          <cell r="Y14">
            <v>754.67488166666669</v>
          </cell>
          <cell r="Z14">
            <v>934.80603166666663</v>
          </cell>
          <cell r="AA14">
            <v>1119.9842999999998</v>
          </cell>
          <cell r="AB14">
            <v>862.18436666666662</v>
          </cell>
          <cell r="AC14">
            <v>999.01197000000002</v>
          </cell>
          <cell r="AD14">
            <v>1001.4119999999998</v>
          </cell>
          <cell r="AE14">
            <v>1082.3696189627601</v>
          </cell>
          <cell r="AF14">
            <v>968.66289314683092</v>
          </cell>
          <cell r="AG14">
            <v>777.4946164842861</v>
          </cell>
          <cell r="AH14">
            <v>2295.4642595655764</v>
          </cell>
          <cell r="AI14">
            <v>1235.9038898019503</v>
          </cell>
          <cell r="AJ14">
            <v>-396.38807342357495</v>
          </cell>
          <cell r="AK14">
            <v>-2941.454631918597</v>
          </cell>
          <cell r="AL14">
            <v>-6937.1562425089478</v>
          </cell>
          <cell r="AM14">
            <v>-12882.230160509045</v>
          </cell>
        </row>
        <row r="15">
          <cell r="B15" t="str">
            <v>Demand and Time Deposits</v>
          </cell>
          <cell r="O15">
            <v>188.36850000000001</v>
          </cell>
          <cell r="P15">
            <v>244.45584000000002</v>
          </cell>
          <cell r="Q15">
            <v>265.62040000000002</v>
          </cell>
          <cell r="R15">
            <v>309.17049000000003</v>
          </cell>
          <cell r="S15">
            <v>471.88688000000008</v>
          </cell>
          <cell r="T15">
            <v>693.49937999999986</v>
          </cell>
          <cell r="U15">
            <v>853.47096666666675</v>
          </cell>
          <cell r="V15">
            <v>927.31818666666686</v>
          </cell>
          <cell r="W15">
            <v>867.41641500000003</v>
          </cell>
          <cell r="X15">
            <v>707.75061499999981</v>
          </cell>
          <cell r="Y15">
            <v>733.67488166666669</v>
          </cell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4.8</v>
          </cell>
          <cell r="V16">
            <v>6.8</v>
          </cell>
          <cell r="W16">
            <v>11.4</v>
          </cell>
          <cell r="X16">
            <v>15.4</v>
          </cell>
          <cell r="Y16">
            <v>21</v>
          </cell>
          <cell r="Z16">
            <v>33.799999999999997</v>
          </cell>
          <cell r="AA16">
            <v>33.799999999999997</v>
          </cell>
          <cell r="AB16">
            <v>33.799999999999997</v>
          </cell>
          <cell r="AC16">
            <v>33.799999999999997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O17">
            <v>4.3250000000000002</v>
          </cell>
          <cell r="P17">
            <v>2.0249999999999999</v>
          </cell>
          <cell r="Q17">
            <v>1.425</v>
          </cell>
          <cell r="R17">
            <v>3.1500000000000004</v>
          </cell>
          <cell r="S17">
            <v>6.1749999999999998</v>
          </cell>
          <cell r="T17">
            <v>1.75</v>
          </cell>
          <cell r="U17">
            <v>18.955572</v>
          </cell>
          <cell r="V17">
            <v>64.359309499999995</v>
          </cell>
          <cell r="W17">
            <v>32.613482750000003</v>
          </cell>
          <cell r="X17">
            <v>4.4221847500000004</v>
          </cell>
          <cell r="Y17">
            <v>92.786737500000001</v>
          </cell>
          <cell r="Z17">
            <v>81.714399499999999</v>
          </cell>
          <cell r="AA17">
            <v>69.511829000000006</v>
          </cell>
          <cell r="AB17">
            <v>21</v>
          </cell>
          <cell r="AC17">
            <v>27.5</v>
          </cell>
          <cell r="AD17">
            <v>24.961445251405266</v>
          </cell>
          <cell r="AE17">
            <v>21.674186508081878</v>
          </cell>
          <cell r="AF17">
            <v>24.037535923675776</v>
          </cell>
          <cell r="AG17">
            <v>27.939363230125494</v>
          </cell>
          <cell r="AH17">
            <v>32.581910033235218</v>
          </cell>
          <cell r="AI17">
            <v>37.930896476792356</v>
          </cell>
          <cell r="AJ17">
            <v>44.049626070401139</v>
          </cell>
          <cell r="AK17">
            <v>50.732145608858403</v>
          </cell>
          <cell r="AL17">
            <v>57.605189989500801</v>
          </cell>
          <cell r="AM17">
            <v>64.379969859411105</v>
          </cell>
        </row>
        <row r="18">
          <cell r="O18">
            <v>4.3250000000000002</v>
          </cell>
          <cell r="P18">
            <v>2.0249999999999999</v>
          </cell>
          <cell r="Q18">
            <v>1.425</v>
          </cell>
          <cell r="R18">
            <v>3.1500000000000004</v>
          </cell>
          <cell r="S18">
            <v>6.1749999999999998</v>
          </cell>
          <cell r="T18">
            <v>1.75</v>
          </cell>
          <cell r="U18">
            <v>18.955572</v>
          </cell>
          <cell r="V18">
            <v>64.359309499999995</v>
          </cell>
          <cell r="W18">
            <v>32.613482750000003</v>
          </cell>
          <cell r="X18">
            <v>4.4221847500000004</v>
          </cell>
          <cell r="Y18">
            <v>92.786737500000001</v>
          </cell>
          <cell r="Z18">
            <v>91.714399499999999</v>
          </cell>
          <cell r="AA18">
            <v>79.511829000000006</v>
          </cell>
          <cell r="AB18">
            <v>31</v>
          </cell>
          <cell r="AC18">
            <v>37.5</v>
          </cell>
          <cell r="AD18">
            <v>34.96144525140528</v>
          </cell>
          <cell r="AE18">
            <v>31.674186508081881</v>
          </cell>
          <cell r="AF18">
            <v>34.037535923675776</v>
          </cell>
          <cell r="AG18">
            <v>37.939363230125508</v>
          </cell>
          <cell r="AH18">
            <v>42.581910033235225</v>
          </cell>
          <cell r="AI18">
            <v>47.930896476792356</v>
          </cell>
          <cell r="AJ18">
            <v>54.049626070401139</v>
          </cell>
          <cell r="AK18">
            <v>60.732145608858403</v>
          </cell>
          <cell r="AL18">
            <v>67.605189989500801</v>
          </cell>
          <cell r="AM18">
            <v>74.379969859411105</v>
          </cell>
        </row>
        <row r="19"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-10</v>
          </cell>
          <cell r="AA19">
            <v>-10</v>
          </cell>
          <cell r="AB19">
            <v>-10</v>
          </cell>
          <cell r="AC19">
            <v>-10</v>
          </cell>
          <cell r="AD19">
            <v>-10</v>
          </cell>
          <cell r="AE19">
            <v>-10</v>
          </cell>
          <cell r="AF19">
            <v>-10</v>
          </cell>
          <cell r="AG19">
            <v>-10</v>
          </cell>
          <cell r="AH19">
            <v>-10</v>
          </cell>
          <cell r="AI19">
            <v>-10</v>
          </cell>
          <cell r="AJ19">
            <v>-10</v>
          </cell>
          <cell r="AK19">
            <v>-10</v>
          </cell>
          <cell r="AL19">
            <v>-10</v>
          </cell>
          <cell r="AM19">
            <v>-10</v>
          </cell>
        </row>
        <row r="20">
          <cell r="O20">
            <v>311.98894003793959</v>
          </cell>
          <cell r="P20">
            <v>370.59232688607</v>
          </cell>
          <cell r="Q20">
            <v>391.94286519842336</v>
          </cell>
          <cell r="R20">
            <v>520.49460580702942</v>
          </cell>
          <cell r="S20">
            <v>687.02902920154406</v>
          </cell>
          <cell r="T20">
            <v>915.63332146727464</v>
          </cell>
          <cell r="U20">
            <v>1069.0620183655328</v>
          </cell>
          <cell r="V20">
            <v>1272.4043655346613</v>
          </cell>
          <cell r="W20">
            <v>1319.5656704053738</v>
          </cell>
          <cell r="X20">
            <v>1349.3590461986328</v>
          </cell>
          <cell r="Y20">
            <v>1424.3896506469068</v>
          </cell>
          <cell r="Z20">
            <v>1458.3426546398071</v>
          </cell>
          <cell r="AA20">
            <v>1730.6595492220256</v>
          </cell>
          <cell r="AB20">
            <v>1676.6492679482233</v>
          </cell>
          <cell r="AC20">
            <v>1988.7671579952494</v>
          </cell>
          <cell r="AD20">
            <v>2321.1078673063039</v>
          </cell>
          <cell r="AE20">
            <v>2610.2772170656722</v>
          </cell>
          <cell r="AF20">
            <v>2892.3256578319629</v>
          </cell>
          <cell r="AG20">
            <v>-29701.521246518994</v>
          </cell>
          <cell r="AH20">
            <v>4991.6422483611495</v>
          </cell>
          <cell r="AI20">
            <v>6379.740517780293</v>
          </cell>
          <cell r="AJ20">
            <v>8847.4894673712079</v>
          </cell>
          <cell r="AK20">
            <v>12450.04664064146</v>
          </cell>
          <cell r="AL20">
            <v>17692.677065833286</v>
          </cell>
          <cell r="AM20">
            <v>25081.230976403564</v>
          </cell>
        </row>
        <row r="22">
          <cell r="N22">
            <v>1686.3000000000002</v>
          </cell>
          <cell r="O22">
            <v>1281.7161629870579</v>
          </cell>
          <cell r="P22">
            <v>877.20039514171503</v>
          </cell>
          <cell r="Q22">
            <v>959.58999352554861</v>
          </cell>
          <cell r="R22">
            <v>1164.9557441279412</v>
          </cell>
          <cell r="S22">
            <v>1454.7017142831724</v>
          </cell>
          <cell r="T22">
            <v>1900.3796760104913</v>
          </cell>
          <cell r="U22">
            <v>913.25275631370243</v>
          </cell>
          <cell r="V22">
            <v>1415.6634213576763</v>
          </cell>
          <cell r="W22">
            <v>2010.1850204356781</v>
          </cell>
          <cell r="X22">
            <v>2074.6696183634112</v>
          </cell>
          <cell r="Y22">
            <v>1579.7896678006189</v>
          </cell>
          <cell r="Z22">
            <v>1525.8005359776982</v>
          </cell>
          <cell r="AA22">
            <v>1732.4039574243702</v>
          </cell>
          <cell r="AB22">
            <v>3884.59133625092</v>
          </cell>
          <cell r="AC22">
            <v>2988.7999999999975</v>
          </cell>
          <cell r="AD22">
            <v>7276.8024060219823</v>
          </cell>
          <cell r="AE22">
            <v>4895.9688857664314</v>
          </cell>
          <cell r="AF22">
            <v>5036.6440338569464</v>
          </cell>
          <cell r="AG22">
            <v>3320.0109759389043</v>
          </cell>
          <cell r="AH22">
            <v>6597.4387336155196</v>
          </cell>
          <cell r="AI22">
            <v>7106.3721430631476</v>
          </cell>
          <cell r="AJ22">
            <v>7464.529398326702</v>
          </cell>
          <cell r="AK22">
            <v>8108.9764533845828</v>
          </cell>
          <cell r="AL22">
            <v>8416.5012000342813</v>
          </cell>
          <cell r="AM22">
            <v>8617.1281582240517</v>
          </cell>
        </row>
        <row r="23">
          <cell r="N23">
            <v>291.2</v>
          </cell>
          <cell r="O23">
            <v>324.59999999999997</v>
          </cell>
          <cell r="P23">
            <v>-714.8</v>
          </cell>
          <cell r="Q23">
            <v>-33.400000000000006</v>
          </cell>
          <cell r="R23">
            <v>-70.599999999999994</v>
          </cell>
          <cell r="S23">
            <v>-132.60000000000002</v>
          </cell>
          <cell r="T23">
            <v>1279.2</v>
          </cell>
          <cell r="U23">
            <v>-66.700000000000045</v>
          </cell>
          <cell r="V23">
            <v>455.4</v>
          </cell>
          <cell r="W23">
            <v>929.8</v>
          </cell>
          <cell r="X23">
            <v>346.70000000000027</v>
          </cell>
          <cell r="Y23">
            <v>-221.70000000000027</v>
          </cell>
          <cell r="Z23">
            <v>-336.40000000000009</v>
          </cell>
          <cell r="AA23">
            <v>-791.09999999999991</v>
          </cell>
          <cell r="AB23">
            <v>-289.29999999999995</v>
          </cell>
          <cell r="AC23">
            <v>-1126.5999999999999</v>
          </cell>
          <cell r="AD23">
            <v>3620.7559765598098</v>
          </cell>
          <cell r="AE23">
            <v>1724.8224657862384</v>
          </cell>
          <cell r="AF23">
            <v>1110.9118512931054</v>
          </cell>
          <cell r="AG23">
            <v>-1235.7833152321537</v>
          </cell>
          <cell r="AH23">
            <v>1375.8469830074446</v>
          </cell>
          <cell r="AI23">
            <v>1539.3765166115681</v>
          </cell>
          <cell r="AJ23">
            <v>1612.7350036935422</v>
          </cell>
          <cell r="AK23">
            <v>2156.9716507247504</v>
          </cell>
          <cell r="AL23">
            <v>2893.464688410595</v>
          </cell>
          <cell r="AM23">
            <v>4179.6309361374551</v>
          </cell>
        </row>
        <row r="24">
          <cell r="N24">
            <v>291.2</v>
          </cell>
          <cell r="O24">
            <v>324.59999999999997</v>
          </cell>
          <cell r="P24">
            <v>-714.8</v>
          </cell>
          <cell r="Q24">
            <v>-33.400000000000006</v>
          </cell>
          <cell r="R24">
            <v>-70.599999999999994</v>
          </cell>
          <cell r="S24">
            <v>-132.60000000000002</v>
          </cell>
          <cell r="T24">
            <v>1054.2810667500003</v>
          </cell>
          <cell r="U24">
            <v>159.52592949999996</v>
          </cell>
          <cell r="V24">
            <v>881.41300374999992</v>
          </cell>
          <cell r="W24">
            <v>690.00000000000011</v>
          </cell>
          <cell r="X24">
            <v>199.19999999999987</v>
          </cell>
          <cell r="Y24">
            <v>1068.4000000000001</v>
          </cell>
          <cell r="Z24">
            <v>1034.9999999999998</v>
          </cell>
          <cell r="AA24">
            <v>-775.79999999999973</v>
          </cell>
          <cell r="AB24">
            <v>-126.90000000000009</v>
          </cell>
          <cell r="AC24">
            <v>-1126.6000000000001</v>
          </cell>
          <cell r="AD24">
            <v>3621.3279697604344</v>
          </cell>
          <cell r="AE24">
            <v>1724.8224657862384</v>
          </cell>
          <cell r="AF24">
            <v>1110.9118512931057</v>
          </cell>
          <cell r="AG24">
            <v>-1235.7833152321532</v>
          </cell>
          <cell r="AH24">
            <v>1375.846983007445</v>
          </cell>
          <cell r="AI24">
            <v>1539.3765166115668</v>
          </cell>
          <cell r="AJ24">
            <v>1612.7350036935431</v>
          </cell>
          <cell r="AK24">
            <v>2156.9716507247513</v>
          </cell>
          <cell r="AL24">
            <v>2893.4646884105928</v>
          </cell>
          <cell r="AM24">
            <v>4179.630936137457</v>
          </cell>
        </row>
        <row r="25">
          <cell r="N25">
            <v>291.2</v>
          </cell>
          <cell r="O25">
            <v>324.59999999999997</v>
          </cell>
          <cell r="P25">
            <v>-714.8</v>
          </cell>
          <cell r="Q25">
            <v>-33.400000000000006</v>
          </cell>
          <cell r="R25">
            <v>-70.599999999999994</v>
          </cell>
          <cell r="S25">
            <v>-132.60000000000002</v>
          </cell>
          <cell r="T25">
            <v>1092.8610667500002</v>
          </cell>
          <cell r="U25">
            <v>159.52592949999996</v>
          </cell>
          <cell r="V25">
            <v>572.01300374999994</v>
          </cell>
          <cell r="W25">
            <v>340.10000000000014</v>
          </cell>
          <cell r="X25">
            <v>91.899999999999864</v>
          </cell>
          <cell r="Y25">
            <v>711.50000000000023</v>
          </cell>
          <cell r="Z25">
            <v>253.79999999999973</v>
          </cell>
          <cell r="AA25">
            <v>-775.79999999999973</v>
          </cell>
          <cell r="AB25">
            <v>-126.90000000000009</v>
          </cell>
          <cell r="AC25">
            <v>-1126.6000000000001</v>
          </cell>
          <cell r="AD25">
            <v>3302.3007652414667</v>
          </cell>
          <cell r="AE25">
            <v>1405.7952612672725</v>
          </cell>
          <cell r="AF25">
            <v>791.8846467741397</v>
          </cell>
          <cell r="AG25">
            <v>-1554.8105197511193</v>
          </cell>
          <cell r="AH25">
            <v>1056.8197784884808</v>
          </cell>
          <cell r="AI25">
            <v>1220.3493120926007</v>
          </cell>
          <cell r="AJ25">
            <v>1293.7077991745757</v>
          </cell>
          <cell r="AK25">
            <v>1837.944446205787</v>
          </cell>
          <cell r="AL25">
            <v>2574.4374838916269</v>
          </cell>
          <cell r="AM25">
            <v>3860.6037316184879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-38.58</v>
          </cell>
          <cell r="U26">
            <v>0</v>
          </cell>
          <cell r="V26">
            <v>309.39999999999998</v>
          </cell>
          <cell r="W26">
            <v>349.9</v>
          </cell>
          <cell r="X26">
            <v>107.3</v>
          </cell>
          <cell r="Y26">
            <v>356.9</v>
          </cell>
          <cell r="Z26">
            <v>781.2</v>
          </cell>
          <cell r="AA26">
            <v>0</v>
          </cell>
          <cell r="AB26">
            <v>0</v>
          </cell>
          <cell r="AC26">
            <v>0</v>
          </cell>
          <cell r="AD26">
            <v>319.02720451896596</v>
          </cell>
          <cell r="AE26">
            <v>319.02720451896596</v>
          </cell>
          <cell r="AF26">
            <v>319.02720451896596</v>
          </cell>
          <cell r="AG26">
            <v>319.02720451896596</v>
          </cell>
          <cell r="AH26">
            <v>319.02720451896596</v>
          </cell>
          <cell r="AI26">
            <v>319.02720451896596</v>
          </cell>
          <cell r="AJ26">
            <v>319.02720451896596</v>
          </cell>
          <cell r="AK26">
            <v>319.02720451896596</v>
          </cell>
          <cell r="AL26">
            <v>319.02720451896596</v>
          </cell>
          <cell r="AM26">
            <v>319.02720451896596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224.91893324999978</v>
          </cell>
          <cell r="U27">
            <v>-226.22592950000001</v>
          </cell>
          <cell r="V27">
            <v>-426.01300374999994</v>
          </cell>
          <cell r="W27">
            <v>239.79999999999984</v>
          </cell>
          <cell r="X27">
            <v>147.5000000000004</v>
          </cell>
          <cell r="Y27">
            <v>-1290.1000000000004</v>
          </cell>
          <cell r="Z27">
            <v>-1371.3999999999999</v>
          </cell>
          <cell r="AA27">
            <v>-15.300000000000182</v>
          </cell>
          <cell r="AB27">
            <v>-162.39999999999986</v>
          </cell>
          <cell r="AC27">
            <v>0</v>
          </cell>
          <cell r="AD27">
            <v>-0.57199320062454717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</row>
        <row r="28">
          <cell r="N28">
            <v>1233.5999999999999</v>
          </cell>
          <cell r="O28">
            <v>834.4</v>
          </cell>
          <cell r="P28">
            <v>1508.0000000000005</v>
          </cell>
          <cell r="Q28">
            <v>901.09999999999968</v>
          </cell>
          <cell r="R28">
            <v>1123.9999999999998</v>
          </cell>
          <cell r="S28">
            <v>1448.0000000000007</v>
          </cell>
          <cell r="T28">
            <v>439.19999999999953</v>
          </cell>
          <cell r="U28">
            <v>892.50000000000057</v>
          </cell>
          <cell r="V28">
            <v>824.69999999999891</v>
          </cell>
          <cell r="W28">
            <v>887.80000000000143</v>
          </cell>
          <cell r="X28">
            <v>1529.3000000000002</v>
          </cell>
          <cell r="Y28">
            <v>1650.3</v>
          </cell>
          <cell r="Z28">
            <v>1716.0000000000002</v>
          </cell>
          <cell r="AA28">
            <v>2357.6999999999985</v>
          </cell>
          <cell r="AB28">
            <v>4202.4000000000015</v>
          </cell>
          <cell r="AC28">
            <v>4519.1000000000004</v>
          </cell>
          <cell r="AD28">
            <v>2689.2870986362445</v>
          </cell>
          <cell r="AE28">
            <v>2944.3830331155505</v>
          </cell>
          <cell r="AF28">
            <v>3645.0096274548132</v>
          </cell>
          <cell r="AG28">
            <v>4230.0170464448383</v>
          </cell>
          <cell r="AH28">
            <v>4848.2044409802347</v>
          </cell>
          <cell r="AI28">
            <v>5168.9090622485019</v>
          </cell>
          <cell r="AJ28">
            <v>5433.3423459350006</v>
          </cell>
          <cell r="AK28">
            <v>5526.386874965975</v>
          </cell>
          <cell r="AL28">
            <v>5128.0933903405312</v>
          </cell>
          <cell r="AM28">
            <v>4120.1792032960602</v>
          </cell>
        </row>
        <row r="29">
          <cell r="N29">
            <v>-186.6</v>
          </cell>
          <cell r="O29">
            <v>-120</v>
          </cell>
          <cell r="P29">
            <v>792.70000000000016</v>
          </cell>
          <cell r="Q29">
            <v>132.79999999999998</v>
          </cell>
          <cell r="R29">
            <v>56.599999999999994</v>
          </cell>
          <cell r="S29">
            <v>101.60000000000005</v>
          </cell>
          <cell r="T29">
            <v>-323.10000000000008</v>
          </cell>
          <cell r="U29">
            <v>-46.999999999999972</v>
          </cell>
          <cell r="V29">
            <v>27.599999999999994</v>
          </cell>
          <cell r="W29">
            <v>400.29999999999995</v>
          </cell>
          <cell r="X29">
            <v>-62.399999999999977</v>
          </cell>
          <cell r="Y29">
            <v>-128.99999999999997</v>
          </cell>
          <cell r="Z29">
            <v>-486.29999999999995</v>
          </cell>
          <cell r="AA29">
            <v>513.09999999999991</v>
          </cell>
          <cell r="AB29">
            <v>569.30000000000007</v>
          </cell>
          <cell r="AC29">
            <v>534</v>
          </cell>
          <cell r="AD29">
            <v>-1848.1959178947309</v>
          </cell>
          <cell r="AE29">
            <v>-1980.7279786103852</v>
          </cell>
          <cell r="AF29">
            <v>-1933.7410815508831</v>
          </cell>
          <cell r="AG29">
            <v>-2167.7374458011022</v>
          </cell>
          <cell r="AH29">
            <v>-2317.0490089150321</v>
          </cell>
          <cell r="AI29">
            <v>-2869.6591760697215</v>
          </cell>
          <cell r="AJ29">
            <v>-3595.2776006588074</v>
          </cell>
          <cell r="AK29">
            <v>-4619.0885968700477</v>
          </cell>
          <cell r="AL29">
            <v>-6083.4820473810651</v>
          </cell>
          <cell r="AM29">
            <v>-8319.6564648859403</v>
          </cell>
        </row>
        <row r="30">
          <cell r="N30">
            <v>-192.7</v>
          </cell>
          <cell r="O30">
            <v>-184.3</v>
          </cell>
          <cell r="P30">
            <v>797.60000000000014</v>
          </cell>
          <cell r="Q30">
            <v>127.39999999999998</v>
          </cell>
          <cell r="R30">
            <v>51</v>
          </cell>
          <cell r="S30">
            <v>73.700000000000045</v>
          </cell>
          <cell r="T30">
            <v>-319.30000000000007</v>
          </cell>
          <cell r="U30">
            <v>-122.59999999999997</v>
          </cell>
          <cell r="V30">
            <v>29.699999999999989</v>
          </cell>
          <cell r="W30">
            <v>407.9</v>
          </cell>
          <cell r="X30">
            <v>-358.79999999999995</v>
          </cell>
          <cell r="Y30">
            <v>114</v>
          </cell>
          <cell r="Z30">
            <v>-501.69999999999993</v>
          </cell>
          <cell r="AA30">
            <v>584.79999999999995</v>
          </cell>
          <cell r="AB30">
            <v>365.00000000000006</v>
          </cell>
          <cell r="AC30">
            <v>534</v>
          </cell>
          <cell r="AD30">
            <v>-1508.8074488093516</v>
          </cell>
          <cell r="AE30">
            <v>-2026.3172420479632</v>
          </cell>
          <cell r="AF30">
            <v>-1965.9314586217743</v>
          </cell>
          <cell r="AG30">
            <v>-2187.3169894472444</v>
          </cell>
          <cell r="AH30">
            <v>-2328.9234767651774</v>
          </cell>
          <cell r="AI30">
            <v>-2876.5525841608346</v>
          </cell>
          <cell r="AJ30">
            <v>-3599.3793750481937</v>
          </cell>
          <cell r="AK30">
            <v>-4621.5832144204678</v>
          </cell>
          <cell r="AL30">
            <v>-6085.0331813675912</v>
          </cell>
          <cell r="AM30">
            <v>-8320.6328579253586</v>
          </cell>
        </row>
        <row r="31">
          <cell r="N31">
            <v>-232.7</v>
          </cell>
          <cell r="O31">
            <v>-185.10000000000002</v>
          </cell>
          <cell r="P31">
            <v>666.80000000000007</v>
          </cell>
          <cell r="Q31">
            <v>19.799999999999983</v>
          </cell>
          <cell r="R31">
            <v>91.5</v>
          </cell>
          <cell r="S31">
            <v>56.300000000000011</v>
          </cell>
          <cell r="T31">
            <v>-524.1</v>
          </cell>
          <cell r="U31">
            <v>-321.49999999999994</v>
          </cell>
          <cell r="V31">
            <v>-12.200000000000102</v>
          </cell>
          <cell r="W31">
            <v>89.600000000000023</v>
          </cell>
          <cell r="X31">
            <v>-287.89999999999998</v>
          </cell>
          <cell r="Y31">
            <v>158.89999999999998</v>
          </cell>
          <cell r="Z31">
            <v>-780.49999999999989</v>
          </cell>
          <cell r="AA31">
            <v>831</v>
          </cell>
          <cell r="AB31">
            <v>-459.7</v>
          </cell>
          <cell r="AC31">
            <v>281.70000000000005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</row>
        <row r="32">
          <cell r="N32">
            <v>40</v>
          </cell>
          <cell r="O32">
            <v>0.79999999999999716</v>
          </cell>
          <cell r="P32">
            <v>130.80000000000001</v>
          </cell>
          <cell r="Q32">
            <v>107.6</v>
          </cell>
          <cell r="R32">
            <v>-40.5</v>
          </cell>
          <cell r="S32">
            <v>17.400000000000034</v>
          </cell>
          <cell r="T32">
            <v>204.79999999999995</v>
          </cell>
          <cell r="U32">
            <v>198.89999999999998</v>
          </cell>
          <cell r="V32">
            <v>41.900000000000091</v>
          </cell>
          <cell r="W32">
            <v>318.29999999999995</v>
          </cell>
          <cell r="X32">
            <v>-70.899999999999977</v>
          </cell>
          <cell r="Y32">
            <v>-44.899999999999977</v>
          </cell>
          <cell r="Z32">
            <v>278.79999999999995</v>
          </cell>
          <cell r="AA32">
            <v>-246.20000000000005</v>
          </cell>
          <cell r="AB32">
            <v>824.7</v>
          </cell>
          <cell r="AC32">
            <v>252.29999999999995</v>
          </cell>
          <cell r="AD32">
            <v>-1508.8074488093546</v>
          </cell>
          <cell r="AE32">
            <v>-2026.3172420479646</v>
          </cell>
          <cell r="AF32">
            <v>-1965.9314586217756</v>
          </cell>
          <cell r="AG32">
            <v>-2187.3169894472444</v>
          </cell>
          <cell r="AH32">
            <v>-2328.9234767651801</v>
          </cell>
          <cell r="AI32">
            <v>-2876.5525841608346</v>
          </cell>
          <cell r="AJ32">
            <v>-3599.3793750481964</v>
          </cell>
          <cell r="AK32">
            <v>-4621.5832144204705</v>
          </cell>
          <cell r="AL32">
            <v>-6085.0331813675912</v>
          </cell>
          <cell r="AM32">
            <v>-8320.6328579253604</v>
          </cell>
        </row>
        <row r="33">
          <cell r="N33">
            <v>6.1</v>
          </cell>
          <cell r="O33">
            <v>64.300000000000011</v>
          </cell>
          <cell r="P33">
            <v>-4.9000000000000057</v>
          </cell>
          <cell r="Q33">
            <v>5.4000000000000057</v>
          </cell>
          <cell r="R33">
            <v>5.5999999999999943</v>
          </cell>
          <cell r="S33">
            <v>27.900000000000006</v>
          </cell>
          <cell r="T33">
            <v>-3.8000000000000114</v>
          </cell>
          <cell r="U33">
            <v>75.599999999999994</v>
          </cell>
          <cell r="V33">
            <v>-2.0999999999999943</v>
          </cell>
          <cell r="W33">
            <v>-7.5999999999999943</v>
          </cell>
          <cell r="X33">
            <v>296.39999999999998</v>
          </cell>
          <cell r="Y33">
            <v>-242.99999999999997</v>
          </cell>
          <cell r="Z33">
            <v>15.400000000000006</v>
          </cell>
          <cell r="AA33">
            <v>-71.700000000000017</v>
          </cell>
          <cell r="AB33">
            <v>204.29999999999998</v>
          </cell>
          <cell r="AC33">
            <v>0</v>
          </cell>
          <cell r="AD33">
            <v>-339.3884690853792</v>
          </cell>
          <cell r="AE33">
            <v>45.58926343757939</v>
          </cell>
          <cell r="AF33">
            <v>32.190377070892453</v>
          </cell>
          <cell r="AG33">
            <v>19.579543646140451</v>
          </cell>
          <cell r="AH33">
            <v>11.874467850148022</v>
          </cell>
          <cell r="AI33">
            <v>6.8934080911132867</v>
          </cell>
          <cell r="AJ33">
            <v>4.1017743893889644</v>
          </cell>
          <cell r="AK33">
            <v>2.494617550420088</v>
          </cell>
          <cell r="AL33">
            <v>1.5511339865298055</v>
          </cell>
          <cell r="AM33">
            <v>0.97639303942460742</v>
          </cell>
        </row>
        <row r="34">
          <cell r="B34" t="str">
            <v>To Rest of the Economy</v>
          </cell>
          <cell r="N34">
            <v>1420.1999999999998</v>
          </cell>
          <cell r="O34">
            <v>954.4</v>
          </cell>
          <cell r="P34">
            <v>715.30000000000018</v>
          </cell>
          <cell r="Q34">
            <v>768.29999999999973</v>
          </cell>
          <cell r="R34">
            <v>1067.3999999999999</v>
          </cell>
          <cell r="S34">
            <v>1346.4000000000005</v>
          </cell>
          <cell r="T34">
            <v>762.29999999999961</v>
          </cell>
          <cell r="U34">
            <v>939.50000000000057</v>
          </cell>
          <cell r="V34">
            <v>797.09999999999889</v>
          </cell>
          <cell r="W34">
            <v>487.50000000000148</v>
          </cell>
          <cell r="X34">
            <v>1591.7</v>
          </cell>
          <cell r="Y34">
            <v>1779.3</v>
          </cell>
          <cell r="Z34">
            <v>2202.3000000000002</v>
          </cell>
          <cell r="AA34">
            <v>1844.5999999999985</v>
          </cell>
          <cell r="AB34">
            <v>3633.1000000000013</v>
          </cell>
          <cell r="AC34">
            <v>3985.1000000000008</v>
          </cell>
          <cell r="AD34">
            <v>4537.4830165309741</v>
          </cell>
          <cell r="AE34">
            <v>4925.1110117259359</v>
          </cell>
          <cell r="AF34">
            <v>5578.750709005697</v>
          </cell>
          <cell r="AG34">
            <v>6397.7544922459429</v>
          </cell>
          <cell r="AH34">
            <v>7165.2534498952673</v>
          </cell>
          <cell r="AI34">
            <v>8038.5682383182257</v>
          </cell>
          <cell r="AJ34">
            <v>9028.6199465938098</v>
          </cell>
          <cell r="AK34">
            <v>10145.475471836027</v>
          </cell>
          <cell r="AL34">
            <v>11211.575437721598</v>
          </cell>
          <cell r="AM34">
            <v>12439.835668182001</v>
          </cell>
        </row>
        <row r="35">
          <cell r="N35">
            <v>1372.6</v>
          </cell>
          <cell r="O35">
            <v>995</v>
          </cell>
          <cell r="P35">
            <v>715.30000000000018</v>
          </cell>
          <cell r="Q35">
            <v>771.29999999999973</v>
          </cell>
          <cell r="R35">
            <v>1062.6999999999998</v>
          </cell>
          <cell r="S35">
            <v>1345.4000000000005</v>
          </cell>
          <cell r="T35">
            <v>753.89999999999964</v>
          </cell>
          <cell r="U35">
            <v>939.90000000000055</v>
          </cell>
          <cell r="V35">
            <v>796.69999999999891</v>
          </cell>
          <cell r="W35">
            <v>480.90000000000146</v>
          </cell>
          <cell r="X35">
            <v>1558</v>
          </cell>
          <cell r="Y35">
            <v>1822.5</v>
          </cell>
          <cell r="Z35">
            <v>2203.5</v>
          </cell>
          <cell r="AA35">
            <v>1858.5999999999985</v>
          </cell>
          <cell r="AB35">
            <v>3621.4000000000015</v>
          </cell>
          <cell r="AC35">
            <v>3966.7000000000007</v>
          </cell>
          <cell r="AD35">
            <v>4547.625359863875</v>
          </cell>
          <cell r="AE35">
            <v>4924.6723166968613</v>
          </cell>
          <cell r="AF35">
            <v>5578.2537922461233</v>
          </cell>
          <cell r="AG35">
            <v>6397.1846242599622</v>
          </cell>
          <cell r="AH35">
            <v>7164.615218378648</v>
          </cell>
          <cell r="AI35">
            <v>8037.8522179242418</v>
          </cell>
          <cell r="AJ35">
            <v>9027.8157392002013</v>
          </cell>
          <cell r="AK35">
            <v>10144.571782630546</v>
          </cell>
          <cell r="AL35">
            <v>11210.576787660531</v>
          </cell>
          <cell r="AM35">
            <v>12438.727613143827</v>
          </cell>
        </row>
        <row r="36">
          <cell r="N36">
            <v>47.6</v>
          </cell>
          <cell r="O36">
            <v>-40.6</v>
          </cell>
          <cell r="P36">
            <v>0</v>
          </cell>
          <cell r="Q36">
            <v>-3</v>
          </cell>
          <cell r="R36">
            <v>4.6999999999999993</v>
          </cell>
          <cell r="S36">
            <v>1</v>
          </cell>
          <cell r="T36">
            <v>8.4000000000000021</v>
          </cell>
          <cell r="U36">
            <v>-0.40000000000000213</v>
          </cell>
          <cell r="V36">
            <v>0.40000000000000213</v>
          </cell>
          <cell r="W36">
            <v>6.5999999999999979</v>
          </cell>
          <cell r="X36">
            <v>33.700000000000003</v>
          </cell>
          <cell r="Y36">
            <v>-43.2</v>
          </cell>
          <cell r="Z36">
            <v>-1.1999999999999993</v>
          </cell>
          <cell r="AA36">
            <v>-14</v>
          </cell>
          <cell r="AB36">
            <v>11.7</v>
          </cell>
          <cell r="AC36">
            <v>18.400000000000002</v>
          </cell>
          <cell r="AD36">
            <v>-10.14234333290138</v>
          </cell>
          <cell r="AE36">
            <v>0.43869502907487856</v>
          </cell>
          <cell r="AF36">
            <v>0.496916759573935</v>
          </cell>
          <cell r="AG36">
            <v>0.56986798598196131</v>
          </cell>
          <cell r="AH36">
            <v>0.63823151661900113</v>
          </cell>
          <cell r="AI36">
            <v>0.71602039398368689</v>
          </cell>
          <cell r="AJ36">
            <v>0.80420739360938143</v>
          </cell>
          <cell r="AK36">
            <v>0.90368920548166187</v>
          </cell>
          <cell r="AL36">
            <v>0.99865006106794851</v>
          </cell>
          <cell r="AM36">
            <v>1.1080550381802325</v>
          </cell>
        </row>
        <row r="37">
          <cell r="N37">
            <v>161.50000000000028</v>
          </cell>
          <cell r="O37">
            <v>122.71616298705788</v>
          </cell>
          <cell r="P37">
            <v>84.000395141714534</v>
          </cell>
          <cell r="Q37">
            <v>91.889993525548903</v>
          </cell>
          <cell r="R37">
            <v>111.55574412794124</v>
          </cell>
          <cell r="S37">
            <v>139.30171428317192</v>
          </cell>
          <cell r="T37">
            <v>181.97967601049163</v>
          </cell>
          <cell r="U37">
            <v>87.452756313701911</v>
          </cell>
          <cell r="V37">
            <v>135.56342135767738</v>
          </cell>
          <cell r="W37">
            <v>192.58502043567682</v>
          </cell>
          <cell r="X37">
            <v>198.66961836341079</v>
          </cell>
          <cell r="Y37">
            <v>151.18966780061919</v>
          </cell>
          <cell r="Z37">
            <v>146.20053597769811</v>
          </cell>
          <cell r="AA37">
            <v>165.80395742437167</v>
          </cell>
          <cell r="AB37">
            <v>-28.508663749081506</v>
          </cell>
          <cell r="AC37">
            <v>-403.700000000003</v>
          </cell>
          <cell r="AD37">
            <v>966.7593308259286</v>
          </cell>
          <cell r="AE37">
            <v>226.76338686464032</v>
          </cell>
          <cell r="AF37">
            <v>280.72255510903005</v>
          </cell>
          <cell r="AG37">
            <v>325.7772447262123</v>
          </cell>
          <cell r="AH37">
            <v>373.3873096278403</v>
          </cell>
          <cell r="AI37">
            <v>398.0865642030758</v>
          </cell>
          <cell r="AJ37">
            <v>418.45204869815461</v>
          </cell>
          <cell r="AK37">
            <v>425.61792769385465</v>
          </cell>
          <cell r="AL37">
            <v>394.94312128314778</v>
          </cell>
          <cell r="AM37">
            <v>317.31801879052909</v>
          </cell>
        </row>
        <row r="38">
          <cell r="N38">
            <v>1686.3000000000002</v>
          </cell>
          <cell r="O38">
            <v>1281.7161629870579</v>
          </cell>
          <cell r="P38">
            <v>877.20039514171469</v>
          </cell>
          <cell r="Q38">
            <v>959.58999352554929</v>
          </cell>
          <cell r="R38">
            <v>1164.9557441279403</v>
          </cell>
          <cell r="S38">
            <v>1454.7017142831726</v>
          </cell>
          <cell r="T38">
            <v>1900.3796760104919</v>
          </cell>
          <cell r="U38">
            <v>913.25275631370164</v>
          </cell>
          <cell r="V38">
            <v>1415.663421357676</v>
          </cell>
          <cell r="W38">
            <v>2010.1850204356799</v>
          </cell>
          <cell r="X38">
            <v>2074.6696183634094</v>
          </cell>
          <cell r="Y38">
            <v>1579.7896678006225</v>
          </cell>
          <cell r="Z38">
            <v>1525.8005359776969</v>
          </cell>
          <cell r="AA38">
            <v>1732.4039574243679</v>
          </cell>
          <cell r="AB38">
            <v>3884.5913362509186</v>
          </cell>
          <cell r="AC38">
            <v>2988.7999999999984</v>
          </cell>
          <cell r="AD38">
            <v>7276.8024060219705</v>
          </cell>
          <cell r="AE38">
            <v>4895.9688857664387</v>
          </cell>
          <cell r="AF38">
            <v>5036.6440338569555</v>
          </cell>
          <cell r="AG38">
            <v>3320.0109759351326</v>
          </cell>
          <cell r="AH38">
            <v>6597.4387336150248</v>
          </cell>
          <cell r="AI38">
            <v>7106.3721430629885</v>
          </cell>
          <cell r="AJ38">
            <v>7464.5293983265292</v>
          </cell>
          <cell r="AK38">
            <v>8108.9764533844427</v>
          </cell>
          <cell r="AL38">
            <v>8416.5012000342394</v>
          </cell>
          <cell r="AM38">
            <v>8617.1281582242518</v>
          </cell>
        </row>
        <row r="39">
          <cell r="B39" t="str">
            <v>Broad Money Liabilities</v>
          </cell>
          <cell r="N39">
            <v>1477.4</v>
          </cell>
          <cell r="O39">
            <v>674.5</v>
          </cell>
          <cell r="P39">
            <v>612.1</v>
          </cell>
          <cell r="Q39">
            <v>726.7</v>
          </cell>
          <cell r="R39">
            <v>1079.94</v>
          </cell>
          <cell r="S39">
            <v>1041.3599999999994</v>
          </cell>
          <cell r="T39">
            <v>1346.8000000000002</v>
          </cell>
          <cell r="U39">
            <v>561.60000000000014</v>
          </cell>
          <cell r="V39">
            <v>798.8</v>
          </cell>
          <cell r="W39">
            <v>1682.8</v>
          </cell>
          <cell r="X39">
            <v>1277.7999999999993</v>
          </cell>
          <cell r="Y39">
            <v>765.50000000000068</v>
          </cell>
          <cell r="Z39">
            <v>923.49999999999977</v>
          </cell>
          <cell r="AA39">
            <v>657.80000000000007</v>
          </cell>
          <cell r="AB39">
            <v>2202.3000000000006</v>
          </cell>
          <cell r="AC39">
            <v>1541.2999999999981</v>
          </cell>
          <cell r="AD39">
            <v>1392.0122501930216</v>
          </cell>
          <cell r="AE39">
            <v>-1955.1112951817381</v>
          </cell>
          <cell r="AF39">
            <v>-3287.0109863897974</v>
          </cell>
          <cell r="AG39">
            <v>26100.475355660321</v>
          </cell>
          <cell r="AH39">
            <v>-18218.433711697959</v>
          </cell>
          <cell r="AI39">
            <v>-28066.171384643785</v>
          </cell>
          <cell r="AJ39">
            <v>-43760.721626598759</v>
          </cell>
          <cell r="AK39">
            <v>-68703.423610027006</v>
          </cell>
          <cell r="AL39">
            <v>-102221.57998453164</v>
          </cell>
          <cell r="AM39">
            <v>-155026.28993508531</v>
          </cell>
        </row>
        <row r="40">
          <cell r="B40" t="str">
            <v>Currency in Circulation</v>
          </cell>
          <cell r="N40">
            <v>0</v>
          </cell>
          <cell r="O40">
            <v>0</v>
          </cell>
          <cell r="P40">
            <v>0</v>
          </cell>
          <cell r="Q40">
            <v>133.80000000000001</v>
          </cell>
          <cell r="R40">
            <v>83.639999999999986</v>
          </cell>
          <cell r="S40">
            <v>22.759999999999991</v>
          </cell>
          <cell r="T40">
            <v>42.600000000000023</v>
          </cell>
          <cell r="U40">
            <v>52.800000000000011</v>
          </cell>
          <cell r="V40">
            <v>29.299999999999955</v>
          </cell>
          <cell r="W40">
            <v>57.800000000000011</v>
          </cell>
          <cell r="X40">
            <v>58.5</v>
          </cell>
          <cell r="Y40">
            <v>26.300000000000011</v>
          </cell>
          <cell r="Z40">
            <v>38.299999999999955</v>
          </cell>
          <cell r="AA40">
            <v>38.800000000000068</v>
          </cell>
          <cell r="AB40">
            <v>48.100000000000023</v>
          </cell>
          <cell r="AC40">
            <v>47.299999999999955</v>
          </cell>
          <cell r="AD40">
            <v>42.718600813683274</v>
          </cell>
          <cell r="AE40">
            <v>-59.999198249592389</v>
          </cell>
          <cell r="AF40">
            <v>-100.87304201403892</v>
          </cell>
          <cell r="AG40">
            <v>800.98130430336471</v>
          </cell>
          <cell r="AH40">
            <v>-559.09421563832541</v>
          </cell>
          <cell r="AI40">
            <v>-861.30533088542904</v>
          </cell>
          <cell r="AJ40">
            <v>-1342.945651682493</v>
          </cell>
          <cell r="AK40">
            <v>-2108.3967668555479</v>
          </cell>
          <cell r="AL40">
            <v>-3137.014684531654</v>
          </cell>
          <cell r="AM40">
            <v>-4757.5056860637251</v>
          </cell>
        </row>
        <row r="41">
          <cell r="B41" t="str">
            <v>Demand Deposits of PS</v>
          </cell>
          <cell r="N41">
            <v>614.29999999999995</v>
          </cell>
          <cell r="O41">
            <v>58.100000000000023</v>
          </cell>
          <cell r="P41">
            <v>191.60000000000002</v>
          </cell>
          <cell r="Q41">
            <v>464</v>
          </cell>
          <cell r="R41">
            <v>237.40000000000009</v>
          </cell>
          <cell r="S41">
            <v>85.699999999999818</v>
          </cell>
          <cell r="T41">
            <v>1056</v>
          </cell>
          <cell r="U41">
            <v>29.200000000000273</v>
          </cell>
          <cell r="V41">
            <v>824.39999999999964</v>
          </cell>
          <cell r="W41">
            <v>858.60000000000036</v>
          </cell>
          <cell r="X41">
            <v>1236.3999999999996</v>
          </cell>
          <cell r="Y41">
            <v>659.60000000000036</v>
          </cell>
          <cell r="Z41">
            <v>494.59999999999945</v>
          </cell>
          <cell r="AA41">
            <v>686.20000000000073</v>
          </cell>
          <cell r="AB41">
            <v>1441</v>
          </cell>
          <cell r="AC41">
            <v>-208.30000000000109</v>
          </cell>
          <cell r="AD41">
            <v>-188.12440908013284</v>
          </cell>
          <cell r="AE41">
            <v>264.22479905687487</v>
          </cell>
          <cell r="AF41">
            <v>444.22525690326569</v>
          </cell>
          <cell r="AG41">
            <v>-3527.3658707482527</v>
          </cell>
          <cell r="AH41">
            <v>2462.1421800732514</v>
          </cell>
          <cell r="AI41">
            <v>3793.0211506011838</v>
          </cell>
          <cell r="AJ41">
            <v>5914.0714428216315</v>
          </cell>
          <cell r="AK41">
            <v>9284.9692713743316</v>
          </cell>
          <cell r="AL41">
            <v>13814.802511372658</v>
          </cell>
          <cell r="AM41">
            <v>20951.129691480495</v>
          </cell>
        </row>
        <row r="42">
          <cell r="B42" t="str">
            <v>Time and Savings Deposits of PS</v>
          </cell>
          <cell r="N42">
            <v>863.1</v>
          </cell>
          <cell r="O42">
            <v>616.4</v>
          </cell>
          <cell r="P42">
            <v>420.5</v>
          </cell>
          <cell r="Q42">
            <v>128.90000000000009</v>
          </cell>
          <cell r="R42">
            <v>758.90000000000009</v>
          </cell>
          <cell r="S42">
            <v>932.89999999999964</v>
          </cell>
          <cell r="T42">
            <v>248.20000000000027</v>
          </cell>
          <cell r="U42">
            <v>479.59999999999991</v>
          </cell>
          <cell r="V42">
            <v>-54.899999999999636</v>
          </cell>
          <cell r="W42">
            <v>766.39999999999964</v>
          </cell>
          <cell r="X42">
            <v>-17.100000000000364</v>
          </cell>
          <cell r="Y42">
            <v>79.600000000000364</v>
          </cell>
          <cell r="Z42">
            <v>390.60000000000036</v>
          </cell>
          <cell r="AA42">
            <v>-67.200000000000728</v>
          </cell>
          <cell r="AB42">
            <v>713.20000000000073</v>
          </cell>
          <cell r="AC42">
            <v>1702.2999999999993</v>
          </cell>
          <cell r="AD42">
            <v>1537.4180584594731</v>
          </cell>
          <cell r="AE42">
            <v>-2159.336895989029</v>
          </cell>
          <cell r="AF42">
            <v>-3630.3632012790194</v>
          </cell>
          <cell r="AG42">
            <v>28826.859922105989</v>
          </cell>
          <cell r="AH42">
            <v>-20121.481676133</v>
          </cell>
          <cell r="AI42">
            <v>-30997.887204359562</v>
          </cell>
          <cell r="AJ42">
            <v>-48331.847417738158</v>
          </cell>
          <cell r="AK42">
            <v>-75879.996114546157</v>
          </cell>
          <cell r="AL42">
            <v>-112899.36781137343</v>
          </cell>
          <cell r="AM42">
            <v>-171219.91394050352</v>
          </cell>
        </row>
        <row r="43">
          <cell r="N43">
            <v>208.9</v>
          </cell>
          <cell r="O43">
            <v>607.21616298705783</v>
          </cell>
          <cell r="P43">
            <v>265.10039514171467</v>
          </cell>
          <cell r="Q43">
            <v>232.88999352554924</v>
          </cell>
          <cell r="R43">
            <v>85.015744127940252</v>
          </cell>
          <cell r="S43">
            <v>413.34171428317313</v>
          </cell>
          <cell r="T43">
            <v>553.57967601049177</v>
          </cell>
          <cell r="U43">
            <v>351.6527563137015</v>
          </cell>
          <cell r="V43">
            <v>616.86342135767609</v>
          </cell>
          <cell r="W43">
            <v>327.38502043567996</v>
          </cell>
          <cell r="X43">
            <v>796.86961836341015</v>
          </cell>
          <cell r="Y43">
            <v>814.28966780062183</v>
          </cell>
          <cell r="Z43">
            <v>602.30053597769711</v>
          </cell>
          <cell r="AA43">
            <v>1074.6039574243678</v>
          </cell>
          <cell r="AB43">
            <v>1682.291336250918</v>
          </cell>
          <cell r="AC43">
            <v>1447.5</v>
          </cell>
          <cell r="AD43">
            <v>5884.7901558289559</v>
          </cell>
          <cell r="AE43">
            <v>6851.0801809481782</v>
          </cell>
          <cell r="AF43">
            <v>8323.6550202467261</v>
          </cell>
          <cell r="AG43">
            <v>-22780.464379719182</v>
          </cell>
          <cell r="AH43">
            <v>24815.872445314177</v>
          </cell>
          <cell r="AI43">
            <v>35172.543527707181</v>
          </cell>
          <cell r="AJ43">
            <v>51225.251024925994</v>
          </cell>
          <cell r="AK43">
            <v>76812.400063412308</v>
          </cell>
          <cell r="AL43">
            <v>110638.08118456707</v>
          </cell>
          <cell r="AM43">
            <v>163643.41809331108</v>
          </cell>
        </row>
        <row r="45">
          <cell r="N45">
            <v>1686.3000000000002</v>
          </cell>
          <cell r="O45">
            <v>2968.0161629870581</v>
          </cell>
          <cell r="P45">
            <v>3845.2165581287727</v>
          </cell>
          <cell r="Q45">
            <v>4804.8065516543211</v>
          </cell>
          <cell r="R45">
            <v>5969.7622957822623</v>
          </cell>
          <cell r="S45">
            <v>7424.4640100654351</v>
          </cell>
          <cell r="T45">
            <v>9324.8436860759266</v>
          </cell>
          <cell r="U45">
            <v>10238.096442389628</v>
          </cell>
          <cell r="V45">
            <v>11653.759863747306</v>
          </cell>
          <cell r="W45">
            <v>13663.944884182984</v>
          </cell>
          <cell r="X45">
            <v>15738.614502546396</v>
          </cell>
          <cell r="Y45">
            <v>17318.404170347014</v>
          </cell>
          <cell r="Z45">
            <v>18844.204706324712</v>
          </cell>
          <cell r="AA45">
            <v>20576.608663749081</v>
          </cell>
          <cell r="AB45">
            <v>24461.200000000001</v>
          </cell>
          <cell r="AC45">
            <v>27449.999999999996</v>
          </cell>
          <cell r="AD45">
            <v>34726.802406021983</v>
          </cell>
          <cell r="AE45">
            <v>39622.771291788413</v>
          </cell>
          <cell r="AF45">
            <v>44659.415325645357</v>
          </cell>
          <cell r="AG45">
            <v>47979.426301584259</v>
          </cell>
          <cell r="AH45">
            <v>54576.865035199779</v>
          </cell>
          <cell r="AI45">
            <v>61683.237178262934</v>
          </cell>
          <cell r="AJ45">
            <v>69147.766576589638</v>
          </cell>
          <cell r="AK45">
            <v>77256.743029974212</v>
          </cell>
          <cell r="AL45">
            <v>85673.244230008509</v>
          </cell>
          <cell r="AM45">
            <v>94290.372388232558</v>
          </cell>
        </row>
        <row r="46">
          <cell r="N46">
            <v>291.2</v>
          </cell>
          <cell r="O46">
            <v>615.79999999999995</v>
          </cell>
          <cell r="P46">
            <v>-99</v>
          </cell>
          <cell r="Q46">
            <v>-132.4</v>
          </cell>
          <cell r="R46">
            <v>-203</v>
          </cell>
          <cell r="S46">
            <v>-335.6</v>
          </cell>
          <cell r="T46">
            <v>943.6</v>
          </cell>
          <cell r="U46">
            <v>876.9</v>
          </cell>
          <cell r="V46">
            <v>1332.3</v>
          </cell>
          <cell r="W46">
            <v>2262.1</v>
          </cell>
          <cell r="X46">
            <v>2608.8000000000002</v>
          </cell>
          <cell r="Y46">
            <v>2387.1</v>
          </cell>
          <cell r="Z46">
            <v>2050.6999999999998</v>
          </cell>
          <cell r="AA46">
            <v>1259.5999999999999</v>
          </cell>
          <cell r="AB46">
            <v>970.3</v>
          </cell>
          <cell r="AC46">
            <v>-156.30000000000001</v>
          </cell>
          <cell r="AD46">
            <v>3464.4559765598078</v>
          </cell>
          <cell r="AE46">
            <v>5189.2784423460462</v>
          </cell>
          <cell r="AF46">
            <v>6300.1902936391516</v>
          </cell>
          <cell r="AG46">
            <v>5064.406978406998</v>
          </cell>
          <cell r="AH46">
            <v>6440.2539614144443</v>
          </cell>
          <cell r="AI46">
            <v>7979.6304780260125</v>
          </cell>
          <cell r="AJ46">
            <v>9592.3654817195547</v>
          </cell>
          <cell r="AK46">
            <v>11749.337132444305</v>
          </cell>
          <cell r="AL46">
            <v>14642.8018208549</v>
          </cell>
          <cell r="AM46">
            <v>18822.432756992352</v>
          </cell>
        </row>
        <row r="47">
          <cell r="N47">
            <v>1233.5999999999999</v>
          </cell>
          <cell r="O47">
            <v>2068</v>
          </cell>
          <cell r="P47">
            <v>3576</v>
          </cell>
          <cell r="Q47">
            <v>4477.0999999999995</v>
          </cell>
          <cell r="R47">
            <v>5601.0999999999995</v>
          </cell>
          <cell r="S47">
            <v>7049.1</v>
          </cell>
          <cell r="T47">
            <v>7488.3</v>
          </cell>
          <cell r="U47">
            <v>8380.7999999999993</v>
          </cell>
          <cell r="V47">
            <v>9205.5</v>
          </cell>
          <cell r="W47">
            <v>10093.300000000001</v>
          </cell>
          <cell r="X47">
            <v>11622.6</v>
          </cell>
          <cell r="Y47">
            <v>13272.900000000001</v>
          </cell>
          <cell r="Z47">
            <v>14988.900000000001</v>
          </cell>
          <cell r="AA47">
            <v>17346.599999999999</v>
          </cell>
          <cell r="AB47">
            <v>21549</v>
          </cell>
          <cell r="AC47">
            <v>26068.1</v>
          </cell>
          <cell r="AD47">
            <v>28757.387098636245</v>
          </cell>
          <cell r="AE47">
            <v>31701.7701317518</v>
          </cell>
          <cell r="AF47">
            <v>35346.779759206605</v>
          </cell>
          <cell r="AG47">
            <v>39576.796805651451</v>
          </cell>
          <cell r="AH47">
            <v>44425.001246631684</v>
          </cell>
          <cell r="AI47">
            <v>49593.910308880193</v>
          </cell>
          <cell r="AJ47">
            <v>55027.25265481518</v>
          </cell>
          <cell r="AK47">
            <v>60553.639529781169</v>
          </cell>
          <cell r="AL47">
            <v>65681.732920121693</v>
          </cell>
          <cell r="AM47">
            <v>69801.912123417758</v>
          </cell>
        </row>
        <row r="48">
          <cell r="N48">
            <v>-186.6</v>
          </cell>
          <cell r="O48">
            <v>-306.60000000000002</v>
          </cell>
          <cell r="P48">
            <v>486.1</v>
          </cell>
          <cell r="Q48">
            <v>618.9</v>
          </cell>
          <cell r="R48">
            <v>675.5</v>
          </cell>
          <cell r="S48">
            <v>777.1</v>
          </cell>
          <cell r="T48">
            <v>454</v>
          </cell>
          <cell r="U48">
            <v>407</v>
          </cell>
          <cell r="V48">
            <v>434.6</v>
          </cell>
          <cell r="W48">
            <v>834.9</v>
          </cell>
          <cell r="X48">
            <v>772.5</v>
          </cell>
          <cell r="Y48">
            <v>643.5</v>
          </cell>
          <cell r="Z48">
            <v>157.20000000000002</v>
          </cell>
          <cell r="AA48">
            <v>670.3</v>
          </cell>
          <cell r="AB48">
            <v>1239.5999999999999</v>
          </cell>
          <cell r="AC48">
            <v>1773.6</v>
          </cell>
          <cell r="AD48">
            <v>-74.595917894730789</v>
          </cell>
          <cell r="AE48">
            <v>-2055.323896505116</v>
          </cell>
          <cell r="AF48">
            <v>-3989.0649780559988</v>
          </cell>
          <cell r="AG48">
            <v>-6156.8024238571015</v>
          </cell>
          <cell r="AH48">
            <v>-8473.8514327721332</v>
          </cell>
          <cell r="AI48">
            <v>-11343.510608841854</v>
          </cell>
          <cell r="AJ48">
            <v>-14938.788209500663</v>
          </cell>
          <cell r="AK48">
            <v>-19557.876806370707</v>
          </cell>
          <cell r="AL48">
            <v>-25641.358853751772</v>
          </cell>
          <cell r="AM48">
            <v>-33961.015318637714</v>
          </cell>
        </row>
        <row r="49">
          <cell r="N49">
            <v>-192.7</v>
          </cell>
          <cell r="O49">
            <v>-377</v>
          </cell>
          <cell r="P49">
            <v>420.6</v>
          </cell>
          <cell r="Q49">
            <v>548</v>
          </cell>
          <cell r="R49">
            <v>599</v>
          </cell>
          <cell r="S49">
            <v>672.7</v>
          </cell>
          <cell r="T49">
            <v>353.4</v>
          </cell>
          <cell r="U49">
            <v>230.8</v>
          </cell>
          <cell r="V49">
            <v>260.5</v>
          </cell>
          <cell r="W49">
            <v>668.4</v>
          </cell>
          <cell r="X49">
            <v>309.60000000000002</v>
          </cell>
          <cell r="Y49">
            <v>423.6</v>
          </cell>
          <cell r="Z49">
            <v>-78.099999999999994</v>
          </cell>
          <cell r="AA49">
            <v>506.7</v>
          </cell>
          <cell r="AB49">
            <v>871.7</v>
          </cell>
          <cell r="AC49">
            <v>1405.7</v>
          </cell>
          <cell r="AD49">
            <v>-103.10744880935158</v>
          </cell>
          <cell r="AE49">
            <v>-2129.424690857315</v>
          </cell>
          <cell r="AF49">
            <v>-4095.3561494790888</v>
          </cell>
          <cell r="AG49">
            <v>-6282.6731389263332</v>
          </cell>
          <cell r="AH49">
            <v>-8611.596615691511</v>
          </cell>
          <cell r="AI49">
            <v>-11488.149199852345</v>
          </cell>
          <cell r="AJ49">
            <v>-15087.52857490054</v>
          </cell>
          <cell r="AK49">
            <v>-19709.111789321007</v>
          </cell>
          <cell r="AL49">
            <v>-25794.144970688598</v>
          </cell>
          <cell r="AM49">
            <v>-34114.777828613958</v>
          </cell>
        </row>
        <row r="50">
          <cell r="N50">
            <v>-232.7</v>
          </cell>
          <cell r="O50">
            <v>-417.8</v>
          </cell>
          <cell r="P50">
            <v>249.00000000000003</v>
          </cell>
          <cell r="Q50">
            <v>268.8</v>
          </cell>
          <cell r="R50">
            <v>360.3</v>
          </cell>
          <cell r="S50">
            <v>416.6</v>
          </cell>
          <cell r="T50">
            <v>-107.5</v>
          </cell>
          <cell r="U50">
            <v>-428.99999999999994</v>
          </cell>
          <cell r="V50">
            <v>-441.20000000000005</v>
          </cell>
          <cell r="W50">
            <v>-351.6</v>
          </cell>
          <cell r="X50">
            <v>-639.5</v>
          </cell>
          <cell r="Y50">
            <v>-480.6</v>
          </cell>
          <cell r="Z50">
            <v>-1261.0999999999999</v>
          </cell>
          <cell r="AA50">
            <v>-430.09999999999997</v>
          </cell>
          <cell r="AB50">
            <v>-889.8</v>
          </cell>
          <cell r="AC50">
            <v>-608.09999999999991</v>
          </cell>
          <cell r="AD50">
            <v>-608.09999999999991</v>
          </cell>
          <cell r="AE50">
            <v>-608.09999999999991</v>
          </cell>
          <cell r="AF50">
            <v>-608.09999999999991</v>
          </cell>
          <cell r="AG50">
            <v>-608.09999999999991</v>
          </cell>
          <cell r="AH50">
            <v>-608.09999999999991</v>
          </cell>
          <cell r="AI50">
            <v>-608.09999999999991</v>
          </cell>
          <cell r="AJ50">
            <v>-608.09999999999991</v>
          </cell>
          <cell r="AK50">
            <v>-608.09999999999991</v>
          </cell>
          <cell r="AL50">
            <v>-608.09999999999991</v>
          </cell>
          <cell r="AM50">
            <v>-608.09999999999991</v>
          </cell>
        </row>
        <row r="51">
          <cell r="N51">
            <v>40</v>
          </cell>
          <cell r="O51">
            <v>40.799999999999997</v>
          </cell>
          <cell r="P51">
            <v>171.6</v>
          </cell>
          <cell r="Q51">
            <v>279.2</v>
          </cell>
          <cell r="R51">
            <v>238.7</v>
          </cell>
          <cell r="S51">
            <v>256.10000000000002</v>
          </cell>
          <cell r="T51">
            <v>460.9</v>
          </cell>
          <cell r="U51">
            <v>659.8</v>
          </cell>
          <cell r="V51">
            <v>701.7</v>
          </cell>
          <cell r="W51">
            <v>1020</v>
          </cell>
          <cell r="X51">
            <v>949.1</v>
          </cell>
          <cell r="Y51">
            <v>904.2</v>
          </cell>
          <cell r="Z51">
            <v>1183</v>
          </cell>
          <cell r="AA51">
            <v>936.8</v>
          </cell>
          <cell r="AB51">
            <v>1761.5</v>
          </cell>
          <cell r="AC51">
            <v>2013.8</v>
          </cell>
          <cell r="AD51">
            <v>504.99255119064537</v>
          </cell>
          <cell r="AE51">
            <v>-1521.3246908573192</v>
          </cell>
          <cell r="AF51">
            <v>-3487.2561494790948</v>
          </cell>
          <cell r="AG51">
            <v>-5674.5731389263392</v>
          </cell>
          <cell r="AH51">
            <v>-8003.4966156915198</v>
          </cell>
          <cell r="AI51">
            <v>-10880.049199852354</v>
          </cell>
          <cell r="AJ51">
            <v>-14479.42857490055</v>
          </cell>
          <cell r="AK51">
            <v>-19101.011789321019</v>
          </cell>
          <cell r="AL51">
            <v>-25186.04497068861</v>
          </cell>
          <cell r="AM51">
            <v>-33506.677828613974</v>
          </cell>
        </row>
        <row r="52">
          <cell r="N52">
            <v>6.1</v>
          </cell>
          <cell r="O52">
            <v>70.400000000000006</v>
          </cell>
          <cell r="P52">
            <v>65.5</v>
          </cell>
          <cell r="Q52">
            <v>70.900000000000006</v>
          </cell>
          <cell r="R52">
            <v>76.5</v>
          </cell>
          <cell r="S52">
            <v>104.4</v>
          </cell>
          <cell r="T52">
            <v>100.6</v>
          </cell>
          <cell r="U52">
            <v>176.2</v>
          </cell>
          <cell r="V52">
            <v>174.1</v>
          </cell>
          <cell r="W52">
            <v>166.5</v>
          </cell>
          <cell r="X52">
            <v>462.9</v>
          </cell>
          <cell r="Y52">
            <v>219.9</v>
          </cell>
          <cell r="Z52">
            <v>235.3</v>
          </cell>
          <cell r="AA52">
            <v>163.6</v>
          </cell>
          <cell r="AB52">
            <v>367.9</v>
          </cell>
          <cell r="AC52">
            <v>367.9</v>
          </cell>
          <cell r="AD52">
            <v>28.511530914620792</v>
          </cell>
          <cell r="AE52">
            <v>74.100794352200197</v>
          </cell>
          <cell r="AF52">
            <v>106.29117142309273</v>
          </cell>
          <cell r="AG52">
            <v>125.87071506923311</v>
          </cell>
          <cell r="AH52">
            <v>137.74518291938119</v>
          </cell>
          <cell r="AI52">
            <v>144.63859101049434</v>
          </cell>
          <cell r="AJ52">
            <v>148.74036539988325</v>
          </cell>
          <cell r="AK52">
            <v>151.23498295030336</v>
          </cell>
          <cell r="AL52">
            <v>152.78611693683325</v>
          </cell>
          <cell r="AM52">
            <v>153.7625099762578</v>
          </cell>
        </row>
        <row r="53">
          <cell r="N53">
            <v>1420.1999999999998</v>
          </cell>
          <cell r="O53">
            <v>2374.6</v>
          </cell>
          <cell r="P53">
            <v>3089.9</v>
          </cell>
          <cell r="Q53">
            <v>3858.2</v>
          </cell>
          <cell r="R53">
            <v>4925.5999999999995</v>
          </cell>
          <cell r="S53">
            <v>6272</v>
          </cell>
          <cell r="T53">
            <v>7034.3</v>
          </cell>
          <cell r="U53">
            <v>7973.8</v>
          </cell>
          <cell r="V53">
            <v>8770.9</v>
          </cell>
          <cell r="W53">
            <v>9258.4000000000015</v>
          </cell>
          <cell r="X53">
            <v>10850.1</v>
          </cell>
          <cell r="Y53">
            <v>12629.400000000001</v>
          </cell>
          <cell r="Z53">
            <v>14831.7</v>
          </cell>
          <cell r="AA53">
            <v>16676.3</v>
          </cell>
          <cell r="AB53">
            <v>20309.400000000001</v>
          </cell>
          <cell r="AC53">
            <v>24294.5</v>
          </cell>
          <cell r="AD53">
            <v>28831.983016530976</v>
          </cell>
          <cell r="AE53">
            <v>33757.094028256914</v>
          </cell>
          <cell r="AF53">
            <v>39335.844737262603</v>
          </cell>
          <cell r="AG53">
            <v>45733.599229508553</v>
          </cell>
          <cell r="AH53">
            <v>52898.852679403819</v>
          </cell>
          <cell r="AI53">
            <v>60937.420917722047</v>
          </cell>
          <cell r="AJ53">
            <v>69966.040864315844</v>
          </cell>
          <cell r="AK53">
            <v>80111.516336151879</v>
          </cell>
          <cell r="AL53">
            <v>91323.091773873472</v>
          </cell>
          <cell r="AM53">
            <v>103762.92744205547</v>
          </cell>
        </row>
        <row r="54">
          <cell r="N54">
            <v>1372.6</v>
          </cell>
          <cell r="O54">
            <v>2367.6</v>
          </cell>
          <cell r="P54">
            <v>3082.9</v>
          </cell>
          <cell r="Q54">
            <v>3854.2</v>
          </cell>
          <cell r="R54">
            <v>4916.8999999999996</v>
          </cell>
          <cell r="S54">
            <v>6262.3</v>
          </cell>
          <cell r="T54">
            <v>7016.2</v>
          </cell>
          <cell r="U54">
            <v>7956.1</v>
          </cell>
          <cell r="V54">
            <v>8752.7999999999993</v>
          </cell>
          <cell r="W54">
            <v>9233.7000000000007</v>
          </cell>
          <cell r="X54">
            <v>10791.7</v>
          </cell>
          <cell r="Y54">
            <v>12614.2</v>
          </cell>
          <cell r="Z54">
            <v>14817.7</v>
          </cell>
          <cell r="AA54">
            <v>16676.3</v>
          </cell>
          <cell r="AB54">
            <v>20297.7</v>
          </cell>
          <cell r="AC54">
            <v>24264.400000000001</v>
          </cell>
          <cell r="AD54">
            <v>28812.025359863877</v>
          </cell>
          <cell r="AE54">
            <v>33736.69767656074</v>
          </cell>
          <cell r="AF54">
            <v>39314.951468806859</v>
          </cell>
          <cell r="AG54">
            <v>45712.136093066823</v>
          </cell>
          <cell r="AH54">
            <v>52876.75131144547</v>
          </cell>
          <cell r="AI54">
            <v>60914.603529369713</v>
          </cell>
          <cell r="AJ54">
            <v>69942.419268569909</v>
          </cell>
          <cell r="AK54">
            <v>80086.991051200457</v>
          </cell>
          <cell r="AL54">
            <v>91297.567838860996</v>
          </cell>
          <cell r="AM54">
            <v>103736.29545200482</v>
          </cell>
        </row>
        <row r="55">
          <cell r="N55">
            <v>47.6</v>
          </cell>
          <cell r="O55">
            <v>7</v>
          </cell>
          <cell r="P55">
            <v>7</v>
          </cell>
          <cell r="Q55">
            <v>4</v>
          </cell>
          <cell r="R55">
            <v>8.6999999999999993</v>
          </cell>
          <cell r="S55">
            <v>9.6999999999999993</v>
          </cell>
          <cell r="T55">
            <v>18.100000000000001</v>
          </cell>
          <cell r="U55">
            <v>17.7</v>
          </cell>
          <cell r="V55">
            <v>18.100000000000001</v>
          </cell>
          <cell r="W55">
            <v>24.7</v>
          </cell>
          <cell r="X55">
            <v>58.4</v>
          </cell>
          <cell r="Y55">
            <v>15.2</v>
          </cell>
          <cell r="Z55">
            <v>14</v>
          </cell>
          <cell r="AA55">
            <v>0</v>
          </cell>
          <cell r="AB55">
            <v>11.7</v>
          </cell>
          <cell r="AC55">
            <v>30.1</v>
          </cell>
          <cell r="AD55">
            <v>19.957656667098622</v>
          </cell>
          <cell r="AE55">
            <v>20.3963516961735</v>
          </cell>
          <cell r="AF55">
            <v>20.893268455747435</v>
          </cell>
          <cell r="AG55">
            <v>21.463136441729397</v>
          </cell>
          <cell r="AH55">
            <v>22.101367958348398</v>
          </cell>
          <cell r="AI55">
            <v>22.817388352332085</v>
          </cell>
          <cell r="AJ55">
            <v>23.621595745941466</v>
          </cell>
          <cell r="AK55">
            <v>24.525284951423128</v>
          </cell>
          <cell r="AL55">
            <v>25.52393501249108</v>
          </cell>
          <cell r="AM55">
            <v>26.631990050671313</v>
          </cell>
        </row>
        <row r="56">
          <cell r="N56">
            <v>161.50000000000028</v>
          </cell>
          <cell r="O56">
            <v>284.21616298705817</v>
          </cell>
          <cell r="P56">
            <v>368.2165581287727</v>
          </cell>
          <cell r="Q56">
            <v>460.10655165432161</v>
          </cell>
          <cell r="R56">
            <v>571.66229578226285</v>
          </cell>
          <cell r="S56">
            <v>710.96401006543476</v>
          </cell>
          <cell r="T56">
            <v>892.94368607592639</v>
          </cell>
          <cell r="U56">
            <v>980.39644238962831</v>
          </cell>
          <cell r="V56">
            <v>1115.9598637473057</v>
          </cell>
          <cell r="W56">
            <v>1308.5448841829825</v>
          </cell>
          <cell r="X56">
            <v>1507.2145025463933</v>
          </cell>
          <cell r="Y56">
            <v>1658.4041703470125</v>
          </cell>
          <cell r="Z56">
            <v>1804.6047063247106</v>
          </cell>
          <cell r="AA56">
            <v>1970.4086637490823</v>
          </cell>
          <cell r="AB56">
            <v>1941.9000000000008</v>
          </cell>
          <cell r="AC56">
            <v>1538.1999999999978</v>
          </cell>
          <cell r="AD56">
            <v>2504.9593308259264</v>
          </cell>
          <cell r="AE56">
            <v>2731.7227176905667</v>
          </cell>
          <cell r="AF56">
            <v>3012.4452727995968</v>
          </cell>
          <cell r="AG56">
            <v>3338.2225175258091</v>
          </cell>
          <cell r="AH56">
            <v>3711.6098271536484</v>
          </cell>
          <cell r="AI56">
            <v>4109.6963913567233</v>
          </cell>
          <cell r="AJ56">
            <v>4528.1484400548779</v>
          </cell>
          <cell r="AK56">
            <v>4953.7663677487308</v>
          </cell>
          <cell r="AL56">
            <v>5348.7094890318804</v>
          </cell>
          <cell r="AM56">
            <v>5666.0275078224095</v>
          </cell>
        </row>
        <row r="57">
          <cell r="N57">
            <v>1686.3000000000002</v>
          </cell>
          <cell r="O57">
            <v>2968.0161629870581</v>
          </cell>
          <cell r="P57">
            <v>3845.2165581287727</v>
          </cell>
          <cell r="Q57">
            <v>4804.8065516543211</v>
          </cell>
          <cell r="R57">
            <v>5969.7622957822623</v>
          </cell>
          <cell r="S57">
            <v>7424.4640100654351</v>
          </cell>
          <cell r="T57">
            <v>9324.8436860759266</v>
          </cell>
          <cell r="U57">
            <v>10238.096442389628</v>
          </cell>
          <cell r="V57">
            <v>11653.759863747306</v>
          </cell>
          <cell r="W57">
            <v>13663.944884182984</v>
          </cell>
          <cell r="X57">
            <v>15738.614502546394</v>
          </cell>
          <cell r="Y57">
            <v>17318.404170347014</v>
          </cell>
          <cell r="Z57">
            <v>18844.204706324712</v>
          </cell>
          <cell r="AA57">
            <v>20576.608663749081</v>
          </cell>
          <cell r="AB57">
            <v>24461.200000000001</v>
          </cell>
          <cell r="AC57">
            <v>27449.999999999996</v>
          </cell>
          <cell r="AD57">
            <v>34726.802406021976</v>
          </cell>
          <cell r="AE57">
            <v>39622.771291788406</v>
          </cell>
          <cell r="AF57">
            <v>44659.41532564535</v>
          </cell>
          <cell r="AG57">
            <v>47979.426301584266</v>
          </cell>
          <cell r="AH57">
            <v>54576.865035199779</v>
          </cell>
          <cell r="AI57">
            <v>61683.23717826292</v>
          </cell>
          <cell r="AJ57">
            <v>69147.766576589609</v>
          </cell>
          <cell r="AK57">
            <v>77256.743029974197</v>
          </cell>
          <cell r="AL57">
            <v>85673.244230008509</v>
          </cell>
          <cell r="AM57">
            <v>94290.372388232499</v>
          </cell>
        </row>
        <row r="58">
          <cell r="N58">
            <v>1477.4</v>
          </cell>
          <cell r="O58">
            <v>2151.9</v>
          </cell>
          <cell r="P58">
            <v>2764</v>
          </cell>
          <cell r="Q58">
            <v>3490.7</v>
          </cell>
          <cell r="R58">
            <v>4570.6400000000003</v>
          </cell>
          <cell r="S58">
            <v>5612</v>
          </cell>
          <cell r="T58">
            <v>6958.8</v>
          </cell>
          <cell r="U58">
            <v>7520.4</v>
          </cell>
          <cell r="V58">
            <v>8319.2000000000007</v>
          </cell>
          <cell r="W58">
            <v>10002</v>
          </cell>
          <cell r="X58">
            <v>11279.8</v>
          </cell>
          <cell r="Y58">
            <v>12045.3</v>
          </cell>
          <cell r="Z58">
            <v>12968.8</v>
          </cell>
          <cell r="AA58">
            <v>13626.6</v>
          </cell>
          <cell r="AB58">
            <v>15828.900000000001</v>
          </cell>
          <cell r="AC58">
            <v>17370.199999999997</v>
          </cell>
          <cell r="AD58">
            <v>18762.212250193021</v>
          </cell>
          <cell r="AE58">
            <v>16807.100955011283</v>
          </cell>
          <cell r="AF58">
            <v>13520.089968621485</v>
          </cell>
          <cell r="AG58">
            <v>39620.565324281808</v>
          </cell>
          <cell r="AH58">
            <v>21402.131612583849</v>
          </cell>
          <cell r="AI58">
            <v>-6664.0397720599412</v>
          </cell>
          <cell r="AJ58">
            <v>-50424.761398658695</v>
          </cell>
          <cell r="AK58">
            <v>-119128.1850086857</v>
          </cell>
          <cell r="AL58">
            <v>-221349.76499321734</v>
          </cell>
          <cell r="AM58">
            <v>-376376.05492830265</v>
          </cell>
        </row>
        <row r="59">
          <cell r="Q59">
            <v>133.80000000000001</v>
          </cell>
          <cell r="R59">
            <v>217.44</v>
          </cell>
          <cell r="S59">
            <v>240.2</v>
          </cell>
          <cell r="T59">
            <v>282.8</v>
          </cell>
          <cell r="U59">
            <v>335.6</v>
          </cell>
          <cell r="V59">
            <v>364.9</v>
          </cell>
          <cell r="W59">
            <v>422.7</v>
          </cell>
          <cell r="X59">
            <v>481.2</v>
          </cell>
          <cell r="Y59">
            <v>507.5</v>
          </cell>
          <cell r="Z59">
            <v>545.79999999999995</v>
          </cell>
          <cell r="AA59">
            <v>584.6</v>
          </cell>
          <cell r="AB59">
            <v>632.70000000000005</v>
          </cell>
          <cell r="AC59">
            <v>680</v>
          </cell>
          <cell r="AD59">
            <v>722.71860081368322</v>
          </cell>
          <cell r="AE59">
            <v>662.71940256409084</v>
          </cell>
          <cell r="AF59">
            <v>561.84636055005194</v>
          </cell>
          <cell r="AG59">
            <v>1362.8276648534165</v>
          </cell>
          <cell r="AH59">
            <v>803.73344921509113</v>
          </cell>
          <cell r="AI59">
            <v>-57.571881670337916</v>
          </cell>
          <cell r="AJ59">
            <v>-1400.5175333528309</v>
          </cell>
          <cell r="AK59">
            <v>-3508.9143002083788</v>
          </cell>
          <cell r="AL59">
            <v>-6645.9289847400323</v>
          </cell>
          <cell r="AM59">
            <v>-11403.434670803757</v>
          </cell>
        </row>
        <row r="60">
          <cell r="N60">
            <v>614.29999999999995</v>
          </cell>
          <cell r="O60">
            <v>672.4</v>
          </cell>
          <cell r="P60">
            <v>864</v>
          </cell>
          <cell r="Q60">
            <v>1328</v>
          </cell>
          <cell r="R60">
            <v>1565.4</v>
          </cell>
          <cell r="S60">
            <v>1651.1</v>
          </cell>
          <cell r="T60">
            <v>2707.1</v>
          </cell>
          <cell r="U60">
            <v>2736.3</v>
          </cell>
          <cell r="V60">
            <v>3560.7</v>
          </cell>
          <cell r="W60">
            <v>4419.3</v>
          </cell>
          <cell r="X60">
            <v>5655.7</v>
          </cell>
          <cell r="Y60">
            <v>6315.3</v>
          </cell>
          <cell r="Z60">
            <v>6809.9</v>
          </cell>
          <cell r="AA60">
            <v>7496.1</v>
          </cell>
          <cell r="AB60">
            <v>8937.1</v>
          </cell>
          <cell r="AC60">
            <v>8728.7999999999993</v>
          </cell>
          <cell r="AD60">
            <v>8540.6755909198673</v>
          </cell>
          <cell r="AE60">
            <v>8804.9003899767413</v>
          </cell>
          <cell r="AF60">
            <v>9249.1256468800075</v>
          </cell>
          <cell r="AG60">
            <v>5721.7597761317547</v>
          </cell>
          <cell r="AH60">
            <v>8183.9019562050062</v>
          </cell>
          <cell r="AI60">
            <v>11976.923106806189</v>
          </cell>
          <cell r="AJ60">
            <v>17890.99454962782</v>
          </cell>
          <cell r="AK60">
            <v>27175.963821002151</v>
          </cell>
          <cell r="AL60">
            <v>40990.766332374813</v>
          </cell>
          <cell r="AM60">
            <v>61941.896023855312</v>
          </cell>
        </row>
        <row r="61">
          <cell r="N61">
            <v>863.1</v>
          </cell>
          <cell r="O61">
            <v>1479.5</v>
          </cell>
          <cell r="P61">
            <v>1900</v>
          </cell>
          <cell r="Q61">
            <v>2028.9</v>
          </cell>
          <cell r="R61">
            <v>2787.8</v>
          </cell>
          <cell r="S61">
            <v>3720.7</v>
          </cell>
          <cell r="T61">
            <v>3968.9</v>
          </cell>
          <cell r="U61">
            <v>4448.5</v>
          </cell>
          <cell r="V61">
            <v>4393.6000000000004</v>
          </cell>
          <cell r="W61">
            <v>5160</v>
          </cell>
          <cell r="X61">
            <v>5142.8999999999996</v>
          </cell>
          <cell r="Y61">
            <v>5222.5</v>
          </cell>
          <cell r="Z61">
            <v>5613.1</v>
          </cell>
          <cell r="AA61">
            <v>5545.9</v>
          </cell>
          <cell r="AB61">
            <v>6259.1</v>
          </cell>
          <cell r="AC61">
            <v>7961.4</v>
          </cell>
          <cell r="AD61">
            <v>9498.818058459472</v>
          </cell>
          <cell r="AE61">
            <v>7339.4811624704435</v>
          </cell>
          <cell r="AF61">
            <v>3709.117961191424</v>
          </cell>
          <cell r="AG61">
            <v>32535.977883297412</v>
          </cell>
          <cell r="AH61">
            <v>12414.496207164411</v>
          </cell>
          <cell r="AI61">
            <v>-18583.390997195151</v>
          </cell>
          <cell r="AJ61">
            <v>-66915.238414933308</v>
          </cell>
          <cell r="AK61">
            <v>-142795.23452947946</v>
          </cell>
          <cell r="AL61">
            <v>-255694.6023408529</v>
          </cell>
          <cell r="AM61">
            <v>-426914.51628135645</v>
          </cell>
        </row>
        <row r="62">
          <cell r="N62">
            <v>208.9</v>
          </cell>
          <cell r="O62">
            <v>816.11616298705781</v>
          </cell>
          <cell r="P62">
            <v>1081.2165581287725</v>
          </cell>
          <cell r="Q62">
            <v>1314.1065516543217</v>
          </cell>
          <cell r="R62">
            <v>1399.122295782262</v>
          </cell>
          <cell r="S62">
            <v>1812.4640100654351</v>
          </cell>
          <cell r="T62">
            <v>2366.0436860759269</v>
          </cell>
          <cell r="U62">
            <v>2717.6964423896284</v>
          </cell>
          <cell r="V62">
            <v>3334.5598637473045</v>
          </cell>
          <cell r="W62">
            <v>3661.9448841829844</v>
          </cell>
          <cell r="X62">
            <v>4458.8145025463946</v>
          </cell>
          <cell r="Y62">
            <v>5273.1041703470164</v>
          </cell>
          <cell r="Z62">
            <v>5875.4047063247135</v>
          </cell>
          <cell r="AA62">
            <v>6950.0086637490813</v>
          </cell>
          <cell r="AB62">
            <v>8632.2999999999993</v>
          </cell>
          <cell r="AC62">
            <v>10079.799999999999</v>
          </cell>
          <cell r="AD62">
            <v>15964.590155828962</v>
          </cell>
          <cell r="AE62">
            <v>22815.67033677713</v>
          </cell>
          <cell r="AF62">
            <v>31139.325357023874</v>
          </cell>
          <cell r="AG62">
            <v>8358.8609773024509</v>
          </cell>
          <cell r="AH62">
            <v>33174.733422615929</v>
          </cell>
          <cell r="AI62">
            <v>68347.276950322877</v>
          </cell>
          <cell r="AJ62">
            <v>119572.52797524833</v>
          </cell>
          <cell r="AK62">
            <v>196384.92803865991</v>
          </cell>
          <cell r="AL62">
            <v>307023.00922322588</v>
          </cell>
          <cell r="AM62">
            <v>470666.42731653521</v>
          </cell>
        </row>
      </sheetData>
      <sheetData sheetId="18" refreshError="1"/>
      <sheetData sheetId="19" refreshError="1"/>
      <sheetData sheetId="20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2.6434580477216568E-2</v>
          </cell>
          <cell r="Q5">
            <v>2.6434580477216568E-2</v>
          </cell>
          <cell r="R5">
            <v>2.6434580477216568E-2</v>
          </cell>
          <cell r="S5">
            <v>2.6434580477216568E-2</v>
          </cell>
          <cell r="T5">
            <v>2.6434580477216568E-2</v>
          </cell>
          <cell r="U5">
            <v>2.6434580477216568E-2</v>
          </cell>
          <cell r="V5">
            <v>2.6434580477216568E-2</v>
          </cell>
          <cell r="W5">
            <v>2.6434580477216568E-2</v>
          </cell>
          <cell r="X5">
            <v>2.6434580477216568E-2</v>
          </cell>
          <cell r="Y5">
            <v>1.6E-2</v>
          </cell>
          <cell r="Z5">
            <v>1.7000000000000001E-2</v>
          </cell>
          <cell r="AA5">
            <v>1.7000000000000001E-2</v>
          </cell>
          <cell r="AB5">
            <v>1.7000000000000001E-2</v>
          </cell>
          <cell r="AC5">
            <v>1.7999999999999999E-2</v>
          </cell>
          <cell r="AD5">
            <v>1.7999999999999999E-2</v>
          </cell>
          <cell r="AE5">
            <v>1.7999999999999999E-2</v>
          </cell>
          <cell r="AF5">
            <v>1.7999999999999999E-2</v>
          </cell>
          <cell r="AG5">
            <v>1.7999999999999999E-2</v>
          </cell>
          <cell r="AH5">
            <v>1.7999999999999999E-2</v>
          </cell>
          <cell r="AI5">
            <v>1.7999999999999999E-2</v>
          </cell>
          <cell r="AJ5">
            <v>1.7999999999999999E-2</v>
          </cell>
          <cell r="AK5">
            <v>1.7999999999999999E-2</v>
          </cell>
          <cell r="AL5">
            <v>1.7999999999999999E-2</v>
          </cell>
          <cell r="AM5">
            <v>1.7999999999999999E-2</v>
          </cell>
        </row>
        <row r="7">
          <cell r="D7">
            <v>0.77795999999999998</v>
          </cell>
          <cell r="E7">
            <v>0.87870000000000004</v>
          </cell>
          <cell r="F7">
            <v>1.0875999999999999</v>
          </cell>
          <cell r="G7">
            <v>1.1146</v>
          </cell>
          <cell r="H7">
            <v>1.4761</v>
          </cell>
          <cell r="I7">
            <v>2.2343999999999999</v>
          </cell>
          <cell r="J7">
            <v>2.2919</v>
          </cell>
          <cell r="K7">
            <v>2.0385</v>
          </cell>
          <cell r="L7">
            <v>2.2770000000000001</v>
          </cell>
          <cell r="M7">
            <v>2.6317200000000001</v>
          </cell>
          <cell r="N7">
            <v>2.5872999999999999</v>
          </cell>
          <cell r="O7">
            <v>2.76132</v>
          </cell>
          <cell r="P7">
            <v>2.8520099999999999</v>
          </cell>
          <cell r="Q7">
            <v>3.2677399999999999</v>
          </cell>
          <cell r="R7">
            <v>3.5508000000000002</v>
          </cell>
          <cell r="S7">
            <v>3.64</v>
          </cell>
          <cell r="T7">
            <v>4.3</v>
          </cell>
          <cell r="U7">
            <v>4.5</v>
          </cell>
          <cell r="V7">
            <v>5.5309999999999997</v>
          </cell>
          <cell r="W7">
            <v>6.11</v>
          </cell>
          <cell r="X7">
            <v>6.9519000000000002</v>
          </cell>
          <cell r="Y7">
            <v>8.6</v>
          </cell>
          <cell r="Z7">
            <v>10.52</v>
          </cell>
          <cell r="AA7">
            <v>7.52</v>
          </cell>
          <cell r="AB7">
            <v>6.4527083333333337</v>
          </cell>
          <cell r="AC7">
            <v>6.3805440903793196</v>
          </cell>
          <cell r="AD7">
            <v>6.3805440903793196</v>
          </cell>
          <cell r="AE7">
            <v>6.3805440903793196</v>
          </cell>
          <cell r="AF7">
            <v>6.3805440903793196</v>
          </cell>
          <cell r="AG7">
            <v>6.3805440903793196</v>
          </cell>
          <cell r="AH7">
            <v>6.3805440903793196</v>
          </cell>
          <cell r="AI7">
            <v>6.3805440903793196</v>
          </cell>
          <cell r="AJ7">
            <v>6.3805440903793196</v>
          </cell>
          <cell r="AK7">
            <v>6.3805440903793196</v>
          </cell>
          <cell r="AL7">
            <v>6.3805440903793196</v>
          </cell>
          <cell r="AM7">
            <v>6.3805440903793196</v>
          </cell>
        </row>
        <row r="8">
          <cell r="D8">
            <v>0.74570000000000003</v>
          </cell>
          <cell r="E8">
            <v>0.95830000000000004</v>
          </cell>
          <cell r="F8">
            <v>1.0741000000000001</v>
          </cell>
          <cell r="G8">
            <v>1.2224999999999999</v>
          </cell>
          <cell r="H8">
            <v>1.9901</v>
          </cell>
          <cell r="I8">
            <v>2.5707</v>
          </cell>
          <cell r="J8">
            <v>2.1871999999999998</v>
          </cell>
          <cell r="K8">
            <v>1.9305000000000001</v>
          </cell>
          <cell r="L8">
            <v>2.38</v>
          </cell>
          <cell r="M8">
            <v>2.5329999999999999</v>
          </cell>
          <cell r="N8">
            <v>2.5625</v>
          </cell>
          <cell r="O8">
            <v>2.7430300000000001</v>
          </cell>
          <cell r="P8">
            <v>3.0529999999999999</v>
          </cell>
          <cell r="Q8">
            <v>3.3975</v>
          </cell>
          <cell r="R8">
            <v>3.5434999999999999</v>
          </cell>
          <cell r="S8">
            <v>3.6475</v>
          </cell>
          <cell r="T8">
            <v>4.6816000000000004</v>
          </cell>
          <cell r="U8">
            <v>4.8707000000000003</v>
          </cell>
          <cell r="V8">
            <v>5.8856999999999999</v>
          </cell>
          <cell r="W8">
            <v>6.1459999999999999</v>
          </cell>
          <cell r="X8">
            <v>7.6391999999999998</v>
          </cell>
          <cell r="Y8">
            <v>11.5467</v>
          </cell>
          <cell r="Z8">
            <v>8.9596999999999998</v>
          </cell>
          <cell r="AA8">
            <v>6.7</v>
          </cell>
          <cell r="AB8">
            <v>5.7323000000000004</v>
          </cell>
          <cell r="AC8">
            <v>6.3572790845518119</v>
          </cell>
          <cell r="AD8">
            <v>6.3805440903793196</v>
          </cell>
          <cell r="AE8">
            <v>6.3805440903793196</v>
          </cell>
          <cell r="AF8">
            <v>6.3805440903793196</v>
          </cell>
          <cell r="AG8">
            <v>6.3805440903793196</v>
          </cell>
          <cell r="AH8">
            <v>6.3805440903793196</v>
          </cell>
          <cell r="AI8">
            <v>6.3805440903793196</v>
          </cell>
          <cell r="AJ8">
            <v>6.3805440903793196</v>
          </cell>
          <cell r="AK8">
            <v>6.3805440903793196</v>
          </cell>
          <cell r="AL8">
            <v>6.3805440903793196</v>
          </cell>
          <cell r="AM8">
            <v>6.3805440903793196</v>
          </cell>
        </row>
        <row r="9">
          <cell r="V9">
            <v>6.8352699931647294</v>
          </cell>
          <cell r="W9">
            <v>6.3613231552162848</v>
          </cell>
          <cell r="X9">
            <v>6.6006600660066006</v>
          </cell>
          <cell r="Y9">
            <v>9.0415913200723317</v>
          </cell>
          <cell r="Z9">
            <v>9.8071265119320046</v>
          </cell>
          <cell r="AA9">
            <v>8.5269665316563632</v>
          </cell>
          <cell r="AB9">
            <v>8.0085424452749585</v>
          </cell>
          <cell r="AC9">
            <v>7.9087243968598999</v>
          </cell>
          <cell r="AD9">
            <v>7.9087243968598999</v>
          </cell>
          <cell r="AE9">
            <v>7.9087243968598999</v>
          </cell>
          <cell r="AF9">
            <v>7.9087243968598999</v>
          </cell>
          <cell r="AG9">
            <v>7.9087243968598999</v>
          </cell>
          <cell r="AH9">
            <v>7.9087243968598999</v>
          </cell>
          <cell r="AI9">
            <v>7.9087243968598999</v>
          </cell>
          <cell r="AJ9">
            <v>7.9087243968598999</v>
          </cell>
          <cell r="AK9">
            <v>7.9087243968598999</v>
          </cell>
          <cell r="AL9">
            <v>7.9087243968598999</v>
          </cell>
          <cell r="AM9">
            <v>7.9087243968598999</v>
          </cell>
        </row>
        <row r="10">
          <cell r="Y10">
            <v>8.3963056255247697</v>
          </cell>
          <cell r="Z10">
            <v>9.6618357487922708</v>
          </cell>
          <cell r="AA10">
            <v>7.9872204472843444</v>
          </cell>
          <cell r="AB10">
            <v>7.6863950807071486</v>
          </cell>
          <cell r="AC10">
            <v>7.5414781297134237</v>
          </cell>
          <cell r="AD10">
            <v>7.9087243968598999</v>
          </cell>
          <cell r="AE10">
            <v>7.9087243968598999</v>
          </cell>
          <cell r="AF10">
            <v>7.9087243968598999</v>
          </cell>
          <cell r="AG10">
            <v>7.9087243968598999</v>
          </cell>
          <cell r="AH10">
            <v>7.9087243968598999</v>
          </cell>
          <cell r="AI10">
            <v>7.9087243968598999</v>
          </cell>
          <cell r="AJ10">
            <v>7.9087243968598999</v>
          </cell>
          <cell r="AK10">
            <v>7.9087243968598999</v>
          </cell>
          <cell r="AL10">
            <v>7.9087243968598999</v>
          </cell>
          <cell r="AM10">
            <v>7.9087243968598999</v>
          </cell>
        </row>
        <row r="11">
          <cell r="O11">
            <v>0.93055555555555558</v>
          </cell>
          <cell r="P11">
            <v>0.97743055555555547</v>
          </cell>
          <cell r="Q11">
            <v>0.98611111111111105</v>
          </cell>
          <cell r="R11">
            <v>0.98958333333333326</v>
          </cell>
          <cell r="S11">
            <v>1</v>
          </cell>
          <cell r="T11">
            <v>0.97743055555555547</v>
          </cell>
          <cell r="U11">
            <v>1.7986111111111109</v>
          </cell>
          <cell r="V11">
            <v>2.0416666666666665</v>
          </cell>
          <cell r="W11">
            <v>2.046875</v>
          </cell>
          <cell r="X11">
            <v>1.8854166666666665</v>
          </cell>
          <cell r="Y11">
            <v>1.7314814814814816</v>
          </cell>
          <cell r="Z11">
            <v>1.6767939814814814</v>
          </cell>
          <cell r="AA11">
            <v>1.7779224537037039</v>
          </cell>
          <cell r="AB11">
            <v>1.7414641203703702</v>
          </cell>
          <cell r="AC11">
            <v>1.5996817129629626</v>
          </cell>
          <cell r="AD11">
            <v>1.2404377287720787</v>
          </cell>
          <cell r="AE11">
            <v>1.229175177751586</v>
          </cell>
          <cell r="AF11">
            <v>1.2473261844722798</v>
          </cell>
          <cell r="AG11">
            <v>1.2616147624666272</v>
          </cell>
          <cell r="AH11">
            <v>1.2796151330447985</v>
          </cell>
          <cell r="AI11">
            <v>1.3025253468339351</v>
          </cell>
          <cell r="AJ11">
            <v>1.3322983238378256</v>
          </cell>
          <cell r="AK11">
            <v>1.3649496473594491</v>
          </cell>
          <cell r="AL11">
            <v>1.3963901887216943</v>
          </cell>
          <cell r="AM11">
            <v>1.4346199306919076</v>
          </cell>
        </row>
        <row r="13">
          <cell r="E13">
            <v>0.803145</v>
          </cell>
          <cell r="F13">
            <v>0.930925</v>
          </cell>
          <cell r="G13">
            <v>1.0943499999999999</v>
          </cell>
          <cell r="H13">
            <v>1.2049749999999999</v>
          </cell>
          <cell r="I13">
            <v>1.665675</v>
          </cell>
          <cell r="J13">
            <v>2.2487750000000002</v>
          </cell>
          <cell r="K13">
            <v>2.2285500000000003</v>
          </cell>
          <cell r="L13">
            <v>2.098125</v>
          </cell>
          <cell r="M13">
            <v>2.3656800000000002</v>
          </cell>
          <cell r="N13">
            <v>2.6206149999999999</v>
          </cell>
          <cell r="O13">
            <v>2.6308050000000001</v>
          </cell>
          <cell r="P13">
            <v>2.7839925000000001</v>
          </cell>
          <cell r="Q13">
            <v>2.9559424999999999</v>
          </cell>
          <cell r="R13">
            <v>3.3385050000000001</v>
          </cell>
          <cell r="S13">
            <v>3.5731000000000002</v>
          </cell>
          <cell r="T13">
            <v>3.8049999999999997</v>
          </cell>
          <cell r="U13">
            <v>4.3499999999999996</v>
          </cell>
          <cell r="V13">
            <v>4.7577499999999997</v>
          </cell>
          <cell r="W13">
            <v>5.6757499999999999</v>
          </cell>
          <cell r="X13">
            <v>6.3204750000000001</v>
          </cell>
          <cell r="Y13">
            <v>7.3639250000000001</v>
          </cell>
          <cell r="Z13">
            <v>9.0799999999999983</v>
          </cell>
          <cell r="AA13">
            <v>9.77</v>
          </cell>
          <cell r="AB13">
            <v>7.2531770833333331</v>
          </cell>
          <cell r="AC13">
            <v>6.4346672725948304</v>
          </cell>
          <cell r="AD13">
            <v>6.3805440903793196</v>
          </cell>
          <cell r="AE13">
            <v>6.3805440903793196</v>
          </cell>
          <cell r="AF13">
            <v>6.3805440903793196</v>
          </cell>
          <cell r="AG13">
            <v>6.3805440903793196</v>
          </cell>
          <cell r="AH13">
            <v>6.3805440903793196</v>
          </cell>
          <cell r="AI13">
            <v>6.3805440903793196</v>
          </cell>
          <cell r="AJ13">
            <v>6.3805440903793196</v>
          </cell>
          <cell r="AK13">
            <v>6.3805440903793196</v>
          </cell>
          <cell r="AL13">
            <v>6.3805440903793196</v>
          </cell>
          <cell r="AM13">
            <v>6.3805440903793196</v>
          </cell>
        </row>
        <row r="14">
          <cell r="E14">
            <v>0.79884999999999995</v>
          </cell>
          <cell r="F14">
            <v>0.98725000000000007</v>
          </cell>
          <cell r="G14">
            <v>1.1112</v>
          </cell>
          <cell r="H14">
            <v>1.4143999999999999</v>
          </cell>
          <cell r="I14">
            <v>2.1352500000000001</v>
          </cell>
          <cell r="J14">
            <v>2.4748250000000001</v>
          </cell>
          <cell r="K14">
            <v>2.1230249999999997</v>
          </cell>
          <cell r="L14">
            <v>2.042875</v>
          </cell>
          <cell r="M14">
            <v>2.41825</v>
          </cell>
          <cell r="N14">
            <v>2.540375</v>
          </cell>
          <cell r="O14">
            <v>2.6076325000000002</v>
          </cell>
          <cell r="P14">
            <v>2.8205225</v>
          </cell>
          <cell r="Q14">
            <v>3.1391249999999999</v>
          </cell>
          <cell r="R14">
            <v>3.4339999999999997</v>
          </cell>
          <cell r="S14">
            <v>3.5694999999999997</v>
          </cell>
          <cell r="T14">
            <v>3.9060249999999996</v>
          </cell>
          <cell r="U14">
            <v>4.7288750000000004</v>
          </cell>
          <cell r="V14">
            <v>5.1244500000000004</v>
          </cell>
          <cell r="W14">
            <v>5.9507750000000001</v>
          </cell>
          <cell r="X14">
            <v>6.5192999999999994</v>
          </cell>
          <cell r="Y14">
            <v>8.6160750000000004</v>
          </cell>
          <cell r="Z14">
            <v>10.899949999999999</v>
          </cell>
          <cell r="AA14">
            <v>8.394775000000001</v>
          </cell>
          <cell r="AB14">
            <v>6.4580750000000009</v>
          </cell>
          <cell r="AC14">
            <v>5.888544771137953</v>
          </cell>
          <cell r="AD14">
            <v>6.3630953360086888</v>
          </cell>
          <cell r="AE14">
            <v>6.3805440903793196</v>
          </cell>
          <cell r="AF14">
            <v>6.3805440903793196</v>
          </cell>
          <cell r="AG14">
            <v>6.3805440903793196</v>
          </cell>
          <cell r="AH14">
            <v>6.3805440903793196</v>
          </cell>
          <cell r="AI14">
            <v>6.3805440903793196</v>
          </cell>
          <cell r="AJ14">
            <v>6.3805440903793196</v>
          </cell>
          <cell r="AK14">
            <v>6.3805440903793196</v>
          </cell>
          <cell r="AL14">
            <v>6.3805440903793196</v>
          </cell>
          <cell r="AM14">
            <v>6.3805440903793196</v>
          </cell>
        </row>
        <row r="15"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1.7088174982911823</v>
          </cell>
          <cell r="W15">
            <v>6.7167832836776178</v>
          </cell>
          <cell r="X15">
            <v>6.4211573829138642</v>
          </cell>
          <cell r="Y15">
            <v>7.2108928795230334</v>
          </cell>
          <cell r="Z15">
            <v>9.232975118037249</v>
          </cell>
          <cell r="AA15">
            <v>9.4870865168630942</v>
          </cell>
          <cell r="AB15">
            <v>8.3973605100610129</v>
          </cell>
          <cell r="AC15">
            <v>7.9835879331711936</v>
          </cell>
          <cell r="AD15">
            <v>7.9087243968598999</v>
          </cell>
          <cell r="AE15">
            <v>7.9087243968598999</v>
          </cell>
          <cell r="AF15">
            <v>7.9087243968598999</v>
          </cell>
          <cell r="AG15">
            <v>7.9087243968598999</v>
          </cell>
          <cell r="AH15">
            <v>7.9087243968598999</v>
          </cell>
          <cell r="AI15">
            <v>7.9087243968598999</v>
          </cell>
          <cell r="AJ15">
            <v>7.9087243968598999</v>
          </cell>
          <cell r="AK15">
            <v>7.9087243968598999</v>
          </cell>
          <cell r="AL15">
            <v>7.9087243968598999</v>
          </cell>
          <cell r="AM15">
            <v>7.9087243968598999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>
            <v>2.0990764063811924</v>
          </cell>
          <cell r="Z16">
            <v>8.7126881563416454</v>
          </cell>
          <cell r="AA16">
            <v>9.243181923415289</v>
          </cell>
          <cell r="AB16">
            <v>7.9120141056400453</v>
          </cell>
          <cell r="AC16">
            <v>7.6501658429587174</v>
          </cell>
          <cell r="AD16">
            <v>7.6332896965000421</v>
          </cell>
          <cell r="AE16">
            <v>7.9087243968598999</v>
          </cell>
          <cell r="AF16">
            <v>7.9087243968598999</v>
          </cell>
          <cell r="AG16">
            <v>7.9087243968598999</v>
          </cell>
          <cell r="AH16">
            <v>7.9087243968598999</v>
          </cell>
          <cell r="AI16">
            <v>7.9087243968598999</v>
          </cell>
          <cell r="AJ16">
            <v>7.9087243968598999</v>
          </cell>
          <cell r="AK16">
            <v>7.9087243968598999</v>
          </cell>
          <cell r="AL16">
            <v>7.9087243968598999</v>
          </cell>
          <cell r="AM16">
            <v>7.9087243968598999</v>
          </cell>
        </row>
        <row r="17">
          <cell r="AA17">
            <v>0.60099999999999998</v>
          </cell>
          <cell r="AB17">
            <v>0.54300000000000004</v>
          </cell>
          <cell r="AC17">
            <v>0.54300000000000004</v>
          </cell>
          <cell r="AD17">
            <v>0.54300000000000004</v>
          </cell>
          <cell r="AE17">
            <v>0.54300000000000004</v>
          </cell>
          <cell r="AF17">
            <v>0.54300000000000004</v>
          </cell>
          <cell r="AG17">
            <v>0.54300000000000004</v>
          </cell>
          <cell r="AH17">
            <v>0.54300000000000004</v>
          </cell>
          <cell r="AI17">
            <v>0.54300000000000004</v>
          </cell>
          <cell r="AJ17">
            <v>0.54300000000000004</v>
          </cell>
          <cell r="AK17">
            <v>0.54300000000000004</v>
          </cell>
          <cell r="AL17">
            <v>0.54300000000000004</v>
          </cell>
          <cell r="AM17">
            <v>0.54300000000000004</v>
          </cell>
        </row>
        <row r="18">
          <cell r="AA18">
            <v>0.14399999999999999</v>
          </cell>
          <cell r="AB18">
            <v>0.215</v>
          </cell>
          <cell r="AC18">
            <v>0.215</v>
          </cell>
          <cell r="AD18">
            <v>0.215</v>
          </cell>
          <cell r="AE18">
            <v>0.215</v>
          </cell>
          <cell r="AF18">
            <v>0.4</v>
          </cell>
          <cell r="AG18">
            <v>0.4</v>
          </cell>
          <cell r="AH18">
            <v>0.4</v>
          </cell>
          <cell r="AI18">
            <v>0.4</v>
          </cell>
          <cell r="AJ18">
            <v>0.4</v>
          </cell>
          <cell r="AK18">
            <v>0.4</v>
          </cell>
          <cell r="AL18">
            <v>0.4</v>
          </cell>
          <cell r="AM18">
            <v>0.4</v>
          </cell>
        </row>
        <row r="20">
          <cell r="D20">
            <v>0.37458118031174248</v>
          </cell>
          <cell r="E20">
            <v>0.41779387108011351</v>
          </cell>
          <cell r="F20">
            <v>0.44773745864527242</v>
          </cell>
          <cell r="G20">
            <v>0.45481332365070132</v>
          </cell>
          <cell r="H20">
            <v>0.49892277451561529</v>
          </cell>
          <cell r="I20">
            <v>0.52617974102600507</v>
          </cell>
          <cell r="J20">
            <v>0.66517873415342055</v>
          </cell>
          <cell r="K20">
            <v>0.88039035598493487</v>
          </cell>
          <cell r="L20">
            <v>1.0455755060780583</v>
          </cell>
          <cell r="M20">
            <v>1.0335647379481336</v>
          </cell>
          <cell r="N20">
            <v>1.0243550479204229</v>
          </cell>
          <cell r="O20">
            <v>1.0905743686199525</v>
          </cell>
          <cell r="P20">
            <v>1.0144765455713924</v>
          </cell>
          <cell r="Q20">
            <v>0.60893098782138022</v>
          </cell>
          <cell r="R20">
            <v>0.95027027027027022</v>
          </cell>
          <cell r="S20">
            <v>1</v>
          </cell>
          <cell r="T20">
            <v>0.96616915422885574</v>
          </cell>
          <cell r="U20">
            <v>1.0572354211663066</v>
          </cell>
          <cell r="V20">
            <v>0.99559955995599558</v>
          </cell>
          <cell r="W20">
            <v>1.0911793855302279</v>
          </cell>
          <cell r="X20">
            <v>1.2301136363636365</v>
          </cell>
          <cell r="Y20">
            <v>1.2647385984427142</v>
          </cell>
          <cell r="Z20">
            <v>1.7302564102564102</v>
          </cell>
          <cell r="AA20">
            <v>1.7960396039603961</v>
          </cell>
          <cell r="AB20">
            <v>1.8380765456329735</v>
          </cell>
          <cell r="AC20">
            <v>2.1312056737588652</v>
          </cell>
          <cell r="AD20">
            <v>2.2758254648856471</v>
          </cell>
          <cell r="AE20">
            <v>2.412380069948227</v>
          </cell>
          <cell r="AF20">
            <v>2.5856018295659502</v>
          </cell>
          <cell r="AG20">
            <v>2.7239295112066926</v>
          </cell>
          <cell r="AH20">
            <v>2.8929683202698149</v>
          </cell>
          <cell r="AI20">
            <v>3.0697048467061667</v>
          </cell>
          <cell r="AJ20">
            <v>3.2442975523856918</v>
          </cell>
          <cell r="AK20">
            <v>3.4091232426445117</v>
          </cell>
          <cell r="AL20">
            <v>3.5540071146643633</v>
          </cell>
          <cell r="AM20">
            <v>3.6665159174958042</v>
          </cell>
        </row>
        <row r="21">
          <cell r="D21">
            <v>0.41248028114787827</v>
          </cell>
          <cell r="E21">
            <v>0.4498997907810463</v>
          </cell>
          <cell r="F21">
            <v>0.47694313020379819</v>
          </cell>
          <cell r="G21">
            <v>0.46798847475049249</v>
          </cell>
          <cell r="H21">
            <v>0.51116789614095615</v>
          </cell>
          <cell r="I21">
            <v>0.52796308108955714</v>
          </cell>
          <cell r="J21">
            <v>0.69603478333973079</v>
          </cell>
          <cell r="K21">
            <v>0.96208239673180762</v>
          </cell>
          <cell r="L21">
            <v>1.1642121203283102</v>
          </cell>
          <cell r="M21">
            <v>1.097267777547662</v>
          </cell>
          <cell r="N21">
            <v>1.0349439578655912</v>
          </cell>
          <cell r="O21">
            <v>1.0908834919832986</v>
          </cell>
          <cell r="P21">
            <v>0.95148989950000484</v>
          </cell>
          <cell r="Q21">
            <v>0.53663003663003661</v>
          </cell>
          <cell r="R21">
            <v>0.99304347826086958</v>
          </cell>
          <cell r="S21">
            <v>1</v>
          </cell>
          <cell r="T21">
            <v>0.96843853820598003</v>
          </cell>
          <cell r="U21">
            <v>1.0443159922928709</v>
          </cell>
          <cell r="V21">
            <v>0.93865030674846628</v>
          </cell>
          <cell r="W21">
            <v>1.0747474747474748</v>
          </cell>
          <cell r="X21">
            <v>1.2222222222222223</v>
          </cell>
          <cell r="Y21">
            <v>1.2071307300509337</v>
          </cell>
          <cell r="Z21">
            <v>1.8105117565698479</v>
          </cell>
          <cell r="AA21">
            <v>1.7920529801324503</v>
          </cell>
          <cell r="AB21">
            <v>1.9001468428781203</v>
          </cell>
          <cell r="AC21">
            <v>2.2815405046480746</v>
          </cell>
          <cell r="AD21">
            <v>2.4542470202601101</v>
          </cell>
          <cell r="AE21">
            <v>2.6193488389252813</v>
          </cell>
          <cell r="AF21">
            <v>2.8478405201580266</v>
          </cell>
          <cell r="AG21">
            <v>2.9723016289530251</v>
          </cell>
          <cell r="AH21">
            <v>3.1575530510667424</v>
          </cell>
          <cell r="AI21">
            <v>3.3358740574293844</v>
          </cell>
          <cell r="AJ21">
            <v>3.5038419672787904</v>
          </cell>
          <cell r="AK21">
            <v>3.6508801801637825</v>
          </cell>
          <cell r="AL21">
            <v>3.7642605844891559</v>
          </cell>
          <cell r="AM21">
            <v>3.8303721317753325</v>
          </cell>
        </row>
        <row r="22">
          <cell r="D22">
            <v>0.27115417106652584</v>
          </cell>
          <cell r="E22">
            <v>0.33646515311510045</v>
          </cell>
          <cell r="F22">
            <v>0.38213833157338983</v>
          </cell>
          <cell r="G22">
            <v>0.42795353748680043</v>
          </cell>
          <cell r="H22">
            <v>0.47346884899683206</v>
          </cell>
          <cell r="I22">
            <v>0.52236642027455116</v>
          </cell>
          <cell r="J22">
            <v>0.60177930306230165</v>
          </cell>
          <cell r="K22">
            <v>0.70566578669482549</v>
          </cell>
          <cell r="L22">
            <v>0.80019640971488903</v>
          </cell>
          <cell r="M22">
            <v>0.89478035902851083</v>
          </cell>
          <cell r="N22">
            <v>1.0012041392204269</v>
          </cell>
          <cell r="O22">
            <v>1.0899977654551618</v>
          </cell>
          <cell r="P22">
            <v>1.2333392349507593</v>
          </cell>
          <cell r="Q22">
            <v>0.81347150259067358</v>
          </cell>
          <cell r="R22">
            <v>0.88</v>
          </cell>
          <cell r="S22">
            <v>1</v>
          </cell>
          <cell r="T22">
            <v>0.96277915632754341</v>
          </cell>
          <cell r="U22">
            <v>1.0737100737100738</v>
          </cell>
          <cell r="V22">
            <v>1.0619047619047619</v>
          </cell>
          <cell r="W22">
            <v>1.1070038910505837</v>
          </cell>
          <cell r="X22">
            <v>1.2426470588235294</v>
          </cell>
          <cell r="Y22">
            <v>1.3741935483870968</v>
          </cell>
          <cell r="Z22">
            <v>1.5</v>
          </cell>
          <cell r="AA22">
            <v>1.807843137254902</v>
          </cell>
          <cell r="AB22">
            <v>1.7130177514792899</v>
          </cell>
          <cell r="AC22">
            <v>1.8293333333333333</v>
          </cell>
          <cell r="AD22">
            <v>1.9368356828439748</v>
          </cell>
          <cell r="AE22">
            <v>2.0156839251222736</v>
          </cell>
          <cell r="AF22">
            <v>2.0863388137330676</v>
          </cell>
          <cell r="AG22">
            <v>2.2192800466020617</v>
          </cell>
          <cell r="AH22">
            <v>2.3469647461931107</v>
          </cell>
          <cell r="AI22">
            <v>2.4946080950712362</v>
          </cell>
          <cell r="AJ22">
            <v>2.6518761056010964</v>
          </cell>
          <cell r="AK22">
            <v>2.8194623087198369</v>
          </cell>
          <cell r="AL22">
            <v>2.9981241313594378</v>
          </cell>
          <cell r="AM22">
            <v>3.1886905260789016</v>
          </cell>
        </row>
        <row r="23">
          <cell r="D23">
            <v>0.1700193842610003</v>
          </cell>
          <cell r="E23">
            <v>0.19911750144772924</v>
          </cell>
          <cell r="F23">
            <v>0.26779822809727877</v>
          </cell>
          <cell r="G23">
            <v>0.32293981521714249</v>
          </cell>
          <cell r="H23">
            <v>0.40353521606805037</v>
          </cell>
          <cell r="I23">
            <v>0.45535206188013305</v>
          </cell>
          <cell r="J23">
            <v>0.53621736956744426</v>
          </cell>
          <cell r="K23">
            <v>0.56325318452778117</v>
          </cell>
          <cell r="L23">
            <v>0.74535488863476196</v>
          </cell>
          <cell r="M23">
            <v>-0.33012874518505736</v>
          </cell>
          <cell r="N23">
            <v>0.90293066793217447</v>
          </cell>
          <cell r="O23">
            <v>1.0385704257427584</v>
          </cell>
          <cell r="P23">
            <v>1.0090664052726479</v>
          </cell>
          <cell r="Q23">
            <v>0.71610169491525422</v>
          </cell>
          <cell r="R23">
            <v>0.92616033755274263</v>
          </cell>
          <cell r="S23">
            <v>1</v>
          </cell>
          <cell r="T23">
            <v>1.3022774327122153</v>
          </cell>
          <cell r="U23">
            <v>1.3948497854077253</v>
          </cell>
          <cell r="V23">
            <v>1.6472663139329806</v>
          </cell>
          <cell r="W23">
            <v>1.7339285714285715</v>
          </cell>
          <cell r="X23">
            <v>1.6287051482059283</v>
          </cell>
          <cell r="Y23">
            <v>2.2884310618066559</v>
          </cell>
          <cell r="Z23">
            <v>2.2859174964438123</v>
          </cell>
          <cell r="AA23">
            <v>2.4002732240437159</v>
          </cell>
          <cell r="AB23">
            <v>2.3263157894736843</v>
          </cell>
          <cell r="AC23">
            <v>2.9751552795031055</v>
          </cell>
          <cell r="AD23">
            <v>3.1477142857142857</v>
          </cell>
          <cell r="AE23">
            <v>3.3428725714285714</v>
          </cell>
          <cell r="AF23">
            <v>3.550130670857143</v>
          </cell>
          <cell r="AG23">
            <v>3.7702387724502859</v>
          </cell>
          <cell r="AH23">
            <v>4.0039935763422037</v>
          </cell>
          <cell r="AI23">
            <v>4.2522411780754208</v>
          </cell>
          <cell r="AJ23">
            <v>4.5158801311160968</v>
          </cell>
          <cell r="AK23">
            <v>4.7958646992452953</v>
          </cell>
          <cell r="AL23">
            <v>5.093208310598504</v>
          </cell>
          <cell r="AM23">
            <v>5.4089872258556113</v>
          </cell>
        </row>
        <row r="24">
          <cell r="D24">
            <v>0.36067328925328185</v>
          </cell>
          <cell r="E24">
            <v>0.2908719152015275</v>
          </cell>
          <cell r="F24">
            <v>0.32684747412359133</v>
          </cell>
          <cell r="G24">
            <v>0.34013855851186492</v>
          </cell>
          <cell r="H24">
            <v>0.37801064755375924</v>
          </cell>
          <cell r="I24">
            <v>0.63224493012447991</v>
          </cell>
          <cell r="J24">
            <v>0.63880886765288458</v>
          </cell>
          <cell r="K24">
            <v>0.54648137078507975</v>
          </cell>
          <cell r="L24">
            <v>0.78239545772778729</v>
          </cell>
          <cell r="M24">
            <v>1.007974464314354</v>
          </cell>
          <cell r="N24">
            <v>1</v>
          </cell>
          <cell r="O24">
            <v>0.85219059793926943</v>
          </cell>
          <cell r="P24">
            <v>0.78008384587207613</v>
          </cell>
          <cell r="Q24">
            <v>0.9079822616407982</v>
          </cell>
          <cell r="R24">
            <v>1.2525050100200401</v>
          </cell>
          <cell r="S24">
            <v>1</v>
          </cell>
          <cell r="T24">
            <v>1.3990909090909092</v>
          </cell>
          <cell r="U24">
            <v>1.5100436681222706</v>
          </cell>
          <cell r="V24">
            <v>1.6427931960608773</v>
          </cell>
          <cell r="W24">
            <v>1.6107438016528925</v>
          </cell>
          <cell r="X24">
            <v>2.1932773109243699</v>
          </cell>
          <cell r="Y24">
            <v>3.2793196060877352</v>
          </cell>
          <cell r="Z24">
            <v>3.5223765432098766</v>
          </cell>
          <cell r="AA24">
            <v>2.40501212611156</v>
          </cell>
          <cell r="AB24">
            <v>2.0669431279620851</v>
          </cell>
          <cell r="AC24">
            <v>2.0006031363088059</v>
          </cell>
          <cell r="AD24">
            <v>2.3594856618314402</v>
          </cell>
          <cell r="AE24">
            <v>2.5927684823048454</v>
          </cell>
          <cell r="AF24">
            <v>2.7357368853695347</v>
          </cell>
          <cell r="AG24">
            <v>2.8985602051098609</v>
          </cell>
          <cell r="AH24">
            <v>3.073236991816664</v>
          </cell>
          <cell r="AI24">
            <v>3.2636118667113125</v>
          </cell>
          <cell r="AJ24">
            <v>3.4657743806569203</v>
          </cell>
          <cell r="AK24">
            <v>3.6804540637693752</v>
          </cell>
          <cell r="AL24">
            <v>3.9084255750829184</v>
          </cell>
          <cell r="AM24">
            <v>4.1505114928998488</v>
          </cell>
        </row>
        <row r="25">
          <cell r="D25">
            <v>0.39987353840026446</v>
          </cell>
          <cell r="E25">
            <v>0.25512166018295718</v>
          </cell>
          <cell r="F25">
            <v>0.24180618911233837</v>
          </cell>
          <cell r="G25">
            <v>0.30966312746889835</v>
          </cell>
          <cell r="H25">
            <v>0.28710249660645576</v>
          </cell>
          <cell r="I25">
            <v>0.46308457309921719</v>
          </cell>
          <cell r="J25">
            <v>0.49307566838654437</v>
          </cell>
          <cell r="K25">
            <v>0.49932187475749579</v>
          </cell>
          <cell r="L25">
            <v>0.90007145711951653</v>
          </cell>
          <cell r="M25">
            <v>1.0803398045913939</v>
          </cell>
          <cell r="N25">
            <v>1</v>
          </cell>
          <cell r="O25">
            <v>0.84749489283587121</v>
          </cell>
          <cell r="P25">
            <v>0.74166410539912497</v>
          </cell>
          <cell r="Q25">
            <v>0.9228395061728395</v>
          </cell>
          <cell r="R25">
            <v>1.231638418079096</v>
          </cell>
          <cell r="S25">
            <v>1</v>
          </cell>
          <cell r="T25">
            <v>1.4929757343550447</v>
          </cell>
          <cell r="U25">
            <v>1.5997442455242967</v>
          </cell>
          <cell r="V25">
            <v>1.7124842370744011</v>
          </cell>
          <cell r="W25">
            <v>1.8689427312775331</v>
          </cell>
          <cell r="X25">
            <v>2.283353010625738</v>
          </cell>
          <cell r="Y25">
            <v>3.5541718555417185</v>
          </cell>
          <cell r="Z25">
            <v>3.6380042462845013</v>
          </cell>
          <cell r="AA25">
            <v>2.8932893289328931</v>
          </cell>
          <cell r="AB25">
            <v>2.4190476190476189</v>
          </cell>
          <cell r="AC25">
            <v>2.2417218543046356</v>
          </cell>
          <cell r="AD25">
            <v>2.6843648770947293</v>
          </cell>
          <cell r="AE25">
            <v>2.9581700945583917</v>
          </cell>
          <cell r="AF25">
            <v>3.132406313127881</v>
          </cell>
          <cell r="AG25">
            <v>3.3234830982286816</v>
          </cell>
          <cell r="AH25">
            <v>3.5292067020090374</v>
          </cell>
          <cell r="AI25">
            <v>3.7497821208846021</v>
          </cell>
          <cell r="AJ25">
            <v>3.9841435034398898</v>
          </cell>
          <cell r="AK25">
            <v>4.2331524724048828</v>
          </cell>
          <cell r="AL25">
            <v>4.4977245019301879</v>
          </cell>
          <cell r="AM25">
            <v>4.778832283300825</v>
          </cell>
        </row>
        <row r="26">
          <cell r="D26">
            <v>0.31764007941410066</v>
          </cell>
          <cell r="E26">
            <v>0.32273384950197931</v>
          </cell>
          <cell r="F26">
            <v>0.38913034125400564</v>
          </cell>
          <cell r="G26">
            <v>0.36179704200089036</v>
          </cell>
          <cell r="H26">
            <v>0.44316639842404643</v>
          </cell>
          <cell r="I26">
            <v>0.76128138755373065</v>
          </cell>
          <cell r="J26">
            <v>0.762495942709425</v>
          </cell>
          <cell r="K26">
            <v>0.58935073324782472</v>
          </cell>
          <cell r="L26">
            <v>0.68051699184155612</v>
          </cell>
          <cell r="M26">
            <v>0.94051368004861002</v>
          </cell>
          <cell r="N26">
            <v>1</v>
          </cell>
          <cell r="O26">
            <v>0.86123357391856736</v>
          </cell>
          <cell r="P26">
            <v>0.88563959950146132</v>
          </cell>
          <cell r="Q26">
            <v>0.87007874015748032</v>
          </cell>
          <cell r="R26">
            <v>1.3034482758620689</v>
          </cell>
          <cell r="S26">
            <v>1</v>
          </cell>
          <cell r="T26">
            <v>0</v>
          </cell>
          <cell r="U26">
            <v>0</v>
          </cell>
          <cell r="V26">
            <v>1.4722222222222223</v>
          </cell>
          <cell r="W26">
            <v>0.83443708609271527</v>
          </cell>
          <cell r="X26">
            <v>1.9708454810495626</v>
          </cell>
          <cell r="Y26">
            <v>2.5764331210191083</v>
          </cell>
          <cell r="Z26">
            <v>3.2146892655367232</v>
          </cell>
          <cell r="AA26">
            <v>1.0518292682926829</v>
          </cell>
          <cell r="AB26">
            <v>1.030373831775701</v>
          </cell>
          <cell r="AC26">
            <v>1.3533333333333333</v>
          </cell>
          <cell r="AD26">
            <v>1.4345333333333334</v>
          </cell>
          <cell r="AE26">
            <v>1.5234744000000002</v>
          </cell>
          <cell r="AF26">
            <v>1.6179298128000004</v>
          </cell>
          <cell r="AG26">
            <v>1.7182414611936005</v>
          </cell>
          <cell r="AH26">
            <v>1.824772431787604</v>
          </cell>
          <cell r="AI26">
            <v>1.9379083225584355</v>
          </cell>
          <cell r="AJ26">
            <v>2.0580586385570587</v>
          </cell>
          <cell r="AK26">
            <v>2.1856582741475963</v>
          </cell>
          <cell r="AL26">
            <v>2.3211690871447472</v>
          </cell>
          <cell r="AM26">
            <v>2.4650815705477216</v>
          </cell>
        </row>
        <row r="27">
          <cell r="D27">
            <v>0.35684541137403658</v>
          </cell>
          <cell r="E27">
            <v>0.31331128106854467</v>
          </cell>
          <cell r="F27">
            <v>0.3488525202744418</v>
          </cell>
          <cell r="G27">
            <v>0.3628329944091333</v>
          </cell>
          <cell r="H27">
            <v>0.40592219828234316</v>
          </cell>
          <cell r="I27">
            <v>0.59895913077125895</v>
          </cell>
          <cell r="J27">
            <v>0.6405088480493184</v>
          </cell>
          <cell r="K27">
            <v>0.62337664794553627</v>
          </cell>
          <cell r="L27">
            <v>0.84136055919250785</v>
          </cell>
          <cell r="M27">
            <v>1.2402975895980459</v>
          </cell>
          <cell r="N27">
            <v>1</v>
          </cell>
          <cell r="O27">
            <v>0.93290258449304175</v>
          </cell>
          <cell r="P27">
            <v>0.8537170263788969</v>
          </cell>
          <cell r="Q27">
            <v>0.76053005205868429</v>
          </cell>
          <cell r="R27">
            <v>1.0713391739674594</v>
          </cell>
          <cell r="S27">
            <v>1</v>
          </cell>
          <cell r="T27">
            <v>1.2129057187017001</v>
          </cell>
          <cell r="U27">
            <v>1.3236105636578637</v>
          </cell>
          <cell r="V27">
            <v>1.416891631315079</v>
          </cell>
          <cell r="W27">
            <v>1.4469233537243613</v>
          </cell>
          <cell r="X27">
            <v>1.7156217526844475</v>
          </cell>
          <cell r="Y27">
            <v>2.3588968643747639</v>
          </cell>
          <cell r="Z27">
            <v>2.6425689307330194</v>
          </cell>
          <cell r="AA27">
            <v>2.1973816717019132</v>
          </cell>
          <cell r="AB27">
            <v>2.0489323843416369</v>
          </cell>
          <cell r="AC27">
            <v>2.2265306122448978</v>
          </cell>
          <cell r="AD27">
            <v>2.4770258849574049</v>
          </cell>
          <cell r="AE27">
            <v>2.6716501344538277</v>
          </cell>
          <cell r="AF27">
            <v>2.8373072641792989</v>
          </cell>
          <cell r="AG27">
            <v>3.0000813642724711</v>
          </cell>
          <cell r="AH27">
            <v>3.1816260630165956</v>
          </cell>
          <cell r="AI27">
            <v>3.3752380576992533</v>
          </cell>
          <cell r="AJ27">
            <v>3.5756663665611379</v>
          </cell>
          <cell r="AK27">
            <v>3.7802002589796548</v>
          </cell>
          <cell r="AL27">
            <v>3.9845930920633226</v>
          </cell>
          <cell r="AM27">
            <v>4.1825649463867132</v>
          </cell>
        </row>
        <row r="28">
          <cell r="D28">
            <v>0.3024349637986275</v>
          </cell>
          <cell r="E28">
            <v>0.33962387788272813</v>
          </cell>
          <cell r="F28">
            <v>0.38810024012759398</v>
          </cell>
          <cell r="G28">
            <v>0.4387859583873831</v>
          </cell>
          <cell r="H28">
            <v>0.47059591382354288</v>
          </cell>
          <cell r="I28">
            <v>0.53535488308572854</v>
          </cell>
          <cell r="J28">
            <v>0.60258855521412114</v>
          </cell>
          <cell r="K28">
            <v>0.69844452518890321</v>
          </cell>
          <cell r="L28">
            <v>0.79176365111088354</v>
          </cell>
          <cell r="M28">
            <v>0.90490836124238438</v>
          </cell>
          <cell r="N28">
            <v>1</v>
          </cell>
          <cell r="O28">
            <v>1.1132596685082874</v>
          </cell>
          <cell r="P28">
            <v>1.2528445006321112</v>
          </cell>
          <cell r="Q28">
            <v>0.84071428571428575</v>
          </cell>
          <cell r="R28">
            <v>0.91342281879194631</v>
          </cell>
          <cell r="S28">
            <v>1</v>
          </cell>
          <cell r="T28">
            <v>1.0906122448979592</v>
          </cell>
          <cell r="U28">
            <v>1.1453287197231834</v>
          </cell>
          <cell r="V28">
            <v>1.2966963151207116</v>
          </cell>
          <cell r="W28">
            <v>1.3689768976897689</v>
          </cell>
          <cell r="X28">
            <v>1.5101910828025478</v>
          </cell>
          <cell r="Y28">
            <v>1.5715147857573928</v>
          </cell>
          <cell r="Z28">
            <v>1.8199339207048457</v>
          </cell>
          <cell r="AA28">
            <v>2.0251177394034539</v>
          </cell>
          <cell r="AB28">
            <v>2.033028455284553</v>
          </cell>
          <cell r="AC28">
            <v>2.1042411854879917</v>
          </cell>
          <cell r="AD28">
            <v>2.233981819682942</v>
          </cell>
          <cell r="AE28">
            <v>2.3643310861759654</v>
          </cell>
          <cell r="AF28">
            <v>2.5192795793319682</v>
          </cell>
          <cell r="AG28">
            <v>2.684493092673673</v>
          </cell>
          <cell r="AH28">
            <v>2.8606549776622647</v>
          </cell>
          <cell r="AI28">
            <v>3.04849381782895</v>
          </cell>
          <cell r="AJ28">
            <v>3.2487863684267722</v>
          </cell>
          <cell r="AK28">
            <v>3.4623606822358113</v>
          </cell>
          <cell r="AL28">
            <v>3.6900994331129859</v>
          </cell>
          <cell r="AM28">
            <v>3.9329434496109585</v>
          </cell>
        </row>
        <row r="29">
          <cell r="D29">
            <v>0.40016055622551883</v>
          </cell>
          <cell r="E29">
            <v>0.39337721949806109</v>
          </cell>
          <cell r="F29">
            <v>0.53273560922709262</v>
          </cell>
          <cell r="G29">
            <v>0.51810572374550967</v>
          </cell>
          <cell r="H29">
            <v>0.58608902984384126</v>
          </cell>
          <cell r="I29">
            <v>0.64697686644125763</v>
          </cell>
          <cell r="J29">
            <v>0.70957425752583325</v>
          </cell>
          <cell r="K29">
            <v>0.73587511683373186</v>
          </cell>
          <cell r="L29">
            <v>0.7907537270345133</v>
          </cell>
          <cell r="M29">
            <v>1.0097267462774691</v>
          </cell>
          <cell r="N29">
            <v>1.0000000000000013</v>
          </cell>
          <cell r="O29">
            <v>1.259526417672133</v>
          </cell>
          <cell r="P29">
            <v>1.3780964474539712</v>
          </cell>
          <cell r="Q29">
            <v>0.97619047619047616</v>
          </cell>
          <cell r="R29">
            <v>0.90322580645161288</v>
          </cell>
          <cell r="S29">
            <v>1</v>
          </cell>
          <cell r="T29">
            <v>1.15625</v>
          </cell>
          <cell r="U29">
            <v>1.2608695652173914</v>
          </cell>
          <cell r="V29">
            <v>1.3232323232323233</v>
          </cell>
          <cell r="W29">
            <v>1.2522522522522523</v>
          </cell>
          <cell r="X29">
            <v>1.198019801980198</v>
          </cell>
          <cell r="Y29">
            <v>1.3271028037383177</v>
          </cell>
          <cell r="Z29">
            <v>1.3119266055045871</v>
          </cell>
          <cell r="AA29">
            <v>1.4329896907216495</v>
          </cell>
          <cell r="AB29">
            <v>1.4318181818181819</v>
          </cell>
          <cell r="AC29">
            <v>1.2526315789473683</v>
          </cell>
          <cell r="AD29">
            <v>1.3290421052631578</v>
          </cell>
          <cell r="AE29">
            <v>1.4087846315789474</v>
          </cell>
          <cell r="AF29">
            <v>1.4890853555789474</v>
          </cell>
          <cell r="AG29">
            <v>1.5739632208469474</v>
          </cell>
          <cell r="AH29">
            <v>1.6636791244352234</v>
          </cell>
          <cell r="AI29">
            <v>1.7585088345280311</v>
          </cell>
          <cell r="AJ29">
            <v>1.8587438380961288</v>
          </cell>
          <cell r="AK29">
            <v>1.9646922368676081</v>
          </cell>
          <cell r="AL29">
            <v>2.0766796943690617</v>
          </cell>
          <cell r="AM29">
            <v>2.1950504369480983</v>
          </cell>
        </row>
        <row r="30">
          <cell r="D30">
            <v>0.36739371045496894</v>
          </cell>
          <cell r="E30">
            <v>0.40369021825532869</v>
          </cell>
          <cell r="F30">
            <v>0.41654631737334447</v>
          </cell>
          <cell r="G30">
            <v>0.51560234082734568</v>
          </cell>
          <cell r="H30">
            <v>0.47679081236539017</v>
          </cell>
          <cell r="I30">
            <v>0.53579664352524525</v>
          </cell>
          <cell r="J30">
            <v>0.5674056467363181</v>
          </cell>
          <cell r="K30">
            <v>0.74903354264319089</v>
          </cell>
          <cell r="L30">
            <v>0.91427394530900674</v>
          </cell>
          <cell r="M30">
            <v>0.96615888115362625</v>
          </cell>
          <cell r="N30">
            <v>1</v>
          </cell>
          <cell r="O30">
            <v>0.95229446940506191</v>
          </cell>
          <cell r="P30">
            <v>1.270718232044199</v>
          </cell>
          <cell r="Q30">
            <v>0.84168865435356199</v>
          </cell>
          <cell r="R30">
            <v>0.86153846153846159</v>
          </cell>
          <cell r="S30">
            <v>1</v>
          </cell>
          <cell r="T30">
            <v>1.1007194244604317</v>
          </cell>
          <cell r="U30">
            <v>1.0725190839694656</v>
          </cell>
          <cell r="V30">
            <v>1.5252808988764044</v>
          </cell>
          <cell r="W30">
            <v>1.604982206405694</v>
          </cell>
          <cell r="X30">
            <v>2.2738589211618256</v>
          </cell>
          <cell r="Y30">
            <v>2.4215686274509802</v>
          </cell>
          <cell r="Z30">
            <v>3.8415300546448088</v>
          </cell>
          <cell r="AA30">
            <v>3.1624548736462095</v>
          </cell>
          <cell r="AB30">
            <v>2.7992565055762082</v>
          </cell>
          <cell r="AC30">
            <v>1.8203125</v>
          </cell>
          <cell r="AD30">
            <v>1.9295312500000001</v>
          </cell>
          <cell r="AE30">
            <v>2.0491621875000003</v>
          </cell>
          <cell r="AF30">
            <v>2.1741610809375</v>
          </cell>
          <cell r="AG30">
            <v>2.3067849068746873</v>
          </cell>
          <cell r="AH30">
            <v>2.4474987861940432</v>
          </cell>
          <cell r="AI30">
            <v>2.5967962121518795</v>
          </cell>
          <cell r="AJ30">
            <v>2.7552007810931438</v>
          </cell>
          <cell r="AK30">
            <v>2.9232680287398254</v>
          </cell>
          <cell r="AL30">
            <v>3.1015873784929546</v>
          </cell>
          <cell r="AM30">
            <v>3.2907842085810248</v>
          </cell>
        </row>
        <row r="31">
          <cell r="D31">
            <v>0.29598279140735467</v>
          </cell>
          <cell r="E31">
            <v>0.33917805124815631</v>
          </cell>
          <cell r="F31">
            <v>0.38453828795637113</v>
          </cell>
          <cell r="G31">
            <v>0.44329187951331867</v>
          </cell>
          <cell r="H31">
            <v>0.49032947847545333</v>
          </cell>
          <cell r="I31">
            <v>0.56040541224826068</v>
          </cell>
          <cell r="J31">
            <v>0.64148672033393783</v>
          </cell>
          <cell r="K31">
            <v>0.72511826149895486</v>
          </cell>
          <cell r="L31">
            <v>0.81183528167786378</v>
          </cell>
          <cell r="M31">
            <v>0.94004808260118133</v>
          </cell>
          <cell r="N31">
            <v>1.0650631125844126</v>
          </cell>
          <cell r="O31">
            <v>1.2120721741090243</v>
          </cell>
          <cell r="P31">
            <v>1.3173664498294166</v>
          </cell>
          <cell r="Q31">
            <v>0.87473460721868368</v>
          </cell>
          <cell r="R31">
            <v>0.93333333333333335</v>
          </cell>
          <cell r="S31">
            <v>1</v>
          </cell>
          <cell r="T31">
            <v>1.1006825938566553</v>
          </cell>
          <cell r="U31">
            <v>1.1834862385321101</v>
          </cell>
          <cell r="V31">
            <v>1.2579310344827586</v>
          </cell>
          <cell r="W31">
            <v>1.3359683794466404</v>
          </cell>
          <cell r="X31">
            <v>1.4082687338501292</v>
          </cell>
          <cell r="Y31">
            <v>1.5037128712871286</v>
          </cell>
          <cell r="Z31">
            <v>1.7314285714285715</v>
          </cell>
          <cell r="AA31">
            <v>1.8922018348623852</v>
          </cell>
          <cell r="AB31">
            <v>1.9096045197740112</v>
          </cell>
          <cell r="AC31">
            <v>1.9090909090909092</v>
          </cell>
          <cell r="AD31">
            <v>2.0227709727272729</v>
          </cell>
          <cell r="AE31">
            <v>2.1451486165772731</v>
          </cell>
          <cell r="AF31">
            <v>2.279627983350502</v>
          </cell>
          <cell r="AG31">
            <v>2.4225378616267448</v>
          </cell>
          <cell r="AH31">
            <v>2.574406760172125</v>
          </cell>
          <cell r="AI31">
            <v>2.7357963199673154</v>
          </cell>
          <cell r="AJ31">
            <v>2.9073033912660664</v>
          </cell>
          <cell r="AK31">
            <v>3.0895622408645358</v>
          </cell>
          <cell r="AL31">
            <v>3.2832468977443332</v>
          </cell>
          <cell r="AM31">
            <v>3.4890736457639253</v>
          </cell>
        </row>
        <row r="32">
          <cell r="D32">
            <v>0.27269543781433853</v>
          </cell>
          <cell r="E32">
            <v>0.31283455321015713</v>
          </cell>
          <cell r="F32">
            <v>0.35472136604237331</v>
          </cell>
          <cell r="G32">
            <v>0.38586761481933851</v>
          </cell>
          <cell r="H32">
            <v>0.42700031896558344</v>
          </cell>
          <cell r="I32">
            <v>0.48789109271175735</v>
          </cell>
          <cell r="J32">
            <v>0.55845694555187486</v>
          </cell>
          <cell r="K32">
            <v>0.63147265196519464</v>
          </cell>
          <cell r="L32">
            <v>0.70696184457692013</v>
          </cell>
          <cell r="M32">
            <v>0.81885845080592623</v>
          </cell>
          <cell r="N32">
            <v>0.92769749902305532</v>
          </cell>
          <cell r="O32">
            <v>1.0557576199164249</v>
          </cell>
          <cell r="P32">
            <v>1.1473560557677476</v>
          </cell>
          <cell r="Q32">
            <v>0.7617924528301887</v>
          </cell>
          <cell r="R32">
            <v>0.94951923076923073</v>
          </cell>
          <cell r="S32">
            <v>1</v>
          </cell>
          <cell r="T32">
            <v>1.0483870967741935</v>
          </cell>
          <cell r="U32">
            <v>1.1075514874141876</v>
          </cell>
          <cell r="V32">
            <v>1.1548223350253808</v>
          </cell>
          <cell r="W32">
            <v>1.2912087912087913</v>
          </cell>
          <cell r="X32">
            <v>1.3480176211453745</v>
          </cell>
          <cell r="Y32">
            <v>1.3996282527881041</v>
          </cell>
          <cell r="Z32">
            <v>1.4545454545454546</v>
          </cell>
          <cell r="AA32">
            <v>1.8120300751879699</v>
          </cell>
          <cell r="AB32">
            <v>1.9724517906336088</v>
          </cell>
          <cell r="AC32">
            <v>2.6050670640834577</v>
          </cell>
          <cell r="AD32">
            <v>2.7613450372578243</v>
          </cell>
          <cell r="AE32">
            <v>2.9270257394932941</v>
          </cell>
          <cell r="AF32">
            <v>3.11201376622927</v>
          </cell>
          <cell r="AG32">
            <v>3.3086930362549594</v>
          </cell>
          <cell r="AH32">
            <v>3.5178024361462725</v>
          </cell>
          <cell r="AI32">
            <v>3.7401275501107167</v>
          </cell>
          <cell r="AJ32">
            <v>3.9765036112777139</v>
          </cell>
          <cell r="AK32">
            <v>4.2278186395104651</v>
          </cell>
          <cell r="AL32">
            <v>4.4950167775275265</v>
          </cell>
          <cell r="AM32">
            <v>4.7791018378672661</v>
          </cell>
        </row>
        <row r="33">
          <cell r="D33">
            <v>0.40105343563596901</v>
          </cell>
          <cell r="E33">
            <v>0.5247918020967437</v>
          </cell>
          <cell r="F33">
            <v>0.54431847857683069</v>
          </cell>
          <cell r="G33">
            <v>0.70293412607265982</v>
          </cell>
          <cell r="H33">
            <v>0.64124717221237282</v>
          </cell>
          <cell r="I33">
            <v>0.64978209879248727</v>
          </cell>
          <cell r="J33">
            <v>0.67711833430256785</v>
          </cell>
          <cell r="K33">
            <v>0.63705627620839123</v>
          </cell>
          <cell r="L33">
            <v>0.79314004174760122</v>
          </cell>
          <cell r="M33">
            <v>0.79490814162807266</v>
          </cell>
          <cell r="N33">
            <v>1</v>
          </cell>
          <cell r="O33">
            <v>1.0665821388685675</v>
          </cell>
          <cell r="P33">
            <v>1.1735812168916198</v>
          </cell>
          <cell r="Q33">
            <v>0.72222222222222221</v>
          </cell>
          <cell r="R33">
            <v>0.94605809128630702</v>
          </cell>
          <cell r="S33">
            <v>1</v>
          </cell>
          <cell r="T33">
            <v>1.2983193277310925</v>
          </cell>
          <cell r="U33">
            <v>1.6682242990654206</v>
          </cell>
          <cell r="V33">
            <v>2.022421524663677</v>
          </cell>
          <cell r="W33">
            <v>2.0186567164179103</v>
          </cell>
          <cell r="X33">
            <v>2.0234113712374584</v>
          </cell>
          <cell r="Y33">
            <v>2.7192982456140351</v>
          </cell>
          <cell r="Z33">
            <v>3.7130434782608694</v>
          </cell>
          <cell r="AA33">
            <v>3.7706766917293235</v>
          </cell>
          <cell r="AB33">
            <v>4.3129496402877701</v>
          </cell>
          <cell r="AC33">
            <v>4.338709677419355</v>
          </cell>
          <cell r="AD33">
            <v>4.5903548387096782</v>
          </cell>
          <cell r="AE33">
            <v>4.8703664838709679</v>
          </cell>
          <cell r="AF33">
            <v>5.1791477189483865</v>
          </cell>
          <cell r="AG33">
            <v>5.5075056843297139</v>
          </cell>
          <cell r="AH33">
            <v>5.856681544716217</v>
          </cell>
          <cell r="AI33">
            <v>6.2279951546512242</v>
          </cell>
          <cell r="AJ33">
            <v>6.6228500474561116</v>
          </cell>
          <cell r="AK33">
            <v>7.0427387404648281</v>
          </cell>
          <cell r="AL33">
            <v>7.4892483766102975</v>
          </cell>
          <cell r="AM33">
            <v>7.9640667236873899</v>
          </cell>
        </row>
        <row r="34">
          <cell r="D34">
            <v>0.25528096774486919</v>
          </cell>
          <cell r="E34">
            <v>0.29461192249935286</v>
          </cell>
          <cell r="F34">
            <v>0.34120162654715985</v>
          </cell>
          <cell r="G34">
            <v>0.39324011474168435</v>
          </cell>
          <cell r="H34">
            <v>0.42778905494085534</v>
          </cell>
          <cell r="I34">
            <v>0.48923598623069464</v>
          </cell>
          <cell r="J34">
            <v>0.57748780017104184</v>
          </cell>
          <cell r="K34">
            <v>0.65210382836410119</v>
          </cell>
          <cell r="L34">
            <v>0.75916999280705499</v>
          </cell>
          <cell r="M34">
            <v>0.88185661037811125</v>
          </cell>
          <cell r="N34">
            <v>1</v>
          </cell>
          <cell r="O34">
            <v>1.1279148933098597</v>
          </cell>
          <cell r="P34">
            <v>1.2226037076172318</v>
          </cell>
          <cell r="Q34">
            <v>0.85804416403785488</v>
          </cell>
          <cell r="R34">
            <v>0.91520467836257313</v>
          </cell>
          <cell r="S34">
            <v>1</v>
          </cell>
          <cell r="T34">
            <v>1.0841346153846154</v>
          </cell>
          <cell r="U34">
            <v>1.1798365122615804</v>
          </cell>
          <cell r="V34">
            <v>1.24822695035461</v>
          </cell>
          <cell r="W34">
            <v>1.3205479452054794</v>
          </cell>
          <cell r="X34">
            <v>1.3681159420289855</v>
          </cell>
          <cell r="Y34">
            <v>1.4971537001897532</v>
          </cell>
          <cell r="Z34">
            <v>1.579520697167756</v>
          </cell>
          <cell r="AA34">
            <v>1.822695035460993</v>
          </cell>
          <cell r="AB34">
            <v>1.957968476357268</v>
          </cell>
          <cell r="AC34">
            <v>2.1241496598639458</v>
          </cell>
          <cell r="AD34">
            <v>2.1305221088435373</v>
          </cell>
          <cell r="AE34">
            <v>2.3137470102040818</v>
          </cell>
          <cell r="AF34">
            <v>2.5171253724010207</v>
          </cell>
          <cell r="AG34">
            <v>2.7383806926350709</v>
          </cell>
          <cell r="AH34">
            <v>2.9790843555176938</v>
          </cell>
          <cell r="AI34">
            <v>3.2409458703676992</v>
          </cell>
          <cell r="AJ34">
            <v>3.5258250123730202</v>
          </cell>
          <cell r="AK34">
            <v>3.8357450309606089</v>
          </cell>
          <cell r="AL34">
            <v>4.1729070191820465</v>
          </cell>
          <cell r="AM34">
            <v>4.5397055461681486</v>
          </cell>
        </row>
        <row r="35">
          <cell r="D35">
            <v>0.29268518928550968</v>
          </cell>
          <cell r="E35">
            <v>0.33938774518217624</v>
          </cell>
          <cell r="F35">
            <v>0.3880420985635647</v>
          </cell>
          <cell r="G35">
            <v>0.4532544804026038</v>
          </cell>
          <cell r="H35">
            <v>0.47971766861028964</v>
          </cell>
          <cell r="I35">
            <v>0.53818629529667361</v>
          </cell>
          <cell r="J35">
            <v>0.60656342129882124</v>
          </cell>
          <cell r="K35">
            <v>0.68580022367698412</v>
          </cell>
          <cell r="L35">
            <v>0.78664748043241361</v>
          </cell>
          <cell r="M35">
            <v>0.88908096277345572</v>
          </cell>
          <cell r="N35">
            <v>1</v>
          </cell>
          <cell r="O35">
            <v>1.110410094637224</v>
          </cell>
          <cell r="P35">
            <v>1.2382246376811594</v>
          </cell>
          <cell r="Q35">
            <v>0.83133159268929502</v>
          </cell>
          <cell r="R35">
            <v>0.91751085383502173</v>
          </cell>
          <cell r="S35">
            <v>1</v>
          </cell>
          <cell r="T35">
            <v>1.1154869611495477</v>
          </cell>
          <cell r="U35">
            <v>1.2068114511352419</v>
          </cell>
          <cell r="V35">
            <v>1.3603603603603605</v>
          </cell>
          <cell r="W35">
            <v>1.441806331471136</v>
          </cell>
          <cell r="X35">
            <v>1.5573622402890697</v>
          </cell>
          <cell r="Y35">
            <v>1.6637645107794361</v>
          </cell>
          <cell r="Z35">
            <v>1.9497005988023952</v>
          </cell>
          <cell r="AA35">
            <v>2.1528639182780007</v>
          </cell>
          <cell r="AB35">
            <v>2.2428115015974441</v>
          </cell>
          <cell r="AC35">
            <v>2.3509632224168127</v>
          </cell>
          <cell r="AD35">
            <v>2.4773107631237097</v>
          </cell>
          <cell r="AE35">
            <v>2.6590567238518816</v>
          </cell>
          <cell r="AF35">
            <v>2.8605004362959701</v>
          </cell>
          <cell r="AG35">
            <v>3.0499555786101529</v>
          </cell>
          <cell r="AH35">
            <v>3.2910702344201126</v>
          </cell>
          <cell r="AI35">
            <v>3.5521932973311166</v>
          </cell>
          <cell r="AJ35">
            <v>3.8350070919690169</v>
          </cell>
          <cell r="AK35">
            <v>4.1417977713366758</v>
          </cell>
          <cell r="AL35">
            <v>4.4177498951769527</v>
          </cell>
          <cell r="AM35">
            <v>4.7128113059966976</v>
          </cell>
        </row>
        <row r="36">
          <cell r="D36">
            <v>0.29660901538880563</v>
          </cell>
          <cell r="E36">
            <v>0.34059648644967994</v>
          </cell>
          <cell r="F36">
            <v>0.3932997412501702</v>
          </cell>
          <cell r="G36">
            <v>0.44055563121340058</v>
          </cell>
          <cell r="H36">
            <v>0.48059376276726123</v>
          </cell>
          <cell r="I36">
            <v>0.53806346180035403</v>
          </cell>
          <cell r="J36">
            <v>0.61024104589404859</v>
          </cell>
          <cell r="K36">
            <v>0.68704889009941439</v>
          </cell>
          <cell r="L36">
            <v>0.77543238458395758</v>
          </cell>
          <cell r="M36">
            <v>0.89268691270597844</v>
          </cell>
          <cell r="N36">
            <v>1</v>
          </cell>
          <cell r="O36">
            <v>1.1190249216941301</v>
          </cell>
          <cell r="P36">
            <v>1.3174451858913252</v>
          </cell>
          <cell r="Q36">
            <v>0.83407572383073492</v>
          </cell>
          <cell r="R36">
            <v>0.91446028513238287</v>
          </cell>
          <cell r="S36">
            <v>1</v>
          </cell>
          <cell r="T36">
            <v>1.1085665818490247</v>
          </cell>
          <cell r="U36">
            <v>1.2099358974358974</v>
          </cell>
          <cell r="V36">
            <v>1.2926646706586826</v>
          </cell>
          <cell r="W36">
            <v>1.3456521739130434</v>
          </cell>
          <cell r="X36">
            <v>1.8432989690721648</v>
          </cell>
          <cell r="Y36">
            <v>2.0080213903743314</v>
          </cell>
          <cell r="Z36">
            <v>2.1331673926571253</v>
          </cell>
          <cell r="AA36">
            <v>2.381720430107527</v>
          </cell>
          <cell r="AB36">
            <v>2.2126596335369237</v>
          </cell>
          <cell r="AC36">
            <v>2.07826982492276</v>
          </cell>
          <cell r="AD36">
            <v>2.2015112255406795</v>
          </cell>
          <cell r="AE36">
            <v>2.3364638636663231</v>
          </cell>
          <cell r="AF36">
            <v>2.4810909768272684</v>
          </cell>
          <cell r="AG36">
            <v>2.6346705082928765</v>
          </cell>
          <cell r="AH36">
            <v>2.7977566127562059</v>
          </cell>
          <cell r="AI36">
            <v>2.9709377470858152</v>
          </cell>
          <cell r="AJ36">
            <v>3.1548387936304274</v>
          </cell>
          <cell r="AK36">
            <v>3.3501233149561509</v>
          </cell>
          <cell r="AL36">
            <v>3.5574959481519368</v>
          </cell>
          <cell r="AM36">
            <v>3.7777049473425421</v>
          </cell>
        </row>
        <row r="37">
          <cell r="D37">
            <v>0.29660901538880557</v>
          </cell>
          <cell r="E37">
            <v>0.34059648644967983</v>
          </cell>
          <cell r="F37">
            <v>0.3932997412501702</v>
          </cell>
          <cell r="G37">
            <v>0.44055563121340041</v>
          </cell>
          <cell r="H37">
            <v>0.48059376276726135</v>
          </cell>
          <cell r="I37">
            <v>0.53806346180035436</v>
          </cell>
          <cell r="J37">
            <v>0.61024104589404871</v>
          </cell>
          <cell r="K37">
            <v>0.68704889009941428</v>
          </cell>
          <cell r="L37">
            <v>0.77543238458395747</v>
          </cell>
          <cell r="M37">
            <v>1.2870298680769547</v>
          </cell>
          <cell r="N37">
            <v>1.0052492078088935</v>
          </cell>
          <cell r="O37">
            <v>1.1162790697674418</v>
          </cell>
          <cell r="P37">
            <v>1.3129985086116318</v>
          </cell>
          <cell r="Q37">
            <v>0.82692307692307687</v>
          </cell>
          <cell r="R37">
            <v>0.91623036649214662</v>
          </cell>
          <cell r="S37">
            <v>1</v>
          </cell>
          <cell r="T37">
            <v>1.095</v>
          </cell>
          <cell r="U37">
            <v>1.188976377952756</v>
          </cell>
          <cell r="V37">
            <v>1.2596491228070175</v>
          </cell>
          <cell r="W37">
            <v>1.3705179282868525</v>
          </cell>
          <cell r="X37">
            <v>1.4981412639405205</v>
          </cell>
          <cell r="Y37">
            <v>1.6335616438356164</v>
          </cell>
          <cell r="Z37">
            <v>1.8227848101265822</v>
          </cell>
          <cell r="AA37">
            <v>1.9518072289156627</v>
          </cell>
          <cell r="AB37">
            <v>2.0342679127725858</v>
          </cell>
          <cell r="AC37">
            <v>2.0807453416149069</v>
          </cell>
          <cell r="AD37">
            <v>2.2014285714285715</v>
          </cell>
          <cell r="AE37">
            <v>2.3423200000000004</v>
          </cell>
          <cell r="AF37">
            <v>2.4828592000000005</v>
          </cell>
          <cell r="AG37">
            <v>2.6318307520000008</v>
          </cell>
          <cell r="AH37">
            <v>2.7897405971200011</v>
          </cell>
          <cell r="AI37">
            <v>2.9571250329472014</v>
          </cell>
          <cell r="AJ37">
            <v>3.1345525349240337</v>
          </cell>
          <cell r="AK37">
            <v>3.3226256870194759</v>
          </cell>
          <cell r="AL37">
            <v>3.5219832282406447</v>
          </cell>
          <cell r="AM37">
            <v>3.7333022219350838</v>
          </cell>
        </row>
        <row r="38">
          <cell r="D38">
            <v>0.31400000000000017</v>
          </cell>
          <cell r="E38">
            <v>0.34200000000000025</v>
          </cell>
          <cell r="F38">
            <v>0.39000000000000024</v>
          </cell>
          <cell r="G38">
            <v>0.47500000000000009</v>
          </cell>
          <cell r="H38">
            <v>0.54900000000000015</v>
          </cell>
          <cell r="I38">
            <v>0.58500000000000008</v>
          </cell>
          <cell r="J38">
            <v>0.70299999999999985</v>
          </cell>
          <cell r="K38">
            <v>0.80200000000000016</v>
          </cell>
          <cell r="L38">
            <v>0.88000000000000012</v>
          </cell>
          <cell r="M38">
            <v>0.90599999999999992</v>
          </cell>
          <cell r="N38">
            <v>0.99974549566325854</v>
          </cell>
          <cell r="O38">
            <v>1.0195861237812811</v>
          </cell>
          <cell r="P38">
            <v>1.152384327915303</v>
          </cell>
          <cell r="Q38">
            <v>0.90762463343108502</v>
          </cell>
          <cell r="R38">
            <v>0.95324675324675323</v>
          </cell>
          <cell r="S38">
            <v>1</v>
          </cell>
          <cell r="T38">
            <v>1.087248322147651</v>
          </cell>
          <cell r="U38">
            <v>1.1268191268191268</v>
          </cell>
          <cell r="V38">
            <v>1.2888631090487239</v>
          </cell>
          <cell r="W38">
            <v>1.2665289256198347</v>
          </cell>
          <cell r="X38">
            <v>1.3183984747378457</v>
          </cell>
          <cell r="Y38">
            <v>1.2817725752508362</v>
          </cell>
          <cell r="Z38">
            <v>1.5638138138138138</v>
          </cell>
          <cell r="AA38">
            <v>1.7361516034985423</v>
          </cell>
          <cell r="AB38">
            <v>1.724609375</v>
          </cell>
          <cell r="AC38">
            <v>1.6983842010771992</v>
          </cell>
          <cell r="AD38">
            <v>1.7879152662192375</v>
          </cell>
          <cell r="AE38">
            <v>1.8889450904750238</v>
          </cell>
          <cell r="AF38">
            <v>1.9956510800375169</v>
          </cell>
          <cell r="AG38">
            <v>2.1085634452670141</v>
          </cell>
          <cell r="AH38">
            <v>2.23770310280364</v>
          </cell>
          <cell r="AI38">
            <v>2.3747605059874468</v>
          </cell>
          <cell r="AJ38">
            <v>2.5202216931917754</v>
          </cell>
          <cell r="AK38">
            <v>2.6746025772216768</v>
          </cell>
          <cell r="AL38">
            <v>2.8384507839427773</v>
          </cell>
          <cell r="AM38">
            <v>3.0123476042107771</v>
          </cell>
        </row>
        <row r="39">
          <cell r="D39">
            <v>0.31407993470546614</v>
          </cell>
          <cell r="E39">
            <v>0.34208706264098554</v>
          </cell>
          <cell r="F39">
            <v>0.39009928195901855</v>
          </cell>
          <cell r="G39">
            <v>0.47512092033470188</v>
          </cell>
          <cell r="H39">
            <v>0.54913975845000296</v>
          </cell>
          <cell r="I39">
            <v>0.58514892293852749</v>
          </cell>
          <cell r="J39">
            <v>0.70317896209535846</v>
          </cell>
          <cell r="K39">
            <v>0.80220416443880194</v>
          </cell>
          <cell r="L39">
            <v>0.88022402083060547</v>
          </cell>
          <cell r="M39">
            <v>0.90623063962787309</v>
          </cell>
          <cell r="N39">
            <v>1</v>
          </cell>
          <cell r="O39">
            <v>1.1334539582485614</v>
          </cell>
          <cell r="P39">
            <v>1.251740898319109</v>
          </cell>
          <cell r="Q39">
            <v>0.9137254901960784</v>
          </cell>
          <cell r="R39">
            <v>0.94755244755244761</v>
          </cell>
          <cell r="S39">
            <v>1</v>
          </cell>
          <cell r="T39">
            <v>1.0748091603053436</v>
          </cell>
          <cell r="U39">
            <v>1.1277860326894502</v>
          </cell>
          <cell r="V39">
            <v>1.3095684803001877</v>
          </cell>
          <cell r="W39">
            <v>1.2472266244057053</v>
          </cell>
          <cell r="X39">
            <v>1.3070044709388973</v>
          </cell>
          <cell r="Y39">
            <v>1.3448275862068966</v>
          </cell>
          <cell r="Z39">
            <v>1.5400238948626046</v>
          </cell>
          <cell r="AA39">
            <v>1.8711819389110225</v>
          </cell>
          <cell r="AB39">
            <v>1.8345588235294117</v>
          </cell>
          <cell r="AC39">
            <v>1.8538922155688622</v>
          </cell>
          <cell r="AD39">
            <v>1.9614179640718563</v>
          </cell>
          <cell r="AE39">
            <v>2.0821236255808384</v>
          </cell>
          <cell r="AF39">
            <v>2.2102575134990832</v>
          </cell>
          <cell r="AG39">
            <v>2.3462767608798165</v>
          </cell>
          <cell r="AH39">
            <v>2.4906666327443601</v>
          </cell>
          <cell r="AI39">
            <v>2.6439422573234479</v>
          </cell>
          <cell r="AJ39">
            <v>2.8066504638391327</v>
          </cell>
          <cell r="AK39">
            <v>2.9793717333837928</v>
          </cell>
          <cell r="AL39">
            <v>3.1627222698562312</v>
          </cell>
          <cell r="AM39">
            <v>3.3573561983431834</v>
          </cell>
        </row>
        <row r="40">
          <cell r="D40">
            <v>0.31388884625138214</v>
          </cell>
          <cell r="E40">
            <v>0.34187893445214229</v>
          </cell>
          <cell r="F40">
            <v>0.38986194279630254</v>
          </cell>
          <cell r="G40">
            <v>0.47483185340575301</v>
          </cell>
          <cell r="H40">
            <v>0.5488056579363334</v>
          </cell>
          <cell r="I40">
            <v>0.58479291419445378</v>
          </cell>
          <cell r="J40">
            <v>0.70275114304051411</v>
          </cell>
          <cell r="K40">
            <v>0.80171609775034502</v>
          </cell>
          <cell r="L40">
            <v>0.8796884863096055</v>
          </cell>
          <cell r="M40">
            <v>0.90567928249602558</v>
          </cell>
          <cell r="N40">
            <v>0.9993915929259749</v>
          </cell>
          <cell r="O40">
            <v>0.87355714522782246</v>
          </cell>
          <cell r="P40">
            <v>1.0285486024844723</v>
          </cell>
          <cell r="Q40">
            <v>0.88953488372093026</v>
          </cell>
          <cell r="R40">
            <v>0.96969696969696972</v>
          </cell>
          <cell r="S40">
            <v>1</v>
          </cell>
          <cell r="T40">
            <v>1.1213389121338913</v>
          </cell>
          <cell r="U40">
            <v>1.1245674740484428</v>
          </cell>
          <cell r="V40">
            <v>1.2553191489361701</v>
          </cell>
          <cell r="W40">
            <v>1.3026706231454006</v>
          </cell>
          <cell r="X40">
            <v>1.3386243386243386</v>
          </cell>
          <cell r="Y40">
            <v>1.1847133757961783</v>
          </cell>
          <cell r="Z40">
            <v>1.6040404040404039</v>
          </cell>
          <cell r="AA40">
            <v>1.5718901453957996</v>
          </cell>
          <cell r="AB40">
            <v>1.6</v>
          </cell>
          <cell r="AC40">
            <v>1.5430622009569377</v>
          </cell>
          <cell r="AD40">
            <v>1.6310167464114831</v>
          </cell>
          <cell r="AE40">
            <v>1.7321397846889952</v>
          </cell>
          <cell r="AF40">
            <v>1.8395324513397131</v>
          </cell>
          <cell r="AG40">
            <v>1.9535834633227753</v>
          </cell>
          <cell r="AH40">
            <v>2.0747056380487874</v>
          </cell>
          <cell r="AI40">
            <v>2.2033373876078124</v>
          </cell>
          <cell r="AJ40">
            <v>2.3399443056394968</v>
          </cell>
          <cell r="AK40">
            <v>2.485020852589146</v>
          </cell>
          <cell r="AL40">
            <v>2.639092145449673</v>
          </cell>
          <cell r="AM40">
            <v>2.8027158584675527</v>
          </cell>
        </row>
        <row r="41">
          <cell r="D41">
            <v>0.24392522350347873</v>
          </cell>
          <cell r="E41">
            <v>0.27757591356921635</v>
          </cell>
          <cell r="F41">
            <v>0.3250814848818544</v>
          </cell>
          <cell r="G41">
            <v>0.37699875724369691</v>
          </cell>
          <cell r="H41">
            <v>0.42993632216072586</v>
          </cell>
          <cell r="I41">
            <v>0.49663049572145057</v>
          </cell>
          <cell r="J41">
            <v>0.53770520950077105</v>
          </cell>
          <cell r="K41">
            <v>0.6162485762123967</v>
          </cell>
          <cell r="L41">
            <v>0.72358608531662605</v>
          </cell>
          <cell r="M41">
            <v>0.53087057533499138</v>
          </cell>
          <cell r="N41">
            <v>1</v>
          </cell>
          <cell r="O41">
            <v>1.152247806484501</v>
          </cell>
          <cell r="P41">
            <v>1.3363619751441984</v>
          </cell>
          <cell r="Q41">
            <v>1.2395437262357414</v>
          </cell>
          <cell r="R41">
            <v>1.0285714285714285</v>
          </cell>
          <cell r="S41">
            <v>1</v>
          </cell>
          <cell r="T41">
            <v>1.2526315789473683</v>
          </cell>
          <cell r="U41">
            <v>1.4326241134751774</v>
          </cell>
          <cell r="V41">
            <v>1.4244444444444444</v>
          </cell>
          <cell r="W41">
            <v>1.6030368763557483</v>
          </cell>
          <cell r="X41">
            <v>1.703476482617587</v>
          </cell>
          <cell r="Y41">
            <v>1.9357429718875503</v>
          </cell>
          <cell r="Z41">
            <v>2.1167315175097277</v>
          </cell>
          <cell r="AA41">
            <v>2.2145390070921986</v>
          </cell>
          <cell r="AB41">
            <v>1.8777089783281733</v>
          </cell>
          <cell r="AC41">
            <v>1.8718274111675126</v>
          </cell>
          <cell r="AD41">
            <v>1.9803934010152284</v>
          </cell>
          <cell r="AE41">
            <v>2.1031777918781729</v>
          </cell>
          <cell r="AF41">
            <v>2.2323129082994924</v>
          </cell>
          <cell r="AG41">
            <v>2.3693769208690809</v>
          </cell>
          <cell r="AH41">
            <v>2.5148566638104422</v>
          </cell>
          <cell r="AI41">
            <v>2.6692688629684032</v>
          </cell>
          <cell r="AJ41">
            <v>2.833161971154663</v>
          </cell>
          <cell r="AK41">
            <v>3.007118116183559</v>
          </cell>
          <cell r="AL41">
            <v>3.1917551685172292</v>
          </cell>
          <cell r="AM41">
            <v>3.3877289358641867</v>
          </cell>
        </row>
        <row r="42">
          <cell r="D42">
            <v>0.24392522350347876</v>
          </cell>
          <cell r="E42">
            <v>0.27757591356921629</v>
          </cell>
          <cell r="F42">
            <v>0.3250814848818544</v>
          </cell>
          <cell r="G42">
            <v>0.37699875724369691</v>
          </cell>
          <cell r="H42">
            <v>0.42993632216072586</v>
          </cell>
          <cell r="I42">
            <v>0.49663049572145063</v>
          </cell>
          <cell r="J42">
            <v>0.53770520950077105</v>
          </cell>
          <cell r="K42">
            <v>0.61624857621239681</v>
          </cell>
          <cell r="L42">
            <v>0.72358608531662605</v>
          </cell>
          <cell r="M42">
            <v>0.53087057533499138</v>
          </cell>
          <cell r="N42">
            <v>1</v>
          </cell>
          <cell r="O42">
            <v>1.1190249216941304</v>
          </cell>
          <cell r="P42">
            <v>1.3163030656884629</v>
          </cell>
          <cell r="Q42">
            <v>0.88028802880288026</v>
          </cell>
          <cell r="R42">
            <v>0.99474605954465845</v>
          </cell>
          <cell r="S42">
            <v>1</v>
          </cell>
          <cell r="T42">
            <v>1.1898832684824903</v>
          </cell>
          <cell r="U42">
            <v>1.3073209975864843</v>
          </cell>
          <cell r="V42">
            <v>1.4135220125786163</v>
          </cell>
          <cell r="W42">
            <v>1.5337376800606519</v>
          </cell>
          <cell r="X42">
            <v>1.6704035874439462</v>
          </cell>
          <cell r="Y42">
            <v>1.7925340990667624</v>
          </cell>
          <cell r="Z42">
            <v>1.8955823293172691</v>
          </cell>
          <cell r="AA42">
            <v>2.0076335877862594</v>
          </cell>
          <cell r="AB42">
            <v>2.1045751633986929</v>
          </cell>
          <cell r="AC42">
            <v>2.135307781649245</v>
          </cell>
          <cell r="AD42">
            <v>2.2609881097278755</v>
          </cell>
          <cell r="AE42">
            <v>2.4000968509174476</v>
          </cell>
          <cell r="AF42">
            <v>2.5488909144186982</v>
          </cell>
          <cell r="AG42">
            <v>2.7069268567093743</v>
          </cell>
          <cell r="AH42">
            <v>2.8747798070103721</v>
          </cell>
          <cell r="AI42">
            <v>3.0530607530834568</v>
          </cell>
          <cell r="AJ42">
            <v>3.2424187810480789</v>
          </cell>
          <cell r="AK42">
            <v>3.443543455342938</v>
          </cell>
          <cell r="AL42">
            <v>3.6571673476148958</v>
          </cell>
          <cell r="AM42">
            <v>3.884068723868948</v>
          </cell>
        </row>
        <row r="43">
          <cell r="D43">
            <v>0.24392522350347867</v>
          </cell>
          <cell r="E43">
            <v>0.27757591356921624</v>
          </cell>
          <cell r="F43">
            <v>0.3250814848818544</v>
          </cell>
          <cell r="G43">
            <v>0.37699875724369697</v>
          </cell>
          <cell r="H43">
            <v>0.42993632216072586</v>
          </cell>
          <cell r="I43">
            <v>0.49663049572145063</v>
          </cell>
          <cell r="J43">
            <v>0.53770520950077105</v>
          </cell>
          <cell r="K43">
            <v>0.61624857621239681</v>
          </cell>
          <cell r="L43">
            <v>0.72358608531662605</v>
          </cell>
          <cell r="M43">
            <v>0.53087057533499138</v>
          </cell>
          <cell r="N43">
            <v>1</v>
          </cell>
          <cell r="O43">
            <v>1.1190249216941304</v>
          </cell>
          <cell r="P43">
            <v>1.3174451858913252</v>
          </cell>
          <cell r="Q43">
            <v>0.88732394366197187</v>
          </cell>
          <cell r="R43">
            <v>1.0084889643463497</v>
          </cell>
          <cell r="S43">
            <v>1</v>
          </cell>
          <cell r="T43">
            <v>1.2197452229299364</v>
          </cell>
          <cell r="U43">
            <v>1.3354037267080745</v>
          </cell>
          <cell r="V43">
            <v>1.4484848484848485</v>
          </cell>
          <cell r="W43">
            <v>1.5805022156573116</v>
          </cell>
          <cell r="X43">
            <v>1.7204610951008645</v>
          </cell>
          <cell r="Y43">
            <v>1.8523206751054853</v>
          </cell>
          <cell r="Z43">
            <v>1.9581081081081082</v>
          </cell>
          <cell r="AA43">
            <v>2.0988142292490117</v>
          </cell>
          <cell r="AB43">
            <v>2.2467866323907457</v>
          </cell>
          <cell r="AC43">
            <v>2.2823086574654958</v>
          </cell>
          <cell r="AD43">
            <v>2.4203883312421581</v>
          </cell>
          <cell r="AE43">
            <v>2.5740829902760347</v>
          </cell>
          <cell r="AF43">
            <v>2.7325435391574278</v>
          </cell>
          <cell r="AG43">
            <v>2.9007589194279593</v>
          </cell>
          <cell r="AH43">
            <v>3.0793296385079447</v>
          </cell>
          <cell r="AI43">
            <v>3.268893171054494</v>
          </cell>
          <cell r="AJ43">
            <v>3.4701262346646087</v>
          </cell>
          <cell r="AK43">
            <v>3.6837472056705622</v>
          </cell>
          <cell r="AL43">
            <v>3.9105186836516421</v>
          </cell>
          <cell r="AM43">
            <v>4.1512502138172378</v>
          </cell>
        </row>
        <row r="44">
          <cell r="D44">
            <v>0.24392522350347884</v>
          </cell>
          <cell r="E44">
            <v>0.27757591356921635</v>
          </cell>
          <cell r="F44">
            <v>0.3250814848818544</v>
          </cell>
          <cell r="G44">
            <v>0.37699875724369686</v>
          </cell>
          <cell r="H44">
            <v>0.4299363221607258</v>
          </cell>
          <cell r="I44">
            <v>0.49663049572145063</v>
          </cell>
          <cell r="J44">
            <v>0.53770520950077105</v>
          </cell>
          <cell r="K44">
            <v>0.61624857621239693</v>
          </cell>
          <cell r="L44">
            <v>0.72358608531662605</v>
          </cell>
          <cell r="M44">
            <v>0.53087057533499149</v>
          </cell>
          <cell r="N44">
            <v>1</v>
          </cell>
          <cell r="O44">
            <v>1.1190249216941304</v>
          </cell>
          <cell r="P44">
            <v>1.3144413781420903</v>
          </cell>
          <cell r="Q44">
            <v>0.8729281767955801</v>
          </cell>
          <cell r="R44">
            <v>0.98010849909584086</v>
          </cell>
          <cell r="S44">
            <v>1</v>
          </cell>
          <cell r="T44">
            <v>1.1613394216133943</v>
          </cell>
          <cell r="U44">
            <v>1.2771285475792988</v>
          </cell>
          <cell r="V44">
            <v>1.3758169934640523</v>
          </cell>
          <cell r="W44">
            <v>1.4844236760124612</v>
          </cell>
          <cell r="X44">
            <v>1.6164596273291925</v>
          </cell>
          <cell r="Y44">
            <v>1.7302052785923754</v>
          </cell>
          <cell r="Z44">
            <v>1.8342175066312998</v>
          </cell>
          <cell r="AA44">
            <v>1.9225092250922509</v>
          </cell>
          <cell r="AB44">
            <v>1.9823204419889502</v>
          </cell>
          <cell r="AC44">
            <v>2.0086486486486486</v>
          </cell>
          <cell r="AD44">
            <v>2.1251502702702703</v>
          </cell>
          <cell r="AE44">
            <v>2.2537218616216217</v>
          </cell>
          <cell r="AF44">
            <v>2.3957063389037838</v>
          </cell>
          <cell r="AG44">
            <v>2.5466358382547223</v>
          </cell>
          <cell r="AH44">
            <v>2.7070738960647698</v>
          </cell>
          <cell r="AI44">
            <v>2.8776195515168501</v>
          </cell>
          <cell r="AJ44">
            <v>3.0589095832624116</v>
          </cell>
          <cell r="AK44">
            <v>3.2516208870079435</v>
          </cell>
          <cell r="AL44">
            <v>3.4564730028894437</v>
          </cell>
          <cell r="AM44">
            <v>3.6742308020714787</v>
          </cell>
        </row>
        <row r="45">
          <cell r="D45">
            <v>0.26899999999999996</v>
          </cell>
          <cell r="E45">
            <v>0.28800000000000003</v>
          </cell>
          <cell r="F45">
            <v>0.33000000000000007</v>
          </cell>
          <cell r="G45">
            <v>0.39400000000000002</v>
          </cell>
          <cell r="H45">
            <v>0.43099999999999994</v>
          </cell>
          <cell r="I45">
            <v>0.47000000000000003</v>
          </cell>
          <cell r="J45">
            <v>0.55299999999999994</v>
          </cell>
          <cell r="K45">
            <v>0.64400000000000002</v>
          </cell>
          <cell r="L45">
            <v>0.71699999999999997</v>
          </cell>
          <cell r="M45">
            <v>0.90005932103603925</v>
          </cell>
          <cell r="N45">
            <v>1</v>
          </cell>
          <cell r="O45">
            <v>1.1841303174337994</v>
          </cell>
          <cell r="P45">
            <v>1.305654700429665</v>
          </cell>
          <cell r="Q45">
            <v>0.71962616822429903</v>
          </cell>
          <cell r="R45">
            <v>0.86206896551724133</v>
          </cell>
          <cell r="S45">
            <v>1</v>
          </cell>
          <cell r="T45">
            <v>1.0916666666666666</v>
          </cell>
          <cell r="U45">
            <v>1.1721311475409837</v>
          </cell>
          <cell r="V45">
            <v>1.2704918032786885</v>
          </cell>
          <cell r="W45">
            <v>1.401639344262295</v>
          </cell>
          <cell r="X45">
            <v>1.5112781954887218</v>
          </cell>
          <cell r="Y45">
            <v>1.6240601503759398</v>
          </cell>
          <cell r="Z45">
            <v>1.781021897810219</v>
          </cell>
          <cell r="AA45">
            <v>1.9513888888888888</v>
          </cell>
          <cell r="AB45">
            <v>2.088888888888889</v>
          </cell>
          <cell r="AC45">
            <v>2.2763157894736841</v>
          </cell>
          <cell r="AD45">
            <v>2.3957085526315787</v>
          </cell>
          <cell r="AE45">
            <v>2.5406489200657894</v>
          </cell>
          <cell r="AF45">
            <v>2.7049730109178043</v>
          </cell>
          <cell r="AG45">
            <v>2.879925255317946</v>
          </cell>
          <cell r="AH45">
            <v>3.0661930609814001</v>
          </cell>
          <cell r="AI45">
            <v>3.2645082957795553</v>
          </cell>
          <cell r="AJ45">
            <v>3.4756501633339854</v>
          </cell>
          <cell r="AK45">
            <v>3.7004482645981009</v>
          </cell>
          <cell r="AL45">
            <v>3.9397858574557771</v>
          </cell>
          <cell r="AM45">
            <v>4.1946033271443017</v>
          </cell>
        </row>
        <row r="46">
          <cell r="D46">
            <v>0.27084841929262743</v>
          </cell>
          <cell r="E46">
            <v>0.33101294506091222</v>
          </cell>
          <cell r="F46">
            <v>0.38780753338030077</v>
          </cell>
          <cell r="G46">
            <v>0.43172268512849715</v>
          </cell>
          <cell r="H46">
            <v>0.48528604672942027</v>
          </cell>
          <cell r="I46">
            <v>0.53562370984406626</v>
          </cell>
          <cell r="J46">
            <v>0.61318794809192323</v>
          </cell>
          <cell r="K46">
            <v>0.75211862581618494</v>
          </cell>
          <cell r="L46">
            <v>0.8039740568558511</v>
          </cell>
          <cell r="M46">
            <v>0.8910414827166494</v>
          </cell>
          <cell r="N46">
            <v>0.99965290870350776</v>
          </cell>
          <cell r="O46">
            <v>1.1030650436891434</v>
          </cell>
          <cell r="P46">
            <v>1.3925571753828609</v>
          </cell>
          <cell r="Q46">
            <v>0.78421246772408704</v>
          </cell>
          <cell r="R46">
            <v>0.85940879596250896</v>
          </cell>
          <cell r="S46">
            <v>1</v>
          </cell>
          <cell r="T46">
            <v>1.1835883171070931</v>
          </cell>
          <cell r="U46">
            <v>1.2624161073825504</v>
          </cell>
          <cell r="V46">
            <v>1.3497875122589083</v>
          </cell>
          <cell r="W46">
            <v>1.4609300854160077</v>
          </cell>
          <cell r="X46">
            <v>1.5670580964153276</v>
          </cell>
          <cell r="Y46">
            <v>1.7708015848826577</v>
          </cell>
          <cell r="Z46">
            <v>1.9228286384976525</v>
          </cell>
          <cell r="AA46">
            <v>1.9749640287769785</v>
          </cell>
          <cell r="AB46">
            <v>1.9497679497679499</v>
          </cell>
          <cell r="AC46">
            <v>1.907339927121291</v>
          </cell>
          <cell r="AD46">
            <v>2.0937430175725757</v>
          </cell>
          <cell r="AE46">
            <v>2.2697564655738116</v>
          </cell>
          <cell r="AF46">
            <v>2.4309792382046744</v>
          </cell>
          <cell r="AG46">
            <v>2.61228540014445</v>
          </cell>
          <cell r="AH46">
            <v>2.7994413915054932</v>
          </cell>
          <cell r="AI46">
            <v>2.9894037386290679</v>
          </cell>
          <cell r="AJ46">
            <v>3.1769127124681407</v>
          </cell>
          <cell r="AK46">
            <v>3.3708657642663504</v>
          </cell>
          <cell r="AL46">
            <v>3.5819311462082148</v>
          </cell>
          <cell r="AM46">
            <v>3.7902422368742021</v>
          </cell>
        </row>
        <row r="47">
          <cell r="D47">
            <v>0.24411278461522376</v>
          </cell>
          <cell r="E47">
            <v>0.2777893496632568</v>
          </cell>
          <cell r="F47">
            <v>0.32533144937439912</v>
          </cell>
          <cell r="G47">
            <v>0.3772886424184218</v>
          </cell>
          <cell r="H47">
            <v>0.43026691254988519</v>
          </cell>
          <cell r="I47">
            <v>0.49701236917662794</v>
          </cell>
          <cell r="J47">
            <v>0.53811866648335038</v>
          </cell>
          <cell r="K47">
            <v>0.61672242744600569</v>
          </cell>
          <cell r="L47">
            <v>0.72414247144453769</v>
          </cell>
          <cell r="M47">
            <v>0.53127877697101711</v>
          </cell>
          <cell r="N47">
            <v>1.0007689287276269</v>
          </cell>
          <cell r="O47">
            <v>1.1029531936040577</v>
          </cell>
          <cell r="P47">
            <v>0.69724897478299186</v>
          </cell>
          <cell r="Q47">
            <v>0.8307086614173228</v>
          </cell>
          <cell r="R47">
            <v>0.91505791505791501</v>
          </cell>
          <cell r="S47">
            <v>1</v>
          </cell>
          <cell r="T47">
            <v>1.0966542750929369</v>
          </cell>
          <cell r="U47">
            <v>1.1824817518248176</v>
          </cell>
          <cell r="V47">
            <v>1.2562277580071175</v>
          </cell>
          <cell r="W47">
            <v>1.372822299651568</v>
          </cell>
          <cell r="X47">
            <v>1.4931506849315068</v>
          </cell>
          <cell r="Y47">
            <v>1.6375838926174497</v>
          </cell>
          <cell r="Z47">
            <v>1.8208469055374592</v>
          </cell>
          <cell r="AA47">
            <v>1.9485530546623795</v>
          </cell>
          <cell r="AB47">
            <v>2.0407523510971788</v>
          </cell>
          <cell r="AC47">
            <v>2.0956790123456792</v>
          </cell>
          <cell r="AD47">
            <v>2.2235154320987656</v>
          </cell>
          <cell r="AE47">
            <v>2.3569263580246917</v>
          </cell>
          <cell r="AF47">
            <v>2.5054127185802471</v>
          </cell>
          <cell r="AG47">
            <v>2.6632537198508026</v>
          </cell>
          <cell r="AH47">
            <v>2.8310387042014029</v>
          </cell>
          <cell r="AI47">
            <v>3.0093941425660913</v>
          </cell>
          <cell r="AJ47">
            <v>3.1989859735477548</v>
          </cell>
          <cell r="AK47">
            <v>3.4005220898812634</v>
          </cell>
          <cell r="AL47">
            <v>3.6147549815437827</v>
          </cell>
          <cell r="AM47">
            <v>3.842484545381041</v>
          </cell>
        </row>
        <row r="48">
          <cell r="D48">
            <v>0.27412020180676416</v>
          </cell>
          <cell r="E48">
            <v>0.31954868548708748</v>
          </cell>
          <cell r="F48">
            <v>0.37249564094847726</v>
          </cell>
          <cell r="G48">
            <v>0.42298125214397647</v>
          </cell>
          <cell r="H48">
            <v>0.47570472452231832</v>
          </cell>
          <cell r="I48">
            <v>0.52963897267255555</v>
          </cell>
          <cell r="J48">
            <v>0.60157913808320929</v>
          </cell>
          <cell r="K48">
            <v>0.70905214623362089</v>
          </cell>
          <cell r="L48">
            <v>0.78412864234329738</v>
          </cell>
          <cell r="M48">
            <v>0.77966211357942161</v>
          </cell>
          <cell r="N48">
            <v>1</v>
          </cell>
          <cell r="O48">
            <v>1.1051670748574367</v>
          </cell>
          <cell r="P48">
            <v>1.2860482714118251</v>
          </cell>
          <cell r="Q48">
            <v>0.84357813005499838</v>
          </cell>
          <cell r="R48">
            <v>0.91372428615290147</v>
          </cell>
          <cell r="S48">
            <v>1</v>
          </cell>
          <cell r="T48">
            <v>1.156879078161877</v>
          </cell>
          <cell r="U48">
            <v>1.2464694910738077</v>
          </cell>
          <cell r="V48">
            <v>1.3398982652928133</v>
          </cell>
          <cell r="W48">
            <v>1.4306202037992199</v>
          </cell>
          <cell r="X48">
            <v>1.6031957390146472</v>
          </cell>
          <cell r="Y48">
            <v>1.7455455921742169</v>
          </cell>
          <cell r="Z48">
            <v>1.9048820625342842</v>
          </cell>
          <cell r="AA48">
            <v>2.0300720033883946</v>
          </cell>
          <cell r="AB48">
            <v>1.990993665874901</v>
          </cell>
          <cell r="AC48">
            <v>1.955681501440119</v>
          </cell>
          <cell r="AD48">
            <v>2.0925675374317274</v>
          </cell>
          <cell r="AE48">
            <v>2.2320120603736888</v>
          </cell>
          <cell r="AF48">
            <v>2.370486450141672</v>
          </cell>
          <cell r="AG48">
            <v>2.5192452867928958</v>
          </cell>
          <cell r="AH48">
            <v>2.6811851955036241</v>
          </cell>
          <cell r="AI48">
            <v>2.8499738080523955</v>
          </cell>
          <cell r="AJ48">
            <v>3.0245601367982622</v>
          </cell>
          <cell r="AK48">
            <v>3.2082275331558754</v>
          </cell>
          <cell r="AL48">
            <v>3.4045008963261814</v>
          </cell>
          <cell r="AM48">
            <v>3.6082320018160798</v>
          </cell>
        </row>
        <row r="49"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>
            <v>1</v>
          </cell>
          <cell r="O49">
            <v>1.1570000000000003</v>
          </cell>
          <cell r="P49">
            <v>1.339000000000002</v>
          </cell>
          <cell r="Q49">
            <v>1.3333333333333333</v>
          </cell>
          <cell r="R49">
            <v>1.0481927710843373</v>
          </cell>
          <cell r="S49">
            <v>1</v>
          </cell>
          <cell r="T49">
            <v>1.296</v>
          </cell>
          <cell r="U49">
            <v>1.5255474452554745</v>
          </cell>
          <cell r="V49">
            <v>1.5</v>
          </cell>
          <cell r="W49">
            <v>1.7039473684210527</v>
          </cell>
          <cell r="X49">
            <v>1.8079470198675496</v>
          </cell>
          <cell r="Y49">
            <v>2.0886075949367089</v>
          </cell>
          <cell r="Z49">
            <v>2.3161290322580643</v>
          </cell>
          <cell r="AA49">
            <v>2.4269662921348316</v>
          </cell>
          <cell r="AB49">
            <v>1.912621359223301</v>
          </cell>
          <cell r="AC49">
            <v>1.905579399141631</v>
          </cell>
          <cell r="AD49">
            <v>2.0103862660944207</v>
          </cell>
          <cell r="AE49">
            <v>2.1330198283261801</v>
          </cell>
          <cell r="AF49">
            <v>2.2695330973390559</v>
          </cell>
          <cell r="AG49">
            <v>2.4147832155687556</v>
          </cell>
          <cell r="AH49">
            <v>2.5693293413651563</v>
          </cell>
          <cell r="AI49">
            <v>2.7337664192125266</v>
          </cell>
          <cell r="AJ49">
            <v>2.9087274700421286</v>
          </cell>
          <cell r="AK49">
            <v>3.0948860281248249</v>
          </cell>
          <cell r="AL49">
            <v>3.2929587339248139</v>
          </cell>
          <cell r="AM49">
            <v>3.503708092896002</v>
          </cell>
        </row>
        <row r="50">
          <cell r="D50">
            <v>0.31449199902711333</v>
          </cell>
          <cell r="E50">
            <v>0.32057219247423757</v>
          </cell>
          <cell r="F50">
            <v>0.36611873930524641</v>
          </cell>
          <cell r="G50">
            <v>0.40503003352306038</v>
          </cell>
          <cell r="H50">
            <v>0.45034504327861946</v>
          </cell>
          <cell r="I50">
            <v>0.55654117090182653</v>
          </cell>
          <cell r="J50">
            <v>0.61699080927810301</v>
          </cell>
          <cell r="K50">
            <v>0.67319416954354694</v>
          </cell>
          <cell r="L50">
            <v>0.80549439127522771</v>
          </cell>
          <cell r="M50">
            <v>0.9302671430534033</v>
          </cell>
          <cell r="N50">
            <v>1</v>
          </cell>
          <cell r="O50">
            <v>1.0460581610354682</v>
          </cell>
          <cell r="P50">
            <v>1.1344339622641511</v>
          </cell>
          <cell r="Q50">
            <v>0.82062912927719156</v>
          </cell>
          <cell r="R50">
            <v>0.948078157967159</v>
          </cell>
          <cell r="S50">
            <v>1</v>
          </cell>
          <cell r="T50">
            <v>1.1611953226504981</v>
          </cell>
          <cell r="U50">
            <v>1.2529332886356017</v>
          </cell>
          <cell r="V50">
            <v>1.3578955901426719</v>
          </cell>
          <cell r="W50">
            <v>1.4328041496384785</v>
          </cell>
          <cell r="X50">
            <v>1.6177427900991599</v>
          </cell>
          <cell r="Y50">
            <v>1.8472716488730723</v>
          </cell>
          <cell r="Z50">
            <v>2.060184223284161</v>
          </cell>
          <cell r="AA50">
            <v>2.0810756706259177</v>
          </cell>
          <cell r="AB50">
            <v>2.0482377074656557</v>
          </cell>
          <cell r="AC50">
            <v>2.0787392209336901</v>
          </cell>
          <cell r="AD50">
            <v>2.2384588358293884</v>
          </cell>
          <cell r="AE50">
            <v>2.3972626753358011</v>
          </cell>
          <cell r="AF50">
            <v>2.5524005858557466</v>
          </cell>
          <cell r="AG50">
            <v>2.7123765524672536</v>
          </cell>
          <cell r="AH50">
            <v>2.8956537881799593</v>
          </cell>
          <cell r="AI50">
            <v>3.0904731797660676</v>
          </cell>
          <cell r="AJ50">
            <v>3.2956036406832392</v>
          </cell>
          <cell r="AK50">
            <v>3.513189213097454</v>
          </cell>
          <cell r="AL50">
            <v>3.7309401257470856</v>
          </cell>
          <cell r="AM50">
            <v>3.9561533358035459</v>
          </cell>
        </row>
        <row r="51">
          <cell r="D51">
            <v>0.1632756438193447</v>
          </cell>
          <cell r="E51">
            <v>0.16373883021933386</v>
          </cell>
          <cell r="F51">
            <v>0.20795998677383667</v>
          </cell>
          <cell r="G51">
            <v>0.24497183823802801</v>
          </cell>
          <cell r="H51">
            <v>0.26835889052695627</v>
          </cell>
          <cell r="I51">
            <v>0.34949913382204695</v>
          </cell>
          <cell r="J51">
            <v>0.39189429325751424</v>
          </cell>
          <cell r="K51">
            <v>0.44169474877452874</v>
          </cell>
          <cell r="L51">
            <v>0.60310246747872243</v>
          </cell>
          <cell r="M51">
            <v>0.73126873749535126</v>
          </cell>
          <cell r="N51">
            <v>0.83698445885658723</v>
          </cell>
          <cell r="O51">
            <v>0.88798438364500099</v>
          </cell>
          <cell r="P51">
            <v>1.0369338076696826</v>
          </cell>
          <cell r="Q51">
            <v>0.79610073111291635</v>
          </cell>
          <cell r="R51">
            <v>0.93016116653875669</v>
          </cell>
          <cell r="S51">
            <v>1</v>
          </cell>
          <cell r="T51">
            <v>1.0255427841634739</v>
          </cell>
          <cell r="U51">
            <v>1.0392383150605886</v>
          </cell>
          <cell r="V51">
            <v>1.145025295109612</v>
          </cell>
          <cell r="W51">
            <v>1.3145766345123258</v>
          </cell>
          <cell r="X51">
            <v>1.2271042879830598</v>
          </cell>
          <cell r="Y51">
            <v>1.4037487335359675</v>
          </cell>
          <cell r="Z51">
            <v>1.5381995133819952</v>
          </cell>
          <cell r="AA51">
            <v>1.2746039366298607</v>
          </cell>
          <cell r="AB51">
            <v>1.5356125356125356</v>
          </cell>
          <cell r="AC51">
            <v>1.6897844423617618</v>
          </cell>
          <cell r="AD51">
            <v>1.6897844423617618</v>
          </cell>
          <cell r="AE51">
            <v>1.8587628865979382</v>
          </cell>
          <cell r="AF51">
            <v>1.7100618556701033</v>
          </cell>
          <cell r="AG51">
            <v>1.7442630927835054</v>
          </cell>
          <cell r="AH51">
            <v>1.7442630927835054</v>
          </cell>
          <cell r="AI51">
            <v>1.7442630927835054</v>
          </cell>
          <cell r="AJ51">
            <v>1.7442630927835054</v>
          </cell>
          <cell r="AK51">
            <v>1.7442630927835054</v>
          </cell>
          <cell r="AL51">
            <v>1.7442630927835054</v>
          </cell>
          <cell r="AM51">
            <v>1.7442630927835054</v>
          </cell>
        </row>
        <row r="52">
          <cell r="D52">
            <v>0.28990850262045675</v>
          </cell>
          <cell r="E52">
            <v>0.29378442903254748</v>
          </cell>
          <cell r="F52">
            <v>0.34003131095984795</v>
          </cell>
          <cell r="G52">
            <v>0.38054680651493183</v>
          </cell>
          <cell r="H52">
            <v>0.42217591451933417</v>
          </cell>
          <cell r="I52">
            <v>0.52715636711723723</v>
          </cell>
          <cell r="J52">
            <v>0.58186231332766791</v>
          </cell>
          <cell r="K52">
            <v>0.63735118176714367</v>
          </cell>
          <cell r="L52">
            <v>0.77614394348183569</v>
          </cell>
          <cell r="M52">
            <v>0.90033303796306541</v>
          </cell>
          <cell r="N52">
            <v>0.97481358638398741</v>
          </cell>
          <cell r="O52">
            <v>1.022894713686594</v>
          </cell>
          <cell r="P52">
            <v>1.1200747527836337</v>
          </cell>
          <cell r="Q52">
            <v>0.81797397115722825</v>
          </cell>
          <cell r="R52">
            <v>0.94616519174041303</v>
          </cell>
          <cell r="S52">
            <v>1</v>
          </cell>
          <cell r="T52">
            <v>1.1449927541758829</v>
          </cell>
          <cell r="U52">
            <v>1.2258324185876326</v>
          </cell>
          <cell r="V52">
            <v>1.3310662415869643</v>
          </cell>
          <cell r="W52">
            <v>1.4176833447566826</v>
          </cell>
          <cell r="X52">
            <v>1.5688741721854305</v>
          </cell>
          <cell r="Y52">
            <v>1.7906480403570042</v>
          </cell>
          <cell r="Z52">
            <v>1.9951497514247605</v>
          </cell>
          <cell r="AA52">
            <v>1.982658620891675</v>
          </cell>
          <cell r="AB52">
            <v>1.9888968284505029</v>
          </cell>
          <cell r="AC52">
            <v>2.0349358805213997</v>
          </cell>
          <cell r="AD52">
            <v>2.1793256980525744</v>
          </cell>
          <cell r="AE52">
            <v>2.3276194820811917</v>
          </cell>
          <cell r="AF52">
            <v>2.4440708970768101</v>
          </cell>
          <cell r="AG52">
            <v>2.5748563284554025</v>
          </cell>
          <cell r="AH52">
            <v>2.705226206974098</v>
          </cell>
          <cell r="AI52">
            <v>2.8321523258401933</v>
          </cell>
          <cell r="AJ52">
            <v>2.9507821344864475</v>
          </cell>
          <cell r="AK52">
            <v>3.069538955259953</v>
          </cell>
          <cell r="AL52">
            <v>3.1977812570856403</v>
          </cell>
          <cell r="AM52">
            <v>3.3174036218744285</v>
          </cell>
        </row>
        <row r="53">
          <cell r="D53">
            <v>0.29184646582650209</v>
          </cell>
          <cell r="E53">
            <v>0.31690786999619769</v>
          </cell>
          <cell r="F53">
            <v>0.36028905873738992</v>
          </cell>
          <cell r="G53">
            <v>0.401361360517133</v>
          </cell>
          <cell r="H53">
            <v>0.47466614081828573</v>
          </cell>
          <cell r="I53">
            <v>0.55450934022245257</v>
          </cell>
          <cell r="J53">
            <v>0.60960674754740585</v>
          </cell>
          <cell r="K53">
            <v>0.70674756262448968</v>
          </cell>
          <cell r="L53">
            <v>0.83823849072245049</v>
          </cell>
          <cell r="M53">
            <v>0.93757331217352635</v>
          </cell>
          <cell r="N53">
            <v>0.99885415003529077</v>
          </cell>
          <cell r="O53">
            <v>1.0714847332351138</v>
          </cell>
          <cell r="P53">
            <v>0.96902436197043096</v>
          </cell>
          <cell r="Q53">
            <v>0.88206958144882064</v>
          </cell>
          <cell r="R53">
            <v>0.97308259587020651</v>
          </cell>
          <cell r="S53">
            <v>1.0724963770879414</v>
          </cell>
          <cell r="T53">
            <v>1.1854125863817577</v>
          </cell>
          <cell r="U53">
            <v>1.2784493300872986</v>
          </cell>
          <cell r="V53">
            <v>1.3743747931718233</v>
          </cell>
          <cell r="W53">
            <v>1.4932787584710565</v>
          </cell>
          <cell r="X53">
            <v>1.6797611062712172</v>
          </cell>
          <cell r="Y53">
            <v>1.8928988958908823</v>
          </cell>
          <cell r="Z53">
            <v>1.9889041861582177</v>
          </cell>
          <cell r="AA53">
            <v>1.985777724671089</v>
          </cell>
          <cell r="AB53">
            <v>2.0119163544859511</v>
          </cell>
          <cell r="AC53">
            <v>2.107130789286987</v>
          </cell>
          <cell r="AD53">
            <v>2.2534725900668828</v>
          </cell>
          <cell r="AE53">
            <v>2.3858451895790012</v>
          </cell>
          <cell r="AF53">
            <v>2.5094636127661065</v>
          </cell>
          <cell r="AG53">
            <v>2.64004126771475</v>
          </cell>
          <cell r="AH53">
            <v>2.7686892664071454</v>
          </cell>
          <cell r="AI53">
            <v>2.8914672301633204</v>
          </cell>
          <cell r="AJ53">
            <v>3.0101605448732003</v>
          </cell>
          <cell r="AK53">
            <v>3.1336601061727967</v>
          </cell>
          <cell r="AL53">
            <v>3.2575924394800344</v>
          </cell>
          <cell r="AM53">
            <v>3.4659876396843092</v>
          </cell>
        </row>
        <row r="54">
          <cell r="D54">
            <v>0.17975849788889106</v>
          </cell>
          <cell r="E54">
            <v>0.20636275557644695</v>
          </cell>
          <cell r="F54">
            <v>0.23772989442406686</v>
          </cell>
          <cell r="G54">
            <v>0.266732941543803</v>
          </cell>
          <cell r="H54">
            <v>0.29100563922428907</v>
          </cell>
          <cell r="I54">
            <v>0.32563531029197945</v>
          </cell>
          <cell r="J54">
            <v>0.36927044187110464</v>
          </cell>
          <cell r="K54">
            <v>0.41579851754686376</v>
          </cell>
          <cell r="L54">
            <v>0.46902072779286236</v>
          </cell>
          <cell r="M54">
            <v>0.54031187841737738</v>
          </cell>
          <cell r="N54">
            <v>0.60514930382746268</v>
          </cell>
          <cell r="O54">
            <v>0.6771620709829308</v>
          </cell>
          <cell r="P54">
            <v>0.75639003328793364</v>
          </cell>
          <cell r="Q54">
            <v>0.82068318611740798</v>
          </cell>
          <cell r="R54">
            <v>0.90901274134292198</v>
          </cell>
          <cell r="S54">
            <v>1</v>
          </cell>
          <cell r="T54">
            <v>1.0800437739388726</v>
          </cell>
          <cell r="U54">
            <v>1.1753237447562468</v>
          </cell>
          <cell r="V54">
            <v>1.24829333750228</v>
          </cell>
          <cell r="W54">
            <v>1.3553766382657182</v>
          </cell>
          <cell r="X54">
            <v>1.4809661533651213</v>
          </cell>
          <cell r="Y54">
            <v>1.6181900486356511</v>
          </cell>
          <cell r="Z54">
            <v>1.8075511441057865</v>
          </cell>
          <cell r="AA54">
            <v>1.9368318358894958</v>
          </cell>
          <cell r="AB54">
            <v>2.0171425686642244</v>
          </cell>
          <cell r="AC54">
            <v>2.0640000000000001</v>
          </cell>
          <cell r="AD54">
            <v>2.1610079999999998</v>
          </cell>
          <cell r="AE54">
            <v>2.2690584</v>
          </cell>
          <cell r="AF54">
            <v>2.3598207360000001</v>
          </cell>
          <cell r="AG54">
            <v>2.4542135654400004</v>
          </cell>
          <cell r="AH54">
            <v>2.5646531758848004</v>
          </cell>
          <cell r="AI54">
            <v>2.6800625687996162</v>
          </cell>
          <cell r="AJ54">
            <v>2.8006653843955989</v>
          </cell>
          <cell r="AK54">
            <v>2.9266953266934008</v>
          </cell>
          <cell r="AL54">
            <v>3.0583966163946035</v>
          </cell>
          <cell r="AM54">
            <v>3.1960244641323605</v>
          </cell>
        </row>
        <row r="55">
          <cell r="S55">
            <v>1</v>
          </cell>
          <cell r="T55">
            <v>1.3577896201445183</v>
          </cell>
          <cell r="U55">
            <v>1.4081781387727761</v>
          </cell>
          <cell r="V55">
            <v>1.5151724819742696</v>
          </cell>
          <cell r="W55">
            <v>1.9779408958051381</v>
          </cell>
          <cell r="X55">
            <v>2.0209936860716256</v>
          </cell>
          <cell r="Y55">
            <v>1.8763711344387368</v>
          </cell>
          <cell r="Z55">
            <v>2.1189771751729185</v>
          </cell>
          <cell r="AA55">
            <v>2.1790406701321632</v>
          </cell>
          <cell r="AB55">
            <v>2.2267076801471108</v>
          </cell>
          <cell r="AC55">
            <v>2.3721467017742337</v>
          </cell>
          <cell r="AD55">
            <v>2.6039750559795105</v>
          </cell>
          <cell r="AE55">
            <v>2.8228818770484794</v>
          </cell>
          <cell r="AF55">
            <v>3.0233936279477609</v>
          </cell>
          <cell r="AG55">
            <v>3.2488829641385593</v>
          </cell>
          <cell r="AH55">
            <v>3.4816476964820202</v>
          </cell>
          <cell r="AI55">
            <v>3.7179026758818323</v>
          </cell>
          <cell r="AJ55">
            <v>3.9511064103188045</v>
          </cell>
          <cell r="AK55">
            <v>4.1923246040870055</v>
          </cell>
          <cell r="AL55">
            <v>4.4548252955016574</v>
          </cell>
          <cell r="AM55">
            <v>4.71390049213539</v>
          </cell>
        </row>
        <row r="56">
          <cell r="D56">
            <v>0.25315213266120951</v>
          </cell>
          <cell r="E56">
            <v>0.26979360045629408</v>
          </cell>
          <cell r="F56">
            <v>0.33736696414708978</v>
          </cell>
          <cell r="G56">
            <v>0.36587254513359863</v>
          </cell>
          <cell r="H56">
            <v>0.42060440035668983</v>
          </cell>
          <cell r="I56">
            <v>0.49846300579231534</v>
          </cell>
          <cell r="J56">
            <v>0.6712726257484789</v>
          </cell>
          <cell r="K56">
            <v>0.63247635087903642</v>
          </cell>
          <cell r="L56">
            <v>0.70253843933565674</v>
          </cell>
          <cell r="M56">
            <v>0.88859984962276006</v>
          </cell>
          <cell r="N56">
            <v>0.7454082045596635</v>
          </cell>
          <cell r="O56">
            <v>1.334384694069688</v>
          </cell>
          <cell r="P56">
            <v>1.2130814519902198</v>
          </cell>
          <cell r="Q56">
            <v>0.6652572233967583</v>
          </cell>
          <cell r="R56">
            <v>0.93493730938664854</v>
          </cell>
          <cell r="S56">
            <v>1</v>
          </cell>
          <cell r="T56">
            <v>1.0653976051581209</v>
          </cell>
          <cell r="U56">
            <v>1.1426639621365788</v>
          </cell>
          <cell r="V56">
            <v>1.2269269776876268</v>
          </cell>
          <cell r="W56">
            <v>1.2780578402759353</v>
          </cell>
          <cell r="X56">
            <v>1.2953846153846154</v>
          </cell>
          <cell r="Y56">
            <v>1.4385536823425022</v>
          </cell>
          <cell r="Z56">
            <v>1.4015102481121899</v>
          </cell>
          <cell r="AA56">
            <v>1.6758597773716564</v>
          </cell>
          <cell r="AB56">
            <v>1.7232658959537572</v>
          </cell>
          <cell r="AC56">
            <v>1.7833008447043535</v>
          </cell>
          <cell r="AD56">
            <v>1.9098357817678624</v>
          </cell>
          <cell r="AE56">
            <v>2.039791930683414</v>
          </cell>
          <cell r="AF56">
            <v>2.1418432575662512</v>
          </cell>
          <cell r="AG56">
            <v>2.2564560925380874</v>
          </cell>
          <cell r="AH56">
            <v>2.3707047608680325</v>
          </cell>
          <cell r="AI56">
            <v>2.4819355161736771</v>
          </cell>
          <cell r="AJ56">
            <v>2.585895862045497</v>
          </cell>
          <cell r="AK56">
            <v>2.6899675140454278</v>
          </cell>
          <cell r="AL56">
            <v>2.8023516964472743</v>
          </cell>
          <cell r="AM56">
            <v>2.9071818614737617</v>
          </cell>
        </row>
        <row r="57">
          <cell r="D57">
            <v>0.29036345136226999</v>
          </cell>
          <cell r="E57">
            <v>0.30884127452841204</v>
          </cell>
          <cell r="F57">
            <v>0.39030241453687614</v>
          </cell>
          <cell r="G57">
            <v>0.42361341067733022</v>
          </cell>
          <cell r="H57">
            <v>0.46686762757226746</v>
          </cell>
          <cell r="I57">
            <v>0.52416650781325713</v>
          </cell>
          <cell r="J57">
            <v>0.61100109387532542</v>
          </cell>
          <cell r="K57">
            <v>0.68834631277720648</v>
          </cell>
          <cell r="L57">
            <v>0.77207193852934186</v>
          </cell>
          <cell r="M57">
            <v>0.89432877232006869</v>
          </cell>
          <cell r="N57">
            <v>0.98545979303547893</v>
          </cell>
          <cell r="O57">
            <v>1.2219230303091013</v>
          </cell>
          <cell r="P57">
            <v>1.3423039704966337</v>
          </cell>
          <cell r="Q57">
            <v>0.83401856605065028</v>
          </cell>
          <cell r="R57">
            <v>0.91726064117419859</v>
          </cell>
          <cell r="S57">
            <v>0.99992905330269111</v>
          </cell>
          <cell r="T57">
            <v>1.0946241067817177</v>
          </cell>
          <cell r="U57">
            <v>1.1657678030303031</v>
          </cell>
          <cell r="V57">
            <v>1.2432878002826189</v>
          </cell>
          <cell r="W57">
            <v>1.326689774696707</v>
          </cell>
          <cell r="X57">
            <v>1.4390846892427989</v>
          </cell>
          <cell r="Y57">
            <v>1.57455204778157</v>
          </cell>
          <cell r="Z57">
            <v>1.7482311625264679</v>
          </cell>
          <cell r="AA57">
            <v>2.0043119917035095</v>
          </cell>
          <cell r="AB57">
            <v>1.9455491000050609</v>
          </cell>
          <cell r="AC57">
            <v>2.0055088431429402</v>
          </cell>
          <cell r="AD57">
            <v>2.0501946861289366</v>
          </cell>
          <cell r="AE57">
            <v>2.1973549506493568</v>
          </cell>
          <cell r="AF57">
            <v>2.3398834921562983</v>
          </cell>
          <cell r="AG57">
            <v>2.4893381868080358</v>
          </cell>
          <cell r="AH57">
            <v>2.6595979343493057</v>
          </cell>
          <cell r="AI57">
            <v>2.811110552966126</v>
          </cell>
          <cell r="AJ57">
            <v>2.9773148610427866</v>
          </cell>
          <cell r="AK57">
            <v>3.1365624808724766</v>
          </cell>
          <cell r="AL57">
            <v>3.3367922741663678</v>
          </cell>
          <cell r="AM57">
            <v>3.5326124338287763</v>
          </cell>
        </row>
        <row r="58">
          <cell r="D58">
            <v>0.25315213266120951</v>
          </cell>
          <cell r="E58">
            <v>0.26979360045629408</v>
          </cell>
          <cell r="F58">
            <v>0.33736696414708978</v>
          </cell>
          <cell r="G58">
            <v>0.36587254513359863</v>
          </cell>
          <cell r="H58">
            <v>0.42060440035668983</v>
          </cell>
          <cell r="I58">
            <v>0.49846300579231534</v>
          </cell>
          <cell r="J58">
            <v>0.6712726257484789</v>
          </cell>
          <cell r="K58">
            <v>0.63247635087903642</v>
          </cell>
          <cell r="L58">
            <v>0.70253843933565674</v>
          </cell>
          <cell r="M58">
            <v>0.88859984962276006</v>
          </cell>
          <cell r="N58">
            <v>0.7454082045596635</v>
          </cell>
          <cell r="O58">
            <v>1.334384694069688</v>
          </cell>
          <cell r="P58">
            <v>1.2130814519902198</v>
          </cell>
          <cell r="Q58">
            <v>0.6652572233967583</v>
          </cell>
          <cell r="R58">
            <v>0.93493730938664854</v>
          </cell>
          <cell r="S58">
            <v>1</v>
          </cell>
          <cell r="T58">
            <v>1.0653976051581209</v>
          </cell>
          <cell r="U58">
            <v>1.1426639621365788</v>
          </cell>
          <cell r="V58">
            <v>1.2269269776876268</v>
          </cell>
          <cell r="W58">
            <v>1.2780578402759353</v>
          </cell>
          <cell r="X58">
            <v>1.2953846153846154</v>
          </cell>
          <cell r="Y58">
            <v>1.4385536823425022</v>
          </cell>
          <cell r="Z58">
            <v>1.4015102481121899</v>
          </cell>
          <cell r="AA58">
            <v>1.6758597773716564</v>
          </cell>
          <cell r="AB58">
            <v>1.7232658959537572</v>
          </cell>
          <cell r="AC58">
            <v>1.7833008447043535</v>
          </cell>
          <cell r="AD58">
            <v>1.2298746786256796</v>
          </cell>
          <cell r="AE58">
            <v>1.2100067913182142</v>
          </cell>
          <cell r="AF58">
            <v>1.1175645806119963</v>
          </cell>
          <cell r="AG58">
            <v>1.0427351749809723</v>
          </cell>
          <cell r="AH58">
            <v>0.9706710416713813</v>
          </cell>
          <cell r="AI58">
            <v>0.89685772479530146</v>
          </cell>
          <cell r="AJ58">
            <v>0.82857138347776016</v>
          </cell>
          <cell r="AK58">
            <v>0.76980839339996854</v>
          </cell>
          <cell r="AL58">
            <v>0.71726840426979332</v>
          </cell>
          <cell r="AM58">
            <v>0.66505206558539998</v>
          </cell>
        </row>
        <row r="60">
          <cell r="O60">
            <v>0.1275</v>
          </cell>
          <cell r="P60">
            <v>0.11360000000000001</v>
          </cell>
          <cell r="Q60">
            <v>9.6100000000000005E-2</v>
          </cell>
          <cell r="R60">
            <v>9.2100000000000001E-2</v>
          </cell>
          <cell r="S60">
            <v>0.1084</v>
          </cell>
          <cell r="T60">
            <v>0.12909999999999999</v>
          </cell>
          <cell r="U60">
            <v>0.12784166666666669</v>
          </cell>
          <cell r="V60">
            <v>0.12906666666666669</v>
          </cell>
          <cell r="W60">
            <v>0.10904999999999999</v>
          </cell>
          <cell r="X60">
            <v>7.3883333333333315E-2</v>
          </cell>
          <cell r="Y60">
            <v>6.7941666666666678E-2</v>
          </cell>
          <cell r="Z60">
            <v>7.809166666666667E-2</v>
          </cell>
          <cell r="AA60">
            <v>8.7433333333333321E-2</v>
          </cell>
          <cell r="AB60">
            <v>6.3516666666666666E-2</v>
          </cell>
          <cell r="AC60">
            <v>6.3516666666666666E-2</v>
          </cell>
          <cell r="AD60">
            <v>0.06</v>
          </cell>
          <cell r="AE60">
            <v>0.06</v>
          </cell>
          <cell r="AF60">
            <v>0.06</v>
          </cell>
          <cell r="AG60">
            <v>0.06</v>
          </cell>
          <cell r="AH60">
            <v>0.06</v>
          </cell>
          <cell r="AI60">
            <v>0.06</v>
          </cell>
          <cell r="AJ60">
            <v>0.06</v>
          </cell>
          <cell r="AK60">
            <v>0.06</v>
          </cell>
          <cell r="AL60">
            <v>0.06</v>
          </cell>
          <cell r="AM60">
            <v>0.06</v>
          </cell>
        </row>
        <row r="61">
          <cell r="O61">
            <v>0.16339999999999999</v>
          </cell>
          <cell r="P61">
            <v>0.15440000000000001</v>
          </cell>
          <cell r="Q61">
            <v>0.1394</v>
          </cell>
          <cell r="R61">
            <v>0.14630000000000001</v>
          </cell>
          <cell r="S61">
            <v>0.14560000000000001</v>
          </cell>
          <cell r="T61">
            <v>0.16189999999999999</v>
          </cell>
          <cell r="U61">
            <v>0.14697499999999999</v>
          </cell>
          <cell r="V61">
            <v>0.15104166666666666</v>
          </cell>
          <cell r="W61">
            <v>0.14901666666666669</v>
          </cell>
          <cell r="X61">
            <v>0.13717499999999999</v>
          </cell>
          <cell r="Y61">
            <v>0.11284166666666669</v>
          </cell>
          <cell r="Z61">
            <v>0.12740833333333337</v>
          </cell>
          <cell r="AA61">
            <v>0.12886666666666671</v>
          </cell>
          <cell r="AB61">
            <v>0.12969166666666671</v>
          </cell>
          <cell r="AC61">
            <v>0.12969166666666671</v>
          </cell>
          <cell r="AD61">
            <v>0.14099999999999999</v>
          </cell>
          <cell r="AE61">
            <v>0.1426</v>
          </cell>
          <cell r="AF61">
            <v>0.1426</v>
          </cell>
          <cell r="AG61">
            <v>0.1426</v>
          </cell>
          <cell r="AH61">
            <v>0.1426</v>
          </cell>
          <cell r="AI61">
            <v>0.1426</v>
          </cell>
          <cell r="AJ61">
            <v>0.1426</v>
          </cell>
          <cell r="AK61">
            <v>0.1426</v>
          </cell>
          <cell r="AL61">
            <v>0.1426</v>
          </cell>
          <cell r="AM61">
            <v>0.1426</v>
          </cell>
        </row>
        <row r="62">
          <cell r="O62">
            <v>0.22070000000000001</v>
          </cell>
          <cell r="P62">
            <v>0.2021</v>
          </cell>
          <cell r="Q62">
            <v>0.1802</v>
          </cell>
          <cell r="R62">
            <v>0.17050000000000001</v>
          </cell>
          <cell r="S62">
            <v>0.1903</v>
          </cell>
          <cell r="T62">
            <v>0.19919999999999999</v>
          </cell>
          <cell r="U62">
            <v>0.20179166666666667</v>
          </cell>
          <cell r="V62">
            <v>0.20719166666666669</v>
          </cell>
          <cell r="W62">
            <v>0.18484999999999999</v>
          </cell>
          <cell r="X62">
            <v>0.15270833333333333</v>
          </cell>
          <cell r="Y62">
            <v>0.14531666666666668</v>
          </cell>
          <cell r="Z62">
            <v>0.138375</v>
          </cell>
          <cell r="AA62">
            <v>0.14671666666666666</v>
          </cell>
          <cell r="AB62">
            <v>0.11305833333333332</v>
          </cell>
          <cell r="AC62">
            <v>0.11305833333333332</v>
          </cell>
          <cell r="AD62">
            <v>0.11</v>
          </cell>
          <cell r="AE62">
            <v>0.11</v>
          </cell>
          <cell r="AF62">
            <v>0.11</v>
          </cell>
          <cell r="AG62">
            <v>0.11</v>
          </cell>
          <cell r="AH62">
            <v>0.11</v>
          </cell>
          <cell r="AI62">
            <v>0.11</v>
          </cell>
          <cell r="AJ62">
            <v>0.11</v>
          </cell>
          <cell r="AK62">
            <v>0.11</v>
          </cell>
          <cell r="AL62">
            <v>0.11</v>
          </cell>
          <cell r="AM62">
            <v>0.11</v>
          </cell>
        </row>
        <row r="63">
          <cell r="O63">
            <v>0.16639999999999999</v>
          </cell>
          <cell r="P63">
            <v>0.13880000000000001</v>
          </cell>
          <cell r="Q63">
            <v>0.12239999999999999</v>
          </cell>
          <cell r="R63">
            <v>0.114</v>
          </cell>
          <cell r="S63">
            <v>0.1484</v>
          </cell>
          <cell r="T63">
            <v>0.1608</v>
          </cell>
          <cell r="U63">
            <v>0.15681666666666666</v>
          </cell>
          <cell r="V63">
            <v>0.17265</v>
          </cell>
          <cell r="W63">
            <v>0.13269999999999998</v>
          </cell>
          <cell r="X63">
            <v>0.10250833333333334</v>
          </cell>
          <cell r="Y63">
            <v>9.3049999999999994E-2</v>
          </cell>
          <cell r="Z63">
            <v>0.110025</v>
          </cell>
          <cell r="AA63">
            <v>0.10511666666666666</v>
          </cell>
          <cell r="AB63">
            <v>7.8741666666666668E-2</v>
          </cell>
          <cell r="AC63">
            <v>7.0916666666667003E-2</v>
          </cell>
          <cell r="AD63">
            <v>9.1999999999999998E-2</v>
          </cell>
          <cell r="AE63">
            <v>0.107</v>
          </cell>
          <cell r="AF63">
            <v>7.8E-2</v>
          </cell>
          <cell r="AG63">
            <v>7.8E-2</v>
          </cell>
          <cell r="AH63">
            <v>7.8E-2</v>
          </cell>
          <cell r="AI63">
            <v>7.8E-2</v>
          </cell>
          <cell r="AJ63">
            <v>7.8E-2</v>
          </cell>
          <cell r="AK63">
            <v>7.8E-2</v>
          </cell>
          <cell r="AL63">
            <v>7.8E-2</v>
          </cell>
          <cell r="AM63">
            <v>7.8E-2</v>
          </cell>
        </row>
        <row r="64">
          <cell r="O64">
            <v>0.16639999999999999</v>
          </cell>
          <cell r="P64">
            <v>0.13880000000000001</v>
          </cell>
          <cell r="Q64">
            <v>0.12239999999999999</v>
          </cell>
          <cell r="R64">
            <v>0.114</v>
          </cell>
          <cell r="S64">
            <v>0.1484</v>
          </cell>
          <cell r="T64">
            <v>0.1608</v>
          </cell>
          <cell r="U64">
            <v>0.15681666666666666</v>
          </cell>
          <cell r="V64">
            <v>0.17265</v>
          </cell>
          <cell r="W64">
            <v>0.13269999999999998</v>
          </cell>
          <cell r="X64">
            <v>0.10250833333333334</v>
          </cell>
          <cell r="Y64">
            <v>9.3049999999999994E-2</v>
          </cell>
          <cell r="Z64">
            <v>0.110025</v>
          </cell>
          <cell r="AA64">
            <v>0.10511666666666666</v>
          </cell>
          <cell r="AB64">
            <v>7.8741666666666668E-2</v>
          </cell>
          <cell r="AC64">
            <v>7.0916666666667003E-2</v>
          </cell>
          <cell r="AD64">
            <v>5.1999999999999998E-2</v>
          </cell>
          <cell r="AE64">
            <v>5.1999999999999998E-2</v>
          </cell>
          <cell r="AF64">
            <v>5.1999999999999998E-2</v>
          </cell>
          <cell r="AG64">
            <v>5.1999999999999998E-2</v>
          </cell>
          <cell r="AH64">
            <v>5.1999999999999998E-2</v>
          </cell>
          <cell r="AI64">
            <v>5.1999999999999998E-2</v>
          </cell>
          <cell r="AJ64">
            <v>5.1999999999999998E-2</v>
          </cell>
          <cell r="AK64">
            <v>5.1999999999999998E-2</v>
          </cell>
          <cell r="AL64">
            <v>5.1999999999999998E-2</v>
          </cell>
          <cell r="AM64">
            <v>5.1999999999999998E-2</v>
          </cell>
        </row>
        <row r="66"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0.92491528441067672</v>
          </cell>
          <cell r="R66">
            <v>0.94192286531061375</v>
          </cell>
          <cell r="S66">
            <v>1</v>
          </cell>
          <cell r="T66">
            <v>0.93861911073623361</v>
          </cell>
          <cell r="U66">
            <v>0.88187134502923992</v>
          </cell>
          <cell r="V66">
            <v>0.73996317454492155</v>
          </cell>
          <cell r="W66">
            <v>0.70783066461943411</v>
          </cell>
          <cell r="X66">
            <v>0.64986744700343091</v>
          </cell>
          <cell r="Y66">
            <v>0.57774418604651168</v>
          </cell>
          <cell r="Z66">
            <v>0.57206590621039299</v>
          </cell>
          <cell r="AA66">
            <v>0.71222335492781741</v>
          </cell>
          <cell r="AB66">
            <v>0.88774578290925188</v>
          </cell>
          <cell r="AC66">
            <v>0.7981545896904787</v>
          </cell>
          <cell r="AD66">
            <v>0.96627428914514968</v>
          </cell>
          <cell r="AE66">
            <v>1.0179582714788846</v>
          </cell>
          <cell r="AF66">
            <v>1.0576917493930162</v>
          </cell>
          <cell r="AG66">
            <v>1.1025195316995091</v>
          </cell>
          <cell r="AH66">
            <v>1.1471309714118751</v>
          </cell>
          <cell r="AI66">
            <v>1.1929956031479643</v>
          </cell>
          <cell r="AJ66">
            <v>1.2425106778060886</v>
          </cell>
          <cell r="AK66">
            <v>1.2925559239926285</v>
          </cell>
          <cell r="AL66">
            <v>1.3413416585421942</v>
          </cell>
          <cell r="AM66">
            <v>1.3933014930128909</v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>
            <v>0.93048412810632353</v>
          </cell>
          <cell r="R67">
            <v>0.93374986777418378</v>
          </cell>
          <cell r="S67">
            <v>1</v>
          </cell>
          <cell r="T67">
            <v>0.93406053625569563</v>
          </cell>
          <cell r="U67">
            <v>0.93682539682539701</v>
          </cell>
          <cell r="V67">
            <v>0.80221683980139458</v>
          </cell>
          <cell r="W67">
            <v>0.7627435528979124</v>
          </cell>
          <cell r="X67">
            <v>0.70730156262684241</v>
          </cell>
          <cell r="Y67">
            <v>0.61396700919415903</v>
          </cell>
          <cell r="Z67">
            <v>0.59381651003180524</v>
          </cell>
          <cell r="AA67">
            <v>0.82625543353923581</v>
          </cell>
          <cell r="AB67">
            <v>1.0308269829569683</v>
          </cell>
          <cell r="AC67">
            <v>1.0214562764855342</v>
          </cell>
          <cell r="AD67">
            <v>1.0735505465862965</v>
          </cell>
          <cell r="AE67">
            <v>1.1272280739156113</v>
          </cell>
          <cell r="AF67">
            <v>1.183589477611392</v>
          </cell>
          <cell r="AG67">
            <v>1.2427689514919615</v>
          </cell>
          <cell r="AH67">
            <v>1.3049073990665596</v>
          </cell>
          <cell r="AI67">
            <v>1.3701527690198876</v>
          </cell>
          <cell r="AJ67">
            <v>1.438660407470882</v>
          </cell>
          <cell r="AK67">
            <v>1.5105934278444262</v>
          </cell>
          <cell r="AL67">
            <v>1.5861230992366475</v>
          </cell>
          <cell r="AM67">
            <v>1.6654292541984799</v>
          </cell>
        </row>
        <row r="68"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>
            <v>0.93153991036626294</v>
          </cell>
          <cell r="R68">
            <v>0.91715379963716992</v>
          </cell>
          <cell r="S68">
            <v>1</v>
          </cell>
          <cell r="T68">
            <v>0.90489174017642338</v>
          </cell>
          <cell r="U68">
            <v>0.91887550200803203</v>
          </cell>
          <cell r="V68">
            <v>0.78458400105170367</v>
          </cell>
          <cell r="W68">
            <v>0.73758865248226946</v>
          </cell>
          <cell r="X68">
            <v>0.68270218905138136</v>
          </cell>
          <cell r="Y68">
            <v>0.5821016229667173</v>
          </cell>
          <cell r="Z68">
            <v>0.52172380456221923</v>
          </cell>
          <cell r="AA68">
            <v>0.79028735290621666</v>
          </cell>
          <cell r="AB68">
            <v>0.90100496017529985</v>
          </cell>
          <cell r="AC68">
            <v>0.91757890058414926</v>
          </cell>
          <cell r="AD68">
            <v>0.96437542451394076</v>
          </cell>
          <cell r="AE68">
            <v>1.0125941957396378</v>
          </cell>
          <cell r="AF68">
            <v>1.0632239055266197</v>
          </cell>
          <cell r="AG68">
            <v>1.1163851008029508</v>
          </cell>
          <cell r="AH68">
            <v>1.1722043558430983</v>
          </cell>
          <cell r="AI68">
            <v>1.2308145736352534</v>
          </cell>
          <cell r="AJ68">
            <v>1.292355302317016</v>
          </cell>
          <cell r="AK68">
            <v>1.3569730674328668</v>
          </cell>
          <cell r="AL68">
            <v>1.4248217208045102</v>
          </cell>
          <cell r="AM68">
            <v>1.4960628068447357</v>
          </cell>
        </row>
        <row r="69"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>
            <v>0.9445380452079849</v>
          </cell>
          <cell r="R69">
            <v>0.92999724969985187</v>
          </cell>
          <cell r="S69">
            <v>1</v>
          </cell>
          <cell r="T69">
            <v>0.90676577029812244</v>
          </cell>
          <cell r="U69">
            <v>0.93341662948088666</v>
          </cell>
          <cell r="V69">
            <v>0.79529769314509102</v>
          </cell>
          <cell r="W69">
            <v>0.76474479109249238</v>
          </cell>
          <cell r="X69">
            <v>0.71290113836087998</v>
          </cell>
          <cell r="Y69">
            <v>0.62961538881667334</v>
          </cell>
          <cell r="Z69">
            <v>0.5758387880203395</v>
          </cell>
          <cell r="AA69">
            <v>0.86008636467627553</v>
          </cell>
          <cell r="AB69">
            <v>1.0221154441409017</v>
          </cell>
          <cell r="AC69">
            <v>1.0722259645328349</v>
          </cell>
          <cell r="AD69">
            <v>1.1269094887240094</v>
          </cell>
          <cell r="AE69">
            <v>1.1832549631602098</v>
          </cell>
          <cell r="AF69">
            <v>1.2424177113182204</v>
          </cell>
          <cell r="AG69">
            <v>1.3045385968841314</v>
          </cell>
          <cell r="AH69">
            <v>1.369765526728338</v>
          </cell>
          <cell r="AI69">
            <v>1.4382538030647549</v>
          </cell>
          <cell r="AJ69">
            <v>1.5101664932179928</v>
          </cell>
          <cell r="AK69">
            <v>1.5856748178788924</v>
          </cell>
          <cell r="AL69">
            <v>1.664958558772837</v>
          </cell>
          <cell r="AM69">
            <v>1.748206486711479</v>
          </cell>
        </row>
        <row r="70"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>
            <v>1.117157850792547</v>
          </cell>
          <cell r="R70">
            <v>0.99474714096771089</v>
          </cell>
          <cell r="S70">
            <v>1</v>
          </cell>
          <cell r="T70">
            <v>0.97422518105348388</v>
          </cell>
          <cell r="U70">
            <v>0.96686357243319276</v>
          </cell>
          <cell r="V70">
            <v>0.66876168203025732</v>
          </cell>
          <cell r="W70">
            <v>0.81749408983451533</v>
          </cell>
          <cell r="X70">
            <v>0.95959378011766561</v>
          </cell>
          <cell r="Y70">
            <v>1.1848128698841376</v>
          </cell>
          <cell r="Z70">
            <v>0.97867114429241497</v>
          </cell>
          <cell r="AA70">
            <v>1.3816762605654329</v>
          </cell>
          <cell r="AB70">
            <v>1.6260008912234765</v>
          </cell>
          <cell r="AC70">
            <v>2.3372965491605817</v>
          </cell>
          <cell r="AD70">
            <v>2.4978688220879137</v>
          </cell>
          <cell r="AE70">
            <v>2.6694724101653535</v>
          </cell>
          <cell r="AF70">
            <v>2.8528651647437133</v>
          </cell>
          <cell r="AG70">
            <v>3.0488570015616063</v>
          </cell>
          <cell r="AH70">
            <v>3.2583134775688887</v>
          </cell>
          <cell r="AI70">
            <v>3.4821596134778714</v>
          </cell>
          <cell r="AJ70">
            <v>3.721383978923801</v>
          </cell>
          <cell r="AK70">
            <v>3.977043058275866</v>
          </cell>
          <cell r="AL70">
            <v>4.2502659163794183</v>
          </cell>
          <cell r="AM70">
            <v>4.542259184834684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>
            <v>0.96773602284333793</v>
          </cell>
          <cell r="R71">
            <v>0.96097609500074777</v>
          </cell>
          <cell r="S71">
            <v>1</v>
          </cell>
          <cell r="T71">
            <v>0.87986454857825802</v>
          </cell>
          <cell r="U71">
            <v>0.8912626262626262</v>
          </cell>
          <cell r="V71">
            <v>0.75508430808477278</v>
          </cell>
          <cell r="W71">
            <v>0.69512580747165365</v>
          </cell>
          <cell r="X71">
            <v>0.65362880439995641</v>
          </cell>
          <cell r="Y71">
            <v>0.55850361807673055</v>
          </cell>
          <cell r="Z71">
            <v>0.46216934236554047</v>
          </cell>
          <cell r="AA71">
            <v>0.7117585914842286</v>
          </cell>
          <cell r="AB71">
            <v>0.85354927619323151</v>
          </cell>
          <cell r="AC71">
            <v>0.85139223270995312</v>
          </cell>
          <cell r="AD71">
            <v>0.85658572532948385</v>
          </cell>
          <cell r="AE71">
            <v>0.86181089825399371</v>
          </cell>
          <cell r="AF71">
            <v>0.86706794473334303</v>
          </cell>
          <cell r="AG71">
            <v>0.87235705919621642</v>
          </cell>
          <cell r="AH71">
            <v>0.87767843725731332</v>
          </cell>
          <cell r="AI71">
            <v>0.88303227572458287</v>
          </cell>
          <cell r="AJ71">
            <v>0.88841877260650282</v>
          </cell>
          <cell r="AK71">
            <v>0.89383812711940247</v>
          </cell>
          <cell r="AL71">
            <v>0.89929053969483086</v>
          </cell>
          <cell r="AM71">
            <v>0.90477621198696934</v>
          </cell>
        </row>
        <row r="72">
          <cell r="D72">
            <v>1.1286596934678363</v>
          </cell>
          <cell r="E72">
            <v>1.1144180385054998</v>
          </cell>
          <cell r="F72">
            <v>1.1613148751457647</v>
          </cell>
          <cell r="G72">
            <v>1.2211374835572306</v>
          </cell>
          <cell r="H72">
            <v>0.97868784957101362</v>
          </cell>
          <cell r="I72">
            <v>0.58232399932136347</v>
          </cell>
          <cell r="J72">
            <v>0.7232946574465563</v>
          </cell>
          <cell r="K72">
            <v>0.92127036096081405</v>
          </cell>
          <cell r="L72">
            <v>0.86625416468348404</v>
          </cell>
          <cell r="M72">
            <v>0.96006779622502547</v>
          </cell>
          <cell r="N72">
            <v>1.5330269033242565</v>
          </cell>
          <cell r="O72">
            <v>1.5642532408091827</v>
          </cell>
          <cell r="P72">
            <v>1.6606575491189044</v>
          </cell>
          <cell r="Q72">
            <v>0.94174476830479992</v>
          </cell>
          <cell r="R72">
            <v>0.93707732889238238</v>
          </cell>
          <cell r="S72">
            <v>1</v>
          </cell>
          <cell r="T72">
            <v>0.90998099719482395</v>
          </cell>
          <cell r="U72">
            <v>0.91927468267366974</v>
          </cell>
          <cell r="V72">
            <v>0.78294332490076113</v>
          </cell>
          <cell r="W72">
            <v>0.75496819477955701</v>
          </cell>
          <cell r="X72">
            <v>0.72307332327212259</v>
          </cell>
          <cell r="Y72">
            <v>0.62813015198180666</v>
          </cell>
          <cell r="Z72">
            <v>0.59096576962995395</v>
          </cell>
          <cell r="AA72">
            <v>0.86498141956311592</v>
          </cell>
          <cell r="AB72">
            <v>1.0470583354042184</v>
          </cell>
          <cell r="AC72">
            <v>1.1004420027079127</v>
          </cell>
          <cell r="AD72">
            <v>1.0806894400684148</v>
          </cell>
          <cell r="AE72">
            <v>1.1403496372600461</v>
          </cell>
          <cell r="AF72">
            <v>1.1997490189798616</v>
          </cell>
          <cell r="AG72">
            <v>1.2693995136325062</v>
          </cell>
          <cell r="AH72">
            <v>1.3507353238374524</v>
          </cell>
          <cell r="AI72">
            <v>1.4347189141699881</v>
          </cell>
          <cell r="AJ72">
            <v>1.5316683038552239</v>
          </cell>
          <cell r="AK72">
            <v>1.6430753739140169</v>
          </cell>
          <cell r="AL72">
            <v>1.7711611636248679</v>
          </cell>
          <cell r="AM72">
            <v>1.9192832251385985</v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>
            <v>1.1642019626604052</v>
          </cell>
          <cell r="O73">
            <v>1.278547171681006</v>
          </cell>
          <cell r="P73">
            <v>1.3787046254307684</v>
          </cell>
          <cell r="Q73">
            <v>0.94283989283092218</v>
          </cell>
          <cell r="R73">
            <v>0.94185798833450651</v>
          </cell>
          <cell r="S73">
            <v>1</v>
          </cell>
          <cell r="T73">
            <v>0.90639183375045707</v>
          </cell>
          <cell r="U73">
            <v>0.92860444444444457</v>
          </cell>
          <cell r="V73">
            <v>0.79285873175523569</v>
          </cell>
          <cell r="W73">
            <v>0.75773923565594437</v>
          </cell>
          <cell r="X73">
            <v>0.71327702833015549</v>
          </cell>
          <cell r="Y73">
            <v>0.62056885336507805</v>
          </cell>
          <cell r="Z73">
            <v>0.5334600760456274</v>
          </cell>
          <cell r="AA73">
            <v>0.74975612328297614</v>
          </cell>
          <cell r="AB73">
            <v>0.8739377562244286</v>
          </cell>
          <cell r="AC73">
            <v>0.89176580363779956</v>
          </cell>
          <cell r="AD73">
            <v>0.95303011434771634</v>
          </cell>
          <cell r="AE73">
            <v>1.0185032832034044</v>
          </cell>
          <cell r="AF73">
            <v>1.0884744587594783</v>
          </cell>
          <cell r="AG73">
            <v>1.1632526540762544</v>
          </cell>
          <cell r="AH73">
            <v>1.2431681114112931</v>
          </cell>
          <cell r="AI73">
            <v>1.328573760665249</v>
          </cell>
          <cell r="AJ73">
            <v>1.4198467780229516</v>
          </cell>
          <cell r="AK73">
            <v>1.5173902516731284</v>
          </cell>
          <cell r="AL73">
            <v>1.6216349619630723</v>
          </cell>
          <cell r="AM73">
            <v>1.7330412838499354</v>
          </cell>
        </row>
        <row r="74"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>
            <v>0.90872397565611907</v>
          </cell>
          <cell r="R74">
            <v>0.9292882488118227</v>
          </cell>
          <cell r="S74">
            <v>1</v>
          </cell>
          <cell r="T74">
            <v>0.91810713872497984</v>
          </cell>
          <cell r="U74">
            <v>0.93556052696992298</v>
          </cell>
          <cell r="V74">
            <v>0.84416297605509827</v>
          </cell>
          <cell r="W74">
            <v>0.82648167978025056</v>
          </cell>
          <cell r="X74">
            <v>0.76483667239563657</v>
          </cell>
          <cell r="Y74">
            <v>0.58265215239980206</v>
          </cell>
          <cell r="Z74">
            <v>0.58753689158432898</v>
          </cell>
          <cell r="AA74">
            <v>0.81382978723404265</v>
          </cell>
          <cell r="AB74">
            <v>0.95287874966950281</v>
          </cell>
          <cell r="AC74">
            <v>0.9955509706958966</v>
          </cell>
          <cell r="AD74">
            <v>1.0639453223827047</v>
          </cell>
          <cell r="AE74">
            <v>1.1370383660303964</v>
          </cell>
          <cell r="AF74">
            <v>1.2151529017766847</v>
          </cell>
          <cell r="AG74">
            <v>1.2986339061287429</v>
          </cell>
          <cell r="AH74">
            <v>1.3878500554797875</v>
          </cell>
          <cell r="AI74">
            <v>1.4831953542912488</v>
          </cell>
          <cell r="AJ74">
            <v>1.5850908751310575</v>
          </cell>
          <cell r="AK74">
            <v>1.6939866182525611</v>
          </cell>
          <cell r="AL74">
            <v>1.810363498926512</v>
          </cell>
          <cell r="AM74">
            <v>1.9347354713027634</v>
          </cell>
        </row>
        <row r="75"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>
            <v>1.406872028755846</v>
          </cell>
          <cell r="O75">
            <v>1.489694104230515</v>
          </cell>
          <cell r="P75">
            <v>1.6033497880408938</v>
          </cell>
          <cell r="Q75">
            <v>0.93513339106488336</v>
          </cell>
          <cell r="R75">
            <v>0.93889596026273925</v>
          </cell>
          <cell r="S75">
            <v>1</v>
          </cell>
          <cell r="T75">
            <v>0.90868247217446396</v>
          </cell>
          <cell r="U75">
            <v>0.93020144952348338</v>
          </cell>
          <cell r="V75">
            <v>0.80347169287671527</v>
          </cell>
          <cell r="W75">
            <v>0.77238506174676391</v>
          </cell>
          <cell r="X75">
            <v>0.72530131650659846</v>
          </cell>
          <cell r="Y75">
            <v>0.60917444834354373</v>
          </cell>
          <cell r="Z75">
            <v>0.55412894715783989</v>
          </cell>
          <cell r="AA75">
            <v>0.76967312898595508</v>
          </cell>
          <cell r="AB75">
            <v>0.8925654141164423</v>
          </cell>
          <cell r="AC75">
            <v>0.91865354285386669</v>
          </cell>
          <cell r="AD75">
            <v>1.0639453223827047</v>
          </cell>
          <cell r="AE75">
            <v>1.1370383660303964</v>
          </cell>
          <cell r="AF75">
            <v>1.2151529017766847</v>
          </cell>
          <cell r="AG75">
            <v>1.2986339061287433</v>
          </cell>
          <cell r="AH75">
            <v>1.3878500554797877</v>
          </cell>
          <cell r="AI75">
            <v>1.4831953542912493</v>
          </cell>
          <cell r="AJ75">
            <v>1.5850908751310582</v>
          </cell>
          <cell r="AK75">
            <v>1.6939866182525618</v>
          </cell>
          <cell r="AL75">
            <v>1.8103634989265125</v>
          </cell>
          <cell r="AM75">
            <v>1.934735471302764</v>
          </cell>
        </row>
        <row r="76">
          <cell r="D76">
            <v>1.4969312835899706</v>
          </cell>
          <cell r="E76">
            <v>1.4521204744162572</v>
          </cell>
          <cell r="F76">
            <v>1.3930104324834782</v>
          </cell>
          <cell r="G76">
            <v>1.4293498655462515</v>
          </cell>
          <cell r="H76">
            <v>1.1738657695354973</v>
          </cell>
          <cell r="I76">
            <v>0.72891364349233023</v>
          </cell>
          <cell r="J76">
            <v>0.88919548098153778</v>
          </cell>
          <cell r="K76">
            <v>1.1145324100157048</v>
          </cell>
          <cell r="L76">
            <v>1.09261394860385</v>
          </cell>
          <cell r="M76">
            <v>1.1689234776175215</v>
          </cell>
          <cell r="N76">
            <v>1.4162005024239224</v>
          </cell>
          <cell r="O76">
            <v>1.459848933454289</v>
          </cell>
          <cell r="P76">
            <v>1.5563706315884671</v>
          </cell>
          <cell r="Q76">
            <v>0.94009261233591723</v>
          </cell>
          <cell r="R76">
            <v>0.9371767496316864</v>
          </cell>
          <cell r="S76">
            <v>1</v>
          </cell>
          <cell r="T76">
            <v>0.90991725204028262</v>
          </cell>
          <cell r="U76">
            <v>0.92139919640746859</v>
          </cell>
          <cell r="V76">
            <v>0.78731831393618434</v>
          </cell>
          <cell r="W76">
            <v>0.75905867182462927</v>
          </cell>
          <cell r="X76">
            <v>0.72459535599693636</v>
          </cell>
          <cell r="Y76">
            <v>0.62584317735186834</v>
          </cell>
          <cell r="Z76">
            <v>0.59052879422249271</v>
          </cell>
          <cell r="AA76">
            <v>0.86281899140954843</v>
          </cell>
          <cell r="AB76">
            <v>1.0357580258074237</v>
          </cell>
          <cell r="AC76">
            <v>1.091422883850881</v>
          </cell>
          <cell r="AD76">
            <v>0.99117149235420821</v>
          </cell>
          <cell r="AE76">
            <v>1.0568197191548687</v>
          </cell>
          <cell r="AF76">
            <v>1.1123612671114271</v>
          </cell>
          <cell r="AG76">
            <v>1.1875127285636218</v>
          </cell>
          <cell r="AH76">
            <v>1.2622021838062307</v>
          </cell>
          <cell r="AI76">
            <v>1.3503303109686278</v>
          </cell>
          <cell r="AJ76">
            <v>1.4381812172870574</v>
          </cell>
          <cell r="AK76">
            <v>1.5525492758387802</v>
          </cell>
          <cell r="AL76">
            <v>1.6677715181455439</v>
          </cell>
          <cell r="AM76">
            <v>1.8173294152036099</v>
          </cell>
        </row>
        <row r="78">
          <cell r="D78">
            <v>1.5052260646190143</v>
          </cell>
          <cell r="E78">
            <v>1.3606711853996261</v>
          </cell>
          <cell r="F78">
            <v>1.0667153291072029</v>
          </cell>
          <cell r="G78">
            <v>1.1066626254648138</v>
          </cell>
          <cell r="H78">
            <v>0.92583717519311126</v>
          </cell>
          <cell r="I78">
            <v>0.65249801039864574</v>
          </cell>
          <cell r="J78">
            <v>0.75528070824534144</v>
          </cell>
          <cell r="K78">
            <v>0.82141546798907872</v>
          </cell>
          <cell r="L78">
            <v>0.90459535998549512</v>
          </cell>
          <cell r="M78">
            <v>1.0327310511339796</v>
          </cell>
          <cell r="N78">
            <v>1.1771244622117429</v>
          </cell>
          <cell r="O78">
            <v>0.86465952294000104</v>
          </cell>
          <cell r="P78">
            <v>0.92377057118905082</v>
          </cell>
          <cell r="Q78">
            <v>0.95648361642213664</v>
          </cell>
          <cell r="R78">
            <v>1.0663237160087469</v>
          </cell>
          <cell r="S78">
            <v>1</v>
          </cell>
          <cell r="T78">
            <v>1.0424376612866284</v>
          </cell>
          <cell r="U78">
            <v>1.0774539363484088</v>
          </cell>
          <cell r="V78">
            <v>0.92603249631449314</v>
          </cell>
          <cell r="W78">
            <v>0.86974778075243064</v>
          </cell>
          <cell r="X78">
            <v>0.94210081862563944</v>
          </cell>
          <cell r="Y78">
            <v>0.9485009806668534</v>
          </cell>
          <cell r="Z78">
            <v>0.86485585158073786</v>
          </cell>
          <cell r="AA78">
            <v>0.92345365371722943</v>
          </cell>
          <cell r="AB78">
            <v>1.0726909474166091</v>
          </cell>
          <cell r="AC78">
            <v>1.1793680654451044</v>
          </cell>
          <cell r="AD78">
            <v>1.3940202947200799</v>
          </cell>
          <cell r="AE78">
            <v>1.5096181095089143</v>
          </cell>
          <cell r="AF78">
            <v>1.5840538934328301</v>
          </cell>
          <cell r="AG78">
            <v>1.663958118212856</v>
          </cell>
          <cell r="AH78">
            <v>1.7481484429811602</v>
          </cell>
          <cell r="AI78">
            <v>1.8386154581967573</v>
          </cell>
          <cell r="AJ78">
            <v>1.9328808837353784</v>
          </cell>
          <cell r="AK78">
            <v>2.030967681581648</v>
          </cell>
          <cell r="AL78">
            <v>2.1328812626465843</v>
          </cell>
          <cell r="AM78">
            <v>2.2386075733640021</v>
          </cell>
        </row>
        <row r="79">
          <cell r="D79">
            <v>2.0201695030735336</v>
          </cell>
          <cell r="E79">
            <v>3.3565795051781957</v>
          </cell>
          <cell r="F79">
            <v>1.8951124508740149</v>
          </cell>
          <cell r="G79">
            <v>1.8264917655401702</v>
          </cell>
          <cell r="H79">
            <v>1.311399016475542</v>
          </cell>
          <cell r="I79">
            <v>0.90356091843537156</v>
          </cell>
          <cell r="J79">
            <v>1.0395207353076932</v>
          </cell>
          <cell r="K79">
            <v>1.3950803306493134</v>
          </cell>
          <cell r="L79">
            <v>1.4850045350300878</v>
          </cell>
          <cell r="M79">
            <v>1.4137253011762769</v>
          </cell>
          <cell r="N79">
            <v>1.4068720287558463</v>
          </cell>
          <cell r="O79">
            <v>1.3914354635044637</v>
          </cell>
          <cell r="P79">
            <v>1.2527962614384269</v>
          </cell>
          <cell r="Q79">
            <v>0.69189342941958254</v>
          </cell>
          <cell r="R79">
            <v>1.0134454605244081</v>
          </cell>
          <cell r="S79">
            <v>1</v>
          </cell>
          <cell r="T79">
            <v>0.84651162790697665</v>
          </cell>
          <cell r="U79">
            <v>0.80888888888888888</v>
          </cell>
          <cell r="V79">
            <v>0.65810884107756285</v>
          </cell>
          <cell r="W79">
            <v>0.63987391646966107</v>
          </cell>
          <cell r="X79">
            <v>0.67733511089728105</v>
          </cell>
          <cell r="Y79">
            <v>0.52158797275076352</v>
          </cell>
          <cell r="Z79">
            <v>0.64938593546271506</v>
          </cell>
          <cell r="AA79">
            <v>0.88741134751773065</v>
          </cell>
          <cell r="AB79">
            <v>1.0779879811167932</v>
          </cell>
          <cell r="AC79">
            <v>1.1345223783363636</v>
          </cell>
          <cell r="AD79">
            <v>1.1923830196315182</v>
          </cell>
          <cell r="AE79">
            <v>1.2520021706130942</v>
          </cell>
          <cell r="AF79">
            <v>1.3146022791437488</v>
          </cell>
          <cell r="AG79">
            <v>1.3803323931009364</v>
          </cell>
          <cell r="AH79">
            <v>1.4493490127559832</v>
          </cell>
          <cell r="AI79">
            <v>1.5218164633937823</v>
          </cell>
          <cell r="AJ79">
            <v>1.5979072865634716</v>
          </cell>
          <cell r="AK79">
            <v>1.6778026508916453</v>
          </cell>
          <cell r="AL79">
            <v>1.7616927834362277</v>
          </cell>
          <cell r="AM79">
            <v>1.8497774226080392</v>
          </cell>
        </row>
        <row r="80">
          <cell r="D80">
            <v>12.58682861693141</v>
          </cell>
          <cell r="E80">
            <v>12.637227620008007</v>
          </cell>
          <cell r="F80">
            <v>2.433123047501514</v>
          </cell>
          <cell r="G80">
            <v>2.1632911720977588</v>
          </cell>
          <cell r="H80">
            <v>1.0381681457895806</v>
          </cell>
          <cell r="I80">
            <v>0.73959899749373437</v>
          </cell>
          <cell r="J80">
            <v>0.81633579126488942</v>
          </cell>
          <cell r="K80">
            <v>1.0945891586951191</v>
          </cell>
          <cell r="L80">
            <v>1.2756785243741766</v>
          </cell>
          <cell r="M80">
            <v>1.2268326417704012</v>
          </cell>
          <cell r="N80">
            <v>1.406872028755846</v>
          </cell>
          <cell r="O80">
            <v>1.5282162781670889</v>
          </cell>
          <cell r="P80">
            <v>1.447540732875843</v>
          </cell>
          <cell r="Q80">
            <v>1.1139197120945976</v>
          </cell>
          <cell r="R80">
            <v>0.90086399650441551</v>
          </cell>
          <cell r="S80">
            <v>1</v>
          </cell>
          <cell r="T80">
            <v>1.0418604651162791</v>
          </cell>
          <cell r="U80">
            <v>0.95595959595959601</v>
          </cell>
          <cell r="V80">
            <v>0.82263605134695361</v>
          </cell>
          <cell r="W80">
            <v>0.73322422258592468</v>
          </cell>
          <cell r="X80">
            <v>0.76794353581994379</v>
          </cell>
          <cell r="Y80">
            <v>0.37622739018087853</v>
          </cell>
          <cell r="Z80">
            <v>0.34600760456273766</v>
          </cell>
          <cell r="AA80">
            <v>0.5378250591016549</v>
          </cell>
          <cell r="AB80">
            <v>0.7521389597391277</v>
          </cell>
          <cell r="AC80">
            <v>0.50831610712065767</v>
          </cell>
          <cell r="AD80">
            <v>0.5225489581200361</v>
          </cell>
          <cell r="AE80">
            <v>0.53718032894739709</v>
          </cell>
          <cell r="AF80">
            <v>0.55222137815792427</v>
          </cell>
          <cell r="AG80">
            <v>0.56768357674634617</v>
          </cell>
          <cell r="AH80">
            <v>0.58357871689524388</v>
          </cell>
          <cell r="AI80">
            <v>0.59991892096831068</v>
          </cell>
          <cell r="AJ80">
            <v>0.61671665075542337</v>
          </cell>
          <cell r="AK80">
            <v>0.63398471697657521</v>
          </cell>
          <cell r="AL80">
            <v>0.65173628905191938</v>
          </cell>
          <cell r="AM80">
            <v>0.66998490514537312</v>
          </cell>
        </row>
        <row r="81">
          <cell r="D81">
            <v>1.4514805827155512</v>
          </cell>
          <cell r="E81">
            <v>1.0716642015304108</v>
          </cell>
          <cell r="F81">
            <v>0.98890648680783733</v>
          </cell>
          <cell r="G81">
            <v>1.0568249594940855</v>
          </cell>
          <cell r="H81">
            <v>0.89868552498171606</v>
          </cell>
          <cell r="I81">
            <v>0.63447899304333899</v>
          </cell>
          <cell r="J81">
            <v>0.73691139674244166</v>
          </cell>
          <cell r="K81">
            <v>0.76950690762436191</v>
          </cell>
          <cell r="L81">
            <v>0.8537359121581205</v>
          </cell>
          <cell r="M81">
            <v>0.99715559408800991</v>
          </cell>
          <cell r="N81">
            <v>1.1458942944647865</v>
          </cell>
          <cell r="O81">
            <v>0.82146985385503579</v>
          </cell>
          <cell r="P81">
            <v>0.8885568408520057</v>
          </cell>
          <cell r="Q81">
            <v>0.9981458621005006</v>
          </cell>
          <cell r="R81">
            <v>1.0805467938367566</v>
          </cell>
          <cell r="S81">
            <v>1</v>
          </cell>
          <cell r="T81">
            <v>1.0849751763783644</v>
          </cell>
          <cell r="U81">
            <v>1.1076501711795832</v>
          </cell>
          <cell r="V81">
            <v>0.97380222282204065</v>
          </cell>
          <cell r="W81">
            <v>0.90079466803383756</v>
          </cell>
          <cell r="X81">
            <v>0.96509915156577775</v>
          </cell>
          <cell r="Y81">
            <v>1.00464720435428</v>
          </cell>
          <cell r="Z81">
            <v>0.90609371213484713</v>
          </cell>
          <cell r="AA81">
            <v>0.94637290955257847</v>
          </cell>
          <cell r="AB81">
            <v>1.0813822570410005</v>
          </cell>
          <cell r="AC81">
            <v>1.224709337623423</v>
          </cell>
          <cell r="AD81">
            <v>1.460687641678569</v>
          </cell>
          <cell r="AE81">
            <v>1.5891877909469929</v>
          </cell>
          <cell r="AF81">
            <v>1.6677642467943001</v>
          </cell>
          <cell r="AG81">
            <v>1.752290889453761</v>
          </cell>
          <cell r="AH81">
            <v>1.8413248526969785</v>
          </cell>
          <cell r="AI81">
            <v>1.9363757298146869</v>
          </cell>
          <cell r="AJ81">
            <v>2.0352041016025999</v>
          </cell>
          <cell r="AK81">
            <v>2.1377986187378091</v>
          </cell>
          <cell r="AL81">
            <v>2.2441274152517088</v>
          </cell>
          <cell r="AM81">
            <v>2.3541363601675367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>
            <v>0.99153252868584907</v>
          </cell>
          <cell r="R82">
            <v>1.0951329646392705</v>
          </cell>
          <cell r="S82">
            <v>1</v>
          </cell>
          <cell r="T82">
            <v>1.0839818865607491</v>
          </cell>
          <cell r="U82">
            <v>1.1402134337727559</v>
          </cell>
          <cell r="V82">
            <v>0.98259306133108359</v>
          </cell>
          <cell r="W82">
            <v>0.87465594827209581</v>
          </cell>
          <cell r="X82">
            <v>1.0180496425933669</v>
          </cell>
          <cell r="Y82">
            <v>1.1057127462830016</v>
          </cell>
          <cell r="Z82">
            <v>0.91004021311220296</v>
          </cell>
          <cell r="AA82">
            <v>1.0503811894667239</v>
          </cell>
          <cell r="AB82">
            <v>1.1449295198169718</v>
          </cell>
          <cell r="AC82">
            <v>1.2781800491206723</v>
          </cell>
          <cell r="AD82">
            <v>1.5478760394851343</v>
          </cell>
          <cell r="AE82">
            <v>1.7057593955126182</v>
          </cell>
          <cell r="AF82">
            <v>1.8062286239083114</v>
          </cell>
          <cell r="AG82">
            <v>1.9164085699667184</v>
          </cell>
          <cell r="AH82">
            <v>2.0350342604476586</v>
          </cell>
          <cell r="AI82">
            <v>2.1622239017256373</v>
          </cell>
          <cell r="AJ82">
            <v>2.2973628955834897</v>
          </cell>
          <cell r="AK82">
            <v>2.4409480765574578</v>
          </cell>
          <cell r="AL82">
            <v>2.5935073313422992</v>
          </cell>
          <cell r="AM82">
            <v>2.755601539551193</v>
          </cell>
        </row>
        <row r="83"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>
            <v>1</v>
          </cell>
          <cell r="T83">
            <v>0.95331784973206235</v>
          </cell>
          <cell r="U83">
            <v>0.91022096647143191</v>
          </cell>
          <cell r="V83">
            <v>0.72457575107841843</v>
          </cell>
          <cell r="W83">
            <v>0.74334429639332511</v>
          </cell>
          <cell r="X83">
            <v>0.69042047610331403</v>
          </cell>
          <cell r="Y83">
            <v>0.65217844570397332</v>
          </cell>
          <cell r="Z83">
            <v>0.74639705608730211</v>
          </cell>
          <cell r="AA83">
            <v>0.85610365145861278</v>
          </cell>
          <cell r="AB83">
            <v>1.2243625679844321</v>
          </cell>
          <cell r="AC83">
            <v>1.4068252726513193</v>
          </cell>
          <cell r="AD83">
            <v>1.4306006197591266</v>
          </cell>
          <cell r="AE83">
            <v>1.4547777702330558</v>
          </cell>
          <cell r="AF83">
            <v>1.4793635145499944</v>
          </cell>
          <cell r="AG83">
            <v>1.5043647579458892</v>
          </cell>
          <cell r="AH83">
            <v>1.5297885223551746</v>
          </cell>
          <cell r="AI83">
            <v>1.5556419483829769</v>
          </cell>
          <cell r="AJ83">
            <v>1.5819322973106491</v>
          </cell>
          <cell r="AK83">
            <v>1.6086669531351989</v>
          </cell>
          <cell r="AL83">
            <v>1.6358534246431837</v>
          </cell>
          <cell r="AM83">
            <v>1.6634993475196533</v>
          </cell>
        </row>
        <row r="84"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>
            <v>1</v>
          </cell>
          <cell r="T84">
            <v>0.99270919913920141</v>
          </cell>
          <cell r="U84">
            <v>0.84184612033587092</v>
          </cell>
          <cell r="V84">
            <v>1.1452607837708169</v>
          </cell>
          <cell r="W84">
            <v>0</v>
          </cell>
          <cell r="X84">
            <v>0.9064713468882214</v>
          </cell>
          <cell r="Y84">
            <v>0.84175685116475318</v>
          </cell>
          <cell r="Z84">
            <v>0.81711369085341989</v>
          </cell>
          <cell r="AA84">
            <v>0.90828453335709414</v>
          </cell>
          <cell r="AB84">
            <v>1.1316815629248245</v>
          </cell>
          <cell r="AC84">
            <v>1.1766237947199396</v>
          </cell>
          <cell r="AD84">
            <v>1.1883900326671391</v>
          </cell>
          <cell r="AE84">
            <v>1.2002739329938104</v>
          </cell>
          <cell r="AF84">
            <v>1.2122766723237484</v>
          </cell>
          <cell r="AG84">
            <v>1.2243994390469859</v>
          </cell>
          <cell r="AH84">
            <v>1.2366434334374559</v>
          </cell>
          <cell r="AI84">
            <v>1.2490098677718304</v>
          </cell>
          <cell r="AJ84">
            <v>1.2614999664495488</v>
          </cell>
          <cell r="AK84">
            <v>1.2741149661140443</v>
          </cell>
          <cell r="AL84">
            <v>1.2868561157751848</v>
          </cell>
          <cell r="AM84">
            <v>1.2997246769329367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>
            <v>1</v>
          </cell>
          <cell r="T85">
            <v>1.7787754807587641</v>
          </cell>
          <cell r="U85">
            <v>0.11997614577152858</v>
          </cell>
          <cell r="V85">
            <v>2.42513181203904E-2</v>
          </cell>
          <cell r="W85">
            <v>0.43427260364741638</v>
          </cell>
          <cell r="X85">
            <v>0.40278631632771084</v>
          </cell>
          <cell r="Y85">
            <v>0.15978937914313485</v>
          </cell>
          <cell r="Z85">
            <v>0.43491335398906622</v>
          </cell>
          <cell r="AA85">
            <v>0.60126455829554992</v>
          </cell>
          <cell r="AB85">
            <v>0.79243211829658089</v>
          </cell>
          <cell r="AC85">
            <v>0.53788516330054381</v>
          </cell>
          <cell r="AD85">
            <v>0.56951281090261574</v>
          </cell>
          <cell r="AE85">
            <v>0.60300016418368951</v>
          </cell>
          <cell r="AF85">
            <v>0.63845657383769039</v>
          </cell>
          <cell r="AG85">
            <v>0.67599782037934653</v>
          </cell>
          <cell r="AH85">
            <v>0.71574649221765207</v>
          </cell>
          <cell r="AI85">
            <v>0.75783238596004998</v>
          </cell>
          <cell r="AJ85">
            <v>0.80239293025450087</v>
          </cell>
          <cell r="AK85">
            <v>0.84957363455346546</v>
          </cell>
          <cell r="AL85">
            <v>0.89952856426520922</v>
          </cell>
          <cell r="AM85">
            <v>0.9524208438440035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>
            <v>1</v>
          </cell>
          <cell r="T86">
            <v>0.91748465688742853</v>
          </cell>
          <cell r="U86">
            <v>1.3851234043635421</v>
          </cell>
          <cell r="V86">
            <v>1.0994597272426396</v>
          </cell>
          <cell r="W86">
            <v>1.0844015095223869</v>
          </cell>
          <cell r="X86">
            <v>1.2846990296245475</v>
          </cell>
          <cell r="Y86">
            <v>0.95881919164395712</v>
          </cell>
          <cell r="Z86">
            <v>0.82472594512643604</v>
          </cell>
          <cell r="AA86">
            <v>3.5957446808510638</v>
          </cell>
          <cell r="AB86">
            <v>1.4102605495108642</v>
          </cell>
          <cell r="AC86">
            <v>1.9176519239247207</v>
          </cell>
          <cell r="AD86">
            <v>2.0135345201209569</v>
          </cell>
          <cell r="AE86">
            <v>2.1142112461270051</v>
          </cell>
          <cell r="AF86">
            <v>2.2199218084333556</v>
          </cell>
          <cell r="AG86">
            <v>2.3309178988550237</v>
          </cell>
          <cell r="AH86">
            <v>2.447463793797775</v>
          </cell>
          <cell r="AI86">
            <v>2.5698369834876638</v>
          </cell>
          <cell r="AJ86">
            <v>2.6983288326620469</v>
          </cell>
          <cell r="AK86">
            <v>2.8332452742951495</v>
          </cell>
          <cell r="AL86">
            <v>2.9749075380099073</v>
          </cell>
          <cell r="AM86">
            <v>3.1236529149104029</v>
          </cell>
        </row>
        <row r="87">
          <cell r="D87">
            <v>0.70854768829167103</v>
          </cell>
          <cell r="E87">
            <v>0.67335945804765718</v>
          </cell>
          <cell r="F87">
            <v>0.68352074021874976</v>
          </cell>
          <cell r="G87">
            <v>0.68368029826210819</v>
          </cell>
          <cell r="H87">
            <v>0.63206417410685356</v>
          </cell>
          <cell r="I87">
            <v>0.3274766917802987</v>
          </cell>
          <cell r="J87">
            <v>0.35878625561635269</v>
          </cell>
          <cell r="K87">
            <v>0.3763477715088987</v>
          </cell>
          <cell r="L87">
            <v>0.27902067248295531</v>
          </cell>
          <cell r="M87">
            <v>0.3686006789126447</v>
          </cell>
          <cell r="N87">
            <v>0.27460733007532995</v>
          </cell>
          <cell r="O87">
            <v>0.17145643080518694</v>
          </cell>
          <cell r="P87">
            <v>0.15412159127239555</v>
          </cell>
          <cell r="Q87">
            <v>0.7156660747753909</v>
          </cell>
          <cell r="R87">
            <v>0.67000930945139126</v>
          </cell>
          <cell r="S87">
            <v>0.99999999999999978</v>
          </cell>
          <cell r="T87">
            <v>1.0657909517354387</v>
          </cell>
          <cell r="U87">
            <v>1.0669837015958581</v>
          </cell>
          <cell r="V87">
            <v>1.0277620404152881</v>
          </cell>
          <cell r="W87">
            <v>1.0128720115281695</v>
          </cell>
          <cell r="X87">
            <v>0.82649271001261082</v>
          </cell>
          <cell r="Y87">
            <v>0.88262559734609247</v>
          </cell>
          <cell r="Z87">
            <v>0.99101006832962801</v>
          </cell>
          <cell r="AA87">
            <v>0.60492109743492029</v>
          </cell>
          <cell r="AB87">
            <v>0.56534660985185614</v>
          </cell>
          <cell r="AC87">
            <v>0.74355252400415661</v>
          </cell>
          <cell r="AD87">
            <v>0.750244496720194</v>
          </cell>
          <cell r="AE87">
            <v>0.75699669719067564</v>
          </cell>
          <cell r="AF87">
            <v>0.7638096674653917</v>
          </cell>
          <cell r="AG87">
            <v>0.77068395447258009</v>
          </cell>
          <cell r="AH87">
            <v>0.77762011006283327</v>
          </cell>
          <cell r="AI87">
            <v>0.78461869105339865</v>
          </cell>
          <cell r="AJ87">
            <v>0.79168025927287911</v>
          </cell>
          <cell r="AK87">
            <v>0.79880538160633496</v>
          </cell>
          <cell r="AL87">
            <v>0.80599463004079186</v>
          </cell>
          <cell r="AM87">
            <v>0.81324858171115888</v>
          </cell>
        </row>
        <row r="88">
          <cell r="D88">
            <v>1.3021067541870466</v>
          </cell>
          <cell r="E88">
            <v>1.3617751663675135</v>
          </cell>
          <cell r="F88">
            <v>1.2442059564933456</v>
          </cell>
          <cell r="G88">
            <v>1.3585540740118109</v>
          </cell>
          <cell r="H88">
            <v>1.1423155714005584</v>
          </cell>
          <cell r="I88">
            <v>1.3345249899612828</v>
          </cell>
          <cell r="J88">
            <v>1.3727148552184381</v>
          </cell>
          <cell r="K88">
            <v>1.6624671297944071</v>
          </cell>
          <cell r="L88">
            <v>2.0901919113298786</v>
          </cell>
          <cell r="M88">
            <v>1.9920991127498839</v>
          </cell>
          <cell r="N88">
            <v>1.976150126676292</v>
          </cell>
          <cell r="O88">
            <v>1.5452960847679862</v>
          </cell>
          <cell r="P88">
            <v>1.4183511445357038</v>
          </cell>
          <cell r="Q88">
            <v>0.90639558214594607</v>
          </cell>
          <cell r="R88">
            <v>0.95122541155112639</v>
          </cell>
          <cell r="S88">
            <v>0.99998080357142871</v>
          </cell>
          <cell r="T88">
            <v>0.95663887738357967</v>
          </cell>
          <cell r="U88">
            <v>0.98139154351944713</v>
          </cell>
          <cell r="V88">
            <v>0.9396558474907275</v>
          </cell>
          <cell r="W88">
            <v>1.1731587561374797</v>
          </cell>
          <cell r="X88">
            <v>0.83089199307159245</v>
          </cell>
          <cell r="Y88">
            <v>0.77522823759251613</v>
          </cell>
          <cell r="Z88">
            <v>0.70991901388437506</v>
          </cell>
          <cell r="AA88">
            <v>1.0473650546251234</v>
          </cell>
          <cell r="AB88">
            <v>1.1366647177319296</v>
          </cell>
          <cell r="AC88">
            <v>1.3018558885007618</v>
          </cell>
          <cell r="AD88">
            <v>1.3161951444276148</v>
          </cell>
          <cell r="AE88">
            <v>1.3316476283159695</v>
          </cell>
          <cell r="AF88">
            <v>1.3489410057794731</v>
          </cell>
          <cell r="AG88">
            <v>1.3674055684102859</v>
          </cell>
          <cell r="AH88">
            <v>1.3874832143971072</v>
          </cell>
          <cell r="AI88">
            <v>1.4094240663594277</v>
          </cell>
          <cell r="AJ88">
            <v>1.4335215763522056</v>
          </cell>
          <cell r="AK88">
            <v>1.4599421822506025</v>
          </cell>
          <cell r="AL88">
            <v>1.4889269184010627</v>
          </cell>
          <cell r="AM88">
            <v>1.5210464384750275</v>
          </cell>
        </row>
        <row r="89"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>
            <v>0.80003979322048424</v>
          </cell>
          <cell r="R89">
            <v>0.95620539530445492</v>
          </cell>
          <cell r="S89">
            <v>1</v>
          </cell>
          <cell r="T89">
            <v>0.8588920539092727</v>
          </cell>
          <cell r="U89">
            <v>0.9212345679012347</v>
          </cell>
          <cell r="V89">
            <v>0.74865944328970913</v>
          </cell>
          <cell r="W89" t="str">
            <v/>
          </cell>
          <cell r="X89">
            <v>0.70304061201837442</v>
          </cell>
          <cell r="Y89">
            <v>0.61784588096176596</v>
          </cell>
          <cell r="Z89">
            <v>0.61498431905858852</v>
          </cell>
          <cell r="AA89">
            <v>0.85846370463078858</v>
          </cell>
          <cell r="AB89">
            <v>1.0528960961269593</v>
          </cell>
          <cell r="AC89">
            <v>1.2797693871142199</v>
          </cell>
          <cell r="AD89">
            <v>1.2875759803756166</v>
          </cell>
          <cell r="AE89">
            <v>1.2954301938559079</v>
          </cell>
          <cell r="AF89">
            <v>1.3033323180384289</v>
          </cell>
          <cell r="AG89">
            <v>1.3112826451784634</v>
          </cell>
          <cell r="AH89">
            <v>1.319281469314052</v>
          </cell>
          <cell r="AI89">
            <v>1.3273290862768676</v>
          </cell>
          <cell r="AJ89">
            <v>1.3354257937031566</v>
          </cell>
          <cell r="AK89">
            <v>1.3435718910447458</v>
          </cell>
          <cell r="AL89">
            <v>1.3517676795801188</v>
          </cell>
          <cell r="AM89">
            <v>1.3600134624255575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0.84073042173633683</v>
          </cell>
          <cell r="R90">
            <v>0.93252951629255743</v>
          </cell>
          <cell r="S90">
            <v>1</v>
          </cell>
          <cell r="T90">
            <v>1.0508420208500402</v>
          </cell>
          <cell r="U90">
            <v>1.0485316718587747</v>
          </cell>
          <cell r="V90">
            <v>1.0671227385224373</v>
          </cell>
          <cell r="W90">
            <v>1.0222548300317926</v>
          </cell>
          <cell r="X90">
            <v>0.91760828673796102</v>
          </cell>
          <cell r="Y90">
            <v>0.94327570379436976</v>
          </cell>
          <cell r="Z90">
            <v>0.91196256215267624</v>
          </cell>
          <cell r="AA90">
            <v>1.2576861513371489</v>
          </cell>
          <cell r="AB90">
            <v>1.3996047643256628</v>
          </cell>
          <cell r="AC90">
            <v>1.7285039872334325</v>
          </cell>
          <cell r="AD90">
            <v>1.7390478615555565</v>
          </cell>
          <cell r="AE90">
            <v>1.7496560535110453</v>
          </cell>
          <cell r="AF90">
            <v>1.7603289554374626</v>
          </cell>
          <cell r="AG90">
            <v>1.7710669620656312</v>
          </cell>
          <cell r="AH90">
            <v>1.7818704705342314</v>
          </cell>
          <cell r="AI90">
            <v>1.7927398804044903</v>
          </cell>
          <cell r="AJ90">
            <v>1.8036755936749576</v>
          </cell>
          <cell r="AK90">
            <v>1.8146780147963748</v>
          </cell>
          <cell r="AL90">
            <v>1.8257475506866327</v>
          </cell>
          <cell r="AM90">
            <v>1.8368846107458212</v>
          </cell>
        </row>
        <row r="91"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>
            <v>0.94626563028050015</v>
          </cell>
          <cell r="S91">
            <v>1</v>
          </cell>
          <cell r="T91">
            <v>0.91076828613093874</v>
          </cell>
          <cell r="U91">
            <v>0.94173560421735603</v>
          </cell>
          <cell r="V91">
            <v>0.81813530699307968</v>
          </cell>
          <cell r="W91">
            <v>0.79257662386352978</v>
          </cell>
          <cell r="X91">
            <v>0.73630949812281532</v>
          </cell>
          <cell r="Y91">
            <v>0.63396359959555115</v>
          </cell>
          <cell r="Z91">
            <v>0.56560076697819728</v>
          </cell>
          <cell r="AA91">
            <v>0.87159556942058969</v>
          </cell>
          <cell r="AB91">
            <v>1.0889175984282891</v>
          </cell>
          <cell r="AC91">
            <v>1.1355482501695062</v>
          </cell>
          <cell r="AD91">
            <v>1.1424750944955402</v>
          </cell>
          <cell r="AE91">
            <v>1.149444192571963</v>
          </cell>
          <cell r="AF91">
            <v>1.156455802146652</v>
          </cell>
          <cell r="AG91">
            <v>1.1635101825397465</v>
          </cell>
          <cell r="AH91">
            <v>1.1706075946532388</v>
          </cell>
          <cell r="AI91">
            <v>1.1777483009806236</v>
          </cell>
          <cell r="AJ91">
            <v>1.1849325656166054</v>
          </cell>
          <cell r="AK91">
            <v>1.1921606542668668</v>
          </cell>
          <cell r="AL91">
            <v>1.1994328342578946</v>
          </cell>
          <cell r="AM91">
            <v>1.2067493745468678</v>
          </cell>
        </row>
        <row r="92"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>
            <v>0.75838559876910006</v>
          </cell>
          <cell r="R92">
            <v>1.0433169989861442</v>
          </cell>
          <cell r="S92">
            <v>0.99982800000000005</v>
          </cell>
          <cell r="T92">
            <v>0.84293989497374344</v>
          </cell>
          <cell r="U92">
            <v>0.80572800000000011</v>
          </cell>
          <cell r="V92">
            <v>0.48199520754976444</v>
          </cell>
          <cell r="W92" t="str">
            <v/>
          </cell>
          <cell r="X92">
            <v>0.66018861280963548</v>
          </cell>
          <cell r="Y92">
            <v>0.52515073212747632</v>
          </cell>
          <cell r="Z92">
            <v>0.37306169710056492</v>
          </cell>
          <cell r="AA92">
            <v>0.45934650455927051</v>
          </cell>
          <cell r="AB92">
            <v>0.54857841558954723</v>
          </cell>
          <cell r="AC92">
            <v>0.64220228588004324</v>
          </cell>
          <cell r="AD92">
            <v>0.74013813447674992</v>
          </cell>
          <cell r="AE92">
            <v>0.85300919998445435</v>
          </cell>
          <cell r="AF92">
            <v>0.98309310298208374</v>
          </cell>
          <cell r="AG92">
            <v>1.1330148011868515</v>
          </cell>
          <cell r="AH92">
            <v>1.3057995583678463</v>
          </cell>
          <cell r="AI92">
            <v>1.504933991018943</v>
          </cell>
          <cell r="AJ92">
            <v>1.734436424649332</v>
          </cell>
          <cell r="AK92">
            <v>1.9989379794083553</v>
          </cell>
          <cell r="AL92">
            <v>2.3037760212681295</v>
          </cell>
          <cell r="AM92">
            <v>2.6551018645115194</v>
          </cell>
        </row>
        <row r="93">
          <cell r="D93">
            <v>0.44892718219670558</v>
          </cell>
          <cell r="E93">
            <v>0.51666521515947816</v>
          </cell>
          <cell r="F93">
            <v>0.38832602104716674</v>
          </cell>
          <cell r="G93">
            <v>0.37361182924504666</v>
          </cell>
          <cell r="H93">
            <v>0.33568866936719638</v>
          </cell>
          <cell r="I93">
            <v>0.21638841363610997</v>
          </cell>
          <cell r="J93">
            <v>0.21627246467888078</v>
          </cell>
          <cell r="K93">
            <v>0.2147698384983035</v>
          </cell>
          <cell r="L93">
            <v>0.22005690800010369</v>
          </cell>
          <cell r="M93">
            <v>0.26963472377722869</v>
          </cell>
          <cell r="N93">
            <v>0.57930024713476014</v>
          </cell>
          <cell r="O93">
            <v>0.38378269647959601</v>
          </cell>
          <cell r="P93">
            <v>0.35533153492066677</v>
          </cell>
          <cell r="Q93">
            <v>0.9391872082366215</v>
          </cell>
          <cell r="R93">
            <v>0.94626563028050015</v>
          </cell>
          <cell r="S93">
            <v>1</v>
          </cell>
          <cell r="T93">
            <v>0.90112528132033021</v>
          </cell>
          <cell r="U93">
            <v>0.92809356725146197</v>
          </cell>
          <cell r="V93">
            <v>0.79985536069426866</v>
          </cell>
          <cell r="W93">
            <v>0.76669750231267353</v>
          </cell>
          <cell r="X93">
            <v>0.7127687070000357</v>
          </cell>
          <cell r="Y93">
            <v>0.62723451947324182</v>
          </cell>
          <cell r="Z93">
            <v>0.56571181972987483</v>
          </cell>
          <cell r="AA93">
            <v>1.017621624984447</v>
          </cell>
          <cell r="AB93">
            <v>0.95766530338877298</v>
          </cell>
          <cell r="AC93">
            <v>0.9832639777167802</v>
          </cell>
          <cell r="AD93">
            <v>0.98926188798085257</v>
          </cell>
          <cell r="AE93">
            <v>0.99529638549753574</v>
          </cell>
          <cell r="AF93">
            <v>1.0013676934490707</v>
          </cell>
          <cell r="AG93">
            <v>1.00747603637911</v>
          </cell>
          <cell r="AH93">
            <v>1.0136216402010225</v>
          </cell>
          <cell r="AI93">
            <v>1.0198047322062487</v>
          </cell>
          <cell r="AJ93">
            <v>1.0260255410727068</v>
          </cell>
          <cell r="AK93">
            <v>1.0322842968732504</v>
          </cell>
          <cell r="AL93">
            <v>1.0385812310841773</v>
          </cell>
          <cell r="AM93">
            <v>1.0449165765937909</v>
          </cell>
        </row>
        <row r="94">
          <cell r="D94" t="str">
            <v/>
          </cell>
          <cell r="E94" t="str">
            <v/>
          </cell>
          <cell r="F94" t="str">
            <v/>
          </cell>
          <cell r="G94">
            <v>2.5069197742271832</v>
          </cell>
          <cell r="H94">
            <v>1.6958379872460536</v>
          </cell>
          <cell r="I94">
            <v>1.1015950325934287</v>
          </cell>
          <cell r="J94">
            <v>1.1465859224150847</v>
          </cell>
          <cell r="K94">
            <v>1.223059178694075</v>
          </cell>
          <cell r="L94">
            <v>1.414352048890865</v>
          </cell>
          <cell r="M94">
            <v>1.2284385672363125</v>
          </cell>
          <cell r="N94">
            <v>1.4068720287558458</v>
          </cell>
          <cell r="O94">
            <v>0.67218644893476076</v>
          </cell>
          <cell r="P94">
            <v>0.54665757631456213</v>
          </cell>
          <cell r="Q94" t="str">
            <v/>
          </cell>
          <cell r="R94">
            <v>0.82112200067590413</v>
          </cell>
          <cell r="S94">
            <v>1</v>
          </cell>
          <cell r="T94">
            <v>0</v>
          </cell>
          <cell r="U94">
            <v>0</v>
          </cell>
          <cell r="V94">
            <v>1.3162176821551259</v>
          </cell>
          <cell r="W94">
            <v>0.89361702127659581</v>
          </cell>
          <cell r="X94">
            <v>2.0943914613271195</v>
          </cell>
          <cell r="Y94">
            <v>0.84651162790697687</v>
          </cell>
          <cell r="Z94">
            <v>1.7300380228136885</v>
          </cell>
          <cell r="AA94">
            <v>1.6941489361702131</v>
          </cell>
          <cell r="AB94">
            <v>4.5128337584347662</v>
          </cell>
          <cell r="AC94">
            <v>6.8458111692796493</v>
          </cell>
          <cell r="AD94">
            <v>6.8875706174122548</v>
          </cell>
          <cell r="AE94">
            <v>6.9295847981784693</v>
          </cell>
          <cell r="AF94">
            <v>6.971855265447358</v>
          </cell>
          <cell r="AG94">
            <v>7.0143835825665866</v>
          </cell>
          <cell r="AH94">
            <v>7.0571713224202428</v>
          </cell>
          <cell r="AI94">
            <v>7.1002200674870064</v>
          </cell>
          <cell r="AJ94">
            <v>7.1435314098986771</v>
          </cell>
          <cell r="AK94">
            <v>7.1871069514990591</v>
          </cell>
          <cell r="AL94">
            <v>7.2309483039032036</v>
          </cell>
          <cell r="AM94">
            <v>7.2750570885570127</v>
          </cell>
        </row>
        <row r="95">
          <cell r="D95">
            <v>1.4821081560732519</v>
          </cell>
          <cell r="E95">
            <v>1.3608127390328684</v>
          </cell>
          <cell r="F95">
            <v>1.0934940491587344</v>
          </cell>
          <cell r="G95">
            <v>1.1524153378333235</v>
          </cell>
          <cell r="H95">
            <v>0.9600604528351746</v>
          </cell>
          <cell r="I95">
            <v>0.73898853924656838</v>
          </cell>
          <cell r="J95">
            <v>0.82597873753889728</v>
          </cell>
          <cell r="K95">
            <v>0.94224891944410627</v>
          </cell>
          <cell r="L95">
            <v>1.0782639826909775</v>
          </cell>
          <cell r="M95">
            <v>1.1735412738187185</v>
          </cell>
          <cell r="N95">
            <v>1.398361512037855</v>
          </cell>
          <cell r="O95">
            <v>1.0325612491561345</v>
          </cell>
          <cell r="P95">
            <v>1.0804735279114519</v>
          </cell>
          <cell r="Q95">
            <v>0.93565353402361118</v>
          </cell>
          <cell r="R95">
            <v>1.0120616449368192</v>
          </cell>
          <cell r="S95">
            <v>0.99999159006454152</v>
          </cell>
          <cell r="T95">
            <v>1.007872378245432</v>
          </cell>
          <cell r="U95">
            <v>1.0373808299296263</v>
          </cell>
          <cell r="V95">
            <v>0.93257422502969201</v>
          </cell>
          <cell r="W95">
            <v>0.97305831328881742</v>
          </cell>
          <cell r="X95">
            <v>0.89500642037715594</v>
          </cell>
          <cell r="Y95">
            <v>0.86489613248656916</v>
          </cell>
          <cell r="Z95">
            <v>0.79520207375677354</v>
          </cell>
          <cell r="AA95">
            <v>0.98438090541615542</v>
          </cell>
          <cell r="AB95">
            <v>1.1033164665109589</v>
          </cell>
          <cell r="AC95">
            <v>1.2382372887251805</v>
          </cell>
          <cell r="AD95">
            <v>1.3623598508646655</v>
          </cell>
          <cell r="AE95">
            <v>1.4367357752734005</v>
          </cell>
          <cell r="AF95">
            <v>1.4877342353553089</v>
          </cell>
          <cell r="AG95">
            <v>1.542601657701437</v>
          </cell>
          <cell r="AH95">
            <v>1.6008115070756204</v>
          </cell>
          <cell r="AI95">
            <v>1.664366423212021</v>
          </cell>
          <cell r="AJ95">
            <v>1.7314268051659658</v>
          </cell>
          <cell r="AK95">
            <v>1.8021476250224908</v>
          </cell>
          <cell r="AL95">
            <v>1.8767334478069229</v>
          </cell>
          <cell r="AM95">
            <v>1.9553143166119666</v>
          </cell>
        </row>
        <row r="96">
          <cell r="D96">
            <v>1.3878050491223872</v>
          </cell>
          <cell r="E96">
            <v>1.4109152278102148</v>
          </cell>
          <cell r="F96">
            <v>1.316302922168646</v>
          </cell>
          <cell r="G96">
            <v>1.4387425961033355</v>
          </cell>
          <cell r="H96">
            <v>1.1851238374587294</v>
          </cell>
          <cell r="I96">
            <v>0.8765444866421811</v>
          </cell>
          <cell r="J96">
            <v>0.96918600595764715</v>
          </cell>
          <cell r="K96">
            <v>1.2268128329467094</v>
          </cell>
          <cell r="L96">
            <v>1.2396020552857288</v>
          </cell>
          <cell r="M96">
            <v>2.2601953327589173</v>
          </cell>
          <cell r="N96">
            <v>1.3591013195923953</v>
          </cell>
          <cell r="O96">
            <v>1.4396426614622526</v>
          </cell>
          <cell r="P96">
            <v>1.657630093506169</v>
          </cell>
          <cell r="Q96">
            <v>0.92429098166307611</v>
          </cell>
          <cell r="R96">
            <v>0.94390377564775485</v>
          </cell>
          <cell r="S96">
            <v>1.0008510638297872</v>
          </cell>
          <cell r="T96">
            <v>0.93240834633308667</v>
          </cell>
          <cell r="U96">
            <v>0.9629380422061774</v>
          </cell>
          <cell r="V96">
            <v>0.81097139430557219</v>
          </cell>
          <cell r="W96">
            <v>0.79485403265710042</v>
          </cell>
          <cell r="X96">
            <v>0.76859686648969827</v>
          </cell>
          <cell r="Y96">
            <v>0.6704202366381069</v>
          </cell>
          <cell r="Z96">
            <v>0.71872456807417784</v>
          </cell>
          <cell r="AA96">
            <v>0.51503954850877387</v>
          </cell>
          <cell r="AB96">
            <v>0.97079932281565151</v>
          </cell>
          <cell r="AC96">
            <v>0.71663905327568167</v>
          </cell>
          <cell r="AD96">
            <v>0.7210105515006634</v>
          </cell>
          <cell r="AE96">
            <v>0.72540871586481726</v>
          </cell>
          <cell r="AF96">
            <v>0.72983370903159273</v>
          </cell>
          <cell r="AG96">
            <v>0.73428569465668547</v>
          </cell>
          <cell r="AH96">
            <v>0.73876483739409105</v>
          </cell>
          <cell r="AI96">
            <v>0.74327130290219501</v>
          </cell>
          <cell r="AJ96">
            <v>0.74780525784989849</v>
          </cell>
          <cell r="AK96">
            <v>0.75236686992278268</v>
          </cell>
          <cell r="AL96">
            <v>0.75695630782931167</v>
          </cell>
          <cell r="AM96">
            <v>0.76157374130707056</v>
          </cell>
        </row>
        <row r="97"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>
            <v>0.92642827540540795</v>
          </cell>
          <cell r="R97">
            <v>0.96105103075363296</v>
          </cell>
          <cell r="S97">
            <v>1</v>
          </cell>
          <cell r="T97">
            <v>1.0074680641991485</v>
          </cell>
          <cell r="U97">
            <v>0.99346756152125271</v>
          </cell>
          <cell r="V97">
            <v>0.84691055778014235</v>
          </cell>
          <cell r="W97">
            <v>0.80984042553191504</v>
          </cell>
          <cell r="X97">
            <v>0.76480587070934125</v>
          </cell>
          <cell r="Y97">
            <v>0.69569633787757279</v>
          </cell>
          <cell r="Z97">
            <v>2.2644275454161389</v>
          </cell>
          <cell r="AA97">
            <v>3.1644281914893622</v>
          </cell>
          <cell r="AB97">
            <v>0.90529628823439356</v>
          </cell>
          <cell r="AC97">
            <v>0.89270222809279365</v>
          </cell>
          <cell r="AD97">
            <v>0.89814771168415963</v>
          </cell>
          <cell r="AE97">
            <v>0.90362641272543298</v>
          </cell>
          <cell r="AF97">
            <v>0.90913853384305809</v>
          </cell>
          <cell r="AG97">
            <v>0.91468427889950077</v>
          </cell>
          <cell r="AH97">
            <v>0.92026385300078772</v>
          </cell>
          <cell r="AI97">
            <v>0.92587746250409253</v>
          </cell>
          <cell r="AJ97">
            <v>0.93152531502536751</v>
          </cell>
          <cell r="AK97">
            <v>0.93720761944702224</v>
          </cell>
          <cell r="AL97">
            <v>0.94292458592564909</v>
          </cell>
          <cell r="AM97">
            <v>0.94867642589979551</v>
          </cell>
        </row>
        <row r="98">
          <cell r="D98">
            <v>1.3878050491223872</v>
          </cell>
          <cell r="E98">
            <v>1.4109152278102148</v>
          </cell>
          <cell r="F98">
            <v>1.316302922168646</v>
          </cell>
          <cell r="G98">
            <v>1.4387425961033355</v>
          </cell>
          <cell r="H98">
            <v>1.1851238374587294</v>
          </cell>
          <cell r="I98">
            <v>0.8765444866421811</v>
          </cell>
          <cell r="J98">
            <v>0.96918600595764715</v>
          </cell>
          <cell r="K98">
            <v>1.2268128329467094</v>
          </cell>
          <cell r="L98">
            <v>1.2396020552857288</v>
          </cell>
          <cell r="M98">
            <v>1.2346983578229294</v>
          </cell>
          <cell r="N98">
            <v>0.20733742731997468</v>
          </cell>
          <cell r="O98">
            <v>0.22616731839234661</v>
          </cell>
          <cell r="P98">
            <v>0.200550276915447</v>
          </cell>
          <cell r="Q98">
            <v>0.92403183800404198</v>
          </cell>
          <cell r="R98">
            <v>0.94215070164332015</v>
          </cell>
          <cell r="S98">
            <v>1.0009337068160598</v>
          </cell>
          <cell r="T98">
            <v>0.92365753460255096</v>
          </cell>
          <cell r="U98">
            <v>0.95958833548478339</v>
          </cell>
          <cell r="V98">
            <v>0.80774506763603748</v>
          </cell>
          <cell r="W98">
            <v>0.79346096200497529</v>
          </cell>
          <cell r="X98">
            <v>0.76892348664889643</v>
          </cell>
          <cell r="Y98">
            <v>0.66843913681122991</v>
          </cell>
          <cell r="Z98">
            <v>0.61451987297247268</v>
          </cell>
          <cell r="AA98">
            <v>0.44162386044557783</v>
          </cell>
          <cell r="AB98">
            <v>0.97591095043558607</v>
          </cell>
          <cell r="AC98">
            <v>0.70668364862633715</v>
          </cell>
          <cell r="AD98">
            <v>0.71099441888295778</v>
          </cell>
          <cell r="AE98">
            <v>0.71533148483814379</v>
          </cell>
          <cell r="AF98">
            <v>0.71969500689565646</v>
          </cell>
          <cell r="AG98">
            <v>0.72408514643771993</v>
          </cell>
          <cell r="AH98">
            <v>0.72850206583098998</v>
          </cell>
          <cell r="AI98">
            <v>0.73294592843255901</v>
          </cell>
          <cell r="AJ98">
            <v>0.73741689859599757</v>
          </cell>
          <cell r="AK98">
            <v>0.74191514167743311</v>
          </cell>
          <cell r="AL98">
            <v>0.74644082404166545</v>
          </cell>
          <cell r="AM98">
            <v>0.75099411306831965</v>
          </cell>
        </row>
        <row r="99">
          <cell r="D99">
            <v>1.474486185855963</v>
          </cell>
          <cell r="E99">
            <v>1.3645225868876616</v>
          </cell>
          <cell r="F99">
            <v>1.1094256864327294</v>
          </cell>
          <cell r="G99">
            <v>1.1733468895794876</v>
          </cell>
          <cell r="H99">
            <v>0.9772721580428434</v>
          </cell>
          <cell r="I99">
            <v>0.74864670946133627</v>
          </cell>
          <cell r="J99">
            <v>0.83564227733414198</v>
          </cell>
          <cell r="K99">
            <v>0.96156271396203385</v>
          </cell>
          <cell r="L99">
            <v>1.0909730133764373</v>
          </cell>
          <cell r="M99">
            <v>1.2673447050185205</v>
          </cell>
          <cell r="N99">
            <v>1.3940141772149361</v>
          </cell>
          <cell r="O99">
            <v>1.0655245242886728</v>
          </cell>
          <cell r="P99">
            <v>1.1254813807417012</v>
          </cell>
          <cell r="Q99">
            <v>0.93381042462716446</v>
          </cell>
          <cell r="R99">
            <v>0.99977185491692677</v>
          </cell>
          <cell r="S99">
            <v>1.0001521946564886</v>
          </cell>
          <cell r="T99">
            <v>0.99198768424500494</v>
          </cell>
          <cell r="U99">
            <v>1.019536833324497</v>
          </cell>
          <cell r="V99">
            <v>0.90372690926765098</v>
          </cell>
          <cell r="W99">
            <v>0.928997619621866</v>
          </cell>
          <cell r="X99">
            <v>0.87306805696466905</v>
          </cell>
          <cell r="Y99">
            <v>0.82812664151664184</v>
          </cell>
          <cell r="Z99">
            <v>0.78009946211629422</v>
          </cell>
          <cell r="AA99">
            <v>0.82752848303000981</v>
          </cell>
          <cell r="AB99">
            <v>1.076654278685018</v>
          </cell>
          <cell r="AC99">
            <v>1.1173893852651242</v>
          </cell>
          <cell r="AD99">
            <v>1.2269601573086566</v>
          </cell>
          <cell r="AE99">
            <v>1.2861628110867032</v>
          </cell>
          <cell r="AF99">
            <v>1.3266455998998252</v>
          </cell>
          <cell r="AG99">
            <v>1.3701249546772887</v>
          </cell>
          <cell r="AH99">
            <v>1.4162384066156808</v>
          </cell>
          <cell r="AI99">
            <v>1.4672136815584682</v>
          </cell>
          <cell r="AJ99">
            <v>1.5210809712356985</v>
          </cell>
          <cell r="AK99">
            <v>1.577957553133174</v>
          </cell>
          <cell r="AL99">
            <v>1.6379967255816381</v>
          </cell>
          <cell r="AM99">
            <v>1.7013923892881118</v>
          </cell>
        </row>
        <row r="101">
          <cell r="D101">
            <v>5.4210588941180946</v>
          </cell>
          <cell r="E101">
            <v>10.039423875910463</v>
          </cell>
          <cell r="F101">
            <v>6.0615720821485253</v>
          </cell>
          <cell r="G101">
            <v>5.3496907266549165</v>
          </cell>
          <cell r="H101">
            <v>4.5851883578519415</v>
          </cell>
          <cell r="I101">
            <v>3.8298247770248328</v>
          </cell>
          <cell r="J101">
            <v>4.0945727514578554</v>
          </cell>
          <cell r="K101">
            <v>4.4620161307987249</v>
          </cell>
          <cell r="L101">
            <v>4.3566085320391927</v>
          </cell>
          <cell r="M101">
            <v>4.1323921179534233</v>
          </cell>
          <cell r="N101">
            <v>3.7340472587198574</v>
          </cell>
          <cell r="O101">
            <v>3.7562014180682937</v>
          </cell>
          <cell r="P101">
            <v>3.1899544710791341</v>
          </cell>
          <cell r="Q101">
            <v>2.7640584111165545</v>
          </cell>
          <cell r="R101">
            <v>3.803291616140275</v>
          </cell>
          <cell r="S101">
            <v>3.64</v>
          </cell>
          <cell r="T101">
            <v>3.1790594191313608</v>
          </cell>
          <cell r="U101">
            <v>2.9694107814458839</v>
          </cell>
          <cell r="V101">
            <v>2.7346497764530548</v>
          </cell>
          <cell r="W101">
            <v>2.7577594419017744</v>
          </cell>
          <cell r="X101">
            <v>3.0013662286807432</v>
          </cell>
          <cell r="Y101">
            <v>2.5050464773425007</v>
          </cell>
          <cell r="Z101">
            <v>3.4240738251298066</v>
          </cell>
          <cell r="AA101">
            <v>3.3658509150365425</v>
          </cell>
          <cell r="AB101">
            <v>3.4973870587368268</v>
          </cell>
          <cell r="AC101">
            <v>3.5572963874627841</v>
          </cell>
          <cell r="AD101">
            <v>3.4910121218581591</v>
          </cell>
          <cell r="AE101">
            <v>3.4320279205193587</v>
          </cell>
          <cell r="AF101">
            <v>3.4319290055873628</v>
          </cell>
          <cell r="AG101">
            <v>3.4204905323174302</v>
          </cell>
          <cell r="AH101">
            <v>3.4184332734899585</v>
          </cell>
          <cell r="AI101">
            <v>3.4284939244108479</v>
          </cell>
          <cell r="AJ101">
            <v>3.4551916846382271</v>
          </cell>
          <cell r="AK101">
            <v>3.4875901381296637</v>
          </cell>
          <cell r="AL101">
            <v>3.5151117524099247</v>
          </cell>
          <cell r="AM101">
            <v>3.5577782349167428</v>
          </cell>
        </row>
        <row r="102">
          <cell r="D102">
            <v>33.776343578468769</v>
          </cell>
          <cell r="E102">
            <v>37.797550899032913</v>
          </cell>
          <cell r="F102">
            <v>7.7824145635080235</v>
          </cell>
          <cell r="G102">
            <v>6.3361570748736566</v>
          </cell>
          <cell r="H102">
            <v>3.6298612670615045</v>
          </cell>
          <cell r="I102">
            <v>3.1348573271286657</v>
          </cell>
          <cell r="J102">
            <v>3.2154686033882971</v>
          </cell>
          <cell r="K102">
            <v>3.5009270616135977</v>
          </cell>
          <cell r="L102">
            <v>3.7425016640202386</v>
          </cell>
          <cell r="M102">
            <v>3.5860952157266621</v>
          </cell>
          <cell r="N102">
            <v>3.734047258719857</v>
          </cell>
          <cell r="O102">
            <v>4.1254433293721027</v>
          </cell>
          <cell r="P102">
            <v>3.6858259998354961</v>
          </cell>
          <cell r="Q102">
            <v>4.4500193506772741</v>
          </cell>
          <cell r="R102">
            <v>3.3807921774250689</v>
          </cell>
          <cell r="S102">
            <v>3.64</v>
          </cell>
          <cell r="T102">
            <v>3.9126885158539828</v>
          </cell>
          <cell r="U102">
            <v>3.5093036507996809</v>
          </cell>
          <cell r="V102">
            <v>3.4183122205663188</v>
          </cell>
          <cell r="W102">
            <v>3.1600850899245798</v>
          </cell>
          <cell r="X102">
            <v>3.4028647812016328</v>
          </cell>
          <cell r="Y102">
            <v>1.8069187705421315</v>
          </cell>
          <cell r="Z102">
            <v>1.824424456059317</v>
          </cell>
          <cell r="AA102">
            <v>2.0399096454766923</v>
          </cell>
          <cell r="AB102">
            <v>2.440213722455598</v>
          </cell>
          <cell r="AC102">
            <v>1.5938258125864453</v>
          </cell>
          <cell r="AD102">
            <v>1.5298982936079861</v>
          </cell>
          <cell r="AE102">
            <v>1.4725356956836881</v>
          </cell>
          <cell r="AF102">
            <v>1.4416410158972301</v>
          </cell>
          <cell r="AG102">
            <v>1.4067309506884709</v>
          </cell>
          <cell r="AH102">
            <v>1.3764282350059116</v>
          </cell>
          <cell r="AI102">
            <v>1.3515548196213372</v>
          </cell>
          <cell r="AJ102">
            <v>1.3335406011263813</v>
          </cell>
          <cell r="AK102">
            <v>1.31784202717607</v>
          </cell>
          <cell r="AL102">
            <v>1.3004116896306535</v>
          </cell>
          <cell r="AM102">
            <v>1.2886186652057841</v>
          </cell>
        </row>
        <row r="103"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3.961092430244459</v>
          </cell>
          <cell r="R103">
            <v>4.1098511811539833</v>
          </cell>
          <cell r="S103">
            <v>3.64</v>
          </cell>
          <cell r="T103">
            <v>4.070874767732569</v>
          </cell>
          <cell r="U103">
            <v>4.1856948585917966</v>
          </cell>
          <cell r="V103">
            <v>4.0829840412319918</v>
          </cell>
          <cell r="W103">
            <v>3.7696343571418085</v>
          </cell>
          <cell r="X103">
            <v>4.5111197799158678</v>
          </cell>
          <cell r="Y103">
            <v>5.3104403566308678</v>
          </cell>
          <cell r="Z103">
            <v>4.79844835461786</v>
          </cell>
          <cell r="AA103">
            <v>3.9839771010287945</v>
          </cell>
          <cell r="AB103">
            <v>3.7145698801068638</v>
          </cell>
          <cell r="AC103">
            <v>4.0077352003680931</v>
          </cell>
          <cell r="AD103">
            <v>4.5318106078416749</v>
          </cell>
          <cell r="AE103">
            <v>4.6758815667394353</v>
          </cell>
          <cell r="AF103">
            <v>4.715379323053229</v>
          </cell>
          <cell r="AG103">
            <v>4.7488977310002243</v>
          </cell>
          <cell r="AH103">
            <v>4.799829970131249</v>
          </cell>
          <cell r="AI103">
            <v>4.8712651548993309</v>
          </cell>
          <cell r="AJ103">
            <v>4.9676406385804217</v>
          </cell>
          <cell r="AK103">
            <v>5.0739140476171203</v>
          </cell>
          <cell r="AL103">
            <v>5.1748342197217312</v>
          </cell>
          <cell r="AM103">
            <v>5.2999993738142273</v>
          </cell>
        </row>
        <row r="104"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>
            <v>3.64</v>
          </cell>
          <cell r="T104">
            <v>3.5801682926791494</v>
          </cell>
          <cell r="U104">
            <v>3.341398291489734</v>
          </cell>
          <cell r="V104">
            <v>3.0108407485690836</v>
          </cell>
          <cell r="W104">
            <v>3.2037010717246823</v>
          </cell>
          <cell r="X104">
            <v>3.0593493046906586</v>
          </cell>
          <cell r="Y104">
            <v>3.1322373278536344</v>
          </cell>
          <cell r="Z104">
            <v>3.9355928167452796</v>
          </cell>
          <cell r="AA104">
            <v>3.2471043633691239</v>
          </cell>
          <cell r="AB104">
            <v>3.9722797243382311</v>
          </cell>
          <cell r="AC104">
            <v>4.4111024654554241</v>
          </cell>
          <cell r="AD104">
            <v>4.1884562450916789</v>
          </cell>
          <cell r="AE104">
            <v>3.9878828030671829</v>
          </cell>
          <cell r="AF104">
            <v>3.8620582330791944</v>
          </cell>
          <cell r="AG104">
            <v>3.7278451461579527</v>
          </cell>
          <cell r="AH104">
            <v>3.6081578282362399</v>
          </cell>
          <cell r="AI104">
            <v>3.5046992176017753</v>
          </cell>
          <cell r="AJ104">
            <v>3.4206485978817702</v>
          </cell>
          <cell r="AK104">
            <v>3.3438801627282322</v>
          </cell>
          <cell r="AL104">
            <v>3.2640240411085455</v>
          </cell>
          <cell r="AM104">
            <v>3.1994994100745404</v>
          </cell>
        </row>
        <row r="105"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>
            <v>3.64</v>
          </cell>
          <cell r="T105">
            <v>3.7281018073961163</v>
          </cell>
          <cell r="U105">
            <v>3.0903959497793294</v>
          </cell>
          <cell r="V105">
            <v>4.7589197270033328</v>
          </cell>
          <cell r="W105">
            <v>0</v>
          </cell>
          <cell r="X105">
            <v>4.0167008088698442</v>
          </cell>
          <cell r="Y105">
            <v>4.0427313223282031</v>
          </cell>
          <cell r="Z105">
            <v>4.3084665808365736</v>
          </cell>
          <cell r="AA105">
            <v>3.4450205491117321</v>
          </cell>
          <cell r="AB105">
            <v>3.6715886652872904</v>
          </cell>
          <cell r="AC105">
            <v>3.689305433091286</v>
          </cell>
          <cell r="AD105">
            <v>3.4793216116231367</v>
          </cell>
          <cell r="AE105">
            <v>3.290228840648989</v>
          </cell>
          <cell r="AF105">
            <v>3.1647955739546254</v>
          </cell>
          <cell r="AG105">
            <v>3.0340856376097074</v>
          </cell>
          <cell r="AH105">
            <v>2.9167460860700216</v>
          </cell>
          <cell r="AI105">
            <v>2.8138890899071956</v>
          </cell>
          <cell r="AJ105">
            <v>2.7277703975065686</v>
          </cell>
          <cell r="AK105">
            <v>2.64845855875914</v>
          </cell>
          <cell r="AL105">
            <v>2.5676684940485734</v>
          </cell>
          <cell r="AM105">
            <v>2.4998316610744111</v>
          </cell>
        </row>
        <row r="106"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>
            <v>3.64</v>
          </cell>
          <cell r="T106">
            <v>6.680159799585736</v>
          </cell>
          <cell r="U106">
            <v>0.44042941578745876</v>
          </cell>
          <cell r="V106">
            <v>0.10077187470697019</v>
          </cell>
          <cell r="W106">
            <v>1.8716489955950768</v>
          </cell>
          <cell r="X106">
            <v>1.7848022754929107</v>
          </cell>
          <cell r="Y106">
            <v>0.767425328517929</v>
          </cell>
          <cell r="Z106">
            <v>2.2932055504594118</v>
          </cell>
          <cell r="AA106">
            <v>2.2805284937802579</v>
          </cell>
          <cell r="AB106">
            <v>2.5709394575871474</v>
          </cell>
          <cell r="AC106">
            <v>1.6865396265560164</v>
          </cell>
          <cell r="AD106">
            <v>1.667397215224476</v>
          </cell>
          <cell r="AE106">
            <v>1.6529631083169429</v>
          </cell>
          <cell r="AF106">
            <v>1.6667684738753625</v>
          </cell>
          <cell r="AG106">
            <v>1.675135754280376</v>
          </cell>
          <cell r="AH106">
            <v>1.6881590306036818</v>
          </cell>
          <cell r="AI106">
            <v>1.7073174022520063</v>
          </cell>
          <cell r="AJ106">
            <v>1.7350326916590646</v>
          </cell>
          <cell r="AK106">
            <v>1.7659792275980815</v>
          </cell>
          <cell r="AL106">
            <v>1.794832480218038</v>
          </cell>
          <cell r="AM106">
            <v>1.8318431759923388</v>
          </cell>
        </row>
        <row r="107"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>
            <v>3.64</v>
          </cell>
          <cell r="T107">
            <v>3.4455973718851332</v>
          </cell>
          <cell r="U107">
            <v>5.0847532053504336</v>
          </cell>
          <cell r="V107">
            <v>4.5686018932677852</v>
          </cell>
          <cell r="W107">
            <v>4.6736058850426536</v>
          </cell>
          <cell r="X107">
            <v>5.6926803579192944</v>
          </cell>
          <cell r="Y107">
            <v>4.6049501980825029</v>
          </cell>
          <cell r="Z107">
            <v>4.3486043774580772</v>
          </cell>
          <cell r="AA107">
            <v>13.638253058329886</v>
          </cell>
          <cell r="AB107">
            <v>4.5754007296042447</v>
          </cell>
          <cell r="AC107">
            <v>6.0128000924861258</v>
          </cell>
          <cell r="AD107">
            <v>5.8951471983342785</v>
          </cell>
          <cell r="AE107">
            <v>5.7955426890599506</v>
          </cell>
          <cell r="AF107">
            <v>5.7953756549552642</v>
          </cell>
          <cell r="AG107">
            <v>5.7760599146207463</v>
          </cell>
          <cell r="AH107">
            <v>5.7725858952848981</v>
          </cell>
          <cell r="AI107">
            <v>5.7895749563421059</v>
          </cell>
          <cell r="AJ107">
            <v>5.834658508307105</v>
          </cell>
          <cell r="AK107">
            <v>5.8893686169127291</v>
          </cell>
          <cell r="AL107">
            <v>5.9358433817243608</v>
          </cell>
          <cell r="AM107">
            <v>6.0078927433516034</v>
          </cell>
        </row>
        <row r="108">
          <cell r="D108">
            <v>1.9013645843462497</v>
          </cell>
          <cell r="E108">
            <v>2.0139969900206176</v>
          </cell>
          <cell r="F108">
            <v>2.1862608915732911</v>
          </cell>
          <cell r="G108">
            <v>2.0024607943019106</v>
          </cell>
          <cell r="H108">
            <v>2.2099553653158459</v>
          </cell>
          <cell r="I108">
            <v>1.3880396135880673</v>
          </cell>
          <cell r="J108">
            <v>1.4132247447757462</v>
          </cell>
          <cell r="K108">
            <v>1.2037083387744956</v>
          </cell>
          <cell r="L108">
            <v>0.81857247818433576</v>
          </cell>
          <cell r="M108">
            <v>1.077438834081506</v>
          </cell>
          <cell r="N108">
            <v>0.72884862811507067</v>
          </cell>
          <cell r="O108">
            <v>0.46284926999440779</v>
          </cell>
          <cell r="P108">
            <v>0.39243480708085787</v>
          </cell>
          <cell r="Q108">
            <v>2.8590282107363238</v>
          </cell>
          <cell r="R108">
            <v>2.5144330786718627</v>
          </cell>
          <cell r="S108">
            <v>3.6399999999999992</v>
          </cell>
          <cell r="T108">
            <v>4.0025590343241637</v>
          </cell>
          <cell r="U108">
            <v>3.9168703522406605</v>
          </cell>
          <cell r="V108">
            <v>4.270675393855341</v>
          </cell>
          <cell r="W108">
            <v>4.365324607449117</v>
          </cell>
          <cell r="X108">
            <v>3.66230432790729</v>
          </cell>
          <cell r="Y108">
            <v>4.2390128970643772</v>
          </cell>
          <cell r="Z108">
            <v>5.2253851678966772</v>
          </cell>
          <cell r="AA108">
            <v>2.2943973333466472</v>
          </cell>
          <cell r="AB108">
            <v>1.8341910592993882</v>
          </cell>
          <cell r="AC108">
            <v>2.3314099025595598</v>
          </cell>
          <cell r="AD108">
            <v>2.1965363388158234</v>
          </cell>
          <cell r="AE108">
            <v>2.075103271767575</v>
          </cell>
          <cell r="AF108">
            <v>1.9940179582146293</v>
          </cell>
          <cell r="AG108">
            <v>1.9097698372203979</v>
          </cell>
          <cell r="AH108">
            <v>1.8340940898141438</v>
          </cell>
          <cell r="AI108">
            <v>1.7676641565939575</v>
          </cell>
          <cell r="AJ108">
            <v>1.7118684367569112</v>
          </cell>
          <cell r="AK108">
            <v>1.6604490222343045</v>
          </cell>
          <cell r="AL108">
            <v>1.6082038951817252</v>
          </cell>
          <cell r="AM108">
            <v>1.5641655413381932</v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>
            <v>3.1960944065245673</v>
          </cell>
          <cell r="R109">
            <v>3.5884792077392138</v>
          </cell>
          <cell r="S109">
            <v>3.64</v>
          </cell>
          <cell r="T109">
            <v>3.2255538896122595</v>
          </cell>
          <cell r="U109">
            <v>3.3818289455355903</v>
          </cell>
          <cell r="V109">
            <v>3.1109160847610924</v>
          </cell>
          <cell r="W109" t="str">
            <v/>
          </cell>
          <cell r="X109">
            <v>3.1152708849061677</v>
          </cell>
          <cell r="Y109">
            <v>2.9673472712213349</v>
          </cell>
          <cell r="Z109">
            <v>3.2426814237258665</v>
          </cell>
          <cell r="AA109">
            <v>3.2560557782358854</v>
          </cell>
          <cell r="AB109">
            <v>3.4159798117359439</v>
          </cell>
          <cell r="AC109">
            <v>4.0127185717064311</v>
          </cell>
          <cell r="AD109">
            <v>3.7697143294557747</v>
          </cell>
          <cell r="AE109">
            <v>3.5510741904066649</v>
          </cell>
          <cell r="AF109">
            <v>3.402507402549841</v>
          </cell>
          <cell r="AG109">
            <v>3.2493839132101781</v>
          </cell>
          <cell r="AH109">
            <v>3.1116560829100819</v>
          </cell>
          <cell r="AI109">
            <v>2.9903341286277714</v>
          </cell>
          <cell r="AJ109">
            <v>2.8876219143965143</v>
          </cell>
          <cell r="AK109">
            <v>2.7928362579387151</v>
          </cell>
          <cell r="AL109">
            <v>2.6971867636034821</v>
          </cell>
          <cell r="AM109">
            <v>2.6157883844150986</v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>
            <v>3.3586501834990816</v>
          </cell>
          <cell r="R110">
            <v>3.4996275865536921</v>
          </cell>
          <cell r="S110">
            <v>3.64</v>
          </cell>
          <cell r="T110">
            <v>3.9464185892665178</v>
          </cell>
          <cell r="U110">
            <v>3.8491334148275156</v>
          </cell>
          <cell r="V110">
            <v>4.4342315073144922</v>
          </cell>
          <cell r="W110">
            <v>4.4057631308113114</v>
          </cell>
          <cell r="X110">
            <v>4.06605014071177</v>
          </cell>
          <cell r="Y110">
            <v>4.530299014547964</v>
          </cell>
          <cell r="Z110">
            <v>4.8085844919636092</v>
          </cell>
          <cell r="AA110">
            <v>4.7702613845856314</v>
          </cell>
          <cell r="AB110">
            <v>4.5408294673450929</v>
          </cell>
          <cell r="AC110">
            <v>5.4197264918801888</v>
          </cell>
          <cell r="AD110">
            <v>5.0915159518609121</v>
          </cell>
          <cell r="AE110">
            <v>4.7962124730303701</v>
          </cell>
          <cell r="AF110">
            <v>4.5955526605933468</v>
          </cell>
          <cell r="AG110">
            <v>4.3887383981741426</v>
          </cell>
          <cell r="AH110">
            <v>4.2027180837145668</v>
          </cell>
          <cell r="AI110">
            <v>4.0388561537235743</v>
          </cell>
          <cell r="AJ110">
            <v>3.900129228682307</v>
          </cell>
          <cell r="AK110">
            <v>3.7721082064813585</v>
          </cell>
          <cell r="AL110">
            <v>3.6429204528126142</v>
          </cell>
          <cell r="AM110">
            <v>3.532980783683068</v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>
            <v>3.0296892614024098</v>
          </cell>
          <cell r="R111">
            <v>3.9153945128604843</v>
          </cell>
          <cell r="S111">
            <v>3.6393739200000002</v>
          </cell>
          <cell r="T111">
            <v>3.1656458393887039</v>
          </cell>
          <cell r="U111">
            <v>2.9578072377768496</v>
          </cell>
          <cell r="V111">
            <v>2.0028420897966042</v>
          </cell>
          <cell r="W111" t="str">
            <v/>
          </cell>
          <cell r="X111">
            <v>2.9253877071595067</v>
          </cell>
          <cell r="Y111">
            <v>2.5221574505483924</v>
          </cell>
          <cell r="Z111">
            <v>1.9670749279322679</v>
          </cell>
          <cell r="AA111">
            <v>1.7422493604734606</v>
          </cell>
          <cell r="AB111">
            <v>1.7797889076625688</v>
          </cell>
          <cell r="AC111">
            <v>2.0136260995850619</v>
          </cell>
          <cell r="AD111">
            <v>2.1669473288090759</v>
          </cell>
          <cell r="AE111">
            <v>2.3382957789705214</v>
          </cell>
          <cell r="AF111">
            <v>2.5664840148570658</v>
          </cell>
          <cell r="AG111">
            <v>2.8076327265846821</v>
          </cell>
          <cell r="AH111">
            <v>3.0798576599194027</v>
          </cell>
          <cell r="AI111">
            <v>3.3904594732411648</v>
          </cell>
          <cell r="AJ111">
            <v>3.7504117806924997</v>
          </cell>
          <cell r="AK111">
            <v>4.1551229997237886</v>
          </cell>
          <cell r="AL111">
            <v>4.5967323266684215</v>
          </cell>
          <cell r="AM111">
            <v>5.1067028441332498</v>
          </cell>
        </row>
        <row r="112">
          <cell r="D112">
            <v>1.2046814339867009</v>
          </cell>
          <cell r="E112">
            <v>1.5453294310241912</v>
          </cell>
          <cell r="F112">
            <v>1.2420720294807504</v>
          </cell>
          <cell r="G112">
            <v>1.0942878451410398</v>
          </cell>
          <cell r="H112">
            <v>1.1737051494685065</v>
          </cell>
          <cell r="I112">
            <v>0.91718188679488377</v>
          </cell>
          <cell r="J112">
            <v>0.8518765529988781</v>
          </cell>
          <cell r="K112">
            <v>0.68691849690292883</v>
          </cell>
          <cell r="L112">
            <v>0.64558846812409965</v>
          </cell>
          <cell r="M112">
            <v>0.78815623256970668</v>
          </cell>
          <cell r="N112">
            <v>1.537548871237588</v>
          </cell>
          <cell r="O112">
            <v>1.0360272873281611</v>
          </cell>
          <cell r="P112">
            <v>0.90476915794284696</v>
          </cell>
          <cell r="Q112">
            <v>3.751977099590643</v>
          </cell>
          <cell r="R112">
            <v>3.5511769290724859</v>
          </cell>
          <cell r="S112">
            <v>3.64</v>
          </cell>
          <cell r="T112">
            <v>3.3841600268172565</v>
          </cell>
          <cell r="U112">
            <v>3.4070081597642243</v>
          </cell>
          <cell r="V112">
            <v>3.3236512667660203</v>
          </cell>
          <cell r="W112">
            <v>3.3043498440298325</v>
          </cell>
          <cell r="X112">
            <v>3.1583774288865589</v>
          </cell>
          <cell r="Y112">
            <v>3.012438371973102</v>
          </cell>
          <cell r="Z112">
            <v>2.9828780217166138</v>
          </cell>
          <cell r="AA112">
            <v>3.8597237765730048</v>
          </cell>
          <cell r="AB112">
            <v>3.1070163094056737</v>
          </cell>
          <cell r="AC112">
            <v>3.0830254763094431</v>
          </cell>
          <cell r="AD112">
            <v>2.8963220590818937</v>
          </cell>
          <cell r="AE112">
            <v>2.728337908988459</v>
          </cell>
          <cell r="AF112">
            <v>2.6141920540746253</v>
          </cell>
          <cell r="AG112">
            <v>2.4965452243207951</v>
          </cell>
          <cell r="AH112">
            <v>2.3907270858134018</v>
          </cell>
          <cell r="AI112">
            <v>2.2975138018005756</v>
          </cell>
          <cell r="AJ112">
            <v>2.2185986305658143</v>
          </cell>
          <cell r="AK112">
            <v>2.1457735399380815</v>
          </cell>
          <cell r="AL112">
            <v>2.0722847510878242</v>
          </cell>
          <cell r="AM112">
            <v>2.0097452850665722</v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>
            <v>7.3426257493609519</v>
          </cell>
          <cell r="H113">
            <v>5.9293445383399792</v>
          </cell>
          <cell r="I113">
            <v>4.6692103033621368</v>
          </cell>
          <cell r="J113">
            <v>4.5162922832283323</v>
          </cell>
          <cell r="K113">
            <v>3.911824763319832</v>
          </cell>
          <cell r="L113">
            <v>4.1493329199699795</v>
          </cell>
          <cell r="M113">
            <v>3.5907894188592167</v>
          </cell>
          <cell r="N113">
            <v>3.7340472587198561</v>
          </cell>
          <cell r="O113">
            <v>1.814577649426814</v>
          </cell>
          <cell r="P113">
            <v>1.3919364491970319</v>
          </cell>
          <cell r="Q113" t="str">
            <v/>
          </cell>
          <cell r="R113">
            <v>3.0815337802026508</v>
          </cell>
          <cell r="S113">
            <v>3.64</v>
          </cell>
          <cell r="T113">
            <v>0</v>
          </cell>
          <cell r="U113">
            <v>0</v>
          </cell>
          <cell r="V113">
            <v>5.4692995529061106</v>
          </cell>
          <cell r="W113">
            <v>3.8513537033455818</v>
          </cell>
          <cell r="X113">
            <v>9.280540312368089</v>
          </cell>
          <cell r="Y113">
            <v>4.065567233719797</v>
          </cell>
          <cell r="Z113">
            <v>9.1221222802965869</v>
          </cell>
          <cell r="AA113">
            <v>6.4257153832515819</v>
          </cell>
          <cell r="AB113">
            <v>14.641282334733587</v>
          </cell>
          <cell r="AC113">
            <v>21.465049792531122</v>
          </cell>
          <cell r="AD113">
            <v>20.165158442939553</v>
          </cell>
          <cell r="AE113">
            <v>18.995596863309686</v>
          </cell>
          <cell r="AF113">
            <v>18.200875419012885</v>
          </cell>
          <cell r="AG113">
            <v>17.381779022306386</v>
          </cell>
          <cell r="AH113">
            <v>16.645037912163783</v>
          </cell>
          <cell r="AI113">
            <v>15.996055995525275</v>
          </cell>
          <cell r="AJ113">
            <v>15.446622300294191</v>
          </cell>
          <cell r="AK113">
            <v>14.939589773809486</v>
          </cell>
          <cell r="AL113">
            <v>14.427936359335643</v>
          </cell>
          <cell r="AM113">
            <v>13.992515775736887</v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>
            <v>3.7010061926424855</v>
          </cell>
          <cell r="R114">
            <v>3.6066640685892439</v>
          </cell>
          <cell r="S114">
            <v>3.64</v>
          </cell>
          <cell r="T114">
            <v>3.7835284636140853</v>
          </cell>
          <cell r="U114">
            <v>3.6469944496952804</v>
          </cell>
          <cell r="V114">
            <v>3.5191804500256527</v>
          </cell>
          <cell r="W114">
            <v>3.4902892936569336</v>
          </cell>
          <cell r="X114">
            <v>3.3889613500220546</v>
          </cell>
          <cell r="Y114">
            <v>3.3412420369076483</v>
          </cell>
          <cell r="Z114">
            <v>11.939844495765975</v>
          </cell>
          <cell r="AA114">
            <v>12.00231837657349</v>
          </cell>
          <cell r="AB114">
            <v>2.9371120812620801</v>
          </cell>
          <cell r="AC114">
            <v>2.7990689930075301</v>
          </cell>
          <cell r="AD114">
            <v>2.6295615562166543</v>
          </cell>
          <cell r="AE114">
            <v>2.4770492823297348</v>
          </cell>
          <cell r="AF114">
            <v>2.3734166248558464</v>
          </cell>
          <cell r="AG114">
            <v>2.2666054434951999</v>
          </cell>
          <cell r="AH114">
            <v>2.1705334931756779</v>
          </cell>
          <cell r="AI114">
            <v>2.0859054500337737</v>
          </cell>
          <cell r="AJ114">
            <v>2.0142586178624367</v>
          </cell>
          <cell r="AK114">
            <v>1.9481409504427492</v>
          </cell>
          <cell r="AL114">
            <v>1.8814207135244778</v>
          </cell>
          <cell r="AM114">
            <v>1.8246413318669239</v>
          </cell>
        </row>
        <row r="115">
          <cell r="D115">
            <v>3.7241295314084688</v>
          </cell>
          <cell r="E115">
            <v>4.2200031320907261</v>
          </cell>
          <cell r="F115">
            <v>4.2102330344503738</v>
          </cell>
          <cell r="G115">
            <v>4.2139954143955096</v>
          </cell>
          <cell r="H115">
            <v>4.1436785858912755</v>
          </cell>
          <cell r="I115">
            <v>3.7153131843283158</v>
          </cell>
          <cell r="J115">
            <v>3.8175309797104</v>
          </cell>
          <cell r="K115">
            <v>3.9238304274072187</v>
          </cell>
          <cell r="L115">
            <v>3.6366628942865185</v>
          </cell>
          <cell r="M115">
            <v>3.6090871102555941</v>
          </cell>
          <cell r="N115">
            <v>0.55030431786950962</v>
          </cell>
          <cell r="O115">
            <v>0.61054215186266192</v>
          </cell>
          <cell r="P115">
            <v>0.51065466286437444</v>
          </cell>
          <cell r="Q115">
            <v>3.6914326186290474</v>
          </cell>
          <cell r="R115">
            <v>3.5357342888945884</v>
          </cell>
          <cell r="S115">
            <v>3.6433986928104578</v>
          </cell>
          <cell r="T115">
            <v>3.4687795047660801</v>
          </cell>
          <cell r="U115">
            <v>3.5226246623961579</v>
          </cell>
          <cell r="V115">
            <v>3.3564354872139046</v>
          </cell>
          <cell r="W115">
            <v>3.4196962923920582</v>
          </cell>
          <cell r="X115">
            <v>3.4072070798311693</v>
          </cell>
          <cell r="Y115">
            <v>3.2103330453652266</v>
          </cell>
          <cell r="Z115">
            <v>3.240232498364525</v>
          </cell>
          <cell r="AA115">
            <v>1.6750293749799263</v>
          </cell>
          <cell r="AB115">
            <v>3.1662118579438814</v>
          </cell>
          <cell r="AC115">
            <v>2.2158074960352803</v>
          </cell>
          <cell r="AD115">
            <v>2.0816215041882624</v>
          </cell>
          <cell r="AE115">
            <v>1.9608892748076228</v>
          </cell>
          <cell r="AF115">
            <v>1.8788512758021152</v>
          </cell>
          <cell r="AG115">
            <v>1.7942970840653096</v>
          </cell>
          <cell r="AH115">
            <v>1.7182443150165576</v>
          </cell>
          <cell r="AI115">
            <v>1.6512508065188827</v>
          </cell>
          <cell r="AJ115">
            <v>1.5945335236691121</v>
          </cell>
          <cell r="AK115">
            <v>1.5421932550101758</v>
          </cell>
          <cell r="AL115">
            <v>1.4893759784549789</v>
          </cell>
          <cell r="AM115">
            <v>1.4444281119281617</v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>
            <v>3.6949619157248126</v>
          </cell>
          <cell r="R117">
            <v>3.5348792571757763</v>
          </cell>
          <cell r="S117">
            <v>3.64</v>
          </cell>
          <cell r="T117">
            <v>3.5249674388295933</v>
          </cell>
          <cell r="U117">
            <v>3.2373275436816034</v>
          </cell>
          <cell r="V117">
            <v>3.0747803456636342</v>
          </cell>
          <cell r="W117">
            <v>3.0506427100383386</v>
          </cell>
          <cell r="X117">
            <v>2.8796531837412238</v>
          </cell>
          <cell r="Y117">
            <v>2.7747496370137612</v>
          </cell>
          <cell r="Z117">
            <v>3.0163817673514042</v>
          </cell>
          <cell r="AA117">
            <v>2.701382664983663</v>
          </cell>
          <cell r="AB117">
            <v>2.8801718265712517</v>
          </cell>
          <cell r="AC117">
            <v>2.5026147502759901</v>
          </cell>
          <cell r="AD117">
            <v>2.8290198710545509</v>
          </cell>
          <cell r="AE117">
            <v>2.790459387085841</v>
          </cell>
          <cell r="AF117">
            <v>2.7612328468475207</v>
          </cell>
          <cell r="AG117">
            <v>2.732064855336227</v>
          </cell>
          <cell r="AH117">
            <v>2.7056220739189407</v>
          </cell>
          <cell r="AI117">
            <v>2.6876947881876632</v>
          </cell>
          <cell r="AJ117">
            <v>2.6867094218355798</v>
          </cell>
          <cell r="AK117">
            <v>2.6867911378624312</v>
          </cell>
          <cell r="AL117">
            <v>2.6763836874792797</v>
          </cell>
          <cell r="AM117">
            <v>2.679813076931822</v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>
            <v>3.7172089968541395</v>
          </cell>
          <cell r="R118">
            <v>3.5042073619235601</v>
          </cell>
          <cell r="S118">
            <v>3.64</v>
          </cell>
          <cell r="T118">
            <v>3.5078477931420347</v>
          </cell>
          <cell r="U118">
            <v>3.4390624866745703</v>
          </cell>
          <cell r="V118">
            <v>3.3334639571742311</v>
          </cell>
          <cell r="W118">
            <v>3.2873089222940011</v>
          </cell>
          <cell r="X118">
            <v>3.1341517505996515</v>
          </cell>
          <cell r="Y118">
            <v>2.9487180953868872</v>
          </cell>
          <cell r="Z118">
            <v>3.1310680719948811</v>
          </cell>
          <cell r="AA118">
            <v>3.1338934472847568</v>
          </cell>
          <cell r="AB118">
            <v>3.3443795414633919</v>
          </cell>
          <cell r="AC118">
            <v>3.2027774785909777</v>
          </cell>
          <cell r="AD118">
            <v>3.1430990796215701</v>
          </cell>
          <cell r="AE118">
            <v>3.0899932230765863</v>
          </cell>
          <cell r="AF118">
            <v>3.0899041659719813</v>
          </cell>
          <cell r="AG118">
            <v>3.0796056469316446</v>
          </cell>
          <cell r="AH118">
            <v>3.0777534137965361</v>
          </cell>
          <cell r="AI118">
            <v>3.0868114237793289</v>
          </cell>
          <cell r="AJ118">
            <v>3.1108484945970516</v>
          </cell>
          <cell r="AK118">
            <v>3.1400181295898673</v>
          </cell>
          <cell r="AL118">
            <v>3.1647969494548476</v>
          </cell>
          <cell r="AM118">
            <v>3.2032113052968691</v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>
            <v>3.7214267617754535</v>
          </cell>
          <cell r="R119">
            <v>3.4419250889596689</v>
          </cell>
          <cell r="S119">
            <v>3.64</v>
          </cell>
          <cell r="T119">
            <v>3.3983048963128346</v>
          </cell>
          <cell r="U119">
            <v>3.3731688739316406</v>
          </cell>
          <cell r="V119">
            <v>3.2601939514619209</v>
          </cell>
          <cell r="W119">
            <v>3.1788951202217497</v>
          </cell>
          <cell r="X119">
            <v>3.0251484996116971</v>
          </cell>
          <cell r="Y119">
            <v>2.7956772323140062</v>
          </cell>
          <cell r="Z119">
            <v>2.7509385799612871</v>
          </cell>
          <cell r="AA119">
            <v>2.9974705838073015</v>
          </cell>
          <cell r="AB119">
            <v>2.9231894443852573</v>
          </cell>
          <cell r="AC119">
            <v>2.8770698318410131</v>
          </cell>
          <cell r="AD119">
            <v>2.8234604498482954</v>
          </cell>
          <cell r="AE119">
            <v>2.7757552131339214</v>
          </cell>
          <cell r="AF119">
            <v>2.7756752127246878</v>
          </cell>
          <cell r="AG119">
            <v>2.7664240054080227</v>
          </cell>
          <cell r="AH119">
            <v>2.7647601358104068</v>
          </cell>
          <cell r="AI119">
            <v>2.7728969880994621</v>
          </cell>
          <cell r="AJ119">
            <v>2.7944896000613522</v>
          </cell>
          <cell r="AK119">
            <v>2.8206928181758255</v>
          </cell>
          <cell r="AL119">
            <v>2.8429517467397676</v>
          </cell>
          <cell r="AM119">
            <v>2.8774595403787142</v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>
            <v>3.7733532614507395</v>
          </cell>
          <cell r="R120">
            <v>3.4901244127993931</v>
          </cell>
          <cell r="S120">
            <v>3.64</v>
          </cell>
          <cell r="T120">
            <v>3.4053427832286394</v>
          </cell>
          <cell r="U120">
            <v>3.426548987424836</v>
          </cell>
          <cell r="V120">
            <v>3.30471272078919</v>
          </cell>
          <cell r="W120">
            <v>3.2959339551083509</v>
          </cell>
          <cell r="X120">
            <v>3.1589642506940532</v>
          </cell>
          <cell r="Y120">
            <v>3.0238730458409098</v>
          </cell>
          <cell r="Z120">
            <v>3.0362753701309919</v>
          </cell>
          <cell r="AA120">
            <v>3.2622103443389361</v>
          </cell>
          <cell r="AB120">
            <v>3.3161161251260127</v>
          </cell>
          <cell r="AC120">
            <v>3.361965901254008</v>
          </cell>
          <cell r="AD120">
            <v>3.2993212924050508</v>
          </cell>
          <cell r="AE120">
            <v>3.2435759026442641</v>
          </cell>
          <cell r="AF120">
            <v>3.2434824191128766</v>
          </cell>
          <cell r="AG120">
            <v>3.2326720302930267</v>
          </cell>
          <cell r="AH120">
            <v>3.2307277351669894</v>
          </cell>
          <cell r="AI120">
            <v>3.240235957607958</v>
          </cell>
          <cell r="AJ120">
            <v>3.2654677487627914</v>
          </cell>
          <cell r="AK120">
            <v>3.2960872091697055</v>
          </cell>
          <cell r="AL120">
            <v>3.3220976167038647</v>
          </cell>
          <cell r="AM120">
            <v>3.362421290553455</v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>
            <v>4.4629554534408706</v>
          </cell>
          <cell r="R121">
            <v>3.7331199445743479</v>
          </cell>
          <cell r="S121">
            <v>3.64</v>
          </cell>
          <cell r="T121">
            <v>3.6586854049964415</v>
          </cell>
          <cell r="U121">
            <v>3.5493318743864912</v>
          </cell>
          <cell r="V121">
            <v>2.7789156901006766</v>
          </cell>
          <cell r="W121">
            <v>3.5232754249124394</v>
          </cell>
          <cell r="X121">
            <v>4.2520937104263394</v>
          </cell>
          <cell r="Y121">
            <v>5.6903369346508264</v>
          </cell>
          <cell r="Z121">
            <v>5.1603246476130327</v>
          </cell>
          <cell r="AA121">
            <v>5.2405418512134956</v>
          </cell>
          <cell r="AB121">
            <v>5.2753412598979708</v>
          </cell>
          <cell r="AC121">
            <v>7.328596358716422</v>
          </cell>
          <cell r="AD121">
            <v>7.3131621242100842</v>
          </cell>
          <cell r="AE121">
            <v>7.3176421413528336</v>
          </cell>
          <cell r="AF121">
            <v>7.447751204486627</v>
          </cell>
          <cell r="AG121">
            <v>7.5551269827140803</v>
          </cell>
          <cell r="AH121">
            <v>7.6850552276586459</v>
          </cell>
          <cell r="AI121">
            <v>7.8449427810852308</v>
          </cell>
          <cell r="AJ121">
            <v>8.046834185841039</v>
          </cell>
          <cell r="AK121">
            <v>8.2669413721505141</v>
          </cell>
          <cell r="AL121">
            <v>8.4805704002439413</v>
          </cell>
          <cell r="AM121">
            <v>8.7363758837377823</v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>
            <v>3.8660273099059781</v>
          </cell>
          <cell r="R122">
            <v>3.6063828472193737</v>
          </cell>
          <cell r="S122">
            <v>3.64</v>
          </cell>
          <cell r="T122">
            <v>3.3043157217266872</v>
          </cell>
          <cell r="U122">
            <v>3.2718027010599098</v>
          </cell>
          <cell r="V122">
            <v>3.1376134241355245</v>
          </cell>
          <cell r="W122">
            <v>2.9958867044324027</v>
          </cell>
          <cell r="X122">
            <v>2.8963202823196141</v>
          </cell>
          <cell r="Y122">
            <v>2.6823423739386967</v>
          </cell>
          <cell r="Z122">
            <v>2.4369205761188892</v>
          </cell>
          <cell r="AA122">
            <v>2.6996198697858613</v>
          </cell>
          <cell r="AB122">
            <v>2.7692258585849361</v>
          </cell>
          <cell r="AC122">
            <v>2.6695414489524101</v>
          </cell>
          <cell r="AD122">
            <v>2.5078780067331046</v>
          </cell>
          <cell r="AE122">
            <v>2.3624232724510263</v>
          </cell>
          <cell r="AF122">
            <v>2.2635862393936965</v>
          </cell>
          <cell r="AG122">
            <v>2.1617177693537895</v>
          </cell>
          <cell r="AH122">
            <v>2.0700915700352471</v>
          </cell>
          <cell r="AI122">
            <v>1.9893797085286455</v>
          </cell>
          <cell r="AJ122">
            <v>1.9210483495498827</v>
          </cell>
          <cell r="AK122">
            <v>1.857990291986515</v>
          </cell>
          <cell r="AL122">
            <v>1.79435754896296</v>
          </cell>
          <cell r="AM122">
            <v>1.7402056458982682</v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>
            <v>3.0899648712987458</v>
          </cell>
          <cell r="O123">
            <v>3.4514577393621209</v>
          </cell>
          <cell r="P123">
            <v>3.5105508529700522</v>
          </cell>
          <cell r="Q123">
            <v>3.7665692797541435</v>
          </cell>
          <cell r="R123">
            <v>3.5346357847158165</v>
          </cell>
          <cell r="S123">
            <v>3.64</v>
          </cell>
          <cell r="T123">
            <v>3.4039384711497229</v>
          </cell>
          <cell r="U123">
            <v>3.4088835770998749</v>
          </cell>
          <cell r="V123">
            <v>3.2945780670613591</v>
          </cell>
          <cell r="W123">
            <v>3.2657410746773161</v>
          </cell>
          <cell r="X123">
            <v>3.1606298715091161</v>
          </cell>
          <cell r="Y123">
            <v>2.9804249738969624</v>
          </cell>
          <cell r="Z123">
            <v>2.8128214415947492</v>
          </cell>
          <cell r="AA123">
            <v>2.8437402120957609</v>
          </cell>
          <cell r="AB123">
            <v>2.8353735406161862</v>
          </cell>
          <cell r="AC123">
            <v>2.7961328329154154</v>
          </cell>
          <cell r="AD123">
            <v>2.7902440968271245</v>
          </cell>
          <cell r="AE123">
            <v>2.7919533904505842</v>
          </cell>
          <cell r="AF123">
            <v>2.8415948504902779</v>
          </cell>
          <cell r="AG123">
            <v>2.8825627144939401</v>
          </cell>
          <cell r="AH123">
            <v>2.9321351856507776</v>
          </cell>
          <cell r="AI123">
            <v>2.9931382503343529</v>
          </cell>
          <cell r="AJ123">
            <v>3.0701673508454914</v>
          </cell>
          <cell r="AK123">
            <v>3.154146451382057</v>
          </cell>
          <cell r="AL123">
            <v>3.2356538929544647</v>
          </cell>
          <cell r="AM123">
            <v>3.3332532252449125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>
            <v>3.6302789439735657</v>
          </cell>
          <cell r="R124">
            <v>3.4874636508360584</v>
          </cell>
          <cell r="S124">
            <v>3.64</v>
          </cell>
          <cell r="T124">
            <v>3.4479350913962032</v>
          </cell>
          <cell r="U124">
            <v>3.4344191812248814</v>
          </cell>
          <cell r="V124">
            <v>3.5077633814783353</v>
          </cell>
          <cell r="W124">
            <v>3.5620105731890574</v>
          </cell>
          <cell r="X124">
            <v>3.389097836584682</v>
          </cell>
          <cell r="Y124">
            <v>2.7983212768262855</v>
          </cell>
          <cell r="Z124">
            <v>3.097956980448858</v>
          </cell>
          <cell r="AA124">
            <v>3.0867643756279182</v>
          </cell>
          <cell r="AB124">
            <v>3.0914869794623274</v>
          </cell>
          <cell r="AC124">
            <v>3.121551358717761</v>
          </cell>
          <cell r="AD124">
            <v>3.1149772818637769</v>
          </cell>
          <cell r="AE124">
            <v>3.116885505883018</v>
          </cell>
          <cell r="AF124">
            <v>3.1723043204727635</v>
          </cell>
          <cell r="AG124">
            <v>3.2180400916918495</v>
          </cell>
          <cell r="AH124">
            <v>3.2733818883593848</v>
          </cell>
          <cell r="AI124">
            <v>3.3414845897787635</v>
          </cell>
          <cell r="AJ124">
            <v>3.4274784633640341</v>
          </cell>
          <cell r="AK124">
            <v>3.5212311893782995</v>
          </cell>
          <cell r="AL124">
            <v>3.6122246007037098</v>
          </cell>
          <cell r="AM124">
            <v>3.7211827033856686</v>
          </cell>
        </row>
      </sheetData>
      <sheetData sheetId="21" refreshError="1">
        <row r="5">
          <cell r="D5">
            <v>1075.5990000000002</v>
          </cell>
          <cell r="E5">
            <v>983.02199999999993</v>
          </cell>
          <cell r="F5">
            <v>916.7786431706545</v>
          </cell>
          <cell r="G5">
            <v>831.06980355890141</v>
          </cell>
          <cell r="H5">
            <v>971.68983843277465</v>
          </cell>
          <cell r="I5">
            <v>1313.5857889211331</v>
          </cell>
          <cell r="J5">
            <v>1749.3758438775485</v>
          </cell>
          <cell r="K5">
            <v>1487.5086547782935</v>
          </cell>
          <cell r="L5">
            <v>1714.2733104146264</v>
          </cell>
          <cell r="M5">
            <v>2267.4189746354373</v>
          </cell>
          <cell r="N5">
            <v>1709.1095943702176</v>
          </cell>
          <cell r="O5">
            <v>2046.9470389357875</v>
          </cell>
          <cell r="P5">
            <v>2164.534722697123</v>
          </cell>
          <cell r="Q5">
            <v>2418</v>
          </cell>
          <cell r="R5">
            <v>2588</v>
          </cell>
          <cell r="S5">
            <v>2869</v>
          </cell>
          <cell r="T5">
            <v>3750.9999999999995</v>
          </cell>
          <cell r="U5">
            <v>3710.9999999999995</v>
          </cell>
          <cell r="V5">
            <v>3522</v>
          </cell>
          <cell r="W5">
            <v>4409</v>
          </cell>
          <cell r="X5">
            <v>5522</v>
          </cell>
          <cell r="Y5">
            <v>5952</v>
          </cell>
          <cell r="Z5">
            <v>7951</v>
          </cell>
          <cell r="AA5">
            <v>5752</v>
          </cell>
          <cell r="AB5">
            <v>6841.8953330000004</v>
          </cell>
          <cell r="AC5">
            <v>7279</v>
          </cell>
          <cell r="AD5">
            <v>11266.095582596477</v>
          </cell>
          <cell r="AE5">
            <v>12793.65387992879</v>
          </cell>
          <cell r="AF5">
            <v>14009.228432385331</v>
          </cell>
          <cell r="AG5">
            <v>15367.029285720886</v>
          </cell>
          <cell r="AH5">
            <v>16870.695701235138</v>
          </cell>
          <cell r="AI5">
            <v>18684.201019694705</v>
          </cell>
          <cell r="AJ5">
            <v>20696.776569219313</v>
          </cell>
          <cell r="AK5">
            <v>22930.493842949032</v>
          </cell>
          <cell r="AL5">
            <v>25409.890485088872</v>
          </cell>
          <cell r="AM5">
            <v>28162.247814924453</v>
          </cell>
        </row>
        <row r="6">
          <cell r="D6">
            <v>127</v>
          </cell>
          <cell r="E6">
            <v>300</v>
          </cell>
          <cell r="F6">
            <v>138.6056431706545</v>
          </cell>
          <cell r="G6">
            <v>87.602983124426146</v>
          </cell>
          <cell r="H6">
            <v>90.264670211679984</v>
          </cell>
          <cell r="I6">
            <v>121.34463168742499</v>
          </cell>
          <cell r="J6">
            <v>145.78496371478997</v>
          </cell>
          <cell r="K6">
            <v>208.75318824244624</v>
          </cell>
          <cell r="L6">
            <v>225.38777623228748</v>
          </cell>
          <cell r="M6">
            <v>263.85805185600003</v>
          </cell>
          <cell r="N6">
            <v>242.27706503688415</v>
          </cell>
          <cell r="O6">
            <v>245.72784026912109</v>
          </cell>
          <cell r="P6">
            <v>268.03376113444727</v>
          </cell>
          <cell r="Q6">
            <v>241</v>
          </cell>
          <cell r="R6">
            <v>434</v>
          </cell>
          <cell r="S6">
            <v>450</v>
          </cell>
          <cell r="T6">
            <v>541</v>
          </cell>
          <cell r="U6">
            <v>276</v>
          </cell>
          <cell r="V6">
            <v>373</v>
          </cell>
          <cell r="W6">
            <v>377</v>
          </cell>
          <cell r="X6">
            <v>304</v>
          </cell>
          <cell r="Y6">
            <v>366</v>
          </cell>
          <cell r="Z6">
            <v>914</v>
          </cell>
          <cell r="AA6">
            <v>891</v>
          </cell>
          <cell r="AB6">
            <v>923</v>
          </cell>
          <cell r="AC6">
            <v>1056</v>
          </cell>
          <cell r="AD6">
            <v>1162.0192319999999</v>
          </cell>
          <cell r="AE6">
            <v>1279.9060830864</v>
          </cell>
          <cell r="AF6">
            <v>1389.5940344069045</v>
          </cell>
          <cell r="AG6">
            <v>1508.6822431555763</v>
          </cell>
          <cell r="AH6">
            <v>1637.9763113940091</v>
          </cell>
          <cell r="AI6">
            <v>1778.3508812804762</v>
          </cell>
          <cell r="AJ6">
            <v>1930.7555518062131</v>
          </cell>
          <cell r="AK6">
            <v>2096.2213025960059</v>
          </cell>
          <cell r="AL6">
            <v>2275.8674682284841</v>
          </cell>
          <cell r="AM6">
            <v>2470.9093102556649</v>
          </cell>
        </row>
        <row r="7">
          <cell r="D7">
            <v>3</v>
          </cell>
          <cell r="E7">
            <v>5</v>
          </cell>
          <cell r="F7">
            <v>1</v>
          </cell>
          <cell r="G7">
            <v>1</v>
          </cell>
          <cell r="H7">
            <v>0.66201247619047621</v>
          </cell>
          <cell r="I7">
            <v>0.97525685714285704</v>
          </cell>
          <cell r="J7">
            <v>1.1119533333333333</v>
          </cell>
          <cell r="K7">
            <v>1.3261233333333333</v>
          </cell>
          <cell r="L7">
            <v>1.72634</v>
          </cell>
          <cell r="M7">
            <v>1.9188766666666668</v>
          </cell>
          <cell r="N7">
            <v>2.1633333333333336</v>
          </cell>
          <cell r="O7">
            <v>3.4354266666666669</v>
          </cell>
          <cell r="P7">
            <v>11.867261562675662</v>
          </cell>
          <cell r="Q7">
            <v>13</v>
          </cell>
          <cell r="R7">
            <v>29</v>
          </cell>
          <cell r="S7">
            <v>15</v>
          </cell>
          <cell r="T7">
            <v>16</v>
          </cell>
          <cell r="U7">
            <v>13</v>
          </cell>
          <cell r="V7">
            <v>15</v>
          </cell>
          <cell r="W7">
            <v>16</v>
          </cell>
          <cell r="X7">
            <v>22</v>
          </cell>
          <cell r="Y7">
            <v>8</v>
          </cell>
          <cell r="Z7">
            <v>11</v>
          </cell>
          <cell r="AA7">
            <v>110</v>
          </cell>
          <cell r="AB7">
            <v>120</v>
          </cell>
          <cell r="AC7">
            <v>139</v>
          </cell>
          <cell r="AD7">
            <v>154.466252</v>
          </cell>
          <cell r="AE7">
            <v>168.31878547935997</v>
          </cell>
          <cell r="AF7">
            <v>181.68329704642122</v>
          </cell>
          <cell r="AG7">
            <v>196.10895083190707</v>
          </cell>
          <cell r="AH7">
            <v>211.68000152796051</v>
          </cell>
          <cell r="AI7">
            <v>228.48739364928056</v>
          </cell>
          <cell r="AJ7">
            <v>246.62929270503344</v>
          </cell>
          <cell r="AK7">
            <v>266.21165854581312</v>
          </cell>
          <cell r="AL7">
            <v>287.34886423435074</v>
          </cell>
          <cell r="AM7">
            <v>310.16436405455818</v>
          </cell>
        </row>
        <row r="8">
          <cell r="D8">
            <v>945.59900000000005</v>
          </cell>
          <cell r="E8">
            <v>678.02199999999993</v>
          </cell>
          <cell r="F8">
            <v>777.173</v>
          </cell>
          <cell r="G8">
            <v>742.46682043447527</v>
          </cell>
          <cell r="H8">
            <v>880.76315574490422</v>
          </cell>
          <cell r="I8">
            <v>1191.2659003765652</v>
          </cell>
          <cell r="J8">
            <v>1602.4789268294253</v>
          </cell>
          <cell r="K8">
            <v>1277.4293432025138</v>
          </cell>
          <cell r="L8">
            <v>1487.159194182339</v>
          </cell>
          <cell r="M8">
            <v>2001.6420461127705</v>
          </cell>
          <cell r="N8">
            <v>1464.6691960000001</v>
          </cell>
          <cell r="O8">
            <v>1797.7837719999998</v>
          </cell>
          <cell r="P8">
            <v>1884.6337000000001</v>
          </cell>
          <cell r="Q8">
            <v>2164</v>
          </cell>
          <cell r="R8">
            <v>2125</v>
          </cell>
          <cell r="S8">
            <v>2404</v>
          </cell>
          <cell r="T8">
            <v>3193.9999999999995</v>
          </cell>
          <cell r="U8">
            <v>3421.9999999999995</v>
          </cell>
          <cell r="V8">
            <v>3134</v>
          </cell>
          <cell r="W8">
            <v>4016</v>
          </cell>
          <cell r="X8">
            <v>5196</v>
          </cell>
          <cell r="Y8">
            <v>5578</v>
          </cell>
          <cell r="Z8">
            <v>7026</v>
          </cell>
          <cell r="AA8">
            <v>4751</v>
          </cell>
          <cell r="AB8">
            <v>5798.8953330000004</v>
          </cell>
          <cell r="AC8">
            <v>6084</v>
          </cell>
          <cell r="AD8">
            <v>9949.6100985964786</v>
          </cell>
          <cell r="AE8">
            <v>11345.42901136303</v>
          </cell>
          <cell r="AF8">
            <v>12437.951100932005</v>
          </cell>
          <cell r="AG8">
            <v>13662.238091733403</v>
          </cell>
          <cell r="AH8">
            <v>15021.039388313169</v>
          </cell>
          <cell r="AI8">
            <v>16677.362744764949</v>
          </cell>
          <cell r="AJ8">
            <v>18519.391724708068</v>
          </cell>
          <cell r="AK8">
            <v>20568.060881807214</v>
          </cell>
          <cell r="AL8">
            <v>22846.674152626038</v>
          </cell>
          <cell r="AM8">
            <v>25381.174140614228</v>
          </cell>
        </row>
        <row r="9">
          <cell r="D9">
            <v>484</v>
          </cell>
          <cell r="E9">
            <v>252</v>
          </cell>
          <cell r="F9">
            <v>240</v>
          </cell>
          <cell r="G9">
            <v>262.15082043447524</v>
          </cell>
          <cell r="H9">
            <v>261.30415574490422</v>
          </cell>
          <cell r="I9">
            <v>468.36568137656548</v>
          </cell>
          <cell r="J9">
            <v>709.22005182942553</v>
          </cell>
          <cell r="K9">
            <v>522.1489462025138</v>
          </cell>
          <cell r="L9">
            <v>809.86127518233877</v>
          </cell>
          <cell r="M9">
            <v>1018.7457821127703</v>
          </cell>
          <cell r="N9">
            <v>848.98099999999999</v>
          </cell>
          <cell r="O9">
            <v>1222.425</v>
          </cell>
          <cell r="P9">
            <v>1349.8050000000001</v>
          </cell>
          <cell r="Q9">
            <v>1515</v>
          </cell>
          <cell r="R9">
            <v>1486</v>
          </cell>
          <cell r="S9">
            <v>1763</v>
          </cell>
          <cell r="T9">
            <v>2328</v>
          </cell>
          <cell r="U9">
            <v>2495</v>
          </cell>
          <cell r="V9">
            <v>2150</v>
          </cell>
          <cell r="W9">
            <v>2860</v>
          </cell>
          <cell r="X9">
            <v>3947</v>
          </cell>
          <cell r="Y9">
            <v>4172</v>
          </cell>
          <cell r="Z9">
            <v>5205</v>
          </cell>
          <cell r="AA9">
            <v>3561</v>
          </cell>
          <cell r="AB9">
            <v>4930</v>
          </cell>
          <cell r="AC9">
            <v>5021</v>
          </cell>
          <cell r="AD9">
            <v>8775.6770585964787</v>
          </cell>
          <cell r="AE9">
            <v>10057.627963316252</v>
          </cell>
          <cell r="AF9">
            <v>11022.773029118023</v>
          </cell>
          <cell r="AG9">
            <v>12104.49286033052</v>
          </cell>
          <cell r="AH9">
            <v>13303.642602278451</v>
          </cell>
          <cell r="AI9">
            <v>14781.095261027738</v>
          </cell>
          <cell r="AJ9">
            <v>16422.628271610254</v>
          </cell>
          <cell r="AK9">
            <v>18246.463782599272</v>
          </cell>
          <cell r="AL9">
            <v>20272.847626055562</v>
          </cell>
          <cell r="AM9">
            <v>22524.274060226693</v>
          </cell>
        </row>
        <row r="10">
          <cell r="I10">
            <v>4.5519999999999996</v>
          </cell>
          <cell r="J10">
            <v>4.7028670000000004</v>
          </cell>
          <cell r="K10">
            <v>5.5822079999999996</v>
          </cell>
          <cell r="L10">
            <v>7.0232640000000002</v>
          </cell>
          <cell r="M10">
            <v>10.418158</v>
          </cell>
          <cell r="N10">
            <v>49.656542999999999</v>
          </cell>
          <cell r="O10">
            <v>61.257000000000005</v>
          </cell>
          <cell r="P10">
            <v>65.984999999999999</v>
          </cell>
          <cell r="Q10">
            <v>73.902999999999992</v>
          </cell>
          <cell r="R10">
            <v>95.698000000000008</v>
          </cell>
          <cell r="S10">
            <v>99.308999999999997</v>
          </cell>
          <cell r="T10">
            <v>118.42100000000001</v>
          </cell>
          <cell r="U10">
            <v>123.49</v>
          </cell>
          <cell r="V10">
            <v>102</v>
          </cell>
          <cell r="W10">
            <v>121.020529</v>
          </cell>
          <cell r="X10">
            <v>154.26074800000001</v>
          </cell>
          <cell r="Y10">
            <v>207.57618299999999</v>
          </cell>
          <cell r="Z10">
            <v>299.14583800000003</v>
          </cell>
          <cell r="AA10">
            <v>215.25129100000001</v>
          </cell>
          <cell r="AB10">
            <v>191</v>
          </cell>
          <cell r="AC10">
            <v>254</v>
          </cell>
          <cell r="AD10">
            <v>258.29259999999994</v>
          </cell>
          <cell r="AE10">
            <v>262.65774493999999</v>
          </cell>
          <cell r="AF10">
            <v>267.09666082948598</v>
          </cell>
          <cell r="AG10">
            <v>271.61059439750426</v>
          </cell>
          <cell r="AH10">
            <v>276.20081344282204</v>
          </cell>
          <cell r="AI10">
            <v>280.86860719000572</v>
          </cell>
          <cell r="AJ10">
            <v>285.61528665151678</v>
          </cell>
          <cell r="AK10">
            <v>290.44218499592745</v>
          </cell>
          <cell r="AL10">
            <v>295.35065792235855</v>
          </cell>
          <cell r="AM10">
            <v>300.34208404124644</v>
          </cell>
        </row>
        <row r="11">
          <cell r="I11">
            <v>42.564</v>
          </cell>
          <cell r="J11">
            <v>37.71</v>
          </cell>
          <cell r="K11">
            <v>48.496000000000002</v>
          </cell>
          <cell r="L11">
            <v>52.195</v>
          </cell>
          <cell r="M11">
            <v>50.420999999999999</v>
          </cell>
          <cell r="N11">
            <v>37.982999999999997</v>
          </cell>
          <cell r="O11">
            <v>32.887</v>
          </cell>
          <cell r="P11">
            <v>33.356000000000002</v>
          </cell>
          <cell r="Q11">
            <v>33.886000000000003</v>
          </cell>
          <cell r="R11">
            <v>34.945</v>
          </cell>
          <cell r="S11">
            <v>41.215999999999994</v>
          </cell>
          <cell r="T11">
            <v>30.876999999999999</v>
          </cell>
          <cell r="U11">
            <v>25.787999999999997</v>
          </cell>
          <cell r="V11">
            <v>15</v>
          </cell>
          <cell r="W11">
            <v>0</v>
          </cell>
          <cell r="X11">
            <v>18.146069000000001</v>
          </cell>
          <cell r="Y11">
            <v>24.770457</v>
          </cell>
          <cell r="Z11">
            <v>62.526864000000003</v>
          </cell>
          <cell r="AA11">
            <v>34.104666999999999</v>
          </cell>
          <cell r="AB11">
            <v>34.104666999999999</v>
          </cell>
          <cell r="AC11">
            <v>33</v>
          </cell>
          <cell r="AD11">
            <v>34.913175000000003</v>
          </cell>
          <cell r="AE11">
            <v>36.937266320625</v>
          </cell>
          <cell r="AF11">
            <v>39.078704335563231</v>
          </cell>
          <cell r="AG11">
            <v>41.344292219417511</v>
          </cell>
          <cell r="AH11">
            <v>43.741227560838254</v>
          </cell>
          <cell r="AI11">
            <v>46.277125228677853</v>
          </cell>
          <cell r="AJ11">
            <v>48.960041563810456</v>
          </cell>
          <cell r="AK11">
            <v>51.798499973472381</v>
          </cell>
          <cell r="AL11">
            <v>54.801518009434439</v>
          </cell>
          <cell r="AM11">
            <v>57.978636016031409</v>
          </cell>
        </row>
        <row r="12">
          <cell r="I12">
            <v>32.831000000000003</v>
          </cell>
          <cell r="J12">
            <v>37.125999999999998</v>
          </cell>
          <cell r="K12">
            <v>49.828000000000003</v>
          </cell>
          <cell r="L12">
            <v>62.88</v>
          </cell>
          <cell r="M12">
            <v>78.858000000000004</v>
          </cell>
          <cell r="N12">
            <v>77.965999999999994</v>
          </cell>
          <cell r="O12">
            <v>54.277999999999999</v>
          </cell>
          <cell r="P12">
            <v>48.485999999999997</v>
          </cell>
          <cell r="Q12">
            <v>39.31</v>
          </cell>
          <cell r="R12">
            <v>49.586000000000006</v>
          </cell>
          <cell r="S12">
            <v>49</v>
          </cell>
          <cell r="T12">
            <v>113.35900000000001</v>
          </cell>
          <cell r="U12">
            <v>4.1820000000000004</v>
          </cell>
          <cell r="V12">
            <v>1</v>
          </cell>
          <cell r="W12">
            <v>8.6329720000000005</v>
          </cell>
          <cell r="X12">
            <v>21.713560000000001</v>
          </cell>
          <cell r="Y12">
            <v>22.194762000000001</v>
          </cell>
          <cell r="Z12">
            <v>43.591254999999997</v>
          </cell>
          <cell r="AA12">
            <v>55.316940000000002</v>
          </cell>
          <cell r="AB12">
            <v>59</v>
          </cell>
          <cell r="AC12">
            <v>33</v>
          </cell>
          <cell r="AD12">
            <v>36.600068999999998</v>
          </cell>
          <cell r="AE12">
            <v>40.592880327416999</v>
          </cell>
          <cell r="AF12">
            <v>45.021279420975908</v>
          </cell>
          <cell r="AG12">
            <v>49.932785856848433</v>
          </cell>
          <cell r="AH12">
            <v>55.380103264329598</v>
          </cell>
          <cell r="AI12">
            <v>61.421684869745114</v>
          </cell>
          <cell r="AJ12">
            <v>68.122360737240214</v>
          </cell>
          <cell r="AK12">
            <v>75.554033437147979</v>
          </cell>
          <cell r="AL12">
            <v>83.796449606906762</v>
          </cell>
          <cell r="AM12">
            <v>92.938055683873046</v>
          </cell>
        </row>
        <row r="13">
          <cell r="I13">
            <v>28.099425</v>
          </cell>
          <cell r="J13">
            <v>33.507601999999999</v>
          </cell>
          <cell r="K13">
            <v>26.613472999999999</v>
          </cell>
          <cell r="L13">
            <v>69.161580999999998</v>
          </cell>
          <cell r="M13">
            <v>103.287881</v>
          </cell>
          <cell r="N13">
            <v>99.082652999999993</v>
          </cell>
          <cell r="O13">
            <v>51.704999999999998</v>
          </cell>
          <cell r="P13">
            <v>60.109000000000002</v>
          </cell>
          <cell r="Q13">
            <v>43.816000000000003</v>
          </cell>
          <cell r="R13">
            <v>50.277000000000001</v>
          </cell>
          <cell r="S13">
            <v>45</v>
          </cell>
          <cell r="T13">
            <v>72.908000000000015</v>
          </cell>
          <cell r="U13">
            <v>115.68100000000001</v>
          </cell>
          <cell r="V13">
            <v>118</v>
          </cell>
          <cell r="W13">
            <v>116.075965</v>
          </cell>
          <cell r="X13">
            <v>154.81293299999999</v>
          </cell>
          <cell r="Y13">
            <v>134.680825</v>
          </cell>
          <cell r="Z13">
            <v>140.183379</v>
          </cell>
          <cell r="AA13">
            <v>156</v>
          </cell>
          <cell r="AB13">
            <v>225</v>
          </cell>
          <cell r="AC13">
            <v>279</v>
          </cell>
          <cell r="AD13">
            <v>307.59750000000003</v>
          </cell>
          <cell r="AE13">
            <v>339.12624375000013</v>
          </cell>
          <cell r="AF13">
            <v>373.8866837343752</v>
          </cell>
          <cell r="AG13">
            <v>412.21006881714879</v>
          </cell>
          <cell r="AH13">
            <v>454.46160087090652</v>
          </cell>
          <cell r="AI13">
            <v>501.04391496017445</v>
          </cell>
          <cell r="AJ13">
            <v>552.40091624359229</v>
          </cell>
          <cell r="AK13">
            <v>609.02201015856053</v>
          </cell>
          <cell r="AL13">
            <v>671.44676619981317</v>
          </cell>
          <cell r="AM13">
            <v>740.27005973529424</v>
          </cell>
        </row>
        <row r="14">
          <cell r="D14">
            <v>461.59900000000005</v>
          </cell>
          <cell r="E14">
            <v>426.02199999999993</v>
          </cell>
          <cell r="F14">
            <v>537.173</v>
          </cell>
          <cell r="G14">
            <v>480.31600000000003</v>
          </cell>
          <cell r="H14">
            <v>619.45900000000006</v>
          </cell>
          <cell r="I14">
            <v>614.85379399999977</v>
          </cell>
          <cell r="J14">
            <v>780.21240599999976</v>
          </cell>
          <cell r="K14">
            <v>624.760716</v>
          </cell>
          <cell r="L14">
            <v>486.03807400000005</v>
          </cell>
          <cell r="M14">
            <v>739.91122500000029</v>
          </cell>
          <cell r="N14">
            <v>351</v>
          </cell>
          <cell r="O14">
            <v>375.23177199999986</v>
          </cell>
          <cell r="P14">
            <v>326.8927000000001</v>
          </cell>
          <cell r="Q14">
            <v>458.08500000000004</v>
          </cell>
          <cell r="R14">
            <v>408.49400000000003</v>
          </cell>
          <cell r="S14">
            <v>406.47500000000002</v>
          </cell>
          <cell r="T14">
            <v>530.43499999999995</v>
          </cell>
          <cell r="U14">
            <v>657.85899999999992</v>
          </cell>
          <cell r="V14">
            <v>748</v>
          </cell>
          <cell r="W14">
            <v>910.27053400000023</v>
          </cell>
          <cell r="X14">
            <v>900.06668999999965</v>
          </cell>
          <cell r="Y14">
            <v>1016.7777729999998</v>
          </cell>
          <cell r="Z14">
            <v>1275.5526639999989</v>
          </cell>
          <cell r="AA14">
            <v>729.32710199999974</v>
          </cell>
          <cell r="AB14">
            <v>359.79066600000078</v>
          </cell>
          <cell r="AC14">
            <v>464</v>
          </cell>
          <cell r="AD14">
            <v>536.52969599999994</v>
          </cell>
          <cell r="AE14">
            <v>608.48691270873587</v>
          </cell>
          <cell r="AF14">
            <v>690.09474349358072</v>
          </cell>
          <cell r="AG14">
            <v>782.64749011196579</v>
          </cell>
          <cell r="AH14">
            <v>887.61304089582234</v>
          </cell>
          <cell r="AI14">
            <v>1006.6561514886063</v>
          </cell>
          <cell r="AJ14">
            <v>1141.6648479016521</v>
          </cell>
          <cell r="AK14">
            <v>1294.7803706428303</v>
          </cell>
          <cell r="AL14">
            <v>1468.4311348319641</v>
          </cell>
          <cell r="AM14">
            <v>1665.3712449110874</v>
          </cell>
        </row>
        <row r="15">
          <cell r="D15">
            <v>119.5</v>
          </cell>
          <cell r="E15">
            <v>144.69999999999999</v>
          </cell>
          <cell r="F15">
            <v>189.99863316162833</v>
          </cell>
          <cell r="G15">
            <v>221.81256595161506</v>
          </cell>
          <cell r="H15">
            <v>213.7022319495818</v>
          </cell>
          <cell r="I15">
            <v>387.30432910564588</v>
          </cell>
          <cell r="J15">
            <v>406.85263540206131</v>
          </cell>
          <cell r="K15">
            <v>501.59682925649042</v>
          </cell>
          <cell r="L15">
            <v>675.33733090298779</v>
          </cell>
          <cell r="M15">
            <v>751.3738472869976</v>
          </cell>
          <cell r="N15">
            <v>1098.4292582940011</v>
          </cell>
          <cell r="O15">
            <v>1203.919649280469</v>
          </cell>
          <cell r="P15">
            <v>1564.7180000000001</v>
          </cell>
          <cell r="Q15">
            <v>1633.9079999999999</v>
          </cell>
          <cell r="R15">
            <v>2056.2600000000002</v>
          </cell>
          <cell r="S15">
            <v>2239.9569999999999</v>
          </cell>
          <cell r="T15">
            <v>2322.346</v>
          </cell>
          <cell r="U15">
            <v>2419.2379999999998</v>
          </cell>
          <cell r="V15">
            <v>3224</v>
          </cell>
          <cell r="W15">
            <v>3072</v>
          </cell>
          <cell r="X15">
            <v>3607</v>
          </cell>
          <cell r="Y15">
            <v>4535</v>
          </cell>
          <cell r="Z15">
            <v>5353</v>
          </cell>
          <cell r="AA15">
            <v>6262</v>
          </cell>
          <cell r="AB15">
            <v>6452</v>
          </cell>
          <cell r="AC15">
            <v>7234</v>
          </cell>
          <cell r="AD15">
            <v>7584.3522523499514</v>
          </cell>
          <cell r="AE15">
            <v>7960.6946731795479</v>
          </cell>
          <cell r="AF15">
            <v>8386.5007706785982</v>
          </cell>
          <cell r="AG15">
            <v>8837.6192063215676</v>
          </cell>
          <cell r="AH15">
            <v>9326.4055266094674</v>
          </cell>
          <cell r="AI15">
            <v>9858.936482758274</v>
          </cell>
          <cell r="AJ15">
            <v>10443.230623778602</v>
          </cell>
          <cell r="AK15">
            <v>11080.191857920034</v>
          </cell>
          <cell r="AL15">
            <v>11770.866770954293</v>
          </cell>
          <cell r="AM15">
            <v>12534.700634978073</v>
          </cell>
        </row>
        <row r="16">
          <cell r="D16">
            <v>41.3</v>
          </cell>
          <cell r="E16">
            <v>40.799999999999997</v>
          </cell>
          <cell r="F16">
            <v>45.3</v>
          </cell>
          <cell r="G16">
            <v>50.9</v>
          </cell>
          <cell r="H16">
            <v>57.8</v>
          </cell>
          <cell r="I16">
            <v>61.9</v>
          </cell>
          <cell r="J16">
            <v>73.900000000000006</v>
          </cell>
          <cell r="K16">
            <v>101.7</v>
          </cell>
          <cell r="L16">
            <v>127.2</v>
          </cell>
          <cell r="M16">
            <v>147.80000000000001</v>
          </cell>
          <cell r="N16">
            <v>175</v>
          </cell>
          <cell r="O16">
            <v>272.04899999999998</v>
          </cell>
          <cell r="P16">
            <v>292.83699999999999</v>
          </cell>
          <cell r="Q16">
            <v>339</v>
          </cell>
          <cell r="R16">
            <v>444</v>
          </cell>
          <cell r="S16">
            <v>464</v>
          </cell>
          <cell r="T16">
            <v>555</v>
          </cell>
          <cell r="U16">
            <v>410</v>
          </cell>
          <cell r="V16">
            <v>463</v>
          </cell>
          <cell r="W16">
            <v>532</v>
          </cell>
          <cell r="X16">
            <v>525</v>
          </cell>
          <cell r="Y16">
            <v>689</v>
          </cell>
          <cell r="Z16">
            <v>487</v>
          </cell>
          <cell r="AA16">
            <v>603</v>
          </cell>
          <cell r="AB16">
            <v>713</v>
          </cell>
          <cell r="AC16">
            <v>1005</v>
          </cell>
          <cell r="AD16">
            <v>1053.4285642231389</v>
          </cell>
          <cell r="AE16">
            <v>1105.0045569160636</v>
          </cell>
          <cell r="AF16">
            <v>1164.4961193885681</v>
          </cell>
          <cell r="AG16">
            <v>1226.0778238019782</v>
          </cell>
          <cell r="AH16">
            <v>1291.8847129783767</v>
          </cell>
          <cell r="AI16">
            <v>1362.5479586757588</v>
          </cell>
          <cell r="AJ16">
            <v>1438.9851567289609</v>
          </cell>
          <cell r="AK16">
            <v>1520.3719784977322</v>
          </cell>
          <cell r="AL16">
            <v>1605.7087530178396</v>
          </cell>
          <cell r="AM16">
            <v>1697.8075098869474</v>
          </cell>
        </row>
        <row r="17">
          <cell r="D17">
            <v>37</v>
          </cell>
          <cell r="E17">
            <v>49</v>
          </cell>
          <cell r="F17">
            <v>85.398633161628354</v>
          </cell>
          <cell r="G17">
            <v>109.91256595161506</v>
          </cell>
          <cell r="H17">
            <v>93.102231949581778</v>
          </cell>
          <cell r="I17">
            <v>116.84332910564585</v>
          </cell>
          <cell r="J17">
            <v>140.29463540206135</v>
          </cell>
          <cell r="K17">
            <v>211.54182925649042</v>
          </cell>
          <cell r="L17">
            <v>248.39633090298773</v>
          </cell>
          <cell r="M17">
            <v>257.17984728699753</v>
          </cell>
          <cell r="N17">
            <v>393.81025829400102</v>
          </cell>
          <cell r="O17">
            <v>441.18264928046898</v>
          </cell>
          <cell r="P17">
            <v>658</v>
          </cell>
          <cell r="Q17">
            <v>874</v>
          </cell>
          <cell r="R17">
            <v>1128</v>
          </cell>
          <cell r="S17">
            <v>1235</v>
          </cell>
          <cell r="T17">
            <v>1188</v>
          </cell>
          <cell r="U17">
            <v>1387</v>
          </cell>
          <cell r="V17">
            <v>2142</v>
          </cell>
          <cell r="W17">
            <v>2090</v>
          </cell>
          <cell r="X17">
            <v>2273</v>
          </cell>
          <cell r="Y17">
            <v>2710</v>
          </cell>
          <cell r="Z17">
            <v>3118</v>
          </cell>
          <cell r="AA17">
            <v>3661</v>
          </cell>
          <cell r="AB17">
            <v>3218</v>
          </cell>
          <cell r="AC17">
            <v>3548</v>
          </cell>
          <cell r="AD17">
            <v>3718.9696973768127</v>
          </cell>
          <cell r="AE17">
            <v>3901.0509133713376</v>
          </cell>
          <cell r="AF17">
            <v>4111.076847353871</v>
          </cell>
          <cell r="AG17">
            <v>4328.4817102979296</v>
          </cell>
          <cell r="AH17">
            <v>4560.8029469127187</v>
          </cell>
          <cell r="AI17">
            <v>4810.2688133150177</v>
          </cell>
          <cell r="AJ17">
            <v>5080.1187423625406</v>
          </cell>
          <cell r="AK17">
            <v>5367.4425668755766</v>
          </cell>
          <cell r="AL17">
            <v>5668.7111002062647</v>
          </cell>
          <cell r="AM17">
            <v>5993.8517861481487</v>
          </cell>
        </row>
        <row r="18">
          <cell r="Q18">
            <v>147</v>
          </cell>
          <cell r="R18">
            <v>156</v>
          </cell>
          <cell r="S18">
            <v>191</v>
          </cell>
          <cell r="T18">
            <v>326</v>
          </cell>
          <cell r="U18">
            <v>319</v>
          </cell>
          <cell r="V18">
            <v>409</v>
          </cell>
          <cell r="W18">
            <v>302</v>
          </cell>
          <cell r="X18">
            <v>540</v>
          </cell>
          <cell r="Y18">
            <v>689</v>
          </cell>
          <cell r="Z18">
            <v>953</v>
          </cell>
          <cell r="AA18">
            <v>1093</v>
          </cell>
          <cell r="AB18">
            <v>776</v>
          </cell>
          <cell r="AC18">
            <v>838</v>
          </cell>
          <cell r="AD18">
            <v>868.40515399999992</v>
          </cell>
          <cell r="AE18">
            <v>899.91349820258199</v>
          </cell>
          <cell r="AF18">
            <v>932.5650596578663</v>
          </cell>
          <cell r="AG18">
            <v>966.40131771743279</v>
          </cell>
          <cell r="AH18">
            <v>1001.4652567281744</v>
          </cell>
          <cell r="AI18">
            <v>1037.8014206380426</v>
          </cell>
          <cell r="AJ18">
            <v>1075.4559695830528</v>
          </cell>
          <cell r="AK18">
            <v>1114.4767385274349</v>
          </cell>
          <cell r="AL18">
            <v>1154.9132980314255</v>
          </cell>
          <cell r="AM18">
            <v>1196.8170172238999</v>
          </cell>
        </row>
        <row r="19">
          <cell r="I19">
            <v>145.761</v>
          </cell>
          <cell r="J19">
            <v>128.55799999999999</v>
          </cell>
          <cell r="K19">
            <v>123.55500000000001</v>
          </cell>
          <cell r="L19">
            <v>228.64099999999999</v>
          </cell>
          <cell r="M19">
            <v>244.69399999999999</v>
          </cell>
          <cell r="N19">
            <v>207.619</v>
          </cell>
          <cell r="O19">
            <v>191.68799999999999</v>
          </cell>
          <cell r="P19">
            <v>221.881</v>
          </cell>
          <cell r="Q19">
            <v>187.90799999999999</v>
          </cell>
          <cell r="R19">
            <v>244.26</v>
          </cell>
          <cell r="S19">
            <v>249.95700000000002</v>
          </cell>
          <cell r="T19">
            <v>154.346</v>
          </cell>
          <cell r="U19">
            <v>194.238</v>
          </cell>
          <cell r="V19">
            <v>52</v>
          </cell>
          <cell r="W19">
            <v>0</v>
          </cell>
          <cell r="X19">
            <v>58</v>
          </cell>
          <cell r="Y19">
            <v>201</v>
          </cell>
          <cell r="Z19">
            <v>262</v>
          </cell>
          <cell r="AA19">
            <v>186</v>
          </cell>
          <cell r="AB19">
            <v>212</v>
          </cell>
          <cell r="AC19">
            <v>197</v>
          </cell>
          <cell r="AD19">
            <v>237.82701875000006</v>
          </cell>
          <cell r="AE19">
            <v>287.11518196707044</v>
          </cell>
          <cell r="AF19">
            <v>346.61800895985857</v>
          </cell>
          <cell r="AG19">
            <v>418.45242495423327</v>
          </cell>
          <cell r="AH19">
            <v>505.17407469834228</v>
          </cell>
          <cell r="AI19">
            <v>609.8682443416069</v>
          </cell>
          <cell r="AJ19">
            <v>736.25962630487788</v>
          </cell>
          <cell r="AK19">
            <v>888.84483223389952</v>
          </cell>
          <cell r="AL19">
            <v>1073.0523684341738</v>
          </cell>
          <cell r="AM19">
            <v>1295.435765214854</v>
          </cell>
        </row>
        <row r="20">
          <cell r="D20">
            <v>41.2</v>
          </cell>
          <cell r="E20">
            <v>54.9</v>
          </cell>
          <cell r="F20">
            <v>59.3</v>
          </cell>
          <cell r="G20">
            <v>61</v>
          </cell>
          <cell r="H20">
            <v>62.8</v>
          </cell>
          <cell r="I20">
            <v>62.8</v>
          </cell>
          <cell r="J20">
            <v>64.099999999999994</v>
          </cell>
          <cell r="K20">
            <v>64.8</v>
          </cell>
          <cell r="L20">
            <v>71.099999999999994</v>
          </cell>
          <cell r="M20">
            <v>101.7</v>
          </cell>
          <cell r="N20">
            <v>322</v>
          </cell>
          <cell r="O20">
            <v>299</v>
          </cell>
          <cell r="P20">
            <v>392</v>
          </cell>
          <cell r="Q20">
            <v>86</v>
          </cell>
          <cell r="R20">
            <v>84</v>
          </cell>
          <cell r="S20">
            <v>100</v>
          </cell>
          <cell r="T20">
            <v>99</v>
          </cell>
          <cell r="U20">
            <v>109</v>
          </cell>
          <cell r="V20">
            <v>158</v>
          </cell>
          <cell r="W20">
            <v>148</v>
          </cell>
          <cell r="X20">
            <v>211</v>
          </cell>
          <cell r="Y20">
            <v>246</v>
          </cell>
          <cell r="Z20">
            <v>533</v>
          </cell>
          <cell r="AA20">
            <v>719</v>
          </cell>
          <cell r="AB20">
            <v>1533</v>
          </cell>
          <cell r="AC20">
            <v>1646</v>
          </cell>
          <cell r="AD20">
            <v>1705.7218180000002</v>
          </cell>
          <cell r="AE20">
            <v>1767.6105227224941</v>
          </cell>
          <cell r="AF20">
            <v>1831.7447353184346</v>
          </cell>
          <cell r="AG20">
            <v>1898.205929549993</v>
          </cell>
          <cell r="AH20">
            <v>1967.0785352918554</v>
          </cell>
          <cell r="AI20">
            <v>2038.4500457878498</v>
          </cell>
          <cell r="AJ20">
            <v>2112.4111287991705</v>
          </cell>
          <cell r="AK20">
            <v>2189.0557417853911</v>
          </cell>
          <cell r="AL20">
            <v>2268.4812512645904</v>
          </cell>
          <cell r="AM20">
            <v>2350.7885565042234</v>
          </cell>
        </row>
        <row r="21">
          <cell r="G21">
            <v>1.3</v>
          </cell>
          <cell r="H21">
            <v>4.2</v>
          </cell>
          <cell r="I21">
            <v>3.9</v>
          </cell>
          <cell r="J21">
            <v>6.1</v>
          </cell>
          <cell r="K21">
            <v>6.6</v>
          </cell>
          <cell r="L21">
            <v>9.1</v>
          </cell>
          <cell r="M21">
            <v>9.3000000000000007</v>
          </cell>
          <cell r="N21">
            <v>10.3</v>
          </cell>
          <cell r="O21">
            <v>3.7</v>
          </cell>
          <cell r="P21">
            <v>5.7</v>
          </cell>
          <cell r="Q21">
            <v>8.3000000000000004E-2</v>
          </cell>
          <cell r="R21">
            <v>0.80100000000000005</v>
          </cell>
          <cell r="S21">
            <v>4</v>
          </cell>
          <cell r="T21">
            <v>0</v>
          </cell>
          <cell r="U21">
            <v>0</v>
          </cell>
          <cell r="V21">
            <v>2</v>
          </cell>
          <cell r="W21">
            <v>3</v>
          </cell>
          <cell r="X21">
            <v>4</v>
          </cell>
          <cell r="Y21">
            <v>4</v>
          </cell>
          <cell r="Z21">
            <v>5</v>
          </cell>
          <cell r="AA21">
            <v>7</v>
          </cell>
          <cell r="AB21">
            <v>8</v>
          </cell>
          <cell r="AC21">
            <v>12</v>
          </cell>
          <cell r="AD21">
            <v>12.646677</v>
          </cell>
          <cell r="AE21">
            <v>13.328203261860748</v>
          </cell>
          <cell r="AF21">
            <v>14.04645680359161</v>
          </cell>
          <cell r="AG21">
            <v>14.803416849122961</v>
          </cell>
          <cell r="AH21">
            <v>15.601169282267987</v>
          </cell>
          <cell r="AI21">
            <v>16.441912394597093</v>
          </cell>
          <cell r="AJ21">
            <v>17.327962943063831</v>
          </cell>
          <cell r="AK21">
            <v>18.261762534074808</v>
          </cell>
          <cell r="AL21">
            <v>19.245884351595468</v>
          </cell>
          <cell r="AM21">
            <v>20.28304024783186</v>
          </cell>
        </row>
        <row r="22">
          <cell r="D22">
            <v>1195.0990000000002</v>
          </cell>
          <cell r="E22">
            <v>1127.722</v>
          </cell>
          <cell r="F22">
            <v>1106.7772763322828</v>
          </cell>
          <cell r="G22">
            <v>1054.1823695105165</v>
          </cell>
          <cell r="H22">
            <v>1189.5920703823565</v>
          </cell>
          <cell r="I22">
            <v>1704.7901180267791</v>
          </cell>
          <cell r="J22">
            <v>2162.3284792796098</v>
          </cell>
          <cell r="K22">
            <v>1995.7054840347839</v>
          </cell>
          <cell r="L22">
            <v>2398.7106413176143</v>
          </cell>
          <cell r="M22">
            <v>3028.0928219224347</v>
          </cell>
          <cell r="N22">
            <v>2817.8388526642184</v>
          </cell>
          <cell r="O22">
            <v>3254.5666882162568</v>
          </cell>
          <cell r="P22">
            <v>3734.9527226971231</v>
          </cell>
          <cell r="Q22">
            <v>4051.991</v>
          </cell>
          <cell r="R22">
            <v>4645.0609999999997</v>
          </cell>
          <cell r="S22">
            <v>5112.9570000000003</v>
          </cell>
          <cell r="T22">
            <v>6073.3459999999995</v>
          </cell>
          <cell r="U22">
            <v>6130.2379999999994</v>
          </cell>
          <cell r="V22">
            <v>6748</v>
          </cell>
          <cell r="W22">
            <v>7484</v>
          </cell>
          <cell r="X22">
            <v>9133</v>
          </cell>
          <cell r="Y22">
            <v>10491</v>
          </cell>
          <cell r="Z22">
            <v>13309</v>
          </cell>
          <cell r="AA22">
            <v>12021</v>
          </cell>
          <cell r="AB22">
            <v>13301.895333</v>
          </cell>
          <cell r="AC22">
            <v>14525</v>
          </cell>
          <cell r="AD22">
            <v>18863.09451194643</v>
          </cell>
          <cell r="AE22">
            <v>20767.676756370198</v>
          </cell>
          <cell r="AF22">
            <v>22409.775659867519</v>
          </cell>
          <cell r="AG22">
            <v>24219.451908891577</v>
          </cell>
          <cell r="AH22">
            <v>26212.702397126872</v>
          </cell>
          <cell r="AI22">
            <v>28559.579414847576</v>
          </cell>
          <cell r="AJ22">
            <v>31157.335155940978</v>
          </cell>
          <cell r="AK22">
            <v>34028.947463403143</v>
          </cell>
          <cell r="AL22">
            <v>37200.003140394765</v>
          </cell>
          <cell r="AM22">
            <v>40717.231490150356</v>
          </cell>
        </row>
        <row r="23">
          <cell r="D23">
            <v>98.4</v>
          </cell>
          <cell r="E23">
            <v>93.5</v>
          </cell>
          <cell r="F23">
            <v>102.6</v>
          </cell>
          <cell r="G23">
            <v>103.8</v>
          </cell>
          <cell r="H23">
            <v>121.6</v>
          </cell>
          <cell r="I23">
            <v>152.69999999999999</v>
          </cell>
          <cell r="J23">
            <v>183.6</v>
          </cell>
          <cell r="K23">
            <v>189.2</v>
          </cell>
          <cell r="L23">
            <v>235.8</v>
          </cell>
          <cell r="M23">
            <v>301</v>
          </cell>
          <cell r="N23">
            <v>341.02499999999998</v>
          </cell>
          <cell r="O23">
            <v>399.81</v>
          </cell>
          <cell r="P23">
            <v>484.63400000000001</v>
          </cell>
          <cell r="Q23">
            <v>775</v>
          </cell>
          <cell r="R23">
            <v>953</v>
          </cell>
          <cell r="S23">
            <v>1176</v>
          </cell>
          <cell r="T23">
            <v>1498</v>
          </cell>
          <cell r="U23">
            <v>1794</v>
          </cell>
          <cell r="V23">
            <v>1825</v>
          </cell>
          <cell r="W23">
            <v>2008</v>
          </cell>
          <cell r="X23">
            <v>1647</v>
          </cell>
          <cell r="Y23">
            <v>1896</v>
          </cell>
          <cell r="Z23">
            <v>2960</v>
          </cell>
          <cell r="AA23">
            <v>3157</v>
          </cell>
          <cell r="AB23">
            <v>2948</v>
          </cell>
          <cell r="AC23">
            <v>2535</v>
          </cell>
          <cell r="AD23">
            <v>2671.6105162499998</v>
          </cell>
          <cell r="AE23">
            <v>2815.5829390680838</v>
          </cell>
          <cell r="AF23">
            <v>2967.3139997587286</v>
          </cell>
          <cell r="AG23">
            <v>3127.2218093772267</v>
          </cell>
          <cell r="AH23">
            <v>3295.7470108791126</v>
          </cell>
          <cell r="AI23">
            <v>3473.3539933586358</v>
          </cell>
          <cell r="AJ23">
            <v>3660.5321717222341</v>
          </cell>
          <cell r="AK23">
            <v>3857.7973353233024</v>
          </cell>
          <cell r="AL23">
            <v>4065.6930692745418</v>
          </cell>
          <cell r="AM23">
            <v>4284.7922523544803</v>
          </cell>
        </row>
        <row r="24">
          <cell r="M24">
            <v>250</v>
          </cell>
          <cell r="N24">
            <v>289</v>
          </cell>
          <cell r="O24">
            <v>337</v>
          </cell>
          <cell r="P24">
            <v>426</v>
          </cell>
          <cell r="Q24">
            <v>84</v>
          </cell>
          <cell r="R24">
            <v>90</v>
          </cell>
          <cell r="S24">
            <v>104</v>
          </cell>
          <cell r="T24">
            <v>169</v>
          </cell>
          <cell r="U24">
            <v>183</v>
          </cell>
          <cell r="V24">
            <v>157</v>
          </cell>
          <cell r="W24">
            <v>174</v>
          </cell>
          <cell r="X24">
            <v>130</v>
          </cell>
          <cell r="Y24">
            <v>143</v>
          </cell>
          <cell r="Z24">
            <v>589</v>
          </cell>
          <cell r="AA24">
            <v>523</v>
          </cell>
          <cell r="AB24">
            <v>199</v>
          </cell>
          <cell r="AC24">
            <v>169</v>
          </cell>
          <cell r="AD24">
            <v>178.10736774999998</v>
          </cell>
          <cell r="AE24">
            <v>187.70552927120553</v>
          </cell>
          <cell r="AF24">
            <v>197.82093331724852</v>
          </cell>
          <cell r="AG24">
            <v>208.48145395848175</v>
          </cell>
          <cell r="AH24">
            <v>219.71646739194088</v>
          </cell>
          <cell r="AI24">
            <v>231.55693289057575</v>
          </cell>
          <cell r="AJ24">
            <v>244.03547811481565</v>
          </cell>
          <cell r="AK24">
            <v>257.18648902155354</v>
          </cell>
          <cell r="AL24">
            <v>271.04620461830291</v>
          </cell>
          <cell r="AM24">
            <v>285.65281682363207</v>
          </cell>
        </row>
        <row r="25">
          <cell r="D25">
            <v>98.4</v>
          </cell>
          <cell r="E25">
            <v>93.5</v>
          </cell>
          <cell r="F25">
            <v>102.6</v>
          </cell>
          <cell r="G25">
            <v>103.8</v>
          </cell>
          <cell r="H25">
            <v>121.6</v>
          </cell>
          <cell r="I25">
            <v>152.69999999999999</v>
          </cell>
          <cell r="J25">
            <v>183.6</v>
          </cell>
          <cell r="K25">
            <v>189.2</v>
          </cell>
          <cell r="L25">
            <v>235.8</v>
          </cell>
          <cell r="M25">
            <v>301</v>
          </cell>
          <cell r="N25">
            <v>52.024999999999999</v>
          </cell>
          <cell r="O25">
            <v>62.81</v>
          </cell>
          <cell r="P25">
            <v>58.634000000000015</v>
          </cell>
          <cell r="Q25">
            <v>691</v>
          </cell>
          <cell r="R25">
            <v>863</v>
          </cell>
          <cell r="S25">
            <v>1072</v>
          </cell>
          <cell r="T25">
            <v>1329</v>
          </cell>
          <cell r="U25">
            <v>1611</v>
          </cell>
          <cell r="V25">
            <v>1668</v>
          </cell>
          <cell r="W25">
            <v>1834</v>
          </cell>
          <cell r="X25">
            <v>1517</v>
          </cell>
          <cell r="Y25">
            <v>1753</v>
          </cell>
          <cell r="Z25">
            <v>2371</v>
          </cell>
          <cell r="AA25">
            <v>2634</v>
          </cell>
          <cell r="AB25">
            <v>2749</v>
          </cell>
          <cell r="AC25">
            <v>2366</v>
          </cell>
          <cell r="AD25">
            <v>2493.5031485</v>
          </cell>
          <cell r="AE25">
            <v>2627.8774097968781</v>
          </cell>
          <cell r="AF25">
            <v>2769.4930664414801</v>
          </cell>
          <cell r="AG25">
            <v>2918.7403554187449</v>
          </cell>
          <cell r="AH25">
            <v>3076.0305434871716</v>
          </cell>
          <cell r="AI25">
            <v>3241.79706046806</v>
          </cell>
          <cell r="AJ25">
            <v>3416.4966936074184</v>
          </cell>
          <cell r="AK25">
            <v>3600.610846301749</v>
          </cell>
          <cell r="AL25">
            <v>3794.6468646562389</v>
          </cell>
          <cell r="AM25">
            <v>3999.139435530848</v>
          </cell>
        </row>
        <row r="26">
          <cell r="D26">
            <v>1293.4990000000003</v>
          </cell>
          <cell r="E26">
            <v>1221.222</v>
          </cell>
          <cell r="F26">
            <v>1209.3772763322827</v>
          </cell>
          <cell r="G26">
            <v>1157.9823695105165</v>
          </cell>
          <cell r="H26">
            <v>1311.1920703823564</v>
          </cell>
          <cell r="I26">
            <v>1857.4901180267791</v>
          </cell>
          <cell r="J26">
            <v>2345.9284792796097</v>
          </cell>
          <cell r="K26">
            <v>2184.905484034784</v>
          </cell>
          <cell r="L26">
            <v>2634.5106413176145</v>
          </cell>
          <cell r="M26">
            <v>3329.0928219224347</v>
          </cell>
          <cell r="N26">
            <v>3158.8638526642185</v>
          </cell>
          <cell r="O26">
            <v>3654.3766882162568</v>
          </cell>
          <cell r="P26">
            <v>4219.5867226971232</v>
          </cell>
          <cell r="Q26">
            <v>4826.991</v>
          </cell>
          <cell r="R26">
            <v>5598.0609999999997</v>
          </cell>
          <cell r="S26">
            <v>6288.9570000000003</v>
          </cell>
          <cell r="T26">
            <v>7571.3459999999995</v>
          </cell>
          <cell r="U26">
            <v>7924.2379999999994</v>
          </cell>
          <cell r="V26">
            <v>8573</v>
          </cell>
          <cell r="W26">
            <v>9492</v>
          </cell>
          <cell r="X26">
            <v>10780</v>
          </cell>
          <cell r="Y26">
            <v>12387</v>
          </cell>
          <cell r="Z26">
            <v>16269</v>
          </cell>
          <cell r="AA26">
            <v>15178</v>
          </cell>
          <cell r="AB26">
            <v>16249.895333</v>
          </cell>
          <cell r="AC26">
            <v>17060</v>
          </cell>
          <cell r="AD26">
            <v>21534.705028196429</v>
          </cell>
          <cell r="AE26">
            <v>23583.259695438283</v>
          </cell>
          <cell r="AF26">
            <v>25377.089659626246</v>
          </cell>
          <cell r="AG26">
            <v>27346.673718268805</v>
          </cell>
          <cell r="AH26">
            <v>29508.449408005985</v>
          </cell>
          <cell r="AI26">
            <v>32032.933408206212</v>
          </cell>
          <cell r="AJ26">
            <v>34817.867327663211</v>
          </cell>
          <cell r="AK26">
            <v>37886.744798726446</v>
          </cell>
          <cell r="AL26">
            <v>41265.69620966931</v>
          </cell>
          <cell r="AM26">
            <v>45002.02374250484</v>
          </cell>
        </row>
        <row r="28">
          <cell r="D28">
            <v>3343.4341633641047</v>
          </cell>
          <cell r="E28">
            <v>2992.7525309048792</v>
          </cell>
          <cell r="F28">
            <v>2876.3924242264188</v>
          </cell>
          <cell r="G28">
            <v>2452.4750883366637</v>
          </cell>
          <cell r="H28">
            <v>2588.0856778424768</v>
          </cell>
          <cell r="I28">
            <v>3279.591186031299</v>
          </cell>
          <cell r="J28">
            <v>3678.5820935720344</v>
          </cell>
          <cell r="K28">
            <v>3233.6074174015853</v>
          </cell>
          <cell r="L28">
            <v>3029.4518967257818</v>
          </cell>
          <cell r="M28">
            <v>3036.7304497407063</v>
          </cell>
          <cell r="N28">
            <v>2042.6883983702176</v>
          </cell>
          <cell r="O28">
            <v>3120.6576155685993</v>
          </cell>
          <cell r="P28">
            <v>2990.547976118356</v>
          </cell>
          <cell r="Q28">
            <v>2816</v>
          </cell>
          <cell r="R28">
            <v>2488</v>
          </cell>
          <cell r="S28">
            <v>2869</v>
          </cell>
          <cell r="T28">
            <v>3046</v>
          </cell>
          <cell r="U28">
            <v>2786</v>
          </cell>
          <cell r="V28">
            <v>2503</v>
          </cell>
          <cell r="W28">
            <v>3020</v>
          </cell>
          <cell r="X28">
            <v>3069</v>
          </cell>
          <cell r="Y28">
            <v>2656</v>
          </cell>
          <cell r="Z28">
            <v>3181</v>
          </cell>
          <cell r="AA28">
            <v>3015</v>
          </cell>
          <cell r="AB28">
            <v>3598</v>
          </cell>
          <cell r="AC28">
            <v>3521</v>
          </cell>
          <cell r="AD28">
            <v>4610.4997697204708</v>
          </cell>
          <cell r="AE28">
            <v>4834.7182462592891</v>
          </cell>
          <cell r="AF28">
            <v>5045.3108988807398</v>
          </cell>
          <cell r="AG28">
            <v>5268.5511117222622</v>
          </cell>
          <cell r="AH28">
            <v>5505.5201180017084</v>
          </cell>
          <cell r="AI28">
            <v>5797.3202725027631</v>
          </cell>
          <cell r="AJ28">
            <v>6108.594404251473</v>
          </cell>
          <cell r="AK28">
            <v>6441.0113583930297</v>
          </cell>
          <cell r="AL28">
            <v>6796.4133439049892</v>
          </cell>
          <cell r="AM28">
            <v>7176.8359097182192</v>
          </cell>
        </row>
        <row r="29">
          <cell r="D29">
            <v>294.14402190284187</v>
          </cell>
          <cell r="E29">
            <v>370.24148012415753</v>
          </cell>
          <cell r="F29">
            <v>244.78122971852514</v>
          </cell>
          <cell r="G29">
            <v>156.63309218605337</v>
          </cell>
          <cell r="H29">
            <v>169.73388412417097</v>
          </cell>
          <cell r="I29">
            <v>218.77797115855287</v>
          </cell>
          <cell r="J29">
            <v>222.73337381202413</v>
          </cell>
          <cell r="K29">
            <v>267.19268818027012</v>
          </cell>
          <cell r="L29">
            <v>242.62800750730432</v>
          </cell>
          <cell r="M29">
            <v>258.1469651584631</v>
          </cell>
          <cell r="N29">
            <v>242.27706503688415</v>
          </cell>
          <cell r="O29">
            <v>232.79622886040144</v>
          </cell>
          <cell r="P29">
            <v>273.06082093116032</v>
          </cell>
          <cell r="Q29">
            <v>388</v>
          </cell>
          <cell r="R29">
            <v>439</v>
          </cell>
          <cell r="S29">
            <v>450</v>
          </cell>
          <cell r="T29">
            <v>541</v>
          </cell>
          <cell r="U29">
            <v>276</v>
          </cell>
          <cell r="V29">
            <v>373</v>
          </cell>
          <cell r="W29">
            <v>351</v>
          </cell>
          <cell r="X29">
            <v>235</v>
          </cell>
          <cell r="Y29">
            <v>297</v>
          </cell>
          <cell r="Z29">
            <v>487</v>
          </cell>
          <cell r="AA29">
            <v>486</v>
          </cell>
          <cell r="AB29">
            <v>483</v>
          </cell>
          <cell r="AC29">
            <v>531</v>
          </cell>
          <cell r="AD29">
            <v>555.95699999999999</v>
          </cell>
          <cell r="AE29">
            <v>583.198893</v>
          </cell>
          <cell r="AF29">
            <v>603.02765536200002</v>
          </cell>
          <cell r="AG29">
            <v>623.53059564430794</v>
          </cell>
          <cell r="AH29">
            <v>644.73063589621449</v>
          </cell>
          <cell r="AI29">
            <v>666.65147751668587</v>
          </cell>
          <cell r="AJ29">
            <v>689.3176277522532</v>
          </cell>
          <cell r="AK29">
            <v>712.75442709582978</v>
          </cell>
          <cell r="AL29">
            <v>736.98807761708804</v>
          </cell>
          <cell r="AM29">
            <v>762.04567225606911</v>
          </cell>
        </row>
        <row r="30">
          <cell r="D30">
            <v>1.1151904761904763</v>
          </cell>
          <cell r="E30">
            <v>1.6390000000000002</v>
          </cell>
          <cell r="F30">
            <v>1.3755238095238096</v>
          </cell>
          <cell r="G30">
            <v>1.5096190476190479</v>
          </cell>
          <cell r="H30">
            <v>1.5724761904761906</v>
          </cell>
          <cell r="I30">
            <v>2.1481428571428571</v>
          </cell>
          <cell r="J30">
            <v>2.1633333333333336</v>
          </cell>
          <cell r="K30">
            <v>2.1633333333333336</v>
          </cell>
          <cell r="L30">
            <v>2.1633333333333336</v>
          </cell>
          <cell r="M30">
            <v>2.1633333333333336</v>
          </cell>
          <cell r="N30">
            <v>2.1633333333333336</v>
          </cell>
          <cell r="O30">
            <v>2.9633333333333338</v>
          </cell>
          <cell r="P30">
            <v>10.463333333333335</v>
          </cell>
          <cell r="Q30">
            <v>13</v>
          </cell>
          <cell r="R30">
            <v>33</v>
          </cell>
          <cell r="S30">
            <v>15</v>
          </cell>
          <cell r="T30">
            <v>13</v>
          </cell>
          <cell r="U30">
            <v>11</v>
          </cell>
          <cell r="V30">
            <v>12</v>
          </cell>
          <cell r="W30">
            <v>13</v>
          </cell>
          <cell r="X30">
            <v>15</v>
          </cell>
          <cell r="Y30">
            <v>9</v>
          </cell>
          <cell r="Z30">
            <v>11</v>
          </cell>
          <cell r="AA30">
            <v>99</v>
          </cell>
          <cell r="AB30">
            <v>90</v>
          </cell>
          <cell r="AC30">
            <v>156</v>
          </cell>
          <cell r="AD30">
            <v>168.636</v>
          </cell>
          <cell r="AE30">
            <v>178.75415999999998</v>
          </cell>
          <cell r="AF30">
            <v>187.691868</v>
          </cell>
          <cell r="AG30">
            <v>197.07646140000003</v>
          </cell>
          <cell r="AH30">
            <v>206.93028447000003</v>
          </cell>
          <cell r="AI30">
            <v>217.27679869350004</v>
          </cell>
          <cell r="AJ30">
            <v>228.14063862817503</v>
          </cell>
          <cell r="AK30">
            <v>239.54767055958382</v>
          </cell>
          <cell r="AL30">
            <v>251.52505408756301</v>
          </cell>
          <cell r="AM30">
            <v>264.10130679194117</v>
          </cell>
        </row>
        <row r="31">
          <cell r="D31">
            <v>3048.1749509850724</v>
          </cell>
          <cell r="E31">
            <v>2620.8720507807216</v>
          </cell>
          <cell r="F31">
            <v>2630.2356706983701</v>
          </cell>
          <cell r="G31">
            <v>2294.3323771029914</v>
          </cell>
          <cell r="H31">
            <v>2416.7793175278298</v>
          </cell>
          <cell r="I31">
            <v>3058.6650720156031</v>
          </cell>
          <cell r="J31">
            <v>3453.6853864266768</v>
          </cell>
          <cell r="K31">
            <v>2964.2513958879817</v>
          </cell>
          <cell r="L31">
            <v>2784.6605558851443</v>
          </cell>
          <cell r="M31">
            <v>2776.4201512489099</v>
          </cell>
          <cell r="N31">
            <v>1798.248</v>
          </cell>
          <cell r="O31">
            <v>2884.8980533748645</v>
          </cell>
          <cell r="P31">
            <v>2707.0238218538625</v>
          </cell>
          <cell r="Q31">
            <v>2415</v>
          </cell>
          <cell r="R31">
            <v>2016</v>
          </cell>
          <cell r="S31">
            <v>2404</v>
          </cell>
          <cell r="T31">
            <v>2492</v>
          </cell>
          <cell r="U31">
            <v>2499</v>
          </cell>
          <cell r="V31">
            <v>2118</v>
          </cell>
          <cell r="W31">
            <v>2656</v>
          </cell>
          <cell r="X31">
            <v>2819</v>
          </cell>
          <cell r="Y31">
            <v>2350</v>
          </cell>
          <cell r="Z31">
            <v>2683</v>
          </cell>
          <cell r="AA31">
            <v>2430</v>
          </cell>
          <cell r="AB31">
            <v>3025</v>
          </cell>
          <cell r="AC31">
            <v>2834</v>
          </cell>
          <cell r="AD31">
            <v>3885.9067697204705</v>
          </cell>
          <cell r="AE31">
            <v>4072.7651932592889</v>
          </cell>
          <cell r="AF31">
            <v>4254.5913755187394</v>
          </cell>
          <cell r="AG31">
            <v>4447.9440546779542</v>
          </cell>
          <cell r="AH31">
            <v>4653.8591976354937</v>
          </cell>
          <cell r="AI31">
            <v>4913.3919962925775</v>
          </cell>
          <cell r="AJ31">
            <v>5191.1361378710444</v>
          </cell>
          <cell r="AK31">
            <v>5488.7092607376162</v>
          </cell>
          <cell r="AL31">
            <v>5807.9002122003385</v>
          </cell>
          <cell r="AM31">
            <v>6150.6889306702087</v>
          </cell>
        </row>
        <row r="32">
          <cell r="Q32">
            <v>1702</v>
          </cell>
          <cell r="R32">
            <v>1391</v>
          </cell>
          <cell r="S32">
            <v>1763</v>
          </cell>
          <cell r="T32">
            <v>1818</v>
          </cell>
          <cell r="U32">
            <v>1770</v>
          </cell>
          <cell r="V32">
            <v>1440</v>
          </cell>
          <cell r="W32">
            <v>1948</v>
          </cell>
          <cell r="X32">
            <v>2030</v>
          </cell>
          <cell r="Y32">
            <v>1597</v>
          </cell>
          <cell r="Z32">
            <v>1979</v>
          </cell>
          <cell r="AA32">
            <v>1641</v>
          </cell>
          <cell r="AB32">
            <v>2429</v>
          </cell>
          <cell r="AC32">
            <v>2241</v>
          </cell>
          <cell r="AD32">
            <v>3234.3582697204702</v>
          </cell>
          <cell r="AE32">
            <v>3363.7326005092891</v>
          </cell>
          <cell r="AF32">
            <v>3481.463241527114</v>
          </cell>
          <cell r="AG32">
            <v>3603.3144549805629</v>
          </cell>
          <cell r="AH32">
            <v>3729.4304609048822</v>
          </cell>
          <cell r="AI32">
            <v>3899.8654329682358</v>
          </cell>
          <cell r="AJ32">
            <v>4078.0892832548839</v>
          </cell>
          <cell r="AK32">
            <v>4264.4579634996317</v>
          </cell>
          <cell r="AL32">
            <v>4459.3436924315647</v>
          </cell>
          <cell r="AM32">
            <v>4663.1356991756875</v>
          </cell>
        </row>
        <row r="33">
          <cell r="S33">
            <v>99.308999999999997</v>
          </cell>
          <cell r="T33">
            <v>105.15354717898832</v>
          </cell>
          <cell r="U33">
            <v>109.74224124513617</v>
          </cell>
          <cell r="V33">
            <v>92.64331809338519</v>
          </cell>
          <cell r="W33">
            <v>96.990501945525267</v>
          </cell>
          <cell r="X33">
            <v>116.98754766536962</v>
          </cell>
          <cell r="Y33">
            <v>134.71439737354081</v>
          </cell>
          <cell r="Z33">
            <v>138.67516488326845</v>
          </cell>
          <cell r="AA33">
            <v>121.70346931225679</v>
          </cell>
          <cell r="AB33">
            <v>88</v>
          </cell>
          <cell r="AC33">
            <v>103</v>
          </cell>
          <cell r="AD33">
            <v>103</v>
          </cell>
          <cell r="AE33">
            <v>103</v>
          </cell>
          <cell r="AF33">
            <v>103</v>
          </cell>
          <cell r="AG33">
            <v>103</v>
          </cell>
          <cell r="AH33">
            <v>103</v>
          </cell>
          <cell r="AI33">
            <v>103</v>
          </cell>
          <cell r="AJ33">
            <v>103</v>
          </cell>
          <cell r="AK33">
            <v>103</v>
          </cell>
          <cell r="AL33">
            <v>103</v>
          </cell>
          <cell r="AM33">
            <v>103</v>
          </cell>
        </row>
        <row r="34">
          <cell r="S34">
            <v>41.215999999999994</v>
          </cell>
          <cell r="T34">
            <v>26.329704164672087</v>
          </cell>
          <cell r="U34">
            <v>24.778431785543315</v>
          </cell>
          <cell r="V34">
            <v>8.6195500239348952</v>
          </cell>
          <cell r="W34">
            <v>3.0828147438966006E-6</v>
          </cell>
          <cell r="X34">
            <v>10.481570129248443</v>
          </cell>
          <cell r="Y34">
            <v>12.455188128291045</v>
          </cell>
          <cell r="Z34">
            <v>26.477062709430346</v>
          </cell>
          <cell r="AA34">
            <v>18.175042604116801</v>
          </cell>
          <cell r="AB34">
            <v>17</v>
          </cell>
          <cell r="AC34">
            <v>16</v>
          </cell>
          <cell r="AD34">
            <v>16.759999999999998</v>
          </cell>
          <cell r="AE34">
            <v>17.556100000000001</v>
          </cell>
          <cell r="AF34">
            <v>18.390014749999999</v>
          </cell>
          <cell r="AG34">
            <v>19.263540450625001</v>
          </cell>
          <cell r="AH34">
            <v>20.178558622029691</v>
          </cell>
          <cell r="AI34">
            <v>21.137040156576106</v>
          </cell>
          <cell r="AJ34">
            <v>22.141049564013471</v>
          </cell>
          <cell r="AK34">
            <v>23.192749418304114</v>
          </cell>
          <cell r="AL34">
            <v>24.294405015673558</v>
          </cell>
          <cell r="AM34">
            <v>25.448389253918055</v>
          </cell>
        </row>
        <row r="35">
          <cell r="S35">
            <v>49</v>
          </cell>
          <cell r="T35">
            <v>53.947062271722956</v>
          </cell>
          <cell r="U35">
            <v>28.195382603598325</v>
          </cell>
          <cell r="V35">
            <v>27.137033863913068</v>
          </cell>
          <cell r="W35">
            <v>11.842900302114806</v>
          </cell>
          <cell r="X35">
            <v>28.226315552148627</v>
          </cell>
          <cell r="Y35">
            <v>58.790278216169909</v>
          </cell>
          <cell r="Z35">
            <v>34.680254317536189</v>
          </cell>
          <cell r="AA35">
            <v>44.532398430806694</v>
          </cell>
          <cell r="AB35">
            <v>42</v>
          </cell>
          <cell r="AC35">
            <v>35</v>
          </cell>
          <cell r="AD35">
            <v>36.662500000000001</v>
          </cell>
          <cell r="AE35">
            <v>38.403968750000004</v>
          </cell>
          <cell r="AF35">
            <v>40.228157265625015</v>
          </cell>
          <cell r="AG35">
            <v>42.138994735742209</v>
          </cell>
          <cell r="AH35">
            <v>44.14059698568996</v>
          </cell>
          <cell r="AI35">
            <v>46.237275342510245</v>
          </cell>
          <cell r="AJ35">
            <v>48.433545921279482</v>
          </cell>
          <cell r="AK35">
            <v>50.734139352540268</v>
          </cell>
          <cell r="AL35">
            <v>53.144010971785939</v>
          </cell>
          <cell r="AM35">
            <v>55.668351492945774</v>
          </cell>
        </row>
        <row r="36">
          <cell r="S36">
            <v>45</v>
          </cell>
          <cell r="T36">
            <v>67.268121928947252</v>
          </cell>
          <cell r="U36">
            <v>67.555768143670903</v>
          </cell>
          <cell r="V36">
            <v>70.631821541940241</v>
          </cell>
          <cell r="W36">
            <v>63.769404704961502</v>
          </cell>
          <cell r="X36">
            <v>63.096273426968722</v>
          </cell>
          <cell r="Y36">
            <v>59.452754707135703</v>
          </cell>
          <cell r="Z36">
            <v>58.812888637648378</v>
          </cell>
          <cell r="AA36">
            <v>21</v>
          </cell>
          <cell r="AB36">
            <v>90</v>
          </cell>
          <cell r="AC36">
            <v>83</v>
          </cell>
          <cell r="AD36">
            <v>87.15</v>
          </cell>
          <cell r="AE36">
            <v>91.507500000000022</v>
          </cell>
          <cell r="AF36">
            <v>96.082875000000016</v>
          </cell>
          <cell r="AG36">
            <v>100.88701875000004</v>
          </cell>
          <cell r="AH36">
            <v>105.93136968750004</v>
          </cell>
          <cell r="AI36">
            <v>111.22793817187504</v>
          </cell>
          <cell r="AJ36">
            <v>116.7893350804688</v>
          </cell>
          <cell r="AK36">
            <v>122.62880183449224</v>
          </cell>
          <cell r="AL36">
            <v>128.76024192621685</v>
          </cell>
          <cell r="AM36">
            <v>135.19825402252772</v>
          </cell>
        </row>
        <row r="37">
          <cell r="D37">
            <v>3048.1749509850724</v>
          </cell>
          <cell r="E37">
            <v>2620.8720507807216</v>
          </cell>
          <cell r="F37">
            <v>2630.2356706983701</v>
          </cell>
          <cell r="G37">
            <v>2294.3323771029914</v>
          </cell>
          <cell r="H37">
            <v>2416.7793175278298</v>
          </cell>
          <cell r="I37">
            <v>3058.6650720156031</v>
          </cell>
          <cell r="J37">
            <v>3453.6853864266768</v>
          </cell>
          <cell r="K37">
            <v>2964.2513958879817</v>
          </cell>
          <cell r="L37">
            <v>2784.6605558851443</v>
          </cell>
          <cell r="M37">
            <v>2776.4201512489099</v>
          </cell>
          <cell r="N37">
            <v>1798.248</v>
          </cell>
          <cell r="O37">
            <v>2884.8980533748645</v>
          </cell>
          <cell r="P37">
            <v>2707.0238218538625</v>
          </cell>
          <cell r="Q37">
            <v>713</v>
          </cell>
          <cell r="R37">
            <v>625</v>
          </cell>
          <cell r="S37">
            <v>406.47500000000014</v>
          </cell>
          <cell r="T37">
            <v>421.30156445566945</v>
          </cell>
          <cell r="U37">
            <v>498.72817622205116</v>
          </cell>
          <cell r="V37">
            <v>478.96827647682653</v>
          </cell>
          <cell r="W37">
            <v>535.39718996458396</v>
          </cell>
          <cell r="X37">
            <v>570.20829322626423</v>
          </cell>
          <cell r="Y37">
            <v>487.58738157486255</v>
          </cell>
          <cell r="Z37">
            <v>445.35462945211657</v>
          </cell>
          <cell r="AA37">
            <v>583.58908965281967</v>
          </cell>
          <cell r="AB37">
            <v>359</v>
          </cell>
          <cell r="AC37">
            <v>356</v>
          </cell>
          <cell r="AD37">
            <v>407.97599999999994</v>
          </cell>
          <cell r="AE37">
            <v>458.56502399999999</v>
          </cell>
          <cell r="AF37">
            <v>515.42708697600006</v>
          </cell>
          <cell r="AG37">
            <v>579.34004576102416</v>
          </cell>
          <cell r="AH37">
            <v>651.17821143539118</v>
          </cell>
          <cell r="AI37">
            <v>731.92430965337974</v>
          </cell>
          <cell r="AJ37">
            <v>822.68292405039892</v>
          </cell>
          <cell r="AK37">
            <v>924.69560663264849</v>
          </cell>
          <cell r="AL37">
            <v>1039.3578618550971</v>
          </cell>
          <cell r="AM37">
            <v>1168.2382367251291</v>
          </cell>
        </row>
        <row r="38">
          <cell r="D38">
            <v>429.40335134886118</v>
          </cell>
          <cell r="E38">
            <v>440.17348520268098</v>
          </cell>
          <cell r="F38">
            <v>511.08176420123067</v>
          </cell>
          <cell r="G38">
            <v>533.20174443668475</v>
          </cell>
          <cell r="H38">
            <v>461.32667213205048</v>
          </cell>
          <cell r="I38">
            <v>472.78762615761065</v>
          </cell>
          <cell r="J38">
            <v>470.71985687123288</v>
          </cell>
          <cell r="K38">
            <v>538.75632668242281</v>
          </cell>
          <cell r="L38">
            <v>516.50311769049233</v>
          </cell>
          <cell r="M38">
            <v>521.68318102513308</v>
          </cell>
          <cell r="N38">
            <v>782</v>
          </cell>
          <cell r="O38">
            <v>1027</v>
          </cell>
          <cell r="P38">
            <v>1408</v>
          </cell>
          <cell r="Q38">
            <v>2182</v>
          </cell>
          <cell r="R38">
            <v>2216</v>
          </cell>
          <cell r="S38">
            <v>2240</v>
          </cell>
          <cell r="T38">
            <v>2055</v>
          </cell>
          <cell r="U38">
            <v>1994</v>
          </cell>
          <cell r="V38">
            <v>2258</v>
          </cell>
          <cell r="W38">
            <v>1993</v>
          </cell>
          <cell r="X38">
            <v>2273</v>
          </cell>
          <cell r="Y38">
            <v>2476</v>
          </cell>
          <cell r="Z38">
            <v>2609</v>
          </cell>
          <cell r="AA38">
            <v>2894</v>
          </cell>
          <cell r="AB38">
            <v>3202</v>
          </cell>
          <cell r="AC38">
            <v>3170</v>
          </cell>
          <cell r="AD38">
            <v>3287.3192335692693</v>
          </cell>
          <cell r="AE38">
            <v>3410.3999780705349</v>
          </cell>
          <cell r="AF38">
            <v>3546.7575676711867</v>
          </cell>
          <cell r="AG38">
            <v>3687.0719308496264</v>
          </cell>
          <cell r="AH38">
            <v>3834.6897017559845</v>
          </cell>
          <cell r="AI38">
            <v>3990.5435549772446</v>
          </cell>
          <cell r="AJ38">
            <v>4155.9881871205762</v>
          </cell>
          <cell r="AK38">
            <v>4329.6749522515256</v>
          </cell>
          <cell r="AL38">
            <v>4510.0227450628499</v>
          </cell>
          <cell r="AM38">
            <v>4701.269656639658</v>
          </cell>
        </row>
        <row r="39">
          <cell r="Q39">
            <v>472</v>
          </cell>
          <cell r="R39">
            <v>476</v>
          </cell>
          <cell r="S39">
            <v>464</v>
          </cell>
          <cell r="T39">
            <v>547</v>
          </cell>
          <cell r="U39">
            <v>360</v>
          </cell>
          <cell r="V39">
            <v>407</v>
          </cell>
          <cell r="W39">
            <v>433</v>
          </cell>
          <cell r="X39">
            <v>391</v>
          </cell>
          <cell r="Y39">
            <v>472</v>
          </cell>
          <cell r="Z39">
            <v>274</v>
          </cell>
          <cell r="AA39">
            <v>340</v>
          </cell>
          <cell r="AB39">
            <v>382</v>
          </cell>
          <cell r="AC39">
            <v>448</v>
          </cell>
          <cell r="AD39">
            <v>466.74093677518994</v>
          </cell>
          <cell r="AE39">
            <v>486.62422296207512</v>
          </cell>
          <cell r="AF39">
            <v>509.71398662488667</v>
          </cell>
          <cell r="AG39">
            <v>533.41520809492897</v>
          </cell>
          <cell r="AH39">
            <v>558.63734687130852</v>
          </cell>
          <cell r="AI39">
            <v>585.62128830875452</v>
          </cell>
          <cell r="AJ39">
            <v>614.72407682082871</v>
          </cell>
          <cell r="AK39">
            <v>645.55406011597279</v>
          </cell>
          <cell r="AL39">
            <v>677.65459270301756</v>
          </cell>
          <cell r="AM39">
            <v>712.17858839804956</v>
          </cell>
        </row>
        <row r="40">
          <cell r="Q40">
            <v>1158</v>
          </cell>
          <cell r="R40">
            <v>1240</v>
          </cell>
          <cell r="S40">
            <v>1235</v>
          </cell>
          <cell r="T40">
            <v>957</v>
          </cell>
          <cell r="U40">
            <v>1070</v>
          </cell>
          <cell r="V40">
            <v>1321</v>
          </cell>
          <cell r="W40">
            <v>1218</v>
          </cell>
          <cell r="X40">
            <v>1297</v>
          </cell>
          <cell r="Y40">
            <v>1216</v>
          </cell>
          <cell r="Z40">
            <v>1183</v>
          </cell>
          <cell r="AA40">
            <v>1409</v>
          </cell>
          <cell r="AB40">
            <v>1297</v>
          </cell>
          <cell r="AC40">
            <v>1171</v>
          </cell>
          <cell r="AD40">
            <v>1219.9857967940791</v>
          </cell>
          <cell r="AE40">
            <v>1271.9575113584597</v>
          </cell>
          <cell r="AF40">
            <v>1332.3104427181747</v>
          </cell>
          <cell r="AG40">
            <v>1394.2616265159863</v>
          </cell>
          <cell r="AH40">
            <v>1460.1882437194254</v>
          </cell>
          <cell r="AI40">
            <v>1530.7199299320348</v>
          </cell>
          <cell r="AJ40">
            <v>1606.7899418687289</v>
          </cell>
          <cell r="AK40">
            <v>1687.3745633834917</v>
          </cell>
          <cell r="AL40">
            <v>1771.2801965518609</v>
          </cell>
          <cell r="AM40">
            <v>1861.5203727993669</v>
          </cell>
        </row>
        <row r="41">
          <cell r="Q41">
            <v>174</v>
          </cell>
          <cell r="R41">
            <v>169</v>
          </cell>
          <cell r="S41">
            <v>191</v>
          </cell>
          <cell r="T41">
            <v>303</v>
          </cell>
          <cell r="U41">
            <v>274</v>
          </cell>
          <cell r="V41">
            <v>329</v>
          </cell>
          <cell r="W41">
            <v>227</v>
          </cell>
          <cell r="X41">
            <v>384</v>
          </cell>
          <cell r="Y41">
            <v>460</v>
          </cell>
          <cell r="Z41">
            <v>583</v>
          </cell>
          <cell r="AA41">
            <v>607</v>
          </cell>
          <cell r="AB41">
            <v>402</v>
          </cell>
          <cell r="AC41">
            <v>421</v>
          </cell>
          <cell r="AD41">
            <v>433.63</v>
          </cell>
          <cell r="AE41">
            <v>446.63889999999998</v>
          </cell>
          <cell r="AF41">
            <v>460.03806700000001</v>
          </cell>
          <cell r="AG41">
            <v>473.83920901000005</v>
          </cell>
          <cell r="AH41">
            <v>488.0543852803001</v>
          </cell>
          <cell r="AI41">
            <v>502.69601683870911</v>
          </cell>
          <cell r="AJ41">
            <v>517.77689734387036</v>
          </cell>
          <cell r="AK41">
            <v>533.3102042641865</v>
          </cell>
          <cell r="AL41">
            <v>549.30951039211209</v>
          </cell>
          <cell r="AM41">
            <v>565.78879570387551</v>
          </cell>
        </row>
        <row r="42">
          <cell r="Q42">
            <v>276</v>
          </cell>
          <cell r="R42">
            <v>240</v>
          </cell>
          <cell r="S42">
            <v>250</v>
          </cell>
          <cell r="T42">
            <v>155</v>
          </cell>
          <cell r="U42">
            <v>195</v>
          </cell>
          <cell r="V42">
            <v>71</v>
          </cell>
          <cell r="W42">
            <v>0</v>
          </cell>
          <cell r="X42">
            <v>46</v>
          </cell>
          <cell r="Y42">
            <v>162</v>
          </cell>
          <cell r="Z42">
            <v>243</v>
          </cell>
          <cell r="AA42">
            <v>196</v>
          </cell>
          <cell r="AB42">
            <v>218</v>
          </cell>
          <cell r="AC42">
            <v>175</v>
          </cell>
          <cell r="AD42">
            <v>183.31250000000003</v>
          </cell>
          <cell r="AE42">
            <v>192.01984375000004</v>
          </cell>
          <cell r="AF42">
            <v>201.14078632812507</v>
          </cell>
          <cell r="AG42">
            <v>210.69497367871102</v>
          </cell>
          <cell r="AH42">
            <v>220.70298492844984</v>
          </cell>
          <cell r="AI42">
            <v>231.18637671255124</v>
          </cell>
          <cell r="AJ42">
            <v>242.16772960639742</v>
          </cell>
          <cell r="AK42">
            <v>253.67069676270131</v>
          </cell>
          <cell r="AL42">
            <v>265.72005485892964</v>
          </cell>
          <cell r="AM42">
            <v>278.3417574647288</v>
          </cell>
        </row>
        <row r="43">
          <cell r="D43">
            <v>429.40335134886118</v>
          </cell>
          <cell r="E43">
            <v>440.17348520268098</v>
          </cell>
          <cell r="F43">
            <v>511.08176420123067</v>
          </cell>
          <cell r="G43">
            <v>533.20174443668475</v>
          </cell>
          <cell r="H43">
            <v>461.32667213205048</v>
          </cell>
          <cell r="I43">
            <v>472.78762615761065</v>
          </cell>
          <cell r="J43">
            <v>470.71985687123288</v>
          </cell>
          <cell r="K43">
            <v>538.75632668242281</v>
          </cell>
          <cell r="L43">
            <v>516.50311769049233</v>
          </cell>
          <cell r="M43">
            <v>521.68318102513308</v>
          </cell>
          <cell r="N43">
            <v>782</v>
          </cell>
          <cell r="O43">
            <v>1027</v>
          </cell>
          <cell r="P43">
            <v>1408</v>
          </cell>
          <cell r="Q43">
            <v>102</v>
          </cell>
          <cell r="R43">
            <v>91</v>
          </cell>
          <cell r="S43">
            <v>100</v>
          </cell>
          <cell r="T43">
            <v>93</v>
          </cell>
          <cell r="U43">
            <v>95</v>
          </cell>
          <cell r="V43">
            <v>130</v>
          </cell>
          <cell r="W43">
            <v>115</v>
          </cell>
          <cell r="X43">
            <v>155</v>
          </cell>
          <cell r="Y43">
            <v>166</v>
          </cell>
          <cell r="Z43">
            <v>326</v>
          </cell>
          <cell r="AA43">
            <v>342</v>
          </cell>
          <cell r="AB43">
            <v>903</v>
          </cell>
          <cell r="AC43">
            <v>955</v>
          </cell>
          <cell r="AD43">
            <v>983.65000000000009</v>
          </cell>
          <cell r="AE43">
            <v>1013.1595000000002</v>
          </cell>
          <cell r="AF43">
            <v>1043.5542850000002</v>
          </cell>
          <cell r="AG43">
            <v>1074.8609135500003</v>
          </cell>
          <cell r="AH43">
            <v>1107.1067409565003</v>
          </cell>
          <cell r="AI43">
            <v>1140.3199431851954</v>
          </cell>
          <cell r="AJ43">
            <v>1174.529541480751</v>
          </cell>
          <cell r="AK43">
            <v>1209.7654277251736</v>
          </cell>
          <cell r="AL43">
            <v>1246.0583905569288</v>
          </cell>
          <cell r="AM43">
            <v>1283.4401422736366</v>
          </cell>
        </row>
        <row r="44">
          <cell r="G44">
            <v>1.6935002349395691</v>
          </cell>
          <cell r="H44">
            <v>6.1073180102573019</v>
          </cell>
          <cell r="I44">
            <v>5.7674401850643537</v>
          </cell>
          <cell r="J44">
            <v>8.449459891878325</v>
          </cell>
          <cell r="K44">
            <v>9.6357856878933728</v>
          </cell>
          <cell r="L44">
            <v>10.285424519497349</v>
          </cell>
          <cell r="M44">
            <v>10.471073509486001</v>
          </cell>
          <cell r="N44">
            <v>10.3</v>
          </cell>
          <cell r="O44">
            <v>7.2559890099825521</v>
          </cell>
          <cell r="P44">
            <v>13.307909041977938</v>
          </cell>
          <cell r="Q44">
            <v>0</v>
          </cell>
          <cell r="R44">
            <v>1</v>
          </cell>
          <cell r="S44">
            <v>4</v>
          </cell>
          <cell r="T44">
            <v>1E-3</v>
          </cell>
          <cell r="U44">
            <v>1E-3</v>
          </cell>
          <cell r="V44">
            <v>1</v>
          </cell>
          <cell r="W44">
            <v>2</v>
          </cell>
          <cell r="X44">
            <v>1</v>
          </cell>
          <cell r="Y44">
            <v>2</v>
          </cell>
          <cell r="Z44">
            <v>1</v>
          </cell>
          <cell r="AA44">
            <v>2</v>
          </cell>
          <cell r="AB44">
            <v>1</v>
          </cell>
          <cell r="AC44">
            <v>1</v>
          </cell>
          <cell r="AD44">
            <v>1.0474999999999999</v>
          </cell>
          <cell r="AE44">
            <v>1.09725625</v>
          </cell>
          <cell r="AF44">
            <v>1.1493759218749999</v>
          </cell>
          <cell r="AG44">
            <v>1.2039712781640626</v>
          </cell>
          <cell r="AH44">
            <v>1.2611599138768557</v>
          </cell>
          <cell r="AI44">
            <v>1.3210650097860066</v>
          </cell>
          <cell r="AJ44">
            <v>1.383815597750842</v>
          </cell>
          <cell r="AK44">
            <v>1.4495468386440071</v>
          </cell>
          <cell r="AL44">
            <v>1.5184003134795974</v>
          </cell>
          <cell r="AM44">
            <v>1.5905243283698784</v>
          </cell>
        </row>
        <row r="45">
          <cell r="D45">
            <v>3772.8375147129659</v>
          </cell>
          <cell r="E45">
            <v>3432.9260161075604</v>
          </cell>
          <cell r="F45">
            <v>3387.4741884276496</v>
          </cell>
          <cell r="G45">
            <v>2987.3703330082881</v>
          </cell>
          <cell r="H45">
            <v>3055.5196679847845</v>
          </cell>
          <cell r="I45">
            <v>3758.1462523739742</v>
          </cell>
          <cell r="J45">
            <v>4157.751410335145</v>
          </cell>
          <cell r="K45">
            <v>3781.9995297719015</v>
          </cell>
          <cell r="L45">
            <v>3556.2404389357712</v>
          </cell>
          <cell r="M45">
            <v>3568.884704275325</v>
          </cell>
          <cell r="N45">
            <v>2834.9883983702175</v>
          </cell>
          <cell r="O45">
            <v>4154.9136045785826</v>
          </cell>
          <cell r="P45">
            <v>4411.8558851603339</v>
          </cell>
          <cell r="Q45">
            <v>4998</v>
          </cell>
          <cell r="R45">
            <v>4705</v>
          </cell>
          <cell r="S45">
            <v>5113</v>
          </cell>
          <cell r="T45">
            <v>5101.0010000000002</v>
          </cell>
          <cell r="U45">
            <v>4780.0010000000002</v>
          </cell>
          <cell r="V45">
            <v>4762</v>
          </cell>
          <cell r="W45">
            <v>5015</v>
          </cell>
          <cell r="X45">
            <v>5343</v>
          </cell>
          <cell r="Y45">
            <v>5134</v>
          </cell>
          <cell r="Z45">
            <v>5791</v>
          </cell>
          <cell r="AA45">
            <v>5911</v>
          </cell>
          <cell r="AB45">
            <v>6801</v>
          </cell>
          <cell r="AC45">
            <v>6692</v>
          </cell>
          <cell r="AD45">
            <v>7898.8665032897397</v>
          </cell>
          <cell r="AE45">
            <v>8246.2154805798236</v>
          </cell>
          <cell r="AF45">
            <v>8593.2178424738013</v>
          </cell>
          <cell r="AG45">
            <v>8956.8270138500538</v>
          </cell>
          <cell r="AH45">
            <v>9341.4709796715688</v>
          </cell>
          <cell r="AI45">
            <v>9789.1848924897931</v>
          </cell>
          <cell r="AJ45">
            <v>10265.966406969799</v>
          </cell>
          <cell r="AK45">
            <v>10772.135857483201</v>
          </cell>
          <cell r="AL45">
            <v>11307.954489281319</v>
          </cell>
          <cell r="AM45">
            <v>11879.696090686248</v>
          </cell>
        </row>
        <row r="46">
          <cell r="D46">
            <v>331.74986225895327</v>
          </cell>
          <cell r="E46">
            <v>274.51839264294267</v>
          </cell>
          <cell r="F46">
            <v>260.86973684210534</v>
          </cell>
          <cell r="G46">
            <v>235.61156105100463</v>
          </cell>
          <cell r="H46">
            <v>253.02034570699925</v>
          </cell>
          <cell r="I46">
            <v>283.79552012148815</v>
          </cell>
          <cell r="J46">
            <v>300.86471769694344</v>
          </cell>
          <cell r="K46">
            <v>275.38069375619443</v>
          </cell>
          <cell r="L46">
            <v>304.08840885142263</v>
          </cell>
          <cell r="M46">
            <v>337.18428680396664</v>
          </cell>
          <cell r="N46">
            <v>353.01160162978249</v>
          </cell>
          <cell r="O46">
            <v>366.08639542141736</v>
          </cell>
          <cell r="P46">
            <v>373.14411483966614</v>
          </cell>
          <cell r="Q46">
            <v>934</v>
          </cell>
          <cell r="R46">
            <v>1035</v>
          </cell>
          <cell r="S46">
            <v>1175</v>
          </cell>
          <cell r="T46">
            <v>1359.9989999999998</v>
          </cell>
          <cell r="U46">
            <v>1506.9989999999998</v>
          </cell>
          <cell r="V46">
            <v>1481</v>
          </cell>
          <cell r="W46">
            <v>1505</v>
          </cell>
          <cell r="X46">
            <v>1122</v>
          </cell>
          <cell r="Y46">
            <v>1197</v>
          </cell>
          <cell r="Z46">
            <v>1425</v>
          </cell>
          <cell r="AA46">
            <v>2967</v>
          </cell>
          <cell r="AB46">
            <v>1713</v>
          </cell>
          <cell r="AC46">
            <v>2018</v>
          </cell>
          <cell r="AD46">
            <v>2113.8550000000005</v>
          </cell>
          <cell r="AE46">
            <v>2214.2631125000003</v>
          </cell>
          <cell r="AF46">
            <v>2319.4406103437509</v>
          </cell>
          <cell r="AG46">
            <v>2429.6140393350797</v>
          </cell>
          <cell r="AH46">
            <v>2545.020706203496</v>
          </cell>
          <cell r="AI46">
            <v>2665.9091897481621</v>
          </cell>
          <cell r="AJ46">
            <v>2792.5398762611999</v>
          </cell>
          <cell r="AK46">
            <v>2925.1855203836071</v>
          </cell>
          <cell r="AL46">
            <v>3064.1318326018286</v>
          </cell>
          <cell r="AM46">
            <v>3209.6780946504159</v>
          </cell>
        </row>
        <row r="47">
          <cell r="Q47">
            <v>101</v>
          </cell>
          <cell r="R47">
            <v>96</v>
          </cell>
          <cell r="S47">
            <v>104</v>
          </cell>
          <cell r="T47">
            <v>142</v>
          </cell>
          <cell r="U47">
            <v>149</v>
          </cell>
          <cell r="V47">
            <v>122</v>
          </cell>
          <cell r="W47">
            <v>128</v>
          </cell>
          <cell r="X47">
            <v>89</v>
          </cell>
          <cell r="Y47">
            <v>87</v>
          </cell>
          <cell r="Z47">
            <v>90</v>
          </cell>
          <cell r="AA47">
            <v>80</v>
          </cell>
          <cell r="AB47">
            <v>124</v>
          </cell>
          <cell r="AC47">
            <v>108</v>
          </cell>
          <cell r="AD47">
            <v>113.13</v>
          </cell>
          <cell r="AE47">
            <v>118.503675</v>
          </cell>
          <cell r="AF47">
            <v>124.13259956250002</v>
          </cell>
          <cell r="AG47">
            <v>130.0288980417188</v>
          </cell>
          <cell r="AH47">
            <v>136.20527069870045</v>
          </cell>
          <cell r="AI47">
            <v>142.67502105688874</v>
          </cell>
          <cell r="AJ47">
            <v>149.45208455709096</v>
          </cell>
          <cell r="AK47">
            <v>156.55105857355281</v>
          </cell>
          <cell r="AL47">
            <v>163.98723385579657</v>
          </cell>
          <cell r="AM47">
            <v>171.77662746394694</v>
          </cell>
        </row>
        <row r="48">
          <cell r="D48">
            <v>331.74986225895327</v>
          </cell>
          <cell r="E48">
            <v>274.51839264294267</v>
          </cell>
          <cell r="F48">
            <v>260.86973684210534</v>
          </cell>
          <cell r="G48">
            <v>235.61156105100463</v>
          </cell>
          <cell r="H48">
            <v>253.02034570699925</v>
          </cell>
          <cell r="I48">
            <v>283.79552012148815</v>
          </cell>
          <cell r="J48">
            <v>300.86471769694344</v>
          </cell>
          <cell r="K48">
            <v>275.38069375619443</v>
          </cell>
          <cell r="L48">
            <v>304.08840885142263</v>
          </cell>
          <cell r="M48">
            <v>337.18428680396664</v>
          </cell>
          <cell r="N48">
            <v>353.01160162978249</v>
          </cell>
          <cell r="O48">
            <v>366.08639542141736</v>
          </cell>
          <cell r="P48">
            <v>373.14411483966614</v>
          </cell>
          <cell r="Q48">
            <v>833</v>
          </cell>
          <cell r="R48">
            <v>939</v>
          </cell>
          <cell r="S48">
            <v>1071</v>
          </cell>
          <cell r="T48">
            <v>1217.9989999999998</v>
          </cell>
          <cell r="U48">
            <v>1357.9989999999998</v>
          </cell>
          <cell r="V48">
            <v>1359</v>
          </cell>
          <cell r="W48">
            <v>1377</v>
          </cell>
          <cell r="X48">
            <v>1033</v>
          </cell>
          <cell r="Y48">
            <v>1110</v>
          </cell>
          <cell r="Z48">
            <v>1335</v>
          </cell>
          <cell r="AA48">
            <v>2887</v>
          </cell>
          <cell r="AB48">
            <v>1589</v>
          </cell>
          <cell r="AC48">
            <v>1910</v>
          </cell>
          <cell r="AD48">
            <v>2000.7250000000004</v>
          </cell>
          <cell r="AE48">
            <v>2095.7594375000003</v>
          </cell>
          <cell r="AF48">
            <v>2195.3080107812507</v>
          </cell>
          <cell r="AG48">
            <v>2299.5851412933607</v>
          </cell>
          <cell r="AH48">
            <v>2408.8154355047955</v>
          </cell>
          <cell r="AI48">
            <v>2523.2341686912732</v>
          </cell>
          <cell r="AJ48">
            <v>2643.0877917041089</v>
          </cell>
          <cell r="AK48">
            <v>2768.6344618100543</v>
          </cell>
          <cell r="AL48">
            <v>2900.144598746032</v>
          </cell>
          <cell r="AM48">
            <v>3037.9014671864688</v>
          </cell>
        </row>
        <row r="49">
          <cell r="D49">
            <v>4104.5873769719192</v>
          </cell>
          <cell r="E49">
            <v>3707.444408750503</v>
          </cell>
          <cell r="F49">
            <v>3648.3439252697549</v>
          </cell>
          <cell r="G49">
            <v>3222.9818940592927</v>
          </cell>
          <cell r="H49">
            <v>3308.5400136917838</v>
          </cell>
          <cell r="I49">
            <v>4041.9417724954624</v>
          </cell>
          <cell r="J49">
            <v>4458.6161280320885</v>
          </cell>
          <cell r="K49">
            <v>4057.3802235280959</v>
          </cell>
          <cell r="L49">
            <v>3860.3288477871938</v>
          </cell>
          <cell r="M49">
            <v>3906.0689910792917</v>
          </cell>
          <cell r="N49">
            <v>3188</v>
          </cell>
          <cell r="O49">
            <v>4521</v>
          </cell>
          <cell r="P49">
            <v>4785</v>
          </cell>
          <cell r="Q49">
            <v>5932</v>
          </cell>
          <cell r="R49">
            <v>5740</v>
          </cell>
          <cell r="S49">
            <v>6288</v>
          </cell>
          <cell r="T49">
            <v>6461</v>
          </cell>
          <cell r="U49">
            <v>6287</v>
          </cell>
          <cell r="V49">
            <v>6243</v>
          </cell>
          <cell r="W49">
            <v>6520</v>
          </cell>
          <cell r="X49">
            <v>6465</v>
          </cell>
          <cell r="Y49">
            <v>6331</v>
          </cell>
          <cell r="Z49">
            <v>7216</v>
          </cell>
          <cell r="AA49">
            <v>8878</v>
          </cell>
          <cell r="AB49">
            <v>8514</v>
          </cell>
          <cell r="AC49">
            <v>8710</v>
          </cell>
          <cell r="AD49">
            <v>10012.72150328974</v>
          </cell>
          <cell r="AE49">
            <v>10460.478593079824</v>
          </cell>
          <cell r="AF49">
            <v>10912.658452817552</v>
          </cell>
          <cell r="AG49">
            <v>11386.441053185134</v>
          </cell>
          <cell r="AH49">
            <v>11886.491685875066</v>
          </cell>
          <cell r="AI49">
            <v>12455.094082237956</v>
          </cell>
          <cell r="AJ49">
            <v>13058.506283231</v>
          </cell>
          <cell r="AK49">
            <v>13697.321377866809</v>
          </cell>
          <cell r="AL49">
            <v>14372.086321883147</v>
          </cell>
          <cell r="AM49">
            <v>15089.374185336663</v>
          </cell>
        </row>
        <row r="51">
          <cell r="D51">
            <v>1382.5890791300324</v>
          </cell>
          <cell r="E51">
            <v>1118.7231136906794</v>
          </cell>
          <cell r="F51">
            <v>842.93733281597508</v>
          </cell>
          <cell r="G51">
            <v>745.62157146859977</v>
          </cell>
          <cell r="H51">
            <v>658.28184976138118</v>
          </cell>
          <cell r="I51">
            <v>587.8919570896586</v>
          </cell>
          <cell r="J51">
            <v>763.28628817904303</v>
          </cell>
          <cell r="K51">
            <v>729.70745880710979</v>
          </cell>
          <cell r="L51">
            <v>752.86487062565925</v>
          </cell>
          <cell r="M51">
            <v>861.57303004705557</v>
          </cell>
          <cell r="N51">
            <v>660.57650615321666</v>
          </cell>
          <cell r="O51">
            <v>741.29294646610606</v>
          </cell>
          <cell r="P51">
            <v>758.95060771074543</v>
          </cell>
          <cell r="Q51">
            <v>739.96095160569689</v>
          </cell>
          <cell r="R51">
            <v>728.84983665652805</v>
          </cell>
          <cell r="S51">
            <v>788.1868131868132</v>
          </cell>
          <cell r="T51">
            <v>872.32558139534888</v>
          </cell>
          <cell r="U51">
            <v>824.66666666666674</v>
          </cell>
          <cell r="V51">
            <v>636.77454348219135</v>
          </cell>
          <cell r="W51">
            <v>721.6039279869068</v>
          </cell>
          <cell r="X51">
            <v>794.31522317639747</v>
          </cell>
          <cell r="Y51">
            <v>692.09302325581393</v>
          </cell>
          <cell r="Z51">
            <v>755.79847908745251</v>
          </cell>
          <cell r="AA51">
            <v>764.89361702127655</v>
          </cell>
          <cell r="AB51">
            <v>1060.3137441771867</v>
          </cell>
          <cell r="AC51">
            <v>1140.8118017670915</v>
          </cell>
          <cell r="AD51">
            <v>1765.6951230199422</v>
          </cell>
          <cell r="AE51">
            <v>2005.1039062984071</v>
          </cell>
          <cell r="AF51">
            <v>2195.6165859755838</v>
          </cell>
          <cell r="AG51">
            <v>2408.4198883433037</v>
          </cell>
          <cell r="AH51">
            <v>2644.0841818917966</v>
          </cell>
          <cell r="AI51">
            <v>2928.3084255881913</v>
          </cell>
          <cell r="AJ51">
            <v>3243.7322391402677</v>
          </cell>
          <cell r="AK51">
            <v>3593.8148092298225</v>
          </cell>
          <cell r="AL51">
            <v>3982.4018336308163</v>
          </cell>
          <cell r="AM51">
            <v>4413.7690165620688</v>
          </cell>
        </row>
        <row r="52">
          <cell r="D52">
            <v>163.2474677361304</v>
          </cell>
          <cell r="E52">
            <v>341.41345168999658</v>
          </cell>
          <cell r="F52">
            <v>127.44174620324983</v>
          </cell>
          <cell r="G52">
            <v>78.595893705747486</v>
          </cell>
          <cell r="H52">
            <v>61.150782610717421</v>
          </cell>
          <cell r="I52">
            <v>54.307479272925619</v>
          </cell>
          <cell r="J52">
            <v>63.608780363362257</v>
          </cell>
          <cell r="K52">
            <v>102.40529224549729</v>
          </cell>
          <cell r="L52">
            <v>98.984530624632171</v>
          </cell>
          <cell r="M52">
            <v>100.26068573252475</v>
          </cell>
          <cell r="N52">
            <v>93.640886266333311</v>
          </cell>
          <cell r="O52">
            <v>88.989266100676886</v>
          </cell>
          <cell r="P52">
            <v>93.980652639523456</v>
          </cell>
          <cell r="Q52">
            <v>73.751277641428018</v>
          </cell>
          <cell r="R52">
            <v>122.2259772445646</v>
          </cell>
          <cell r="S52">
            <v>123.62637362637362</v>
          </cell>
          <cell r="T52">
            <v>125.81395348837209</v>
          </cell>
          <cell r="U52">
            <v>61.333333333333336</v>
          </cell>
          <cell r="V52">
            <v>67.438076297233778</v>
          </cell>
          <cell r="W52">
            <v>61.702127659574465</v>
          </cell>
          <cell r="X52">
            <v>43.729052489247543</v>
          </cell>
          <cell r="Y52">
            <v>42.558139534883722</v>
          </cell>
          <cell r="Z52">
            <v>86.882129277566548</v>
          </cell>
          <cell r="AA52">
            <v>118.4840425531915</v>
          </cell>
          <cell r="AB52">
            <v>143.04071287895908</v>
          </cell>
          <cell r="AC52">
            <v>165.50312716939808</v>
          </cell>
          <cell r="AD52">
            <v>182.11914462782414</v>
          </cell>
          <cell r="AE52">
            <v>200.5951318503169</v>
          </cell>
          <cell r="AF52">
            <v>217.78613464988908</v>
          </cell>
          <cell r="AG52">
            <v>236.4504063893846</v>
          </cell>
          <cell r="AH52">
            <v>256.71420621695484</v>
          </cell>
          <cell r="AI52">
            <v>278.71461368974792</v>
          </cell>
          <cell r="AJ52">
            <v>302.60045608295934</v>
          </cell>
          <cell r="AK52">
            <v>328.53331516926903</v>
          </cell>
          <cell r="AL52">
            <v>356.68862027927543</v>
          </cell>
          <cell r="AM52">
            <v>387.25683503720933</v>
          </cell>
        </row>
        <row r="53">
          <cell r="D53">
            <v>3.8562393953416629</v>
          </cell>
          <cell r="E53">
            <v>5.6902241948332763</v>
          </cell>
          <cell r="F53">
            <v>0.91945568223611629</v>
          </cell>
          <cell r="G53">
            <v>0.897182845863987</v>
          </cell>
          <cell r="H53">
            <v>0.4484875524628929</v>
          </cell>
          <cell r="I53">
            <v>0.43647370978466571</v>
          </cell>
          <cell r="J53">
            <v>0.48516660121878502</v>
          </cell>
          <cell r="K53">
            <v>0.6505387948655057</v>
          </cell>
          <cell r="L53">
            <v>0.75816425120772946</v>
          </cell>
          <cell r="M53">
            <v>0.72913405174815971</v>
          </cell>
          <cell r="N53">
            <v>0.83613548229170709</v>
          </cell>
          <cell r="O53">
            <v>1.2441247905591046</v>
          </cell>
          <cell r="P53">
            <v>4.1610168136421901</v>
          </cell>
          <cell r="Q53">
            <v>3.9782846860521341</v>
          </cell>
          <cell r="R53">
            <v>8.1671735946828878</v>
          </cell>
          <cell r="S53">
            <v>4.1208791208791204</v>
          </cell>
          <cell r="T53">
            <v>3.7209302325581395</v>
          </cell>
          <cell r="U53">
            <v>2.8888888888888888</v>
          </cell>
          <cell r="V53">
            <v>2.7119869824624843</v>
          </cell>
          <cell r="W53">
            <v>2.6186579378068737</v>
          </cell>
          <cell r="X53">
            <v>3.1646024827744932</v>
          </cell>
          <cell r="Y53">
            <v>0.93023255813953487</v>
          </cell>
          <cell r="Z53">
            <v>1.0456273764258555</v>
          </cell>
          <cell r="AA53">
            <v>14.627659574468085</v>
          </cell>
          <cell r="AB53">
            <v>18.596842411132275</v>
          </cell>
          <cell r="AC53">
            <v>21.784976019456757</v>
          </cell>
          <cell r="AD53">
            <v>24.20894673118967</v>
          </cell>
          <cell r="AE53">
            <v>26.380005074042757</v>
          </cell>
          <cell r="AF53">
            <v>28.474577476921759</v>
          </cell>
          <cell r="AG53">
            <v>30.735458928589349</v>
          </cell>
          <cell r="AH53">
            <v>33.175854367519349</v>
          </cell>
          <cell r="AI53">
            <v>35.810017204300379</v>
          </cell>
          <cell r="AJ53">
            <v>38.65333257032183</v>
          </cell>
          <cell r="AK53">
            <v>41.72240717640539</v>
          </cell>
          <cell r="AL53">
            <v>45.035166306211984</v>
          </cell>
          <cell r="AM53">
            <v>48.610958510925215</v>
          </cell>
        </row>
        <row r="54">
          <cell r="D54">
            <v>1215.4853719985604</v>
          </cell>
          <cell r="E54">
            <v>771.61943780584943</v>
          </cell>
          <cell r="F54">
            <v>714.57613093048917</v>
          </cell>
          <cell r="G54">
            <v>666.1284949169883</v>
          </cell>
          <cell r="H54">
            <v>596.68257959820085</v>
          </cell>
          <cell r="I54">
            <v>533.14800410694829</v>
          </cell>
          <cell r="J54">
            <v>699.19234121446198</v>
          </cell>
          <cell r="K54">
            <v>626.65162776674697</v>
          </cell>
          <cell r="L54">
            <v>653.12217574981935</v>
          </cell>
          <cell r="M54">
            <v>760.5832102627827</v>
          </cell>
          <cell r="N54">
            <v>566.09948440459164</v>
          </cell>
          <cell r="O54">
            <v>651.05955557487005</v>
          </cell>
          <cell r="P54">
            <v>660.80893825757983</v>
          </cell>
          <cell r="Q54">
            <v>662.23138927821674</v>
          </cell>
          <cell r="R54">
            <v>598.45668581728057</v>
          </cell>
          <cell r="S54">
            <v>660.43956043956041</v>
          </cell>
          <cell r="T54">
            <v>742.79069767441865</v>
          </cell>
          <cell r="U54">
            <v>760.44444444444457</v>
          </cell>
          <cell r="V54">
            <v>566.62448020249508</v>
          </cell>
          <cell r="W54">
            <v>657.28314238952544</v>
          </cell>
          <cell r="X54">
            <v>747.42156820437549</v>
          </cell>
          <cell r="Y54">
            <v>648.60465116279067</v>
          </cell>
          <cell r="Z54">
            <v>667.87072243346006</v>
          </cell>
          <cell r="AA54">
            <v>631.781914893617</v>
          </cell>
          <cell r="AB54">
            <v>898.67618888709524</v>
          </cell>
          <cell r="AC54">
            <v>953.52369857823669</v>
          </cell>
          <cell r="AD54">
            <v>1559.3670316609284</v>
          </cell>
          <cell r="AE54">
            <v>1778.1287693740474</v>
          </cell>
          <cell r="AF54">
            <v>1949.3558738487732</v>
          </cell>
          <cell r="AG54">
            <v>2141.2340230253299</v>
          </cell>
          <cell r="AH54">
            <v>2354.1941213073223</v>
          </cell>
          <cell r="AI54">
            <v>2613.7837946941431</v>
          </cell>
          <cell r="AJ54">
            <v>2902.4784504869863</v>
          </cell>
          <cell r="AK54">
            <v>3223.5590868841482</v>
          </cell>
          <cell r="AL54">
            <v>3580.6780470453291</v>
          </cell>
          <cell r="AM54">
            <v>3977.9012230139347</v>
          </cell>
        </row>
        <row r="55">
          <cell r="D55">
            <v>622.13995578178833</v>
          </cell>
          <cell r="E55">
            <v>286.7872994195971</v>
          </cell>
          <cell r="F55">
            <v>220.66936373666792</v>
          </cell>
          <cell r="G55">
            <v>235.19721912298155</v>
          </cell>
          <cell r="H55">
            <v>177.02334241914789</v>
          </cell>
          <cell r="I55">
            <v>209.61586169735298</v>
          </cell>
          <cell r="J55">
            <v>309.44633353524392</v>
          </cell>
          <cell r="K55">
            <v>256.14370674638894</v>
          </cell>
          <cell r="L55">
            <v>355.67030091450977</v>
          </cell>
          <cell r="M55">
            <v>387.10264850089305</v>
          </cell>
          <cell r="N55">
            <v>328.13396204537548</v>
          </cell>
          <cell r="O55">
            <v>442.69588457694147</v>
          </cell>
          <cell r="P55">
            <v>473.28200111500314</v>
          </cell>
          <cell r="Q55">
            <v>463.62317687453714</v>
          </cell>
          <cell r="R55">
            <v>418.49724005857831</v>
          </cell>
          <cell r="S55">
            <v>484.34065934065933</v>
          </cell>
          <cell r="T55">
            <v>541.39534883720933</v>
          </cell>
          <cell r="U55">
            <v>554.44444444444446</v>
          </cell>
          <cell r="V55">
            <v>388.71813415295611</v>
          </cell>
          <cell r="W55">
            <v>468.08510638297872</v>
          </cell>
          <cell r="X55">
            <v>567.7584545232238</v>
          </cell>
          <cell r="Y55">
            <v>485.11627906976747</v>
          </cell>
          <cell r="Z55">
            <v>494.77186311787074</v>
          </cell>
          <cell r="AA55">
            <v>473.53723404255322</v>
          </cell>
          <cell r="AB55">
            <v>764.02027572401767</v>
          </cell>
          <cell r="AC55">
            <v>786.92348628555669</v>
          </cell>
          <cell r="AD55">
            <v>1375.3806782447562</v>
          </cell>
          <cell r="AE55">
            <v>1576.2962877227501</v>
          </cell>
          <cell r="AF55">
            <v>1727.5600439370564</v>
          </cell>
          <cell r="AG55">
            <v>1897.0941488488193</v>
          </cell>
          <cell r="AH55">
            <v>2085.0326263457505</v>
          </cell>
          <cell r="AI55">
            <v>2316.588530955361</v>
          </cell>
          <cell r="AJ55">
            <v>2573.8601659962728</v>
          </cell>
          <cell r="AK55">
            <v>2859.7034240561966</v>
          </cell>
          <cell r="AL55">
            <v>3177.2913624440375</v>
          </cell>
          <cell r="AM55">
            <v>3530.1494263144632</v>
          </cell>
        </row>
        <row r="56"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>
            <v>2.0372359470103829</v>
          </cell>
          <cell r="J56">
            <v>2.0519512195121954</v>
          </cell>
          <cell r="K56">
            <v>2.7383899926416482</v>
          </cell>
          <cell r="L56">
            <v>3.0844374176548088</v>
          </cell>
          <cell r="M56">
            <v>3.9586878543310076</v>
          </cell>
          <cell r="N56">
            <v>19.192417964673599</v>
          </cell>
          <cell r="O56">
            <v>22.1839554995437</v>
          </cell>
          <cell r="P56">
            <v>23.13631438879948</v>
          </cell>
          <cell r="Q56">
            <v>22.615936396408525</v>
          </cell>
          <cell r="R56">
            <v>26.951109609102176</v>
          </cell>
          <cell r="S56">
            <v>27.282692307692304</v>
          </cell>
          <cell r="T56">
            <v>27.539767441860469</v>
          </cell>
          <cell r="U56">
            <v>27.44222222222222</v>
          </cell>
          <cell r="V56">
            <v>18.441511480744893</v>
          </cell>
          <cell r="W56">
            <v>19.806960556464809</v>
          </cell>
          <cell r="X56">
            <v>22.189724823429568</v>
          </cell>
          <cell r="Y56">
            <v>24.13676546511628</v>
          </cell>
          <cell r="Z56">
            <v>28.435916159695822</v>
          </cell>
          <cell r="AA56">
            <v>28.623841888297875</v>
          </cell>
          <cell r="AB56">
            <v>29.599974171052207</v>
          </cell>
          <cell r="AC56">
            <v>39.8085173305181</v>
          </cell>
          <cell r="AD56">
            <v>40.481281273403852</v>
          </cell>
          <cell r="AE56">
            <v>41.165414926924377</v>
          </cell>
          <cell r="AF56">
            <v>41.861110439189403</v>
          </cell>
          <cell r="AG56">
            <v>42.568563205611696</v>
          </cell>
          <cell r="AH56">
            <v>43.287971923786529</v>
          </cell>
          <cell r="AI56">
            <v>44.019538649298518</v>
          </cell>
          <cell r="AJ56">
            <v>44.763468852471661</v>
          </cell>
          <cell r="AK56">
            <v>45.519971476078432</v>
          </cell>
          <cell r="AL56">
            <v>46.289258994024152</v>
          </cell>
          <cell r="AM56">
            <v>47.071547471023159</v>
          </cell>
        </row>
        <row r="57"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>
            <v>19.049409237379162</v>
          </cell>
          <cell r="J57">
            <v>16.453597451895806</v>
          </cell>
          <cell r="K57">
            <v>23.790041697326465</v>
          </cell>
          <cell r="L57">
            <v>22.922705314009661</v>
          </cell>
          <cell r="M57">
            <v>19.158953080114905</v>
          </cell>
          <cell r="N57">
            <v>14.680555018745409</v>
          </cell>
          <cell r="O57">
            <v>11.909883678820275</v>
          </cell>
          <cell r="P57">
            <v>11.695611165458747</v>
          </cell>
          <cell r="Q57">
            <v>10.369858067043278</v>
          </cell>
          <cell r="R57">
            <v>9.8414441815928804</v>
          </cell>
          <cell r="S57">
            <v>11.32307692307692</v>
          </cell>
          <cell r="T57">
            <v>7.1806976744186048</v>
          </cell>
          <cell r="U57">
            <v>5.7306666666666661</v>
          </cell>
          <cell r="V57">
            <v>2.7119869824624843</v>
          </cell>
          <cell r="W57">
            <v>0</v>
          </cell>
          <cell r="X57">
            <v>2.6102315913635121</v>
          </cell>
          <cell r="Y57">
            <v>2.8802856976744189</v>
          </cell>
          <cell r="Z57">
            <v>5.9436182509505713</v>
          </cell>
          <cell r="AA57">
            <v>4.5351950797872345</v>
          </cell>
          <cell r="AB57">
            <v>5.2853259806928614</v>
          </cell>
          <cell r="AC57">
            <v>5.1719727240436901</v>
          </cell>
          <cell r="AD57">
            <v>5.4718178427201236</v>
          </cell>
          <cell r="AE57">
            <v>5.7890464821518224</v>
          </cell>
          <cell r="AF57">
            <v>6.1246664519545737</v>
          </cell>
          <cell r="AG57">
            <v>6.4797439895066402</v>
          </cell>
          <cell r="AH57">
            <v>6.8554071472982896</v>
          </cell>
          <cell r="AI57">
            <v>7.2528493766629092</v>
          </cell>
          <cell r="AJ57">
            <v>7.673333319274942</v>
          </cell>
          <cell r="AK57">
            <v>8.1181948184599086</v>
          </cell>
          <cell r="AL57">
            <v>8.5888471630601213</v>
          </cell>
          <cell r="AM57">
            <v>9.0867855773385333</v>
          </cell>
        </row>
        <row r="58"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>
            <v>14.693430003580382</v>
          </cell>
          <cell r="J58">
            <v>16.198787032593042</v>
          </cell>
          <cell r="K58">
            <v>24.443463330880551</v>
          </cell>
          <cell r="L58">
            <v>27.61528326745718</v>
          </cell>
          <cell r="M58">
            <v>29.96443390634262</v>
          </cell>
          <cell r="N58">
            <v>30.134116646697329</v>
          </cell>
          <cell r="O58">
            <v>19.656541074558543</v>
          </cell>
          <cell r="P58">
            <v>17.000641652729126</v>
          </cell>
          <cell r="Q58">
            <v>12.0297208468238</v>
          </cell>
          <cell r="R58">
            <v>13.964740340205026</v>
          </cell>
          <cell r="S58">
            <v>13.461538461538462</v>
          </cell>
          <cell r="T58">
            <v>26.362558139534887</v>
          </cell>
          <cell r="U58">
            <v>0.92933333333333346</v>
          </cell>
          <cell r="V58">
            <v>0.18079913216416563</v>
          </cell>
          <cell r="W58">
            <v>1.4129250409165304</v>
          </cell>
          <cell r="X58">
            <v>3.1233993584487694</v>
          </cell>
          <cell r="Y58">
            <v>2.5807862790697675</v>
          </cell>
          <cell r="Z58">
            <v>4.1436554182509502</v>
          </cell>
          <cell r="AA58">
            <v>7.3559760638297877</v>
          </cell>
          <cell r="AB58">
            <v>9.1434475188067026</v>
          </cell>
          <cell r="AC58">
            <v>5.1719727240436901</v>
          </cell>
          <cell r="AD58">
            <v>5.7361987444277887</v>
          </cell>
          <cell r="AE58">
            <v>6.3619778740536495</v>
          </cell>
          <cell r="AF58">
            <v>7.0560251262677847</v>
          </cell>
          <cell r="AG58">
            <v>7.8257880753677167</v>
          </cell>
          <cell r="AH58">
            <v>8.6795267738738069</v>
          </cell>
          <cell r="AI58">
            <v>9.6264023882160235</v>
          </cell>
          <cell r="AJ58">
            <v>10.676575503953673</v>
          </cell>
          <cell r="AK58">
            <v>11.841315155406493</v>
          </cell>
          <cell r="AL58">
            <v>13.133119749655254</v>
          </cell>
          <cell r="AM58">
            <v>14.565851182504396</v>
          </cell>
        </row>
        <row r="59"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>
            <v>12.575825725026853</v>
          </cell>
          <cell r="J59">
            <v>14.620010471661066</v>
          </cell>
          <cell r="K59">
            <v>13.055419671326955</v>
          </cell>
          <cell r="L59">
            <v>30.37399253403601</v>
          </cell>
          <cell r="M59">
            <v>39.247291125195687</v>
          </cell>
          <cell r="N59">
            <v>38.295772813357551</v>
          </cell>
          <cell r="O59">
            <v>18.724740341575767</v>
          </cell>
          <cell r="P59">
            <v>21.076013057457725</v>
          </cell>
          <cell r="Q59">
            <v>13.408655523389255</v>
          </cell>
          <cell r="R59">
            <v>14.159344373099019</v>
          </cell>
          <cell r="S59">
            <v>12.362637362637361</v>
          </cell>
          <cell r="T59">
            <v>16.955348837209307</v>
          </cell>
          <cell r="U59">
            <v>25.706888888888891</v>
          </cell>
          <cell r="V59">
            <v>21.334297595371542</v>
          </cell>
          <cell r="W59">
            <v>18.997702945990177</v>
          </cell>
          <cell r="X59">
            <v>22.269154188063691</v>
          </cell>
          <cell r="Y59">
            <v>15.660561046511628</v>
          </cell>
          <cell r="Z59">
            <v>13.325416254752852</v>
          </cell>
          <cell r="AA59">
            <v>20.74468085106383</v>
          </cell>
          <cell r="AB59">
            <v>34.869079520873015</v>
          </cell>
          <cell r="AC59">
            <v>43.726678485096656</v>
          </cell>
          <cell r="AD59">
            <v>48.208663029819064</v>
          </cell>
          <cell r="AE59">
            <v>53.150050990375533</v>
          </cell>
          <cell r="AF59">
            <v>58.597931216889037</v>
          </cell>
          <cell r="AG59">
            <v>64.604219166620183</v>
          </cell>
          <cell r="AH59">
            <v>71.226151631198746</v>
          </cell>
          <cell r="AI59">
            <v>78.526832173396627</v>
          </cell>
          <cell r="AJ59">
            <v>86.575832471169775</v>
          </cell>
          <cell r="AK59">
            <v>95.449855299464687</v>
          </cell>
          <cell r="AL59">
            <v>105.23346546765984</v>
          </cell>
          <cell r="AM59">
            <v>116.019895678095</v>
          </cell>
        </row>
        <row r="60">
          <cell r="D60">
            <v>593.34541621677215</v>
          </cell>
          <cell r="E60">
            <v>484.83213838625232</v>
          </cell>
          <cell r="F60">
            <v>493.90676719382128</v>
          </cell>
          <cell r="G60">
            <v>430.93127579400681</v>
          </cell>
          <cell r="H60">
            <v>419.65923717905298</v>
          </cell>
          <cell r="I60">
            <v>275.17624149659855</v>
          </cell>
          <cell r="J60">
            <v>340.42166150355587</v>
          </cell>
          <cell r="K60">
            <v>306.48060632818249</v>
          </cell>
          <cell r="L60">
            <v>213.45545630215196</v>
          </cell>
          <cell r="M60">
            <v>281.15119579590544</v>
          </cell>
          <cell r="N60">
            <v>135.6626599157423</v>
          </cell>
          <cell r="O60">
            <v>135.8885504034302</v>
          </cell>
          <cell r="P60">
            <v>114.61835687813161</v>
          </cell>
          <cell r="Q60">
            <v>140.18404157001476</v>
          </cell>
          <cell r="R60">
            <v>115.04280725470316</v>
          </cell>
          <cell r="S60">
            <v>111.66895604395604</v>
          </cell>
          <cell r="T60">
            <v>123.35697674418604</v>
          </cell>
          <cell r="U60">
            <v>146.19088888888888</v>
          </cell>
          <cell r="V60">
            <v>135.23775085879589</v>
          </cell>
          <cell r="W60">
            <v>148.98044746317515</v>
          </cell>
          <cell r="X60">
            <v>129.47060371984631</v>
          </cell>
          <cell r="Y60">
            <v>118.22997360465115</v>
          </cell>
          <cell r="Z60">
            <v>121.25025323193907</v>
          </cell>
          <cell r="AA60">
            <v>96.984986968085082</v>
          </cell>
          <cell r="AB60">
            <v>55.758085971652847</v>
          </cell>
          <cell r="AC60">
            <v>72.721071028977946</v>
          </cell>
          <cell r="AD60">
            <v>84.088392525801595</v>
          </cell>
          <cell r="AE60">
            <v>95.365991377792</v>
          </cell>
          <cell r="AF60">
            <v>108.15609667741596</v>
          </cell>
          <cell r="AG60">
            <v>122.66155973940427</v>
          </cell>
          <cell r="AH60">
            <v>139.11243748541423</v>
          </cell>
          <cell r="AI60">
            <v>157.76964115120802</v>
          </cell>
          <cell r="AJ60">
            <v>178.92907434384344</v>
          </cell>
          <cell r="AK60">
            <v>202.92632607854236</v>
          </cell>
          <cell r="AL60">
            <v>230.14199322689214</v>
          </cell>
          <cell r="AM60">
            <v>261.00771679050996</v>
          </cell>
        </row>
        <row r="61">
          <cell r="D61">
            <v>153.60686924777625</v>
          </cell>
          <cell r="E61">
            <v>164.67508819847501</v>
          </cell>
          <cell r="F61">
            <v>174.69532287755459</v>
          </cell>
          <cell r="G61">
            <v>199.00642916886335</v>
          </cell>
          <cell r="H61">
            <v>144.77490139528607</v>
          </cell>
          <cell r="I61">
            <v>173.33706100324287</v>
          </cell>
          <cell r="J61">
            <v>177.51762092676876</v>
          </cell>
          <cell r="K61">
            <v>246.06172639513881</v>
          </cell>
          <cell r="L61">
            <v>296.59083482783825</v>
          </cell>
          <cell r="M61">
            <v>285.50675880678699</v>
          </cell>
          <cell r="N61">
            <v>424.54653820353303</v>
          </cell>
          <cell r="O61">
            <v>435.99425248811036</v>
          </cell>
          <cell r="P61">
            <v>548.63692623798647</v>
          </cell>
          <cell r="Q61">
            <v>500.01162883215926</v>
          </cell>
          <cell r="R61">
            <v>579.09766813112537</v>
          </cell>
          <cell r="S61">
            <v>615.37280219780212</v>
          </cell>
          <cell r="T61">
            <v>540.08046511627913</v>
          </cell>
          <cell r="U61">
            <v>537.60844444444444</v>
          </cell>
          <cell r="V61">
            <v>582.89640209726997</v>
          </cell>
          <cell r="W61">
            <v>502.78232405891981</v>
          </cell>
          <cell r="X61">
            <v>518.85096160761805</v>
          </cell>
          <cell r="Y61">
            <v>527.32558139534888</v>
          </cell>
          <cell r="Z61">
            <v>508.8403041825095</v>
          </cell>
          <cell r="AA61">
            <v>832.71276595744689</v>
          </cell>
          <cell r="AB61">
            <v>999.89022697187863</v>
          </cell>
          <cell r="AC61">
            <v>1133.7591116888502</v>
          </cell>
          <cell r="AD61">
            <v>1188.6685751119176</v>
          </cell>
          <cell r="AE61">
            <v>1247.6513852765006</v>
          </cell>
          <cell r="AF61">
            <v>1314.3864617006395</v>
          </cell>
          <cell r="AG61">
            <v>1385.0886509266604</v>
          </cell>
          <cell r="AH61">
            <v>1461.694393848318</v>
          </cell>
          <cell r="AI61">
            <v>1545.1560780880313</v>
          </cell>
          <cell r="AJ61">
            <v>1636.7304223357789</v>
          </cell>
          <cell r="AK61">
            <v>1736.559092919194</v>
          </cell>
          <cell r="AL61">
            <v>1844.8061175069042</v>
          </cell>
          <cell r="AM61">
            <v>1964.5190844896886</v>
          </cell>
        </row>
        <row r="62">
          <cell r="D62">
            <v>53.087562342536891</v>
          </cell>
          <cell r="E62">
            <v>46.432229429839531</v>
          </cell>
          <cell r="F62">
            <v>41.651342405296063</v>
          </cell>
          <cell r="G62">
            <v>45.666606854476939</v>
          </cell>
          <cell r="H62">
            <v>39.157238669466835</v>
          </cell>
          <cell r="I62">
            <v>27.703186537773004</v>
          </cell>
          <cell r="J62">
            <v>32.243989702866621</v>
          </cell>
          <cell r="K62">
            <v>49.889624724061811</v>
          </cell>
          <cell r="L62">
            <v>55.862977602108032</v>
          </cell>
          <cell r="M62">
            <v>56.160989770948284</v>
          </cell>
          <cell r="N62">
            <v>67.638078305569508</v>
          </cell>
          <cell r="O62">
            <v>98.521359349876136</v>
          </cell>
          <cell r="P62">
            <v>102.67740996700573</v>
          </cell>
          <cell r="Q62">
            <v>103.74142373628257</v>
          </cell>
          <cell r="R62">
            <v>125.0422440013518</v>
          </cell>
          <cell r="S62">
            <v>127.47252747252747</v>
          </cell>
          <cell r="T62">
            <v>129.06976744186048</v>
          </cell>
          <cell r="U62">
            <v>91.111111111111114</v>
          </cell>
          <cell r="V62">
            <v>83.709998192008683</v>
          </cell>
          <cell r="W62">
            <v>87.070376432078561</v>
          </cell>
          <cell r="X62">
            <v>75.518922884391316</v>
          </cell>
          <cell r="Y62">
            <v>80.116279069767444</v>
          </cell>
          <cell r="Z62">
            <v>46.29277566539924</v>
          </cell>
          <cell r="AA62">
            <v>80.186170212765958</v>
          </cell>
          <cell r="AB62">
            <v>110.4962386594776</v>
          </cell>
          <cell r="AC62">
            <v>157.51007841405783</v>
          </cell>
          <cell r="AD62">
            <v>165.10011517850242</v>
          </cell>
          <cell r="AE62">
            <v>173.18343722163226</v>
          </cell>
          <cell r="AF62">
            <v>182.50733838583028</v>
          </cell>
          <cell r="AG62">
            <v>192.15882006844475</v>
          </cell>
          <cell r="AH62">
            <v>202.47249994342957</v>
          </cell>
          <cell r="AI62">
            <v>213.54729931734647</v>
          </cell>
          <cell r="AJ62">
            <v>225.52702972442182</v>
          </cell>
          <cell r="AK62">
            <v>238.28249706638218</v>
          </cell>
          <cell r="AL62">
            <v>251.65702646565069</v>
          </cell>
          <cell r="AM62">
            <v>266.09133732763115</v>
          </cell>
        </row>
        <row r="63">
          <cell r="D63">
            <v>47.56028587588051</v>
          </cell>
          <cell r="E63">
            <v>55.764197109366108</v>
          </cell>
          <cell r="F63">
            <v>78.52025851565682</v>
          </cell>
          <cell r="G63">
            <v>98.61166871668317</v>
          </cell>
          <cell r="H63">
            <v>63.073119673180528</v>
          </cell>
          <cell r="I63">
            <v>52.292932825656038</v>
          </cell>
          <cell r="J63">
            <v>61.213244645081083</v>
          </cell>
          <cell r="K63">
            <v>103.77327900735365</v>
          </cell>
          <cell r="L63">
            <v>109.08929771760549</v>
          </cell>
          <cell r="M63">
            <v>97.723104010684082</v>
          </cell>
          <cell r="N63">
            <v>152.20896621729256</v>
          </cell>
          <cell r="O63">
            <v>159.77237309709449</v>
          </cell>
          <cell r="P63">
            <v>230.71447856073436</v>
          </cell>
          <cell r="Q63">
            <v>267.46313966227422</v>
          </cell>
          <cell r="R63">
            <v>317.67489016559648</v>
          </cell>
          <cell r="S63">
            <v>339.28571428571428</v>
          </cell>
          <cell r="T63">
            <v>276.27906976744185</v>
          </cell>
          <cell r="U63">
            <v>308.22222222222223</v>
          </cell>
          <cell r="V63">
            <v>387.27174109564277</v>
          </cell>
          <cell r="W63">
            <v>342.06219312602292</v>
          </cell>
          <cell r="X63">
            <v>326.96097469756467</v>
          </cell>
          <cell r="Y63">
            <v>315.11627906976747</v>
          </cell>
          <cell r="Z63">
            <v>296.38783269961976</v>
          </cell>
          <cell r="AA63">
            <v>486.83510638297878</v>
          </cell>
          <cell r="AB63">
            <v>498.70532399186385</v>
          </cell>
          <cell r="AC63">
            <v>556.06543105778826</v>
          </cell>
          <cell r="AD63">
            <v>582.86090413266334</v>
          </cell>
          <cell r="AE63">
            <v>611.39784603219039</v>
          </cell>
          <cell r="AF63">
            <v>644.31446427156811</v>
          </cell>
          <cell r="AG63">
            <v>678.38755582372346</v>
          </cell>
          <cell r="AH63">
            <v>714.7984376112322</v>
          </cell>
          <cell r="AI63">
            <v>753.89633629646312</v>
          </cell>
          <cell r="AJ63">
            <v>796.18895667885442</v>
          </cell>
          <cell r="AK63">
            <v>841.2201985985314</v>
          </cell>
          <cell r="AL63">
            <v>888.43694517425752</v>
          </cell>
          <cell r="AM63">
            <v>939.39508939147822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44.985219142281821</v>
          </cell>
          <cell r="R64">
            <v>43.933761405880361</v>
          </cell>
          <cell r="S64">
            <v>52.472527472527467</v>
          </cell>
          <cell r="T64">
            <v>75.813953488372093</v>
          </cell>
          <cell r="U64">
            <v>70.888888888888886</v>
          </cell>
          <cell r="V64">
            <v>73.94684505514374</v>
          </cell>
          <cell r="W64">
            <v>49.427168576104741</v>
          </cell>
          <cell r="X64">
            <v>77.676606395373923</v>
          </cell>
          <cell r="Y64">
            <v>80.116279069767444</v>
          </cell>
          <cell r="Z64">
            <v>90.589353612167301</v>
          </cell>
          <cell r="AA64">
            <v>145.34574468085108</v>
          </cell>
          <cell r="AB64">
            <v>120.25958092532204</v>
          </cell>
          <cell r="AC64">
            <v>131.3367619014731</v>
          </cell>
          <cell r="AD64">
            <v>136.10205363354424</v>
          </cell>
          <cell r="AE64">
            <v>141.04024444553013</v>
          </cell>
          <cell r="AF64">
            <v>146.15760763474731</v>
          </cell>
          <cell r="AG64">
            <v>151.46064411255887</v>
          </cell>
          <cell r="AH64">
            <v>156.95609066289484</v>
          </cell>
          <cell r="AI64">
            <v>162.65092850041663</v>
          </cell>
          <cell r="AJ64">
            <v>168.55239213919728</v>
          </cell>
          <cell r="AK64">
            <v>174.66797858318378</v>
          </cell>
          <cell r="AL64">
            <v>181.00545685011741</v>
          </cell>
          <cell r="AM64">
            <v>187.57287784101024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65.234962406015043</v>
          </cell>
          <cell r="J65">
            <v>56.092325145076131</v>
          </cell>
          <cell r="K65">
            <v>60.610743193524655</v>
          </cell>
          <cell r="L65">
            <v>100.41326306543696</v>
          </cell>
          <cell r="M65">
            <v>92.97873633973218</v>
          </cell>
          <cell r="N65">
            <v>80.245429598423073</v>
          </cell>
          <cell r="O65">
            <v>69.418973534396585</v>
          </cell>
          <cell r="P65">
            <v>77.798114312362159</v>
          </cell>
          <cell r="Q65">
            <v>57.503962983591101</v>
          </cell>
          <cell r="R65">
            <v>68.790131801284218</v>
          </cell>
          <cell r="S65">
            <v>68.669505494505501</v>
          </cell>
          <cell r="T65">
            <v>35.894418604651165</v>
          </cell>
          <cell r="U65">
            <v>43.164000000000001</v>
          </cell>
          <cell r="V65">
            <v>9.4015548725366127</v>
          </cell>
          <cell r="W65">
            <v>0</v>
          </cell>
          <cell r="X65">
            <v>8.3430429091327554</v>
          </cell>
          <cell r="Y65">
            <v>23.372093023255815</v>
          </cell>
          <cell r="Z65">
            <v>24.904942965779469</v>
          </cell>
          <cell r="AA65">
            <v>24.73404255319149</v>
          </cell>
          <cell r="AB65">
            <v>32.854421593000353</v>
          </cell>
          <cell r="AC65">
            <v>30.875109898079</v>
          </cell>
          <cell r="AD65">
            <v>37.273783455019021</v>
          </cell>
          <cell r="AE65">
            <v>44.998542114925129</v>
          </cell>
          <cell r="AF65">
            <v>54.324208727355156</v>
          </cell>
          <cell r="AG65">
            <v>65.58256145979496</v>
          </cell>
          <cell r="AH65">
            <v>79.174137431328361</v>
          </cell>
          <cell r="AI65">
            <v>95.582482575612232</v>
          </cell>
          <cell r="AJ65">
            <v>115.39135469889179</v>
          </cell>
          <cell r="AK65">
            <v>139.30549176427024</v>
          </cell>
          <cell r="AL65">
            <v>168.17568427309175</v>
          </cell>
          <cell r="AM65">
            <v>203.02904374066335</v>
          </cell>
        </row>
        <row r="66">
          <cell r="D66">
            <v>52.959021029358844</v>
          </cell>
          <cell r="E66">
            <v>62.47866165926937</v>
          </cell>
          <cell r="F66">
            <v>54.523721956601698</v>
          </cell>
          <cell r="G66">
            <v>54.728153597703212</v>
          </cell>
          <cell r="H66">
            <v>42.544543052638709</v>
          </cell>
          <cell r="I66">
            <v>28.105979233798781</v>
          </cell>
          <cell r="J66">
            <v>27.968061433744925</v>
          </cell>
          <cell r="K66">
            <v>31.788079470198674</v>
          </cell>
          <cell r="L66">
            <v>31.225296442687743</v>
          </cell>
          <cell r="M66">
            <v>38.643928685422459</v>
          </cell>
          <cell r="N66">
            <v>124.45406408224791</v>
          </cell>
          <cell r="O66">
            <v>108.28154650674315</v>
          </cell>
          <cell r="P66">
            <v>137.44692339788429</v>
          </cell>
          <cell r="Q66">
            <v>26.317883307729502</v>
          </cell>
          <cell r="R66">
            <v>23.656640757012504</v>
          </cell>
          <cell r="S66">
            <v>27.472527472527471</v>
          </cell>
          <cell r="T66">
            <v>23.02325581395349</v>
          </cell>
          <cell r="U66">
            <v>24.222222222222221</v>
          </cell>
          <cell r="V66">
            <v>28.566262881938169</v>
          </cell>
          <cell r="W66">
            <v>24.222585924713584</v>
          </cell>
          <cell r="X66">
            <v>30.351414721155368</v>
          </cell>
          <cell r="Y66">
            <v>28.604651162790699</v>
          </cell>
          <cell r="Z66">
            <v>50.665399239543731</v>
          </cell>
          <cell r="AA66">
            <v>95.611702127659584</v>
          </cell>
          <cell r="AB66">
            <v>237.57466180221482</v>
          </cell>
          <cell r="AC66">
            <v>257.97173041745197</v>
          </cell>
          <cell r="AD66">
            <v>267.33171871218838</v>
          </cell>
          <cell r="AE66">
            <v>277.03131546222272</v>
          </cell>
          <cell r="AF66">
            <v>287.08284268113857</v>
          </cell>
          <cell r="AG66">
            <v>297.49906946213827</v>
          </cell>
          <cell r="AH66">
            <v>308.29322819943303</v>
          </cell>
          <cell r="AI66">
            <v>319.47903139819306</v>
          </cell>
          <cell r="AJ66">
            <v>331.07068909441369</v>
          </cell>
          <cell r="AK66">
            <v>343.08292690682634</v>
          </cell>
          <cell r="AL66">
            <v>355.53100474378675</v>
          </cell>
          <cell r="AM66">
            <v>368.43073618890554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1.1663376996231831</v>
          </cell>
          <cell r="H67">
            <v>2.8453356818643725</v>
          </cell>
          <cell r="I67">
            <v>1.7454350161117078</v>
          </cell>
          <cell r="J67">
            <v>2.6615471879226842</v>
          </cell>
          <cell r="K67">
            <v>3.2376747608535688</v>
          </cell>
          <cell r="L67">
            <v>3.9964866051822572</v>
          </cell>
          <cell r="M67">
            <v>3.5338105877524968</v>
          </cell>
          <cell r="N67">
            <v>3.9809840374135201</v>
          </cell>
          <cell r="O67">
            <v>1.3399388698158852</v>
          </cell>
          <cell r="P67">
            <v>1.9985904677753585</v>
          </cell>
          <cell r="Q67">
            <v>2.5399817610948242E-2</v>
          </cell>
          <cell r="R67">
            <v>0.22558296721865495</v>
          </cell>
          <cell r="S67">
            <v>1.0989010989010988</v>
          </cell>
          <cell r="T67">
            <v>0</v>
          </cell>
          <cell r="U67">
            <v>0</v>
          </cell>
          <cell r="V67">
            <v>0.36159826432833125</v>
          </cell>
          <cell r="W67">
            <v>0.49099836333878882</v>
          </cell>
          <cell r="X67">
            <v>0.57538226959536243</v>
          </cell>
          <cell r="Y67">
            <v>0.46511627906976744</v>
          </cell>
          <cell r="Z67">
            <v>0.47528517110266161</v>
          </cell>
          <cell r="AA67">
            <v>0.93085106382978733</v>
          </cell>
          <cell r="AB67">
            <v>1.239789494075485</v>
          </cell>
          <cell r="AC67">
            <v>1.8807173541977056</v>
          </cell>
          <cell r="AD67">
            <v>1.9820687422360814</v>
          </cell>
          <cell r="AE67">
            <v>2.088881931237998</v>
          </cell>
          <cell r="AF67">
            <v>2.2014512562919313</v>
          </cell>
          <cell r="AG67">
            <v>2.3200869141306892</v>
          </cell>
          <cell r="AH67">
            <v>2.4451158179114638</v>
          </cell>
          <cell r="AI67">
            <v>2.5768824980597587</v>
          </cell>
          <cell r="AJ67">
            <v>2.7157500516595747</v>
          </cell>
          <cell r="AK67">
            <v>2.8621011430059968</v>
          </cell>
          <cell r="AL67">
            <v>3.0163390580773042</v>
          </cell>
          <cell r="AM67">
            <v>3.1788888158323259</v>
          </cell>
        </row>
        <row r="68">
          <cell r="D68">
            <v>1536.1959483778087</v>
          </cell>
          <cell r="E68">
            <v>1283.3982018891543</v>
          </cell>
          <cell r="F68">
            <v>1017.6326556935296</v>
          </cell>
          <cell r="G68">
            <v>945.7943383370864</v>
          </cell>
          <cell r="H68">
            <v>805.90208683853166</v>
          </cell>
          <cell r="I68">
            <v>762.97445310901321</v>
          </cell>
          <cell r="J68">
            <v>943.46545629373441</v>
          </cell>
          <cell r="K68">
            <v>979.0068599631021</v>
          </cell>
          <cell r="L68">
            <v>1053.4521920586799</v>
          </cell>
          <cell r="M68">
            <v>1150.6135994415949</v>
          </cell>
          <cell r="N68">
            <v>1089.1040283941632</v>
          </cell>
          <cell r="O68">
            <v>1178.6271378240322</v>
          </cell>
          <cell r="P68">
            <v>1309.5861244165073</v>
          </cell>
          <cell r="Q68">
            <v>1239.9979802554672</v>
          </cell>
          <cell r="R68">
            <v>1308.1730877548721</v>
          </cell>
          <cell r="S68">
            <v>1404.6585164835165</v>
          </cell>
          <cell r="T68">
            <v>1412.4060465116281</v>
          </cell>
          <cell r="U68">
            <v>1362.2751111111111</v>
          </cell>
          <cell r="V68">
            <v>1220.0325438437894</v>
          </cell>
          <cell r="W68">
            <v>1224.8772504091653</v>
          </cell>
          <cell r="X68">
            <v>1313.7415670536109</v>
          </cell>
          <cell r="Y68">
            <v>1219.8837209302324</v>
          </cell>
          <cell r="Z68">
            <v>1265.1140684410648</v>
          </cell>
          <cell r="AA68">
            <v>1598.5372340425533</v>
          </cell>
          <cell r="AB68">
            <v>2061.4437606431406</v>
          </cell>
          <cell r="AC68">
            <v>2276.4516308101397</v>
          </cell>
          <cell r="AD68">
            <v>2956.3457668740957</v>
          </cell>
          <cell r="AE68">
            <v>3254.8441735061456</v>
          </cell>
          <cell r="AF68">
            <v>3512.204498932515</v>
          </cell>
          <cell r="AG68">
            <v>3795.8286261840944</v>
          </cell>
          <cell r="AH68">
            <v>4108.2236915580261</v>
          </cell>
          <cell r="AI68">
            <v>4476.0413861742827</v>
          </cell>
          <cell r="AJ68">
            <v>4883.178411527706</v>
          </cell>
          <cell r="AK68">
            <v>5333.2360032920224</v>
          </cell>
          <cell r="AL68">
            <v>5830.2242901957979</v>
          </cell>
          <cell r="AM68">
            <v>6381.4669898675902</v>
          </cell>
        </row>
        <row r="69">
          <cell r="D69">
            <v>126.48465216720655</v>
          </cell>
          <cell r="E69">
            <v>106.40719244338227</v>
          </cell>
          <cell r="F69">
            <v>94.336152997425529</v>
          </cell>
          <cell r="G69">
            <v>93.127579400681853</v>
          </cell>
          <cell r="H69">
            <v>82.379242598739921</v>
          </cell>
          <cell r="I69">
            <v>68.340494092373788</v>
          </cell>
          <cell r="J69">
            <v>80.108207164361446</v>
          </cell>
          <cell r="K69">
            <v>92.813343144468973</v>
          </cell>
          <cell r="L69">
            <v>103.55731225296442</v>
          </cell>
          <cell r="M69">
            <v>209.36877783350812</v>
          </cell>
          <cell r="N69">
            <v>131.80728945232482</v>
          </cell>
          <cell r="O69">
            <v>144.78944852461865</v>
          </cell>
          <cell r="P69">
            <v>169.92717416839352</v>
          </cell>
          <cell r="Q69">
            <v>237.16697166849261</v>
          </cell>
          <cell r="R69">
            <v>268.3902219218204</v>
          </cell>
          <cell r="S69">
            <v>323.07692307692304</v>
          </cell>
          <cell r="T69">
            <v>348.37209302325584</v>
          </cell>
          <cell r="U69">
            <v>398.66666666666669</v>
          </cell>
          <cell r="V69">
            <v>329.95841619960231</v>
          </cell>
          <cell r="W69">
            <v>328.64157119476266</v>
          </cell>
          <cell r="X69">
            <v>236.91364950589048</v>
          </cell>
          <cell r="Y69">
            <v>220.46511627906978</v>
          </cell>
          <cell r="Z69">
            <v>281.36882129277569</v>
          </cell>
          <cell r="AA69">
            <v>419.81382978723411</v>
          </cell>
          <cell r="AB69">
            <v>456.86242856681622</v>
          </cell>
          <cell r="AC69">
            <v>397.30154107426529</v>
          </cell>
          <cell r="AD69">
            <v>418.71202179737224</v>
          </cell>
          <cell r="AE69">
            <v>441.27630797402713</v>
          </cell>
          <cell r="AF69">
            <v>465.0565778916706</v>
          </cell>
          <cell r="AG69">
            <v>490.11836061010831</v>
          </cell>
          <cell r="AH69">
            <v>516.53071653379675</v>
          </cell>
          <cell r="AI69">
            <v>544.36642771512402</v>
          </cell>
          <cell r="AJ69">
            <v>573.70219841308517</v>
          </cell>
          <cell r="AK69">
            <v>604.61886646001665</v>
          </cell>
          <cell r="AL69">
            <v>637.20162601883044</v>
          </cell>
          <cell r="AM69">
            <v>671.54026234457876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94.994908272916575</v>
          </cell>
          <cell r="N70">
            <v>111.69945503034052</v>
          </cell>
          <cell r="O70">
            <v>122.04308084539278</v>
          </cell>
          <cell r="P70">
            <v>149.36834022321099</v>
          </cell>
          <cell r="Q70">
            <v>25.705839509875329</v>
          </cell>
          <cell r="R70">
            <v>25.346400811084823</v>
          </cell>
          <cell r="S70">
            <v>28.571428571428569</v>
          </cell>
          <cell r="T70">
            <v>39.302325581395351</v>
          </cell>
          <cell r="U70">
            <v>40.666666666666664</v>
          </cell>
          <cell r="V70">
            <v>28.385463749774004</v>
          </cell>
          <cell r="W70">
            <v>28.477905073649755</v>
          </cell>
          <cell r="X70">
            <v>18.699923761849277</v>
          </cell>
          <cell r="Y70">
            <v>16.627906976744185</v>
          </cell>
          <cell r="Z70">
            <v>55.98859315589354</v>
          </cell>
          <cell r="AA70">
            <v>69.547872340425542</v>
          </cell>
          <cell r="AB70">
            <v>30.839763665127691</v>
          </cell>
          <cell r="AC70">
            <v>26.486769404951019</v>
          </cell>
          <cell r="AD70">
            <v>27.914134786491477</v>
          </cell>
          <cell r="AE70">
            <v>29.418420531601804</v>
          </cell>
          <cell r="AF70">
            <v>31.003771859444697</v>
          </cell>
          <cell r="AG70">
            <v>32.674557374007215</v>
          </cell>
          <cell r="AH70">
            <v>34.435381102253125</v>
          </cell>
          <cell r="AI70">
            <v>36.291095181008274</v>
          </cell>
          <cell r="AJ70">
            <v>38.246813227539015</v>
          </cell>
          <cell r="AK70">
            <v>40.307924430667789</v>
          </cell>
          <cell r="AL70">
            <v>42.480108401255379</v>
          </cell>
          <cell r="AM70">
            <v>44.76935082297193</v>
          </cell>
        </row>
        <row r="71">
          <cell r="D71">
            <v>126.48465216720655</v>
          </cell>
          <cell r="E71">
            <v>106.40719244338227</v>
          </cell>
          <cell r="F71">
            <v>94.336152997425529</v>
          </cell>
          <cell r="G71">
            <v>93.127579400681853</v>
          </cell>
          <cell r="H71">
            <v>82.379242598739921</v>
          </cell>
          <cell r="I71">
            <v>68.340494092373788</v>
          </cell>
          <cell r="J71">
            <v>80.108207164361446</v>
          </cell>
          <cell r="K71">
            <v>92.813343144468973</v>
          </cell>
          <cell r="L71">
            <v>103.55731225296442</v>
          </cell>
          <cell r="M71">
            <v>114.37386956059154</v>
          </cell>
          <cell r="N71">
            <v>20.107834421984307</v>
          </cell>
          <cell r="O71">
            <v>22.746367679225877</v>
          </cell>
          <cell r="P71">
            <v>20.558833945182528</v>
          </cell>
          <cell r="Q71">
            <v>211.46113215861729</v>
          </cell>
          <cell r="R71">
            <v>243.04382111073559</v>
          </cell>
          <cell r="S71">
            <v>294.50549450549448</v>
          </cell>
          <cell r="T71">
            <v>309.06976744186051</v>
          </cell>
          <cell r="U71">
            <v>358</v>
          </cell>
          <cell r="V71">
            <v>301.57295244982828</v>
          </cell>
          <cell r="W71">
            <v>300.1636661211129</v>
          </cell>
          <cell r="X71">
            <v>218.2137257440412</v>
          </cell>
          <cell r="Y71">
            <v>203.83720930232559</v>
          </cell>
          <cell r="Z71">
            <v>225.38022813688215</v>
          </cell>
          <cell r="AA71">
            <v>350.26595744680856</v>
          </cell>
          <cell r="AB71">
            <v>426.02266490168853</v>
          </cell>
          <cell r="AC71">
            <v>370.81477166931427</v>
          </cell>
          <cell r="AD71">
            <v>390.79788701088074</v>
          </cell>
          <cell r="AE71">
            <v>411.85788744242535</v>
          </cell>
          <cell r="AF71">
            <v>434.05280603222587</v>
          </cell>
          <cell r="AG71">
            <v>457.44380323610108</v>
          </cell>
          <cell r="AH71">
            <v>482.09533543154367</v>
          </cell>
          <cell r="AI71">
            <v>508.07533253411577</v>
          </cell>
          <cell r="AJ71">
            <v>535.45538518554611</v>
          </cell>
          <cell r="AK71">
            <v>564.31094202934889</v>
          </cell>
          <cell r="AL71">
            <v>594.72151761757505</v>
          </cell>
          <cell r="AM71">
            <v>626.77091152160688</v>
          </cell>
        </row>
        <row r="72">
          <cell r="D72">
            <v>1662.6806005450153</v>
          </cell>
          <cell r="E72">
            <v>1389.8053943325365</v>
          </cell>
          <cell r="F72">
            <v>1111.968808690955</v>
          </cell>
          <cell r="G72">
            <v>1038.9219177377684</v>
          </cell>
          <cell r="H72">
            <v>888.28132943727155</v>
          </cell>
          <cell r="I72">
            <v>831.31494720138699</v>
          </cell>
          <cell r="J72">
            <v>1023.5736634580959</v>
          </cell>
          <cell r="K72">
            <v>1071.8202031075712</v>
          </cell>
          <cell r="L72">
            <v>1157.0095043116444</v>
          </cell>
          <cell r="M72">
            <v>1359.9823772751031</v>
          </cell>
          <cell r="N72">
            <v>1220.9113178464879</v>
          </cell>
          <cell r="O72">
            <v>1323.4165863486508</v>
          </cell>
          <cell r="P72">
            <v>1479.5132985849009</v>
          </cell>
          <cell r="Q72">
            <v>1477.1649519239597</v>
          </cell>
          <cell r="R72">
            <v>1576.5633096766924</v>
          </cell>
          <cell r="S72">
            <v>1727.7354395604395</v>
          </cell>
          <cell r="T72">
            <v>1760.7781395348838</v>
          </cell>
          <cell r="U72">
            <v>1760.9417777777778</v>
          </cell>
          <cell r="V72">
            <v>1549.9909600433916</v>
          </cell>
          <cell r="W72">
            <v>1553.518821603928</v>
          </cell>
          <cell r="X72">
            <v>1550.6552165595012</v>
          </cell>
          <cell r="Y72">
            <v>1440.348837209302</v>
          </cell>
          <cell r="Z72">
            <v>1546.4828897338405</v>
          </cell>
          <cell r="AA72">
            <v>2018.3510638297876</v>
          </cell>
          <cell r="AB72">
            <v>2518.3061892099568</v>
          </cell>
          <cell r="AC72">
            <v>2673.7531718844048</v>
          </cell>
          <cell r="AD72">
            <v>3375.0577886714682</v>
          </cell>
          <cell r="AE72">
            <v>3696.1204814801727</v>
          </cell>
          <cell r="AF72">
            <v>3977.2610768241857</v>
          </cell>
          <cell r="AG72">
            <v>4285.9469867942025</v>
          </cell>
          <cell r="AH72">
            <v>4624.7544080918233</v>
          </cell>
          <cell r="AI72">
            <v>5020.4078138894065</v>
          </cell>
          <cell r="AJ72">
            <v>5456.8806099407911</v>
          </cell>
          <cell r="AK72">
            <v>5937.8548697520391</v>
          </cell>
          <cell r="AL72">
            <v>6467.4259162146282</v>
          </cell>
          <cell r="AM72">
            <v>7053.0072522121691</v>
          </cell>
        </row>
        <row r="74">
          <cell r="D74">
            <v>918.52586905607268</v>
          </cell>
          <cell r="E74">
            <v>822.18476123760411</v>
          </cell>
          <cell r="F74">
            <v>790.21769896330181</v>
          </cell>
          <cell r="G74">
            <v>673.75689240018232</v>
          </cell>
          <cell r="H74">
            <v>711.01254885782339</v>
          </cell>
          <cell r="I74">
            <v>900.98658956903807</v>
          </cell>
          <cell r="J74">
            <v>1010.5994762560533</v>
          </cell>
          <cell r="K74">
            <v>888.35368609933664</v>
          </cell>
          <cell r="L74">
            <v>832.267004594995</v>
          </cell>
          <cell r="M74">
            <v>834.26660707162262</v>
          </cell>
          <cell r="N74">
            <v>561.17813142038938</v>
          </cell>
          <cell r="O74">
            <v>857.3235207606042</v>
          </cell>
          <cell r="P74">
            <v>821.57911431822959</v>
          </cell>
          <cell r="Q74">
            <v>773.62637362637361</v>
          </cell>
          <cell r="R74">
            <v>683.5164835164835</v>
          </cell>
          <cell r="S74">
            <v>788.1868131868132</v>
          </cell>
          <cell r="T74">
            <v>836.8131868131868</v>
          </cell>
          <cell r="U74">
            <v>765.38461538461536</v>
          </cell>
          <cell r="V74">
            <v>687.63736263736268</v>
          </cell>
          <cell r="W74">
            <v>829.67032967032969</v>
          </cell>
          <cell r="X74">
            <v>843.13186813186792</v>
          </cell>
          <cell r="Y74">
            <v>729.67032967032969</v>
          </cell>
          <cell r="Z74">
            <v>873.90109890109886</v>
          </cell>
          <cell r="AA74">
            <v>828.2967032967033</v>
          </cell>
          <cell r="AB74">
            <v>988.46153846153845</v>
          </cell>
          <cell r="AC74">
            <v>967.30769230769238</v>
          </cell>
          <cell r="AD74">
            <v>1266.620815857272</v>
          </cell>
          <cell r="AE74">
            <v>1328.2192984228816</v>
          </cell>
          <cell r="AF74">
            <v>1386.0744227694336</v>
          </cell>
          <cell r="AG74">
            <v>1447.4041515720501</v>
          </cell>
          <cell r="AH74">
            <v>1512.5055269235461</v>
          </cell>
          <cell r="AI74">
            <v>1592.670404533726</v>
          </cell>
          <cell r="AJ74">
            <v>1678.1852758932619</v>
          </cell>
          <cell r="AK74">
            <v>1769.5086149431402</v>
          </cell>
          <cell r="AL74">
            <v>1867.1465230508215</v>
          </cell>
          <cell r="AM74">
            <v>1971.6582169555545</v>
          </cell>
        </row>
        <row r="75">
          <cell r="D75">
            <v>80.808797226055461</v>
          </cell>
          <cell r="E75">
            <v>101.71469234180152</v>
          </cell>
          <cell r="F75">
            <v>67.247590582012393</v>
          </cell>
          <cell r="G75">
            <v>43.031069281882793</v>
          </cell>
          <cell r="H75">
            <v>46.630187946200813</v>
          </cell>
          <cell r="I75">
            <v>60.103838230371665</v>
          </cell>
          <cell r="J75">
            <v>61.190487310995636</v>
          </cell>
          <cell r="K75">
            <v>73.404584664909379</v>
          </cell>
          <cell r="L75">
            <v>66.656046018490201</v>
          </cell>
          <cell r="M75">
            <v>70.91949592265469</v>
          </cell>
          <cell r="N75">
            <v>66.559633251891242</v>
          </cell>
          <cell r="O75">
            <v>63.955007928681709</v>
          </cell>
          <cell r="P75">
            <v>75.016709047022061</v>
          </cell>
          <cell r="Q75">
            <v>106.59340659340658</v>
          </cell>
          <cell r="R75">
            <v>120.60439560439561</v>
          </cell>
          <cell r="S75">
            <v>123.62637362637362</v>
          </cell>
          <cell r="T75">
            <v>148.62637362637363</v>
          </cell>
          <cell r="U75">
            <v>75.824175824175825</v>
          </cell>
          <cell r="V75">
            <v>102.47252747252747</v>
          </cell>
          <cell r="W75">
            <v>96.428571428571431</v>
          </cell>
          <cell r="X75">
            <v>64.560439560439562</v>
          </cell>
          <cell r="Y75">
            <v>81.593406593406584</v>
          </cell>
          <cell r="Z75">
            <v>133.79120879120879</v>
          </cell>
          <cell r="AA75">
            <v>133.5164835164835</v>
          </cell>
          <cell r="AB75">
            <v>132.69230769230768</v>
          </cell>
          <cell r="AC75">
            <v>145.87912087912088</v>
          </cell>
          <cell r="AD75">
            <v>152.73543956043954</v>
          </cell>
          <cell r="AE75">
            <v>160.21947609890108</v>
          </cell>
          <cell r="AF75">
            <v>165.66693828626373</v>
          </cell>
          <cell r="AG75">
            <v>171.2996141879967</v>
          </cell>
          <cell r="AH75">
            <v>177.12380107038859</v>
          </cell>
          <cell r="AI75">
            <v>183.14601030678182</v>
          </cell>
          <cell r="AJ75">
            <v>189.37297465721241</v>
          </cell>
          <cell r="AK75">
            <v>195.81165579555764</v>
          </cell>
          <cell r="AL75">
            <v>202.46925209260661</v>
          </cell>
          <cell r="AM75">
            <v>209.35320666375523</v>
          </cell>
        </row>
        <row r="76">
          <cell r="D76">
            <v>0.30637100994243854</v>
          </cell>
          <cell r="E76">
            <v>0.45027472527472534</v>
          </cell>
          <cell r="F76">
            <v>0.37789115646258503</v>
          </cell>
          <cell r="G76">
            <v>0.41473050758765051</v>
          </cell>
          <cell r="H76">
            <v>0.43199895342752487</v>
          </cell>
          <cell r="I76">
            <v>0.59014913657770796</v>
          </cell>
          <cell r="J76">
            <v>0.59432234432234432</v>
          </cell>
          <cell r="K76">
            <v>0.59432234432234432</v>
          </cell>
          <cell r="L76">
            <v>0.59432234432234432</v>
          </cell>
          <cell r="M76">
            <v>0.59432234432234432</v>
          </cell>
          <cell r="N76">
            <v>0.59432234432234432</v>
          </cell>
          <cell r="O76">
            <v>0.81410256410256421</v>
          </cell>
          <cell r="P76">
            <v>2.874542124542125</v>
          </cell>
          <cell r="Q76">
            <v>3.5714285714285712</v>
          </cell>
          <cell r="R76">
            <v>9.0659340659340657</v>
          </cell>
          <cell r="S76">
            <v>4.1208791208791204</v>
          </cell>
          <cell r="T76">
            <v>3.5714285714285712</v>
          </cell>
          <cell r="U76">
            <v>3.0219780219780219</v>
          </cell>
          <cell r="V76">
            <v>3.2967032967032965</v>
          </cell>
          <cell r="W76">
            <v>3.5714285714285712</v>
          </cell>
          <cell r="X76">
            <v>4.1208791208791204</v>
          </cell>
          <cell r="Y76">
            <v>2.4725274725274726</v>
          </cell>
          <cell r="Z76">
            <v>3.0219780219780219</v>
          </cell>
          <cell r="AA76">
            <v>27.197802197802197</v>
          </cell>
          <cell r="AB76">
            <v>24.725274725274723</v>
          </cell>
          <cell r="AC76">
            <v>42.857142857142854</v>
          </cell>
          <cell r="AD76">
            <v>46.328571428571422</v>
          </cell>
          <cell r="AE76">
            <v>49.108285714285707</v>
          </cell>
          <cell r="AF76">
            <v>51.563699999999997</v>
          </cell>
          <cell r="AG76">
            <v>54.141885000000002</v>
          </cell>
          <cell r="AH76">
            <v>56.848979250000006</v>
          </cell>
          <cell r="AI76">
            <v>59.691428212500007</v>
          </cell>
          <cell r="AJ76">
            <v>62.675999623125008</v>
          </cell>
          <cell r="AK76">
            <v>65.809799604281267</v>
          </cell>
          <cell r="AL76">
            <v>69.100289584495329</v>
          </cell>
          <cell r="AM76">
            <v>72.555304063720101</v>
          </cell>
        </row>
        <row r="77">
          <cell r="D77">
            <v>837.41070082007479</v>
          </cell>
          <cell r="E77">
            <v>720.01979417052792</v>
          </cell>
          <cell r="F77">
            <v>722.59221722482687</v>
          </cell>
          <cell r="G77">
            <v>630.31109261071185</v>
          </cell>
          <cell r="H77">
            <v>663.950361958195</v>
          </cell>
          <cell r="I77">
            <v>840.29260220208869</v>
          </cell>
          <cell r="J77">
            <v>948.81466660073534</v>
          </cell>
          <cell r="K77">
            <v>814.3547790901049</v>
          </cell>
          <cell r="L77">
            <v>765.01663623218246</v>
          </cell>
          <cell r="M77">
            <v>762.75278880464555</v>
          </cell>
          <cell r="N77">
            <v>494.02417582417581</v>
          </cell>
          <cell r="O77">
            <v>792.55441026781989</v>
          </cell>
          <cell r="P77">
            <v>743.68786314666545</v>
          </cell>
          <cell r="Q77">
            <v>663.46153846153845</v>
          </cell>
          <cell r="R77">
            <v>553.84615384615381</v>
          </cell>
          <cell r="S77">
            <v>660.43956043956041</v>
          </cell>
          <cell r="T77">
            <v>684.61538461538453</v>
          </cell>
          <cell r="U77">
            <v>686.53846153846155</v>
          </cell>
          <cell r="V77">
            <v>581.86813186813185</v>
          </cell>
          <cell r="W77">
            <v>729.67032967032969</v>
          </cell>
          <cell r="X77">
            <v>774.45054945054926</v>
          </cell>
          <cell r="Y77">
            <v>645.60439560439568</v>
          </cell>
          <cell r="Z77">
            <v>737.08791208791206</v>
          </cell>
          <cell r="AA77">
            <v>667.58241758241763</v>
          </cell>
          <cell r="AB77">
            <v>831.04395604395609</v>
          </cell>
          <cell r="AC77">
            <v>778.57142857142867</v>
          </cell>
          <cell r="AD77">
            <v>1067.556804868261</v>
          </cell>
          <cell r="AE77">
            <v>1118.8915366096949</v>
          </cell>
          <cell r="AF77">
            <v>1168.8437844831699</v>
          </cell>
          <cell r="AG77">
            <v>1221.9626523840534</v>
          </cell>
          <cell r="AH77">
            <v>1278.5327466031574</v>
          </cell>
          <cell r="AI77">
            <v>1349.8329660144443</v>
          </cell>
          <cell r="AJ77">
            <v>1426.1363016129244</v>
          </cell>
          <cell r="AK77">
            <v>1507.8871595433013</v>
          </cell>
          <cell r="AL77">
            <v>1595.5769813737195</v>
          </cell>
          <cell r="AM77">
            <v>1689.749706228079</v>
          </cell>
        </row>
        <row r="78"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>
            <v>467.58241758241758</v>
          </cell>
          <cell r="R78">
            <v>382.14285714285711</v>
          </cell>
          <cell r="S78">
            <v>484.34065934065933</v>
          </cell>
          <cell r="T78">
            <v>499.45054945054943</v>
          </cell>
          <cell r="U78">
            <v>486.26373626373623</v>
          </cell>
          <cell r="V78">
            <v>395.60439560439556</v>
          </cell>
          <cell r="W78">
            <v>535.16483516483515</v>
          </cell>
          <cell r="X78">
            <v>557.69230769230762</v>
          </cell>
          <cell r="Y78">
            <v>438.73626373626371</v>
          </cell>
          <cell r="Z78">
            <v>543.68131868131866</v>
          </cell>
          <cell r="AA78">
            <v>450.82417582417582</v>
          </cell>
          <cell r="AB78">
            <v>667.30769230769226</v>
          </cell>
          <cell r="AC78">
            <v>615.65934065934061</v>
          </cell>
          <cell r="AD78">
            <v>888.55996420892041</v>
          </cell>
          <cell r="AE78">
            <v>924.10236277727722</v>
          </cell>
          <cell r="AF78">
            <v>956.44594547448185</v>
          </cell>
          <cell r="AG78">
            <v>989.92155356608873</v>
          </cell>
          <cell r="AH78">
            <v>1024.5688079409017</v>
          </cell>
          <cell r="AI78">
            <v>1071.3916024638011</v>
          </cell>
          <cell r="AJ78">
            <v>1120.3541986963967</v>
          </cell>
          <cell r="AK78">
            <v>1171.5543855768219</v>
          </cell>
          <cell r="AL78">
            <v>1225.0944209976826</v>
          </cell>
          <cell r="AM78">
            <v>1281.0812360372768</v>
          </cell>
        </row>
        <row r="79"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27.282692307692304</v>
          </cell>
          <cell r="T79">
            <v>28.888337137084701</v>
          </cell>
          <cell r="U79">
            <v>30.148967375037408</v>
          </cell>
          <cell r="V79">
            <v>25.451461014666261</v>
          </cell>
          <cell r="W79">
            <v>26.64574229272672</v>
          </cell>
          <cell r="X79">
            <v>32.139436171804839</v>
          </cell>
          <cell r="Y79">
            <v>37.009449827895821</v>
          </cell>
          <cell r="Z79">
            <v>38.097572770128693</v>
          </cell>
          <cell r="AA79">
            <v>33.435019041828788</v>
          </cell>
          <cell r="AB79">
            <v>24.175824175824175</v>
          </cell>
          <cell r="AC79">
            <v>28.296703296703296</v>
          </cell>
          <cell r="AD79">
            <v>28.296703296703296</v>
          </cell>
          <cell r="AE79">
            <v>28.296703296703296</v>
          </cell>
          <cell r="AF79">
            <v>28.296703296703296</v>
          </cell>
          <cell r="AG79">
            <v>28.296703296703296</v>
          </cell>
          <cell r="AH79">
            <v>28.296703296703296</v>
          </cell>
          <cell r="AI79">
            <v>28.296703296703296</v>
          </cell>
          <cell r="AJ79">
            <v>28.296703296703296</v>
          </cell>
          <cell r="AK79">
            <v>28.296703296703296</v>
          </cell>
          <cell r="AL79">
            <v>28.296703296703296</v>
          </cell>
          <cell r="AM79">
            <v>28.296703296703296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11.32307692307692</v>
          </cell>
          <cell r="T80">
            <v>7.2334352100747488</v>
          </cell>
          <cell r="U80">
            <v>6.8072614795448665</v>
          </cell>
          <cell r="V80">
            <v>2.3680082483337626</v>
          </cell>
          <cell r="W80">
            <v>8.4692712744412101E-7</v>
          </cell>
          <cell r="X80">
            <v>2.8795522333100116</v>
          </cell>
          <cell r="Y80">
            <v>3.4217549802997373</v>
          </cell>
          <cell r="Z80">
            <v>7.2739183267665783</v>
          </cell>
          <cell r="AA80">
            <v>4.9931435725595605</v>
          </cell>
          <cell r="AB80">
            <v>4.6703296703296706</v>
          </cell>
          <cell r="AC80">
            <v>4.3956043956043951</v>
          </cell>
          <cell r="AD80">
            <v>4.604395604395604</v>
          </cell>
          <cell r="AE80">
            <v>4.8231043956043953</v>
          </cell>
          <cell r="AF80">
            <v>5.0522018543956042</v>
          </cell>
          <cell r="AG80">
            <v>5.2921814424793956</v>
          </cell>
          <cell r="AH80">
            <v>5.5435600609971676</v>
          </cell>
          <cell r="AI80">
            <v>5.8068791638945338</v>
          </cell>
          <cell r="AJ80">
            <v>6.0827059241795247</v>
          </cell>
          <cell r="AK80">
            <v>6.3716344555780529</v>
          </cell>
          <cell r="AL80">
            <v>6.6742870922180106</v>
          </cell>
          <cell r="AM80">
            <v>6.9913157290983667</v>
          </cell>
        </row>
        <row r="81"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>
            <v>13.461538461538462</v>
          </cell>
          <cell r="T81">
            <v>14.820621503220591</v>
          </cell>
          <cell r="U81">
            <v>7.7459842317577818</v>
          </cell>
          <cell r="V81">
            <v>7.4552290834926005</v>
          </cell>
          <cell r="W81">
            <v>3.253544039042529</v>
          </cell>
          <cell r="X81">
            <v>7.7544822945463254</v>
          </cell>
          <cell r="Y81">
            <v>16.151175334112612</v>
          </cell>
          <cell r="Z81">
            <v>9.527542394927524</v>
          </cell>
          <cell r="AA81">
            <v>12.234175393078761</v>
          </cell>
          <cell r="AB81">
            <v>11.538461538461538</v>
          </cell>
          <cell r="AC81">
            <v>9.615384615384615</v>
          </cell>
          <cell r="AD81">
            <v>10.072115384615385</v>
          </cell>
          <cell r="AE81">
            <v>10.550540865384617</v>
          </cell>
          <cell r="AF81">
            <v>11.051691556490388</v>
          </cell>
          <cell r="AG81">
            <v>11.576646905423683</v>
          </cell>
          <cell r="AH81">
            <v>12.126537633431308</v>
          </cell>
          <cell r="AI81">
            <v>12.702548171019297</v>
          </cell>
          <cell r="AJ81">
            <v>13.305919209142715</v>
          </cell>
          <cell r="AK81">
            <v>13.937950371576996</v>
          </cell>
          <cell r="AL81">
            <v>14.600003014226905</v>
          </cell>
          <cell r="AM81">
            <v>15.293503157402684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>
            <v>12.362637362637361</v>
          </cell>
          <cell r="T82">
            <v>18.480253277183312</v>
          </cell>
          <cell r="U82">
            <v>18.559276962546949</v>
          </cell>
          <cell r="V82">
            <v>19.40434657745611</v>
          </cell>
          <cell r="W82">
            <v>17.519067226637773</v>
          </cell>
          <cell r="X82">
            <v>17.334141051365034</v>
          </cell>
          <cell r="Y82">
            <v>16.333174370092227</v>
          </cell>
          <cell r="Z82">
            <v>16.157386988364937</v>
          </cell>
          <cell r="AA82">
            <v>5.7692307692307692</v>
          </cell>
          <cell r="AB82">
            <v>24.725274725274723</v>
          </cell>
          <cell r="AC82">
            <v>22.802197802197803</v>
          </cell>
          <cell r="AD82">
            <v>23.942307692307693</v>
          </cell>
          <cell r="AE82">
            <v>25.13942307692308</v>
          </cell>
          <cell r="AF82">
            <v>26.396394230769236</v>
          </cell>
          <cell r="AG82">
            <v>27.7162139423077</v>
          </cell>
          <cell r="AH82">
            <v>29.102024639423085</v>
          </cell>
          <cell r="AI82">
            <v>30.557125871394241</v>
          </cell>
          <cell r="AJ82">
            <v>32.084982164963954</v>
          </cell>
          <cell r="AK82">
            <v>33.689231273212151</v>
          </cell>
          <cell r="AL82">
            <v>35.373692836872763</v>
          </cell>
          <cell r="AM82">
            <v>37.142377478716405</v>
          </cell>
        </row>
        <row r="83">
          <cell r="D83">
            <v>837.41070082007479</v>
          </cell>
          <cell r="E83">
            <v>720.01979417052792</v>
          </cell>
          <cell r="F83">
            <v>722.59221722482687</v>
          </cell>
          <cell r="G83">
            <v>630.31109261071185</v>
          </cell>
          <cell r="H83">
            <v>663.950361958195</v>
          </cell>
          <cell r="I83">
            <v>840.29260220208869</v>
          </cell>
          <cell r="J83">
            <v>948.81466660073534</v>
          </cell>
          <cell r="K83">
            <v>814.3547790901049</v>
          </cell>
          <cell r="L83">
            <v>765.01663623218246</v>
          </cell>
          <cell r="M83">
            <v>762.75278880464555</v>
          </cell>
          <cell r="N83">
            <v>494.02417582417581</v>
          </cell>
          <cell r="O83">
            <v>792.55441026781989</v>
          </cell>
          <cell r="P83">
            <v>743.68786314666545</v>
          </cell>
          <cell r="Q83">
            <v>195.87912087912088</v>
          </cell>
          <cell r="R83">
            <v>171.7032967032967</v>
          </cell>
          <cell r="S83">
            <v>111.66895604395607</v>
          </cell>
          <cell r="T83">
            <v>115.74218803727182</v>
          </cell>
          <cell r="U83">
            <v>137.01323522583823</v>
          </cell>
          <cell r="V83">
            <v>131.5846913397875</v>
          </cell>
          <cell r="W83">
            <v>147.08714010016041</v>
          </cell>
          <cell r="X83">
            <v>156.65063000721545</v>
          </cell>
          <cell r="Y83">
            <v>133.95257735573148</v>
          </cell>
          <cell r="Z83">
            <v>122.35017292640565</v>
          </cell>
          <cell r="AA83">
            <v>160.32667298154385</v>
          </cell>
          <cell r="AB83">
            <v>98.626373626373621</v>
          </cell>
          <cell r="AC83">
            <v>97.802197802197796</v>
          </cell>
          <cell r="AD83">
            <v>112.08131868131866</v>
          </cell>
          <cell r="AE83">
            <v>125.97940219780219</v>
          </cell>
          <cell r="AF83">
            <v>141.60084807032968</v>
          </cell>
          <cell r="AG83">
            <v>159.15935323105057</v>
          </cell>
          <cell r="AH83">
            <v>178.89511303170087</v>
          </cell>
          <cell r="AI83">
            <v>201.07810704763179</v>
          </cell>
          <cell r="AJ83">
            <v>226.01179232153817</v>
          </cell>
          <cell r="AK83">
            <v>254.03725456940893</v>
          </cell>
          <cell r="AL83">
            <v>285.53787413601566</v>
          </cell>
          <cell r="AM83">
            <v>320.94457052888163</v>
          </cell>
        </row>
        <row r="84">
          <cell r="D84">
            <v>117.96795366726955</v>
          </cell>
          <cell r="E84">
            <v>120.92678164908817</v>
          </cell>
          <cell r="F84">
            <v>140.40707807726116</v>
          </cell>
          <cell r="G84">
            <v>146.48399572436395</v>
          </cell>
          <cell r="H84">
            <v>126.7380967395743</v>
          </cell>
          <cell r="I84">
            <v>129.88671048286005</v>
          </cell>
          <cell r="J84">
            <v>129.31864199759144</v>
          </cell>
          <cell r="K84">
            <v>148.00997985780845</v>
          </cell>
          <cell r="L84">
            <v>141.89646090398139</v>
          </cell>
          <cell r="M84">
            <v>143.31955522668491</v>
          </cell>
          <cell r="N84">
            <v>214.83516483516482</v>
          </cell>
          <cell r="O84">
            <v>282.14285714285711</v>
          </cell>
          <cell r="P84">
            <v>386.8131868131868</v>
          </cell>
          <cell r="Q84">
            <v>551.64835164835165</v>
          </cell>
          <cell r="R84">
            <v>608.79120879120887</v>
          </cell>
          <cell r="S84">
            <v>615.38461538461524</v>
          </cell>
          <cell r="T84">
            <v>564.56043956043948</v>
          </cell>
          <cell r="U84">
            <v>547.80219780219784</v>
          </cell>
          <cell r="V84">
            <v>620.32967032967031</v>
          </cell>
          <cell r="W84">
            <v>428.57142857142856</v>
          </cell>
          <cell r="X84">
            <v>624.45054945054949</v>
          </cell>
          <cell r="Y84">
            <v>680.2197802197802</v>
          </cell>
          <cell r="Z84">
            <v>716.75824175824175</v>
          </cell>
          <cell r="AA84">
            <v>795.05494505494494</v>
          </cell>
          <cell r="AB84">
            <v>879.67032967032969</v>
          </cell>
          <cell r="AC84">
            <v>870.87912087912082</v>
          </cell>
          <cell r="AD84">
            <v>903.10967955199703</v>
          </cell>
          <cell r="AE84">
            <v>936.92307089849862</v>
          </cell>
          <cell r="AF84">
            <v>974.38394716241396</v>
          </cell>
          <cell r="AG84">
            <v>1012.9318491345127</v>
          </cell>
          <cell r="AH84">
            <v>1053.4861818010945</v>
          </cell>
          <cell r="AI84">
            <v>1096.3031744442978</v>
          </cell>
          <cell r="AJ84">
            <v>1141.7549964616969</v>
          </cell>
          <cell r="AK84">
            <v>1189.4711407284412</v>
          </cell>
          <cell r="AL84">
            <v>1239.0172376546288</v>
          </cell>
          <cell r="AM84">
            <v>1291.5575979779278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>
            <v>129.67032967032966</v>
          </cell>
          <cell r="R85">
            <v>130.76923076923077</v>
          </cell>
          <cell r="S85">
            <v>127.47252747252747</v>
          </cell>
          <cell r="T85">
            <v>150.27472527472526</v>
          </cell>
          <cell r="U85">
            <v>98.901098901098891</v>
          </cell>
          <cell r="V85">
            <v>111.8131868131868</v>
          </cell>
          <cell r="W85" t="str">
            <v/>
          </cell>
          <cell r="X85">
            <v>107.41758241758241</v>
          </cell>
          <cell r="Y85">
            <v>129.67032967032966</v>
          </cell>
          <cell r="Z85">
            <v>75.27472527472527</v>
          </cell>
          <cell r="AA85">
            <v>93.406593406593402</v>
          </cell>
          <cell r="AB85">
            <v>104.94505494505493</v>
          </cell>
          <cell r="AC85">
            <v>123.07692307692307</v>
          </cell>
          <cell r="AD85">
            <v>128.22553208109613</v>
          </cell>
          <cell r="AE85">
            <v>133.68797334122942</v>
          </cell>
          <cell r="AF85">
            <v>140.03131500683699</v>
          </cell>
          <cell r="AG85">
            <v>146.54263958651893</v>
          </cell>
          <cell r="AH85">
            <v>153.47179859101882</v>
          </cell>
          <cell r="AI85">
            <v>160.88496931559186</v>
          </cell>
          <cell r="AJ85">
            <v>168.88024088484303</v>
          </cell>
          <cell r="AK85">
            <v>177.35001651537712</v>
          </cell>
          <cell r="AL85">
            <v>186.16884414918061</v>
          </cell>
          <cell r="AM85">
            <v>195.65345835111253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>
            <v>318.13186813186815</v>
          </cell>
          <cell r="R86">
            <v>340.65934065934067</v>
          </cell>
          <cell r="S86">
            <v>339.28571428571428</v>
          </cell>
          <cell r="T86">
            <v>262.91208791208788</v>
          </cell>
          <cell r="U86">
            <v>293.95604395604397</v>
          </cell>
          <cell r="V86">
            <v>362.91208791208788</v>
          </cell>
          <cell r="W86">
            <v>334.61538461538458</v>
          </cell>
          <cell r="X86">
            <v>356.31868131868129</v>
          </cell>
          <cell r="Y86">
            <v>334.06593406593407</v>
          </cell>
          <cell r="Z86">
            <v>325</v>
          </cell>
          <cell r="AA86">
            <v>387.08791208791206</v>
          </cell>
          <cell r="AB86">
            <v>356.31868131868129</v>
          </cell>
          <cell r="AC86">
            <v>321.7032967032967</v>
          </cell>
          <cell r="AD86">
            <v>335.16093318518659</v>
          </cell>
          <cell r="AE86">
            <v>349.43887674682958</v>
          </cell>
          <cell r="AF86">
            <v>366.01935239510294</v>
          </cell>
          <cell r="AG86">
            <v>383.03890838351271</v>
          </cell>
          <cell r="AH86">
            <v>401.15061640643546</v>
          </cell>
          <cell r="AI86">
            <v>420.52745327803149</v>
          </cell>
          <cell r="AJ86">
            <v>441.42580820569469</v>
          </cell>
          <cell r="AK86">
            <v>463.5644404899702</v>
          </cell>
          <cell r="AL86">
            <v>486.61543861314851</v>
          </cell>
          <cell r="AM86">
            <v>511.40669582400182</v>
          </cell>
        </row>
        <row r="87"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>
            <v>46.428571428571423</v>
          </cell>
          <cell r="S87">
            <v>52.472527472527467</v>
          </cell>
          <cell r="T87">
            <v>83.241758241758234</v>
          </cell>
          <cell r="U87">
            <v>75.27472527472527</v>
          </cell>
          <cell r="V87">
            <v>90.384615384615387</v>
          </cell>
          <cell r="W87">
            <v>62.362637362637358</v>
          </cell>
          <cell r="X87">
            <v>105.49450549450549</v>
          </cell>
          <cell r="Y87">
            <v>126.37362637362637</v>
          </cell>
          <cell r="Z87">
            <v>160.16483516483515</v>
          </cell>
          <cell r="AA87">
            <v>166.75824175824175</v>
          </cell>
          <cell r="AB87">
            <v>110.43956043956044</v>
          </cell>
          <cell r="AC87">
            <v>115.65934065934066</v>
          </cell>
          <cell r="AD87">
            <v>119.12912087912088</v>
          </cell>
          <cell r="AE87">
            <v>122.7029945054945</v>
          </cell>
          <cell r="AF87">
            <v>126.38408434065934</v>
          </cell>
          <cell r="AG87">
            <v>130.17560687087914</v>
          </cell>
          <cell r="AH87">
            <v>134.08087507700552</v>
          </cell>
          <cell r="AI87">
            <v>138.10330132931568</v>
          </cell>
          <cell r="AJ87">
            <v>142.24640036919516</v>
          </cell>
          <cell r="AK87">
            <v>146.51379238027101</v>
          </cell>
          <cell r="AL87">
            <v>150.90920615167914</v>
          </cell>
          <cell r="AM87">
            <v>155.43648233622952</v>
          </cell>
        </row>
        <row r="88"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>
            <v>75.824175824175825</v>
          </cell>
          <cell r="R88">
            <v>65.934065934065927</v>
          </cell>
          <cell r="S88">
            <v>68.681318681318686</v>
          </cell>
          <cell r="T88">
            <v>42.582417582417584</v>
          </cell>
          <cell r="U88">
            <v>53.571428571428569</v>
          </cell>
          <cell r="V88">
            <v>19.505494505494504</v>
          </cell>
          <cell r="W88">
            <v>0</v>
          </cell>
          <cell r="X88">
            <v>12.637362637362637</v>
          </cell>
          <cell r="Y88">
            <v>44.505494505494504</v>
          </cell>
          <cell r="Z88">
            <v>66.758241758241752</v>
          </cell>
          <cell r="AA88">
            <v>53.846153846153847</v>
          </cell>
          <cell r="AB88">
            <v>59.890109890109891</v>
          </cell>
          <cell r="AC88">
            <v>48.076923076923073</v>
          </cell>
          <cell r="AD88">
            <v>50.360576923076927</v>
          </cell>
          <cell r="AE88">
            <v>52.752704326923087</v>
          </cell>
          <cell r="AF88">
            <v>55.258457782451941</v>
          </cell>
          <cell r="AG88">
            <v>57.883234527118411</v>
          </cell>
          <cell r="AH88">
            <v>60.632688167156545</v>
          </cell>
          <cell r="AI88">
            <v>63.512740855096489</v>
          </cell>
          <cell r="AJ88">
            <v>66.529596045713575</v>
          </cell>
          <cell r="AK88">
            <v>69.689751857884971</v>
          </cell>
          <cell r="AL88">
            <v>73.000015071134513</v>
          </cell>
          <cell r="AM88">
            <v>76.467515787013411</v>
          </cell>
        </row>
        <row r="89">
          <cell r="D89">
            <v>117.96795366726955</v>
          </cell>
          <cell r="E89">
            <v>120.92678164908817</v>
          </cell>
          <cell r="F89">
            <v>140.40707807726116</v>
          </cell>
          <cell r="G89">
            <v>146.48399572436395</v>
          </cell>
          <cell r="H89">
            <v>126.7380967395743</v>
          </cell>
          <cell r="I89">
            <v>129.88671048286005</v>
          </cell>
          <cell r="J89">
            <v>129.31864199759144</v>
          </cell>
          <cell r="K89">
            <v>148.00997985780845</v>
          </cell>
          <cell r="L89">
            <v>141.89646090398139</v>
          </cell>
          <cell r="M89">
            <v>143.31955522668491</v>
          </cell>
          <cell r="N89">
            <v>214.83516483516482</v>
          </cell>
          <cell r="O89">
            <v>282.14285714285711</v>
          </cell>
          <cell r="P89">
            <v>386.8131868131868</v>
          </cell>
          <cell r="Q89">
            <v>28.021978021978022</v>
          </cell>
          <cell r="R89">
            <v>25</v>
          </cell>
          <cell r="S89">
            <v>27.472527472527471</v>
          </cell>
          <cell r="T89">
            <v>25.549450549450547</v>
          </cell>
          <cell r="U89">
            <v>26.098901098901099</v>
          </cell>
          <cell r="V89">
            <v>35.714285714285715</v>
          </cell>
          <cell r="W89">
            <v>31.593406593406591</v>
          </cell>
          <cell r="X89">
            <v>42.582417582417584</v>
          </cell>
          <cell r="Y89">
            <v>45.604395604395606</v>
          </cell>
          <cell r="Z89">
            <v>89.560439560439562</v>
          </cell>
          <cell r="AA89">
            <v>93.956043956043956</v>
          </cell>
          <cell r="AB89">
            <v>248.07692307692307</v>
          </cell>
          <cell r="AC89">
            <v>262.36263736263737</v>
          </cell>
          <cell r="AD89">
            <v>270.2335164835165</v>
          </cell>
          <cell r="AE89">
            <v>278.34052197802202</v>
          </cell>
          <cell r="AF89">
            <v>286.6907376373627</v>
          </cell>
          <cell r="AG89">
            <v>295.29145976648357</v>
          </cell>
          <cell r="AH89">
            <v>304.15020355947809</v>
          </cell>
          <cell r="AI89">
            <v>313.27470966626242</v>
          </cell>
          <cell r="AJ89">
            <v>322.6729509562503</v>
          </cell>
          <cell r="AK89">
            <v>332.3531394849378</v>
          </cell>
          <cell r="AL89">
            <v>342.32373366948593</v>
          </cell>
          <cell r="AM89">
            <v>352.59344567957049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>
            <v>0.46524731729109042</v>
          </cell>
          <cell r="H90">
            <v>1.6778346182025554</v>
          </cell>
          <cell r="I90">
            <v>1.5844615893033938</v>
          </cell>
          <cell r="J90">
            <v>2.3212801900764628</v>
          </cell>
          <cell r="K90">
            <v>2.6471938703003772</v>
          </cell>
          <cell r="L90">
            <v>2.8256660767849859</v>
          </cell>
          <cell r="M90">
            <v>2.876668546562088</v>
          </cell>
          <cell r="N90">
            <v>2.8296703296703298</v>
          </cell>
          <cell r="O90">
            <v>1.9934035741710308</v>
          </cell>
          <cell r="P90">
            <v>3.6560189675763564</v>
          </cell>
          <cell r="Q90">
            <v>0</v>
          </cell>
          <cell r="R90">
            <v>0.27472527472527469</v>
          </cell>
          <cell r="S90">
            <v>1.0989010989010988</v>
          </cell>
          <cell r="T90">
            <v>2.7472527472527473E-4</v>
          </cell>
          <cell r="U90">
            <v>2.7472527472527473E-4</v>
          </cell>
          <cell r="V90">
            <v>0.27472527472527469</v>
          </cell>
          <cell r="W90">
            <v>0.54945054945054939</v>
          </cell>
          <cell r="X90">
            <v>0.27472527472527469</v>
          </cell>
          <cell r="Y90">
            <v>0.54945054945054939</v>
          </cell>
          <cell r="Z90">
            <v>0.27472527472527469</v>
          </cell>
          <cell r="AA90">
            <v>0.54945054945054939</v>
          </cell>
          <cell r="AB90">
            <v>0.27472527472527469</v>
          </cell>
          <cell r="AC90">
            <v>0.27472527472527469</v>
          </cell>
          <cell r="AD90">
            <v>0.28777472527472525</v>
          </cell>
          <cell r="AE90">
            <v>0.30144402472527471</v>
          </cell>
          <cell r="AF90">
            <v>0.31576261589972526</v>
          </cell>
          <cell r="AG90">
            <v>0.33076134015496222</v>
          </cell>
          <cell r="AH90">
            <v>0.34647250381232297</v>
          </cell>
          <cell r="AI90">
            <v>0.36292994774340837</v>
          </cell>
          <cell r="AJ90">
            <v>0.38016912026122029</v>
          </cell>
          <cell r="AK90">
            <v>0.3982271534736283</v>
          </cell>
          <cell r="AL90">
            <v>0.41714294326362567</v>
          </cell>
          <cell r="AM90">
            <v>0.43695723306864792</v>
          </cell>
        </row>
        <row r="91">
          <cell r="D91">
            <v>1036.4938227233422</v>
          </cell>
          <cell r="E91">
            <v>943.11154288669229</v>
          </cell>
          <cell r="F91">
            <v>930.624777040563</v>
          </cell>
          <cell r="G91">
            <v>820.70613544183732</v>
          </cell>
          <cell r="H91">
            <v>839.4284802156003</v>
          </cell>
          <cell r="I91">
            <v>1032.4577616412016</v>
          </cell>
          <cell r="J91">
            <v>1142.2393984437213</v>
          </cell>
          <cell r="K91">
            <v>1039.0108598274453</v>
          </cell>
          <cell r="L91">
            <v>976.98913157576135</v>
          </cell>
          <cell r="M91">
            <v>980.46283084486959</v>
          </cell>
          <cell r="N91">
            <v>778.84296658522453</v>
          </cell>
          <cell r="O91">
            <v>1141.4597814776323</v>
          </cell>
          <cell r="P91">
            <v>1212.0483200989927</v>
          </cell>
          <cell r="Q91">
            <v>1325.2747252747254</v>
          </cell>
          <cell r="R91">
            <v>1292.5824175824177</v>
          </cell>
          <cell r="S91">
            <v>1404.6703296703295</v>
          </cell>
          <cell r="T91">
            <v>1401.3739010989011</v>
          </cell>
          <cell r="U91">
            <v>1313.1870879120879</v>
          </cell>
          <cell r="V91">
            <v>1308.2417582417584</v>
          </cell>
          <cell r="W91">
            <v>1258.7912087912089</v>
          </cell>
          <cell r="X91">
            <v>1467.8571428571427</v>
          </cell>
          <cell r="Y91">
            <v>1410.4395604395604</v>
          </cell>
          <cell r="Z91">
            <v>1590.934065934066</v>
          </cell>
          <cell r="AA91">
            <v>1623.9010989010987</v>
          </cell>
          <cell r="AB91">
            <v>1868.4065934065934</v>
          </cell>
          <cell r="AC91">
            <v>1838.4615384615386</v>
          </cell>
          <cell r="AD91">
            <v>2170.0182701345434</v>
          </cell>
          <cell r="AE91">
            <v>2265.4438133461053</v>
          </cell>
          <cell r="AF91">
            <v>2360.7741325477468</v>
          </cell>
          <cell r="AG91">
            <v>2460.6667620467178</v>
          </cell>
          <cell r="AH91">
            <v>2566.3381812284529</v>
          </cell>
          <cell r="AI91">
            <v>2689.3365089257672</v>
          </cell>
          <cell r="AJ91">
            <v>2820.3204414752199</v>
          </cell>
          <cell r="AK91">
            <v>2959.3779828250549</v>
          </cell>
          <cell r="AL91">
            <v>3106.580903648714</v>
          </cell>
          <cell r="AM91">
            <v>3263.6527721665511</v>
          </cell>
        </row>
        <row r="92">
          <cell r="D92">
            <v>91.140072049162981</v>
          </cell>
          <cell r="E92">
            <v>75.417140835973257</v>
          </cell>
          <cell r="F92">
            <v>71.667510121457511</v>
          </cell>
          <cell r="G92">
            <v>64.728450838188081</v>
          </cell>
          <cell r="H92">
            <v>69.511083985439356</v>
          </cell>
          <cell r="I92">
            <v>77.96580223117806</v>
          </cell>
          <cell r="J92">
            <v>82.655142224435011</v>
          </cell>
          <cell r="K92">
            <v>75.654036746207254</v>
          </cell>
          <cell r="L92">
            <v>83.540771662478747</v>
          </cell>
          <cell r="M92">
            <v>92.633045825265555</v>
          </cell>
          <cell r="N92">
            <v>96.981209238951237</v>
          </cell>
          <cell r="O92">
            <v>100.57318555533443</v>
          </cell>
          <cell r="P92">
            <v>102.51211946144674</v>
          </cell>
          <cell r="Q92">
            <v>256.5934065934066</v>
          </cell>
          <cell r="R92">
            <v>284.34065934065933</v>
          </cell>
          <cell r="S92">
            <v>322.80219780219778</v>
          </cell>
          <cell r="T92">
            <v>373.62609890109883</v>
          </cell>
          <cell r="U92">
            <v>414.01071428571419</v>
          </cell>
          <cell r="V92">
            <v>406.86813186813185</v>
          </cell>
          <cell r="W92">
            <v>413.46153846153845</v>
          </cell>
          <cell r="X92">
            <v>308.24175824175819</v>
          </cell>
          <cell r="Y92">
            <v>328.84615384615387</v>
          </cell>
          <cell r="Z92">
            <v>391.4835164835165</v>
          </cell>
          <cell r="AA92">
            <v>815.1098901098901</v>
          </cell>
          <cell r="AB92">
            <v>470.60439560439562</v>
          </cell>
          <cell r="AC92">
            <v>554.39560439560444</v>
          </cell>
          <cell r="AD92">
            <v>580.72939560439568</v>
          </cell>
          <cell r="AE92">
            <v>608.31404189560453</v>
          </cell>
          <cell r="AF92">
            <v>637.20895888564587</v>
          </cell>
          <cell r="AG92">
            <v>667.4763844327141</v>
          </cell>
          <cell r="AH92">
            <v>699.18151269326802</v>
          </cell>
          <cell r="AI92">
            <v>732.39263454619834</v>
          </cell>
          <cell r="AJ92">
            <v>767.18128468714281</v>
          </cell>
          <cell r="AK92">
            <v>803.62239570978215</v>
          </cell>
          <cell r="AL92">
            <v>841.79445950599688</v>
          </cell>
          <cell r="AM92">
            <v>881.77969633253178</v>
          </cell>
        </row>
        <row r="93"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>
            <v>27.747252747252745</v>
          </cell>
          <cell r="R93">
            <v>26.373626373626372</v>
          </cell>
          <cell r="S93">
            <v>28.571428571428569</v>
          </cell>
          <cell r="T93">
            <v>39.010989010989007</v>
          </cell>
          <cell r="U93">
            <v>40.934065934065934</v>
          </cell>
          <cell r="V93">
            <v>33.516483516483518</v>
          </cell>
          <cell r="W93">
            <v>35.164835164835161</v>
          </cell>
          <cell r="X93">
            <v>24.450549450549449</v>
          </cell>
          <cell r="Y93">
            <v>23.901098901098901</v>
          </cell>
          <cell r="Z93">
            <v>24.725274725274723</v>
          </cell>
          <cell r="AA93">
            <v>21.978021978021978</v>
          </cell>
          <cell r="AB93">
            <v>34.065934065934066</v>
          </cell>
          <cell r="AC93">
            <v>29.670329670329668</v>
          </cell>
          <cell r="AD93">
            <v>31.079670329670328</v>
          </cell>
          <cell r="AE93">
            <v>32.555954670329669</v>
          </cell>
          <cell r="AF93">
            <v>34.102362517170334</v>
          </cell>
          <cell r="AG93">
            <v>35.722224736735932</v>
          </cell>
          <cell r="AH93">
            <v>37.419030411730894</v>
          </cell>
          <cell r="AI93">
            <v>39.196434356288115</v>
          </cell>
          <cell r="AJ93">
            <v>41.058264988211803</v>
          </cell>
          <cell r="AK93">
            <v>43.008532575151868</v>
          </cell>
          <cell r="AL93">
            <v>45.051437872471588</v>
          </cell>
          <cell r="AM93">
            <v>47.191381171413994</v>
          </cell>
        </row>
        <row r="94">
          <cell r="D94">
            <v>91.140072049162981</v>
          </cell>
          <cell r="E94">
            <v>75.417140835973257</v>
          </cell>
          <cell r="F94">
            <v>71.667510121457511</v>
          </cell>
          <cell r="G94">
            <v>64.728450838188081</v>
          </cell>
          <cell r="H94">
            <v>69.511083985439356</v>
          </cell>
          <cell r="I94">
            <v>77.96580223117806</v>
          </cell>
          <cell r="J94">
            <v>82.655142224435011</v>
          </cell>
          <cell r="K94">
            <v>75.654036746207254</v>
          </cell>
          <cell r="L94">
            <v>83.540771662478747</v>
          </cell>
          <cell r="M94">
            <v>92.633045825265555</v>
          </cell>
          <cell r="N94">
            <v>96.981209238951237</v>
          </cell>
          <cell r="O94">
            <v>100.57318555533443</v>
          </cell>
          <cell r="P94">
            <v>102.51211946144674</v>
          </cell>
          <cell r="Q94">
            <v>228.84615384615384</v>
          </cell>
          <cell r="R94">
            <v>257.96703296703294</v>
          </cell>
          <cell r="S94">
            <v>294.23076923076923</v>
          </cell>
          <cell r="T94">
            <v>334.61510989010981</v>
          </cell>
          <cell r="U94">
            <v>373.07664835164826</v>
          </cell>
          <cell r="V94">
            <v>373.35164835164835</v>
          </cell>
          <cell r="W94">
            <v>378.2967032967033</v>
          </cell>
          <cell r="X94">
            <v>283.79120879120876</v>
          </cell>
          <cell r="Y94">
            <v>304.94505494505495</v>
          </cell>
          <cell r="Z94">
            <v>366.75824175824175</v>
          </cell>
          <cell r="AA94">
            <v>793.13186813186815</v>
          </cell>
          <cell r="AB94">
            <v>436.53846153846155</v>
          </cell>
          <cell r="AC94">
            <v>524.72527472527474</v>
          </cell>
          <cell r="AD94">
            <v>549.64972527472537</v>
          </cell>
          <cell r="AE94">
            <v>575.75808722527483</v>
          </cell>
          <cell r="AF94">
            <v>603.10659636847549</v>
          </cell>
          <cell r="AG94">
            <v>631.75415969597816</v>
          </cell>
          <cell r="AH94">
            <v>661.76248228153713</v>
          </cell>
          <cell r="AI94">
            <v>693.1962001899102</v>
          </cell>
          <cell r="AJ94">
            <v>726.12301969893099</v>
          </cell>
          <cell r="AK94">
            <v>760.61386313463026</v>
          </cell>
          <cell r="AL94">
            <v>796.74302163352525</v>
          </cell>
          <cell r="AM94">
            <v>834.58831516111775</v>
          </cell>
        </row>
        <row r="95">
          <cell r="D95">
            <v>1127.6338947725051</v>
          </cell>
          <cell r="E95">
            <v>1018.5286837226655</v>
          </cell>
          <cell r="F95">
            <v>1002.2922871620206</v>
          </cell>
          <cell r="G95">
            <v>885.43458628002543</v>
          </cell>
          <cell r="H95">
            <v>908.93956420103962</v>
          </cell>
          <cell r="I95">
            <v>1110.4235638723796</v>
          </cell>
          <cell r="J95">
            <v>1224.8945406681562</v>
          </cell>
          <cell r="K95">
            <v>1114.6648965736526</v>
          </cell>
          <cell r="L95">
            <v>1060.5299032382402</v>
          </cell>
          <cell r="M95">
            <v>1073.0958766701351</v>
          </cell>
          <cell r="N95">
            <v>875.82417582417577</v>
          </cell>
          <cell r="O95">
            <v>1242.0329670329668</v>
          </cell>
          <cell r="P95">
            <v>1314.5604395604394</v>
          </cell>
          <cell r="Q95">
            <v>1581.868131868132</v>
          </cell>
          <cell r="R95">
            <v>1576.9230769230771</v>
          </cell>
          <cell r="S95">
            <v>1727.4725274725272</v>
          </cell>
          <cell r="T95">
            <v>1775</v>
          </cell>
          <cell r="U95">
            <v>1727.197802197802</v>
          </cell>
          <cell r="V95">
            <v>1715.1098901098903</v>
          </cell>
          <cell r="W95">
            <v>1672.2527472527472</v>
          </cell>
          <cell r="X95">
            <v>1776.0989010989008</v>
          </cell>
          <cell r="Y95">
            <v>1739.2857142857142</v>
          </cell>
          <cell r="Z95">
            <v>1982.4175824175825</v>
          </cell>
          <cell r="AA95">
            <v>2439.0109890109889</v>
          </cell>
          <cell r="AB95">
            <v>2339.0109890109889</v>
          </cell>
          <cell r="AC95">
            <v>2392.8571428571431</v>
          </cell>
          <cell r="AD95">
            <v>2750.7476657389388</v>
          </cell>
          <cell r="AE95">
            <v>2873.7578552417099</v>
          </cell>
          <cell r="AF95">
            <v>2997.9830914333925</v>
          </cell>
          <cell r="AG95">
            <v>3128.1431464794318</v>
          </cell>
          <cell r="AH95">
            <v>3265.5196939217208</v>
          </cell>
          <cell r="AI95">
            <v>3421.7291434719655</v>
          </cell>
          <cell r="AJ95">
            <v>3587.5017261623625</v>
          </cell>
          <cell r="AK95">
            <v>3763.0003785348372</v>
          </cell>
          <cell r="AL95">
            <v>3948.3753631547106</v>
          </cell>
          <cell r="AM95">
            <v>4145.4324684990825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657</v>
          </cell>
          <cell r="O97">
            <v>873</v>
          </cell>
          <cell r="P97">
            <v>969</v>
          </cell>
          <cell r="Q97">
            <v>230</v>
          </cell>
          <cell r="R97">
            <v>317</v>
          </cell>
          <cell r="S97">
            <v>346</v>
          </cell>
          <cell r="T97">
            <v>428</v>
          </cell>
          <cell r="U97">
            <v>580</v>
          </cell>
          <cell r="V97">
            <v>452</v>
          </cell>
          <cell r="W97">
            <v>461</v>
          </cell>
          <cell r="X97">
            <v>386</v>
          </cell>
          <cell r="Y97">
            <v>546</v>
          </cell>
          <cell r="Z97">
            <v>868</v>
          </cell>
          <cell r="AA97">
            <v>952</v>
          </cell>
          <cell r="AB97">
            <v>587</v>
          </cell>
          <cell r="AC97">
            <v>610</v>
          </cell>
          <cell r="AD97">
            <v>1012.421922541818</v>
          </cell>
          <cell r="AE97">
            <v>1164.587354582874</v>
          </cell>
          <cell r="AF97">
            <v>1323.1110832987274</v>
          </cell>
          <cell r="AG97">
            <v>1510.855068787155</v>
          </cell>
          <cell r="AH97">
            <v>1683.0536909929365</v>
          </cell>
          <cell r="AI97">
            <v>1885.9776558576314</v>
          </cell>
          <cell r="AJ97">
            <v>2108.880856675903</v>
          </cell>
          <cell r="AK97">
            <v>2368.9642502476827</v>
          </cell>
          <cell r="AL97">
            <v>2650.3388132867099</v>
          </cell>
          <cell r="AM97">
            <v>2967.9003364932928</v>
          </cell>
        </row>
        <row r="98">
          <cell r="N98">
            <v>657</v>
          </cell>
          <cell r="O98">
            <v>873</v>
          </cell>
          <cell r="P98">
            <v>969</v>
          </cell>
          <cell r="Q98">
            <v>145</v>
          </cell>
          <cell r="R98">
            <v>200</v>
          </cell>
          <cell r="S98">
            <v>227</v>
          </cell>
          <cell r="T98">
            <v>278</v>
          </cell>
          <cell r="U98">
            <v>376</v>
          </cell>
          <cell r="V98">
            <v>392</v>
          </cell>
          <cell r="W98">
            <v>365</v>
          </cell>
          <cell r="X98">
            <v>293</v>
          </cell>
          <cell r="Y98">
            <v>267</v>
          </cell>
          <cell r="Z98">
            <v>461</v>
          </cell>
          <cell r="AA98">
            <v>479</v>
          </cell>
          <cell r="AB98">
            <v>469</v>
          </cell>
          <cell r="AC98">
            <v>462</v>
          </cell>
          <cell r="AD98">
            <v>505.8411088113416</v>
          </cell>
          <cell r="AE98">
            <v>575.61915080684344</v>
          </cell>
          <cell r="AF98">
            <v>678.08237705720205</v>
          </cell>
          <cell r="AG98">
            <v>793.66012109796998</v>
          </cell>
          <cell r="AH98">
            <v>911.1317197156028</v>
          </cell>
          <cell r="AI98">
            <v>1053.0836714153752</v>
          </cell>
          <cell r="AJ98">
            <v>1208.2485387853494</v>
          </cell>
          <cell r="AK98">
            <v>1397.0476394734162</v>
          </cell>
          <cell r="AL98">
            <v>1619.6124383876238</v>
          </cell>
          <cell r="AM98">
            <v>1872.5879293610838</v>
          </cell>
        </row>
        <row r="99">
          <cell r="Q99">
            <v>11</v>
          </cell>
          <cell r="R99">
            <v>21</v>
          </cell>
          <cell r="S99">
            <v>23</v>
          </cell>
          <cell r="T99">
            <v>27</v>
          </cell>
          <cell r="U99">
            <v>24</v>
          </cell>
          <cell r="V99">
            <v>7</v>
          </cell>
          <cell r="W99">
            <v>6</v>
          </cell>
          <cell r="X99">
            <v>4</v>
          </cell>
          <cell r="Y99">
            <v>5</v>
          </cell>
          <cell r="Z99">
            <v>5</v>
          </cell>
          <cell r="AA99">
            <v>5</v>
          </cell>
          <cell r="AB99">
            <v>12</v>
          </cell>
          <cell r="AC99">
            <v>11</v>
          </cell>
          <cell r="AD99">
            <v>11.561</v>
          </cell>
          <cell r="AE99">
            <v>12.139049999999999</v>
          </cell>
          <cell r="AF99">
            <v>12.746002499999999</v>
          </cell>
          <cell r="AG99">
            <v>13.383302624999997</v>
          </cell>
          <cell r="AH99">
            <v>14.052467756249998</v>
          </cell>
          <cell r="AI99">
            <v>14.755091144062499</v>
          </cell>
          <cell r="AJ99">
            <v>15.492845701265624</v>
          </cell>
          <cell r="AK99">
            <v>16.267487986328906</v>
          </cell>
          <cell r="AL99">
            <v>17.080862385645354</v>
          </cell>
          <cell r="AM99">
            <v>17.934905504927624</v>
          </cell>
        </row>
        <row r="100">
          <cell r="Q100">
            <v>74</v>
          </cell>
          <cell r="R100">
            <v>96</v>
          </cell>
          <cell r="S100">
            <v>96</v>
          </cell>
          <cell r="T100">
            <v>123</v>
          </cell>
          <cell r="U100">
            <v>180</v>
          </cell>
          <cell r="V100">
            <v>53</v>
          </cell>
          <cell r="W100">
            <v>90</v>
          </cell>
          <cell r="X100">
            <v>89</v>
          </cell>
          <cell r="Y100">
            <v>274</v>
          </cell>
          <cell r="Z100">
            <v>402</v>
          </cell>
          <cell r="AA100">
            <v>468</v>
          </cell>
          <cell r="AB100">
            <v>106</v>
          </cell>
          <cell r="AC100">
            <v>137</v>
          </cell>
          <cell r="AD100">
            <v>495.01981373047653</v>
          </cell>
          <cell r="AE100">
            <v>576.82915377603058</v>
          </cell>
          <cell r="AF100">
            <v>632.28270374152544</v>
          </cell>
          <cell r="AG100">
            <v>703.81164506418509</v>
          </cell>
          <cell r="AH100">
            <v>757.86950352108352</v>
          </cell>
          <cell r="AI100">
            <v>818.13889329819358</v>
          </cell>
          <cell r="AJ100">
            <v>885.13947218928797</v>
          </cell>
          <cell r="AK100">
            <v>955.64912278793781</v>
          </cell>
          <cell r="AL100">
            <v>1013.6455125134407</v>
          </cell>
          <cell r="AM100">
            <v>1077.3775016272814</v>
          </cell>
        </row>
        <row r="101">
          <cell r="Q101">
            <v>73</v>
          </cell>
          <cell r="R101">
            <v>85</v>
          </cell>
          <cell r="S101">
            <v>95</v>
          </cell>
          <cell r="T101">
            <v>172</v>
          </cell>
          <cell r="U101">
            <v>172</v>
          </cell>
          <cell r="V101">
            <v>198</v>
          </cell>
          <cell r="W101">
            <v>197</v>
          </cell>
          <cell r="X101">
            <v>196</v>
          </cell>
          <cell r="Y101">
            <v>207</v>
          </cell>
          <cell r="Z101">
            <v>159</v>
          </cell>
          <cell r="AA101">
            <v>241</v>
          </cell>
          <cell r="AB101">
            <v>244</v>
          </cell>
          <cell r="AC101">
            <v>247</v>
          </cell>
          <cell r="AD101">
            <v>236.59169699720073</v>
          </cell>
          <cell r="AE101">
            <v>281.60090521359552</v>
          </cell>
          <cell r="AF101">
            <v>303.6492498884395</v>
          </cell>
          <cell r="AG101">
            <v>341.09386994888996</v>
          </cell>
          <cell r="AH101">
            <v>378.43082105023655</v>
          </cell>
          <cell r="AI101">
            <v>417.47013079747808</v>
          </cell>
          <cell r="AJ101">
            <v>471.94648966230636</v>
          </cell>
          <cell r="AK101">
            <v>544.43478437951717</v>
          </cell>
          <cell r="AL101">
            <v>633.04654849773681</v>
          </cell>
          <cell r="AM101">
            <v>762.0777027378922</v>
          </cell>
        </row>
        <row r="102">
          <cell r="Q102">
            <v>444</v>
          </cell>
          <cell r="R102">
            <v>577</v>
          </cell>
          <cell r="S102">
            <v>562</v>
          </cell>
          <cell r="T102">
            <v>708</v>
          </cell>
          <cell r="U102">
            <v>840</v>
          </cell>
          <cell r="V102">
            <v>876</v>
          </cell>
          <cell r="W102">
            <v>885</v>
          </cell>
          <cell r="X102">
            <v>893</v>
          </cell>
          <cell r="Y102">
            <v>1050</v>
          </cell>
          <cell r="Z102">
            <v>956</v>
          </cell>
          <cell r="AA102">
            <v>1100</v>
          </cell>
          <cell r="AB102">
            <v>1353</v>
          </cell>
          <cell r="AC102">
            <v>1656</v>
          </cell>
          <cell r="AD102">
            <v>1151.978582294259</v>
          </cell>
          <cell r="AE102">
            <v>1362.712187137324</v>
          </cell>
          <cell r="AF102">
            <v>1465.9427779047446</v>
          </cell>
          <cell r="AG102">
            <v>1641.2588983168207</v>
          </cell>
          <cell r="AH102">
            <v>1816.0709114854949</v>
          </cell>
          <cell r="AI102">
            <v>1998.8533864419092</v>
          </cell>
          <cell r="AJ102">
            <v>2253.9122941017886</v>
          </cell>
          <cell r="AK102">
            <v>2593.30328230229</v>
          </cell>
          <cell r="AL102">
            <v>3008.1845304761664</v>
          </cell>
          <cell r="AM102">
            <v>3612.3098050057674</v>
          </cell>
        </row>
        <row r="103">
          <cell r="Q103">
            <v>180</v>
          </cell>
          <cell r="R103">
            <v>133</v>
          </cell>
          <cell r="S103">
            <v>113</v>
          </cell>
          <cell r="T103">
            <v>162</v>
          </cell>
          <cell r="U103">
            <v>176</v>
          </cell>
          <cell r="V103">
            <v>147</v>
          </cell>
          <cell r="W103">
            <v>190</v>
          </cell>
          <cell r="X103">
            <v>152</v>
          </cell>
          <cell r="Y103">
            <v>167</v>
          </cell>
          <cell r="Z103">
            <v>164</v>
          </cell>
          <cell r="AA103">
            <v>165</v>
          </cell>
          <cell r="AB103">
            <v>579</v>
          </cell>
          <cell r="AC103">
            <v>613</v>
          </cell>
          <cell r="AD103">
            <v>839.88027236349023</v>
          </cell>
          <cell r="AE103">
            <v>1230.2384336620162</v>
          </cell>
          <cell r="AF103">
            <v>1879.0988898816627</v>
          </cell>
          <cell r="AG103">
            <v>3049.0684821266104</v>
          </cell>
          <cell r="AH103">
            <v>5285.5631810667073</v>
          </cell>
          <cell r="AI103">
            <v>7735.6692611659064</v>
          </cell>
          <cell r="AJ103">
            <v>11836.458963654577</v>
          </cell>
          <cell r="AK103">
            <v>18429.346529888109</v>
          </cell>
          <cell r="AL103">
            <v>28977.720223841556</v>
          </cell>
          <cell r="AM103">
            <v>45780.700001124816</v>
          </cell>
        </row>
        <row r="104">
          <cell r="Q104">
            <v>52</v>
          </cell>
          <cell r="R104">
            <v>53</v>
          </cell>
          <cell r="S104">
            <v>37</v>
          </cell>
          <cell r="T104">
            <v>45</v>
          </cell>
          <cell r="U104">
            <v>48</v>
          </cell>
          <cell r="V104">
            <v>36</v>
          </cell>
          <cell r="W104">
            <v>30</v>
          </cell>
          <cell r="X104">
            <v>44</v>
          </cell>
          <cell r="Y104">
            <v>26</v>
          </cell>
          <cell r="Z104">
            <v>36</v>
          </cell>
          <cell r="AA104">
            <v>82</v>
          </cell>
          <cell r="AB104">
            <v>148</v>
          </cell>
          <cell r="AC104">
            <v>156</v>
          </cell>
          <cell r="AD104">
            <v>211.57584015065913</v>
          </cell>
          <cell r="AE104">
            <v>288.17527213393657</v>
          </cell>
          <cell r="AF104">
            <v>431.70082390273552</v>
          </cell>
          <cell r="AG104">
            <v>649.8896429668772</v>
          </cell>
          <cell r="AH104">
            <v>913.95249020955487</v>
          </cell>
          <cell r="AI104">
            <v>1237.4007792971306</v>
          </cell>
          <cell r="AJ104">
            <v>1749.0028284099485</v>
          </cell>
          <cell r="AK104">
            <v>2489.1743207436648</v>
          </cell>
          <cell r="AL104">
            <v>3567.9540671064892</v>
          </cell>
          <cell r="AM104">
            <v>5075.8134487619482</v>
          </cell>
        </row>
        <row r="105">
          <cell r="N105">
            <v>191</v>
          </cell>
          <cell r="O105">
            <v>245</v>
          </cell>
          <cell r="P105">
            <v>242</v>
          </cell>
          <cell r="Q105">
            <v>335</v>
          </cell>
          <cell r="R105">
            <v>353</v>
          </cell>
          <cell r="S105">
            <v>427</v>
          </cell>
          <cell r="T105">
            <v>567</v>
          </cell>
          <cell r="U105">
            <v>606</v>
          </cell>
          <cell r="V105">
            <v>648</v>
          </cell>
          <cell r="W105">
            <v>662</v>
          </cell>
          <cell r="X105">
            <v>673</v>
          </cell>
          <cell r="Y105">
            <v>758</v>
          </cell>
          <cell r="Z105">
            <v>1242</v>
          </cell>
          <cell r="AA105">
            <v>1366</v>
          </cell>
          <cell r="AB105">
            <v>1257</v>
          </cell>
          <cell r="AC105">
            <v>1036</v>
          </cell>
          <cell r="AD105">
            <v>1518.8009015967273</v>
          </cell>
          <cell r="AE105">
            <v>1730.1858218125813</v>
          </cell>
          <cell r="AF105">
            <v>1873.4707355964447</v>
          </cell>
          <cell r="AG105">
            <v>2058.2924142237935</v>
          </cell>
          <cell r="AH105">
            <v>2197.9710388232397</v>
          </cell>
          <cell r="AI105">
            <v>2353.6994696160868</v>
          </cell>
          <cell r="AJ105">
            <v>2526.8204361881635</v>
          </cell>
          <cell r="AK105">
            <v>2709.0083973420356</v>
          </cell>
          <cell r="AL105">
            <v>2858.8636853581284</v>
          </cell>
          <cell r="AM105">
            <v>3023.539032042569</v>
          </cell>
        </row>
        <row r="106">
          <cell r="N106">
            <v>139</v>
          </cell>
          <cell r="O106">
            <v>207</v>
          </cell>
          <cell r="P106">
            <v>234</v>
          </cell>
          <cell r="Q106">
            <v>135</v>
          </cell>
          <cell r="R106">
            <v>187</v>
          </cell>
          <cell r="S106">
            <v>257</v>
          </cell>
          <cell r="T106">
            <v>282</v>
          </cell>
          <cell r="U106">
            <v>365</v>
          </cell>
          <cell r="V106">
            <v>393</v>
          </cell>
          <cell r="W106">
            <v>338</v>
          </cell>
          <cell r="X106">
            <v>445</v>
          </cell>
          <cell r="Y106">
            <v>506</v>
          </cell>
          <cell r="Z106">
            <v>424</v>
          </cell>
          <cell r="AA106">
            <v>382</v>
          </cell>
          <cell r="AB106">
            <v>600</v>
          </cell>
          <cell r="AC106">
            <v>646</v>
          </cell>
          <cell r="AD106">
            <v>617.47887655871784</v>
          </cell>
          <cell r="AE106">
            <v>654.41394708517009</v>
          </cell>
          <cell r="AF106">
            <v>713.14164046640849</v>
          </cell>
          <cell r="AG106">
            <v>781.44823183713629</v>
          </cell>
          <cell r="AH106">
            <v>823.38834371846337</v>
          </cell>
          <cell r="AI106">
            <v>869.47978012810927</v>
          </cell>
          <cell r="AJ106">
            <v>919.71938735857452</v>
          </cell>
          <cell r="AK106">
            <v>973.52030153166618</v>
          </cell>
          <cell r="AL106">
            <v>1017.5500409578515</v>
          </cell>
          <cell r="AM106">
            <v>1065.7884419127379</v>
          </cell>
        </row>
        <row r="107">
          <cell r="Q107">
            <v>194</v>
          </cell>
          <cell r="R107">
            <v>267</v>
          </cell>
          <cell r="S107">
            <v>276</v>
          </cell>
          <cell r="T107">
            <v>298</v>
          </cell>
          <cell r="U107">
            <v>349</v>
          </cell>
          <cell r="V107">
            <v>392</v>
          </cell>
          <cell r="W107">
            <v>456</v>
          </cell>
          <cell r="X107">
            <v>534</v>
          </cell>
          <cell r="Y107">
            <v>484</v>
          </cell>
          <cell r="Z107">
            <v>546</v>
          </cell>
          <cell r="AA107">
            <v>590</v>
          </cell>
          <cell r="AB107">
            <v>566</v>
          </cell>
          <cell r="AC107">
            <v>610</v>
          </cell>
          <cell r="AD107">
            <v>733.71520951939283</v>
          </cell>
          <cell r="AE107">
            <v>819.84029274881755</v>
          </cell>
          <cell r="AF107">
            <v>878.21922116317592</v>
          </cell>
          <cell r="AG107">
            <v>953.52157687581666</v>
          </cell>
          <cell r="AH107">
            <v>1010.4311859279417</v>
          </cell>
          <cell r="AI107">
            <v>1073.8800073931909</v>
          </cell>
          <cell r="AJ107">
            <v>1144.4151129227303</v>
          </cell>
          <cell r="AK107">
            <v>1218.6444065816809</v>
          </cell>
          <cell r="AL107">
            <v>1279.7003188935726</v>
          </cell>
          <cell r="AM107">
            <v>1346.7944045291483</v>
          </cell>
        </row>
        <row r="108">
          <cell r="N108">
            <v>371</v>
          </cell>
          <cell r="O108">
            <v>340</v>
          </cell>
          <cell r="P108">
            <v>409</v>
          </cell>
          <cell r="Q108">
            <v>345</v>
          </cell>
          <cell r="R108">
            <v>393</v>
          </cell>
          <cell r="S108">
            <v>489</v>
          </cell>
          <cell r="T108">
            <v>595</v>
          </cell>
          <cell r="U108">
            <v>661</v>
          </cell>
          <cell r="V108">
            <v>565</v>
          </cell>
          <cell r="W108">
            <v>741</v>
          </cell>
          <cell r="X108">
            <v>953</v>
          </cell>
          <cell r="Y108">
            <v>1562</v>
          </cell>
          <cell r="Z108">
            <v>1550</v>
          </cell>
          <cell r="AA108">
            <v>1667</v>
          </cell>
          <cell r="AB108">
            <v>1790</v>
          </cell>
          <cell r="AC108">
            <v>2491</v>
          </cell>
          <cell r="AD108">
            <v>2014.1593441240818</v>
          </cell>
          <cell r="AE108">
            <v>2300.7883904537157</v>
          </cell>
          <cell r="AF108">
            <v>2495.0766970621271</v>
          </cell>
          <cell r="AG108">
            <v>2745.6871068865548</v>
          </cell>
          <cell r="AH108">
            <v>2935.085437291068</v>
          </cell>
          <cell r="AI108">
            <v>3146.2466287279231</v>
          </cell>
          <cell r="AJ108">
            <v>3380.9913659473432</v>
          </cell>
          <cell r="AK108">
            <v>3628.030565834214</v>
          </cell>
          <cell r="AL108">
            <v>3831.228023096749</v>
          </cell>
          <cell r="AM108">
            <v>4054.520855555963</v>
          </cell>
        </row>
        <row r="109">
          <cell r="N109">
            <v>268</v>
          </cell>
          <cell r="O109">
            <v>279</v>
          </cell>
          <cell r="P109">
            <v>343</v>
          </cell>
          <cell r="Q109">
            <v>414</v>
          </cell>
          <cell r="R109">
            <v>529</v>
          </cell>
          <cell r="S109">
            <v>583</v>
          </cell>
          <cell r="T109">
            <v>796</v>
          </cell>
          <cell r="U109">
            <v>892</v>
          </cell>
          <cell r="V109">
            <v>983</v>
          </cell>
          <cell r="W109">
            <v>1077</v>
          </cell>
          <cell r="X109">
            <v>1184</v>
          </cell>
          <cell r="Y109">
            <v>1814</v>
          </cell>
          <cell r="Z109">
            <v>1689</v>
          </cell>
          <cell r="AA109">
            <v>1714</v>
          </cell>
          <cell r="AB109">
            <v>2286</v>
          </cell>
          <cell r="AC109">
            <v>2296</v>
          </cell>
          <cell r="AD109">
            <v>1953.6631409148135</v>
          </cell>
          <cell r="AE109">
            <v>2508.445542615133</v>
          </cell>
          <cell r="AF109">
            <v>2780.2129008280876</v>
          </cell>
          <cell r="AG109">
            <v>3241.754373586673</v>
          </cell>
          <cell r="AH109">
            <v>3701.9687213837824</v>
          </cell>
          <cell r="AI109">
            <v>4183.1663002918303</v>
          </cell>
          <cell r="AJ109">
            <v>4854.6405697705195</v>
          </cell>
          <cell r="AK109">
            <v>5748.1295208542269</v>
          </cell>
          <cell r="AL109">
            <v>6840.3559621649911</v>
          </cell>
          <cell r="AM109">
            <v>8430.7908193914482</v>
          </cell>
        </row>
        <row r="110">
          <cell r="Q110">
            <v>72</v>
          </cell>
          <cell r="R110">
            <v>118</v>
          </cell>
          <cell r="S110">
            <v>230</v>
          </cell>
          <cell r="T110">
            <v>190</v>
          </cell>
          <cell r="U110">
            <v>220</v>
          </cell>
          <cell r="V110">
            <v>200</v>
          </cell>
          <cell r="W110">
            <v>242</v>
          </cell>
          <cell r="X110">
            <v>287</v>
          </cell>
          <cell r="Y110">
            <v>365</v>
          </cell>
          <cell r="Z110">
            <v>350</v>
          </cell>
          <cell r="AA110">
            <v>374</v>
          </cell>
          <cell r="AB110">
            <v>434</v>
          </cell>
          <cell r="AC110">
            <v>562</v>
          </cell>
          <cell r="AD110">
            <v>482.89526585529461</v>
          </cell>
          <cell r="AE110">
            <v>545.15642893889685</v>
          </cell>
          <cell r="AF110">
            <v>587.35946487640513</v>
          </cell>
          <cell r="AG110">
            <v>641.79670979743366</v>
          </cell>
          <cell r="AH110">
            <v>682.93755190007255</v>
          </cell>
          <cell r="AI110">
            <v>728.80569242989895</v>
          </cell>
          <cell r="AJ110">
            <v>779.79661799794951</v>
          </cell>
          <cell r="AK110">
            <v>833.45812965964785</v>
          </cell>
          <cell r="AL110">
            <v>877.59639892021153</v>
          </cell>
          <cell r="AM110">
            <v>926.0997576522301</v>
          </cell>
        </row>
        <row r="111">
          <cell r="N111">
            <v>247</v>
          </cell>
          <cell r="O111">
            <v>214</v>
          </cell>
          <cell r="P111">
            <v>225</v>
          </cell>
          <cell r="Q111">
            <v>120</v>
          </cell>
          <cell r="R111">
            <v>139</v>
          </cell>
          <cell r="S111">
            <v>175</v>
          </cell>
          <cell r="T111">
            <v>255</v>
          </cell>
          <cell r="U111">
            <v>213</v>
          </cell>
          <cell r="V111">
            <v>304</v>
          </cell>
          <cell r="W111">
            <v>265</v>
          </cell>
          <cell r="X111">
            <v>256</v>
          </cell>
          <cell r="Y111">
            <v>259</v>
          </cell>
          <cell r="Z111">
            <v>361</v>
          </cell>
          <cell r="AA111">
            <v>364</v>
          </cell>
          <cell r="AB111">
            <v>479</v>
          </cell>
          <cell r="AC111">
            <v>423</v>
          </cell>
          <cell r="AD111">
            <v>423</v>
          </cell>
          <cell r="AE111">
            <v>423</v>
          </cell>
          <cell r="AF111">
            <v>423</v>
          </cell>
          <cell r="AG111">
            <v>423</v>
          </cell>
          <cell r="AH111">
            <v>423</v>
          </cell>
          <cell r="AI111">
            <v>587.05581636512488</v>
          </cell>
          <cell r="AJ111">
            <v>657.4416739223044</v>
          </cell>
          <cell r="AK111">
            <v>751.09974676062268</v>
          </cell>
          <cell r="AL111">
            <v>865.59005296099201</v>
          </cell>
          <cell r="AM111">
            <v>1032.3039933203513</v>
          </cell>
        </row>
        <row r="112">
          <cell r="Q112">
            <v>197</v>
          </cell>
          <cell r="R112">
            <v>221</v>
          </cell>
          <cell r="S112">
            <v>256</v>
          </cell>
          <cell r="T112">
            <v>294</v>
          </cell>
          <cell r="U112">
            <v>399</v>
          </cell>
          <cell r="V112">
            <v>513</v>
          </cell>
          <cell r="W112">
            <v>398</v>
          </cell>
          <cell r="X112">
            <v>461</v>
          </cell>
          <cell r="Y112">
            <v>729</v>
          </cell>
          <cell r="Z112">
            <v>797</v>
          </cell>
          <cell r="AA112">
            <v>853</v>
          </cell>
          <cell r="AB112">
            <v>751</v>
          </cell>
          <cell r="AC112">
            <v>790</v>
          </cell>
          <cell r="AD112">
            <v>1067.7229899951335</v>
          </cell>
          <cell r="AE112">
            <v>1222.6123854623929</v>
          </cell>
          <cell r="AF112">
            <v>1327.6024370370203</v>
          </cell>
          <cell r="AG112">
            <v>1463.0279822585151</v>
          </cell>
          <cell r="AH112">
            <v>1565.3755749903635</v>
          </cell>
          <cell r="AI112">
            <v>1679.4834426563184</v>
          </cell>
          <cell r="AJ112">
            <v>1806.3354519087998</v>
          </cell>
          <cell r="AK112">
            <v>1939.8311768437679</v>
          </cell>
          <cell r="AL112">
            <v>2049.6355798479317</v>
          </cell>
          <cell r="AM112">
            <v>2170.2991771862316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1076</v>
          </cell>
          <cell r="O113">
            <v>1035</v>
          </cell>
          <cell r="P113">
            <v>1260</v>
          </cell>
          <cell r="Q113">
            <v>1324</v>
          </cell>
          <cell r="R113">
            <v>1603</v>
          </cell>
          <cell r="S113">
            <v>2050</v>
          </cell>
          <cell r="T113">
            <v>2427</v>
          </cell>
          <cell r="U113">
            <v>2521</v>
          </cell>
          <cell r="V113">
            <v>3535</v>
          </cell>
          <cell r="W113">
            <v>3847</v>
          </cell>
          <cell r="X113">
            <v>3951</v>
          </cell>
          <cell r="Y113">
            <v>4720</v>
          </cell>
          <cell r="Z113">
            <v>4850</v>
          </cell>
          <cell r="AA113">
            <v>4876</v>
          </cell>
          <cell r="AB113">
            <v>5715</v>
          </cell>
          <cell r="AC113">
            <v>6286</v>
          </cell>
          <cell r="AD113">
            <v>6821.4101115488984</v>
          </cell>
          <cell r="AE113">
            <v>7525.6346356870154</v>
          </cell>
          <cell r="AF113">
            <v>8201.2425533375426</v>
          </cell>
          <cell r="AG113">
            <v>9028.8884796330276</v>
          </cell>
          <cell r="AH113">
            <v>9597.4042500539472</v>
          </cell>
          <cell r="AI113">
            <v>10227.315738908179</v>
          </cell>
          <cell r="AJ113">
            <v>10921.697089787387</v>
          </cell>
          <cell r="AK113">
            <v>11657.918755552313</v>
          </cell>
          <cell r="AL113">
            <v>12262.170700638195</v>
          </cell>
          <cell r="AM113">
            <v>12925.323290764307</v>
          </cell>
        </row>
        <row r="114">
          <cell r="N114">
            <v>556</v>
          </cell>
          <cell r="O114">
            <v>492</v>
          </cell>
          <cell r="P114">
            <v>560</v>
          </cell>
          <cell r="Q114">
            <v>336</v>
          </cell>
          <cell r="R114">
            <v>457</v>
          </cell>
          <cell r="S114">
            <v>554</v>
          </cell>
          <cell r="T114">
            <v>649</v>
          </cell>
          <cell r="U114">
            <v>676</v>
          </cell>
          <cell r="V114">
            <v>874</v>
          </cell>
          <cell r="W114">
            <v>736</v>
          </cell>
          <cell r="X114">
            <v>885</v>
          </cell>
          <cell r="Y114">
            <v>1431</v>
          </cell>
          <cell r="Z114">
            <v>1541</v>
          </cell>
          <cell r="AA114">
            <v>1649</v>
          </cell>
          <cell r="AB114">
            <v>1597</v>
          </cell>
          <cell r="AC114">
            <v>1537</v>
          </cell>
          <cell r="AD114">
            <v>1896.2611327703974</v>
          </cell>
          <cell r="AE114">
            <v>2143.6181741058163</v>
          </cell>
          <cell r="AF114">
            <v>2311.2863895366299</v>
          </cell>
          <cell r="AG114">
            <v>2527.5598283099507</v>
          </cell>
          <cell r="AH114">
            <v>2691.0080595434692</v>
          </cell>
          <cell r="AI114">
            <v>2873.2373493782943</v>
          </cell>
          <cell r="AJ114">
            <v>3075.8189244531331</v>
          </cell>
          <cell r="AK114">
            <v>3289.0104567153967</v>
          </cell>
          <cell r="AL114">
            <v>3464.3671502499992</v>
          </cell>
          <cell r="AM114">
            <v>3657.0658843657202</v>
          </cell>
        </row>
        <row r="115">
          <cell r="Q115">
            <v>69</v>
          </cell>
          <cell r="R115">
            <v>84</v>
          </cell>
          <cell r="S115">
            <v>96</v>
          </cell>
          <cell r="T115">
            <v>122</v>
          </cell>
          <cell r="U115">
            <v>146</v>
          </cell>
          <cell r="V115">
            <v>235</v>
          </cell>
          <cell r="W115">
            <v>232</v>
          </cell>
          <cell r="X115">
            <v>230</v>
          </cell>
          <cell r="Y115">
            <v>272</v>
          </cell>
          <cell r="Z115">
            <v>266</v>
          </cell>
          <cell r="AA115">
            <v>269</v>
          </cell>
          <cell r="AB115">
            <v>331</v>
          </cell>
          <cell r="AC115">
            <v>336</v>
          </cell>
          <cell r="AD115">
            <v>379.51721974057978</v>
          </cell>
          <cell r="AE115">
            <v>429.85463082314612</v>
          </cell>
          <cell r="AF115">
            <v>463.97528427232942</v>
          </cell>
          <cell r="AG115">
            <v>507.98715041933139</v>
          </cell>
          <cell r="AH115">
            <v>541.24903276519649</v>
          </cell>
          <cell r="AI115">
            <v>578.33287975890744</v>
          </cell>
          <cell r="AJ115">
            <v>619.55843762959739</v>
          </cell>
          <cell r="AK115">
            <v>662.9431326472569</v>
          </cell>
          <cell r="AL115">
            <v>698.62839925974583</v>
          </cell>
          <cell r="AM115">
            <v>737.84278888013239</v>
          </cell>
        </row>
        <row r="116">
          <cell r="Q116">
            <v>122</v>
          </cell>
          <cell r="R116">
            <v>146</v>
          </cell>
          <cell r="S116">
            <v>189</v>
          </cell>
          <cell r="T116">
            <v>199</v>
          </cell>
          <cell r="U116">
            <v>264</v>
          </cell>
          <cell r="V116">
            <v>279</v>
          </cell>
          <cell r="W116">
            <v>312</v>
          </cell>
          <cell r="X116">
            <v>416</v>
          </cell>
          <cell r="Y116">
            <v>446</v>
          </cell>
          <cell r="Z116">
            <v>529</v>
          </cell>
          <cell r="AA116">
            <v>476</v>
          </cell>
          <cell r="AB116">
            <v>506</v>
          </cell>
          <cell r="AC116">
            <v>574</v>
          </cell>
          <cell r="AD116">
            <v>672.96101276218781</v>
          </cell>
          <cell r="AE116">
            <v>767.02587202725829</v>
          </cell>
          <cell r="AF116">
            <v>830.78668919493452</v>
          </cell>
          <cell r="AG116">
            <v>913.0310856800902</v>
          </cell>
          <cell r="AH116">
            <v>975.18712856086381</v>
          </cell>
          <cell r="AI116">
            <v>1044.4852266046655</v>
          </cell>
          <cell r="AJ116">
            <v>1121.5228853922767</v>
          </cell>
          <cell r="AK116">
            <v>1202.5952954214754</v>
          </cell>
          <cell r="AL116">
            <v>1269.2798846673227</v>
          </cell>
          <cell r="AM116">
            <v>1342.5592997480244</v>
          </cell>
        </row>
        <row r="117">
          <cell r="Q117">
            <v>79</v>
          </cell>
          <cell r="R117">
            <v>126</v>
          </cell>
          <cell r="S117">
            <v>165</v>
          </cell>
          <cell r="T117">
            <v>158</v>
          </cell>
          <cell r="U117">
            <v>245</v>
          </cell>
          <cell r="V117">
            <v>266</v>
          </cell>
          <cell r="W117">
            <v>306</v>
          </cell>
          <cell r="X117">
            <v>456</v>
          </cell>
          <cell r="Y117">
            <v>353</v>
          </cell>
          <cell r="Z117">
            <v>327</v>
          </cell>
          <cell r="AA117">
            <v>294</v>
          </cell>
          <cell r="AB117">
            <v>525</v>
          </cell>
          <cell r="AC117">
            <v>459</v>
          </cell>
          <cell r="AD117">
            <v>477.6246862837603</v>
          </cell>
          <cell r="AE117">
            <v>535.56246282460097</v>
          </cell>
          <cell r="AF117">
            <v>574.83493934755256</v>
          </cell>
          <cell r="AG117">
            <v>625.49208700633494</v>
          </cell>
          <cell r="AH117">
            <v>663.77612794601475</v>
          </cell>
          <cell r="AI117">
            <v>706.45920588326044</v>
          </cell>
          <cell r="AJ117">
            <v>753.90934502064556</v>
          </cell>
          <cell r="AK117">
            <v>803.84462598101732</v>
          </cell>
          <cell r="AL117">
            <v>844.91795411470764</v>
          </cell>
          <cell r="AM117">
            <v>890.05326191360814</v>
          </cell>
        </row>
        <row r="118">
          <cell r="Q118">
            <v>47</v>
          </cell>
          <cell r="R118">
            <v>67</v>
          </cell>
          <cell r="S118">
            <v>76</v>
          </cell>
          <cell r="T118">
            <v>98</v>
          </cell>
          <cell r="U118">
            <v>111</v>
          </cell>
          <cell r="V118">
            <v>104</v>
          </cell>
          <cell r="W118">
            <v>137</v>
          </cell>
          <cell r="X118">
            <v>223</v>
          </cell>
          <cell r="Y118">
            <v>242</v>
          </cell>
          <cell r="Z118">
            <v>189</v>
          </cell>
          <cell r="AA118">
            <v>170</v>
          </cell>
          <cell r="AB118">
            <v>278</v>
          </cell>
          <cell r="AC118">
            <v>240</v>
          </cell>
          <cell r="AD118">
            <v>277.72232512502876</v>
          </cell>
          <cell r="AE118">
            <v>314.9069260477122</v>
          </cell>
          <cell r="AF118">
            <v>340.11209362472499</v>
          </cell>
          <cell r="AG118">
            <v>372.62396984844338</v>
          </cell>
          <cell r="AH118">
            <v>397.19475714895674</v>
          </cell>
          <cell r="AI118">
            <v>424.58885671592031</v>
          </cell>
          <cell r="AJ118">
            <v>455.04246734603697</v>
          </cell>
          <cell r="AK118">
            <v>487.09104782900755</v>
          </cell>
          <cell r="AL118">
            <v>513.45200619511093</v>
          </cell>
          <cell r="AM118">
            <v>542.41995264092452</v>
          </cell>
        </row>
        <row r="119">
          <cell r="N119">
            <v>520</v>
          </cell>
          <cell r="O119">
            <v>543</v>
          </cell>
          <cell r="P119">
            <v>700</v>
          </cell>
          <cell r="Q119">
            <v>671</v>
          </cell>
          <cell r="R119">
            <v>723</v>
          </cell>
          <cell r="S119">
            <v>970</v>
          </cell>
          <cell r="T119">
            <v>1201</v>
          </cell>
          <cell r="U119">
            <v>1079</v>
          </cell>
          <cell r="V119">
            <v>1777</v>
          </cell>
          <cell r="W119">
            <v>2124</v>
          </cell>
          <cell r="X119">
            <v>1741</v>
          </cell>
          <cell r="Y119">
            <v>1976</v>
          </cell>
          <cell r="Z119">
            <v>1998</v>
          </cell>
          <cell r="AA119">
            <v>2018</v>
          </cell>
          <cell r="AB119">
            <v>2478</v>
          </cell>
          <cell r="AC119">
            <v>3140</v>
          </cell>
          <cell r="AD119">
            <v>3117.3237348669445</v>
          </cell>
          <cell r="AE119">
            <v>3334.6665698584811</v>
          </cell>
          <cell r="AF119">
            <v>3680.2471573613711</v>
          </cell>
          <cell r="AG119">
            <v>4082.1943583688799</v>
          </cell>
          <cell r="AH119">
            <v>4328.989144089448</v>
          </cell>
          <cell r="AI119">
            <v>4600.2122205671303</v>
          </cell>
          <cell r="AJ119">
            <v>4895.8450299456972</v>
          </cell>
          <cell r="AK119">
            <v>5212.4341969581601</v>
          </cell>
          <cell r="AL119">
            <v>5471.5253061513095</v>
          </cell>
          <cell r="AM119">
            <v>5755.3821032158985</v>
          </cell>
        </row>
        <row r="120">
          <cell r="D120">
            <v>852</v>
          </cell>
          <cell r="E120">
            <v>1089</v>
          </cell>
          <cell r="F120">
            <v>1228</v>
          </cell>
          <cell r="G120">
            <v>1302</v>
          </cell>
          <cell r="H120">
            <v>1399</v>
          </cell>
          <cell r="I120">
            <v>1299</v>
          </cell>
          <cell r="J120">
            <v>1757</v>
          </cell>
          <cell r="K120">
            <v>2250</v>
          </cell>
          <cell r="L120">
            <v>2277</v>
          </cell>
          <cell r="M120">
            <v>2873</v>
          </cell>
          <cell r="N120">
            <v>527</v>
          </cell>
          <cell r="O120">
            <v>510</v>
          </cell>
          <cell r="P120">
            <v>730</v>
          </cell>
          <cell r="Q120">
            <v>277</v>
          </cell>
          <cell r="R120">
            <v>125</v>
          </cell>
          <cell r="S120">
            <v>74</v>
          </cell>
          <cell r="T120">
            <v>105</v>
          </cell>
          <cell r="U120">
            <v>163</v>
          </cell>
          <cell r="V120">
            <v>95</v>
          </cell>
          <cell r="W120">
            <v>89</v>
          </cell>
          <cell r="X120">
            <v>75</v>
          </cell>
          <cell r="Y120">
            <v>53</v>
          </cell>
          <cell r="Z120">
            <v>1034</v>
          </cell>
          <cell r="AA120">
            <v>2465</v>
          </cell>
          <cell r="AB120">
            <v>62</v>
          </cell>
          <cell r="AC120">
            <v>62</v>
          </cell>
          <cell r="AD120">
            <v>65.161999999999992</v>
          </cell>
          <cell r="AE120">
            <v>68.420100000000005</v>
          </cell>
          <cell r="AF120">
            <v>71.841105000000013</v>
          </cell>
          <cell r="AG120">
            <v>75.433160250000014</v>
          </cell>
          <cell r="AH120">
            <v>79.204818262500027</v>
          </cell>
          <cell r="AI120">
            <v>83.165059175625046</v>
          </cell>
          <cell r="AJ120">
            <v>87.323312134406294</v>
          </cell>
          <cell r="AK120">
            <v>91.689477741126609</v>
          </cell>
          <cell r="AL120">
            <v>96.273951628182928</v>
          </cell>
          <cell r="AM120">
            <v>101.08764920959207</v>
          </cell>
        </row>
        <row r="121">
          <cell r="Q121">
            <v>83</v>
          </cell>
          <cell r="R121">
            <v>79</v>
          </cell>
          <cell r="S121">
            <v>80</v>
          </cell>
          <cell r="T121">
            <v>95</v>
          </cell>
          <cell r="U121">
            <v>139</v>
          </cell>
          <cell r="V121">
            <v>83</v>
          </cell>
          <cell r="W121">
            <v>76</v>
          </cell>
          <cell r="X121">
            <v>111</v>
          </cell>
          <cell r="Y121">
            <v>104</v>
          </cell>
          <cell r="Z121">
            <v>34</v>
          </cell>
          <cell r="AA121">
            <v>85</v>
          </cell>
          <cell r="AB121">
            <v>128</v>
          </cell>
          <cell r="AC121">
            <v>251</v>
          </cell>
          <cell r="AD121">
            <v>309.54073199303383</v>
          </cell>
          <cell r="AE121">
            <v>372.08484939163253</v>
          </cell>
          <cell r="AF121">
            <v>452.52179556192675</v>
          </cell>
          <cell r="AG121">
            <v>553.33967453186028</v>
          </cell>
          <cell r="AH121">
            <v>691.51303241036862</v>
          </cell>
          <cell r="AI121">
            <v>835.71051917679677</v>
          </cell>
          <cell r="AJ121">
            <v>1021.1427153033641</v>
          </cell>
          <cell r="AK121">
            <v>1245.9886630641045</v>
          </cell>
          <cell r="AL121">
            <v>1524.1097573751902</v>
          </cell>
          <cell r="AM121">
            <v>1866.0979464808831</v>
          </cell>
        </row>
        <row r="122">
          <cell r="D122">
            <v>852</v>
          </cell>
          <cell r="E122">
            <v>1089</v>
          </cell>
          <cell r="F122">
            <v>1228</v>
          </cell>
          <cell r="G122">
            <v>1302</v>
          </cell>
          <cell r="H122">
            <v>1399</v>
          </cell>
          <cell r="I122">
            <v>1299</v>
          </cell>
          <cell r="J122">
            <v>1757</v>
          </cell>
          <cell r="K122">
            <v>2250</v>
          </cell>
          <cell r="L122">
            <v>2277</v>
          </cell>
          <cell r="M122">
            <v>2873</v>
          </cell>
          <cell r="N122">
            <v>3476</v>
          </cell>
          <cell r="O122">
            <v>3703</v>
          </cell>
          <cell r="P122">
            <v>4412</v>
          </cell>
          <cell r="Q122">
            <v>4475</v>
          </cell>
          <cell r="R122">
            <v>5179</v>
          </cell>
          <cell r="S122">
            <v>6050</v>
          </cell>
          <cell r="T122">
            <v>7419</v>
          </cell>
          <cell r="U122">
            <v>8344</v>
          </cell>
          <cell r="V122">
            <v>9420</v>
          </cell>
          <cell r="W122">
            <v>9954</v>
          </cell>
          <cell r="X122">
            <v>10601</v>
          </cell>
          <cell r="Y122">
            <v>13350</v>
          </cell>
          <cell r="Z122">
            <v>15060</v>
          </cell>
          <cell r="AA122">
            <v>17276</v>
          </cell>
          <cell r="AB122">
            <v>16979</v>
          </cell>
          <cell r="AC122">
            <v>18735</v>
          </cell>
          <cell r="AD122">
            <v>19459.996886453526</v>
          </cell>
          <cell r="AE122">
            <v>22497.896546925098</v>
          </cell>
          <cell r="AF122">
            <v>25207.191375805447</v>
          </cell>
          <cell r="AG122">
            <v>29158.355672027163</v>
          </cell>
          <cell r="AH122">
            <v>33785.351049566671</v>
          </cell>
          <cell r="AI122">
            <v>39043.379668429145</v>
          </cell>
          <cell r="AJ122">
            <v>46520.525165746069</v>
          </cell>
          <cell r="AK122">
            <v>57222.542309326673</v>
          </cell>
          <cell r="AL122">
            <v>72340.318655050665</v>
          </cell>
          <cell r="AM122">
            <v>95141.446662169183</v>
          </cell>
        </row>
        <row r="123">
          <cell r="N123">
            <v>-37</v>
          </cell>
          <cell r="O123">
            <v>-41</v>
          </cell>
          <cell r="P123">
            <v>-139</v>
          </cell>
          <cell r="Q123">
            <v>-143</v>
          </cell>
          <cell r="R123">
            <v>-166</v>
          </cell>
          <cell r="S123">
            <v>-192</v>
          </cell>
          <cell r="T123">
            <v>-236</v>
          </cell>
          <cell r="U123">
            <v>-266</v>
          </cell>
          <cell r="V123">
            <v>-307</v>
          </cell>
          <cell r="W123">
            <v>-120</v>
          </cell>
          <cell r="X123">
            <v>154</v>
          </cell>
          <cell r="Y123">
            <v>-329</v>
          </cell>
          <cell r="Z123">
            <v>783</v>
          </cell>
          <cell r="AA123">
            <v>-128</v>
          </cell>
          <cell r="AB123">
            <v>1</v>
          </cell>
          <cell r="AC123">
            <v>1</v>
          </cell>
          <cell r="AD123">
            <v>1.0615697724473152</v>
          </cell>
          <cell r="AE123">
            <v>1.4400972680051518</v>
          </cell>
          <cell r="AF123">
            <v>1.7850339969591169</v>
          </cell>
          <cell r="AG123">
            <v>2.2956910452719232</v>
          </cell>
          <cell r="AH123">
            <v>2.9070375294082296</v>
          </cell>
          <cell r="AI123">
            <v>3.6085518891231159</v>
          </cell>
          <cell r="AJ123">
            <v>4.5523945345690757</v>
          </cell>
          <cell r="AK123">
            <v>5.8522435595434725</v>
          </cell>
          <cell r="AL123">
            <v>7.6184797662181767</v>
          </cell>
          <cell r="AM123">
            <v>10.401044724958997</v>
          </cell>
        </row>
        <row r="124">
          <cell r="D124">
            <v>852</v>
          </cell>
          <cell r="E124">
            <v>1089</v>
          </cell>
          <cell r="F124">
            <v>1228</v>
          </cell>
          <cell r="G124">
            <v>1302</v>
          </cell>
          <cell r="H124">
            <v>1399</v>
          </cell>
          <cell r="I124">
            <v>1299</v>
          </cell>
          <cell r="J124">
            <v>1757</v>
          </cell>
          <cell r="K124">
            <v>2250</v>
          </cell>
          <cell r="L124">
            <v>2277</v>
          </cell>
          <cell r="M124">
            <v>2873</v>
          </cell>
          <cell r="N124">
            <v>3439</v>
          </cell>
          <cell r="O124">
            <v>3662</v>
          </cell>
          <cell r="P124">
            <v>4273</v>
          </cell>
          <cell r="Q124">
            <v>4332</v>
          </cell>
          <cell r="R124">
            <v>5013</v>
          </cell>
          <cell r="S124">
            <v>5858</v>
          </cell>
          <cell r="T124">
            <v>7183</v>
          </cell>
          <cell r="U124">
            <v>8078</v>
          </cell>
          <cell r="V124">
            <v>9113</v>
          </cell>
          <cell r="W124">
            <v>9834</v>
          </cell>
          <cell r="X124">
            <v>10755</v>
          </cell>
          <cell r="Y124">
            <v>13021</v>
          </cell>
          <cell r="Z124">
            <v>15843</v>
          </cell>
          <cell r="AA124">
            <v>17148</v>
          </cell>
          <cell r="AB124">
            <v>16980</v>
          </cell>
          <cell r="AC124">
            <v>18736</v>
          </cell>
          <cell r="AD124">
            <v>19461.058456225972</v>
          </cell>
          <cell r="AE124">
            <v>22499.336644193103</v>
          </cell>
          <cell r="AF124">
            <v>25208.976409802406</v>
          </cell>
          <cell r="AG124">
            <v>29160.651363072433</v>
          </cell>
          <cell r="AH124">
            <v>33788.258087096081</v>
          </cell>
          <cell r="AI124">
            <v>39046.988220318264</v>
          </cell>
          <cell r="AJ124">
            <v>46525.077560280639</v>
          </cell>
          <cell r="AK124">
            <v>57228.394552886217</v>
          </cell>
          <cell r="AL124">
            <v>72347.937134816879</v>
          </cell>
          <cell r="AM124">
            <v>95151.847706894143</v>
          </cell>
        </row>
        <row r="125">
          <cell r="F125">
            <v>-109</v>
          </cell>
          <cell r="G125">
            <v>-97</v>
          </cell>
          <cell r="H125">
            <v>-104</v>
          </cell>
          <cell r="I125">
            <v>-97</v>
          </cell>
          <cell r="J125">
            <v>-131</v>
          </cell>
          <cell r="K125">
            <v>-168</v>
          </cell>
          <cell r="L125">
            <v>-170</v>
          </cell>
          <cell r="M125">
            <v>-214</v>
          </cell>
          <cell r="N125">
            <v>-256</v>
          </cell>
          <cell r="O125">
            <v>-270</v>
          </cell>
          <cell r="P125">
            <v>-311</v>
          </cell>
          <cell r="Q125">
            <v>-330</v>
          </cell>
          <cell r="R125">
            <v>-460</v>
          </cell>
          <cell r="S125">
            <v>-549</v>
          </cell>
          <cell r="T125">
            <v>-593</v>
          </cell>
          <cell r="U125">
            <v>-678</v>
          </cell>
          <cell r="V125">
            <v>-738</v>
          </cell>
          <cell r="W125">
            <v>-842</v>
          </cell>
          <cell r="X125">
            <v>-904</v>
          </cell>
          <cell r="Y125">
            <v>-1046</v>
          </cell>
          <cell r="Z125">
            <v>-990</v>
          </cell>
          <cell r="AA125">
            <v>-953</v>
          </cell>
          <cell r="AB125">
            <v>-953</v>
          </cell>
          <cell r="AC125">
            <v>-953</v>
          </cell>
          <cell r="AD125">
            <v>-808.5982071983367</v>
          </cell>
          <cell r="AE125">
            <v>-808.5982071983367</v>
          </cell>
          <cell r="AF125">
            <v>-808.5982071983367</v>
          </cell>
          <cell r="AG125">
            <v>-808.5982071983367</v>
          </cell>
          <cell r="AH125">
            <v>-808.5982071983367</v>
          </cell>
          <cell r="AI125">
            <v>-808.5982071983367</v>
          </cell>
          <cell r="AJ125">
            <v>-808.5982071983367</v>
          </cell>
          <cell r="AK125">
            <v>-808.5982071983367</v>
          </cell>
          <cell r="AL125">
            <v>-808.5982071983367</v>
          </cell>
          <cell r="AM125">
            <v>-808.5982071983367</v>
          </cell>
        </row>
        <row r="126">
          <cell r="D126">
            <v>852</v>
          </cell>
          <cell r="E126">
            <v>1089</v>
          </cell>
          <cell r="F126">
            <v>1119</v>
          </cell>
          <cell r="G126">
            <v>1205</v>
          </cell>
          <cell r="H126">
            <v>1295</v>
          </cell>
          <cell r="I126">
            <v>1202</v>
          </cell>
          <cell r="J126">
            <v>1626</v>
          </cell>
          <cell r="K126">
            <v>2082</v>
          </cell>
          <cell r="L126">
            <v>2107</v>
          </cell>
          <cell r="M126">
            <v>2659</v>
          </cell>
          <cell r="N126">
            <v>3183</v>
          </cell>
          <cell r="O126">
            <v>3392</v>
          </cell>
          <cell r="P126">
            <v>3962</v>
          </cell>
          <cell r="Q126">
            <v>4002</v>
          </cell>
          <cell r="R126">
            <v>4553</v>
          </cell>
          <cell r="S126">
            <v>5309</v>
          </cell>
          <cell r="T126">
            <v>6590</v>
          </cell>
          <cell r="U126">
            <v>7400</v>
          </cell>
          <cell r="V126">
            <v>8375</v>
          </cell>
          <cell r="W126">
            <v>8992</v>
          </cell>
          <cell r="X126">
            <v>9851</v>
          </cell>
          <cell r="Y126">
            <v>11975</v>
          </cell>
          <cell r="Z126">
            <v>14853</v>
          </cell>
          <cell r="AA126">
            <v>16195</v>
          </cell>
          <cell r="AB126">
            <v>16027</v>
          </cell>
          <cell r="AC126">
            <v>17783</v>
          </cell>
          <cell r="AD126">
            <v>18652.460249027634</v>
          </cell>
          <cell r="AE126">
            <v>21690.738436994765</v>
          </cell>
          <cell r="AF126">
            <v>24400.378202604068</v>
          </cell>
          <cell r="AG126">
            <v>28352.053155874095</v>
          </cell>
          <cell r="AH126">
            <v>32979.659879897743</v>
          </cell>
          <cell r="AI126">
            <v>38238.390013119926</v>
          </cell>
          <cell r="AJ126">
            <v>45716.479353082301</v>
          </cell>
          <cell r="AK126">
            <v>56419.796345687879</v>
          </cell>
          <cell r="AL126">
            <v>71539.338927618548</v>
          </cell>
          <cell r="AM126">
            <v>94343.249499695812</v>
          </cell>
        </row>
        <row r="127">
          <cell r="D127">
            <v>271.8</v>
          </cell>
          <cell r="E127">
            <v>324.596</v>
          </cell>
          <cell r="F127">
            <v>343.935</v>
          </cell>
          <cell r="G127">
            <v>308.65800000000002</v>
          </cell>
          <cell r="H127">
            <v>369.76600000000002</v>
          </cell>
          <cell r="I127">
            <v>404.65</v>
          </cell>
          <cell r="J127">
            <v>515.29300000000001</v>
          </cell>
          <cell r="K127">
            <v>616.41100000000006</v>
          </cell>
          <cell r="L127">
            <v>719</v>
          </cell>
          <cell r="M127">
            <v>796.923</v>
          </cell>
          <cell r="N127">
            <v>758</v>
          </cell>
          <cell r="O127">
            <v>1096</v>
          </cell>
          <cell r="P127">
            <v>1252</v>
          </cell>
          <cell r="Q127">
            <v>992</v>
          </cell>
          <cell r="R127">
            <v>1052</v>
          </cell>
          <cell r="S127">
            <v>1387</v>
          </cell>
          <cell r="T127">
            <v>1771</v>
          </cell>
          <cell r="U127">
            <v>1722</v>
          </cell>
          <cell r="V127">
            <v>1977</v>
          </cell>
          <cell r="W127">
            <v>2147</v>
          </cell>
          <cell r="X127">
            <v>1711</v>
          </cell>
          <cell r="Y127">
            <v>1604</v>
          </cell>
          <cell r="Z127">
            <v>1403</v>
          </cell>
          <cell r="AA127">
            <v>1250</v>
          </cell>
          <cell r="AB127">
            <v>1856</v>
          </cell>
          <cell r="AC127">
            <v>1596</v>
          </cell>
          <cell r="AD127">
            <v>1799.5757394643824</v>
          </cell>
          <cell r="AE127">
            <v>1882.013699092113</v>
          </cell>
          <cell r="AF127">
            <v>2004.2848436467696</v>
          </cell>
          <cell r="AG127">
            <v>2193.2964437534397</v>
          </cell>
          <cell r="AH127">
            <v>2453.7098491853244</v>
          </cell>
          <cell r="AI127">
            <v>2553.7493112886636</v>
          </cell>
          <cell r="AJ127">
            <v>2713.1846875613533</v>
          </cell>
          <cell r="AK127">
            <v>2906.2801301444151</v>
          </cell>
          <cell r="AL127">
            <v>3125.4017382398861</v>
          </cell>
          <cell r="AM127">
            <v>3366.4759813826204</v>
          </cell>
        </row>
        <row r="128">
          <cell r="D128">
            <v>6.2</v>
          </cell>
          <cell r="E128">
            <v>5.4039999999999999</v>
          </cell>
          <cell r="F128">
            <v>10.065</v>
          </cell>
          <cell r="G128">
            <v>10.342000000000001</v>
          </cell>
          <cell r="H128">
            <v>13.234</v>
          </cell>
          <cell r="I128">
            <v>19.350000000000001</v>
          </cell>
          <cell r="J128">
            <v>18.707000000000001</v>
          </cell>
          <cell r="K128">
            <v>23.588999999999999</v>
          </cell>
          <cell r="L128">
            <v>46</v>
          </cell>
          <cell r="M128">
            <v>42.076999999999998</v>
          </cell>
          <cell r="N128">
            <v>158</v>
          </cell>
          <cell r="O128">
            <v>181</v>
          </cell>
          <cell r="P128">
            <v>204</v>
          </cell>
          <cell r="Q128">
            <v>279</v>
          </cell>
          <cell r="R128">
            <v>320</v>
          </cell>
          <cell r="S128">
            <v>375</v>
          </cell>
          <cell r="T128">
            <v>436</v>
          </cell>
          <cell r="U128">
            <v>517</v>
          </cell>
          <cell r="V128">
            <v>549</v>
          </cell>
          <cell r="W128">
            <v>634</v>
          </cell>
          <cell r="X128">
            <v>558</v>
          </cell>
          <cell r="Y128">
            <v>647</v>
          </cell>
          <cell r="Z128">
            <v>956</v>
          </cell>
          <cell r="AA128">
            <v>612</v>
          </cell>
          <cell r="AB128">
            <v>625</v>
          </cell>
          <cell r="AC128">
            <v>623</v>
          </cell>
          <cell r="AD128">
            <v>1100.0207532284396</v>
          </cell>
          <cell r="AE128">
            <v>1252.30945170875</v>
          </cell>
          <cell r="AF128">
            <v>1355.5366497970813</v>
          </cell>
          <cell r="AG128">
            <v>1488.6883091508512</v>
          </cell>
          <cell r="AH128">
            <v>1589.3174170552766</v>
          </cell>
          <cell r="AI128">
            <v>1701.5093369784515</v>
          </cell>
          <cell r="AJ128">
            <v>1826.2314157908527</v>
          </cell>
          <cell r="AK128">
            <v>1957.4856578369402</v>
          </cell>
          <cell r="AL128">
            <v>2065.4463711605731</v>
          </cell>
          <cell r="AM128">
            <v>2184.0839456515014</v>
          </cell>
        </row>
        <row r="129">
          <cell r="D129">
            <v>278</v>
          </cell>
          <cell r="E129">
            <v>330</v>
          </cell>
          <cell r="F129">
            <v>354</v>
          </cell>
          <cell r="G129">
            <v>319</v>
          </cell>
          <cell r="H129">
            <v>383</v>
          </cell>
          <cell r="I129">
            <v>424</v>
          </cell>
          <cell r="J129">
            <v>534</v>
          </cell>
          <cell r="K129">
            <v>640</v>
          </cell>
          <cell r="L129">
            <v>765</v>
          </cell>
          <cell r="M129">
            <v>839</v>
          </cell>
          <cell r="N129">
            <v>916</v>
          </cell>
          <cell r="O129">
            <v>1277</v>
          </cell>
          <cell r="P129">
            <v>1456</v>
          </cell>
          <cell r="Q129">
            <v>1271</v>
          </cell>
          <cell r="R129">
            <v>1372</v>
          </cell>
          <cell r="S129">
            <v>1762</v>
          </cell>
          <cell r="T129">
            <v>2207</v>
          </cell>
          <cell r="U129">
            <v>2239</v>
          </cell>
          <cell r="V129">
            <v>2526</v>
          </cell>
          <cell r="W129">
            <v>2781</v>
          </cell>
          <cell r="X129">
            <v>2269</v>
          </cell>
          <cell r="Y129">
            <v>2251</v>
          </cell>
          <cell r="Z129">
            <v>2359</v>
          </cell>
          <cell r="AA129">
            <v>1862</v>
          </cell>
          <cell r="AB129">
            <v>2481</v>
          </cell>
          <cell r="AC129">
            <v>2219</v>
          </cell>
          <cell r="AD129">
            <v>2899.5964926928218</v>
          </cell>
          <cell r="AE129">
            <v>3134.323150800863</v>
          </cell>
          <cell r="AF129">
            <v>3359.8214934438511</v>
          </cell>
          <cell r="AG129">
            <v>3681.9847529042909</v>
          </cell>
          <cell r="AH129">
            <v>4043.027266240601</v>
          </cell>
          <cell r="AI129">
            <v>4255.2586482671149</v>
          </cell>
          <cell r="AJ129">
            <v>4539.4161033522059</v>
          </cell>
          <cell r="AK129">
            <v>4863.7657879813551</v>
          </cell>
          <cell r="AL129">
            <v>5190.8481094004592</v>
          </cell>
          <cell r="AM129">
            <v>5550.5599270341218</v>
          </cell>
        </row>
        <row r="130">
          <cell r="D130">
            <v>1130</v>
          </cell>
          <cell r="E130">
            <v>1419</v>
          </cell>
          <cell r="F130">
            <v>1473</v>
          </cell>
          <cell r="G130">
            <v>1524</v>
          </cell>
          <cell r="H130">
            <v>1678</v>
          </cell>
          <cell r="I130">
            <v>1626</v>
          </cell>
          <cell r="J130">
            <v>2160</v>
          </cell>
          <cell r="K130">
            <v>2722</v>
          </cell>
          <cell r="L130">
            <v>2872</v>
          </cell>
          <cell r="M130">
            <v>3498</v>
          </cell>
          <cell r="N130">
            <v>4099</v>
          </cell>
          <cell r="O130">
            <v>4669</v>
          </cell>
          <cell r="P130">
            <v>5418</v>
          </cell>
          <cell r="Q130">
            <v>5273</v>
          </cell>
          <cell r="R130">
            <v>5925</v>
          </cell>
          <cell r="S130">
            <v>7071</v>
          </cell>
          <cell r="T130">
            <v>8797</v>
          </cell>
          <cell r="U130">
            <v>9639</v>
          </cell>
          <cell r="V130">
            <v>10901</v>
          </cell>
          <cell r="W130">
            <v>11773</v>
          </cell>
          <cell r="X130">
            <v>12120</v>
          </cell>
          <cell r="Y130">
            <v>14226</v>
          </cell>
          <cell r="Z130">
            <v>17212</v>
          </cell>
          <cell r="AA130">
            <v>18057</v>
          </cell>
          <cell r="AB130">
            <v>18508</v>
          </cell>
          <cell r="AC130">
            <v>20002</v>
          </cell>
          <cell r="AD130">
            <v>21552.056741720455</v>
          </cell>
          <cell r="AE130">
            <v>24825.06158779563</v>
          </cell>
          <cell r="AF130">
            <v>27760.199696047919</v>
          </cell>
          <cell r="AG130">
            <v>32034.037908778388</v>
          </cell>
          <cell r="AH130">
            <v>37022.687146138342</v>
          </cell>
          <cell r="AI130">
            <v>42493.648661387044</v>
          </cell>
          <cell r="AJ130">
            <v>50255.895456434504</v>
          </cell>
          <cell r="AK130">
            <v>61283.562133669235</v>
          </cell>
          <cell r="AL130">
            <v>76730.187037019001</v>
          </cell>
          <cell r="AM130">
            <v>99893.809426729931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277</v>
          </cell>
          <cell r="R132">
            <v>345</v>
          </cell>
          <cell r="S132">
            <v>346</v>
          </cell>
          <cell r="T132">
            <v>386</v>
          </cell>
          <cell r="U132">
            <v>532</v>
          </cell>
          <cell r="V132">
            <v>402</v>
          </cell>
          <cell r="W132">
            <v>388</v>
          </cell>
          <cell r="X132">
            <v>311</v>
          </cell>
          <cell r="Y132">
            <v>400</v>
          </cell>
          <cell r="Z132">
            <v>525</v>
          </cell>
          <cell r="AA132">
            <v>647</v>
          </cell>
          <cell r="AB132">
            <v>373</v>
          </cell>
          <cell r="AC132">
            <v>436</v>
          </cell>
          <cell r="AD132">
            <v>597.72963219135795</v>
          </cell>
          <cell r="AE132">
            <v>652.65814776660773</v>
          </cell>
          <cell r="AF132">
            <v>713.64275377980391</v>
          </cell>
          <cell r="AG132">
            <v>781.77212947891655</v>
          </cell>
          <cell r="AH132">
            <v>837.00612247990921</v>
          </cell>
          <cell r="AI132">
            <v>901.86466092956607</v>
          </cell>
          <cell r="AJ132">
            <v>968.26801177565869</v>
          </cell>
          <cell r="AK132">
            <v>1045.5693265657021</v>
          </cell>
          <cell r="AL132">
            <v>1127.2121296630594</v>
          </cell>
          <cell r="AM132">
            <v>1215.2003338092686</v>
          </cell>
        </row>
        <row r="133">
          <cell r="Q133">
            <v>175</v>
          </cell>
          <cell r="R133">
            <v>226</v>
          </cell>
          <cell r="S133">
            <v>227</v>
          </cell>
          <cell r="T133">
            <v>262</v>
          </cell>
          <cell r="U133">
            <v>349</v>
          </cell>
          <cell r="V133">
            <v>356</v>
          </cell>
          <cell r="W133">
            <v>314</v>
          </cell>
          <cell r="X133">
            <v>248</v>
          </cell>
          <cell r="Y133">
            <v>212</v>
          </cell>
          <cell r="Z133">
            <v>247</v>
          </cell>
          <cell r="AA133">
            <v>307</v>
          </cell>
          <cell r="AB133">
            <v>322</v>
          </cell>
          <cell r="AC133">
            <v>370</v>
          </cell>
          <cell r="AD133">
            <v>385.45275425217875</v>
          </cell>
          <cell r="AE133">
            <v>417.73702342858491</v>
          </cell>
          <cell r="AF133">
            <v>468.66324131851718</v>
          </cell>
          <cell r="AG133">
            <v>522.42469063065937</v>
          </cell>
          <cell r="AH133">
            <v>571.19053519101908</v>
          </cell>
          <cell r="AI133">
            <v>628.74336635241059</v>
          </cell>
          <cell r="AJ133">
            <v>687.03287152613689</v>
          </cell>
          <cell r="AK133">
            <v>756.55961469423505</v>
          </cell>
          <cell r="AL133">
            <v>835.32166093483852</v>
          </cell>
          <cell r="AM133">
            <v>919.80456460174298</v>
          </cell>
        </row>
        <row r="134">
          <cell r="Q134">
            <v>12</v>
          </cell>
          <cell r="R134">
            <v>21</v>
          </cell>
          <cell r="S134">
            <v>23</v>
          </cell>
          <cell r="T134">
            <v>23</v>
          </cell>
          <cell r="U134">
            <v>19</v>
          </cell>
          <cell r="V134">
            <v>4</v>
          </cell>
          <cell r="W134">
            <v>4</v>
          </cell>
          <cell r="X134">
            <v>3</v>
          </cell>
          <cell r="Y134">
            <v>2</v>
          </cell>
          <cell r="Z134">
            <v>2</v>
          </cell>
          <cell r="AA134">
            <v>2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</row>
        <row r="135">
          <cell r="Q135">
            <v>90</v>
          </cell>
          <cell r="R135">
            <v>98</v>
          </cell>
          <cell r="S135">
            <v>96</v>
          </cell>
          <cell r="T135">
            <v>101</v>
          </cell>
          <cell r="U135">
            <v>164</v>
          </cell>
          <cell r="V135">
            <v>42</v>
          </cell>
          <cell r="W135">
            <v>70</v>
          </cell>
          <cell r="X135">
            <v>60</v>
          </cell>
          <cell r="Y135">
            <v>186</v>
          </cell>
          <cell r="Z135">
            <v>276</v>
          </cell>
          <cell r="AA135">
            <v>338</v>
          </cell>
          <cell r="AB135">
            <v>45</v>
          </cell>
          <cell r="AC135">
            <v>60</v>
          </cell>
          <cell r="AD135">
            <v>206.2768779391792</v>
          </cell>
          <cell r="AE135">
            <v>228.92112433802282</v>
          </cell>
          <cell r="AF135">
            <v>238.97951246128676</v>
          </cell>
          <cell r="AG135">
            <v>253.34743884825716</v>
          </cell>
          <cell r="AH135">
            <v>259.81558728889013</v>
          </cell>
          <cell r="AI135">
            <v>267.12129457715542</v>
          </cell>
          <cell r="AJ135">
            <v>275.23514024952181</v>
          </cell>
          <cell r="AK135">
            <v>283.00971187146706</v>
          </cell>
          <cell r="AL135">
            <v>285.89046872822092</v>
          </cell>
          <cell r="AM135">
            <v>289.39576920752569</v>
          </cell>
        </row>
        <row r="136">
          <cell r="Q136">
            <v>93</v>
          </cell>
          <cell r="R136">
            <v>90</v>
          </cell>
          <cell r="S136">
            <v>95</v>
          </cell>
          <cell r="T136">
            <v>158</v>
          </cell>
          <cell r="U136">
            <v>145</v>
          </cell>
          <cell r="V136">
            <v>167</v>
          </cell>
          <cell r="W136">
            <v>166</v>
          </cell>
          <cell r="X136">
            <v>158</v>
          </cell>
          <cell r="Y136">
            <v>152</v>
          </cell>
          <cell r="Z136">
            <v>98</v>
          </cell>
          <cell r="AA136">
            <v>149</v>
          </cell>
          <cell r="AB136">
            <v>146</v>
          </cell>
          <cell r="AC136">
            <v>139</v>
          </cell>
          <cell r="AD136">
            <v>126.68191805995794</v>
          </cell>
          <cell r="AE136">
            <v>143.60179826236077</v>
          </cell>
          <cell r="AF136">
            <v>147.47171995711821</v>
          </cell>
          <cell r="AG136">
            <v>157.76880942065387</v>
          </cell>
          <cell r="AH136">
            <v>166.70339121469786</v>
          </cell>
          <cell r="AI136">
            <v>175.14350780878797</v>
          </cell>
          <cell r="AJ136">
            <v>188.56978100468206</v>
          </cell>
          <cell r="AK136">
            <v>207.17431058810311</v>
          </cell>
          <cell r="AL136">
            <v>229.42269849318055</v>
          </cell>
          <cell r="AM136">
            <v>263.03327620485345</v>
          </cell>
        </row>
        <row r="137">
          <cell r="Q137">
            <v>518</v>
          </cell>
          <cell r="R137">
            <v>631</v>
          </cell>
          <cell r="S137">
            <v>562</v>
          </cell>
          <cell r="T137">
            <v>637</v>
          </cell>
          <cell r="U137">
            <v>703</v>
          </cell>
          <cell r="V137">
            <v>689</v>
          </cell>
          <cell r="W137">
            <v>660</v>
          </cell>
          <cell r="X137">
            <v>635</v>
          </cell>
          <cell r="Y137">
            <v>699</v>
          </cell>
          <cell r="Z137">
            <v>529</v>
          </cell>
          <cell r="AA137">
            <v>563</v>
          </cell>
          <cell r="AB137">
            <v>718</v>
          </cell>
          <cell r="AC137">
            <v>901</v>
          </cell>
          <cell r="AD137">
            <v>596.35676089894116</v>
          </cell>
          <cell r="AE137">
            <v>671.85659314391444</v>
          </cell>
          <cell r="AF137">
            <v>688.33549097268133</v>
          </cell>
          <cell r="AG137">
            <v>733.95754440598728</v>
          </cell>
          <cell r="AH137">
            <v>773.45909117051815</v>
          </cell>
          <cell r="AI137">
            <v>810.7672311287414</v>
          </cell>
          <cell r="AJ137">
            <v>870.68880507816959</v>
          </cell>
          <cell r="AK137">
            <v>954.09135060797769</v>
          </cell>
          <cell r="AL137">
            <v>1054.0272125944696</v>
          </cell>
          <cell r="AM137">
            <v>1205.4329007520837</v>
          </cell>
        </row>
        <row r="138">
          <cell r="Q138">
            <v>214</v>
          </cell>
          <cell r="R138">
            <v>146</v>
          </cell>
          <cell r="S138">
            <v>113</v>
          </cell>
          <cell r="T138">
            <v>151</v>
          </cell>
          <cell r="U138">
            <v>152</v>
          </cell>
          <cell r="V138">
            <v>119</v>
          </cell>
          <cell r="W138">
            <v>143</v>
          </cell>
          <cell r="X138">
            <v>108</v>
          </cell>
          <cell r="Y138">
            <v>112</v>
          </cell>
          <cell r="Z138">
            <v>102</v>
          </cell>
          <cell r="AA138">
            <v>93</v>
          </cell>
          <cell r="AB138">
            <v>297</v>
          </cell>
          <cell r="AC138">
            <v>301</v>
          </cell>
          <cell r="AD138">
            <v>392.39248875290144</v>
          </cell>
          <cell r="AE138">
            <v>547.39811378755451</v>
          </cell>
          <cell r="AF138">
            <v>796.29564929881087</v>
          </cell>
          <cell r="AG138">
            <v>1230.559412232019</v>
          </cell>
          <cell r="AH138">
            <v>2031.5961320601396</v>
          </cell>
          <cell r="AI138">
            <v>2831.7486549158252</v>
          </cell>
          <cell r="AJ138">
            <v>4126.570863174411</v>
          </cell>
          <cell r="AK138">
            <v>6119.1084139431177</v>
          </cell>
          <cell r="AL138">
            <v>9163.3257884971808</v>
          </cell>
          <cell r="AM138">
            <v>13787.389421457641</v>
          </cell>
        </row>
        <row r="139">
          <cell r="Q139">
            <v>70</v>
          </cell>
          <cell r="R139">
            <v>67</v>
          </cell>
          <cell r="S139">
            <v>37</v>
          </cell>
          <cell r="T139">
            <v>41</v>
          </cell>
          <cell r="U139">
            <v>36</v>
          </cell>
          <cell r="V139">
            <v>25</v>
          </cell>
          <cell r="W139">
            <v>20</v>
          </cell>
          <cell r="X139">
            <v>25</v>
          </cell>
          <cell r="Y139">
            <v>13</v>
          </cell>
          <cell r="Z139">
            <v>18</v>
          </cell>
          <cell r="AA139">
            <v>36</v>
          </cell>
          <cell r="AB139">
            <v>59</v>
          </cell>
          <cell r="AC139">
            <v>56</v>
          </cell>
          <cell r="AD139">
            <v>72.264796948186785</v>
          </cell>
          <cell r="AE139">
            <v>93.740685593349951</v>
          </cell>
          <cell r="AF139">
            <v>133.74113113668838</v>
          </cell>
          <cell r="AG139">
            <v>191.74870133142545</v>
          </cell>
          <cell r="AH139">
            <v>256.81899186431616</v>
          </cell>
          <cell r="AI139">
            <v>331.14988035396567</v>
          </cell>
          <cell r="AJ139">
            <v>445.77471395953017</v>
          </cell>
          <cell r="AK139">
            <v>604.2142048033835</v>
          </cell>
          <cell r="AL139">
            <v>824.83213943721989</v>
          </cell>
          <cell r="AM139">
            <v>1117.5389613267512</v>
          </cell>
        </row>
        <row r="140">
          <cell r="Q140">
            <v>388</v>
          </cell>
          <cell r="R140">
            <v>382</v>
          </cell>
          <cell r="S140">
            <v>427</v>
          </cell>
          <cell r="T140">
            <v>534</v>
          </cell>
          <cell r="U140">
            <v>534</v>
          </cell>
          <cell r="V140">
            <v>547</v>
          </cell>
          <cell r="W140">
            <v>543</v>
          </cell>
          <cell r="X140">
            <v>532</v>
          </cell>
          <cell r="Y140">
            <v>564</v>
          </cell>
          <cell r="Z140">
            <v>854</v>
          </cell>
          <cell r="AA140">
            <v>887</v>
          </cell>
          <cell r="AB140">
            <v>824</v>
          </cell>
          <cell r="AC140">
            <v>689</v>
          </cell>
          <cell r="AD140">
            <v>961.07570028924931</v>
          </cell>
          <cell r="AE140">
            <v>1042.7019847922074</v>
          </cell>
          <cell r="AF140">
            <v>1075.2886604812518</v>
          </cell>
          <cell r="AG140">
            <v>1125.1124404291188</v>
          </cell>
          <cell r="AH140">
            <v>1144.2515777102938</v>
          </cell>
          <cell r="AI140">
            <v>1166.9742269415024</v>
          </cell>
          <cell r="AJ140">
            <v>1193.1507998996763</v>
          </cell>
          <cell r="AK140">
            <v>1218.2656756453407</v>
          </cell>
          <cell r="AL140">
            <v>1224.4351994654571</v>
          </cell>
          <cell r="AM140">
            <v>1233.2997353196974</v>
          </cell>
        </row>
        <row r="141">
          <cell r="Q141">
            <v>155</v>
          </cell>
          <cell r="R141">
            <v>200</v>
          </cell>
          <cell r="S141">
            <v>257</v>
          </cell>
          <cell r="T141">
            <v>269</v>
          </cell>
          <cell r="U141">
            <v>330</v>
          </cell>
          <cell r="V141">
            <v>339</v>
          </cell>
          <cell r="W141">
            <v>286</v>
          </cell>
          <cell r="X141">
            <v>356</v>
          </cell>
          <cell r="Y141">
            <v>389</v>
          </cell>
          <cell r="Z141">
            <v>299</v>
          </cell>
          <cell r="AA141">
            <v>255</v>
          </cell>
          <cell r="AB141">
            <v>395</v>
          </cell>
          <cell r="AC141">
            <v>412</v>
          </cell>
          <cell r="AD141">
            <v>374.70034014809983</v>
          </cell>
          <cell r="AE141">
            <v>378.20322648437019</v>
          </cell>
          <cell r="AF141">
            <v>392.5176405343185</v>
          </cell>
          <cell r="AG141">
            <v>409.63239779650564</v>
          </cell>
          <cell r="AH141">
            <v>411.06405336196258</v>
          </cell>
          <cell r="AI141">
            <v>413.40428470834763</v>
          </cell>
          <cell r="AJ141">
            <v>416.46789609491179</v>
          </cell>
          <cell r="AK141">
            <v>419.83815142013503</v>
          </cell>
          <cell r="AL141">
            <v>417.92982544756245</v>
          </cell>
          <cell r="AM141">
            <v>416.89750550564514</v>
          </cell>
        </row>
        <row r="142">
          <cell r="Q142">
            <v>251</v>
          </cell>
          <cell r="R142">
            <v>320</v>
          </cell>
          <cell r="S142">
            <v>276</v>
          </cell>
          <cell r="T142">
            <v>270</v>
          </cell>
          <cell r="U142">
            <v>298</v>
          </cell>
          <cell r="V142">
            <v>316</v>
          </cell>
          <cell r="W142">
            <v>347</v>
          </cell>
          <cell r="X142">
            <v>379</v>
          </cell>
          <cell r="Y142">
            <v>318</v>
          </cell>
          <cell r="Z142">
            <v>314</v>
          </cell>
          <cell r="AA142">
            <v>290</v>
          </cell>
          <cell r="AB142">
            <v>298</v>
          </cell>
          <cell r="AC142">
            <v>324</v>
          </cell>
          <cell r="AD142">
            <v>370.80021819076808</v>
          </cell>
          <cell r="AE142">
            <v>394.59576411835849</v>
          </cell>
          <cell r="AF142">
            <v>402.56572815037089</v>
          </cell>
          <cell r="AG142">
            <v>416.26997500225855</v>
          </cell>
          <cell r="AH142">
            <v>420.10901853881489</v>
          </cell>
          <cell r="AI142">
            <v>425.22786991706562</v>
          </cell>
          <cell r="AJ142">
            <v>431.5789450792123</v>
          </cell>
          <cell r="AK142">
            <v>437.68772319154721</v>
          </cell>
          <cell r="AL142">
            <v>437.73003285959948</v>
          </cell>
          <cell r="AM142">
            <v>438.74286908149884</v>
          </cell>
        </row>
        <row r="143">
          <cell r="Q143">
            <v>344</v>
          </cell>
          <cell r="R143">
            <v>405</v>
          </cell>
          <cell r="S143">
            <v>489</v>
          </cell>
          <cell r="T143">
            <v>517</v>
          </cell>
          <cell r="U143">
            <v>553</v>
          </cell>
          <cell r="V143">
            <v>556</v>
          </cell>
          <cell r="W143">
            <v>540</v>
          </cell>
          <cell r="X143">
            <v>520</v>
          </cell>
          <cell r="Y143">
            <v>558</v>
          </cell>
          <cell r="Z143">
            <v>548</v>
          </cell>
          <cell r="AA143">
            <v>584</v>
          </cell>
          <cell r="AB143">
            <v>621</v>
          </cell>
          <cell r="AC143">
            <v>608</v>
          </cell>
          <cell r="AD143">
            <v>467.75771702102514</v>
          </cell>
          <cell r="AE143">
            <v>508.87898219494178</v>
          </cell>
          <cell r="AF143">
            <v>525.57226341048499</v>
          </cell>
          <cell r="AG143">
            <v>550.82073813698264</v>
          </cell>
          <cell r="AH143">
            <v>560.77763801822209</v>
          </cell>
          <cell r="AI143">
            <v>572.49724826351974</v>
          </cell>
          <cell r="AJ143">
            <v>585.91606105655683</v>
          </cell>
          <cell r="AK143">
            <v>598.7878500276031</v>
          </cell>
          <cell r="AL143">
            <v>602.21385608974526</v>
          </cell>
          <cell r="AM143">
            <v>606.96406933477749</v>
          </cell>
        </row>
        <row r="144">
          <cell r="Q144">
            <v>496</v>
          </cell>
          <cell r="R144">
            <v>592</v>
          </cell>
          <cell r="S144">
            <v>583</v>
          </cell>
          <cell r="T144">
            <v>745</v>
          </cell>
          <cell r="U144">
            <v>775</v>
          </cell>
          <cell r="V144">
            <v>812</v>
          </cell>
          <cell r="W144">
            <v>841</v>
          </cell>
          <cell r="X144">
            <v>867</v>
          </cell>
          <cell r="Y144">
            <v>1216</v>
          </cell>
          <cell r="Z144">
            <v>1019</v>
          </cell>
          <cell r="AA144">
            <v>979</v>
          </cell>
          <cell r="AB144">
            <v>1297</v>
          </cell>
          <cell r="AC144">
            <v>1267</v>
          </cell>
          <cell r="AD144">
            <v>1025.7740262049535</v>
          </cell>
          <cell r="AE144">
            <v>1254.3461268935262</v>
          </cell>
          <cell r="AF144">
            <v>1324.0411147244206</v>
          </cell>
          <cell r="AG144">
            <v>1470.3279851725179</v>
          </cell>
          <cell r="AH144">
            <v>1599.1071453201027</v>
          </cell>
          <cell r="AI144">
            <v>1720.9198734920121</v>
          </cell>
          <cell r="AJ144">
            <v>1902.0560106293151</v>
          </cell>
          <cell r="AK144">
            <v>2144.8823083387565</v>
          </cell>
          <cell r="AL144">
            <v>2430.8956973383042</v>
          </cell>
          <cell r="AM144">
            <v>2853.4261529767946</v>
          </cell>
        </row>
        <row r="145">
          <cell r="Q145">
            <v>83</v>
          </cell>
          <cell r="R145">
            <v>127</v>
          </cell>
          <cell r="S145">
            <v>230</v>
          </cell>
          <cell r="T145">
            <v>177</v>
          </cell>
          <cell r="U145">
            <v>192</v>
          </cell>
          <cell r="V145">
            <v>168</v>
          </cell>
          <cell r="W145">
            <v>190</v>
          </cell>
          <cell r="X145">
            <v>214</v>
          </cell>
          <cell r="Y145">
            <v>250</v>
          </cell>
          <cell r="Z145">
            <v>212</v>
          </cell>
          <cell r="AA145">
            <v>210</v>
          </cell>
          <cell r="AB145">
            <v>233</v>
          </cell>
          <cell r="AC145">
            <v>288</v>
          </cell>
          <cell r="AD145">
            <v>235.45417949068144</v>
          </cell>
          <cell r="AE145">
            <v>253.15429214839381</v>
          </cell>
          <cell r="AF145">
            <v>259.76392004080606</v>
          </cell>
          <cell r="AG145">
            <v>270.3230291073466</v>
          </cell>
          <cell r="AH145">
            <v>273.95375232202468</v>
          </cell>
          <cell r="AI145">
            <v>278.43172427465623</v>
          </cell>
          <cell r="AJ145">
            <v>283.72591747467982</v>
          </cell>
          <cell r="AK145">
            <v>288.8099489588854</v>
          </cell>
          <cell r="AL145">
            <v>289.62356574146094</v>
          </cell>
          <cell r="AM145">
            <v>291.07676199561405</v>
          </cell>
        </row>
        <row r="146">
          <cell r="Q146">
            <v>140</v>
          </cell>
          <cell r="R146">
            <v>151</v>
          </cell>
          <cell r="S146">
            <v>175</v>
          </cell>
          <cell r="T146">
            <v>237</v>
          </cell>
          <cell r="U146">
            <v>183</v>
          </cell>
          <cell r="V146">
            <v>251</v>
          </cell>
          <cell r="W146">
            <v>205</v>
          </cell>
          <cell r="X146">
            <v>188</v>
          </cell>
          <cell r="Y146">
            <v>174</v>
          </cell>
          <cell r="Z146">
            <v>215</v>
          </cell>
          <cell r="AA146">
            <v>201</v>
          </cell>
          <cell r="AB146">
            <v>253</v>
          </cell>
          <cell r="AC146">
            <v>213</v>
          </cell>
          <cell r="AD146">
            <v>202.66412940057089</v>
          </cell>
          <cell r="AE146">
            <v>193.01345657197226</v>
          </cell>
          <cell r="AF146">
            <v>183.82233959235452</v>
          </cell>
          <cell r="AG146">
            <v>175.06889484986146</v>
          </cell>
          <cell r="AH146">
            <v>166.73228080939185</v>
          </cell>
          <cell r="AI146">
            <v>220.37860007874994</v>
          </cell>
          <cell r="AJ146">
            <v>235.04875506925544</v>
          </cell>
          <cell r="AK146">
            <v>255.74611321379032</v>
          </cell>
          <cell r="AL146">
            <v>280.69481118920288</v>
          </cell>
          <cell r="AM146">
            <v>318.81624013772119</v>
          </cell>
        </row>
        <row r="147">
          <cell r="Q147">
            <v>228</v>
          </cell>
          <cell r="R147">
            <v>240</v>
          </cell>
          <cell r="S147">
            <v>256</v>
          </cell>
          <cell r="T147">
            <v>274</v>
          </cell>
          <cell r="U147">
            <v>344</v>
          </cell>
          <cell r="V147">
            <v>424</v>
          </cell>
          <cell r="W147">
            <v>308</v>
          </cell>
          <cell r="X147">
            <v>338</v>
          </cell>
          <cell r="Y147">
            <v>489</v>
          </cell>
          <cell r="Z147">
            <v>475</v>
          </cell>
          <cell r="AA147">
            <v>470</v>
          </cell>
          <cell r="AB147">
            <v>397</v>
          </cell>
          <cell r="AC147">
            <v>398</v>
          </cell>
          <cell r="AD147">
            <v>511.81364344754627</v>
          </cell>
          <cell r="AE147">
            <v>558.15234885118446</v>
          </cell>
          <cell r="AF147">
            <v>577.22177713088092</v>
          </cell>
          <cell r="AG147">
            <v>605.81217930344997</v>
          </cell>
          <cell r="AH147">
            <v>617.32607533547093</v>
          </cell>
          <cell r="AI147">
            <v>630.78665399048339</v>
          </cell>
          <cell r="AJ147">
            <v>646.12400442081787</v>
          </cell>
          <cell r="AK147">
            <v>660.83358440172549</v>
          </cell>
          <cell r="AL147">
            <v>664.99062643861498</v>
          </cell>
          <cell r="AM147">
            <v>670.6086930937488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1524</v>
          </cell>
          <cell r="R148">
            <v>1710</v>
          </cell>
          <cell r="S148">
            <v>2050</v>
          </cell>
          <cell r="T148">
            <v>2335</v>
          </cell>
          <cell r="U148">
            <v>2288</v>
          </cell>
          <cell r="V148">
            <v>3081</v>
          </cell>
          <cell r="W148">
            <v>3297</v>
          </cell>
          <cell r="X148">
            <v>3165</v>
          </cell>
          <cell r="Y148">
            <v>3577</v>
          </cell>
          <cell r="Z148">
            <v>3631</v>
          </cell>
          <cell r="AA148">
            <v>3316</v>
          </cell>
          <cell r="AB148">
            <v>3777</v>
          </cell>
          <cell r="AC148">
            <v>4212</v>
          </cell>
          <cell r="AD148">
            <v>4851.0194555327926</v>
          </cell>
          <cell r="AE148">
            <v>5262.477659559343</v>
          </cell>
          <cell r="AF148">
            <v>5602.9981056792003</v>
          </cell>
          <cell r="AG148">
            <v>6032.4122305097389</v>
          </cell>
          <cell r="AH148">
            <v>6285.5305787342331</v>
          </cell>
          <cell r="AI148">
            <v>6569.552691654495</v>
          </cell>
          <cell r="AJ148">
            <v>6885.391700434162</v>
          </cell>
          <cell r="AK148">
            <v>7215.1470130916932</v>
          </cell>
          <cell r="AL148">
            <v>7452.7269174340145</v>
          </cell>
          <cell r="AM148">
            <v>7718.1266404953294</v>
          </cell>
        </row>
        <row r="149">
          <cell r="Q149">
            <v>374</v>
          </cell>
          <cell r="R149">
            <v>479</v>
          </cell>
          <cell r="S149">
            <v>554</v>
          </cell>
          <cell r="T149">
            <v>625</v>
          </cell>
          <cell r="U149">
            <v>622</v>
          </cell>
          <cell r="V149">
            <v>776</v>
          </cell>
          <cell r="W149">
            <v>610</v>
          </cell>
          <cell r="X149">
            <v>733</v>
          </cell>
          <cell r="Y149">
            <v>1126</v>
          </cell>
          <cell r="Z149">
            <v>1181</v>
          </cell>
          <cell r="AA149">
            <v>1113</v>
          </cell>
          <cell r="AB149">
            <v>1104</v>
          </cell>
          <cell r="AC149">
            <v>1067</v>
          </cell>
          <cell r="AD149">
            <v>1884.7640719316146</v>
          </cell>
          <cell r="AE149">
            <v>2117.7033929683498</v>
          </cell>
          <cell r="AF149">
            <v>2269.5006678223999</v>
          </cell>
          <cell r="AG149">
            <v>2466.816520652199</v>
          </cell>
          <cell r="AH149">
            <v>2610.4131795862941</v>
          </cell>
          <cell r="AI149">
            <v>2770.2860124625818</v>
          </cell>
          <cell r="AJ149">
            <v>2947.6283282698746</v>
          </cell>
          <cell r="AK149">
            <v>3132.8244692064213</v>
          </cell>
          <cell r="AL149">
            <v>3279.8468935070446</v>
          </cell>
          <cell r="AM149">
            <v>3441.290174528121</v>
          </cell>
        </row>
        <row r="150">
          <cell r="Q150">
            <v>69</v>
          </cell>
          <cell r="R150">
            <v>84</v>
          </cell>
          <cell r="S150">
            <v>96</v>
          </cell>
          <cell r="T150">
            <v>122</v>
          </cell>
          <cell r="U150">
            <v>146</v>
          </cell>
          <cell r="V150">
            <v>235</v>
          </cell>
          <cell r="W150">
            <v>232</v>
          </cell>
          <cell r="X150">
            <v>230</v>
          </cell>
          <cell r="Y150">
            <v>272</v>
          </cell>
          <cell r="Z150">
            <v>266</v>
          </cell>
          <cell r="AA150">
            <v>269</v>
          </cell>
          <cell r="AB150">
            <v>331</v>
          </cell>
          <cell r="AC150">
            <v>336</v>
          </cell>
          <cell r="AD150">
            <v>243.81047132310863</v>
          </cell>
          <cell r="AE150">
            <v>274.47407425556855</v>
          </cell>
          <cell r="AF150">
            <v>294.46482007170215</v>
          </cell>
          <cell r="AG150">
            <v>320.44252715551261</v>
          </cell>
          <cell r="AH150">
            <v>339.35433822212536</v>
          </cell>
          <cell r="AI150">
            <v>360.4068253531571</v>
          </cell>
          <cell r="AJ150">
            <v>383.75694674754129</v>
          </cell>
          <cell r="AK150">
            <v>408.13994477366248</v>
          </cell>
          <cell r="AL150">
            <v>427.50176484724642</v>
          </cell>
          <cell r="AM150">
            <v>448.76023253070008</v>
          </cell>
        </row>
        <row r="151">
          <cell r="Q151">
            <v>138</v>
          </cell>
          <cell r="R151">
            <v>156</v>
          </cell>
          <cell r="S151">
            <v>189</v>
          </cell>
          <cell r="T151">
            <v>192</v>
          </cell>
          <cell r="U151">
            <v>244</v>
          </cell>
          <cell r="V151">
            <v>247</v>
          </cell>
          <cell r="W151">
            <v>264</v>
          </cell>
          <cell r="X151">
            <v>340</v>
          </cell>
          <cell r="Y151">
            <v>343</v>
          </cell>
          <cell r="Z151">
            <v>405</v>
          </cell>
          <cell r="AA151">
            <v>317</v>
          </cell>
          <cell r="AB151">
            <v>336</v>
          </cell>
          <cell r="AC151">
            <v>371</v>
          </cell>
          <cell r="AD151">
            <v>432.80524917907047</v>
          </cell>
          <cell r="AE151">
            <v>490.3108218779854</v>
          </cell>
          <cell r="AF151">
            <v>527.84917421125294</v>
          </cell>
          <cell r="AG151">
            <v>576.58684798017407</v>
          </cell>
          <cell r="AH151">
            <v>612.10507348358374</v>
          </cell>
          <cell r="AI151">
            <v>651.62715080094142</v>
          </cell>
          <cell r="AJ151">
            <v>695.44671629204561</v>
          </cell>
          <cell r="AK151">
            <v>741.19771591843585</v>
          </cell>
          <cell r="AL151">
            <v>777.55446619863096</v>
          </cell>
          <cell r="AM151">
            <v>817.45856962179516</v>
          </cell>
        </row>
        <row r="152">
          <cell r="Q152">
            <v>89</v>
          </cell>
          <cell r="R152">
            <v>135</v>
          </cell>
          <cell r="S152">
            <v>165</v>
          </cell>
          <cell r="T152">
            <v>152</v>
          </cell>
          <cell r="U152">
            <v>227</v>
          </cell>
          <cell r="V152">
            <v>236</v>
          </cell>
          <cell r="W152">
            <v>259</v>
          </cell>
          <cell r="X152">
            <v>373</v>
          </cell>
          <cell r="Y152">
            <v>271</v>
          </cell>
          <cell r="Z152">
            <v>250</v>
          </cell>
          <cell r="AA152">
            <v>196</v>
          </cell>
          <cell r="AB152">
            <v>349</v>
          </cell>
          <cell r="AC152">
            <v>297</v>
          </cell>
          <cell r="AD152">
            <v>296.70552522348686</v>
          </cell>
          <cell r="AE152">
            <v>330.67993940410031</v>
          </cell>
          <cell r="AF152">
            <v>352.77656542339633</v>
          </cell>
          <cell r="AG152">
            <v>381.53751013189583</v>
          </cell>
          <cell r="AH152">
            <v>402.43514566503035</v>
          </cell>
          <cell r="AI152">
            <v>425.71623452403173</v>
          </cell>
          <cell r="AJ152">
            <v>451.55546313681054</v>
          </cell>
          <cell r="AK152">
            <v>478.54517089091757</v>
          </cell>
          <cell r="AL152">
            <v>499.94728598401315</v>
          </cell>
          <cell r="AM152">
            <v>523.46123263124457</v>
          </cell>
        </row>
        <row r="153">
          <cell r="Q153">
            <v>51</v>
          </cell>
          <cell r="R153">
            <v>69</v>
          </cell>
          <cell r="S153">
            <v>76</v>
          </cell>
          <cell r="T153">
            <v>97</v>
          </cell>
          <cell r="U153">
            <v>107</v>
          </cell>
          <cell r="V153">
            <v>85</v>
          </cell>
          <cell r="W153">
            <v>104</v>
          </cell>
          <cell r="X153">
            <v>162</v>
          </cell>
          <cell r="Y153">
            <v>162</v>
          </cell>
          <cell r="Z153">
            <v>126</v>
          </cell>
          <cell r="AA153">
            <v>102</v>
          </cell>
          <cell r="AB153">
            <v>174</v>
          </cell>
          <cell r="AC153">
            <v>150</v>
          </cell>
          <cell r="AD153">
            <v>175.0295013550882</v>
          </cell>
          <cell r="AE153">
            <v>197.26113450565396</v>
          </cell>
          <cell r="AF153">
            <v>211.75820146692496</v>
          </cell>
          <cell r="AG153">
            <v>230.59389459486545</v>
          </cell>
          <cell r="AH153">
            <v>244.30894835459318</v>
          </cell>
          <cell r="AI153">
            <v>259.57526731295792</v>
          </cell>
          <cell r="AJ153">
            <v>276.50659775869497</v>
          </cell>
          <cell r="AK153">
            <v>294.18638373992877</v>
          </cell>
          <cell r="AL153">
            <v>308.22731708565129</v>
          </cell>
          <cell r="AM153">
            <v>323.64267225977687</v>
          </cell>
        </row>
        <row r="154">
          <cell r="Q154">
            <v>803</v>
          </cell>
          <cell r="R154">
            <v>787</v>
          </cell>
          <cell r="S154">
            <v>970</v>
          </cell>
          <cell r="T154">
            <v>1147</v>
          </cell>
          <cell r="U154">
            <v>942</v>
          </cell>
          <cell r="V154">
            <v>1502</v>
          </cell>
          <cell r="W154">
            <v>1828</v>
          </cell>
          <cell r="X154">
            <v>1327</v>
          </cell>
          <cell r="Y154">
            <v>1403</v>
          </cell>
          <cell r="Z154">
            <v>1403</v>
          </cell>
          <cell r="AA154">
            <v>1319</v>
          </cell>
          <cell r="AB154">
            <v>1483</v>
          </cell>
          <cell r="AC154">
            <v>1991</v>
          </cell>
          <cell r="AD154">
            <v>1817.9046365204244</v>
          </cell>
          <cell r="AE154">
            <v>1852.0482965476851</v>
          </cell>
          <cell r="AF154">
            <v>1946.6486766835239</v>
          </cell>
          <cell r="AG154">
            <v>2056.4349299950932</v>
          </cell>
          <cell r="AH154">
            <v>2076.913893422608</v>
          </cell>
          <cell r="AI154">
            <v>2101.9412012008247</v>
          </cell>
          <cell r="AJ154">
            <v>2130.4976482291945</v>
          </cell>
          <cell r="AK154">
            <v>2160.2533285623263</v>
          </cell>
          <cell r="AL154">
            <v>2159.6491898114268</v>
          </cell>
          <cell r="AM154">
            <v>2163.5137589236924</v>
          </cell>
        </row>
        <row r="155">
          <cell r="D155">
            <v>3532</v>
          </cell>
          <cell r="E155">
            <v>4048</v>
          </cell>
          <cell r="F155">
            <v>3539</v>
          </cell>
          <cell r="G155">
            <v>3482</v>
          </cell>
          <cell r="H155">
            <v>3525</v>
          </cell>
          <cell r="I155">
            <v>3634</v>
          </cell>
          <cell r="J155">
            <v>3858</v>
          </cell>
          <cell r="K155">
            <v>4361</v>
          </cell>
          <cell r="L155">
            <v>4202</v>
          </cell>
          <cell r="M155">
            <v>4139</v>
          </cell>
          <cell r="N155">
            <v>3156</v>
          </cell>
          <cell r="O155">
            <v>3086</v>
          </cell>
          <cell r="P155">
            <v>3284</v>
          </cell>
          <cell r="Q155">
            <v>425</v>
          </cell>
          <cell r="R155">
            <v>183</v>
          </cell>
          <cell r="S155">
            <v>74</v>
          </cell>
          <cell r="T155">
            <v>75</v>
          </cell>
          <cell r="U155">
            <v>142</v>
          </cell>
          <cell r="V155">
            <v>78</v>
          </cell>
          <cell r="W155">
            <v>67</v>
          </cell>
          <cell r="X155">
            <v>52</v>
          </cell>
          <cell r="Y155">
            <v>35</v>
          </cell>
          <cell r="Z155">
            <v>684</v>
          </cell>
          <cell r="AA155">
            <v>1622</v>
          </cell>
          <cell r="AB155">
            <v>39</v>
          </cell>
          <cell r="AC155">
            <v>38</v>
          </cell>
          <cell r="AD155">
            <v>38</v>
          </cell>
          <cell r="AE155">
            <v>38</v>
          </cell>
          <cell r="AF155">
            <v>38</v>
          </cell>
          <cell r="AG155">
            <v>38</v>
          </cell>
          <cell r="AH155">
            <v>38</v>
          </cell>
          <cell r="AI155">
            <v>38</v>
          </cell>
          <cell r="AJ155">
            <v>38</v>
          </cell>
          <cell r="AK155">
            <v>38</v>
          </cell>
          <cell r="AL155">
            <v>38</v>
          </cell>
          <cell r="AM155">
            <v>38</v>
          </cell>
        </row>
        <row r="156">
          <cell r="Q156">
            <v>87</v>
          </cell>
          <cell r="R156">
            <v>75</v>
          </cell>
          <cell r="S156">
            <v>80</v>
          </cell>
          <cell r="T156">
            <v>97</v>
          </cell>
          <cell r="U156">
            <v>134</v>
          </cell>
          <cell r="V156">
            <v>77</v>
          </cell>
          <cell r="W156">
            <v>58</v>
          </cell>
          <cell r="X156">
            <v>78</v>
          </cell>
          <cell r="Y156">
            <v>83</v>
          </cell>
          <cell r="Z156">
            <v>93</v>
          </cell>
          <cell r="AA156">
            <v>94</v>
          </cell>
          <cell r="AB156">
            <v>134</v>
          </cell>
          <cell r="AC156">
            <v>144</v>
          </cell>
          <cell r="AD156">
            <v>168.96776512218253</v>
          </cell>
          <cell r="AE156">
            <v>193.43664104813163</v>
          </cell>
          <cell r="AF156">
            <v>224.05103689371381</v>
          </cell>
          <cell r="AG156">
            <v>260.92156075697159</v>
          </cell>
          <cell r="AH156">
            <v>310.54835110002716</v>
          </cell>
          <cell r="AI156">
            <v>357.43364334853317</v>
          </cell>
          <cell r="AJ156">
            <v>415.94576195870815</v>
          </cell>
          <cell r="AK156">
            <v>483.36483476808917</v>
          </cell>
          <cell r="AL156">
            <v>563.10308346619968</v>
          </cell>
          <cell r="AM156">
            <v>656.62406881160803</v>
          </cell>
        </row>
        <row r="157">
          <cell r="D157">
            <v>3532</v>
          </cell>
          <cell r="E157">
            <v>4048</v>
          </cell>
          <cell r="F157">
            <v>3539</v>
          </cell>
          <cell r="G157">
            <v>3482</v>
          </cell>
          <cell r="H157">
            <v>3525</v>
          </cell>
          <cell r="I157">
            <v>3634</v>
          </cell>
          <cell r="J157">
            <v>3858</v>
          </cell>
          <cell r="K157">
            <v>4361</v>
          </cell>
          <cell r="L157">
            <v>4202</v>
          </cell>
          <cell r="M157">
            <v>4139</v>
          </cell>
          <cell r="N157">
            <v>3156</v>
          </cell>
          <cell r="O157">
            <v>3086</v>
          </cell>
          <cell r="P157">
            <v>3284</v>
          </cell>
          <cell r="Q157">
            <v>5293</v>
          </cell>
          <cell r="R157">
            <v>5664</v>
          </cell>
          <cell r="S157">
            <v>6050</v>
          </cell>
          <cell r="T157">
            <v>6903</v>
          </cell>
          <cell r="U157">
            <v>7341</v>
          </cell>
          <cell r="V157">
            <v>8051</v>
          </cell>
          <cell r="W157">
            <v>8059</v>
          </cell>
          <cell r="X157">
            <v>7926</v>
          </cell>
          <cell r="Y157">
            <v>9029</v>
          </cell>
          <cell r="Z157">
            <v>9616</v>
          </cell>
          <cell r="AA157">
            <v>10396</v>
          </cell>
          <cell r="AB157">
            <v>9861</v>
          </cell>
          <cell r="AC157">
            <v>10426</v>
          </cell>
          <cell r="AD157">
            <v>10993.452771699216</v>
          </cell>
          <cell r="AE157">
            <v>12186.215821216218</v>
          </cell>
          <cell r="AF157">
            <v>13085.329331782905</v>
          </cell>
          <cell r="AG157">
            <v>14450.508027933756</v>
          </cell>
          <cell r="AH157">
            <v>15892.984200040126</v>
          </cell>
          <cell r="AI157">
            <v>17444.280751806251</v>
          </cell>
          <cell r="AJ157">
            <v>19633.278027109747</v>
          </cell>
          <cell r="AK157">
            <v>22691.520809565853</v>
          </cell>
          <cell r="AL157">
            <v>26801.163584155271</v>
          </cell>
          <cell r="AM157">
            <v>32831.177630303035</v>
          </cell>
        </row>
        <row r="158">
          <cell r="Q158">
            <v>-169</v>
          </cell>
          <cell r="R158">
            <v>-180</v>
          </cell>
          <cell r="S158">
            <v>-192</v>
          </cell>
          <cell r="T158">
            <v>-221</v>
          </cell>
          <cell r="U158">
            <v>-233</v>
          </cell>
          <cell r="V158">
            <v>-391</v>
          </cell>
          <cell r="W158">
            <v>-299</v>
          </cell>
          <cell r="X158">
            <v>-138</v>
          </cell>
          <cell r="Y158">
            <v>-255</v>
          </cell>
          <cell r="Z158">
            <v>-340</v>
          </cell>
          <cell r="AA158">
            <v>-800</v>
          </cell>
          <cell r="AB158">
            <v>-713</v>
          </cell>
          <cell r="AC158">
            <v>-713</v>
          </cell>
          <cell r="AD158">
            <v>-720.17054971925381</v>
          </cell>
          <cell r="AE158">
            <v>-930.44207520064629</v>
          </cell>
          <cell r="AF158">
            <v>-1098.3852888896231</v>
          </cell>
          <cell r="AG158">
            <v>-1345.3409350868342</v>
          </cell>
          <cell r="AH158">
            <v>-1622.4833771995759</v>
          </cell>
          <cell r="AI158">
            <v>-1918.1089557539758</v>
          </cell>
          <cell r="AJ158">
            <v>-2304.5753519450805</v>
          </cell>
          <cell r="AK158">
            <v>-2821.5263644929396</v>
          </cell>
          <cell r="AL158">
            <v>-3498.1686203773579</v>
          </cell>
          <cell r="AM158">
            <v>-4548.4150309818806</v>
          </cell>
        </row>
        <row r="159">
          <cell r="D159">
            <v>3532</v>
          </cell>
          <cell r="E159">
            <v>4048</v>
          </cell>
          <cell r="F159">
            <v>3539</v>
          </cell>
          <cell r="G159">
            <v>3482</v>
          </cell>
          <cell r="H159">
            <v>3525</v>
          </cell>
          <cell r="I159">
            <v>3634</v>
          </cell>
          <cell r="J159">
            <v>3858</v>
          </cell>
          <cell r="K159">
            <v>4361</v>
          </cell>
          <cell r="L159">
            <v>4202</v>
          </cell>
          <cell r="M159">
            <v>4139</v>
          </cell>
          <cell r="N159">
            <v>3156</v>
          </cell>
          <cell r="O159">
            <v>3086</v>
          </cell>
          <cell r="P159">
            <v>3284</v>
          </cell>
          <cell r="Q159">
            <v>5124</v>
          </cell>
          <cell r="R159">
            <v>5484</v>
          </cell>
          <cell r="S159">
            <v>5858</v>
          </cell>
          <cell r="T159">
            <v>6682</v>
          </cell>
          <cell r="U159">
            <v>7108</v>
          </cell>
          <cell r="V159">
            <v>7660</v>
          </cell>
          <cell r="W159">
            <v>7760</v>
          </cell>
          <cell r="X159">
            <v>7788</v>
          </cell>
          <cell r="Y159">
            <v>8774</v>
          </cell>
          <cell r="Z159">
            <v>9276</v>
          </cell>
          <cell r="AA159">
            <v>9596</v>
          </cell>
          <cell r="AB159">
            <v>9148</v>
          </cell>
          <cell r="AC159">
            <v>9713</v>
          </cell>
          <cell r="AD159">
            <v>10273.282221979962</v>
          </cell>
          <cell r="AE159">
            <v>11255.773746015571</v>
          </cell>
          <cell r="AF159">
            <v>11986.944042893281</v>
          </cell>
          <cell r="AG159">
            <v>13105.167092846921</v>
          </cell>
          <cell r="AH159">
            <v>14270.50082284055</v>
          </cell>
          <cell r="AI159">
            <v>15526.171796052275</v>
          </cell>
          <cell r="AJ159">
            <v>17328.702675164666</v>
          </cell>
          <cell r="AK159">
            <v>19869.994445072913</v>
          </cell>
          <cell r="AL159">
            <v>23302.994963777914</v>
          </cell>
          <cell r="AM159">
            <v>28282.762599321155</v>
          </cell>
        </row>
        <row r="160">
          <cell r="Q160">
            <v>-390</v>
          </cell>
          <cell r="R160">
            <v>-501</v>
          </cell>
          <cell r="S160">
            <v>-549</v>
          </cell>
          <cell r="T160">
            <v>-554</v>
          </cell>
          <cell r="U160">
            <v>-593</v>
          </cell>
          <cell r="V160">
            <v>-617</v>
          </cell>
          <cell r="W160">
            <v>-665</v>
          </cell>
          <cell r="X160">
            <v>-668</v>
          </cell>
          <cell r="Y160">
            <v>-717</v>
          </cell>
          <cell r="Z160">
            <v>-664</v>
          </cell>
          <cell r="AA160">
            <v>-637</v>
          </cell>
          <cell r="AB160">
            <v>-636</v>
          </cell>
          <cell r="AC160">
            <v>-636</v>
          </cell>
          <cell r="AD160">
            <v>-576.58645215235003</v>
          </cell>
          <cell r="AE160">
            <v>-572.52094256793544</v>
          </cell>
          <cell r="AF160">
            <v>-672.76546954518824</v>
          </cell>
          <cell r="AG160">
            <v>-666.58967973330039</v>
          </cell>
          <cell r="AH160">
            <v>-800.92975760701086</v>
          </cell>
          <cell r="AI160">
            <v>-789.73322596273579</v>
          </cell>
          <cell r="AJ160">
            <v>-972.5708863034115</v>
          </cell>
          <cell r="AK160">
            <v>-1010.6802255633265</v>
          </cell>
          <cell r="AL160">
            <v>-1307.8771613946026</v>
          </cell>
          <cell r="AM160">
            <v>-1438.5926962613717</v>
          </cell>
        </row>
        <row r="161">
          <cell r="D161">
            <v>3532</v>
          </cell>
          <cell r="E161">
            <v>4048</v>
          </cell>
          <cell r="F161">
            <v>3539</v>
          </cell>
          <cell r="G161">
            <v>3482</v>
          </cell>
          <cell r="H161">
            <v>3525</v>
          </cell>
          <cell r="I161">
            <v>3634</v>
          </cell>
          <cell r="J161">
            <v>3858</v>
          </cell>
          <cell r="K161">
            <v>4361</v>
          </cell>
          <cell r="L161">
            <v>4202</v>
          </cell>
          <cell r="M161">
            <v>4139</v>
          </cell>
          <cell r="N161">
            <v>3156</v>
          </cell>
          <cell r="O161">
            <v>3086</v>
          </cell>
          <cell r="P161">
            <v>3284</v>
          </cell>
          <cell r="Q161">
            <v>4734</v>
          </cell>
          <cell r="R161">
            <v>4983</v>
          </cell>
          <cell r="S161">
            <v>5309</v>
          </cell>
          <cell r="T161">
            <v>6128</v>
          </cell>
          <cell r="U161">
            <v>6515</v>
          </cell>
          <cell r="V161">
            <v>7043</v>
          </cell>
          <cell r="W161">
            <v>7095</v>
          </cell>
          <cell r="X161">
            <v>7120</v>
          </cell>
          <cell r="Y161">
            <v>8057</v>
          </cell>
          <cell r="Z161">
            <v>8612</v>
          </cell>
          <cell r="AA161">
            <v>8959</v>
          </cell>
          <cell r="AB161">
            <v>8512</v>
          </cell>
          <cell r="AC161">
            <v>9077</v>
          </cell>
          <cell r="AD161">
            <v>9696.695769827611</v>
          </cell>
          <cell r="AE161">
            <v>10683.252803447636</v>
          </cell>
          <cell r="AF161">
            <v>11314.178573348094</v>
          </cell>
          <cell r="AG161">
            <v>12438.57741311362</v>
          </cell>
          <cell r="AH161">
            <v>13469.571065233538</v>
          </cell>
          <cell r="AI161">
            <v>14736.438570089538</v>
          </cell>
          <cell r="AJ161">
            <v>16356.131788861254</v>
          </cell>
          <cell r="AK161">
            <v>18859.314219509586</v>
          </cell>
          <cell r="AL161">
            <v>21995.117802383313</v>
          </cell>
          <cell r="AM161">
            <v>26844.169903059785</v>
          </cell>
        </row>
        <row r="162">
          <cell r="N162">
            <v>916</v>
          </cell>
          <cell r="O162">
            <v>1130</v>
          </cell>
          <cell r="P162">
            <v>1159</v>
          </cell>
          <cell r="Q162">
            <v>1172</v>
          </cell>
          <cell r="R162">
            <v>1145</v>
          </cell>
          <cell r="S162">
            <v>1387</v>
          </cell>
          <cell r="T162">
            <v>1654</v>
          </cell>
          <cell r="U162">
            <v>1500</v>
          </cell>
          <cell r="V162">
            <v>1641</v>
          </cell>
          <cell r="W162">
            <v>1688</v>
          </cell>
          <cell r="X162">
            <v>1256</v>
          </cell>
          <cell r="Y162">
            <v>1094</v>
          </cell>
          <cell r="Z162">
            <v>910</v>
          </cell>
          <cell r="AA162">
            <v>807</v>
          </cell>
          <cell r="AB162">
            <v>1198</v>
          </cell>
          <cell r="AC162">
            <v>1021</v>
          </cell>
          <cell r="AD162">
            <v>964.9270689337302</v>
          </cell>
          <cell r="AE162">
            <v>944.25943067647756</v>
          </cell>
          <cell r="AF162">
            <v>940.96221341044486</v>
          </cell>
          <cell r="AG162">
            <v>963.50565142131836</v>
          </cell>
          <cell r="AH162">
            <v>1008.6124593335684</v>
          </cell>
          <cell r="AI162">
            <v>982.25347884771259</v>
          </cell>
          <cell r="AJ162">
            <v>976.49238548601079</v>
          </cell>
          <cell r="AK162">
            <v>978.74862969312119</v>
          </cell>
          <cell r="AL162">
            <v>984.8809433766445</v>
          </cell>
          <cell r="AM162">
            <v>992.65331171012292</v>
          </cell>
        </row>
        <row r="163">
          <cell r="Q163">
            <v>342</v>
          </cell>
          <cell r="R163">
            <v>353</v>
          </cell>
          <cell r="S163">
            <v>375</v>
          </cell>
          <cell r="T163">
            <v>402</v>
          </cell>
          <cell r="U163">
            <v>447</v>
          </cell>
          <cell r="V163">
            <v>428</v>
          </cell>
          <cell r="W163">
            <v>457</v>
          </cell>
          <cell r="X163">
            <v>382</v>
          </cell>
          <cell r="Y163">
            <v>470</v>
          </cell>
          <cell r="Z163">
            <v>563</v>
          </cell>
          <cell r="AA163">
            <v>364</v>
          </cell>
          <cell r="AB163">
            <v>370</v>
          </cell>
          <cell r="AC163">
            <v>357</v>
          </cell>
          <cell r="AD163">
            <v>589.8278010209865</v>
          </cell>
          <cell r="AE163">
            <v>628.31902364564019</v>
          </cell>
          <cell r="AF163">
            <v>636.39096528379139</v>
          </cell>
          <cell r="AG163">
            <v>653.97434220840603</v>
          </cell>
          <cell r="AH163">
            <v>653.29865681144952</v>
          </cell>
          <cell r="AI163">
            <v>654.45478855384476</v>
          </cell>
          <cell r="AJ163">
            <v>657.27227484022092</v>
          </cell>
          <cell r="AK163">
            <v>659.22289643725469</v>
          </cell>
          <cell r="AL163">
            <v>650.8663336407086</v>
          </cell>
          <cell r="AM163">
            <v>644.00820730449891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916</v>
          </cell>
          <cell r="O164">
            <v>1130</v>
          </cell>
          <cell r="P164">
            <v>1159</v>
          </cell>
          <cell r="Q164">
            <v>1514</v>
          </cell>
          <cell r="R164">
            <v>1498</v>
          </cell>
          <cell r="S164">
            <v>1762</v>
          </cell>
          <cell r="T164">
            <v>2056</v>
          </cell>
          <cell r="U164">
            <v>1947</v>
          </cell>
          <cell r="V164">
            <v>2069</v>
          </cell>
          <cell r="W164">
            <v>2145</v>
          </cell>
          <cell r="X164">
            <v>1638</v>
          </cell>
          <cell r="Y164">
            <v>1564</v>
          </cell>
          <cell r="Z164">
            <v>1473</v>
          </cell>
          <cell r="AA164">
            <v>1171</v>
          </cell>
          <cell r="AB164">
            <v>1568</v>
          </cell>
          <cell r="AC164">
            <v>1378</v>
          </cell>
          <cell r="AD164">
            <v>1554.7548699547167</v>
          </cell>
          <cell r="AE164">
            <v>1572.5784543221178</v>
          </cell>
          <cell r="AF164">
            <v>1577.3531786942362</v>
          </cell>
          <cell r="AG164">
            <v>1617.4799936297245</v>
          </cell>
          <cell r="AH164">
            <v>1661.9111161450178</v>
          </cell>
          <cell r="AI164">
            <v>1636.7082674015574</v>
          </cell>
          <cell r="AJ164">
            <v>1633.7646603262317</v>
          </cell>
          <cell r="AK164">
            <v>1637.9715261303759</v>
          </cell>
          <cell r="AL164">
            <v>1635.7472770173531</v>
          </cell>
          <cell r="AM164">
            <v>1636.6615190146217</v>
          </cell>
        </row>
        <row r="165">
          <cell r="D165">
            <v>3532</v>
          </cell>
          <cell r="E165">
            <v>4048</v>
          </cell>
          <cell r="F165">
            <v>3539</v>
          </cell>
          <cell r="G165">
            <v>3482</v>
          </cell>
          <cell r="H165">
            <v>3525</v>
          </cell>
          <cell r="I165">
            <v>3634</v>
          </cell>
          <cell r="J165">
            <v>3858</v>
          </cell>
          <cell r="K165">
            <v>4361</v>
          </cell>
          <cell r="L165">
            <v>4202</v>
          </cell>
          <cell r="M165">
            <v>4139</v>
          </cell>
          <cell r="N165">
            <v>4072</v>
          </cell>
          <cell r="O165">
            <v>4216</v>
          </cell>
          <cell r="P165">
            <v>4443</v>
          </cell>
          <cell r="Q165">
            <v>6248</v>
          </cell>
          <cell r="R165">
            <v>6481</v>
          </cell>
          <cell r="S165">
            <v>7071</v>
          </cell>
          <cell r="T165">
            <v>8184</v>
          </cell>
          <cell r="U165">
            <v>8462</v>
          </cell>
          <cell r="V165">
            <v>9112</v>
          </cell>
          <cell r="W165">
            <v>9240</v>
          </cell>
          <cell r="X165">
            <v>8758</v>
          </cell>
          <cell r="Y165">
            <v>9621</v>
          </cell>
          <cell r="Z165">
            <v>10085</v>
          </cell>
          <cell r="AA165">
            <v>10130</v>
          </cell>
          <cell r="AB165">
            <v>10080</v>
          </cell>
          <cell r="AC165">
            <v>10455</v>
          </cell>
          <cell r="AD165">
            <v>11251.450639782328</v>
          </cell>
          <cell r="AE165">
            <v>12255.831257769754</v>
          </cell>
          <cell r="AF165">
            <v>12891.53175204233</v>
          </cell>
          <cell r="AG165">
            <v>14056.057406743344</v>
          </cell>
          <cell r="AH165">
            <v>15131.482181378557</v>
          </cell>
          <cell r="AI165">
            <v>16373.146837491095</v>
          </cell>
          <cell r="AJ165">
            <v>17989.896449187487</v>
          </cell>
          <cell r="AK165">
            <v>20497.285745639962</v>
          </cell>
          <cell r="AL165">
            <v>23630.865079400664</v>
          </cell>
          <cell r="AM165">
            <v>28480.831422074407</v>
          </cell>
        </row>
        <row r="167">
          <cell r="D167">
            <v>31.676397282932612</v>
          </cell>
          <cell r="E167">
            <v>32.850169060114872</v>
          </cell>
          <cell r="F167">
            <v>32.672640875413173</v>
          </cell>
          <cell r="G167">
            <v>35.287970756841275</v>
          </cell>
          <cell r="H167">
            <v>38.932561385439598</v>
          </cell>
          <cell r="I167">
            <v>45.362527255289343</v>
          </cell>
          <cell r="J167">
            <v>52.00716122432415</v>
          </cell>
          <cell r="K167">
            <v>52.76852808480249</v>
          </cell>
          <cell r="L167">
            <v>67.450744191960325</v>
          </cell>
          <cell r="M167">
            <v>84.847034097093371</v>
          </cell>
          <cell r="N167">
            <v>99.39507527735006</v>
          </cell>
          <cell r="O167">
            <v>78.330550234060894</v>
          </cell>
          <cell r="P167">
            <v>84.657178745569766</v>
          </cell>
          <cell r="Q167">
            <v>81.072248899559824</v>
          </cell>
          <cell r="R167">
            <v>98.72605738575983</v>
          </cell>
          <cell r="S167">
            <v>99.999159006454136</v>
          </cell>
          <cell r="T167">
            <v>119.06184688064165</v>
          </cell>
          <cell r="U167">
            <v>128.24763007371754</v>
          </cell>
          <cell r="V167">
            <v>141.70516589668208</v>
          </cell>
          <cell r="W167">
            <v>149.23230309072781</v>
          </cell>
          <cell r="X167">
            <v>170.93393224780087</v>
          </cell>
          <cell r="Y167">
            <v>204.34359174133226</v>
          </cell>
          <cell r="Z167">
            <v>229.82213780003457</v>
          </cell>
          <cell r="AA167">
            <v>203.36660463542549</v>
          </cell>
          <cell r="AB167">
            <v>195.58734499338334</v>
          </cell>
          <cell r="AC167">
            <v>217.05020920502091</v>
          </cell>
          <cell r="AD167">
            <v>238.80761251111511</v>
          </cell>
          <cell r="AE167">
            <v>251.84494396585842</v>
          </cell>
          <cell r="AF167">
            <v>260.78444734756346</v>
          </cell>
          <cell r="AG167">
            <v>270.40213985868809</v>
          </cell>
          <cell r="AH167">
            <v>280.60572530996046</v>
          </cell>
          <cell r="AI167">
            <v>291.74624576514356</v>
          </cell>
          <cell r="AJ167">
            <v>303.50123817653986</v>
          </cell>
          <cell r="AK167">
            <v>315.89786755023022</v>
          </cell>
          <cell r="AL167">
            <v>328.97199202257332</v>
          </cell>
          <cell r="AM167">
            <v>342.74640680474067</v>
          </cell>
        </row>
        <row r="168">
          <cell r="D168">
            <v>29.660901538880559</v>
          </cell>
          <cell r="E168">
            <v>34.059648644968014</v>
          </cell>
          <cell r="F168">
            <v>39.32997412501701</v>
          </cell>
          <cell r="G168">
            <v>44.05556312134005</v>
          </cell>
          <cell r="H168">
            <v>48.059376276726113</v>
          </cell>
          <cell r="I168">
            <v>53.806346180035412</v>
          </cell>
          <cell r="J168">
            <v>61.024104589404715</v>
          </cell>
          <cell r="K168">
            <v>68.704889009941397</v>
          </cell>
          <cell r="L168">
            <v>77.543238458395734</v>
          </cell>
          <cell r="M168">
            <v>89.268691270597785</v>
          </cell>
          <cell r="N168">
            <v>96.604473741247361</v>
          </cell>
          <cell r="O168">
            <v>109.21192510848756</v>
          </cell>
          <cell r="P168">
            <v>129.87850557638816</v>
          </cell>
          <cell r="Q168">
            <v>82.976445396145621</v>
          </cell>
          <cell r="R168">
            <v>92.077294685990339</v>
          </cell>
          <cell r="S168">
            <v>100.08510638297872</v>
          </cell>
          <cell r="T168">
            <v>110.1471398140734</v>
          </cell>
          <cell r="U168">
            <v>119.04453818482961</v>
          </cell>
          <cell r="V168">
            <v>123.22754895340987</v>
          </cell>
          <cell r="W168">
            <v>133.42192691029899</v>
          </cell>
          <cell r="X168">
            <v>146.7914438502674</v>
          </cell>
          <cell r="Y168">
            <v>158.39598997493732</v>
          </cell>
          <cell r="Z168">
            <v>207.71929824561403</v>
          </cell>
          <cell r="AA168">
            <v>106.40377485675768</v>
          </cell>
          <cell r="AB168">
            <v>172.09573847051956</v>
          </cell>
          <cell r="AC168">
            <v>125.61942517343905</v>
          </cell>
          <cell r="AD168">
            <v>126.38570366699699</v>
          </cell>
          <cell r="AE168">
            <v>127.15665645936571</v>
          </cell>
          <cell r="AF168">
            <v>127.93231206376782</v>
          </cell>
          <cell r="AG168">
            <v>128.71269916735679</v>
          </cell>
          <cell r="AH168">
            <v>129.49784663227763</v>
          </cell>
          <cell r="AI168">
            <v>130.28778349673456</v>
          </cell>
          <cell r="AJ168">
            <v>131.08253897606463</v>
          </cell>
          <cell r="AK168">
            <v>131.88214246381861</v>
          </cell>
          <cell r="AL168">
            <v>132.6866235328479</v>
          </cell>
          <cell r="AM168">
            <v>133.49601193639828</v>
          </cell>
        </row>
        <row r="169">
          <cell r="D169">
            <v>31.513496515068816</v>
          </cell>
          <cell r="E169">
            <v>32.939725195005174</v>
          </cell>
          <cell r="F169">
            <v>33.148664191325174</v>
          </cell>
          <cell r="G169">
            <v>35.928913272672993</v>
          </cell>
          <cell r="H169">
            <v>39.630533859534097</v>
          </cell>
          <cell r="I169">
            <v>45.955390319242021</v>
          </cell>
          <cell r="J169">
            <v>52.615619105003297</v>
          </cell>
          <cell r="K169">
            <v>53.850153637681487</v>
          </cell>
          <cell r="L169">
            <v>68.245756908190884</v>
          </cell>
          <cell r="M169">
            <v>85.228725594080416</v>
          </cell>
          <cell r="N169">
            <v>99.086068151324298</v>
          </cell>
          <cell r="O169">
            <v>80.831158774966966</v>
          </cell>
          <cell r="P169">
            <v>88.183630568382938</v>
          </cell>
          <cell r="Q169">
            <v>81.372066756574512</v>
          </cell>
          <cell r="R169">
            <v>97.527195121951209</v>
          </cell>
          <cell r="S169">
            <v>100.01521946564887</v>
          </cell>
          <cell r="T169">
            <v>117.18535830366817</v>
          </cell>
          <cell r="U169">
            <v>126.04164148242405</v>
          </cell>
          <cell r="V169">
            <v>137.32180041646643</v>
          </cell>
          <cell r="W169">
            <v>145.58282208588957</v>
          </cell>
          <cell r="X169">
            <v>166.74400618716163</v>
          </cell>
          <cell r="Y169">
            <v>195.65629442426157</v>
          </cell>
          <cell r="Z169">
            <v>225.45731707317071</v>
          </cell>
          <cell r="AA169">
            <v>170.96192836224375</v>
          </cell>
          <cell r="AB169">
            <v>190.86088011510455</v>
          </cell>
          <cell r="AC169">
            <v>195.86681974741674</v>
          </cell>
          <cell r="AD169">
            <v>215.07344452875347</v>
          </cell>
          <cell r="AE169">
            <v>225.45105833914607</v>
          </cell>
          <cell r="AF169">
            <v>232.54727314474053</v>
          </cell>
          <cell r="AG169">
            <v>240.16875501778591</v>
          </cell>
          <cell r="AH169">
            <v>248.25196692032696</v>
          </cell>
          <cell r="AI169">
            <v>257.18740618658154</v>
          </cell>
          <cell r="AJ169">
            <v>266.62978576940583</v>
          </cell>
          <cell r="AK169">
            <v>276.59966320091445</v>
          </cell>
          <cell r="AL169">
            <v>287.12391009534616</v>
          </cell>
          <cell r="AM169">
            <v>298.23651524419262</v>
          </cell>
        </row>
        <row r="172">
          <cell r="Q172">
            <v>82.857142857142861</v>
          </cell>
          <cell r="R172">
            <v>88.495575221238937</v>
          </cell>
          <cell r="S172">
            <v>100</v>
          </cell>
          <cell r="T172">
            <v>106.10687022900764</v>
          </cell>
          <cell r="U172">
            <v>107.73638968481376</v>
          </cell>
          <cell r="V172">
            <v>110.11235955056181</v>
          </cell>
          <cell r="W172">
            <v>116.24203821656052</v>
          </cell>
          <cell r="X172">
            <v>118.14516129032258</v>
          </cell>
          <cell r="Y172">
            <v>125.9433962264151</v>
          </cell>
          <cell r="Z172">
            <v>186.63967611336031</v>
          </cell>
          <cell r="AA172">
            <v>156.02605863192181</v>
          </cell>
          <cell r="AB172">
            <v>145.65217391304347</v>
          </cell>
          <cell r="AC172">
            <v>124.86486486486486</v>
          </cell>
          <cell r="AD172">
            <v>131.23297297297296</v>
          </cell>
          <cell r="AE172">
            <v>137.79462162162162</v>
          </cell>
          <cell r="AF172">
            <v>144.68435270270271</v>
          </cell>
          <cell r="AG172">
            <v>151.91857033783785</v>
          </cell>
          <cell r="AH172">
            <v>159.51449885472974</v>
          </cell>
          <cell r="AI172">
            <v>167.4902237974662</v>
          </cell>
          <cell r="AJ172">
            <v>175.86473498733952</v>
          </cell>
          <cell r="AK172">
            <v>184.65797173670651</v>
          </cell>
          <cell r="AL172">
            <v>193.89087032354186</v>
          </cell>
          <cell r="AM172">
            <v>203.58541383971897</v>
          </cell>
        </row>
        <row r="173">
          <cell r="Q173">
            <v>91.666666666666657</v>
          </cell>
          <cell r="R173">
            <v>100</v>
          </cell>
          <cell r="S173">
            <v>100</v>
          </cell>
          <cell r="T173">
            <v>117.39130434782609</v>
          </cell>
          <cell r="U173">
            <v>126.31578947368421</v>
          </cell>
          <cell r="V173">
            <v>175</v>
          </cell>
          <cell r="W173">
            <v>150</v>
          </cell>
          <cell r="X173">
            <v>133.33333333333331</v>
          </cell>
          <cell r="Y173">
            <v>250</v>
          </cell>
          <cell r="Z173">
            <v>250</v>
          </cell>
          <cell r="AA173">
            <v>250</v>
          </cell>
          <cell r="AB173">
            <v>200</v>
          </cell>
          <cell r="AC173">
            <v>183.33333333333331</v>
          </cell>
          <cell r="AD173">
            <v>192.68333333333331</v>
          </cell>
          <cell r="AE173">
            <v>202.3175</v>
          </cell>
          <cell r="AF173">
            <v>212.43337499999998</v>
          </cell>
          <cell r="AG173">
            <v>223.05504374999995</v>
          </cell>
          <cell r="AH173">
            <v>234.20779593749995</v>
          </cell>
          <cell r="AI173">
            <v>245.91818573437496</v>
          </cell>
          <cell r="AJ173">
            <v>258.21409502109373</v>
          </cell>
          <cell r="AK173">
            <v>271.12479977214844</v>
          </cell>
          <cell r="AL173">
            <v>284.68103976075588</v>
          </cell>
          <cell r="AM173">
            <v>298.91509174879371</v>
          </cell>
        </row>
        <row r="174">
          <cell r="Q174">
            <v>82.222222222222214</v>
          </cell>
          <cell r="R174">
            <v>97.959183673469383</v>
          </cell>
          <cell r="S174">
            <v>100</v>
          </cell>
          <cell r="T174">
            <v>121.78217821782178</v>
          </cell>
          <cell r="U174">
            <v>109.75609756097562</v>
          </cell>
          <cell r="V174">
            <v>126.19047619047619</v>
          </cell>
          <cell r="W174">
            <v>128.57142857142858</v>
          </cell>
          <cell r="X174">
            <v>148.33333333333334</v>
          </cell>
          <cell r="Y174">
            <v>147.31182795698925</v>
          </cell>
          <cell r="Z174">
            <v>145.65217391304347</v>
          </cell>
          <cell r="AA174">
            <v>138.46153846153845</v>
          </cell>
          <cell r="AB174">
            <v>235.55555555555557</v>
          </cell>
          <cell r="AC174">
            <v>228.33333333333331</v>
          </cell>
          <cell r="AD174">
            <v>239.9783333333333</v>
          </cell>
          <cell r="AE174">
            <v>251.97724999999997</v>
          </cell>
          <cell r="AF174">
            <v>264.57611249999997</v>
          </cell>
          <cell r="AG174">
            <v>277.80491812499997</v>
          </cell>
          <cell r="AH174">
            <v>291.69516403124999</v>
          </cell>
          <cell r="AI174">
            <v>306.27992223281251</v>
          </cell>
          <cell r="AJ174">
            <v>321.59391834445307</v>
          </cell>
          <cell r="AK174">
            <v>337.67361426167577</v>
          </cell>
          <cell r="AL174">
            <v>354.55729497475949</v>
          </cell>
          <cell r="AM174">
            <v>372.28515972349754</v>
          </cell>
        </row>
        <row r="175">
          <cell r="Q175">
            <v>78.494623655913969</v>
          </cell>
          <cell r="R175">
            <v>94.444444444444443</v>
          </cell>
          <cell r="S175">
            <v>100</v>
          </cell>
          <cell r="T175">
            <v>108.86075949367088</v>
          </cell>
          <cell r="U175">
            <v>118.62068965517241</v>
          </cell>
          <cell r="V175">
            <v>118.56287425149701</v>
          </cell>
          <cell r="W175">
            <v>118.67469879518073</v>
          </cell>
          <cell r="X175">
            <v>124.0506329113924</v>
          </cell>
          <cell r="Y175">
            <v>136.18421052631581</v>
          </cell>
          <cell r="Z175">
            <v>162.24489795918367</v>
          </cell>
          <cell r="AA175">
            <v>161.74496644295303</v>
          </cell>
          <cell r="AB175">
            <v>167.12328767123287</v>
          </cell>
          <cell r="AC175">
            <v>177.69784172661872</v>
          </cell>
          <cell r="AD175">
            <v>186.76043165467627</v>
          </cell>
          <cell r="AE175">
            <v>196.0984532374101</v>
          </cell>
          <cell r="AF175">
            <v>205.9033758992806</v>
          </cell>
          <cell r="AG175">
            <v>216.19854469424465</v>
          </cell>
          <cell r="AH175">
            <v>227.00847192895688</v>
          </cell>
          <cell r="AI175">
            <v>238.35889552540476</v>
          </cell>
          <cell r="AJ175">
            <v>250.27684030167498</v>
          </cell>
          <cell r="AK175">
            <v>262.79068231675876</v>
          </cell>
          <cell r="AL175">
            <v>275.93021643259669</v>
          </cell>
          <cell r="AM175">
            <v>289.72672725422655</v>
          </cell>
        </row>
        <row r="176">
          <cell r="Q176">
            <v>85.714285714285708</v>
          </cell>
          <cell r="R176">
            <v>91.442155309033282</v>
          </cell>
          <cell r="S176">
            <v>100</v>
          </cell>
          <cell r="T176">
            <v>111.14599686028257</v>
          </cell>
          <cell r="U176">
            <v>119.48790896159318</v>
          </cell>
          <cell r="V176">
            <v>127.14078374455733</v>
          </cell>
          <cell r="W176">
            <v>134.09090909090909</v>
          </cell>
          <cell r="X176">
            <v>140.62992125984252</v>
          </cell>
          <cell r="Y176">
            <v>150.2145922746781</v>
          </cell>
          <cell r="Z176">
            <v>180.71833648393195</v>
          </cell>
          <cell r="AA176">
            <v>195.38188277087033</v>
          </cell>
          <cell r="AB176">
            <v>188.44011142061282</v>
          </cell>
          <cell r="AC176">
            <v>183.79578246392896</v>
          </cell>
          <cell r="AD176">
            <v>193.16936736958931</v>
          </cell>
          <cell r="AE176">
            <v>202.82783573806881</v>
          </cell>
          <cell r="AF176">
            <v>212.96922752497227</v>
          </cell>
          <cell r="AG176">
            <v>223.6176889012209</v>
          </cell>
          <cell r="AH176">
            <v>234.79857334628196</v>
          </cell>
          <cell r="AI176">
            <v>246.53850201359606</v>
          </cell>
          <cell r="AJ176">
            <v>258.86542711427586</v>
          </cell>
          <cell r="AK176">
            <v>271.80869846998968</v>
          </cell>
          <cell r="AL176">
            <v>285.39913339348919</v>
          </cell>
          <cell r="AM176">
            <v>299.66909006316365</v>
          </cell>
        </row>
        <row r="177">
          <cell r="Q177">
            <v>84.112149532710276</v>
          </cell>
          <cell r="R177">
            <v>91.095890410958901</v>
          </cell>
          <cell r="S177">
            <v>100</v>
          </cell>
          <cell r="T177">
            <v>107.28476821192052</v>
          </cell>
          <cell r="U177">
            <v>115.78947368421053</v>
          </cell>
          <cell r="V177">
            <v>123.52941176470588</v>
          </cell>
          <cell r="W177">
            <v>132.86713286713288</v>
          </cell>
          <cell r="X177">
            <v>140.74074074074073</v>
          </cell>
          <cell r="Y177">
            <v>149.10714285714286</v>
          </cell>
          <cell r="Z177">
            <v>160.78431372549019</v>
          </cell>
          <cell r="AA177">
            <v>177.41935483870967</v>
          </cell>
          <cell r="AB177">
            <v>194.94949494949495</v>
          </cell>
          <cell r="AC177">
            <v>203.65448504983391</v>
          </cell>
          <cell r="AD177">
            <v>214.04086378737543</v>
          </cell>
          <cell r="AE177">
            <v>224.74290697674422</v>
          </cell>
          <cell r="AF177">
            <v>235.98005232558145</v>
          </cell>
          <cell r="AG177">
            <v>247.77905494186055</v>
          </cell>
          <cell r="AH177">
            <v>260.16800768895359</v>
          </cell>
          <cell r="AI177">
            <v>273.17640807340126</v>
          </cell>
          <cell r="AJ177">
            <v>286.83522847707133</v>
          </cell>
          <cell r="AK177">
            <v>301.17698990092492</v>
          </cell>
          <cell r="AL177">
            <v>316.2358393959712</v>
          </cell>
          <cell r="AM177">
            <v>332.0476313657698</v>
          </cell>
        </row>
        <row r="178">
          <cell r="Q178">
            <v>74.285714285714292</v>
          </cell>
          <cell r="R178">
            <v>79.104477611940297</v>
          </cell>
          <cell r="S178">
            <v>100</v>
          </cell>
          <cell r="T178">
            <v>109.75609756097562</v>
          </cell>
          <cell r="U178">
            <v>133.33333333333331</v>
          </cell>
          <cell r="V178">
            <v>144</v>
          </cell>
          <cell r="W178">
            <v>150</v>
          </cell>
          <cell r="X178">
            <v>176</v>
          </cell>
          <cell r="Y178">
            <v>200</v>
          </cell>
          <cell r="Z178">
            <v>200</v>
          </cell>
          <cell r="AA178">
            <v>227.77777777777777</v>
          </cell>
          <cell r="AB178">
            <v>250.84745762711864</v>
          </cell>
          <cell r="AC178">
            <v>278.57142857142856</v>
          </cell>
          <cell r="AD178">
            <v>292.77857142857141</v>
          </cell>
          <cell r="AE178">
            <v>307.41750000000002</v>
          </cell>
          <cell r="AF178">
            <v>322.78837500000003</v>
          </cell>
          <cell r="AG178">
            <v>338.92779375000003</v>
          </cell>
          <cell r="AH178">
            <v>355.87418343750005</v>
          </cell>
          <cell r="AI178">
            <v>373.66789260937509</v>
          </cell>
          <cell r="AJ178">
            <v>392.35128723984388</v>
          </cell>
          <cell r="AK178">
            <v>411.96885160183609</v>
          </cell>
          <cell r="AL178">
            <v>432.56729418192793</v>
          </cell>
          <cell r="AM178">
            <v>454.19565889102438</v>
          </cell>
        </row>
        <row r="179">
          <cell r="Q179">
            <v>86.340206185567013</v>
          </cell>
          <cell r="R179">
            <v>92.408376963350776</v>
          </cell>
          <cell r="S179">
            <v>100</v>
          </cell>
          <cell r="T179">
            <v>106.17977528089888</v>
          </cell>
          <cell r="U179">
            <v>113.48314606741575</v>
          </cell>
          <cell r="V179">
            <v>118.46435100548447</v>
          </cell>
          <cell r="W179">
            <v>121.91528545119705</v>
          </cell>
          <cell r="X179">
            <v>126.50375939849626</v>
          </cell>
          <cell r="Y179">
            <v>134.39716312056737</v>
          </cell>
          <cell r="Z179">
            <v>145.43325526932085</v>
          </cell>
          <cell r="AA179">
            <v>154.0022547914318</v>
          </cell>
          <cell r="AB179">
            <v>152.54854368932038</v>
          </cell>
          <cell r="AC179">
            <v>150.36284470246736</v>
          </cell>
          <cell r="AD179">
            <v>158.03134978229318</v>
          </cell>
          <cell r="AE179">
            <v>165.93291727140786</v>
          </cell>
          <cell r="AF179">
            <v>174.22956313497826</v>
          </cell>
          <cell r="AG179">
            <v>182.94104129172717</v>
          </cell>
          <cell r="AH179">
            <v>192.08809335631355</v>
          </cell>
          <cell r="AI179">
            <v>201.69249802412924</v>
          </cell>
          <cell r="AJ179">
            <v>211.7771229253357</v>
          </cell>
          <cell r="AK179">
            <v>222.36597907160254</v>
          </cell>
          <cell r="AL179">
            <v>233.48427802518268</v>
          </cell>
          <cell r="AM179">
            <v>245.15849192644183</v>
          </cell>
        </row>
        <row r="180">
          <cell r="Q180">
            <v>87.096774193548384</v>
          </cell>
          <cell r="R180">
            <v>93.5</v>
          </cell>
          <cell r="S180">
            <v>100</v>
          </cell>
          <cell r="T180">
            <v>104.83271375464685</v>
          </cell>
          <cell r="U180">
            <v>110.60606060606059</v>
          </cell>
          <cell r="V180">
            <v>115.92920353982301</v>
          </cell>
          <cell r="W180">
            <v>118.18181818181819</v>
          </cell>
          <cell r="X180">
            <v>125</v>
          </cell>
          <cell r="Y180">
            <v>130.07712082262211</v>
          </cell>
          <cell r="Z180">
            <v>141.80602006688963</v>
          </cell>
          <cell r="AA180">
            <v>149.80392156862746</v>
          </cell>
          <cell r="AB180">
            <v>151.8987341772152</v>
          </cell>
          <cell r="AC180">
            <v>156.79611650485435</v>
          </cell>
          <cell r="AD180">
            <v>164.79271844660192</v>
          </cell>
          <cell r="AE180">
            <v>173.03235436893203</v>
          </cell>
          <cell r="AF180">
            <v>181.68397208737863</v>
          </cell>
          <cell r="AG180">
            <v>190.76817069174757</v>
          </cell>
          <cell r="AH180">
            <v>200.30657922633495</v>
          </cell>
          <cell r="AI180">
            <v>210.32190818765173</v>
          </cell>
          <cell r="AJ180">
            <v>220.83800359703432</v>
          </cell>
          <cell r="AK180">
            <v>231.87990377688604</v>
          </cell>
          <cell r="AL180">
            <v>243.47389896573034</v>
          </cell>
          <cell r="AM180">
            <v>255.64759391401688</v>
          </cell>
        </row>
        <row r="181">
          <cell r="Q181">
            <v>77.290836653386449</v>
          </cell>
          <cell r="R181">
            <v>83.4375</v>
          </cell>
          <cell r="S181">
            <v>100</v>
          </cell>
          <cell r="T181">
            <v>110.37037037037037</v>
          </cell>
          <cell r="U181">
            <v>117.11409395973153</v>
          </cell>
          <cell r="V181">
            <v>124.0506329113924</v>
          </cell>
          <cell r="W181">
            <v>131.41210374639769</v>
          </cell>
          <cell r="X181">
            <v>140.89709762532982</v>
          </cell>
          <cell r="Y181">
            <v>152.20125786163524</v>
          </cell>
          <cell r="Z181">
            <v>173.88535031847135</v>
          </cell>
          <cell r="AA181">
            <v>203.44827586206895</v>
          </cell>
          <cell r="AB181">
            <v>189.93288590604027</v>
          </cell>
          <cell r="AC181">
            <v>188.27160493827159</v>
          </cell>
          <cell r="AD181">
            <v>197.87345679012344</v>
          </cell>
          <cell r="AE181">
            <v>207.76712962962966</v>
          </cell>
          <cell r="AF181">
            <v>218.15548611111114</v>
          </cell>
          <cell r="AG181">
            <v>229.06326041666668</v>
          </cell>
          <cell r="AH181">
            <v>240.51642343750004</v>
          </cell>
          <cell r="AI181">
            <v>252.54224460937505</v>
          </cell>
          <cell r="AJ181">
            <v>265.16935683984383</v>
          </cell>
          <cell r="AK181">
            <v>278.42782468183606</v>
          </cell>
          <cell r="AL181">
            <v>292.34921591592786</v>
          </cell>
          <cell r="AM181">
            <v>306.96667671172429</v>
          </cell>
        </row>
        <row r="182">
          <cell r="Q182">
            <v>100.29069767441861</v>
          </cell>
          <cell r="R182">
            <v>97.037037037037038</v>
          </cell>
          <cell r="S182">
            <v>100</v>
          </cell>
          <cell r="T182">
            <v>115.08704061895551</v>
          </cell>
          <cell r="U182">
            <v>119.52983725135624</v>
          </cell>
          <cell r="V182">
            <v>101.61870503597122</v>
          </cell>
          <cell r="W182">
            <v>137.22222222222223</v>
          </cell>
          <cell r="X182">
            <v>183.26923076923077</v>
          </cell>
          <cell r="Y182">
            <v>279.92831541218635</v>
          </cell>
          <cell r="Z182">
            <v>282.84671532846716</v>
          </cell>
          <cell r="AA182">
            <v>285.44520547945206</v>
          </cell>
          <cell r="AB182">
            <v>288.24476650563605</v>
          </cell>
          <cell r="AC182">
            <v>409.70394736842104</v>
          </cell>
          <cell r="AD182">
            <v>430.59884868421051</v>
          </cell>
          <cell r="AE182">
            <v>452.12879111842108</v>
          </cell>
          <cell r="AF182">
            <v>474.73523067434218</v>
          </cell>
          <cell r="AG182">
            <v>498.47199220805936</v>
          </cell>
          <cell r="AH182">
            <v>523.39559181846232</v>
          </cell>
          <cell r="AI182">
            <v>549.56537140938542</v>
          </cell>
          <cell r="AJ182">
            <v>577.04363997985467</v>
          </cell>
          <cell r="AK182">
            <v>605.89582197884738</v>
          </cell>
          <cell r="AL182">
            <v>636.19061307778975</v>
          </cell>
          <cell r="AM182">
            <v>668.00014373167926</v>
          </cell>
        </row>
        <row r="183">
          <cell r="Q183">
            <v>83.467741935483872</v>
          </cell>
          <cell r="R183">
            <v>89.358108108108098</v>
          </cell>
          <cell r="S183">
            <v>100</v>
          </cell>
          <cell r="T183">
            <v>106.84563758389262</v>
          </cell>
          <cell r="U183">
            <v>115.09677419354838</v>
          </cell>
          <cell r="V183">
            <v>121.05911330049261</v>
          </cell>
          <cell r="W183">
            <v>128.06183115338882</v>
          </cell>
          <cell r="X183">
            <v>136.56286043829294</v>
          </cell>
          <cell r="Y183">
            <v>149.17763157894737</v>
          </cell>
          <cell r="Z183">
            <v>165.75073601570168</v>
          </cell>
          <cell r="AA183">
            <v>175.07660878447396</v>
          </cell>
          <cell r="AB183">
            <v>176.25289128758675</v>
          </cell>
          <cell r="AC183">
            <v>181.21546961325967</v>
          </cell>
          <cell r="AD183">
            <v>190.45745856353591</v>
          </cell>
          <cell r="AE183">
            <v>199.98033149171272</v>
          </cell>
          <cell r="AF183">
            <v>209.97934806629834</v>
          </cell>
          <cell r="AG183">
            <v>220.47831546961328</v>
          </cell>
          <cell r="AH183">
            <v>231.50223124309395</v>
          </cell>
          <cell r="AI183">
            <v>243.07734280524866</v>
          </cell>
          <cell r="AJ183">
            <v>255.23120994551107</v>
          </cell>
          <cell r="AK183">
            <v>267.99277044278665</v>
          </cell>
          <cell r="AL183">
            <v>281.39240896492601</v>
          </cell>
          <cell r="AM183">
            <v>295.46202941317233</v>
          </cell>
        </row>
        <row r="184">
          <cell r="Q184">
            <v>86.746987951807228</v>
          </cell>
          <cell r="R184">
            <v>92.913385826771659</v>
          </cell>
          <cell r="S184">
            <v>100</v>
          </cell>
          <cell r="T184">
            <v>107.34463276836159</v>
          </cell>
          <cell r="U184">
            <v>114.58333333333333</v>
          </cell>
          <cell r="V184">
            <v>119.04761904761905</v>
          </cell>
          <cell r="W184">
            <v>127.36842105263158</v>
          </cell>
          <cell r="X184">
            <v>134.11214953271028</v>
          </cell>
          <cell r="Y184">
            <v>146</v>
          </cell>
          <cell r="Z184">
            <v>165.09433962264151</v>
          </cell>
          <cell r="AA184">
            <v>178.09523809523807</v>
          </cell>
          <cell r="AB184">
            <v>186.26609442060084</v>
          </cell>
          <cell r="AC184">
            <v>195.13888888888889</v>
          </cell>
          <cell r="AD184">
            <v>205.09097222222218</v>
          </cell>
          <cell r="AE184">
            <v>215.3455208333333</v>
          </cell>
          <cell r="AF184">
            <v>226.11279687499996</v>
          </cell>
          <cell r="AG184">
            <v>237.41843671874997</v>
          </cell>
          <cell r="AH184">
            <v>249.28935855468748</v>
          </cell>
          <cell r="AI184">
            <v>261.75382648242186</v>
          </cell>
          <cell r="AJ184">
            <v>274.84151780654298</v>
          </cell>
          <cell r="AK184">
            <v>288.58359369687014</v>
          </cell>
          <cell r="AL184">
            <v>303.01277338171366</v>
          </cell>
          <cell r="AM184">
            <v>318.16341205079937</v>
          </cell>
        </row>
        <row r="185">
          <cell r="Q185">
            <v>85.714285714285708</v>
          </cell>
          <cell r="R185">
            <v>92.05298013245033</v>
          </cell>
          <cell r="S185">
            <v>100</v>
          </cell>
          <cell r="T185">
            <v>107.59493670886076</v>
          </cell>
          <cell r="U185">
            <v>116.39344262295081</v>
          </cell>
          <cell r="V185">
            <v>121.11553784860558</v>
          </cell>
          <cell r="W185">
            <v>129.26829268292684</v>
          </cell>
          <cell r="X185">
            <v>136.17021276595744</v>
          </cell>
          <cell r="Y185">
            <v>148.85057471264366</v>
          </cell>
          <cell r="Z185">
            <v>167.90697674418604</v>
          </cell>
          <cell r="AA185">
            <v>181.09452736318408</v>
          </cell>
          <cell r="AB185">
            <v>189.32806324110672</v>
          </cell>
          <cell r="AC185">
            <v>198.59154929577466</v>
          </cell>
          <cell r="AD185">
            <v>208.71971830985916</v>
          </cell>
          <cell r="AE185">
            <v>219.15570422535214</v>
          </cell>
          <cell r="AF185">
            <v>230.11348943661974</v>
          </cell>
          <cell r="AG185">
            <v>241.61916390845073</v>
          </cell>
          <cell r="AH185">
            <v>253.70012210387327</v>
          </cell>
          <cell r="AI185">
            <v>266.38512820906692</v>
          </cell>
          <cell r="AJ185">
            <v>279.70438461952028</v>
          </cell>
          <cell r="AK185">
            <v>293.68960385049633</v>
          </cell>
          <cell r="AL185">
            <v>308.37408404302113</v>
          </cell>
          <cell r="AM185">
            <v>323.79278824517218</v>
          </cell>
        </row>
        <row r="186">
          <cell r="Q186">
            <v>86.403508771929822</v>
          </cell>
          <cell r="R186">
            <v>92.083333333333329</v>
          </cell>
          <cell r="S186">
            <v>100</v>
          </cell>
          <cell r="T186">
            <v>107.2992700729927</v>
          </cell>
          <cell r="U186">
            <v>115.98837209302326</v>
          </cell>
          <cell r="V186">
            <v>120.99056603773586</v>
          </cell>
          <cell r="W186">
            <v>129.22077922077921</v>
          </cell>
          <cell r="X186">
            <v>136.39053254437869</v>
          </cell>
          <cell r="Y186">
            <v>149.07975460122699</v>
          </cell>
          <cell r="Z186">
            <v>167.78947368421052</v>
          </cell>
          <cell r="AA186">
            <v>181.48936170212767</v>
          </cell>
          <cell r="AB186">
            <v>189.16876574307304</v>
          </cell>
          <cell r="AC186">
            <v>198.4924623115578</v>
          </cell>
          <cell r="AD186">
            <v>208.61557788944722</v>
          </cell>
          <cell r="AE186">
            <v>219.04635678391961</v>
          </cell>
          <cell r="AF186">
            <v>229.99867462311559</v>
          </cell>
          <cell r="AG186">
            <v>241.4986083542714</v>
          </cell>
          <cell r="AH186">
            <v>253.57353877198497</v>
          </cell>
          <cell r="AI186">
            <v>266.25221571058421</v>
          </cell>
          <cell r="AJ186">
            <v>279.56482649611343</v>
          </cell>
          <cell r="AK186">
            <v>293.54306782091913</v>
          </cell>
          <cell r="AL186">
            <v>308.22022121196511</v>
          </cell>
          <cell r="AM186">
            <v>323.63123227256335</v>
          </cell>
        </row>
        <row r="187">
          <cell r="Q187">
            <v>89.839572192513373</v>
          </cell>
          <cell r="R187">
            <v>95.407098121085596</v>
          </cell>
          <cell r="S187">
            <v>100</v>
          </cell>
          <cell r="T187">
            <v>103.84</v>
          </cell>
          <cell r="U187">
            <v>108.68167202572347</v>
          </cell>
          <cell r="V187">
            <v>112.62886597938144</v>
          </cell>
          <cell r="W187">
            <v>120.65573770491804</v>
          </cell>
          <cell r="X187">
            <v>120.73669849931787</v>
          </cell>
          <cell r="Y187">
            <v>127.08703374777974</v>
          </cell>
          <cell r="Z187">
            <v>130.48264182895849</v>
          </cell>
          <cell r="AA187">
            <v>148.15813117699909</v>
          </cell>
          <cell r="AB187">
            <v>144.65579710144928</v>
          </cell>
          <cell r="AC187">
            <v>144.04873477038424</v>
          </cell>
          <cell r="AD187">
            <v>144.9274320524836</v>
          </cell>
          <cell r="AE187">
            <v>145.81148938800374</v>
          </cell>
          <cell r="AF187">
            <v>146.70093947327055</v>
          </cell>
          <cell r="AG187">
            <v>147.59581520405749</v>
          </cell>
          <cell r="AH187">
            <v>148.49614967680225</v>
          </cell>
          <cell r="AI187">
            <v>149.40197618983075</v>
          </cell>
          <cell r="AJ187">
            <v>150.31332824458872</v>
          </cell>
          <cell r="AK187">
            <v>151.23023954688071</v>
          </cell>
          <cell r="AL187">
            <v>152.15274400811668</v>
          </cell>
          <cell r="AM187">
            <v>153.08087574656619</v>
          </cell>
        </row>
        <row r="188">
          <cell r="Q188">
            <v>100</v>
          </cell>
          <cell r="R188">
            <v>100</v>
          </cell>
          <cell r="S188">
            <v>100</v>
          </cell>
          <cell r="T188">
            <v>100</v>
          </cell>
          <cell r="U188">
            <v>100</v>
          </cell>
          <cell r="V188">
            <v>100</v>
          </cell>
          <cell r="W188">
            <v>100</v>
          </cell>
          <cell r="X188">
            <v>100</v>
          </cell>
          <cell r="Y188">
            <v>100</v>
          </cell>
          <cell r="Z188">
            <v>100</v>
          </cell>
          <cell r="AA188">
            <v>100</v>
          </cell>
          <cell r="AB188">
            <v>100</v>
          </cell>
          <cell r="AC188">
            <v>100</v>
          </cell>
          <cell r="AD188">
            <v>100.61</v>
          </cell>
          <cell r="AE188">
            <v>101.223721</v>
          </cell>
          <cell r="AF188">
            <v>101.84118569809999</v>
          </cell>
          <cell r="AG188">
            <v>102.4624169308584</v>
          </cell>
          <cell r="AH188">
            <v>103.08743767413664</v>
          </cell>
          <cell r="AI188">
            <v>103.71627104394886</v>
          </cell>
          <cell r="AJ188">
            <v>104.34894029731696</v>
          </cell>
          <cell r="AK188">
            <v>104.9854688331306</v>
          </cell>
          <cell r="AL188">
            <v>105.62588019301269</v>
          </cell>
          <cell r="AM188">
            <v>106.27019806219006</v>
          </cell>
        </row>
        <row r="189">
          <cell r="Q189">
            <v>88.405797101449281</v>
          </cell>
          <cell r="R189">
            <v>93.589743589743591</v>
          </cell>
          <cell r="S189">
            <v>100</v>
          </cell>
          <cell r="T189">
            <v>103.64583333333333</v>
          </cell>
          <cell r="U189">
            <v>108.19672131147541</v>
          </cell>
          <cell r="V189">
            <v>112.95546558704453</v>
          </cell>
          <cell r="W189">
            <v>118.18181818181819</v>
          </cell>
          <cell r="X189">
            <v>122.35294117647059</v>
          </cell>
          <cell r="Y189">
            <v>130.02915451895043</v>
          </cell>
          <cell r="Z189">
            <v>130.61728395061729</v>
          </cell>
          <cell r="AA189">
            <v>150.1577287066246</v>
          </cell>
          <cell r="AB189">
            <v>150.5952380952381</v>
          </cell>
          <cell r="AC189">
            <v>154.71698113207549</v>
          </cell>
          <cell r="AD189">
            <v>155.66075471698116</v>
          </cell>
          <cell r="AE189">
            <v>156.61028532075474</v>
          </cell>
          <cell r="AF189">
            <v>157.56560806121135</v>
          </cell>
          <cell r="AG189">
            <v>158.52675827038473</v>
          </cell>
          <cell r="AH189">
            <v>159.49377149583407</v>
          </cell>
          <cell r="AI189">
            <v>160.46668350195864</v>
          </cell>
          <cell r="AJ189">
            <v>161.44553027132059</v>
          </cell>
          <cell r="AK189">
            <v>162.43034800597567</v>
          </cell>
          <cell r="AL189">
            <v>163.42117312881211</v>
          </cell>
          <cell r="AM189">
            <v>164.41804228489787</v>
          </cell>
        </row>
        <row r="190">
          <cell r="Q190">
            <v>88.764044943820224</v>
          </cell>
          <cell r="R190">
            <v>93.333333333333329</v>
          </cell>
          <cell r="S190">
            <v>100</v>
          </cell>
          <cell r="T190">
            <v>103.94736842105263</v>
          </cell>
          <cell r="U190">
            <v>107.92951541850219</v>
          </cell>
          <cell r="V190">
            <v>112.71186440677967</v>
          </cell>
          <cell r="W190">
            <v>118.14671814671816</v>
          </cell>
          <cell r="X190">
            <v>122.25201072386058</v>
          </cell>
          <cell r="Y190">
            <v>130.25830258302582</v>
          </cell>
          <cell r="Z190">
            <v>130.80000000000001</v>
          </cell>
          <cell r="AA190">
            <v>150</v>
          </cell>
          <cell r="AB190">
            <v>150.4297994269341</v>
          </cell>
          <cell r="AC190">
            <v>154.54545454545453</v>
          </cell>
          <cell r="AD190">
            <v>155.4881818181818</v>
          </cell>
          <cell r="AE190">
            <v>156.43665972727271</v>
          </cell>
          <cell r="AF190">
            <v>157.39092335160908</v>
          </cell>
          <cell r="AG190">
            <v>158.35100798405389</v>
          </cell>
          <cell r="AH190">
            <v>159.31694913275663</v>
          </cell>
          <cell r="AI190">
            <v>160.28878252246645</v>
          </cell>
          <cell r="AJ190">
            <v>161.26654409585348</v>
          </cell>
          <cell r="AK190">
            <v>162.25027001483818</v>
          </cell>
          <cell r="AL190">
            <v>163.2399966619287</v>
          </cell>
          <cell r="AM190">
            <v>164.23576064156646</v>
          </cell>
        </row>
        <row r="191">
          <cell r="Q191">
            <v>92.156862745098039</v>
          </cell>
          <cell r="R191">
            <v>97.101449275362313</v>
          </cell>
          <cell r="S191">
            <v>100</v>
          </cell>
          <cell r="T191">
            <v>101.03092783505154</v>
          </cell>
          <cell r="U191">
            <v>103.73831775700934</v>
          </cell>
          <cell r="V191">
            <v>122.35294117647059</v>
          </cell>
          <cell r="W191">
            <v>131.73076923076923</v>
          </cell>
          <cell r="X191">
            <v>137.6543209876543</v>
          </cell>
          <cell r="Y191">
            <v>149.38271604938271</v>
          </cell>
          <cell r="Z191">
            <v>150</v>
          </cell>
          <cell r="AA191">
            <v>166.66666666666669</v>
          </cell>
          <cell r="AB191">
            <v>159.77011494252872</v>
          </cell>
          <cell r="AC191">
            <v>160</v>
          </cell>
          <cell r="AD191">
            <v>160.97600000000003</v>
          </cell>
          <cell r="AE191">
            <v>161.95795360000002</v>
          </cell>
          <cell r="AF191">
            <v>162.94589711696003</v>
          </cell>
          <cell r="AG191">
            <v>163.93986708937348</v>
          </cell>
          <cell r="AH191">
            <v>164.93990027861864</v>
          </cell>
          <cell r="AI191">
            <v>165.9460336703182</v>
          </cell>
          <cell r="AJ191">
            <v>166.95830447570714</v>
          </cell>
          <cell r="AK191">
            <v>167.97675013300895</v>
          </cell>
          <cell r="AL191">
            <v>169.00140830882032</v>
          </cell>
          <cell r="AM191">
            <v>170.03231689950411</v>
          </cell>
        </row>
        <row r="192">
          <cell r="Q192">
            <v>83.561643835616437</v>
          </cell>
          <cell r="R192">
            <v>91.867852604828457</v>
          </cell>
          <cell r="S192">
            <v>100</v>
          </cell>
          <cell r="T192">
            <v>104.70793374019181</v>
          </cell>
          <cell r="U192">
            <v>114.5435244161359</v>
          </cell>
          <cell r="V192">
            <v>118.30892143808256</v>
          </cell>
          <cell r="W192">
            <v>116.19256017505471</v>
          </cell>
          <cell r="X192">
            <v>131.19819140919367</v>
          </cell>
          <cell r="Y192">
            <v>140.84105488239487</v>
          </cell>
          <cell r="Z192">
            <v>142.40912330719885</v>
          </cell>
          <cell r="AA192">
            <v>152.99469294920394</v>
          </cell>
          <cell r="AB192">
            <v>167.09372892784896</v>
          </cell>
          <cell r="AC192">
            <v>157.70969362129583</v>
          </cell>
          <cell r="AD192">
            <v>158.67172275238573</v>
          </cell>
          <cell r="AE192">
            <v>159.63962026117528</v>
          </cell>
          <cell r="AF192">
            <v>160.61342194476845</v>
          </cell>
          <cell r="AG192">
            <v>161.59316381863152</v>
          </cell>
          <cell r="AH192">
            <v>162.57888211792516</v>
          </cell>
          <cell r="AI192">
            <v>163.57061329884451</v>
          </cell>
          <cell r="AJ192">
            <v>164.56839403996744</v>
          </cell>
          <cell r="AK192">
            <v>165.57226124361125</v>
          </cell>
          <cell r="AL192">
            <v>166.58225203719729</v>
          </cell>
          <cell r="AM192">
            <v>167.59840377462419</v>
          </cell>
        </row>
        <row r="193">
          <cell r="Q193">
            <v>65.17647058823529</v>
          </cell>
          <cell r="R193">
            <v>68.30601092896174</v>
          </cell>
          <cell r="S193">
            <v>100</v>
          </cell>
          <cell r="T193">
            <v>140</v>
          </cell>
          <cell r="U193">
            <v>114.78873239436621</v>
          </cell>
          <cell r="V193">
            <v>121.79487179487178</v>
          </cell>
          <cell r="W193">
            <v>132.8358208955224</v>
          </cell>
          <cell r="X193">
            <v>144.23076923076923</v>
          </cell>
          <cell r="Y193">
            <v>151.42857142857142</v>
          </cell>
          <cell r="Z193">
            <v>151.16959064327486</v>
          </cell>
          <cell r="AA193">
            <v>151.97287299630088</v>
          </cell>
          <cell r="AB193">
            <v>158.97435897435898</v>
          </cell>
          <cell r="AC193">
            <v>163.15789473684211</v>
          </cell>
          <cell r="AD193">
            <v>171.47894736842105</v>
          </cell>
          <cell r="AE193">
            <v>180.05289473684212</v>
          </cell>
          <cell r="AF193">
            <v>189.05553947368423</v>
          </cell>
          <cell r="AG193">
            <v>198.50831644736846</v>
          </cell>
          <cell r="AH193">
            <v>208.43373226973691</v>
          </cell>
          <cell r="AI193">
            <v>218.85541888322379</v>
          </cell>
          <cell r="AJ193">
            <v>229.79818982738499</v>
          </cell>
          <cell r="AK193">
            <v>241.28809931875423</v>
          </cell>
          <cell r="AL193">
            <v>253.35250428469192</v>
          </cell>
          <cell r="AM193">
            <v>266.02012949892651</v>
          </cell>
        </row>
        <row r="194">
          <cell r="Q194">
            <v>95.402298850574709</v>
          </cell>
          <cell r="R194">
            <v>105.33333333333333</v>
          </cell>
          <cell r="S194">
            <v>100</v>
          </cell>
          <cell r="T194">
            <v>97.9381443298969</v>
          </cell>
          <cell r="U194">
            <v>103.73134328358209</v>
          </cell>
          <cell r="V194">
            <v>107.79220779220779</v>
          </cell>
          <cell r="W194">
            <v>131.0344827586207</v>
          </cell>
          <cell r="X194">
            <v>142.30769230769232</v>
          </cell>
          <cell r="Y194">
            <v>125.30120481927712</v>
          </cell>
          <cell r="Z194">
            <v>36.55913978494624</v>
          </cell>
          <cell r="AA194">
            <v>90.425531914893625</v>
          </cell>
          <cell r="AB194">
            <v>95.522388059701484</v>
          </cell>
          <cell r="AC194">
            <v>174.30555555555557</v>
          </cell>
          <cell r="AD194">
            <v>183.19513888888889</v>
          </cell>
          <cell r="AE194">
            <v>192.35489583333333</v>
          </cell>
          <cell r="AF194">
            <v>201.972640625</v>
          </cell>
          <cell r="AG194">
            <v>212.07127265625002</v>
          </cell>
          <cell r="AH194">
            <v>222.67483628906254</v>
          </cell>
          <cell r="AI194">
            <v>233.80857810351569</v>
          </cell>
          <cell r="AJ194">
            <v>245.49900700869148</v>
          </cell>
          <cell r="AK194">
            <v>257.77395735912609</v>
          </cell>
          <cell r="AL194">
            <v>270.66265522708238</v>
          </cell>
          <cell r="AM194">
            <v>284.19578798843651</v>
          </cell>
        </row>
        <row r="195">
          <cell r="Q195">
            <v>84.615384615384613</v>
          </cell>
          <cell r="R195">
            <v>92.222222222222229</v>
          </cell>
          <cell r="S195">
            <v>100</v>
          </cell>
          <cell r="T195">
            <v>106.78733031674209</v>
          </cell>
          <cell r="U195">
            <v>114.16309012875536</v>
          </cell>
          <cell r="V195">
            <v>78.516624040920718</v>
          </cell>
          <cell r="W195">
            <v>40.133779264214049</v>
          </cell>
          <cell r="X195">
            <v>-111.59420289855073</v>
          </cell>
          <cell r="Y195">
            <v>129.01960784313727</v>
          </cell>
          <cell r="Z195">
            <v>-230.29411764705881</v>
          </cell>
          <cell r="AA195">
            <v>16</v>
          </cell>
          <cell r="AB195">
            <v>-0.14025245441795231</v>
          </cell>
          <cell r="AC195">
            <v>-0.14025245441795231</v>
          </cell>
          <cell r="AD195">
            <v>-0.14740532959326788</v>
          </cell>
          <cell r="AE195">
            <v>-0.15477559607293129</v>
          </cell>
          <cell r="AF195">
            <v>-0.16251437587657785</v>
          </cell>
          <cell r="AG195">
            <v>-0.17064009467040675</v>
          </cell>
          <cell r="AH195">
            <v>-0.17917209940392706</v>
          </cell>
          <cell r="AI195">
            <v>-0.18813070437412341</v>
          </cell>
          <cell r="AJ195">
            <v>-0.19753723959282959</v>
          </cell>
          <cell r="AK195">
            <v>-0.20741410157247109</v>
          </cell>
          <cell r="AL195">
            <v>-0.21778480665109465</v>
          </cell>
          <cell r="AM195">
            <v>-0.22867404698364935</v>
          </cell>
        </row>
        <row r="196">
          <cell r="E196">
            <v>26.902173913043477</v>
          </cell>
          <cell r="F196">
            <v>34.699067533201472</v>
          </cell>
          <cell r="G196">
            <v>37.392303273980474</v>
          </cell>
          <cell r="H196">
            <v>39.687943262411345</v>
          </cell>
          <cell r="I196">
            <v>35.745734727572923</v>
          </cell>
          <cell r="J196">
            <v>45.541731467081384</v>
          </cell>
          <cell r="K196">
            <v>51.593671176335697</v>
          </cell>
          <cell r="L196">
            <v>54.188481675392673</v>
          </cell>
          <cell r="M196">
            <v>69.412901667069335</v>
          </cell>
          <cell r="N196">
            <v>108.96704689480354</v>
          </cell>
          <cell r="O196">
            <v>118.66493843162671</v>
          </cell>
          <cell r="P196">
            <v>130.11571254567599</v>
          </cell>
          <cell r="Q196">
            <v>84.543325526932094</v>
          </cell>
          <cell r="R196">
            <v>91.411378555798677</v>
          </cell>
          <cell r="S196">
            <v>100</v>
          </cell>
          <cell r="T196">
            <v>107.49775516312481</v>
          </cell>
          <cell r="U196">
            <v>113.64659538548113</v>
          </cell>
          <cell r="V196">
            <v>118.9686684073107</v>
          </cell>
          <cell r="W196">
            <v>126.72680412371133</v>
          </cell>
          <cell r="X196">
            <v>138.09707241910633</v>
          </cell>
          <cell r="Y196">
            <v>148.40437656713016</v>
          </cell>
          <cell r="Z196">
            <v>170.79560155239329</v>
          </cell>
          <cell r="AA196">
            <v>178.69945810754481</v>
          </cell>
          <cell r="AB196">
            <v>185.61434193266288</v>
          </cell>
          <cell r="AC196">
            <v>192.89611860393288</v>
          </cell>
          <cell r="AD196">
            <v>189.43369836164453</v>
          </cell>
          <cell r="AE196">
            <v>199.89151480730177</v>
          </cell>
          <cell r="AF196">
            <v>210.30361299424013</v>
          </cell>
          <cell r="AG196">
            <v>222.51262541313906</v>
          </cell>
          <cell r="AH196">
            <v>236.7699529719134</v>
          </cell>
          <cell r="AI196">
            <v>251.49140904293264</v>
          </cell>
          <cell r="AJ196">
            <v>268.48563584024066</v>
          </cell>
          <cell r="AK196">
            <v>288.01414469985883</v>
          </cell>
          <cell r="AL196">
            <v>310.46626087021963</v>
          </cell>
          <cell r="AM196">
            <v>336.43052856929182</v>
          </cell>
        </row>
        <row r="197">
          <cell r="N197">
            <v>82.751091703056773</v>
          </cell>
          <cell r="O197">
            <v>96.991150442477874</v>
          </cell>
          <cell r="P197">
            <v>108.0241587575496</v>
          </cell>
          <cell r="Q197">
            <v>84.641638225255974</v>
          </cell>
          <cell r="R197">
            <v>91.877729257641931</v>
          </cell>
          <cell r="S197">
            <v>100</v>
          </cell>
          <cell r="T197">
            <v>107.07376058041112</v>
          </cell>
          <cell r="U197">
            <v>114.8</v>
          </cell>
          <cell r="V197">
            <v>120.47531992687385</v>
          </cell>
          <cell r="W197">
            <v>127.19194312796209</v>
          </cell>
          <cell r="X197">
            <v>136.22611464968153</v>
          </cell>
          <cell r="Y197">
            <v>146.61791590493601</v>
          </cell>
          <cell r="Z197">
            <v>154.17582417582418</v>
          </cell>
          <cell r="AA197">
            <v>154.89467162329615</v>
          </cell>
          <cell r="AB197">
            <v>154.92487479131887</v>
          </cell>
          <cell r="AC197">
            <v>156.3173359451518</v>
          </cell>
          <cell r="AD197">
            <v>167.05633692458372</v>
          </cell>
          <cell r="AE197">
            <v>178.53310727130261</v>
          </cell>
          <cell r="AF197">
            <v>190.79833174084109</v>
          </cell>
          <cell r="AG197">
            <v>203.90617713143686</v>
          </cell>
          <cell r="AH197">
            <v>217.91453150036656</v>
          </cell>
          <cell r="AI197">
            <v>232.88525981444178</v>
          </cell>
          <cell r="AJ197">
            <v>248.88447716369393</v>
          </cell>
          <cell r="AK197">
            <v>265.98284074483968</v>
          </cell>
          <cell r="AL197">
            <v>284.25586190401015</v>
          </cell>
          <cell r="AM197">
            <v>303.78423961681563</v>
          </cell>
        </row>
        <row r="198">
          <cell r="Q198">
            <v>81.578947368421055</v>
          </cell>
          <cell r="R198">
            <v>90.6515580736544</v>
          </cell>
          <cell r="S198">
            <v>100</v>
          </cell>
          <cell r="T198">
            <v>108.45771144278606</v>
          </cell>
          <cell r="U198">
            <v>115.65995525727068</v>
          </cell>
          <cell r="V198">
            <v>128.27102803738316</v>
          </cell>
          <cell r="W198">
            <v>138.73085339168489</v>
          </cell>
          <cell r="X198">
            <v>146.07329842931938</v>
          </cell>
          <cell r="Y198">
            <v>137.65957446808511</v>
          </cell>
          <cell r="Z198">
            <v>169.80461811722913</v>
          </cell>
          <cell r="AA198">
            <v>168.13186813186815</v>
          </cell>
          <cell r="AB198">
            <v>168.91891891891893</v>
          </cell>
          <cell r="AC198">
            <v>174.50980392156862</v>
          </cell>
          <cell r="AD198">
            <v>186.49862745098039</v>
          </cell>
          <cell r="AE198">
            <v>199.31108315686274</v>
          </cell>
          <cell r="AF198">
            <v>213.00375456973921</v>
          </cell>
          <cell r="AG198">
            <v>227.6371125086803</v>
          </cell>
          <cell r="AH198">
            <v>243.27578213802667</v>
          </cell>
          <cell r="AI198">
            <v>259.98882837090912</v>
          </cell>
          <cell r="AJ198">
            <v>277.85006087999056</v>
          </cell>
          <cell r="AK198">
            <v>296.93836006244589</v>
          </cell>
          <cell r="AL198">
            <v>317.33802539873591</v>
          </cell>
          <cell r="AM198">
            <v>339.13914774362905</v>
          </cell>
        </row>
        <row r="199"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>
            <v>100</v>
          </cell>
          <cell r="O199">
            <v>113.00884955752213</v>
          </cell>
          <cell r="P199">
            <v>125.62553925798102</v>
          </cell>
          <cell r="Q199">
            <v>83.949801849405546</v>
          </cell>
          <cell r="R199">
            <v>91.588785046728972</v>
          </cell>
          <cell r="S199">
            <v>100</v>
          </cell>
          <cell r="T199">
            <v>107.3443579766537</v>
          </cell>
          <cell r="U199">
            <v>114.9974319465845</v>
          </cell>
          <cell r="V199">
            <v>122.08796520057999</v>
          </cell>
          <cell r="W199">
            <v>129.65034965034965</v>
          </cell>
          <cell r="X199">
            <v>138.52258852258851</v>
          </cell>
          <cell r="Y199">
            <v>143.92583120204603</v>
          </cell>
          <cell r="Z199">
            <v>160.14935505770535</v>
          </cell>
          <cell r="AA199">
            <v>159.00939368061486</v>
          </cell>
          <cell r="AB199">
            <v>158.22704081632654</v>
          </cell>
          <cell r="AC199">
            <v>161.03047895500725</v>
          </cell>
          <cell r="AD199">
            <v>186.49862745098039</v>
          </cell>
          <cell r="AE199">
            <v>199.31108315686274</v>
          </cell>
          <cell r="AF199">
            <v>213.00375456973924</v>
          </cell>
          <cell r="AG199">
            <v>227.63711250868027</v>
          </cell>
          <cell r="AH199">
            <v>243.2757821380267</v>
          </cell>
          <cell r="AI199">
            <v>259.98882837090906</v>
          </cell>
          <cell r="AJ199">
            <v>277.85006087999056</v>
          </cell>
          <cell r="AK199">
            <v>296.93836006244589</v>
          </cell>
          <cell r="AL199">
            <v>317.33802539873591</v>
          </cell>
          <cell r="AM199">
            <v>339.13914774362905</v>
          </cell>
        </row>
        <row r="200">
          <cell r="E200">
            <v>35.054347826086953</v>
          </cell>
          <cell r="F200">
            <v>41.6219270980503</v>
          </cell>
          <cell r="G200">
            <v>43.767949454336588</v>
          </cell>
          <cell r="H200">
            <v>47.602836879432623</v>
          </cell>
          <cell r="I200">
            <v>44.744083654375345</v>
          </cell>
          <cell r="J200">
            <v>55.987558320373253</v>
          </cell>
          <cell r="K200">
            <v>62.416876863104797</v>
          </cell>
          <cell r="L200">
            <v>68.348405521180382</v>
          </cell>
          <cell r="M200">
            <v>84.513167431746794</v>
          </cell>
          <cell r="N200">
            <v>100.66306483300589</v>
          </cell>
          <cell r="O200">
            <v>110.74478178368122</v>
          </cell>
          <cell r="P200">
            <v>121.94463200540176</v>
          </cell>
          <cell r="Q200">
            <v>84.395006402048651</v>
          </cell>
          <cell r="R200">
            <v>91.421076994291013</v>
          </cell>
          <cell r="S200">
            <v>100</v>
          </cell>
          <cell r="T200">
            <v>107.49022482893452</v>
          </cell>
          <cell r="U200">
            <v>113.90924131411013</v>
          </cell>
          <cell r="V200">
            <v>119.6334503950834</v>
          </cell>
          <cell r="W200">
            <v>127.41341991341993</v>
          </cell>
          <cell r="X200">
            <v>138.38775976250287</v>
          </cell>
          <cell r="Y200">
            <v>147.86404739632056</v>
          </cell>
          <cell r="Z200">
            <v>170.66931085770946</v>
          </cell>
          <cell r="AA200">
            <v>178.25271470878579</v>
          </cell>
          <cell r="AB200">
            <v>183.61111111111111</v>
          </cell>
          <cell r="AC200">
            <v>191.31516021042563</v>
          </cell>
          <cell r="AD200">
            <v>191.54913825527305</v>
          </cell>
          <cell r="AE200">
            <v>202.55714251987143</v>
          </cell>
          <cell r="AF200">
            <v>215.33670497805687</v>
          </cell>
          <cell r="AG200">
            <v>227.90201392753397</v>
          </cell>
          <cell r="AH200">
            <v>244.67323625242759</v>
          </cell>
          <cell r="AI200">
            <v>259.53256929257753</v>
          </cell>
          <cell r="AJ200">
            <v>279.35622419163121</v>
          </cell>
          <cell r="AK200">
            <v>298.98379177694318</v>
          </cell>
          <cell r="AL200">
            <v>324.70325051242293</v>
          </cell>
          <cell r="AM200">
            <v>350.74049611243458</v>
          </cell>
        </row>
        <row r="202">
          <cell r="E202">
            <v>122.10971933456842</v>
          </cell>
          <cell r="F202">
            <v>94.159996789973306</v>
          </cell>
          <cell r="G202">
            <v>94.372284312842794</v>
          </cell>
          <cell r="H202">
            <v>98.096696843227022</v>
          </cell>
          <cell r="I202">
            <v>126.90332874959313</v>
          </cell>
          <cell r="J202">
            <v>114.19671485682561</v>
          </cell>
          <cell r="K202">
            <v>102.27713376792164</v>
          </cell>
          <cell r="L202">
            <v>124.47432019965625</v>
          </cell>
          <cell r="M202">
            <v>122.23525030555847</v>
          </cell>
          <cell r="N202">
            <v>91.21571898090049</v>
          </cell>
          <cell r="O202">
            <v>66.009851999539023</v>
          </cell>
          <cell r="P202">
            <v>65.062994383442813</v>
          </cell>
          <cell r="Q202">
            <v>95.894322105573522</v>
          </cell>
          <cell r="R202">
            <v>108.00193471045421</v>
          </cell>
          <cell r="S202">
            <v>99.999159006454136</v>
          </cell>
          <cell r="T202">
            <v>110.75751926165218</v>
          </cell>
          <cell r="U202">
            <v>112.84775372171137</v>
          </cell>
          <cell r="V202">
            <v>119.11133224718367</v>
          </cell>
          <cell r="W202">
            <v>117.75906772259994</v>
          </cell>
          <cell r="X202">
            <v>123.77809989268927</v>
          </cell>
          <cell r="Y202">
            <v>137.69377727812375</v>
          </cell>
          <cell r="Z202">
            <v>134.55975195563471</v>
          </cell>
          <cell r="AA202">
            <v>113.80370527650705</v>
          </cell>
          <cell r="AB202">
            <v>105.37297008241877</v>
          </cell>
          <cell r="AC202">
            <v>112.52181266056618</v>
          </cell>
          <cell r="AD202">
            <v>126.06395513390216</v>
          </cell>
          <cell r="AE202">
            <v>125.99081267088323</v>
          </cell>
          <cell r="AF202">
            <v>124.00378844404634</v>
          </cell>
          <cell r="AG202">
            <v>121.52215603794731</v>
          </cell>
          <cell r="AH202">
            <v>118.51407739361551</v>
          </cell>
          <cell r="AI202">
            <v>116.00644605531592</v>
          </cell>
          <cell r="AJ202">
            <v>113.04189038892748</v>
          </cell>
          <cell r="AK202">
            <v>109.68137272543652</v>
          </cell>
          <cell r="AL202">
            <v>105.9606255122483</v>
          </cell>
          <cell r="AM202">
            <v>101.87732018919561</v>
          </cell>
        </row>
        <row r="203"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>
            <v>96.604473741247361</v>
          </cell>
          <cell r="O203">
            <v>96.640152993415001</v>
          </cell>
          <cell r="P203">
            <v>103.3854312932925</v>
          </cell>
          <cell r="Q203">
            <v>98.840549433331603</v>
          </cell>
          <cell r="R203">
            <v>100.53337276939762</v>
          </cell>
          <cell r="S203">
            <v>100.08510638297872</v>
          </cell>
          <cell r="T203">
            <v>102.61101923775935</v>
          </cell>
          <cell r="U203">
            <v>103.51930140503048</v>
          </cell>
          <cell r="V203">
            <v>100.93341202874309</v>
          </cell>
          <cell r="W203">
            <v>102.90903747665996</v>
          </cell>
          <cell r="X203">
            <v>105.96931909508068</v>
          </cell>
          <cell r="Y203">
            <v>110.05389974269302</v>
          </cell>
          <cell r="Z203">
            <v>129.70348720465853</v>
          </cell>
          <cell r="AA203">
            <v>66.916659697778329</v>
          </cell>
          <cell r="AB203">
            <v>108.76506163715223</v>
          </cell>
          <cell r="AC203">
            <v>78.009719643532677</v>
          </cell>
          <cell r="AD203">
            <v>67.767632070223371</v>
          </cell>
          <cell r="AE203">
            <v>63.798086110088661</v>
          </cell>
          <cell r="AF203">
            <v>60.061059638214829</v>
          </cell>
          <cell r="AG203">
            <v>56.54293263030592</v>
          </cell>
          <cell r="AH203">
            <v>53.230882866427208</v>
          </cell>
          <cell r="AI203">
            <v>50.112839198944926</v>
          </cell>
          <cell r="AJ203">
            <v>47.177437557835198</v>
          </cell>
          <cell r="AK203">
            <v>44.41397953301955</v>
          </cell>
          <cell r="AL203">
            <v>41.812393382774374</v>
          </cell>
          <cell r="AM203">
            <v>39.363197326105826</v>
          </cell>
        </row>
        <row r="204">
          <cell r="E204">
            <v>93.967588153193063</v>
          </cell>
          <cell r="F204">
            <v>79.642309961371211</v>
          </cell>
          <cell r="G204">
            <v>82.089551191238428</v>
          </cell>
          <cell r="H204">
            <v>83.252462368806732</v>
          </cell>
          <cell r="I204">
            <v>102.70718845026168</v>
          </cell>
          <cell r="J204">
            <v>93.977341901436446</v>
          </cell>
          <cell r="K204">
            <v>86.274988983809308</v>
          </cell>
          <cell r="L204">
            <v>99.849815643529993</v>
          </cell>
          <cell r="M204">
            <v>100.84668245680358</v>
          </cell>
          <cell r="N204">
            <v>98.433390951986482</v>
          </cell>
          <cell r="O204">
            <v>72.988683957005946</v>
          </cell>
          <cell r="P204">
            <v>72.314483317704941</v>
          </cell>
          <cell r="Q204">
            <v>96.41810602978903</v>
          </cell>
          <cell r="R204">
            <v>106.6791141916229</v>
          </cell>
          <cell r="S204">
            <v>100.01521946564887</v>
          </cell>
          <cell r="T204">
            <v>109.01954897774471</v>
          </cell>
          <cell r="U204">
            <v>110.65093580498728</v>
          </cell>
          <cell r="V204">
            <v>114.78545504034878</v>
          </cell>
          <cell r="W204">
            <v>114.2601950287624</v>
          </cell>
          <cell r="X204">
            <v>120.49042955339615</v>
          </cell>
          <cell r="Y204">
            <v>132.32174951889641</v>
          </cell>
          <cell r="Z204">
            <v>132.10185002805756</v>
          </cell>
          <cell r="AA204">
            <v>95.909859572992701</v>
          </cell>
          <cell r="AB204">
            <v>103.94843697645632</v>
          </cell>
          <cell r="AC204">
            <v>102.37914210875122</v>
          </cell>
          <cell r="AD204">
            <v>112.28108175675014</v>
          </cell>
          <cell r="AE204">
            <v>111.30244805710996</v>
          </cell>
          <cell r="AF204">
            <v>107.99239877309232</v>
          </cell>
          <cell r="AG204">
            <v>105.38246278690298</v>
          </cell>
          <cell r="AH204">
            <v>101.46265718421579</v>
          </cell>
          <cell r="AI204">
            <v>99.09638966994072</v>
          </cell>
          <cell r="AJ204">
            <v>95.444369117225975</v>
          </cell>
          <cell r="AK204">
            <v>92.513263530777479</v>
          </cell>
          <cell r="AL204">
            <v>88.426558601500972</v>
          </cell>
          <cell r="AM204">
            <v>85.030533556806304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253.93267112433813</v>
          </cell>
          <cell r="O207">
            <v>316.15314414845074</v>
          </cell>
          <cell r="P207">
            <v>339.76037952181093</v>
          </cell>
          <cell r="Q207">
            <v>70.385036753230068</v>
          </cell>
          <cell r="R207">
            <v>89.275656190154322</v>
          </cell>
          <cell r="S207">
            <v>95.054945054945051</v>
          </cell>
          <cell r="T207">
            <v>99.534883720930253</v>
          </cell>
          <cell r="U207">
            <v>128.88888888888889</v>
          </cell>
          <cell r="V207">
            <v>81.721207738202864</v>
          </cell>
          <cell r="W207">
            <v>75.450081833060551</v>
          </cell>
          <cell r="X207">
            <v>55.524389015952472</v>
          </cell>
          <cell r="Y207">
            <v>63.488372093023258</v>
          </cell>
          <cell r="Z207">
            <v>82.509505703422064</v>
          </cell>
          <cell r="AA207">
            <v>126.59574468085106</v>
          </cell>
          <cell r="AB207">
            <v>90.969554127788712</v>
          </cell>
          <cell r="AC207">
            <v>95.60313217171668</v>
          </cell>
          <cell r="AD207">
            <v>158.67328995788355</v>
          </cell>
          <cell r="AE207">
            <v>182.52163735360068</v>
          </cell>
          <cell r="AF207">
            <v>207.36649799093689</v>
          </cell>
          <cell r="AG207">
            <v>236.79094562879754</v>
          </cell>
          <cell r="AH207">
            <v>263.77902372474318</v>
          </cell>
          <cell r="AI207">
            <v>295.58257558337959</v>
          </cell>
          <cell r="AJ207">
            <v>330.51740209047455</v>
          </cell>
          <cell r="AK207">
            <v>371.27934807623114</v>
          </cell>
          <cell r="AL207">
            <v>415.37818338767227</v>
          </cell>
          <cell r="AM207">
            <v>465.14847236434548</v>
          </cell>
        </row>
        <row r="208"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>
            <v>253.93267112433813</v>
          </cell>
          <cell r="O208">
            <v>316.15314414845074</v>
          </cell>
          <cell r="P208">
            <v>339.76037952181093</v>
          </cell>
          <cell r="Q208">
            <v>44.373175344427651</v>
          </cell>
          <cell r="R208">
            <v>56.325335135744055</v>
          </cell>
          <cell r="S208">
            <v>62.362637362637358</v>
          </cell>
          <cell r="T208">
            <v>64.651162790697683</v>
          </cell>
          <cell r="U208">
            <v>83.555555555555557</v>
          </cell>
          <cell r="V208">
            <v>70.873259808352927</v>
          </cell>
          <cell r="W208">
            <v>59.738134206219307</v>
          </cell>
          <cell r="X208">
            <v>42.146751247860294</v>
          </cell>
          <cell r="Y208">
            <v>31.046511627906977</v>
          </cell>
          <cell r="Z208">
            <v>43.821292775665398</v>
          </cell>
          <cell r="AA208">
            <v>63.696808510638299</v>
          </cell>
          <cell r="AB208">
            <v>72.682659090175306</v>
          </cell>
          <cell r="AC208">
            <v>72.40761813661166</v>
          </cell>
          <cell r="AD208">
            <v>79.27867931734167</v>
          </cell>
          <cell r="AE208">
            <v>90.214743860914723</v>
          </cell>
          <cell r="AF208">
            <v>106.27344117559267</v>
          </cell>
          <cell r="AG208">
            <v>124.38753025696705</v>
          </cell>
          <cell r="AH208">
            <v>142.79843643576118</v>
          </cell>
          <cell r="AI208">
            <v>165.04606135442754</v>
          </cell>
          <cell r="AJ208">
            <v>189.36449958980219</v>
          </cell>
          <cell r="AK208">
            <v>218.9543116832161</v>
          </cell>
          <cell r="AL208">
            <v>253.83610166250551</v>
          </cell>
          <cell r="AM208">
            <v>293.48405133421147</v>
          </cell>
        </row>
        <row r="209"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>
            <v>3.3662408881979595</v>
          </cell>
          <cell r="R209">
            <v>5.9141601892531259</v>
          </cell>
          <cell r="S209">
            <v>6.3186813186813184</v>
          </cell>
          <cell r="T209">
            <v>6.279069767441861</v>
          </cell>
          <cell r="U209">
            <v>5.333333333333333</v>
          </cell>
          <cell r="V209">
            <v>1.2655939251491592</v>
          </cell>
          <cell r="W209">
            <v>0.98199672667757765</v>
          </cell>
          <cell r="X209">
            <v>0.57538226959536243</v>
          </cell>
          <cell r="Y209">
            <v>0.58139534883720934</v>
          </cell>
          <cell r="Z209">
            <v>0.47528517110266161</v>
          </cell>
          <cell r="AA209">
            <v>0.66489361702127658</v>
          </cell>
          <cell r="AB209">
            <v>1.8596842411132275</v>
          </cell>
          <cell r="AC209">
            <v>1.7239909080145635</v>
          </cell>
          <cell r="AD209">
            <v>1.8119144443233062</v>
          </cell>
          <cell r="AE209">
            <v>1.9025101665394715</v>
          </cell>
          <cell r="AF209">
            <v>1.997635674866445</v>
          </cell>
          <cell r="AG209">
            <v>2.0975174586097669</v>
          </cell>
          <cell r="AH209">
            <v>2.2023933315402555</v>
          </cell>
          <cell r="AI209">
            <v>2.3125129981172683</v>
          </cell>
          <cell r="AJ209">
            <v>2.4281386480231317</v>
          </cell>
          <cell r="AK209">
            <v>2.5495455804242884</v>
          </cell>
          <cell r="AL209">
            <v>2.6770228594455032</v>
          </cell>
          <cell r="AM209">
            <v>2.810874002417779</v>
          </cell>
        </row>
        <row r="210"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>
            <v>22.645620520604457</v>
          </cell>
          <cell r="R210">
            <v>27.036160865157147</v>
          </cell>
          <cell r="S210">
            <v>26.373626373626372</v>
          </cell>
          <cell r="T210">
            <v>28.604651162790699</v>
          </cell>
          <cell r="U210">
            <v>40</v>
          </cell>
          <cell r="V210">
            <v>9.5823540047007771</v>
          </cell>
          <cell r="W210">
            <v>14.729950900163665</v>
          </cell>
          <cell r="X210">
            <v>12.802255498496814</v>
          </cell>
          <cell r="Y210">
            <v>31.86046511627907</v>
          </cell>
          <cell r="Z210">
            <v>38.212927756653997</v>
          </cell>
          <cell r="AA210">
            <v>62.234042553191493</v>
          </cell>
          <cell r="AB210">
            <v>16.427210796500177</v>
          </cell>
          <cell r="AC210">
            <v>21.471523127090471</v>
          </cell>
          <cell r="AD210">
            <v>77.582696196218578</v>
          </cell>
          <cell r="AE210">
            <v>90.404383326146473</v>
          </cell>
          <cell r="AF210">
            <v>99.095421140477782</v>
          </cell>
          <cell r="AG210">
            <v>110.30589791322073</v>
          </cell>
          <cell r="AH210">
            <v>118.77819395744174</v>
          </cell>
          <cell r="AI210">
            <v>128.2240012308348</v>
          </cell>
          <cell r="AJ210">
            <v>138.72476385264926</v>
          </cell>
          <cell r="AK210">
            <v>149.77549081259073</v>
          </cell>
          <cell r="AL210">
            <v>158.86505886572129</v>
          </cell>
          <cell r="AM210">
            <v>168.85354702771625</v>
          </cell>
        </row>
        <row r="211"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>
            <v>22.339598621677368</v>
          </cell>
          <cell r="R211">
            <v>23.938267432691223</v>
          </cell>
          <cell r="S211">
            <v>26.098901098901099</v>
          </cell>
          <cell r="T211">
            <v>40</v>
          </cell>
          <cell r="U211">
            <v>38.222222222222221</v>
          </cell>
          <cell r="V211">
            <v>35.798228168504792</v>
          </cell>
          <cell r="W211">
            <v>32.242225859247135</v>
          </cell>
          <cell r="X211">
            <v>28.193731210172757</v>
          </cell>
          <cell r="Y211">
            <v>24.069767441860467</v>
          </cell>
          <cell r="Z211">
            <v>15.114068441064639</v>
          </cell>
          <cell r="AA211">
            <v>32.047872340425535</v>
          </cell>
          <cell r="AB211">
            <v>37.813579569302291</v>
          </cell>
          <cell r="AC211">
            <v>38.711432207236108</v>
          </cell>
          <cell r="AD211">
            <v>37.080175866810052</v>
          </cell>
          <cell r="AE211">
            <v>44.13430911608269</v>
          </cell>
          <cell r="AF211">
            <v>47.589867821191987</v>
          </cell>
          <cell r="AG211">
            <v>53.458430051944383</v>
          </cell>
          <cell r="AH211">
            <v>59.310117709372186</v>
          </cell>
          <cell r="AI211">
            <v>65.428609987500252</v>
          </cell>
          <cell r="AJ211">
            <v>73.966496113382306</v>
          </cell>
          <cell r="AK211">
            <v>85.327328934286982</v>
          </cell>
          <cell r="AL211">
            <v>99.215135814554429</v>
          </cell>
          <cell r="AM211">
            <v>119.43773006552284</v>
          </cell>
        </row>
        <row r="212"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>
            <v>135.87372312362675</v>
          </cell>
          <cell r="R212">
            <v>162.49859186662161</v>
          </cell>
          <cell r="S212">
            <v>154.39560439560438</v>
          </cell>
          <cell r="T212">
            <v>164.65116279069767</v>
          </cell>
          <cell r="U212">
            <v>186.66666666666666</v>
          </cell>
          <cell r="V212">
            <v>158.38003977580908</v>
          </cell>
          <cell r="W212">
            <v>144.8445171849427</v>
          </cell>
          <cell r="X212">
            <v>128.45409168716466</v>
          </cell>
          <cell r="Y212">
            <v>122.09302325581396</v>
          </cell>
          <cell r="Z212">
            <v>90.874524714828894</v>
          </cell>
          <cell r="AA212">
            <v>146.27659574468086</v>
          </cell>
          <cell r="AB212">
            <v>209.67939818551642</v>
          </cell>
          <cell r="AC212">
            <v>259.53899487928339</v>
          </cell>
          <cell r="AD212">
            <v>180.54550928207357</v>
          </cell>
          <cell r="AE212">
            <v>213.57303826048971</v>
          </cell>
          <cell r="AF212">
            <v>229.75200188885384</v>
          </cell>
          <cell r="AG212">
            <v>257.22867439965432</v>
          </cell>
          <cell r="AH212">
            <v>284.62633997370131</v>
          </cell>
          <cell r="AI212">
            <v>313.2731876981793</v>
          </cell>
          <cell r="AJ212">
            <v>353.24766386306641</v>
          </cell>
          <cell r="AK212">
            <v>406.43920731031568</v>
          </cell>
          <cell r="AL212">
            <v>471.46207092463357</v>
          </cell>
          <cell r="AM212">
            <v>566.14447825107311</v>
          </cell>
        </row>
        <row r="213"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>
            <v>55.0839418068757</v>
          </cell>
          <cell r="R213">
            <v>37.456347865269798</v>
          </cell>
          <cell r="S213">
            <v>31.043956043956044</v>
          </cell>
          <cell r="T213">
            <v>37.674418604651166</v>
          </cell>
          <cell r="U213">
            <v>39.111111111111114</v>
          </cell>
          <cell r="V213">
            <v>26.577472428132346</v>
          </cell>
          <cell r="W213">
            <v>31.096563011456627</v>
          </cell>
          <cell r="X213">
            <v>21.864526244623772</v>
          </cell>
          <cell r="Y213">
            <v>19.418604651162791</v>
          </cell>
          <cell r="Z213">
            <v>15.589353612167301</v>
          </cell>
          <cell r="AA213">
            <v>21.941489361702128</v>
          </cell>
          <cell r="AB213">
            <v>89.729764633713231</v>
          </cell>
          <cell r="AC213">
            <v>96.073311510266123</v>
          </cell>
          <cell r="AD213">
            <v>131.63145030685931</v>
          </cell>
          <cell r="AE213">
            <v>192.81089766576306</v>
          </cell>
          <cell r="AF213">
            <v>294.50449103784052</v>
          </cell>
          <cell r="AG213">
            <v>477.8696673727311</v>
          </cell>
          <cell r="AH213">
            <v>828.3875334450488</v>
          </cell>
          <cell r="AI213">
            <v>1212.3839521507052</v>
          </cell>
          <cell r="AJ213">
            <v>1855.0861487661793</v>
          </cell>
          <cell r="AK213">
            <v>2888.3659871069858</v>
          </cell>
          <cell r="AL213">
            <v>4541.5751091720531</v>
          </cell>
          <cell r="AM213">
            <v>7175.0464149528634</v>
          </cell>
        </row>
        <row r="214"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>
            <v>15.913138744208537</v>
          </cell>
          <cell r="R214">
            <v>14.926213810972175</v>
          </cell>
          <cell r="S214">
            <v>10.164835164835164</v>
          </cell>
          <cell r="T214">
            <v>10.465116279069768</v>
          </cell>
          <cell r="U214">
            <v>10.666666666666666</v>
          </cell>
          <cell r="V214">
            <v>6.5087687579099622</v>
          </cell>
          <cell r="W214">
            <v>4.9099836333878883</v>
          </cell>
          <cell r="X214">
            <v>6.3292049655489864</v>
          </cell>
          <cell r="Y214">
            <v>3.0232558139534884</v>
          </cell>
          <cell r="Z214">
            <v>3.4220532319391634</v>
          </cell>
          <cell r="AA214">
            <v>10.904255319148938</v>
          </cell>
          <cell r="AB214">
            <v>22.936105640396473</v>
          </cell>
          <cell r="AC214">
            <v>24.449325604570173</v>
          </cell>
          <cell r="AD214">
            <v>33.159529525025363</v>
          </cell>
          <cell r="AE214">
            <v>45.164686279411747</v>
          </cell>
          <cell r="AF214">
            <v>67.658935944610192</v>
          </cell>
          <cell r="AG214">
            <v>101.85489415342974</v>
          </cell>
          <cell r="AH214">
            <v>143.24052577077654</v>
          </cell>
          <cell r="AI214">
            <v>193.93342664348987</v>
          </cell>
          <cell r="AJ214">
            <v>274.11499766095517</v>
          </cell>
          <cell r="AK214">
            <v>390.11944522049134</v>
          </cell>
          <cell r="AL214">
            <v>559.19276108228826</v>
          </cell>
          <cell r="AM214">
            <v>795.51420331305849</v>
          </cell>
        </row>
        <row r="215"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>
            <v>73.822131179221586</v>
          </cell>
          <cell r="O215">
            <v>88.725681920241044</v>
          </cell>
          <cell r="P215">
            <v>84.852437403795918</v>
          </cell>
          <cell r="Q215">
            <v>102.51733614057423</v>
          </cell>
          <cell r="R215">
            <v>99.414216514588261</v>
          </cell>
          <cell r="S215">
            <v>117.30769230769231</v>
          </cell>
          <cell r="T215">
            <v>131.86046511627907</v>
          </cell>
          <cell r="U215">
            <v>134.66666666666666</v>
          </cell>
          <cell r="V215">
            <v>117.15783764237932</v>
          </cell>
          <cell r="W215">
            <v>108.34697217675941</v>
          </cell>
          <cell r="X215">
            <v>96.808066859419725</v>
          </cell>
          <cell r="Y215">
            <v>88.139534883720927</v>
          </cell>
          <cell r="Z215">
            <v>118.06083650190115</v>
          </cell>
          <cell r="AA215">
            <v>181.64893617021278</v>
          </cell>
          <cell r="AB215">
            <v>194.80192425661059</v>
          </cell>
          <cell r="AC215">
            <v>162.36859824573526</v>
          </cell>
          <cell r="AD215">
            <v>238.03626776700722</v>
          </cell>
          <cell r="AE215">
            <v>271.16587508914506</v>
          </cell>
          <cell r="AF215">
            <v>293.62241041814787</v>
          </cell>
          <cell r="AG215">
            <v>322.58885528701506</v>
          </cell>
          <cell r="AH215">
            <v>344.48018972823547</v>
          </cell>
          <cell r="AI215">
            <v>368.8869532560758</v>
          </cell>
          <cell r="AJ215">
            <v>396.01958710670795</v>
          </cell>
          <cell r="AK215">
            <v>424.57325879570664</v>
          </cell>
          <cell r="AL215">
            <v>448.0595455282201</v>
          </cell>
          <cell r="AM215">
            <v>473.86852738804936</v>
          </cell>
        </row>
        <row r="216"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>
            <v>53.723959339852357</v>
          </cell>
          <cell r="O216">
            <v>74.964147581591419</v>
          </cell>
          <cell r="P216">
            <v>82.04739815077788</v>
          </cell>
          <cell r="Q216">
            <v>41.312956355156778</v>
          </cell>
          <cell r="R216">
            <v>52.664188351920693</v>
          </cell>
          <cell r="S216">
            <v>70.604395604395606</v>
          </cell>
          <cell r="T216">
            <v>65.581395348837205</v>
          </cell>
          <cell r="U216">
            <v>81.111111111111114</v>
          </cell>
          <cell r="V216">
            <v>71.054058940517095</v>
          </cell>
          <cell r="W216">
            <v>55.319148936170208</v>
          </cell>
          <cell r="X216">
            <v>64.011277492484069</v>
          </cell>
          <cell r="Y216">
            <v>58.837209302325583</v>
          </cell>
          <cell r="Z216">
            <v>40.304182509505708</v>
          </cell>
          <cell r="AA216">
            <v>50.797872340425535</v>
          </cell>
          <cell r="AB216">
            <v>92.984212055661374</v>
          </cell>
          <cell r="AC216">
            <v>101.24528423430982</v>
          </cell>
          <cell r="AD216">
            <v>96.775269916206952</v>
          </cell>
          <cell r="AE216">
            <v>102.56397225934154</v>
          </cell>
          <cell r="AF216">
            <v>111.76815493551626</v>
          </cell>
          <cell r="AG216">
            <v>122.47360425193452</v>
          </cell>
          <cell r="AH216">
            <v>129.04672893961828</v>
          </cell>
          <cell r="AI216">
            <v>136.27047596757836</v>
          </cell>
          <cell r="AJ216">
            <v>144.14435106644609</v>
          </cell>
          <cell r="AK216">
            <v>152.57637714619898</v>
          </cell>
          <cell r="AL216">
            <v>159.47700173283479</v>
          </cell>
          <cell r="AM216">
            <v>167.03723488405163</v>
          </cell>
        </row>
        <row r="217"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>
            <v>59.368248391854927</v>
          </cell>
          <cell r="R217">
            <v>75.194322406218319</v>
          </cell>
          <cell r="S217">
            <v>75.824175824175825</v>
          </cell>
          <cell r="T217">
            <v>69.302325581395351</v>
          </cell>
          <cell r="U217">
            <v>77.555555555555557</v>
          </cell>
          <cell r="V217">
            <v>70.873259808352927</v>
          </cell>
          <cell r="W217">
            <v>74.631751227495911</v>
          </cell>
          <cell r="X217">
            <v>76.813532990980875</v>
          </cell>
          <cell r="Y217">
            <v>56.279069767441861</v>
          </cell>
          <cell r="Z217">
            <v>51.901140684410649</v>
          </cell>
          <cell r="AA217">
            <v>78.457446808510639</v>
          </cell>
          <cell r="AB217">
            <v>87.715106705840569</v>
          </cell>
          <cell r="AC217">
            <v>95.603132171716695</v>
          </cell>
          <cell r="AD217">
            <v>114.99257729849397</v>
          </cell>
          <cell r="AE217">
            <v>128.49065552026906</v>
          </cell>
          <cell r="AF217">
            <v>137.6401775026315</v>
          </cell>
          <cell r="AG217">
            <v>149.4420481026925</v>
          </cell>
          <cell r="AH217">
            <v>158.36128888310404</v>
          </cell>
          <cell r="AI217">
            <v>168.30539718586121</v>
          </cell>
          <cell r="AJ217">
            <v>179.36011360665881</v>
          </cell>
          <cell r="AK217">
            <v>190.99380700451098</v>
          </cell>
          <cell r="AL217">
            <v>200.56288315962331</v>
          </cell>
          <cell r="AM217">
            <v>211.07830076119453</v>
          </cell>
        </row>
        <row r="218"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>
            <v>143.39272600780737</v>
          </cell>
          <cell r="O218">
            <v>123.12951776686512</v>
          </cell>
          <cell r="P218">
            <v>143.40763181054766</v>
          </cell>
          <cell r="Q218">
            <v>105.57755512984509</v>
          </cell>
          <cell r="R218">
            <v>110.67928354173706</v>
          </cell>
          <cell r="S218">
            <v>134.34065934065933</v>
          </cell>
          <cell r="T218">
            <v>138.37209302325581</v>
          </cell>
          <cell r="U218">
            <v>146.88888888888889</v>
          </cell>
          <cell r="V218">
            <v>102.15150967275358</v>
          </cell>
          <cell r="W218">
            <v>121.27659574468085</v>
          </cell>
          <cell r="X218">
            <v>137.08482573109509</v>
          </cell>
          <cell r="Y218">
            <v>181.62790697674419</v>
          </cell>
          <cell r="Z218">
            <v>147.3384030418251</v>
          </cell>
          <cell r="AA218">
            <v>221.67553191489364</v>
          </cell>
          <cell r="AB218">
            <v>277.40289929938979</v>
          </cell>
          <cell r="AC218">
            <v>390.40557744220706</v>
          </cell>
          <cell r="AD218">
            <v>315.67203605113576</v>
          </cell>
          <cell r="AE218">
            <v>360.59438785524247</v>
          </cell>
          <cell r="AF218">
            <v>391.0445036849195</v>
          </cell>
          <cell r="AG218">
            <v>430.32178259320284</v>
          </cell>
          <cell r="AH218">
            <v>460.00550983052278</v>
          </cell>
          <cell r="AI218">
            <v>493.10005293621919</v>
          </cell>
          <cell r="AJ218">
            <v>529.89076136081451</v>
          </cell>
          <cell r="AK218">
            <v>568.60833722701068</v>
          </cell>
          <cell r="AL218">
            <v>600.45475257721864</v>
          </cell>
          <cell r="AM218">
            <v>635.45064466671897</v>
          </cell>
        </row>
        <row r="219"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>
            <v>103.58288563367218</v>
          </cell>
          <cell r="O219">
            <v>101.03863369692756</v>
          </cell>
          <cell r="P219">
            <v>120.26605797314876</v>
          </cell>
          <cell r="Q219">
            <v>126.69306615581411</v>
          </cell>
          <cell r="R219">
            <v>148.98051143404302</v>
          </cell>
          <cell r="S219">
            <v>160.16483516483515</v>
          </cell>
          <cell r="T219">
            <v>185.11627906976744</v>
          </cell>
          <cell r="U219">
            <v>198.22222222222223</v>
          </cell>
          <cell r="V219">
            <v>177.7255469173748</v>
          </cell>
          <cell r="W219">
            <v>176.26841243862521</v>
          </cell>
          <cell r="X219">
            <v>170.31315180022727</v>
          </cell>
          <cell r="Y219">
            <v>210.93023255813955</v>
          </cell>
          <cell r="Z219">
            <v>160.55133079847909</v>
          </cell>
          <cell r="AA219">
            <v>227.92553191489364</v>
          </cell>
          <cell r="AB219">
            <v>354.26984793206987</v>
          </cell>
          <cell r="AC219">
            <v>359.84392043649433</v>
          </cell>
          <cell r="AD219">
            <v>306.19068111457398</v>
          </cell>
          <cell r="AE219">
            <v>393.1397553380134</v>
          </cell>
          <cell r="AF219">
            <v>435.73288757931073</v>
          </cell>
          <cell r="AG219">
            <v>508.06864237089735</v>
          </cell>
          <cell r="AH219">
            <v>580.19640158363086</v>
          </cell>
          <cell r="AI219">
            <v>655.61278803782136</v>
          </cell>
          <cell r="AJ219">
            <v>760.85056399663779</v>
          </cell>
          <cell r="AK219">
            <v>900.8839120038906</v>
          </cell>
          <cell r="AL219">
            <v>1072.0646805777869</v>
          </cell>
          <cell r="AM219">
            <v>1321.3278836366826</v>
          </cell>
        </row>
        <row r="220"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>
            <v>22.033576722750279</v>
          </cell>
          <cell r="R220">
            <v>33.23194773008899</v>
          </cell>
          <cell r="S220">
            <v>63.186813186813183</v>
          </cell>
          <cell r="T220">
            <v>44.186046511627907</v>
          </cell>
          <cell r="U220">
            <v>48.888888888888886</v>
          </cell>
          <cell r="V220">
            <v>36.159826432833121</v>
          </cell>
          <cell r="W220">
            <v>39.607201309328964</v>
          </cell>
          <cell r="X220">
            <v>41.283677843467252</v>
          </cell>
          <cell r="Y220">
            <v>42.441860465116278</v>
          </cell>
          <cell r="Z220">
            <v>33.269961977186313</v>
          </cell>
          <cell r="AA220">
            <v>49.734042553191493</v>
          </cell>
          <cell r="AB220">
            <v>67.258580053595068</v>
          </cell>
          <cell r="AC220">
            <v>88.080262754925883</v>
          </cell>
          <cell r="AD220">
            <v>75.682458896163936</v>
          </cell>
          <cell r="AE220">
            <v>85.44042972148597</v>
          </cell>
          <cell r="AF220">
            <v>92.054761562111068</v>
          </cell>
          <cell r="AG220">
            <v>100.58651749858518</v>
          </cell>
          <cell r="AH220">
            <v>107.03437547431356</v>
          </cell>
          <cell r="AI220">
            <v>114.22312613258219</v>
          </cell>
          <cell r="AJ220">
            <v>122.21475268445188</v>
          </cell>
          <cell r="AK220">
            <v>130.6249307040051</v>
          </cell>
          <cell r="AL220">
            <v>137.54256478588786</v>
          </cell>
          <cell r="AM220">
            <v>145.14432382790321</v>
          </cell>
        </row>
        <row r="221"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>
            <v>95.466316237003824</v>
          </cell>
          <cell r="O221">
            <v>77.499167065026867</v>
          </cell>
          <cell r="P221">
            <v>78.891728991132567</v>
          </cell>
          <cell r="Q221">
            <v>36.722627871250467</v>
          </cell>
          <cell r="R221">
            <v>39.146107919342121</v>
          </cell>
          <cell r="S221">
            <v>48.076923076923073</v>
          </cell>
          <cell r="T221">
            <v>59.302325581395351</v>
          </cell>
          <cell r="U221">
            <v>47.333333333333336</v>
          </cell>
          <cell r="V221">
            <v>54.96293617790635</v>
          </cell>
          <cell r="W221">
            <v>43.371522094926348</v>
          </cell>
          <cell r="X221">
            <v>36.824465254103195</v>
          </cell>
          <cell r="Y221">
            <v>30.116279069767444</v>
          </cell>
          <cell r="Z221">
            <v>34.315589353612168</v>
          </cell>
          <cell r="AA221">
            <v>48.404255319148938</v>
          </cell>
          <cell r="AB221">
            <v>74.232395957769668</v>
          </cell>
          <cell r="AC221">
            <v>66.295286735469119</v>
          </cell>
          <cell r="AD221">
            <v>66.295286735469119</v>
          </cell>
          <cell r="AE221">
            <v>66.295286735469119</v>
          </cell>
          <cell r="AF221">
            <v>66.295286735469119</v>
          </cell>
          <cell r="AG221">
            <v>66.295286735469119</v>
          </cell>
          <cell r="AH221">
            <v>66.295286735469119</v>
          </cell>
          <cell r="AI221">
            <v>92.007171810049314</v>
          </cell>
          <cell r="AJ221">
            <v>103.03849712653891</v>
          </cell>
          <cell r="AK221">
            <v>117.71719403885041</v>
          </cell>
          <cell r="AL221">
            <v>135.66085285205406</v>
          </cell>
          <cell r="AM221">
            <v>161.78933625376476</v>
          </cell>
        </row>
        <row r="222"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>
            <v>60.286314088636182</v>
          </cell>
          <cell r="R222">
            <v>62.239495324997179</v>
          </cell>
          <cell r="S222">
            <v>70.329670329670321</v>
          </cell>
          <cell r="T222">
            <v>68.372093023255815</v>
          </cell>
          <cell r="U222">
            <v>88.666666666666671</v>
          </cell>
          <cell r="V222">
            <v>92.749954800216969</v>
          </cell>
          <cell r="W222">
            <v>65.139116202945985</v>
          </cell>
          <cell r="X222">
            <v>66.312806570865519</v>
          </cell>
          <cell r="Y222">
            <v>84.767441860465127</v>
          </cell>
          <cell r="Z222">
            <v>75.760456273764262</v>
          </cell>
          <cell r="AA222">
            <v>113.43085106382979</v>
          </cell>
          <cell r="AB222">
            <v>116.38523875633615</v>
          </cell>
          <cell r="AC222">
            <v>123.81389248468228</v>
          </cell>
          <cell r="AD222">
            <v>167.34042972997591</v>
          </cell>
          <cell r="AE222">
            <v>191.61569423301475</v>
          </cell>
          <cell r="AF222">
            <v>208.07041190089092</v>
          </cell>
          <cell r="AG222">
            <v>229.29517632587019</v>
          </cell>
          <cell r="AH222">
            <v>245.33575081013237</v>
          </cell>
          <cell r="AI222">
            <v>263.21947139095374</v>
          </cell>
          <cell r="AJ222">
            <v>283.10053599228621</v>
          </cell>
          <cell r="AK222">
            <v>304.02284654198604</v>
          </cell>
          <cell r="AL222">
            <v>321.23210040009019</v>
          </cell>
          <cell r="AM222">
            <v>340.14327719459561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415.87755575310166</v>
          </cell>
          <cell r="O223">
            <v>374.8207379079571</v>
          </cell>
          <cell r="P223">
            <v>441.79368235034235</v>
          </cell>
          <cell r="Q223">
            <v>405.17299417946344</v>
          </cell>
          <cell r="R223">
            <v>451.44756111298864</v>
          </cell>
          <cell r="S223">
            <v>563.1868131868132</v>
          </cell>
          <cell r="T223">
            <v>564.41860465116281</v>
          </cell>
          <cell r="U223">
            <v>560.22222222222217</v>
          </cell>
          <cell r="V223">
            <v>639.12493220032547</v>
          </cell>
          <cell r="W223">
            <v>629.6235679214401</v>
          </cell>
          <cell r="X223">
            <v>568.33383679281917</v>
          </cell>
          <cell r="Y223">
            <v>548.83720930232562</v>
          </cell>
          <cell r="Z223">
            <v>461.02661596958171</v>
          </cell>
          <cell r="AA223">
            <v>648.40425531914889</v>
          </cell>
          <cell r="AB223">
            <v>885.67461983017461</v>
          </cell>
          <cell r="AC223">
            <v>985.18244070723142</v>
          </cell>
          <cell r="AD223">
            <v>1069.0953647408101</v>
          </cell>
          <cell r="AE223">
            <v>1179.4659717239915</v>
          </cell>
          <cell r="AF223">
            <v>1285.3515996705514</v>
          </cell>
          <cell r="AG223">
            <v>1415.0656043967977</v>
          </cell>
          <cell r="AH223">
            <v>1504.1670606939397</v>
          </cell>
          <cell r="AI223">
            <v>1602.8908497519951</v>
          </cell>
          <cell r="AJ223">
            <v>1711.7187711711429</v>
          </cell>
          <cell r="AK223">
            <v>1827.104176449513</v>
          </cell>
          <cell r="AL223">
            <v>1921.8064364020747</v>
          </cell>
          <cell r="AM223">
            <v>2025.7399851296855</v>
          </cell>
        </row>
        <row r="224"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>
            <v>214.89583735940943</v>
          </cell>
          <cell r="O224">
            <v>178.17565512146365</v>
          </cell>
          <cell r="P224">
            <v>196.35274771126328</v>
          </cell>
          <cell r="Q224">
            <v>102.82335803950131</v>
          </cell>
          <cell r="R224">
            <v>128.70339078517517</v>
          </cell>
          <cell r="S224">
            <v>152.19780219780219</v>
          </cell>
          <cell r="T224">
            <v>150.93023255813955</v>
          </cell>
          <cell r="U224">
            <v>150.22222222222223</v>
          </cell>
          <cell r="V224">
            <v>158.01844151148075</v>
          </cell>
          <cell r="W224">
            <v>120.45826513911619</v>
          </cell>
          <cell r="X224">
            <v>127.30332714797393</v>
          </cell>
          <cell r="Y224">
            <v>166.3953488372093</v>
          </cell>
          <cell r="Z224">
            <v>146.48288973384032</v>
          </cell>
          <cell r="AA224">
            <v>219.28191489361703</v>
          </cell>
          <cell r="AB224">
            <v>247.4929777548187</v>
          </cell>
          <cell r="AC224">
            <v>240.88854778348946</v>
          </cell>
          <cell r="AD224">
            <v>297.19426837432383</v>
          </cell>
          <cell r="AE224">
            <v>335.96165840120062</v>
          </cell>
          <cell r="AF224">
            <v>362.23970194354149</v>
          </cell>
          <cell r="AG224">
            <v>396.13546940629146</v>
          </cell>
          <cell r="AH224">
            <v>421.75212982244125</v>
          </cell>
          <cell r="AI224">
            <v>450.31227880873121</v>
          </cell>
          <cell r="AJ224">
            <v>482.0621691323941</v>
          </cell>
          <cell r="AK224">
            <v>515.4749203401974</v>
          </cell>
          <cell r="AL224">
            <v>542.95795173230192</v>
          </cell>
          <cell r="AM224">
            <v>573.15893951424914</v>
          </cell>
        </row>
        <row r="225"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>
            <v>21.11551102596902</v>
          </cell>
          <cell r="R225">
            <v>23.656640757012504</v>
          </cell>
          <cell r="S225">
            <v>26.373626373626372</v>
          </cell>
          <cell r="T225">
            <v>28.372093023255815</v>
          </cell>
          <cell r="U225">
            <v>32.444444444444443</v>
          </cell>
          <cell r="V225">
            <v>42.487796058578922</v>
          </cell>
          <cell r="W225">
            <v>37.97054009819967</v>
          </cell>
          <cell r="X225">
            <v>33.084480501733339</v>
          </cell>
          <cell r="Y225">
            <v>31.627906976744189</v>
          </cell>
          <cell r="Z225">
            <v>25.285171102661597</v>
          </cell>
          <cell r="AA225">
            <v>35.771276595744681</v>
          </cell>
          <cell r="AB225">
            <v>51.296290317373192</v>
          </cell>
          <cell r="AC225">
            <v>52.66008591753576</v>
          </cell>
          <cell r="AD225">
            <v>59.480385115247707</v>
          </cell>
          <cell r="AE225">
            <v>67.36958866427824</v>
          </cell>
          <cell r="AF225">
            <v>72.71719742081531</v>
          </cell>
          <cell r="AG225">
            <v>79.615020791923072</v>
          </cell>
          <cell r="AH225">
            <v>84.828037405352305</v>
          </cell>
          <cell r="AI225">
            <v>90.640056955476012</v>
          </cell>
          <cell r="AJ225">
            <v>97.101192132466721</v>
          </cell>
          <cell r="AK225">
            <v>103.90072120132396</v>
          </cell>
          <cell r="AL225">
            <v>109.49354621859729</v>
          </cell>
          <cell r="AM225">
            <v>115.63947814304157</v>
          </cell>
        </row>
        <row r="226"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>
            <v>37.334671669104644</v>
          </cell>
          <cell r="R226">
            <v>41.11749464909316</v>
          </cell>
          <cell r="S226">
            <v>51.92307692307692</v>
          </cell>
          <cell r="T226">
            <v>46.279069767441861</v>
          </cell>
          <cell r="U226">
            <v>58.666666666666664</v>
          </cell>
          <cell r="V226">
            <v>50.442957873802207</v>
          </cell>
          <cell r="W226">
            <v>51.063829787234042</v>
          </cell>
          <cell r="X226">
            <v>59.839756037917688</v>
          </cell>
          <cell r="Y226">
            <v>51.860465116279073</v>
          </cell>
          <cell r="Z226">
            <v>50.2851711026616</v>
          </cell>
          <cell r="AA226">
            <v>63.297872340425535</v>
          </cell>
          <cell r="AB226">
            <v>78.416685500274426</v>
          </cell>
          <cell r="AC226">
            <v>89.960980109123582</v>
          </cell>
          <cell r="AD226">
            <v>105.47078795002585</v>
          </cell>
          <cell r="AE226">
            <v>120.21323905335775</v>
          </cell>
          <cell r="AF226">
            <v>130.20624533378074</v>
          </cell>
          <cell r="AG226">
            <v>143.09611731337648</v>
          </cell>
          <cell r="AH226">
            <v>152.83761302288713</v>
          </cell>
          <cell r="AI226">
            <v>163.69845765654313</v>
          </cell>
          <cell r="AJ226">
            <v>175.77229614059493</v>
          </cell>
          <cell r="AK226">
            <v>188.47848684797378</v>
          </cell>
          <cell r="AL226">
            <v>198.92972553565801</v>
          </cell>
          <cell r="AM226">
            <v>210.41454783963573</v>
          </cell>
        </row>
        <row r="227"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>
            <v>24.175730015239893</v>
          </cell>
          <cell r="R227">
            <v>35.484961135518752</v>
          </cell>
          <cell r="S227">
            <v>45.329670329670328</v>
          </cell>
          <cell r="T227">
            <v>36.744186046511629</v>
          </cell>
          <cell r="U227">
            <v>54.444444444444443</v>
          </cell>
          <cell r="V227">
            <v>48.092569155668052</v>
          </cell>
          <cell r="W227">
            <v>50.081833060556463</v>
          </cell>
          <cell r="X227">
            <v>65.593578733871311</v>
          </cell>
          <cell r="Y227">
            <v>41.04651162790698</v>
          </cell>
          <cell r="Z227">
            <v>31.083650190114071</v>
          </cell>
          <cell r="AA227">
            <v>39.09574468085107</v>
          </cell>
          <cell r="AB227">
            <v>81.361185548703702</v>
          </cell>
          <cell r="AC227">
            <v>71.937438798062246</v>
          </cell>
          <cell r="AD227">
            <v>74.856419690591906</v>
          </cell>
          <cell r="AE227">
            <v>83.936801507590886</v>
          </cell>
          <cell r="AF227">
            <v>90.091837185843971</v>
          </cell>
          <cell r="AG227">
            <v>98.03115191217961</v>
          </cell>
          <cell r="AH227">
            <v>104.03127359418555</v>
          </cell>
          <cell r="AI227">
            <v>110.72084071144815</v>
          </cell>
          <cell r="AJ227">
            <v>118.15753238934614</v>
          </cell>
          <cell r="AK227">
            <v>125.98371151342192</v>
          </cell>
          <cell r="AL227">
            <v>132.42098826472929</v>
          </cell>
          <cell r="AM227">
            <v>139.49488465343322</v>
          </cell>
        </row>
        <row r="228"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>
            <v>14.3830292495731</v>
          </cell>
          <cell r="R228">
            <v>18.868987270474257</v>
          </cell>
          <cell r="S228">
            <v>20.87912087912088</v>
          </cell>
          <cell r="T228">
            <v>22.790697674418606</v>
          </cell>
          <cell r="U228">
            <v>24.666666666666668</v>
          </cell>
          <cell r="V228">
            <v>18.803109745073225</v>
          </cell>
          <cell r="W228">
            <v>22.422258592471358</v>
          </cell>
          <cell r="X228">
            <v>32.077561529941455</v>
          </cell>
          <cell r="Y228">
            <v>28.13953488372093</v>
          </cell>
          <cell r="Z228">
            <v>17.965779467680608</v>
          </cell>
          <cell r="AA228">
            <v>22.606382978723406</v>
          </cell>
          <cell r="AB228">
            <v>43.082684919123103</v>
          </cell>
          <cell r="AC228">
            <v>37.614347083954115</v>
          </cell>
          <cell r="AD228">
            <v>43.526433042564925</v>
          </cell>
          <cell r="AE228">
            <v>49.354243397915489</v>
          </cell>
          <cell r="AF228">
            <v>53.304559737711259</v>
          </cell>
          <cell r="AG228">
            <v>58.400030557000839</v>
          </cell>
          <cell r="AH228">
            <v>62.250922730532174</v>
          </cell>
          <cell r="AI228">
            <v>66.544302602049527</v>
          </cell>
          <cell r="AJ228">
            <v>71.317188769552871</v>
          </cell>
          <cell r="AK228">
            <v>76.340048893863269</v>
          </cell>
          <cell r="AL228">
            <v>80.471508216564416</v>
          </cell>
          <cell r="AM228">
            <v>85.01155151624036</v>
          </cell>
        </row>
        <row r="229"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>
            <v>200.98171839369226</v>
          </cell>
          <cell r="O229">
            <v>196.64508278649342</v>
          </cell>
          <cell r="P229">
            <v>245.4409346390791</v>
          </cell>
          <cell r="Q229">
            <v>205.34069418007553</v>
          </cell>
          <cell r="R229">
            <v>203.61608651571476</v>
          </cell>
          <cell r="S229">
            <v>266.4835164835165</v>
          </cell>
          <cell r="T229">
            <v>279.30232558139534</v>
          </cell>
          <cell r="U229">
            <v>239.77777777777777</v>
          </cell>
          <cell r="V229">
            <v>321.2800578557223</v>
          </cell>
          <cell r="W229">
            <v>347.62684124386249</v>
          </cell>
          <cell r="X229">
            <v>250.43513284138149</v>
          </cell>
          <cell r="Y229">
            <v>229.76744186046511</v>
          </cell>
          <cell r="Z229">
            <v>189.92395437262357</v>
          </cell>
          <cell r="AA229">
            <v>268.35106382978722</v>
          </cell>
          <cell r="AB229">
            <v>384.02479578988147</v>
          </cell>
          <cell r="AC229">
            <v>492.12104101506628</v>
          </cell>
          <cell r="AD229">
            <v>488.56707056805584</v>
          </cell>
          <cell r="AE229">
            <v>522.63044069964837</v>
          </cell>
          <cell r="AF229">
            <v>576.79205804885873</v>
          </cell>
          <cell r="AG229">
            <v>639.78781441602666</v>
          </cell>
          <cell r="AH229">
            <v>678.46708411854138</v>
          </cell>
          <cell r="AI229">
            <v>720.9749130177471</v>
          </cell>
          <cell r="AJ229">
            <v>767.30839260678817</v>
          </cell>
          <cell r="AK229">
            <v>816.92628765273275</v>
          </cell>
          <cell r="AL229">
            <v>857.53271643422352</v>
          </cell>
          <cell r="AM229">
            <v>902.02058346308593</v>
          </cell>
        </row>
        <row r="230">
          <cell r="D230">
            <v>1095.1719882770324</v>
          </cell>
          <cell r="E230">
            <v>1239.3308296346875</v>
          </cell>
          <cell r="F230">
            <v>1129.0915777859509</v>
          </cell>
          <cell r="G230">
            <v>1168.1320653149112</v>
          </cell>
          <cell r="H230">
            <v>947.76776641148979</v>
          </cell>
          <cell r="I230">
            <v>581.36412459720736</v>
          </cell>
          <cell r="J230">
            <v>766.61285396395999</v>
          </cell>
          <cell r="K230">
            <v>1103.7527593818984</v>
          </cell>
          <cell r="L230">
            <v>999.99999999999989</v>
          </cell>
          <cell r="M230">
            <v>1091.6814858723571</v>
          </cell>
          <cell r="N230">
            <v>203.68724152591506</v>
          </cell>
          <cell r="O230">
            <v>184.6942766502977</v>
          </cell>
          <cell r="P230">
            <v>255.95983183789679</v>
          </cell>
          <cell r="Q230">
            <v>84.768066002803167</v>
          </cell>
          <cell r="R230">
            <v>35.203334459840036</v>
          </cell>
          <cell r="S230">
            <v>20.329670329670328</v>
          </cell>
          <cell r="T230">
            <v>24.418604651162791</v>
          </cell>
          <cell r="U230">
            <v>36.222222222222221</v>
          </cell>
          <cell r="V230">
            <v>17.175917555595735</v>
          </cell>
          <cell r="W230">
            <v>14.566284779050736</v>
          </cell>
          <cell r="X230">
            <v>10.788417554913044</v>
          </cell>
          <cell r="Y230">
            <v>6.1627906976744189</v>
          </cell>
          <cell r="Z230">
            <v>98.288973384030427</v>
          </cell>
          <cell r="AA230">
            <v>327.79255319148939</v>
          </cell>
          <cell r="AB230">
            <v>9.6083685790850097</v>
          </cell>
          <cell r="AC230">
            <v>9.7170396633548126</v>
          </cell>
          <cell r="AD230">
            <v>10.212608686185906</v>
          </cell>
          <cell r="AE230">
            <v>10.723239120495204</v>
          </cell>
          <cell r="AF230">
            <v>11.259401076519966</v>
          </cell>
          <cell r="AG230">
            <v>11.822371130345964</v>
          </cell>
          <cell r="AH230">
            <v>12.413489686863263</v>
          </cell>
          <cell r="AI230">
            <v>13.034164171206429</v>
          </cell>
          <cell r="AJ230">
            <v>13.685872379766751</v>
          </cell>
          <cell r="AK230">
            <v>14.370165998755088</v>
          </cell>
          <cell r="AL230">
            <v>15.08867429869284</v>
          </cell>
          <cell r="AM230">
            <v>15.843108013627482</v>
          </cell>
        </row>
        <row r="231"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>
            <v>25.39981761094824</v>
          </cell>
          <cell r="R231">
            <v>22.248507378618903</v>
          </cell>
          <cell r="S231">
            <v>21.978021978021978</v>
          </cell>
          <cell r="T231">
            <v>22.093023255813954</v>
          </cell>
          <cell r="U231">
            <v>30.888888888888889</v>
          </cell>
          <cell r="V231">
            <v>15.006327969625747</v>
          </cell>
          <cell r="W231">
            <v>12.438625204582651</v>
          </cell>
          <cell r="X231">
            <v>15.966857981271307</v>
          </cell>
          <cell r="Y231">
            <v>12.093023255813954</v>
          </cell>
          <cell r="Z231">
            <v>3.2319391634980992</v>
          </cell>
          <cell r="AA231">
            <v>11.303191489361703</v>
          </cell>
          <cell r="AB231">
            <v>19.83663190520776</v>
          </cell>
          <cell r="AC231">
            <v>39.338337991968672</v>
          </cell>
          <cell r="AD231">
            <v>48.513218874196639</v>
          </cell>
          <cell r="AE231">
            <v>58.315536123740245</v>
          </cell>
          <cell r="AF231">
            <v>70.922132838835154</v>
          </cell>
          <cell r="AG231">
            <v>86.72296072151498</v>
          </cell>
          <cell r="AH231">
            <v>108.37838005900505</v>
          </cell>
          <cell r="AI231">
            <v>130.97793970844802</v>
          </cell>
          <cell r="AJ231">
            <v>160.04006881530032</v>
          </cell>
          <cell r="AK231">
            <v>195.27937514652157</v>
          </cell>
          <cell r="AL231">
            <v>238.86830586646454</v>
          </cell>
          <cell r="AM231">
            <v>292.46689938160819</v>
          </cell>
        </row>
        <row r="232"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>
            <v>-14.300622270320412</v>
          </cell>
          <cell r="O232">
            <v>-14.847971260121971</v>
          </cell>
          <cell r="P232">
            <v>-48.737557021188564</v>
          </cell>
          <cell r="Q232">
            <v>-43.761131546573473</v>
          </cell>
          <cell r="R232">
            <v>-46.750028162667569</v>
          </cell>
          <cell r="S232">
            <v>-52.747252747252745</v>
          </cell>
          <cell r="T232">
            <v>-54.883720930232563</v>
          </cell>
          <cell r="U232">
            <v>-59.111111111111114</v>
          </cell>
          <cell r="V232">
            <v>-55.505333574398847</v>
          </cell>
          <cell r="W232">
            <v>-19.639934533551553</v>
          </cell>
          <cell r="X232">
            <v>22.152217379421451</v>
          </cell>
          <cell r="Y232">
            <v>-38.255813953488371</v>
          </cell>
          <cell r="Z232">
            <v>74.429657794676814</v>
          </cell>
          <cell r="AA232">
            <v>-17.021276595744681</v>
          </cell>
          <cell r="AB232">
            <v>0.15497368675943562</v>
          </cell>
          <cell r="AC232">
            <v>0.15672644618314213</v>
          </cell>
          <cell r="AD232">
            <v>0.16637605781111459</v>
          </cell>
          <cell r="AE232">
            <v>0.22570132697249945</v>
          </cell>
          <cell r="AF232">
            <v>0.27976203465949212</v>
          </cell>
          <cell r="AG232">
            <v>0.35979549905993141</v>
          </cell>
          <cell r="AH232">
            <v>0.45560966090517335</v>
          </cell>
          <cell r="AI232">
            <v>0.56555551344972987</v>
          </cell>
          <cell r="AJ232">
            <v>0.71348061702657062</v>
          </cell>
          <cell r="AK232">
            <v>0.91720133528543024</v>
          </cell>
          <cell r="AL232">
            <v>1.1940172590775504</v>
          </cell>
          <cell r="AM232">
            <v>1.6301187763347404</v>
          </cell>
        </row>
        <row r="233">
          <cell r="D233">
            <v>1095.1719882770324</v>
          </cell>
          <cell r="E233">
            <v>1239.3308296346875</v>
          </cell>
          <cell r="F233">
            <v>1129.0915777859509</v>
          </cell>
          <cell r="G233">
            <v>1168.1320653149112</v>
          </cell>
          <cell r="H233">
            <v>947.76776641148979</v>
          </cell>
          <cell r="I233">
            <v>581.36412459720736</v>
          </cell>
          <cell r="J233">
            <v>766.61285396395999</v>
          </cell>
          <cell r="K233">
            <v>1103.7527593818984</v>
          </cell>
          <cell r="L233">
            <v>999.99999999999989</v>
          </cell>
          <cell r="M233">
            <v>1091.6814858723571</v>
          </cell>
          <cell r="N233">
            <v>1329.1848645305915</v>
          </cell>
          <cell r="O233">
            <v>1326.1773354772356</v>
          </cell>
          <cell r="P233">
            <v>1498.2415910182642</v>
          </cell>
          <cell r="Q233">
            <v>1325.6868661521416</v>
          </cell>
          <cell r="R233">
            <v>1411.7945251774247</v>
          </cell>
          <cell r="S233">
            <v>1609.3406593406594</v>
          </cell>
          <cell r="T233">
            <v>1670.4651162790694</v>
          </cell>
          <cell r="U233">
            <v>1795.1111111111111</v>
          </cell>
          <cell r="V233">
            <v>1647.6224914120414</v>
          </cell>
          <cell r="W233">
            <v>1609.4926350245498</v>
          </cell>
          <cell r="X233">
            <v>1547.0590773745305</v>
          </cell>
          <cell r="Y233">
            <v>1514.0697674418607</v>
          </cell>
          <cell r="Z233">
            <v>1505.9885931558936</v>
          </cell>
          <cell r="AA233">
            <v>2280.3191489361702</v>
          </cell>
          <cell r="AB233">
            <v>2631.4532011752171</v>
          </cell>
          <cell r="AC233">
            <v>2936.4266956873507</v>
          </cell>
          <cell r="AD233">
            <v>3050.0625308066828</v>
          </cell>
          <cell r="AE233">
            <v>3526.2410737225291</v>
          </cell>
          <cell r="AF233">
            <v>3950.9132846229973</v>
          </cell>
          <cell r="AG233">
            <v>4570.2452565199437</v>
          </cell>
          <cell r="AH233">
            <v>5295.513612709382</v>
          </cell>
          <cell r="AI233">
            <v>6119.6956979254946</v>
          </cell>
          <cell r="AJ233">
            <v>7291.7100644178381</v>
          </cell>
          <cell r="AK233">
            <v>8969.2028990405452</v>
          </cell>
          <cell r="AL233">
            <v>11338.835075821227</v>
          </cell>
          <cell r="AM233">
            <v>14912.810938861079</v>
          </cell>
        </row>
        <row r="234">
          <cell r="D234" t="str">
            <v/>
          </cell>
          <cell r="E234" t="str">
            <v/>
          </cell>
          <cell r="F234">
            <v>-100.22066936373668</v>
          </cell>
          <cell r="G234">
            <v>-87.02673604880674</v>
          </cell>
          <cell r="H234">
            <v>-70.455931169974932</v>
          </cell>
          <cell r="I234">
            <v>-43.412101682778378</v>
          </cell>
          <cell r="J234">
            <v>-57.157816658667478</v>
          </cell>
          <cell r="K234">
            <v>-82.413539367181755</v>
          </cell>
          <cell r="L234">
            <v>-74.659639877031182</v>
          </cell>
          <cell r="M234">
            <v>-81.315641481616581</v>
          </cell>
          <cell r="N234">
            <v>-98.944845978433122</v>
          </cell>
          <cell r="O234">
            <v>-97.779322932510539</v>
          </cell>
          <cell r="P234">
            <v>-109.04590096107658</v>
          </cell>
          <cell r="Q234">
            <v>-100.98722664593879</v>
          </cell>
          <cell r="R234">
            <v>-129.54827081221131</v>
          </cell>
          <cell r="S234">
            <v>-150.82417582417582</v>
          </cell>
          <cell r="T234">
            <v>-137.90697674418604</v>
          </cell>
          <cell r="U234">
            <v>-150.66666666666666</v>
          </cell>
          <cell r="V234">
            <v>-133.42975953715424</v>
          </cell>
          <cell r="W234">
            <v>-137.80687397708672</v>
          </cell>
          <cell r="X234">
            <v>-130.03639292855189</v>
          </cell>
          <cell r="Y234">
            <v>-121.62790697674419</v>
          </cell>
          <cell r="Z234">
            <v>-94.106463878327006</v>
          </cell>
          <cell r="AA234">
            <v>-126.72872340425532</v>
          </cell>
          <cell r="AB234">
            <v>-147.68992348174214</v>
          </cell>
          <cell r="AC234">
            <v>-149.36030321253446</v>
          </cell>
          <cell r="AD234">
            <v>-126.72872340425533</v>
          </cell>
          <cell r="AE234">
            <v>-126.72872340425533</v>
          </cell>
          <cell r="AF234">
            <v>-126.72872340425533</v>
          </cell>
          <cell r="AG234">
            <v>-126.72872340425533</v>
          </cell>
          <cell r="AH234">
            <v>-126.72872340425533</v>
          </cell>
          <cell r="AI234">
            <v>-126.72872340425533</v>
          </cell>
          <cell r="AJ234">
            <v>-126.72872340425533</v>
          </cell>
          <cell r="AK234">
            <v>-126.72872340425533</v>
          </cell>
          <cell r="AL234">
            <v>-126.72872340425533</v>
          </cell>
          <cell r="AM234">
            <v>-126.72872340425533</v>
          </cell>
        </row>
        <row r="235">
          <cell r="D235">
            <v>1095.1719882770324</v>
          </cell>
          <cell r="E235">
            <v>1239.3308296346875</v>
          </cell>
          <cell r="F235">
            <v>1028.8709084222141</v>
          </cell>
          <cell r="G235">
            <v>1081.1053292661045</v>
          </cell>
          <cell r="H235">
            <v>877.31183524151481</v>
          </cell>
          <cell r="I235">
            <v>537.95202291442899</v>
          </cell>
          <cell r="J235">
            <v>709.45503730529254</v>
          </cell>
          <cell r="K235">
            <v>1021.3392200147166</v>
          </cell>
          <cell r="L235">
            <v>925.34036012296872</v>
          </cell>
          <cell r="M235">
            <v>1010.3658443907406</v>
          </cell>
          <cell r="N235">
            <v>1230.2400185521585</v>
          </cell>
          <cell r="O235">
            <v>1228.3980125447251</v>
          </cell>
          <cell r="P235">
            <v>1389.1956900571877</v>
          </cell>
          <cell r="Q235">
            <v>1224.6996395062029</v>
          </cell>
          <cell r="R235">
            <v>1282.2462543652134</v>
          </cell>
          <cell r="S235">
            <v>1458.5164835164835</v>
          </cell>
          <cell r="T235">
            <v>1532.5581395348834</v>
          </cell>
          <cell r="U235">
            <v>1644.4444444444443</v>
          </cell>
          <cell r="V235">
            <v>1514.1927318748872</v>
          </cell>
          <cell r="W235">
            <v>1471.6857610474631</v>
          </cell>
          <cell r="X235">
            <v>1417.0226844459785</v>
          </cell>
          <cell r="Y235">
            <v>1392.4418604651164</v>
          </cell>
          <cell r="Z235">
            <v>1411.8821292775665</v>
          </cell>
          <cell r="AA235">
            <v>2153.5904255319151</v>
          </cell>
          <cell r="AB235">
            <v>2483.7632776934752</v>
          </cell>
          <cell r="AC235">
            <v>2787.0663924748164</v>
          </cell>
          <cell r="AD235">
            <v>2923.3338074024277</v>
          </cell>
          <cell r="AE235">
            <v>3399.512350318274</v>
          </cell>
          <cell r="AF235">
            <v>3824.1845612187417</v>
          </cell>
          <cell r="AG235">
            <v>4443.5165331156886</v>
          </cell>
          <cell r="AH235">
            <v>5168.7848893051269</v>
          </cell>
          <cell r="AI235">
            <v>5992.9669745212395</v>
          </cell>
          <cell r="AJ235">
            <v>7164.981341013583</v>
          </cell>
          <cell r="AK235">
            <v>8842.4741756362891</v>
          </cell>
          <cell r="AL235">
            <v>11212.106352416971</v>
          </cell>
          <cell r="AM235">
            <v>14786.082215456823</v>
          </cell>
        </row>
        <row r="236">
          <cell r="D236">
            <v>349.37528921795467</v>
          </cell>
          <cell r="E236">
            <v>369.40480254922045</v>
          </cell>
          <cell r="F236">
            <v>316.23299006987867</v>
          </cell>
          <cell r="G236">
            <v>276.92266283868651</v>
          </cell>
          <cell r="H236">
            <v>250.50199850958609</v>
          </cell>
          <cell r="I236">
            <v>181.10007160759039</v>
          </cell>
          <cell r="J236">
            <v>224.83223526331864</v>
          </cell>
          <cell r="K236">
            <v>302.38459651704687</v>
          </cell>
          <cell r="L236">
            <v>315.76635924462011</v>
          </cell>
          <cell r="M236">
            <v>302.81450914230999</v>
          </cell>
          <cell r="N236">
            <v>292.96950488926683</v>
          </cell>
          <cell r="O236">
            <v>396.91162197789464</v>
          </cell>
          <cell r="P236">
            <v>438.98864309732437</v>
          </cell>
          <cell r="Q236">
            <v>303.57372373567051</v>
          </cell>
          <cell r="R236">
            <v>296.27126281401371</v>
          </cell>
          <cell r="S236">
            <v>381.04395604395603</v>
          </cell>
          <cell r="T236">
            <v>411.8604651162791</v>
          </cell>
          <cell r="U236">
            <v>382.66666666666669</v>
          </cell>
          <cell r="V236">
            <v>357.43988428855545</v>
          </cell>
          <cell r="W236">
            <v>351.39116202945991</v>
          </cell>
          <cell r="X236">
            <v>246.11976581941627</v>
          </cell>
          <cell r="Y236">
            <v>186.51162790697674</v>
          </cell>
          <cell r="Z236">
            <v>133.36501901140684</v>
          </cell>
          <cell r="AA236">
            <v>166.22340425531917</v>
          </cell>
          <cell r="AB236">
            <v>287.6311626255125</v>
          </cell>
          <cell r="AC236">
            <v>250.13540810829485</v>
          </cell>
          <cell r="AD236">
            <v>282.04111028365276</v>
          </cell>
          <cell r="AE236">
            <v>294.96131872669628</v>
          </cell>
          <cell r="AF236">
            <v>314.12444068349288</v>
          </cell>
          <cell r="AG236">
            <v>343.74755705560051</v>
          </cell>
          <cell r="AH236">
            <v>384.56122462738955</v>
          </cell>
          <cell r="AI236">
            <v>400.24005400091903</v>
          </cell>
          <cell r="AJ236">
            <v>425.22779392000973</v>
          </cell>
          <cell r="AK236">
            <v>455.49095641021398</v>
          </cell>
          <cell r="AL236">
            <v>489.83310732895239</v>
          </cell>
          <cell r="AM236">
            <v>527.61581672300383</v>
          </cell>
        </row>
        <row r="237">
          <cell r="D237">
            <v>7.9695614170394364</v>
          </cell>
          <cell r="E237">
            <v>6.1499943097758045</v>
          </cell>
          <cell r="F237">
            <v>9.2543214417065105</v>
          </cell>
          <cell r="G237">
            <v>9.2786649919253552</v>
          </cell>
          <cell r="H237">
            <v>8.9655172413793114</v>
          </cell>
          <cell r="I237">
            <v>8.6600429645542434</v>
          </cell>
          <cell r="J237">
            <v>8.1622234826999431</v>
          </cell>
          <cell r="K237">
            <v>11.571743929359823</v>
          </cell>
          <cell r="L237">
            <v>20.202020202020201</v>
          </cell>
          <cell r="M237">
            <v>15.988403021598041</v>
          </cell>
          <cell r="N237">
            <v>61.067522127314191</v>
          </cell>
          <cell r="O237">
            <v>65.548360928831144</v>
          </cell>
          <cell r="P237">
            <v>71.528500951960197</v>
          </cell>
          <cell r="Q237">
            <v>85.380109800657337</v>
          </cell>
          <cell r="R237">
            <v>90.120536217190491</v>
          </cell>
          <cell r="S237">
            <v>103.02197802197801</v>
          </cell>
          <cell r="T237">
            <v>101.39534883720931</v>
          </cell>
          <cell r="U237">
            <v>114.88888888888889</v>
          </cell>
          <cell r="V237">
            <v>99.258723558126931</v>
          </cell>
          <cell r="W237">
            <v>103.76432078559738</v>
          </cell>
          <cell r="X237">
            <v>80.265826608553056</v>
          </cell>
          <cell r="Y237">
            <v>75.232558139534888</v>
          </cell>
          <cell r="Z237">
            <v>90.874524714828894</v>
          </cell>
          <cell r="AA237">
            <v>81.382978723404264</v>
          </cell>
          <cell r="AB237">
            <v>96.858554224647264</v>
          </cell>
          <cell r="AC237">
            <v>97.640575972097551</v>
          </cell>
          <cell r="AD237">
            <v>172.40234338119652</v>
          </cell>
          <cell r="AE237">
            <v>196.27000988787162</v>
          </cell>
          <cell r="AF237">
            <v>212.44844179369903</v>
          </cell>
          <cell r="AG237">
            <v>233.31682816760375</v>
          </cell>
          <cell r="AH237">
            <v>249.08807063204426</v>
          </cell>
          <cell r="AI237">
            <v>266.67151153206714</v>
          </cell>
          <cell r="AJ237">
            <v>286.21875970490856</v>
          </cell>
          <cell r="AK237">
            <v>306.78977060725379</v>
          </cell>
          <cell r="AL237">
            <v>323.71006953386376</v>
          </cell>
          <cell r="AM237">
            <v>342.30371496761478</v>
          </cell>
        </row>
        <row r="238">
          <cell r="D238">
            <v>357.34485063499409</v>
          </cell>
          <cell r="E238">
            <v>375.55479685899627</v>
          </cell>
          <cell r="F238">
            <v>325.48731151158518</v>
          </cell>
          <cell r="G238">
            <v>286.20132783061189</v>
          </cell>
          <cell r="H238">
            <v>259.46751575096539</v>
          </cell>
          <cell r="I238">
            <v>189.76011457214463</v>
          </cell>
          <cell r="J238">
            <v>232.99445874601858</v>
          </cell>
          <cell r="K238">
            <v>313.95634044640667</v>
          </cell>
          <cell r="L238">
            <v>335.96837944664031</v>
          </cell>
          <cell r="M238">
            <v>318.80291216390805</v>
          </cell>
          <cell r="N238">
            <v>354.03702701658102</v>
          </cell>
          <cell r="O238">
            <v>462.45998290672577</v>
          </cell>
          <cell r="P238">
            <v>510.51714404928458</v>
          </cell>
          <cell r="Q238">
            <v>388.95383353632786</v>
          </cell>
          <cell r="R238">
            <v>386.39179903120419</v>
          </cell>
          <cell r="S238">
            <v>484.06593406593402</v>
          </cell>
          <cell r="T238">
            <v>513.25581395348843</v>
          </cell>
          <cell r="U238">
            <v>497.55555555555554</v>
          </cell>
          <cell r="V238">
            <v>456.69860784668236</v>
          </cell>
          <cell r="W238">
            <v>455.15548281505727</v>
          </cell>
          <cell r="X238">
            <v>326.3855924279693</v>
          </cell>
          <cell r="Y238">
            <v>261.74418604651163</v>
          </cell>
          <cell r="Z238">
            <v>224.23954372623575</v>
          </cell>
          <cell r="AA238">
            <v>247.60638297872345</v>
          </cell>
          <cell r="AB238">
            <v>384.48971685015977</v>
          </cell>
          <cell r="AC238">
            <v>347.77598408039239</v>
          </cell>
          <cell r="AD238">
            <v>454.44345366484924</v>
          </cell>
          <cell r="AE238">
            <v>491.23132861456793</v>
          </cell>
          <cell r="AF238">
            <v>526.57288247719191</v>
          </cell>
          <cell r="AG238">
            <v>577.06438522320423</v>
          </cell>
          <cell r="AH238">
            <v>633.64929525943376</v>
          </cell>
          <cell r="AI238">
            <v>666.91156553298617</v>
          </cell>
          <cell r="AJ238">
            <v>711.44655362491835</v>
          </cell>
          <cell r="AK238">
            <v>762.28072701746783</v>
          </cell>
          <cell r="AL238">
            <v>813.54317686281615</v>
          </cell>
          <cell r="AM238">
            <v>869.91953169061867</v>
          </cell>
        </row>
        <row r="239">
          <cell r="D239">
            <v>1452.5168389120265</v>
          </cell>
          <cell r="E239">
            <v>1614.8856264936837</v>
          </cell>
          <cell r="F239">
            <v>1354.3582199337993</v>
          </cell>
          <cell r="G239">
            <v>1367.3066570967164</v>
          </cell>
          <cell r="H239">
            <v>1136.7793509924802</v>
          </cell>
          <cell r="I239">
            <v>727.71213748657362</v>
          </cell>
          <cell r="J239">
            <v>942.44949605131114</v>
          </cell>
          <cell r="K239">
            <v>1335.2955604611234</v>
          </cell>
          <cell r="L239">
            <v>1261.3087395696091</v>
          </cell>
          <cell r="M239">
            <v>1329.1687565546486</v>
          </cell>
          <cell r="N239">
            <v>1584.2770455687396</v>
          </cell>
          <cell r="O239">
            <v>1690.857995451451</v>
          </cell>
          <cell r="P239">
            <v>1899.7128341064722</v>
          </cell>
          <cell r="Q239">
            <v>1613.6534730425308</v>
          </cell>
          <cell r="R239">
            <v>1668.6380533964175</v>
          </cell>
          <cell r="S239">
            <v>1942.5824175824175</v>
          </cell>
          <cell r="T239">
            <v>2045.8139534883717</v>
          </cell>
          <cell r="U239">
            <v>2142</v>
          </cell>
          <cell r="V239">
            <v>1970.8913397215695</v>
          </cell>
          <cell r="W239">
            <v>1926.8412438625203</v>
          </cell>
          <cell r="X239">
            <v>1743.4082768739477</v>
          </cell>
          <cell r="Y239">
            <v>1654.1860465116281</v>
          </cell>
          <cell r="Z239">
            <v>1636.1216730038022</v>
          </cell>
          <cell r="AA239">
            <v>2401.1968085106387</v>
          </cell>
          <cell r="AB239">
            <v>2868.2529945436349</v>
          </cell>
          <cell r="AC239">
            <v>3134.8423765552088</v>
          </cell>
          <cell r="AD239">
            <v>3377.7772610672769</v>
          </cell>
          <cell r="AE239">
            <v>3890.7436789328422</v>
          </cell>
          <cell r="AF239">
            <v>4350.7574436959339</v>
          </cell>
          <cell r="AG239">
            <v>5020.5809183388928</v>
          </cell>
          <cell r="AH239">
            <v>5802.4341845645604</v>
          </cell>
          <cell r="AI239">
            <v>6659.8785400542256</v>
          </cell>
          <cell r="AJ239">
            <v>7876.4278946385011</v>
          </cell>
          <cell r="AK239">
            <v>9604.7549026537563</v>
          </cell>
          <cell r="AL239">
            <v>12025.649529279788</v>
          </cell>
          <cell r="AM239">
            <v>15656.001747147442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76.098901098901095</v>
          </cell>
          <cell r="R241">
            <v>94.780219780219781</v>
          </cell>
          <cell r="S241">
            <v>95.054945054945051</v>
          </cell>
          <cell r="T241">
            <v>106.04395604395603</v>
          </cell>
          <cell r="U241">
            <v>146.15384615384613</v>
          </cell>
          <cell r="V241">
            <v>110.43956043956042</v>
          </cell>
          <cell r="W241">
            <v>106.59340659340658</v>
          </cell>
          <cell r="X241">
            <v>85.439560439560438</v>
          </cell>
          <cell r="Y241">
            <v>109.89010989010988</v>
          </cell>
          <cell r="Z241">
            <v>144.23076923076923</v>
          </cell>
          <cell r="AA241">
            <v>177.74725274725273</v>
          </cell>
          <cell r="AB241">
            <v>102.47252747252746</v>
          </cell>
          <cell r="AC241">
            <v>119.78021978021978</v>
          </cell>
          <cell r="AD241">
            <v>164.21143741520822</v>
          </cell>
          <cell r="AE241">
            <v>179.30168894687026</v>
          </cell>
          <cell r="AF241">
            <v>196.05570158785821</v>
          </cell>
          <cell r="AG241">
            <v>214.77256304365838</v>
          </cell>
          <cell r="AH241">
            <v>229.94673694503001</v>
          </cell>
          <cell r="AI241">
            <v>247.76501673889175</v>
          </cell>
          <cell r="AJ241">
            <v>266.00769554276337</v>
          </cell>
          <cell r="AK241">
            <v>287.24432048508299</v>
          </cell>
          <cell r="AL241">
            <v>309.67366199534598</v>
          </cell>
          <cell r="AM241">
            <v>333.8462455519969</v>
          </cell>
        </row>
        <row r="242"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>
            <v>48.076923076923073</v>
          </cell>
          <cell r="R242">
            <v>62.087912087912088</v>
          </cell>
          <cell r="S242">
            <v>62.362637362637358</v>
          </cell>
          <cell r="T242">
            <v>71.978021978021971</v>
          </cell>
          <cell r="U242">
            <v>95.879120879120876</v>
          </cell>
          <cell r="V242">
            <v>97.802197802197796</v>
          </cell>
          <cell r="W242">
            <v>86.263736263736263</v>
          </cell>
          <cell r="X242">
            <v>68.131868131868131</v>
          </cell>
          <cell r="Y242">
            <v>58.241758241758241</v>
          </cell>
          <cell r="Z242">
            <v>67.857142857142861</v>
          </cell>
          <cell r="AA242">
            <v>84.340659340659343</v>
          </cell>
          <cell r="AB242">
            <v>88.461538461538453</v>
          </cell>
          <cell r="AC242">
            <v>101.64835164835165</v>
          </cell>
          <cell r="AD242">
            <v>105.89361380554361</v>
          </cell>
          <cell r="AE242">
            <v>114.76291852433651</v>
          </cell>
          <cell r="AF242">
            <v>128.75363772486736</v>
          </cell>
          <cell r="AG242">
            <v>143.52326665677455</v>
          </cell>
          <cell r="AH242">
            <v>156.92047670082943</v>
          </cell>
          <cell r="AI242">
            <v>172.73169405286004</v>
          </cell>
          <cell r="AJ242">
            <v>188.74529437531231</v>
          </cell>
          <cell r="AK242">
            <v>207.84604799292171</v>
          </cell>
          <cell r="AL242">
            <v>229.4839727842963</v>
          </cell>
          <cell r="AM242">
            <v>252.69356170377554</v>
          </cell>
        </row>
        <row r="243"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>
            <v>3.2967032967032965</v>
          </cell>
          <cell r="R243">
            <v>5.7692307692307692</v>
          </cell>
          <cell r="S243">
            <v>6.3186813186813184</v>
          </cell>
          <cell r="T243">
            <v>6.3186813186813184</v>
          </cell>
          <cell r="U243">
            <v>5.2197802197802199</v>
          </cell>
          <cell r="V243">
            <v>1.0989010989010988</v>
          </cell>
          <cell r="W243">
            <v>1.0989010989010988</v>
          </cell>
          <cell r="X243">
            <v>0.82417582417582413</v>
          </cell>
          <cell r="Y243">
            <v>0.54945054945054939</v>
          </cell>
          <cell r="Z243">
            <v>0.54945054945054939</v>
          </cell>
          <cell r="AA243">
            <v>0.54945054945054939</v>
          </cell>
          <cell r="AB243">
            <v>1.6483516483516483</v>
          </cell>
          <cell r="AC243">
            <v>1.6483516483516483</v>
          </cell>
          <cell r="AD243">
            <v>1.6483516483516483</v>
          </cell>
          <cell r="AE243">
            <v>1.6483516483516483</v>
          </cell>
          <cell r="AF243">
            <v>1.6483516483516483</v>
          </cell>
          <cell r="AG243">
            <v>1.6483516483516483</v>
          </cell>
          <cell r="AH243">
            <v>1.6483516483516483</v>
          </cell>
          <cell r="AI243">
            <v>1.6483516483516483</v>
          </cell>
          <cell r="AJ243">
            <v>1.6483516483516483</v>
          </cell>
          <cell r="AK243">
            <v>1.6483516483516483</v>
          </cell>
          <cell r="AL243">
            <v>1.6483516483516483</v>
          </cell>
          <cell r="AM243">
            <v>1.6483516483516483</v>
          </cell>
        </row>
        <row r="244"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>
            <v>24.725274725274723</v>
          </cell>
          <cell r="R244">
            <v>26.923076923076923</v>
          </cell>
          <cell r="S244">
            <v>26.373626373626372</v>
          </cell>
          <cell r="T244">
            <v>27.747252747252745</v>
          </cell>
          <cell r="U244">
            <v>45.054945054945051</v>
          </cell>
          <cell r="V244">
            <v>11.538461538461538</v>
          </cell>
          <cell r="W244">
            <v>19.23076923076923</v>
          </cell>
          <cell r="X244">
            <v>16.483516483516482</v>
          </cell>
          <cell r="Y244">
            <v>51.098901098901095</v>
          </cell>
          <cell r="Z244">
            <v>75.824175824175825</v>
          </cell>
          <cell r="AA244">
            <v>92.857142857142847</v>
          </cell>
          <cell r="AB244">
            <v>12.362637362637361</v>
          </cell>
          <cell r="AC244">
            <v>16.483516483516482</v>
          </cell>
          <cell r="AD244">
            <v>56.669471961312965</v>
          </cell>
          <cell r="AE244">
            <v>62.890418774182095</v>
          </cell>
          <cell r="AF244">
            <v>65.653712214639214</v>
          </cell>
          <cell r="AG244">
            <v>69.600944738532178</v>
          </cell>
          <cell r="AH244">
            <v>71.377908595848936</v>
          </cell>
          <cell r="AI244">
            <v>73.38497103768006</v>
          </cell>
          <cell r="AJ244">
            <v>75.614049519099396</v>
          </cell>
          <cell r="AK244">
            <v>77.749920843809633</v>
          </cell>
          <cell r="AL244">
            <v>78.541337562698047</v>
          </cell>
          <cell r="AM244">
            <v>79.504332199869694</v>
          </cell>
        </row>
        <row r="245"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25.549450549450547</v>
          </cell>
          <cell r="R245">
            <v>24.725274725274723</v>
          </cell>
          <cell r="S245">
            <v>26.098901098901099</v>
          </cell>
          <cell r="T245">
            <v>43.406593406593402</v>
          </cell>
          <cell r="U245">
            <v>39.835164835164832</v>
          </cell>
          <cell r="V245">
            <v>45.879120879120876</v>
          </cell>
          <cell r="W245">
            <v>45.604395604395606</v>
          </cell>
          <cell r="X245">
            <v>43.406593406593402</v>
          </cell>
          <cell r="Y245">
            <v>41.758241758241759</v>
          </cell>
          <cell r="Z245">
            <v>26.923076923076923</v>
          </cell>
          <cell r="AA245">
            <v>40.934065934065934</v>
          </cell>
          <cell r="AB245">
            <v>40.109890109890109</v>
          </cell>
          <cell r="AC245">
            <v>38.186813186813183</v>
          </cell>
          <cell r="AD245">
            <v>34.802724741746687</v>
          </cell>
          <cell r="AE245">
            <v>39.451043478670542</v>
          </cell>
          <cell r="AF245">
            <v>40.514208779428081</v>
          </cell>
          <cell r="AG245">
            <v>43.343079511168646</v>
          </cell>
          <cell r="AH245">
            <v>45.797634949092817</v>
          </cell>
          <cell r="AI245">
            <v>48.116348299117575</v>
          </cell>
          <cell r="AJ245">
            <v>51.804884891396171</v>
          </cell>
          <cell r="AK245">
            <v>56.916019392336018</v>
          </cell>
          <cell r="AL245">
            <v>63.028213871752897</v>
          </cell>
          <cell r="AM245">
            <v>72.261889067267433</v>
          </cell>
        </row>
        <row r="246"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>
            <v>142.30769230769229</v>
          </cell>
          <cell r="R246">
            <v>173.35164835164835</v>
          </cell>
          <cell r="S246">
            <v>154.39560439560438</v>
          </cell>
          <cell r="T246">
            <v>175</v>
          </cell>
          <cell r="U246">
            <v>193.13186813186812</v>
          </cell>
          <cell r="V246">
            <v>189.28571428571428</v>
          </cell>
          <cell r="W246">
            <v>181.31868131868131</v>
          </cell>
          <cell r="X246">
            <v>174.45054945054943</v>
          </cell>
          <cell r="Y246">
            <v>192.03296703296704</v>
          </cell>
          <cell r="Z246">
            <v>145.32967032967034</v>
          </cell>
          <cell r="AA246">
            <v>154.67032967032966</v>
          </cell>
          <cell r="AB246">
            <v>197.25274725274724</v>
          </cell>
          <cell r="AC246">
            <v>247.52747252747253</v>
          </cell>
          <cell r="AD246">
            <v>163.83427497223659</v>
          </cell>
          <cell r="AE246">
            <v>184.57598712744903</v>
          </cell>
          <cell r="AF246">
            <v>189.10315686062674</v>
          </cell>
          <cell r="AG246">
            <v>201.63668802362287</v>
          </cell>
          <cell r="AH246">
            <v>212.48876131058191</v>
          </cell>
          <cell r="AI246">
            <v>222.73825031009378</v>
          </cell>
          <cell r="AJ246">
            <v>239.2002211753213</v>
          </cell>
          <cell r="AK246">
            <v>262.11300840878505</v>
          </cell>
          <cell r="AL246">
            <v>289.56791554793119</v>
          </cell>
          <cell r="AM246">
            <v>331.16288482200099</v>
          </cell>
        </row>
        <row r="247"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>
            <v>58.791208791208788</v>
          </cell>
          <cell r="R247">
            <v>40.109890109890109</v>
          </cell>
          <cell r="S247">
            <v>31.043956043956044</v>
          </cell>
          <cell r="T247">
            <v>41.483516483516482</v>
          </cell>
          <cell r="U247">
            <v>41.758241758241759</v>
          </cell>
          <cell r="V247">
            <v>32.692307692307693</v>
          </cell>
          <cell r="W247">
            <v>39.285714285714285</v>
          </cell>
          <cell r="X247">
            <v>29.670329670329668</v>
          </cell>
          <cell r="Y247">
            <v>30.769230769230766</v>
          </cell>
          <cell r="Z247">
            <v>28.021978021978022</v>
          </cell>
          <cell r="AA247">
            <v>25.549450549450547</v>
          </cell>
          <cell r="AB247">
            <v>81.593406593406584</v>
          </cell>
          <cell r="AC247">
            <v>82.692307692307693</v>
          </cell>
          <cell r="AD247">
            <v>107.80013427277511</v>
          </cell>
          <cell r="AE247">
            <v>150.38409719438309</v>
          </cell>
          <cell r="AF247">
            <v>218.76254101615683</v>
          </cell>
          <cell r="AG247">
            <v>338.065772591214</v>
          </cell>
          <cell r="AH247">
            <v>558.13080551102735</v>
          </cell>
          <cell r="AI247">
            <v>777.95292717467726</v>
          </cell>
          <cell r="AJ247">
            <v>1133.673314058904</v>
          </cell>
          <cell r="AK247">
            <v>1681.073740094263</v>
          </cell>
          <cell r="AL247">
            <v>2517.3971946420825</v>
          </cell>
          <cell r="AM247">
            <v>3787.744346554297</v>
          </cell>
        </row>
        <row r="248"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>
            <v>19.23076923076923</v>
          </cell>
          <cell r="R248">
            <v>18.406593406593405</v>
          </cell>
          <cell r="S248">
            <v>10.164835164835164</v>
          </cell>
          <cell r="T248">
            <v>11.263736263736263</v>
          </cell>
          <cell r="U248">
            <v>9.8901098901098905</v>
          </cell>
          <cell r="V248">
            <v>6.8681318681318677</v>
          </cell>
          <cell r="W248">
            <v>5.4945054945054945</v>
          </cell>
          <cell r="X248">
            <v>6.8681318681318677</v>
          </cell>
          <cell r="Y248">
            <v>3.5714285714285712</v>
          </cell>
          <cell r="Z248">
            <v>4.9450549450549453</v>
          </cell>
          <cell r="AA248">
            <v>9.8901098901098905</v>
          </cell>
          <cell r="AB248">
            <v>16.208791208791208</v>
          </cell>
          <cell r="AC248">
            <v>15.384615384615383</v>
          </cell>
          <cell r="AD248">
            <v>19.852966194556807</v>
          </cell>
          <cell r="AE248">
            <v>25.752935602568666</v>
          </cell>
          <cell r="AF248">
            <v>36.742068993595709</v>
          </cell>
          <cell r="AG248">
            <v>52.678214651490507</v>
          </cell>
          <cell r="AH248">
            <v>70.554668094592344</v>
          </cell>
          <cell r="AI248">
            <v>90.975241855485066</v>
          </cell>
          <cell r="AJ248">
            <v>122.46558075811268</v>
          </cell>
          <cell r="AK248">
            <v>165.99291340752293</v>
          </cell>
          <cell r="AL248">
            <v>226.60223610912632</v>
          </cell>
          <cell r="AM248">
            <v>307.01619816668989</v>
          </cell>
        </row>
        <row r="249"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>
            <v>106.59340659340658</v>
          </cell>
          <cell r="R249">
            <v>104.94505494505493</v>
          </cell>
          <cell r="S249">
            <v>117.30769230769231</v>
          </cell>
          <cell r="T249">
            <v>146.7032967032967</v>
          </cell>
          <cell r="U249">
            <v>146.7032967032967</v>
          </cell>
          <cell r="V249">
            <v>150.27472527472526</v>
          </cell>
          <cell r="W249">
            <v>149.17582417582418</v>
          </cell>
          <cell r="X249">
            <v>146.15384615384616</v>
          </cell>
          <cell r="Y249">
            <v>154.94505494505495</v>
          </cell>
          <cell r="Z249">
            <v>234.61538461538461</v>
          </cell>
          <cell r="AA249">
            <v>243.68131868131869</v>
          </cell>
          <cell r="AB249">
            <v>226.37362637362637</v>
          </cell>
          <cell r="AC249">
            <v>189.28571428571428</v>
          </cell>
          <cell r="AD249">
            <v>264.0317857937498</v>
          </cell>
          <cell r="AE249">
            <v>286.45658922862839</v>
          </cell>
          <cell r="AF249">
            <v>295.40897265968454</v>
          </cell>
          <cell r="AG249">
            <v>309.09682429371395</v>
          </cell>
          <cell r="AH249">
            <v>314.35482904128946</v>
          </cell>
          <cell r="AI249">
            <v>320.5973150938193</v>
          </cell>
          <cell r="AJ249">
            <v>327.78868129111981</v>
          </cell>
          <cell r="AK249">
            <v>334.68837243003867</v>
          </cell>
          <cell r="AL249">
            <v>336.38329655644424</v>
          </cell>
          <cell r="AM249">
            <v>338.81860860431249</v>
          </cell>
        </row>
        <row r="250"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42.582417582417584</v>
          </cell>
          <cell r="R250">
            <v>54.945054945054942</v>
          </cell>
          <cell r="S250">
            <v>70.604395604395606</v>
          </cell>
          <cell r="T250">
            <v>73.901098901098905</v>
          </cell>
          <cell r="U250">
            <v>90.659340659340657</v>
          </cell>
          <cell r="V250">
            <v>93.131868131868131</v>
          </cell>
          <cell r="W250">
            <v>78.571428571428569</v>
          </cell>
          <cell r="X250">
            <v>97.802197802197796</v>
          </cell>
          <cell r="Y250">
            <v>106.86813186813187</v>
          </cell>
          <cell r="Z250">
            <v>82.142857142857139</v>
          </cell>
          <cell r="AA250">
            <v>70.054945054945051</v>
          </cell>
          <cell r="AB250">
            <v>108.51648351648352</v>
          </cell>
          <cell r="AC250">
            <v>113.18681318681318</v>
          </cell>
          <cell r="AD250">
            <v>102.9396538868406</v>
          </cell>
          <cell r="AE250">
            <v>103.90198529790389</v>
          </cell>
          <cell r="AF250">
            <v>107.83451663030728</v>
          </cell>
          <cell r="AG250">
            <v>112.53637302101804</v>
          </cell>
          <cell r="AH250">
            <v>112.92968498955015</v>
          </cell>
          <cell r="AI250">
            <v>113.57260568910648</v>
          </cell>
          <cell r="AJ250">
            <v>114.41425716893181</v>
          </cell>
          <cell r="AK250">
            <v>115.34015148904808</v>
          </cell>
          <cell r="AL250">
            <v>114.8158861119677</v>
          </cell>
          <cell r="AM250">
            <v>114.53228173232009</v>
          </cell>
        </row>
        <row r="251"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68.956043956043956</v>
          </cell>
          <cell r="R251">
            <v>87.912087912087912</v>
          </cell>
          <cell r="S251">
            <v>75.824175824175825</v>
          </cell>
          <cell r="T251">
            <v>74.175824175824175</v>
          </cell>
          <cell r="U251">
            <v>81.868131868131869</v>
          </cell>
          <cell r="V251">
            <v>86.813186813186803</v>
          </cell>
          <cell r="W251">
            <v>95.329670329670321</v>
          </cell>
          <cell r="X251">
            <v>104.12087912087912</v>
          </cell>
          <cell r="Y251">
            <v>87.362637362637358</v>
          </cell>
          <cell r="Z251">
            <v>86.263736263736263</v>
          </cell>
          <cell r="AA251">
            <v>79.670329670329664</v>
          </cell>
          <cell r="AB251">
            <v>81.868131868131869</v>
          </cell>
          <cell r="AC251">
            <v>89.010989010989007</v>
          </cell>
          <cell r="AD251">
            <v>101.86819181065057</v>
          </cell>
          <cell r="AE251">
            <v>108.40542970284574</v>
          </cell>
          <cell r="AF251">
            <v>110.5949802610909</v>
          </cell>
          <cell r="AG251">
            <v>114.35988324237871</v>
          </cell>
          <cell r="AH251">
            <v>115.41456553264145</v>
          </cell>
          <cell r="AI251">
            <v>116.82084338380923</v>
          </cell>
          <cell r="AJ251">
            <v>118.56564425253084</v>
          </cell>
          <cell r="AK251">
            <v>120.24387999767779</v>
          </cell>
          <cell r="AL251">
            <v>120.25550353285699</v>
          </cell>
          <cell r="AM251">
            <v>120.53375524217</v>
          </cell>
        </row>
        <row r="252"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>
            <v>94.505494505494497</v>
          </cell>
          <cell r="R252">
            <v>111.26373626373626</v>
          </cell>
          <cell r="S252">
            <v>134.34065934065933</v>
          </cell>
          <cell r="T252">
            <v>142.03296703296704</v>
          </cell>
          <cell r="U252">
            <v>151.92307692307691</v>
          </cell>
          <cell r="V252">
            <v>152.74725274725273</v>
          </cell>
          <cell r="W252">
            <v>148.35164835164835</v>
          </cell>
          <cell r="X252">
            <v>142.85714285714286</v>
          </cell>
          <cell r="Y252">
            <v>153.2967032967033</v>
          </cell>
          <cell r="Z252">
            <v>150.54945054945054</v>
          </cell>
          <cell r="AA252">
            <v>160.43956043956044</v>
          </cell>
          <cell r="AB252">
            <v>170.60439560439559</v>
          </cell>
          <cell r="AC252">
            <v>167.03296703296704</v>
          </cell>
          <cell r="AD252">
            <v>128.50486731346845</v>
          </cell>
          <cell r="AE252">
            <v>139.80191818542357</v>
          </cell>
          <cell r="AF252">
            <v>144.38798445342994</v>
          </cell>
          <cell r="AG252">
            <v>151.32437860906117</v>
          </cell>
          <cell r="AH252">
            <v>154.05979066434674</v>
          </cell>
          <cell r="AI252">
            <v>157.27946380865927</v>
          </cell>
          <cell r="AJ252">
            <v>160.9659508397134</v>
          </cell>
          <cell r="AK252">
            <v>164.50215660098985</v>
          </cell>
          <cell r="AL252">
            <v>165.44336705762231</v>
          </cell>
          <cell r="AM252">
            <v>166.74837069636743</v>
          </cell>
        </row>
        <row r="253"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>
            <v>136.26373626373626</v>
          </cell>
          <cell r="R253">
            <v>162.63736263736263</v>
          </cell>
          <cell r="S253">
            <v>160.16483516483515</v>
          </cell>
          <cell r="T253">
            <v>204.67032967032966</v>
          </cell>
          <cell r="U253">
            <v>212.91208791208791</v>
          </cell>
          <cell r="V253">
            <v>223.07692307692307</v>
          </cell>
          <cell r="W253">
            <v>231.04395604395603</v>
          </cell>
          <cell r="X253">
            <v>238.18681318681317</v>
          </cell>
          <cell r="Y253">
            <v>334.06593406593407</v>
          </cell>
          <cell r="Z253">
            <v>279.94505494505495</v>
          </cell>
          <cell r="AA253">
            <v>268.95604395604397</v>
          </cell>
          <cell r="AB253">
            <v>356.31868131868129</v>
          </cell>
          <cell r="AC253">
            <v>348.07692307692304</v>
          </cell>
          <cell r="AD253">
            <v>281.806051155207</v>
          </cell>
          <cell r="AE253">
            <v>344.60058431140828</v>
          </cell>
          <cell r="AF253">
            <v>363.7475589902254</v>
          </cell>
          <cell r="AG253">
            <v>403.93625966277961</v>
          </cell>
          <cell r="AH253">
            <v>439.31514981321504</v>
          </cell>
          <cell r="AI253">
            <v>472.78018502527806</v>
          </cell>
          <cell r="AJ253">
            <v>522.54286006299867</v>
          </cell>
          <cell r="AK253">
            <v>589.25338141174632</v>
          </cell>
          <cell r="AL253">
            <v>667.82848827975386</v>
          </cell>
          <cell r="AM253">
            <v>783.90828378483366</v>
          </cell>
        </row>
        <row r="254"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>
            <v>22.802197802197803</v>
          </cell>
          <cell r="R254">
            <v>34.890109890109891</v>
          </cell>
          <cell r="S254">
            <v>63.186813186813183</v>
          </cell>
          <cell r="T254">
            <v>48.626373626373628</v>
          </cell>
          <cell r="U254">
            <v>52.747252747252745</v>
          </cell>
          <cell r="V254">
            <v>46.153846153846153</v>
          </cell>
          <cell r="W254">
            <v>52.197802197802197</v>
          </cell>
          <cell r="X254">
            <v>58.791208791208788</v>
          </cell>
          <cell r="Y254">
            <v>68.681318681318686</v>
          </cell>
          <cell r="Z254">
            <v>58.241758241758241</v>
          </cell>
          <cell r="AA254">
            <v>57.692307692307693</v>
          </cell>
          <cell r="AB254">
            <v>64.010989010989007</v>
          </cell>
          <cell r="AC254">
            <v>79.120879120879124</v>
          </cell>
          <cell r="AD254">
            <v>64.685214145791605</v>
          </cell>
          <cell r="AE254">
            <v>69.547882458349946</v>
          </cell>
          <cell r="AF254">
            <v>71.363714296924741</v>
          </cell>
          <cell r="AG254">
            <v>74.264568436084232</v>
          </cell>
          <cell r="AH254">
            <v>75.2620198686881</v>
          </cell>
          <cell r="AI254">
            <v>76.492231943586873</v>
          </cell>
          <cell r="AJ254">
            <v>77.946680624912034</v>
          </cell>
          <cell r="AK254">
            <v>79.343392571122365</v>
          </cell>
          <cell r="AL254">
            <v>79.566913665236513</v>
          </cell>
          <cell r="AM254">
            <v>79.966143405388479</v>
          </cell>
        </row>
        <row r="255"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>
            <v>38.46153846153846</v>
          </cell>
          <cell r="R255">
            <v>41.483516483516482</v>
          </cell>
          <cell r="S255">
            <v>48.076923076923073</v>
          </cell>
          <cell r="T255">
            <v>65.109890109890102</v>
          </cell>
          <cell r="U255">
            <v>50.27472527472527</v>
          </cell>
          <cell r="V255">
            <v>68.956043956043956</v>
          </cell>
          <cell r="W255">
            <v>56.318681318681314</v>
          </cell>
          <cell r="X255">
            <v>51.64835164835165</v>
          </cell>
          <cell r="Y255">
            <v>47.802197802197803</v>
          </cell>
          <cell r="Z255">
            <v>59.065934065934066</v>
          </cell>
          <cell r="AA255">
            <v>55.219780219780219</v>
          </cell>
          <cell r="AB255">
            <v>69.505494505494497</v>
          </cell>
          <cell r="AC255">
            <v>58.516483516483511</v>
          </cell>
          <cell r="AD255">
            <v>55.676958626530464</v>
          </cell>
          <cell r="AE255">
            <v>53.025674882409959</v>
          </cell>
          <cell r="AF255">
            <v>50.500642745152341</v>
          </cell>
          <cell r="AG255">
            <v>48.095850233478423</v>
          </cell>
          <cell r="AH255">
            <v>45.805571650931824</v>
          </cell>
          <cell r="AI255">
            <v>60.543571450206024</v>
          </cell>
          <cell r="AJ255">
            <v>64.573833810235001</v>
          </cell>
          <cell r="AK255">
            <v>70.259921212579755</v>
          </cell>
          <cell r="AL255">
            <v>77.11395911791287</v>
          </cell>
          <cell r="AM255">
            <v>87.586879158714609</v>
          </cell>
        </row>
        <row r="256"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>
            <v>62.637362637362635</v>
          </cell>
          <cell r="R256">
            <v>65.934065934065927</v>
          </cell>
          <cell r="S256">
            <v>70.329670329670321</v>
          </cell>
          <cell r="T256">
            <v>75.27472527472527</v>
          </cell>
          <cell r="U256">
            <v>94.505494505494497</v>
          </cell>
          <cell r="V256">
            <v>116.48351648351648</v>
          </cell>
          <cell r="W256">
            <v>84.615384615384613</v>
          </cell>
          <cell r="X256">
            <v>92.857142857142847</v>
          </cell>
          <cell r="Y256">
            <v>134.34065934065933</v>
          </cell>
          <cell r="Z256">
            <v>130.49450549450549</v>
          </cell>
          <cell r="AA256">
            <v>129.12087912087912</v>
          </cell>
          <cell r="AB256">
            <v>109.06593406593406</v>
          </cell>
          <cell r="AC256">
            <v>109.34065934065934</v>
          </cell>
          <cell r="AD256">
            <v>140.60814380427095</v>
          </cell>
          <cell r="AE256">
            <v>153.33855737669901</v>
          </cell>
          <cell r="AF256">
            <v>158.57741129969256</v>
          </cell>
          <cell r="AG256">
            <v>166.43191739105768</v>
          </cell>
          <cell r="AH256">
            <v>169.59507564161288</v>
          </cell>
          <cell r="AI256">
            <v>173.29303681057235</v>
          </cell>
          <cell r="AJ256">
            <v>177.5065946211038</v>
          </cell>
          <cell r="AK256">
            <v>181.54768802245206</v>
          </cell>
          <cell r="AL256">
            <v>182.68973253808105</v>
          </cell>
          <cell r="AM256">
            <v>184.23315744333757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418.68131868131866</v>
          </cell>
          <cell r="R257">
            <v>469.7802197802198</v>
          </cell>
          <cell r="S257">
            <v>563.1868131868132</v>
          </cell>
          <cell r="T257">
            <v>641.4835164835165</v>
          </cell>
          <cell r="U257">
            <v>628.57142857142856</v>
          </cell>
          <cell r="V257">
            <v>846.42857142857133</v>
          </cell>
          <cell r="W257">
            <v>905.76923076923072</v>
          </cell>
          <cell r="X257">
            <v>869.50549450549443</v>
          </cell>
          <cell r="Y257">
            <v>982.69230769230774</v>
          </cell>
          <cell r="Z257">
            <v>997.52747252747247</v>
          </cell>
          <cell r="AA257">
            <v>910.98901098901092</v>
          </cell>
          <cell r="AB257">
            <v>1037.6373626373627</v>
          </cell>
          <cell r="AC257">
            <v>1157.1428571428571</v>
          </cell>
          <cell r="AD257">
            <v>1332.6976526188992</v>
          </cell>
          <cell r="AE257">
            <v>1445.7356207580615</v>
          </cell>
          <cell r="AF257">
            <v>1539.2851938679121</v>
          </cell>
          <cell r="AG257">
            <v>1657.2561072828953</v>
          </cell>
          <cell r="AH257">
            <v>1726.7941150368772</v>
          </cell>
          <cell r="AI257">
            <v>1804.8221680369488</v>
          </cell>
          <cell r="AJ257">
            <v>1891.5911264929016</v>
          </cell>
          <cell r="AK257">
            <v>1982.1832453548604</v>
          </cell>
          <cell r="AL257">
            <v>2047.4524498445089</v>
          </cell>
          <cell r="AM257">
            <v>2120.364461674541</v>
          </cell>
        </row>
        <row r="258"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>
            <v>102.74725274725274</v>
          </cell>
          <cell r="R258">
            <v>131.5934065934066</v>
          </cell>
          <cell r="S258">
            <v>152.19780219780219</v>
          </cell>
          <cell r="T258">
            <v>171.7032967032967</v>
          </cell>
          <cell r="U258">
            <v>170.87912087912088</v>
          </cell>
          <cell r="V258">
            <v>213.18681318681317</v>
          </cell>
          <cell r="W258">
            <v>167.58241758241758</v>
          </cell>
          <cell r="X258">
            <v>201.37362637362637</v>
          </cell>
          <cell r="Y258">
            <v>309.34065934065933</v>
          </cell>
          <cell r="Z258">
            <v>324.45054945054943</v>
          </cell>
          <cell r="AA258">
            <v>305.76923076923077</v>
          </cell>
          <cell r="AB258">
            <v>303.2967032967033</v>
          </cell>
          <cell r="AC258">
            <v>293.13186813186815</v>
          </cell>
          <cell r="AD258">
            <v>517.7923274537402</v>
          </cell>
          <cell r="AE258">
            <v>581.78664641987632</v>
          </cell>
          <cell r="AF258">
            <v>623.48919445670322</v>
          </cell>
          <cell r="AG258">
            <v>677.69684633302165</v>
          </cell>
          <cell r="AH258">
            <v>717.14647790832248</v>
          </cell>
          <cell r="AI258">
            <v>761.06758584136855</v>
          </cell>
          <cell r="AJ258">
            <v>809.78800227194358</v>
          </cell>
          <cell r="AK258">
            <v>860.66606296879706</v>
          </cell>
          <cell r="AL258">
            <v>901.05683887556165</v>
          </cell>
          <cell r="AM258">
            <v>945.40938860662664</v>
          </cell>
        </row>
        <row r="259"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>
            <v>18.956043956043956</v>
          </cell>
          <cell r="R259">
            <v>23.076923076923077</v>
          </cell>
          <cell r="S259">
            <v>26.373626373626372</v>
          </cell>
          <cell r="T259">
            <v>33.516483516483518</v>
          </cell>
          <cell r="U259">
            <v>40.109890109890109</v>
          </cell>
          <cell r="V259">
            <v>64.560439560439562</v>
          </cell>
          <cell r="W259">
            <v>63.736263736263737</v>
          </cell>
          <cell r="X259">
            <v>63.186813186813183</v>
          </cell>
          <cell r="Y259">
            <v>74.72527472527473</v>
          </cell>
          <cell r="Z259">
            <v>73.07692307692308</v>
          </cell>
          <cell r="AA259">
            <v>73.901098901098905</v>
          </cell>
          <cell r="AB259">
            <v>90.934065934065927</v>
          </cell>
          <cell r="AC259">
            <v>92.307692307692307</v>
          </cell>
          <cell r="AD259">
            <v>66.98089871513973</v>
          </cell>
          <cell r="AE259">
            <v>75.404965454826524</v>
          </cell>
          <cell r="AF259">
            <v>80.896928591126965</v>
          </cell>
          <cell r="AG259">
            <v>88.033661306459507</v>
          </cell>
          <cell r="AH259">
            <v>93.229213797287187</v>
          </cell>
          <cell r="AI259">
            <v>99.012864108010191</v>
          </cell>
          <cell r="AJ259">
            <v>105.4277326229509</v>
          </cell>
          <cell r="AK259">
            <v>112.12635845430287</v>
          </cell>
          <cell r="AL259">
            <v>117.44553979319956</v>
          </cell>
          <cell r="AM259">
            <v>123.28577816777474</v>
          </cell>
        </row>
        <row r="260"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>
            <v>37.912087912087912</v>
          </cell>
          <cell r="R260">
            <v>42.857142857142854</v>
          </cell>
          <cell r="S260">
            <v>51.92307692307692</v>
          </cell>
          <cell r="T260">
            <v>52.747252747252745</v>
          </cell>
          <cell r="U260">
            <v>67.032967032967036</v>
          </cell>
          <cell r="V260">
            <v>67.857142857142861</v>
          </cell>
          <cell r="W260">
            <v>72.527472527472526</v>
          </cell>
          <cell r="X260">
            <v>93.406593406593402</v>
          </cell>
          <cell r="Y260">
            <v>94.230769230769226</v>
          </cell>
          <cell r="Z260">
            <v>111.26373626373626</v>
          </cell>
          <cell r="AA260">
            <v>87.087912087912088</v>
          </cell>
          <cell r="AB260">
            <v>92.307692307692307</v>
          </cell>
          <cell r="AC260">
            <v>101.92307692307692</v>
          </cell>
          <cell r="AD260">
            <v>118.90254098326112</v>
          </cell>
          <cell r="AE260">
            <v>134.70077524120478</v>
          </cell>
          <cell r="AF260">
            <v>145.01350939869585</v>
          </cell>
          <cell r="AG260">
            <v>158.40298021433352</v>
          </cell>
          <cell r="AH260">
            <v>168.16073447351201</v>
          </cell>
          <cell r="AI260">
            <v>179.01844802223664</v>
          </cell>
          <cell r="AJ260">
            <v>191.0567901901224</v>
          </cell>
          <cell r="AK260">
            <v>203.6257461314384</v>
          </cell>
          <cell r="AL260">
            <v>213.61386434028321</v>
          </cell>
          <cell r="AM260">
            <v>224.57653011587777</v>
          </cell>
        </row>
        <row r="261"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24.450549450549449</v>
          </cell>
          <cell r="R261">
            <v>37.087912087912088</v>
          </cell>
          <cell r="S261">
            <v>45.329670329670328</v>
          </cell>
          <cell r="T261">
            <v>41.758241758241759</v>
          </cell>
          <cell r="U261">
            <v>62.362637362637358</v>
          </cell>
          <cell r="V261">
            <v>64.835164835164832</v>
          </cell>
          <cell r="W261">
            <v>71.153846153846146</v>
          </cell>
          <cell r="X261">
            <v>102.47252747252747</v>
          </cell>
          <cell r="Y261">
            <v>74.450549450549445</v>
          </cell>
          <cell r="Z261">
            <v>68.681318681318686</v>
          </cell>
          <cell r="AA261">
            <v>53.846153846153847</v>
          </cell>
          <cell r="AB261">
            <v>95.879120879120876</v>
          </cell>
          <cell r="AC261">
            <v>81.593406593406584</v>
          </cell>
          <cell r="AD261">
            <v>81.512506929529351</v>
          </cell>
          <cell r="AE261">
            <v>90.846137198928659</v>
          </cell>
          <cell r="AF261">
            <v>96.916638852581414</v>
          </cell>
          <cell r="AG261">
            <v>104.81799728898237</v>
          </cell>
          <cell r="AH261">
            <v>110.55910595193141</v>
          </cell>
          <cell r="AI261">
            <v>116.9550094846241</v>
          </cell>
          <cell r="AJ261">
            <v>124.05369866395894</v>
          </cell>
          <cell r="AK261">
            <v>131.46845354146086</v>
          </cell>
          <cell r="AL261">
            <v>137.3481554901135</v>
          </cell>
          <cell r="AM261">
            <v>143.80803094264959</v>
          </cell>
        </row>
        <row r="262"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14.010989010989011</v>
          </cell>
          <cell r="R262">
            <v>18.956043956043956</v>
          </cell>
          <cell r="S262">
            <v>20.87912087912088</v>
          </cell>
          <cell r="T262">
            <v>26.648351648351646</v>
          </cell>
          <cell r="U262">
            <v>29.395604395604394</v>
          </cell>
          <cell r="V262">
            <v>23.35164835164835</v>
          </cell>
          <cell r="W262">
            <v>28.571428571428569</v>
          </cell>
          <cell r="X262">
            <v>44.505494505494504</v>
          </cell>
          <cell r="Y262">
            <v>44.505494505494504</v>
          </cell>
          <cell r="Z262">
            <v>34.615384615384613</v>
          </cell>
          <cell r="AA262">
            <v>28.021978021978022</v>
          </cell>
          <cell r="AB262">
            <v>47.802197802197803</v>
          </cell>
          <cell r="AC262">
            <v>41.208791208791204</v>
          </cell>
          <cell r="AD262">
            <v>48.085027844804451</v>
          </cell>
          <cell r="AE262">
            <v>54.192619369685154</v>
          </cell>
          <cell r="AF262">
            <v>58.175330073331033</v>
          </cell>
          <cell r="AG262">
            <v>63.349971042545448</v>
          </cell>
          <cell r="AH262">
            <v>67.117842954558569</v>
          </cell>
          <cell r="AI262">
            <v>71.311886624438984</v>
          </cell>
          <cell r="AJ262">
            <v>75.9633510326085</v>
          </cell>
          <cell r="AK262">
            <v>80.820435093387019</v>
          </cell>
          <cell r="AL262">
            <v>84.67783436418992</v>
          </cell>
          <cell r="AM262">
            <v>88.912822049389248</v>
          </cell>
        </row>
        <row r="263"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220.60439560439559</v>
          </cell>
          <cell r="R263">
            <v>216.20879120879121</v>
          </cell>
          <cell r="S263">
            <v>266.4835164835165</v>
          </cell>
          <cell r="T263">
            <v>315.1098901098901</v>
          </cell>
          <cell r="U263">
            <v>258.79120879120876</v>
          </cell>
          <cell r="V263">
            <v>412.63736263736263</v>
          </cell>
          <cell r="W263">
            <v>502.19780219780216</v>
          </cell>
          <cell r="X263">
            <v>364.56043956043953</v>
          </cell>
          <cell r="Y263">
            <v>385.43956043956041</v>
          </cell>
          <cell r="Z263">
            <v>385.43956043956041</v>
          </cell>
          <cell r="AA263">
            <v>362.36263736263737</v>
          </cell>
          <cell r="AB263">
            <v>407.41758241758242</v>
          </cell>
          <cell r="AC263">
            <v>546.97802197802196</v>
          </cell>
          <cell r="AD263">
            <v>499.4243506924243</v>
          </cell>
          <cell r="AE263">
            <v>508.80447707353983</v>
          </cell>
          <cell r="AF263">
            <v>534.7935924954736</v>
          </cell>
          <cell r="AG263">
            <v>564.9546510975531</v>
          </cell>
          <cell r="AH263">
            <v>570.58073995126597</v>
          </cell>
          <cell r="AI263">
            <v>577.45637395627045</v>
          </cell>
          <cell r="AJ263">
            <v>585.30155171131719</v>
          </cell>
          <cell r="AK263">
            <v>593.47618916547424</v>
          </cell>
          <cell r="AL263">
            <v>593.31021698116115</v>
          </cell>
          <cell r="AM263">
            <v>594.37191179222316</v>
          </cell>
        </row>
        <row r="264">
          <cell r="D264">
            <v>970.32967032967031</v>
          </cell>
          <cell r="E264">
            <v>1112.0879120879119</v>
          </cell>
          <cell r="F264">
            <v>972.25274725274721</v>
          </cell>
          <cell r="G264">
            <v>956.5934065934066</v>
          </cell>
          <cell r="H264">
            <v>968.4065934065934</v>
          </cell>
          <cell r="I264">
            <v>998.35164835164835</v>
          </cell>
          <cell r="J264">
            <v>1059.8901098901099</v>
          </cell>
          <cell r="K264">
            <v>1198.0769230769231</v>
          </cell>
          <cell r="L264">
            <v>1154.3956043956043</v>
          </cell>
          <cell r="M264">
            <v>1137.0879120879119</v>
          </cell>
          <cell r="N264">
            <v>867.03296703296701</v>
          </cell>
          <cell r="O264">
            <v>847.80219780219772</v>
          </cell>
          <cell r="P264">
            <v>902.19780219780216</v>
          </cell>
          <cell r="Q264">
            <v>116.75824175824175</v>
          </cell>
          <cell r="R264">
            <v>50.27472527472527</v>
          </cell>
          <cell r="S264">
            <v>20.329670329670328</v>
          </cell>
          <cell r="T264">
            <v>20.604395604395602</v>
          </cell>
          <cell r="U264">
            <v>39.010989010989007</v>
          </cell>
          <cell r="V264">
            <v>21.428571428571427</v>
          </cell>
          <cell r="W264">
            <v>18.406593406593405</v>
          </cell>
          <cell r="X264">
            <v>14.285714285714285</v>
          </cell>
          <cell r="Y264">
            <v>9.615384615384615</v>
          </cell>
          <cell r="Z264">
            <v>187.91208791208791</v>
          </cell>
          <cell r="AA264">
            <v>445.60439560439556</v>
          </cell>
          <cell r="AB264">
            <v>10.714285714285714</v>
          </cell>
          <cell r="AC264">
            <v>10.43956043956044</v>
          </cell>
          <cell r="AD264">
            <v>10.43956043956044</v>
          </cell>
          <cell r="AE264">
            <v>10.43956043956044</v>
          </cell>
          <cell r="AF264">
            <v>10.43956043956044</v>
          </cell>
          <cell r="AG264">
            <v>10.43956043956044</v>
          </cell>
          <cell r="AH264">
            <v>10.43956043956044</v>
          </cell>
          <cell r="AI264">
            <v>10.43956043956044</v>
          </cell>
          <cell r="AJ264">
            <v>10.43956043956044</v>
          </cell>
          <cell r="AK264">
            <v>10.43956043956044</v>
          </cell>
          <cell r="AL264">
            <v>10.43956043956044</v>
          </cell>
          <cell r="AM264">
            <v>10.43956043956044</v>
          </cell>
        </row>
        <row r="265"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>
            <v>23.901098901098901</v>
          </cell>
          <cell r="R265">
            <v>20.604395604395602</v>
          </cell>
          <cell r="S265">
            <v>21.978021978021978</v>
          </cell>
          <cell r="T265">
            <v>26.648351648351646</v>
          </cell>
          <cell r="U265">
            <v>36.81318681318681</v>
          </cell>
          <cell r="V265">
            <v>21.153846153846153</v>
          </cell>
          <cell r="W265">
            <v>15.934065934065934</v>
          </cell>
          <cell r="X265">
            <v>21.428571428571427</v>
          </cell>
          <cell r="Y265">
            <v>22.802197802197803</v>
          </cell>
          <cell r="Z265">
            <v>25.549450549450547</v>
          </cell>
          <cell r="AA265">
            <v>25.824175824175825</v>
          </cell>
          <cell r="AB265">
            <v>36.81318681318681</v>
          </cell>
          <cell r="AC265">
            <v>39.560439560439562</v>
          </cell>
          <cell r="AD265">
            <v>46.419715692907289</v>
          </cell>
          <cell r="AE265">
            <v>53.141934353882313</v>
          </cell>
          <cell r="AF265">
            <v>61.552482663108187</v>
          </cell>
          <cell r="AG265">
            <v>71.681747460706475</v>
          </cell>
          <cell r="AH265">
            <v>85.315481071436025</v>
          </cell>
          <cell r="AI265">
            <v>98.196055864981631</v>
          </cell>
          <cell r="AJ265">
            <v>114.27081372491982</v>
          </cell>
          <cell r="AK265">
            <v>132.79253702420033</v>
          </cell>
          <cell r="AL265">
            <v>154.69864930390099</v>
          </cell>
          <cell r="AM265">
            <v>180.3912276954967</v>
          </cell>
        </row>
        <row r="266"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>
            <v>-46.428571428571423</v>
          </cell>
          <cell r="R266">
            <v>-49.450549450549445</v>
          </cell>
          <cell r="S266">
            <v>-52.747252747252745</v>
          </cell>
          <cell r="T266">
            <v>-60.714285714285715</v>
          </cell>
          <cell r="U266">
            <v>-64.010989010989007</v>
          </cell>
          <cell r="V266">
            <v>-107.41758241758241</v>
          </cell>
          <cell r="W266">
            <v>-82.142857142857139</v>
          </cell>
          <cell r="X266">
            <v>-37.912087912087912</v>
          </cell>
          <cell r="Y266">
            <v>-70.054945054945051</v>
          </cell>
          <cell r="Z266">
            <v>-93.406593406593402</v>
          </cell>
          <cell r="AA266">
            <v>-219.78021978021977</v>
          </cell>
          <cell r="AB266">
            <v>-195.87912087912088</v>
          </cell>
          <cell r="AC266">
            <v>-195.87912087912088</v>
          </cell>
          <cell r="AD266">
            <v>-197.84905212067412</v>
          </cell>
          <cell r="AE266">
            <v>-255.61595472545227</v>
          </cell>
          <cell r="AF266">
            <v>-301.75420024440194</v>
          </cell>
          <cell r="AG266">
            <v>-369.5991579908885</v>
          </cell>
          <cell r="AH266">
            <v>-445.73719153834503</v>
          </cell>
          <cell r="AI266">
            <v>-526.95300982252081</v>
          </cell>
          <cell r="AJ266">
            <v>-633.12509668820894</v>
          </cell>
          <cell r="AK266">
            <v>-775.14460562992838</v>
          </cell>
          <cell r="AL266">
            <v>-961.03533526850492</v>
          </cell>
          <cell r="AM266">
            <v>-1249.5645689510661</v>
          </cell>
        </row>
        <row r="267">
          <cell r="D267">
            <v>970.32967032967031</v>
          </cell>
          <cell r="E267">
            <v>1112.0879120879119</v>
          </cell>
          <cell r="F267">
            <v>972.25274725274721</v>
          </cell>
          <cell r="G267">
            <v>956.5934065934066</v>
          </cell>
          <cell r="H267">
            <v>968.4065934065934</v>
          </cell>
          <cell r="I267">
            <v>998.35164835164835</v>
          </cell>
          <cell r="J267">
            <v>1059.8901098901099</v>
          </cell>
          <cell r="K267">
            <v>1198.0769230769231</v>
          </cell>
          <cell r="L267">
            <v>1154.3956043956043</v>
          </cell>
          <cell r="M267">
            <v>1137.0879120879119</v>
          </cell>
          <cell r="N267">
            <v>867.03296703296701</v>
          </cell>
          <cell r="O267">
            <v>847.80219780219772</v>
          </cell>
          <cell r="P267">
            <v>902.19780219780216</v>
          </cell>
          <cell r="Q267">
            <v>1407.6923076923078</v>
          </cell>
          <cell r="R267">
            <v>1506.5934065934068</v>
          </cell>
          <cell r="S267">
            <v>1609.3406593406594</v>
          </cell>
          <cell r="T267">
            <v>1835.7142857142856</v>
          </cell>
          <cell r="U267">
            <v>1952.7472527472528</v>
          </cell>
          <cell r="V267">
            <v>2104.3956043956046</v>
          </cell>
          <cell r="W267">
            <v>2131.8681318681315</v>
          </cell>
          <cell r="X267">
            <v>2139.5604395604396</v>
          </cell>
          <cell r="Y267">
            <v>2410.4395604395609</v>
          </cell>
          <cell r="Z267">
            <v>2548.3516483516482</v>
          </cell>
          <cell r="AA267">
            <v>2636.2637362637361</v>
          </cell>
          <cell r="AB267">
            <v>2513.1868131868132</v>
          </cell>
          <cell r="AC267">
            <v>2668.4065934065934</v>
          </cell>
          <cell r="AD267">
            <v>2822.3302807637251</v>
          </cell>
          <cell r="AE267">
            <v>3092.2455346196621</v>
          </cell>
          <cell r="AF267">
            <v>3293.1164953003522</v>
          </cell>
          <cell r="AG267">
            <v>3600.3206299029998</v>
          </cell>
          <cell r="AH267">
            <v>3920.4672590221294</v>
          </cell>
          <cell r="AI267">
            <v>4265.4318121022734</v>
          </cell>
          <cell r="AJ267">
            <v>4760.6326030672171</v>
          </cell>
          <cell r="AK267">
            <v>5458.7896827123377</v>
          </cell>
          <cell r="AL267">
            <v>6401.9216933455809</v>
          </cell>
          <cell r="AM267">
            <v>7769.9897250882295</v>
          </cell>
        </row>
        <row r="268"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>
            <v>-107.14285714285714</v>
          </cell>
          <cell r="R268">
            <v>-137.63736263736263</v>
          </cell>
          <cell r="S268">
            <v>-150.82417582417582</v>
          </cell>
          <cell r="T268">
            <v>-152.19780219780219</v>
          </cell>
          <cell r="U268">
            <v>-162.91208791208791</v>
          </cell>
          <cell r="V268">
            <v>-169.50549450549451</v>
          </cell>
          <cell r="W268">
            <v>-182.69230769230768</v>
          </cell>
          <cell r="X268">
            <v>-183.5164835164835</v>
          </cell>
          <cell r="Y268">
            <v>-196.97802197802199</v>
          </cell>
          <cell r="Z268">
            <v>-182.41758241758242</v>
          </cell>
          <cell r="AA268">
            <v>-175</v>
          </cell>
          <cell r="AB268">
            <v>-174.72527472527472</v>
          </cell>
          <cell r="AC268">
            <v>-174.72527472527472</v>
          </cell>
          <cell r="AD268">
            <v>-158.40287147042582</v>
          </cell>
          <cell r="AE268">
            <v>-157.28597323294929</v>
          </cell>
          <cell r="AF268">
            <v>-184.82567844648028</v>
          </cell>
          <cell r="AG268">
            <v>-183.12903289376385</v>
          </cell>
          <cell r="AH268">
            <v>-220.03564769423375</v>
          </cell>
          <cell r="AI268">
            <v>-216.95967746229005</v>
          </cell>
          <cell r="AJ268">
            <v>-267.18980392950863</v>
          </cell>
          <cell r="AK268">
            <v>-277.65940262728748</v>
          </cell>
          <cell r="AL268">
            <v>-359.30691247104465</v>
          </cell>
          <cell r="AM268">
            <v>-395.21777369817903</v>
          </cell>
        </row>
        <row r="269">
          <cell r="D269">
            <v>970.32967032967031</v>
          </cell>
          <cell r="E269">
            <v>1112.0879120879119</v>
          </cell>
          <cell r="F269">
            <v>972.25274725274721</v>
          </cell>
          <cell r="G269">
            <v>956.5934065934066</v>
          </cell>
          <cell r="H269">
            <v>968.4065934065934</v>
          </cell>
          <cell r="I269">
            <v>998.35164835164835</v>
          </cell>
          <cell r="J269">
            <v>1059.8901098901099</v>
          </cell>
          <cell r="K269">
            <v>1198.0769230769231</v>
          </cell>
          <cell r="L269">
            <v>1154.3956043956043</v>
          </cell>
          <cell r="M269">
            <v>1137.0879120879119</v>
          </cell>
          <cell r="N269">
            <v>867.03296703296701</v>
          </cell>
          <cell r="O269">
            <v>847.80219780219772</v>
          </cell>
          <cell r="P269">
            <v>902.19780219780216</v>
          </cell>
          <cell r="Q269">
            <v>1300.5494505494507</v>
          </cell>
          <cell r="R269">
            <v>1368.9560439560441</v>
          </cell>
          <cell r="S269">
            <v>1458.5164835164835</v>
          </cell>
          <cell r="T269">
            <v>1683.5164835164833</v>
          </cell>
          <cell r="U269">
            <v>1789.835164835165</v>
          </cell>
          <cell r="V269">
            <v>1934.8901098901101</v>
          </cell>
          <cell r="W269">
            <v>1949.1758241758239</v>
          </cell>
          <cell r="X269">
            <v>1956.0439560439561</v>
          </cell>
          <cell r="Y269">
            <v>2213.461538461539</v>
          </cell>
          <cell r="Z269">
            <v>2365.934065934066</v>
          </cell>
          <cell r="AA269">
            <v>2461.2637362637361</v>
          </cell>
          <cell r="AB269">
            <v>2338.4615384615386</v>
          </cell>
          <cell r="AC269">
            <v>2493.6813186813188</v>
          </cell>
          <cell r="AD269">
            <v>2980.733152234151</v>
          </cell>
          <cell r="AE269">
            <v>3249.5315078526114</v>
          </cell>
          <cell r="AF269">
            <v>3477.9421737468324</v>
          </cell>
          <cell r="AG269">
            <v>3783.4496627967637</v>
          </cell>
          <cell r="AH269">
            <v>4140.5029067163632</v>
          </cell>
          <cell r="AI269">
            <v>4482.391489564563</v>
          </cell>
          <cell r="AJ269">
            <v>5027.8224069967255</v>
          </cell>
          <cell r="AK269">
            <v>5736.4490853396255</v>
          </cell>
          <cell r="AL269">
            <v>6761.2286058166255</v>
          </cell>
          <cell r="AM269">
            <v>8165.2074987864089</v>
          </cell>
        </row>
        <row r="270"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>
            <v>251.64835164835165</v>
          </cell>
          <cell r="O270">
            <v>310.43956043956041</v>
          </cell>
          <cell r="P270">
            <v>318.4065934065934</v>
          </cell>
          <cell r="Q270">
            <v>321.97802197802196</v>
          </cell>
          <cell r="R270">
            <v>314.56043956043953</v>
          </cell>
          <cell r="S270">
            <v>381.04395604395603</v>
          </cell>
          <cell r="T270">
            <v>454.39560439560438</v>
          </cell>
          <cell r="U270">
            <v>412.08791208791206</v>
          </cell>
          <cell r="V270">
            <v>450.82417582417582</v>
          </cell>
          <cell r="W270">
            <v>463.73626373626371</v>
          </cell>
          <cell r="X270">
            <v>345.05494505494505</v>
          </cell>
          <cell r="Y270">
            <v>300.54945054945051</v>
          </cell>
          <cell r="Z270">
            <v>250</v>
          </cell>
          <cell r="AA270">
            <v>221.7032967032967</v>
          </cell>
          <cell r="AB270">
            <v>329.12087912087912</v>
          </cell>
          <cell r="AC270">
            <v>280.49450549450546</v>
          </cell>
          <cell r="AD270">
            <v>265.08985410267314</v>
          </cell>
          <cell r="AE270">
            <v>259.41193150452682</v>
          </cell>
          <cell r="AF270">
            <v>258.50610258528707</v>
          </cell>
          <cell r="AG270">
            <v>264.69935478607647</v>
          </cell>
          <cell r="AH270">
            <v>277.09133498174953</v>
          </cell>
          <cell r="AI270">
            <v>269.84985682629468</v>
          </cell>
          <cell r="AJ270">
            <v>268.2671388697832</v>
          </cell>
          <cell r="AK270">
            <v>268.8869861794289</v>
          </cell>
          <cell r="AL270">
            <v>270.57168774083641</v>
          </cell>
          <cell r="AM270">
            <v>272.7069537665173</v>
          </cell>
        </row>
        <row r="271"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>
            <v>93.956043956043956</v>
          </cell>
          <cell r="R271">
            <v>96.978021978021971</v>
          </cell>
          <cell r="S271">
            <v>103.02197802197801</v>
          </cell>
          <cell r="T271">
            <v>110.43956043956044</v>
          </cell>
          <cell r="U271">
            <v>122.8021978021978</v>
          </cell>
          <cell r="V271">
            <v>117.58241758241758</v>
          </cell>
          <cell r="W271">
            <v>125.54945054945054</v>
          </cell>
          <cell r="X271">
            <v>104.94505494505493</v>
          </cell>
          <cell r="Y271">
            <v>129.12087912087912</v>
          </cell>
          <cell r="Z271">
            <v>154.67032967032966</v>
          </cell>
          <cell r="AA271">
            <v>100</v>
          </cell>
          <cell r="AB271">
            <v>101.64835164835165</v>
          </cell>
          <cell r="AC271">
            <v>98.07692307692308</v>
          </cell>
          <cell r="AD271">
            <v>162.0406046760952</v>
          </cell>
          <cell r="AE271">
            <v>172.61511638616489</v>
          </cell>
          <cell r="AF271">
            <v>174.83268277027236</v>
          </cell>
          <cell r="AG271">
            <v>179.66328082648516</v>
          </cell>
          <cell r="AH271">
            <v>179.47765297017844</v>
          </cell>
          <cell r="AI271">
            <v>179.79527158072656</v>
          </cell>
          <cell r="AJ271">
            <v>180.56930627478596</v>
          </cell>
          <cell r="AK271">
            <v>181.10519132891611</v>
          </cell>
          <cell r="AL271">
            <v>178.80943231887599</v>
          </cell>
          <cell r="AM271">
            <v>176.92533167706014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251.64835164835165</v>
          </cell>
          <cell r="O272">
            <v>310.43956043956041</v>
          </cell>
          <cell r="P272">
            <v>318.4065934065934</v>
          </cell>
          <cell r="Q272">
            <v>415.93406593406593</v>
          </cell>
          <cell r="R272">
            <v>411.53846153846149</v>
          </cell>
          <cell r="S272">
            <v>484.06593406593402</v>
          </cell>
          <cell r="T272">
            <v>564.83516483516485</v>
          </cell>
          <cell r="U272">
            <v>534.8901098901099</v>
          </cell>
          <cell r="V272">
            <v>568.4065934065934</v>
          </cell>
          <cell r="W272">
            <v>589.28571428571422</v>
          </cell>
          <cell r="X272">
            <v>450</v>
          </cell>
          <cell r="Y272">
            <v>429.67032967032964</v>
          </cell>
          <cell r="Z272">
            <v>404.67032967032969</v>
          </cell>
          <cell r="AA272">
            <v>321.7032967032967</v>
          </cell>
          <cell r="AB272">
            <v>430.76923076923077</v>
          </cell>
          <cell r="AC272">
            <v>378.57142857142856</v>
          </cell>
          <cell r="AD272">
            <v>427.13045877876834</v>
          </cell>
          <cell r="AE272">
            <v>432.02704789069173</v>
          </cell>
          <cell r="AF272">
            <v>433.33878535555942</v>
          </cell>
          <cell r="AG272">
            <v>444.36263561256163</v>
          </cell>
          <cell r="AH272">
            <v>456.56898795192797</v>
          </cell>
          <cell r="AI272">
            <v>449.64512840702128</v>
          </cell>
          <cell r="AJ272">
            <v>448.83644514456915</v>
          </cell>
          <cell r="AK272">
            <v>449.99217750834498</v>
          </cell>
          <cell r="AL272">
            <v>449.38112005971243</v>
          </cell>
          <cell r="AM272">
            <v>449.63228544357742</v>
          </cell>
        </row>
        <row r="273">
          <cell r="D273">
            <v>970.32967032967031</v>
          </cell>
          <cell r="E273">
            <v>1112.0879120879119</v>
          </cell>
          <cell r="F273">
            <v>972.25274725274721</v>
          </cell>
          <cell r="G273">
            <v>956.5934065934066</v>
          </cell>
          <cell r="H273">
            <v>968.4065934065934</v>
          </cell>
          <cell r="I273">
            <v>998.35164835164835</v>
          </cell>
          <cell r="J273">
            <v>1059.8901098901099</v>
          </cell>
          <cell r="K273">
            <v>1198.0769230769231</v>
          </cell>
          <cell r="L273">
            <v>1154.3956043956043</v>
          </cell>
          <cell r="M273">
            <v>1137.0879120879119</v>
          </cell>
          <cell r="N273">
            <v>1118.6813186813188</v>
          </cell>
          <cell r="O273">
            <v>1158.2417582417581</v>
          </cell>
          <cell r="P273">
            <v>1220.6043956043954</v>
          </cell>
          <cell r="Q273">
            <v>1716.4835164835167</v>
          </cell>
          <cell r="R273">
            <v>1780.4945054945056</v>
          </cell>
          <cell r="S273">
            <v>1942.5824175824175</v>
          </cell>
          <cell r="T273">
            <v>2248.3516483516482</v>
          </cell>
          <cell r="U273">
            <v>2324.7252747252751</v>
          </cell>
          <cell r="V273">
            <v>2503.2967032967035</v>
          </cell>
          <cell r="W273">
            <v>2538.4615384615381</v>
          </cell>
          <cell r="X273">
            <v>2406.0439560439563</v>
          </cell>
          <cell r="Y273">
            <v>2643.1318681318685</v>
          </cell>
          <cell r="Z273">
            <v>2770.6043956043959</v>
          </cell>
          <cell r="AA273">
            <v>2782.9670329670325</v>
          </cell>
          <cell r="AB273">
            <v>2769.2307692307695</v>
          </cell>
          <cell r="AC273">
            <v>2872.2527472527472</v>
          </cell>
          <cell r="AD273">
            <v>3407.8636110129191</v>
          </cell>
          <cell r="AE273">
            <v>3681.5585557433033</v>
          </cell>
          <cell r="AF273">
            <v>3911.280959102392</v>
          </cell>
          <cell r="AG273">
            <v>4227.8122984093252</v>
          </cell>
          <cell r="AH273">
            <v>4597.071894668291</v>
          </cell>
          <cell r="AI273">
            <v>4932.0366179715838</v>
          </cell>
          <cell r="AJ273">
            <v>5476.658852141295</v>
          </cell>
          <cell r="AK273">
            <v>6186.4412628479704</v>
          </cell>
          <cell r="AL273">
            <v>7210.6097258763384</v>
          </cell>
          <cell r="AM273">
            <v>8614.8397842299855</v>
          </cell>
        </row>
      </sheetData>
      <sheetData sheetId="22" refreshError="1">
        <row r="4">
          <cell r="D4">
            <v>1662.6806005450155</v>
          </cell>
          <cell r="E4">
            <v>1389.8053943325365</v>
          </cell>
          <cell r="F4">
            <v>1111.9688086909553</v>
          </cell>
          <cell r="G4">
            <v>1038.9219177377684</v>
          </cell>
          <cell r="H4">
            <v>888.28132943727155</v>
          </cell>
          <cell r="I4">
            <v>831.31494720138699</v>
          </cell>
          <cell r="J4">
            <v>1023.5736634580959</v>
          </cell>
          <cell r="K4">
            <v>1071.8202031075712</v>
          </cell>
          <cell r="L4">
            <v>1157.0095043116444</v>
          </cell>
          <cell r="M4">
            <v>1264.9874690021868</v>
          </cell>
          <cell r="N4">
            <v>1220.9113178464879</v>
          </cell>
          <cell r="O4">
            <v>1323.416586348651</v>
          </cell>
          <cell r="P4">
            <v>1479.5132985849009</v>
          </cell>
          <cell r="Q4">
            <v>1477.1649519239597</v>
          </cell>
          <cell r="R4">
            <v>1576.5633096766924</v>
          </cell>
          <cell r="S4">
            <v>1727.7354395604395</v>
          </cell>
          <cell r="T4">
            <v>1760.7781395348838</v>
          </cell>
          <cell r="U4">
            <v>1760.9417777777778</v>
          </cell>
          <cell r="V4">
            <v>1549.9909600433919</v>
          </cell>
          <cell r="W4">
            <v>1553.518821603928</v>
          </cell>
          <cell r="X4">
            <v>1550.6552165595017</v>
          </cell>
          <cell r="Y4">
            <v>1440.3488372093025</v>
          </cell>
          <cell r="Z4">
            <v>1546.4828897338405</v>
          </cell>
          <cell r="AA4">
            <v>2018.3510638297873</v>
          </cell>
          <cell r="AB4">
            <v>2518.3061892099568</v>
          </cell>
          <cell r="AC4">
            <v>2673.7531718844048</v>
          </cell>
          <cell r="AD4">
            <v>3375.0577886714682</v>
          </cell>
          <cell r="AE4">
            <v>3696.1204814801727</v>
          </cell>
          <cell r="AF4">
            <v>3977.2610768241857</v>
          </cell>
          <cell r="AG4">
            <v>4285.9469867942025</v>
          </cell>
          <cell r="AH4">
            <v>4624.7544080918233</v>
          </cell>
          <cell r="AI4">
            <v>5020.4078138894065</v>
          </cell>
          <cell r="AJ4">
            <v>5456.8806099407911</v>
          </cell>
          <cell r="AK4">
            <v>5937.8548697520391</v>
          </cell>
          <cell r="AL4">
            <v>6467.4259162146273</v>
          </cell>
          <cell r="AM4">
            <v>7053.0072522121691</v>
          </cell>
        </row>
        <row r="5">
          <cell r="D5">
            <v>1536.1959483778089</v>
          </cell>
          <cell r="E5">
            <v>1283.3982018891543</v>
          </cell>
          <cell r="F5">
            <v>1017.6326556935297</v>
          </cell>
          <cell r="G5">
            <v>945.7943383370864</v>
          </cell>
          <cell r="H5">
            <v>805.90208683853166</v>
          </cell>
          <cell r="I5">
            <v>762.97445310901321</v>
          </cell>
          <cell r="J5">
            <v>943.46545629373441</v>
          </cell>
          <cell r="K5">
            <v>979.00685996310222</v>
          </cell>
          <cell r="L5">
            <v>1053.4521920586799</v>
          </cell>
          <cell r="M5">
            <v>1150.6135994415952</v>
          </cell>
          <cell r="N5">
            <v>1089.1040283941632</v>
          </cell>
          <cell r="O5">
            <v>1178.6271378240324</v>
          </cell>
          <cell r="P5">
            <v>1309.5861244165073</v>
          </cell>
          <cell r="Q5">
            <v>1239.9979802554672</v>
          </cell>
          <cell r="R5">
            <v>1308.1730877548721</v>
          </cell>
          <cell r="S5">
            <v>1404.6585164835165</v>
          </cell>
          <cell r="T5">
            <v>1412.4060465116279</v>
          </cell>
          <cell r="U5">
            <v>1362.2751111111111</v>
          </cell>
          <cell r="V5">
            <v>1220.0325438437897</v>
          </cell>
          <cell r="W5">
            <v>1224.8772504091653</v>
          </cell>
          <cell r="X5">
            <v>1313.7415670536111</v>
          </cell>
          <cell r="Y5">
            <v>1219.8837209302326</v>
          </cell>
          <cell r="Z5">
            <v>1265.1140684410648</v>
          </cell>
          <cell r="AA5">
            <v>1598.5372340425533</v>
          </cell>
          <cell r="AB5">
            <v>2061.4437606431406</v>
          </cell>
          <cell r="AC5">
            <v>2276.4516308101392</v>
          </cell>
          <cell r="AD5">
            <v>2956.3457668740957</v>
          </cell>
          <cell r="AE5">
            <v>3254.8441735061456</v>
          </cell>
          <cell r="AF5">
            <v>3512.204498932515</v>
          </cell>
          <cell r="AG5">
            <v>3795.8286261840944</v>
          </cell>
          <cell r="AH5">
            <v>4108.2236915580261</v>
          </cell>
          <cell r="AI5">
            <v>4476.0413861742827</v>
          </cell>
          <cell r="AJ5">
            <v>4883.178411527706</v>
          </cell>
          <cell r="AK5">
            <v>5333.2360032920224</v>
          </cell>
          <cell r="AL5">
            <v>5830.224290195797</v>
          </cell>
          <cell r="AM5">
            <v>6381.4669898675902</v>
          </cell>
        </row>
        <row r="6">
          <cell r="D6">
            <v>126.48465216720655</v>
          </cell>
          <cell r="E6">
            <v>106.40719244338227</v>
          </cell>
          <cell r="F6">
            <v>94.336152997425529</v>
          </cell>
          <cell r="G6">
            <v>93.127579400681853</v>
          </cell>
          <cell r="H6">
            <v>82.379242598739921</v>
          </cell>
          <cell r="I6">
            <v>68.340494092373788</v>
          </cell>
          <cell r="J6">
            <v>80.108207164361446</v>
          </cell>
          <cell r="K6">
            <v>92.813343144468973</v>
          </cell>
          <cell r="L6">
            <v>103.55731225296442</v>
          </cell>
          <cell r="M6">
            <v>114.37386956059154</v>
          </cell>
          <cell r="N6">
            <v>131.80728945232482</v>
          </cell>
          <cell r="O6">
            <v>144.78944852461865</v>
          </cell>
          <cell r="P6">
            <v>169.92717416839352</v>
          </cell>
          <cell r="Q6">
            <v>237.16697166849261</v>
          </cell>
          <cell r="R6">
            <v>268.3902219218204</v>
          </cell>
          <cell r="S6">
            <v>323.07692307692304</v>
          </cell>
          <cell r="T6">
            <v>348.37209302325584</v>
          </cell>
          <cell r="U6">
            <v>398.66666666666669</v>
          </cell>
          <cell r="V6">
            <v>329.95841619960225</v>
          </cell>
          <cell r="W6">
            <v>328.64157119476266</v>
          </cell>
          <cell r="X6">
            <v>236.91364950589048</v>
          </cell>
          <cell r="Y6">
            <v>220.46511627906978</v>
          </cell>
          <cell r="Z6">
            <v>281.36882129277569</v>
          </cell>
          <cell r="AA6">
            <v>419.81382978723406</v>
          </cell>
          <cell r="AB6">
            <v>456.86242856681622</v>
          </cell>
          <cell r="AC6">
            <v>397.30154107426529</v>
          </cell>
          <cell r="AD6">
            <v>418.71202179737224</v>
          </cell>
          <cell r="AE6">
            <v>441.27630797402713</v>
          </cell>
          <cell r="AF6">
            <v>465.0565778916706</v>
          </cell>
          <cell r="AG6">
            <v>490.11836061010831</v>
          </cell>
          <cell r="AH6">
            <v>516.53071653379675</v>
          </cell>
          <cell r="AI6">
            <v>544.36642771512402</v>
          </cell>
          <cell r="AJ6">
            <v>573.70219841308517</v>
          </cell>
          <cell r="AK6">
            <v>604.61886646001665</v>
          </cell>
          <cell r="AL6">
            <v>637.20162601883044</v>
          </cell>
          <cell r="AM6">
            <v>671.54026234457876</v>
          </cell>
        </row>
        <row r="8">
          <cell r="D8">
            <v>1452.5168389120265</v>
          </cell>
          <cell r="E8">
            <v>1614.8856264936837</v>
          </cell>
          <cell r="F8">
            <v>1354.3582199337993</v>
          </cell>
          <cell r="G8">
            <v>1367.3066570967164</v>
          </cell>
          <cell r="H8">
            <v>1136.7793509924802</v>
          </cell>
          <cell r="I8">
            <v>727.71213748657362</v>
          </cell>
          <cell r="J8">
            <v>942.44949605131114</v>
          </cell>
          <cell r="K8">
            <v>1335.2955604611234</v>
          </cell>
          <cell r="L8">
            <v>1261.3087395696091</v>
          </cell>
          <cell r="M8">
            <v>1329.1687565546486</v>
          </cell>
          <cell r="N8">
            <v>1584.2770455687398</v>
          </cell>
          <cell r="O8">
            <v>1690.8579954514507</v>
          </cell>
          <cell r="P8">
            <v>1899.7128341064722</v>
          </cell>
          <cell r="Q8">
            <v>1613.653473042531</v>
          </cell>
          <cell r="R8">
            <v>1668.6380533964177</v>
          </cell>
          <cell r="S8">
            <v>1942.5824175824175</v>
          </cell>
          <cell r="T8">
            <v>2045.8139534883721</v>
          </cell>
          <cell r="U8">
            <v>2142</v>
          </cell>
          <cell r="V8">
            <v>1970.8913397215695</v>
          </cell>
          <cell r="W8">
            <v>1926.8412438625203</v>
          </cell>
          <cell r="X8">
            <v>1743.4082768739481</v>
          </cell>
          <cell r="Y8">
            <v>1654.1860465116281</v>
          </cell>
          <cell r="Z8">
            <v>1636.1216730038022</v>
          </cell>
          <cell r="AA8">
            <v>2401.1968085106387</v>
          </cell>
          <cell r="AB8">
            <v>2868.2529945436345</v>
          </cell>
          <cell r="AC8">
            <v>3134.8423765552088</v>
          </cell>
          <cell r="AD8">
            <v>3377.7772610672769</v>
          </cell>
          <cell r="AE8">
            <v>3890.7436789328422</v>
          </cell>
          <cell r="AF8">
            <v>4350.7574436959339</v>
          </cell>
          <cell r="AG8">
            <v>5020.5809183388919</v>
          </cell>
          <cell r="AH8">
            <v>5802.4341845645604</v>
          </cell>
          <cell r="AI8">
            <v>6659.8785400542256</v>
          </cell>
          <cell r="AJ8">
            <v>7876.4278946385011</v>
          </cell>
          <cell r="AK8">
            <v>9604.7549026537563</v>
          </cell>
          <cell r="AL8">
            <v>12025.649529279786</v>
          </cell>
          <cell r="AM8">
            <v>15656.001747147442</v>
          </cell>
        </row>
        <row r="9">
          <cell r="D9">
            <v>1095.1719882770324</v>
          </cell>
          <cell r="E9">
            <v>1239.3308296346875</v>
          </cell>
          <cell r="F9">
            <v>1028.8709084222141</v>
          </cell>
          <cell r="G9">
            <v>1081.1053292661045</v>
          </cell>
          <cell r="H9">
            <v>877.31183524151481</v>
          </cell>
          <cell r="I9">
            <v>537.95202291442899</v>
          </cell>
          <cell r="J9">
            <v>709.45503730529254</v>
          </cell>
          <cell r="K9">
            <v>1021.3392200147167</v>
          </cell>
          <cell r="L9">
            <v>925.34036012296872</v>
          </cell>
          <cell r="M9">
            <v>1010.3658443907407</v>
          </cell>
          <cell r="N9">
            <v>1230.2400185521587</v>
          </cell>
          <cell r="O9">
            <v>1228.3980125447249</v>
          </cell>
          <cell r="P9">
            <v>1389.1956900571877</v>
          </cell>
          <cell r="Q9">
            <v>1224.6996395062031</v>
          </cell>
          <cell r="R9">
            <v>1282.2462543652134</v>
          </cell>
          <cell r="S9">
            <v>1458.5164835164835</v>
          </cell>
          <cell r="T9">
            <v>1532.5581395348838</v>
          </cell>
          <cell r="U9">
            <v>1644.4444444444443</v>
          </cell>
          <cell r="V9">
            <v>1514.1927318748872</v>
          </cell>
          <cell r="W9">
            <v>1471.6857610474631</v>
          </cell>
          <cell r="X9">
            <v>1417.0226844459787</v>
          </cell>
          <cell r="Y9">
            <v>1392.4418604651164</v>
          </cell>
          <cell r="Z9">
            <v>1411.8821292775665</v>
          </cell>
          <cell r="AA9">
            <v>2153.5904255319151</v>
          </cell>
          <cell r="AB9">
            <v>2483.7632776934747</v>
          </cell>
          <cell r="AC9">
            <v>2787.0663924748164</v>
          </cell>
          <cell r="AD9">
            <v>2752.1494969278237</v>
          </cell>
          <cell r="AE9">
            <v>3220.151347795987</v>
          </cell>
          <cell r="AF9">
            <v>3602.44013482029</v>
          </cell>
          <cell r="AG9">
            <v>4211.0526278283523</v>
          </cell>
          <cell r="AH9">
            <v>4871.5749674610724</v>
          </cell>
          <cell r="AI9">
            <v>5681.6908216538723</v>
          </cell>
          <cell r="AJ9">
            <v>6755.7351872214622</v>
          </cell>
          <cell r="AK9">
            <v>8386.2588488437159</v>
          </cell>
          <cell r="AL9">
            <v>10575.715903226297</v>
          </cell>
          <cell r="AM9">
            <v>14027.547372121287</v>
          </cell>
        </row>
        <row r="10">
          <cell r="D10">
            <v>357.34485063499409</v>
          </cell>
          <cell r="E10">
            <v>375.55479685899621</v>
          </cell>
          <cell r="F10">
            <v>325.48731151158518</v>
          </cell>
          <cell r="G10">
            <v>286.20132783061189</v>
          </cell>
          <cell r="H10">
            <v>259.46751575096539</v>
          </cell>
          <cell r="I10">
            <v>189.76011457214466</v>
          </cell>
          <cell r="J10">
            <v>232.99445874601858</v>
          </cell>
          <cell r="K10">
            <v>313.95634044640667</v>
          </cell>
          <cell r="L10">
            <v>335.96837944664031</v>
          </cell>
          <cell r="M10">
            <v>318.80291216390799</v>
          </cell>
          <cell r="N10">
            <v>354.03702701658102</v>
          </cell>
          <cell r="O10">
            <v>462.45998290672577</v>
          </cell>
          <cell r="P10">
            <v>510.51714404928452</v>
          </cell>
          <cell r="Q10">
            <v>388.95383353632786</v>
          </cell>
          <cell r="R10">
            <v>386.39179903120424</v>
          </cell>
          <cell r="S10">
            <v>484.06593406593407</v>
          </cell>
          <cell r="T10">
            <v>513.25581395348843</v>
          </cell>
          <cell r="U10">
            <v>497.55555555555554</v>
          </cell>
          <cell r="V10">
            <v>456.69860784668236</v>
          </cell>
          <cell r="W10">
            <v>455.15548281505727</v>
          </cell>
          <cell r="X10">
            <v>326.3855924279693</v>
          </cell>
          <cell r="Y10">
            <v>261.74418604651163</v>
          </cell>
          <cell r="Z10">
            <v>224.23954372623575</v>
          </cell>
          <cell r="AA10">
            <v>247.60638297872342</v>
          </cell>
          <cell r="AB10">
            <v>384.48971685015977</v>
          </cell>
          <cell r="AC10">
            <v>347.77598408039239</v>
          </cell>
          <cell r="AD10">
            <v>625.62776413945289</v>
          </cell>
          <cell r="AE10">
            <v>670.59233113685491</v>
          </cell>
          <cell r="AF10">
            <v>748.31730887564402</v>
          </cell>
          <cell r="AG10">
            <v>809.52829051053914</v>
          </cell>
          <cell r="AH10">
            <v>930.85921710348794</v>
          </cell>
          <cell r="AI10">
            <v>978.18771840035356</v>
          </cell>
          <cell r="AJ10">
            <v>1120.6927074170385</v>
          </cell>
          <cell r="AK10">
            <v>1218.4960538100404</v>
          </cell>
          <cell r="AL10">
            <v>1449.9336260534892</v>
          </cell>
          <cell r="AM10">
            <v>1628.454375026155</v>
          </cell>
        </row>
        <row r="11">
          <cell r="D11">
            <v>0</v>
          </cell>
          <cell r="E11">
            <v>0</v>
          </cell>
          <cell r="F11">
            <v>100.22066936373668</v>
          </cell>
          <cell r="G11">
            <v>87.02673604880674</v>
          </cell>
          <cell r="H11">
            <v>70.455931169974932</v>
          </cell>
          <cell r="I11">
            <v>43.412101682778378</v>
          </cell>
          <cell r="J11">
            <v>57.157816658667478</v>
          </cell>
          <cell r="K11">
            <v>82.413539367181755</v>
          </cell>
          <cell r="L11">
            <v>74.659639877031182</v>
          </cell>
          <cell r="M11">
            <v>81.315641481616581</v>
          </cell>
          <cell r="N11">
            <v>98.944845978433122</v>
          </cell>
          <cell r="O11">
            <v>97.779322932510539</v>
          </cell>
          <cell r="P11">
            <v>109.04590096107658</v>
          </cell>
          <cell r="Q11">
            <v>100.98722664593879</v>
          </cell>
          <cell r="R11">
            <v>129.54827081221131</v>
          </cell>
          <cell r="S11">
            <v>150.82417582417582</v>
          </cell>
          <cell r="T11">
            <v>137.90697674418604</v>
          </cell>
          <cell r="U11">
            <v>150.66666666666666</v>
          </cell>
          <cell r="V11">
            <v>133.42975953715424</v>
          </cell>
          <cell r="W11">
            <v>137.80687397708672</v>
          </cell>
          <cell r="X11">
            <v>130.03639292855189</v>
          </cell>
          <cell r="Y11">
            <v>121.62790697674419</v>
          </cell>
          <cell r="Z11">
            <v>94.106463878327006</v>
          </cell>
          <cell r="AA11">
            <v>126.72872340425532</v>
          </cell>
          <cell r="AB11">
            <v>147.68992348174214</v>
          </cell>
          <cell r="AC11">
            <v>149.36030321253446</v>
          </cell>
          <cell r="AD11">
            <v>171.18431047460356</v>
          </cell>
          <cell r="AE11">
            <v>179.36100252228704</v>
          </cell>
          <cell r="AF11">
            <v>221.74442639845208</v>
          </cell>
          <cell r="AG11">
            <v>232.46390528733482</v>
          </cell>
          <cell r="AH11">
            <v>297.20992184405424</v>
          </cell>
          <cell r="AI11">
            <v>311.27615286736744</v>
          </cell>
          <cell r="AJ11">
            <v>409.24615379212014</v>
          </cell>
          <cell r="AK11">
            <v>456.21532679257257</v>
          </cell>
          <cell r="AL11">
            <v>636.39044919067305</v>
          </cell>
          <cell r="AM11">
            <v>758.53484333553627</v>
          </cell>
        </row>
        <row r="13">
          <cell r="D13">
            <v>210.16376163298901</v>
          </cell>
          <cell r="E13">
            <v>-225.08023216114725</v>
          </cell>
          <cell r="F13">
            <v>-242.38941124284406</v>
          </cell>
          <cell r="G13">
            <v>-328.38473935894808</v>
          </cell>
          <cell r="H13">
            <v>-248.49802155520865</v>
          </cell>
          <cell r="I13">
            <v>103.60280971481336</v>
          </cell>
          <cell r="J13">
            <v>81.12416740678475</v>
          </cell>
          <cell r="K13">
            <v>-263.47535735355223</v>
          </cell>
          <cell r="L13">
            <v>-104.29923525796471</v>
          </cell>
          <cell r="M13">
            <v>-64.181287552461754</v>
          </cell>
          <cell r="N13">
            <v>-363.3657277222519</v>
          </cell>
          <cell r="O13">
            <v>-367.44140910279975</v>
          </cell>
          <cell r="P13">
            <v>-420.19953552157131</v>
          </cell>
          <cell r="Q13">
            <v>-136.48852111857127</v>
          </cell>
          <cell r="R13">
            <v>-92.074743719725348</v>
          </cell>
          <cell r="S13">
            <v>-214.84697802197798</v>
          </cell>
          <cell r="T13">
            <v>-285.03581395348829</v>
          </cell>
          <cell r="U13">
            <v>-381.05822222222218</v>
          </cell>
          <cell r="V13">
            <v>-420.90037967817761</v>
          </cell>
          <cell r="W13">
            <v>-373.32242225859227</v>
          </cell>
          <cell r="X13">
            <v>-192.75306031444643</v>
          </cell>
          <cell r="Y13">
            <v>-213.83720930232562</v>
          </cell>
          <cell r="Z13">
            <v>-89.638783269961777</v>
          </cell>
          <cell r="AA13">
            <v>-382.84574468085134</v>
          </cell>
          <cell r="AB13">
            <v>-349.94680533367773</v>
          </cell>
          <cell r="AC13">
            <v>-461.08920467080407</v>
          </cell>
          <cell r="AD13">
            <v>-2.7194723958086797</v>
          </cell>
          <cell r="AE13">
            <v>-194.6231974526695</v>
          </cell>
          <cell r="AF13">
            <v>-373.49636687174825</v>
          </cell>
          <cell r="AG13">
            <v>-734.6339315446894</v>
          </cell>
          <cell r="AH13">
            <v>-1177.6797764727371</v>
          </cell>
          <cell r="AI13">
            <v>-1639.4707261648191</v>
          </cell>
          <cell r="AJ13">
            <v>-2419.54728469771</v>
          </cell>
          <cell r="AK13">
            <v>-3666.9000329017172</v>
          </cell>
          <cell r="AL13">
            <v>-5558.223613065159</v>
          </cell>
          <cell r="AM13">
            <v>-8602.9944949352721</v>
          </cell>
        </row>
        <row r="15">
          <cell r="D15">
            <v>-272.7</v>
          </cell>
          <cell r="E15">
            <v>-109.4</v>
          </cell>
          <cell r="F15">
            <v>-169.3</v>
          </cell>
          <cell r="G15">
            <v>-105.9</v>
          </cell>
          <cell r="H15">
            <v>-180.60000000000002</v>
          </cell>
          <cell r="I15">
            <v>-628.70000000000005</v>
          </cell>
          <cell r="J15">
            <v>-562.20000000000005</v>
          </cell>
          <cell r="K15">
            <v>-217.89999999999998</v>
          </cell>
          <cell r="L15">
            <v>-594.70000000000005</v>
          </cell>
          <cell r="M15">
            <v>-648.63010198653353</v>
          </cell>
          <cell r="N15">
            <v>33.23928419587989</v>
          </cell>
          <cell r="O15">
            <v>-39.162655903698237</v>
          </cell>
          <cell r="P15">
            <v>-156.43471401134641</v>
          </cell>
          <cell r="Q15">
            <v>22.254330622234278</v>
          </cell>
          <cell r="R15">
            <v>56.51224912906946</v>
          </cell>
          <cell r="S15">
            <v>148.51767717101643</v>
          </cell>
          <cell r="T15">
            <v>72.093023255813904</v>
          </cell>
          <cell r="U15">
            <v>68</v>
          </cell>
          <cell r="V15">
            <v>87.506779967456183</v>
          </cell>
          <cell r="W15">
            <v>-17.348608837970517</v>
          </cell>
          <cell r="X15">
            <v>33.084480501733339</v>
          </cell>
          <cell r="Y15">
            <v>-1.16279069767441</v>
          </cell>
          <cell r="Z15">
            <v>33.840304182509499</v>
          </cell>
          <cell r="AA15">
            <v>230.31914893617017</v>
          </cell>
          <cell r="AB15">
            <v>108.63197902296321</v>
          </cell>
          <cell r="AC15">
            <v>8.8412519501200109</v>
          </cell>
          <cell r="AD15">
            <v>-17.327359535487631</v>
          </cell>
          <cell r="AE15">
            <v>-5.6528041996641036</v>
          </cell>
          <cell r="AF15">
            <v>7.5829763232849814</v>
          </cell>
          <cell r="AG15">
            <v>15.810604400444106</v>
          </cell>
          <cell r="AH15">
            <v>26.192967141934162</v>
          </cell>
          <cell r="AI15">
            <v>38.32237230466643</v>
          </cell>
          <cell r="AJ15">
            <v>51.366980743707927</v>
          </cell>
          <cell r="AK15">
            <v>65.100766968512232</v>
          </cell>
          <cell r="AL15">
            <v>79.575457185233233</v>
          </cell>
          <cell r="AM15">
            <v>94.828429045499831</v>
          </cell>
        </row>
        <row r="16">
          <cell r="D16">
            <v>62.1</v>
          </cell>
          <cell r="E16">
            <v>79.900000000000006</v>
          </cell>
          <cell r="F16">
            <v>104.2</v>
          </cell>
          <cell r="G16">
            <v>142</v>
          </cell>
          <cell r="H16">
            <v>181.7</v>
          </cell>
          <cell r="I16">
            <v>232.8</v>
          </cell>
          <cell r="J16">
            <v>193.2</v>
          </cell>
          <cell r="K16">
            <v>172.5</v>
          </cell>
          <cell r="L16">
            <v>300.8</v>
          </cell>
          <cell r="M16">
            <v>188.46989801346646</v>
          </cell>
          <cell r="N16">
            <v>184.36207629575233</v>
          </cell>
          <cell r="O16">
            <v>243.72401605029478</v>
          </cell>
          <cell r="P16">
            <v>203.01471593718114</v>
          </cell>
          <cell r="Q16">
            <v>213.60328545110687</v>
          </cell>
          <cell r="R16">
            <v>214.88115354286356</v>
          </cell>
          <cell r="S16">
            <v>430.76923076923072</v>
          </cell>
          <cell r="T16">
            <v>316.04651162790697</v>
          </cell>
          <cell r="U16">
            <v>228</v>
          </cell>
          <cell r="V16">
            <v>183.33032001446395</v>
          </cell>
          <cell r="W16">
            <v>184.77905073649754</v>
          </cell>
          <cell r="X16">
            <v>247.55822149340466</v>
          </cell>
          <cell r="Y16">
            <v>198.13953488372096</v>
          </cell>
          <cell r="Z16">
            <v>171.38783269961976</v>
          </cell>
          <cell r="AA16">
            <v>282.313829787234</v>
          </cell>
          <cell r="AB16">
            <v>229.82597746424304</v>
          </cell>
          <cell r="AC16">
            <v>233.52240481288177</v>
          </cell>
          <cell r="AD16">
            <v>249.81938490221114</v>
          </cell>
          <cell r="AE16">
            <v>264.07562489008643</v>
          </cell>
          <cell r="AF16">
            <v>278.74714418784311</v>
          </cell>
          <cell r="AG16">
            <v>293.8756516238671</v>
          </cell>
          <cell r="AH16">
            <v>309.50897807757593</v>
          </cell>
          <cell r="AI16">
            <v>325.69760545073802</v>
          </cell>
          <cell r="AJ16">
            <v>342.49706383529872</v>
          </cell>
          <cell r="AK16">
            <v>359.96843633239797</v>
          </cell>
          <cell r="AL16">
            <v>378.17891435328954</v>
          </cell>
          <cell r="AM16">
            <v>397.20240845035272</v>
          </cell>
        </row>
        <row r="17">
          <cell r="D17">
            <v>1.6977154570686566</v>
          </cell>
          <cell r="E17">
            <v>1.717803530515706</v>
          </cell>
          <cell r="F17">
            <v>1.804214923633134</v>
          </cell>
          <cell r="G17">
            <v>2.4037729077865313</v>
          </cell>
          <cell r="H17">
            <v>2.3263750858010588</v>
          </cell>
          <cell r="I17">
            <v>1.9675198778617704</v>
          </cell>
          <cell r="J17">
            <v>1.5888605235665885</v>
          </cell>
          <cell r="K17">
            <v>1.6012513825833832</v>
          </cell>
          <cell r="L17">
            <v>2.4941788682559802</v>
          </cell>
          <cell r="M17">
            <v>3.5560358115748389</v>
          </cell>
          <cell r="N17">
            <v>3.4785297414292895</v>
          </cell>
          <cell r="O17">
            <v>8.003418654846234</v>
          </cell>
          <cell r="P17">
            <v>1.2272046731953956</v>
          </cell>
          <cell r="Q17">
            <v>-3.794671546695882</v>
          </cell>
          <cell r="R17">
            <v>3.9709361270699559</v>
          </cell>
          <cell r="S17">
            <v>-1.5109890109890109</v>
          </cell>
          <cell r="T17">
            <v>0.76744186046511631</v>
          </cell>
          <cell r="U17">
            <v>-0.62222222222222223</v>
          </cell>
          <cell r="V17">
            <v>-0.72319652865666251</v>
          </cell>
          <cell r="W17">
            <v>-0.16366612111292961</v>
          </cell>
          <cell r="X17">
            <v>0.6041513830751305</v>
          </cell>
          <cell r="Y17">
            <v>2.0930232558139537</v>
          </cell>
          <cell r="Z17">
            <v>1.2357414448669202</v>
          </cell>
          <cell r="AA17">
            <v>2.9255319148936172</v>
          </cell>
          <cell r="AB17">
            <v>5.7340264100991183</v>
          </cell>
          <cell r="AC17">
            <v>6.7392371858751119</v>
          </cell>
          <cell r="AD17">
            <v>6.1117044953578112</v>
          </cell>
          <cell r="AE17">
            <v>5.7958864858378112</v>
          </cell>
          <cell r="AF17">
            <v>5.4781419864597396</v>
          </cell>
          <cell r="AG17">
            <v>5.158459245635461</v>
          </cell>
          <cell r="AH17">
            <v>4.8387765048111824</v>
          </cell>
          <cell r="AI17">
            <v>4.5190937639869038</v>
          </cell>
          <cell r="AJ17">
            <v>4.1994110231626252</v>
          </cell>
          <cell r="AK17">
            <v>3.879728282338347</v>
          </cell>
          <cell r="AL17">
            <v>3.5600455415140688</v>
          </cell>
          <cell r="AM17">
            <v>3.2403628006897907</v>
          </cell>
        </row>
        <row r="18">
          <cell r="D18">
            <v>9.1865269732492862</v>
          </cell>
          <cell r="E18">
            <v>9.2952257706794299</v>
          </cell>
          <cell r="F18">
            <v>9.7628074201037336</v>
          </cell>
          <cell r="G18">
            <v>13.007082289911562</v>
          </cell>
          <cell r="H18">
            <v>12.588274075390173</v>
          </cell>
          <cell r="I18">
            <v>10.646468672429801</v>
          </cell>
          <cell r="J18">
            <v>8.5975008330769835</v>
          </cell>
          <cell r="K18">
            <v>8.6645491479789722</v>
          </cell>
          <cell r="L18">
            <v>13.496278987118473</v>
          </cell>
          <cell r="M18">
            <v>19.242104891521631</v>
          </cell>
          <cell r="N18">
            <v>18.822710934178488</v>
          </cell>
          <cell r="O18">
            <v>12.747526545275448</v>
          </cell>
          <cell r="P18">
            <v>14.621267106356571</v>
          </cell>
          <cell r="Q18">
            <v>12.118467197512654</v>
          </cell>
          <cell r="R18">
            <v>9.2936802973977688</v>
          </cell>
          <cell r="S18">
            <v>12.637362637362637</v>
          </cell>
          <cell r="T18">
            <v>8.7674418604651176</v>
          </cell>
          <cell r="U18">
            <v>3.9777777777777774</v>
          </cell>
          <cell r="V18">
            <v>5.0262158741638041</v>
          </cell>
          <cell r="W18">
            <v>3.6006546644844515</v>
          </cell>
          <cell r="X18">
            <v>9.0478861893870732</v>
          </cell>
          <cell r="Y18">
            <v>76.395348837209312</v>
          </cell>
          <cell r="Z18">
            <v>66.730038022813687</v>
          </cell>
          <cell r="AA18">
            <v>135.50531914893617</v>
          </cell>
          <cell r="AB18">
            <v>162.2574500371291</v>
          </cell>
          <cell r="AC18">
            <v>188.85536765068628</v>
          </cell>
          <cell r="AD18">
            <v>201.98710043290092</v>
          </cell>
          <cell r="AE18">
            <v>212.38710043290092</v>
          </cell>
          <cell r="AF18">
            <v>222.78710043290093</v>
          </cell>
          <cell r="AG18">
            <v>233.18710043290093</v>
          </cell>
          <cell r="AH18">
            <v>243.58710043290094</v>
          </cell>
          <cell r="AI18">
            <v>253.98710043290095</v>
          </cell>
          <cell r="AJ18">
            <v>264.38710043290092</v>
          </cell>
          <cell r="AK18">
            <v>274.7871004329009</v>
          </cell>
          <cell r="AL18">
            <v>285.18710043290088</v>
          </cell>
          <cell r="AM18">
            <v>295.58710043290085</v>
          </cell>
        </row>
        <row r="19">
          <cell r="D19">
            <v>79.094676794320861</v>
          </cell>
          <cell r="E19">
            <v>80.030557816137289</v>
          </cell>
          <cell r="F19">
            <v>84.056368608819227</v>
          </cell>
          <cell r="G19">
            <v>111.98910891498807</v>
          </cell>
          <cell r="H19">
            <v>108.3832303862649</v>
          </cell>
          <cell r="I19">
            <v>91.664564976382266</v>
          </cell>
          <cell r="J19">
            <v>74.023246392385616</v>
          </cell>
          <cell r="K19">
            <v>74.600522746356944</v>
          </cell>
          <cell r="L19">
            <v>116.20102216219252</v>
          </cell>
          <cell r="M19">
            <v>165.67175731037</v>
          </cell>
          <cell r="N19">
            <v>162.06083562014456</v>
          </cell>
          <cell r="O19">
            <v>222.97307085017309</v>
          </cell>
          <cell r="P19">
            <v>187.16624415762917</v>
          </cell>
          <cell r="Q19">
            <v>205.27948980029009</v>
          </cell>
          <cell r="R19">
            <v>201.61653711839583</v>
          </cell>
          <cell r="S19">
            <v>419.64285714285711</v>
          </cell>
          <cell r="T19">
            <v>306.51162790697674</v>
          </cell>
          <cell r="U19">
            <v>224.64444444444445</v>
          </cell>
          <cell r="V19">
            <v>179.0273006689568</v>
          </cell>
          <cell r="W19">
            <v>181.34206219312603</v>
          </cell>
          <cell r="X19">
            <v>237.90618392094245</v>
          </cell>
          <cell r="Y19">
            <v>119.65116279069768</v>
          </cell>
          <cell r="Z19">
            <v>103.42205323193917</v>
          </cell>
          <cell r="AA19">
            <v>143.88297872340425</v>
          </cell>
          <cell r="AB19">
            <v>61.834501017014816</v>
          </cell>
          <cell r="AC19">
            <v>37.927799976320394</v>
          </cell>
          <cell r="AD19">
            <v>41.720579973952439</v>
          </cell>
          <cell r="AE19">
            <v>45.892637971347689</v>
          </cell>
          <cell r="AF19">
            <v>50.481901768482459</v>
          </cell>
          <cell r="AG19">
            <v>55.53009194533071</v>
          </cell>
          <cell r="AH19">
            <v>61.083101139863786</v>
          </cell>
          <cell r="AI19">
            <v>67.191411253850163</v>
          </cell>
          <cell r="AJ19">
            <v>73.910552379235185</v>
          </cell>
          <cell r="AK19">
            <v>81.301607617158709</v>
          </cell>
          <cell r="AL19">
            <v>89.431768378874594</v>
          </cell>
          <cell r="AM19">
            <v>98.374945216762057</v>
          </cell>
        </row>
        <row r="20">
          <cell r="D20">
            <v>334.8</v>
          </cell>
          <cell r="E20">
            <v>189.3</v>
          </cell>
          <cell r="F20">
            <v>273.5</v>
          </cell>
          <cell r="G20">
            <v>247.9</v>
          </cell>
          <cell r="H20">
            <v>362.3</v>
          </cell>
          <cell r="I20">
            <v>861.5</v>
          </cell>
          <cell r="J20">
            <v>755.4</v>
          </cell>
          <cell r="K20">
            <v>390.4</v>
          </cell>
          <cell r="L20">
            <v>895.5</v>
          </cell>
          <cell r="M20">
            <v>837.1</v>
          </cell>
          <cell r="N20">
            <v>151.12279209987244</v>
          </cell>
          <cell r="O20">
            <v>282.88667195399302</v>
          </cell>
          <cell r="P20">
            <v>359.44942994852755</v>
          </cell>
          <cell r="Q20">
            <v>191.34895482887259</v>
          </cell>
          <cell r="R20">
            <v>158.3689044137941</v>
          </cell>
          <cell r="S20">
            <v>282.25155359821429</v>
          </cell>
          <cell r="T20">
            <v>243.95348837209306</v>
          </cell>
          <cell r="U20">
            <v>160</v>
          </cell>
          <cell r="V20">
            <v>95.823540047007768</v>
          </cell>
          <cell r="W20">
            <v>202.12765957446805</v>
          </cell>
          <cell r="X20">
            <v>214.47374099167132</v>
          </cell>
          <cell r="Y20">
            <v>199.30232558139537</v>
          </cell>
          <cell r="Z20">
            <v>137.54752851711027</v>
          </cell>
          <cell r="AA20">
            <v>51.994680851063848</v>
          </cell>
          <cell r="AB20">
            <v>121.19399844127983</v>
          </cell>
          <cell r="AC20">
            <v>224.68115286276176</v>
          </cell>
          <cell r="AD20">
            <v>267.14674443769877</v>
          </cell>
          <cell r="AE20">
            <v>269.72842908975053</v>
          </cell>
          <cell r="AF20">
            <v>271.16416786455812</v>
          </cell>
          <cell r="AG20">
            <v>278.06504722342299</v>
          </cell>
          <cell r="AH20">
            <v>283.31601093564177</v>
          </cell>
          <cell r="AI20">
            <v>287.37523314607159</v>
          </cell>
          <cell r="AJ20">
            <v>291.13008309159079</v>
          </cell>
          <cell r="AK20">
            <v>294.86766936388574</v>
          </cell>
          <cell r="AL20">
            <v>298.60345716805631</v>
          </cell>
          <cell r="AM20">
            <v>302.37397940485289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135.8046151840424</v>
          </cell>
          <cell r="P21">
            <v>175.31495331362794</v>
          </cell>
          <cell r="Q21">
            <v>38.252737365885906</v>
          </cell>
          <cell r="R21">
            <v>0</v>
          </cell>
          <cell r="S21">
            <v>12.362637362637361</v>
          </cell>
          <cell r="T21">
            <v>3.8326780567847072</v>
          </cell>
          <cell r="U21">
            <v>2.6360891661111108</v>
          </cell>
          <cell r="V21">
            <v>2.5029006834207195</v>
          </cell>
          <cell r="W21">
            <v>3.4263310609656301</v>
          </cell>
          <cell r="X21">
            <v>4.0523337681065605</v>
          </cell>
          <cell r="Y21">
            <v>5.2803951113372092</v>
          </cell>
          <cell r="Z21">
            <v>7.585551330798479</v>
          </cell>
          <cell r="AA21">
            <v>11.409574468085108</v>
          </cell>
          <cell r="AB21">
            <v>15.272656830142381</v>
          </cell>
          <cell r="AC21">
            <v>17.639561517912647</v>
          </cell>
          <cell r="AD21">
            <v>41.348292994558449</v>
          </cell>
          <cell r="AE21">
            <v>38.490385307585974</v>
          </cell>
          <cell r="AF21">
            <v>34.481937792286779</v>
          </cell>
          <cell r="AG21">
            <v>35.933928696452519</v>
          </cell>
          <cell r="AH21">
            <v>35.731678379073202</v>
          </cell>
          <cell r="AI21">
            <v>34.333250250288458</v>
          </cell>
          <cell r="AJ21">
            <v>32.625899977450487</v>
          </cell>
          <cell r="AK21">
            <v>30.896619675339601</v>
          </cell>
          <cell r="AL21">
            <v>29.160755090340771</v>
          </cell>
          <cell r="AM21">
            <v>27.454716606346523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2.3996227325581394</v>
          </cell>
          <cell r="U22">
            <v>1.3249780549999999</v>
          </cell>
          <cell r="V22">
            <v>1.2734665847043936</v>
          </cell>
          <cell r="W22">
            <v>1.5605372802782325</v>
          </cell>
          <cell r="X22">
            <v>1.8371120301644155</v>
          </cell>
          <cell r="Y22">
            <v>2.8385346462209302</v>
          </cell>
          <cell r="Z22">
            <v>4.3726235741444865</v>
          </cell>
          <cell r="AA22">
            <v>6.9148936170212769</v>
          </cell>
          <cell r="AB22">
            <v>10.034546217673457</v>
          </cell>
          <cell r="AC22">
            <v>12.342207636922442</v>
          </cell>
          <cell r="AD22">
            <v>12.881820441429374</v>
          </cell>
          <cell r="AE22">
            <v>14.521013736901736</v>
          </cell>
          <cell r="AF22">
            <v>18.091387287796774</v>
          </cell>
          <cell r="AG22">
            <v>19.543378191962514</v>
          </cell>
          <cell r="AH22">
            <v>19.341127874583201</v>
          </cell>
          <cell r="AI22">
            <v>17.942699745798453</v>
          </cell>
          <cell r="AJ22">
            <v>16.235349472960483</v>
          </cell>
          <cell r="AK22">
            <v>14.506069170849598</v>
          </cell>
          <cell r="AL22">
            <v>12.770204585850767</v>
          </cell>
          <cell r="AM22">
            <v>11.064166101856516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1.0666666666666667</v>
          </cell>
          <cell r="V23">
            <v>1.2294340987163261</v>
          </cell>
          <cell r="W23">
            <v>1.8657937806873977</v>
          </cell>
          <cell r="X23">
            <v>2.2152217379421453</v>
          </cell>
          <cell r="Y23">
            <v>2.441860465116279</v>
          </cell>
          <cell r="Z23">
            <v>3.2129277566539924</v>
          </cell>
          <cell r="AA23">
            <v>4.4946808510638299</v>
          </cell>
          <cell r="AB23">
            <v>5.2381106124689234</v>
          </cell>
          <cell r="AC23">
            <v>5.2973538809902037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135.8046151840424</v>
          </cell>
          <cell r="P24">
            <v>175.31495331362794</v>
          </cell>
          <cell r="Q24">
            <v>38.252737365885906</v>
          </cell>
          <cell r="R24">
            <v>0</v>
          </cell>
          <cell r="S24">
            <v>12.362637362637361</v>
          </cell>
          <cell r="T24">
            <v>1.4330553242265676</v>
          </cell>
          <cell r="U24">
            <v>0.24444444444444446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28.466472553129073</v>
          </cell>
          <cell r="AE24">
            <v>23.969371570684238</v>
          </cell>
          <cell r="AF24">
            <v>16.390550504490005</v>
          </cell>
          <cell r="AG24">
            <v>16.390550504490005</v>
          </cell>
          <cell r="AH24">
            <v>16.390550504490005</v>
          </cell>
          <cell r="AI24">
            <v>16.390550504490005</v>
          </cell>
          <cell r="AJ24">
            <v>16.390550504490005</v>
          </cell>
          <cell r="AK24">
            <v>16.390550504490005</v>
          </cell>
          <cell r="AL24">
            <v>16.390550504490005</v>
          </cell>
          <cell r="AM24">
            <v>16.390550504490005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0.24916787881134594</v>
          </cell>
          <cell r="AH25">
            <v>27.715905606873356</v>
          </cell>
          <cell r="AI25">
            <v>98.884250981731242</v>
          </cell>
          <cell r="AJ25">
            <v>213.25525301727131</v>
          </cell>
          <cell r="AK25">
            <v>395.50562947787375</v>
          </cell>
          <cell r="AL25">
            <v>675.34963147593351</v>
          </cell>
          <cell r="AM25">
            <v>1102.8115335085424</v>
          </cell>
        </row>
        <row r="26">
          <cell r="D26">
            <v>340.37739729549077</v>
          </cell>
          <cell r="E26">
            <v>215.09047456469784</v>
          </cell>
          <cell r="F26">
            <v>251.93085693269586</v>
          </cell>
          <cell r="G26">
            <v>222.50134577426877</v>
          </cell>
          <cell r="H26">
            <v>245.24083734164353</v>
          </cell>
          <cell r="I26">
            <v>385.78589330469032</v>
          </cell>
          <cell r="J26">
            <v>329.42100440682407</v>
          </cell>
          <cell r="K26">
            <v>191.31714495952906</v>
          </cell>
          <cell r="L26">
            <v>393.50021958717605</v>
          </cell>
          <cell r="M26">
            <v>318.04295289772466</v>
          </cell>
          <cell r="N26">
            <v>151.12279209987244</v>
          </cell>
          <cell r="O26">
            <v>147.08205676995061</v>
          </cell>
          <cell r="P26">
            <v>184.13447663489961</v>
          </cell>
          <cell r="Q26">
            <v>153.09621746298669</v>
          </cell>
          <cell r="R26">
            <v>158.3689044137941</v>
          </cell>
          <cell r="S26">
            <v>269.88891623557691</v>
          </cell>
          <cell r="T26">
            <v>240.12081031530835</v>
          </cell>
          <cell r="U26">
            <v>157.36391083388889</v>
          </cell>
          <cell r="V26">
            <v>93.320639363587048</v>
          </cell>
          <cell r="W26">
            <v>198.70132851350243</v>
          </cell>
          <cell r="X26">
            <v>210.42140722356476</v>
          </cell>
          <cell r="Y26">
            <v>194.02193047005815</v>
          </cell>
          <cell r="Z26">
            <v>129.9619771863118</v>
          </cell>
          <cell r="AA26">
            <v>40.585106382978736</v>
          </cell>
          <cell r="AB26">
            <v>105.92134161113745</v>
          </cell>
          <cell r="AC26">
            <v>207.04159134484911</v>
          </cell>
          <cell r="AD26">
            <v>225.79845144314032</v>
          </cell>
          <cell r="AE26">
            <v>231.23804378216454</v>
          </cell>
          <cell r="AF26">
            <v>236.68223007227135</v>
          </cell>
          <cell r="AG26">
            <v>242.13111852697048</v>
          </cell>
          <cell r="AH26">
            <v>247.5843325565686</v>
          </cell>
          <cell r="AI26">
            <v>253.04198289578312</v>
          </cell>
          <cell r="AJ26">
            <v>258.50418311414029</v>
          </cell>
          <cell r="AK26">
            <v>263.97104968854615</v>
          </cell>
          <cell r="AL26">
            <v>269.44270207771552</v>
          </cell>
          <cell r="AM26">
            <v>274.91926279850634</v>
          </cell>
        </row>
        <row r="27">
          <cell r="D27">
            <v>150.16649880683414</v>
          </cell>
          <cell r="E27">
            <v>94.892856425601977</v>
          </cell>
          <cell r="F27">
            <v>111.14596629383639</v>
          </cell>
          <cell r="G27">
            <v>98.162358429824451</v>
          </cell>
          <cell r="H27">
            <v>108.19448706248978</v>
          </cell>
          <cell r="I27">
            <v>170.19965881089274</v>
          </cell>
          <cell r="J27">
            <v>145.3327960618341</v>
          </cell>
          <cell r="K27">
            <v>84.404622776262812</v>
          </cell>
          <cell r="L27">
            <v>173.6030380531659</v>
          </cell>
          <cell r="M27">
            <v>140.31306745487854</v>
          </cell>
          <cell r="N27">
            <v>66.671820044061377</v>
          </cell>
          <cell r="O27">
            <v>75.50736604232759</v>
          </cell>
          <cell r="P27">
            <v>136.88591554728069</v>
          </cell>
          <cell r="Q27">
            <v>114.60520114819417</v>
          </cell>
          <cell r="R27">
            <v>113.83350230933873</v>
          </cell>
          <cell r="S27">
            <v>221.51098901098899</v>
          </cell>
          <cell r="T27">
            <v>192.55813953488374</v>
          </cell>
          <cell r="U27">
            <v>110.84444444444445</v>
          </cell>
          <cell r="V27">
            <v>58.434279515458329</v>
          </cell>
          <cell r="W27">
            <v>79.001636661211123</v>
          </cell>
          <cell r="X27">
            <v>193.1126742329435</v>
          </cell>
          <cell r="Y27">
            <v>241.63953488372093</v>
          </cell>
          <cell r="Z27">
            <v>85.551330798479086</v>
          </cell>
          <cell r="AA27">
            <v>94.281914893617028</v>
          </cell>
          <cell r="AB27">
            <v>76.402027572401764</v>
          </cell>
          <cell r="AC27">
            <v>175.69034617130234</v>
          </cell>
          <cell r="AD27">
            <v>193.79099689388579</v>
          </cell>
          <cell r="AE27">
            <v>198.99099689388578</v>
          </cell>
          <cell r="AF27">
            <v>204.19099689388577</v>
          </cell>
          <cell r="AG27">
            <v>209.39099689388576</v>
          </cell>
          <cell r="AH27">
            <v>214.59099689388574</v>
          </cell>
          <cell r="AI27">
            <v>219.79099689388573</v>
          </cell>
          <cell r="AJ27">
            <v>224.99099689388572</v>
          </cell>
          <cell r="AK27">
            <v>230.19099689388571</v>
          </cell>
          <cell r="AL27">
            <v>235.3909968938857</v>
          </cell>
          <cell r="AM27">
            <v>240.59099689388569</v>
          </cell>
        </row>
        <row r="28">
          <cell r="D28">
            <v>53.189409142594599</v>
          </cell>
          <cell r="E28">
            <v>33.611324797705983</v>
          </cell>
          <cell r="F28">
            <v>39.368223423498002</v>
          </cell>
          <cell r="G28">
            <v>34.769391884418987</v>
          </cell>
          <cell r="H28">
            <v>38.322800924742758</v>
          </cell>
          <cell r="I28">
            <v>60.285212483162603</v>
          </cell>
          <cell r="J28">
            <v>51.477297619582991</v>
          </cell>
          <cell r="K28">
            <v>29.896362038432805</v>
          </cell>
          <cell r="L28">
            <v>61.490699275643124</v>
          </cell>
          <cell r="M28">
            <v>49.699295197061332</v>
          </cell>
          <cell r="N28">
            <v>23.615351911258841</v>
          </cell>
          <cell r="O28">
            <v>34.077904770182371</v>
          </cell>
          <cell r="P28">
            <v>21.458550285588061</v>
          </cell>
          <cell r="Q28">
            <v>20.870693506827351</v>
          </cell>
          <cell r="R28">
            <v>25.740678157035035</v>
          </cell>
          <cell r="S28">
            <v>20.357142857142854</v>
          </cell>
          <cell r="T28">
            <v>22.976744186046513</v>
          </cell>
          <cell r="U28">
            <v>16.844444444444445</v>
          </cell>
          <cell r="V28">
            <v>13.126016995118423</v>
          </cell>
          <cell r="W28">
            <v>11.800327332242224</v>
          </cell>
          <cell r="X28">
            <v>16.85870049914412</v>
          </cell>
          <cell r="Y28">
            <v>8.8372093023255811</v>
          </cell>
          <cell r="Z28">
            <v>7.7946768060836504</v>
          </cell>
          <cell r="AA28">
            <v>10.904255319148938</v>
          </cell>
          <cell r="AB28">
            <v>23.40102670067478</v>
          </cell>
          <cell r="AC28">
            <v>25.232957835485884</v>
          </cell>
          <cell r="AD28">
            <v>25.732539055339267</v>
          </cell>
          <cell r="AE28">
            <v>25.811493557719267</v>
          </cell>
          <cell r="AF28">
            <v>25.890929682563783</v>
          </cell>
          <cell r="AG28">
            <v>25.970850367769852</v>
          </cell>
          <cell r="AH28">
            <v>26.050771052975922</v>
          </cell>
          <cell r="AI28">
            <v>26.130691738181991</v>
          </cell>
          <cell r="AJ28">
            <v>26.21061242338806</v>
          </cell>
          <cell r="AK28">
            <v>26.290533108594129</v>
          </cell>
          <cell r="AL28">
            <v>26.370453793800198</v>
          </cell>
          <cell r="AM28">
            <v>26.450374479006268</v>
          </cell>
        </row>
        <row r="29">
          <cell r="D29">
            <v>137.02148934606203</v>
          </cell>
          <cell r="E29">
            <v>86.586293341389876</v>
          </cell>
          <cell r="F29">
            <v>101.41666721536147</v>
          </cell>
          <cell r="G29">
            <v>89.569595460025354</v>
          </cell>
          <cell r="H29">
            <v>98.723549354410977</v>
          </cell>
          <cell r="I29">
            <v>155.30102201063497</v>
          </cell>
          <cell r="J29">
            <v>132.61091072540694</v>
          </cell>
          <cell r="K29">
            <v>77.016160144833449</v>
          </cell>
          <cell r="L29">
            <v>158.40648225836705</v>
          </cell>
          <cell r="M29">
            <v>128.03059024578479</v>
          </cell>
          <cell r="N29">
            <v>60.83562014455223</v>
          </cell>
          <cell r="O29">
            <v>37.496785957440636</v>
          </cell>
          <cell r="P29">
            <v>25.79001080203086</v>
          </cell>
          <cell r="Q29">
            <v>17.620322807965142</v>
          </cell>
          <cell r="R29">
            <v>18.794723947420309</v>
          </cell>
          <cell r="S29">
            <v>28.02078436744506</v>
          </cell>
          <cell r="T29">
            <v>24.585926594378098</v>
          </cell>
          <cell r="U29">
            <v>29.675021945000008</v>
          </cell>
          <cell r="V29">
            <v>21.760342853010304</v>
          </cell>
          <cell r="W29">
            <v>107.89936452004909</v>
          </cell>
          <cell r="X29">
            <v>0.45003249147714336</v>
          </cell>
          <cell r="Y29">
            <v>-56.454813715988365</v>
          </cell>
          <cell r="Z29">
            <v>36.615969581749049</v>
          </cell>
          <cell r="AA29">
            <v>-64.601063829787236</v>
          </cell>
          <cell r="AB29">
            <v>6.1182873380609033</v>
          </cell>
          <cell r="AC29">
            <v>6.1182873380609042</v>
          </cell>
          <cell r="AD29">
            <v>6.2749154939152634</v>
          </cell>
          <cell r="AE29">
            <v>6.435553330559495</v>
          </cell>
          <cell r="AF29">
            <v>6.6003034958218185</v>
          </cell>
          <cell r="AG29">
            <v>6.7692712653148579</v>
          </cell>
          <cell r="AH29">
            <v>6.9425646097069187</v>
          </cell>
          <cell r="AI29">
            <v>7.1202942637154161</v>
          </cell>
          <cell r="AJ29">
            <v>7.3025737968665316</v>
          </cell>
          <cell r="AK29">
            <v>7.4895196860663154</v>
          </cell>
          <cell r="AL29">
            <v>7.6812513900296135</v>
          </cell>
          <cell r="AM29">
            <v>7.8778914256143722</v>
          </cell>
        </row>
        <row r="31">
          <cell r="D31">
            <v>473.1605738084221</v>
          </cell>
          <cell r="E31">
            <v>399.45373847729599</v>
          </cell>
          <cell r="F31">
            <v>435.82199337991915</v>
          </cell>
          <cell r="G31">
            <v>479.095639691369</v>
          </cell>
          <cell r="H31">
            <v>380.05555179188406</v>
          </cell>
          <cell r="I31">
            <v>280.61224489795921</v>
          </cell>
          <cell r="J31">
            <v>339.45634626292593</v>
          </cell>
          <cell r="K31">
            <v>318.86190826588182</v>
          </cell>
          <cell r="L31">
            <v>274.48397013614402</v>
          </cell>
          <cell r="M31">
            <v>251.92649673977473</v>
          </cell>
          <cell r="N31">
            <v>242.72407529084376</v>
          </cell>
          <cell r="O31">
            <v>267.98777396317701</v>
          </cell>
          <cell r="P31">
            <v>308.20368792535794</v>
          </cell>
          <cell r="Q31">
            <v>235.33084027493007</v>
          </cell>
          <cell r="R31">
            <v>214.31790019150611</v>
          </cell>
          <cell r="S31">
            <v>382.69230769230768</v>
          </cell>
          <cell r="T31">
            <v>406.97674418604652</v>
          </cell>
          <cell r="U31">
            <v>428.66666666666669</v>
          </cell>
          <cell r="V31">
            <v>405.53245344422351</v>
          </cell>
          <cell r="W31">
            <v>416.20294599017996</v>
          </cell>
          <cell r="X31">
            <v>432.9751578705102</v>
          </cell>
          <cell r="Y31">
            <v>347.09302325581405</v>
          </cell>
          <cell r="Z31">
            <v>275.09505703422053</v>
          </cell>
          <cell r="AA31">
            <v>461.03723404255317</v>
          </cell>
          <cell r="AB31">
            <v>673.27228149259031</v>
          </cell>
          <cell r="AC31">
            <v>677.59139558014874</v>
          </cell>
          <cell r="AD31">
            <v>876.9913801830877</v>
          </cell>
          <cell r="AE31">
            <v>800.07513545729887</v>
          </cell>
          <cell r="AF31">
            <v>882.04608932190956</v>
          </cell>
          <cell r="AG31">
            <v>862.33156063536831</v>
          </cell>
          <cell r="AH31">
            <v>818.6859571996356</v>
          </cell>
          <cell r="AI31">
            <v>740.62406102828197</v>
          </cell>
          <cell r="AJ31">
            <v>637.33413338424464</v>
          </cell>
          <cell r="AK31">
            <v>573.64332919798335</v>
          </cell>
          <cell r="AL31">
            <v>693.69322653955521</v>
          </cell>
          <cell r="AM31">
            <v>875.11819073743413</v>
          </cell>
        </row>
        <row r="32">
          <cell r="D32">
            <v>537.43123039744978</v>
          </cell>
          <cell r="E32">
            <v>474.56469784909524</v>
          </cell>
          <cell r="F32">
            <v>515.81463773446126</v>
          </cell>
          <cell r="G32">
            <v>549.07590166876003</v>
          </cell>
          <cell r="H32">
            <v>438.31718718244025</v>
          </cell>
          <cell r="I32">
            <v>317.31113498030794</v>
          </cell>
          <cell r="J32">
            <v>384.83354422095204</v>
          </cell>
          <cell r="K32">
            <v>373.31371106205546</v>
          </cell>
          <cell r="L32">
            <v>343.43434343434342</v>
          </cell>
          <cell r="M32">
            <v>322.222728861733</v>
          </cell>
          <cell r="N32">
            <v>374.90820546515675</v>
          </cell>
          <cell r="O32">
            <v>397.99805889936698</v>
          </cell>
          <cell r="P32">
            <v>476.50604310644076</v>
          </cell>
          <cell r="Q32">
            <v>373.04069479211933</v>
          </cell>
          <cell r="R32">
            <v>349.78033119297055</v>
          </cell>
          <cell r="S32">
            <v>431.04395604395603</v>
          </cell>
          <cell r="T32">
            <v>450.93023255813955</v>
          </cell>
          <cell r="U32">
            <v>480.88888888888891</v>
          </cell>
          <cell r="V32">
            <v>450.55143735310077</v>
          </cell>
          <cell r="W32">
            <v>475.61374795417339</v>
          </cell>
          <cell r="X32">
            <v>470.66269652900644</v>
          </cell>
          <cell r="Y32">
            <v>383.3720930232559</v>
          </cell>
          <cell r="Z32">
            <v>304.37262357414448</v>
          </cell>
          <cell r="AA32">
            <v>488.031914893617</v>
          </cell>
          <cell r="AB32">
            <v>707.05343485858646</v>
          </cell>
          <cell r="AC32">
            <v>717.06914851120223</v>
          </cell>
          <cell r="AD32">
            <v>887.61687383014112</v>
          </cell>
          <cell r="AE32">
            <v>810.52459081763436</v>
          </cell>
          <cell r="AF32">
            <v>892.67017205722186</v>
          </cell>
          <cell r="AG32">
            <v>873.34043947691521</v>
          </cell>
          <cell r="AH32">
            <v>830.22360848184996</v>
          </cell>
          <cell r="AI32">
            <v>752.82770094494788</v>
          </cell>
          <cell r="AJ32">
            <v>650.35146552369213</v>
          </cell>
          <cell r="AK32">
            <v>587.58508208216517</v>
          </cell>
          <cell r="AL32">
            <v>708.60367190948659</v>
          </cell>
          <cell r="AM32">
            <v>890.99007398366075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233.90291036988367</v>
          </cell>
          <cell r="O33">
            <v>259.30098648472472</v>
          </cell>
          <cell r="P33">
            <v>262.10462095153946</v>
          </cell>
          <cell r="Q33">
            <v>233.26549847907117</v>
          </cell>
          <cell r="R33">
            <v>244.51644699785965</v>
          </cell>
          <cell r="S33">
            <v>300.11236263736265</v>
          </cell>
          <cell r="T33">
            <v>302.43976744186045</v>
          </cell>
          <cell r="U33">
            <v>346.75555555555559</v>
          </cell>
          <cell r="V33">
            <v>326.37859338275177</v>
          </cell>
          <cell r="W33">
            <v>366.77577741407526</v>
          </cell>
          <cell r="X33">
            <v>391.00102130352849</v>
          </cell>
          <cell r="Y33">
            <v>313.97674418604652</v>
          </cell>
          <cell r="Z33">
            <v>247.89923954372625</v>
          </cell>
          <cell r="AA33">
            <v>389.08244680851067</v>
          </cell>
          <cell r="AB33">
            <v>606.567009976431</v>
          </cell>
          <cell r="AC33">
            <v>613.58403680700144</v>
          </cell>
          <cell r="AD33">
            <v>758.9028021747821</v>
          </cell>
          <cell r="AE33">
            <v>681.39883672679696</v>
          </cell>
          <cell r="AF33">
            <v>763.12573078713149</v>
          </cell>
          <cell r="AG33">
            <v>743.55361400224967</v>
          </cell>
          <cell r="AH33">
            <v>700.18819376697195</v>
          </cell>
          <cell r="AI33">
            <v>622.53733310530754</v>
          </cell>
          <cell r="AJ33">
            <v>519.79961775929598</v>
          </cell>
          <cell r="AK33">
            <v>456.76506050693939</v>
          </cell>
          <cell r="AL33">
            <v>577.50861127387395</v>
          </cell>
          <cell r="AM33">
            <v>759.61293328771535</v>
          </cell>
        </row>
        <row r="34">
          <cell r="D34">
            <v>537.43123039744978</v>
          </cell>
          <cell r="E34">
            <v>474.56469784909524</v>
          </cell>
          <cell r="F34">
            <v>515.81463773446126</v>
          </cell>
          <cell r="G34">
            <v>549.07590166876003</v>
          </cell>
          <cell r="H34">
            <v>438.31718718244025</v>
          </cell>
          <cell r="I34">
            <v>317.31113498030794</v>
          </cell>
          <cell r="J34">
            <v>384.83354422095204</v>
          </cell>
          <cell r="K34">
            <v>373.31371106205546</v>
          </cell>
          <cell r="L34">
            <v>343.43434343434342</v>
          </cell>
          <cell r="M34">
            <v>322.222728861733</v>
          </cell>
          <cell r="N34">
            <v>50.022417191666982</v>
          </cell>
          <cell r="O34">
            <v>36.716860052438669</v>
          </cell>
          <cell r="P34">
            <v>60.124263238908711</v>
          </cell>
          <cell r="Q34">
            <v>32.942951397602016</v>
          </cell>
          <cell r="R34">
            <v>29.22468176185647</v>
          </cell>
          <cell r="S34">
            <v>38.349175824175795</v>
          </cell>
          <cell r="T34">
            <v>44.769534883720937</v>
          </cell>
          <cell r="U34">
            <v>39.244444444444426</v>
          </cell>
          <cell r="V34">
            <v>26.72211173386367</v>
          </cell>
          <cell r="W34">
            <v>26.677577741407529</v>
          </cell>
          <cell r="X34">
            <v>3.2796789366935917</v>
          </cell>
          <cell r="Y34">
            <v>24.860465116279091</v>
          </cell>
          <cell r="Z34">
            <v>17.309885931558927</v>
          </cell>
          <cell r="AA34">
            <v>21.15691489361701</v>
          </cell>
          <cell r="AB34">
            <v>29.35350265957447</v>
          </cell>
          <cell r="AC34">
            <v>29.35350265957447</v>
          </cell>
          <cell r="AD34">
            <v>29.712707635855239</v>
          </cell>
          <cell r="AE34">
            <v>29.893955152433957</v>
          </cell>
          <cell r="AF34">
            <v>30.076308278863802</v>
          </cell>
          <cell r="AG34">
            <v>30.076308278863802</v>
          </cell>
          <cell r="AH34">
            <v>30.076308278863802</v>
          </cell>
          <cell r="AI34">
            <v>30.076308278863802</v>
          </cell>
          <cell r="AJ34">
            <v>30.076308278863802</v>
          </cell>
          <cell r="AK34">
            <v>30.076308278863802</v>
          </cell>
          <cell r="AL34">
            <v>30.076308278863802</v>
          </cell>
          <cell r="AM34">
            <v>30.076308278863802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5.7975495690488152</v>
          </cell>
          <cell r="O35">
            <v>6.5186215288340357</v>
          </cell>
          <cell r="P35">
            <v>7.7138579457996288</v>
          </cell>
          <cell r="Q35">
            <v>6.4264598774688322</v>
          </cell>
          <cell r="R35">
            <v>6.4774135406105664</v>
          </cell>
          <cell r="S35">
            <v>6.5934065934065931</v>
          </cell>
          <cell r="T35">
            <v>6.0465116279069768</v>
          </cell>
          <cell r="U35">
            <v>6.2222222222222223</v>
          </cell>
          <cell r="V35">
            <v>5.062375700596637</v>
          </cell>
          <cell r="W35">
            <v>4.9099836333878883</v>
          </cell>
          <cell r="X35">
            <v>4.74690372416174</v>
          </cell>
          <cell r="Y35">
            <v>4.6511627906976747</v>
          </cell>
          <cell r="Z35">
            <v>4.3726235741444865</v>
          </cell>
          <cell r="AA35">
            <v>7.4468085106382986</v>
          </cell>
          <cell r="AB35">
            <v>8.6785264585283954</v>
          </cell>
          <cell r="AC35">
            <v>8.7766809862559594</v>
          </cell>
          <cell r="AD35">
            <v>9.0013640195041127</v>
          </cell>
          <cell r="AE35">
            <v>9.2317989384034185</v>
          </cell>
          <cell r="AF35">
            <v>9.4681329912265468</v>
          </cell>
          <cell r="AG35">
            <v>9.7105171958019465</v>
          </cell>
          <cell r="AH35">
            <v>9.9591064360144763</v>
          </cell>
          <cell r="AI35">
            <v>10.214059560776448</v>
          </cell>
          <cell r="AJ35">
            <v>10.475539485532327</v>
          </cell>
          <cell r="AK35">
            <v>10.743713296361955</v>
          </cell>
          <cell r="AL35">
            <v>11.018752356748822</v>
          </cell>
          <cell r="AM35">
            <v>11.300832417081592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85.185328334557255</v>
          </cell>
          <cell r="O36">
            <v>95.461590833369556</v>
          </cell>
          <cell r="P36">
            <v>146.56330097019296</v>
          </cell>
          <cell r="Q36">
            <v>100.40578503797732</v>
          </cell>
          <cell r="R36">
            <v>69.561788892643904</v>
          </cell>
          <cell r="S36">
            <v>85.989010989010993</v>
          </cell>
          <cell r="T36">
            <v>97.674418604651166</v>
          </cell>
          <cell r="U36">
            <v>88.666666666666671</v>
          </cell>
          <cell r="V36">
            <v>92.388356535888647</v>
          </cell>
          <cell r="W36">
            <v>77.250409165302784</v>
          </cell>
          <cell r="X36">
            <v>71.635092564622624</v>
          </cell>
          <cell r="Y36">
            <v>39.883720930232563</v>
          </cell>
          <cell r="Z36">
            <v>34.79087452471483</v>
          </cell>
          <cell r="AA36">
            <v>70.34574468085107</v>
          </cell>
          <cell r="AB36">
            <v>62.454395764052556</v>
          </cell>
          <cell r="AC36">
            <v>65.354928058370263</v>
          </cell>
          <cell r="AD36">
            <v>90</v>
          </cell>
          <cell r="AE36">
            <v>90</v>
          </cell>
          <cell r="AF36">
            <v>90</v>
          </cell>
          <cell r="AG36">
            <v>90</v>
          </cell>
          <cell r="AH36">
            <v>90</v>
          </cell>
          <cell r="AI36">
            <v>90</v>
          </cell>
          <cell r="AJ36">
            <v>90</v>
          </cell>
          <cell r="AK36">
            <v>90</v>
          </cell>
          <cell r="AL36">
            <v>90</v>
          </cell>
          <cell r="AM36">
            <v>90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29.306613071541765</v>
          </cell>
          <cell r="O37">
            <v>27.568336882360612</v>
          </cell>
          <cell r="P37">
            <v>25.271650520159469</v>
          </cell>
          <cell r="Q37">
            <v>18.223604081108043</v>
          </cell>
          <cell r="R37">
            <v>11.976174383237579</v>
          </cell>
          <cell r="S37">
            <v>2.7197802197802199</v>
          </cell>
          <cell r="T37">
            <v>9.3023255813953501E-2</v>
          </cell>
          <cell r="U37">
            <v>8.8888888888888892E-2</v>
          </cell>
          <cell r="V37">
            <v>7.2319652865666259E-2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7.942625491488843</v>
          </cell>
          <cell r="AE37">
            <v>7.925817736871708</v>
          </cell>
          <cell r="AF37">
            <v>7.925817736871708</v>
          </cell>
          <cell r="AG37">
            <v>7.925817736871708</v>
          </cell>
          <cell r="AH37">
            <v>7.925817736871708</v>
          </cell>
          <cell r="AI37">
            <v>7.925817736871708</v>
          </cell>
          <cell r="AJ37">
            <v>7.925817736871708</v>
          </cell>
          <cell r="AK37">
            <v>7.925817736871708</v>
          </cell>
          <cell r="AL37">
            <v>7.925817736871708</v>
          </cell>
          <cell r="AM37">
            <v>7.925817736871708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55.878715263015494</v>
          </cell>
          <cell r="O38">
            <v>67.893253951008944</v>
          </cell>
          <cell r="P38">
            <v>121.29165045003349</v>
          </cell>
          <cell r="Q38">
            <v>82.182180956869274</v>
          </cell>
          <cell r="R38">
            <v>57.585614509406327</v>
          </cell>
          <cell r="S38">
            <v>83.269230769230774</v>
          </cell>
          <cell r="T38">
            <v>97.581395348837219</v>
          </cell>
          <cell r="U38">
            <v>88.577777777777783</v>
          </cell>
          <cell r="V38">
            <v>92.316036883022974</v>
          </cell>
          <cell r="W38">
            <v>77.250409165302784</v>
          </cell>
          <cell r="X38">
            <v>71.635092564622624</v>
          </cell>
          <cell r="Y38">
            <v>39.883720930232563</v>
          </cell>
          <cell r="Z38">
            <v>34.79087452471483</v>
          </cell>
          <cell r="AA38">
            <v>70.34574468085107</v>
          </cell>
          <cell r="AB38">
            <v>62.454395764052556</v>
          </cell>
          <cell r="AC38">
            <v>65.354928058370263</v>
          </cell>
          <cell r="AD38">
            <v>82.05737450851116</v>
          </cell>
          <cell r="AE38">
            <v>82.074182263128293</v>
          </cell>
          <cell r="AF38">
            <v>82.074182263128293</v>
          </cell>
          <cell r="AG38">
            <v>82.074182263128293</v>
          </cell>
          <cell r="AH38">
            <v>82.074182263128293</v>
          </cell>
          <cell r="AI38">
            <v>82.074182263128293</v>
          </cell>
          <cell r="AJ38">
            <v>82.074182263128293</v>
          </cell>
          <cell r="AK38">
            <v>82.074182263128293</v>
          </cell>
          <cell r="AL38">
            <v>82.074182263128293</v>
          </cell>
          <cell r="AM38">
            <v>82.074182263128293</v>
          </cell>
        </row>
        <row r="39">
          <cell r="D39">
            <v>64.270656589027709</v>
          </cell>
          <cell r="E39">
            <v>75.11095937179924</v>
          </cell>
          <cell r="F39">
            <v>79.992644354542122</v>
          </cell>
          <cell r="G39">
            <v>69.980261977390995</v>
          </cell>
          <cell r="H39">
            <v>58.261635390556194</v>
          </cell>
          <cell r="I39">
            <v>36.698890082348733</v>
          </cell>
          <cell r="J39">
            <v>45.377197958026088</v>
          </cell>
          <cell r="K39">
            <v>54.451802796173659</v>
          </cell>
          <cell r="L39">
            <v>68.950373298199381</v>
          </cell>
          <cell r="M39">
            <v>70.296232121958255</v>
          </cell>
          <cell r="N39">
            <v>132.184130174313</v>
          </cell>
          <cell r="O39">
            <v>130.01028493618995</v>
          </cell>
          <cell r="P39">
            <v>168.30235518108282</v>
          </cell>
          <cell r="Q39">
            <v>137.70985451718926</v>
          </cell>
          <cell r="R39">
            <v>135.46243100146444</v>
          </cell>
          <cell r="S39">
            <v>48.351648351648343</v>
          </cell>
          <cell r="T39">
            <v>43.95348837209302</v>
          </cell>
          <cell r="U39">
            <v>52.222222222222221</v>
          </cell>
          <cell r="V39">
            <v>45.018983908877239</v>
          </cell>
          <cell r="W39">
            <v>59.41080196399345</v>
          </cell>
          <cell r="X39">
            <v>37.687538658496237</v>
          </cell>
          <cell r="Y39">
            <v>36.279069767441861</v>
          </cell>
          <cell r="Z39">
            <v>29.277566539923953</v>
          </cell>
          <cell r="AA39">
            <v>26.99468085106383</v>
          </cell>
          <cell r="AB39">
            <v>33.781153365996182</v>
          </cell>
          <cell r="AC39">
            <v>39.477752931053516</v>
          </cell>
          <cell r="AD39">
            <v>10.625493647053416</v>
          </cell>
          <cell r="AE39">
            <v>10.449455360335499</v>
          </cell>
          <cell r="AF39">
            <v>10.624082735312353</v>
          </cell>
          <cell r="AG39">
            <v>11.008878841546814</v>
          </cell>
          <cell r="AH39">
            <v>11.537651282214668</v>
          </cell>
          <cell r="AI39">
            <v>12.203639916665937</v>
          </cell>
          <cell r="AJ39">
            <v>13.017332139447532</v>
          </cell>
          <cell r="AK39">
            <v>13.94175288418179</v>
          </cell>
          <cell r="AL39">
            <v>14.910445369931349</v>
          </cell>
          <cell r="AM39">
            <v>15.871883246226606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0.53518697579418528</v>
          </cell>
          <cell r="P40">
            <v>1.7215391250381311</v>
          </cell>
          <cell r="Q40">
            <v>2.4342770079626899</v>
          </cell>
          <cell r="R40">
            <v>3.0236516073842514</v>
          </cell>
          <cell r="S40">
            <v>2.6568790638736264</v>
          </cell>
          <cell r="T40">
            <v>2.1506879651162794</v>
          </cell>
          <cell r="U40">
            <v>2.4049288272222222</v>
          </cell>
          <cell r="V40">
            <v>3.0762351577472433</v>
          </cell>
          <cell r="W40">
            <v>3.2830869885433716</v>
          </cell>
          <cell r="X40">
            <v>3.0676103655115865</v>
          </cell>
          <cell r="Y40">
            <v>2.3569767441860465</v>
          </cell>
          <cell r="Z40">
            <v>2.6112167300380227</v>
          </cell>
          <cell r="AA40">
            <v>5.5311170212765965</v>
          </cell>
          <cell r="AB40">
            <v>5.3795628450585991</v>
          </cell>
          <cell r="AC40">
            <v>5.4161917088085714</v>
          </cell>
          <cell r="AD40">
            <v>5.3555003997015218</v>
          </cell>
          <cell r="AE40">
            <v>5.5118470018941128</v>
          </cell>
          <cell r="AF40">
            <v>6.0040034831354463</v>
          </cell>
          <cell r="AG40">
            <v>6.6922608467427231</v>
          </cell>
          <cell r="AH40">
            <v>7.5111763886607186</v>
          </cell>
          <cell r="AI40">
            <v>8.4547033616582734</v>
          </cell>
          <cell r="AJ40">
            <v>9.5340080996618752</v>
          </cell>
          <cell r="AK40">
            <v>10.712761775456313</v>
          </cell>
          <cell r="AL40">
            <v>11.925122813977257</v>
          </cell>
          <cell r="AM40">
            <v>13.120150621737105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111.31295172573726</v>
          </cell>
          <cell r="O41">
            <v>110.81656599017862</v>
          </cell>
          <cell r="P41">
            <v>125.17487666593034</v>
          </cell>
          <cell r="Q41">
            <v>24.787773813094066</v>
          </cell>
          <cell r="R41">
            <v>30.415680973301789</v>
          </cell>
          <cell r="S41">
            <v>39.010989010989007</v>
          </cell>
          <cell r="T41">
            <v>35.813953488372093</v>
          </cell>
          <cell r="U41">
            <v>44.222222222222221</v>
          </cell>
          <cell r="V41">
            <v>38.510215150967277</v>
          </cell>
          <cell r="W41">
            <v>53.191489361702125</v>
          </cell>
          <cell r="X41">
            <v>32.221407097340297</v>
          </cell>
          <cell r="Y41">
            <v>31.279069767441861</v>
          </cell>
          <cell r="Z41">
            <v>25.570342205323193</v>
          </cell>
          <cell r="AA41">
            <v>22.207446808510639</v>
          </cell>
          <cell r="AB41">
            <v>29.290026797533333</v>
          </cell>
          <cell r="AC41">
            <v>34.949997498840695</v>
          </cell>
          <cell r="AD41">
            <v>6.1811734926284876</v>
          </cell>
          <cell r="AE41">
            <v>5.8721148179970628</v>
          </cell>
          <cell r="AF41">
            <v>5.578509077097209</v>
          </cell>
          <cell r="AG41">
            <v>5.2995836232423477</v>
          </cell>
          <cell r="AH41">
            <v>5.0346044420802301</v>
          </cell>
          <cell r="AI41">
            <v>4.7828742199762182</v>
          </cell>
          <cell r="AJ41">
            <v>4.5437305089774069</v>
          </cell>
          <cell r="AK41">
            <v>4.3165439835285362</v>
          </cell>
          <cell r="AL41">
            <v>4.1007167843521097</v>
          </cell>
          <cell r="AM41">
            <v>3.8956809451345036</v>
          </cell>
        </row>
        <row r="42">
          <cell r="D42">
            <v>64.270656589027709</v>
          </cell>
          <cell r="E42">
            <v>75.11095937179924</v>
          </cell>
          <cell r="F42">
            <v>79.992644354542122</v>
          </cell>
          <cell r="G42">
            <v>69.980261977390995</v>
          </cell>
          <cell r="H42">
            <v>58.261635390556194</v>
          </cell>
          <cell r="I42">
            <v>36.698890082348733</v>
          </cell>
          <cell r="J42">
            <v>45.377197958026088</v>
          </cell>
          <cell r="K42">
            <v>54.451802796173659</v>
          </cell>
          <cell r="L42">
            <v>68.950373298199381</v>
          </cell>
          <cell r="M42">
            <v>70.296232121958255</v>
          </cell>
          <cell r="N42">
            <v>20.871178448575737</v>
          </cell>
          <cell r="O42">
            <v>18.65853197021714</v>
          </cell>
          <cell r="P42">
            <v>41.405939390114341</v>
          </cell>
          <cell r="Q42">
            <v>110.4878036961325</v>
          </cell>
          <cell r="R42">
            <v>102.02309842077841</v>
          </cell>
          <cell r="S42">
            <v>6.683780276785714</v>
          </cell>
          <cell r="T42">
            <v>5.9888469186046516</v>
          </cell>
          <cell r="U42">
            <v>5.5950711727777778</v>
          </cell>
          <cell r="V42">
            <v>3.4325336001627189</v>
          </cell>
          <cell r="W42">
            <v>2.9362256137479541</v>
          </cell>
          <cell r="X42">
            <v>2.3985211956443564</v>
          </cell>
          <cell r="Y42">
            <v>2.6430232558139535</v>
          </cell>
          <cell r="Z42">
            <v>1.0960076045627378</v>
          </cell>
          <cell r="AA42">
            <v>-0.74388297872340448</v>
          </cell>
          <cell r="AB42">
            <v>-0.88843627659574498</v>
          </cell>
          <cell r="AC42">
            <v>-0.88843627659574498</v>
          </cell>
          <cell r="AD42">
            <v>-0.91118024527659613</v>
          </cell>
          <cell r="AE42">
            <v>-0.93450645955567702</v>
          </cell>
          <cell r="AF42">
            <v>-0.95842982492030238</v>
          </cell>
          <cell r="AG42">
            <v>-0.98296562843826218</v>
          </cell>
          <cell r="AH42">
            <v>-1.0081295485262818</v>
          </cell>
          <cell r="AI42">
            <v>-1.0339376649685548</v>
          </cell>
          <cell r="AJ42">
            <v>-1.0604064691917499</v>
          </cell>
          <cell r="AK42">
            <v>-1.0875528748030587</v>
          </cell>
          <cell r="AL42">
            <v>-1.1153942283980172</v>
          </cell>
          <cell r="AM42">
            <v>-1.1439483206450065</v>
          </cell>
        </row>
        <row r="44">
          <cell r="D44">
            <v>410.62433544141112</v>
          </cell>
          <cell r="E44">
            <v>64.973506316148701</v>
          </cell>
          <cell r="F44">
            <v>24.132582137075076</v>
          </cell>
          <cell r="G44">
            <v>44.810900332420943</v>
          </cell>
          <cell r="H44">
            <v>-49.042469763324618</v>
          </cell>
          <cell r="I44">
            <v>-244.48494538722747</v>
          </cell>
          <cell r="J44">
            <v>-141.61948633028936</v>
          </cell>
          <cell r="K44">
            <v>-162.51344908767038</v>
          </cell>
          <cell r="L44">
            <v>-424.51526512182073</v>
          </cell>
          <cell r="M44">
            <v>-460.88489279922055</v>
          </cell>
          <cell r="N44">
            <v>-87.402368235528229</v>
          </cell>
          <cell r="O44">
            <v>-138.61629104332098</v>
          </cell>
          <cell r="P44">
            <v>-268.43056160755975</v>
          </cell>
          <cell r="Q44">
            <v>121.09664977859308</v>
          </cell>
          <cell r="R44">
            <v>178.75540560085022</v>
          </cell>
          <cell r="S44">
            <v>316.36300684134608</v>
          </cell>
          <cell r="T44">
            <v>194.03395348837216</v>
          </cell>
          <cell r="U44">
            <v>115.6084444444445</v>
          </cell>
          <cell r="V44">
            <v>72.13885373350206</v>
          </cell>
          <cell r="W44">
            <v>25.53191489361717</v>
          </cell>
          <cell r="X44">
            <v>273.30657805779708</v>
          </cell>
          <cell r="Y44">
            <v>132.09302325581405</v>
          </cell>
          <cell r="Z44">
            <v>219.29657794676825</v>
          </cell>
          <cell r="AA44">
            <v>308.51063829787199</v>
          </cell>
          <cell r="AB44">
            <v>431.95745518187573</v>
          </cell>
          <cell r="AC44">
            <v>225.34344285946463</v>
          </cell>
          <cell r="AD44">
            <v>856.94454825179139</v>
          </cell>
          <cell r="AE44">
            <v>599.79913380496532</v>
          </cell>
          <cell r="AF44">
            <v>516.13269877344624</v>
          </cell>
          <cell r="AG44">
            <v>143.50823349112306</v>
          </cell>
          <cell r="AH44">
            <v>-332.8008521311674</v>
          </cell>
          <cell r="AI44">
            <v>-860.52429283187075</v>
          </cell>
          <cell r="AJ44">
            <v>-1730.8461705697573</v>
          </cell>
          <cell r="AK44">
            <v>-3028.1559367352215</v>
          </cell>
          <cell r="AL44">
            <v>-4784.9549293403707</v>
          </cell>
          <cell r="AM44">
            <v>-7633.0478751523378</v>
          </cell>
        </row>
        <row r="46">
          <cell r="N46">
            <v>-81.838596219997683</v>
          </cell>
          <cell r="O46">
            <v>-128.77337650109365</v>
          </cell>
          <cell r="P46">
            <v>-87.900463182106677</v>
          </cell>
          <cell r="Q46">
            <v>-83.830697974747054</v>
          </cell>
          <cell r="R46">
            <v>-133.96373704517293</v>
          </cell>
          <cell r="S46">
            <v>-172.40259182692313</v>
          </cell>
          <cell r="T46">
            <v>-206.63056430232558</v>
          </cell>
          <cell r="U46">
            <v>-90.818787944444438</v>
          </cell>
          <cell r="V46">
            <v>7.1244774909103654</v>
          </cell>
          <cell r="W46">
            <v>-107.86685165017869</v>
          </cell>
          <cell r="X46">
            <v>-146.44869104129805</v>
          </cell>
          <cell r="Y46">
            <v>-67.679971918604593</v>
          </cell>
          <cell r="Z46">
            <v>-111.58077126901148</v>
          </cell>
          <cell r="AA46">
            <v>-308.72430295877655</v>
          </cell>
          <cell r="AB46">
            <v>-329.20995592290046</v>
          </cell>
          <cell r="AC46">
            <v>-202.07990059094584</v>
          </cell>
          <cell r="AD46">
            <v>-294.68668508762551</v>
          </cell>
          <cell r="AE46">
            <v>-324.77383844544386</v>
          </cell>
          <cell r="AF46">
            <v>-337.32343229754247</v>
          </cell>
          <cell r="AG46">
            <v>-332.4881607398795</v>
          </cell>
          <cell r="AH46">
            <v>553.1324602697224</v>
          </cell>
          <cell r="AI46">
            <v>1106.4853036181864</v>
          </cell>
          <cell r="AJ46">
            <v>1988.3043963338027</v>
          </cell>
          <cell r="AK46">
            <v>3370.9104380710974</v>
          </cell>
          <cell r="AL46">
            <v>5243.1373671113743</v>
          </cell>
          <cell r="AM46">
            <v>8292.8065781302812</v>
          </cell>
        </row>
        <row r="47">
          <cell r="N47">
            <v>42.238627140262054</v>
          </cell>
          <cell r="O47">
            <v>28.891254907073431</v>
          </cell>
          <cell r="P47">
            <v>32.067559370408937</v>
          </cell>
          <cell r="Q47">
            <v>27.022039697160732</v>
          </cell>
          <cell r="R47">
            <v>43.254477864143283</v>
          </cell>
          <cell r="S47">
            <v>39.979395604395606</v>
          </cell>
          <cell r="T47">
            <v>42.051627906976748</v>
          </cell>
          <cell r="U47">
            <v>34.266666666666666</v>
          </cell>
          <cell r="V47">
            <v>45.507141565720488</v>
          </cell>
          <cell r="W47">
            <v>22.913256955810148</v>
          </cell>
          <cell r="X47">
            <v>111.86869776607834</v>
          </cell>
          <cell r="Y47">
            <v>94.848837209302332</v>
          </cell>
          <cell r="Z47">
            <v>110.80798479087454</v>
          </cell>
          <cell r="AA47">
            <v>160.78457446808511</v>
          </cell>
          <cell r="AB47">
            <v>187.37868466083361</v>
          </cell>
          <cell r="AC47">
            <v>189.49794608003714</v>
          </cell>
          <cell r="AD47">
            <v>151.83558149999999</v>
          </cell>
          <cell r="AE47">
            <v>152.76177854714999</v>
          </cell>
          <cell r="AF47">
            <v>153.69362539628762</v>
          </cell>
          <cell r="AG47">
            <v>153.69362539628762</v>
          </cell>
          <cell r="AH47">
            <v>153.69362539628762</v>
          </cell>
          <cell r="AI47">
            <v>153.69362539628762</v>
          </cell>
          <cell r="AJ47">
            <v>153.69362539628762</v>
          </cell>
          <cell r="AK47">
            <v>153.69362539628762</v>
          </cell>
          <cell r="AL47">
            <v>153.69362539628762</v>
          </cell>
          <cell r="AM47">
            <v>153.69362539628762</v>
          </cell>
        </row>
        <row r="48">
          <cell r="N48">
            <v>43.897499323619215</v>
          </cell>
          <cell r="O48">
            <v>31.606985065113786</v>
          </cell>
          <cell r="P48">
            <v>29.356138302460373</v>
          </cell>
          <cell r="Q48">
            <v>25.976362868526873</v>
          </cell>
          <cell r="R48">
            <v>41.354624310014643</v>
          </cell>
          <cell r="S48">
            <v>39.693406593406593</v>
          </cell>
          <cell r="T48">
            <v>41.362325581395353</v>
          </cell>
          <cell r="U48">
            <v>33</v>
          </cell>
          <cell r="V48">
            <v>23.069969264147531</v>
          </cell>
          <cell r="W48">
            <v>16.366612111292962</v>
          </cell>
          <cell r="X48">
            <v>21.576835109826089</v>
          </cell>
          <cell r="Y48">
            <v>23.255813953488374</v>
          </cell>
          <cell r="Z48">
            <v>28.517110266159698</v>
          </cell>
          <cell r="AA48">
            <v>39.893617021276597</v>
          </cell>
          <cell r="AB48">
            <v>46.492106027830687</v>
          </cell>
          <cell r="AC48">
            <v>47.01793385494264</v>
          </cell>
          <cell r="AD48">
            <v>15.691722592928992</v>
          </cell>
          <cell r="AE48">
            <v>1.0075896955673938</v>
          </cell>
          <cell r="AF48">
            <v>-3.8509301361100121</v>
          </cell>
          <cell r="AG48">
            <v>-3.8509301361100121</v>
          </cell>
          <cell r="AH48">
            <v>-3.8509301361100121</v>
          </cell>
          <cell r="AI48">
            <v>-3.8509301361100121</v>
          </cell>
          <cell r="AJ48">
            <v>-3.8509301361100121</v>
          </cell>
          <cell r="AK48">
            <v>-3.8509301361100121</v>
          </cell>
          <cell r="AL48">
            <v>-3.8509301361100121</v>
          </cell>
          <cell r="AM48">
            <v>-3.8509301361100121</v>
          </cell>
        </row>
        <row r="49">
          <cell r="N49">
            <v>-1.6588721833571629</v>
          </cell>
          <cell r="O49">
            <v>-2.7157301580403557</v>
          </cell>
          <cell r="P49">
            <v>2.711421067948566</v>
          </cell>
          <cell r="Q49">
            <v>1.0456768286338576</v>
          </cell>
          <cell r="R49">
            <v>1.8998535541286417</v>
          </cell>
          <cell r="S49">
            <v>0.28598901098901008</v>
          </cell>
          <cell r="T49">
            <v>0.68930232558139504</v>
          </cell>
          <cell r="U49">
            <v>1.2666666666666642</v>
          </cell>
          <cell r="V49">
            <v>22.437172301572954</v>
          </cell>
          <cell r="W49">
            <v>6.5466448445171848</v>
          </cell>
          <cell r="X49">
            <v>90.291862656252249</v>
          </cell>
          <cell r="Y49">
            <v>71.593023255813961</v>
          </cell>
          <cell r="Z49">
            <v>82.290874524714837</v>
          </cell>
          <cell r="AA49">
            <v>120.8909574468085</v>
          </cell>
          <cell r="AB49">
            <v>140.88657863300293</v>
          </cell>
          <cell r="AC49">
            <v>142.4800122250945</v>
          </cell>
          <cell r="AD49">
            <v>136.14385890707101</v>
          </cell>
          <cell r="AE49">
            <v>151.7541888515826</v>
          </cell>
          <cell r="AF49">
            <v>157.54455553239762</v>
          </cell>
          <cell r="AG49">
            <v>157.54455553239762</v>
          </cell>
          <cell r="AH49">
            <v>157.54455553239762</v>
          </cell>
          <cell r="AI49">
            <v>157.54455553239762</v>
          </cell>
          <cell r="AJ49">
            <v>157.54455553239762</v>
          </cell>
          <cell r="AK49">
            <v>157.54455553239762</v>
          </cell>
          <cell r="AL49">
            <v>157.54455553239762</v>
          </cell>
          <cell r="AM49">
            <v>157.54455553239762</v>
          </cell>
        </row>
        <row r="50">
          <cell r="N50">
            <v>28.214741236037568</v>
          </cell>
          <cell r="O50">
            <v>114.1120913186447</v>
          </cell>
          <cell r="P50">
            <v>116.65456993488803</v>
          </cell>
          <cell r="Q50">
            <v>46.60713520659538</v>
          </cell>
          <cell r="R50">
            <v>91.866621606398553</v>
          </cell>
          <cell r="S50">
            <v>148.90109890109886</v>
          </cell>
          <cell r="T50">
            <v>106.99999999999999</v>
          </cell>
          <cell r="U50">
            <v>85.1111111111111</v>
          </cell>
          <cell r="V50">
            <v>75.971795335382396</v>
          </cell>
          <cell r="W50">
            <v>18.870703764320783</v>
          </cell>
          <cell r="X50">
            <v>183.43029963031688</v>
          </cell>
          <cell r="Y50">
            <v>352.76744186046517</v>
          </cell>
          <cell r="Z50">
            <v>176.33079847908743</v>
          </cell>
          <cell r="AA50">
            <v>139.09574468085108</v>
          </cell>
          <cell r="AB50">
            <v>203.9453717754173</v>
          </cell>
          <cell r="AC50">
            <v>336.02150061665674</v>
          </cell>
          <cell r="AD50">
            <v>93.926576740000002</v>
          </cell>
          <cell r="AE50">
            <v>93.889528858114005</v>
          </cell>
          <cell r="AF50">
            <v>93.852254984148502</v>
          </cell>
          <cell r="AG50">
            <v>93.852254984148502</v>
          </cell>
          <cell r="AH50">
            <v>93.852254984148502</v>
          </cell>
          <cell r="AI50">
            <v>93.852254984148502</v>
          </cell>
          <cell r="AJ50">
            <v>93.852254984148502</v>
          </cell>
          <cell r="AK50">
            <v>93.852254984148502</v>
          </cell>
          <cell r="AL50">
            <v>93.852254984148502</v>
          </cell>
          <cell r="AM50">
            <v>93.852254984148502</v>
          </cell>
        </row>
        <row r="51">
          <cell r="N51">
            <v>29.567502802148958</v>
          </cell>
          <cell r="O51">
            <v>120.48585459128243</v>
          </cell>
          <cell r="P51">
            <v>118.23240451471068</v>
          </cell>
          <cell r="Q51">
            <v>55.298157136124658</v>
          </cell>
          <cell r="R51">
            <v>97.977920468626778</v>
          </cell>
          <cell r="S51">
            <v>152.44505494505492</v>
          </cell>
          <cell r="T51">
            <v>128.67441860465115</v>
          </cell>
          <cell r="U51">
            <v>85.777777777777771</v>
          </cell>
          <cell r="V51">
            <v>77.255469173747969</v>
          </cell>
          <cell r="W51">
            <v>19.607201309328968</v>
          </cell>
          <cell r="X51">
            <v>186.07862598714019</v>
          </cell>
          <cell r="Y51">
            <v>365.55813953488376</v>
          </cell>
          <cell r="Z51">
            <v>181.74904942965779</v>
          </cell>
          <cell r="AA51">
            <v>149.60106382978725</v>
          </cell>
          <cell r="AB51">
            <v>226.10660898201658</v>
          </cell>
          <cell r="AC51">
            <v>348.08943697275868</v>
          </cell>
          <cell r="AD51">
            <v>100</v>
          </cell>
          <cell r="AE51">
            <v>100</v>
          </cell>
          <cell r="AF51">
            <v>100</v>
          </cell>
          <cell r="AG51">
            <v>100</v>
          </cell>
          <cell r="AH51">
            <v>100</v>
          </cell>
          <cell r="AI51">
            <v>100</v>
          </cell>
          <cell r="AJ51">
            <v>100</v>
          </cell>
          <cell r="AK51">
            <v>100</v>
          </cell>
          <cell r="AL51">
            <v>100</v>
          </cell>
          <cell r="AM51">
            <v>100</v>
          </cell>
        </row>
        <row r="52">
          <cell r="N52">
            <v>-1.3527615661113903</v>
          </cell>
          <cell r="O52">
            <v>-6.3737632726377242</v>
          </cell>
          <cell r="P52">
            <v>-1.5778345798226514</v>
          </cell>
          <cell r="Q52">
            <v>-8.6910219295292777</v>
          </cell>
          <cell r="R52">
            <v>-6.1112988622282298</v>
          </cell>
          <cell r="S52">
            <v>-3.5439560439560438</v>
          </cell>
          <cell r="T52">
            <v>-21.674418604651166</v>
          </cell>
          <cell r="U52">
            <v>-0.66666666666666663</v>
          </cell>
          <cell r="V52">
            <v>-1.2836738383655759</v>
          </cell>
          <cell r="W52">
            <v>-0.73649754500818332</v>
          </cell>
          <cell r="X52">
            <v>-2.6483263568233149</v>
          </cell>
          <cell r="Y52">
            <v>-12.790697674418606</v>
          </cell>
          <cell r="Z52">
            <v>-5.418250950570342</v>
          </cell>
          <cell r="AA52">
            <v>-10.50531914893617</v>
          </cell>
          <cell r="AB52">
            <v>-22.161237206599296</v>
          </cell>
          <cell r="AC52">
            <v>-12.067936356101944</v>
          </cell>
          <cell r="AD52">
            <v>-6.0734232600000002</v>
          </cell>
          <cell r="AE52">
            <v>-6.1104711418860003</v>
          </cell>
          <cell r="AF52">
            <v>-6.1477450158515046</v>
          </cell>
          <cell r="AG52">
            <v>-6.1477450158515046</v>
          </cell>
          <cell r="AH52">
            <v>-6.1477450158515046</v>
          </cell>
          <cell r="AI52">
            <v>-6.1477450158515046</v>
          </cell>
          <cell r="AJ52">
            <v>-6.1477450158515046</v>
          </cell>
          <cell r="AK52">
            <v>-6.1477450158515046</v>
          </cell>
          <cell r="AL52">
            <v>-6.1477450158515046</v>
          </cell>
          <cell r="AM52">
            <v>-6.1477450158515046</v>
          </cell>
        </row>
        <row r="53">
          <cell r="N53">
            <v>10.938043520272098</v>
          </cell>
          <cell r="O53">
            <v>-25.676125910796287</v>
          </cell>
          <cell r="P53">
            <v>15.883534770214689</v>
          </cell>
          <cell r="Q53">
            <v>75.49560246531243</v>
          </cell>
          <cell r="R53">
            <v>47.313281514025007</v>
          </cell>
          <cell r="S53">
            <v>76.840659340659343</v>
          </cell>
          <cell r="T53">
            <v>23.046511627906977</v>
          </cell>
          <cell r="U53">
            <v>11.755555555555558</v>
          </cell>
          <cell r="V53">
            <v>-10.070511661544021</v>
          </cell>
          <cell r="W53">
            <v>-6.5139116202945999</v>
          </cell>
          <cell r="X53">
            <v>-58.617068715027543</v>
          </cell>
          <cell r="Y53">
            <v>-167.6046511627907</v>
          </cell>
          <cell r="Z53">
            <v>-147.3384030418251</v>
          </cell>
          <cell r="AA53">
            <v>-206.11702127659578</v>
          </cell>
          <cell r="AB53">
            <v>-240.20921447712524</v>
          </cell>
          <cell r="AC53">
            <v>-242.92599158387034</v>
          </cell>
          <cell r="AD53">
            <v>-198.48164418499999</v>
          </cell>
          <cell r="AE53">
            <v>-198.47238221452849</v>
          </cell>
          <cell r="AF53">
            <v>-198.46306374603714</v>
          </cell>
          <cell r="AG53">
            <v>-198.46306374603714</v>
          </cell>
          <cell r="AH53">
            <v>-198.46306374603714</v>
          </cell>
          <cell r="AI53">
            <v>-198.46306374603714</v>
          </cell>
          <cell r="AJ53">
            <v>-198.46306374603714</v>
          </cell>
          <cell r="AK53">
            <v>-198.46306374603714</v>
          </cell>
          <cell r="AL53">
            <v>-198.46306374603714</v>
          </cell>
          <cell r="AM53">
            <v>-198.46306374603714</v>
          </cell>
        </row>
        <row r="54">
          <cell r="N54">
            <v>15.460132184130174</v>
          </cell>
          <cell r="O54">
            <v>-14.956614952269204</v>
          </cell>
          <cell r="P54">
            <v>15.042022994309276</v>
          </cell>
          <cell r="Q54">
            <v>60.010894379601808</v>
          </cell>
          <cell r="R54">
            <v>64.239044722316095</v>
          </cell>
          <cell r="S54">
            <v>81.92307692307692</v>
          </cell>
          <cell r="T54">
            <v>31.186046511627907</v>
          </cell>
          <cell r="U54">
            <v>26.666666666666668</v>
          </cell>
          <cell r="V54">
            <v>9.2026758271560318</v>
          </cell>
          <cell r="W54">
            <v>21.849427168576103</v>
          </cell>
          <cell r="X54">
            <v>19.045153123606497</v>
          </cell>
          <cell r="Y54">
            <v>11.267441860465118</v>
          </cell>
          <cell r="Z54">
            <v>5.8269961977186329</v>
          </cell>
          <cell r="AA54">
            <v>8.1515957446808525</v>
          </cell>
          <cell r="AB54">
            <v>9.4998869983534053</v>
          </cell>
          <cell r="AC54">
            <v>9.6073311510266137</v>
          </cell>
          <cell r="AD54">
            <v>1.5183558150000001</v>
          </cell>
          <cell r="AE54">
            <v>1.5276177854715001</v>
          </cell>
          <cell r="AF54">
            <v>1.5369362539628761</v>
          </cell>
          <cell r="AG54">
            <v>1.5369362539628761</v>
          </cell>
          <cell r="AH54">
            <v>1.5369362539628761</v>
          </cell>
          <cell r="AI54">
            <v>1.5369362539628761</v>
          </cell>
          <cell r="AJ54">
            <v>1.5369362539628761</v>
          </cell>
          <cell r="AK54">
            <v>1.5369362539628761</v>
          </cell>
          <cell r="AL54">
            <v>1.5369362539628761</v>
          </cell>
          <cell r="AM54">
            <v>1.5369362539628761</v>
          </cell>
        </row>
        <row r="55">
          <cell r="N55">
            <v>-4.5220886638580762</v>
          </cell>
          <cell r="O55">
            <v>-10.719510958527081</v>
          </cell>
          <cell r="P55">
            <v>0.84151177590541404</v>
          </cell>
          <cell r="Q55">
            <v>15.484708085710615</v>
          </cell>
          <cell r="R55">
            <v>-16.925763208291087</v>
          </cell>
          <cell r="S55">
            <v>-5.0824175824175821</v>
          </cell>
          <cell r="T55">
            <v>-8.1395348837209305</v>
          </cell>
          <cell r="U55">
            <v>-14.91111111111111</v>
          </cell>
          <cell r="V55">
            <v>-19.273187488700053</v>
          </cell>
          <cell r="W55">
            <v>-28.363338788870703</v>
          </cell>
          <cell r="X55">
            <v>-77.662221838634039</v>
          </cell>
          <cell r="Y55">
            <v>-178.87209302325581</v>
          </cell>
          <cell r="Z55">
            <v>-153.16539923954375</v>
          </cell>
          <cell r="AA55">
            <v>-214.26861702127664</v>
          </cell>
          <cell r="AB55">
            <v>-249.70910147547866</v>
          </cell>
          <cell r="AC55">
            <v>-252.53332273489696</v>
          </cell>
          <cell r="AD55">
            <v>-200</v>
          </cell>
          <cell r="AE55">
            <v>-200</v>
          </cell>
          <cell r="AF55">
            <v>-200</v>
          </cell>
          <cell r="AG55">
            <v>-200</v>
          </cell>
          <cell r="AH55">
            <v>-200</v>
          </cell>
          <cell r="AI55">
            <v>-200</v>
          </cell>
          <cell r="AJ55">
            <v>-200</v>
          </cell>
          <cell r="AK55">
            <v>-200</v>
          </cell>
          <cell r="AL55">
            <v>-200</v>
          </cell>
          <cell r="AM55">
            <v>-200</v>
          </cell>
        </row>
        <row r="56">
          <cell r="N56">
            <v>-163.23000811656939</v>
          </cell>
          <cell r="O56">
            <v>-246.1005968160155</v>
          </cell>
          <cell r="P56">
            <v>-252.50612725761832</v>
          </cell>
          <cell r="Q56">
            <v>-232.95547534381561</v>
          </cell>
          <cell r="R56">
            <v>-316.39811802973975</v>
          </cell>
          <cell r="S56">
            <v>-438.12374567307694</v>
          </cell>
          <cell r="T56">
            <v>-378.72870383720931</v>
          </cell>
          <cell r="U56">
            <v>-221.95212127777776</v>
          </cell>
          <cell r="V56">
            <v>-104.2839477486485</v>
          </cell>
          <cell r="W56">
            <v>-143.136900750015</v>
          </cell>
          <cell r="X56">
            <v>-383.13061972266576</v>
          </cell>
          <cell r="Y56">
            <v>-347.69159982558142</v>
          </cell>
          <cell r="Z56">
            <v>-251.38115149714835</v>
          </cell>
          <cell r="AA56">
            <v>-402.48760083111699</v>
          </cell>
          <cell r="AB56">
            <v>-480.32479788202619</v>
          </cell>
          <cell r="AC56">
            <v>-484.6733557037694</v>
          </cell>
          <cell r="AD56">
            <v>-341.96719914262547</v>
          </cell>
          <cell r="AE56">
            <v>-372.95276363617933</v>
          </cell>
          <cell r="AF56">
            <v>-386.40624893194138</v>
          </cell>
          <cell r="AG56">
            <v>-381.57097737427824</v>
          </cell>
          <cell r="AH56">
            <v>504.04964363532349</v>
          </cell>
          <cell r="AI56">
            <v>1057.4024869837874</v>
          </cell>
          <cell r="AJ56">
            <v>1939.2215796994028</v>
          </cell>
          <cell r="AK56">
            <v>3321.8276214366988</v>
          </cell>
          <cell r="AL56">
            <v>5194.0545504769752</v>
          </cell>
          <cell r="AM56">
            <v>8243.7237614958885</v>
          </cell>
        </row>
        <row r="57">
          <cell r="N57">
            <v>28.205078653422486</v>
          </cell>
          <cell r="O57">
            <v>29.818166673909577</v>
          </cell>
          <cell r="P57">
            <v>11.448066451379903</v>
          </cell>
          <cell r="Q57">
            <v>5.0683576416728382</v>
          </cell>
          <cell r="R57">
            <v>6.2615642953700572</v>
          </cell>
          <cell r="S57">
            <v>20.118012568681316</v>
          </cell>
          <cell r="T57">
            <v>4.713156627906975</v>
          </cell>
          <cell r="U57">
            <v>15.070100944444441</v>
          </cell>
          <cell r="V57">
            <v>22.854001989192774</v>
          </cell>
          <cell r="W57">
            <v>-16.099257542159016</v>
          </cell>
          <cell r="X57">
            <v>-1.6521749809404618</v>
          </cell>
          <cell r="Y57">
            <v>12.889795523255815</v>
          </cell>
          <cell r="Z57">
            <v>26.118848502851709</v>
          </cell>
          <cell r="AA57">
            <v>36.887399168882986</v>
          </cell>
          <cell r="AB57">
            <v>31.723760539825012</v>
          </cell>
          <cell r="AC57">
            <v>33.166495129950484</v>
          </cell>
          <cell r="AD57">
            <v>48.032800857374546</v>
          </cell>
          <cell r="AE57">
            <v>27.047236363820694</v>
          </cell>
          <cell r="AF57">
            <v>13.593751068058614</v>
          </cell>
          <cell r="AG57">
            <v>10.123426665343557</v>
          </cell>
          <cell r="AH57">
            <v>-3.2026846730319871</v>
          </cell>
          <cell r="AI57">
            <v>-7.6233638697869583</v>
          </cell>
          <cell r="AJ57">
            <v>-8.1193039650256509</v>
          </cell>
          <cell r="AK57">
            <v>-5.8440435856189499</v>
          </cell>
          <cell r="AL57">
            <v>-6.4071844360298131</v>
          </cell>
          <cell r="AM57">
            <v>-4.5445713447445444</v>
          </cell>
        </row>
        <row r="58">
          <cell r="N58">
            <v>3.8650330460325441E-2</v>
          </cell>
          <cell r="O58">
            <v>0</v>
          </cell>
          <cell r="P58">
            <v>28.190644492831375</v>
          </cell>
          <cell r="Q58">
            <v>30.908211791635811</v>
          </cell>
          <cell r="R58">
            <v>28.613270248957978</v>
          </cell>
          <cell r="S58">
            <v>17.5</v>
          </cell>
          <cell r="T58">
            <v>17.02325581395349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-191.47373710045221</v>
          </cell>
          <cell r="O59">
            <v>-275.91876348992508</v>
          </cell>
          <cell r="P59">
            <v>-292.1448382018296</v>
          </cell>
          <cell r="Q59">
            <v>-268.93204477712425</v>
          </cell>
          <cell r="R59">
            <v>-351.2729525740678</v>
          </cell>
          <cell r="S59">
            <v>-475.74175824175825</v>
          </cell>
          <cell r="T59">
            <v>-400.46511627906978</v>
          </cell>
          <cell r="U59">
            <v>-237.02222222222221</v>
          </cell>
          <cell r="V59">
            <v>-127.13794973784127</v>
          </cell>
          <cell r="W59">
            <v>-127.03764320785598</v>
          </cell>
          <cell r="X59">
            <v>-381.4784447417253</v>
          </cell>
          <cell r="Y59">
            <v>-360.58139534883725</v>
          </cell>
          <cell r="Z59">
            <v>-277.50000000000006</v>
          </cell>
          <cell r="AA59">
            <v>-439.375</v>
          </cell>
          <cell r="AB59">
            <v>-512.04855842185123</v>
          </cell>
          <cell r="AC59">
            <v>-517.83985083371988</v>
          </cell>
          <cell r="AD59">
            <v>-400</v>
          </cell>
          <cell r="AE59">
            <v>-400</v>
          </cell>
          <cell r="AF59">
            <v>-400</v>
          </cell>
          <cell r="AG59">
            <v>-400</v>
          </cell>
          <cell r="AH59">
            <v>-400</v>
          </cell>
          <cell r="AI59">
            <v>-400</v>
          </cell>
          <cell r="AJ59">
            <v>-400</v>
          </cell>
          <cell r="AK59">
            <v>-400</v>
          </cell>
          <cell r="AL59">
            <v>-400</v>
          </cell>
          <cell r="AM59">
            <v>-400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8.3055959603781986</v>
          </cell>
          <cell r="AH60">
            <v>907.25232830835523</v>
          </cell>
          <cell r="AI60">
            <v>1465.0258508535744</v>
          </cell>
          <cell r="AJ60">
            <v>2351.4936816446184</v>
          </cell>
          <cell r="AK60">
            <v>3958.6375450795954</v>
          </cell>
          <cell r="AL60">
            <v>6036.5642242548911</v>
          </cell>
          <cell r="AM60">
            <v>9420.2984909888855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-4.1527979801889856</v>
          </cell>
          <cell r="AK61">
            <v>-230.96588005727784</v>
          </cell>
          <cell r="AL61">
            <v>-436.10248934188519</v>
          </cell>
          <cell r="AM61">
            <v>-772.03015814825926</v>
          </cell>
        </row>
        <row r="63">
          <cell r="N63">
            <v>281.79072675599355</v>
          </cell>
          <cell r="O63">
            <v>378.2469118789021</v>
          </cell>
          <cell r="P63">
            <v>99.407635200211843</v>
          </cell>
          <cell r="Q63">
            <v>-43.808661697033031</v>
          </cell>
          <cell r="R63">
            <v>-63.109829895975039</v>
          </cell>
          <cell r="S63">
            <v>-178.68064772772971</v>
          </cell>
          <cell r="T63">
            <v>266.35745583009907</v>
          </cell>
          <cell r="U63">
            <v>1.6826183309902092</v>
          </cell>
          <cell r="V63">
            <v>-14.536155988018365</v>
          </cell>
          <cell r="W63">
            <v>126.95852544972695</v>
          </cell>
          <cell r="X63">
            <v>-172.99360462656398</v>
          </cell>
          <cell r="Y63">
            <v>-87.883096531517296</v>
          </cell>
          <cell r="Z63">
            <v>-13.565542565341246</v>
          </cell>
          <cell r="AA63">
            <v>-6.9363463585875138</v>
          </cell>
          <cell r="AB63">
            <v>-71.713426821587845</v>
          </cell>
          <cell r="AC63">
            <v>-234.4931239596375</v>
          </cell>
          <cell r="AD63">
            <v>-44.7</v>
          </cell>
          <cell r="AE63">
            <v>-54.7</v>
          </cell>
          <cell r="AF63">
            <v>-54.7</v>
          </cell>
          <cell r="AG63">
            <v>-54.7</v>
          </cell>
          <cell r="AH63">
            <v>-54.7</v>
          </cell>
          <cell r="AI63">
            <v>-54.7</v>
          </cell>
          <cell r="AJ63">
            <v>-54.7</v>
          </cell>
          <cell r="AK63">
            <v>-54.7</v>
          </cell>
          <cell r="AL63">
            <v>-54.7</v>
          </cell>
          <cell r="AM63">
            <v>-54.7</v>
          </cell>
        </row>
        <row r="64">
          <cell r="B64" t="str">
            <v xml:space="preserve"> Total ST Capital Inflow</v>
          </cell>
          <cell r="N64">
            <v>126.88903490124839</v>
          </cell>
          <cell r="O64">
            <v>-116.28496516158937</v>
          </cell>
          <cell r="P64">
            <v>32.047573465731176</v>
          </cell>
          <cell r="Q64">
            <v>90.490675512739713</v>
          </cell>
          <cell r="R64">
            <v>87.078968119860306</v>
          </cell>
          <cell r="S64">
            <v>20.19230769230769</v>
          </cell>
          <cell r="T64">
            <v>-21.744186046511629</v>
          </cell>
          <cell r="U64">
            <v>49.133333333333333</v>
          </cell>
          <cell r="V64">
            <v>-34.315675284758633</v>
          </cell>
          <cell r="W64">
            <v>-67.626841243862515</v>
          </cell>
          <cell r="X64">
            <v>-24.87089860325954</v>
          </cell>
          <cell r="Y64">
            <v>55.523255813953497</v>
          </cell>
          <cell r="Z64">
            <v>38.868821292775664</v>
          </cell>
          <cell r="AA64">
            <v>76.994680851063833</v>
          </cell>
          <cell r="AB64">
            <v>89.729764633713231</v>
          </cell>
          <cell r="AC64">
            <v>90.744612340039282</v>
          </cell>
          <cell r="AD64">
            <v>0</v>
          </cell>
          <cell r="AE64">
            <v>-10</v>
          </cell>
          <cell r="AF64">
            <v>-10</v>
          </cell>
          <cell r="AG64">
            <v>-10</v>
          </cell>
          <cell r="AH64">
            <v>-10</v>
          </cell>
          <cell r="AI64">
            <v>-10</v>
          </cell>
          <cell r="AJ64">
            <v>-10</v>
          </cell>
          <cell r="AK64">
            <v>-10</v>
          </cell>
          <cell r="AL64">
            <v>-10</v>
          </cell>
          <cell r="AM64">
            <v>-10</v>
          </cell>
        </row>
        <row r="65">
          <cell r="N65">
            <v>104.2399412514977</v>
          </cell>
          <cell r="O65">
            <v>-4.381962249938435</v>
          </cell>
          <cell r="P65">
            <v>-9.3968814976104582</v>
          </cell>
          <cell r="Q65">
            <v>11.904251868263692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28.214741236037568</v>
          </cell>
          <cell r="O66">
            <v>-130.51728883287703</v>
          </cell>
          <cell r="P66">
            <v>65.602855529959569</v>
          </cell>
          <cell r="Q66">
            <v>77.760164517372871</v>
          </cell>
          <cell r="R66">
            <v>70.660132927790912</v>
          </cell>
          <cell r="S66">
            <v>27.527472527472526</v>
          </cell>
          <cell r="T66">
            <v>-96.418604651162795</v>
          </cell>
          <cell r="U66">
            <v>77.644444444444446</v>
          </cell>
          <cell r="V66">
            <v>-30.591213162176821</v>
          </cell>
          <cell r="W66">
            <v>-96.873977086743039</v>
          </cell>
          <cell r="X66">
            <v>-44.994893482357341</v>
          </cell>
          <cell r="Y66">
            <v>100.63953488372094</v>
          </cell>
          <cell r="Z66">
            <v>60.684410646387832</v>
          </cell>
          <cell r="AA66">
            <v>84.893617021276597</v>
          </cell>
          <cell r="AB66">
            <v>98.935201627223705</v>
          </cell>
          <cell r="AC66">
            <v>100.05416324331793</v>
          </cell>
          <cell r="AD66">
            <v>10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-5.5656475862868628</v>
          </cell>
          <cell r="O67">
            <v>18.614285921226081</v>
          </cell>
          <cell r="P67">
            <v>-24.158400566617932</v>
          </cell>
          <cell r="Q67">
            <v>0.82625912710313554</v>
          </cell>
          <cell r="R67">
            <v>16.418835192069391</v>
          </cell>
          <cell r="S67">
            <v>-7.3351648351648349</v>
          </cell>
          <cell r="T67">
            <v>74.674418604651166</v>
          </cell>
          <cell r="U67">
            <v>-28.511111111111113</v>
          </cell>
          <cell r="V67">
            <v>-3.7244621225818122</v>
          </cell>
          <cell r="W67">
            <v>29.247135842880521</v>
          </cell>
          <cell r="X67">
            <v>20.1239948790978</v>
          </cell>
          <cell r="Y67">
            <v>-45.116279069767444</v>
          </cell>
          <cell r="Z67">
            <v>-21.815589353612168</v>
          </cell>
          <cell r="AA67">
            <v>-7.8989361702127665</v>
          </cell>
          <cell r="AB67">
            <v>-9.2054369935104763</v>
          </cell>
          <cell r="AC67">
            <v>-9.3095509032786428</v>
          </cell>
          <cell r="AD67">
            <v>-10</v>
          </cell>
          <cell r="AE67">
            <v>-10</v>
          </cell>
          <cell r="AF67">
            <v>-10</v>
          </cell>
          <cell r="AG67">
            <v>-10</v>
          </cell>
          <cell r="AH67">
            <v>-10</v>
          </cell>
          <cell r="AI67">
            <v>-10</v>
          </cell>
          <cell r="AJ67">
            <v>-10</v>
          </cell>
          <cell r="AK67">
            <v>-10</v>
          </cell>
          <cell r="AL67">
            <v>-10</v>
          </cell>
          <cell r="AM67">
            <v>-10</v>
          </cell>
        </row>
        <row r="68">
          <cell r="N68">
            <v>169.713601051289</v>
          </cell>
          <cell r="O68">
            <v>25.350194834354586</v>
          </cell>
          <cell r="P68">
            <v>4.3127478515152475</v>
          </cell>
          <cell r="Q68">
            <v>-14.658448958607478</v>
          </cell>
          <cell r="R68">
            <v>19.291427283992338</v>
          </cell>
          <cell r="S68">
            <v>-22.225274725274726</v>
          </cell>
          <cell r="T68">
            <v>11.930232558139535</v>
          </cell>
          <cell r="U68">
            <v>14.733333333333333</v>
          </cell>
          <cell r="V68">
            <v>6.6714879768577111</v>
          </cell>
          <cell r="W68">
            <v>11.71849427168576</v>
          </cell>
          <cell r="X68">
            <v>-9.5513456752830166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5.3</v>
          </cell>
          <cell r="AE68">
            <v>5.3</v>
          </cell>
          <cell r="AF68">
            <v>5.3</v>
          </cell>
          <cell r="AG68">
            <v>5.3</v>
          </cell>
          <cell r="AH68">
            <v>5.3</v>
          </cell>
          <cell r="AI68">
            <v>5.3</v>
          </cell>
          <cell r="AJ68">
            <v>5.3</v>
          </cell>
          <cell r="AK68">
            <v>5.3</v>
          </cell>
          <cell r="AL68">
            <v>5.3</v>
          </cell>
          <cell r="AM68">
            <v>5.3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8.9720930232558143</v>
          </cell>
          <cell r="U69">
            <v>0</v>
          </cell>
          <cell r="V69">
            <v>-55.939251491592842</v>
          </cell>
          <cell r="W69">
            <v>-57.266775777414068</v>
          </cell>
          <cell r="X69">
            <v>-15.434629381895595</v>
          </cell>
          <cell r="Y69">
            <v>-41.5</v>
          </cell>
          <cell r="Z69">
            <v>-74.258555133079852</v>
          </cell>
          <cell r="AA69">
            <v>0</v>
          </cell>
          <cell r="AB69">
            <v>0</v>
          </cell>
          <cell r="AC69">
            <v>0</v>
          </cell>
          <cell r="AD69">
            <v>-50</v>
          </cell>
          <cell r="AE69">
            <v>-50</v>
          </cell>
          <cell r="AF69">
            <v>-50</v>
          </cell>
          <cell r="AG69">
            <v>-50</v>
          </cell>
          <cell r="AH69">
            <v>-50</v>
          </cell>
          <cell r="AI69">
            <v>-50</v>
          </cell>
          <cell r="AJ69">
            <v>-50</v>
          </cell>
          <cell r="AK69">
            <v>-50</v>
          </cell>
          <cell r="AL69">
            <v>-50</v>
          </cell>
          <cell r="AM69">
            <v>-50</v>
          </cell>
        </row>
        <row r="70">
          <cell r="N70">
            <v>-14.811909196543866</v>
          </cell>
          <cell r="O70">
            <v>469.18168220613688</v>
          </cell>
          <cell r="P70">
            <v>63.047313882965419</v>
          </cell>
          <cell r="Q70">
            <v>-119.64088825116526</v>
          </cell>
          <cell r="R70">
            <v>-169.48022529982768</v>
          </cell>
          <cell r="S70">
            <v>-176.64768069476267</v>
          </cell>
          <cell r="T70">
            <v>267.19931629521534</v>
          </cell>
          <cell r="U70">
            <v>-62.184048335676458</v>
          </cell>
          <cell r="V70">
            <v>69.047282811475398</v>
          </cell>
          <cell r="W70">
            <v>240.13364819931778</v>
          </cell>
          <cell r="X70">
            <v>-123.13673096612582</v>
          </cell>
          <cell r="Y70">
            <v>-101.90635234547079</v>
          </cell>
          <cell r="Z70">
            <v>21.824191274962942</v>
          </cell>
          <cell r="AA70">
            <v>-83.931027209651347</v>
          </cell>
          <cell r="AB70">
            <v>-161.44319145530108</v>
          </cell>
          <cell r="AC70">
            <v>-325.23773629967678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199.95213053599588</v>
          </cell>
          <cell r="O72">
            <v>249.47353537780845</v>
          </cell>
          <cell r="P72">
            <v>11.507172018105166</v>
          </cell>
          <cell r="Q72">
            <v>-127.63935967178008</v>
          </cell>
          <cell r="R72">
            <v>-197.07356694114799</v>
          </cell>
          <cell r="S72">
            <v>-351.08323955465283</v>
          </cell>
          <cell r="T72">
            <v>59.726891527773489</v>
          </cell>
          <cell r="U72">
            <v>-89.136169613454229</v>
          </cell>
          <cell r="V72">
            <v>-7.4116784971079994</v>
          </cell>
          <cell r="W72">
            <v>19.091673799548261</v>
          </cell>
          <cell r="X72">
            <v>-319.44229566786203</v>
          </cell>
          <cell r="Y72">
            <v>-155.56306845012188</v>
          </cell>
          <cell r="Z72">
            <v>-125.14631383435272</v>
          </cell>
          <cell r="AA72">
            <v>-315.66064931736406</v>
          </cell>
          <cell r="AB72">
            <v>-400.92338274448832</v>
          </cell>
          <cell r="AC72">
            <v>-436.57302455058334</v>
          </cell>
          <cell r="AD72">
            <v>-339.38668508762549</v>
          </cell>
          <cell r="AE72">
            <v>-379.47383844544385</v>
          </cell>
          <cell r="AF72">
            <v>-392.02343229754246</v>
          </cell>
          <cell r="AG72">
            <v>-387.18816073987949</v>
          </cell>
          <cell r="AH72">
            <v>498.43246026972241</v>
          </cell>
          <cell r="AI72">
            <v>1051.7853036181864</v>
          </cell>
          <cell r="AJ72">
            <v>1933.6043963338027</v>
          </cell>
          <cell r="AK72">
            <v>3316.2104380710975</v>
          </cell>
          <cell r="AL72">
            <v>5188.4373671113744</v>
          </cell>
          <cell r="AM72">
            <v>8238.1065781302805</v>
          </cell>
        </row>
        <row r="74">
          <cell r="N74">
            <v>112.54976230046765</v>
          </cell>
          <cell r="O74">
            <v>110.85724433448746</v>
          </cell>
          <cell r="P74">
            <v>-256.92338958945459</v>
          </cell>
          <cell r="Q74">
            <v>-6.5427098931870091</v>
          </cell>
          <cell r="R74">
            <v>-18.318161340297763</v>
          </cell>
          <cell r="S74">
            <v>-34.720232713306757</v>
          </cell>
          <cell r="T74">
            <v>253.76084501614565</v>
          </cell>
          <cell r="U74">
            <v>26.472274830990273</v>
          </cell>
          <cell r="V74">
            <v>64.727175236394061</v>
          </cell>
          <cell r="W74">
            <v>44.623588693165431</v>
          </cell>
          <cell r="X74">
            <v>-46.135717610064944</v>
          </cell>
          <cell r="Y74">
            <v>-23.470045194307829</v>
          </cell>
          <cell r="Z74">
            <v>94.150264112415528</v>
          </cell>
          <cell r="AA74">
            <v>-7.1500110194920694</v>
          </cell>
          <cell r="AB74">
            <v>31.034072437387408</v>
          </cell>
          <cell r="AC74">
            <v>-211.22958169111871</v>
          </cell>
          <cell r="AD74">
            <v>517.55786316416584</v>
          </cell>
          <cell r="AE74">
            <v>220.32529535952148</v>
          </cell>
          <cell r="AF74">
            <v>124.10926647590378</v>
          </cell>
          <cell r="AG74">
            <v>-243.67992724875643</v>
          </cell>
          <cell r="AH74">
            <v>165.63160813855501</v>
          </cell>
          <cell r="AI74">
            <v>191.26101078631564</v>
          </cell>
          <cell r="AJ74">
            <v>202.75822576404539</v>
          </cell>
          <cell r="AK74">
            <v>288.05450133587601</v>
          </cell>
          <cell r="AL74">
            <v>403.48243777100379</v>
          </cell>
          <cell r="AM74">
            <v>605.05870297794263</v>
          </cell>
        </row>
        <row r="76">
          <cell r="N76">
            <v>-112.54976230046766</v>
          </cell>
          <cell r="O76">
            <v>-110.85724433448748</v>
          </cell>
          <cell r="P76">
            <v>256.92338958945459</v>
          </cell>
          <cell r="Q76">
            <v>6.5427098931870091</v>
          </cell>
          <cell r="R76">
            <v>18.318161340297756</v>
          </cell>
          <cell r="S76">
            <v>34.72023271330675</v>
          </cell>
          <cell r="T76">
            <v>-253.76084501614562</v>
          </cell>
          <cell r="U76">
            <v>-26.472274830990273</v>
          </cell>
          <cell r="V76">
            <v>-64.727175236394061</v>
          </cell>
          <cell r="W76">
            <v>-44.623588693165431</v>
          </cell>
          <cell r="X76">
            <v>46.135717610064944</v>
          </cell>
          <cell r="Y76">
            <v>23.470045194307829</v>
          </cell>
          <cell r="Z76">
            <v>-94.150264112415528</v>
          </cell>
          <cell r="AA76">
            <v>7.1500110194920694</v>
          </cell>
          <cell r="AB76">
            <v>-31.034072437387408</v>
          </cell>
          <cell r="AC76">
            <v>211.22958169111874</v>
          </cell>
          <cell r="AD76">
            <v>-517.55786316416584</v>
          </cell>
          <cell r="AE76">
            <v>-220.32529535952142</v>
          </cell>
          <cell r="AF76">
            <v>-124.10926647590372</v>
          </cell>
          <cell r="AG76">
            <v>243.67992724875705</v>
          </cell>
          <cell r="AH76">
            <v>-165.63160813855507</v>
          </cell>
          <cell r="AI76">
            <v>-191.26101078631552</v>
          </cell>
          <cell r="AJ76">
            <v>-202.75822576404539</v>
          </cell>
          <cell r="AK76">
            <v>-288.05450133587624</v>
          </cell>
          <cell r="AL76">
            <v>-403.48243777100492</v>
          </cell>
          <cell r="AM76">
            <v>-605.05870297794263</v>
          </cell>
        </row>
        <row r="77">
          <cell r="N77">
            <v>-112.54976230046766</v>
          </cell>
          <cell r="O77">
            <v>-110.85724433448748</v>
          </cell>
          <cell r="P77">
            <v>256.92338958945459</v>
          </cell>
          <cell r="Q77">
            <v>6.5427098931870091</v>
          </cell>
          <cell r="R77">
            <v>18.318161340297756</v>
          </cell>
          <cell r="S77">
            <v>34.72023271330675</v>
          </cell>
          <cell r="T77">
            <v>-253.76084501614562</v>
          </cell>
          <cell r="U77">
            <v>-26.472274830990273</v>
          </cell>
          <cell r="V77">
            <v>-64.727175236394061</v>
          </cell>
          <cell r="W77">
            <v>-44.623588693165431</v>
          </cell>
          <cell r="X77">
            <v>46.135717610064944</v>
          </cell>
          <cell r="Y77">
            <v>23.470045194307829</v>
          </cell>
          <cell r="Z77">
            <v>-94.150264112415528</v>
          </cell>
          <cell r="AA77">
            <v>7.1500110194920694</v>
          </cell>
          <cell r="AB77">
            <v>-31.034072437387408</v>
          </cell>
          <cell r="AC77">
            <v>211.22958169111874</v>
          </cell>
          <cell r="AD77">
            <v>-517.55786316416595</v>
          </cell>
          <cell r="AE77">
            <v>-220.32529535952153</v>
          </cell>
          <cell r="AF77">
            <v>-124.10926647590281</v>
          </cell>
          <cell r="AG77">
            <v>243.67992724875614</v>
          </cell>
          <cell r="AH77">
            <v>-165.63160813855484</v>
          </cell>
          <cell r="AI77">
            <v>-191.26101078631552</v>
          </cell>
          <cell r="AJ77">
            <v>-202.75822576404562</v>
          </cell>
          <cell r="AK77">
            <v>-288.05450133587601</v>
          </cell>
          <cell r="AL77">
            <v>-403.48243777100492</v>
          </cell>
          <cell r="AM77">
            <v>-605.05870297794263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</sheetData>
      <sheetData sheetId="23" refreshError="1">
        <row r="4">
          <cell r="D4">
            <v>1293.4990000000003</v>
          </cell>
          <cell r="E4">
            <v>1221.222</v>
          </cell>
          <cell r="F4">
            <v>1209.3772763322827</v>
          </cell>
          <cell r="G4">
            <v>1157.9823695105165</v>
          </cell>
          <cell r="H4">
            <v>1311.1920703823564</v>
          </cell>
          <cell r="I4">
            <v>1857.4901180267791</v>
          </cell>
          <cell r="J4">
            <v>2345.9284792796097</v>
          </cell>
          <cell r="K4">
            <v>2184.905484034784</v>
          </cell>
          <cell r="L4">
            <v>2634.5106413176145</v>
          </cell>
          <cell r="M4">
            <v>3329.0928219224347</v>
          </cell>
          <cell r="N4">
            <v>3158.8638526642185</v>
          </cell>
          <cell r="O4">
            <v>3654.3766882162568</v>
          </cell>
          <cell r="P4">
            <v>4219.5867226971232</v>
          </cell>
          <cell r="Q4">
            <v>4826.991</v>
          </cell>
          <cell r="R4">
            <v>5598.0609999999997</v>
          </cell>
          <cell r="S4">
            <v>6288.9570000000003</v>
          </cell>
          <cell r="T4">
            <v>7571.3459999999995</v>
          </cell>
          <cell r="U4">
            <v>7924.2379999999994</v>
          </cell>
          <cell r="V4">
            <v>8573</v>
          </cell>
          <cell r="W4">
            <v>9492</v>
          </cell>
          <cell r="X4">
            <v>10780</v>
          </cell>
          <cell r="Y4">
            <v>12387</v>
          </cell>
          <cell r="Z4">
            <v>16269</v>
          </cell>
          <cell r="AA4">
            <v>15178</v>
          </cell>
          <cell r="AB4">
            <v>16249.895333</v>
          </cell>
          <cell r="AC4">
            <v>17060</v>
          </cell>
          <cell r="AD4">
            <v>21534.705028196429</v>
          </cell>
          <cell r="AE4">
            <v>23583.259695438283</v>
          </cell>
          <cell r="AF4">
            <v>25377.089659626246</v>
          </cell>
          <cell r="AG4">
            <v>27346.673718268805</v>
          </cell>
          <cell r="AH4">
            <v>29508.449408005985</v>
          </cell>
          <cell r="AI4">
            <v>32032.933408206212</v>
          </cell>
          <cell r="AJ4">
            <v>34817.867327663211</v>
          </cell>
          <cell r="AK4">
            <v>37886.744798726446</v>
          </cell>
          <cell r="AL4">
            <v>41265.69620966931</v>
          </cell>
          <cell r="AM4">
            <v>45002.02374250484</v>
          </cell>
        </row>
        <row r="5">
          <cell r="D5">
            <v>1195.0990000000002</v>
          </cell>
          <cell r="E5">
            <v>1127.722</v>
          </cell>
          <cell r="F5">
            <v>1106.7772763322828</v>
          </cell>
          <cell r="G5">
            <v>1054.1823695105165</v>
          </cell>
          <cell r="H5">
            <v>1189.5920703823565</v>
          </cell>
          <cell r="I5">
            <v>1704.7901180267791</v>
          </cell>
          <cell r="J5">
            <v>2162.3284792796098</v>
          </cell>
          <cell r="K5">
            <v>1995.7054840347839</v>
          </cell>
          <cell r="L5">
            <v>2398.7106413176143</v>
          </cell>
          <cell r="M5">
            <v>3028.0928219224347</v>
          </cell>
          <cell r="N5">
            <v>2817.8388526642184</v>
          </cell>
          <cell r="O5">
            <v>3254.5666882162568</v>
          </cell>
          <cell r="P5">
            <v>3734.9527226971231</v>
          </cell>
          <cell r="Q5">
            <v>4051.991</v>
          </cell>
          <cell r="R5">
            <v>4645.0609999999997</v>
          </cell>
          <cell r="S5">
            <v>5112.9570000000003</v>
          </cell>
          <cell r="T5">
            <v>6073.3459999999995</v>
          </cell>
          <cell r="U5">
            <v>6130.2379999999994</v>
          </cell>
          <cell r="V5">
            <v>6748</v>
          </cell>
          <cell r="W5">
            <v>7484</v>
          </cell>
          <cell r="X5">
            <v>9133</v>
          </cell>
          <cell r="Y5">
            <v>10491</v>
          </cell>
          <cell r="Z5">
            <v>13309</v>
          </cell>
          <cell r="AA5">
            <v>12021</v>
          </cell>
          <cell r="AB5">
            <v>13301.895333</v>
          </cell>
          <cell r="AC5">
            <v>14525</v>
          </cell>
          <cell r="AD5">
            <v>18863.09451194643</v>
          </cell>
          <cell r="AE5">
            <v>20767.676756370198</v>
          </cell>
          <cell r="AF5">
            <v>22409.775659867519</v>
          </cell>
          <cell r="AG5">
            <v>24219.451908891577</v>
          </cell>
          <cell r="AH5">
            <v>26212.702397126872</v>
          </cell>
          <cell r="AI5">
            <v>28559.57941484758</v>
          </cell>
          <cell r="AJ5">
            <v>31157.335155940982</v>
          </cell>
          <cell r="AK5">
            <v>34028.947463403143</v>
          </cell>
          <cell r="AL5">
            <v>37200.003140394765</v>
          </cell>
          <cell r="AM5">
            <v>40717.231490150356</v>
          </cell>
        </row>
        <row r="6">
          <cell r="D6">
            <v>98.4</v>
          </cell>
          <cell r="E6">
            <v>93.5</v>
          </cell>
          <cell r="F6">
            <v>102.6</v>
          </cell>
          <cell r="G6">
            <v>103.8</v>
          </cell>
          <cell r="H6">
            <v>121.6</v>
          </cell>
          <cell r="I6">
            <v>152.69999999999999</v>
          </cell>
          <cell r="J6">
            <v>183.6</v>
          </cell>
          <cell r="K6">
            <v>189.2</v>
          </cell>
          <cell r="L6">
            <v>235.8</v>
          </cell>
          <cell r="M6">
            <v>301</v>
          </cell>
          <cell r="N6">
            <v>341.02499999999998</v>
          </cell>
          <cell r="O6">
            <v>399.81</v>
          </cell>
          <cell r="P6">
            <v>484.63400000000001</v>
          </cell>
          <cell r="Q6">
            <v>775</v>
          </cell>
          <cell r="R6">
            <v>953</v>
          </cell>
          <cell r="S6">
            <v>1176</v>
          </cell>
          <cell r="T6">
            <v>1498</v>
          </cell>
          <cell r="U6">
            <v>1794</v>
          </cell>
          <cell r="V6">
            <v>1825</v>
          </cell>
          <cell r="W6">
            <v>2008</v>
          </cell>
          <cell r="X6">
            <v>1647</v>
          </cell>
          <cell r="Y6">
            <v>1896</v>
          </cell>
          <cell r="Z6">
            <v>2960</v>
          </cell>
          <cell r="AA6">
            <v>3157</v>
          </cell>
          <cell r="AB6">
            <v>2948</v>
          </cell>
          <cell r="AC6">
            <v>2535</v>
          </cell>
          <cell r="AD6">
            <v>2671.6105162499998</v>
          </cell>
          <cell r="AE6">
            <v>2815.5829390680838</v>
          </cell>
          <cell r="AF6">
            <v>2967.3139997587286</v>
          </cell>
          <cell r="AG6">
            <v>3127.2218093772267</v>
          </cell>
          <cell r="AH6">
            <v>3295.7470108791126</v>
          </cell>
          <cell r="AI6">
            <v>3473.3539933586358</v>
          </cell>
          <cell r="AJ6">
            <v>3660.5321717222341</v>
          </cell>
          <cell r="AK6">
            <v>3857.7973353233024</v>
          </cell>
          <cell r="AL6">
            <v>4065.6930692745418</v>
          </cell>
          <cell r="AM6">
            <v>4284.7922523544803</v>
          </cell>
        </row>
        <row r="8">
          <cell r="D8">
            <v>1130</v>
          </cell>
          <cell r="E8">
            <v>1419</v>
          </cell>
          <cell r="F8">
            <v>1473</v>
          </cell>
          <cell r="G8">
            <v>1524</v>
          </cell>
          <cell r="H8">
            <v>1678</v>
          </cell>
          <cell r="I8">
            <v>1626</v>
          </cell>
          <cell r="J8">
            <v>2160</v>
          </cell>
          <cell r="K8">
            <v>2722</v>
          </cell>
          <cell r="L8">
            <v>2872</v>
          </cell>
          <cell r="M8">
            <v>3498</v>
          </cell>
          <cell r="N8">
            <v>4099</v>
          </cell>
          <cell r="O8">
            <v>4669</v>
          </cell>
          <cell r="P8">
            <v>5418</v>
          </cell>
          <cell r="Q8">
            <v>5273</v>
          </cell>
          <cell r="R8">
            <v>5925</v>
          </cell>
          <cell r="S8">
            <v>7071</v>
          </cell>
          <cell r="T8">
            <v>8797</v>
          </cell>
          <cell r="U8">
            <v>9639</v>
          </cell>
          <cell r="V8">
            <v>10901</v>
          </cell>
          <cell r="W8">
            <v>11773</v>
          </cell>
          <cell r="X8">
            <v>12120</v>
          </cell>
          <cell r="Y8">
            <v>14226</v>
          </cell>
          <cell r="Z8">
            <v>17212</v>
          </cell>
          <cell r="AA8">
            <v>18057</v>
          </cell>
          <cell r="AB8">
            <v>18508</v>
          </cell>
          <cell r="AC8">
            <v>20002</v>
          </cell>
          <cell r="AD8">
            <v>21552.056741720458</v>
          </cell>
          <cell r="AE8">
            <v>24825.06158779563</v>
          </cell>
          <cell r="AF8">
            <v>27760.199696047919</v>
          </cell>
          <cell r="AG8">
            <v>32034.037908778388</v>
          </cell>
          <cell r="AH8">
            <v>37022.687146138349</v>
          </cell>
          <cell r="AI8">
            <v>42493.648661387044</v>
          </cell>
          <cell r="AJ8">
            <v>50255.895456434504</v>
          </cell>
          <cell r="AK8">
            <v>61283.562133669235</v>
          </cell>
          <cell r="AL8">
            <v>76730.187037019001</v>
          </cell>
          <cell r="AM8">
            <v>99893.809426729931</v>
          </cell>
        </row>
        <row r="9">
          <cell r="D9">
            <v>852</v>
          </cell>
          <cell r="E9">
            <v>1089</v>
          </cell>
          <cell r="F9">
            <v>1119</v>
          </cell>
          <cell r="G9">
            <v>1205</v>
          </cell>
          <cell r="H9">
            <v>1295</v>
          </cell>
          <cell r="I9">
            <v>1202</v>
          </cell>
          <cell r="J9">
            <v>1626</v>
          </cell>
          <cell r="K9">
            <v>2082</v>
          </cell>
          <cell r="L9">
            <v>2107</v>
          </cell>
          <cell r="M9">
            <v>2659</v>
          </cell>
          <cell r="N9">
            <v>3183</v>
          </cell>
          <cell r="O9">
            <v>3392</v>
          </cell>
          <cell r="P9">
            <v>3962</v>
          </cell>
          <cell r="Q9">
            <v>4002</v>
          </cell>
          <cell r="R9">
            <v>4553</v>
          </cell>
          <cell r="S9">
            <v>5309</v>
          </cell>
          <cell r="T9">
            <v>6590</v>
          </cell>
          <cell r="U9">
            <v>7400</v>
          </cell>
          <cell r="V9">
            <v>8375</v>
          </cell>
          <cell r="W9">
            <v>8992</v>
          </cell>
          <cell r="X9">
            <v>9851</v>
          </cell>
          <cell r="Y9">
            <v>11975</v>
          </cell>
          <cell r="Z9">
            <v>14853</v>
          </cell>
          <cell r="AA9">
            <v>16195</v>
          </cell>
          <cell r="AB9">
            <v>16027</v>
          </cell>
          <cell r="AC9">
            <v>17783</v>
          </cell>
          <cell r="AD9">
            <v>18652.460249027634</v>
          </cell>
          <cell r="AE9">
            <v>21690.738436994765</v>
          </cell>
          <cell r="AF9">
            <v>24400.378202604068</v>
          </cell>
          <cell r="AG9">
            <v>28352.053155874095</v>
          </cell>
          <cell r="AH9">
            <v>32979.65987989775</v>
          </cell>
          <cell r="AI9">
            <v>38238.390013119926</v>
          </cell>
          <cell r="AJ9">
            <v>45716.479353082301</v>
          </cell>
          <cell r="AK9">
            <v>56419.796345687879</v>
          </cell>
          <cell r="AL9">
            <v>71539.338927618548</v>
          </cell>
          <cell r="AM9">
            <v>94343.249499695812</v>
          </cell>
        </row>
        <row r="10">
          <cell r="D10">
            <v>278</v>
          </cell>
          <cell r="E10">
            <v>330</v>
          </cell>
          <cell r="F10">
            <v>354</v>
          </cell>
          <cell r="G10">
            <v>319</v>
          </cell>
          <cell r="H10">
            <v>383</v>
          </cell>
          <cell r="I10">
            <v>424</v>
          </cell>
          <cell r="J10">
            <v>534</v>
          </cell>
          <cell r="K10">
            <v>640</v>
          </cell>
          <cell r="L10">
            <v>765</v>
          </cell>
          <cell r="M10">
            <v>839</v>
          </cell>
          <cell r="N10">
            <v>916</v>
          </cell>
          <cell r="O10">
            <v>1277</v>
          </cell>
          <cell r="P10">
            <v>1456</v>
          </cell>
          <cell r="Q10">
            <v>1271</v>
          </cell>
          <cell r="R10">
            <v>1372</v>
          </cell>
          <cell r="S10">
            <v>1762</v>
          </cell>
          <cell r="T10">
            <v>2207</v>
          </cell>
          <cell r="U10">
            <v>2239</v>
          </cell>
          <cell r="V10">
            <v>2526</v>
          </cell>
          <cell r="W10">
            <v>2781</v>
          </cell>
          <cell r="X10">
            <v>2269</v>
          </cell>
          <cell r="Y10">
            <v>2251</v>
          </cell>
          <cell r="Z10">
            <v>2359</v>
          </cell>
          <cell r="AA10">
            <v>1862</v>
          </cell>
          <cell r="AB10">
            <v>2481</v>
          </cell>
          <cell r="AC10">
            <v>2219</v>
          </cell>
          <cell r="AD10">
            <v>2899.5964926928218</v>
          </cell>
          <cell r="AE10">
            <v>3134.323150800863</v>
          </cell>
          <cell r="AF10">
            <v>3359.8214934438506</v>
          </cell>
          <cell r="AG10">
            <v>3681.9847529042904</v>
          </cell>
          <cell r="AH10">
            <v>4043.0272662406005</v>
          </cell>
          <cell r="AI10">
            <v>4255.2586482671149</v>
          </cell>
          <cell r="AJ10">
            <v>4539.4161033522059</v>
          </cell>
          <cell r="AK10">
            <v>4863.7657879813551</v>
          </cell>
          <cell r="AL10">
            <v>5190.8481094004601</v>
          </cell>
          <cell r="AM10">
            <v>5550.5599270341218</v>
          </cell>
        </row>
        <row r="11">
          <cell r="D11">
            <v>0</v>
          </cell>
          <cell r="E11">
            <v>0</v>
          </cell>
          <cell r="F11">
            <v>109</v>
          </cell>
          <cell r="G11">
            <v>97</v>
          </cell>
          <cell r="H11">
            <v>104</v>
          </cell>
          <cell r="I11">
            <v>97</v>
          </cell>
          <cell r="J11">
            <v>131</v>
          </cell>
          <cell r="K11">
            <v>168</v>
          </cell>
          <cell r="L11">
            <v>170</v>
          </cell>
          <cell r="M11">
            <v>214</v>
          </cell>
          <cell r="N11">
            <v>256</v>
          </cell>
          <cell r="O11">
            <v>270</v>
          </cell>
          <cell r="P11">
            <v>311</v>
          </cell>
          <cell r="Q11">
            <v>330</v>
          </cell>
          <cell r="R11">
            <v>460</v>
          </cell>
          <cell r="S11">
            <v>549</v>
          </cell>
          <cell r="T11">
            <v>593</v>
          </cell>
          <cell r="U11">
            <v>678</v>
          </cell>
          <cell r="V11">
            <v>738</v>
          </cell>
          <cell r="W11">
            <v>842</v>
          </cell>
          <cell r="X11">
            <v>904</v>
          </cell>
          <cell r="Y11">
            <v>1046</v>
          </cell>
          <cell r="Z11">
            <v>990</v>
          </cell>
          <cell r="AA11">
            <v>953</v>
          </cell>
          <cell r="AB11">
            <v>953</v>
          </cell>
          <cell r="AC11">
            <v>953</v>
          </cell>
          <cell r="AD11">
            <v>808.5982071983367</v>
          </cell>
          <cell r="AE11">
            <v>808.5982071983367</v>
          </cell>
          <cell r="AF11">
            <v>808.5982071983367</v>
          </cell>
          <cell r="AG11">
            <v>808.5982071983367</v>
          </cell>
          <cell r="AH11">
            <v>808.5982071983367</v>
          </cell>
          <cell r="AI11">
            <v>808.5982071983367</v>
          </cell>
          <cell r="AJ11">
            <v>808.5982071983367</v>
          </cell>
          <cell r="AK11">
            <v>808.5982071983367</v>
          </cell>
          <cell r="AL11">
            <v>808.5982071983367</v>
          </cell>
          <cell r="AM11">
            <v>808.5982071983367</v>
          </cell>
        </row>
        <row r="13">
          <cell r="D13">
            <v>163.49900000000025</v>
          </cell>
          <cell r="E13">
            <v>-197.77800000000002</v>
          </cell>
          <cell r="F13">
            <v>-263.62272366771731</v>
          </cell>
          <cell r="G13">
            <v>-366.01763048948351</v>
          </cell>
          <cell r="H13">
            <v>-366.80792961764359</v>
          </cell>
          <cell r="I13">
            <v>231.4901180267791</v>
          </cell>
          <cell r="J13">
            <v>185.92847927960975</v>
          </cell>
          <cell r="K13">
            <v>-537.09451596521603</v>
          </cell>
          <cell r="L13">
            <v>-237.4893586823855</v>
          </cell>
          <cell r="M13">
            <v>-168.90717807756528</v>
          </cell>
          <cell r="N13">
            <v>-940.13614733578152</v>
          </cell>
          <cell r="O13">
            <v>-1014.6233117837432</v>
          </cell>
          <cell r="P13">
            <v>-1198.4132773028768</v>
          </cell>
          <cell r="Q13">
            <v>-446.00900000000001</v>
          </cell>
          <cell r="R13">
            <v>-326.93900000000031</v>
          </cell>
          <cell r="S13">
            <v>-782.04299999999967</v>
          </cell>
          <cell r="T13">
            <v>-1225.6540000000005</v>
          </cell>
          <cell r="U13">
            <v>-1714.7620000000006</v>
          </cell>
          <cell r="V13">
            <v>-2328</v>
          </cell>
          <cell r="W13">
            <v>-2281</v>
          </cell>
          <cell r="X13">
            <v>-1340</v>
          </cell>
          <cell r="Y13">
            <v>-1839</v>
          </cell>
          <cell r="Z13">
            <v>-943</v>
          </cell>
          <cell r="AA13">
            <v>-2879</v>
          </cell>
          <cell r="AB13">
            <v>-2258.1046669999996</v>
          </cell>
          <cell r="AC13">
            <v>-2942</v>
          </cell>
          <cell r="AD13">
            <v>-17.351713524029037</v>
          </cell>
          <cell r="AE13">
            <v>-1241.8018923573472</v>
          </cell>
          <cell r="AF13">
            <v>-2383.1100364216727</v>
          </cell>
          <cell r="AG13">
            <v>-4687.3641905095828</v>
          </cell>
          <cell r="AH13">
            <v>-7514.237738132364</v>
          </cell>
          <cell r="AI13">
            <v>-10460.715253180831</v>
          </cell>
          <cell r="AJ13">
            <v>-15438.028128771293</v>
          </cell>
          <cell r="AK13">
            <v>-23396.817334942789</v>
          </cell>
          <cell r="AL13">
            <v>-35464.490827349691</v>
          </cell>
          <cell r="AM13">
            <v>-54891.785684225091</v>
          </cell>
        </row>
        <row r="15">
          <cell r="D15">
            <v>-194.8</v>
          </cell>
          <cell r="E15">
            <v>-109</v>
          </cell>
          <cell r="F15">
            <v>-170</v>
          </cell>
          <cell r="G15">
            <v>-106</v>
          </cell>
          <cell r="H15">
            <v>-180</v>
          </cell>
          <cell r="I15">
            <v>-629</v>
          </cell>
          <cell r="J15">
            <v>-562</v>
          </cell>
          <cell r="K15">
            <v>-217</v>
          </cell>
          <cell r="L15">
            <v>-595</v>
          </cell>
          <cell r="M15">
            <v>-341</v>
          </cell>
          <cell r="N15">
            <v>86</v>
          </cell>
          <cell r="O15">
            <v>258</v>
          </cell>
          <cell r="P15">
            <v>42</v>
          </cell>
          <cell r="Q15">
            <v>183</v>
          </cell>
          <cell r="R15">
            <v>182</v>
          </cell>
          <cell r="S15">
            <v>569</v>
          </cell>
          <cell r="T15">
            <v>310</v>
          </cell>
          <cell r="U15">
            <v>306</v>
          </cell>
          <cell r="V15">
            <v>484</v>
          </cell>
          <cell r="W15">
            <v>-106</v>
          </cell>
          <cell r="X15">
            <v>230</v>
          </cell>
          <cell r="Y15">
            <v>-10</v>
          </cell>
          <cell r="Z15">
            <v>356</v>
          </cell>
          <cell r="AA15">
            <v>1732</v>
          </cell>
          <cell r="AB15">
            <v>700.97047630796669</v>
          </cell>
          <cell r="AC15">
            <v>56.41199788189283</v>
          </cell>
          <cell r="AD15">
            <v>-110.55798148603276</v>
          </cell>
          <cell r="AE15">
            <v>-36.067966430238357</v>
          </cell>
          <cell r="AF15">
            <v>48.383514767022234</v>
          </cell>
          <cell r="AG15">
            <v>100.88025847257904</v>
          </cell>
          <cell r="AH15">
            <v>167.12538170696735</v>
          </cell>
          <cell r="AI15">
            <v>244.51758613785546</v>
          </cell>
          <cell r="AJ15">
            <v>327.7492854248942</v>
          </cell>
          <cell r="AK15">
            <v>415.37831396010165</v>
          </cell>
          <cell r="AL15">
            <v>507.73471308247213</v>
          </cell>
          <cell r="AM15">
            <v>605.05697254621919</v>
          </cell>
        </row>
        <row r="16">
          <cell r="D16">
            <v>70</v>
          </cell>
          <cell r="E16">
            <v>80</v>
          </cell>
          <cell r="F16">
            <v>104</v>
          </cell>
          <cell r="G16">
            <v>142</v>
          </cell>
          <cell r="H16">
            <v>182</v>
          </cell>
          <cell r="I16">
            <v>233</v>
          </cell>
          <cell r="J16">
            <v>193</v>
          </cell>
          <cell r="K16">
            <v>173</v>
          </cell>
          <cell r="L16">
            <v>301</v>
          </cell>
          <cell r="M16">
            <v>496</v>
          </cell>
          <cell r="N16">
            <v>477</v>
          </cell>
          <cell r="O16">
            <v>673</v>
          </cell>
          <cell r="P16">
            <v>579</v>
          </cell>
          <cell r="Q16">
            <v>698</v>
          </cell>
          <cell r="R16">
            <v>763</v>
          </cell>
          <cell r="S16">
            <v>1568</v>
          </cell>
          <cell r="T16">
            <v>1359</v>
          </cell>
          <cell r="U16">
            <v>1026</v>
          </cell>
          <cell r="V16">
            <v>1014</v>
          </cell>
          <cell r="W16">
            <v>1129</v>
          </cell>
          <cell r="X16">
            <v>1721</v>
          </cell>
          <cell r="Y16">
            <v>1704</v>
          </cell>
          <cell r="Z16">
            <v>1803</v>
          </cell>
          <cell r="AA16">
            <v>2123</v>
          </cell>
          <cell r="AB16">
            <v>1483</v>
          </cell>
          <cell r="AC16">
            <v>1490</v>
          </cell>
          <cell r="AD16">
            <v>1593.9836000000003</v>
          </cell>
          <cell r="AE16">
            <v>1684.9461678056668</v>
          </cell>
          <cell r="AF16">
            <v>1778.5584435578546</v>
          </cell>
          <cell r="AG16">
            <v>1875.0865522750369</v>
          </cell>
          <cell r="AH16">
            <v>1974.8356809922193</v>
          </cell>
          <cell r="AI16">
            <v>2078.1279317094018</v>
          </cell>
          <cell r="AJ16">
            <v>2185.3176166265839</v>
          </cell>
          <cell r="AK16">
            <v>2296.794479163766</v>
          </cell>
          <cell r="AL16">
            <v>2412.987237082948</v>
          </cell>
          <cell r="AM16">
            <v>2534.3674799223309</v>
          </cell>
        </row>
        <row r="17">
          <cell r="D17">
            <v>1.320754716981132</v>
          </cell>
          <cell r="E17">
            <v>1.5094339622641508</v>
          </cell>
          <cell r="F17">
            <v>1.9622641509433962</v>
          </cell>
          <cell r="G17">
            <v>2.6792452830188678</v>
          </cell>
          <cell r="H17">
            <v>3.4339622641509431</v>
          </cell>
          <cell r="I17">
            <v>4.3962264150943398</v>
          </cell>
          <cell r="J17">
            <v>3.641509433962264</v>
          </cell>
          <cell r="K17">
            <v>3.2641509433962264</v>
          </cell>
          <cell r="L17">
            <v>5.6792452830188678</v>
          </cell>
          <cell r="M17">
            <v>9.3584905660377355</v>
          </cell>
          <cell r="N17">
            <v>9</v>
          </cell>
          <cell r="O17">
            <v>22.1</v>
          </cell>
          <cell r="P17">
            <v>3.5</v>
          </cell>
          <cell r="Q17">
            <v>-12.4</v>
          </cell>
          <cell r="R17">
            <v>14.1</v>
          </cell>
          <cell r="S17">
            <v>-5.5</v>
          </cell>
          <cell r="T17">
            <v>3.3</v>
          </cell>
          <cell r="U17">
            <v>-2.8</v>
          </cell>
          <cell r="V17">
            <v>-4</v>
          </cell>
          <cell r="W17">
            <v>-1</v>
          </cell>
          <cell r="X17">
            <v>4.2</v>
          </cell>
          <cell r="Y17">
            <v>18</v>
          </cell>
          <cell r="Z17">
            <v>13</v>
          </cell>
          <cell r="AA17">
            <v>22</v>
          </cell>
          <cell r="AB17">
            <v>37</v>
          </cell>
          <cell r="AC17">
            <v>43</v>
          </cell>
          <cell r="AD17">
            <v>38.996000000000002</v>
          </cell>
          <cell r="AE17">
            <v>36.980909265721806</v>
          </cell>
          <cell r="AF17">
            <v>34.953526477964516</v>
          </cell>
          <cell r="AG17">
            <v>32.9137766552019</v>
          </cell>
          <cell r="AH17">
            <v>30.874026832439288</v>
          </cell>
          <cell r="AI17">
            <v>28.834277009676676</v>
          </cell>
          <cell r="AJ17">
            <v>26.79452718691406</v>
          </cell>
          <cell r="AK17">
            <v>24.754777364151447</v>
          </cell>
          <cell r="AL17">
            <v>22.715027541388835</v>
          </cell>
          <cell r="AM17">
            <v>20.675277718626226</v>
          </cell>
        </row>
        <row r="18">
          <cell r="D18">
            <v>7.1467505241090139</v>
          </cell>
          <cell r="E18">
            <v>8.1677148846960161</v>
          </cell>
          <cell r="F18">
            <v>10.61802935010482</v>
          </cell>
          <cell r="G18">
            <v>14.497693920335427</v>
          </cell>
          <cell r="H18">
            <v>18.581551362683435</v>
          </cell>
          <cell r="I18">
            <v>23.788469601677146</v>
          </cell>
          <cell r="J18">
            <v>19.704612159329137</v>
          </cell>
          <cell r="K18">
            <v>17.662683438155135</v>
          </cell>
          <cell r="L18">
            <v>30.731027253668763</v>
          </cell>
          <cell r="M18">
            <v>50.639832285115304</v>
          </cell>
          <cell r="N18">
            <v>48.7</v>
          </cell>
          <cell r="O18">
            <v>35.200000000000003</v>
          </cell>
          <cell r="P18">
            <v>41.7</v>
          </cell>
          <cell r="Q18">
            <v>39.6</v>
          </cell>
          <cell r="R18">
            <v>33</v>
          </cell>
          <cell r="S18">
            <v>46</v>
          </cell>
          <cell r="T18">
            <v>37.700000000000003</v>
          </cell>
          <cell r="U18">
            <v>17.899999999999999</v>
          </cell>
          <cell r="V18">
            <v>27.8</v>
          </cell>
          <cell r="W18">
            <v>22</v>
          </cell>
          <cell r="X18">
            <v>62.9</v>
          </cell>
          <cell r="Y18">
            <v>657</v>
          </cell>
          <cell r="Z18">
            <v>702</v>
          </cell>
          <cell r="AA18">
            <v>1019</v>
          </cell>
          <cell r="AB18">
            <v>1047</v>
          </cell>
          <cell r="AC18">
            <v>1205</v>
          </cell>
          <cell r="AD18">
            <v>1288.7876000000001</v>
          </cell>
          <cell r="AE18">
            <v>1355.145258539945</v>
          </cell>
          <cell r="AF18">
            <v>1421.50291707989</v>
          </cell>
          <cell r="AG18">
            <v>1487.8605756198349</v>
          </cell>
          <cell r="AH18">
            <v>1554.21823415978</v>
          </cell>
          <cell r="AI18">
            <v>1620.5758926997248</v>
          </cell>
          <cell r="AJ18">
            <v>1686.9335512396697</v>
          </cell>
          <cell r="AK18">
            <v>1753.2912097796143</v>
          </cell>
          <cell r="AL18">
            <v>1819.6488683195591</v>
          </cell>
          <cell r="AM18">
            <v>1886.006526859504</v>
          </cell>
        </row>
        <row r="19">
          <cell r="D19">
            <v>61.532494758909856</v>
          </cell>
          <cell r="E19">
            <v>70.322851153039835</v>
          </cell>
          <cell r="F19">
            <v>91.419706498951783</v>
          </cell>
          <cell r="G19">
            <v>124.82306079664571</v>
          </cell>
          <cell r="H19">
            <v>159.98448637316562</v>
          </cell>
          <cell r="I19">
            <v>204.81530398322852</v>
          </cell>
          <cell r="J19">
            <v>169.6538784067086</v>
          </cell>
          <cell r="K19">
            <v>152.07316561844863</v>
          </cell>
          <cell r="L19">
            <v>264.58972746331239</v>
          </cell>
          <cell r="M19">
            <v>436.00167714884697</v>
          </cell>
          <cell r="N19">
            <v>419.3</v>
          </cell>
          <cell r="O19">
            <v>615.69999999999993</v>
          </cell>
          <cell r="P19">
            <v>533.79999999999995</v>
          </cell>
          <cell r="Q19">
            <v>670.8</v>
          </cell>
          <cell r="R19">
            <v>715.9</v>
          </cell>
          <cell r="S19">
            <v>1527.5</v>
          </cell>
          <cell r="T19">
            <v>1318</v>
          </cell>
          <cell r="U19">
            <v>1010.9</v>
          </cell>
          <cell r="V19">
            <v>990.2</v>
          </cell>
          <cell r="W19">
            <v>1108</v>
          </cell>
          <cell r="X19">
            <v>1653.8999999999999</v>
          </cell>
          <cell r="Y19">
            <v>1029</v>
          </cell>
          <cell r="Z19">
            <v>1088</v>
          </cell>
          <cell r="AA19">
            <v>1082</v>
          </cell>
          <cell r="AB19">
            <v>399</v>
          </cell>
          <cell r="AC19">
            <v>242</v>
          </cell>
          <cell r="AD19">
            <v>266.20000000000005</v>
          </cell>
          <cell r="AE19">
            <v>292.82000000000005</v>
          </cell>
          <cell r="AF19">
            <v>322.10200000000009</v>
          </cell>
          <cell r="AG19">
            <v>354.31220000000013</v>
          </cell>
          <cell r="AH19">
            <v>389.74342000000013</v>
          </cell>
          <cell r="AI19">
            <v>428.71776200000016</v>
          </cell>
          <cell r="AJ19">
            <v>471.58953820000022</v>
          </cell>
          <cell r="AK19">
            <v>518.7484920200003</v>
          </cell>
          <cell r="AL19">
            <v>570.62334122200036</v>
          </cell>
          <cell r="AM19">
            <v>627.68567534420049</v>
          </cell>
        </row>
        <row r="20">
          <cell r="D20">
            <v>264.8</v>
          </cell>
          <cell r="E20">
            <v>189</v>
          </cell>
          <cell r="F20">
            <v>274</v>
          </cell>
          <cell r="G20">
            <v>248</v>
          </cell>
          <cell r="H20">
            <v>362</v>
          </cell>
          <cell r="I20">
            <v>862</v>
          </cell>
          <cell r="J20">
            <v>755</v>
          </cell>
          <cell r="K20">
            <v>390</v>
          </cell>
          <cell r="L20">
            <v>896</v>
          </cell>
          <cell r="M20">
            <v>837</v>
          </cell>
          <cell r="N20">
            <v>391</v>
          </cell>
          <cell r="O20">
            <v>415</v>
          </cell>
          <cell r="P20">
            <v>537</v>
          </cell>
          <cell r="Q20">
            <v>515</v>
          </cell>
          <cell r="R20">
            <v>581</v>
          </cell>
          <cell r="S20">
            <v>999</v>
          </cell>
          <cell r="T20">
            <v>1049</v>
          </cell>
          <cell r="U20">
            <v>720</v>
          </cell>
          <cell r="V20">
            <v>530</v>
          </cell>
          <cell r="W20">
            <v>1235</v>
          </cell>
          <cell r="X20">
            <v>1491</v>
          </cell>
          <cell r="Y20">
            <v>1714</v>
          </cell>
          <cell r="Z20">
            <v>1447</v>
          </cell>
          <cell r="AA20">
            <v>391</v>
          </cell>
          <cell r="AB20">
            <v>782.02952369203331</v>
          </cell>
          <cell r="AC20">
            <v>1433.5880021181072</v>
          </cell>
          <cell r="AD20">
            <v>1704.541581486033</v>
          </cell>
          <cell r="AE20">
            <v>1721.0141342359052</v>
          </cell>
          <cell r="AF20">
            <v>1730.1749287908324</v>
          </cell>
          <cell r="AG20">
            <v>1774.2062938024578</v>
          </cell>
          <cell r="AH20">
            <v>1807.7102992852519</v>
          </cell>
          <cell r="AI20">
            <v>1833.6103455715463</v>
          </cell>
          <cell r="AJ20">
            <v>1857.5683312016897</v>
          </cell>
          <cell r="AK20">
            <v>1881.4161652036644</v>
          </cell>
          <cell r="AL20">
            <v>1905.2525240004759</v>
          </cell>
          <cell r="AM20">
            <v>1929.3105073761117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8.859375</v>
          </cell>
          <cell r="P21">
            <v>11.8466312925</v>
          </cell>
          <cell r="Q21">
            <v>14.7213663475</v>
          </cell>
          <cell r="R21">
            <v>18.663694207500001</v>
          </cell>
          <cell r="S21">
            <v>16.604344902499999</v>
          </cell>
          <cell r="T21">
            <v>16.48051564417424</v>
          </cell>
          <cell r="U21">
            <v>11.862401247499999</v>
          </cell>
          <cell r="V21">
            <v>13.84354368</v>
          </cell>
          <cell r="W21">
            <v>20.934882782500001</v>
          </cell>
          <cell r="X21">
            <v>28.171419122500001</v>
          </cell>
          <cell r="Y21">
            <v>45.4113979575</v>
          </cell>
          <cell r="Z21">
            <v>79.8</v>
          </cell>
          <cell r="AA21">
            <v>85.8</v>
          </cell>
          <cell r="AB21">
            <v>98.55</v>
          </cell>
          <cell r="AC21">
            <v>112.55</v>
          </cell>
          <cell r="AD21">
            <v>263.82460651370252</v>
          </cell>
          <cell r="AE21">
            <v>245.58960051074069</v>
          </cell>
          <cell r="AF21">
            <v>220.01352440540273</v>
          </cell>
          <cell r="AG21">
            <v>229.27801638826196</v>
          </cell>
          <cell r="AH21">
            <v>227.98754932093004</v>
          </cell>
          <cell r="AI21">
            <v>219.06481698799232</v>
          </cell>
          <cell r="AJ21">
            <v>208.17099329442848</v>
          </cell>
          <cell r="AK21">
            <v>197.1372440821855</v>
          </cell>
          <cell r="AL21">
            <v>186.06148356267246</v>
          </cell>
          <cell r="AM21">
            <v>175.17602979566325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8.859375</v>
          </cell>
          <cell r="P22">
            <v>11.8466312925</v>
          </cell>
          <cell r="Q22">
            <v>14.7213663475</v>
          </cell>
          <cell r="R22">
            <v>18.663694207500001</v>
          </cell>
          <cell r="S22">
            <v>16.604344902499999</v>
          </cell>
          <cell r="T22">
            <v>10.31837775</v>
          </cell>
          <cell r="U22">
            <v>5.9624012474999999</v>
          </cell>
          <cell r="V22">
            <v>7.04354368</v>
          </cell>
          <cell r="W22">
            <v>9.5348827825000004</v>
          </cell>
          <cell r="X22">
            <v>12.771419122500001</v>
          </cell>
          <cell r="Y22">
            <v>24.4113979575</v>
          </cell>
          <cell r="Z22">
            <v>46</v>
          </cell>
          <cell r="AA22">
            <v>52</v>
          </cell>
          <cell r="AB22">
            <v>64.75</v>
          </cell>
          <cell r="AC22">
            <v>78.75</v>
          </cell>
          <cell r="AD22">
            <v>82.193023290889712</v>
          </cell>
          <cell r="AE22">
            <v>92.651968385305295</v>
          </cell>
          <cell r="AF22">
            <v>115.43289424591526</v>
          </cell>
          <cell r="AG22">
            <v>124.69738622877449</v>
          </cell>
          <cell r="AH22">
            <v>123.40691916144257</v>
          </cell>
          <cell r="AI22">
            <v>114.48418682850485</v>
          </cell>
          <cell r="AJ22">
            <v>103.59036313494101</v>
          </cell>
          <cell r="AK22">
            <v>92.556613922698034</v>
          </cell>
          <cell r="AL22">
            <v>81.480853403184994</v>
          </cell>
          <cell r="AM22">
            <v>70.595399636175785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4.8</v>
          </cell>
          <cell r="V23">
            <v>6.8</v>
          </cell>
          <cell r="W23">
            <v>11.4</v>
          </cell>
          <cell r="X23">
            <v>15.4</v>
          </cell>
          <cell r="Y23">
            <v>21</v>
          </cell>
          <cell r="Z23">
            <v>33.799999999999997</v>
          </cell>
          <cell r="AA23">
            <v>33.799999999999997</v>
          </cell>
          <cell r="AB23">
            <v>33.799999999999997</v>
          </cell>
          <cell r="AC23">
            <v>33.799999999999997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6.16213789417424</v>
          </cell>
          <cell r="U24">
            <v>1.1000000000000001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181.63158322281279</v>
          </cell>
          <cell r="AE24">
            <v>152.93763212543539</v>
          </cell>
          <cell r="AF24">
            <v>104.58063015948747</v>
          </cell>
          <cell r="AG24">
            <v>104.58063015948747</v>
          </cell>
          <cell r="AH24">
            <v>104.58063015948747</v>
          </cell>
          <cell r="AI24">
            <v>104.58063015948747</v>
          </cell>
          <cell r="AJ24">
            <v>104.58063015948747</v>
          </cell>
          <cell r="AK24">
            <v>104.58063015948747</v>
          </cell>
          <cell r="AL24">
            <v>104.58063015948747</v>
          </cell>
          <cell r="AM24">
            <v>104.58063015948747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1.5898266366620404</v>
          </cell>
          <cell r="AH25">
            <v>176.84255772944675</v>
          </cell>
          <cell r="AI25">
            <v>630.93532323307068</v>
          </cell>
          <cell r="AJ25">
            <v>1360.6845443816972</v>
          </cell>
          <cell r="AK25">
            <v>2523.5411068768008</v>
          </cell>
          <cell r="AL25">
            <v>4309.0981000536185</v>
          </cell>
          <cell r="AM25">
            <v>7036.5376129300857</v>
          </cell>
        </row>
        <row r="26">
          <cell r="B26" t="str">
            <v>Other investment income</v>
          </cell>
          <cell r="D26">
            <v>264.8</v>
          </cell>
          <cell r="E26">
            <v>189</v>
          </cell>
          <cell r="F26">
            <v>274</v>
          </cell>
          <cell r="G26">
            <v>248</v>
          </cell>
          <cell r="H26">
            <v>362</v>
          </cell>
          <cell r="I26">
            <v>862</v>
          </cell>
          <cell r="J26">
            <v>755</v>
          </cell>
          <cell r="K26">
            <v>390</v>
          </cell>
          <cell r="L26">
            <v>896</v>
          </cell>
          <cell r="M26">
            <v>837</v>
          </cell>
          <cell r="N26">
            <v>391</v>
          </cell>
          <cell r="O26">
            <v>406.140625</v>
          </cell>
          <cell r="P26">
            <v>525.15336870750002</v>
          </cell>
          <cell r="Q26">
            <v>500.27863365249999</v>
          </cell>
          <cell r="R26">
            <v>562.33630579250007</v>
          </cell>
          <cell r="S26">
            <v>982.39565509750003</v>
          </cell>
          <cell r="T26">
            <v>1032.5194843558259</v>
          </cell>
          <cell r="U26">
            <v>708.13759875250003</v>
          </cell>
          <cell r="V26">
            <v>516.15645631999996</v>
          </cell>
          <cell r="W26">
            <v>1214.0651172174998</v>
          </cell>
          <cell r="X26">
            <v>1462.8285808774999</v>
          </cell>
          <cell r="Y26">
            <v>1668.5886020425</v>
          </cell>
          <cell r="Z26">
            <v>1367.2</v>
          </cell>
          <cell r="AA26">
            <v>305.2</v>
          </cell>
          <cell r="AB26">
            <v>683.47952369203335</v>
          </cell>
          <cell r="AC26">
            <v>1321.0380021181072</v>
          </cell>
          <cell r="AD26">
            <v>1440.7169749723305</v>
          </cell>
          <cell r="AE26">
            <v>1475.4245337251646</v>
          </cell>
          <cell r="AF26">
            <v>1510.1614043854297</v>
          </cell>
          <cell r="AG26">
            <v>1544.9282774141959</v>
          </cell>
          <cell r="AH26">
            <v>1579.722749964322</v>
          </cell>
          <cell r="AI26">
            <v>1614.545528583554</v>
          </cell>
          <cell r="AJ26">
            <v>1649.3973379072613</v>
          </cell>
          <cell r="AK26">
            <v>1684.2789211214788</v>
          </cell>
          <cell r="AL26">
            <v>1719.1910404378034</v>
          </cell>
          <cell r="AM26">
            <v>1754.1344775804484</v>
          </cell>
        </row>
        <row r="27">
          <cell r="D27">
            <v>116.8235294117647</v>
          </cell>
          <cell r="E27">
            <v>83.382352941176464</v>
          </cell>
          <cell r="F27">
            <v>120.88235294117645</v>
          </cell>
          <cell r="G27">
            <v>109.41176470588233</v>
          </cell>
          <cell r="H27">
            <v>159.70588235294116</v>
          </cell>
          <cell r="I27">
            <v>380.29411764705873</v>
          </cell>
          <cell r="J27">
            <v>333.08823529411757</v>
          </cell>
          <cell r="K27">
            <v>172.05882352941174</v>
          </cell>
          <cell r="L27">
            <v>395.29411764705878</v>
          </cell>
          <cell r="M27">
            <v>369.26470588235293</v>
          </cell>
          <cell r="N27">
            <v>172.5</v>
          </cell>
          <cell r="O27">
            <v>208.5</v>
          </cell>
          <cell r="P27">
            <v>390.4</v>
          </cell>
          <cell r="Q27">
            <v>374.5</v>
          </cell>
          <cell r="R27">
            <v>404.2</v>
          </cell>
          <cell r="S27">
            <v>806.3</v>
          </cell>
          <cell r="T27">
            <v>828</v>
          </cell>
          <cell r="U27">
            <v>498.8</v>
          </cell>
          <cell r="V27">
            <v>323.2</v>
          </cell>
          <cell r="W27">
            <v>482.7</v>
          </cell>
          <cell r="X27">
            <v>1342.5</v>
          </cell>
          <cell r="Y27">
            <v>2078.1</v>
          </cell>
          <cell r="Z27">
            <v>900</v>
          </cell>
          <cell r="AA27">
            <v>709</v>
          </cell>
          <cell r="AB27">
            <v>493</v>
          </cell>
          <cell r="AC27">
            <v>1121</v>
          </cell>
          <cell r="AD27">
            <v>1236.492</v>
          </cell>
          <cell r="AE27">
            <v>1269.6708292699725</v>
          </cell>
          <cell r="AF27">
            <v>1302.8496585399448</v>
          </cell>
          <cell r="AG27">
            <v>1336.0284878099171</v>
          </cell>
          <cell r="AH27">
            <v>1369.2073170798897</v>
          </cell>
          <cell r="AI27">
            <v>1402.386146349862</v>
          </cell>
          <cell r="AJ27">
            <v>1435.5649756198343</v>
          </cell>
          <cell r="AK27">
            <v>1468.7438048898068</v>
          </cell>
          <cell r="AL27">
            <v>1501.9226341597791</v>
          </cell>
          <cell r="AM27">
            <v>1535.1014634297514</v>
          </cell>
        </row>
        <row r="28">
          <cell r="D28">
            <v>41.379232736572895</v>
          </cell>
          <cell r="E28">
            <v>29.534271099744249</v>
          </cell>
          <cell r="F28">
            <v>42.816879795396424</v>
          </cell>
          <cell r="G28">
            <v>38.753964194373403</v>
          </cell>
          <cell r="H28">
            <v>56.568286445012788</v>
          </cell>
          <cell r="I28">
            <v>134.70127877237852</v>
          </cell>
          <cell r="J28">
            <v>117.98081841432226</v>
          </cell>
          <cell r="K28">
            <v>60.943734015345271</v>
          </cell>
          <cell r="L28">
            <v>140.0143222506394</v>
          </cell>
          <cell r="M28">
            <v>130.79462915601025</v>
          </cell>
          <cell r="N28">
            <v>61.1</v>
          </cell>
          <cell r="O28">
            <v>94.1</v>
          </cell>
          <cell r="P28">
            <v>61.2</v>
          </cell>
          <cell r="Q28">
            <v>68.2</v>
          </cell>
          <cell r="R28">
            <v>91.4</v>
          </cell>
          <cell r="S28">
            <v>74.099999999999994</v>
          </cell>
          <cell r="T28">
            <v>98.8</v>
          </cell>
          <cell r="U28">
            <v>75.8</v>
          </cell>
          <cell r="V28">
            <v>72.599999999999994</v>
          </cell>
          <cell r="W28">
            <v>72.099999999999994</v>
          </cell>
          <cell r="X28">
            <v>117.2</v>
          </cell>
          <cell r="Y28">
            <v>76</v>
          </cell>
          <cell r="Z28">
            <v>82</v>
          </cell>
          <cell r="AA28">
            <v>82</v>
          </cell>
          <cell r="AB28">
            <v>151</v>
          </cell>
          <cell r="AC28">
            <v>161</v>
          </cell>
          <cell r="AD28">
            <v>164.1876</v>
          </cell>
          <cell r="AE28">
            <v>164.69137268356954</v>
          </cell>
          <cell r="AF28">
            <v>165.19821838050885</v>
          </cell>
          <cell r="AG28">
            <v>165.70815583619952</v>
          </cell>
          <cell r="AH28">
            <v>166.21809329189017</v>
          </cell>
          <cell r="AI28">
            <v>166.72803074758082</v>
          </cell>
          <cell r="AJ28">
            <v>167.23796820327146</v>
          </cell>
          <cell r="AK28">
            <v>167.74790565896211</v>
          </cell>
          <cell r="AL28">
            <v>168.25784311465276</v>
          </cell>
          <cell r="AM28">
            <v>168.7677805703434</v>
          </cell>
        </row>
        <row r="29">
          <cell r="D29">
            <v>106.59723785166241</v>
          </cell>
          <cell r="E29">
            <v>76.083375959079291</v>
          </cell>
          <cell r="F29">
            <v>110.30076726342712</v>
          </cell>
          <cell r="G29">
            <v>99.834271099744271</v>
          </cell>
          <cell r="H29">
            <v>145.72583120204604</v>
          </cell>
          <cell r="I29">
            <v>347.00460358056279</v>
          </cell>
          <cell r="J29">
            <v>303.93094629156019</v>
          </cell>
          <cell r="K29">
            <v>156.99744245524298</v>
          </cell>
          <cell r="L29">
            <v>360.69156010230176</v>
          </cell>
          <cell r="M29">
            <v>336.9406649616368</v>
          </cell>
          <cell r="N29">
            <v>157.39999999999998</v>
          </cell>
          <cell r="O29">
            <v>103.54062499999998</v>
          </cell>
          <cell r="P29">
            <v>73.553368707500027</v>
          </cell>
          <cell r="Q29">
            <v>57.57863365250001</v>
          </cell>
          <cell r="R29">
            <v>66.736305792500033</v>
          </cell>
          <cell r="S29">
            <v>101.99565509750002</v>
          </cell>
          <cell r="T29">
            <v>105.71948435582581</v>
          </cell>
          <cell r="U29">
            <v>133.53759875250003</v>
          </cell>
          <cell r="V29">
            <v>120.35645631999999</v>
          </cell>
          <cell r="W29">
            <v>659.26511721750001</v>
          </cell>
          <cell r="X29">
            <v>3.1285808774999531</v>
          </cell>
          <cell r="Y29">
            <v>-485.51139795749992</v>
          </cell>
          <cell r="Z29">
            <v>385.2</v>
          </cell>
          <cell r="AA29">
            <v>-485.8</v>
          </cell>
          <cell r="AB29">
            <v>39.47952369203341</v>
          </cell>
          <cell r="AC29">
            <v>39.038002118107123</v>
          </cell>
          <cell r="AD29">
            <v>40.03737497233066</v>
          </cell>
          <cell r="AE29">
            <v>41.062331771622333</v>
          </cell>
          <cell r="AF29">
            <v>42.113527464975867</v>
          </cell>
          <cell r="AG29">
            <v>43.191633768079257</v>
          </cell>
          <cell r="AH29">
            <v>44.297339592542087</v>
          </cell>
          <cell r="AI29">
            <v>45.431351486111168</v>
          </cell>
          <cell r="AJ29">
            <v>46.594394084155617</v>
          </cell>
          <cell r="AK29">
            <v>47.787210572710002</v>
          </cell>
          <cell r="AL29">
            <v>49.010563163371387</v>
          </cell>
          <cell r="AM29">
            <v>50.265233580353694</v>
          </cell>
        </row>
        <row r="31">
          <cell r="D31">
            <v>368.1</v>
          </cell>
          <cell r="E31">
            <v>351</v>
          </cell>
          <cell r="F31">
            <v>474</v>
          </cell>
          <cell r="G31">
            <v>534</v>
          </cell>
          <cell r="H31">
            <v>561</v>
          </cell>
          <cell r="I31">
            <v>627</v>
          </cell>
          <cell r="J31">
            <v>778</v>
          </cell>
          <cell r="K31">
            <v>650</v>
          </cell>
          <cell r="L31">
            <v>625</v>
          </cell>
          <cell r="M31">
            <v>663</v>
          </cell>
          <cell r="N31">
            <v>628</v>
          </cell>
          <cell r="O31">
            <v>740</v>
          </cell>
          <cell r="P31">
            <v>879</v>
          </cell>
          <cell r="Q31">
            <v>769</v>
          </cell>
          <cell r="R31">
            <v>761</v>
          </cell>
          <cell r="S31">
            <v>1393</v>
          </cell>
          <cell r="T31">
            <v>1750</v>
          </cell>
          <cell r="U31">
            <v>1929</v>
          </cell>
          <cell r="V31">
            <v>2243</v>
          </cell>
          <cell r="W31">
            <v>2543</v>
          </cell>
          <cell r="X31">
            <v>3010</v>
          </cell>
          <cell r="Y31">
            <v>2985</v>
          </cell>
          <cell r="Z31">
            <v>2894</v>
          </cell>
          <cell r="AA31">
            <v>3467</v>
          </cell>
          <cell r="AB31">
            <v>4344.4296613895831</v>
          </cell>
          <cell r="AC31">
            <v>4323.4017747607932</v>
          </cell>
          <cell r="AD31">
            <v>5595.6821681408037</v>
          </cell>
          <cell r="AE31">
            <v>5104.9146774015026</v>
          </cell>
          <cell r="AF31">
            <v>5627.9339626650981</v>
          </cell>
          <cell r="AG31">
            <v>5502.1445431595766</v>
          </cell>
          <cell r="AH31">
            <v>5223.6618460866703</v>
          </cell>
          <cell r="AI31">
            <v>4725.5844757867362</v>
          </cell>
          <cell r="AJ31">
            <v>4066.5385383618668</v>
          </cell>
          <cell r="AK31">
            <v>3660.1565540997117</v>
          </cell>
          <cell r="AL31">
            <v>4426.140217133122</v>
          </cell>
          <cell r="AM31">
            <v>5583.7302002931774</v>
          </cell>
        </row>
        <row r="32">
          <cell r="D32">
            <v>418.1</v>
          </cell>
          <cell r="E32">
            <v>417</v>
          </cell>
          <cell r="F32">
            <v>561</v>
          </cell>
          <cell r="G32">
            <v>612</v>
          </cell>
          <cell r="H32">
            <v>647</v>
          </cell>
          <cell r="I32">
            <v>709</v>
          </cell>
          <cell r="J32">
            <v>882</v>
          </cell>
          <cell r="K32">
            <v>761</v>
          </cell>
          <cell r="L32">
            <v>782</v>
          </cell>
          <cell r="M32">
            <v>848</v>
          </cell>
          <cell r="N32">
            <v>970</v>
          </cell>
          <cell r="O32">
            <v>1099</v>
          </cell>
          <cell r="P32">
            <v>1359</v>
          </cell>
          <cell r="Q32">
            <v>1219</v>
          </cell>
          <cell r="R32">
            <v>1242</v>
          </cell>
          <cell r="S32">
            <v>1569</v>
          </cell>
          <cell r="T32">
            <v>1939</v>
          </cell>
          <cell r="U32">
            <v>2164</v>
          </cell>
          <cell r="V32">
            <v>2492</v>
          </cell>
          <cell r="W32">
            <v>2906</v>
          </cell>
          <cell r="X32">
            <v>3272</v>
          </cell>
          <cell r="Y32">
            <v>3297</v>
          </cell>
          <cell r="Z32">
            <v>3202</v>
          </cell>
          <cell r="AA32">
            <v>3670</v>
          </cell>
          <cell r="AB32">
            <v>4562.4095912239582</v>
          </cell>
          <cell r="AC32">
            <v>4575.2913179264815</v>
          </cell>
          <cell r="AD32">
            <v>5663.4785988378735</v>
          </cell>
          <cell r="AE32">
            <v>5171.5878880485734</v>
          </cell>
          <cell r="AF32">
            <v>5695.7213909775965</v>
          </cell>
          <cell r="AG32">
            <v>5572.3871799937078</v>
          </cell>
          <cell r="AH32">
            <v>5297.2783387922627</v>
          </cell>
          <cell r="AI32">
            <v>4803.4503383381361</v>
          </cell>
          <cell r="AJ32">
            <v>4149.5962000167237</v>
          </cell>
          <cell r="AK32">
            <v>3749.1125230744065</v>
          </cell>
          <cell r="AL32">
            <v>4521.2769712231611</v>
          </cell>
          <cell r="AM32">
            <v>5685.0014511430791</v>
          </cell>
        </row>
        <row r="33">
          <cell r="N33">
            <v>605.17700000000002</v>
          </cell>
          <cell r="O33">
            <v>716.01300000000003</v>
          </cell>
          <cell r="P33">
            <v>747.52499999999998</v>
          </cell>
          <cell r="Q33">
            <v>762.25099999999998</v>
          </cell>
          <cell r="R33">
            <v>868.22900000000004</v>
          </cell>
          <cell r="S33">
            <v>1092.4090000000001</v>
          </cell>
          <cell r="T33">
            <v>1300.491</v>
          </cell>
          <cell r="U33">
            <v>1560.4</v>
          </cell>
          <cell r="V33">
            <v>1805.2</v>
          </cell>
          <cell r="W33">
            <v>2241</v>
          </cell>
          <cell r="X33">
            <v>2718.2</v>
          </cell>
          <cell r="Y33">
            <v>2700.2</v>
          </cell>
          <cell r="Z33">
            <v>2607.9</v>
          </cell>
          <cell r="AA33">
            <v>2925.9</v>
          </cell>
          <cell r="AB33">
            <v>3914</v>
          </cell>
          <cell r="AC33">
            <v>3915</v>
          </cell>
          <cell r="AD33">
            <v>4842.2127895886097</v>
          </cell>
          <cell r="AE33">
            <v>4347.6953208685072</v>
          </cell>
          <cell r="AF33">
            <v>4869.1573717902311</v>
          </cell>
          <cell r="AG33">
            <v>4744.2766177022386</v>
          </cell>
          <cell r="AH33">
            <v>4467.5816418932209</v>
          </cell>
          <cell r="AI33">
            <v>3972.126901785572</v>
          </cell>
          <cell r="AJ33">
            <v>3316.6043792755054</v>
          </cell>
          <cell r="AK33">
            <v>2914.4096075093044</v>
          </cell>
          <cell r="AL33">
            <v>3684.8191568066841</v>
          </cell>
          <cell r="AM33">
            <v>4846.7438124646324</v>
          </cell>
        </row>
        <row r="34">
          <cell r="B34" t="str">
            <v>Transfers to PS</v>
          </cell>
          <cell r="D34">
            <v>418.1</v>
          </cell>
          <cell r="E34">
            <v>417</v>
          </cell>
          <cell r="F34">
            <v>561</v>
          </cell>
          <cell r="G34">
            <v>612</v>
          </cell>
          <cell r="H34">
            <v>647</v>
          </cell>
          <cell r="I34">
            <v>709</v>
          </cell>
          <cell r="J34">
            <v>882</v>
          </cell>
          <cell r="K34">
            <v>761</v>
          </cell>
          <cell r="L34">
            <v>782</v>
          </cell>
          <cell r="M34">
            <v>848</v>
          </cell>
          <cell r="N34">
            <v>129.42299999999997</v>
          </cell>
          <cell r="O34">
            <v>101.38699999999994</v>
          </cell>
          <cell r="P34">
            <v>171.47500000000002</v>
          </cell>
          <cell r="Q34">
            <v>107.649</v>
          </cell>
          <cell r="R34">
            <v>103.77099999999996</v>
          </cell>
          <cell r="S34">
            <v>139.59099999999989</v>
          </cell>
          <cell r="T34">
            <v>192.50900000000001</v>
          </cell>
          <cell r="U34">
            <v>176.59999999999991</v>
          </cell>
          <cell r="V34">
            <v>147.79999999999995</v>
          </cell>
          <cell r="W34">
            <v>163</v>
          </cell>
          <cell r="X34">
            <v>22.800000000000182</v>
          </cell>
          <cell r="Y34">
            <v>213.80000000000018</v>
          </cell>
          <cell r="Z34">
            <v>182.09999999999991</v>
          </cell>
          <cell r="AA34">
            <v>159.09999999999991</v>
          </cell>
          <cell r="AB34">
            <v>189.40959122395836</v>
          </cell>
          <cell r="AC34">
            <v>187.29131792648153</v>
          </cell>
          <cell r="AD34">
            <v>189.58324111512462</v>
          </cell>
          <cell r="AE34">
            <v>190.73969888592688</v>
          </cell>
          <cell r="AF34">
            <v>191.90321104913104</v>
          </cell>
          <cell r="AG34">
            <v>191.90321104913104</v>
          </cell>
          <cell r="AH34">
            <v>191.90321104913104</v>
          </cell>
          <cell r="AI34">
            <v>191.90321104913104</v>
          </cell>
          <cell r="AJ34">
            <v>191.90321104913104</v>
          </cell>
          <cell r="AK34">
            <v>191.90321104913104</v>
          </cell>
          <cell r="AL34">
            <v>191.90321104913104</v>
          </cell>
          <cell r="AM34">
            <v>191.90321104913104</v>
          </cell>
        </row>
        <row r="35">
          <cell r="B35" t="str">
            <v>Workers Remittances</v>
          </cell>
          <cell r="N35">
            <v>15</v>
          </cell>
          <cell r="O35">
            <v>18</v>
          </cell>
          <cell r="P35">
            <v>22</v>
          </cell>
          <cell r="Q35">
            <v>21</v>
          </cell>
          <cell r="R35">
            <v>23</v>
          </cell>
          <cell r="S35">
            <v>24</v>
          </cell>
          <cell r="T35">
            <v>26</v>
          </cell>
          <cell r="U35">
            <v>28</v>
          </cell>
          <cell r="V35">
            <v>28</v>
          </cell>
          <cell r="W35">
            <v>30</v>
          </cell>
          <cell r="X35">
            <v>33</v>
          </cell>
          <cell r="Y35">
            <v>40</v>
          </cell>
          <cell r="Z35">
            <v>46</v>
          </cell>
          <cell r="AA35">
            <v>56</v>
          </cell>
          <cell r="AB35">
            <v>56</v>
          </cell>
          <cell r="AC35">
            <v>56</v>
          </cell>
          <cell r="AD35">
            <v>57.433600000000006</v>
          </cell>
          <cell r="AE35">
            <v>58.903900160000006</v>
          </cell>
          <cell r="AF35">
            <v>60.411840004096014</v>
          </cell>
          <cell r="AG35">
            <v>61.95838310820087</v>
          </cell>
          <cell r="AH35">
            <v>63.544517715770816</v>
          </cell>
          <cell r="AI35">
            <v>65.171257369294551</v>
          </cell>
          <cell r="AJ35">
            <v>66.839641557948511</v>
          </cell>
          <cell r="AK35">
            <v>68.550736381831996</v>
          </cell>
          <cell r="AL35">
            <v>70.3056352332069</v>
          </cell>
          <cell r="AM35">
            <v>72.105459495177001</v>
          </cell>
        </row>
        <row r="36">
          <cell r="N36">
            <v>220.4</v>
          </cell>
          <cell r="O36">
            <v>263.60000000000002</v>
          </cell>
          <cell r="P36">
            <v>418</v>
          </cell>
          <cell r="Q36">
            <v>328.1</v>
          </cell>
          <cell r="R36">
            <v>247</v>
          </cell>
          <cell r="S36">
            <v>313</v>
          </cell>
          <cell r="T36">
            <v>420</v>
          </cell>
          <cell r="U36">
            <v>399</v>
          </cell>
          <cell r="V36">
            <v>511</v>
          </cell>
          <cell r="W36">
            <v>472</v>
          </cell>
          <cell r="X36">
            <v>498</v>
          </cell>
          <cell r="Y36">
            <v>343</v>
          </cell>
          <cell r="Z36">
            <v>366</v>
          </cell>
          <cell r="AA36">
            <v>529</v>
          </cell>
          <cell r="AB36">
            <v>403</v>
          </cell>
          <cell r="AC36">
            <v>417</v>
          </cell>
          <cell r="AD36">
            <v>574.24896813413875</v>
          </cell>
          <cell r="AE36">
            <v>574.24896813413875</v>
          </cell>
          <cell r="AF36">
            <v>574.24896813413875</v>
          </cell>
          <cell r="AG36">
            <v>574.24896813413875</v>
          </cell>
          <cell r="AH36">
            <v>574.24896813413875</v>
          </cell>
          <cell r="AI36">
            <v>574.24896813413875</v>
          </cell>
          <cell r="AJ36">
            <v>574.24896813413875</v>
          </cell>
          <cell r="AK36">
            <v>574.24896813413875</v>
          </cell>
          <cell r="AL36">
            <v>574.24896813413875</v>
          </cell>
          <cell r="AM36">
            <v>574.24896813413875</v>
          </cell>
        </row>
        <row r="37">
          <cell r="N37">
            <v>75.825000000000003</v>
          </cell>
          <cell r="O37">
            <v>76.125</v>
          </cell>
          <cell r="P37">
            <v>72.075000000000003</v>
          </cell>
          <cell r="Q37">
            <v>59.55</v>
          </cell>
          <cell r="R37">
            <v>42.524999999999999</v>
          </cell>
          <cell r="S37">
            <v>9.9</v>
          </cell>
          <cell r="T37">
            <v>0.4</v>
          </cell>
          <cell r="U37">
            <v>0.4</v>
          </cell>
          <cell r="V37">
            <v>0.4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50.678272141815278</v>
          </cell>
          <cell r="AE37">
            <v>50.571029522420368</v>
          </cell>
          <cell r="AF37">
            <v>50.571029522420368</v>
          </cell>
          <cell r="AG37">
            <v>50.571029522420368</v>
          </cell>
          <cell r="AH37">
            <v>50.571029522420368</v>
          </cell>
          <cell r="AI37">
            <v>50.571029522420368</v>
          </cell>
          <cell r="AJ37">
            <v>50.571029522420368</v>
          </cell>
          <cell r="AK37">
            <v>50.571029522420368</v>
          </cell>
          <cell r="AL37">
            <v>50.571029522420368</v>
          </cell>
          <cell r="AM37">
            <v>50.571029522420368</v>
          </cell>
        </row>
        <row r="38">
          <cell r="N38">
            <v>144.57499999999999</v>
          </cell>
          <cell r="O38">
            <v>187.47500000000002</v>
          </cell>
          <cell r="P38">
            <v>345.92500000000001</v>
          </cell>
          <cell r="Q38">
            <v>268.55</v>
          </cell>
          <cell r="R38">
            <v>204.47499999999999</v>
          </cell>
          <cell r="S38">
            <v>303.10000000000002</v>
          </cell>
          <cell r="T38">
            <v>419.6</v>
          </cell>
          <cell r="U38">
            <v>398.6</v>
          </cell>
          <cell r="V38">
            <v>510.6</v>
          </cell>
          <cell r="W38">
            <v>472</v>
          </cell>
          <cell r="X38">
            <v>498</v>
          </cell>
          <cell r="Y38">
            <v>343</v>
          </cell>
          <cell r="Z38">
            <v>366</v>
          </cell>
          <cell r="AA38">
            <v>529</v>
          </cell>
          <cell r="AB38">
            <v>403</v>
          </cell>
          <cell r="AC38">
            <v>417</v>
          </cell>
          <cell r="AD38">
            <v>523.57069599232352</v>
          </cell>
          <cell r="AE38">
            <v>523.67793861171833</v>
          </cell>
          <cell r="AF38">
            <v>523.67793861171833</v>
          </cell>
          <cell r="AG38">
            <v>523.67793861171833</v>
          </cell>
          <cell r="AH38">
            <v>523.67793861171833</v>
          </cell>
          <cell r="AI38">
            <v>523.67793861171833</v>
          </cell>
          <cell r="AJ38">
            <v>523.67793861171833</v>
          </cell>
          <cell r="AK38">
            <v>523.67793861171833</v>
          </cell>
          <cell r="AL38">
            <v>523.67793861171833</v>
          </cell>
          <cell r="AM38">
            <v>523.67793861171833</v>
          </cell>
        </row>
        <row r="39">
          <cell r="D39">
            <v>50</v>
          </cell>
          <cell r="E39">
            <v>66</v>
          </cell>
          <cell r="F39">
            <v>87</v>
          </cell>
          <cell r="G39">
            <v>78</v>
          </cell>
          <cell r="H39">
            <v>86</v>
          </cell>
          <cell r="I39">
            <v>82</v>
          </cell>
          <cell r="J39">
            <v>104</v>
          </cell>
          <cell r="K39">
            <v>111</v>
          </cell>
          <cell r="L39">
            <v>157</v>
          </cell>
          <cell r="M39">
            <v>185</v>
          </cell>
          <cell r="N39">
            <v>342</v>
          </cell>
          <cell r="O39">
            <v>359</v>
          </cell>
          <cell r="P39">
            <v>480</v>
          </cell>
          <cell r="Q39">
            <v>450</v>
          </cell>
          <cell r="R39">
            <v>481</v>
          </cell>
          <cell r="S39">
            <v>176</v>
          </cell>
          <cell r="T39">
            <v>189</v>
          </cell>
          <cell r="U39">
            <v>235</v>
          </cell>
          <cell r="V39">
            <v>249</v>
          </cell>
          <cell r="W39">
            <v>363</v>
          </cell>
          <cell r="X39">
            <v>262</v>
          </cell>
          <cell r="Y39">
            <v>312</v>
          </cell>
          <cell r="Z39">
            <v>308</v>
          </cell>
          <cell r="AA39">
            <v>203</v>
          </cell>
          <cell r="AB39">
            <v>217.97992983437499</v>
          </cell>
          <cell r="AC39">
            <v>251.88954316568839</v>
          </cell>
          <cell r="AD39">
            <v>67.796430697069667</v>
          </cell>
          <cell r="AE39">
            <v>66.673210647071173</v>
          </cell>
          <cell r="AF39">
            <v>67.787428312498193</v>
          </cell>
          <cell r="AG39">
            <v>70.242636834133435</v>
          </cell>
          <cell r="AH39">
            <v>73.616492705592179</v>
          </cell>
          <cell r="AI39">
            <v>77.865862551400014</v>
          </cell>
          <cell r="AJ39">
            <v>83.05766165485673</v>
          </cell>
          <cell r="AK39">
            <v>88.955968974694954</v>
          </cell>
          <cell r="AL39">
            <v>95.136754090039148</v>
          </cell>
          <cell r="AM39">
            <v>101.27125084990169</v>
          </cell>
        </row>
        <row r="40">
          <cell r="N40">
            <v>0</v>
          </cell>
          <cell r="O40">
            <v>1.4778224999999998</v>
          </cell>
          <cell r="P40">
            <v>4.9098468000000004</v>
          </cell>
          <cell r="Q40">
            <v>7.9545843499999993</v>
          </cell>
          <cell r="R40">
            <v>10.736382127500001</v>
          </cell>
          <cell r="S40">
            <v>9.6710397925000002</v>
          </cell>
          <cell r="T40">
            <v>9.2479582499999999</v>
          </cell>
          <cell r="U40">
            <v>10.8221797225</v>
          </cell>
          <cell r="V40">
            <v>17.014656657500002</v>
          </cell>
          <cell r="W40">
            <v>20.059661500000001</v>
          </cell>
          <cell r="X40">
            <v>21.325720499999999</v>
          </cell>
          <cell r="Y40">
            <v>20.27</v>
          </cell>
          <cell r="Z40">
            <v>27.47</v>
          </cell>
          <cell r="AA40">
            <v>41.594000000000001</v>
          </cell>
          <cell r="AB40">
            <v>34.71275</v>
          </cell>
          <cell r="AC40">
            <v>34.558250000000001</v>
          </cell>
          <cell r="AD40">
            <v>34.17100642633963</v>
          </cell>
          <cell r="AE40">
            <v>35.168582815010453</v>
          </cell>
          <cell r="AF40">
            <v>38.308808942936722</v>
          </cell>
          <cell r="AG40">
            <v>42.700265396961186</v>
          </cell>
          <cell r="AH40">
            <v>47.92539211846583</v>
          </cell>
          <cell r="AI40">
            <v>53.945607570138861</v>
          </cell>
          <cell r="AJ40">
            <v>60.832159037926147</v>
          </cell>
          <cell r="AK40">
            <v>68.353248838029245</v>
          </cell>
          <cell r="AL40">
            <v>76.088771897770187</v>
          </cell>
          <cell r="AM40">
            <v>83.713699514411246</v>
          </cell>
        </row>
        <row r="41">
          <cell r="N41">
            <v>288</v>
          </cell>
          <cell r="O41">
            <v>306</v>
          </cell>
          <cell r="P41">
            <v>357</v>
          </cell>
          <cell r="Q41">
            <v>81</v>
          </cell>
          <cell r="R41">
            <v>108</v>
          </cell>
          <cell r="S41">
            <v>142</v>
          </cell>
          <cell r="T41">
            <v>154</v>
          </cell>
          <cell r="U41">
            <v>199</v>
          </cell>
          <cell r="V41">
            <v>213</v>
          </cell>
          <cell r="W41">
            <v>325</v>
          </cell>
          <cell r="X41">
            <v>224</v>
          </cell>
          <cell r="Y41">
            <v>269</v>
          </cell>
          <cell r="Z41">
            <v>269</v>
          </cell>
          <cell r="AA41">
            <v>167</v>
          </cell>
          <cell r="AB41">
            <v>189</v>
          </cell>
          <cell r="AC41">
            <v>223</v>
          </cell>
          <cell r="AD41">
            <v>39.439249999999994</v>
          </cell>
          <cell r="AE41">
            <v>37.467287499999991</v>
          </cell>
          <cell r="AF41">
            <v>35.593923124999989</v>
          </cell>
          <cell r="AG41">
            <v>33.814226968749985</v>
          </cell>
          <cell r="AH41">
            <v>32.123515620312482</v>
          </cell>
          <cell r="AI41">
            <v>30.517339839296856</v>
          </cell>
          <cell r="AJ41">
            <v>28.991472847332012</v>
          </cell>
          <cell r="AK41">
            <v>27.541899204965407</v>
          </cell>
          <cell r="AL41">
            <v>26.164804244717139</v>
          </cell>
          <cell r="AM41">
            <v>24.85656403248128</v>
          </cell>
        </row>
        <row r="42">
          <cell r="B42" t="str">
            <v>Transfers from the private sector</v>
          </cell>
          <cell r="D42">
            <v>50</v>
          </cell>
          <cell r="E42">
            <v>66</v>
          </cell>
          <cell r="F42">
            <v>87</v>
          </cell>
          <cell r="G42">
            <v>78</v>
          </cell>
          <cell r="H42">
            <v>86</v>
          </cell>
          <cell r="I42">
            <v>82</v>
          </cell>
          <cell r="J42">
            <v>104</v>
          </cell>
          <cell r="K42">
            <v>111</v>
          </cell>
          <cell r="L42">
            <v>157</v>
          </cell>
          <cell r="M42">
            <v>185</v>
          </cell>
          <cell r="N42">
            <v>54</v>
          </cell>
          <cell r="O42">
            <v>51.522177499999998</v>
          </cell>
          <cell r="P42">
            <v>118.0901532</v>
          </cell>
          <cell r="Q42">
            <v>361.04541565</v>
          </cell>
          <cell r="R42">
            <v>362.26361787249999</v>
          </cell>
          <cell r="S42">
            <v>24.3289602075</v>
          </cell>
          <cell r="T42">
            <v>25.75204175</v>
          </cell>
          <cell r="U42">
            <v>25.1778202775</v>
          </cell>
          <cell r="V42">
            <v>18.985343342499998</v>
          </cell>
          <cell r="W42">
            <v>17.940338499999999</v>
          </cell>
          <cell r="X42">
            <v>16.674279500000001</v>
          </cell>
          <cell r="Y42">
            <v>22.73</v>
          </cell>
          <cell r="Z42">
            <v>11.530000000000001</v>
          </cell>
          <cell r="AA42">
            <v>-5.5940000000000012</v>
          </cell>
          <cell r="AB42">
            <v>-5.732820165625002</v>
          </cell>
          <cell r="AC42">
            <v>-5.6687068343115872</v>
          </cell>
          <cell r="AD42">
            <v>-5.813825729269964</v>
          </cell>
          <cell r="AE42">
            <v>-5.9626596679392758</v>
          </cell>
          <cell r="AF42">
            <v>-6.1153037554385214</v>
          </cell>
          <cell r="AG42">
            <v>-6.2718555315777476</v>
          </cell>
          <cell r="AH42">
            <v>-6.4324150331861389</v>
          </cell>
          <cell r="AI42">
            <v>-6.5970848580357053</v>
          </cell>
          <cell r="AJ42">
            <v>-6.76597023040142</v>
          </cell>
          <cell r="AK42">
            <v>-6.9391790682996968</v>
          </cell>
          <cell r="AL42">
            <v>-7.1168220524481693</v>
          </cell>
          <cell r="AM42">
            <v>-7.2990126969908431</v>
          </cell>
        </row>
        <row r="44">
          <cell r="D44">
            <v>336.79900000000026</v>
          </cell>
          <cell r="E44">
            <v>44.22199999999998</v>
          </cell>
          <cell r="F44">
            <v>40.37727633228269</v>
          </cell>
          <cell r="G44">
            <v>61.982369510516492</v>
          </cell>
          <cell r="H44">
            <v>14.192070382356405</v>
          </cell>
          <cell r="I44">
            <v>229.4901180267791</v>
          </cell>
          <cell r="J44">
            <v>401.92847927960975</v>
          </cell>
          <cell r="K44">
            <v>-104.09451596521603</v>
          </cell>
          <cell r="L44">
            <v>-207.4893586823855</v>
          </cell>
          <cell r="M44">
            <v>153.09282192243472</v>
          </cell>
          <cell r="N44">
            <v>-226.13614733578152</v>
          </cell>
          <cell r="O44">
            <v>-16.623311783743247</v>
          </cell>
          <cell r="P44">
            <v>-277.41327730287685</v>
          </cell>
          <cell r="Q44">
            <v>505.99099999999999</v>
          </cell>
          <cell r="R44">
            <v>616.06099999999969</v>
          </cell>
          <cell r="S44">
            <v>1179.9570000000003</v>
          </cell>
          <cell r="T44">
            <v>834.34599999999955</v>
          </cell>
          <cell r="U44">
            <v>520.23799999999937</v>
          </cell>
          <cell r="V44">
            <v>399</v>
          </cell>
          <cell r="W44">
            <v>156</v>
          </cell>
          <cell r="X44">
            <v>1900</v>
          </cell>
          <cell r="Y44">
            <v>1136</v>
          </cell>
          <cell r="Z44">
            <v>2307</v>
          </cell>
          <cell r="AA44">
            <v>2320</v>
          </cell>
          <cell r="AB44">
            <v>2787.2954706975506</v>
          </cell>
          <cell r="AC44">
            <v>1437.8137726426858</v>
          </cell>
          <cell r="AD44">
            <v>5467.7724731307417</v>
          </cell>
          <cell r="AE44">
            <v>3827.0448186139165</v>
          </cell>
          <cell r="AF44">
            <v>3293.2074410104478</v>
          </cell>
          <cell r="AG44">
            <v>915.66061112257285</v>
          </cell>
          <cell r="AH44">
            <v>-2123.4505103387264</v>
          </cell>
          <cell r="AI44">
            <v>-5490.6131912562396</v>
          </cell>
          <cell r="AJ44">
            <v>-11043.740304984532</v>
          </cell>
          <cell r="AK44">
            <v>-19321.282466882974</v>
          </cell>
          <cell r="AL44">
            <v>-30530.615897134099</v>
          </cell>
          <cell r="AM44">
            <v>-48702.998511385696</v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>Difference from SNA</v>
          </cell>
          <cell r="AC45" t="str">
            <v>Difference from SNA</v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N46">
            <v>-211.74099999999999</v>
          </cell>
          <cell r="O46">
            <v>-355.58449999999999</v>
          </cell>
          <cell r="P46">
            <v>-250.69300000000015</v>
          </cell>
          <cell r="Q46">
            <v>-273.93692499999992</v>
          </cell>
          <cell r="R46">
            <v>-475.67843749999997</v>
          </cell>
          <cell r="S46">
            <v>-627.54543425000008</v>
          </cell>
          <cell r="T46">
            <v>-888.51142650000008</v>
          </cell>
          <cell r="U46">
            <v>-408.68454574999993</v>
          </cell>
          <cell r="V46">
            <v>39.405485002225191</v>
          </cell>
          <cell r="W46">
            <v>-659.06646358259172</v>
          </cell>
          <cell r="X46">
            <v>-1018.0966552499999</v>
          </cell>
          <cell r="Y46">
            <v>-582.04775849999965</v>
          </cell>
          <cell r="Z46">
            <v>-1173.8297137500001</v>
          </cell>
          <cell r="AA46">
            <v>-2321.6067582500004</v>
          </cell>
          <cell r="AB46">
            <v>-2124.295826</v>
          </cell>
          <cell r="AC46">
            <v>-1289.3797154999997</v>
          </cell>
          <cell r="AD46">
            <v>-1880.2613870493196</v>
          </cell>
          <cell r="AE46">
            <v>-2072.2337956028846</v>
          </cell>
          <cell r="AF46">
            <v>-2152.3070324925525</v>
          </cell>
          <cell r="AG46">
            <v>-2121.4553691299266</v>
          </cell>
          <cell r="AH46">
            <v>3529.2860505709496</v>
          </cell>
          <cell r="AI46">
            <v>7059.9782650925854</v>
          </cell>
          <cell r="AJ46">
            <v>12712.960976513888</v>
          </cell>
          <cell r="AK46">
            <v>21508.242674832502</v>
          </cell>
          <cell r="AL46">
            <v>33454.069142769469</v>
          </cell>
          <cell r="AM46">
            <v>52912.618004747914</v>
          </cell>
        </row>
        <row r="47">
          <cell r="E47" t="str">
            <v/>
          </cell>
          <cell r="N47">
            <v>109.28400000000001</v>
          </cell>
          <cell r="O47">
            <v>79.778000000000006</v>
          </cell>
          <cell r="P47">
            <v>91.456999999999994</v>
          </cell>
          <cell r="Q47">
            <v>88.301000000000002</v>
          </cell>
          <cell r="R47">
            <v>153.58799999999999</v>
          </cell>
          <cell r="S47">
            <v>145.52500000000001</v>
          </cell>
          <cell r="T47">
            <v>180.822</v>
          </cell>
          <cell r="U47">
            <v>154.19999999999999</v>
          </cell>
          <cell r="V47">
            <v>251.7</v>
          </cell>
          <cell r="W47">
            <v>140</v>
          </cell>
          <cell r="X47">
            <v>777.7</v>
          </cell>
          <cell r="Y47">
            <v>815.7</v>
          </cell>
          <cell r="Z47">
            <v>1165.7</v>
          </cell>
          <cell r="AA47">
            <v>1209.0999999999999</v>
          </cell>
          <cell r="AB47">
            <v>1209.0999999999999</v>
          </cell>
          <cell r="AC47">
            <v>1209.0999999999999</v>
          </cell>
          <cell r="AD47">
            <v>968.79362224913245</v>
          </cell>
          <cell r="AE47">
            <v>974.70326334485219</v>
          </cell>
          <cell r="AF47">
            <v>980.64895325125588</v>
          </cell>
          <cell r="AG47">
            <v>980.64895325125588</v>
          </cell>
          <cell r="AH47">
            <v>980.64895325125588</v>
          </cell>
          <cell r="AI47">
            <v>980.64895325125588</v>
          </cell>
          <cell r="AJ47">
            <v>980.64895325125588</v>
          </cell>
          <cell r="AK47">
            <v>980.64895325125588</v>
          </cell>
          <cell r="AL47">
            <v>980.64895325125588</v>
          </cell>
          <cell r="AM47">
            <v>980.64895325125588</v>
          </cell>
        </row>
        <row r="48">
          <cell r="N48">
            <v>113.57599999999999</v>
          </cell>
          <cell r="O48">
            <v>87.277000000000001</v>
          </cell>
          <cell r="P48">
            <v>83.724000000000004</v>
          </cell>
          <cell r="Q48">
            <v>84.884</v>
          </cell>
          <cell r="R48">
            <v>146.84200000000001</v>
          </cell>
          <cell r="S48">
            <v>144.48400000000001</v>
          </cell>
          <cell r="T48">
            <v>177.858</v>
          </cell>
          <cell r="U48">
            <v>148.5</v>
          </cell>
          <cell r="V48">
            <v>127.6</v>
          </cell>
          <cell r="W48">
            <v>100</v>
          </cell>
          <cell r="X48">
            <v>150</v>
          </cell>
          <cell r="Y48">
            <v>200</v>
          </cell>
          <cell r="Z48">
            <v>300</v>
          </cell>
          <cell r="AA48">
            <v>300</v>
          </cell>
          <cell r="AB48">
            <v>300</v>
          </cell>
          <cell r="AC48">
            <v>300</v>
          </cell>
          <cell r="AD48">
            <v>100.12172785818473</v>
          </cell>
          <cell r="AE48">
            <v>6.4289704775796324</v>
          </cell>
          <cell r="AF48">
            <v>-24.571029522420368</v>
          </cell>
          <cell r="AG48">
            <v>-24.571029522420368</v>
          </cell>
          <cell r="AH48">
            <v>-24.571029522420368</v>
          </cell>
          <cell r="AI48">
            <v>-24.571029522420368</v>
          </cell>
          <cell r="AJ48">
            <v>-24.571029522420368</v>
          </cell>
          <cell r="AK48">
            <v>-24.571029522420368</v>
          </cell>
          <cell r="AL48">
            <v>-24.571029522420368</v>
          </cell>
          <cell r="AM48">
            <v>-24.571029522420368</v>
          </cell>
        </row>
        <row r="49">
          <cell r="N49">
            <v>-4.2919999999999874</v>
          </cell>
          <cell r="O49">
            <v>-7.4989999999999952</v>
          </cell>
          <cell r="P49">
            <v>7.7329999999999899</v>
          </cell>
          <cell r="Q49">
            <v>3.4170000000000016</v>
          </cell>
          <cell r="R49">
            <v>6.7459999999999809</v>
          </cell>
          <cell r="S49">
            <v>1.0409999999999968</v>
          </cell>
          <cell r="T49">
            <v>2.9639999999999986</v>
          </cell>
          <cell r="U49">
            <v>5.6999999999999886</v>
          </cell>
          <cell r="V49">
            <v>124.1</v>
          </cell>
          <cell r="W49">
            <v>40</v>
          </cell>
          <cell r="X49">
            <v>627.70000000000005</v>
          </cell>
          <cell r="Y49">
            <v>615.70000000000005</v>
          </cell>
          <cell r="Z49">
            <v>865.7</v>
          </cell>
          <cell r="AA49">
            <v>909.09999999999991</v>
          </cell>
          <cell r="AB49">
            <v>909.09999999999991</v>
          </cell>
          <cell r="AC49">
            <v>909.09999999999991</v>
          </cell>
          <cell r="AD49">
            <v>868.67189439094773</v>
          </cell>
          <cell r="AE49">
            <v>968.27429286727261</v>
          </cell>
          <cell r="AF49">
            <v>1005.2199827736763</v>
          </cell>
          <cell r="AG49">
            <v>1005.2199827736763</v>
          </cell>
          <cell r="AH49">
            <v>1005.2199827736763</v>
          </cell>
          <cell r="AI49">
            <v>1005.2199827736763</v>
          </cell>
          <cell r="AJ49">
            <v>1005.2199827736763</v>
          </cell>
          <cell r="AK49">
            <v>1005.2199827736763</v>
          </cell>
          <cell r="AL49">
            <v>1005.2199827736763</v>
          </cell>
          <cell r="AM49">
            <v>1005.2199827736763</v>
          </cell>
        </row>
        <row r="50">
          <cell r="B50" t="str">
            <v xml:space="preserve"> Foreign Investment (net)</v>
          </cell>
          <cell r="N50">
            <v>73</v>
          </cell>
          <cell r="O50">
            <v>315.09999999999997</v>
          </cell>
          <cell r="P50">
            <v>332.7</v>
          </cell>
          <cell r="Q50">
            <v>152.29999999999998</v>
          </cell>
          <cell r="R50">
            <v>326.2</v>
          </cell>
          <cell r="S50">
            <v>542</v>
          </cell>
          <cell r="T50">
            <v>460.09999999999997</v>
          </cell>
          <cell r="U50">
            <v>383</v>
          </cell>
          <cell r="V50">
            <v>420.2</v>
          </cell>
          <cell r="W50">
            <v>115.3</v>
          </cell>
          <cell r="X50">
            <v>1275.1890999999998</v>
          </cell>
          <cell r="Y50">
            <v>3033.8</v>
          </cell>
          <cell r="Z50">
            <v>1855</v>
          </cell>
          <cell r="AA50">
            <v>1046</v>
          </cell>
          <cell r="AB50">
            <v>1316</v>
          </cell>
          <cell r="AC50">
            <v>2144</v>
          </cell>
          <cell r="AD50">
            <v>599.30266414796665</v>
          </cell>
          <cell r="AE50">
            <v>599.06627850413781</v>
          </cell>
          <cell r="AF50">
            <v>598.82845090788169</v>
          </cell>
          <cell r="AG50">
            <v>598.82845090788169</v>
          </cell>
          <cell r="AH50">
            <v>598.82845090788169</v>
          </cell>
          <cell r="AI50">
            <v>598.82845090788169</v>
          </cell>
          <cell r="AJ50">
            <v>598.82845090788169</v>
          </cell>
          <cell r="AK50">
            <v>598.82845090788169</v>
          </cell>
          <cell r="AL50">
            <v>598.82845090788169</v>
          </cell>
          <cell r="AM50">
            <v>598.82845090788169</v>
          </cell>
        </row>
        <row r="51">
          <cell r="N51">
            <v>76.5</v>
          </cell>
          <cell r="O51">
            <v>332.7</v>
          </cell>
          <cell r="P51">
            <v>337.2</v>
          </cell>
          <cell r="Q51">
            <v>180.7</v>
          </cell>
          <cell r="R51">
            <v>347.9</v>
          </cell>
          <cell r="S51">
            <v>554.9</v>
          </cell>
          <cell r="T51">
            <v>553.29999999999995</v>
          </cell>
          <cell r="U51">
            <v>386</v>
          </cell>
          <cell r="V51">
            <v>427.3</v>
          </cell>
          <cell r="W51">
            <v>119.8</v>
          </cell>
          <cell r="X51">
            <v>1293.5999999999999</v>
          </cell>
          <cell r="Y51">
            <v>3143.8</v>
          </cell>
          <cell r="Z51">
            <v>1912</v>
          </cell>
          <cell r="AA51">
            <v>1125</v>
          </cell>
          <cell r="AB51">
            <v>1459</v>
          </cell>
          <cell r="AC51">
            <v>2221</v>
          </cell>
          <cell r="AD51">
            <v>638.05440903793192</v>
          </cell>
          <cell r="AE51">
            <v>638.05440903793192</v>
          </cell>
          <cell r="AF51">
            <v>638.05440903793192</v>
          </cell>
          <cell r="AG51">
            <v>638.05440903793192</v>
          </cell>
          <cell r="AH51">
            <v>638.05440903793192</v>
          </cell>
          <cell r="AI51">
            <v>638.05440903793192</v>
          </cell>
          <cell r="AJ51">
            <v>638.05440903793192</v>
          </cell>
          <cell r="AK51">
            <v>638.05440903793192</v>
          </cell>
          <cell r="AL51">
            <v>638.05440903793192</v>
          </cell>
          <cell r="AM51">
            <v>638.05440903793192</v>
          </cell>
        </row>
        <row r="52">
          <cell r="N52">
            <v>-3.5</v>
          </cell>
          <cell r="O52">
            <v>-17.600000000000001</v>
          </cell>
          <cell r="P52">
            <v>-4.5</v>
          </cell>
          <cell r="Q52">
            <v>-28.4</v>
          </cell>
          <cell r="R52">
            <v>-21.7</v>
          </cell>
          <cell r="S52">
            <v>-12.9</v>
          </cell>
          <cell r="T52">
            <v>-93.2</v>
          </cell>
          <cell r="U52">
            <v>-3</v>
          </cell>
          <cell r="V52">
            <v>-7.1</v>
          </cell>
          <cell r="W52">
            <v>-4.5</v>
          </cell>
          <cell r="X52">
            <v>-18.410900000000002</v>
          </cell>
          <cell r="Y52">
            <v>-110</v>
          </cell>
          <cell r="Z52">
            <v>-57</v>
          </cell>
          <cell r="AA52">
            <v>-79</v>
          </cell>
          <cell r="AB52">
            <v>-143</v>
          </cell>
          <cell r="AC52">
            <v>-77</v>
          </cell>
          <cell r="AD52">
            <v>-38.751744889965302</v>
          </cell>
          <cell r="AE52">
            <v>-38.988130533794092</v>
          </cell>
          <cell r="AF52">
            <v>-39.22595813005023</v>
          </cell>
          <cell r="AG52">
            <v>-39.22595813005023</v>
          </cell>
          <cell r="AH52">
            <v>-39.22595813005023</v>
          </cell>
          <cell r="AI52">
            <v>-39.22595813005023</v>
          </cell>
          <cell r="AJ52">
            <v>-39.22595813005023</v>
          </cell>
          <cell r="AK52">
            <v>-39.22595813005023</v>
          </cell>
          <cell r="AL52">
            <v>-39.22595813005023</v>
          </cell>
          <cell r="AM52">
            <v>-39.22595813005023</v>
          </cell>
        </row>
        <row r="53">
          <cell r="N53">
            <v>28.3</v>
          </cell>
          <cell r="O53">
            <v>-70.900000000000006</v>
          </cell>
          <cell r="P53">
            <v>45.3</v>
          </cell>
          <cell r="Q53">
            <v>246.7</v>
          </cell>
          <cell r="R53">
            <v>168</v>
          </cell>
          <cell r="S53">
            <v>279.7</v>
          </cell>
          <cell r="T53">
            <v>99.1</v>
          </cell>
          <cell r="U53">
            <v>52.900000000000006</v>
          </cell>
          <cell r="V53">
            <v>-55.699999999999989</v>
          </cell>
          <cell r="W53">
            <v>-39.800000000000011</v>
          </cell>
          <cell r="X53">
            <v>-407.5</v>
          </cell>
          <cell r="Y53">
            <v>-1441.3999999999999</v>
          </cell>
          <cell r="Z53">
            <v>-1550.0000000000002</v>
          </cell>
          <cell r="AA53">
            <v>-1550.0000000000002</v>
          </cell>
          <cell r="AB53">
            <v>-1550.0000000000002</v>
          </cell>
          <cell r="AC53">
            <v>-1550.0000000000002</v>
          </cell>
          <cell r="AD53">
            <v>-1266.4208818533725</v>
          </cell>
          <cell r="AE53">
            <v>-1266.3617854424153</v>
          </cell>
          <cell r="AF53">
            <v>-1266.3023285433512</v>
          </cell>
          <cell r="AG53">
            <v>-1266.3023285433512</v>
          </cell>
          <cell r="AH53">
            <v>-1266.3023285433512</v>
          </cell>
          <cell r="AI53">
            <v>-1266.3023285433512</v>
          </cell>
          <cell r="AJ53">
            <v>-1266.3023285433512</v>
          </cell>
          <cell r="AK53">
            <v>-1266.3023285433512</v>
          </cell>
          <cell r="AL53">
            <v>-1266.3023285433512</v>
          </cell>
          <cell r="AM53">
            <v>-1266.3023285433512</v>
          </cell>
        </row>
        <row r="54">
          <cell r="N54">
            <v>40</v>
          </cell>
          <cell r="O54">
            <v>-41.3</v>
          </cell>
          <cell r="P54">
            <v>42.9</v>
          </cell>
          <cell r="Q54">
            <v>196.1</v>
          </cell>
          <cell r="R54">
            <v>228.1</v>
          </cell>
          <cell r="S54">
            <v>298.2</v>
          </cell>
          <cell r="T54">
            <v>134.1</v>
          </cell>
          <cell r="U54">
            <v>120</v>
          </cell>
          <cell r="V54">
            <v>50.900000000000006</v>
          </cell>
          <cell r="W54">
            <v>133.5</v>
          </cell>
          <cell r="X54">
            <v>132.4</v>
          </cell>
          <cell r="Y54">
            <v>96.9</v>
          </cell>
          <cell r="Z54">
            <v>61.300000000000011</v>
          </cell>
          <cell r="AA54">
            <v>61.300000000000011</v>
          </cell>
          <cell r="AB54">
            <v>61.300000000000011</v>
          </cell>
          <cell r="AC54">
            <v>61.300000000000011</v>
          </cell>
          <cell r="AD54">
            <v>9.6879362224913255</v>
          </cell>
          <cell r="AE54">
            <v>9.7470326334485229</v>
          </cell>
          <cell r="AF54">
            <v>9.8064895325125576</v>
          </cell>
          <cell r="AG54">
            <v>9.8064895325125576</v>
          </cell>
          <cell r="AH54">
            <v>9.8064895325125576</v>
          </cell>
          <cell r="AI54">
            <v>9.8064895325125576</v>
          </cell>
          <cell r="AJ54">
            <v>9.8064895325125576</v>
          </cell>
          <cell r="AK54">
            <v>9.8064895325125576</v>
          </cell>
          <cell r="AL54">
            <v>9.8064895325125576</v>
          </cell>
          <cell r="AM54">
            <v>9.8064895325125576</v>
          </cell>
        </row>
        <row r="55">
          <cell r="N55">
            <v>-11.7</v>
          </cell>
          <cell r="O55">
            <v>-29.6</v>
          </cell>
          <cell r="P55">
            <v>2.4</v>
          </cell>
          <cell r="Q55">
            <v>50.6</v>
          </cell>
          <cell r="R55">
            <v>-60.1</v>
          </cell>
          <cell r="S55">
            <v>-18.5</v>
          </cell>
          <cell r="T55">
            <v>-35</v>
          </cell>
          <cell r="U55">
            <v>-67.099999999999994</v>
          </cell>
          <cell r="V55">
            <v>-106.6</v>
          </cell>
          <cell r="W55">
            <v>-173.3</v>
          </cell>
          <cell r="X55">
            <v>-539.9</v>
          </cell>
          <cell r="Y55">
            <v>-1538.3</v>
          </cell>
          <cell r="Z55">
            <v>-1611.3000000000002</v>
          </cell>
          <cell r="AA55">
            <v>-1611.3000000000002</v>
          </cell>
          <cell r="AB55">
            <v>-1611.3000000000002</v>
          </cell>
          <cell r="AC55">
            <v>-1611.3000000000002</v>
          </cell>
          <cell r="AD55">
            <v>-1276.1088180758638</v>
          </cell>
          <cell r="AE55">
            <v>-1276.1088180758638</v>
          </cell>
          <cell r="AF55">
            <v>-1276.1088180758638</v>
          </cell>
          <cell r="AG55">
            <v>-1276.1088180758638</v>
          </cell>
          <cell r="AH55">
            <v>-1276.1088180758638</v>
          </cell>
          <cell r="AI55">
            <v>-1276.1088180758638</v>
          </cell>
          <cell r="AJ55">
            <v>-1276.1088180758638</v>
          </cell>
          <cell r="AK55">
            <v>-1276.1088180758638</v>
          </cell>
          <cell r="AL55">
            <v>-1276.1088180758638</v>
          </cell>
          <cell r="AM55">
            <v>-1276.1088180758638</v>
          </cell>
        </row>
        <row r="56">
          <cell r="N56">
            <v>-422.32499999999999</v>
          </cell>
          <cell r="O56">
            <v>-679.5625</v>
          </cell>
          <cell r="P56">
            <v>-720.15000000000009</v>
          </cell>
          <cell r="Q56">
            <v>-761.2379249999999</v>
          </cell>
          <cell r="R56">
            <v>-1123.4664375</v>
          </cell>
          <cell r="S56">
            <v>-1594.7704342500001</v>
          </cell>
          <cell r="T56">
            <v>-1628.5334264999999</v>
          </cell>
          <cell r="U56">
            <v>-998.78454574999989</v>
          </cell>
          <cell r="V56">
            <v>-576.79451499777485</v>
          </cell>
          <cell r="W56">
            <v>-874.56646358259161</v>
          </cell>
          <cell r="X56">
            <v>-2663.4857552499998</v>
          </cell>
          <cell r="Y56">
            <v>-2990.1477584999998</v>
          </cell>
          <cell r="Z56">
            <v>-2644.5297137500002</v>
          </cell>
          <cell r="AA56">
            <v>-3026.7067582499999</v>
          </cell>
          <cell r="AB56">
            <v>-3099.3958259999999</v>
          </cell>
          <cell r="AC56">
            <v>-3092.4797154999997</v>
          </cell>
          <cell r="AD56">
            <v>-2181.9367915930466</v>
          </cell>
          <cell r="AE56">
            <v>-2379.6415520094588</v>
          </cell>
          <cell r="AF56">
            <v>-2465.4821081083387</v>
          </cell>
          <cell r="AG56">
            <v>-2434.6304447457132</v>
          </cell>
          <cell r="AH56">
            <v>3216.1109749551651</v>
          </cell>
          <cell r="AI56">
            <v>6746.8031894767992</v>
          </cell>
          <cell r="AJ56">
            <v>12399.785900898114</v>
          </cell>
          <cell r="AK56">
            <v>21195.06759921672</v>
          </cell>
          <cell r="AL56">
            <v>33140.894067153677</v>
          </cell>
          <cell r="AM56">
            <v>52599.442929132128</v>
          </cell>
        </row>
        <row r="57">
          <cell r="N57">
            <v>72.974999999999994</v>
          </cell>
          <cell r="O57">
            <v>82.337499999999991</v>
          </cell>
          <cell r="P57">
            <v>32.65</v>
          </cell>
          <cell r="Q57">
            <v>16.562075</v>
          </cell>
          <cell r="R57">
            <v>22.233562500000001</v>
          </cell>
          <cell r="S57">
            <v>73.229565749999992</v>
          </cell>
          <cell r="T57">
            <v>20.266573499999993</v>
          </cell>
          <cell r="U57">
            <v>67.815454249999988</v>
          </cell>
          <cell r="V57">
            <v>126.40548500222522</v>
          </cell>
          <cell r="W57">
            <v>-98.366463582591592</v>
          </cell>
          <cell r="X57">
            <v>-11.485755249999997</v>
          </cell>
          <cell r="Y57">
            <v>110.85224150000001</v>
          </cell>
          <cell r="Z57">
            <v>274.77028624999997</v>
          </cell>
          <cell r="AA57">
            <v>277.39324175000002</v>
          </cell>
          <cell r="AB57">
            <v>204.70417400000002</v>
          </cell>
          <cell r="AC57">
            <v>211.62028450000003</v>
          </cell>
          <cell r="AD57">
            <v>306.47540365488788</v>
          </cell>
          <cell r="AE57">
            <v>172.57608414226877</v>
          </cell>
          <cell r="AF57">
            <v>86.735528043388953</v>
          </cell>
          <cell r="AG57">
            <v>64.59297018394625</v>
          </cell>
          <cell r="AH57">
            <v>-20.434870763862669</v>
          </cell>
          <cell r="AI57">
            <v>-48.641209288180399</v>
          </cell>
          <cell r="AJ57">
            <v>-51.805576932037795</v>
          </cell>
          <cell r="AK57">
            <v>-37.288177764140158</v>
          </cell>
          <cell r="AL57">
            <v>-40.881322789280375</v>
          </cell>
          <cell r="AM57">
            <v>-28.996837837017001</v>
          </cell>
        </row>
        <row r="58">
          <cell r="N58">
            <v>0.1</v>
          </cell>
          <cell r="O58">
            <v>0</v>
          </cell>
          <cell r="P58">
            <v>80.400000000000006</v>
          </cell>
          <cell r="Q58">
            <v>101</v>
          </cell>
          <cell r="R58">
            <v>101.6</v>
          </cell>
          <cell r="S58">
            <v>63.7</v>
          </cell>
          <cell r="T58">
            <v>73.2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63.805440903793198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-495.4</v>
          </cell>
          <cell r="O59">
            <v>-761.9</v>
          </cell>
          <cell r="P59">
            <v>-833.2</v>
          </cell>
          <cell r="Q59">
            <v>-878.8</v>
          </cell>
          <cell r="R59">
            <v>-1247.3</v>
          </cell>
          <cell r="S59">
            <v>-1731.7</v>
          </cell>
          <cell r="T59">
            <v>-1722</v>
          </cell>
          <cell r="U59">
            <v>-1066.5999999999999</v>
          </cell>
          <cell r="V59">
            <v>-703.2</v>
          </cell>
          <cell r="W59">
            <v>-776.2</v>
          </cell>
          <cell r="X59">
            <v>-2652</v>
          </cell>
          <cell r="Y59">
            <v>-3101</v>
          </cell>
          <cell r="Z59">
            <v>-2919.3</v>
          </cell>
          <cell r="AA59">
            <v>-3304.1</v>
          </cell>
          <cell r="AB59">
            <v>-3304.1</v>
          </cell>
          <cell r="AC59">
            <v>-3304.1</v>
          </cell>
          <cell r="AD59">
            <v>-2552.2176361517277</v>
          </cell>
          <cell r="AE59">
            <v>-2552.2176361517277</v>
          </cell>
          <cell r="AF59">
            <v>-2552.2176361517277</v>
          </cell>
          <cell r="AG59">
            <v>-2552.2176361517277</v>
          </cell>
          <cell r="AH59">
            <v>-2552.2176361517277</v>
          </cell>
          <cell r="AI59">
            <v>-2552.2176361517277</v>
          </cell>
          <cell r="AJ59">
            <v>-2552.2176361517277</v>
          </cell>
          <cell r="AK59">
            <v>-2552.2176361517277</v>
          </cell>
          <cell r="AL59">
            <v>-2552.2176361517277</v>
          </cell>
          <cell r="AM59">
            <v>-2552.2176361517277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52.994221222069463</v>
          </cell>
          <cell r="AH60">
            <v>5788.7634818707556</v>
          </cell>
          <cell r="AI60">
            <v>9347.6620349167079</v>
          </cell>
          <cell r="AJ60">
            <v>15003.809113981873</v>
          </cell>
          <cell r="AK60">
            <v>25258.261394211313</v>
          </cell>
          <cell r="AL60">
            <v>38516.564187264761</v>
          </cell>
          <cell r="AM60">
            <v>60106.629866288393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-1473.6879810787225</v>
          </cell>
          <cell r="AL61">
            <v>-2782.5711611700754</v>
          </cell>
          <cell r="AM61">
            <v>-4925.9724631674853</v>
          </cell>
        </row>
        <row r="63">
          <cell r="N63">
            <v>729.07714733578155</v>
          </cell>
          <cell r="O63">
            <v>696.8078117837432</v>
          </cell>
          <cell r="P63">
            <v>-186.69372269712295</v>
          </cell>
          <cell r="Q63">
            <v>-265.4540750000001</v>
          </cell>
          <cell r="R63">
            <v>-210.98256249999969</v>
          </cell>
          <cell r="S63">
            <v>-685.01156575000016</v>
          </cell>
          <cell r="T63">
            <v>1147.0264932500008</v>
          </cell>
          <cell r="U63">
            <v>47.972475250000514</v>
          </cell>
          <cell r="V63">
            <v>133.60751874777475</v>
          </cell>
          <cell r="W63">
            <v>843.16646358259186</v>
          </cell>
          <cell r="X63">
            <v>-790.00334475000022</v>
          </cell>
          <cell r="Y63">
            <v>157.54775849999987</v>
          </cell>
          <cell r="Z63">
            <v>-879.37028625000005</v>
          </cell>
          <cell r="AA63">
            <v>-774.19324174999929</v>
          </cell>
          <cell r="AB63">
            <v>-789.89964469755068</v>
          </cell>
          <cell r="AC63">
            <v>-1275.0340571426864</v>
          </cell>
          <cell r="AD63">
            <v>-285.21032083995556</v>
          </cell>
          <cell r="AE63">
            <v>-349.01576174374878</v>
          </cell>
          <cell r="AF63">
            <v>-349.01576174374878</v>
          </cell>
          <cell r="AG63">
            <v>-349.01576174374878</v>
          </cell>
          <cell r="AH63">
            <v>-349.01576174374878</v>
          </cell>
          <cell r="AI63">
            <v>-349.01576174374878</v>
          </cell>
          <cell r="AJ63">
            <v>-349.01576174374878</v>
          </cell>
          <cell r="AK63">
            <v>-349.01576174374878</v>
          </cell>
          <cell r="AL63">
            <v>-349.01576174374878</v>
          </cell>
          <cell r="AM63">
            <v>-349.01576174374878</v>
          </cell>
        </row>
        <row r="64">
          <cell r="N64">
            <v>328.3</v>
          </cell>
          <cell r="O64">
            <v>-321.10000000000002</v>
          </cell>
          <cell r="P64">
            <v>91.399999999999977</v>
          </cell>
          <cell r="Q64">
            <v>295.7</v>
          </cell>
          <cell r="R64">
            <v>309.2</v>
          </cell>
          <cell r="S64">
            <v>73.5</v>
          </cell>
          <cell r="T64">
            <v>-93.5</v>
          </cell>
          <cell r="U64">
            <v>221.09999999999997</v>
          </cell>
          <cell r="V64">
            <v>-189.79999999999998</v>
          </cell>
          <cell r="W64">
            <v>-413.2</v>
          </cell>
          <cell r="X64">
            <v>-172.9</v>
          </cell>
          <cell r="Y64">
            <v>477.5</v>
          </cell>
          <cell r="Z64">
            <v>408.9</v>
          </cell>
          <cell r="AA64">
            <v>579</v>
          </cell>
          <cell r="AB64">
            <v>579</v>
          </cell>
          <cell r="AC64">
            <v>579</v>
          </cell>
          <cell r="AD64">
            <v>0</v>
          </cell>
          <cell r="AE64">
            <v>-63.805440903793198</v>
          </cell>
          <cell r="AF64">
            <v>-63.805440903793198</v>
          </cell>
          <cell r="AG64">
            <v>-63.805440903793198</v>
          </cell>
          <cell r="AH64">
            <v>-63.805440903793198</v>
          </cell>
          <cell r="AI64">
            <v>-63.805440903793198</v>
          </cell>
          <cell r="AJ64">
            <v>-63.805440903793198</v>
          </cell>
          <cell r="AK64">
            <v>-63.805440903793198</v>
          </cell>
          <cell r="AL64">
            <v>-63.805440903793198</v>
          </cell>
          <cell r="AM64">
            <v>-63.805440903793198</v>
          </cell>
        </row>
        <row r="65">
          <cell r="N65">
            <v>-269.7</v>
          </cell>
          <cell r="O65">
            <v>269.7</v>
          </cell>
          <cell r="P65">
            <v>-12.1</v>
          </cell>
          <cell r="Q65">
            <v>-26.8</v>
          </cell>
          <cell r="R65">
            <v>38.9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73</v>
          </cell>
          <cell r="O66">
            <v>-360.4</v>
          </cell>
          <cell r="P66">
            <v>187.1</v>
          </cell>
          <cell r="Q66">
            <v>254.1</v>
          </cell>
          <cell r="R66">
            <v>250.9</v>
          </cell>
          <cell r="S66">
            <v>100.2</v>
          </cell>
          <cell r="T66">
            <v>-414.6</v>
          </cell>
          <cell r="U66">
            <v>349.4</v>
          </cell>
          <cell r="V66">
            <v>-169.2</v>
          </cell>
          <cell r="W66">
            <v>-591.9</v>
          </cell>
          <cell r="X66">
            <v>-312.8</v>
          </cell>
          <cell r="Y66">
            <v>865.5</v>
          </cell>
          <cell r="Z66">
            <v>638.4</v>
          </cell>
          <cell r="AA66">
            <v>638.4</v>
          </cell>
          <cell r="AB66">
            <v>638.4</v>
          </cell>
          <cell r="AC66">
            <v>638.4</v>
          </cell>
          <cell r="AD66">
            <v>63.805440903793198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-14.4</v>
          </cell>
          <cell r="O67">
            <v>51.4</v>
          </cell>
          <cell r="P67">
            <v>-68.900000000000006</v>
          </cell>
          <cell r="Q67">
            <v>2.7</v>
          </cell>
          <cell r="R67">
            <v>58.3</v>
          </cell>
          <cell r="S67">
            <v>-26.7</v>
          </cell>
          <cell r="T67">
            <v>321.10000000000002</v>
          </cell>
          <cell r="U67">
            <v>-128.30000000000001</v>
          </cell>
          <cell r="V67">
            <v>-20.6</v>
          </cell>
          <cell r="W67">
            <v>178.7</v>
          </cell>
          <cell r="X67">
            <v>139.9</v>
          </cell>
          <cell r="Y67">
            <v>-388</v>
          </cell>
          <cell r="Z67">
            <v>-229.5</v>
          </cell>
          <cell r="AA67">
            <v>-59.4</v>
          </cell>
          <cell r="AB67">
            <v>-59.4</v>
          </cell>
          <cell r="AC67">
            <v>-59.4</v>
          </cell>
          <cell r="AD67">
            <v>-63.805440903793198</v>
          </cell>
          <cell r="AE67">
            <v>-63.805440903793198</v>
          </cell>
          <cell r="AF67">
            <v>-63.805440903793198</v>
          </cell>
          <cell r="AG67">
            <v>-63.805440903793198</v>
          </cell>
          <cell r="AH67">
            <v>-63.805440903793198</v>
          </cell>
          <cell r="AI67">
            <v>-63.805440903793198</v>
          </cell>
          <cell r="AJ67">
            <v>-63.805440903793198</v>
          </cell>
          <cell r="AK67">
            <v>-63.805440903793198</v>
          </cell>
          <cell r="AL67">
            <v>-63.805440903793198</v>
          </cell>
          <cell r="AM67">
            <v>-63.805440903793198</v>
          </cell>
        </row>
        <row r="68">
          <cell r="N68">
            <v>439.1</v>
          </cell>
          <cell r="O68">
            <v>70</v>
          </cell>
          <cell r="P68">
            <v>12.3</v>
          </cell>
          <cell r="Q68">
            <v>-47.9</v>
          </cell>
          <cell r="R68">
            <v>68.5</v>
          </cell>
          <cell r="S68">
            <v>-80.900000000000006</v>
          </cell>
          <cell r="T68">
            <v>51.3</v>
          </cell>
          <cell r="U68">
            <v>66.3</v>
          </cell>
          <cell r="V68">
            <v>36.9</v>
          </cell>
          <cell r="W68">
            <v>71.599999999999994</v>
          </cell>
          <cell r="X68">
            <v>-66.400000000000006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33.816883679010395</v>
          </cell>
          <cell r="AE68">
            <v>33.816883679010395</v>
          </cell>
          <cell r="AF68">
            <v>33.816883679010395</v>
          </cell>
          <cell r="AG68">
            <v>33.816883679010395</v>
          </cell>
          <cell r="AH68">
            <v>33.816883679010395</v>
          </cell>
          <cell r="AI68">
            <v>33.816883679010395</v>
          </cell>
          <cell r="AJ68">
            <v>33.816883679010395</v>
          </cell>
          <cell r="AK68">
            <v>33.816883679010395</v>
          </cell>
          <cell r="AL68">
            <v>33.816883679010395</v>
          </cell>
          <cell r="AM68">
            <v>33.816883679010395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38.58</v>
          </cell>
          <cell r="U69">
            <v>0</v>
          </cell>
          <cell r="V69">
            <v>-309.39999999999998</v>
          </cell>
          <cell r="W69">
            <v>-349.9</v>
          </cell>
          <cell r="X69">
            <v>-107.3</v>
          </cell>
          <cell r="Y69">
            <v>-356.9</v>
          </cell>
          <cell r="Z69">
            <v>-781.2</v>
          </cell>
          <cell r="AA69">
            <v>0</v>
          </cell>
          <cell r="AB69">
            <v>0</v>
          </cell>
          <cell r="AC69">
            <v>0</v>
          </cell>
          <cell r="AD69">
            <v>-319.02720451896596</v>
          </cell>
          <cell r="AE69">
            <v>-319.02720451896596</v>
          </cell>
          <cell r="AF69">
            <v>-319.02720451896596</v>
          </cell>
          <cell r="AG69">
            <v>-319.02720451896596</v>
          </cell>
          <cell r="AH69">
            <v>-319.02720451896596</v>
          </cell>
          <cell r="AI69">
            <v>-319.02720451896596</v>
          </cell>
          <cell r="AJ69">
            <v>-319.02720451896596</v>
          </cell>
          <cell r="AK69">
            <v>-319.02720451896596</v>
          </cell>
          <cell r="AL69">
            <v>-319.02720451896596</v>
          </cell>
          <cell r="AM69">
            <v>-319.02720451896596</v>
          </cell>
        </row>
        <row r="70">
          <cell r="B70" t="str">
            <v>Errors &amp; Omissions</v>
          </cell>
          <cell r="N70">
            <v>-38.322852664218487</v>
          </cell>
          <cell r="O70">
            <v>947.90781178374323</v>
          </cell>
          <cell r="P70">
            <v>-290.39372269712294</v>
          </cell>
          <cell r="Q70">
            <v>-513.25407500000006</v>
          </cell>
          <cell r="R70">
            <v>-588.68256249999968</v>
          </cell>
          <cell r="S70">
            <v>-677.61156575000018</v>
          </cell>
          <cell r="T70">
            <v>1150.646493250001</v>
          </cell>
          <cell r="U70">
            <v>-239.42752474999946</v>
          </cell>
          <cell r="V70">
            <v>595.9075187477747</v>
          </cell>
          <cell r="W70">
            <v>1534.6664635825919</v>
          </cell>
          <cell r="X70">
            <v>-443.40334475000026</v>
          </cell>
          <cell r="Y70">
            <v>36.94775849999985</v>
          </cell>
          <cell r="Z70">
            <v>-507.07028624999998</v>
          </cell>
          <cell r="AA70">
            <v>-1353.1932417499993</v>
          </cell>
          <cell r="AB70">
            <v>-1368.8996446975507</v>
          </cell>
          <cell r="AC70">
            <v>-1854.0340571426864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517.33614733578156</v>
          </cell>
          <cell r="O72">
            <v>341.22331178374321</v>
          </cell>
          <cell r="P72">
            <v>-437.3867226971231</v>
          </cell>
          <cell r="Q72">
            <v>-539.39100000000008</v>
          </cell>
          <cell r="R72">
            <v>-686.6609999999996</v>
          </cell>
          <cell r="S72">
            <v>-1312.5570000000002</v>
          </cell>
          <cell r="T72">
            <v>258.51506675000076</v>
          </cell>
          <cell r="U72">
            <v>-360.71207049999941</v>
          </cell>
          <cell r="V72">
            <v>173.01300374999994</v>
          </cell>
          <cell r="W72">
            <v>184.10000000000014</v>
          </cell>
          <cell r="X72">
            <v>-1808.1000000000001</v>
          </cell>
          <cell r="Y72">
            <v>-424.49999999999977</v>
          </cell>
          <cell r="Z72">
            <v>-2053.2000000000003</v>
          </cell>
          <cell r="AA72">
            <v>-3095.7999999999997</v>
          </cell>
          <cell r="AB72">
            <v>-2914.1954706975507</v>
          </cell>
          <cell r="AC72">
            <v>-2564.4137726426861</v>
          </cell>
          <cell r="AD72">
            <v>-2165.4717078892754</v>
          </cell>
          <cell r="AE72">
            <v>-2421.2495573466335</v>
          </cell>
          <cell r="AF72">
            <v>-2501.3227942363014</v>
          </cell>
          <cell r="AG72">
            <v>-2470.4711308736755</v>
          </cell>
          <cell r="AH72">
            <v>3180.2702888272006</v>
          </cell>
          <cell r="AI72">
            <v>6710.9625033488364</v>
          </cell>
          <cell r="AJ72">
            <v>12363.94521477014</v>
          </cell>
          <cell r="AK72">
            <v>21159.226913088754</v>
          </cell>
          <cell r="AL72">
            <v>33105.053381025718</v>
          </cell>
          <cell r="AM72">
            <v>52563.602243004163</v>
          </cell>
        </row>
        <row r="74">
          <cell r="N74">
            <v>291.20000000000005</v>
          </cell>
          <cell r="O74">
            <v>324.59999999999997</v>
          </cell>
          <cell r="P74">
            <v>-714.8</v>
          </cell>
          <cell r="Q74">
            <v>-33.400000000000091</v>
          </cell>
          <cell r="R74">
            <v>-70.599999999999909</v>
          </cell>
          <cell r="S74">
            <v>-132.59999999999991</v>
          </cell>
          <cell r="T74">
            <v>1092.8610667500002</v>
          </cell>
          <cell r="U74">
            <v>159.52592949999996</v>
          </cell>
          <cell r="V74">
            <v>572.01300374999994</v>
          </cell>
          <cell r="W74">
            <v>340.10000000000014</v>
          </cell>
          <cell r="X74">
            <v>91.899999999999864</v>
          </cell>
          <cell r="Y74">
            <v>711.50000000000023</v>
          </cell>
          <cell r="Z74">
            <v>253.79999999999973</v>
          </cell>
          <cell r="AA74">
            <v>-775.79999999999973</v>
          </cell>
          <cell r="AB74">
            <v>-126.90000000000009</v>
          </cell>
          <cell r="AC74">
            <v>-1126.6000000000004</v>
          </cell>
          <cell r="AD74">
            <v>3302.3007652414663</v>
          </cell>
          <cell r="AE74">
            <v>1405.795261267283</v>
          </cell>
          <cell r="AF74">
            <v>791.8846467741464</v>
          </cell>
          <cell r="AG74">
            <v>-1554.8105197511027</v>
          </cell>
          <cell r="AH74">
            <v>1056.8197784884742</v>
          </cell>
          <cell r="AI74">
            <v>1220.3493120925968</v>
          </cell>
          <cell r="AJ74">
            <v>1320.204909785607</v>
          </cell>
          <cell r="AK74">
            <v>1837.94444620578</v>
          </cell>
          <cell r="AL74">
            <v>2574.4374838916192</v>
          </cell>
          <cell r="AM74">
            <v>3860.6037316184666</v>
          </cell>
        </row>
        <row r="76">
          <cell r="N76">
            <v>-291.2</v>
          </cell>
          <cell r="O76">
            <v>-324.59999999999997</v>
          </cell>
          <cell r="P76">
            <v>714.8</v>
          </cell>
          <cell r="Q76">
            <v>33.400000000000006</v>
          </cell>
          <cell r="R76">
            <v>70.599999999999994</v>
          </cell>
          <cell r="S76">
            <v>132.60000000000002</v>
          </cell>
          <cell r="T76">
            <v>-1092.8610667500002</v>
          </cell>
          <cell r="U76">
            <v>-159.52592949999996</v>
          </cell>
          <cell r="V76">
            <v>-572.01300374999994</v>
          </cell>
          <cell r="W76">
            <v>-340.10000000000014</v>
          </cell>
          <cell r="X76">
            <v>-91.899999999999864</v>
          </cell>
          <cell r="Y76">
            <v>-711.50000000000023</v>
          </cell>
          <cell r="Z76">
            <v>-253.79999999999973</v>
          </cell>
          <cell r="AA76">
            <v>775.79999999999973</v>
          </cell>
          <cell r="AB76">
            <v>126.90000000000009</v>
          </cell>
          <cell r="AC76">
            <v>1126.6000000000001</v>
          </cell>
          <cell r="AD76">
            <v>-3302.3007652414685</v>
          </cell>
          <cell r="AE76">
            <v>-1405.7952612672725</v>
          </cell>
          <cell r="AF76">
            <v>-791.8846467741397</v>
          </cell>
          <cell r="AG76">
            <v>1554.8105197511193</v>
          </cell>
          <cell r="AH76">
            <v>-1056.8197784884792</v>
          </cell>
          <cell r="AI76">
            <v>-1220.3493120926007</v>
          </cell>
          <cell r="AJ76">
            <v>-1293.7077991745771</v>
          </cell>
          <cell r="AK76">
            <v>-1837.9444462057854</v>
          </cell>
          <cell r="AL76">
            <v>-2574.4374838916269</v>
          </cell>
          <cell r="AM76">
            <v>-3860.6037316184907</v>
          </cell>
        </row>
        <row r="77">
          <cell r="N77">
            <v>-291.2</v>
          </cell>
          <cell r="O77">
            <v>-324.59999999999997</v>
          </cell>
          <cell r="P77">
            <v>714.8</v>
          </cell>
          <cell r="Q77">
            <v>33.400000000000006</v>
          </cell>
          <cell r="R77">
            <v>70.599999999999994</v>
          </cell>
          <cell r="S77">
            <v>132.60000000000002</v>
          </cell>
          <cell r="T77">
            <v>-1092.8610667500002</v>
          </cell>
          <cell r="U77">
            <v>-159.52592949999996</v>
          </cell>
          <cell r="V77">
            <v>-572.01300374999994</v>
          </cell>
          <cell r="W77">
            <v>-340.10000000000014</v>
          </cell>
          <cell r="X77">
            <v>-91.899999999999864</v>
          </cell>
          <cell r="Y77">
            <v>-711.50000000000023</v>
          </cell>
          <cell r="Z77">
            <v>-253.79999999999973</v>
          </cell>
          <cell r="AA77">
            <v>775.79999999999973</v>
          </cell>
          <cell r="AB77">
            <v>126.90000000000009</v>
          </cell>
          <cell r="AC77">
            <v>1126.6000000000001</v>
          </cell>
          <cell r="AD77">
            <v>-3302.3007652414667</v>
          </cell>
          <cell r="AE77">
            <v>-1405.7952612672725</v>
          </cell>
          <cell r="AF77">
            <v>-791.8846467741397</v>
          </cell>
          <cell r="AG77">
            <v>1554.8105197511193</v>
          </cell>
          <cell r="AH77">
            <v>-1056.8197784884808</v>
          </cell>
          <cell r="AI77">
            <v>-1220.3493120926007</v>
          </cell>
          <cell r="AJ77">
            <v>-1293.7077991745757</v>
          </cell>
          <cell r="AK77">
            <v>-1837.944446205787</v>
          </cell>
          <cell r="AL77">
            <v>-2574.4374838916269</v>
          </cell>
          <cell r="AM77">
            <v>-3860.6037316184879</v>
          </cell>
        </row>
        <row r="78">
          <cell r="B78" t="str">
            <v xml:space="preserve">   IMF Credit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  <row r="80">
          <cell r="N80">
            <v>291.2</v>
          </cell>
          <cell r="O80">
            <v>615.79999999999995</v>
          </cell>
          <cell r="P80">
            <v>-99</v>
          </cell>
          <cell r="Q80">
            <v>-132.4</v>
          </cell>
          <cell r="R80">
            <v>-203</v>
          </cell>
          <cell r="S80">
            <v>-335.6</v>
          </cell>
          <cell r="T80">
            <v>937.87719475000006</v>
          </cell>
          <cell r="U80">
            <v>1104.69860225</v>
          </cell>
          <cell r="V80">
            <v>1378.7</v>
          </cell>
          <cell r="W80">
            <v>2297.6999999999998</v>
          </cell>
          <cell r="X80">
            <v>2740</v>
          </cell>
          <cell r="Y80">
            <v>2551.6000000000004</v>
          </cell>
        </row>
        <row r="81">
          <cell r="N81">
            <v>291.2</v>
          </cell>
          <cell r="O81">
            <v>615.79999999999995</v>
          </cell>
          <cell r="P81">
            <v>-99</v>
          </cell>
          <cell r="Q81">
            <v>-132.4</v>
          </cell>
          <cell r="R81">
            <v>-203</v>
          </cell>
          <cell r="S81">
            <v>-335.6</v>
          </cell>
          <cell r="T81">
            <v>757.26106675000005</v>
          </cell>
          <cell r="U81">
            <v>916.78699625000002</v>
          </cell>
          <cell r="V81">
            <v>1488.8</v>
          </cell>
          <cell r="W81">
            <v>1828.9</v>
          </cell>
          <cell r="X81">
            <v>1920.8</v>
          </cell>
          <cell r="Y81">
            <v>2632.3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180.616128</v>
          </cell>
          <cell r="U82">
            <v>187.91160600000001</v>
          </cell>
          <cell r="V82">
            <v>-110.1</v>
          </cell>
          <cell r="W82">
            <v>468.79999999999995</v>
          </cell>
          <cell r="X82">
            <v>819.2</v>
          </cell>
          <cell r="Y82">
            <v>-80.7</v>
          </cell>
        </row>
        <row r="83">
          <cell r="N83">
            <v>0.86075115239290956</v>
          </cell>
          <cell r="O83">
            <v>1.5932474707774047</v>
          </cell>
          <cell r="P83">
            <v>-0.20483382719246795</v>
          </cell>
          <cell r="Q83">
            <v>-0.28980073907268022</v>
          </cell>
          <cell r="R83">
            <v>-0.41198623259203426</v>
          </cell>
          <cell r="S83">
            <v>-0.56836646298500404</v>
          </cell>
          <cell r="T83">
            <v>0.94878199415243303</v>
          </cell>
          <cell r="U83">
            <v>1.0544812046813512</v>
          </cell>
          <cell r="V83">
            <v>1.5401279523065949</v>
          </cell>
          <cell r="W83">
            <v>1.8532444844412679</v>
          </cell>
          <cell r="X83">
            <v>1.7306785428778504</v>
          </cell>
          <cell r="Y83">
            <v>1.6537672770838867</v>
          </cell>
        </row>
        <row r="85"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</row>
        <row r="87">
          <cell r="N87">
            <v>674</v>
          </cell>
          <cell r="O87">
            <v>684</v>
          </cell>
          <cell r="P87">
            <v>1199.2</v>
          </cell>
          <cell r="Q87">
            <v>1229.5999999999999</v>
          </cell>
          <cell r="R87">
            <v>1297.7</v>
          </cell>
          <cell r="S87">
            <v>1381.4</v>
          </cell>
          <cell r="T87">
            <v>1439.8</v>
          </cell>
          <cell r="U87">
            <v>334.8</v>
          </cell>
          <cell r="V87">
            <v>551</v>
          </cell>
          <cell r="W87">
            <v>828.7</v>
          </cell>
          <cell r="X87">
            <v>1000</v>
          </cell>
          <cell r="Y87">
            <v>4506.0696289332882</v>
          </cell>
        </row>
        <row r="88">
          <cell r="N88">
            <v>0</v>
          </cell>
          <cell r="O88">
            <v>374.625</v>
          </cell>
          <cell r="P88">
            <v>474.07500000000005</v>
          </cell>
          <cell r="Q88">
            <v>444.03571800000009</v>
          </cell>
          <cell r="R88">
            <v>475.23884075000001</v>
          </cell>
          <cell r="S88">
            <v>555.07858250000004</v>
          </cell>
          <cell r="T88">
            <v>584.12172050000004</v>
          </cell>
          <cell r="U88">
            <v>663.82016299999998</v>
          </cell>
          <cell r="V88">
            <v>852.52817575222525</v>
          </cell>
          <cell r="W88">
            <v>771.90955499555025</v>
          </cell>
          <cell r="X88">
            <v>941.3352299273904</v>
          </cell>
          <cell r="Y88">
            <v>1108.0696289332886</v>
          </cell>
        </row>
        <row r="89">
          <cell r="N89">
            <v>674</v>
          </cell>
          <cell r="O89">
            <v>309.375</v>
          </cell>
          <cell r="P89">
            <v>725.125</v>
          </cell>
          <cell r="Q89">
            <v>785.56428199999982</v>
          </cell>
          <cell r="R89">
            <v>822.46115925000004</v>
          </cell>
          <cell r="S89">
            <v>826.32141750000005</v>
          </cell>
          <cell r="T89">
            <v>855.67827949999992</v>
          </cell>
          <cell r="U89">
            <v>-329.02016299999997</v>
          </cell>
          <cell r="V89">
            <v>-301.52817575222525</v>
          </cell>
          <cell r="W89">
            <v>56.790445004449793</v>
          </cell>
          <cell r="X89">
            <v>58.664770072609599</v>
          </cell>
          <cell r="Y89">
            <v>3398</v>
          </cell>
        </row>
      </sheetData>
      <sheetData sheetId="24" refreshError="1">
        <row r="7">
          <cell r="N7">
            <v>1856.6191650000003</v>
          </cell>
          <cell r="O7">
            <v>2958.7358860000004</v>
          </cell>
          <cell r="P7">
            <v>3005.170314</v>
          </cell>
          <cell r="Q7">
            <v>3127.9132170000003</v>
          </cell>
          <cell r="R7">
            <v>3674.3770999999997</v>
          </cell>
          <cell r="S7">
            <v>4385.8958460000003</v>
          </cell>
          <cell r="T7">
            <v>4673.0562300000001</v>
          </cell>
          <cell r="U7">
            <v>5733.4426480000011</v>
          </cell>
          <cell r="V7">
            <v>6240.3479440000001</v>
          </cell>
          <cell r="W7">
            <v>7267.9509549999984</v>
          </cell>
          <cell r="X7">
            <v>8251.3863630000014</v>
          </cell>
          <cell r="Y7">
            <v>8980.6946427500006</v>
          </cell>
          <cell r="Z7">
            <v>10484.61280773</v>
          </cell>
          <cell r="AA7">
            <v>9767.3520000000008</v>
          </cell>
          <cell r="AB7">
            <v>11426.311999999998</v>
          </cell>
          <cell r="AC7">
            <v>13219.6</v>
          </cell>
          <cell r="AD7">
            <v>15474.030729495771</v>
          </cell>
          <cell r="AE7">
            <v>16582.656619283094</v>
          </cell>
          <cell r="AF7">
            <v>17441.487422451362</v>
          </cell>
          <cell r="AG7">
            <v>19461.388023976153</v>
          </cell>
          <cell r="AH7">
            <v>21397.839271375069</v>
          </cell>
          <cell r="AI7">
            <v>24124.531187863009</v>
          </cell>
          <cell r="AJ7">
            <v>27058.73333941901</v>
          </cell>
          <cell r="AK7">
            <v>30608.808578907912</v>
          </cell>
          <cell r="AL7">
            <v>34874.418243135056</v>
          </cell>
          <cell r="AM7">
            <v>40200.06470623269</v>
          </cell>
        </row>
        <row r="8">
          <cell r="N8">
            <v>1749.6179150000003</v>
          </cell>
          <cell r="O8">
            <v>2872.3471360000003</v>
          </cell>
          <cell r="P8">
            <v>2962.2334110000002</v>
          </cell>
          <cell r="Q8">
            <v>3080.1292170000002</v>
          </cell>
          <cell r="R8">
            <v>3641.7946999999999</v>
          </cell>
          <cell r="S8">
            <v>4353.3134460000001</v>
          </cell>
          <cell r="T8">
            <v>4640.4738299999999</v>
          </cell>
          <cell r="U8">
            <v>5679.417985000001</v>
          </cell>
          <cell r="V8">
            <v>6228.2001650000002</v>
          </cell>
          <cell r="W8">
            <v>7267.9509549999984</v>
          </cell>
          <cell r="X8">
            <v>8233.163222000001</v>
          </cell>
          <cell r="Y8">
            <v>8925.9553873500008</v>
          </cell>
          <cell r="Z8">
            <v>10460.56238845</v>
          </cell>
          <cell r="AA8">
            <v>9735.5220000000008</v>
          </cell>
          <cell r="AB8">
            <v>11426.311999999998</v>
          </cell>
          <cell r="AC8">
            <v>13117.4</v>
          </cell>
          <cell r="AD8">
            <v>15374.601759018191</v>
          </cell>
          <cell r="AE8">
            <v>16607.227648805514</v>
          </cell>
          <cell r="AF8">
            <v>17466.058451973786</v>
          </cell>
          <cell r="AG8">
            <v>19485.959053498573</v>
          </cell>
          <cell r="AH8">
            <v>21422.410300897489</v>
          </cell>
          <cell r="AI8">
            <v>24149.102217385429</v>
          </cell>
          <cell r="AJ8">
            <v>27083.30436894143</v>
          </cell>
          <cell r="AK8">
            <v>30633.379608430332</v>
          </cell>
          <cell r="AL8">
            <v>34898.989272657476</v>
          </cell>
          <cell r="AM8">
            <v>40224.63573575511</v>
          </cell>
        </row>
        <row r="9">
          <cell r="N9">
            <v>1725.0107150000003</v>
          </cell>
          <cell r="O9">
            <v>2835.0321360000003</v>
          </cell>
          <cell r="P9">
            <v>2946.6083560000002</v>
          </cell>
          <cell r="Q9">
            <v>3069.096047</v>
          </cell>
          <cell r="R9">
            <v>3631.0657999999999</v>
          </cell>
          <cell r="S9">
            <v>4346.2728379999999</v>
          </cell>
          <cell r="T9">
            <v>4626.5170589999998</v>
          </cell>
          <cell r="U9">
            <v>5635.5480270000007</v>
          </cell>
          <cell r="V9">
            <v>6173.9169040000006</v>
          </cell>
          <cell r="W9">
            <v>7247.8285429999987</v>
          </cell>
          <cell r="X9">
            <v>8212.2968070000006</v>
          </cell>
          <cell r="Y9">
            <v>8904.5721274800017</v>
          </cell>
          <cell r="Z9">
            <v>10444.61661408</v>
          </cell>
          <cell r="AA9">
            <v>9722.0220000000008</v>
          </cell>
          <cell r="AB9">
            <v>11389.511999999999</v>
          </cell>
          <cell r="AC9">
            <v>13085</v>
          </cell>
          <cell r="AD9">
            <v>15338.601759018191</v>
          </cell>
          <cell r="AE9">
            <v>16575.227648805514</v>
          </cell>
          <cell r="AF9">
            <v>17434.058451973786</v>
          </cell>
          <cell r="AG9">
            <v>19453.959053498573</v>
          </cell>
          <cell r="AH9">
            <v>21390.410300897489</v>
          </cell>
          <cell r="AI9">
            <v>24117.102217385429</v>
          </cell>
          <cell r="AJ9">
            <v>27051.30436894143</v>
          </cell>
          <cell r="AK9">
            <v>30601.379608430332</v>
          </cell>
          <cell r="AL9">
            <v>34866.989272657476</v>
          </cell>
          <cell r="AM9">
            <v>40192.63573575511</v>
          </cell>
        </row>
        <row r="10">
          <cell r="N10">
            <v>1207.5632830000002</v>
          </cell>
          <cell r="O10">
            <v>2234.239955</v>
          </cell>
          <cell r="P10">
            <v>2455.5990060000004</v>
          </cell>
          <cell r="Q10">
            <v>2776.1094539999999</v>
          </cell>
          <cell r="R10">
            <v>3105.0672999999997</v>
          </cell>
          <cell r="S10">
            <v>3844.553637</v>
          </cell>
          <cell r="T10">
            <v>4114.0906620000005</v>
          </cell>
          <cell r="U10">
            <v>5106.0704750000004</v>
          </cell>
          <cell r="V10">
            <v>5497.1290200000003</v>
          </cell>
          <cell r="W10">
            <v>6597.7163009999986</v>
          </cell>
          <cell r="X10">
            <v>7550.3501550000001</v>
          </cell>
          <cell r="Y10">
            <v>8165.5015583500008</v>
          </cell>
          <cell r="Z10">
            <v>9329.0777421799994</v>
          </cell>
          <cell r="AA10">
            <v>8761.652</v>
          </cell>
          <cell r="AB10">
            <v>10469.011999999999</v>
          </cell>
          <cell r="AC10">
            <v>11962</v>
          </cell>
          <cell r="AD10">
            <v>13801.624474752414</v>
          </cell>
          <cell r="AE10">
            <v>14958.435906940438</v>
          </cell>
          <cell r="AF10">
            <v>15679.23425285301</v>
          </cell>
          <cell r="AG10">
            <v>17508.905774865972</v>
          </cell>
          <cell r="AH10">
            <v>19228.586411395336</v>
          </cell>
          <cell r="AI10">
            <v>21700.153337832839</v>
          </cell>
          <cell r="AJ10">
            <v>24345.661043709752</v>
          </cell>
          <cell r="AK10">
            <v>27581.493568623981</v>
          </cell>
          <cell r="AL10">
            <v>31518.5145502417</v>
          </cell>
          <cell r="AM10">
            <v>36507.721645199126</v>
          </cell>
        </row>
        <row r="11">
          <cell r="N11">
            <v>703.31558900000016</v>
          </cell>
          <cell r="O11">
            <v>670.30169000000001</v>
          </cell>
          <cell r="P11">
            <v>819.06501000000003</v>
          </cell>
          <cell r="Q11">
            <v>958.14489300000002</v>
          </cell>
          <cell r="R11">
            <v>1054.1872000000001</v>
          </cell>
          <cell r="S11">
            <v>1125.5644580000001</v>
          </cell>
          <cell r="T11">
            <v>1386.9493199999999</v>
          </cell>
          <cell r="U11">
            <v>2015.139277</v>
          </cell>
          <cell r="V11">
            <v>2071.2969009999997</v>
          </cell>
          <cell r="W11">
            <v>2362.0566189999995</v>
          </cell>
          <cell r="X11">
            <v>2673.0585530000003</v>
          </cell>
          <cell r="Y11">
            <v>3349.7015583500001</v>
          </cell>
          <cell r="Z11">
            <v>4521.6040741799998</v>
          </cell>
          <cell r="AA11">
            <v>3693.2</v>
          </cell>
          <cell r="AB11">
            <v>4111.0999999999995</v>
          </cell>
          <cell r="AC11">
            <v>4685</v>
          </cell>
          <cell r="AD11">
            <v>5028.0444104218577</v>
          </cell>
          <cell r="AE11">
            <v>5434.6532172253592</v>
          </cell>
          <cell r="AF11">
            <v>6036.8853269714864</v>
          </cell>
          <cell r="AG11">
            <v>6832.5995324671612</v>
          </cell>
          <cell r="AH11">
            <v>7421.6655076215302</v>
          </cell>
          <cell r="AI11">
            <v>8603.4628227387166</v>
          </cell>
          <cell r="AJ11">
            <v>9565.2507865265779</v>
          </cell>
          <cell r="AK11">
            <v>10622.566012769494</v>
          </cell>
          <cell r="AL11">
            <v>11740.415330016413</v>
          </cell>
          <cell r="AM11">
            <v>12967.403641691155</v>
          </cell>
        </row>
        <row r="12">
          <cell r="N12">
            <v>690.61752600000011</v>
          </cell>
          <cell r="O12">
            <v>657.87512800000002</v>
          </cell>
          <cell r="P12">
            <v>804.76651500000003</v>
          </cell>
          <cell r="Q12">
            <v>930.34489300000007</v>
          </cell>
          <cell r="R12">
            <v>1016.1587000000001</v>
          </cell>
          <cell r="S12">
            <v>1089.5244580000001</v>
          </cell>
          <cell r="T12">
            <v>1353.9493199999999</v>
          </cell>
          <cell r="U12">
            <v>1979.139277</v>
          </cell>
          <cell r="V12">
            <v>2031.2969009999997</v>
          </cell>
          <cell r="W12">
            <v>2315.3566189999997</v>
          </cell>
          <cell r="X12">
            <v>2610.2232960000001</v>
          </cell>
          <cell r="Y12">
            <v>3285.6015583500002</v>
          </cell>
          <cell r="Z12">
            <v>4442.3433241799994</v>
          </cell>
          <cell r="AA12">
            <v>3618</v>
          </cell>
          <cell r="AB12">
            <v>4025.2</v>
          </cell>
          <cell r="AC12">
            <v>4575</v>
          </cell>
          <cell r="AD12">
            <v>4917.0042424252788</v>
          </cell>
          <cell r="AE12">
            <v>5315.4507776535384</v>
          </cell>
          <cell r="AF12">
            <v>5904.7584560777996</v>
          </cell>
          <cell r="AG12">
            <v>6685.8860871535953</v>
          </cell>
          <cell r="AH12">
            <v>7258.8355373546474</v>
          </cell>
          <cell r="AI12">
            <v>8422.5358385378313</v>
          </cell>
          <cell r="AJ12">
            <v>9364.0931080878381</v>
          </cell>
          <cell r="AK12">
            <v>10399.182402548036</v>
          </cell>
          <cell r="AL12">
            <v>11493.603901061002</v>
          </cell>
          <cell r="AM12">
            <v>12694.89696759795</v>
          </cell>
        </row>
        <row r="13">
          <cell r="N13">
            <v>373.75227100000001</v>
          </cell>
          <cell r="O13">
            <v>413.04155900000001</v>
          </cell>
          <cell r="P13">
            <v>506.5</v>
          </cell>
          <cell r="Q13">
            <v>518.5</v>
          </cell>
          <cell r="R13">
            <v>561.70000000000005</v>
          </cell>
          <cell r="S13">
            <v>665.98999600000002</v>
          </cell>
          <cell r="T13">
            <v>846.963887</v>
          </cell>
          <cell r="U13">
            <v>965.91825800000004</v>
          </cell>
          <cell r="V13">
            <v>1241.409811</v>
          </cell>
          <cell r="W13">
            <v>1509.0623330000001</v>
          </cell>
          <cell r="X13">
            <v>1507.4091000000001</v>
          </cell>
          <cell r="Y13">
            <v>1833.075036</v>
          </cell>
          <cell r="Z13">
            <v>2180.59842243</v>
          </cell>
          <cell r="AA13">
            <v>2334</v>
          </cell>
          <cell r="AB13">
            <v>2661.9</v>
          </cell>
          <cell r="AC13">
            <v>2905</v>
          </cell>
          <cell r="AD13">
            <v>3437.0539798233426</v>
          </cell>
          <cell r="AE13">
            <v>3813.5884958537081</v>
          </cell>
          <cell r="AF13">
            <v>4227.0738471733966</v>
          </cell>
          <cell r="AG13">
            <v>4693.7353735765346</v>
          </cell>
          <cell r="AH13">
            <v>5209.3438995084116</v>
          </cell>
          <cell r="AI13">
            <v>5788.3132930536703</v>
          </cell>
          <cell r="AJ13">
            <v>6435.5445333349135</v>
          </cell>
          <cell r="AK13">
            <v>7146.6084852192953</v>
          </cell>
          <cell r="AL13">
            <v>7896.1238502376627</v>
          </cell>
          <cell r="AM13">
            <v>8718.1799390863471</v>
          </cell>
        </row>
        <row r="14">
          <cell r="N14">
            <v>280.728701</v>
          </cell>
          <cell r="O14">
            <v>204.65575100000001</v>
          </cell>
          <cell r="P14">
            <v>251.205389</v>
          </cell>
          <cell r="Q14">
            <v>369.27267900000004</v>
          </cell>
          <cell r="R14">
            <v>424.8759</v>
          </cell>
          <cell r="S14">
            <v>390.327763</v>
          </cell>
          <cell r="T14">
            <v>416.32603400000005</v>
          </cell>
          <cell r="U14">
            <v>939.19859799999995</v>
          </cell>
          <cell r="V14">
            <v>720.58872699999995</v>
          </cell>
          <cell r="W14">
            <v>713.10332500000004</v>
          </cell>
          <cell r="X14">
            <v>902.67927499999996</v>
          </cell>
          <cell r="Y14">
            <v>1335.49696735</v>
          </cell>
          <cell r="Z14">
            <v>2113.0155837499997</v>
          </cell>
          <cell r="AA14">
            <v>1198</v>
          </cell>
          <cell r="AB14">
            <v>1222.3</v>
          </cell>
          <cell r="AC14">
            <v>1573</v>
          </cell>
          <cell r="AD14">
            <v>1363.2979561506565</v>
          </cell>
          <cell r="AE14">
            <v>1374.1644444824058</v>
          </cell>
          <cell r="AF14">
            <v>1529.7813952174397</v>
          </cell>
          <cell r="AG14">
            <v>1827.9192449424731</v>
          </cell>
          <cell r="AH14">
            <v>1867.2192830698746</v>
          </cell>
          <cell r="AI14">
            <v>2431.6923392891413</v>
          </cell>
          <cell r="AJ14">
            <v>2703.3720690379168</v>
          </cell>
          <cell r="AK14">
            <v>3002.5176372300939</v>
          </cell>
          <cell r="AL14">
            <v>3321.1986005001172</v>
          </cell>
          <cell r="AM14">
            <v>3671.6722440789104</v>
          </cell>
        </row>
        <row r="15">
          <cell r="N15">
            <v>62.292158999999998</v>
          </cell>
          <cell r="O15">
            <v>60</v>
          </cell>
          <cell r="P15">
            <v>90.241542999999993</v>
          </cell>
          <cell r="Q15">
            <v>164.11692300000001</v>
          </cell>
          <cell r="R15">
            <v>125.9957</v>
          </cell>
          <cell r="S15">
            <v>85.066683999999995</v>
          </cell>
          <cell r="T15">
            <v>89.879339000000002</v>
          </cell>
          <cell r="U15">
            <v>505.00969099999998</v>
          </cell>
          <cell r="V15">
            <v>161.437984</v>
          </cell>
          <cell r="W15">
            <v>142.68785500000001</v>
          </cell>
          <cell r="X15">
            <v>439.92456099999998</v>
          </cell>
          <cell r="Y15">
            <v>764.44406234999997</v>
          </cell>
          <cell r="Z15">
            <v>1157.3620337499999</v>
          </cell>
          <cell r="AA15">
            <v>175</v>
          </cell>
          <cell r="AB15">
            <v>301.39999999999998</v>
          </cell>
          <cell r="AC15">
            <v>199</v>
          </cell>
          <cell r="AD15">
            <v>183.38678021563965</v>
          </cell>
          <cell r="AE15">
            <v>64.617861669564093</v>
          </cell>
          <cell r="AF15">
            <v>75.811475879317285</v>
          </cell>
          <cell r="AG15">
            <v>213.31963571672381</v>
          </cell>
          <cell r="AH15">
            <v>75.113432503564923</v>
          </cell>
          <cell r="AI15">
            <v>440.29150594495644</v>
          </cell>
          <cell r="AJ15">
            <v>489.18862950205607</v>
          </cell>
          <cell r="AK15">
            <v>543.51608423719381</v>
          </cell>
          <cell r="AL15">
            <v>603.87694236726065</v>
          </cell>
          <cell r="AM15">
            <v>670.94125104803481</v>
          </cell>
        </row>
        <row r="16">
          <cell r="N16">
            <v>75.825272999999996</v>
          </cell>
          <cell r="O16">
            <v>26.134041</v>
          </cell>
          <cell r="P16">
            <v>2.5962339999999999</v>
          </cell>
          <cell r="Q16">
            <v>5.8396569999999999</v>
          </cell>
          <cell r="R16">
            <v>37.514400000000002</v>
          </cell>
          <cell r="S16">
            <v>65.562882000000002</v>
          </cell>
          <cell r="T16">
            <v>44.827784999999999</v>
          </cell>
          <cell r="U16">
            <v>28.562498000000001</v>
          </cell>
          <cell r="V16">
            <v>19.212458000000002</v>
          </cell>
          <cell r="W16">
            <v>211.67316299999999</v>
          </cell>
          <cell r="X16">
            <v>36.362561999999997</v>
          </cell>
          <cell r="Y16">
            <v>106.194321</v>
          </cell>
          <cell r="Z16">
            <v>283.88225</v>
          </cell>
          <cell r="AA16">
            <v>3</v>
          </cell>
          <cell r="AB16">
            <v>8</v>
          </cell>
          <cell r="AC16">
            <v>1</v>
          </cell>
          <cell r="AD16">
            <v>8.1768400000000021</v>
          </cell>
          <cell r="AE16">
            <v>8.9945928576000025</v>
          </cell>
          <cell r="AF16">
            <v>24.238853697481932</v>
          </cell>
          <cell r="AG16">
            <v>27.028745758062108</v>
          </cell>
          <cell r="AH16">
            <v>30.139754394815064</v>
          </cell>
          <cell r="AI16">
            <v>33.608840125658276</v>
          </cell>
          <cell r="AJ16">
            <v>37.47721762412155</v>
          </cell>
          <cell r="AK16">
            <v>41.790845372657941</v>
          </cell>
          <cell r="AL16">
            <v>46.600971675050872</v>
          </cell>
          <cell r="AM16">
            <v>51.964743514849232</v>
          </cell>
        </row>
        <row r="17">
          <cell r="N17">
            <v>142.61126899999999</v>
          </cell>
          <cell r="O17">
            <v>118.52171</v>
          </cell>
          <cell r="P17">
            <v>158.36761200000001</v>
          </cell>
          <cell r="Q17">
            <v>199.31609900000001</v>
          </cell>
          <cell r="R17">
            <v>261.36579999999998</v>
          </cell>
          <cell r="S17">
            <v>239.69819699999999</v>
          </cell>
          <cell r="T17">
            <v>281.61891000000003</v>
          </cell>
          <cell r="U17">
            <v>405.62640900000002</v>
          </cell>
          <cell r="V17">
            <v>539.93828499999995</v>
          </cell>
          <cell r="W17">
            <v>358.74230699999998</v>
          </cell>
          <cell r="X17">
            <v>426.39215200000001</v>
          </cell>
          <cell r="Y17">
            <v>464.85858400000001</v>
          </cell>
          <cell r="Z17">
            <v>671.7713</v>
          </cell>
          <cell r="AA17">
            <v>1020</v>
          </cell>
          <cell r="AB17">
            <v>912.9</v>
          </cell>
          <cell r="AC17">
            <v>1373</v>
          </cell>
          <cell r="AD17">
            <v>1171.7343359350168</v>
          </cell>
          <cell r="AE17">
            <v>1300.5519899552417</v>
          </cell>
          <cell r="AF17">
            <v>1429.7310656406405</v>
          </cell>
          <cell r="AG17">
            <v>1587.5708634676873</v>
          </cell>
          <cell r="AH17">
            <v>1761.9660961714947</v>
          </cell>
          <cell r="AI17">
            <v>1957.7919932185264</v>
          </cell>
          <cell r="AJ17">
            <v>2176.7062219117392</v>
          </cell>
          <cell r="AK17">
            <v>2417.2107076202424</v>
          </cell>
          <cell r="AL17">
            <v>2670.7206864578056</v>
          </cell>
          <cell r="AM17">
            <v>2948.7662495160262</v>
          </cell>
        </row>
        <row r="18">
          <cell r="N18">
            <v>36.136553999999997</v>
          </cell>
          <cell r="O18">
            <v>40.177818000000002</v>
          </cell>
          <cell r="P18">
            <v>47.061126000000002</v>
          </cell>
          <cell r="Q18">
            <v>42.572214000000002</v>
          </cell>
          <cell r="R18">
            <v>29.582799999999999</v>
          </cell>
          <cell r="S18">
            <v>33.206699</v>
          </cell>
          <cell r="T18">
            <v>90.659398999999993</v>
          </cell>
          <cell r="U18">
            <v>74.022420999999994</v>
          </cell>
          <cell r="V18">
            <v>69.298362999999995</v>
          </cell>
          <cell r="W18">
            <v>93.190961000000001</v>
          </cell>
          <cell r="X18">
            <v>200.13492099999999</v>
          </cell>
          <cell r="Y18">
            <v>117.029555</v>
          </cell>
          <cell r="Z18">
            <v>148.72931800000001</v>
          </cell>
          <cell r="AA18">
            <v>86</v>
          </cell>
          <cell r="AB18">
            <v>141</v>
          </cell>
          <cell r="AC18">
            <v>97</v>
          </cell>
          <cell r="AD18">
            <v>116.65230645127946</v>
          </cell>
          <cell r="AE18">
            <v>127.69783731742471</v>
          </cell>
          <cell r="AF18">
            <v>147.9032136869628</v>
          </cell>
          <cell r="AG18">
            <v>164.23146863458834</v>
          </cell>
          <cell r="AH18">
            <v>182.27235477636151</v>
          </cell>
          <cell r="AI18">
            <v>202.53020619501999</v>
          </cell>
          <cell r="AJ18">
            <v>225.17650571500749</v>
          </cell>
          <cell r="AK18">
            <v>250.05628009864577</v>
          </cell>
          <cell r="AL18">
            <v>276.28145032322124</v>
          </cell>
          <cell r="AM18">
            <v>305.04478443269238</v>
          </cell>
        </row>
        <row r="19">
          <cell r="N19">
            <v>12.698062999999999</v>
          </cell>
          <cell r="O19">
            <v>12.426562000000001</v>
          </cell>
          <cell r="P19">
            <v>14.298495000000001</v>
          </cell>
          <cell r="Q19">
            <v>27.8</v>
          </cell>
          <cell r="R19">
            <v>38.028500000000001</v>
          </cell>
          <cell r="S19">
            <v>36.04</v>
          </cell>
          <cell r="T19">
            <v>33</v>
          </cell>
          <cell r="U19">
            <v>36</v>
          </cell>
          <cell r="V19">
            <v>40</v>
          </cell>
          <cell r="W19">
            <v>46.7</v>
          </cell>
          <cell r="X19">
            <v>62.835256999999999</v>
          </cell>
          <cell r="Y19">
            <v>64.099999999999994</v>
          </cell>
          <cell r="Z19">
            <v>79.260750000000002</v>
          </cell>
          <cell r="AA19">
            <v>75.2</v>
          </cell>
          <cell r="AB19">
            <v>85.9</v>
          </cell>
          <cell r="AC19">
            <v>110</v>
          </cell>
          <cell r="AD19">
            <v>111.04016799657873</v>
          </cell>
          <cell r="AE19">
            <v>119.20243957182106</v>
          </cell>
          <cell r="AF19">
            <v>132.12687089368677</v>
          </cell>
          <cell r="AG19">
            <v>146.71344531356559</v>
          </cell>
          <cell r="AH19">
            <v>162.82997026688295</v>
          </cell>
          <cell r="AI19">
            <v>180.9269842008845</v>
          </cell>
          <cell r="AJ19">
            <v>201.15767843874002</v>
          </cell>
          <cell r="AK19">
            <v>223.38361022145688</v>
          </cell>
          <cell r="AL19">
            <v>246.81142895541097</v>
          </cell>
          <cell r="AM19">
            <v>272.50667409320516</v>
          </cell>
        </row>
        <row r="20">
          <cell r="N20">
            <v>504.24769400000002</v>
          </cell>
          <cell r="O20">
            <v>1563.938265</v>
          </cell>
          <cell r="P20">
            <v>1636.5339960000001</v>
          </cell>
          <cell r="Q20">
            <v>1817.964561</v>
          </cell>
          <cell r="R20">
            <v>2050.8800999999999</v>
          </cell>
          <cell r="S20">
            <v>2718.9891789999997</v>
          </cell>
          <cell r="T20">
            <v>2727.1413420000003</v>
          </cell>
          <cell r="U20">
            <v>3090.9311980000002</v>
          </cell>
          <cell r="V20">
            <v>3425.8321190000001</v>
          </cell>
          <cell r="W20">
            <v>4235.6596819999995</v>
          </cell>
          <cell r="X20">
            <v>4877.2916020000002</v>
          </cell>
          <cell r="Y20">
            <v>4815.8</v>
          </cell>
          <cell r="Z20">
            <v>4807.4736679999996</v>
          </cell>
          <cell r="AA20">
            <v>5068.4520000000002</v>
          </cell>
          <cell r="AB20">
            <v>6357.9120000000003</v>
          </cell>
          <cell r="AC20">
            <v>7277</v>
          </cell>
          <cell r="AD20">
            <v>8773.5800643305556</v>
          </cell>
          <cell r="AE20">
            <v>9523.782689715079</v>
          </cell>
          <cell r="AF20">
            <v>9642.3489258815225</v>
          </cell>
          <cell r="AG20">
            <v>10676.30624239881</v>
          </cell>
          <cell r="AH20">
            <v>11806.920903773807</v>
          </cell>
          <cell r="AI20">
            <v>13096.69051509412</v>
          </cell>
          <cell r="AJ20">
            <v>14780.410257183174</v>
          </cell>
          <cell r="AK20">
            <v>16958.927555854487</v>
          </cell>
          <cell r="AL20">
            <v>19778.099220225286</v>
          </cell>
          <cell r="AM20">
            <v>23540.318003507971</v>
          </cell>
        </row>
        <row r="21">
          <cell r="Y21">
            <v>1919</v>
          </cell>
          <cell r="Z21">
            <v>2003.167721</v>
          </cell>
          <cell r="AA21">
            <v>1755</v>
          </cell>
          <cell r="AB21">
            <v>1826.2</v>
          </cell>
          <cell r="AC21">
            <v>3108</v>
          </cell>
          <cell r="AD21">
            <v>3004.4984084272837</v>
          </cell>
          <cell r="AE21">
            <v>3120.1683343146447</v>
          </cell>
          <cell r="AF21">
            <v>3458.4701467134805</v>
          </cell>
          <cell r="AG21">
            <v>3840.2791749054577</v>
          </cell>
          <cell r="AH21">
            <v>4262.1352291872536</v>
          </cell>
          <cell r="AI21">
            <v>4735.8313215268836</v>
          </cell>
          <cell r="AJ21">
            <v>5265.3772919692583</v>
          </cell>
          <cell r="AK21">
            <v>5847.1493496400008</v>
          </cell>
          <cell r="AL21">
            <v>6460.3812467246571</v>
          </cell>
          <cell r="AM21">
            <v>7132.9638759844565</v>
          </cell>
        </row>
        <row r="22">
          <cell r="N22">
            <v>326.08579300000002</v>
          </cell>
          <cell r="O22">
            <v>519.39462200000003</v>
          </cell>
          <cell r="P22">
            <v>800.48829899999998</v>
          </cell>
          <cell r="Q22">
            <v>906.68992500000002</v>
          </cell>
          <cell r="R22">
            <v>1115.8670999999999</v>
          </cell>
          <cell r="S22">
            <v>1527.123711</v>
          </cell>
          <cell r="T22">
            <v>1342.001342</v>
          </cell>
          <cell r="U22">
            <v>1490.746198</v>
          </cell>
          <cell r="V22">
            <v>1577.8294330000001</v>
          </cell>
          <cell r="W22">
            <v>1943.616837</v>
          </cell>
          <cell r="X22">
            <v>1944.951313</v>
          </cell>
          <cell r="Y22">
            <v>188</v>
          </cell>
          <cell r="Z22">
            <v>131.83227899999997</v>
          </cell>
          <cell r="AA22">
            <v>195</v>
          </cell>
          <cell r="AB22">
            <v>230.79999999999995</v>
          </cell>
          <cell r="AC22">
            <v>164</v>
          </cell>
          <cell r="AD22">
            <v>238.11501729230241</v>
          </cell>
          <cell r="AE22">
            <v>244.6318722556029</v>
          </cell>
          <cell r="AF22">
            <v>271.15589175943182</v>
          </cell>
          <cell r="AG22">
            <v>301.09102583007859</v>
          </cell>
          <cell r="AH22">
            <v>334.16598375666274</v>
          </cell>
          <cell r="AI22">
            <v>371.30537802420326</v>
          </cell>
          <cell r="AJ22">
            <v>412.82359381084706</v>
          </cell>
          <cell r="AK22">
            <v>458.43651351418384</v>
          </cell>
          <cell r="AL22">
            <v>506.51599225923894</v>
          </cell>
          <cell r="AM22">
            <v>559.24877145993594</v>
          </cell>
        </row>
        <row r="23">
          <cell r="N23">
            <v>172.099861</v>
          </cell>
          <cell r="O23">
            <v>1036.543643</v>
          </cell>
          <cell r="P23">
            <v>829.04569700000002</v>
          </cell>
          <cell r="Q23">
            <v>896.07463600000005</v>
          </cell>
          <cell r="R23">
            <v>905.49929999999995</v>
          </cell>
          <cell r="S23">
            <v>1155.7654680000001</v>
          </cell>
          <cell r="T23">
            <v>1348.74</v>
          </cell>
          <cell r="U23">
            <v>1560.385</v>
          </cell>
          <cell r="V23">
            <v>1805.222</v>
          </cell>
          <cell r="W23">
            <v>2240.7429999999999</v>
          </cell>
          <cell r="X23">
            <v>2877.3</v>
          </cell>
          <cell r="Y23">
            <v>2641.2</v>
          </cell>
          <cell r="Z23">
            <v>2596.8869</v>
          </cell>
          <cell r="AA23">
            <v>3035.652</v>
          </cell>
          <cell r="AB23">
            <v>4206.8119999999999</v>
          </cell>
          <cell r="AC23">
            <v>3892</v>
          </cell>
          <cell r="AD23">
            <v>5433.2827444646109</v>
          </cell>
          <cell r="AE23">
            <v>6050.289696169687</v>
          </cell>
          <cell r="AF23">
            <v>5789.5138277345013</v>
          </cell>
          <cell r="AG23">
            <v>6397.0036923005309</v>
          </cell>
          <cell r="AH23">
            <v>7055.6910647007262</v>
          </cell>
          <cell r="AI23">
            <v>7815.0535160639911</v>
          </cell>
          <cell r="AJ23">
            <v>8905.3641323261982</v>
          </cell>
          <cell r="AK23">
            <v>10432.415913921077</v>
          </cell>
          <cell r="AL23">
            <v>12565.875279231623</v>
          </cell>
          <cell r="AM23">
            <v>15578.948147965792</v>
          </cell>
        </row>
        <row r="24">
          <cell r="N24">
            <v>111.75494399999999</v>
          </cell>
          <cell r="O24">
            <v>945.68318999999997</v>
          </cell>
          <cell r="P24">
            <v>735.46500000000003</v>
          </cell>
          <cell r="Q24">
            <v>781.91499999999996</v>
          </cell>
          <cell r="R24">
            <v>902.36</v>
          </cell>
          <cell r="S24">
            <v>1155.585468</v>
          </cell>
          <cell r="T24">
            <v>1348.74</v>
          </cell>
          <cell r="U24">
            <v>1560.385</v>
          </cell>
          <cell r="V24">
            <v>1805.222</v>
          </cell>
          <cell r="W24">
            <v>2240.7429999999999</v>
          </cell>
          <cell r="X24">
            <v>2877.3229999999999</v>
          </cell>
          <cell r="Y24">
            <v>2641.1579999999999</v>
          </cell>
          <cell r="Z24">
            <v>2596.88</v>
          </cell>
          <cell r="AA24">
            <v>3035.652</v>
          </cell>
          <cell r="AB24">
            <v>4206.8119999999999</v>
          </cell>
          <cell r="AC24">
            <v>3728.8</v>
          </cell>
          <cell r="AD24">
            <v>4718.5834224085838</v>
          </cell>
          <cell r="AE24">
            <v>4478.0608335989382</v>
          </cell>
          <cell r="AF24">
            <v>4837.9371832682327</v>
          </cell>
          <cell r="AG24">
            <v>4675.1028737499837</v>
          </cell>
          <cell r="AH24">
            <v>4343.7179568663087</v>
          </cell>
          <cell r="AI24">
            <v>3808.2462711580556</v>
          </cell>
          <cell r="AJ24">
            <v>3216.0556863339552</v>
          </cell>
          <cell r="AK24">
            <v>3107.0119948336496</v>
          </cell>
          <cell r="AL24">
            <v>3975.3003207211714</v>
          </cell>
          <cell r="AM24">
            <v>5255.3780590638598</v>
          </cell>
        </row>
        <row r="25">
          <cell r="N25">
            <v>60.344917000000009</v>
          </cell>
          <cell r="O25">
            <v>90.860453000000007</v>
          </cell>
          <cell r="P25">
            <v>93.580696999999986</v>
          </cell>
          <cell r="Q25">
            <v>114.15963600000009</v>
          </cell>
          <cell r="R25">
            <v>3.1392999999999347</v>
          </cell>
          <cell r="S25">
            <v>0.18000000000006366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-2.2999999999683496E-2</v>
          </cell>
          <cell r="Y25">
            <v>4.1999999999916326E-2</v>
          </cell>
          <cell r="Z25">
            <v>6.899999999859574E-3</v>
          </cell>
          <cell r="AA25">
            <v>0</v>
          </cell>
          <cell r="AB25">
            <v>0</v>
          </cell>
          <cell r="AC25">
            <v>163.19999999999982</v>
          </cell>
          <cell r="AD25">
            <v>714.69932205602709</v>
          </cell>
          <cell r="AE25">
            <v>1572.2288625707488</v>
          </cell>
          <cell r="AF25">
            <v>951.57664446626859</v>
          </cell>
          <cell r="AG25">
            <v>1721.9008185505472</v>
          </cell>
          <cell r="AH25">
            <v>2711.9731078344175</v>
          </cell>
          <cell r="AI25">
            <v>4006.8072449059355</v>
          </cell>
          <cell r="AJ25">
            <v>5689.3084459922429</v>
          </cell>
          <cell r="AK25">
            <v>7325.4039190874273</v>
          </cell>
          <cell r="AL25">
            <v>8590.5749585104513</v>
          </cell>
          <cell r="AM25">
            <v>10323.570088901932</v>
          </cell>
        </row>
        <row r="26">
          <cell r="N26">
            <v>6.0620399999999997</v>
          </cell>
          <cell r="O26">
            <v>8</v>
          </cell>
          <cell r="P26">
            <v>7</v>
          </cell>
          <cell r="Q26">
            <v>15.2</v>
          </cell>
          <cell r="R26">
            <v>29.5137</v>
          </cell>
          <cell r="S26">
            <v>36.1</v>
          </cell>
          <cell r="T26">
            <v>36.4</v>
          </cell>
          <cell r="U26">
            <v>39.799999999999997</v>
          </cell>
          <cell r="V26">
            <v>42.780686000000003</v>
          </cell>
          <cell r="W26">
            <v>51.299844999999998</v>
          </cell>
          <cell r="X26">
            <v>55.040289000000001</v>
          </cell>
          <cell r="Y26">
            <v>67.599999999999994</v>
          </cell>
          <cell r="Z26">
            <v>75.586768000000006</v>
          </cell>
          <cell r="AA26">
            <v>82.8</v>
          </cell>
          <cell r="AB26">
            <v>94.1</v>
          </cell>
          <cell r="AC26">
            <v>113</v>
          </cell>
          <cell r="AD26">
            <v>97.683894146359947</v>
          </cell>
          <cell r="AE26">
            <v>108.69278697514423</v>
          </cell>
          <cell r="AF26">
            <v>123.20905967410836</v>
          </cell>
          <cell r="AG26">
            <v>137.93234936274308</v>
          </cell>
          <cell r="AH26">
            <v>154.928626129164</v>
          </cell>
          <cell r="AI26">
            <v>174.50029947904173</v>
          </cell>
          <cell r="AJ26">
            <v>196.84523907687037</v>
          </cell>
          <cell r="AK26">
            <v>220.92577877922673</v>
          </cell>
          <cell r="AL26">
            <v>245.32670200976526</v>
          </cell>
          <cell r="AM26">
            <v>269.1572080977856</v>
          </cell>
        </row>
        <row r="27">
          <cell r="N27">
            <v>441.54743200000001</v>
          </cell>
          <cell r="O27">
            <v>525.67968099999996</v>
          </cell>
          <cell r="P27">
            <v>460.49062800000002</v>
          </cell>
          <cell r="Q27">
            <v>285.886593</v>
          </cell>
          <cell r="R27">
            <v>524.15830000000005</v>
          </cell>
          <cell r="S27">
            <v>501.31920100000002</v>
          </cell>
          <cell r="T27">
            <v>512.02639699999997</v>
          </cell>
          <cell r="U27">
            <v>529.47755199999995</v>
          </cell>
          <cell r="V27">
            <v>651.48729400000002</v>
          </cell>
          <cell r="W27">
            <v>605.68257400000005</v>
          </cell>
          <cell r="X27">
            <v>636.47468500000002</v>
          </cell>
          <cell r="Y27">
            <v>735.70939413000008</v>
          </cell>
          <cell r="Z27">
            <v>1105.1427366299999</v>
          </cell>
          <cell r="AA27">
            <v>958</v>
          </cell>
          <cell r="AB27">
            <v>850</v>
          </cell>
          <cell r="AC27">
            <v>1072</v>
          </cell>
          <cell r="AD27">
            <v>1486.4062547433573</v>
          </cell>
          <cell r="AE27">
            <v>1566.2207123426556</v>
          </cell>
          <cell r="AF27">
            <v>1704.2531695983544</v>
          </cell>
          <cell r="AG27">
            <v>1894.4822491101791</v>
          </cell>
          <cell r="AH27">
            <v>2111.2528599797342</v>
          </cell>
          <cell r="AI27">
            <v>2366.3778500301705</v>
          </cell>
          <cell r="AJ27">
            <v>2655.0722957092576</v>
          </cell>
          <cell r="AK27">
            <v>2969.3150102839322</v>
          </cell>
          <cell r="AL27">
            <v>3297.9036928933597</v>
          </cell>
          <cell r="AM27">
            <v>3634.3430610335636</v>
          </cell>
        </row>
        <row r="28">
          <cell r="N28">
            <v>10.779792</v>
          </cell>
          <cell r="O28">
            <v>14.080666000000001</v>
          </cell>
          <cell r="P28">
            <v>206.127262</v>
          </cell>
          <cell r="Q28">
            <v>74.621679</v>
          </cell>
          <cell r="R28">
            <v>199.37270000000001</v>
          </cell>
          <cell r="S28">
            <v>270.13818300000003</v>
          </cell>
          <cell r="T28">
            <v>303.52102000000002</v>
          </cell>
          <cell r="U28">
            <v>300.74400000000003</v>
          </cell>
          <cell r="V28">
            <v>378.83957199999998</v>
          </cell>
          <cell r="W28">
            <v>402.67370699999998</v>
          </cell>
          <cell r="X28">
            <v>362.41209099999998</v>
          </cell>
          <cell r="Y28">
            <v>463.43187799999998</v>
          </cell>
          <cell r="Z28">
            <v>703.24403700000005</v>
          </cell>
          <cell r="AA28">
            <v>490</v>
          </cell>
          <cell r="AB28">
            <v>491</v>
          </cell>
          <cell r="AC28">
            <v>543</v>
          </cell>
          <cell r="AD28">
            <v>1101.0168912834956</v>
          </cell>
          <cell r="AE28">
            <v>1189.1802560695587</v>
          </cell>
          <cell r="AF28">
            <v>1290.037337482514</v>
          </cell>
          <cell r="AG28">
            <v>1430.7682737085165</v>
          </cell>
          <cell r="AH28">
            <v>1590.3991990525469</v>
          </cell>
          <cell r="AI28">
            <v>1779.7262925525019</v>
          </cell>
          <cell r="AJ28">
            <v>1993.2994137642636</v>
          </cell>
          <cell r="AK28">
            <v>2226.5858998197609</v>
          </cell>
          <cell r="AL28">
            <v>2473.141258361411</v>
          </cell>
          <cell r="AM28">
            <v>2729.4649845585632</v>
          </cell>
        </row>
        <row r="29">
          <cell r="Y29">
            <v>286</v>
          </cell>
          <cell r="Z29">
            <v>479</v>
          </cell>
          <cell r="AA29">
            <v>302</v>
          </cell>
          <cell r="AB29">
            <v>385.4</v>
          </cell>
          <cell r="AC29">
            <v>405</v>
          </cell>
          <cell r="AD29">
            <v>500.32694491456192</v>
          </cell>
          <cell r="AE29">
            <v>586.99751332112908</v>
          </cell>
          <cell r="AF29">
            <v>628.48067499887077</v>
          </cell>
          <cell r="AG29">
            <v>690.15662603988494</v>
          </cell>
          <cell r="AH29">
            <v>758.52802743346513</v>
          </cell>
          <cell r="AI29">
            <v>842.76730568012294</v>
          </cell>
          <cell r="AJ29">
            <v>936.36188227156117</v>
          </cell>
          <cell r="AK29">
            <v>1040.3507215595821</v>
          </cell>
          <cell r="AL29">
            <v>1155.8881713807837</v>
          </cell>
          <cell r="AM29">
            <v>1284.256777113691</v>
          </cell>
        </row>
        <row r="31">
          <cell r="N31">
            <v>10.779792</v>
          </cell>
          <cell r="O31">
            <v>14.080666000000001</v>
          </cell>
          <cell r="P31">
            <v>206.127262</v>
          </cell>
          <cell r="Q31">
            <v>74.621679</v>
          </cell>
          <cell r="R31">
            <v>199.37270000000001</v>
          </cell>
          <cell r="S31">
            <v>270.13818300000003</v>
          </cell>
          <cell r="T31">
            <v>303.52102000000002</v>
          </cell>
          <cell r="U31">
            <v>300.74400000000003</v>
          </cell>
          <cell r="V31">
            <v>378.83957199999998</v>
          </cell>
          <cell r="W31">
            <v>402.67370699999998</v>
          </cell>
          <cell r="X31">
            <v>362.41209099999998</v>
          </cell>
          <cell r="Y31">
            <v>177.43187799999998</v>
          </cell>
          <cell r="Z31">
            <v>224.24403700000005</v>
          </cell>
          <cell r="AA31">
            <v>188</v>
          </cell>
          <cell r="AB31">
            <v>105.60000000000002</v>
          </cell>
          <cell r="AC31">
            <v>138</v>
          </cell>
          <cell r="AD31">
            <v>600.68994636893365</v>
          </cell>
          <cell r="AE31">
            <v>602.18274274842975</v>
          </cell>
          <cell r="AF31">
            <v>661.55666248364309</v>
          </cell>
          <cell r="AG31">
            <v>740.61164766863169</v>
          </cell>
          <cell r="AH31">
            <v>831.87117161908179</v>
          </cell>
          <cell r="AI31">
            <v>936.95898687237889</v>
          </cell>
          <cell r="AJ31">
            <v>1056.9375314927024</v>
          </cell>
          <cell r="AK31">
            <v>1186.2351782601786</v>
          </cell>
          <cell r="AL31">
            <v>1317.2530869806274</v>
          </cell>
          <cell r="AM31">
            <v>1445.2082074448722</v>
          </cell>
        </row>
        <row r="32">
          <cell r="N32">
            <v>3.8</v>
          </cell>
          <cell r="O32">
            <v>4.5</v>
          </cell>
          <cell r="P32">
            <v>1.2</v>
          </cell>
          <cell r="Q32">
            <v>1.5</v>
          </cell>
          <cell r="R32">
            <v>3.7</v>
          </cell>
          <cell r="S32">
            <v>7</v>
          </cell>
          <cell r="T32">
            <v>0</v>
          </cell>
          <cell r="U32">
            <v>25.274096</v>
          </cell>
          <cell r="V32">
            <v>77.387714000000003</v>
          </cell>
          <cell r="W32">
            <v>17.688739000000002</v>
          </cell>
          <cell r="X32">
            <v>0</v>
          </cell>
          <cell r="Y32">
            <v>123.71565</v>
          </cell>
          <cell r="Z32">
            <v>81.047315999999995</v>
          </cell>
          <cell r="AA32">
            <v>79</v>
          </cell>
          <cell r="AB32">
            <v>15</v>
          </cell>
          <cell r="AC32">
            <v>45</v>
          </cell>
          <cell r="AD32">
            <v>31.615260335207036</v>
          </cell>
          <cell r="AE32">
            <v>31.693828565706831</v>
          </cell>
          <cell r="AF32">
            <v>34.818771709665427</v>
          </cell>
          <cell r="AG32">
            <v>38.979560403612197</v>
          </cell>
          <cell r="AH32">
            <v>43.78269324310957</v>
          </cell>
          <cell r="AI32">
            <v>49.313630888019951</v>
          </cell>
          <cell r="AJ32">
            <v>55.628291131194871</v>
          </cell>
          <cell r="AK32">
            <v>62.433430434746242</v>
          </cell>
          <cell r="AL32">
            <v>69.329109841085653</v>
          </cell>
          <cell r="AM32">
            <v>76.063589865519603</v>
          </cell>
        </row>
        <row r="33">
          <cell r="N33">
            <v>426.96764000000002</v>
          </cell>
          <cell r="O33">
            <v>507.09901499999995</v>
          </cell>
          <cell r="P33">
            <v>253.16336600000002</v>
          </cell>
          <cell r="Q33">
            <v>209.764914</v>
          </cell>
          <cell r="R33">
            <v>321.08560000000006</v>
          </cell>
          <cell r="S33">
            <v>224.18101799999999</v>
          </cell>
          <cell r="T33">
            <v>208.50537699999995</v>
          </cell>
          <cell r="U33">
            <v>203.45945599999993</v>
          </cell>
          <cell r="V33">
            <v>195.26000800000003</v>
          </cell>
          <cell r="W33">
            <v>185.32012800000007</v>
          </cell>
          <cell r="X33">
            <v>274.06259400000005</v>
          </cell>
          <cell r="Y33">
            <v>148.56186613000011</v>
          </cell>
          <cell r="Z33">
            <v>320.85138362999987</v>
          </cell>
          <cell r="AA33">
            <v>389</v>
          </cell>
          <cell r="AB33">
            <v>344</v>
          </cell>
          <cell r="AC33">
            <v>484</v>
          </cell>
          <cell r="AD33">
            <v>353.77410312465491</v>
          </cell>
          <cell r="AE33">
            <v>345.34662770739004</v>
          </cell>
          <cell r="AF33">
            <v>379.39706040617506</v>
          </cell>
          <cell r="AG33">
            <v>424.73441499805028</v>
          </cell>
          <cell r="AH33">
            <v>477.07096768407774</v>
          </cell>
          <cell r="AI33">
            <v>537.3379265896483</v>
          </cell>
          <cell r="AJ33">
            <v>606.14459081379914</v>
          </cell>
          <cell r="AK33">
            <v>680.29568002942506</v>
          </cell>
          <cell r="AL33">
            <v>755.43332469086306</v>
          </cell>
          <cell r="AM33">
            <v>828.81448660948081</v>
          </cell>
        </row>
        <row r="34">
          <cell r="N34">
            <v>182.90125</v>
          </cell>
          <cell r="O34">
            <v>161.50125</v>
          </cell>
          <cell r="P34">
            <v>73.455624999999998</v>
          </cell>
          <cell r="Q34">
            <v>54.884</v>
          </cell>
          <cell r="R34">
            <v>34.422600000000003</v>
          </cell>
          <cell r="S34">
            <v>32.982399999999998</v>
          </cell>
          <cell r="T34">
            <v>32.982399999999998</v>
          </cell>
          <cell r="U34">
            <v>54.024662999999997</v>
          </cell>
          <cell r="V34">
            <v>37.448369</v>
          </cell>
          <cell r="W34">
            <v>44.429667999999999</v>
          </cell>
          <cell r="X34">
            <v>43.695107999999998</v>
          </cell>
          <cell r="Y34">
            <v>58.1004304</v>
          </cell>
          <cell r="Z34">
            <v>34.446554550000002</v>
          </cell>
          <cell r="AA34">
            <v>34.200000000000003</v>
          </cell>
          <cell r="AB34">
            <v>70.5</v>
          </cell>
          <cell r="AC34">
            <v>153.19999999999999</v>
          </cell>
          <cell r="AD34">
            <v>150</v>
          </cell>
          <cell r="AE34">
            <v>26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75.900000000000006</v>
          </cell>
          <cell r="O35">
            <v>75.112499999999997</v>
          </cell>
          <cell r="P35">
            <v>30.518722</v>
          </cell>
          <cell r="Q35">
            <v>7.1</v>
          </cell>
          <cell r="R35">
            <v>1.8402000000000001</v>
          </cell>
          <cell r="S35">
            <v>0.4</v>
          </cell>
          <cell r="T35">
            <v>0.4</v>
          </cell>
          <cell r="U35">
            <v>0</v>
          </cell>
          <cell r="V35">
            <v>25.30059</v>
          </cell>
          <cell r="W35">
            <v>44.429667999999999</v>
          </cell>
          <cell r="X35">
            <v>25.471966999999999</v>
          </cell>
          <cell r="Y35">
            <v>3.3611749999999998</v>
          </cell>
          <cell r="Z35">
            <v>10.39613527</v>
          </cell>
          <cell r="AA35">
            <v>2.37</v>
          </cell>
          <cell r="AB35">
            <v>70.5</v>
          </cell>
          <cell r="AC35">
            <v>51</v>
          </cell>
          <cell r="AD35">
            <v>50.571029522420368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107.00125</v>
          </cell>
          <cell r="O36">
            <v>86.388750000000002</v>
          </cell>
          <cell r="P36">
            <v>42.936903000000001</v>
          </cell>
          <cell r="Q36">
            <v>47.783999999999999</v>
          </cell>
          <cell r="R36">
            <v>32.5824</v>
          </cell>
          <cell r="S36">
            <v>32.5824</v>
          </cell>
          <cell r="T36">
            <v>32.5824</v>
          </cell>
          <cell r="U36">
            <v>54.024662999999997</v>
          </cell>
          <cell r="V36">
            <v>12.147779</v>
          </cell>
          <cell r="W36">
            <v>0</v>
          </cell>
          <cell r="X36">
            <v>18.223140999999998</v>
          </cell>
          <cell r="Y36">
            <v>54.739255399999998</v>
          </cell>
          <cell r="Z36">
            <v>24.05041928</v>
          </cell>
          <cell r="AA36">
            <v>31.830000000000002</v>
          </cell>
          <cell r="AB36">
            <v>0</v>
          </cell>
          <cell r="AC36">
            <v>102.2</v>
          </cell>
          <cell r="AD36">
            <v>99.428970477579639</v>
          </cell>
          <cell r="AE36">
            <v>-24.571029522420368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24.607199999999999</v>
          </cell>
          <cell r="O37">
            <v>37.314999999999998</v>
          </cell>
          <cell r="P37">
            <v>15.625055</v>
          </cell>
          <cell r="Q37">
            <v>11.03317</v>
          </cell>
          <cell r="R37">
            <v>10.728899999999999</v>
          </cell>
          <cell r="S37">
            <v>7.0406079999999998</v>
          </cell>
          <cell r="T37">
            <v>13.956771</v>
          </cell>
          <cell r="U37">
            <v>43.869957999999997</v>
          </cell>
          <cell r="V37">
            <v>54.283261000000003</v>
          </cell>
          <cell r="W37">
            <v>20.122412000000001</v>
          </cell>
          <cell r="X37">
            <v>20.866415</v>
          </cell>
          <cell r="Y37">
            <v>21.38325987</v>
          </cell>
          <cell r="Z37">
            <v>15.945774370000001</v>
          </cell>
          <cell r="AA37">
            <v>13.5</v>
          </cell>
          <cell r="AB37">
            <v>36.799999999999997</v>
          </cell>
          <cell r="AC37">
            <v>32.4</v>
          </cell>
          <cell r="AD37">
            <v>36</v>
          </cell>
          <cell r="AE37">
            <v>32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1813.81</v>
          </cell>
          <cell r="O39">
            <v>2982.5948949999997</v>
          </cell>
          <cell r="P39">
            <v>3303.8854546299999</v>
          </cell>
          <cell r="Q39">
            <v>3336.299739</v>
          </cell>
          <cell r="R39">
            <v>3855.1964648000003</v>
          </cell>
          <cell r="S39">
            <v>4364.1672250000001</v>
          </cell>
          <cell r="T39">
            <v>5506.1113589999995</v>
          </cell>
          <cell r="U39">
            <v>6021.8117650200002</v>
          </cell>
          <cell r="V39">
            <v>6918.9073806599999</v>
          </cell>
          <cell r="W39">
            <v>7923.511888</v>
          </cell>
          <cell r="X39">
            <v>8677.1884688499995</v>
          </cell>
          <cell r="Y39">
            <v>10285.439999999999</v>
          </cell>
          <cell r="Z39">
            <v>11315.876804710002</v>
          </cell>
          <cell r="AA39">
            <v>12113</v>
          </cell>
          <cell r="AB39">
            <v>12546.9</v>
          </cell>
          <cell r="AC39">
            <v>13180.5</v>
          </cell>
          <cell r="AD39">
            <v>13432.931186353366</v>
          </cell>
          <cell r="AE39">
            <v>14115.929175773648</v>
          </cell>
          <cell r="AF39">
            <v>15102.82484330941</v>
          </cell>
          <cell r="AG39">
            <v>16681.53786152332</v>
          </cell>
          <cell r="AH39">
            <v>18415.6703698989</v>
          </cell>
          <cell r="AI39">
            <v>20259.478235702762</v>
          </cell>
          <cell r="AJ39">
            <v>22279.044595816049</v>
          </cell>
          <cell r="AK39">
            <v>24449.68189905593</v>
          </cell>
          <cell r="AL39">
            <v>26731.23007042069</v>
          </cell>
          <cell r="AM39">
            <v>29008.076883479192</v>
          </cell>
        </row>
        <row r="40">
          <cell r="N40">
            <v>1581</v>
          </cell>
          <cell r="O40">
            <v>2430.3928969999997</v>
          </cell>
          <cell r="P40">
            <v>2874.35194727</v>
          </cell>
          <cell r="Q40">
            <v>2907.4269260000001</v>
          </cell>
          <cell r="R40">
            <v>3874.3924589900003</v>
          </cell>
          <cell r="S40">
            <v>4511.0680929999999</v>
          </cell>
          <cell r="T40">
            <v>5630.927079</v>
          </cell>
          <cell r="U40">
            <v>6151.0218230700002</v>
          </cell>
          <cell r="V40">
            <v>6964.7973806600003</v>
          </cell>
          <cell r="W40">
            <v>8078.1522619999996</v>
          </cell>
          <cell r="X40">
            <v>8881.3984688500004</v>
          </cell>
          <cell r="Y40">
            <v>9614.4</v>
          </cell>
          <cell r="Z40">
            <v>10510.876804710002</v>
          </cell>
          <cell r="AA40">
            <v>11549.699999999999</v>
          </cell>
          <cell r="AB40">
            <v>11944</v>
          </cell>
          <cell r="AC40">
            <v>12839.8</v>
          </cell>
          <cell r="AD40">
            <v>13482.379799082479</v>
          </cell>
          <cell r="AE40">
            <v>14050.765709337564</v>
          </cell>
          <cell r="AF40">
            <v>15075.560995972761</v>
          </cell>
          <cell r="AG40">
            <v>16659.333118132545</v>
          </cell>
          <cell r="AH40">
            <v>18399.305756850772</v>
          </cell>
          <cell r="AI40">
            <v>20249.83869103036</v>
          </cell>
          <cell r="AJ40">
            <v>22277.083048009867</v>
          </cell>
          <cell r="AK40">
            <v>24455.994721720159</v>
          </cell>
          <cell r="AL40">
            <v>26745.927351287482</v>
          </cell>
          <cell r="AM40">
            <v>29030.962620182399</v>
          </cell>
        </row>
        <row r="41">
          <cell r="N41">
            <v>1581</v>
          </cell>
          <cell r="O41">
            <v>2430.3928969999997</v>
          </cell>
          <cell r="P41">
            <v>2874.35194727</v>
          </cell>
          <cell r="Q41">
            <v>2907.4269260000001</v>
          </cell>
          <cell r="R41">
            <v>3418.8924589900003</v>
          </cell>
          <cell r="S41">
            <v>3879.5680930000003</v>
          </cell>
          <cell r="T41">
            <v>4901.6270789999999</v>
          </cell>
          <cell r="U41">
            <v>5284.3218230700004</v>
          </cell>
          <cell r="V41">
            <v>6131.7973806600003</v>
          </cell>
          <cell r="W41">
            <v>6882.752262</v>
          </cell>
          <cell r="X41">
            <v>7623.1984688499997</v>
          </cell>
          <cell r="Y41">
            <v>8657.7999999999993</v>
          </cell>
          <cell r="Z41">
            <v>9421.1768047100013</v>
          </cell>
          <cell r="AA41">
            <v>10316.4</v>
          </cell>
          <cell r="AB41">
            <v>10744</v>
          </cell>
          <cell r="AC41">
            <v>11515</v>
          </cell>
          <cell r="AD41">
            <v>11810.313142523166</v>
          </cell>
          <cell r="AE41">
            <v>12469.779716971831</v>
          </cell>
          <cell r="AF41">
            <v>13284.41607560026</v>
          </cell>
          <cell r="AG41">
            <v>14593.386035166353</v>
          </cell>
          <cell r="AH41">
            <v>16010.53839362578</v>
          </cell>
          <cell r="AI41">
            <v>17482.433060525735</v>
          </cell>
          <cell r="AJ41">
            <v>19068.592367021229</v>
          </cell>
          <cell r="AK41">
            <v>20757.677720129577</v>
          </cell>
          <cell r="AL41">
            <v>22531.063307947901</v>
          </cell>
          <cell r="AM41">
            <v>24288.104327710404</v>
          </cell>
        </row>
        <row r="42">
          <cell r="N42">
            <v>1570</v>
          </cell>
          <cell r="O42">
            <v>2008.7797839999998</v>
          </cell>
          <cell r="P42">
            <v>2413.7688143</v>
          </cell>
          <cell r="Q42">
            <v>2442.403241</v>
          </cell>
          <cell r="R42">
            <v>2733.7899047800001</v>
          </cell>
          <cell r="S42">
            <v>3090.4254470000001</v>
          </cell>
          <cell r="T42">
            <v>3851.2532839999999</v>
          </cell>
          <cell r="U42">
            <v>4104.0715270300007</v>
          </cell>
          <cell r="V42">
            <v>4542.51</v>
          </cell>
          <cell r="W42">
            <v>5203.2613430000001</v>
          </cell>
          <cell r="X42">
            <v>5600.13</v>
          </cell>
          <cell r="Y42">
            <v>6302.8</v>
          </cell>
          <cell r="Z42">
            <v>6703.43</v>
          </cell>
          <cell r="AA42">
            <v>7196.4</v>
          </cell>
          <cell r="AB42">
            <v>7440</v>
          </cell>
          <cell r="AC42">
            <v>7810</v>
          </cell>
          <cell r="AD42">
            <v>8296.7592228679805</v>
          </cell>
          <cell r="AE42">
            <v>8985.5204174742321</v>
          </cell>
          <cell r="AF42">
            <v>9794.4099307320139</v>
          </cell>
          <cell r="AG42">
            <v>10761.383026798389</v>
          </cell>
          <cell r="AH42">
            <v>11812.782166402019</v>
          </cell>
          <cell r="AI42">
            <v>12870.979522505006</v>
          </cell>
          <cell r="AJ42">
            <v>13983.283228770688</v>
          </cell>
          <cell r="AK42">
            <v>15161.103072477857</v>
          </cell>
          <cell r="AL42">
            <v>16416.362007318265</v>
          </cell>
          <cell r="AM42">
            <v>17667.556346449226</v>
          </cell>
        </row>
        <row r="43">
          <cell r="N43">
            <v>1010.9</v>
          </cell>
          <cell r="O43">
            <v>1206.2463909999999</v>
          </cell>
          <cell r="P43">
            <v>1545.09811986</v>
          </cell>
          <cell r="Q43">
            <v>1599.4688040000001</v>
          </cell>
          <cell r="R43">
            <v>1756.0971179999999</v>
          </cell>
          <cell r="S43">
            <v>2040.2489390000001</v>
          </cell>
          <cell r="T43">
            <v>2662.3845099999999</v>
          </cell>
          <cell r="U43">
            <v>2833.2728542200002</v>
          </cell>
          <cell r="V43">
            <v>3169.05</v>
          </cell>
          <cell r="W43">
            <v>3619.8317099999999</v>
          </cell>
          <cell r="X43">
            <v>3962.81</v>
          </cell>
          <cell r="Y43">
            <v>4325.5</v>
          </cell>
          <cell r="Z43">
            <v>4708.93</v>
          </cell>
          <cell r="AA43">
            <v>5117</v>
          </cell>
          <cell r="AB43">
            <v>5527</v>
          </cell>
          <cell r="AC43">
            <v>5888</v>
          </cell>
          <cell r="AD43">
            <v>6528.0647142611842</v>
          </cell>
          <cell r="AE43">
            <v>7147.6242013490664</v>
          </cell>
          <cell r="AF43">
            <v>7731.879416363683</v>
          </cell>
          <cell r="AG43">
            <v>8391.6201963371659</v>
          </cell>
          <cell r="AH43">
            <v>9082.7623227163094</v>
          </cell>
          <cell r="AI43">
            <v>9796.0843774998648</v>
          </cell>
          <cell r="AJ43">
            <v>10514.64465472892</v>
          </cell>
          <cell r="AK43">
            <v>11268.137807645669</v>
          </cell>
          <cell r="AL43">
            <v>12093.42452696998</v>
          </cell>
          <cell r="AM43">
            <v>12924.698053977236</v>
          </cell>
        </row>
        <row r="44">
          <cell r="N44">
            <v>559.1</v>
          </cell>
          <cell r="O44">
            <v>802.53339300000005</v>
          </cell>
          <cell r="P44">
            <v>868.67069444000003</v>
          </cell>
          <cell r="Q44">
            <v>842.934437</v>
          </cell>
          <cell r="R44">
            <v>977.69278678000001</v>
          </cell>
          <cell r="S44">
            <v>1050.176508</v>
          </cell>
          <cell r="T44">
            <v>1188.868774</v>
          </cell>
          <cell r="U44">
            <v>1270.79867281</v>
          </cell>
          <cell r="V44">
            <v>1373.46</v>
          </cell>
          <cell r="W44">
            <v>1583.429633</v>
          </cell>
          <cell r="X44">
            <v>1637.32</v>
          </cell>
          <cell r="Y44">
            <v>1977.3</v>
          </cell>
          <cell r="Z44">
            <v>1994.5</v>
          </cell>
          <cell r="AA44">
            <v>2079.4</v>
          </cell>
          <cell r="AB44">
            <v>1913</v>
          </cell>
          <cell r="AC44">
            <v>1922</v>
          </cell>
          <cell r="AD44">
            <v>1768.6945086067947</v>
          </cell>
          <cell r="AE44">
            <v>1837.8962161251659</v>
          </cell>
          <cell r="AF44">
            <v>2062.530514368334</v>
          </cell>
          <cell r="AG44">
            <v>2369.7628304612249</v>
          </cell>
          <cell r="AH44">
            <v>2730.0198436857095</v>
          </cell>
          <cell r="AI44">
            <v>3074.8951450051409</v>
          </cell>
          <cell r="AJ44">
            <v>3468.6385740417691</v>
          </cell>
          <cell r="AK44">
            <v>3892.9652648321894</v>
          </cell>
          <cell r="AL44">
            <v>4322.937480348287</v>
          </cell>
          <cell r="AM44">
            <v>4742.858292471994</v>
          </cell>
        </row>
        <row r="45">
          <cell r="N45">
            <v>11</v>
          </cell>
          <cell r="O45">
            <v>401.38098500000001</v>
          </cell>
          <cell r="P45">
            <v>438.98162839999998</v>
          </cell>
          <cell r="Q45">
            <v>394.982056</v>
          </cell>
          <cell r="R45">
            <v>567.63746185000002</v>
          </cell>
          <cell r="S45">
            <v>645.44160100000011</v>
          </cell>
          <cell r="T45">
            <v>811.20412600000009</v>
          </cell>
          <cell r="U45">
            <v>830.56301170999996</v>
          </cell>
          <cell r="V45">
            <v>1101.54</v>
          </cell>
          <cell r="W45">
            <v>1168.787949</v>
          </cell>
          <cell r="X45">
            <v>1512.6399999999999</v>
          </cell>
          <cell r="Y45">
            <v>1769</v>
          </cell>
          <cell r="Z45">
            <v>1893</v>
          </cell>
          <cell r="AA45">
            <v>2255</v>
          </cell>
          <cell r="AB45">
            <v>2307</v>
          </cell>
          <cell r="AC45">
            <v>2545</v>
          </cell>
          <cell r="AD45">
            <v>2325.0307308245406</v>
          </cell>
          <cell r="AE45">
            <v>2434.2984788390081</v>
          </cell>
          <cell r="AF45">
            <v>2674.315058913141</v>
          </cell>
          <cell r="AG45">
            <v>2993.8915205402623</v>
          </cell>
          <cell r="AH45">
            <v>3362.804318204011</v>
          </cell>
          <cell r="AI45">
            <v>3787.6174034280202</v>
          </cell>
          <cell r="AJ45">
            <v>4272.6256375224757</v>
          </cell>
          <cell r="AK45">
            <v>4795.3059511544807</v>
          </cell>
          <cell r="AL45">
            <v>5324.9403515745144</v>
          </cell>
          <cell r="AM45">
            <v>5842.1935589383447</v>
          </cell>
        </row>
        <row r="46">
          <cell r="N46">
            <v>0</v>
          </cell>
          <cell r="O46">
            <v>1.9704299999999999</v>
          </cell>
          <cell r="P46">
            <v>5.8896524000000001</v>
          </cell>
          <cell r="Q46">
            <v>8.6428949999999993</v>
          </cell>
          <cell r="R46">
            <v>11.434211169999999</v>
          </cell>
          <cell r="S46">
            <v>9.0833159999999999</v>
          </cell>
          <cell r="T46">
            <v>9.3028390000000005</v>
          </cell>
          <cell r="U46">
            <v>11.32862663</v>
          </cell>
          <cell r="V46">
            <v>18.91</v>
          </cell>
          <cell r="W46">
            <v>20.442882000000001</v>
          </cell>
          <cell r="X46">
            <v>21.62</v>
          </cell>
          <cell r="Y46">
            <v>19.82</v>
          </cell>
          <cell r="Z46">
            <v>30.02</v>
          </cell>
          <cell r="AA46">
            <v>45.451999999999998</v>
          </cell>
          <cell r="AB46">
            <v>31.132999999999999</v>
          </cell>
          <cell r="AC46">
            <v>35.700000000000003</v>
          </cell>
          <cell r="AD46">
            <v>33.661341901786194</v>
          </cell>
          <cell r="AE46">
            <v>35.670996452751879</v>
          </cell>
          <cell r="AF46">
            <v>39.188079772998343</v>
          </cell>
          <cell r="AG46">
            <v>43.870993938282162</v>
          </cell>
          <cell r="AH46">
            <v>49.276858178527057</v>
          </cell>
          <cell r="AI46">
            <v>55.501857367342794</v>
          </cell>
          <cell r="AJ46">
            <v>62.608926261453931</v>
          </cell>
          <cell r="AK46">
            <v>70.268023030221016</v>
          </cell>
          <cell r="AL46">
            <v>78.029021520286577</v>
          </cell>
          <cell r="AM46">
            <v>85.608592179119483</v>
          </cell>
        </row>
        <row r="47">
          <cell r="N47">
            <v>3</v>
          </cell>
          <cell r="O47">
            <v>4.931</v>
          </cell>
          <cell r="P47">
            <v>0</v>
          </cell>
          <cell r="Q47">
            <v>7.335</v>
          </cell>
          <cell r="R47">
            <v>18.513999999999999</v>
          </cell>
          <cell r="S47">
            <v>36.485999999999997</v>
          </cell>
          <cell r="T47">
            <v>24.742000000000001</v>
          </cell>
          <cell r="U47">
            <v>11.003946880000001</v>
          </cell>
          <cell r="V47">
            <v>11.49</v>
          </cell>
          <cell r="W47">
            <v>15.0693</v>
          </cell>
          <cell r="X47">
            <v>20.399999999999999</v>
          </cell>
          <cell r="Y47">
            <v>15.82</v>
          </cell>
          <cell r="Z47">
            <v>83.3</v>
          </cell>
          <cell r="AA47">
            <v>130.4</v>
          </cell>
          <cell r="AB47">
            <v>0.46300000000000002</v>
          </cell>
          <cell r="AC47">
            <v>0.46300000000000002</v>
          </cell>
          <cell r="AD47">
            <v>0.41801666413982858</v>
          </cell>
          <cell r="AE47">
            <v>0.46935521648357736</v>
          </cell>
          <cell r="AF47">
            <v>0.51563262859208348</v>
          </cell>
          <cell r="AG47">
            <v>0.57724992024055477</v>
          </cell>
          <cell r="AH47">
            <v>0.64837971287535612</v>
          </cell>
          <cell r="AI47">
            <v>0.73028759693872103</v>
          </cell>
          <cell r="AJ47">
            <v>0.82380166133492017</v>
          </cell>
          <cell r="AK47">
            <v>0.92457925039764499</v>
          </cell>
          <cell r="AL47">
            <v>1.0266976515827182</v>
          </cell>
          <cell r="AM47">
            <v>1.1264288444620985</v>
          </cell>
        </row>
        <row r="48">
          <cell r="N48">
            <v>8</v>
          </cell>
          <cell r="O48">
            <v>84.374567999999996</v>
          </cell>
          <cell r="P48">
            <v>0</v>
          </cell>
          <cell r="Q48">
            <v>126.037139</v>
          </cell>
          <cell r="R48">
            <v>155.64505930000001</v>
          </cell>
          <cell r="S48">
            <v>236.190392</v>
          </cell>
          <cell r="T48">
            <v>282.68044300000003</v>
          </cell>
          <cell r="U48">
            <v>301.55823989999999</v>
          </cell>
          <cell r="V48">
            <v>358.13</v>
          </cell>
          <cell r="W48">
            <v>371.60129699999999</v>
          </cell>
          <cell r="X48">
            <v>523.12</v>
          </cell>
          <cell r="Y48">
            <v>447.1</v>
          </cell>
          <cell r="Z48">
            <v>619</v>
          </cell>
          <cell r="AA48">
            <v>802.82399999999996</v>
          </cell>
          <cell r="AB48">
            <v>1176</v>
          </cell>
          <cell r="AC48">
            <v>867.6</v>
          </cell>
          <cell r="AD48">
            <v>816.23253892566527</v>
          </cell>
          <cell r="AE48">
            <v>838.41663407645331</v>
          </cell>
          <cell r="AF48">
            <v>921.08270602185848</v>
          </cell>
          <cell r="AG48">
            <v>1031.1506469981277</v>
          </cell>
          <cell r="AH48">
            <v>1158.2109186836622</v>
          </cell>
          <cell r="AI48">
            <v>1304.524265268431</v>
          </cell>
          <cell r="AJ48">
            <v>1471.5699150372204</v>
          </cell>
          <cell r="AK48">
            <v>1651.5905136050562</v>
          </cell>
          <cell r="AL48">
            <v>1834.0062260377606</v>
          </cell>
          <cell r="AM48">
            <v>2012.1576305812432</v>
          </cell>
        </row>
        <row r="49">
          <cell r="O49">
            <v>262.929509</v>
          </cell>
          <cell r="P49">
            <v>0</v>
          </cell>
          <cell r="Q49">
            <v>213.062781</v>
          </cell>
          <cell r="R49">
            <v>254.49158123999999</v>
          </cell>
          <cell r="S49">
            <v>304.11878000000002</v>
          </cell>
          <cell r="T49">
            <v>403.029966</v>
          </cell>
          <cell r="U49">
            <v>418.76039059999999</v>
          </cell>
          <cell r="V49">
            <v>556.34</v>
          </cell>
          <cell r="W49">
            <v>607.26750400000003</v>
          </cell>
          <cell r="X49">
            <v>794.42</v>
          </cell>
          <cell r="Y49">
            <v>948.69</v>
          </cell>
          <cell r="Z49">
            <v>1023.65</v>
          </cell>
          <cell r="AA49">
            <v>1127.3453</v>
          </cell>
          <cell r="AB49">
            <v>1532.701</v>
          </cell>
          <cell r="AC49">
            <v>1340.4</v>
          </cell>
          <cell r="AD49">
            <v>1347.5537199244473</v>
          </cell>
          <cell r="AE49">
            <v>1434.7447880719037</v>
          </cell>
          <cell r="AF49">
            <v>1576.2075299278004</v>
          </cell>
          <cell r="AG49">
            <v>1764.5618614511272</v>
          </cell>
          <cell r="AH49">
            <v>1981.9944065158252</v>
          </cell>
          <cell r="AI49">
            <v>2232.3738752737322</v>
          </cell>
          <cell r="AJ49">
            <v>2518.2316047543245</v>
          </cell>
          <cell r="AK49">
            <v>2826.2927822681695</v>
          </cell>
          <cell r="AL49">
            <v>3138.4526107328561</v>
          </cell>
          <cell r="AM49">
            <v>3443.3151203346674</v>
          </cell>
        </row>
        <row r="50">
          <cell r="O50">
            <v>47.175477999999998</v>
          </cell>
          <cell r="P50">
            <v>433.09197599999999</v>
          </cell>
          <cell r="Q50">
            <v>39.904240999999999</v>
          </cell>
          <cell r="R50">
            <v>127.55261014</v>
          </cell>
          <cell r="S50">
            <v>59.563113000000001</v>
          </cell>
          <cell r="T50">
            <v>91.448877999999993</v>
          </cell>
          <cell r="U50">
            <v>87.911807699999997</v>
          </cell>
          <cell r="V50">
            <v>156.66999999999999</v>
          </cell>
          <cell r="W50">
            <v>154.40696600000001</v>
          </cell>
          <cell r="X50">
            <v>153.08000000000001</v>
          </cell>
          <cell r="Y50">
            <v>353.89000000000004</v>
          </cell>
          <cell r="Z50">
            <v>220.29</v>
          </cell>
          <cell r="AA50">
            <v>279.779</v>
          </cell>
          <cell r="AB50">
            <v>139.50299999999999</v>
          </cell>
          <cell r="AC50">
            <v>145.1</v>
          </cell>
          <cell r="AD50">
            <v>127.16511340850197</v>
          </cell>
          <cell r="AE50">
            <v>124.99670502141586</v>
          </cell>
          <cell r="AF50">
            <v>137.32111056189171</v>
          </cell>
          <cell r="AG50">
            <v>153.73076823248459</v>
          </cell>
          <cell r="AH50">
            <v>172.67375511312113</v>
          </cell>
          <cell r="AI50">
            <v>194.48711792157516</v>
          </cell>
          <cell r="AJ50">
            <v>219.39138980814189</v>
          </cell>
          <cell r="AK50">
            <v>246.23005300063599</v>
          </cell>
          <cell r="AL50">
            <v>273.42579563202918</v>
          </cell>
          <cell r="AM50">
            <v>299.9857869988536</v>
          </cell>
        </row>
        <row r="51">
          <cell r="N51">
            <v>0</v>
          </cell>
          <cell r="O51">
            <v>20.232127999999999</v>
          </cell>
          <cell r="P51">
            <v>21.601504569999999</v>
          </cell>
          <cell r="Q51">
            <v>70.041629</v>
          </cell>
          <cell r="R51">
            <v>117.46509236</v>
          </cell>
          <cell r="S51">
            <v>143.70104499999999</v>
          </cell>
          <cell r="T51">
            <v>239.169669</v>
          </cell>
          <cell r="U51">
            <v>349.68728433000001</v>
          </cell>
          <cell r="V51">
            <v>487.74738065999998</v>
          </cell>
          <cell r="W51">
            <v>510.70297000000005</v>
          </cell>
          <cell r="X51">
            <v>510.42846885</v>
          </cell>
          <cell r="Y51">
            <v>586</v>
          </cell>
          <cell r="Z51">
            <v>824.74680470999999</v>
          </cell>
          <cell r="AA51">
            <v>865</v>
          </cell>
          <cell r="AB51">
            <v>997</v>
          </cell>
          <cell r="AC51">
            <v>1160</v>
          </cell>
          <cell r="AD51">
            <v>1188.5231888306448</v>
          </cell>
          <cell r="AE51">
            <v>1049.9608206585881</v>
          </cell>
          <cell r="AF51">
            <v>815.6910859551017</v>
          </cell>
          <cell r="AG51">
            <v>838.11148782769703</v>
          </cell>
          <cell r="AH51">
            <v>834.95190901974672</v>
          </cell>
          <cell r="AI51">
            <v>823.83613459270703</v>
          </cell>
          <cell r="AJ51">
            <v>812.68350072806379</v>
          </cell>
          <cell r="AK51">
            <v>801.2686964972371</v>
          </cell>
          <cell r="AL51">
            <v>789.76094905511775</v>
          </cell>
          <cell r="AM51">
            <v>778.35442232282628</v>
          </cell>
        </row>
        <row r="52">
          <cell r="O52">
            <v>8.4196279999999994</v>
          </cell>
          <cell r="P52">
            <v>9.7434961799999993</v>
          </cell>
          <cell r="Q52">
            <v>54.365810000000003</v>
          </cell>
          <cell r="R52">
            <v>97.805439750000005</v>
          </cell>
          <cell r="S52">
            <v>128.11513600000001</v>
          </cell>
          <cell r="T52">
            <v>230.607135</v>
          </cell>
          <cell r="U52">
            <v>344.59159399999999</v>
          </cell>
          <cell r="V52">
            <v>480.05455252999997</v>
          </cell>
          <cell r="W52">
            <v>500.55406900000003</v>
          </cell>
          <cell r="X52">
            <v>496.78287702</v>
          </cell>
          <cell r="Y52">
            <v>558</v>
          </cell>
          <cell r="Z52">
            <v>772.74680470999999</v>
          </cell>
          <cell r="AA52">
            <v>813</v>
          </cell>
          <cell r="AB52">
            <v>928</v>
          </cell>
          <cell r="AC52">
            <v>1078</v>
          </cell>
          <cell r="AD52">
            <v>1106.2658244427919</v>
          </cell>
          <cell r="AE52">
            <v>953.84398427413191</v>
          </cell>
          <cell r="AF52">
            <v>693.81950575536655</v>
          </cell>
          <cell r="AG52">
            <v>712.47216625590943</v>
          </cell>
          <cell r="AH52">
            <v>712.28912399508579</v>
          </cell>
          <cell r="AI52">
            <v>712.07814716292091</v>
          </cell>
          <cell r="AJ52">
            <v>711.81567902473785</v>
          </cell>
          <cell r="AK52">
            <v>711.48248516808167</v>
          </cell>
          <cell r="AL52">
            <v>711.04854829392286</v>
          </cell>
          <cell r="AM52">
            <v>710.46468972832349</v>
          </cell>
        </row>
        <row r="53">
          <cell r="N53">
            <v>0</v>
          </cell>
          <cell r="O53">
            <v>0</v>
          </cell>
          <cell r="P53">
            <v>35.414820000000006</v>
          </cell>
          <cell r="Q53">
            <v>69.149879999999996</v>
          </cell>
          <cell r="R53">
            <v>76.448400000000007</v>
          </cell>
          <cell r="S53">
            <v>111.69326000000002</v>
          </cell>
          <cell r="T53">
            <v>131.90423999999999</v>
          </cell>
          <cell r="U53">
            <v>67.188100833333323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8.4196279999999994</v>
          </cell>
          <cell r="P54">
            <v>-33.391323820000004</v>
          </cell>
          <cell r="Q54">
            <v>-50.986249999999991</v>
          </cell>
          <cell r="R54">
            <v>-52.992620250000002</v>
          </cell>
          <cell r="S54">
            <v>-95.617324000000025</v>
          </cell>
          <cell r="T54">
            <v>-62.112374999999957</v>
          </cell>
          <cell r="U54">
            <v>107.89722566666666</v>
          </cell>
          <cell r="V54">
            <v>242.8964796133333</v>
          </cell>
          <cell r="W54">
            <v>216.58790900000002</v>
          </cell>
          <cell r="X54">
            <v>215.46438702</v>
          </cell>
          <cell r="Y54">
            <v>283.58035083333334</v>
          </cell>
          <cell r="Z54">
            <v>408.83038220999987</v>
          </cell>
          <cell r="AA54">
            <v>391.29671999999982</v>
          </cell>
          <cell r="AB54">
            <v>385.98610208333321</v>
          </cell>
          <cell r="AC54">
            <v>443.21927406249972</v>
          </cell>
          <cell r="AD54">
            <v>404.29277471139432</v>
          </cell>
          <cell r="AE54">
            <v>241.04168275974982</v>
          </cell>
          <cell r="AF54">
            <v>-18.820990772454536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7.7200000000000006</v>
          </cell>
          <cell r="Q55">
            <v>36.202179999999998</v>
          </cell>
          <cell r="R55">
            <v>74.34966</v>
          </cell>
          <cell r="S55">
            <v>112.03920000000001</v>
          </cell>
          <cell r="T55">
            <v>160.81526999999997</v>
          </cell>
          <cell r="U55">
            <v>169.50626749999998</v>
          </cell>
          <cell r="V55">
            <v>237.15807291666667</v>
          </cell>
          <cell r="W55">
            <v>283.96616</v>
          </cell>
          <cell r="X55">
            <v>281.31849</v>
          </cell>
          <cell r="Y55">
            <v>274.41964916666666</v>
          </cell>
          <cell r="Z55">
            <v>363.91642250000012</v>
          </cell>
          <cell r="AA55">
            <v>421.70328000000018</v>
          </cell>
          <cell r="AB55">
            <v>542.01389791666679</v>
          </cell>
          <cell r="AC55">
            <v>634.78072593750028</v>
          </cell>
          <cell r="AD55">
            <v>701.97304973139751</v>
          </cell>
          <cell r="AE55">
            <v>712.80230151438229</v>
          </cell>
          <cell r="AF55">
            <v>712.64049652782137</v>
          </cell>
          <cell r="AG55">
            <v>712.47216625590943</v>
          </cell>
          <cell r="AH55">
            <v>712.28912399508579</v>
          </cell>
          <cell r="AI55">
            <v>712.07814716292091</v>
          </cell>
          <cell r="AJ55">
            <v>711.81567902473785</v>
          </cell>
          <cell r="AK55">
            <v>711.48248516808167</v>
          </cell>
          <cell r="AL55">
            <v>711.04854829392286</v>
          </cell>
          <cell r="AM55">
            <v>710.46468972832349</v>
          </cell>
        </row>
        <row r="56">
          <cell r="N56">
            <v>0</v>
          </cell>
          <cell r="O56">
            <v>11.8125</v>
          </cell>
          <cell r="P56">
            <v>11.85800839</v>
          </cell>
          <cell r="Q56">
            <v>15.675819000000001</v>
          </cell>
          <cell r="R56">
            <v>19.659652609999998</v>
          </cell>
          <cell r="S56">
            <v>15.585908999999999</v>
          </cell>
          <cell r="T56">
            <v>8.5625339999999994</v>
          </cell>
          <cell r="U56">
            <v>5.09569033</v>
          </cell>
          <cell r="V56">
            <v>7.6928281299999997</v>
          </cell>
          <cell r="W56">
            <v>10.148901</v>
          </cell>
          <cell r="X56">
            <v>13.645591830000001</v>
          </cell>
          <cell r="Y56">
            <v>28</v>
          </cell>
          <cell r="Z56">
            <v>52</v>
          </cell>
          <cell r="AA56">
            <v>52</v>
          </cell>
          <cell r="AB56">
            <v>69</v>
          </cell>
          <cell r="AC56">
            <v>82</v>
          </cell>
          <cell r="AD56">
            <v>82.257364387852945</v>
          </cell>
          <cell r="AE56">
            <v>96.116836384456079</v>
          </cell>
          <cell r="AF56">
            <v>121.87158019973501</v>
          </cell>
          <cell r="AG56">
            <v>125.63932157178763</v>
          </cell>
          <cell r="AH56">
            <v>122.66278502466091</v>
          </cell>
          <cell r="AI56">
            <v>111.75798742978614</v>
          </cell>
          <cell r="AJ56">
            <v>100.86782170332597</v>
          </cell>
          <cell r="AK56">
            <v>89.786211329155392</v>
          </cell>
          <cell r="AL56">
            <v>78.712400761194857</v>
          </cell>
          <cell r="AM56">
            <v>67.889732594502746</v>
          </cell>
        </row>
        <row r="57">
          <cell r="N57">
            <v>232.81</v>
          </cell>
          <cell r="O57">
            <v>552.201998</v>
          </cell>
          <cell r="P57">
            <v>429.53350735999999</v>
          </cell>
          <cell r="Q57">
            <v>428.87281300000001</v>
          </cell>
          <cell r="R57">
            <v>436.30400581000004</v>
          </cell>
          <cell r="S57">
            <v>484.599132</v>
          </cell>
          <cell r="T57">
            <v>604.4842799999999</v>
          </cell>
          <cell r="U57">
            <v>737.48994195</v>
          </cell>
          <cell r="V57">
            <v>787.11</v>
          </cell>
          <cell r="W57">
            <v>1040.759626</v>
          </cell>
          <cell r="X57">
            <v>1053.99</v>
          </cell>
          <cell r="Y57">
            <v>1627.6399999999999</v>
          </cell>
          <cell r="Z57">
            <v>1894.7</v>
          </cell>
          <cell r="AA57">
            <v>1796.6</v>
          </cell>
          <cell r="AB57">
            <v>1802.9</v>
          </cell>
          <cell r="AC57">
            <v>1665.5</v>
          </cell>
          <cell r="AD57">
            <v>1622.6180438302029</v>
          </cell>
          <cell r="AE57">
            <v>1646.1494588018195</v>
          </cell>
          <cell r="AF57">
            <v>1818.4087677091502</v>
          </cell>
          <cell r="AG57">
            <v>2088.1518263569715</v>
          </cell>
          <cell r="AH57">
            <v>2405.1319762731246</v>
          </cell>
          <cell r="AI57">
            <v>2777.0451751770265</v>
          </cell>
          <cell r="AJ57">
            <v>3210.4522287948221</v>
          </cell>
          <cell r="AK57">
            <v>3692.0041789263523</v>
          </cell>
          <cell r="AL57">
            <v>4200.1667624727888</v>
          </cell>
          <cell r="AM57">
            <v>4719.9725557687898</v>
          </cell>
        </row>
        <row r="58">
          <cell r="N58">
            <v>42.05</v>
          </cell>
          <cell r="O58">
            <v>57.541750999999998</v>
          </cell>
          <cell r="P58">
            <v>45.901880689999999</v>
          </cell>
          <cell r="Q58">
            <v>19.511001</v>
          </cell>
          <cell r="R58">
            <v>43.972621590000003</v>
          </cell>
          <cell r="S58">
            <v>22.444983000000001</v>
          </cell>
          <cell r="T58">
            <v>45.860363</v>
          </cell>
          <cell r="U58">
            <v>87.557382279999999</v>
          </cell>
          <cell r="V58">
            <v>95.95</v>
          </cell>
          <cell r="W58">
            <v>121.4</v>
          </cell>
          <cell r="X58">
            <v>122.05</v>
          </cell>
          <cell r="Y58">
            <v>477.84</v>
          </cell>
          <cell r="Z58">
            <v>649.70000000000005</v>
          </cell>
          <cell r="AA58">
            <v>400</v>
          </cell>
          <cell r="AB58">
            <v>386.5</v>
          </cell>
          <cell r="AC58">
            <v>207.5</v>
          </cell>
          <cell r="AD58">
            <v>146</v>
          </cell>
          <cell r="AE58">
            <v>84.1</v>
          </cell>
          <cell r="AF58">
            <v>50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O59">
            <v>39.155000000000001</v>
          </cell>
          <cell r="P59">
            <v>0.8</v>
          </cell>
          <cell r="Q59">
            <v>41.425353000000001</v>
          </cell>
          <cell r="R59">
            <v>41.604145000000003</v>
          </cell>
          <cell r="S59">
            <v>33.776432</v>
          </cell>
          <cell r="T59">
            <v>39.054558999999998</v>
          </cell>
          <cell r="U59">
            <v>5.4319546799999996</v>
          </cell>
          <cell r="V59">
            <v>5.93</v>
          </cell>
          <cell r="W59">
            <v>2.8720409999999998</v>
          </cell>
          <cell r="X59">
            <v>2.85</v>
          </cell>
          <cell r="Y59">
            <v>35.299999999999997</v>
          </cell>
          <cell r="Z59">
            <v>36.200000000000003</v>
          </cell>
          <cell r="AA59">
            <v>33.200000000000003</v>
          </cell>
          <cell r="AB59">
            <v>91</v>
          </cell>
          <cell r="AC59">
            <v>133.19999999999999</v>
          </cell>
          <cell r="AD59">
            <v>20.6</v>
          </cell>
          <cell r="AE59">
            <v>19.600000000000001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190.76</v>
          </cell>
          <cell r="O60">
            <v>455.505247</v>
          </cell>
          <cell r="P60">
            <v>382.83162666999999</v>
          </cell>
          <cell r="Q60">
            <v>367.93645900000001</v>
          </cell>
          <cell r="R60">
            <v>350.72723922</v>
          </cell>
          <cell r="S60">
            <v>428.37771700000002</v>
          </cell>
          <cell r="T60">
            <v>519.56935799999997</v>
          </cell>
          <cell r="U60">
            <v>644.50060499000006</v>
          </cell>
          <cell r="V60">
            <v>685.23</v>
          </cell>
          <cell r="W60">
            <v>916.48758499999997</v>
          </cell>
          <cell r="X60">
            <v>929.09</v>
          </cell>
          <cell r="Y60">
            <v>1114.5</v>
          </cell>
          <cell r="Z60">
            <v>1208.8</v>
          </cell>
          <cell r="AA60">
            <v>1363.3999999999999</v>
          </cell>
          <cell r="AB60">
            <v>1325.4</v>
          </cell>
          <cell r="AC60">
            <v>1324.8</v>
          </cell>
          <cell r="AD60">
            <v>1456.0180438302029</v>
          </cell>
          <cell r="AE60">
            <v>1542.4494588018194</v>
          </cell>
          <cell r="AF60">
            <v>1748.8087677091503</v>
          </cell>
          <cell r="AG60">
            <v>2018.5518263569713</v>
          </cell>
          <cell r="AH60">
            <v>2335.5319762731247</v>
          </cell>
          <cell r="AI60">
            <v>2707.4451751770266</v>
          </cell>
          <cell r="AJ60">
            <v>3140.8522287948222</v>
          </cell>
          <cell r="AK60">
            <v>3622.4041789263524</v>
          </cell>
          <cell r="AL60">
            <v>4130.5667624727885</v>
          </cell>
          <cell r="AM60">
            <v>4650.3725557687903</v>
          </cell>
        </row>
        <row r="61">
          <cell r="R61">
            <v>455.5</v>
          </cell>
          <cell r="S61">
            <v>631.5</v>
          </cell>
          <cell r="T61">
            <v>729.3</v>
          </cell>
          <cell r="U61">
            <v>866.7</v>
          </cell>
          <cell r="V61">
            <v>833</v>
          </cell>
          <cell r="W61">
            <v>1195.4000000000001</v>
          </cell>
          <cell r="X61">
            <v>1258.2</v>
          </cell>
          <cell r="Y61">
            <v>956.6</v>
          </cell>
          <cell r="Z61">
            <v>1089.7</v>
          </cell>
          <cell r="AA61">
            <v>1233.3</v>
          </cell>
          <cell r="AB61">
            <v>1200</v>
          </cell>
          <cell r="AC61">
            <v>1324.8</v>
          </cell>
          <cell r="AD61">
            <v>1672.0666565593142</v>
          </cell>
          <cell r="AE61">
            <v>1580.9859923657343</v>
          </cell>
          <cell r="AF61">
            <v>1791.1449203725006</v>
          </cell>
          <cell r="AG61">
            <v>2065.9470829661959</v>
          </cell>
          <cell r="AH61">
            <v>2388.7673632249962</v>
          </cell>
          <cell r="AI61">
            <v>2767.405630504627</v>
          </cell>
          <cell r="AJ61">
            <v>3208.490680988637</v>
          </cell>
          <cell r="AK61">
            <v>3698.3170015905807</v>
          </cell>
          <cell r="AL61">
            <v>4214.8640433395803</v>
          </cell>
          <cell r="AM61">
            <v>4742.858292471994</v>
          </cell>
        </row>
        <row r="63">
          <cell r="N63">
            <v>-64.192084999999679</v>
          </cell>
          <cell r="O63">
            <v>-110.24775899999941</v>
          </cell>
          <cell r="P63">
            <v>-341.65204362999975</v>
          </cell>
          <cell r="Q63">
            <v>-256.17052199999989</v>
          </cell>
          <cell r="R63">
            <v>-213.40176480000036</v>
          </cell>
          <cell r="S63">
            <v>-10.853779000000031</v>
          </cell>
          <cell r="T63">
            <v>-865.63752899999963</v>
          </cell>
          <cell r="U63">
            <v>-342.39378001999921</v>
          </cell>
          <cell r="V63">
            <v>-690.70721565999975</v>
          </cell>
          <cell r="W63">
            <v>-655.56093300000157</v>
          </cell>
          <cell r="X63">
            <v>-444.02524684999844</v>
          </cell>
          <cell r="Y63">
            <v>-1359.4846126499979</v>
          </cell>
          <cell r="Z63">
            <v>-855.31441626000196</v>
          </cell>
          <cell r="AA63">
            <v>-2377.4779999999992</v>
          </cell>
          <cell r="AB63">
            <v>-1120.5880000000016</v>
          </cell>
          <cell r="AC63">
            <v>-63.100000000000364</v>
          </cell>
          <cell r="AD63">
            <v>1941.6705726648252</v>
          </cell>
          <cell r="AE63">
            <v>2491.2984730318658</v>
          </cell>
          <cell r="AF63">
            <v>2363.2336086643754</v>
          </cell>
          <cell r="AG63">
            <v>2804.4211919752524</v>
          </cell>
          <cell r="AH63">
            <v>3006.7399309985885</v>
          </cell>
          <cell r="AI63">
            <v>3889.6239816826674</v>
          </cell>
          <cell r="AJ63">
            <v>4804.2597731253809</v>
          </cell>
          <cell r="AK63">
            <v>6183.6977093744026</v>
          </cell>
          <cell r="AL63">
            <v>8167.7592022367862</v>
          </cell>
          <cell r="AM63">
            <v>11216.558852275917</v>
          </cell>
        </row>
        <row r="64">
          <cell r="N64">
            <v>42.80916500000032</v>
          </cell>
          <cell r="O64">
            <v>-23.859008999999403</v>
          </cell>
          <cell r="P64">
            <v>-298.71514062999972</v>
          </cell>
          <cell r="Q64">
            <v>-208.3865219999999</v>
          </cell>
          <cell r="R64">
            <v>-180.81936480000036</v>
          </cell>
          <cell r="S64">
            <v>21.728620999999968</v>
          </cell>
          <cell r="T64">
            <v>-833.05512899999962</v>
          </cell>
          <cell r="U64">
            <v>-288.36911701999924</v>
          </cell>
          <cell r="V64">
            <v>-678.55943665999973</v>
          </cell>
          <cell r="W64">
            <v>-655.56093300000157</v>
          </cell>
          <cell r="X64">
            <v>-425.80210584999844</v>
          </cell>
          <cell r="Y64">
            <v>-1304.7453572499978</v>
          </cell>
          <cell r="Z64">
            <v>-831.26399698000193</v>
          </cell>
          <cell r="AA64">
            <v>-2345.6479999999992</v>
          </cell>
          <cell r="AB64">
            <v>-1120.5880000000016</v>
          </cell>
          <cell r="AC64">
            <v>39.099999999999639</v>
          </cell>
          <cell r="AD64">
            <v>2041.0995431424049</v>
          </cell>
          <cell r="AE64">
            <v>2466.7274435094455</v>
          </cell>
          <cell r="AF64">
            <v>2338.6625791419551</v>
          </cell>
          <cell r="AG64">
            <v>2779.8501624528321</v>
          </cell>
          <cell r="AH64">
            <v>2982.1689014761682</v>
          </cell>
          <cell r="AI64">
            <v>3865.0529521602471</v>
          </cell>
          <cell r="AJ64">
            <v>4779.6887436029601</v>
          </cell>
          <cell r="AK64">
            <v>6159.1266798519819</v>
          </cell>
          <cell r="AL64">
            <v>8143.1881727143655</v>
          </cell>
          <cell r="AM64">
            <v>11191.987822753497</v>
          </cell>
        </row>
        <row r="66">
          <cell r="N66">
            <v>-42.80916500000032</v>
          </cell>
          <cell r="O66">
            <v>23.859008999999403</v>
          </cell>
          <cell r="P66">
            <v>298.71514062999972</v>
          </cell>
          <cell r="Q66">
            <v>208.3865219999999</v>
          </cell>
          <cell r="R66">
            <v>180.81936480000036</v>
          </cell>
          <cell r="S66">
            <v>-21.728620999999968</v>
          </cell>
          <cell r="T66">
            <v>833.05512899999962</v>
          </cell>
          <cell r="U66">
            <v>288.36911701999924</v>
          </cell>
          <cell r="V66">
            <v>678.55943665999973</v>
          </cell>
          <cell r="W66">
            <v>655.56093300000157</v>
          </cell>
          <cell r="X66">
            <v>425.80210584999844</v>
          </cell>
          <cell r="Y66">
            <v>1304.7453572499978</v>
          </cell>
          <cell r="Z66">
            <v>831.26399698000193</v>
          </cell>
          <cell r="AA66">
            <v>2345.6479999999992</v>
          </cell>
          <cell r="AB66">
            <v>1120.5880000000016</v>
          </cell>
          <cell r="AC66">
            <v>-39.099999999999639</v>
          </cell>
          <cell r="AD66">
            <v>-2041.0995431424049</v>
          </cell>
          <cell r="AE66">
            <v>-2466.7274435094455</v>
          </cell>
          <cell r="AF66">
            <v>-2338.6625791419551</v>
          </cell>
          <cell r="AG66">
            <v>-2779.8501624528321</v>
          </cell>
          <cell r="AH66">
            <v>-2982.1689014761682</v>
          </cell>
          <cell r="AI66">
            <v>-3865.0529521602471</v>
          </cell>
          <cell r="AJ66">
            <v>-4779.6887436029601</v>
          </cell>
          <cell r="AK66">
            <v>-6159.1266798519819</v>
          </cell>
          <cell r="AL66">
            <v>-8143.1881727143655</v>
          </cell>
          <cell r="AM66">
            <v>-11191.987822753497</v>
          </cell>
        </row>
        <row r="67">
          <cell r="N67">
            <v>97.3</v>
          </cell>
          <cell r="O67">
            <v>77.349999999999994</v>
          </cell>
          <cell r="P67">
            <v>17.75</v>
          </cell>
          <cell r="Q67">
            <v>16.1661</v>
          </cell>
          <cell r="R67">
            <v>24.256050000000002</v>
          </cell>
          <cell r="S67">
            <v>89.554070999999993</v>
          </cell>
          <cell r="T67">
            <v>-2.8292590000000075</v>
          </cell>
          <cell r="U67">
            <v>91.363691999999986</v>
          </cell>
          <cell r="V67">
            <v>138.08608266963361</v>
          </cell>
          <cell r="W67">
            <v>-177.18397899999999</v>
          </cell>
          <cell r="X67">
            <v>43.746986</v>
          </cell>
          <cell r="Y67">
            <v>133.22066000000001</v>
          </cell>
          <cell r="Z67">
            <v>321.95349499999998</v>
          </cell>
          <cell r="AA67">
            <v>262.53982400000001</v>
          </cell>
          <cell r="AB67">
            <v>185.42562400000003</v>
          </cell>
          <cell r="AC67">
            <v>220.35183800000001</v>
          </cell>
          <cell r="AD67">
            <v>335.18325887318383</v>
          </cell>
          <cell r="AE67">
            <v>118.37369256529709</v>
          </cell>
          <cell r="AF67">
            <v>76.189473202752907</v>
          </cell>
          <cell r="AG67">
            <v>60.727469177677364</v>
          </cell>
          <cell r="AH67">
            <v>-47.488984077709347</v>
          </cell>
          <cell r="AI67">
            <v>-49.025284358337416</v>
          </cell>
          <cell r="AJ67">
            <v>-52.732341123271254</v>
          </cell>
          <cell r="AK67">
            <v>-32.14012331109646</v>
          </cell>
          <cell r="AL67">
            <v>-43.795055948675014</v>
          </cell>
          <cell r="AM67">
            <v>-24.06409846646433</v>
          </cell>
        </row>
        <row r="68">
          <cell r="N68">
            <v>-140.1091650000003</v>
          </cell>
          <cell r="O68">
            <v>-53.490991000000591</v>
          </cell>
          <cell r="P68">
            <v>280.96514062999972</v>
          </cell>
          <cell r="Q68">
            <v>192.2204219999999</v>
          </cell>
          <cell r="R68">
            <v>156.56331480000034</v>
          </cell>
          <cell r="S68">
            <v>-111.28269199999997</v>
          </cell>
          <cell r="T68">
            <v>835.8843879999996</v>
          </cell>
          <cell r="U68">
            <v>197.00542501999925</v>
          </cell>
          <cell r="V68">
            <v>540.47335399036615</v>
          </cell>
          <cell r="W68">
            <v>832.74491200000159</v>
          </cell>
          <cell r="X68">
            <v>382.05511984999845</v>
          </cell>
          <cell r="Y68">
            <v>1171.5246972499979</v>
          </cell>
          <cell r="Z68">
            <v>509.31050198000196</v>
          </cell>
          <cell r="AA68">
            <v>2083.1081759999993</v>
          </cell>
          <cell r="AB68">
            <v>935.16237600000159</v>
          </cell>
          <cell r="AC68">
            <v>-259.45183799999967</v>
          </cell>
          <cell r="AD68">
            <v>-2376.2828020155885</v>
          </cell>
          <cell r="AE68">
            <v>-2585.1011360747425</v>
          </cell>
          <cell r="AF68">
            <v>-2414.8520523447082</v>
          </cell>
          <cell r="AG68">
            <v>-2840.5776316305096</v>
          </cell>
          <cell r="AH68">
            <v>-2934.6799173984591</v>
          </cell>
          <cell r="AI68">
            <v>-3816.0276678019095</v>
          </cell>
          <cell r="AJ68">
            <v>-4726.9564024796891</v>
          </cell>
          <cell r="AK68">
            <v>-6126.9865565408854</v>
          </cell>
          <cell r="AL68">
            <v>-8099.3931167656901</v>
          </cell>
          <cell r="AM68">
            <v>-11167.923724287033</v>
          </cell>
        </row>
        <row r="69">
          <cell r="N69">
            <v>-220.8</v>
          </cell>
          <cell r="O69">
            <v>27.300000000000011</v>
          </cell>
          <cell r="P69">
            <v>490.1</v>
          </cell>
          <cell r="Q69">
            <v>30.899999999999977</v>
          </cell>
          <cell r="R69">
            <v>38.5</v>
          </cell>
          <cell r="S69">
            <v>-43.5</v>
          </cell>
          <cell r="T69">
            <v>-407.9</v>
          </cell>
          <cell r="U69">
            <v>-403.4</v>
          </cell>
          <cell r="V69">
            <v>38.399999999999977</v>
          </cell>
          <cell r="W69">
            <v>-106.5</v>
          </cell>
          <cell r="X69">
            <v>126.10000000000002</v>
          </cell>
          <cell r="Y69">
            <v>-154</v>
          </cell>
          <cell r="Z69">
            <v>-94.700000000000045</v>
          </cell>
          <cell r="AA69">
            <v>384.40000000000003</v>
          </cell>
          <cell r="AB69">
            <v>-205.40000000000003</v>
          </cell>
          <cell r="AC69">
            <v>-205.40000000000003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30.2</v>
          </cell>
          <cell r="O70">
            <v>-149.5</v>
          </cell>
          <cell r="P70">
            <v>253.5</v>
          </cell>
          <cell r="Q70">
            <v>104.2</v>
          </cell>
          <cell r="R70">
            <v>-7.5999999999999943</v>
          </cell>
          <cell r="S70">
            <v>98.5</v>
          </cell>
          <cell r="T70">
            <v>176.8</v>
          </cell>
          <cell r="U70">
            <v>91.199999999999932</v>
          </cell>
          <cell r="V70">
            <v>-61.999999999999943</v>
          </cell>
          <cell r="W70">
            <v>339.3</v>
          </cell>
          <cell r="X70">
            <v>-167.5</v>
          </cell>
          <cell r="Y70">
            <v>243.69999999999993</v>
          </cell>
          <cell r="Z70">
            <v>263.10000000000014</v>
          </cell>
          <cell r="AA70">
            <v>-144.00000000000011</v>
          </cell>
          <cell r="AB70">
            <v>-60.600000000000023</v>
          </cell>
          <cell r="AC70">
            <v>-60.600000000000023</v>
          </cell>
          <cell r="AD70">
            <v>-1901.0262416124708</v>
          </cell>
          <cell r="AE70">
            <v>-2068.0809088597939</v>
          </cell>
          <cell r="AF70">
            <v>-1931.8816418757667</v>
          </cell>
          <cell r="AG70">
            <v>-2272.4621053044079</v>
          </cell>
          <cell r="AH70">
            <v>-2347.7439339187672</v>
          </cell>
          <cell r="AI70">
            <v>-3052.8221342415277</v>
          </cell>
          <cell r="AJ70">
            <v>-3781.5651219837514</v>
          </cell>
          <cell r="AK70">
            <v>-4901.5892452327089</v>
          </cell>
          <cell r="AL70">
            <v>-6479.5144934125528</v>
          </cell>
          <cell r="AM70">
            <v>-8934.3389794296272</v>
          </cell>
        </row>
        <row r="71">
          <cell r="N71">
            <v>50.490834999999706</v>
          </cell>
          <cell r="O71">
            <v>68.709008999999398</v>
          </cell>
          <cell r="P71">
            <v>-462.6348593700003</v>
          </cell>
          <cell r="Q71">
            <v>57.12042199999992</v>
          </cell>
          <cell r="R71">
            <v>125.66331480000034</v>
          </cell>
          <cell r="S71">
            <v>-166.28269199999997</v>
          </cell>
          <cell r="T71">
            <v>1066.9843879999996</v>
          </cell>
          <cell r="U71">
            <v>509.20542501999932</v>
          </cell>
          <cell r="V71">
            <v>564.07335399036606</v>
          </cell>
          <cell r="W71">
            <v>599.94491200000152</v>
          </cell>
          <cell r="X71">
            <v>423.45511984999843</v>
          </cell>
          <cell r="Y71">
            <v>1081.8246972499978</v>
          </cell>
          <cell r="Z71">
            <v>340.91050198000187</v>
          </cell>
          <cell r="AA71">
            <v>1842.7081759999992</v>
          </cell>
          <cell r="AB71">
            <v>1201.1623760000016</v>
          </cell>
          <cell r="AC71">
            <v>6.5481620000003886</v>
          </cell>
          <cell r="AD71">
            <v>-475.25656040311765</v>
          </cell>
          <cell r="AE71">
            <v>-517.02022721494859</v>
          </cell>
          <cell r="AF71">
            <v>-482.97041046894151</v>
          </cell>
          <cell r="AG71">
            <v>-568.11552632610164</v>
          </cell>
          <cell r="AH71">
            <v>-586.93598347969191</v>
          </cell>
          <cell r="AI71">
            <v>-763.20553356038181</v>
          </cell>
          <cell r="AJ71">
            <v>-945.39128049593774</v>
          </cell>
          <cell r="AK71">
            <v>-1225.3973113081765</v>
          </cell>
          <cell r="AL71">
            <v>-1619.8786233531373</v>
          </cell>
          <cell r="AM71">
            <v>-2233.5847448574059</v>
          </cell>
        </row>
        <row r="73">
          <cell r="N73">
            <v>144.01071500000035</v>
          </cell>
          <cell r="O73">
            <v>404.63923900000054</v>
          </cell>
          <cell r="P73">
            <v>72.256408730000203</v>
          </cell>
          <cell r="Q73">
            <v>161.6691209999999</v>
          </cell>
          <cell r="R73">
            <v>212.1733410099996</v>
          </cell>
          <cell r="S73">
            <v>466.70474499999955</v>
          </cell>
          <cell r="T73">
            <v>-275.11002000000008</v>
          </cell>
          <cell r="U73">
            <v>351.22620393000034</v>
          </cell>
          <cell r="V73">
            <v>42.119523340000342</v>
          </cell>
          <cell r="W73">
            <v>365.07628099999874</v>
          </cell>
          <cell r="X73">
            <v>589.09833815000093</v>
          </cell>
          <cell r="Y73">
            <v>246.77212748000238</v>
          </cell>
          <cell r="Z73">
            <v>1023.4398093699983</v>
          </cell>
          <cell r="AA73">
            <v>-594.37799999999879</v>
          </cell>
          <cell r="AB73">
            <v>645.51199999999881</v>
          </cell>
          <cell r="AC73">
            <v>1570</v>
          </cell>
          <cell r="AD73">
            <v>3528.2886164950251</v>
          </cell>
          <cell r="AE73">
            <v>4105.4479318336835</v>
          </cell>
          <cell r="AF73">
            <v>4149.6423763735256</v>
          </cell>
          <cell r="AG73">
            <v>4860.5730183322194</v>
          </cell>
          <cell r="AH73">
            <v>5379.8719072717086</v>
          </cell>
          <cell r="AI73">
            <v>6634.6691568596943</v>
          </cell>
          <cell r="AJ73">
            <v>7982.7120019202011</v>
          </cell>
          <cell r="AK73">
            <v>9843.7018883007549</v>
          </cell>
          <cell r="AL73">
            <v>12335.925964709575</v>
          </cell>
          <cell r="AM73">
            <v>15904.531408044706</v>
          </cell>
        </row>
        <row r="74">
          <cell r="N74">
            <v>-64.192084999999679</v>
          </cell>
          <cell r="O74">
            <v>-90.015630999999402</v>
          </cell>
          <cell r="P74">
            <v>-320.05053905999978</v>
          </cell>
          <cell r="Q74">
            <v>-186.12889299999989</v>
          </cell>
          <cell r="R74">
            <v>-95.936672440000365</v>
          </cell>
          <cell r="S74">
            <v>132.84726599999996</v>
          </cell>
          <cell r="T74">
            <v>-626.46785999999963</v>
          </cell>
          <cell r="U74">
            <v>7.2935043100007988</v>
          </cell>
          <cell r="V74">
            <v>-202.95983499999977</v>
          </cell>
          <cell r="W74">
            <v>-144.85796300000152</v>
          </cell>
          <cell r="X74">
            <v>66.403222000001563</v>
          </cell>
          <cell r="Y74">
            <v>-773.48461264999787</v>
          </cell>
          <cell r="Z74">
            <v>-30.56761155000197</v>
          </cell>
          <cell r="AA74">
            <v>-1512.4779999999992</v>
          </cell>
          <cell r="AB74">
            <v>-123.58800000000156</v>
          </cell>
          <cell r="AC74">
            <v>1096.8999999999996</v>
          </cell>
          <cell r="AD74">
            <v>3130.19376149547</v>
          </cell>
          <cell r="AE74">
            <v>3541.2592936904539</v>
          </cell>
          <cell r="AF74">
            <v>3178.9246946194771</v>
          </cell>
          <cell r="AG74">
            <v>3642.5326798029496</v>
          </cell>
          <cell r="AH74">
            <v>3841.6918400183354</v>
          </cell>
          <cell r="AI74">
            <v>4713.4601162753743</v>
          </cell>
          <cell r="AJ74">
            <v>5616.9432738534451</v>
          </cell>
          <cell r="AK74">
            <v>6984.9664058716398</v>
          </cell>
          <cell r="AL74">
            <v>8957.5201512919048</v>
          </cell>
          <cell r="AM74">
            <v>11994.913274598743</v>
          </cell>
        </row>
        <row r="78">
          <cell r="N78">
            <v>0.12415103071491618</v>
          </cell>
          <cell r="O78">
            <v>0.10358548755988256</v>
          </cell>
          <cell r="P78">
            <v>0.10932892982280509</v>
          </cell>
          <cell r="Q78">
            <v>0.1085685836661851</v>
          </cell>
          <cell r="R78">
            <v>9.9790533888678534E-2</v>
          </cell>
          <cell r="S78">
            <v>9.5469747704573893E-2</v>
          </cell>
          <cell r="T78">
            <v>0.10056187064965197</v>
          </cell>
          <cell r="U78">
            <v>0.13085107559942208</v>
          </cell>
          <cell r="V78">
            <v>0.12097990193329827</v>
          </cell>
          <cell r="W78">
            <v>0.12421253501610462</v>
          </cell>
          <cell r="X78">
            <v>0.12009428308922636</v>
          </cell>
          <cell r="Y78">
            <v>0.12822437660557923</v>
          </cell>
          <cell r="Z78">
            <v>0.15018447783505495</v>
          </cell>
          <cell r="AA78">
            <v>0.11677087367896861</v>
          </cell>
          <cell r="AB78">
            <v>0.1228991659442169</v>
          </cell>
          <cell r="AC78">
            <v>0.13025375766004091</v>
          </cell>
          <cell r="AD78">
            <v>0.12542923221529773</v>
          </cell>
          <cell r="AE78">
            <v>0.12218601124676172</v>
          </cell>
          <cell r="AF78">
            <v>0.12244937435399929</v>
          </cell>
          <cell r="AG78">
            <v>0.12481042012118071</v>
          </cell>
          <cell r="AH78">
            <v>0.12215235025729798</v>
          </cell>
          <cell r="AI78">
            <v>0.12743969876455299</v>
          </cell>
          <cell r="AJ78">
            <v>0.12743670690004508</v>
          </cell>
          <cell r="AK78">
            <v>0.12744210233686937</v>
          </cell>
          <cell r="AL78">
            <v>0.12748320941867056</v>
          </cell>
          <cell r="AM78">
            <v>0.12752950684740252</v>
          </cell>
        </row>
        <row r="79">
          <cell r="N79">
            <v>6.5975687731685786E-2</v>
          </cell>
          <cell r="O79">
            <v>6.3829633596043892E-2</v>
          </cell>
          <cell r="P79">
            <v>6.7607701805319179E-2</v>
          </cell>
          <cell r="Q79">
            <v>5.8751876717373447E-2</v>
          </cell>
          <cell r="R79">
            <v>5.3171147292692164E-2</v>
          </cell>
          <cell r="S79">
            <v>5.6488898916431649E-2</v>
          </cell>
          <cell r="T79">
            <v>6.1409794591067282E-2</v>
          </cell>
          <cell r="U79">
            <v>6.2720946608009615E-2</v>
          </cell>
          <cell r="V79">
            <v>7.2508020033876519E-2</v>
          </cell>
          <cell r="W79">
            <v>7.9356462656938145E-2</v>
          </cell>
          <cell r="X79">
            <v>6.7724373259052922E-2</v>
          </cell>
          <cell r="Y79">
            <v>7.0168908981290967E-2</v>
          </cell>
          <cell r="Z79">
            <v>7.2428286525724916E-2</v>
          </cell>
          <cell r="AA79">
            <v>7.3795954501980066E-2</v>
          </cell>
          <cell r="AB79">
            <v>7.9576096379779387E-2</v>
          </cell>
          <cell r="AC79">
            <v>8.0765670438082998E-2</v>
          </cell>
          <cell r="AD79">
            <v>8.5740499999999997E-2</v>
          </cell>
          <cell r="AE79">
            <v>8.5739999999999997E-2</v>
          </cell>
          <cell r="AF79">
            <v>8.5739999999999997E-2</v>
          </cell>
          <cell r="AG79">
            <v>8.5739999999999997E-2</v>
          </cell>
          <cell r="AH79">
            <v>8.5739999999999997E-2</v>
          </cell>
          <cell r="AI79">
            <v>8.5739999999999997E-2</v>
          </cell>
          <cell r="AJ79">
            <v>8.5739999999999997E-2</v>
          </cell>
          <cell r="AK79">
            <v>8.5739999999999997E-2</v>
          </cell>
          <cell r="AL79">
            <v>8.5739999999999997E-2</v>
          </cell>
          <cell r="AM79">
            <v>8.5739999999999997E-2</v>
          </cell>
        </row>
        <row r="80">
          <cell r="N80">
            <v>4.9554933980582527E-2</v>
          </cell>
          <cell r="O80">
            <v>3.1626603461597902E-2</v>
          </cell>
          <cell r="P80">
            <v>3.3530935896152435E-2</v>
          </cell>
          <cell r="Q80">
            <v>4.1842744284864453E-2</v>
          </cell>
          <cell r="R80">
            <v>4.0219225672093906E-2</v>
          </cell>
          <cell r="S80">
            <v>3.3107382514472317E-2</v>
          </cell>
          <cell r="T80">
            <v>3.0186052349187937E-2</v>
          </cell>
          <cell r="U80">
            <v>6.0985931916689662E-2</v>
          </cell>
          <cell r="V80">
            <v>4.2088004614216454E-2</v>
          </cell>
          <cell r="W80">
            <v>3.7499681851048447E-2</v>
          </cell>
          <cell r="X80">
            <v>4.055527338485039E-2</v>
          </cell>
          <cell r="Y80">
            <v>5.1121947168764052E-2</v>
          </cell>
          <cell r="Z80">
            <v>7.0183531529212459E-2</v>
          </cell>
          <cell r="AA80">
            <v>3.7878129174538179E-2</v>
          </cell>
          <cell r="AB80">
            <v>3.6540013751457351E-2</v>
          </cell>
          <cell r="AC80">
            <v>4.3733011910190897E-2</v>
          </cell>
          <cell r="AD80">
            <v>3.4008732215297724E-2</v>
          </cell>
          <cell r="AE80">
            <v>3.0895011246761733E-2</v>
          </cell>
          <cell r="AF80">
            <v>3.102937435399928E-2</v>
          </cell>
          <cell r="AG80">
            <v>3.3390420121180722E-2</v>
          </cell>
          <cell r="AH80">
            <v>3.0732350257297987E-2</v>
          </cell>
          <cell r="AI80">
            <v>3.6019698764552993E-2</v>
          </cell>
          <cell r="AJ80">
            <v>3.6016706900045083E-2</v>
          </cell>
          <cell r="AK80">
            <v>3.6022102336869338E-2</v>
          </cell>
          <cell r="AL80">
            <v>3.6063209418670548E-2</v>
          </cell>
          <cell r="AM80">
            <v>3.6109506847402523E-2</v>
          </cell>
        </row>
        <row r="81">
          <cell r="N81">
            <v>6.378915092674315E-3</v>
          </cell>
          <cell r="O81">
            <v>6.2089040333796943E-3</v>
          </cell>
          <cell r="P81">
            <v>6.281726699369306E-3</v>
          </cell>
          <cell r="Q81">
            <v>4.8239102574997878E-3</v>
          </cell>
          <cell r="R81">
            <v>2.800340780007573E-3</v>
          </cell>
          <cell r="S81">
            <v>2.8165736338768847E-3</v>
          </cell>
          <cell r="T81">
            <v>6.5733322940835261E-3</v>
          </cell>
          <cell r="U81">
            <v>4.8065726855083517E-3</v>
          </cell>
          <cell r="V81">
            <v>4.0475651539045613E-3</v>
          </cell>
          <cell r="W81">
            <v>4.900596121737987E-3</v>
          </cell>
          <cell r="X81">
            <v>8.9915949770868892E-3</v>
          </cell>
          <cell r="Y81">
            <v>4.4798145365806978E-3</v>
          </cell>
          <cell r="Z81">
            <v>4.9400245125718273E-3</v>
          </cell>
          <cell r="AA81">
            <v>2.7191311427464805E-3</v>
          </cell>
          <cell r="AB81">
            <v>4.2151206241965861E-3</v>
          </cell>
          <cell r="AC81">
            <v>2.6968227306347855E-3</v>
          </cell>
          <cell r="AD81">
            <v>2.9099999999999998E-3</v>
          </cell>
          <cell r="AE81">
            <v>2.8709999999999999E-3</v>
          </cell>
          <cell r="AF81">
            <v>2.9999999999999996E-3</v>
          </cell>
          <cell r="AG81">
            <v>3.0000000000000001E-3</v>
          </cell>
          <cell r="AH81">
            <v>3.0000000000000001E-3</v>
          </cell>
          <cell r="AI81">
            <v>3.0000000000000001E-3</v>
          </cell>
          <cell r="AJ81">
            <v>3.0000000000000001E-3</v>
          </cell>
          <cell r="AK81">
            <v>3.0000000000000001E-3</v>
          </cell>
          <cell r="AL81">
            <v>3.0000000000000001E-3</v>
          </cell>
          <cell r="AM81">
            <v>3.0000000000000001E-3</v>
          </cell>
        </row>
        <row r="82">
          <cell r="N82">
            <v>2.2414939099735217E-3</v>
          </cell>
          <cell r="O82">
            <v>1.9203464688610727E-3</v>
          </cell>
          <cell r="P82">
            <v>1.9085654219641607E-3</v>
          </cell>
          <cell r="Q82">
            <v>3.1500524064474096E-3</v>
          </cell>
          <cell r="R82">
            <v>3.5998201438848924E-3</v>
          </cell>
          <cell r="S82">
            <v>3.0568926397930405E-3</v>
          </cell>
          <cell r="T82">
            <v>2.392691415313225E-3</v>
          </cell>
          <cell r="U82">
            <v>2.337624389214461E-3</v>
          </cell>
          <cell r="V82">
            <v>2.3363121313007417E-3</v>
          </cell>
          <cell r="W82">
            <v>2.4557943863800697E-3</v>
          </cell>
          <cell r="X82">
            <v>2.8230414682361396E-3</v>
          </cell>
          <cell r="Y82">
            <v>2.4537059189434899E-3</v>
          </cell>
          <cell r="Z82">
            <v>2.6326352675457537E-3</v>
          </cell>
          <cell r="AA82">
            <v>2.3776588597038992E-3</v>
          </cell>
          <cell r="AB82">
            <v>2.5679351887835941E-3</v>
          </cell>
          <cell r="AC82">
            <v>3.0582525811322309E-3</v>
          </cell>
          <cell r="AD82">
            <v>2.7699999999999999E-3</v>
          </cell>
          <cell r="AE82">
            <v>2.6800000000000001E-3</v>
          </cell>
          <cell r="AF82">
            <v>2.6800000000000001E-3</v>
          </cell>
          <cell r="AG82">
            <v>2.6800000000000001E-3</v>
          </cell>
          <cell r="AH82">
            <v>2.6800000000000001E-3</v>
          </cell>
          <cell r="AI82">
            <v>2.6800000000000001E-3</v>
          </cell>
          <cell r="AJ82">
            <v>2.6800000000000001E-3</v>
          </cell>
          <cell r="AK82">
            <v>2.6800000000000001E-3</v>
          </cell>
          <cell r="AL82">
            <v>2.6800000000000001E-3</v>
          </cell>
          <cell r="AM82">
            <v>2.6799999999999997E-3</v>
          </cell>
        </row>
        <row r="83">
          <cell r="N83">
            <v>4.9245256742256244E-2</v>
          </cell>
          <cell r="O83">
            <v>0.27171994049413462</v>
          </cell>
          <cell r="P83">
            <v>0.19335215369366218</v>
          </cell>
          <cell r="Q83">
            <v>0.19902818279749016</v>
          </cell>
          <cell r="R83">
            <v>0.17332618079150117</v>
          </cell>
          <cell r="S83">
            <v>0.18673756400210043</v>
          </cell>
          <cell r="T83">
            <v>0.18209606102541601</v>
          </cell>
          <cell r="U83">
            <v>0.18716946052118633</v>
          </cell>
          <cell r="V83">
            <v>0.19425088101579102</v>
          </cell>
          <cell r="W83">
            <v>0.22264381349827359</v>
          </cell>
          <cell r="X83">
            <v>0.25414476880272052</v>
          </cell>
          <cell r="Y83">
            <v>0.19241612938476668</v>
          </cell>
          <cell r="Z83">
            <v>0.16060651545371615</v>
          </cell>
          <cell r="AA83">
            <v>0.17746124166958963</v>
          </cell>
          <cell r="AB83">
            <v>0.24150708995923992</v>
          </cell>
          <cell r="AC83">
            <v>0.20573799010603494</v>
          </cell>
          <cell r="AD83">
            <v>0.26869999999999999</v>
          </cell>
          <cell r="AE83">
            <v>0.26105</v>
          </cell>
          <cell r="AF83">
            <v>0.221</v>
          </cell>
          <cell r="AG83">
            <v>0.21099999999999999</v>
          </cell>
          <cell r="AH83">
            <v>0.20099999999999998</v>
          </cell>
          <cell r="AI83">
            <v>0.19099999999999998</v>
          </cell>
          <cell r="AJ83">
            <v>0.18099999999999999</v>
          </cell>
          <cell r="AK83">
            <v>0.17099999999999996</v>
          </cell>
          <cell r="AL83">
            <v>0.16099999999999995</v>
          </cell>
          <cell r="AM83">
            <v>0.15099999999999994</v>
          </cell>
        </row>
        <row r="84">
          <cell r="N84">
            <v>5.0011240826655423E-2</v>
          </cell>
          <cell r="O84">
            <v>6.9848658149542775E-2</v>
          </cell>
          <cell r="P84">
            <v>9.3177546152950763E-2</v>
          </cell>
          <cell r="Q84">
            <v>9.1926081666793405E-2</v>
          </cell>
          <cell r="R84">
            <v>9.4271408959384961E-2</v>
          </cell>
          <cell r="S84">
            <v>0.11497261140598532</v>
          </cell>
          <cell r="T84">
            <v>8.6879203845469113E-2</v>
          </cell>
          <cell r="U84">
            <v>8.6368748888341715E-2</v>
          </cell>
          <cell r="V84">
            <v>8.1914102014328735E-2</v>
          </cell>
          <cell r="W84">
            <v>9.0672801520841589E-2</v>
          </cell>
          <cell r="X84">
            <v>7.8777253784541854E-2</v>
          </cell>
          <cell r="Y84">
            <v>7.2674594072553875E-2</v>
          </cell>
          <cell r="Z84">
            <v>6.4420741366564574E-2</v>
          </cell>
          <cell r="AA84">
            <v>5.6640766828843218E-2</v>
          </cell>
          <cell r="AB84">
            <v>5.5930175648485507E-2</v>
          </cell>
          <cell r="AC84">
            <v>8.2705505941189597E-2</v>
          </cell>
          <cell r="AD84">
            <v>7.3692821810643669E-2</v>
          </cell>
          <cell r="AE84">
            <v>6.8105351426377136E-2</v>
          </cell>
          <cell r="AF84">
            <v>6.8714517663936381E-2</v>
          </cell>
          <cell r="AG84">
            <v>6.8155950356116726E-2</v>
          </cell>
          <cell r="AH84">
            <v>6.7344583206231975E-2</v>
          </cell>
          <cell r="AI84">
            <v>6.6436563963452461E-2</v>
          </cell>
          <cell r="AJ84">
            <v>6.5480455972254076E-2</v>
          </cell>
          <cell r="AK84">
            <v>6.4789541485169092E-2</v>
          </cell>
          <cell r="AL84">
            <v>6.4464473711728004E-2</v>
          </cell>
          <cell r="AM84">
            <v>6.4874066844069128E-2</v>
          </cell>
        </row>
        <row r="85">
          <cell r="N85">
            <v>9.297250872282504E-4</v>
          </cell>
          <cell r="O85">
            <v>1.0758472296933835E-3</v>
          </cell>
          <cell r="P85">
            <v>8.1480619252706325E-4</v>
          </cell>
          <cell r="Q85">
            <v>1.5410741895419866E-3</v>
          </cell>
          <cell r="R85">
            <v>2.4933955688850405E-3</v>
          </cell>
          <cell r="S85">
            <v>2.7178618482966311E-3</v>
          </cell>
          <cell r="T85">
            <v>2.3564827552721443E-3</v>
          </cell>
          <cell r="U85">
            <v>2.3058762184788749E-3</v>
          </cell>
          <cell r="V85">
            <v>2.2209887862111931E-3</v>
          </cell>
          <cell r="W85">
            <v>2.3932189592031907E-3</v>
          </cell>
          <cell r="X85">
            <v>2.2293220328685561E-3</v>
          </cell>
          <cell r="Y85">
            <v>2.3316575981512299E-3</v>
          </cell>
          <cell r="Z85">
            <v>2.2807286332845529E-3</v>
          </cell>
          <cell r="AA85">
            <v>2.4050540991939584E-3</v>
          </cell>
          <cell r="AB85">
            <v>2.5585948121159387E-3</v>
          </cell>
          <cell r="AC85">
            <v>2.8562720572599099E-3</v>
          </cell>
          <cell r="AD85">
            <v>2.2200000000000002E-3</v>
          </cell>
          <cell r="AE85">
            <v>2.2000000000000001E-3</v>
          </cell>
          <cell r="AF85">
            <v>2.2699999999999999E-3</v>
          </cell>
          <cell r="AG85">
            <v>2.2699999999999999E-3</v>
          </cell>
          <cell r="AH85">
            <v>2.2699999999999999E-3</v>
          </cell>
          <cell r="AI85">
            <v>2.2699999999999999E-3</v>
          </cell>
          <cell r="AJ85">
            <v>2.2699999999999999E-3</v>
          </cell>
          <cell r="AK85">
            <v>2.2699999999999999E-3</v>
          </cell>
          <cell r="AL85">
            <v>2.2699999999999999E-3</v>
          </cell>
          <cell r="AM85">
            <v>2.2699999999999999E-3</v>
          </cell>
        </row>
        <row r="86">
          <cell r="N86">
            <v>1.6532789386910012E-3</v>
          </cell>
          <cell r="O86">
            <v>1.8935806885422271E-3</v>
          </cell>
          <cell r="P86">
            <v>2.3993395646606915E-2</v>
          </cell>
          <cell r="Q86">
            <v>7.5656278609991636E-3</v>
          </cell>
          <cell r="R86">
            <v>1.6843533909223395E-2</v>
          </cell>
          <cell r="S86">
            <v>2.0337901976284586E-2</v>
          </cell>
          <cell r="T86">
            <v>1.964950685419263E-2</v>
          </cell>
          <cell r="U86">
            <v>1.7424081342970122E-2</v>
          </cell>
          <cell r="V86">
            <v>1.9667717370989511E-2</v>
          </cell>
          <cell r="W86">
            <v>1.8785365725082222E-2</v>
          </cell>
          <cell r="X86">
            <v>1.4678942900250107E-2</v>
          </cell>
          <cell r="Y86">
            <v>1.5984681354499909E-2</v>
          </cell>
          <cell r="Z86">
            <v>2.1219438981337598E-2</v>
          </cell>
          <cell r="AA86">
            <v>1.4232808074940092E-2</v>
          </cell>
          <cell r="AB86">
            <v>1.3350372505302082E-2</v>
          </cell>
          <cell r="AC86">
            <v>1.3725271921169301E-2</v>
          </cell>
          <cell r="AD86">
            <v>2.5022113624863535E-2</v>
          </cell>
          <cell r="AE86">
            <v>2.4069642854509736E-2</v>
          </cell>
          <cell r="AF86">
            <v>2.3767609004004833E-2</v>
          </cell>
          <cell r="AG86">
            <v>2.3546644397225123E-2</v>
          </cell>
          <cell r="AH86">
            <v>2.3302382987889222E-2</v>
          </cell>
          <cell r="AI86">
            <v>2.3151700576762614E-2</v>
          </cell>
          <cell r="AJ86">
            <v>2.2986533433393807E-2</v>
          </cell>
          <cell r="AK86">
            <v>2.2878045380307192E-2</v>
          </cell>
          <cell r="AL86">
            <v>2.2883895680694943E-2</v>
          </cell>
          <cell r="AM86">
            <v>2.3019578627435287E-2</v>
          </cell>
        </row>
        <row r="87">
          <cell r="N87">
            <v>6.548332349219739E-2</v>
          </cell>
          <cell r="O87">
            <v>6.8195133808499189E-2</v>
          </cell>
          <cell r="P87">
            <v>2.9468439762542199E-2</v>
          </cell>
          <cell r="Q87">
            <v>2.1267322028743062E-2</v>
          </cell>
          <cell r="R87">
            <v>2.712616216444548E-2</v>
          </cell>
          <cell r="S87">
            <v>1.6877923433088651E-2</v>
          </cell>
          <cell r="T87">
            <v>1.3498333112143329E-2</v>
          </cell>
          <cell r="U87">
            <v>1.1787746759172083E-2</v>
          </cell>
          <cell r="V87">
            <v>1.013705783407746E-2</v>
          </cell>
          <cell r="W87">
            <v>8.6454772690163547E-3</v>
          </cell>
          <cell r="X87">
            <v>1.1100482760715699E-2</v>
          </cell>
          <cell r="Y87">
            <v>5.1241923662358087E-3</v>
          </cell>
          <cell r="Z87">
            <v>9.6812571437623479E-3</v>
          </cell>
          <cell r="AA87">
            <v>1.129910681867693E-2</v>
          </cell>
          <cell r="AB87">
            <v>9.3534178041220287E-3</v>
          </cell>
          <cell r="AC87">
            <v>1.2233944032865453E-2</v>
          </cell>
          <cell r="AD87">
            <v>8.0400000000000003E-3</v>
          </cell>
          <cell r="AE87">
            <v>6.9899999999999997E-3</v>
          </cell>
          <cell r="AF87">
            <v>6.9899999999999988E-3</v>
          </cell>
          <cell r="AG87">
            <v>6.9900000000000006E-3</v>
          </cell>
          <cell r="AH87">
            <v>6.9899999999999997E-3</v>
          </cell>
          <cell r="AI87">
            <v>6.9899999999999997E-3</v>
          </cell>
          <cell r="AJ87">
            <v>6.9899999999999997E-3</v>
          </cell>
          <cell r="AK87">
            <v>6.9899999999999997E-3</v>
          </cell>
          <cell r="AL87">
            <v>6.9899999999999997E-3</v>
          </cell>
          <cell r="AM87">
            <v>6.9899999999999997E-3</v>
          </cell>
        </row>
        <row r="88">
          <cell r="X88" t="str">
            <v/>
          </cell>
        </row>
        <row r="89">
          <cell r="N89">
            <v>0.15504006748207508</v>
          </cell>
          <cell r="O89">
            <v>0.16221710476062398</v>
          </cell>
          <cell r="P89">
            <v>0.17985078801769294</v>
          </cell>
          <cell r="Q89">
            <v>0.1621644796593415</v>
          </cell>
          <cell r="R89">
            <v>0.14835973708999514</v>
          </cell>
          <cell r="S89">
            <v>0.15360428676830418</v>
          </cell>
          <cell r="T89">
            <v>0.17235887872853511</v>
          </cell>
          <cell r="U89">
            <v>0.16415016319114731</v>
          </cell>
          <cell r="V89">
            <v>0.16452341397570347</v>
          </cell>
          <cell r="W89">
            <v>0.16887087821604346</v>
          </cell>
          <cell r="X89">
            <v>0.16050750832852353</v>
          </cell>
          <cell r="Y89">
            <v>0.14919504350300511</v>
          </cell>
          <cell r="Z89">
            <v>0.14208560264321168</v>
          </cell>
          <cell r="AA89">
            <v>0.14863118146830295</v>
          </cell>
          <cell r="AB89">
            <v>0.15028005873076294</v>
          </cell>
          <cell r="AC89">
            <v>0.14882946790394999</v>
          </cell>
          <cell r="AD89">
            <v>0.14835919260083946</v>
          </cell>
          <cell r="AE89">
            <v>0.14467172735725209</v>
          </cell>
          <cell r="AF89">
            <v>0.14245191320808265</v>
          </cell>
          <cell r="AG89">
            <v>0.13810377285454031</v>
          </cell>
          <cell r="AH89">
            <v>0.13307979930950203</v>
          </cell>
          <cell r="AI89">
            <v>0.12743308523430624</v>
          </cell>
          <cell r="AJ89">
            <v>0.12125385139192428</v>
          </cell>
          <cell r="AK89">
            <v>0.11577948469706056</v>
          </cell>
          <cell r="AL89">
            <v>0.11190006408323673</v>
          </cell>
          <cell r="AM89">
            <v>0.10900345114246153</v>
          </cell>
        </row>
        <row r="90">
          <cell r="N90">
            <v>8.5748245849468968E-2</v>
          </cell>
          <cell r="O90">
            <v>0.10792541594943518</v>
          </cell>
          <cell r="P90">
            <v>0.10111403729949948</v>
          </cell>
          <cell r="Q90">
            <v>8.5462138443210905E-2</v>
          </cell>
          <cell r="R90">
            <v>8.259807690286608E-2</v>
          </cell>
          <cell r="S90">
            <v>7.9064672162619989E-2</v>
          </cell>
          <cell r="T90">
            <v>7.6965625390454304E-2</v>
          </cell>
          <cell r="U90">
            <v>7.3625739650932054E-2</v>
          </cell>
          <cell r="V90">
            <v>7.1304122105700349E-2</v>
          </cell>
          <cell r="W90">
            <v>7.3869498402183292E-2</v>
          </cell>
          <cell r="X90">
            <v>6.6317121824275752E-2</v>
          </cell>
          <cell r="Y90">
            <v>6.8200984745923482E-2</v>
          </cell>
          <cell r="Z90">
            <v>6.0181343632605647E-2</v>
          </cell>
          <cell r="AA90">
            <v>6.0399390022511074E-2</v>
          </cell>
          <cell r="AB90">
            <v>5.201479145141117E-2</v>
          </cell>
          <cell r="AC90">
            <v>4.8581901717288024E-2</v>
          </cell>
          <cell r="AD90">
            <v>4.0196000000000003E-2</v>
          </cell>
          <cell r="AE90">
            <v>3.7199999999999997E-2</v>
          </cell>
          <cell r="AF90">
            <v>3.8000000000000006E-2</v>
          </cell>
          <cell r="AG90">
            <v>3.9E-2</v>
          </cell>
          <cell r="AH90">
            <v>0.04</v>
          </cell>
          <cell r="AI90">
            <v>0.04</v>
          </cell>
          <cell r="AJ90">
            <v>0.04</v>
          </cell>
          <cell r="AK90">
            <v>0.04</v>
          </cell>
          <cell r="AL90">
            <v>0.04</v>
          </cell>
          <cell r="AM90">
            <v>0.04</v>
          </cell>
        </row>
        <row r="91">
          <cell r="N91">
            <v>1.6870518768452129E-3</v>
          </cell>
          <cell r="O91">
            <v>5.3978077595481441E-2</v>
          </cell>
          <cell r="P91">
            <v>5.1097849889419157E-2</v>
          </cell>
          <cell r="Q91">
            <v>4.004583235748866E-2</v>
          </cell>
          <cell r="R91">
            <v>4.7955516662090525E-2</v>
          </cell>
          <cell r="S91">
            <v>4.8593382345191047E-2</v>
          </cell>
          <cell r="T91">
            <v>5.2516168514412424E-2</v>
          </cell>
          <cell r="U91">
            <v>4.8119987353022114E-2</v>
          </cell>
          <cell r="V91">
            <v>5.7187207974249817E-2</v>
          </cell>
          <cell r="W91">
            <v>5.4525807608873135E-2</v>
          </cell>
          <cell r="X91">
            <v>6.1267150682989553E-2</v>
          </cell>
          <cell r="Y91">
            <v>6.1016306081797721E-2</v>
          </cell>
          <cell r="Z91">
            <v>5.7118718223375525E-2</v>
          </cell>
          <cell r="AA91">
            <v>6.549996369181614E-2</v>
          </cell>
          <cell r="AB91">
            <v>6.2727717657295123E-2</v>
          </cell>
          <cell r="AC91">
            <v>6.4329313148021858E-2</v>
          </cell>
          <cell r="AD91">
            <v>5.2839500999999997E-2</v>
          </cell>
          <cell r="AE91">
            <v>4.9271499999999989E-2</v>
          </cell>
          <cell r="AF91">
            <v>4.9271499999999996E-2</v>
          </cell>
          <cell r="AG91">
            <v>4.9271499999999996E-2</v>
          </cell>
          <cell r="AH91">
            <v>4.9271499999999996E-2</v>
          </cell>
          <cell r="AI91">
            <v>4.9271500000000003E-2</v>
          </cell>
          <cell r="AJ91">
            <v>4.9271500000000003E-2</v>
          </cell>
          <cell r="AK91">
            <v>4.9271500000000003E-2</v>
          </cell>
          <cell r="AL91">
            <v>4.9271499999999989E-2</v>
          </cell>
          <cell r="AM91">
            <v>4.9271499999999989E-2</v>
          </cell>
        </row>
        <row r="92">
          <cell r="N92">
            <v>0</v>
          </cell>
          <cell r="O92">
            <v>2.720834857450242E-3</v>
          </cell>
          <cell r="P92">
            <v>2.5144342416482364E-3</v>
          </cell>
          <cell r="Q92">
            <v>7.1012728056168099E-3</v>
          </cell>
          <cell r="R92">
            <v>9.9237622117557614E-3</v>
          </cell>
          <cell r="S92">
            <v>1.0818825145868623E-2</v>
          </cell>
          <cell r="T92">
            <v>1.5483494521501287E-2</v>
          </cell>
          <cell r="U92">
            <v>2.0259688262336872E-2</v>
          </cell>
          <cell r="V92">
            <v>2.5321741286470769E-2</v>
          </cell>
          <cell r="W92">
            <v>2.3825101817079145E-2</v>
          </cell>
          <cell r="X92">
            <v>2.067411804125277E-2</v>
          </cell>
          <cell r="Y92">
            <v>2.0212298114151196E-2</v>
          </cell>
          <cell r="Z92">
            <v>2.4885620889519181E-2</v>
          </cell>
          <cell r="AA92">
            <v>2.512526323433302E-2</v>
          </cell>
          <cell r="AB92">
            <v>2.7108597531132744E-2</v>
          </cell>
          <cell r="AC92">
            <v>2.9321022888685801E-2</v>
          </cell>
          <cell r="AD92">
            <v>2.7010813832326654E-2</v>
          </cell>
          <cell r="AE92">
            <v>2.1251767203072296E-2</v>
          </cell>
          <cell r="AF92">
            <v>1.5028267970031324E-2</v>
          </cell>
          <cell r="AG92">
            <v>1.3793088323070064E-2</v>
          </cell>
          <cell r="AH92">
            <v>1.2233638681431791E-2</v>
          </cell>
          <cell r="AI92">
            <v>1.0716933043143879E-2</v>
          </cell>
          <cell r="AJ92">
            <v>9.3717864618117173E-3</v>
          </cell>
          <cell r="AK92">
            <v>8.2329909669181366E-3</v>
          </cell>
          <cell r="AL92">
            <v>7.3076323925137026E-3</v>
          </cell>
          <cell r="AM92">
            <v>6.5644332959157031E-3</v>
          </cell>
        </row>
        <row r="94">
          <cell r="N94">
            <v>2.9256546911544803E-2</v>
          </cell>
          <cell r="O94">
            <v>6.1256757261968803E-2</v>
          </cell>
          <cell r="P94">
            <v>4.4561940015132112E-2</v>
          </cell>
          <cell r="Q94">
            <v>3.7303775023445618E-2</v>
          </cell>
          <cell r="R94">
            <v>2.96303663775952E-2</v>
          </cell>
          <cell r="S94">
            <v>3.2251286805947674E-2</v>
          </cell>
          <cell r="T94">
            <v>3.3636160227879651E-2</v>
          </cell>
          <cell r="U94">
            <v>3.7340166277429358E-2</v>
          </cell>
          <cell r="V94">
            <v>3.5574187519468385E-2</v>
          </cell>
          <cell r="W94">
            <v>4.2755596323855283E-2</v>
          </cell>
          <cell r="X94">
            <v>3.7631357777170228E-2</v>
          </cell>
          <cell r="Y94">
            <v>3.8441307590821684E-2</v>
          </cell>
          <cell r="Z94">
            <v>3.6473907336722837E-2</v>
          </cell>
          <cell r="AA94">
            <v>3.9602062304843505E-2</v>
          </cell>
          <cell r="AB94">
            <v>3.6037848713905057E-2</v>
          </cell>
          <cell r="AC94">
            <v>3.3486630278388746E-2</v>
          </cell>
          <cell r="AD94">
            <v>3.3090000000000001E-2</v>
          </cell>
          <cell r="AE94">
            <v>3.1220000000000001E-2</v>
          </cell>
          <cell r="AF94">
            <v>3.2219999999999999E-2</v>
          </cell>
          <cell r="AG94">
            <v>3.322E-2</v>
          </cell>
          <cell r="AH94">
            <v>3.422E-2</v>
          </cell>
          <cell r="AI94">
            <v>3.5220000000000001E-2</v>
          </cell>
          <cell r="AJ94">
            <v>3.6220000000000002E-2</v>
          </cell>
          <cell r="AK94">
            <v>3.7220000000000003E-2</v>
          </cell>
          <cell r="AL94">
            <v>3.8220000000000004E-2</v>
          </cell>
          <cell r="AM94">
            <v>3.9220000000000005E-2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3.8481846790715354E-2</v>
          </cell>
          <cell r="S95">
            <v>4.7543760587238845E-2</v>
          </cell>
          <cell r="T95">
            <v>4.7213815203845468E-2</v>
          </cell>
          <cell r="U95">
            <v>5.0213641169739726E-2</v>
          </cell>
          <cell r="V95">
            <v>4.3245768871352924E-2</v>
          </cell>
          <cell r="W95">
            <v>5.5767301905717152E-2</v>
          </cell>
          <cell r="X95">
            <v>5.0961450833864941E-2</v>
          </cell>
          <cell r="Y95">
            <v>3.2995024532418149E-2</v>
          </cell>
          <cell r="Z95">
            <v>3.2880225698897154E-2</v>
          </cell>
          <cell r="AA95">
            <v>3.5823106528211454E-2</v>
          </cell>
          <cell r="AB95">
            <v>3.262820164228615E-2</v>
          </cell>
          <cell r="AC95">
            <v>3.3486630278388746E-2</v>
          </cell>
          <cell r="AD95">
            <v>3.7999999999999999E-2</v>
          </cell>
          <cell r="AE95">
            <v>3.2000000000000001E-2</v>
          </cell>
          <cell r="AF95">
            <v>3.3000000000000002E-2</v>
          </cell>
          <cell r="AG95">
            <v>3.4000000000000002E-2</v>
          </cell>
          <cell r="AH95">
            <v>3.5000000000000003E-2</v>
          </cell>
          <cell r="AI95">
            <v>3.6000000000000004E-2</v>
          </cell>
          <cell r="AJ95">
            <v>3.7000000000000005E-2</v>
          </cell>
          <cell r="AK95">
            <v>3.8000000000000006E-2</v>
          </cell>
          <cell r="AL95">
            <v>3.9000000000000007E-2</v>
          </cell>
          <cell r="AM95">
            <v>0.04</v>
          </cell>
        </row>
        <row r="96">
          <cell r="N96">
            <v>-5.1577740420771665</v>
          </cell>
          <cell r="O96">
            <v>-1.1442218744290968</v>
          </cell>
          <cell r="P96">
            <v>-1.6406935348719303</v>
          </cell>
          <cell r="Q96">
            <v>-0.14828214273857881</v>
          </cell>
          <cell r="R96">
            <v>-0.21291967286017102</v>
          </cell>
          <cell r="S96">
            <v>-2.0019678193107637</v>
          </cell>
          <cell r="T96">
            <v>0.48964346512054208</v>
          </cell>
          <cell r="U96">
            <v>1.3989015334538164</v>
          </cell>
          <cell r="V96">
            <v>-5.6590473767503958E-2</v>
          </cell>
          <cell r="W96">
            <v>0.16245629450893428</v>
          </cell>
          <cell r="X96">
            <v>-0.29614696185749378</v>
          </cell>
          <cell r="Y96">
            <v>0.11803069399272259</v>
          </cell>
          <cell r="Z96">
            <v>0.11392289374259798</v>
          </cell>
          <cell r="AA96">
            <v>-0.1638779561127672</v>
          </cell>
          <cell r="AB96">
            <v>0.18329662641398958</v>
          </cell>
          <cell r="AC96">
            <v>-5.2531969309463413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  <row r="98">
          <cell r="N98">
            <v>2.6308050000000001</v>
          </cell>
          <cell r="O98">
            <v>2.7839925000000001</v>
          </cell>
          <cell r="P98">
            <v>2.9559424999999999</v>
          </cell>
          <cell r="Q98">
            <v>3.3385050000000001</v>
          </cell>
          <cell r="R98">
            <v>3.5731000000000002</v>
          </cell>
          <cell r="S98">
            <v>3.8049999999999997</v>
          </cell>
          <cell r="T98">
            <v>4.3499999999999996</v>
          </cell>
          <cell r="U98">
            <v>4.7577499999999997</v>
          </cell>
          <cell r="V98">
            <v>5.6757499999999999</v>
          </cell>
          <cell r="W98">
            <v>6.3204750000000001</v>
          </cell>
          <cell r="X98">
            <v>7.3639250000000001</v>
          </cell>
          <cell r="Y98">
            <v>9.0799999999999983</v>
          </cell>
          <cell r="Z98">
            <v>9.77</v>
          </cell>
          <cell r="AA98">
            <v>7.2531770833333331</v>
          </cell>
          <cell r="AB98">
            <v>6.4346672725948304</v>
          </cell>
          <cell r="AC98">
            <v>6.3805440903793196</v>
          </cell>
          <cell r="AD98">
            <v>6.3805440903793196</v>
          </cell>
          <cell r="AE98">
            <v>6.3805440903793196</v>
          </cell>
          <cell r="AF98">
            <v>6.3805440903793196</v>
          </cell>
          <cell r="AG98">
            <v>6.3805440903793196</v>
          </cell>
          <cell r="AH98">
            <v>6.3805440903793196</v>
          </cell>
          <cell r="AI98">
            <v>6.3805440903793196</v>
          </cell>
          <cell r="AJ98">
            <v>6.3805440903793196</v>
          </cell>
          <cell r="AK98">
            <v>6.3805440903793196</v>
          </cell>
          <cell r="AL98">
            <v>6.3805440903793196</v>
          </cell>
          <cell r="AM98">
            <v>6.3805440903793196</v>
          </cell>
        </row>
        <row r="99">
          <cell r="N99">
            <v>2.6076325000000002</v>
          </cell>
          <cell r="O99">
            <v>2.8205225</v>
          </cell>
          <cell r="P99">
            <v>3.1391249999999999</v>
          </cell>
          <cell r="Q99">
            <v>3.4339999999999997</v>
          </cell>
          <cell r="R99">
            <v>3.5694999999999997</v>
          </cell>
          <cell r="S99">
            <v>3.9060249999999996</v>
          </cell>
          <cell r="T99">
            <v>4.7288750000000004</v>
          </cell>
          <cell r="U99">
            <v>5.1244500000000004</v>
          </cell>
          <cell r="V99">
            <v>5.9507750000000001</v>
          </cell>
          <cell r="W99">
            <v>6.5192999999999994</v>
          </cell>
          <cell r="X99">
            <v>8.6160750000000004</v>
          </cell>
          <cell r="Y99">
            <v>10.899949999999999</v>
          </cell>
          <cell r="Z99">
            <v>8.394775000000001</v>
          </cell>
          <cell r="AA99">
            <v>6.4580750000000009</v>
          </cell>
          <cell r="AB99">
            <v>5.888544771137953</v>
          </cell>
          <cell r="AC99">
            <v>6.3630953360086888</v>
          </cell>
          <cell r="AD99">
            <v>6.3805440903793196</v>
          </cell>
          <cell r="AE99">
            <v>6.3805440903793196</v>
          </cell>
          <cell r="AF99">
            <v>6.3805440903793196</v>
          </cell>
          <cell r="AG99">
            <v>6.3805440903793196</v>
          </cell>
          <cell r="AH99">
            <v>6.3805440903793196</v>
          </cell>
          <cell r="AI99">
            <v>6.3805440903793196</v>
          </cell>
          <cell r="AJ99">
            <v>6.3805440903793196</v>
          </cell>
          <cell r="AK99">
            <v>6.3805440903793196</v>
          </cell>
          <cell r="AL99">
            <v>6.3805440903793196</v>
          </cell>
          <cell r="AM99">
            <v>5.5829760790819041</v>
          </cell>
        </row>
        <row r="101">
          <cell r="N101">
            <v>60</v>
          </cell>
          <cell r="O101">
            <v>60</v>
          </cell>
          <cell r="P101">
            <v>60</v>
          </cell>
          <cell r="Q101">
            <v>60</v>
          </cell>
          <cell r="R101">
            <v>70</v>
          </cell>
          <cell r="S101">
            <v>78.037999999999997</v>
          </cell>
          <cell r="T101">
            <v>75</v>
          </cell>
          <cell r="U101">
            <v>76.957999999999998</v>
          </cell>
          <cell r="V101">
            <v>80</v>
          </cell>
          <cell r="W101">
            <v>70</v>
          </cell>
          <cell r="X101">
            <v>75</v>
          </cell>
          <cell r="Y101">
            <v>88.174000000000007</v>
          </cell>
          <cell r="Z101">
            <v>85</v>
          </cell>
          <cell r="AA101">
            <v>89.82</v>
          </cell>
          <cell r="AB101">
            <v>94.94</v>
          </cell>
          <cell r="AC101">
            <v>94.94</v>
          </cell>
          <cell r="AD101">
            <v>95.889399999999995</v>
          </cell>
          <cell r="AE101">
            <v>96.848293999999996</v>
          </cell>
          <cell r="AF101">
            <v>97.816776939999997</v>
          </cell>
          <cell r="AG101">
            <v>98.794944709399999</v>
          </cell>
          <cell r="AH101">
            <v>99.782894156493995</v>
          </cell>
          <cell r="AI101">
            <v>100.78072309805894</v>
          </cell>
          <cell r="AJ101">
            <v>101.78853032903953</v>
          </cell>
          <cell r="AK101">
            <v>102.80641563232993</v>
          </cell>
          <cell r="AL101">
            <v>103.83447978865323</v>
          </cell>
          <cell r="AM101">
            <v>104.87282458653976</v>
          </cell>
        </row>
        <row r="102">
          <cell r="N102">
            <v>16848.333333333332</v>
          </cell>
          <cell r="O102">
            <v>20104.106516666663</v>
          </cell>
          <cell r="P102">
            <v>25751.635330999998</v>
          </cell>
          <cell r="Q102">
            <v>26657.813400000003</v>
          </cell>
          <cell r="R102">
            <v>25087.101685714286</v>
          </cell>
          <cell r="S102">
            <v>26144.300712473414</v>
          </cell>
          <cell r="T102">
            <v>35498.460133333334</v>
          </cell>
          <cell r="U102">
            <v>36815.832716806573</v>
          </cell>
          <cell r="V102">
            <v>39613.125000000007</v>
          </cell>
          <cell r="W102">
            <v>51711.881571428574</v>
          </cell>
          <cell r="X102">
            <v>52837.466666666667</v>
          </cell>
          <cell r="Y102">
            <v>49056.411186971214</v>
          </cell>
          <cell r="Z102">
            <v>55399.176470588238</v>
          </cell>
          <cell r="AA102">
            <v>56969.494544644855</v>
          </cell>
          <cell r="AB102">
            <v>58215.715188540133</v>
          </cell>
          <cell r="AC102">
            <v>62018.116705287553</v>
          </cell>
          <cell r="AD102">
            <v>68079.106911308118</v>
          </cell>
          <cell r="AE102">
            <v>73802.272669346843</v>
          </cell>
          <cell r="AF102">
            <v>79044.512181242229</v>
          </cell>
          <cell r="AG102">
            <v>84939.773194070469</v>
          </cell>
          <cell r="AH102">
            <v>91025.244351716305</v>
          </cell>
          <cell r="AI102">
            <v>97201.965577964205</v>
          </cell>
          <cell r="AJ102">
            <v>103298.91413835619</v>
          </cell>
          <cell r="AK102">
            <v>109605.39513355172</v>
          </cell>
          <cell r="AL102">
            <v>116468.29214712857</v>
          </cell>
          <cell r="AM102">
            <v>123241.63199506406</v>
          </cell>
        </row>
        <row r="103">
          <cell r="N103">
            <v>64.443618204311008</v>
          </cell>
          <cell r="O103">
            <v>76.896707767268822</v>
          </cell>
          <cell r="P103">
            <v>98.498084206604631</v>
          </cell>
          <cell r="Q103">
            <v>101.9641477244851</v>
          </cell>
          <cell r="R103">
            <v>95.956292584047816</v>
          </cell>
          <cell r="S103">
            <v>100</v>
          </cell>
          <cell r="T103">
            <v>135.77896201445182</v>
          </cell>
          <cell r="U103">
            <v>140.81781387727762</v>
          </cell>
          <cell r="V103">
            <v>151.51724819742697</v>
          </cell>
          <cell r="W103">
            <v>197.7940895805138</v>
          </cell>
          <cell r="X103">
            <v>202.09936860716255</v>
          </cell>
          <cell r="Y103">
            <v>187.63711344387369</v>
          </cell>
          <cell r="Z103">
            <v>211.89771751729185</v>
          </cell>
          <cell r="AA103">
            <v>217.90406701321632</v>
          </cell>
          <cell r="AB103">
            <v>222.67076801471109</v>
          </cell>
          <cell r="AC103">
            <v>237.21467017742336</v>
          </cell>
          <cell r="AD103">
            <v>260.39750559795107</v>
          </cell>
          <cell r="AE103">
            <v>282.28818770484793</v>
          </cell>
          <cell r="AF103">
            <v>302.33936279477609</v>
          </cell>
          <cell r="AG103">
            <v>324.88829641385593</v>
          </cell>
          <cell r="AH103">
            <v>348.16476964820203</v>
          </cell>
          <cell r="AI103">
            <v>371.79026758818321</v>
          </cell>
          <cell r="AJ103">
            <v>395.11064103188045</v>
          </cell>
          <cell r="AK103">
            <v>419.23246040870055</v>
          </cell>
          <cell r="AL103">
            <v>445.48252955016574</v>
          </cell>
          <cell r="AM103">
            <v>471.39004921353899</v>
          </cell>
        </row>
        <row r="104">
          <cell r="N104">
            <v>1568.658042748405</v>
          </cell>
          <cell r="O104">
            <v>1568.658042748405</v>
          </cell>
          <cell r="P104">
            <v>1568.658042748405</v>
          </cell>
          <cell r="Q104">
            <v>1568.6580427484048</v>
          </cell>
          <cell r="R104">
            <v>1830.1010498731387</v>
          </cell>
          <cell r="S104">
            <v>2040.2489390000001</v>
          </cell>
          <cell r="T104">
            <v>1960.8225534355061</v>
          </cell>
          <cell r="U104">
            <v>2012.0130942305288</v>
          </cell>
          <cell r="V104">
            <v>2091.5440569978728</v>
          </cell>
          <cell r="W104">
            <v>1830.1010498731391</v>
          </cell>
          <cell r="X104">
            <v>1960.8225534355061</v>
          </cell>
          <cell r="Y104">
            <v>2305.2475710216308</v>
          </cell>
          <cell r="Z104">
            <v>2222.2655605602404</v>
          </cell>
          <cell r="AA104">
            <v>2348.2810899943615</v>
          </cell>
          <cell r="AB104">
            <v>2482.139909642226</v>
          </cell>
          <cell r="AC104">
            <v>2482.139909642226</v>
          </cell>
          <cell r="AD104">
            <v>2506.9613087386465</v>
          </cell>
          <cell r="AE104">
            <v>2532.030921826034</v>
          </cell>
          <cell r="AF104">
            <v>2557.3512310442948</v>
          </cell>
          <cell r="AG104">
            <v>2582.9247433547371</v>
          </cell>
          <cell r="AH104">
            <v>2608.7539907882851</v>
          </cell>
          <cell r="AI104">
            <v>2634.8415306961679</v>
          </cell>
          <cell r="AJ104">
            <v>2661.18994600313</v>
          </cell>
          <cell r="AK104">
            <v>2687.801845463161</v>
          </cell>
          <cell r="AL104">
            <v>2714.6798639177928</v>
          </cell>
          <cell r="AM104">
            <v>2741.8266625569704</v>
          </cell>
        </row>
        <row r="106">
          <cell r="N106">
            <v>5665</v>
          </cell>
          <cell r="O106">
            <v>6471</v>
          </cell>
          <cell r="P106">
            <v>7491.75</v>
          </cell>
          <cell r="Q106">
            <v>8825.25</v>
          </cell>
          <cell r="R106">
            <v>10564</v>
          </cell>
          <cell r="S106">
            <v>11789.75</v>
          </cell>
          <cell r="T106">
            <v>13792</v>
          </cell>
          <cell r="U106">
            <v>15400.25</v>
          </cell>
          <cell r="V106">
            <v>17121</v>
          </cell>
          <cell r="W106">
            <v>19016.25</v>
          </cell>
          <cell r="X106">
            <v>22258</v>
          </cell>
          <cell r="Y106">
            <v>26123.75</v>
          </cell>
          <cell r="Z106">
            <v>30107</v>
          </cell>
          <cell r="AA106">
            <v>31627.75</v>
          </cell>
          <cell r="AB106">
            <v>33451</v>
          </cell>
          <cell r="AC106">
            <v>35968.25215766699</v>
          </cell>
          <cell r="AD106">
            <v>40086.703247862359</v>
          </cell>
          <cell r="AE106">
            <v>44478.52222829144</v>
          </cell>
          <cell r="AF106">
            <v>49301.071228987603</v>
          </cell>
          <cell r="AG106">
            <v>54743.822878196101</v>
          </cell>
          <cell r="AH106">
            <v>60757.451592120502</v>
          </cell>
          <cell r="AI106">
            <v>67510.068731673324</v>
          </cell>
          <cell r="AJ106">
            <v>75058.835238335829</v>
          </cell>
          <cell r="AK106">
            <v>83352.093366215253</v>
          </cell>
          <cell r="AL106">
            <v>92093.816774407096</v>
          </cell>
          <cell r="AM106">
            <v>101681.59481089746</v>
          </cell>
        </row>
        <row r="107">
          <cell r="N107">
            <v>6520.25</v>
          </cell>
          <cell r="O107">
            <v>7436</v>
          </cell>
          <cell r="P107">
            <v>8591</v>
          </cell>
          <cell r="Q107">
            <v>9863.25</v>
          </cell>
          <cell r="R107">
            <v>11836.75</v>
          </cell>
          <cell r="S107">
            <v>13282.5</v>
          </cell>
          <cell r="T107">
            <v>15446.75</v>
          </cell>
          <cell r="U107">
            <v>17260.25</v>
          </cell>
          <cell r="V107">
            <v>19262</v>
          </cell>
          <cell r="W107">
            <v>21435.5</v>
          </cell>
          <cell r="X107">
            <v>24689.25</v>
          </cell>
          <cell r="Y107">
            <v>28992.25</v>
          </cell>
          <cell r="Z107">
            <v>33141.5</v>
          </cell>
          <cell r="AA107">
            <v>34427.5</v>
          </cell>
          <cell r="AB107">
            <v>36778</v>
          </cell>
          <cell r="AC107">
            <v>39562.057722331818</v>
          </cell>
          <cell r="AD107">
            <v>44001.754119981939</v>
          </cell>
          <cell r="AE107">
            <v>49405.812261429193</v>
          </cell>
          <cell r="AF107">
            <v>54277.118799166674</v>
          </cell>
          <cell r="AG107">
            <v>60763.14949900574</v>
          </cell>
          <cell r="AH107">
            <v>68250.496092142741</v>
          </cell>
          <cell r="AI107">
            <v>76872.37862512852</v>
          </cell>
          <cell r="AJ107">
            <v>86715.964351044226</v>
          </cell>
          <cell r="AK107">
            <v>97324.13162080475</v>
          </cell>
          <cell r="AL107">
            <v>108073.43700870717</v>
          </cell>
          <cell r="AM107">
            <v>118571.45731179982</v>
          </cell>
        </row>
        <row r="108">
          <cell r="N108">
            <v>3494.75</v>
          </cell>
          <cell r="O108">
            <v>3814.75</v>
          </cell>
          <cell r="P108">
            <v>4287.75</v>
          </cell>
          <cell r="Q108">
            <v>4502.25</v>
          </cell>
          <cell r="R108">
            <v>5224.25</v>
          </cell>
          <cell r="S108">
            <v>6189.25</v>
          </cell>
          <cell r="T108">
            <v>7406.75</v>
          </cell>
          <cell r="U108">
            <v>8336.75</v>
          </cell>
          <cell r="V108">
            <v>9293.25</v>
          </cell>
          <cell r="W108">
            <v>10064.25</v>
          </cell>
          <cell r="X108">
            <v>11321.5</v>
          </cell>
          <cell r="Y108">
            <v>13726.5</v>
          </cell>
          <cell r="Z108">
            <v>16169.25</v>
          </cell>
          <cell r="AA108">
            <v>17106</v>
          </cell>
          <cell r="AB108">
            <v>17419</v>
          </cell>
          <cell r="AC108">
            <v>18917.264614056494</v>
          </cell>
          <cell r="AD108">
            <v>20220.628003217753</v>
          </cell>
          <cell r="AE108">
            <v>23176.746585595429</v>
          </cell>
          <cell r="AF108">
            <v>26196.895148119915</v>
          </cell>
          <cell r="AG108">
            <v>30317.553044078348</v>
          </cell>
          <cell r="AH108">
            <v>35102.940620401627</v>
          </cell>
          <cell r="AI108">
            <v>40916.510555308858</v>
          </cell>
          <cell r="AJ108">
            <v>49200.906808432039</v>
          </cell>
          <cell r="AK108">
            <v>61008.280198368884</v>
          </cell>
          <cell r="AL108">
            <v>78048.914777836195</v>
          </cell>
          <cell r="AM108">
            <v>103171.8420395086</v>
          </cell>
        </row>
        <row r="109">
          <cell r="N109">
            <v>0</v>
          </cell>
          <cell r="O109">
            <v>0</v>
          </cell>
          <cell r="P109">
            <v>33.450000000000003</v>
          </cell>
          <cell r="Q109">
            <v>154.71</v>
          </cell>
          <cell r="R109">
            <v>223.13</v>
          </cell>
          <cell r="S109">
            <v>250.84999999999997</v>
          </cell>
          <cell r="T109">
            <v>296</v>
          </cell>
          <cell r="U109">
            <v>342.92500000000001</v>
          </cell>
          <cell r="V109">
            <v>379.34999999999997</v>
          </cell>
          <cell r="W109">
            <v>437.32499999999999</v>
          </cell>
          <cell r="X109">
            <v>487.77499999999998</v>
          </cell>
          <cell r="Y109">
            <v>517.07500000000005</v>
          </cell>
          <cell r="Z109">
            <v>555.5</v>
          </cell>
          <cell r="AA109">
            <v>596.625</v>
          </cell>
          <cell r="AB109">
            <v>644.52500000000009</v>
          </cell>
          <cell r="AC109">
            <v>690.67965020342081</v>
          </cell>
          <cell r="AD109">
            <v>707.71880125128519</v>
          </cell>
          <cell r="AE109">
            <v>637.50114206058174</v>
          </cell>
          <cell r="AF109">
            <v>762.09168662588729</v>
          </cell>
          <cell r="AG109">
            <v>1223.0541109438016</v>
          </cell>
          <cell r="AH109">
            <v>588.4071164936795</v>
          </cell>
          <cell r="AI109">
            <v>-393.30829459101153</v>
          </cell>
          <cell r="AJ109">
            <v>-1927.6167250667368</v>
          </cell>
          <cell r="AK109">
            <v>-4293.1679713412241</v>
          </cell>
          <cell r="AL109">
            <v>-7835.3054062557121</v>
          </cell>
          <cell r="AM109">
            <v>-11403.434670803286</v>
          </cell>
        </row>
      </sheetData>
      <sheetData sheetId="25" refreshError="1">
        <row r="4">
          <cell r="N4">
            <v>0.25</v>
          </cell>
          <cell r="O4">
            <v>0.25</v>
          </cell>
          <cell r="P4">
            <v>0.25</v>
          </cell>
          <cell r="Q4">
            <v>0.25</v>
          </cell>
          <cell r="R4">
            <v>0.25</v>
          </cell>
          <cell r="S4">
            <v>0.25</v>
          </cell>
          <cell r="T4">
            <v>0.25</v>
          </cell>
          <cell r="U4">
            <v>0.25</v>
          </cell>
          <cell r="V4">
            <v>0.25</v>
          </cell>
          <cell r="W4">
            <v>0.25</v>
          </cell>
          <cell r="X4">
            <v>0.25</v>
          </cell>
          <cell r="Y4">
            <v>0.25</v>
          </cell>
        </row>
        <row r="5">
          <cell r="N5">
            <v>0.75</v>
          </cell>
          <cell r="O5">
            <v>0.75</v>
          </cell>
          <cell r="P5">
            <v>0.75</v>
          </cell>
          <cell r="Q5">
            <v>0.75</v>
          </cell>
          <cell r="R5">
            <v>0.75</v>
          </cell>
          <cell r="S5">
            <v>0.75</v>
          </cell>
          <cell r="T5">
            <v>0.75</v>
          </cell>
          <cell r="U5">
            <v>0.75</v>
          </cell>
          <cell r="V5">
            <v>0.75</v>
          </cell>
          <cell r="W5">
            <v>0.75</v>
          </cell>
          <cell r="X5">
            <v>0.75</v>
          </cell>
          <cell r="Y5">
            <v>0.75</v>
          </cell>
        </row>
        <row r="7">
          <cell r="N7">
            <v>1444.6894362500002</v>
          </cell>
          <cell r="O7">
            <v>2679.7574557500002</v>
          </cell>
          <cell r="P7">
            <v>3053.8936757499996</v>
          </cell>
          <cell r="Q7">
            <v>3182.1345850000007</v>
          </cell>
          <cell r="R7">
            <v>3687.5901792500008</v>
          </cell>
          <cell r="S7">
            <v>4329.0577095000008</v>
          </cell>
          <cell r="T7">
            <v>4746.5417339999995</v>
          </cell>
          <cell r="U7">
            <v>5568.4819462499981</v>
          </cell>
          <cell r="V7">
            <v>6200.0291775000005</v>
          </cell>
          <cell r="W7">
            <v>7068.3658590000005</v>
          </cell>
          <cell r="X7">
            <v>8111.6487630000001</v>
          </cell>
          <cell r="Y7">
            <v>8943.8684730124987</v>
          </cell>
          <cell r="Z7">
            <v>10368.273242972498</v>
          </cell>
          <cell r="AA7">
            <v>10212.405563294999</v>
          </cell>
          <cell r="AB7">
            <v>11011.572</v>
          </cell>
          <cell r="AC7">
            <v>12771.277999999998</v>
          </cell>
          <cell r="AD7">
            <v>14910.423047121829</v>
          </cell>
          <cell r="AE7">
            <v>16305.500146836264</v>
          </cell>
          <cell r="AF7">
            <v>17226.779721659299</v>
          </cell>
          <cell r="AG7">
            <v>18956.412873594953</v>
          </cell>
          <cell r="AH7">
            <v>20913.726459525344</v>
          </cell>
          <cell r="AI7">
            <v>23442.858208741021</v>
          </cell>
          <cell r="AJ7">
            <v>26325.182801530009</v>
          </cell>
          <cell r="AK7">
            <v>29721.289769035688</v>
          </cell>
          <cell r="AL7">
            <v>33808.01582707827</v>
          </cell>
          <cell r="AM7">
            <v>38868.653090458283</v>
          </cell>
        </row>
        <row r="8">
          <cell r="N8">
            <v>1331.1134362500002</v>
          </cell>
          <cell r="O8">
            <v>2592.4804557500001</v>
          </cell>
          <cell r="P8">
            <v>2970.1696757499994</v>
          </cell>
          <cell r="Q8">
            <v>3097.2505850000007</v>
          </cell>
          <cell r="R8">
            <v>3540.7481792500007</v>
          </cell>
          <cell r="S8">
            <v>4184.5737095000004</v>
          </cell>
          <cell r="T8">
            <v>4568.6837339999993</v>
          </cell>
          <cell r="U8">
            <v>5419.9819462499981</v>
          </cell>
          <cell r="V8">
            <v>6072.4291775000002</v>
          </cell>
          <cell r="W8">
            <v>6968.3658590000005</v>
          </cell>
          <cell r="X8">
            <v>7961.6487630000001</v>
          </cell>
          <cell r="Y8">
            <v>8743.8684730124987</v>
          </cell>
          <cell r="Z8">
            <v>10068.273242972498</v>
          </cell>
          <cell r="AA8">
            <v>9912.4055632949985</v>
          </cell>
          <cell r="AB8">
            <v>11003.6145</v>
          </cell>
          <cell r="AC8">
            <v>12694.627999999999</v>
          </cell>
          <cell r="AD8">
            <v>14810.301319263644</v>
          </cell>
          <cell r="AE8">
            <v>16299.071176358684</v>
          </cell>
          <cell r="AF8">
            <v>17251.350751181719</v>
          </cell>
          <cell r="AG8">
            <v>18980.983903117372</v>
          </cell>
          <cell r="AH8">
            <v>20938.297489047764</v>
          </cell>
          <cell r="AI8">
            <v>23467.429238263441</v>
          </cell>
          <cell r="AJ8">
            <v>26349.753831052429</v>
          </cell>
          <cell r="AK8">
            <v>29745.860798558107</v>
          </cell>
          <cell r="AL8">
            <v>33832.58685660069</v>
          </cell>
          <cell r="AM8">
            <v>38893.224119980703</v>
          </cell>
        </row>
        <row r="9">
          <cell r="N9">
            <v>1312.6580362500001</v>
          </cell>
          <cell r="O9">
            <v>2558.3424057500001</v>
          </cell>
          <cell r="P9">
            <v>2949.1221344999994</v>
          </cell>
          <cell r="Q9">
            <v>3085.0694437500006</v>
          </cell>
          <cell r="R9">
            <v>3529.9432117500005</v>
          </cell>
          <cell r="S9">
            <v>4176.6110285000004</v>
          </cell>
          <cell r="T9">
            <v>4556.4560037499996</v>
          </cell>
          <cell r="U9">
            <v>5383.5902849999984</v>
          </cell>
          <cell r="V9">
            <v>6020.74924225</v>
          </cell>
          <cell r="W9">
            <v>6939.7032347500008</v>
          </cell>
          <cell r="X9">
            <v>7940.9683487500006</v>
          </cell>
          <cell r="Y9">
            <v>8722.6144243599992</v>
          </cell>
          <cell r="Z9">
            <v>10050.968097227498</v>
          </cell>
          <cell r="AA9">
            <v>9898.2941197024993</v>
          </cell>
          <cell r="AB9">
            <v>10972.639499999999</v>
          </cell>
          <cell r="AC9">
            <v>12661.127999999999</v>
          </cell>
          <cell r="AD9">
            <v>14775.201319263642</v>
          </cell>
          <cell r="AE9">
            <v>16266.071176358684</v>
          </cell>
          <cell r="AF9">
            <v>17219.350751181719</v>
          </cell>
          <cell r="AG9">
            <v>18948.983903117372</v>
          </cell>
          <cell r="AH9">
            <v>20906.297489047764</v>
          </cell>
          <cell r="AI9">
            <v>23435.429238263441</v>
          </cell>
          <cell r="AJ9">
            <v>26317.753831052429</v>
          </cell>
          <cell r="AK9">
            <v>29713.860798558107</v>
          </cell>
          <cell r="AL9">
            <v>33800.58685660069</v>
          </cell>
          <cell r="AM9">
            <v>38861.224119980703</v>
          </cell>
        </row>
        <row r="10">
          <cell r="N10">
            <v>905.67246225000008</v>
          </cell>
          <cell r="O10">
            <v>1977.5707870000001</v>
          </cell>
          <cell r="P10">
            <v>2400.2592432499996</v>
          </cell>
          <cell r="Q10">
            <v>2695.9818420000001</v>
          </cell>
          <cell r="R10">
            <v>3022.8278385000003</v>
          </cell>
          <cell r="S10">
            <v>3659.6820527500004</v>
          </cell>
          <cell r="T10">
            <v>4046.7064057500002</v>
          </cell>
          <cell r="U10">
            <v>4858.0755217499991</v>
          </cell>
          <cell r="V10">
            <v>5399.3643837500003</v>
          </cell>
          <cell r="W10">
            <v>6322.5694807500004</v>
          </cell>
          <cell r="X10">
            <v>7312.1916915000002</v>
          </cell>
          <cell r="Y10">
            <v>8011.7137075124992</v>
          </cell>
          <cell r="Z10">
            <v>9038.1836962224988</v>
          </cell>
          <cell r="AA10">
            <v>8903.5084355449999</v>
          </cell>
          <cell r="AB10">
            <v>10042.171999999999</v>
          </cell>
          <cell r="AC10">
            <v>11588.752999999999</v>
          </cell>
          <cell r="AD10">
            <v>13341.71835606431</v>
          </cell>
          <cell r="AE10">
            <v>14669.233048893433</v>
          </cell>
          <cell r="AF10">
            <v>15499.034666374868</v>
          </cell>
          <cell r="AG10">
            <v>17051.48789436273</v>
          </cell>
          <cell r="AH10">
            <v>18798.666252262999</v>
          </cell>
          <cell r="AI10">
            <v>21082.261606223459</v>
          </cell>
          <cell r="AJ10">
            <v>23684.284117240524</v>
          </cell>
          <cell r="AK10">
            <v>26772.535437395425</v>
          </cell>
          <cell r="AL10">
            <v>30534.259304837266</v>
          </cell>
          <cell r="AM10">
            <v>35260.419871459773</v>
          </cell>
        </row>
        <row r="11">
          <cell r="N11">
            <v>527.48669174999998</v>
          </cell>
          <cell r="O11">
            <v>678.55516475000002</v>
          </cell>
          <cell r="P11">
            <v>781.87418000000002</v>
          </cell>
          <cell r="Q11">
            <v>923.37492224999994</v>
          </cell>
          <cell r="R11">
            <v>1030.1766232500001</v>
          </cell>
          <cell r="S11">
            <v>1107.7201435000002</v>
          </cell>
          <cell r="T11">
            <v>1321.6031045</v>
          </cell>
          <cell r="U11">
            <v>1858.0917877499999</v>
          </cell>
          <cell r="V11">
            <v>2057.2574949999998</v>
          </cell>
          <cell r="W11">
            <v>2289.3666895000006</v>
          </cell>
          <cell r="X11">
            <v>2595.3080695000003</v>
          </cell>
          <cell r="Y11">
            <v>3180.5408070125</v>
          </cell>
          <cell r="Z11">
            <v>4228.6284452224991</v>
          </cell>
          <cell r="AA11">
            <v>3900.3010185449998</v>
          </cell>
          <cell r="AB11">
            <v>4006.625</v>
          </cell>
          <cell r="AC11">
            <v>4541.5249999999996</v>
          </cell>
          <cell r="AD11">
            <v>4942.2833078163931</v>
          </cell>
          <cell r="AE11">
            <v>5333.0010155244836</v>
          </cell>
          <cell r="AF11">
            <v>5886.3272995349553</v>
          </cell>
          <cell r="AG11">
            <v>6633.6709810932425</v>
          </cell>
          <cell r="AH11">
            <v>7274.3990138329391</v>
          </cell>
          <cell r="AI11">
            <v>8308.0134939594191</v>
          </cell>
          <cell r="AJ11">
            <v>9324.8037955796117</v>
          </cell>
          <cell r="AK11">
            <v>10358.237206208763</v>
          </cell>
          <cell r="AL11">
            <v>11460.953000704683</v>
          </cell>
          <cell r="AM11">
            <v>12660.656563772471</v>
          </cell>
        </row>
        <row r="12">
          <cell r="N12">
            <v>517.9631445</v>
          </cell>
          <cell r="O12">
            <v>666.06072749999998</v>
          </cell>
          <cell r="P12">
            <v>768.04366825</v>
          </cell>
          <cell r="Q12">
            <v>898.95029849999992</v>
          </cell>
          <cell r="R12">
            <v>994.70524825000007</v>
          </cell>
          <cell r="S12">
            <v>1071.1830185000001</v>
          </cell>
          <cell r="T12">
            <v>1287.8431045</v>
          </cell>
          <cell r="U12">
            <v>1822.8417877499999</v>
          </cell>
          <cell r="V12">
            <v>2018.2574950000001</v>
          </cell>
          <cell r="W12">
            <v>2244.3416895000005</v>
          </cell>
          <cell r="X12">
            <v>2536.5066267500001</v>
          </cell>
          <cell r="Y12">
            <v>3116.7569927625</v>
          </cell>
          <cell r="Z12">
            <v>4153.1578827224994</v>
          </cell>
          <cell r="AA12">
            <v>3824.0858310449998</v>
          </cell>
          <cell r="AB12">
            <v>3923.4</v>
          </cell>
          <cell r="AC12">
            <v>4437.5499999999993</v>
          </cell>
          <cell r="AD12">
            <v>4831.5031818189591</v>
          </cell>
          <cell r="AE12">
            <v>5215.8391438464732</v>
          </cell>
          <cell r="AF12">
            <v>5757.4315364717349</v>
          </cell>
          <cell r="AG12">
            <v>6490.6041793846471</v>
          </cell>
          <cell r="AH12">
            <v>7115.5981748043851</v>
          </cell>
          <cell r="AI12">
            <v>8131.6107632420353</v>
          </cell>
          <cell r="AJ12">
            <v>9128.703790700336</v>
          </cell>
          <cell r="AK12">
            <v>10140.410078932986</v>
          </cell>
          <cell r="AL12">
            <v>11219.998526432761</v>
          </cell>
          <cell r="AM12">
            <v>12394.573700963714</v>
          </cell>
        </row>
        <row r="13">
          <cell r="N13">
            <v>280.31420324999999</v>
          </cell>
          <cell r="O13">
            <v>403.21923700000002</v>
          </cell>
          <cell r="P13">
            <v>483.13538975</v>
          </cell>
          <cell r="Q13">
            <v>515.5</v>
          </cell>
          <cell r="R13">
            <v>550.90000000000009</v>
          </cell>
          <cell r="S13">
            <v>639.91749700000003</v>
          </cell>
          <cell r="T13">
            <v>801.72041424999998</v>
          </cell>
          <cell r="U13">
            <v>936.17966524999997</v>
          </cell>
          <cell r="V13">
            <v>1172.53692275</v>
          </cell>
          <cell r="W13">
            <v>1442.1492025000002</v>
          </cell>
          <cell r="X13">
            <v>1507.8224082500001</v>
          </cell>
          <cell r="Y13">
            <v>1751.6585519999999</v>
          </cell>
          <cell r="Z13">
            <v>2093.7175758224998</v>
          </cell>
          <cell r="AA13">
            <v>2295.6496056075002</v>
          </cell>
          <cell r="AB13">
            <v>2579.9250000000002</v>
          </cell>
          <cell r="AC13">
            <v>2844.2249999999999</v>
          </cell>
          <cell r="AD13">
            <v>3304.0404848675071</v>
          </cell>
          <cell r="AE13">
            <v>3719.4548668461166</v>
          </cell>
          <cell r="AF13">
            <v>4123.702509343475</v>
          </cell>
          <cell r="AG13">
            <v>4577.0699919757499</v>
          </cell>
          <cell r="AH13">
            <v>5080.4417680254428</v>
          </cell>
          <cell r="AI13">
            <v>5643.5709446673554</v>
          </cell>
          <cell r="AJ13">
            <v>6273.7367232646029</v>
          </cell>
          <cell r="AK13">
            <v>6968.8424972481998</v>
          </cell>
          <cell r="AL13">
            <v>7708.7450089830709</v>
          </cell>
          <cell r="AM13">
            <v>8512.6659168741771</v>
          </cell>
        </row>
        <row r="14">
          <cell r="N14">
            <v>210.54652575</v>
          </cell>
          <cell r="O14">
            <v>223.67398850000001</v>
          </cell>
          <cell r="P14">
            <v>239.56797950000001</v>
          </cell>
          <cell r="Q14">
            <v>339.75585649999999</v>
          </cell>
          <cell r="R14">
            <v>410.97509474999998</v>
          </cell>
          <cell r="S14">
            <v>398.96479725</v>
          </cell>
          <cell r="T14">
            <v>409.82646625000007</v>
          </cell>
          <cell r="U14">
            <v>808.480457</v>
          </cell>
          <cell r="V14">
            <v>775.24119474999998</v>
          </cell>
          <cell r="W14">
            <v>714.97467549999999</v>
          </cell>
          <cell r="X14">
            <v>855.28528750000009</v>
          </cell>
          <cell r="Y14">
            <v>1227.2925442625001</v>
          </cell>
          <cell r="Z14">
            <v>1918.63592965</v>
          </cell>
          <cell r="AA14">
            <v>1426.7538959374999</v>
          </cell>
          <cell r="AB14">
            <v>1216.2249999999999</v>
          </cell>
          <cell r="AC14">
            <v>1485.3249999999998</v>
          </cell>
          <cell r="AD14">
            <v>1415.7234671129922</v>
          </cell>
          <cell r="AE14">
            <v>1371.4478223994684</v>
          </cell>
          <cell r="AF14">
            <v>1490.8771575336812</v>
          </cell>
          <cell r="AG14">
            <v>1753.3847825112148</v>
          </cell>
          <cell r="AH14">
            <v>1857.3942735380244</v>
          </cell>
          <cell r="AI14">
            <v>2290.5740752343245</v>
          </cell>
          <cell r="AJ14">
            <v>2635.452136600723</v>
          </cell>
          <cell r="AK14">
            <v>2927.7312451820499</v>
          </cell>
          <cell r="AL14">
            <v>3241.5283596826116</v>
          </cell>
          <cell r="AM14">
            <v>3584.0538331842122</v>
          </cell>
        </row>
        <row r="15">
          <cell r="N15">
            <v>46.719119249999999</v>
          </cell>
          <cell r="O15">
            <v>60.57303975</v>
          </cell>
          <cell r="P15">
            <v>82.681157249999998</v>
          </cell>
          <cell r="Q15">
            <v>145.648078</v>
          </cell>
          <cell r="R15">
            <v>135.52600575</v>
          </cell>
          <cell r="S15">
            <v>95.298937999999993</v>
          </cell>
          <cell r="T15">
            <v>88.67617525</v>
          </cell>
          <cell r="U15">
            <v>401.227103</v>
          </cell>
          <cell r="V15">
            <v>247.33091074999999</v>
          </cell>
          <cell r="W15">
            <v>147.37538725000002</v>
          </cell>
          <cell r="X15">
            <v>365.6153845</v>
          </cell>
          <cell r="Y15">
            <v>683.31418701249993</v>
          </cell>
          <cell r="Z15">
            <v>1059.1325409000001</v>
          </cell>
          <cell r="AA15">
            <v>420.59050843749998</v>
          </cell>
          <cell r="AB15">
            <v>269.79999999999995</v>
          </cell>
          <cell r="AC15">
            <v>224.6</v>
          </cell>
          <cell r="AD15">
            <v>187.29008516172973</v>
          </cell>
          <cell r="AE15">
            <v>94.310091306082981</v>
          </cell>
          <cell r="AF15">
            <v>73.013072326878984</v>
          </cell>
          <cell r="AG15">
            <v>178.94259575737217</v>
          </cell>
          <cell r="AH15">
            <v>109.66498330685465</v>
          </cell>
          <cell r="AI15">
            <v>348.99698758460852</v>
          </cell>
          <cell r="AJ15">
            <v>476.96434861278118</v>
          </cell>
          <cell r="AK15">
            <v>529.93422055340943</v>
          </cell>
          <cell r="AL15">
            <v>588.78672783474394</v>
          </cell>
          <cell r="AM15">
            <v>654.1751738778413</v>
          </cell>
        </row>
        <row r="16">
          <cell r="N16">
            <v>56.86895475</v>
          </cell>
          <cell r="O16">
            <v>38.556849</v>
          </cell>
          <cell r="P16">
            <v>8.4806857499999992</v>
          </cell>
          <cell r="Q16">
            <v>5.0288012499999999</v>
          </cell>
          <cell r="R16">
            <v>29.595714250000004</v>
          </cell>
          <cell r="S16">
            <v>58.5507615</v>
          </cell>
          <cell r="T16">
            <v>50.011559249999998</v>
          </cell>
          <cell r="U16">
            <v>32.628819749999998</v>
          </cell>
          <cell r="V16">
            <v>21.549968000000003</v>
          </cell>
          <cell r="W16">
            <v>163.55798675</v>
          </cell>
          <cell r="X16">
            <v>80.190212250000002</v>
          </cell>
          <cell r="Y16">
            <v>88.736381249999994</v>
          </cell>
          <cell r="Z16">
            <v>239.46026775000001</v>
          </cell>
          <cell r="AA16">
            <v>73.2205625</v>
          </cell>
          <cell r="AB16">
            <v>6.75</v>
          </cell>
          <cell r="AC16">
            <v>2.75</v>
          </cell>
          <cell r="AD16">
            <v>6.3826300000000016</v>
          </cell>
          <cell r="AE16">
            <v>8.7901546432000011</v>
          </cell>
          <cell r="AF16">
            <v>20.427788487511449</v>
          </cell>
          <cell r="AG16">
            <v>26.331272742917061</v>
          </cell>
          <cell r="AH16">
            <v>29.362002235626825</v>
          </cell>
          <cell r="AI16">
            <v>32.741568692947475</v>
          </cell>
          <cell r="AJ16">
            <v>36.510123249505732</v>
          </cell>
          <cell r="AK16">
            <v>40.712438435523843</v>
          </cell>
          <cell r="AL16">
            <v>45.398440099452642</v>
          </cell>
          <cell r="AM16">
            <v>50.623800554899645</v>
          </cell>
        </row>
        <row r="17">
          <cell r="N17">
            <v>106.95845174999999</v>
          </cell>
          <cell r="O17">
            <v>124.54409975</v>
          </cell>
          <cell r="P17">
            <v>148.4061365</v>
          </cell>
          <cell r="Q17">
            <v>189.07897725000001</v>
          </cell>
          <cell r="R17">
            <v>245.85337474999997</v>
          </cell>
          <cell r="S17">
            <v>245.11509775000002</v>
          </cell>
          <cell r="T17">
            <v>271.13873175000003</v>
          </cell>
          <cell r="U17">
            <v>374.62453425000001</v>
          </cell>
          <cell r="V17">
            <v>506.36031599999995</v>
          </cell>
          <cell r="W17">
            <v>404.04130149999997</v>
          </cell>
          <cell r="X17">
            <v>409.47969075000003</v>
          </cell>
          <cell r="Y17">
            <v>455.24197600000002</v>
          </cell>
          <cell r="Z17">
            <v>620.04312100000004</v>
          </cell>
          <cell r="AA17">
            <v>932.94282499999997</v>
          </cell>
          <cell r="AB17">
            <v>939.67499999999995</v>
          </cell>
          <cell r="AC17">
            <v>1257.9749999999999</v>
          </cell>
          <cell r="AD17">
            <v>1222.0507519512626</v>
          </cell>
          <cell r="AE17">
            <v>1268.3475764501854</v>
          </cell>
          <cell r="AF17">
            <v>1397.4362967192908</v>
          </cell>
          <cell r="AG17">
            <v>1548.1109140109256</v>
          </cell>
          <cell r="AH17">
            <v>1718.3672879955429</v>
          </cell>
          <cell r="AI17">
            <v>1908.8355189567683</v>
          </cell>
          <cell r="AJ17">
            <v>2121.977664738436</v>
          </cell>
          <cell r="AK17">
            <v>2357.0845861931166</v>
          </cell>
          <cell r="AL17">
            <v>2607.3431917484149</v>
          </cell>
          <cell r="AM17">
            <v>2879.2548587514711</v>
          </cell>
        </row>
        <row r="18">
          <cell r="N18">
            <v>27.102415499999999</v>
          </cell>
          <cell r="O18">
            <v>39.167501999999999</v>
          </cell>
          <cell r="P18">
            <v>45.340299000000002</v>
          </cell>
          <cell r="Q18">
            <v>43.694442000000002</v>
          </cell>
          <cell r="R18">
            <v>32.830153500000002</v>
          </cell>
          <cell r="S18">
            <v>32.300724250000002</v>
          </cell>
          <cell r="T18">
            <v>76.296223999999995</v>
          </cell>
          <cell r="U18">
            <v>78.181665499999994</v>
          </cell>
          <cell r="V18">
            <v>70.479377499999998</v>
          </cell>
          <cell r="W18">
            <v>87.217811499999996</v>
          </cell>
          <cell r="X18">
            <v>173.398931</v>
          </cell>
          <cell r="Y18">
            <v>137.80589649999999</v>
          </cell>
          <cell r="Z18">
            <v>140.80437724999999</v>
          </cell>
          <cell r="AA18">
            <v>101.68232950000001</v>
          </cell>
          <cell r="AB18">
            <v>127.25</v>
          </cell>
          <cell r="AC18">
            <v>108</v>
          </cell>
          <cell r="AD18">
            <v>111.73922983845959</v>
          </cell>
          <cell r="AE18">
            <v>124.9364546008884</v>
          </cell>
          <cell r="AF18">
            <v>142.85186959457829</v>
          </cell>
          <cell r="AG18">
            <v>160.14940489768196</v>
          </cell>
          <cell r="AH18">
            <v>177.76213324091822</v>
          </cell>
          <cell r="AI18">
            <v>197.46574334035535</v>
          </cell>
          <cell r="AJ18">
            <v>219.51493083501063</v>
          </cell>
          <cell r="AK18">
            <v>243.8363365027362</v>
          </cell>
          <cell r="AL18">
            <v>269.72515776707741</v>
          </cell>
          <cell r="AM18">
            <v>297.85395090532461</v>
          </cell>
        </row>
        <row r="19">
          <cell r="N19">
            <v>9.52354725</v>
          </cell>
          <cell r="O19">
            <v>12.494437249999999</v>
          </cell>
          <cell r="P19">
            <v>13.830511749999999</v>
          </cell>
          <cell r="Q19">
            <v>24.424623750000002</v>
          </cell>
          <cell r="R19">
            <v>35.471375000000002</v>
          </cell>
          <cell r="S19">
            <v>36.537125000000003</v>
          </cell>
          <cell r="T19">
            <v>33.76</v>
          </cell>
          <cell r="U19">
            <v>35.25</v>
          </cell>
          <cell r="V19">
            <v>39</v>
          </cell>
          <cell r="W19">
            <v>45.025000000000006</v>
          </cell>
          <cell r="X19">
            <v>58.801442749999993</v>
          </cell>
          <cell r="Y19">
            <v>63.783814249999992</v>
          </cell>
          <cell r="Z19">
            <v>75.4705625</v>
          </cell>
          <cell r="AA19">
            <v>76.215187500000013</v>
          </cell>
          <cell r="AB19">
            <v>83.225000000000009</v>
          </cell>
          <cell r="AC19">
            <v>103.97499999999999</v>
          </cell>
          <cell r="AD19">
            <v>110.78012599743406</v>
          </cell>
          <cell r="AE19">
            <v>117.16187167801047</v>
          </cell>
          <cell r="AF19">
            <v>128.89576306322033</v>
          </cell>
          <cell r="AG19">
            <v>143.0668017085959</v>
          </cell>
          <cell r="AH19">
            <v>158.80083902855361</v>
          </cell>
          <cell r="AI19">
            <v>176.40273071738412</v>
          </cell>
          <cell r="AJ19">
            <v>196.10000487927613</v>
          </cell>
          <cell r="AK19">
            <v>217.82712727577768</v>
          </cell>
          <cell r="AL19">
            <v>240.95447427192244</v>
          </cell>
          <cell r="AM19">
            <v>266.0828628087566</v>
          </cell>
        </row>
        <row r="20">
          <cell r="N20">
            <v>378.18577050000005</v>
          </cell>
          <cell r="O20">
            <v>1299.01562225</v>
          </cell>
          <cell r="P20">
            <v>1618.3850632499998</v>
          </cell>
          <cell r="Q20">
            <v>1772.6069197500001</v>
          </cell>
          <cell r="R20">
            <v>1992.65121525</v>
          </cell>
          <cell r="S20">
            <v>2551.9619092500002</v>
          </cell>
          <cell r="T20">
            <v>2725.1033012500002</v>
          </cell>
          <cell r="U20">
            <v>2999.9837339999995</v>
          </cell>
          <cell r="V20">
            <v>3342.1068887500001</v>
          </cell>
          <cell r="W20">
            <v>4033.2027912500002</v>
          </cell>
          <cell r="X20">
            <v>4716.8836220000003</v>
          </cell>
          <cell r="Y20">
            <v>4831.1729004999997</v>
          </cell>
          <cell r="Z20">
            <v>4809.5552510000007</v>
          </cell>
          <cell r="AA20">
            <v>5003.2074169999996</v>
          </cell>
          <cell r="AB20">
            <v>6035.5469999999996</v>
          </cell>
          <cell r="AC20">
            <v>7047.2279999999992</v>
          </cell>
          <cell r="AD20">
            <v>8399.4350482479167</v>
          </cell>
          <cell r="AE20">
            <v>9336.2320333689495</v>
          </cell>
          <cell r="AF20">
            <v>9612.7073668399116</v>
          </cell>
          <cell r="AG20">
            <v>10417.816913269487</v>
          </cell>
          <cell r="AH20">
            <v>11524.267238430059</v>
          </cell>
          <cell r="AI20">
            <v>12774.24811226404</v>
          </cell>
          <cell r="AJ20">
            <v>14359.480321660911</v>
          </cell>
          <cell r="AK20">
            <v>16414.298231186662</v>
          </cell>
          <cell r="AL20">
            <v>19073.306304132584</v>
          </cell>
          <cell r="AM20">
            <v>22599.763307687299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1439.25</v>
          </cell>
          <cell r="Z21">
            <v>1982.1257907500001</v>
          </cell>
          <cell r="AA21">
            <v>1817.04193025</v>
          </cell>
          <cell r="AB21">
            <v>1808.4</v>
          </cell>
          <cell r="AC21">
            <v>2787.55</v>
          </cell>
          <cell r="AD21">
            <v>3030.3738063204628</v>
          </cell>
          <cell r="AE21">
            <v>3091.2508528428043</v>
          </cell>
          <cell r="AF21">
            <v>3373.8946936137718</v>
          </cell>
          <cell r="AG21">
            <v>3744.8269178574633</v>
          </cell>
          <cell r="AH21">
            <v>4156.6712156168051</v>
          </cell>
          <cell r="AI21">
            <v>4617.4072984419763</v>
          </cell>
          <cell r="AJ21">
            <v>5132.9907993586648</v>
          </cell>
          <cell r="AK21">
            <v>5701.7063352223158</v>
          </cell>
          <cell r="AL21">
            <v>6307.0732724534928</v>
          </cell>
          <cell r="AM21">
            <v>6964.8182186695067</v>
          </cell>
        </row>
        <row r="22">
          <cell r="N22">
            <v>244.56434475000003</v>
          </cell>
          <cell r="O22">
            <v>471.06741475000001</v>
          </cell>
          <cell r="P22">
            <v>730.21487974999991</v>
          </cell>
          <cell r="Q22">
            <v>880.13951850000001</v>
          </cell>
          <cell r="R22">
            <v>1063.57280625</v>
          </cell>
          <cell r="S22">
            <v>1424.30955825</v>
          </cell>
          <cell r="T22">
            <v>1388.2819342499999</v>
          </cell>
          <cell r="U22">
            <v>1453.559984</v>
          </cell>
          <cell r="V22">
            <v>1556.0586242500001</v>
          </cell>
          <cell r="W22">
            <v>1852.1699860000001</v>
          </cell>
          <cell r="X22">
            <v>1944.617694</v>
          </cell>
          <cell r="Y22">
            <v>627.23782825000001</v>
          </cell>
          <cell r="Z22">
            <v>145.87420924999998</v>
          </cell>
          <cell r="AA22">
            <v>179.20806974999999</v>
          </cell>
          <cell r="AB22">
            <v>221.84999999999997</v>
          </cell>
          <cell r="AC22">
            <v>180.7</v>
          </cell>
          <cell r="AD22">
            <v>219.58626296922682</v>
          </cell>
          <cell r="AE22">
            <v>243.00265851477775</v>
          </cell>
          <cell r="AF22">
            <v>264.52488688347461</v>
          </cell>
          <cell r="AG22">
            <v>293.60724231241693</v>
          </cell>
          <cell r="AH22">
            <v>325.8972442750167</v>
          </cell>
          <cell r="AI22">
            <v>362.02052945731816</v>
          </cell>
          <cell r="AJ22">
            <v>402.4440398641861</v>
          </cell>
          <cell r="AK22">
            <v>447.03328358834966</v>
          </cell>
          <cell r="AL22">
            <v>494.4961225729752</v>
          </cell>
          <cell r="AM22">
            <v>546.06557665976163</v>
          </cell>
        </row>
        <row r="23">
          <cell r="N23">
            <v>129.07489575</v>
          </cell>
          <cell r="O23">
            <v>820.43269750000002</v>
          </cell>
          <cell r="P23">
            <v>880.92018350000001</v>
          </cell>
          <cell r="Q23">
            <v>879.31740124999999</v>
          </cell>
          <cell r="R23">
            <v>903.14313399999992</v>
          </cell>
          <cell r="S23">
            <v>1093.198926</v>
          </cell>
          <cell r="T23">
            <v>1300.4963670000002</v>
          </cell>
          <cell r="U23">
            <v>1507.4737499999999</v>
          </cell>
          <cell r="V23">
            <v>1744.0127500000001</v>
          </cell>
          <cell r="W23">
            <v>2131.8627499999998</v>
          </cell>
          <cell r="X23">
            <v>2718.1607500000005</v>
          </cell>
          <cell r="Y23">
            <v>2700.2249999999999</v>
          </cell>
          <cell r="Z23">
            <v>2607.9651750000003</v>
          </cell>
          <cell r="AA23">
            <v>2925.9607249999999</v>
          </cell>
          <cell r="AB23">
            <v>3914.0219999999999</v>
          </cell>
          <cell r="AC23">
            <v>3970.703</v>
          </cell>
          <cell r="AD23">
            <v>5047.9620583484575</v>
          </cell>
          <cell r="AE23">
            <v>5896.037958243418</v>
          </cell>
          <cell r="AF23">
            <v>5854.7077948432971</v>
          </cell>
          <cell r="AG23">
            <v>6245.1312261590228</v>
          </cell>
          <cell r="AH23">
            <v>6891.0192216006781</v>
          </cell>
          <cell r="AI23">
            <v>7625.2129032231751</v>
          </cell>
          <cell r="AJ23">
            <v>8632.7864782606466</v>
          </cell>
          <cell r="AK23">
            <v>10050.652968522358</v>
          </cell>
          <cell r="AL23">
            <v>12032.510437903986</v>
          </cell>
          <cell r="AM23">
            <v>14825.679930782249</v>
          </cell>
        </row>
        <row r="24">
          <cell r="N24">
            <v>605.17700000000002</v>
          </cell>
          <cell r="O24">
            <v>716.01300000000003</v>
          </cell>
          <cell r="P24">
            <v>747.52499999999998</v>
          </cell>
          <cell r="Q24">
            <v>762.25099999999998</v>
          </cell>
          <cell r="R24">
            <v>868.22900000000004</v>
          </cell>
          <cell r="S24">
            <v>1092.4090000000001</v>
          </cell>
          <cell r="T24">
            <v>1300.491</v>
          </cell>
          <cell r="U24">
            <v>1560.4</v>
          </cell>
          <cell r="V24">
            <v>1805.2</v>
          </cell>
          <cell r="W24">
            <v>2241</v>
          </cell>
          <cell r="X24">
            <v>2718.2</v>
          </cell>
          <cell r="Y24">
            <v>2700.2</v>
          </cell>
          <cell r="Z24">
            <v>2607.9</v>
          </cell>
          <cell r="AA24">
            <v>2925.9</v>
          </cell>
          <cell r="AB24">
            <v>3914</v>
          </cell>
          <cell r="AC24">
            <v>3915</v>
          </cell>
          <cell r="AD24">
            <v>4842.2127895886097</v>
          </cell>
          <cell r="AE24">
            <v>4347.6953208685072</v>
          </cell>
          <cell r="AF24">
            <v>4869.1573717902311</v>
          </cell>
          <cell r="AG24">
            <v>4744.2766177022386</v>
          </cell>
          <cell r="AH24">
            <v>4467.5816418932209</v>
          </cell>
          <cell r="AI24">
            <v>3972.126901785572</v>
          </cell>
          <cell r="AJ24">
            <v>3316.6043792755054</v>
          </cell>
          <cell r="AK24">
            <v>2914.4096075093044</v>
          </cell>
          <cell r="AL24">
            <v>3684.8191568066841</v>
          </cell>
          <cell r="AM24">
            <v>4846.7438124646324</v>
          </cell>
        </row>
        <row r="25">
          <cell r="N25">
            <v>-476.10210425000002</v>
          </cell>
          <cell r="O25">
            <v>104.41969749999998</v>
          </cell>
          <cell r="P25">
            <v>133.39518350000003</v>
          </cell>
          <cell r="Q25">
            <v>117.06640125000001</v>
          </cell>
          <cell r="R25">
            <v>34.914133999999876</v>
          </cell>
          <cell r="S25">
            <v>0.78992599999992308</v>
          </cell>
          <cell r="T25">
            <v>5.367000000205735E-3</v>
          </cell>
          <cell r="U25">
            <v>-52.926250000000209</v>
          </cell>
          <cell r="V25">
            <v>-61.187249999999949</v>
          </cell>
          <cell r="W25">
            <v>-109.13725000000022</v>
          </cell>
          <cell r="X25">
            <v>-3.9249999999356078E-2</v>
          </cell>
          <cell r="Y25">
            <v>2.5000000000090949E-2</v>
          </cell>
          <cell r="Z25">
            <v>6.5175000000181171E-2</v>
          </cell>
          <cell r="AA25">
            <v>6.0724999999820284E-2</v>
          </cell>
          <cell r="AB25">
            <v>2.1999999999934516E-2</v>
          </cell>
          <cell r="AC25">
            <v>55.702999999999975</v>
          </cell>
          <cell r="AD25">
            <v>205.74926875984784</v>
          </cell>
          <cell r="AE25">
            <v>1548.3426373749107</v>
          </cell>
          <cell r="AF25">
            <v>985.55042305306597</v>
          </cell>
          <cell r="AG25">
            <v>1500.8546084567843</v>
          </cell>
          <cell r="AH25">
            <v>2423.4375797074572</v>
          </cell>
          <cell r="AI25">
            <v>3653.086001437603</v>
          </cell>
          <cell r="AJ25">
            <v>5316.1820989851412</v>
          </cell>
          <cell r="AK25">
            <v>7136.2433610130538</v>
          </cell>
          <cell r="AL25">
            <v>8347.6912810973008</v>
          </cell>
          <cell r="AM25">
            <v>9978.936118317617</v>
          </cell>
        </row>
        <row r="26">
          <cell r="N26">
            <v>4.5465299999999997</v>
          </cell>
          <cell r="O26">
            <v>7.5155099999999999</v>
          </cell>
          <cell r="P26">
            <v>7.25</v>
          </cell>
          <cell r="Q26">
            <v>13.149999999999999</v>
          </cell>
          <cell r="R26">
            <v>25.935275000000001</v>
          </cell>
          <cell r="S26">
            <v>34.453425000000003</v>
          </cell>
          <cell r="T26">
            <v>36.324999999999996</v>
          </cell>
          <cell r="U26">
            <v>38.949999999999996</v>
          </cell>
          <cell r="V26">
            <v>42.035514500000005</v>
          </cell>
          <cell r="W26">
            <v>49.170055249999997</v>
          </cell>
          <cell r="X26">
            <v>54.105178000000002</v>
          </cell>
          <cell r="Y26">
            <v>64.460072249999996</v>
          </cell>
          <cell r="Z26">
            <v>73.59007600000001</v>
          </cell>
          <cell r="AA26">
            <v>80.996691999999996</v>
          </cell>
          <cell r="AB26">
            <v>91.274999999999991</v>
          </cell>
          <cell r="AC26">
            <v>108.27500000000001</v>
          </cell>
          <cell r="AD26">
            <v>101.51292060976996</v>
          </cell>
          <cell r="AE26">
            <v>105.94056376794815</v>
          </cell>
          <cell r="AF26">
            <v>119.57999149936734</v>
          </cell>
          <cell r="AG26">
            <v>134.2515269405844</v>
          </cell>
          <cell r="AH26">
            <v>150.67955693755877</v>
          </cell>
          <cell r="AI26">
            <v>169.60738114157232</v>
          </cell>
          <cell r="AJ26">
            <v>191.2590041774132</v>
          </cell>
          <cell r="AK26">
            <v>214.90564385363766</v>
          </cell>
          <cell r="AL26">
            <v>239.2264712021306</v>
          </cell>
          <cell r="AM26">
            <v>263.19958157578054</v>
          </cell>
        </row>
        <row r="27">
          <cell r="N27">
            <v>331.160574</v>
          </cell>
          <cell r="O27">
            <v>504.64661874999996</v>
          </cell>
          <cell r="P27">
            <v>476.78789125000003</v>
          </cell>
          <cell r="Q27">
            <v>329.53760175000002</v>
          </cell>
          <cell r="R27">
            <v>464.59037325000008</v>
          </cell>
          <cell r="S27">
            <v>507.02897575000003</v>
          </cell>
          <cell r="T27">
            <v>509.34959799999996</v>
          </cell>
          <cell r="U27">
            <v>525.11476325000001</v>
          </cell>
          <cell r="V27">
            <v>620.98485850000009</v>
          </cell>
          <cell r="W27">
            <v>617.13375400000007</v>
          </cell>
          <cell r="X27">
            <v>628.77665724999997</v>
          </cell>
          <cell r="Y27">
            <v>710.90071684750012</v>
          </cell>
          <cell r="Z27">
            <v>1012.7844010049999</v>
          </cell>
          <cell r="AA27">
            <v>994.78568415749999</v>
          </cell>
          <cell r="AB27">
            <v>877</v>
          </cell>
          <cell r="AC27">
            <v>1016.5</v>
          </cell>
          <cell r="AD27">
            <v>1382.8046910575181</v>
          </cell>
          <cell r="AE27">
            <v>1546.267097942831</v>
          </cell>
          <cell r="AF27">
            <v>1669.7450552844298</v>
          </cell>
          <cell r="AG27">
            <v>1846.924979232223</v>
          </cell>
          <cell r="AH27">
            <v>2057.0602072623456</v>
          </cell>
          <cell r="AI27">
            <v>2302.5966025175612</v>
          </cell>
          <cell r="AJ27">
            <v>2582.8986842894856</v>
          </cell>
          <cell r="AK27">
            <v>2890.7543316402634</v>
          </cell>
          <cell r="AL27">
            <v>3215.756522241003</v>
          </cell>
          <cell r="AM27">
            <v>3550.2332189985127</v>
          </cell>
        </row>
        <row r="28">
          <cell r="N28">
            <v>8.0848440000000004</v>
          </cell>
          <cell r="O28">
            <v>13.255447500000001</v>
          </cell>
          <cell r="P28">
            <v>158.115613</v>
          </cell>
          <cell r="Q28">
            <v>107.49807475</v>
          </cell>
          <cell r="R28">
            <v>168.18494475</v>
          </cell>
          <cell r="S28">
            <v>252.44681225000002</v>
          </cell>
          <cell r="T28">
            <v>295.17531074999999</v>
          </cell>
          <cell r="U28">
            <v>301.43825500000003</v>
          </cell>
          <cell r="V28">
            <v>359.31567900000005</v>
          </cell>
          <cell r="W28">
            <v>396.71517325000002</v>
          </cell>
          <cell r="X28">
            <v>372.47749499999998</v>
          </cell>
          <cell r="Y28">
            <v>438.17693125</v>
          </cell>
          <cell r="Z28">
            <v>643.29099725000003</v>
          </cell>
          <cell r="AA28">
            <v>543.31100924999998</v>
          </cell>
          <cell r="AB28">
            <v>490.75</v>
          </cell>
          <cell r="AC28">
            <v>530</v>
          </cell>
          <cell r="AD28">
            <v>961.5126684626216</v>
          </cell>
          <cell r="AE28">
            <v>1167.1394148730428</v>
          </cell>
          <cell r="AF28">
            <v>1264.8230671292752</v>
          </cell>
          <cell r="AG28">
            <v>1395.5855396520155</v>
          </cell>
          <cell r="AH28">
            <v>1550.4914677165393</v>
          </cell>
          <cell r="AI28">
            <v>1732.3945191775131</v>
          </cell>
          <cell r="AJ28">
            <v>1939.9061334613232</v>
          </cell>
          <cell r="AK28">
            <v>2168.2642783058864</v>
          </cell>
          <cell r="AL28">
            <v>2411.5024187259987</v>
          </cell>
          <cell r="AM28">
            <v>2665.3840530092752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214.5</v>
          </cell>
          <cell r="Z29">
            <v>430.75</v>
          </cell>
          <cell r="AA29">
            <v>346.25</v>
          </cell>
          <cell r="AB29">
            <v>364.54999999999995</v>
          </cell>
          <cell r="AC29">
            <v>400.1</v>
          </cell>
          <cell r="AD29">
            <v>476.49520868592145</v>
          </cell>
          <cell r="AE29">
            <v>565.32987121948725</v>
          </cell>
          <cell r="AF29">
            <v>618.1098845794354</v>
          </cell>
          <cell r="AG29">
            <v>674.73763827963137</v>
          </cell>
          <cell r="AH29">
            <v>741.43517708507011</v>
          </cell>
          <cell r="AI29">
            <v>821.70748611845841</v>
          </cell>
          <cell r="AJ29">
            <v>912.96323812370156</v>
          </cell>
          <cell r="AK29">
            <v>1014.3535117375769</v>
          </cell>
          <cell r="AL29">
            <v>1127.0038089254833</v>
          </cell>
          <cell r="AM29">
            <v>1252.1646256804643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N31">
            <v>8.0848440000000004</v>
          </cell>
          <cell r="O31">
            <v>13.255447500000001</v>
          </cell>
          <cell r="P31">
            <v>158.115613</v>
          </cell>
          <cell r="Q31">
            <v>107.49807475</v>
          </cell>
          <cell r="R31">
            <v>168.18494475</v>
          </cell>
          <cell r="S31">
            <v>252.44681225000002</v>
          </cell>
          <cell r="T31">
            <v>295.17531074999999</v>
          </cell>
          <cell r="U31">
            <v>301.43825500000003</v>
          </cell>
          <cell r="V31">
            <v>359.31567900000005</v>
          </cell>
          <cell r="W31">
            <v>396.71517325000002</v>
          </cell>
          <cell r="X31">
            <v>372.47749499999998</v>
          </cell>
          <cell r="Y31">
            <v>223.67693125</v>
          </cell>
          <cell r="Z31">
            <v>212.54099725000003</v>
          </cell>
          <cell r="AA31">
            <v>197.06100925000001</v>
          </cell>
          <cell r="AB31">
            <v>126.20000000000002</v>
          </cell>
          <cell r="AC31">
            <v>129.9</v>
          </cell>
          <cell r="AD31">
            <v>485.01745977670021</v>
          </cell>
          <cell r="AE31">
            <v>601.80954365355569</v>
          </cell>
          <cell r="AF31">
            <v>646.71318254983976</v>
          </cell>
          <cell r="AG31">
            <v>720.84790137238451</v>
          </cell>
          <cell r="AH31">
            <v>809.05629063146921</v>
          </cell>
          <cell r="AI31">
            <v>910.68703305905467</v>
          </cell>
          <cell r="AJ31">
            <v>1026.9428953376216</v>
          </cell>
          <cell r="AK31">
            <v>1153.9107665683096</v>
          </cell>
          <cell r="AL31">
            <v>1284.4986098005152</v>
          </cell>
          <cell r="AM31">
            <v>1413.219427328811</v>
          </cell>
        </row>
        <row r="32">
          <cell r="N32">
            <v>2.8499999999999996</v>
          </cell>
          <cell r="O32">
            <v>4.3250000000000002</v>
          </cell>
          <cell r="P32">
            <v>2.0249999999999999</v>
          </cell>
          <cell r="Q32">
            <v>1.425</v>
          </cell>
          <cell r="R32">
            <v>3.1500000000000004</v>
          </cell>
          <cell r="S32">
            <v>6.1749999999999998</v>
          </cell>
          <cell r="T32">
            <v>1.75</v>
          </cell>
          <cell r="U32">
            <v>18.955572</v>
          </cell>
          <cell r="V32">
            <v>64.359309499999995</v>
          </cell>
          <cell r="W32">
            <v>32.613482750000003</v>
          </cell>
          <cell r="X32">
            <v>4.4221847500000004</v>
          </cell>
          <cell r="Y32">
            <v>92.786737500000001</v>
          </cell>
          <cell r="Z32">
            <v>91.714399499999999</v>
          </cell>
          <cell r="AA32">
            <v>79.511829000000006</v>
          </cell>
          <cell r="AB32">
            <v>31</v>
          </cell>
          <cell r="AC32">
            <v>37.5</v>
          </cell>
          <cell r="AD32">
            <v>34.96144525140528</v>
          </cell>
          <cell r="AE32">
            <v>31.674186508081881</v>
          </cell>
          <cell r="AF32">
            <v>34.037535923675776</v>
          </cell>
          <cell r="AG32">
            <v>37.939363230125508</v>
          </cell>
          <cell r="AH32">
            <v>42.581910033235225</v>
          </cell>
          <cell r="AI32">
            <v>47.930896476792356</v>
          </cell>
          <cell r="AJ32">
            <v>54.049626070401139</v>
          </cell>
          <cell r="AK32">
            <v>60.732145608858403</v>
          </cell>
          <cell r="AL32">
            <v>67.605189989500801</v>
          </cell>
          <cell r="AM32">
            <v>74.379969859411105</v>
          </cell>
        </row>
        <row r="33">
          <cell r="N33">
            <v>320.22573</v>
          </cell>
          <cell r="O33">
            <v>487.06617124999997</v>
          </cell>
          <cell r="P33">
            <v>316.64727825</v>
          </cell>
          <cell r="Q33">
            <v>220.61452700000001</v>
          </cell>
          <cell r="R33">
            <v>293.25542850000005</v>
          </cell>
          <cell r="S33">
            <v>248.40716350000002</v>
          </cell>
          <cell r="T33">
            <v>212.42428724999996</v>
          </cell>
          <cell r="U33">
            <v>204.72093624999994</v>
          </cell>
          <cell r="V33">
            <v>197.30987000000002</v>
          </cell>
          <cell r="W33">
            <v>187.80509800000004</v>
          </cell>
          <cell r="X33">
            <v>251.87697750000007</v>
          </cell>
          <cell r="Y33">
            <v>179.93704809750011</v>
          </cell>
          <cell r="Z33">
            <v>277.7790042549999</v>
          </cell>
          <cell r="AA33">
            <v>371.96284590749997</v>
          </cell>
          <cell r="AB33">
            <v>355.25</v>
          </cell>
          <cell r="AC33">
            <v>449</v>
          </cell>
          <cell r="AD33">
            <v>386.3305773434912</v>
          </cell>
          <cell r="AE33">
            <v>347.45349656170623</v>
          </cell>
          <cell r="AF33">
            <v>370.8844522314788</v>
          </cell>
          <cell r="AG33">
            <v>413.40007635008146</v>
          </cell>
          <cell r="AH33">
            <v>463.98682951257092</v>
          </cell>
          <cell r="AI33">
            <v>522.27118686325571</v>
          </cell>
          <cell r="AJ33">
            <v>588.94292475776138</v>
          </cell>
          <cell r="AK33">
            <v>661.75790772551863</v>
          </cell>
          <cell r="AL33">
            <v>736.64891352550353</v>
          </cell>
          <cell r="AM33">
            <v>810.46919612982629</v>
          </cell>
        </row>
        <row r="34">
          <cell r="N34">
            <v>189.40100000000001</v>
          </cell>
          <cell r="O34">
            <v>163.40199999999999</v>
          </cell>
          <cell r="P34">
            <v>155.79900000000001</v>
          </cell>
          <cell r="Q34">
            <v>144.434</v>
          </cell>
          <cell r="R34">
            <v>189.36700000000002</v>
          </cell>
          <cell r="S34">
            <v>154.38400000000001</v>
          </cell>
          <cell r="T34">
            <v>178.25800000000001</v>
          </cell>
          <cell r="U34">
            <v>148.9</v>
          </cell>
          <cell r="V34">
            <v>128</v>
          </cell>
          <cell r="W34">
            <v>100</v>
          </cell>
          <cell r="X34">
            <v>150</v>
          </cell>
          <cell r="Y34">
            <v>200</v>
          </cell>
          <cell r="Z34">
            <v>300</v>
          </cell>
          <cell r="AA34">
            <v>300</v>
          </cell>
          <cell r="AB34">
            <v>61.425000000000004</v>
          </cell>
          <cell r="AC34">
            <v>132.52500000000001</v>
          </cell>
          <cell r="AD34">
            <v>150.80000000000001</v>
          </cell>
          <cell r="AE34">
            <v>57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75.825000000000003</v>
          </cell>
          <cell r="O35">
            <v>76.125</v>
          </cell>
          <cell r="P35">
            <v>72.075000000000003</v>
          </cell>
          <cell r="Q35">
            <v>59.55</v>
          </cell>
          <cell r="R35">
            <v>42.524999999999999</v>
          </cell>
          <cell r="S35">
            <v>9.9</v>
          </cell>
          <cell r="T35">
            <v>0.4</v>
          </cell>
          <cell r="U35">
            <v>0.4</v>
          </cell>
          <cell r="V35">
            <v>0.4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53.467500000000001</v>
          </cell>
          <cell r="AC35">
            <v>55.875</v>
          </cell>
          <cell r="AD35">
            <v>50.678272141815278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113.57599999999999</v>
          </cell>
          <cell r="O36">
            <v>87.277000000000001</v>
          </cell>
          <cell r="P36">
            <v>83.724000000000004</v>
          </cell>
          <cell r="Q36">
            <v>84.884</v>
          </cell>
          <cell r="R36">
            <v>146.84200000000001</v>
          </cell>
          <cell r="S36">
            <v>144.48400000000001</v>
          </cell>
          <cell r="T36">
            <v>177.858</v>
          </cell>
          <cell r="U36">
            <v>148.5</v>
          </cell>
          <cell r="V36">
            <v>127.6</v>
          </cell>
          <cell r="W36">
            <v>100</v>
          </cell>
          <cell r="X36">
            <v>150</v>
          </cell>
          <cell r="Y36">
            <v>200</v>
          </cell>
          <cell r="Z36">
            <v>300</v>
          </cell>
          <cell r="AA36">
            <v>300</v>
          </cell>
          <cell r="AB36">
            <v>7.9575000000000005</v>
          </cell>
          <cell r="AC36">
            <v>76.650000000000006</v>
          </cell>
          <cell r="AD36">
            <v>100.12172785818473</v>
          </cell>
          <cell r="AE36">
            <v>6.4289704775796324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18.455399999999997</v>
          </cell>
          <cell r="O37">
            <v>34.13805</v>
          </cell>
          <cell r="P37">
            <v>21.047541249999998</v>
          </cell>
          <cell r="Q37">
            <v>12.18114125</v>
          </cell>
          <cell r="R37">
            <v>10.8049675</v>
          </cell>
          <cell r="S37">
            <v>7.9626809999999999</v>
          </cell>
          <cell r="T37">
            <v>12.227730249999999</v>
          </cell>
          <cell r="U37">
            <v>36.391661249999999</v>
          </cell>
          <cell r="V37">
            <v>51.67993525</v>
          </cell>
          <cell r="W37">
            <v>28.66262425</v>
          </cell>
          <cell r="X37">
            <v>20.680414249999998</v>
          </cell>
          <cell r="Y37">
            <v>21.2540486525</v>
          </cell>
          <cell r="Z37">
            <v>17.305145745000001</v>
          </cell>
          <cell r="AA37">
            <v>14.111443592500001</v>
          </cell>
          <cell r="AB37">
            <v>30.974999999999998</v>
          </cell>
          <cell r="AC37">
            <v>33.5</v>
          </cell>
          <cell r="AD37">
            <v>35.1</v>
          </cell>
          <cell r="AE37">
            <v>33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1360.3575000000001</v>
          </cell>
          <cell r="O39">
            <v>2690.39867125</v>
          </cell>
          <cell r="P39">
            <v>3223.5628147224998</v>
          </cell>
          <cell r="Q39">
            <v>3328.1961679075002</v>
          </cell>
          <cell r="R39">
            <v>3725.4722833500005</v>
          </cell>
          <cell r="S39">
            <v>4236.9245349499997</v>
          </cell>
          <cell r="T39">
            <v>5220.6253255000001</v>
          </cell>
          <cell r="U39">
            <v>5892.8866635149998</v>
          </cell>
          <cell r="V39">
            <v>6694.6334767500011</v>
          </cell>
          <cell r="W39">
            <v>7672.3607611649995</v>
          </cell>
          <cell r="X39">
            <v>8488.7693236374998</v>
          </cell>
          <cell r="Y39">
            <v>9895.6171172124996</v>
          </cell>
          <cell r="Z39">
            <v>11124.7926035325</v>
          </cell>
          <cell r="AA39">
            <v>12032.634426177501</v>
          </cell>
          <cell r="AB39">
            <v>12900.725075000002</v>
          </cell>
          <cell r="AC39">
            <v>13048.49725</v>
          </cell>
          <cell r="AD39">
            <v>13330.889139765024</v>
          </cell>
          <cell r="AE39">
            <v>13945.179678418577</v>
          </cell>
          <cell r="AF39">
            <v>14856.100926425468</v>
          </cell>
          <cell r="AG39">
            <v>16286.859606969843</v>
          </cell>
          <cell r="AH39">
            <v>17982.137242805005</v>
          </cell>
          <cell r="AI39">
            <v>19798.526269251797</v>
          </cell>
          <cell r="AJ39">
            <v>21774.153005787724</v>
          </cell>
          <cell r="AK39">
            <v>23907.022573245958</v>
          </cell>
          <cell r="AL39">
            <v>26160.8430275795</v>
          </cell>
          <cell r="AM39">
            <v>28438.865180214565</v>
          </cell>
        </row>
        <row r="40">
          <cell r="N40">
            <v>1360.3575000000001</v>
          </cell>
          <cell r="O40">
            <v>2218.0446727499998</v>
          </cell>
          <cell r="P40">
            <v>2763.3621847024997</v>
          </cell>
          <cell r="Q40">
            <v>2899.1581813175003</v>
          </cell>
          <cell r="R40">
            <v>3632.6510757425003</v>
          </cell>
          <cell r="S40">
            <v>4351.8991844974998</v>
          </cell>
          <cell r="T40">
            <v>5350.9623324999993</v>
          </cell>
          <cell r="U40">
            <v>6020.9981370525002</v>
          </cell>
          <cell r="V40">
            <v>6761.3534912625009</v>
          </cell>
          <cell r="W40">
            <v>7799.8135416649993</v>
          </cell>
          <cell r="X40">
            <v>8680.5869171374998</v>
          </cell>
          <cell r="Y40">
            <v>9443.3896172124987</v>
          </cell>
          <cell r="Z40">
            <v>10353.282603532502</v>
          </cell>
          <cell r="AA40">
            <v>11408.909426177501</v>
          </cell>
          <cell r="AB40">
            <v>12307.725075000002</v>
          </cell>
          <cell r="AC40">
            <v>12642.24725</v>
          </cell>
          <cell r="AD40">
            <v>13282.800599311857</v>
          </cell>
          <cell r="AE40">
            <v>13908.669231773791</v>
          </cell>
          <cell r="AF40">
            <v>14819.362174313959</v>
          </cell>
          <cell r="AG40">
            <v>16263.390087592597</v>
          </cell>
          <cell r="AH40">
            <v>17964.312597171214</v>
          </cell>
          <cell r="AI40">
            <v>19787.205457485463</v>
          </cell>
          <cell r="AJ40">
            <v>21770.271958764984</v>
          </cell>
          <cell r="AK40">
            <v>23911.266803292583</v>
          </cell>
          <cell r="AL40">
            <v>26173.444193895652</v>
          </cell>
          <cell r="AM40">
            <v>28459.703802958666</v>
          </cell>
        </row>
        <row r="41">
          <cell r="N41">
            <v>1185.75</v>
          </cell>
          <cell r="O41">
            <v>2218.0446727499998</v>
          </cell>
          <cell r="P41">
            <v>2763.3621847024997</v>
          </cell>
          <cell r="Q41">
            <v>2899.1581813175003</v>
          </cell>
          <cell r="R41">
            <v>3291.0260757425003</v>
          </cell>
          <cell r="S41">
            <v>3764.3991844974998</v>
          </cell>
          <cell r="T41">
            <v>4646.1123324999999</v>
          </cell>
          <cell r="U41">
            <v>5188.6481370524998</v>
          </cell>
          <cell r="V41">
            <v>5919.9284912625008</v>
          </cell>
          <cell r="W41">
            <v>6695.0135416649991</v>
          </cell>
          <cell r="X41">
            <v>7438.0869171374998</v>
          </cell>
          <cell r="Y41">
            <v>8411.3896172124987</v>
          </cell>
          <cell r="Z41">
            <v>9296.8576035325004</v>
          </cell>
          <cell r="AA41">
            <v>10211.509426177501</v>
          </cell>
          <cell r="AB41">
            <v>11099.400075000001</v>
          </cell>
          <cell r="AC41">
            <v>11348.64725</v>
          </cell>
          <cell r="AD41">
            <v>11697.550606892373</v>
          </cell>
          <cell r="AE41">
            <v>12304.913073359661</v>
          </cell>
          <cell r="AF41">
            <v>13080.756985943151</v>
          </cell>
          <cell r="AG41">
            <v>14266.14354527483</v>
          </cell>
          <cell r="AH41">
            <v>15656.250304010919</v>
          </cell>
          <cell r="AI41">
            <v>17114.459393800746</v>
          </cell>
          <cell r="AJ41">
            <v>18672.052540397352</v>
          </cell>
          <cell r="AK41">
            <v>20335.406381852492</v>
          </cell>
          <cell r="AL41">
            <v>22087.716910993317</v>
          </cell>
          <cell r="AM41">
            <v>23848.844072769774</v>
          </cell>
        </row>
        <row r="42">
          <cell r="N42">
            <v>1177.5</v>
          </cell>
          <cell r="O42">
            <v>1899.0848379999998</v>
          </cell>
          <cell r="P42">
            <v>2312.5215567249998</v>
          </cell>
          <cell r="Q42">
            <v>2435.2446343250003</v>
          </cell>
          <cell r="R42">
            <v>2660.9432388350001</v>
          </cell>
          <cell r="S42">
            <v>3001.2665614449998</v>
          </cell>
          <cell r="T42">
            <v>3661.0463247500002</v>
          </cell>
          <cell r="U42">
            <v>4040.8669662725001</v>
          </cell>
          <cell r="V42">
            <v>4432.9003817575003</v>
          </cell>
          <cell r="W42">
            <v>5038.0735072499992</v>
          </cell>
          <cell r="X42">
            <v>5500.9128357500003</v>
          </cell>
          <cell r="Y42">
            <v>6127.1324999999997</v>
          </cell>
          <cell r="Z42">
            <v>6603.2725</v>
          </cell>
          <cell r="AA42">
            <v>7073.1575000000003</v>
          </cell>
          <cell r="AB42">
            <v>7379.1</v>
          </cell>
          <cell r="AC42">
            <v>7717.5</v>
          </cell>
          <cell r="AD42">
            <v>8175.0694171509858</v>
          </cell>
          <cell r="AE42">
            <v>8813.3301188226706</v>
          </cell>
          <cell r="AF42">
            <v>9592.1875524175703</v>
          </cell>
          <cell r="AG42">
            <v>10519.639752781799</v>
          </cell>
          <cell r="AH42">
            <v>11549.932381501116</v>
          </cell>
          <cell r="AI42">
            <v>12606.430183479262</v>
          </cell>
          <cell r="AJ42">
            <v>13705.20730220427</v>
          </cell>
          <cell r="AK42">
            <v>14866.648111551069</v>
          </cell>
          <cell r="AL42">
            <v>16102.547273608167</v>
          </cell>
          <cell r="AM42">
            <v>17354.757761666493</v>
          </cell>
        </row>
        <row r="43">
          <cell r="N43">
            <v>758.17499999999995</v>
          </cell>
          <cell r="O43">
            <v>1157.4097932499999</v>
          </cell>
          <cell r="P43">
            <v>1460.3851876449999</v>
          </cell>
          <cell r="Q43">
            <v>1585.8761329650001</v>
          </cell>
          <cell r="R43">
            <v>1716.9400395</v>
          </cell>
          <cell r="S43">
            <v>1969.21098375</v>
          </cell>
          <cell r="T43">
            <v>2506.8506172500001</v>
          </cell>
          <cell r="U43">
            <v>2790.5507681650001</v>
          </cell>
          <cell r="V43">
            <v>3085.1057135550004</v>
          </cell>
          <cell r="W43">
            <v>3507.1362824999997</v>
          </cell>
          <cell r="X43">
            <v>3877.0654275000002</v>
          </cell>
          <cell r="Y43">
            <v>4234.8275000000003</v>
          </cell>
          <cell r="Z43">
            <v>4613.0725000000002</v>
          </cell>
          <cell r="AA43">
            <v>5014.9825000000001</v>
          </cell>
          <cell r="AB43">
            <v>5424.5</v>
          </cell>
          <cell r="AC43">
            <v>5797.75</v>
          </cell>
          <cell r="AD43">
            <v>6368.0485356958889</v>
          </cell>
          <cell r="AE43">
            <v>6992.7343295770961</v>
          </cell>
          <cell r="AF43">
            <v>7585.8156126100266</v>
          </cell>
          <cell r="AG43">
            <v>8226.6850013437925</v>
          </cell>
          <cell r="AH43">
            <v>8909.976791121524</v>
          </cell>
          <cell r="AI43">
            <v>9617.7538638039769</v>
          </cell>
          <cell r="AJ43">
            <v>10335.004585421655</v>
          </cell>
          <cell r="AK43">
            <v>11079.76451941648</v>
          </cell>
          <cell r="AL43">
            <v>11887.102847138902</v>
          </cell>
          <cell r="AM43">
            <v>12716.879672225419</v>
          </cell>
        </row>
        <row r="44">
          <cell r="N44">
            <v>419.32500000000005</v>
          </cell>
          <cell r="O44">
            <v>741.67504474999998</v>
          </cell>
          <cell r="P44">
            <v>852.13636908000001</v>
          </cell>
          <cell r="Q44">
            <v>849.36850135999998</v>
          </cell>
          <cell r="R44">
            <v>944.00319933499998</v>
          </cell>
          <cell r="S44">
            <v>1032.055577695</v>
          </cell>
          <cell r="T44">
            <v>1154.1957075</v>
          </cell>
          <cell r="U44">
            <v>1250.3161981075</v>
          </cell>
          <cell r="V44">
            <v>1347.7946682024999</v>
          </cell>
          <cell r="W44">
            <v>1530.93722475</v>
          </cell>
          <cell r="X44">
            <v>1623.8474082499999</v>
          </cell>
          <cell r="Y44">
            <v>1892.3049999999998</v>
          </cell>
          <cell r="Z44">
            <v>1990.2</v>
          </cell>
          <cell r="AA44">
            <v>2058.1750000000002</v>
          </cell>
          <cell r="AB44">
            <v>1954.6</v>
          </cell>
          <cell r="AC44">
            <v>1919.75</v>
          </cell>
          <cell r="AD44">
            <v>1807.0208814550961</v>
          </cell>
          <cell r="AE44">
            <v>1820.5957892455731</v>
          </cell>
          <cell r="AF44">
            <v>2006.3719398075418</v>
          </cell>
          <cell r="AG44">
            <v>2292.9547514380024</v>
          </cell>
          <cell r="AH44">
            <v>2639.9555903795881</v>
          </cell>
          <cell r="AI44">
            <v>2988.6763196752831</v>
          </cell>
          <cell r="AJ44">
            <v>3370.2027167826122</v>
          </cell>
          <cell r="AK44">
            <v>3786.8835921345844</v>
          </cell>
          <cell r="AL44">
            <v>4215.4444264692629</v>
          </cell>
          <cell r="AM44">
            <v>4637.8780894410665</v>
          </cell>
        </row>
        <row r="45">
          <cell r="N45">
            <v>8.25</v>
          </cell>
          <cell r="O45">
            <v>303.78573874999995</v>
          </cell>
          <cell r="P45">
            <v>429.58146755000001</v>
          </cell>
          <cell r="Q45">
            <v>405.98194910000001</v>
          </cell>
          <cell r="R45">
            <v>524.4736103875</v>
          </cell>
          <cell r="S45">
            <v>625.99056621250008</v>
          </cell>
          <cell r="T45">
            <v>769.76349475000006</v>
          </cell>
          <cell r="U45">
            <v>825.7232902825001</v>
          </cell>
          <cell r="V45">
            <v>1033.7957529275</v>
          </cell>
          <cell r="W45">
            <v>1151.9759617500001</v>
          </cell>
          <cell r="X45">
            <v>1426.6769872499999</v>
          </cell>
          <cell r="Y45">
            <v>1717.15</v>
          </cell>
          <cell r="Z45">
            <v>1928.5250000000001</v>
          </cell>
          <cell r="AA45">
            <v>2283.4152249999997</v>
          </cell>
          <cell r="AB45">
            <v>2756.3000750000001</v>
          </cell>
          <cell r="AC45">
            <v>2511.89725</v>
          </cell>
          <cell r="AD45">
            <v>2341.0887981184046</v>
          </cell>
          <cell r="AE45">
            <v>2406.9815418353915</v>
          </cell>
          <cell r="AF45">
            <v>2614.3109138946074</v>
          </cell>
          <cell r="AG45">
            <v>2913.9974051334812</v>
          </cell>
          <cell r="AH45">
            <v>3270.5761187880735</v>
          </cell>
          <cell r="AI45">
            <v>3681.4141321220177</v>
          </cell>
          <cell r="AJ45">
            <v>4151.3735789988614</v>
          </cell>
          <cell r="AK45">
            <v>4664.6358727464785</v>
          </cell>
          <cell r="AL45">
            <v>5192.5317514695062</v>
          </cell>
          <cell r="AM45">
            <v>5712.8802570973876</v>
          </cell>
        </row>
        <row r="46">
          <cell r="N46">
            <v>0</v>
          </cell>
          <cell r="O46">
            <v>1.4778224999999998</v>
          </cell>
          <cell r="P46">
            <v>4.9098468000000004</v>
          </cell>
          <cell r="Q46">
            <v>7.9545843499999993</v>
          </cell>
          <cell r="R46">
            <v>10.736382127500001</v>
          </cell>
          <cell r="S46">
            <v>9.6710397925000002</v>
          </cell>
          <cell r="T46">
            <v>9.2479582499999999</v>
          </cell>
          <cell r="U46">
            <v>10.8221797225</v>
          </cell>
          <cell r="V46">
            <v>17.014656657500002</v>
          </cell>
          <cell r="W46">
            <v>20.059661500000001</v>
          </cell>
          <cell r="X46">
            <v>21.325720499999999</v>
          </cell>
          <cell r="Y46">
            <v>20.27</v>
          </cell>
          <cell r="Z46">
            <v>27.47</v>
          </cell>
          <cell r="AA46">
            <v>41.594000000000001</v>
          </cell>
          <cell r="AB46">
            <v>34.71275</v>
          </cell>
          <cell r="AC46">
            <v>34.558250000000001</v>
          </cell>
          <cell r="AD46">
            <v>34.171006426339645</v>
          </cell>
          <cell r="AE46">
            <v>35.16858281501046</v>
          </cell>
          <cell r="AF46">
            <v>38.308808942936722</v>
          </cell>
          <cell r="AG46">
            <v>42.700265396961207</v>
          </cell>
          <cell r="AH46">
            <v>47.925392118465837</v>
          </cell>
          <cell r="AI46">
            <v>53.945607570138861</v>
          </cell>
          <cell r="AJ46">
            <v>60.832159037926147</v>
          </cell>
          <cell r="AK46">
            <v>68.353248838029245</v>
          </cell>
          <cell r="AL46">
            <v>76.088771897770187</v>
          </cell>
          <cell r="AM46">
            <v>83.713699514411246</v>
          </cell>
        </row>
        <row r="47">
          <cell r="N47">
            <v>2.25</v>
          </cell>
          <cell r="O47">
            <v>4.4482499999999998</v>
          </cell>
          <cell r="P47">
            <v>1.23275</v>
          </cell>
          <cell r="Q47">
            <v>5.5012499999999998</v>
          </cell>
          <cell r="R47">
            <v>15.719250000000001</v>
          </cell>
          <cell r="S47">
            <v>31.992999999999999</v>
          </cell>
          <cell r="T47">
            <v>27.677999999999997</v>
          </cell>
          <cell r="U47">
            <v>14.438460160000002</v>
          </cell>
          <cell r="V47">
            <v>11.36848672</v>
          </cell>
          <cell r="W47">
            <v>14.174475000000001</v>
          </cell>
          <cell r="X47">
            <v>19.067325</v>
          </cell>
          <cell r="Y47">
            <v>16.965</v>
          </cell>
          <cell r="Z47">
            <v>66.429999999999993</v>
          </cell>
          <cell r="AA47">
            <v>118.62500000000001</v>
          </cell>
          <cell r="AB47">
            <v>32.947250000000004</v>
          </cell>
          <cell r="AC47">
            <v>0.46300000000000002</v>
          </cell>
          <cell r="AD47">
            <v>0.42926249810487144</v>
          </cell>
          <cell r="AE47">
            <v>0.45652057839764015</v>
          </cell>
          <cell r="AF47">
            <v>0.504063275564957</v>
          </cell>
          <cell r="AG47">
            <v>0.56184559732843697</v>
          </cell>
          <cell r="AH47">
            <v>0.63059726471665578</v>
          </cell>
          <cell r="AI47">
            <v>0.7098106259228798</v>
          </cell>
          <cell r="AJ47">
            <v>0.80042314523587033</v>
          </cell>
          <cell r="AK47">
            <v>0.89938485313196381</v>
          </cell>
          <cell r="AL47">
            <v>1.00116805128645</v>
          </cell>
          <cell r="AM47">
            <v>1.1014960462422534</v>
          </cell>
        </row>
        <row r="48">
          <cell r="N48">
            <v>6</v>
          </cell>
          <cell r="O48">
            <v>65.280925999999994</v>
          </cell>
          <cell r="P48">
            <v>21.093641999999999</v>
          </cell>
          <cell r="Q48">
            <v>94.52785424999999</v>
          </cell>
          <cell r="R48">
            <v>148.243079225</v>
          </cell>
          <cell r="S48">
            <v>216.05405882500003</v>
          </cell>
          <cell r="T48">
            <v>271.05793025000003</v>
          </cell>
          <cell r="U48">
            <v>296.83879067499998</v>
          </cell>
          <cell r="V48">
            <v>343.98705997499997</v>
          </cell>
          <cell r="W48">
            <v>368.23347275000003</v>
          </cell>
          <cell r="X48">
            <v>485.24032425000001</v>
          </cell>
          <cell r="Y48">
            <v>466.10500000000002</v>
          </cell>
          <cell r="Z48">
            <v>576.02499999999998</v>
          </cell>
          <cell r="AA48">
            <v>756.86799999999994</v>
          </cell>
          <cell r="AB48">
            <v>1082.7059999999999</v>
          </cell>
          <cell r="AC48">
            <v>944.7</v>
          </cell>
          <cell r="AD48">
            <v>829.07440419424893</v>
          </cell>
          <cell r="AE48">
            <v>832.87061028875632</v>
          </cell>
          <cell r="AF48">
            <v>900.41618803550716</v>
          </cell>
          <cell r="AG48">
            <v>1003.6336617540604</v>
          </cell>
          <cell r="AH48">
            <v>1126.4458507622785</v>
          </cell>
          <cell r="AI48">
            <v>1267.9459286222389</v>
          </cell>
          <cell r="AJ48">
            <v>1429.8085025950231</v>
          </cell>
          <cell r="AK48">
            <v>1606.5853639630973</v>
          </cell>
          <cell r="AL48">
            <v>1788.4022979295844</v>
          </cell>
          <cell r="AM48">
            <v>1967.6197794453722</v>
          </cell>
        </row>
        <row r="49">
          <cell r="N49">
            <v>0</v>
          </cell>
          <cell r="O49">
            <v>197.19713174999998</v>
          </cell>
          <cell r="P49">
            <v>65.732377249999999</v>
          </cell>
          <cell r="Q49">
            <v>159.79708575000001</v>
          </cell>
          <cell r="R49">
            <v>244.13438117999999</v>
          </cell>
          <cell r="S49">
            <v>291.71198031</v>
          </cell>
          <cell r="T49">
            <v>378.30216949999999</v>
          </cell>
          <cell r="U49">
            <v>414.82778445000002</v>
          </cell>
          <cell r="V49">
            <v>521.94509764999998</v>
          </cell>
          <cell r="W49">
            <v>594.53562800000009</v>
          </cell>
          <cell r="X49">
            <v>747.63187599999992</v>
          </cell>
          <cell r="Y49">
            <v>910.12250000000006</v>
          </cell>
          <cell r="Z49">
            <v>1004.91</v>
          </cell>
          <cell r="AA49">
            <v>1101.4214749999999</v>
          </cell>
          <cell r="AB49">
            <v>1431.362075</v>
          </cell>
          <cell r="AC49">
            <v>1388.47525</v>
          </cell>
          <cell r="AD49">
            <v>1345.7652899433356</v>
          </cell>
          <cell r="AE49">
            <v>1412.9470210350396</v>
          </cell>
          <cell r="AF49">
            <v>1540.8418444638262</v>
          </cell>
          <cell r="AG49">
            <v>1717.4732785702954</v>
          </cell>
          <cell r="AH49">
            <v>1927.6362702496508</v>
          </cell>
          <cell r="AI49">
            <v>2169.7790080842556</v>
          </cell>
          <cell r="AJ49">
            <v>2446.7671723841763</v>
          </cell>
          <cell r="AK49">
            <v>2749.277487889708</v>
          </cell>
          <cell r="AL49">
            <v>3060.4126536166841</v>
          </cell>
          <cell r="AM49">
            <v>3367.0994929342141</v>
          </cell>
        </row>
        <row r="50">
          <cell r="N50">
            <v>0</v>
          </cell>
          <cell r="O50">
            <v>35.381608499999999</v>
          </cell>
          <cell r="P50">
            <v>336.61285150000003</v>
          </cell>
          <cell r="Q50">
            <v>138.20117475000001</v>
          </cell>
          <cell r="R50">
            <v>105.640517855</v>
          </cell>
          <cell r="S50">
            <v>76.560487285000008</v>
          </cell>
          <cell r="T50">
            <v>83.477436749999995</v>
          </cell>
          <cell r="U50">
            <v>88.796075274999993</v>
          </cell>
          <cell r="V50">
            <v>139.48045192500001</v>
          </cell>
          <cell r="W50">
            <v>154.9727245</v>
          </cell>
          <cell r="X50">
            <v>153.41174150000001</v>
          </cell>
          <cell r="Y50">
            <v>303.6875</v>
          </cell>
          <cell r="Z50">
            <v>253.69</v>
          </cell>
          <cell r="AA50">
            <v>264.90674999999999</v>
          </cell>
          <cell r="AB50">
            <v>174.572</v>
          </cell>
          <cell r="AC50">
            <v>143.70074999999997</v>
          </cell>
          <cell r="AD50">
            <v>131.64883505637647</v>
          </cell>
          <cell r="AE50">
            <v>125.53880711818738</v>
          </cell>
          <cell r="AF50">
            <v>134.24000917677276</v>
          </cell>
          <cell r="AG50">
            <v>149.62835381483637</v>
          </cell>
          <cell r="AH50">
            <v>167.93800839296199</v>
          </cell>
          <cell r="AI50">
            <v>189.03377721946165</v>
          </cell>
          <cell r="AJ50">
            <v>213.16532183650023</v>
          </cell>
          <cell r="AK50">
            <v>239.52038720251247</v>
          </cell>
          <cell r="AL50">
            <v>266.62685997418089</v>
          </cell>
          <cell r="AM50">
            <v>293.34578915714746</v>
          </cell>
        </row>
        <row r="51">
          <cell r="N51">
            <v>0</v>
          </cell>
          <cell r="O51">
            <v>15.174095999999999</v>
          </cell>
          <cell r="P51">
            <v>21.259160427499999</v>
          </cell>
          <cell r="Q51">
            <v>57.931597892500008</v>
          </cell>
          <cell r="R51">
            <v>105.60922652000002</v>
          </cell>
          <cell r="S51">
            <v>137.14205684000001</v>
          </cell>
          <cell r="T51">
            <v>215.302513</v>
          </cell>
          <cell r="U51">
            <v>322.05788049749992</v>
          </cell>
          <cell r="V51">
            <v>453.23235657749996</v>
          </cell>
          <cell r="W51">
            <v>504.96407266500006</v>
          </cell>
          <cell r="X51">
            <v>510.49709413750003</v>
          </cell>
          <cell r="Y51">
            <v>567.10711721250004</v>
          </cell>
          <cell r="Z51">
            <v>765.06010353249997</v>
          </cell>
          <cell r="AA51">
            <v>854.93670117750003</v>
          </cell>
          <cell r="AB51">
            <v>964</v>
          </cell>
          <cell r="AC51">
            <v>1119.25</v>
          </cell>
          <cell r="AD51">
            <v>1181.3923916229835</v>
          </cell>
          <cell r="AE51">
            <v>1084.6014127016024</v>
          </cell>
          <cell r="AF51">
            <v>874.2585196309733</v>
          </cell>
          <cell r="AG51">
            <v>832.50638735954817</v>
          </cell>
          <cell r="AH51">
            <v>835.7418037217343</v>
          </cell>
          <cell r="AI51">
            <v>826.61507819946701</v>
          </cell>
          <cell r="AJ51">
            <v>815.47165919422469</v>
          </cell>
          <cell r="AK51">
            <v>804.12239755494375</v>
          </cell>
          <cell r="AL51">
            <v>792.63788591564753</v>
          </cell>
          <cell r="AM51">
            <v>781.20605400589909</v>
          </cell>
        </row>
        <row r="52">
          <cell r="N52">
            <v>0</v>
          </cell>
          <cell r="O52">
            <v>6.3147209999999996</v>
          </cell>
          <cell r="P52">
            <v>9.4125291350000015</v>
          </cell>
          <cell r="Q52">
            <v>43.210231545000006</v>
          </cell>
          <cell r="R52">
            <v>86.945532312500021</v>
          </cell>
          <cell r="S52">
            <v>120.53771193750001</v>
          </cell>
          <cell r="T52">
            <v>204.98413525000001</v>
          </cell>
          <cell r="U52">
            <v>316.09547924999993</v>
          </cell>
          <cell r="V52">
            <v>446.18881289749993</v>
          </cell>
          <cell r="W52">
            <v>495.42918988250005</v>
          </cell>
          <cell r="X52">
            <v>497.72567501500004</v>
          </cell>
          <cell r="Y52">
            <v>542.69571925500009</v>
          </cell>
          <cell r="Z52">
            <v>719.06010353249997</v>
          </cell>
          <cell r="AA52">
            <v>802.93670117750003</v>
          </cell>
          <cell r="AB52">
            <v>899.25</v>
          </cell>
          <cell r="AC52">
            <v>1040.5</v>
          </cell>
          <cell r="AD52">
            <v>1099.1993683320939</v>
          </cell>
          <cell r="AE52">
            <v>991.9494443162971</v>
          </cell>
          <cell r="AF52">
            <v>758.82562538505795</v>
          </cell>
          <cell r="AG52">
            <v>707.80900113077371</v>
          </cell>
          <cell r="AH52">
            <v>712.3348845602917</v>
          </cell>
          <cell r="AI52">
            <v>712.13089137096222</v>
          </cell>
          <cell r="AJ52">
            <v>711.88129605928361</v>
          </cell>
          <cell r="AK52">
            <v>711.56578363224571</v>
          </cell>
          <cell r="AL52">
            <v>711.15703251246259</v>
          </cell>
          <cell r="AM52">
            <v>710.61065436972331</v>
          </cell>
        </row>
        <row r="53">
          <cell r="N53">
            <v>0</v>
          </cell>
          <cell r="O53">
            <v>0</v>
          </cell>
          <cell r="P53">
            <v>26.561115000000004</v>
          </cell>
          <cell r="Q53">
            <v>60.716115000000002</v>
          </cell>
          <cell r="R53">
            <v>74.623770000000007</v>
          </cell>
          <cell r="S53">
            <v>102.88204500000002</v>
          </cell>
          <cell r="T53">
            <v>126.851495</v>
          </cell>
          <cell r="U53">
            <v>83.367135624999989</v>
          </cell>
          <cell r="V53">
            <v>16.797025208333331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6.3147209999999996</v>
          </cell>
          <cell r="P54">
            <v>-22.938585865000004</v>
          </cell>
          <cell r="Q54">
            <v>-46.587518454999994</v>
          </cell>
          <cell r="R54">
            <v>-52.491027687499994</v>
          </cell>
          <cell r="S54">
            <v>-84.961148062500015</v>
          </cell>
          <cell r="T54">
            <v>-70.488612249999974</v>
          </cell>
          <cell r="U54">
            <v>65.394825499999996</v>
          </cell>
          <cell r="V54">
            <v>209.14666612666662</v>
          </cell>
          <cell r="W54">
            <v>223.16505165333334</v>
          </cell>
          <cell r="X54">
            <v>215.74526751500002</v>
          </cell>
          <cell r="Y54">
            <v>266.55135988000001</v>
          </cell>
          <cell r="Z54">
            <v>377.51787436583322</v>
          </cell>
          <cell r="AA54">
            <v>395.68013555249985</v>
          </cell>
          <cell r="AB54">
            <v>387.31375656249986</v>
          </cell>
          <cell r="AC54">
            <v>428.91098106770812</v>
          </cell>
          <cell r="AD54">
            <v>414.02439954917065</v>
          </cell>
          <cell r="AE54">
            <v>281.85445574766078</v>
          </cell>
          <cell r="AF54">
            <v>46.144677610596297</v>
          </cell>
          <cell r="AG54">
            <v>-4.7052476931136997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5.7900000000000009</v>
          </cell>
          <cell r="Q55">
            <v>29.081634999999999</v>
          </cell>
          <cell r="R55">
            <v>64.812790000000007</v>
          </cell>
          <cell r="S55">
            <v>102.616815</v>
          </cell>
          <cell r="T55">
            <v>148.6212525</v>
          </cell>
          <cell r="U55">
            <v>167.33351812499998</v>
          </cell>
          <cell r="V55">
            <v>220.2451215625</v>
          </cell>
          <cell r="W55">
            <v>272.26413822916669</v>
          </cell>
          <cell r="X55">
            <v>281.98040750000001</v>
          </cell>
          <cell r="Y55">
            <v>276.14435937500002</v>
          </cell>
          <cell r="Z55">
            <v>341.54222916666674</v>
          </cell>
          <cell r="AA55">
            <v>407.25656562500018</v>
          </cell>
          <cell r="AB55">
            <v>511.93624343750014</v>
          </cell>
          <cell r="AC55">
            <v>611.58901893229188</v>
          </cell>
          <cell r="AD55">
            <v>685.1749687829232</v>
          </cell>
          <cell r="AE55">
            <v>710.09498856863615</v>
          </cell>
          <cell r="AF55">
            <v>712.68094777446152</v>
          </cell>
          <cell r="AG55">
            <v>712.51424882388733</v>
          </cell>
          <cell r="AH55">
            <v>712.3348845602917</v>
          </cell>
          <cell r="AI55">
            <v>712.13089137096222</v>
          </cell>
          <cell r="AJ55">
            <v>711.88129605928361</v>
          </cell>
          <cell r="AK55">
            <v>711.56578363224571</v>
          </cell>
          <cell r="AL55">
            <v>711.15703251246259</v>
          </cell>
          <cell r="AM55">
            <v>710.61065436972331</v>
          </cell>
        </row>
        <row r="56">
          <cell r="N56">
            <v>0</v>
          </cell>
          <cell r="O56">
            <v>8.859375</v>
          </cell>
          <cell r="P56">
            <v>11.8466312925</v>
          </cell>
          <cell r="Q56">
            <v>14.7213663475</v>
          </cell>
          <cell r="R56">
            <v>18.663694207500001</v>
          </cell>
          <cell r="S56">
            <v>16.604344902499999</v>
          </cell>
          <cell r="T56">
            <v>10.31837775</v>
          </cell>
          <cell r="U56">
            <v>5.9624012474999999</v>
          </cell>
          <cell r="V56">
            <v>7.04354368</v>
          </cell>
          <cell r="W56">
            <v>9.5348827825000004</v>
          </cell>
          <cell r="X56">
            <v>12.771419122500001</v>
          </cell>
          <cell r="Y56">
            <v>24.4113979575</v>
          </cell>
          <cell r="Z56">
            <v>46</v>
          </cell>
          <cell r="AA56">
            <v>52</v>
          </cell>
          <cell r="AB56">
            <v>64.75</v>
          </cell>
          <cell r="AC56">
            <v>78.75</v>
          </cell>
          <cell r="AD56">
            <v>82.193023290889712</v>
          </cell>
          <cell r="AE56">
            <v>92.651968385305295</v>
          </cell>
          <cell r="AF56">
            <v>115.43289424591526</v>
          </cell>
          <cell r="AG56">
            <v>124.69738622877449</v>
          </cell>
          <cell r="AH56">
            <v>123.40691916144257</v>
          </cell>
          <cell r="AI56">
            <v>114.48418682850485</v>
          </cell>
          <cell r="AJ56">
            <v>103.59036313494101</v>
          </cell>
          <cell r="AK56">
            <v>92.556613922698034</v>
          </cell>
          <cell r="AL56">
            <v>81.480853403184994</v>
          </cell>
          <cell r="AM56">
            <v>70.595399636175785</v>
          </cell>
        </row>
        <row r="57">
          <cell r="N57">
            <v>174.60749999999999</v>
          </cell>
          <cell r="O57">
            <v>472.35399849999999</v>
          </cell>
          <cell r="P57">
            <v>460.20063002000006</v>
          </cell>
          <cell r="Q57">
            <v>429.03798658999995</v>
          </cell>
          <cell r="R57">
            <v>434.44620760750001</v>
          </cell>
          <cell r="S57">
            <v>472.52535045249999</v>
          </cell>
          <cell r="T57">
            <v>574.51299300000005</v>
          </cell>
          <cell r="U57">
            <v>704.23852646249998</v>
          </cell>
          <cell r="V57">
            <v>774.70498548749993</v>
          </cell>
          <cell r="W57">
            <v>977.34721950000005</v>
          </cell>
          <cell r="X57">
            <v>1050.6824064999998</v>
          </cell>
          <cell r="Y57">
            <v>1484.2275</v>
          </cell>
          <cell r="Z57">
            <v>1827.9349999999999</v>
          </cell>
          <cell r="AA57">
            <v>1821.125</v>
          </cell>
          <cell r="AB57">
            <v>1801.325</v>
          </cell>
          <cell r="AC57">
            <v>1699.85</v>
          </cell>
          <cell r="AD57">
            <v>1633.338532872652</v>
          </cell>
          <cell r="AE57">
            <v>1640.266605058915</v>
          </cell>
          <cell r="AF57">
            <v>1775.3439404823175</v>
          </cell>
          <cell r="AG57">
            <v>2020.7160616950155</v>
          </cell>
          <cell r="AH57">
            <v>2325.8869387940858</v>
          </cell>
          <cell r="AI57">
            <v>2684.0668754510511</v>
          </cell>
          <cell r="AJ57">
            <v>3102.1004653903733</v>
          </cell>
          <cell r="AK57">
            <v>3571.6161913934698</v>
          </cell>
          <cell r="AL57">
            <v>4073.1261165861793</v>
          </cell>
          <cell r="AM57">
            <v>4590.0211074447889</v>
          </cell>
        </row>
        <row r="58">
          <cell r="N58">
            <v>31.537499999999998</v>
          </cell>
          <cell r="O58">
            <v>53.668813249999999</v>
          </cell>
          <cell r="P58">
            <v>48.811848267500004</v>
          </cell>
          <cell r="Q58">
            <v>26.108720922499998</v>
          </cell>
          <cell r="R58">
            <v>37.857216442499997</v>
          </cell>
          <cell r="S58">
            <v>27.826892647499999</v>
          </cell>
          <cell r="T58">
            <v>40.006518</v>
          </cell>
          <cell r="U58">
            <v>77.133127459999997</v>
          </cell>
          <cell r="V58">
            <v>93.851845570000009</v>
          </cell>
          <cell r="W58">
            <v>115.03750000000001</v>
          </cell>
          <cell r="X58">
            <v>121.88749999999999</v>
          </cell>
          <cell r="Y58">
            <v>388.89249999999998</v>
          </cell>
          <cell r="Z58">
            <v>606.73500000000001</v>
          </cell>
          <cell r="AA58">
            <v>462.42500000000001</v>
          </cell>
          <cell r="AB58">
            <v>389.875</v>
          </cell>
          <cell r="AC58">
            <v>252.25</v>
          </cell>
          <cell r="AD58">
            <v>161.375</v>
          </cell>
          <cell r="AE58">
            <v>99.574999999999989</v>
          </cell>
          <cell r="AF58">
            <v>58.524999999999999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N59">
            <v>0</v>
          </cell>
          <cell r="O59">
            <v>29.366250000000001</v>
          </cell>
          <cell r="P59">
            <v>10.38875</v>
          </cell>
          <cell r="Q59">
            <v>31.26901475</v>
          </cell>
          <cell r="R59">
            <v>41.559447000000006</v>
          </cell>
          <cell r="S59">
            <v>35.733360250000004</v>
          </cell>
          <cell r="T59">
            <v>37.735027250000002</v>
          </cell>
          <cell r="U59">
            <v>13.837605759999999</v>
          </cell>
          <cell r="V59">
            <v>5.8054886699999999</v>
          </cell>
          <cell r="W59">
            <v>3.6365307499999999</v>
          </cell>
          <cell r="X59">
            <v>2.85551025</v>
          </cell>
          <cell r="Y59">
            <v>27.187499999999996</v>
          </cell>
          <cell r="Z59">
            <v>35.975000000000001</v>
          </cell>
          <cell r="AA59">
            <v>33.950000000000003</v>
          </cell>
          <cell r="AB59">
            <v>76.55</v>
          </cell>
          <cell r="AC59">
            <v>122.64999999999999</v>
          </cell>
          <cell r="AD59">
            <v>48.75</v>
          </cell>
          <cell r="AE59">
            <v>19.850000000000001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143.07</v>
          </cell>
          <cell r="O60">
            <v>389.31893524999998</v>
          </cell>
          <cell r="P60">
            <v>401.00003175250004</v>
          </cell>
          <cell r="Q60">
            <v>371.66025091749998</v>
          </cell>
          <cell r="R60">
            <v>355.029544165</v>
          </cell>
          <cell r="S60">
            <v>408.965097555</v>
          </cell>
          <cell r="T60">
            <v>496.77144774999999</v>
          </cell>
          <cell r="U60">
            <v>613.26779324250003</v>
          </cell>
          <cell r="V60">
            <v>675.04765124749997</v>
          </cell>
          <cell r="W60">
            <v>858.67318875000001</v>
          </cell>
          <cell r="X60">
            <v>925.93939624999996</v>
          </cell>
          <cell r="Y60">
            <v>1068.1475</v>
          </cell>
          <cell r="Z60">
            <v>1185.2249999999999</v>
          </cell>
          <cell r="AA60">
            <v>1324.75</v>
          </cell>
          <cell r="AB60">
            <v>1334.9</v>
          </cell>
          <cell r="AC60">
            <v>1324.9499999999998</v>
          </cell>
          <cell r="AD60">
            <v>1423.2135328726522</v>
          </cell>
          <cell r="AE60">
            <v>1520.8416050589153</v>
          </cell>
          <cell r="AF60">
            <v>1697.2189404823177</v>
          </cell>
          <cell r="AG60">
            <v>1951.116061695016</v>
          </cell>
          <cell r="AH60">
            <v>2256.2869387940864</v>
          </cell>
          <cell r="AI60">
            <v>2614.4668754510512</v>
          </cell>
          <cell r="AJ60">
            <v>3032.5004653903734</v>
          </cell>
          <cell r="AK60">
            <v>3502.0161913934699</v>
          </cell>
          <cell r="AL60">
            <v>4003.5261165861793</v>
          </cell>
          <cell r="AM60">
            <v>4520.4211074447885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341.625</v>
          </cell>
          <cell r="S61">
            <v>587.5</v>
          </cell>
          <cell r="T61">
            <v>704.84999999999991</v>
          </cell>
          <cell r="U61">
            <v>832.35000000000014</v>
          </cell>
          <cell r="V61">
            <v>841.42499999999995</v>
          </cell>
          <cell r="W61">
            <v>1104.8000000000002</v>
          </cell>
          <cell r="X61">
            <v>1242.5</v>
          </cell>
          <cell r="Y61">
            <v>1032</v>
          </cell>
          <cell r="Z61">
            <v>1056.4250000000002</v>
          </cell>
          <cell r="AA61">
            <v>1197.3999999999999</v>
          </cell>
          <cell r="AB61">
            <v>1208.325</v>
          </cell>
          <cell r="AC61">
            <v>1293.5999999999999</v>
          </cell>
          <cell r="AD61">
            <v>1585.2499924194856</v>
          </cell>
          <cell r="AE61">
            <v>1603.7561584141295</v>
          </cell>
          <cell r="AF61">
            <v>1738.6051883708089</v>
          </cell>
          <cell r="AG61">
            <v>1997.2465423177721</v>
          </cell>
          <cell r="AH61">
            <v>2308.0622931602961</v>
          </cell>
          <cell r="AI61">
            <v>2672.746063684719</v>
          </cell>
          <cell r="AJ61">
            <v>3098.2194183676343</v>
          </cell>
          <cell r="AK61">
            <v>3575.8604214400948</v>
          </cell>
          <cell r="AL61">
            <v>4085.7272829023304</v>
          </cell>
          <cell r="AM61">
            <v>4610.8597301888904</v>
          </cell>
        </row>
        <row r="63">
          <cell r="N63">
            <v>-29.244063749999896</v>
          </cell>
          <cell r="O63">
            <v>-97.91821549999986</v>
          </cell>
          <cell r="P63">
            <v>-253.39313897250031</v>
          </cell>
          <cell r="Q63">
            <v>-230.94558290749956</v>
          </cell>
          <cell r="R63">
            <v>-184.72410409999975</v>
          </cell>
          <cell r="S63">
            <v>-52.35082544999932</v>
          </cell>
          <cell r="T63">
            <v>-651.94159150000087</v>
          </cell>
          <cell r="U63">
            <v>-472.90471726500164</v>
          </cell>
          <cell r="V63">
            <v>-622.20429925000099</v>
          </cell>
          <cell r="W63">
            <v>-703.99490216499908</v>
          </cell>
          <cell r="X63">
            <v>-527.12056063749969</v>
          </cell>
          <cell r="Y63">
            <v>-1151.7486442000009</v>
          </cell>
          <cell r="Z63">
            <v>-1056.5193605600016</v>
          </cell>
          <cell r="AA63">
            <v>-2120.2288628825027</v>
          </cell>
          <cell r="AB63">
            <v>-1897.1105750000024</v>
          </cell>
          <cell r="AC63">
            <v>-353.86925000000156</v>
          </cell>
          <cell r="AD63">
            <v>1479.4121794986204</v>
          </cell>
          <cell r="AE63">
            <v>2353.891497940107</v>
          </cell>
          <cell r="AF63">
            <v>2395.2498247562507</v>
          </cell>
          <cell r="AG63">
            <v>2694.1242961475291</v>
          </cell>
          <cell r="AH63">
            <v>2956.1602462427581</v>
          </cell>
          <cell r="AI63">
            <v>3668.902969011644</v>
          </cell>
          <cell r="AJ63">
            <v>4575.6008252647043</v>
          </cell>
          <cell r="AK63">
            <v>5838.838225312149</v>
          </cell>
          <cell r="AL63">
            <v>7671.7438290211903</v>
          </cell>
          <cell r="AM63">
            <v>10454.358939766138</v>
          </cell>
        </row>
        <row r="64">
          <cell r="N64">
            <v>84.331936250000098</v>
          </cell>
          <cell r="O64">
            <v>-10.641215499999859</v>
          </cell>
          <cell r="P64">
            <v>-169.66913897250032</v>
          </cell>
          <cell r="Q64">
            <v>-146.06158290749954</v>
          </cell>
          <cell r="R64">
            <v>-37.882104099999736</v>
          </cell>
          <cell r="S64">
            <v>92.133174550000689</v>
          </cell>
          <cell r="T64">
            <v>-474.08359150000086</v>
          </cell>
          <cell r="U64">
            <v>-324.40471726500164</v>
          </cell>
          <cell r="V64">
            <v>-494.60429925000096</v>
          </cell>
          <cell r="W64">
            <v>-603.99490216499908</v>
          </cell>
          <cell r="X64">
            <v>-377.12056063749969</v>
          </cell>
          <cell r="Y64">
            <v>-951.74864420000085</v>
          </cell>
          <cell r="Z64">
            <v>-756.51936056000159</v>
          </cell>
          <cell r="AA64">
            <v>-1820.2288628825027</v>
          </cell>
          <cell r="AB64">
            <v>-1889.1530750000024</v>
          </cell>
          <cell r="AC64">
            <v>-277.21925000000158</v>
          </cell>
          <cell r="AD64">
            <v>1579.5339073568052</v>
          </cell>
          <cell r="AE64">
            <v>2360.3204684176867</v>
          </cell>
          <cell r="AF64">
            <v>2370.6787952338304</v>
          </cell>
          <cell r="AG64">
            <v>2669.5532666251088</v>
          </cell>
          <cell r="AH64">
            <v>2931.5892167203378</v>
          </cell>
          <cell r="AI64">
            <v>3644.3319394892237</v>
          </cell>
          <cell r="AJ64">
            <v>4551.0297957422836</v>
          </cell>
          <cell r="AK64">
            <v>5814.2671957897282</v>
          </cell>
          <cell r="AL64">
            <v>7647.1727994987696</v>
          </cell>
          <cell r="AM64">
            <v>10429.787910243718</v>
          </cell>
        </row>
        <row r="66">
          <cell r="N66">
            <v>-84.331936250000098</v>
          </cell>
          <cell r="O66">
            <v>10.641215499999859</v>
          </cell>
          <cell r="P66">
            <v>169.66913897250032</v>
          </cell>
          <cell r="Q66">
            <v>146.06158290749954</v>
          </cell>
          <cell r="R66">
            <v>37.882104099999736</v>
          </cell>
          <cell r="S66">
            <v>-92.133174550000689</v>
          </cell>
          <cell r="T66">
            <v>474.08359150000086</v>
          </cell>
          <cell r="U66">
            <v>324.40471726500164</v>
          </cell>
          <cell r="V66">
            <v>494.60429925000096</v>
          </cell>
          <cell r="W66">
            <v>603.99490216499908</v>
          </cell>
          <cell r="X66">
            <v>377.12056063749969</v>
          </cell>
          <cell r="Y66">
            <v>951.74864420000085</v>
          </cell>
          <cell r="Z66">
            <v>756.51936056000159</v>
          </cell>
          <cell r="AA66">
            <v>1820.2288628825027</v>
          </cell>
          <cell r="AB66">
            <v>1889.1530750000024</v>
          </cell>
          <cell r="AC66">
            <v>277.21925000000158</v>
          </cell>
          <cell r="AD66">
            <v>-1579.5339073568052</v>
          </cell>
          <cell r="AE66">
            <v>-2360.3204684176867</v>
          </cell>
          <cell r="AF66">
            <v>-2370.6787952338304</v>
          </cell>
          <cell r="AG66">
            <v>-2669.5532666251088</v>
          </cell>
          <cell r="AH66">
            <v>-2931.5892167203378</v>
          </cell>
          <cell r="AI66">
            <v>-3644.3319394892237</v>
          </cell>
          <cell r="AJ66">
            <v>-4551.0297957422836</v>
          </cell>
          <cell r="AK66">
            <v>-5814.2671957897282</v>
          </cell>
          <cell r="AL66">
            <v>-7647.1727994987696</v>
          </cell>
          <cell r="AM66">
            <v>-10429.787910243718</v>
          </cell>
        </row>
        <row r="67">
          <cell r="N67">
            <v>72.974999999999994</v>
          </cell>
          <cell r="O67">
            <v>82.337499999999991</v>
          </cell>
          <cell r="P67">
            <v>32.65</v>
          </cell>
          <cell r="Q67">
            <v>16.562075</v>
          </cell>
          <cell r="R67">
            <v>22.233562500000001</v>
          </cell>
          <cell r="S67">
            <v>73.229565749999992</v>
          </cell>
          <cell r="T67">
            <v>20.266573499999993</v>
          </cell>
          <cell r="U67">
            <v>67.815454249999988</v>
          </cell>
          <cell r="V67">
            <v>126.40548500222522</v>
          </cell>
          <cell r="W67">
            <v>-98.366463582591592</v>
          </cell>
          <cell r="X67">
            <v>-11.485755249999997</v>
          </cell>
          <cell r="Y67">
            <v>110.85224150000001</v>
          </cell>
          <cell r="Z67">
            <v>274.77028624999997</v>
          </cell>
          <cell r="AA67">
            <v>277.39324175000002</v>
          </cell>
          <cell r="AB67">
            <v>204.70417400000002</v>
          </cell>
          <cell r="AC67">
            <v>211.62028450000003</v>
          </cell>
          <cell r="AD67">
            <v>306.47540365488788</v>
          </cell>
          <cell r="AE67">
            <v>172.57608414226877</v>
          </cell>
          <cell r="AF67">
            <v>86.735528043388953</v>
          </cell>
          <cell r="AG67">
            <v>64.59297018394625</v>
          </cell>
          <cell r="AH67">
            <v>-20.434870763862669</v>
          </cell>
          <cell r="AI67">
            <v>-48.641209288180399</v>
          </cell>
          <cell r="AJ67">
            <v>-51.805576932037795</v>
          </cell>
          <cell r="AK67">
            <v>-37.288177764140158</v>
          </cell>
          <cell r="AL67">
            <v>-40.881322789280375</v>
          </cell>
          <cell r="AM67">
            <v>-28.996837837017001</v>
          </cell>
        </row>
        <row r="68">
          <cell r="N68">
            <v>-157.30693625000009</v>
          </cell>
          <cell r="O68">
            <v>-71.696284500000132</v>
          </cell>
          <cell r="P68">
            <v>137.01913897250031</v>
          </cell>
          <cell r="Q68">
            <v>129.49950790749955</v>
          </cell>
          <cell r="R68">
            <v>15.648541599999735</v>
          </cell>
          <cell r="S68">
            <v>-165.36274030000067</v>
          </cell>
          <cell r="T68">
            <v>453.81701800000087</v>
          </cell>
          <cell r="U68">
            <v>256.58926301500162</v>
          </cell>
          <cell r="V68">
            <v>368.19881424777577</v>
          </cell>
          <cell r="W68">
            <v>702.36136574759064</v>
          </cell>
          <cell r="X68">
            <v>388.6063158874997</v>
          </cell>
          <cell r="Y68">
            <v>840.89640270000086</v>
          </cell>
          <cell r="Z68">
            <v>481.74907431000162</v>
          </cell>
          <cell r="AA68">
            <v>1542.8356211325026</v>
          </cell>
          <cell r="AB68">
            <v>1684.4489010000025</v>
          </cell>
          <cell r="AC68">
            <v>65.598965500001555</v>
          </cell>
          <cell r="AD68">
            <v>-1886.0093110116932</v>
          </cell>
          <cell r="AE68">
            <v>-2532.8965525599556</v>
          </cell>
          <cell r="AF68">
            <v>-2457.4143232772194</v>
          </cell>
          <cell r="AG68">
            <v>-2734.1462368090552</v>
          </cell>
          <cell r="AH68">
            <v>-2911.154345956475</v>
          </cell>
          <cell r="AI68">
            <v>-3595.6907302010432</v>
          </cell>
          <cell r="AJ68">
            <v>-4499.2242188102455</v>
          </cell>
          <cell r="AK68">
            <v>-5776.9790180255877</v>
          </cell>
          <cell r="AL68">
            <v>-7606.291476709489</v>
          </cell>
          <cell r="AM68">
            <v>-10400.791072406701</v>
          </cell>
        </row>
        <row r="69">
          <cell r="N69">
            <v>-232.7</v>
          </cell>
          <cell r="O69">
            <v>-185.10000000000002</v>
          </cell>
          <cell r="P69">
            <v>666.80000000000007</v>
          </cell>
          <cell r="Q69">
            <v>19.799999999999983</v>
          </cell>
          <cell r="R69">
            <v>91.5</v>
          </cell>
          <cell r="S69">
            <v>56.300000000000011</v>
          </cell>
          <cell r="T69">
            <v>-524.1</v>
          </cell>
          <cell r="U69">
            <v>-321.49999999999994</v>
          </cell>
          <cell r="V69">
            <v>-12.200000000000102</v>
          </cell>
          <cell r="W69">
            <v>89.600000000000023</v>
          </cell>
          <cell r="X69">
            <v>-287.89999999999998</v>
          </cell>
          <cell r="Y69">
            <v>158.89999999999998</v>
          </cell>
          <cell r="Z69">
            <v>-780.49999999999989</v>
          </cell>
          <cell r="AA69">
            <v>831</v>
          </cell>
          <cell r="AB69">
            <v>-308.75380092005275</v>
          </cell>
          <cell r="AC69">
            <v>344.60428423786311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40</v>
          </cell>
          <cell r="O70">
            <v>0.79999999999999716</v>
          </cell>
          <cell r="P70">
            <v>130.80000000000001</v>
          </cell>
          <cell r="Q70">
            <v>107.6</v>
          </cell>
          <cell r="R70">
            <v>-40.5</v>
          </cell>
          <cell r="S70">
            <v>17.400000000000034</v>
          </cell>
          <cell r="T70">
            <v>204.79999999999995</v>
          </cell>
          <cell r="U70">
            <v>198.89999999999998</v>
          </cell>
          <cell r="V70">
            <v>41.900000000000091</v>
          </cell>
          <cell r="W70">
            <v>318.29999999999995</v>
          </cell>
          <cell r="X70">
            <v>-70.899999999999977</v>
          </cell>
          <cell r="Y70">
            <v>-44.899999999999977</v>
          </cell>
          <cell r="Z70">
            <v>278.79999999999995</v>
          </cell>
          <cell r="AA70">
            <v>-246.20000000000005</v>
          </cell>
          <cell r="AB70">
            <v>-91.092893552849077</v>
          </cell>
          <cell r="AC70">
            <v>101.67000791048932</v>
          </cell>
          <cell r="AD70">
            <v>-1508.8074488093546</v>
          </cell>
          <cell r="AE70">
            <v>-2026.3172420479646</v>
          </cell>
          <cell r="AF70">
            <v>-1965.9314586217756</v>
          </cell>
          <cell r="AG70">
            <v>-2187.3169894472444</v>
          </cell>
          <cell r="AH70">
            <v>-2328.9234767651801</v>
          </cell>
          <cell r="AI70">
            <v>-2876.5525841608346</v>
          </cell>
          <cell r="AJ70">
            <v>-3599.3793750481964</v>
          </cell>
          <cell r="AK70">
            <v>-4621.5832144204705</v>
          </cell>
          <cell r="AL70">
            <v>-6085.0331813675912</v>
          </cell>
          <cell r="AM70">
            <v>-8320.6328579253604</v>
          </cell>
        </row>
        <row r="71">
          <cell r="N71">
            <v>35.393063749999897</v>
          </cell>
          <cell r="O71">
            <v>112.60371549999989</v>
          </cell>
          <cell r="P71">
            <v>-660.58086102749985</v>
          </cell>
          <cell r="Q71">
            <v>2.0995079074995715</v>
          </cell>
          <cell r="R71">
            <v>-35.351458400000269</v>
          </cell>
          <cell r="S71">
            <v>-239.06274030000071</v>
          </cell>
          <cell r="T71">
            <v>773.11701800000094</v>
          </cell>
          <cell r="U71">
            <v>379.18926301500153</v>
          </cell>
          <cell r="V71">
            <v>338.49881424777578</v>
          </cell>
          <cell r="W71">
            <v>294.46136574759066</v>
          </cell>
          <cell r="X71">
            <v>747.40631588749966</v>
          </cell>
          <cell r="Y71">
            <v>726.89640270000086</v>
          </cell>
          <cell r="Z71">
            <v>983.44907431000161</v>
          </cell>
          <cell r="AA71">
            <v>958.03562113250268</v>
          </cell>
          <cell r="AB71">
            <v>2084.2955954729041</v>
          </cell>
          <cell r="AC71">
            <v>-380.67532664835085</v>
          </cell>
          <cell r="AD71">
            <v>-377.20186220233859</v>
          </cell>
          <cell r="AE71">
            <v>-506.57931051199103</v>
          </cell>
          <cell r="AF71">
            <v>-491.48286465544379</v>
          </cell>
          <cell r="AG71">
            <v>-546.82924736181076</v>
          </cell>
          <cell r="AH71">
            <v>-582.23086919129491</v>
          </cell>
          <cell r="AI71">
            <v>-719.13814604020854</v>
          </cell>
          <cell r="AJ71">
            <v>-899.84484376204909</v>
          </cell>
          <cell r="AK71">
            <v>-1155.3958036051172</v>
          </cell>
          <cell r="AL71">
            <v>-1521.2582953418978</v>
          </cell>
          <cell r="AM71">
            <v>-2080.1582144813401</v>
          </cell>
        </row>
        <row r="73">
          <cell r="N73">
            <v>126.90803625000012</v>
          </cell>
          <cell r="O73">
            <v>340.29773300000033</v>
          </cell>
          <cell r="P73">
            <v>185.75994979749976</v>
          </cell>
          <cell r="Q73">
            <v>185.91126243250028</v>
          </cell>
          <cell r="R73">
            <v>-102.70786399249982</v>
          </cell>
          <cell r="S73">
            <v>-175.28815599749942</v>
          </cell>
          <cell r="T73">
            <v>-794.50632875000019</v>
          </cell>
          <cell r="U73">
            <v>-637.40785205250154</v>
          </cell>
          <cell r="V73">
            <v>-740.60424901250076</v>
          </cell>
          <cell r="W73">
            <v>-860.11030691499855</v>
          </cell>
          <cell r="X73">
            <v>-739.61856838749918</v>
          </cell>
          <cell r="Y73">
            <v>-720.77519285249946</v>
          </cell>
          <cell r="Z73">
            <v>-302.3145063050024</v>
          </cell>
          <cell r="AA73">
            <v>-1510.6153064750017</v>
          </cell>
          <cell r="AB73">
            <v>-1335.0855750000021</v>
          </cell>
          <cell r="AC73">
            <v>18.880749999998898</v>
          </cell>
          <cell r="AD73">
            <v>1492.4007199517835</v>
          </cell>
          <cell r="AE73">
            <v>2357.4019445848935</v>
          </cell>
          <cell r="AF73">
            <v>2399.9885768677586</v>
          </cell>
          <cell r="AG73">
            <v>2685.5938155247704</v>
          </cell>
          <cell r="AH73">
            <v>2941.9848918765488</v>
          </cell>
          <cell r="AI73">
            <v>3648.2237807779766</v>
          </cell>
          <cell r="AJ73">
            <v>4547.4818722874425</v>
          </cell>
          <cell r="AK73">
            <v>5802.5939952655208</v>
          </cell>
          <cell r="AL73">
            <v>7627.1426627050432</v>
          </cell>
          <cell r="AM73">
            <v>10401.520317022037</v>
          </cell>
        </row>
        <row r="74">
          <cell r="N74">
            <v>-29.244063749999896</v>
          </cell>
          <cell r="O74">
            <v>-82.744119499999869</v>
          </cell>
          <cell r="P74">
            <v>-232.1339785450003</v>
          </cell>
          <cell r="Q74">
            <v>-173.01398501499955</v>
          </cell>
          <cell r="R74">
            <v>-79.114877579999728</v>
          </cell>
          <cell r="S74">
            <v>84.791231390000689</v>
          </cell>
          <cell r="T74">
            <v>-436.63907850000089</v>
          </cell>
          <cell r="U74">
            <v>-150.84683676750171</v>
          </cell>
          <cell r="V74">
            <v>-168.97194267250103</v>
          </cell>
          <cell r="W74">
            <v>-199.03082949999902</v>
          </cell>
          <cell r="X74">
            <v>-16.623466499999665</v>
          </cell>
          <cell r="Y74">
            <v>-584.64152698750081</v>
          </cell>
          <cell r="Z74">
            <v>-291.45925702750162</v>
          </cell>
          <cell r="AA74">
            <v>-1265.2921617050026</v>
          </cell>
          <cell r="AB74">
            <v>-933.11057500000243</v>
          </cell>
          <cell r="AC74">
            <v>765.38074999999844</v>
          </cell>
          <cell r="AD74">
            <v>2660.8045711216037</v>
          </cell>
          <cell r="AE74">
            <v>3438.4929106417094</v>
          </cell>
          <cell r="AF74">
            <v>3269.508344387224</v>
          </cell>
          <cell r="AG74">
            <v>3526.6306835070773</v>
          </cell>
          <cell r="AH74">
            <v>3791.9020499644926</v>
          </cell>
          <cell r="AI74">
            <v>4495.5180472111115</v>
          </cell>
          <cell r="AJ74">
            <v>5391.0724844589295</v>
          </cell>
          <cell r="AK74">
            <v>6642.9606228670928</v>
          </cell>
          <cell r="AL74">
            <v>8464.3817149368369</v>
          </cell>
          <cell r="AM74">
            <v>11235.564993772037</v>
          </cell>
        </row>
        <row r="78">
          <cell r="N78">
            <v>9.6274263871144364E-2</v>
          </cell>
          <cell r="O78">
            <v>0.10903987863570626</v>
          </cell>
          <cell r="P78">
            <v>0.10836786971586972</v>
          </cell>
          <cell r="Q78">
            <v>0.11095589068132659</v>
          </cell>
          <cell r="R78">
            <v>9.9678434760522516E-2</v>
          </cell>
          <cell r="S78">
            <v>9.8455261176784298E-2</v>
          </cell>
          <cell r="T78">
            <v>9.8582955728778163E-2</v>
          </cell>
          <cell r="U78">
            <v>0.12428707610367892</v>
          </cell>
          <cell r="V78">
            <v>0.12281401080532504</v>
          </cell>
          <cell r="W78">
            <v>0.12557548623224182</v>
          </cell>
          <cell r="X78">
            <v>0.12143496488396034</v>
          </cell>
          <cell r="Y78">
            <v>0.12765053808847729</v>
          </cell>
          <cell r="Z78">
            <v>0.1421531060349783</v>
          </cell>
          <cell r="AA78">
            <v>0.12506175709574502</v>
          </cell>
          <cell r="AB78">
            <v>0.12159711684370259</v>
          </cell>
          <cell r="AC78">
            <v>0.12992862047262116</v>
          </cell>
          <cell r="AD78">
            <v>0.12668945206228496</v>
          </cell>
          <cell r="AE78">
            <v>0.12312479172694532</v>
          </cell>
          <cell r="AF78">
            <v>0.12270153464685213</v>
          </cell>
          <cell r="AG78">
            <v>0.1244915789148303</v>
          </cell>
          <cell r="AH78">
            <v>0.12305091298406244</v>
          </cell>
          <cell r="AI78">
            <v>0.12649450217368402</v>
          </cell>
          <cell r="AJ78">
            <v>0.12773052315215677</v>
          </cell>
          <cell r="AK78">
            <v>0.12752653737180605</v>
          </cell>
          <cell r="AL78">
            <v>0.12771875952440967</v>
          </cell>
          <cell r="AM78">
            <v>0.12766918099977395</v>
          </cell>
        </row>
        <row r="79">
          <cell r="N79">
            <v>5.116156292206607E-2</v>
          </cell>
          <cell r="O79">
            <v>6.4794992286678454E-2</v>
          </cell>
          <cell r="P79">
            <v>6.6962631981981977E-2</v>
          </cell>
          <cell r="Q79">
            <v>6.1944244172074017E-2</v>
          </cell>
          <cell r="R79">
            <v>5.3304305757135954E-2</v>
          </cell>
          <cell r="S79">
            <v>5.6876499600035553E-2</v>
          </cell>
          <cell r="T79">
            <v>5.9803104151126357E-2</v>
          </cell>
          <cell r="U79">
            <v>6.2620713394648822E-2</v>
          </cell>
          <cell r="V79">
            <v>6.9998025356695123E-2</v>
          </cell>
          <cell r="W79">
            <v>7.910422919752072E-2</v>
          </cell>
          <cell r="X79">
            <v>7.0551301153378251E-2</v>
          </cell>
          <cell r="Y79">
            <v>7.0302558677155236E-2</v>
          </cell>
          <cell r="Z79">
            <v>7.0384158934430355E-2</v>
          </cell>
          <cell r="AA79">
            <v>7.3609183493362623E-2</v>
          </cell>
          <cell r="AB79">
            <v>7.8298179059180587E-2</v>
          </cell>
          <cell r="AC79">
            <v>8.1370515534702745E-2</v>
          </cell>
          <cell r="AD79">
            <v>8.4695079692712227E-2</v>
          </cell>
          <cell r="AE79">
            <v>8.5872308009144943E-2</v>
          </cell>
          <cell r="AF79">
            <v>8.59593088484044E-2</v>
          </cell>
          <cell r="AG79">
            <v>8.5896130774162305E-2</v>
          </cell>
          <cell r="AH79">
            <v>8.5938782946757414E-2</v>
          </cell>
          <cell r="AI79">
            <v>8.5926761872331128E-2</v>
          </cell>
          <cell r="AJ79">
            <v>8.593721555421481E-2</v>
          </cell>
          <cell r="AK79">
            <v>8.5797644470900464E-2</v>
          </cell>
          <cell r="AL79">
            <v>8.5904841419100708E-2</v>
          </cell>
          <cell r="AM79">
            <v>8.5841131560414341E-2</v>
          </cell>
        </row>
        <row r="80">
          <cell r="N80">
            <v>3.8427911252053297E-2</v>
          </cell>
          <cell r="O80">
            <v>3.5943112405592156E-2</v>
          </cell>
          <cell r="P80">
            <v>3.3204155162855166E-2</v>
          </cell>
          <cell r="Q80">
            <v>4.0826226447969238E-2</v>
          </cell>
          <cell r="R80">
            <v>3.9765369593613931E-2</v>
          </cell>
          <cell r="S80">
            <v>3.546038549906675E-2</v>
          </cell>
          <cell r="T80">
            <v>3.0570376417275853E-2</v>
          </cell>
          <cell r="U80">
            <v>5.4078960334448159E-2</v>
          </cell>
          <cell r="V80">
            <v>4.6280293400394003E-2</v>
          </cell>
          <cell r="W80">
            <v>3.9217523750754206E-2</v>
          </cell>
          <cell r="X80">
            <v>4.0018963480254542E-2</v>
          </cell>
          <cell r="Y80">
            <v>4.9257205982601547E-2</v>
          </cell>
          <cell r="Z80">
            <v>6.4498468069048978E-2</v>
          </cell>
          <cell r="AA80">
            <v>4.5748353350354314E-2</v>
          </cell>
          <cell r="AB80">
            <v>3.6911229135053111E-2</v>
          </cell>
          <cell r="AC80">
            <v>4.2493706013617891E-2</v>
          </cell>
          <cell r="AD80">
            <v>3.6290357947834272E-2</v>
          </cell>
          <cell r="AE80">
            <v>3.1663078069131115E-2</v>
          </cell>
          <cell r="AF80">
            <v>3.1077598286757154E-2</v>
          </cell>
          <cell r="AG80">
            <v>3.290510497764907E-2</v>
          </cell>
          <cell r="AH80">
            <v>3.1418961304653034E-2</v>
          </cell>
          <cell r="AI80">
            <v>3.487536792632559E-2</v>
          </cell>
          <cell r="AJ80">
            <v>3.6100242700018714E-2</v>
          </cell>
          <cell r="AK80">
            <v>3.6045074139595644E-2</v>
          </cell>
          <cell r="AL80">
            <v>3.6122997890001153E-2</v>
          </cell>
          <cell r="AM80">
            <v>3.614134979784861E-2</v>
          </cell>
        </row>
        <row r="81">
          <cell r="N81">
            <v>4.9465989231611603E-3</v>
          </cell>
          <cell r="O81">
            <v>6.2939903583480632E-3</v>
          </cell>
          <cell r="P81">
            <v>6.2841717255717258E-3</v>
          </cell>
          <cell r="Q81">
            <v>5.2504736842105262E-3</v>
          </cell>
          <cell r="R81">
            <v>3.1765992743105951E-3</v>
          </cell>
          <cell r="S81">
            <v>2.8709202959736912E-3</v>
          </cell>
          <cell r="T81">
            <v>5.6911997613009096E-3</v>
          </cell>
          <cell r="U81">
            <v>5.2295428428093642E-3</v>
          </cell>
          <cell r="V81">
            <v>4.207472837442541E-3</v>
          </cell>
          <cell r="W81">
            <v>4.7840388075256427E-3</v>
          </cell>
          <cell r="X81">
            <v>8.1133694085719632E-3</v>
          </cell>
          <cell r="Y81">
            <v>5.5308194132284473E-3</v>
          </cell>
          <cell r="Z81">
            <v>4.7333975610985976E-3</v>
          </cell>
          <cell r="AA81">
            <v>3.2604075255715523E-3</v>
          </cell>
          <cell r="AB81">
            <v>3.8619119878603946E-3</v>
          </cell>
          <cell r="AC81">
            <v>3.0897751330319851E-3</v>
          </cell>
          <cell r="AD81">
            <v>2.8642999440577745E-3</v>
          </cell>
          <cell r="AE81">
            <v>2.8844500323659691E-3</v>
          </cell>
          <cell r="AF81">
            <v>2.9777725115305003E-3</v>
          </cell>
          <cell r="AG81">
            <v>3.0054629382142168E-3</v>
          </cell>
          <cell r="AH81">
            <v>3.0069553165415468E-3</v>
          </cell>
          <cell r="AI81">
            <v>3.0065347051200539E-3</v>
          </cell>
          <cell r="AJ81">
            <v>3.0069004742552421E-3</v>
          </cell>
          <cell r="AK81">
            <v>3.0020169513960979E-3</v>
          </cell>
          <cell r="AL81">
            <v>3.0057677193527192E-3</v>
          </cell>
          <cell r="AM81">
            <v>3.0035385430515864E-3</v>
          </cell>
        </row>
        <row r="82">
          <cell r="N82">
            <v>1.7381907738638438E-3</v>
          </cell>
          <cell r="O82">
            <v>2.0077835850875782E-3</v>
          </cell>
          <cell r="P82">
            <v>1.9169108454608454E-3</v>
          </cell>
          <cell r="Q82">
            <v>2.9349463770728195E-3</v>
          </cell>
          <cell r="R82">
            <v>3.4321601354620223E-3</v>
          </cell>
          <cell r="S82">
            <v>3.2474557817082929E-3</v>
          </cell>
          <cell r="T82">
            <v>2.5182753990750407E-3</v>
          </cell>
          <cell r="U82">
            <v>2.3578595317725751E-3</v>
          </cell>
          <cell r="V82">
            <v>2.3282192107933856E-3</v>
          </cell>
          <cell r="W82">
            <v>2.4696944764412269E-3</v>
          </cell>
          <cell r="X82">
            <v>2.7513308417555678E-3</v>
          </cell>
          <cell r="Y82">
            <v>2.5599540154920531E-3</v>
          </cell>
          <cell r="Z82">
            <v>2.5370814704003767E-3</v>
          </cell>
          <cell r="AA82">
            <v>2.4438127264565369E-3</v>
          </cell>
          <cell r="AB82">
            <v>2.5257966616084979E-3</v>
          </cell>
          <cell r="AC82">
            <v>2.9746237912685243E-3</v>
          </cell>
          <cell r="AD82">
            <v>2.8397144776806877E-3</v>
          </cell>
          <cell r="AE82">
            <v>2.7049556163032959E-3</v>
          </cell>
          <cell r="AF82">
            <v>2.6868550001600626E-3</v>
          </cell>
          <cell r="AG82">
            <v>2.6848802248047006E-3</v>
          </cell>
          <cell r="AH82">
            <v>2.6862134161104484E-3</v>
          </cell>
          <cell r="AI82">
            <v>2.6858376699072481E-3</v>
          </cell>
          <cell r="AJ82">
            <v>2.6861644236680156E-3</v>
          </cell>
          <cell r="AK82">
            <v>2.6818018099138475E-3</v>
          </cell>
          <cell r="AL82">
            <v>2.6851524959550957E-3</v>
          </cell>
          <cell r="AM82">
            <v>2.6831610984594167E-3</v>
          </cell>
        </row>
        <row r="83">
          <cell r="N83">
            <v>3.7532682683919745E-2</v>
          </cell>
          <cell r="O83">
            <v>0.22403951324412891</v>
          </cell>
          <cell r="P83">
            <v>0.20615964977767376</v>
          </cell>
          <cell r="Q83">
            <v>0.20298185624422899</v>
          </cell>
          <cell r="R83">
            <v>0.18016021025334131</v>
          </cell>
          <cell r="S83">
            <v>0.18661640935472859</v>
          </cell>
          <cell r="T83">
            <v>0.18105197925657807</v>
          </cell>
          <cell r="U83">
            <v>0.18661472517949987</v>
          </cell>
          <cell r="V83">
            <v>0.19137635795018107</v>
          </cell>
          <cell r="W83">
            <v>0.21678490441326009</v>
          </cell>
          <cell r="X83">
            <v>0.25273461180846124</v>
          </cell>
          <cell r="Y83">
            <v>0.20737462560479225</v>
          </cell>
          <cell r="Z83">
            <v>0.16461308937701194</v>
          </cell>
          <cell r="AA83">
            <v>0.17062985333566597</v>
          </cell>
          <cell r="AB83">
            <v>0.2305077738515901</v>
          </cell>
          <cell r="AC83">
            <v>0.21192906703672074</v>
          </cell>
          <cell r="AD83">
            <v>0.25938784725933117</v>
          </cell>
          <cell r="AE83">
            <v>0.26205385747517751</v>
          </cell>
          <cell r="AF83">
            <v>0.23224694647128624</v>
          </cell>
          <cell r="AG83">
            <v>0.21416295364607457</v>
          </cell>
          <cell r="AH83">
            <v>0.20394715832457769</v>
          </cell>
          <cell r="AI83">
            <v>0.19528299750543535</v>
          </cell>
          <cell r="AJ83">
            <v>0.18555125388185539</v>
          </cell>
          <cell r="AK83">
            <v>0.17562353525808405</v>
          </cell>
          <cell r="AL83">
            <v>0.16631449236046614</v>
          </cell>
          <cell r="AM83">
            <v>0.15581074133685024</v>
          </cell>
        </row>
        <row r="84">
          <cell r="N84">
            <v>3.871526749248061E-2</v>
          </cell>
          <cell r="O84">
            <v>6.606836111500701E-2</v>
          </cell>
          <cell r="P84">
            <v>8.7409011222169014E-2</v>
          </cell>
          <cell r="Q84">
            <v>9.4618309879595783E-2</v>
          </cell>
          <cell r="R84">
            <v>9.2108149844115347E-2</v>
          </cell>
          <cell r="S84">
            <v>0.11209739951597671</v>
          </cell>
          <cell r="T84">
            <v>9.2478146432853708E-2</v>
          </cell>
          <cell r="U84">
            <v>8.6774519968957076E-2</v>
          </cell>
          <cell r="V84">
            <v>8.2821940826591445E-2</v>
          </cell>
          <cell r="W84">
            <v>8.9546025236898086E-2</v>
          </cell>
          <cell r="X84">
            <v>8.208601494301393E-2</v>
          </cell>
          <cell r="Y84">
            <v>7.4637477092137097E-2</v>
          </cell>
          <cell r="Z84">
            <v>6.4665127020785224E-2</v>
          </cell>
          <cell r="AA84">
            <v>5.8987352993321911E-2</v>
          </cell>
          <cell r="AB84">
            <v>5.6109053725403493E-2</v>
          </cell>
          <cell r="AC84">
            <v>7.6977437759336104E-2</v>
          </cell>
          <cell r="AD84">
            <v>7.6347078593405254E-2</v>
          </cell>
          <cell r="AE84">
            <v>6.9028842677191546E-2</v>
          </cell>
          <cell r="AF84">
            <v>6.9018901664927537E-2</v>
          </cell>
          <cell r="AG84">
            <v>6.84948890128977E-2</v>
          </cell>
          <cell r="AH84">
            <v>6.7739455878291263E-2</v>
          </cell>
          <cell r="AI84">
            <v>6.685503310886648E-2</v>
          </cell>
          <cell r="AJ84">
            <v>6.5861496782737117E-2</v>
          </cell>
          <cell r="AK84">
            <v>6.4912121377065132E-2</v>
          </cell>
          <cell r="AL84">
            <v>6.4700228248255484E-2</v>
          </cell>
          <cell r="AM84">
            <v>6.4239127795598566E-2</v>
          </cell>
        </row>
        <row r="85">
          <cell r="N85">
            <v>7.1972930188380561E-4</v>
          </cell>
          <cell r="O85">
            <v>1.0540687237026649E-3</v>
          </cell>
          <cell r="P85">
            <v>8.6784773761072536E-4</v>
          </cell>
          <cell r="Q85">
            <v>1.413674478606751E-3</v>
          </cell>
          <cell r="R85">
            <v>2.2460617476400798E-3</v>
          </cell>
          <cell r="S85">
            <v>2.71158704549032E-3</v>
          </cell>
          <cell r="T85">
            <v>2.4197308819610976E-3</v>
          </cell>
          <cell r="U85">
            <v>2.3252343143692913E-3</v>
          </cell>
          <cell r="V85">
            <v>2.2373597242921015E-3</v>
          </cell>
          <cell r="W85">
            <v>2.3772024390833492E-3</v>
          </cell>
          <cell r="X85">
            <v>2.2838825664837485E-3</v>
          </cell>
          <cell r="Y85">
            <v>2.3281710640372737E-3</v>
          </cell>
          <cell r="Z85">
            <v>2.2362366597787776E-3</v>
          </cell>
          <cell r="AA85">
            <v>2.3933778145499673E-3</v>
          </cell>
          <cell r="AB85">
            <v>2.5225237674110102E-3</v>
          </cell>
          <cell r="AC85">
            <v>2.8079616182572617E-3</v>
          </cell>
          <cell r="AD85">
            <v>2.3847108157652227E-3</v>
          </cell>
          <cell r="AE85">
            <v>2.193280890178357E-3</v>
          </cell>
          <cell r="AF85">
            <v>2.2683694092421763E-3</v>
          </cell>
          <cell r="AG85">
            <v>2.2770071450714342E-3</v>
          </cell>
          <cell r="AH85">
            <v>2.2770318602515138E-3</v>
          </cell>
          <cell r="AI85">
            <v>2.2771907684244236E-3</v>
          </cell>
          <cell r="AJ85">
            <v>2.2756304886914192E-3</v>
          </cell>
          <cell r="AK85">
            <v>2.2687545909029672E-3</v>
          </cell>
          <cell r="AL85">
            <v>2.2756523371092264E-3</v>
          </cell>
          <cell r="AM85">
            <v>2.251094813517005E-3</v>
          </cell>
        </row>
        <row r="86">
          <cell r="N86">
            <v>1.2798549944593954E-3</v>
          </cell>
          <cell r="O86">
            <v>1.8591090462833101E-3</v>
          </cell>
          <cell r="P86">
            <v>1.8926934761790758E-2</v>
          </cell>
          <cell r="Q86">
            <v>1.1556447511287895E-2</v>
          </cell>
          <cell r="R86">
            <v>1.4565250259807743E-2</v>
          </cell>
          <cell r="S86">
            <v>1.9868315146387535E-2</v>
          </cell>
          <cell r="T86">
            <v>1.9662623950839328E-2</v>
          </cell>
          <cell r="U86">
            <v>1.7995239388693213E-2</v>
          </cell>
          <cell r="V86">
            <v>1.9124743400042582E-2</v>
          </cell>
          <cell r="W86">
            <v>1.9179809188261458E-2</v>
          </cell>
          <cell r="X86">
            <v>1.5722984170536091E-2</v>
          </cell>
          <cell r="Y86">
            <v>1.5826089184454797E-2</v>
          </cell>
          <cell r="Z86">
            <v>1.9548164496475021E-2</v>
          </cell>
          <cell r="AA86">
            <v>1.6054341033331362E-2</v>
          </cell>
          <cell r="AB86">
            <v>1.3562624364359939E-2</v>
          </cell>
          <cell r="AC86">
            <v>1.3744813278008298E-2</v>
          </cell>
          <cell r="AD86">
            <v>2.2587564678514575E-2</v>
          </cell>
          <cell r="AE86">
            <v>2.4163214577771295E-2</v>
          </cell>
          <cell r="AF86">
            <v>2.39930269069729E-2</v>
          </cell>
          <cell r="AG86">
            <v>2.3670183257970621E-2</v>
          </cell>
          <cell r="AH86">
            <v>2.3430640113321608E-2</v>
          </cell>
          <cell r="AI86">
            <v>2.3259558515600163E-2</v>
          </cell>
          <cell r="AJ86">
            <v>2.3081316152881053E-2</v>
          </cell>
          <cell r="AK86">
            <v>2.2890322689932099E-2</v>
          </cell>
          <cell r="AL86">
            <v>2.2939522902888081E-2</v>
          </cell>
          <cell r="AM86">
            <v>2.2796511232418437E-2</v>
          </cell>
        </row>
        <row r="87">
          <cell r="N87">
            <v>5.0692691150862751E-2</v>
          </cell>
          <cell r="O87">
            <v>6.8312225981767172E-2</v>
          </cell>
          <cell r="P87">
            <v>3.7903672282738811E-2</v>
          </cell>
          <cell r="Q87">
            <v>2.3716891743711031E-2</v>
          </cell>
          <cell r="R87">
            <v>2.5396676929072489E-2</v>
          </cell>
          <cell r="S87">
            <v>1.955038277191878E-2</v>
          </cell>
          <cell r="T87">
            <v>1.4150298910871301E-2</v>
          </cell>
          <cell r="U87">
            <v>1.2221415810996355E-2</v>
          </cell>
          <cell r="V87">
            <v>1.0501909197360017E-2</v>
          </cell>
          <cell r="W87">
            <v>9.0797281957068279E-3</v>
          </cell>
          <cell r="X87">
            <v>1.0632206732798652E-2</v>
          </cell>
          <cell r="Y87">
            <v>6.498972373225706E-3</v>
          </cell>
          <cell r="Z87">
            <v>8.4410782865868457E-3</v>
          </cell>
          <cell r="AA87">
            <v>1.099116027148218E-2</v>
          </cell>
          <cell r="AB87">
            <v>9.8178753040017684E-3</v>
          </cell>
          <cell r="AC87">
            <v>1.1644190871369295E-2</v>
          </cell>
          <cell r="AD87">
            <v>9.0755610292546189E-3</v>
          </cell>
          <cell r="AE87">
            <v>7.1933080883320785E-3</v>
          </cell>
          <cell r="AF87">
            <v>7.0354825690874777E-3</v>
          </cell>
          <cell r="AG87">
            <v>7.0115770678631385E-3</v>
          </cell>
          <cell r="AH87">
            <v>7.0116531731973936E-3</v>
          </cell>
          <cell r="AI87">
            <v>7.0121424983641944E-3</v>
          </cell>
          <cell r="AJ87">
            <v>7.0073379365431804E-3</v>
          </cell>
          <cell r="AK87">
            <v>6.9861650178025293E-3</v>
          </cell>
          <cell r="AL87">
            <v>7.0074052142702608E-3</v>
          </cell>
          <cell r="AM87">
            <v>6.9317853508739482E-3</v>
          </cell>
        </row>
        <row r="88">
          <cell r="R88" t="str">
            <v/>
          </cell>
        </row>
        <row r="89">
          <cell r="N89">
            <v>0.12002137090391007</v>
          </cell>
          <cell r="O89">
            <v>0.16232956427068723</v>
          </cell>
          <cell r="P89">
            <v>0.17481268705350728</v>
          </cell>
          <cell r="Q89">
            <v>0.17048765136153518</v>
          </cell>
          <cell r="R89">
            <v>0.14869143842556509</v>
          </cell>
          <cell r="S89">
            <v>0.15498276276955769</v>
          </cell>
          <cell r="T89">
            <v>0.16698978265720757</v>
          </cell>
          <cell r="U89">
            <v>0.16659010018297415</v>
          </cell>
          <cell r="V89">
            <v>0.16420618019773262</v>
          </cell>
          <cell r="W89">
            <v>0.16955793282247145</v>
          </cell>
          <cell r="X89">
            <v>0.16365831268467709</v>
          </cell>
          <cell r="Y89">
            <v>0.15295364250370211</v>
          </cell>
          <cell r="Z89">
            <v>0.14018088306794702</v>
          </cell>
          <cell r="AA89">
            <v>0.14818812422433664</v>
          </cell>
          <cell r="AB89">
            <v>0.14991432677426486</v>
          </cell>
          <cell r="AC89">
            <v>0.15035658713692945</v>
          </cell>
          <cell r="AD89">
            <v>0.14959626939282766</v>
          </cell>
          <cell r="AE89">
            <v>0.14477014308466199</v>
          </cell>
          <cell r="AF89">
            <v>0.14389892375838914</v>
          </cell>
          <cell r="AG89">
            <v>0.13953078192251864</v>
          </cell>
          <cell r="AH89">
            <v>0.13464534565822142</v>
          </cell>
          <cell r="AI89">
            <v>0.1291303489519213</v>
          </cell>
          <cell r="AJ89">
            <v>0.12296755196704397</v>
          </cell>
          <cell r="AK89">
            <v>0.11696885278950506</v>
          </cell>
          <cell r="AL89">
            <v>0.1130765890564558</v>
          </cell>
          <cell r="AM89">
            <v>0.10876499766024211</v>
          </cell>
        </row>
        <row r="90">
          <cell r="N90">
            <v>6.63804020895995E-2</v>
          </cell>
          <cell r="O90">
            <v>0.10402174540673212</v>
          </cell>
          <cell r="P90">
            <v>0.10200339586784773</v>
          </cell>
          <cell r="Q90">
            <v>9.1310309757041491E-2</v>
          </cell>
          <cell r="R90">
            <v>8.1753113305187489E-2</v>
          </cell>
          <cell r="S90">
            <v>8.1225844301511099E-2</v>
          </cell>
          <cell r="T90">
            <v>7.6884872601918466E-2</v>
          </cell>
          <cell r="U90">
            <v>7.4641286974359733E-2</v>
          </cell>
          <cell r="V90">
            <v>7.1736995326937406E-2</v>
          </cell>
          <cell r="W90">
            <v>7.401553010781281E-2</v>
          </cell>
          <cell r="X90">
            <v>6.8545690512874624E-2</v>
          </cell>
          <cell r="Y90">
            <v>6.8346335825477653E-2</v>
          </cell>
          <cell r="Z90">
            <v>6.0477695393217457E-2</v>
          </cell>
          <cell r="AA90">
            <v>6.0817179835707114E-2</v>
          </cell>
          <cell r="AB90">
            <v>5.4018350652221978E-2</v>
          </cell>
          <cell r="AC90">
            <v>4.978604771784232E-2</v>
          </cell>
          <cell r="AD90">
            <v>4.2449987789089767E-2</v>
          </cell>
          <cell r="AE90">
            <v>3.7691681177362088E-2</v>
          </cell>
          <cell r="AF90">
            <v>3.8059818158168973E-2</v>
          </cell>
          <cell r="AG90">
            <v>3.8890241856694208E-2</v>
          </cell>
          <cell r="AH90">
            <v>3.9894350044010742E-2</v>
          </cell>
          <cell r="AI90">
            <v>4.0126709575760769E-2</v>
          </cell>
          <cell r="AJ90">
            <v>4.0099215659760698E-2</v>
          </cell>
          <cell r="AK90">
            <v>3.9978054465250525E-2</v>
          </cell>
          <cell r="AL90">
            <v>4.009960065390708E-2</v>
          </cell>
          <cell r="AM90">
            <v>3.9666868960652073E-2</v>
          </cell>
        </row>
        <row r="91">
          <cell r="N91">
            <v>1.3059996833940163E-3</v>
          </cell>
          <cell r="O91">
            <v>4.2606695476858338E-2</v>
          </cell>
          <cell r="P91">
            <v>5.1422248928656933E-2</v>
          </cell>
          <cell r="Q91">
            <v>4.3644587088798106E-2</v>
          </cell>
          <cell r="R91">
            <v>4.5420768198449812E-2</v>
          </cell>
          <cell r="S91">
            <v>4.9267319865614674E-2</v>
          </cell>
          <cell r="T91">
            <v>5.1276545080602191E-2</v>
          </cell>
          <cell r="U91">
            <v>4.9293969929108714E-2</v>
          </cell>
          <cell r="V91">
            <v>5.5024257660607832E-2</v>
          </cell>
          <cell r="W91">
            <v>5.5694061194643207E-2</v>
          </cell>
          <cell r="X91">
            <v>6.0222751677923174E-2</v>
          </cell>
          <cell r="Y91">
            <v>6.2020081626756242E-2</v>
          </cell>
          <cell r="Z91">
            <v>5.8603531056278114E-2</v>
          </cell>
          <cell r="AA91">
            <v>6.7472821494001523E-2</v>
          </cell>
          <cell r="AB91">
            <v>7.6174554361043562E-2</v>
          </cell>
          <cell r="AC91">
            <v>6.5142563537344392E-2</v>
          </cell>
          <cell r="AD91">
            <v>5.4996149692125545E-2</v>
          </cell>
          <cell r="AE91">
            <v>4.9831588873579288E-2</v>
          </cell>
          <cell r="AF91">
            <v>4.9592100057624267E-2</v>
          </cell>
          <cell r="AG91">
            <v>4.9423593633650717E-2</v>
          </cell>
          <cell r="AH91">
            <v>4.942413008915527E-2</v>
          </cell>
          <cell r="AI91">
            <v>4.9427579271552419E-2</v>
          </cell>
          <cell r="AJ91">
            <v>4.9393712609497473E-2</v>
          </cell>
          <cell r="AK91">
            <v>4.9244467764614774E-2</v>
          </cell>
          <cell r="AL91">
            <v>4.9394186840474558E-2</v>
          </cell>
          <cell r="AM91">
            <v>4.8861153349869207E-2</v>
          </cell>
        </row>
        <row r="92">
          <cell r="N92">
            <v>0</v>
          </cell>
          <cell r="O92">
            <v>2.1282042075736322E-3</v>
          </cell>
          <cell r="P92">
            <v>2.5447881766219775E-3</v>
          </cell>
          <cell r="Q92">
            <v>6.2278647487099556E-3</v>
          </cell>
          <cell r="R92">
            <v>9.1460315683727401E-3</v>
          </cell>
          <cell r="S92">
            <v>1.0793487867149379E-2</v>
          </cell>
          <cell r="T92">
            <v>1.434202724487077E-2</v>
          </cell>
          <cell r="U92">
            <v>1.9226188316966146E-2</v>
          </cell>
          <cell r="V92">
            <v>2.4123502053305299E-2</v>
          </cell>
          <cell r="W92">
            <v>2.4413269805888614E-2</v>
          </cell>
          <cell r="X92">
            <v>2.1549054205888561E-2</v>
          </cell>
          <cell r="Y92">
            <v>2.0482793990410662E-2</v>
          </cell>
          <cell r="Z92">
            <v>2.3248453370988815E-2</v>
          </cell>
          <cell r="AA92">
            <v>2.5262593853126295E-2</v>
          </cell>
          <cell r="AB92">
            <v>2.6641609551182843E-2</v>
          </cell>
          <cell r="AC92">
            <v>2.9026192946058092E-2</v>
          </cell>
          <cell r="AD92">
            <v>2.7752912605047513E-2</v>
          </cell>
          <cell r="AE92">
            <v>2.2454435462033857E-2</v>
          </cell>
          <cell r="AF92">
            <v>1.658422330386888E-2</v>
          </cell>
          <cell r="AG92">
            <v>1.4119936179007057E-2</v>
          </cell>
          <cell r="AH92">
            <v>1.2629521566797936E-2</v>
          </cell>
          <cell r="AI92">
            <v>1.1098339072549217E-2</v>
          </cell>
          <cell r="AJ92">
            <v>9.7026133661387483E-3</v>
          </cell>
          <cell r="AK92">
            <v>8.4891040941817465E-3</v>
          </cell>
          <cell r="AL92">
            <v>7.5400027785436597E-3</v>
          </cell>
          <cell r="AM92">
            <v>6.6815033896793522E-3</v>
          </cell>
        </row>
        <row r="94">
          <cell r="N94">
            <v>2.2648409054931137E-2</v>
          </cell>
          <cell r="O94">
            <v>5.4602936220196352E-2</v>
          </cell>
          <cell r="P94">
            <v>4.8000961425963613E-2</v>
          </cell>
          <cell r="Q94">
            <v>3.9954875394270048E-2</v>
          </cell>
          <cell r="R94">
            <v>3.0746474769637135E-2</v>
          </cell>
          <cell r="S94">
            <v>3.2186769837478355E-2</v>
          </cell>
          <cell r="T94">
            <v>3.3091623218092191E-2</v>
          </cell>
          <cell r="U94">
            <v>3.6610816861232166E-2</v>
          </cell>
          <cell r="V94">
            <v>3.5929723826245472E-2</v>
          </cell>
          <cell r="W94">
            <v>4.1513884584703155E-2</v>
          </cell>
          <cell r="X94">
            <v>3.908566467918953E-2</v>
          </cell>
          <cell r="Y94">
            <v>3.8579387438147872E-2</v>
          </cell>
          <cell r="Z94">
            <v>3.6016318220493497E-2</v>
          </cell>
          <cell r="AA94">
            <v>3.9145145085987827E-2</v>
          </cell>
          <cell r="AB94">
            <v>3.6891996462524876E-2</v>
          </cell>
          <cell r="AC94">
            <v>3.4360736514522816E-2</v>
          </cell>
          <cell r="AD94">
            <v>3.3433701686425531E-2</v>
          </cell>
          <cell r="AE94">
            <v>3.1485888980827569E-2</v>
          </cell>
          <cell r="AF94">
            <v>3.2195348712638738E-2</v>
          </cell>
          <cell r="AG94">
            <v>3.3092399874970459E-2</v>
          </cell>
          <cell r="AH94">
            <v>3.4096445131123636E-2</v>
          </cell>
          <cell r="AI94">
            <v>3.5102480759130653E-2</v>
          </cell>
          <cell r="AJ94">
            <v>3.6081179789119754E-2</v>
          </cell>
          <cell r="AK94">
            <v>3.6970715003890632E-2</v>
          </cell>
          <cell r="AL94">
            <v>3.8083718403342071E-2</v>
          </cell>
          <cell r="AM94">
            <v>3.8662282245885374E-2</v>
          </cell>
        </row>
        <row r="95">
          <cell r="N95">
            <v>0</v>
          </cell>
          <cell r="O95">
            <v>4.1186886395511921E-3</v>
          </cell>
          <cell r="P95">
            <v>1.2435659564280584E-3</v>
          </cell>
          <cell r="Q95">
            <v>3.3615367394108794E-3</v>
          </cell>
          <cell r="R95">
            <v>3.5991553650298784E-3</v>
          </cell>
          <cell r="S95">
            <v>2.8123217574374314E-3</v>
          </cell>
          <cell r="T95">
            <v>2.5136575572875033E-3</v>
          </cell>
          <cell r="U95">
            <v>8.2607639902095389E-4</v>
          </cell>
          <cell r="V95">
            <v>3.08999822759208E-4</v>
          </cell>
          <cell r="W95">
            <v>1.758137086637014E-4</v>
          </cell>
          <cell r="X95">
            <v>1.2053652384972563E-4</v>
          </cell>
          <cell r="Y95">
            <v>9.819590421497452E-4</v>
          </cell>
          <cell r="Z95">
            <v>1.09319922207366E-3</v>
          </cell>
          <cell r="AA95">
            <v>1.0031913007505467E-3</v>
          </cell>
          <cell r="AB95">
            <v>2.1155759451691354E-3</v>
          </cell>
          <cell r="AC95">
            <v>3.1807572614107882E-3</v>
          </cell>
          <cell r="AD95">
            <v>1.1452202495035478E-3</v>
          </cell>
          <cell r="AE95">
            <v>4.1095331308036901E-4</v>
          </cell>
          <cell r="AF95">
            <v>3.7180166902237889E-4</v>
          </cell>
          <cell r="AG95">
            <v>3.3243078168601901E-4</v>
          </cell>
          <cell r="AH95">
            <v>2.9619030854612983E-4</v>
          </cell>
          <cell r="AI95">
            <v>2.6315446156121778E-4</v>
          </cell>
          <cell r="AJ95">
            <v>2.3320396218825E-4</v>
          </cell>
          <cell r="AK95">
            <v>2.0691680862501213E-4</v>
          </cell>
          <cell r="AL95">
            <v>1.8644586271414096E-4</v>
          </cell>
          <cell r="AM95">
            <v>1.6763498665452791E-4</v>
          </cell>
        </row>
        <row r="96">
          <cell r="N96">
            <v>-2.7593342492477126</v>
          </cell>
          <cell r="O96">
            <v>17.394629401124568</v>
          </cell>
          <cell r="P96">
            <v>-3.9300016728915792</v>
          </cell>
          <cell r="Q96">
            <v>-0.13555925936075386</v>
          </cell>
          <cell r="R96">
            <v>-2.4153885369846875</v>
          </cell>
          <cell r="S96">
            <v>0.61107196484851389</v>
          </cell>
          <cell r="T96">
            <v>1.1055012436556753</v>
          </cell>
          <cell r="U96">
            <v>0.99104600793265019</v>
          </cell>
          <cell r="V96">
            <v>2.4666182680780809E-2</v>
          </cell>
          <cell r="W96">
            <v>-0.14834562291640524</v>
          </cell>
          <cell r="X96">
            <v>0.76341634493044419</v>
          </cell>
          <cell r="Y96">
            <v>-0.16695584592459758</v>
          </cell>
          <cell r="Z96">
            <v>1.0316986460495168</v>
          </cell>
          <cell r="AA96">
            <v>-0.45653599772285436</v>
          </cell>
          <cell r="AB96">
            <v>0.16343503605183099</v>
          </cell>
          <cell r="AC96">
            <v>-1.2430748739052615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</sheetData>
      <sheetData sheetId="26" refreshError="1"/>
      <sheetData sheetId="27" refreshError="1">
        <row r="4">
          <cell r="Z4">
            <v>33791.020527499997</v>
          </cell>
          <cell r="AA4">
            <v>36111.937374166664</v>
          </cell>
          <cell r="AB4">
            <v>37705.203894973958</v>
          </cell>
          <cell r="AC4">
            <v>39542.76723459315</v>
          </cell>
          <cell r="AD4">
            <v>43586.485504076925</v>
          </cell>
          <cell r="AE4">
            <v>47908.870669037693</v>
          </cell>
          <cell r="AF4">
            <v>52794.554965867988</v>
          </cell>
          <cell r="AG4">
            <v>58504.545767170464</v>
          </cell>
          <cell r="AH4">
            <v>64784.4761889984</v>
          </cell>
          <cell r="AI4">
            <v>71780.282341162048</v>
          </cell>
          <cell r="AJ4">
            <v>79595.131439657955</v>
          </cell>
          <cell r="AK4">
            <v>88336.49515407483</v>
          </cell>
          <cell r="AL4">
            <v>97354.983554839317</v>
          </cell>
          <cell r="AM4">
            <v>107238.8051470365</v>
          </cell>
        </row>
        <row r="5">
          <cell r="Z5">
            <v>29747</v>
          </cell>
          <cell r="AA5">
            <v>31187</v>
          </cell>
          <cell r="AB5">
            <v>32950</v>
          </cell>
          <cell r="AC5">
            <v>34954</v>
          </cell>
          <cell r="AD5">
            <v>39011.008630667959</v>
          </cell>
          <cell r="AE5">
            <v>43313.787099445544</v>
          </cell>
          <cell r="AF5">
            <v>47972.72761482912</v>
          </cell>
          <cell r="AG5">
            <v>53286.102071463036</v>
          </cell>
          <cell r="AH5">
            <v>59116.985298395302</v>
          </cell>
          <cell r="AI5">
            <v>65678.850473296086</v>
          </cell>
          <cell r="AJ5">
            <v>73003.723506805036</v>
          </cell>
          <cell r="AK5">
            <v>81224.170432928207</v>
          </cell>
          <cell r="AL5">
            <v>89735.862166076389</v>
          </cell>
          <cell r="AM5">
            <v>99167.680599399217</v>
          </cell>
        </row>
        <row r="6">
          <cell r="Z6">
            <v>829.71499999999992</v>
          </cell>
          <cell r="AA6">
            <v>1021.7747499999999</v>
          </cell>
          <cell r="AB6">
            <v>1257.2779999999998</v>
          </cell>
          <cell r="AC6">
            <v>1088.40075</v>
          </cell>
          <cell r="AD6">
            <v>960.7232392506254</v>
          </cell>
          <cell r="AE6">
            <v>958.4094174069437</v>
          </cell>
          <cell r="AF6">
            <v>1034.6561972122799</v>
          </cell>
          <cell r="AG6">
            <v>1153.2620155688969</v>
          </cell>
          <cell r="AH6">
            <v>1294.3838591552405</v>
          </cell>
          <cell r="AI6">
            <v>1456.9797058417005</v>
          </cell>
          <cell r="AJ6">
            <v>1642.9738244315233</v>
          </cell>
          <cell r="AK6">
            <v>1846.1057511656097</v>
          </cell>
          <cell r="AL6">
            <v>2055.0291579037653</v>
          </cell>
          <cell r="AM6">
            <v>2260.9655686025199</v>
          </cell>
        </row>
        <row r="7">
          <cell r="Z7">
            <v>1071.3399999999999</v>
          </cell>
          <cell r="AA7">
            <v>1220.0464749999999</v>
          </cell>
          <cell r="AB7">
            <v>1464.3093249999999</v>
          </cell>
          <cell r="AC7">
            <v>1388.9382499999999</v>
          </cell>
          <cell r="AD7">
            <v>1346.1945524414405</v>
          </cell>
          <cell r="AE7">
            <v>1413.4035416134373</v>
          </cell>
          <cell r="AF7">
            <v>1541.3459077393911</v>
          </cell>
          <cell r="AG7">
            <v>1718.0351241676237</v>
          </cell>
          <cell r="AH7">
            <v>1928.2668675143675</v>
          </cell>
          <cell r="AI7">
            <v>2170.4888187101783</v>
          </cell>
          <cell r="AJ7">
            <v>2447.5675955294123</v>
          </cell>
          <cell r="AK7">
            <v>2750.1768727428398</v>
          </cell>
          <cell r="AL7">
            <v>3061.4138216679708</v>
          </cell>
          <cell r="AM7">
            <v>3368.2009889804563</v>
          </cell>
        </row>
        <row r="8">
          <cell r="Z8">
            <v>46</v>
          </cell>
          <cell r="AA8">
            <v>56</v>
          </cell>
          <cell r="AB8">
            <v>56</v>
          </cell>
          <cell r="AC8">
            <v>56</v>
          </cell>
          <cell r="AD8">
            <v>57.433600000000006</v>
          </cell>
          <cell r="AE8">
            <v>58.903900160000006</v>
          </cell>
          <cell r="AF8">
            <v>60.411840004096014</v>
          </cell>
          <cell r="AG8">
            <v>61.95838310820087</v>
          </cell>
          <cell r="AH8">
            <v>63.544517715770816</v>
          </cell>
          <cell r="AI8">
            <v>65.171257369294551</v>
          </cell>
          <cell r="AJ8">
            <v>66.839641557948511</v>
          </cell>
          <cell r="AK8">
            <v>68.550736381831996</v>
          </cell>
          <cell r="AL8">
            <v>70.3056352332069</v>
          </cell>
          <cell r="AM8">
            <v>72.105459495177001</v>
          </cell>
        </row>
        <row r="9">
          <cell r="Z9">
            <v>1558.8655275000001</v>
          </cell>
          <cell r="AA9">
            <v>1949.0161491666668</v>
          </cell>
          <cell r="AB9">
            <v>1395.20697875</v>
          </cell>
          <cell r="AC9">
            <v>1461.1369166666666</v>
          </cell>
          <cell r="AD9">
            <v>1507.9715446094451</v>
          </cell>
          <cell r="AE9">
            <v>1459.9490729141146</v>
          </cell>
          <cell r="AF9">
            <v>1479.8322564222394</v>
          </cell>
          <cell r="AG9">
            <v>1579.6070232018369</v>
          </cell>
          <cell r="AH9">
            <v>1675.7144965568618</v>
          </cell>
          <cell r="AI9">
            <v>1703.2109362839499</v>
          </cell>
          <cell r="AJ9">
            <v>1728.4457216731992</v>
          </cell>
          <cell r="AK9">
            <v>1741.9102111955058</v>
          </cell>
          <cell r="AL9">
            <v>1726.7916242971687</v>
          </cell>
          <cell r="AM9">
            <v>1664.2713808983024</v>
          </cell>
        </row>
        <row r="10">
          <cell r="Z10">
            <v>182.09999999999991</v>
          </cell>
          <cell r="AA10">
            <v>159.09999999999991</v>
          </cell>
          <cell r="AB10">
            <v>189.40959122395836</v>
          </cell>
          <cell r="AC10">
            <v>187.29131792648153</v>
          </cell>
          <cell r="AD10">
            <v>189.58324111512462</v>
          </cell>
          <cell r="AE10">
            <v>190.73969888592688</v>
          </cell>
          <cell r="AF10">
            <v>191.90321104913104</v>
          </cell>
          <cell r="AG10">
            <v>191.90321104913104</v>
          </cell>
          <cell r="AH10">
            <v>191.90321104913104</v>
          </cell>
          <cell r="AI10">
            <v>191.90321104913104</v>
          </cell>
          <cell r="AJ10">
            <v>191.90321104913104</v>
          </cell>
          <cell r="AK10">
            <v>191.90321104913104</v>
          </cell>
          <cell r="AL10">
            <v>191.90321104913104</v>
          </cell>
          <cell r="AM10">
            <v>191.90321104913104</v>
          </cell>
        </row>
        <row r="11">
          <cell r="Z11">
            <v>366</v>
          </cell>
          <cell r="AA11">
            <v>529</v>
          </cell>
          <cell r="AB11">
            <v>403</v>
          </cell>
          <cell r="AC11">
            <v>417</v>
          </cell>
          <cell r="AD11">
            <v>523.57069599232352</v>
          </cell>
          <cell r="AE11">
            <v>523.67793861171833</v>
          </cell>
          <cell r="AF11">
            <v>523.67793861171833</v>
          </cell>
          <cell r="AG11">
            <v>523.67793861171833</v>
          </cell>
          <cell r="AH11">
            <v>523.67793861171833</v>
          </cell>
          <cell r="AI11">
            <v>523.67793861171833</v>
          </cell>
          <cell r="AJ11">
            <v>523.67793861171833</v>
          </cell>
          <cell r="AK11">
            <v>523.67793861171833</v>
          </cell>
          <cell r="AL11">
            <v>523.67793861171833</v>
          </cell>
          <cell r="AM11">
            <v>523.67793861171833</v>
          </cell>
        </row>
        <row r="12">
          <cell r="Z12">
            <v>-10</v>
          </cell>
          <cell r="AA12">
            <v>-10</v>
          </cell>
          <cell r="AB12">
            <v>-10</v>
          </cell>
          <cell r="AC12">
            <v>-10</v>
          </cell>
          <cell r="AD12">
            <v>-10</v>
          </cell>
          <cell r="AE12">
            <v>-10</v>
          </cell>
          <cell r="AF12">
            <v>-10</v>
          </cell>
          <cell r="AG12">
            <v>-10</v>
          </cell>
          <cell r="AH12">
            <v>-10</v>
          </cell>
          <cell r="AI12">
            <v>-10</v>
          </cell>
          <cell r="AJ12">
            <v>-10</v>
          </cell>
          <cell r="AK12">
            <v>-10</v>
          </cell>
          <cell r="AL12">
            <v>-10</v>
          </cell>
          <cell r="AM12">
            <v>-10</v>
          </cell>
        </row>
        <row r="13">
          <cell r="Z13">
            <v>1320.7965281426932</v>
          </cell>
          <cell r="AA13">
            <v>1483.5861796221411</v>
          </cell>
          <cell r="AB13">
            <v>1376.409804968443</v>
          </cell>
          <cell r="AC13">
            <v>1582.3113832547513</v>
          </cell>
          <cell r="AD13">
            <v>1782.9013112744476</v>
          </cell>
          <cell r="AE13">
            <v>2033.0380509871043</v>
          </cell>
          <cell r="AF13">
            <v>2171.2218089862477</v>
          </cell>
          <cell r="AG13">
            <v>35368.458735419306</v>
          </cell>
          <cell r="AH13">
            <v>1426.5156399808152</v>
          </cell>
          <cell r="AI13">
            <v>945.90262794739374</v>
          </cell>
          <cell r="AJ13">
            <v>-506.95966181428355</v>
          </cell>
          <cell r="AK13">
            <v>-2963.5644444648256</v>
          </cell>
          <cell r="AL13">
            <v>-6907.3050039793534</v>
          </cell>
          <cell r="AM13">
            <v>-12818.312961512913</v>
          </cell>
        </row>
        <row r="14">
          <cell r="Z14">
            <v>419.79049647602642</v>
          </cell>
          <cell r="AA14">
            <v>397.40187962214117</v>
          </cell>
          <cell r="AB14">
            <v>548.02543830177626</v>
          </cell>
          <cell r="AC14">
            <v>617.0994132547512</v>
          </cell>
          <cell r="AD14">
            <v>781.48931127444791</v>
          </cell>
          <cell r="AE14">
            <v>950.6684320243445</v>
          </cell>
          <cell r="AF14">
            <v>1202.5589158394182</v>
          </cell>
          <cell r="AG14">
            <v>34590.964118938777</v>
          </cell>
          <cell r="AH14">
            <v>-868.94861958475678</v>
          </cell>
          <cell r="AI14">
            <v>-290.00126185455565</v>
          </cell>
          <cell r="AJ14">
            <v>-110.57158839070827</v>
          </cell>
          <cell r="AK14">
            <v>-22.109812546228309</v>
          </cell>
          <cell r="AL14">
            <v>29.851238529594657</v>
          </cell>
          <cell r="AM14">
            <v>63.917198996132527</v>
          </cell>
        </row>
        <row r="15"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Z16">
            <v>8728.8874529774985</v>
          </cell>
          <cell r="AA16">
            <v>7622.8178795358326</v>
          </cell>
          <cell r="AB16">
            <v>7840.1877551930756</v>
          </cell>
          <cell r="AC16">
            <v>9621.9097532004635</v>
          </cell>
          <cell r="AD16">
            <v>10889.859736197886</v>
          </cell>
          <cell r="AE16">
            <v>11955.503635994904</v>
          </cell>
          <cell r="AF16">
            <v>13196.288663031402</v>
          </cell>
          <cell r="AG16">
            <v>14812.886024672349</v>
          </cell>
          <cell r="AH16">
            <v>16614.998078881988</v>
          </cell>
          <cell r="AI16">
            <v>19213.187092365628</v>
          </cell>
          <cell r="AJ16">
            <v>22206.367109478728</v>
          </cell>
          <cell r="AK16">
            <v>25792.027060719589</v>
          </cell>
          <cell r="AL16">
            <v>30206.646692344551</v>
          </cell>
          <cell r="AM16">
            <v>35795.911316273392</v>
          </cell>
        </row>
        <row r="17">
          <cell r="Z17">
            <v>4228.6284452224991</v>
          </cell>
          <cell r="AA17">
            <v>3900.3010185449998</v>
          </cell>
          <cell r="AB17">
            <v>4006.625</v>
          </cell>
          <cell r="AC17">
            <v>4541.5249999999996</v>
          </cell>
          <cell r="AD17">
            <v>4942.2833078163931</v>
          </cell>
          <cell r="AE17">
            <v>5333.0010155244836</v>
          </cell>
          <cell r="AF17">
            <v>5886.3272995349553</v>
          </cell>
          <cell r="AG17">
            <v>6633.6709810932425</v>
          </cell>
          <cell r="AH17">
            <v>7274.3990138329391</v>
          </cell>
          <cell r="AI17">
            <v>8308.0134939594191</v>
          </cell>
          <cell r="AJ17">
            <v>9324.8037955796117</v>
          </cell>
          <cell r="AK17">
            <v>10358.237206208763</v>
          </cell>
          <cell r="AL17">
            <v>11460.953000704683</v>
          </cell>
          <cell r="AM17">
            <v>12660.656563772471</v>
          </cell>
        </row>
        <row r="18">
          <cell r="Z18">
            <v>921.07000150499994</v>
          </cell>
          <cell r="AA18">
            <v>915.27385515749995</v>
          </cell>
          <cell r="AB18">
            <v>846</v>
          </cell>
          <cell r="AC18">
            <v>979</v>
          </cell>
          <cell r="AD18">
            <v>1347.8432458061129</v>
          </cell>
          <cell r="AE18">
            <v>1514.5929114347491</v>
          </cell>
          <cell r="AF18">
            <v>1635.7075193607538</v>
          </cell>
          <cell r="AG18">
            <v>1808.985616002097</v>
          </cell>
          <cell r="AH18">
            <v>2014.4782972291102</v>
          </cell>
          <cell r="AI18">
            <v>2254.6657060407688</v>
          </cell>
          <cell r="AJ18">
            <v>2528.8490582190843</v>
          </cell>
          <cell r="AK18">
            <v>2830.022186031405</v>
          </cell>
          <cell r="AL18">
            <v>3148.151332251502</v>
          </cell>
          <cell r="AM18">
            <v>3475.8532491391015</v>
          </cell>
        </row>
        <row r="19"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181.63158322281279</v>
          </cell>
          <cell r="AE19">
            <v>152.93763212543539</v>
          </cell>
          <cell r="AF19">
            <v>104.58063015948747</v>
          </cell>
          <cell r="AG19">
            <v>106.17045679614951</v>
          </cell>
          <cell r="AH19">
            <v>281.42318788893419</v>
          </cell>
          <cell r="AI19">
            <v>735.51595339255812</v>
          </cell>
          <cell r="AJ19">
            <v>1465.2651745411847</v>
          </cell>
          <cell r="AK19">
            <v>2628.1217370362883</v>
          </cell>
          <cell r="AL19">
            <v>4413.6787302131061</v>
          </cell>
          <cell r="AM19">
            <v>7141.1182430895733</v>
          </cell>
        </row>
        <row r="20">
          <cell r="Z20">
            <v>1931.4590062500001</v>
          </cell>
          <cell r="AA20">
            <v>2340.6370058333332</v>
          </cell>
          <cell r="AB20">
            <v>2120.8160516666662</v>
          </cell>
          <cell r="AC20">
            <v>2563.0154579166669</v>
          </cell>
          <cell r="AD20">
            <v>2943.7592001095077</v>
          </cell>
          <cell r="AE20">
            <v>3448.0429153530094</v>
          </cell>
          <cell r="AF20">
            <v>4030.0331902212151</v>
          </cell>
          <cell r="AG20">
            <v>4691.5883219294919</v>
          </cell>
          <cell r="AH20">
            <v>5439.2837293795537</v>
          </cell>
          <cell r="AI20">
            <v>6276.5261554080662</v>
          </cell>
          <cell r="AJ20">
            <v>7215.8262406146559</v>
          </cell>
          <cell r="AK20">
            <v>8270.7642901849867</v>
          </cell>
          <cell r="AL20">
            <v>9445.6246065451887</v>
          </cell>
          <cell r="AM20">
            <v>10746.591231356313</v>
          </cell>
        </row>
        <row r="21">
          <cell r="Z21">
            <v>280.52999999999997</v>
          </cell>
          <cell r="AA21">
            <v>161.40600000000001</v>
          </cell>
          <cell r="AB21">
            <v>183.26717983437499</v>
          </cell>
          <cell r="AC21">
            <v>217.33129316568841</v>
          </cell>
          <cell r="AD21">
            <v>33.625424270730029</v>
          </cell>
          <cell r="AE21">
            <v>31.504627832060713</v>
          </cell>
          <cell r="AF21">
            <v>29.478619369561468</v>
          </cell>
          <cell r="AG21">
            <v>27.542371437172235</v>
          </cell>
          <cell r="AH21">
            <v>25.691100587126343</v>
          </cell>
          <cell r="AI21">
            <v>23.920254981261152</v>
          </cell>
          <cell r="AJ21">
            <v>22.225502616930591</v>
          </cell>
          <cell r="AK21">
            <v>20.60272013666571</v>
          </cell>
          <cell r="AL21">
            <v>19.047982192268968</v>
          </cell>
          <cell r="AM21">
            <v>17.557551335490437</v>
          </cell>
        </row>
        <row r="22">
          <cell r="Z22">
            <v>1367.2</v>
          </cell>
          <cell r="AA22">
            <v>305.2</v>
          </cell>
          <cell r="AB22">
            <v>683.47952369203335</v>
          </cell>
          <cell r="AC22">
            <v>1321.0380021181072</v>
          </cell>
          <cell r="AD22">
            <v>1440.7169749723305</v>
          </cell>
          <cell r="AE22">
            <v>1475.4245337251646</v>
          </cell>
          <cell r="AF22">
            <v>1510.1614043854297</v>
          </cell>
          <cell r="AG22">
            <v>1544.9282774141959</v>
          </cell>
          <cell r="AH22">
            <v>1579.722749964322</v>
          </cell>
          <cell r="AI22">
            <v>1614.545528583554</v>
          </cell>
          <cell r="AJ22">
            <v>1649.3973379072613</v>
          </cell>
          <cell r="AK22">
            <v>1684.2789211214788</v>
          </cell>
          <cell r="AL22">
            <v>1719.1910404378034</v>
          </cell>
          <cell r="AM22">
            <v>1754.1344775804484</v>
          </cell>
        </row>
        <row r="23">
          <cell r="Z23">
            <v>26382.929602665194</v>
          </cell>
          <cell r="AA23">
            <v>29972.705674252975</v>
          </cell>
          <cell r="AB23">
            <v>31241.425944749324</v>
          </cell>
          <cell r="AC23">
            <v>31503.168864647439</v>
          </cell>
          <cell r="AD23">
            <v>34479.527079153486</v>
          </cell>
          <cell r="AE23">
            <v>37986.405084029888</v>
          </cell>
          <cell r="AF23">
            <v>41769.488111822837</v>
          </cell>
          <cell r="AG23">
            <v>79060.118477917422</v>
          </cell>
          <cell r="AH23">
            <v>49595.993750097223</v>
          </cell>
          <cell r="AI23">
            <v>53512.997876743815</v>
          </cell>
          <cell r="AJ23">
            <v>56881.804668364945</v>
          </cell>
          <cell r="AK23">
            <v>59580.903648890424</v>
          </cell>
          <cell r="AL23">
            <v>60241.031858515402</v>
          </cell>
          <cell r="AM23">
            <v>58624.580869250196</v>
          </cell>
        </row>
        <row r="25">
          <cell r="B25" t="str">
            <v>Consumption</v>
          </cell>
          <cell r="Z25">
            <v>19695.302499999998</v>
          </cell>
          <cell r="AA25">
            <v>18363.442499999997</v>
          </cell>
          <cell r="AB25">
            <v>20314.679666999997</v>
          </cell>
          <cell r="AC25">
            <v>21512.9</v>
          </cell>
          <cell r="AD25">
            <v>20335.305268335673</v>
          </cell>
          <cell r="AE25">
            <v>25621.901528693124</v>
          </cell>
          <cell r="AF25">
            <v>28496.575055144629</v>
          </cell>
          <cell r="AG25">
            <v>33611.317449235808</v>
          </cell>
          <cell r="AH25">
            <v>40138.38136610105</v>
          </cell>
          <cell r="AI25">
            <v>47487.757089295956</v>
          </cell>
          <cell r="AJ25">
            <v>57679.316087341584</v>
          </cell>
          <cell r="AK25">
            <v>71489.317445689492</v>
          </cell>
          <cell r="AL25">
            <v>89115.859075862012</v>
          </cell>
          <cell r="AM25">
            <v>115056.535266355</v>
          </cell>
        </row>
        <row r="26">
          <cell r="B26" t="str">
            <v>Savings</v>
          </cell>
          <cell r="Z26">
            <v>6687.6271026651957</v>
          </cell>
          <cell r="AA26">
            <v>11609.263174252977</v>
          </cell>
          <cell r="AB26">
            <v>10926.746277749327</v>
          </cell>
          <cell r="AC26">
            <v>9990.268864647438</v>
          </cell>
          <cell r="AD26">
            <v>14144.221810817813</v>
          </cell>
          <cell r="AE26">
            <v>12364.503555336763</v>
          </cell>
          <cell r="AF26">
            <v>13272.913056678208</v>
          </cell>
          <cell r="AG26">
            <v>45448.801028681613</v>
          </cell>
          <cell r="AH26">
            <v>9457.6123839961729</v>
          </cell>
          <cell r="AI26">
            <v>6025.2407874478595</v>
          </cell>
          <cell r="AJ26">
            <v>-797.51141897663911</v>
          </cell>
          <cell r="AK26">
            <v>-11908.413796799068</v>
          </cell>
          <cell r="AL26">
            <v>-28874.82721734661</v>
          </cell>
          <cell r="AM26">
            <v>-56431.954397104804</v>
          </cell>
        </row>
        <row r="27">
          <cell r="Z27">
            <v>7235.0292200550011</v>
          </cell>
          <cell r="AA27">
            <v>10392.197064725002</v>
          </cell>
          <cell r="AB27">
            <v>12522.670595472906</v>
          </cell>
          <cell r="AC27">
            <v>10847.174673351647</v>
          </cell>
          <cell r="AD27">
            <v>12116.654780063178</v>
          </cell>
          <cell r="AE27">
            <v>9555.6056876207713</v>
          </cell>
          <cell r="AF27">
            <v>9828.3070588399078</v>
          </cell>
          <cell r="AG27">
            <v>41153.332859807975</v>
          </cell>
          <cell r="AH27">
            <v>-1333.4189273813026</v>
          </cell>
          <cell r="AI27">
            <v>-9193.0228056396081</v>
          </cell>
          <cell r="AJ27">
            <v>-22659.182165702921</v>
          </cell>
          <cell r="AK27">
            <v>-45139.785192157913</v>
          </cell>
          <cell r="AL27">
            <v>-76429.657888080255</v>
          </cell>
          <cell r="AM27">
            <v>-126804.53623637484</v>
          </cell>
        </row>
        <row r="28">
          <cell r="B28" t="str">
            <v>Private Investment</v>
          </cell>
          <cell r="Z28">
            <v>5310.7749999999996</v>
          </cell>
          <cell r="AA28">
            <v>8762.25</v>
          </cell>
          <cell r="AB28">
            <v>8205.1</v>
          </cell>
          <cell r="AC28">
            <v>9653.0499999999993</v>
          </cell>
          <cell r="AD28">
            <v>11066.744392072495</v>
          </cell>
          <cell r="AE28">
            <v>11984.296293314499</v>
          </cell>
          <cell r="AF28">
            <v>13574.800909885151</v>
          </cell>
          <cell r="AG28">
            <v>15567.686751509469</v>
          </cell>
          <cell r="AH28">
            <v>17435.245653507951</v>
          </cell>
          <cell r="AI28">
            <v>19560.286725044389</v>
          </cell>
          <cell r="AJ28">
            <v>21969.384304657895</v>
          </cell>
          <cell r="AK28">
            <v>24687.034221474212</v>
          </cell>
          <cell r="AL28">
            <v>27281.180391793296</v>
          </cell>
          <cell r="AM28">
            <v>30269.911913191816</v>
          </cell>
        </row>
        <row r="29">
          <cell r="Z29">
            <v>983.44907431000161</v>
          </cell>
          <cell r="AA29">
            <v>958.03562113250268</v>
          </cell>
          <cell r="AB29">
            <v>2084.2955954729041</v>
          </cell>
          <cell r="AC29">
            <v>-380.67532664835085</v>
          </cell>
          <cell r="AD29">
            <v>-377.20186220233859</v>
          </cell>
          <cell r="AE29">
            <v>-506.57931051199103</v>
          </cell>
          <cell r="AF29">
            <v>-491.48286465544379</v>
          </cell>
          <cell r="AG29">
            <v>-546.82924736181076</v>
          </cell>
          <cell r="AH29">
            <v>-582.23086919129491</v>
          </cell>
          <cell r="AI29">
            <v>-719.13814604020854</v>
          </cell>
          <cell r="AJ29">
            <v>-899.84484376204909</v>
          </cell>
          <cell r="AK29">
            <v>-1155.3958036051172</v>
          </cell>
          <cell r="AL29">
            <v>-1521.2582953418978</v>
          </cell>
          <cell r="AM29">
            <v>-2080.1582144813401</v>
          </cell>
        </row>
        <row r="30">
          <cell r="Z30">
            <v>17.305145745000001</v>
          </cell>
          <cell r="AA30">
            <v>14.111443592500001</v>
          </cell>
          <cell r="AB30">
            <v>30.974999999999998</v>
          </cell>
          <cell r="AC30">
            <v>33.5</v>
          </cell>
          <cell r="AD30">
            <v>35.1</v>
          </cell>
          <cell r="AE30">
            <v>33</v>
          </cell>
          <cell r="AF30">
            <v>32</v>
          </cell>
          <cell r="AG30">
            <v>32</v>
          </cell>
          <cell r="AH30">
            <v>32</v>
          </cell>
          <cell r="AI30">
            <v>32</v>
          </cell>
          <cell r="AJ30">
            <v>32</v>
          </cell>
          <cell r="AK30">
            <v>32</v>
          </cell>
          <cell r="AL30">
            <v>32</v>
          </cell>
          <cell r="AM30">
            <v>32</v>
          </cell>
        </row>
        <row r="31">
          <cell r="Z31">
            <v>923.49999999999977</v>
          </cell>
          <cell r="AA31">
            <v>657.80000000000007</v>
          </cell>
          <cell r="AB31">
            <v>2202.3000000000006</v>
          </cell>
          <cell r="AC31">
            <v>1541.2999999999981</v>
          </cell>
          <cell r="AD31">
            <v>1392.0122501930234</v>
          </cell>
          <cell r="AE31">
            <v>-1955.1112951817465</v>
          </cell>
          <cell r="AF31">
            <v>-3287.0109863897928</v>
          </cell>
          <cell r="AG31">
            <v>26100.475355661099</v>
          </cell>
          <cell r="AH31">
            <v>-18218.433711698075</v>
          </cell>
          <cell r="AI31">
            <v>-28066.171384643807</v>
          </cell>
          <cell r="AJ31">
            <v>-43760.721626599021</v>
          </cell>
          <cell r="AK31">
            <v>-68703.42361002737</v>
          </cell>
          <cell r="AL31">
            <v>-102221.57998453244</v>
          </cell>
          <cell r="AM31">
            <v>-155026.28993508677</v>
          </cell>
        </row>
        <row r="32">
          <cell r="Z32">
            <v>38.299999999999955</v>
          </cell>
          <cell r="AA32">
            <v>38.800000000000068</v>
          </cell>
          <cell r="AB32">
            <v>48.100000000000023</v>
          </cell>
          <cell r="AC32">
            <v>47.299999999999955</v>
          </cell>
          <cell r="AD32">
            <v>42.718600813683501</v>
          </cell>
          <cell r="AE32">
            <v>-59.999198249592581</v>
          </cell>
          <cell r="AF32">
            <v>-100.87304201403852</v>
          </cell>
          <cell r="AG32">
            <v>800.98130430327092</v>
          </cell>
          <cell r="AH32">
            <v>-559.09421563825231</v>
          </cell>
          <cell r="AI32">
            <v>-861.30533088532104</v>
          </cell>
          <cell r="AJ32">
            <v>-1342.9456516823373</v>
          </cell>
          <cell r="AK32">
            <v>-2108.3967668553087</v>
          </cell>
          <cell r="AL32">
            <v>-3137.0146845313047</v>
          </cell>
          <cell r="AM32">
            <v>-4757.505686063193</v>
          </cell>
        </row>
        <row r="33">
          <cell r="Z33">
            <v>494.59999999999945</v>
          </cell>
          <cell r="AA33">
            <v>686.20000000000073</v>
          </cell>
          <cell r="AB33">
            <v>1441</v>
          </cell>
          <cell r="AC33">
            <v>-208.30000000000109</v>
          </cell>
          <cell r="AD33">
            <v>-188.1244090801338</v>
          </cell>
          <cell r="AE33">
            <v>264.22479905687572</v>
          </cell>
          <cell r="AF33">
            <v>444.22525690326376</v>
          </cell>
          <cell r="AG33">
            <v>-3527.3658707478321</v>
          </cell>
          <cell r="AH33">
            <v>2462.1421800728726</v>
          </cell>
          <cell r="AI33">
            <v>3793.0211506005708</v>
          </cell>
          <cell r="AJ33">
            <v>5914.071442820642</v>
          </cell>
          <cell r="AK33">
            <v>9284.9692713726872</v>
          </cell>
          <cell r="AL33">
            <v>13814.802511370117</v>
          </cell>
          <cell r="AM33">
            <v>20951.129691476555</v>
          </cell>
        </row>
        <row r="34">
          <cell r="Z34">
            <v>390.60000000000036</v>
          </cell>
          <cell r="AA34">
            <v>-67.200000000000728</v>
          </cell>
          <cell r="AB34">
            <v>713.20000000000073</v>
          </cell>
          <cell r="AC34">
            <v>1702.2999999999993</v>
          </cell>
          <cell r="AD34">
            <v>1537.4180584594812</v>
          </cell>
          <cell r="AE34">
            <v>-2159.3368959890267</v>
          </cell>
          <cell r="AF34">
            <v>-3630.3632012790108</v>
          </cell>
          <cell r="AG34">
            <v>28826.859922102674</v>
          </cell>
          <cell r="AH34">
            <v>-20121.481676133222</v>
          </cell>
          <cell r="AI34">
            <v>-30997.887204359293</v>
          </cell>
          <cell r="AJ34">
            <v>-48331.847417737634</v>
          </cell>
          <cell r="AK34">
            <v>-75879.996114545138</v>
          </cell>
          <cell r="AL34">
            <v>-112899.36781137166</v>
          </cell>
          <cell r="AM34">
            <v>-171219.91394050058</v>
          </cell>
        </row>
        <row r="35"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Z36">
            <v>375.23971374999974</v>
          </cell>
          <cell r="AA36">
            <v>-2042.3182417500011</v>
          </cell>
          <cell r="AB36">
            <v>246.52535530245041</v>
          </cell>
          <cell r="AC36">
            <v>645.56594285731444</v>
          </cell>
          <cell r="AD36">
            <v>2027.5670307546266</v>
          </cell>
          <cell r="AE36">
            <v>2808.8978677160007</v>
          </cell>
          <cell r="AF36">
            <v>3444.605997838285</v>
          </cell>
          <cell r="AG36">
            <v>4295.4681688758483</v>
          </cell>
          <cell r="AH36">
            <v>10791.031311377867</v>
          </cell>
          <cell r="AI36">
            <v>15218.263593087742</v>
          </cell>
          <cell r="AJ36">
            <v>21861.670746726762</v>
          </cell>
          <cell r="AK36">
            <v>33231.371395359449</v>
          </cell>
          <cell r="AL36">
            <v>47554.830670734591</v>
          </cell>
          <cell r="AM36">
            <v>70372.581839271472</v>
          </cell>
        </row>
        <row r="37">
          <cell r="Z37">
            <v>-2485.1702862500006</v>
          </cell>
          <cell r="AA37">
            <v>-4311.5932417499998</v>
          </cell>
          <cell r="AB37">
            <v>-4057.2996446975512</v>
          </cell>
          <cell r="AC37">
            <v>-3714.4340571426865</v>
          </cell>
          <cell r="AD37">
            <v>-2380.6525166909682</v>
          </cell>
          <cell r="AE37">
            <v>-2281.2274074475149</v>
          </cell>
          <cell r="AF37">
            <v>-2244.4600882383033</v>
          </cell>
          <cell r="AG37">
            <v>-2191.4658670162357</v>
          </cell>
          <cell r="AH37">
            <v>3544.3033936324532</v>
          </cell>
          <cell r="AI37">
            <v>7103.201946678405</v>
          </cell>
          <cell r="AJ37">
            <v>12759.349025743575</v>
          </cell>
          <cell r="AK37">
            <v>23013.801305973004</v>
          </cell>
          <cell r="AL37">
            <v>36272.104099026459</v>
          </cell>
          <cell r="AM37">
            <v>57862.169778050062</v>
          </cell>
        </row>
        <row r="38">
          <cell r="Z38">
            <v>865.7</v>
          </cell>
          <cell r="AA38">
            <v>909.09999999999991</v>
          </cell>
          <cell r="AB38">
            <v>909.09999999999991</v>
          </cell>
          <cell r="AC38">
            <v>909.09999999999991</v>
          </cell>
          <cell r="AD38">
            <v>868.67189439094773</v>
          </cell>
          <cell r="AE38">
            <v>968.27429286727261</v>
          </cell>
          <cell r="AF38">
            <v>1005.2199827736763</v>
          </cell>
          <cell r="AG38">
            <v>1005.2199827736763</v>
          </cell>
          <cell r="AH38">
            <v>1005.2199827736763</v>
          </cell>
          <cell r="AI38">
            <v>1005.2199827736763</v>
          </cell>
          <cell r="AJ38">
            <v>1005.2199827736763</v>
          </cell>
          <cell r="AK38">
            <v>1005.2199827736763</v>
          </cell>
          <cell r="AL38">
            <v>1005.2199827736763</v>
          </cell>
          <cell r="AM38">
            <v>1005.2199827736763</v>
          </cell>
        </row>
        <row r="39">
          <cell r="Z39">
            <v>-3148.8</v>
          </cell>
          <cell r="AA39">
            <v>-3363.5</v>
          </cell>
          <cell r="AB39">
            <v>-3363.5</v>
          </cell>
          <cell r="AC39">
            <v>-3363.5</v>
          </cell>
          <cell r="AD39">
            <v>-2616.0230770555208</v>
          </cell>
          <cell r="AE39">
            <v>-2616.0230770555208</v>
          </cell>
          <cell r="AF39">
            <v>-2616.0230770555208</v>
          </cell>
          <cell r="AG39">
            <v>-2563.0288558334514</v>
          </cell>
          <cell r="AH39">
            <v>3172.7404048152348</v>
          </cell>
          <cell r="AI39">
            <v>6731.638957861187</v>
          </cell>
          <cell r="AJ39">
            <v>12387.786036926353</v>
          </cell>
          <cell r="AK39">
            <v>22642.238317155792</v>
          </cell>
          <cell r="AL39">
            <v>35900.54111020924</v>
          </cell>
          <cell r="AM39">
            <v>57490.606789232872</v>
          </cell>
        </row>
        <row r="40">
          <cell r="Z40">
            <v>1855</v>
          </cell>
          <cell r="AA40">
            <v>1046</v>
          </cell>
          <cell r="AB40">
            <v>1316</v>
          </cell>
          <cell r="AC40">
            <v>2144</v>
          </cell>
          <cell r="AD40">
            <v>599.30266414796665</v>
          </cell>
          <cell r="AE40">
            <v>599.06627850413781</v>
          </cell>
          <cell r="AF40">
            <v>598.82845090788169</v>
          </cell>
          <cell r="AG40">
            <v>598.82845090788169</v>
          </cell>
          <cell r="AH40">
            <v>598.82845090788169</v>
          </cell>
          <cell r="AI40">
            <v>598.82845090788169</v>
          </cell>
          <cell r="AJ40">
            <v>598.82845090788169</v>
          </cell>
          <cell r="AK40">
            <v>598.82845090788169</v>
          </cell>
          <cell r="AL40">
            <v>598.82845090788169</v>
          </cell>
          <cell r="AM40">
            <v>598.82845090788169</v>
          </cell>
        </row>
        <row r="41">
          <cell r="Z41">
            <v>-1550.0000000000002</v>
          </cell>
          <cell r="AA41">
            <v>-1550.0000000000002</v>
          </cell>
          <cell r="AB41">
            <v>-1550.0000000000002</v>
          </cell>
          <cell r="AC41">
            <v>-1550.0000000000002</v>
          </cell>
          <cell r="AD41">
            <v>-1266.4208818533725</v>
          </cell>
          <cell r="AE41">
            <v>-1266.3617854424153</v>
          </cell>
          <cell r="AF41">
            <v>-1266.3023285433512</v>
          </cell>
          <cell r="AG41">
            <v>-1266.3023285433512</v>
          </cell>
          <cell r="AH41">
            <v>-1266.3023285433512</v>
          </cell>
          <cell r="AI41">
            <v>-1266.3023285433512</v>
          </cell>
          <cell r="AJ41">
            <v>-1266.3023285433512</v>
          </cell>
          <cell r="AK41">
            <v>-1266.3023285433512</v>
          </cell>
          <cell r="AL41">
            <v>-1266.3023285433512</v>
          </cell>
          <cell r="AM41">
            <v>-1266.3023285433512</v>
          </cell>
        </row>
        <row r="42"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33.816883679010395</v>
          </cell>
          <cell r="AE42">
            <v>33.816883679010395</v>
          </cell>
          <cell r="AF42">
            <v>33.816883679010395</v>
          </cell>
          <cell r="AG42">
            <v>33.816883679010395</v>
          </cell>
          <cell r="AH42">
            <v>33.816883679010395</v>
          </cell>
          <cell r="AI42">
            <v>33.816883679010395</v>
          </cell>
          <cell r="AJ42">
            <v>33.816883679010395</v>
          </cell>
          <cell r="AK42">
            <v>33.816883679010395</v>
          </cell>
          <cell r="AL42">
            <v>33.816883679010395</v>
          </cell>
          <cell r="AM42">
            <v>33.816883679010395</v>
          </cell>
        </row>
        <row r="43">
          <cell r="Z43">
            <v>-507.07028624999998</v>
          </cell>
          <cell r="AA43">
            <v>-1353.1932417499993</v>
          </cell>
          <cell r="AB43">
            <v>-1368.8996446975507</v>
          </cell>
          <cell r="AC43">
            <v>-1854.0340571426864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Z44">
            <v>2860.4100000000003</v>
          </cell>
          <cell r="AA44">
            <v>2269.2749999999987</v>
          </cell>
          <cell r="AB44">
            <v>4303.8250000000016</v>
          </cell>
          <cell r="AC44">
            <v>4360.0000000000009</v>
          </cell>
          <cell r="AD44">
            <v>4408.2195474455948</v>
          </cell>
          <cell r="AE44">
            <v>5090.1252751635157</v>
          </cell>
          <cell r="AF44">
            <v>5689.0660860765893</v>
          </cell>
          <cell r="AG44">
            <v>6486.9340358920836</v>
          </cell>
          <cell r="AH44">
            <v>7246.7279177454157</v>
          </cell>
          <cell r="AI44">
            <v>8115.0616464093391</v>
          </cell>
          <cell r="AJ44">
            <v>9102.3217209831982</v>
          </cell>
          <cell r="AK44">
            <v>10217.570089386447</v>
          </cell>
          <cell r="AL44">
            <v>11282.726571708128</v>
          </cell>
          <cell r="AM44">
            <v>12510.412061221425</v>
          </cell>
        </row>
        <row r="45">
          <cell r="Z45">
            <v>2203.5</v>
          </cell>
          <cell r="AA45">
            <v>1858.5999999999985</v>
          </cell>
          <cell r="AB45">
            <v>3621.4000000000015</v>
          </cell>
          <cell r="AC45">
            <v>3966.7000000000007</v>
          </cell>
          <cell r="AD45">
            <v>4547.625359863875</v>
          </cell>
          <cell r="AE45">
            <v>4924.6723166968613</v>
          </cell>
          <cell r="AF45">
            <v>5578.2537922461233</v>
          </cell>
          <cell r="AG45">
            <v>6397.1846242599622</v>
          </cell>
          <cell r="AH45">
            <v>7164.615218378648</v>
          </cell>
          <cell r="AI45">
            <v>8037.8522179242418</v>
          </cell>
          <cell r="AJ45">
            <v>9027.8157392002013</v>
          </cell>
          <cell r="AK45">
            <v>10144.571782630546</v>
          </cell>
          <cell r="AL45">
            <v>11210.576787660531</v>
          </cell>
          <cell r="AM45">
            <v>12438.727613143827</v>
          </cell>
        </row>
        <row r="46">
          <cell r="Z46">
            <v>15.400000000000006</v>
          </cell>
          <cell r="AA46">
            <v>-71.700000000000017</v>
          </cell>
          <cell r="AB46">
            <v>204.29999999999998</v>
          </cell>
          <cell r="AC46">
            <v>0</v>
          </cell>
          <cell r="AD46">
            <v>-339.3884690853792</v>
          </cell>
          <cell r="AE46">
            <v>45.58926343757939</v>
          </cell>
          <cell r="AF46">
            <v>32.190377070892453</v>
          </cell>
          <cell r="AG46">
            <v>19.579543646140451</v>
          </cell>
          <cell r="AH46">
            <v>11.874467850148022</v>
          </cell>
          <cell r="AI46">
            <v>6.8934080911132867</v>
          </cell>
          <cell r="AJ46">
            <v>4.1017743893889644</v>
          </cell>
          <cell r="AK46">
            <v>2.494617550420088</v>
          </cell>
          <cell r="AL46">
            <v>1.5511339865298055</v>
          </cell>
          <cell r="AM46">
            <v>0.97639303942460742</v>
          </cell>
        </row>
        <row r="47">
          <cell r="Z47">
            <v>-1.1999999999999993</v>
          </cell>
          <cell r="AA47">
            <v>-14</v>
          </cell>
          <cell r="AB47">
            <v>11.7</v>
          </cell>
          <cell r="AC47">
            <v>18.400000000000002</v>
          </cell>
          <cell r="AD47">
            <v>-10.14234333290138</v>
          </cell>
          <cell r="AE47">
            <v>0.43869502907487856</v>
          </cell>
          <cell r="AF47">
            <v>0.496916759573935</v>
          </cell>
          <cell r="AG47">
            <v>0.56986798598196131</v>
          </cell>
          <cell r="AH47">
            <v>0.63823151661900113</v>
          </cell>
          <cell r="AI47">
            <v>0.71602039398368689</v>
          </cell>
          <cell r="AJ47">
            <v>0.80420739360938143</v>
          </cell>
          <cell r="AK47">
            <v>0.90368920548166187</v>
          </cell>
          <cell r="AL47">
            <v>0.99865006106794851</v>
          </cell>
          <cell r="AM47">
            <v>1.1080550381802325</v>
          </cell>
        </row>
        <row r="48">
          <cell r="Z48">
            <v>642.71</v>
          </cell>
          <cell r="AA48">
            <v>496.375</v>
          </cell>
          <cell r="AB48">
            <v>466.42500000000001</v>
          </cell>
          <cell r="AC48">
            <v>374.9</v>
          </cell>
          <cell r="AD48">
            <v>210.125</v>
          </cell>
          <cell r="AE48">
            <v>119.42499999999998</v>
          </cell>
          <cell r="AF48">
            <v>78.125</v>
          </cell>
          <cell r="AG48">
            <v>69.599999999999994</v>
          </cell>
          <cell r="AH48">
            <v>69.599999999999994</v>
          </cell>
          <cell r="AI48">
            <v>69.599999999999994</v>
          </cell>
          <cell r="AJ48">
            <v>69.599999999999994</v>
          </cell>
          <cell r="AK48">
            <v>69.599999999999994</v>
          </cell>
          <cell r="AL48">
            <v>69.599999999999994</v>
          </cell>
          <cell r="AM48">
            <v>69.599999999999994</v>
          </cell>
        </row>
      </sheetData>
      <sheetData sheetId="28" refreshError="1"/>
      <sheetData sheetId="29" refreshError="1"/>
      <sheetData sheetId="30" refreshError="1">
        <row r="4">
          <cell r="E4">
            <v>3.0000000000000027E-2</v>
          </cell>
          <cell r="F4">
            <v>3.0000000000000027E-2</v>
          </cell>
          <cell r="G4">
            <v>3.0000000000000027E-2</v>
          </cell>
          <cell r="H4">
            <v>3.0000000000000027E-2</v>
          </cell>
          <cell r="I4">
            <v>3.0000000000000027E-2</v>
          </cell>
          <cell r="J4">
            <v>3.0000000000000027E-2</v>
          </cell>
          <cell r="K4">
            <v>3.0000000000000027E-2</v>
          </cell>
          <cell r="L4">
            <v>3.0000000000000027E-2</v>
          </cell>
          <cell r="M4">
            <v>3.0000000000000027E-2</v>
          </cell>
          <cell r="N4">
            <v>3.0000000000000027E-2</v>
          </cell>
          <cell r="O4">
            <v>3.0000000000000027E-2</v>
          </cell>
          <cell r="P4">
            <v>2.6434580477216585E-2</v>
          </cell>
          <cell r="Q4">
            <v>2.6434580477216585E-2</v>
          </cell>
          <cell r="R4">
            <v>2.6434580477216585E-2</v>
          </cell>
          <cell r="S4">
            <v>2.6434580477216585E-2</v>
          </cell>
          <cell r="T4">
            <v>2.6434580477216585E-2</v>
          </cell>
          <cell r="U4">
            <v>2.6434580477216585E-2</v>
          </cell>
          <cell r="V4">
            <v>2.6434580477216585E-2</v>
          </cell>
          <cell r="W4">
            <v>2.6434580477216585E-2</v>
          </cell>
          <cell r="X4">
            <v>2.6434580477216585E-2</v>
          </cell>
          <cell r="Y4">
            <v>2.6434580470180213E-2</v>
          </cell>
          <cell r="Z4">
            <v>1.6999999999999904E-2</v>
          </cell>
          <cell r="AA4">
            <v>1.6999999999999904E-2</v>
          </cell>
          <cell r="AB4">
            <v>1.6999999999999904E-2</v>
          </cell>
          <cell r="AC4">
            <v>1.8000000000000016E-2</v>
          </cell>
          <cell r="AD4">
            <v>1.8000000000000016E-2</v>
          </cell>
          <cell r="AE4">
            <v>1.8000000000000016E-2</v>
          </cell>
          <cell r="AF4">
            <v>1.8999999999999906E-2</v>
          </cell>
          <cell r="AG4">
            <v>1.8999999999999906E-2</v>
          </cell>
          <cell r="AH4">
            <v>1.8999999999999906E-2</v>
          </cell>
          <cell r="AI4">
            <v>1.8999999999999906E-2</v>
          </cell>
          <cell r="AJ4">
            <v>1.8999999999999906E-2</v>
          </cell>
          <cell r="AK4">
            <v>1.8999999999999906E-2</v>
          </cell>
          <cell r="AL4">
            <v>1.8999999999999906E-2</v>
          </cell>
          <cell r="AM4">
            <v>1.8999999999999906E-2</v>
          </cell>
        </row>
        <row r="7">
          <cell r="E7">
            <v>1.3956153650381165E-2</v>
          </cell>
          <cell r="F7">
            <v>-9.2827950946682281E-3</v>
          </cell>
          <cell r="G7">
            <v>-2.3281324663215974E-2</v>
          </cell>
          <cell r="H7">
            <v>-8.1032828094940168E-4</v>
          </cell>
          <cell r="I7">
            <v>-6.6292705868986612E-3</v>
          </cell>
          <cell r="J7">
            <v>5.1881026000692776E-2</v>
          </cell>
          <cell r="K7">
            <v>3.5505166724535631E-2</v>
          </cell>
          <cell r="L7">
            <v>4.0599504177589729E-3</v>
          </cell>
          <cell r="M7">
            <v>1.6032777251593355E-2</v>
          </cell>
          <cell r="N7">
            <v>-1.2707596590383119E-2</v>
          </cell>
          <cell r="O7">
            <v>7.5645816028848678E-2</v>
          </cell>
          <cell r="P7">
            <v>7.0012539445103883E-2</v>
          </cell>
          <cell r="Q7">
            <v>0.52471751121085486</v>
          </cell>
          <cell r="R7">
            <v>7.3162152655645407E-2</v>
          </cell>
          <cell r="S7">
            <v>4.1134054408390686E-2</v>
          </cell>
          <cell r="T7">
            <v>3.1874704863843917E-2</v>
          </cell>
          <cell r="U7">
            <v>4.2254595377926973E-2</v>
          </cell>
          <cell r="V7">
            <v>3.2930845225027428E-2</v>
          </cell>
          <cell r="W7">
            <v>3.3652143110166399E-2</v>
          </cell>
          <cell r="X7">
            <v>3.4955448937628475E-2</v>
          </cell>
          <cell r="Y7">
            <v>2.3973509933774784E-2</v>
          </cell>
          <cell r="Z7">
            <v>6.6744276290259918E-2</v>
          </cell>
          <cell r="AA7">
            <v>6.6744276290259918E-2</v>
          </cell>
          <cell r="AB7">
            <v>3.4861161634533788E-2</v>
          </cell>
          <cell r="AC7">
            <v>6.5850372019450543E-2</v>
          </cell>
          <cell r="AD7">
            <v>4.1554444016929537E-2</v>
          </cell>
          <cell r="AE7">
            <v>3.0806541140937949E-2</v>
          </cell>
          <cell r="AF7">
            <v>6.2411052053453764E-2</v>
          </cell>
          <cell r="AG7">
            <v>3.938129101951815E-2</v>
          </cell>
          <cell r="AH7">
            <v>6.1624426590981107E-2</v>
          </cell>
          <cell r="AI7">
            <v>6.826697353551725E-2</v>
          </cell>
          <cell r="AJ7">
            <v>7.5095600639914162E-2</v>
          </cell>
          <cell r="AK7">
            <v>8.3064385661106188E-2</v>
          </cell>
          <cell r="AL7">
            <v>8.3438213800176131E-2</v>
          </cell>
          <cell r="AM7">
            <v>6.5288938279307374E-2</v>
          </cell>
        </row>
        <row r="8">
          <cell r="E8">
            <v>3.9884935339351557E-3</v>
          </cell>
          <cell r="F8">
            <v>-2.2820153113860542E-3</v>
          </cell>
          <cell r="G8">
            <v>-9.2689229435782838E-3</v>
          </cell>
          <cell r="H8">
            <v>-2.9604154766882385E-3</v>
          </cell>
          <cell r="I8">
            <v>8.4855058879851342E-3</v>
          </cell>
          <cell r="J8">
            <v>3.4555948261267844E-2</v>
          </cell>
          <cell r="K8">
            <v>3.7014359136246844E-2</v>
          </cell>
          <cell r="L8">
            <v>1.5716374576372427E-2</v>
          </cell>
          <cell r="M8">
            <v>9.6085070918361382E-3</v>
          </cell>
          <cell r="N8">
            <v>-1.7448150947402596E-2</v>
          </cell>
          <cell r="O8">
            <v>8.5782077021354208E-2</v>
          </cell>
          <cell r="P8">
            <v>6.9087241553202228E-2</v>
          </cell>
          <cell r="Q8">
            <v>0.59449685534591201</v>
          </cell>
          <cell r="R8">
            <v>7.4943299477369107E-2</v>
          </cell>
          <cell r="S8">
            <v>3.2107146133382169E-2</v>
          </cell>
          <cell r="T8">
            <v>2.6131010576837532E-2</v>
          </cell>
          <cell r="U8">
            <v>3.3521004763967133E-2</v>
          </cell>
          <cell r="V8">
            <v>3.3858531679517245E-2</v>
          </cell>
          <cell r="W8">
            <v>3.145265888456561E-2</v>
          </cell>
          <cell r="X8">
            <v>3.8274127632819788E-2</v>
          </cell>
          <cell r="Y8">
            <v>2.0967375671788746E-2</v>
          </cell>
          <cell r="Z8">
            <v>7.0507117437722311E-2</v>
          </cell>
          <cell r="AA8">
            <v>7.0507117437722311E-2</v>
          </cell>
          <cell r="AB8">
            <v>3.7883509938361426E-2</v>
          </cell>
          <cell r="AC8">
            <v>7.3468570665954802E-2</v>
          </cell>
          <cell r="AD8">
            <v>4.525393174613046E-2</v>
          </cell>
          <cell r="AE8">
            <v>3.6432911018659198E-2</v>
          </cell>
          <cell r="AF8">
            <v>3.6746235499263813E-2</v>
          </cell>
          <cell r="AG8">
            <v>4.0243576180632123E-2</v>
          </cell>
          <cell r="AH8">
            <v>4.5245711731821903E-2</v>
          </cell>
          <cell r="AI8">
            <v>3.9206064916911698E-2</v>
          </cell>
          <cell r="AJ8">
            <v>4.0962106532936193E-2</v>
          </cell>
          <cell r="AK8">
            <v>4.2340166422001557E-2</v>
          </cell>
          <cell r="AL8">
            <v>4.3695248227877848E-2</v>
          </cell>
          <cell r="AM8">
            <v>4.03129781135243E-2</v>
          </cell>
        </row>
        <row r="9">
          <cell r="E9">
            <v>0.1816541660292661</v>
          </cell>
          <cell r="F9">
            <v>-7.8111210322005742E-2</v>
          </cell>
          <cell r="G9">
            <v>3.7854990814148115E-2</v>
          </cell>
          <cell r="H9">
            <v>-7.629548598665048E-3</v>
          </cell>
          <cell r="I9">
            <v>-0.1077151580800022</v>
          </cell>
          <cell r="J9">
            <v>2.0691314417676798E-2</v>
          </cell>
          <cell r="K9">
            <v>0.20040973664587147</v>
          </cell>
          <cell r="L9">
            <v>9.5246535850412872E-3</v>
          </cell>
          <cell r="M9">
            <v>-7.5975226802005302E-4</v>
          </cell>
          <cell r="N9">
            <v>8.3521927712082666E-2</v>
          </cell>
          <cell r="O9">
            <v>-9.489119105172239E-2</v>
          </cell>
          <cell r="P9">
            <v>6.7665172180805255E-2</v>
          </cell>
          <cell r="Q9">
            <v>0.64239636118365295</v>
          </cell>
          <cell r="R9">
            <v>0.10754620123203296</v>
          </cell>
          <cell r="S9">
            <v>4.2023947470065659E-2</v>
          </cell>
          <cell r="T9">
            <v>9.971087552820812E-2</v>
          </cell>
          <cell r="U9">
            <v>6.7817176756100883E-2</v>
          </cell>
          <cell r="V9">
            <v>7.2222222222222188E-2</v>
          </cell>
          <cell r="W9">
            <v>1.91945360339143E-2</v>
          </cell>
          <cell r="X9">
            <v>4.7949162333911222E-3</v>
          </cell>
          <cell r="Y9">
            <v>7.8134881849019733E-2</v>
          </cell>
          <cell r="Z9">
            <v>3.2583191126279942E-2</v>
          </cell>
          <cell r="AA9">
            <v>3.2583191126279942E-2</v>
          </cell>
          <cell r="AB9">
            <v>-5.3813975107163126E-2</v>
          </cell>
          <cell r="AC9">
            <v>7.8489165438567765E-2</v>
          </cell>
          <cell r="AD9">
            <v>4.7320208512576567E-2</v>
          </cell>
          <cell r="AE9">
            <v>3.7441908075872554E-3</v>
          </cell>
          <cell r="AF9">
            <v>8.5486590573667476E-2</v>
          </cell>
          <cell r="AG9">
            <v>4.438490572367515E-2</v>
          </cell>
          <cell r="AH9">
            <v>8.5779262298947501E-2</v>
          </cell>
          <cell r="AI9">
            <v>8.3642831463392575E-2</v>
          </cell>
          <cell r="AJ9">
            <v>9.0593016655571512E-2</v>
          </cell>
          <cell r="AK9">
            <v>0.1058297181586858</v>
          </cell>
          <cell r="AL9">
            <v>0.1270456419709054</v>
          </cell>
          <cell r="AM9">
            <v>0.11879098787048825</v>
          </cell>
        </row>
        <row r="10">
          <cell r="E10">
            <v>0.32369236786970701</v>
          </cell>
          <cell r="F10">
            <v>1.8595340006690053E-2</v>
          </cell>
          <cell r="G10">
            <v>6.1632831165136848E-2</v>
          </cell>
          <cell r="H10">
            <v>3.1468400469642166E-2</v>
          </cell>
          <cell r="I10">
            <v>-7.0266774150389621E-2</v>
          </cell>
          <cell r="J10">
            <v>6.5109128828757745E-2</v>
          </cell>
          <cell r="K10">
            <v>0.12315133327002603</v>
          </cell>
          <cell r="L10">
            <v>-3.7121383054402712E-2</v>
          </cell>
          <cell r="M10">
            <v>1.9974597984704134E-2</v>
          </cell>
          <cell r="N10">
            <v>-1.3704453372872627E-2</v>
          </cell>
          <cell r="O10">
            <v>-1.2928204525613385E-2</v>
          </cell>
          <cell r="P10">
            <v>5.6516961819221834E-3</v>
          </cell>
          <cell r="Q10">
            <v>0.83630336305844022</v>
          </cell>
          <cell r="R10">
            <v>-2.6779628006621925E-2</v>
          </cell>
          <cell r="S10">
            <v>7.384430658395047E-2</v>
          </cell>
          <cell r="T10">
            <v>7.8736489004845422E-2</v>
          </cell>
          <cell r="U10">
            <v>0.11272350349831561</v>
          </cell>
          <cell r="V10">
            <v>1.2265176214873552E-2</v>
          </cell>
          <cell r="W10">
            <v>3.8420245398772979E-2</v>
          </cell>
          <cell r="X10">
            <v>2.0456391699283705E-2</v>
          </cell>
          <cell r="Y10">
            <v>3.0829353017802763E-2</v>
          </cell>
          <cell r="Z10">
            <v>3.3979219320415588E-2</v>
          </cell>
          <cell r="AA10">
            <v>3.3979219320415588E-2</v>
          </cell>
          <cell r="AB10">
            <v>-0.16472026072786528</v>
          </cell>
          <cell r="AC10">
            <v>0.1561534709803285</v>
          </cell>
          <cell r="AD10">
            <v>2.2147226323560476E-2</v>
          </cell>
          <cell r="AE10">
            <v>-1.0929124072971086E-2</v>
          </cell>
          <cell r="AF10">
            <v>0.12066051573739744</v>
          </cell>
          <cell r="AG10">
            <v>3.2997247924798634E-2</v>
          </cell>
          <cell r="AH10">
            <v>8.2038786925056062E-2</v>
          </cell>
          <cell r="AI10">
            <v>9.009353368184847E-2</v>
          </cell>
          <cell r="AJ10">
            <v>9.6964535423302856E-2</v>
          </cell>
          <cell r="AK10">
            <v>0.11500273456972465</v>
          </cell>
          <cell r="AL10">
            <v>0.14411342013421091</v>
          </cell>
          <cell r="AM10">
            <v>0.13862095547309328</v>
          </cell>
        </row>
        <row r="11">
          <cell r="E11">
            <v>0.35827011283152532</v>
          </cell>
          <cell r="F11">
            <v>1.3048389314051612E-2</v>
          </cell>
          <cell r="G11">
            <v>8.4139770159402216E-2</v>
          </cell>
          <cell r="H11">
            <v>3.678469041146859E-2</v>
          </cell>
          <cell r="I11">
            <v>-0.13950318114984461</v>
          </cell>
          <cell r="J11">
            <v>8.8850821951184988E-2</v>
          </cell>
          <cell r="K11">
            <v>0.18365818287852687</v>
          </cell>
          <cell r="L11">
            <v>-6.8909138401519354E-2</v>
          </cell>
          <cell r="M11">
            <v>4.0425047299286643E-2</v>
          </cell>
          <cell r="N11">
            <v>-4.6425725392070016E-2</v>
          </cell>
          <cell r="O11">
            <v>-7.7447545923886363E-2</v>
          </cell>
          <cell r="P11">
            <v>-3.1026675186499264E-2</v>
          </cell>
          <cell r="Q11">
            <v>0.95315745574050559</v>
          </cell>
          <cell r="R11">
            <v>-5.0106286061342264E-2</v>
          </cell>
          <cell r="S11">
            <v>0.14182120181505753</v>
          </cell>
          <cell r="T11">
            <v>6.9263669695370567E-2</v>
          </cell>
          <cell r="U11">
            <v>0.15003927729772193</v>
          </cell>
          <cell r="V11">
            <v>3.6429872495447047E-3</v>
          </cell>
          <cell r="W11">
            <v>3.5390199637023612E-2</v>
          </cell>
          <cell r="X11">
            <v>2.4211218229623244E-2</v>
          </cell>
          <cell r="Y11">
            <v>3.1447213605733326E-2</v>
          </cell>
          <cell r="Z11">
            <v>4.2103079954371125E-2</v>
          </cell>
          <cell r="AA11">
            <v>4.2103079954371125E-2</v>
          </cell>
          <cell r="AB11">
            <v>-0.24151656881281724</v>
          </cell>
          <cell r="AC11">
            <v>0.23891367095250593</v>
          </cell>
          <cell r="AD11">
            <v>1.461399978820288E-2</v>
          </cell>
          <cell r="AE11">
            <v>0.10957874451260863</v>
          </cell>
          <cell r="AF11">
            <v>0.16865956134161797</v>
          </cell>
          <cell r="AG11">
            <v>3.8172102228601013E-2</v>
          </cell>
          <cell r="AH11">
            <v>9.7737997786432107E-2</v>
          </cell>
          <cell r="AI11">
            <v>0.10559468587958198</v>
          </cell>
          <cell r="AJ11">
            <v>0.11335815143416061</v>
          </cell>
          <cell r="AK11">
            <v>0.13390295819150944</v>
          </cell>
          <cell r="AL11">
            <v>0.16772533304039627</v>
          </cell>
          <cell r="AM11">
            <v>0.15929749764020551</v>
          </cell>
        </row>
        <row r="12">
          <cell r="E12">
            <v>-7.6172742350405165E-2</v>
          </cell>
          <cell r="F12">
            <v>-0.32963279452993433</v>
          </cell>
          <cell r="G12">
            <v>-5.6113164124062198E-2</v>
          </cell>
          <cell r="H12">
            <v>-0.18141630634057004</v>
          </cell>
          <cell r="I12">
            <v>-0.31745871249183111</v>
          </cell>
          <cell r="J12">
            <v>-0.31818573126834471</v>
          </cell>
          <cell r="K12">
            <v>1.1211957570145228</v>
          </cell>
          <cell r="L12">
            <v>0.30388903918479326</v>
          </cell>
          <cell r="M12">
            <v>-9.7385274421347479E-2</v>
          </cell>
          <cell r="N12">
            <v>0.59552490421473037</v>
          </cell>
          <cell r="O12">
            <v>-0.36170581185263917</v>
          </cell>
          <cell r="P12">
            <v>0.37984567610534792</v>
          </cell>
          <cell r="Q12">
            <v>-6.9030513588900999E-2</v>
          </cell>
          <cell r="R12">
            <v>1.0796335447498238</v>
          </cell>
          <cell r="S12">
            <v>-6.574042697390714E-2</v>
          </cell>
          <cell r="T12">
            <v>0.18135654697134562</v>
          </cell>
          <cell r="U12">
            <v>-9.1802272029474996E-2</v>
          </cell>
          <cell r="V12">
            <v>0.33333333333333326</v>
          </cell>
          <cell r="W12">
            <v>-4.4371196754563913E-2</v>
          </cell>
          <cell r="X12">
            <v>-5.1472539135049122E-2</v>
          </cell>
          <cell r="Y12">
            <v>0.26097902097902104</v>
          </cell>
          <cell r="Z12">
            <v>2.8172138420585524E-2</v>
          </cell>
          <cell r="AA12">
            <v>2.8172138420585524E-2</v>
          </cell>
          <cell r="AB12">
            <v>0.29859762675296664</v>
          </cell>
          <cell r="AC12">
            <v>-8.0245888021265976E-2</v>
          </cell>
          <cell r="AD12">
            <v>0.11199421965317913</v>
          </cell>
          <cell r="AE12">
            <v>3.8396668347153273E-2</v>
          </cell>
          <cell r="AF12">
            <v>6.3657274272268527E-3</v>
          </cell>
          <cell r="AG12">
            <v>7.2909719762083158E-2</v>
          </cell>
          <cell r="AH12">
            <v>9.4800189921949496E-2</v>
          </cell>
          <cell r="AI12">
            <v>6.826697353551725E-2</v>
          </cell>
          <cell r="AJ12">
            <v>7.5095600639914162E-2</v>
          </cell>
          <cell r="AK12">
            <v>8.3064385661105966E-2</v>
          </cell>
          <cell r="AL12">
            <v>8.3438213800176353E-2</v>
          </cell>
          <cell r="AM12">
            <v>6.5288938279307374E-2</v>
          </cell>
        </row>
        <row r="13">
          <cell r="E13">
            <v>-9.2944968430424102E-2</v>
          </cell>
          <cell r="F13">
            <v>-0.17154695647910689</v>
          </cell>
          <cell r="G13">
            <v>-0.24526445102645444</v>
          </cell>
          <cell r="H13">
            <v>-0.14229211956325383</v>
          </cell>
          <cell r="I13">
            <v>7.2560846038292048E-3</v>
          </cell>
          <cell r="J13">
            <v>-6.677957684758129E-2</v>
          </cell>
          <cell r="K13">
            <v>4.7551564854771078E-2</v>
          </cell>
          <cell r="L13">
            <v>0.12756076154304097</v>
          </cell>
          <cell r="M13">
            <v>9.4378331365803092E-2</v>
          </cell>
          <cell r="N13">
            <v>0.20806082480116039</v>
          </cell>
          <cell r="O13">
            <v>-0.22645050540432166</v>
          </cell>
          <cell r="P13">
            <v>0.39753109597973935</v>
          </cell>
          <cell r="Q13">
            <v>0.39074425248143685</v>
          </cell>
          <cell r="R13">
            <v>0.40381640020629184</v>
          </cell>
          <cell r="S13">
            <v>3.4900808229243241E-2</v>
          </cell>
          <cell r="T13">
            <v>0.1735889243876465</v>
          </cell>
          <cell r="U13">
            <v>-0.1330913490623109</v>
          </cell>
          <cell r="V13">
            <v>0.2435450104675505</v>
          </cell>
          <cell r="W13">
            <v>4.1806958473625144E-2</v>
          </cell>
          <cell r="X13">
            <v>-8.9954214920549447E-2</v>
          </cell>
          <cell r="Y13">
            <v>0.27108612015389166</v>
          </cell>
          <cell r="Z13">
            <v>0.1189755529685681</v>
          </cell>
          <cell r="AA13">
            <v>0.1189755529685681</v>
          </cell>
          <cell r="AB13">
            <v>0.2415730337078652</v>
          </cell>
          <cell r="AC13">
            <v>-8.5805262275850502E-2</v>
          </cell>
          <cell r="AD13">
            <v>7.5893675527039406E-2</v>
          </cell>
          <cell r="AE13">
            <v>6.4053929697620138E-2</v>
          </cell>
          <cell r="AF13">
            <v>5.6126852760574053E-5</v>
          </cell>
          <cell r="AG13">
            <v>6.862621546936043E-2</v>
          </cell>
          <cell r="AH13">
            <v>0.10115548725168999</v>
          </cell>
          <cell r="AI13">
            <v>6.6590365269159291E-2</v>
          </cell>
          <cell r="AJ13">
            <v>7.452049687518203E-2</v>
          </cell>
          <cell r="AK13">
            <v>8.4018641915303949E-2</v>
          </cell>
          <cell r="AL13">
            <v>8.2995505673879588E-2</v>
          </cell>
          <cell r="AM13">
            <v>6.526653431284446E-2</v>
          </cell>
        </row>
        <row r="14">
          <cell r="E14">
            <v>0</v>
          </cell>
          <cell r="F14">
            <v>-0.12574110671936756</v>
          </cell>
          <cell r="G14">
            <v>-1.6106244701893146E-2</v>
          </cell>
          <cell r="H14">
            <v>1.2349224583572571E-2</v>
          </cell>
          <cell r="I14">
            <v>3.0921985815602904E-2</v>
          </cell>
          <cell r="J14">
            <v>6.1640066042927932E-2</v>
          </cell>
          <cell r="K14">
            <v>0.13037843442198027</v>
          </cell>
          <cell r="L14">
            <v>-3.6459527631277244E-2</v>
          </cell>
          <cell r="M14">
            <v>-1.499286054259874E-2</v>
          </cell>
          <cell r="N14">
            <v>-1.6187484899734206E-2</v>
          </cell>
          <cell r="O14">
            <v>3.5363457760314354E-2</v>
          </cell>
          <cell r="P14">
            <v>5.3842504743833119E-2</v>
          </cell>
          <cell r="Q14">
            <v>0.40625703353589926</v>
          </cell>
          <cell r="R14">
            <v>3.7291933418694079E-2</v>
          </cell>
          <cell r="S14">
            <v>9.1035334053386929E-2</v>
          </cell>
          <cell r="T14">
            <v>0.15740347899872709</v>
          </cell>
          <cell r="U14">
            <v>3.396871945259039E-2</v>
          </cell>
          <cell r="V14">
            <v>7.6813991964074679E-2</v>
          </cell>
          <cell r="W14">
            <v>1.4047410008779737E-2</v>
          </cell>
          <cell r="X14">
            <v>-5.2164502164502191E-2</v>
          </cell>
          <cell r="Y14">
            <v>9.8538479104818499E-2</v>
          </cell>
          <cell r="Z14">
            <v>4.8227834944392534E-2</v>
          </cell>
          <cell r="AA14">
            <v>4.4620723847297317E-3</v>
          </cell>
          <cell r="AB14">
            <v>-4.9358341559723184E-3</v>
          </cell>
          <cell r="AC14">
            <v>3.7202380952380931E-2</v>
          </cell>
          <cell r="AD14">
            <v>7.6178922982527819E-2</v>
          </cell>
          <cell r="AE14">
            <v>8.9266766583518287E-2</v>
          </cell>
          <cell r="AF14">
            <v>5.1869227056268841E-2</v>
          </cell>
          <cell r="AG14">
            <v>9.0332605705797819E-2</v>
          </cell>
          <cell r="AH14">
            <v>7.6509702793279732E-2</v>
          </cell>
          <cell r="AI14">
            <v>8.2058362903839166E-2</v>
          </cell>
          <cell r="AJ14">
            <v>9.8743975592668232E-2</v>
          </cell>
          <cell r="AK14">
            <v>0.13937763919512292</v>
          </cell>
          <cell r="AL14">
            <v>0.15287776989825375</v>
          </cell>
          <cell r="AM14">
            <v>0.2052386286484924</v>
          </cell>
        </row>
        <row r="15">
          <cell r="E15">
            <v>-9.6755881102572827E-2</v>
          </cell>
          <cell r="F15">
            <v>-1.5941030252876076E-2</v>
          </cell>
          <cell r="G15">
            <v>-0.11659044210833591</v>
          </cell>
          <cell r="H15">
            <v>2.6546261333392662E-2</v>
          </cell>
          <cell r="I15">
            <v>0.22166930300635035</v>
          </cell>
          <cell r="J15">
            <v>0.10308766899414645</v>
          </cell>
          <cell r="K15">
            <v>-8.9991130203238012E-2</v>
          </cell>
          <cell r="L15">
            <v>-4.8566159660914376E-2</v>
          </cell>
          <cell r="M15">
            <v>1.1848768614185934E-2</v>
          </cell>
          <cell r="N15">
            <v>-0.18383418027669829</v>
          </cell>
          <cell r="O15">
            <v>0.41813048933500618</v>
          </cell>
          <cell r="P15">
            <v>5.8394160583941535E-2</v>
          </cell>
          <cell r="Q15">
            <v>0.23970741901776393</v>
          </cell>
          <cell r="R15">
            <v>-3.2366824005394479E-2</v>
          </cell>
          <cell r="S15">
            <v>9.547038327526125E-2</v>
          </cell>
          <cell r="T15">
            <v>2.7512722646310328E-2</v>
          </cell>
          <cell r="U15">
            <v>-2.6930815663209984E-2</v>
          </cell>
          <cell r="V15">
            <v>-6.9985684746302068E-3</v>
          </cell>
          <cell r="W15">
            <v>4.4369694057344145E-2</v>
          </cell>
          <cell r="X15">
            <v>-8.4355828220858964E-3</v>
          </cell>
          <cell r="Y15">
            <v>-2.072699149265278E-2</v>
          </cell>
          <cell r="Z15">
            <v>0.13978834307376409</v>
          </cell>
          <cell r="AA15">
            <v>0.23032150776053206</v>
          </cell>
          <cell r="AB15">
            <v>-4.1000225275963031E-2</v>
          </cell>
          <cell r="AC15">
            <v>2.3020906741836988E-2</v>
          </cell>
          <cell r="AD15">
            <v>0.14956618866701965</v>
          </cell>
          <cell r="AE15">
            <v>4.471881991753901E-2</v>
          </cell>
          <cell r="AF15">
            <v>4.3227454242568797E-2</v>
          </cell>
          <cell r="AG15">
            <v>4.3415873631164059E-2</v>
          </cell>
          <cell r="AH15">
            <v>4.3916323841157734E-2</v>
          </cell>
          <cell r="AI15">
            <v>4.7836015149749445E-2</v>
          </cell>
          <cell r="AJ15">
            <v>4.8447020713682232E-2</v>
          </cell>
          <cell r="AK15">
            <v>4.8919461443774681E-2</v>
          </cell>
          <cell r="AL15">
            <v>4.9262547428191139E-2</v>
          </cell>
          <cell r="AM15">
            <v>4.9908402119834383E-2</v>
          </cell>
        </row>
        <row r="17">
          <cell r="E17">
            <v>-1.5576549853999033E-2</v>
          </cell>
          <cell r="F17">
            <v>-3.8138636014241167E-2</v>
          </cell>
          <cell r="G17">
            <v>-5.1729441420598099E-2</v>
          </cell>
          <cell r="H17">
            <v>-2.9912940078591577E-2</v>
          </cell>
          <cell r="I17">
            <v>-3.556239862805699E-2</v>
          </cell>
          <cell r="J17">
            <v>2.1243714563779381E-2</v>
          </cell>
          <cell r="K17">
            <v>5.3448220626561849E-3</v>
          </cell>
          <cell r="L17">
            <v>-2.5184514157515658E-2</v>
          </cell>
          <cell r="M17">
            <v>-1.3560410435346393E-2</v>
          </cell>
          <cell r="N17">
            <v>-4.1463686010080658E-2</v>
          </cell>
          <cell r="O17">
            <v>4.4316326241600645E-2</v>
          </cell>
          <cell r="P17">
            <v>4.2455661370670583E-2</v>
          </cell>
          <cell r="Q17">
            <v>0.48545025685121956</v>
          </cell>
          <cell r="R17">
            <v>4.5524160104488898E-2</v>
          </cell>
          <cell r="S17">
            <v>1.4320906768690467E-2</v>
          </cell>
          <cell r="T17">
            <v>5.3000205664328615E-3</v>
          </cell>
          <cell r="U17">
            <v>1.5412589561582202E-2</v>
          </cell>
          <cell r="V17">
            <v>6.3289613107060383E-3</v>
          </cell>
          <cell r="W17">
            <v>7.0316830416938814E-3</v>
          </cell>
          <cell r="X17">
            <v>8.3014238047693922E-3</v>
          </cell>
          <cell r="Y17">
            <v>-2.3976886430289168E-3</v>
          </cell>
          <cell r="Z17">
            <v>4.8912759380786541E-2</v>
          </cell>
          <cell r="AA17">
            <v>1.7562597477417841E-2</v>
          </cell>
          <cell r="AB17">
            <v>4.8033797462586625E-2</v>
          </cell>
          <cell r="AC17">
            <v>2.3137960723899287E-2</v>
          </cell>
          <cell r="AD17">
            <v>2.3137960723899287E-2</v>
          </cell>
          <cell r="AE17">
            <v>1.2580099352591301E-2</v>
          </cell>
          <cell r="AF17">
            <v>4.3625787871762078E-2</v>
          </cell>
          <cell r="AG17">
            <v>2.0001266947515584E-2</v>
          </cell>
          <cell r="AH17">
            <v>4.1829662994093519E-2</v>
          </cell>
          <cell r="AI17">
            <v>4.8348354794423232E-2</v>
          </cell>
          <cell r="AJ17">
            <v>5.5049657153988685E-2</v>
          </cell>
          <cell r="AK17">
            <v>6.2869858352410324E-2</v>
          </cell>
          <cell r="AL17">
            <v>6.3236716192518472E-2</v>
          </cell>
          <cell r="AM17">
            <v>4.5425847182833712E-2</v>
          </cell>
        </row>
        <row r="18">
          <cell r="E18">
            <v>0.28513822123272514</v>
          </cell>
          <cell r="F18">
            <v>-1.1072485430398293E-2</v>
          </cell>
          <cell r="G18">
            <v>3.0711486568094193E-2</v>
          </cell>
          <cell r="H18">
            <v>1.4256315239242756E-3</v>
          </cell>
          <cell r="I18">
            <v>-9.7346382670281062E-2</v>
          </cell>
          <cell r="J18">
            <v>3.4086532843454087E-2</v>
          </cell>
          <cell r="K18">
            <v>9.0438187640802026E-2</v>
          </cell>
          <cell r="L18">
            <v>-6.5166391314954275E-2</v>
          </cell>
          <cell r="M18">
            <v>-9.7334000148503463E-3</v>
          </cell>
          <cell r="N18">
            <v>-4.2431508129002427E-2</v>
          </cell>
          <cell r="O18">
            <v>-4.1677868471469259E-2</v>
          </cell>
          <cell r="P18">
            <v>-2.0247646260740604E-2</v>
          </cell>
          <cell r="Q18">
            <v>0.7890115921510501</v>
          </cell>
          <cell r="R18">
            <v>-5.1843740941675764E-2</v>
          </cell>
          <cell r="S18">
            <v>4.618874598388123E-2</v>
          </cell>
          <cell r="T18">
            <v>5.0954936166815568E-2</v>
          </cell>
          <cell r="U18">
            <v>8.4066656231497117E-2</v>
          </cell>
          <cell r="V18">
            <v>-1.3804488402714754E-2</v>
          </cell>
          <cell r="W18">
            <v>1.1676988625991092E-2</v>
          </cell>
          <cell r="X18">
            <v>-5.8242277604808601E-3</v>
          </cell>
          <cell r="Y18">
            <v>4.2815904990356479E-3</v>
          </cell>
          <cell r="Z18">
            <v>1.6695397561864E-2</v>
          </cell>
          <cell r="AA18">
            <v>-0.17868265558295504</v>
          </cell>
          <cell r="AB18">
            <v>0.13682740509373503</v>
          </cell>
          <cell r="AC18">
            <v>4.0738961921027439E-3</v>
          </cell>
          <cell r="AD18">
            <v>4.0738961921027439E-3</v>
          </cell>
          <cell r="AE18">
            <v>-2.8417607144372359E-2</v>
          </cell>
          <cell r="AF18">
            <v>0.10084530033143158</v>
          </cell>
          <cell r="AG18">
            <v>1.3736259003727991E-2</v>
          </cell>
          <cell r="AH18">
            <v>6.1863382654618659E-2</v>
          </cell>
          <cell r="AI18">
            <v>6.9767942769232816E-2</v>
          </cell>
          <cell r="AJ18">
            <v>7.651082965976741E-2</v>
          </cell>
          <cell r="AK18">
            <v>9.4212693395215652E-2</v>
          </cell>
          <cell r="AL18">
            <v>0.12278058894426991</v>
          </cell>
          <cell r="AM18">
            <v>0.11739053530234878</v>
          </cell>
        </row>
        <row r="19">
          <cell r="E19">
            <v>0.31870884740924765</v>
          </cell>
          <cell r="F19">
            <v>-1.6457874452377119E-2</v>
          </cell>
          <cell r="G19">
            <v>5.2562883649904801E-2</v>
          </cell>
          <cell r="H19">
            <v>6.5870780693868536E-3</v>
          </cell>
          <cell r="I19">
            <v>-0.16456619529111127</v>
          </cell>
          <cell r="J19">
            <v>5.7136720340956071E-2</v>
          </cell>
          <cell r="K19">
            <v>0.14918270182381277</v>
          </cell>
          <cell r="L19">
            <v>-9.6028289710213044E-2</v>
          </cell>
          <cell r="M19">
            <v>1.0121405144938311E-2</v>
          </cell>
          <cell r="N19">
            <v>-7.4199733390359124E-2</v>
          </cell>
          <cell r="O19">
            <v>-0.10431800575134609</v>
          </cell>
          <cell r="P19">
            <v>-5.5981410561012579E-2</v>
          </cell>
          <cell r="Q19">
            <v>0.90285624908742967</v>
          </cell>
          <cell r="R19">
            <v>-7.456964914702402E-2</v>
          </cell>
          <cell r="S19">
            <v>0.11241497854076088</v>
          </cell>
          <cell r="T19">
            <v>4.1726077855094745E-2</v>
          </cell>
          <cell r="U19">
            <v>0</v>
          </cell>
          <cell r="V19">
            <v>0</v>
          </cell>
          <cell r="W19">
            <v>8.724978026016128E-3</v>
          </cell>
          <cell r="X19">
            <v>-2.1661022435153221E-3</v>
          </cell>
          <cell r="Y19">
            <v>4.8835388352337361E-3</v>
          </cell>
          <cell r="Z19">
            <v>2.4683461115408978E-2</v>
          </cell>
          <cell r="AA19">
            <v>-0.25419524957012496</v>
          </cell>
          <cell r="AB19">
            <v>0.21820419955998638</v>
          </cell>
          <cell r="AC19">
            <v>-3.3261298740638878E-3</v>
          </cell>
          <cell r="AD19">
            <v>-3.3261298740638878E-3</v>
          </cell>
          <cell r="AE19">
            <v>8.9959473980951499E-2</v>
          </cell>
          <cell r="AF19">
            <v>0.14799563982477215</v>
          </cell>
          <cell r="AG19">
            <v>1.8814624365653954E-2</v>
          </cell>
          <cell r="AH19">
            <v>7.7269870251650996E-2</v>
          </cell>
          <cell r="AI19">
            <v>8.4980064651208886E-2</v>
          </cell>
          <cell r="AJ19">
            <v>9.2598774714583554E-2</v>
          </cell>
          <cell r="AK19">
            <v>0.11276050852944963</v>
          </cell>
          <cell r="AL19">
            <v>0.14595224047143907</v>
          </cell>
          <cell r="AM19">
            <v>0.13768154822395062</v>
          </cell>
        </row>
        <row r="22">
          <cell r="N22">
            <v>0.10669621655849296</v>
          </cell>
          <cell r="O22">
            <v>9.5932678821879377E-2</v>
          </cell>
          <cell r="P22">
            <v>0.1435480009576251</v>
          </cell>
          <cell r="Q22">
            <v>0.13218662653192861</v>
          </cell>
          <cell r="R22">
            <v>0.11238416904823764</v>
          </cell>
          <cell r="S22">
            <v>0.10872028962694791</v>
          </cell>
          <cell r="T22">
            <v>9.5909938715694115E-2</v>
          </cell>
          <cell r="U22">
            <v>1.9986866455733988E-2</v>
          </cell>
          <cell r="V22">
            <v>2.9327230146902278E-2</v>
          </cell>
          <cell r="W22">
            <v>4.0064784374395673E-2</v>
          </cell>
          <cell r="X22">
            <v>4.2211903756859431E-2</v>
          </cell>
          <cell r="Y22">
            <v>0.16275037486666263</v>
          </cell>
          <cell r="Z22">
            <v>0.11743000906407174</v>
          </cell>
          <cell r="AA22">
            <v>0.19797632523510153</v>
          </cell>
          <cell r="AB22">
            <v>0.16976766264418572</v>
          </cell>
          <cell r="AC22">
            <v>0.16406879129927385</v>
          </cell>
          <cell r="AD22">
            <v>9.8776463977478801E-2</v>
          </cell>
          <cell r="AE22">
            <v>3.8066558519125354E-2</v>
          </cell>
          <cell r="AF22">
            <v>-1.2238453571340829E-2</v>
          </cell>
          <cell r="AG22">
            <v>-5.3643116073980424E-2</v>
          </cell>
          <cell r="AH22">
            <v>-8.7125588248979743E-2</v>
          </cell>
          <cell r="AI22">
            <v>-0.11273036879309596</v>
          </cell>
          <cell r="AJ22">
            <v>-0.13124004122209415</v>
          </cell>
          <cell r="AK22">
            <v>-0.14410038678000864</v>
          </cell>
          <cell r="AL22">
            <v>-0.15479630713414946</v>
          </cell>
          <cell r="AM22">
            <v>-0.16151172614880013</v>
          </cell>
        </row>
        <row r="23">
          <cell r="N23">
            <v>0</v>
          </cell>
          <cell r="O23">
            <v>5.2542075736325383E-2</v>
          </cell>
          <cell r="P23">
            <v>5.6748264304524787E-2</v>
          </cell>
          <cell r="Q23">
            <v>4.7735510427864981E-2</v>
          </cell>
          <cell r="R23">
            <v>4.1156910084870532E-2</v>
          </cell>
          <cell r="S23">
            <v>4.3686335786242723E-2</v>
          </cell>
          <cell r="T23">
            <v>3.8910319777511325E-2</v>
          </cell>
          <cell r="U23">
            <v>3.9628688615605034E-2</v>
          </cell>
          <cell r="V23">
            <v>4.5376206927412455E-2</v>
          </cell>
          <cell r="W23">
            <v>3.7319162395839794E-2</v>
          </cell>
          <cell r="X23">
            <v>3.9735552128636151E-2</v>
          </cell>
          <cell r="Y23">
            <v>4.0021296237703202E-2</v>
          </cell>
          <cell r="Z23">
            <v>4.4104373960145646E-2</v>
          </cell>
          <cell r="AA23">
            <v>4.7541953744054913E-2</v>
          </cell>
          <cell r="AB23">
            <v>4.6481127158888358E-2</v>
          </cell>
          <cell r="AC23">
            <v>4.837895727437759E-2</v>
          </cell>
          <cell r="AD23">
            <v>5.1642612123322419E-2</v>
          </cell>
          <cell r="AE23">
            <v>4.9987341195900613E-2</v>
          </cell>
          <cell r="AF23">
            <v>4.7667287909354095E-2</v>
          </cell>
          <cell r="AG23">
            <v>4.3715240612869723E-2</v>
          </cell>
          <cell r="AH23">
            <v>3.8640747100452004E-2</v>
          </cell>
          <cell r="AI23">
            <v>3.3677848392220586E-2</v>
          </cell>
          <cell r="AJ23">
            <v>2.9228467441142363E-2</v>
          </cell>
          <cell r="AK23">
            <v>2.5540133540197452E-2</v>
          </cell>
          <cell r="AL23">
            <v>2.2624480536810855E-2</v>
          </cell>
          <cell r="AM23">
            <v>2.0093849551427942E-2</v>
          </cell>
        </row>
        <row r="24">
          <cell r="Q24">
            <v>8.3169825674006857E-6</v>
          </cell>
          <cell r="R24">
            <v>4.087022274319627E-5</v>
          </cell>
          <cell r="S24">
            <v>1.5792976482427849E-4</v>
          </cell>
          <cell r="T24">
            <v>1.4279891778819775E-2</v>
          </cell>
          <cell r="U24">
            <v>5.2274094367180798E-3</v>
          </cell>
          <cell r="V24">
            <v>1.091903971771842E-3</v>
          </cell>
          <cell r="W24">
            <v>2.6866977981458068E-2</v>
          </cell>
          <cell r="X24">
            <v>9.745957792207792E-3</v>
          </cell>
          <cell r="Y24">
            <v>2.8332978525873898E-3</v>
          </cell>
          <cell r="Z24">
            <v>3.1410221740733914E-3</v>
          </cell>
          <cell r="AA24">
            <v>5.1292161846093025E-3</v>
          </cell>
          <cell r="AB24">
            <v>5.7344625205531467E-3</v>
          </cell>
          <cell r="AC24">
            <v>8.2899487250879256E-3</v>
          </cell>
          <cell r="AD24">
            <v>8.87384020296445E-3</v>
          </cell>
          <cell r="AE24">
            <v>9.4097526047812446E-3</v>
          </cell>
          <cell r="AF24">
            <v>9.848041703739879E-3</v>
          </cell>
          <cell r="AG24">
            <v>9.9289389512061971E-3</v>
          </cell>
          <cell r="AH24">
            <v>9.1860370802726524E-3</v>
          </cell>
          <cell r="AI24">
            <v>8.1879568814638651E-3</v>
          </cell>
          <cell r="AJ24">
            <v>7.311040021145767E-3</v>
          </cell>
          <cell r="AK24">
            <v>6.0444272613002789E-3</v>
          </cell>
          <cell r="AL24">
            <v>5.3681647943957245E-3</v>
          </cell>
          <cell r="AM24">
            <v>4.416492912117217E-3</v>
          </cell>
        </row>
        <row r="25">
          <cell r="Q25">
            <v>4.3158460546119117E-6</v>
          </cell>
          <cell r="R25">
            <v>1.9814150861695681E-5</v>
          </cell>
          <cell r="S25">
            <v>7.8168857232803392E-5</v>
          </cell>
          <cell r="T25">
            <v>7.2021050826005855E-3</v>
          </cell>
          <cell r="U25">
            <v>2.472881410065071E-3</v>
          </cell>
          <cell r="V25">
            <v>4.9823785128805633E-4</v>
          </cell>
          <cell r="W25">
            <v>1.2329402194933281E-2</v>
          </cell>
          <cell r="X25">
            <v>4.4348427606585054E-3</v>
          </cell>
          <cell r="Y25">
            <v>1.2676006970780511E-3</v>
          </cell>
          <cell r="Z25">
            <v>1.5528530980308741E-3</v>
          </cell>
          <cell r="AA25">
            <v>2.3004326945806983E-3</v>
          </cell>
          <cell r="AB25">
            <v>2.5752933824342251E-3</v>
          </cell>
          <cell r="AC25">
            <v>3.6677003436203317E-3</v>
          </cell>
          <cell r="AD25">
            <v>4.4891583992536033E-3</v>
          </cell>
          <cell r="AE25">
            <v>4.5942435443137039E-3</v>
          </cell>
          <cell r="AF25">
            <v>4.740748941664887E-3</v>
          </cell>
          <cell r="AG25">
            <v>4.6052425517947087E-3</v>
          </cell>
          <cell r="AH25">
            <v>4.0962773679834039E-3</v>
          </cell>
          <cell r="AI25">
            <v>3.5214937668480179E-3</v>
          </cell>
          <cell r="AJ25">
            <v>3.0287343349016519E-3</v>
          </cell>
          <cell r="AK25">
            <v>2.4175872041811448E-3</v>
          </cell>
          <cell r="AL25">
            <v>2.1072288109823686E-3</v>
          </cell>
          <cell r="AM25">
            <v>1.6998796511555054E-3</v>
          </cell>
        </row>
        <row r="26">
          <cell r="Q26">
            <v>8.3169825674006857E-6</v>
          </cell>
          <cell r="R26">
            <v>4.087022274319627E-5</v>
          </cell>
          <cell r="S26">
            <v>1.5792976482427849E-4</v>
          </cell>
          <cell r="T26">
            <v>4.7959989544791633E-3</v>
          </cell>
          <cell r="U26">
            <v>2.1046580756408375E-3</v>
          </cell>
          <cell r="V26">
            <v>8.2357829814534006E-4</v>
          </cell>
          <cell r="W26">
            <v>9.0911975874420571E-4</v>
          </cell>
          <cell r="X26">
            <v>1.1124801484230058E-3</v>
          </cell>
          <cell r="Y26">
            <v>1.850491139904739E-3</v>
          </cell>
          <cell r="Z26">
            <v>1.6608777890466534E-3</v>
          </cell>
          <cell r="AA26">
            <v>2.7757820694426141E-3</v>
          </cell>
          <cell r="AB26">
            <v>3.4269778271685068E-3</v>
          </cell>
          <cell r="AC26">
            <v>4.0249384818288395E-3</v>
          </cell>
          <cell r="AD26">
            <v>3.7010836199767938E-3</v>
          </cell>
          <cell r="AE26">
            <v>3.9287176404721944E-3</v>
          </cell>
          <cell r="AF26">
            <v>4.5487049852514635E-3</v>
          </cell>
          <cell r="AG26">
            <v>4.5598739910174537E-3</v>
          </cell>
          <cell r="AH26">
            <v>4.1820875592317921E-3</v>
          </cell>
          <cell r="AI26">
            <v>3.5739526371061673E-3</v>
          </cell>
          <cell r="AJ26">
            <v>2.9752070154118039E-3</v>
          </cell>
          <cell r="AK26">
            <v>2.4429814283176239E-3</v>
          </cell>
          <cell r="AL26">
            <v>1.9745420745886397E-3</v>
          </cell>
          <cell r="AM26">
            <v>1.568716110193457E-3</v>
          </cell>
        </row>
        <row r="27">
          <cell r="Q27">
            <v>4.3158460546119117E-6</v>
          </cell>
          <cell r="R27">
            <v>1.9814150861695681E-5</v>
          </cell>
          <cell r="S27">
            <v>7.8168857232803392E-5</v>
          </cell>
          <cell r="T27">
            <v>2.4188760658140152E-3</v>
          </cell>
          <cell r="U27">
            <v>9.9563079816130371E-4</v>
          </cell>
          <cell r="V27">
            <v>3.7580033798169046E-4</v>
          </cell>
          <cell r="W27">
            <v>4.1719999758267265E-4</v>
          </cell>
          <cell r="X27">
            <v>5.0622777543267211E-4</v>
          </cell>
          <cell r="Y27">
            <v>8.2789878823996829E-4</v>
          </cell>
          <cell r="Z27">
            <v>8.2110188252096762E-4</v>
          </cell>
          <cell r="AA27">
            <v>1.2449270211571421E-3</v>
          </cell>
          <cell r="AB27">
            <v>1.5390236292283884E-3</v>
          </cell>
          <cell r="AC27">
            <v>1.7807430108921164E-3</v>
          </cell>
          <cell r="AD27">
            <v>1.8723292553102691E-3</v>
          </cell>
          <cell r="AE27">
            <v>1.9181679280281519E-3</v>
          </cell>
          <cell r="AF27">
            <v>2.1897011602405639E-3</v>
          </cell>
          <cell r="AG27">
            <v>2.1149617131752513E-3</v>
          </cell>
          <cell r="AH27">
            <v>1.8648945644466825E-3</v>
          </cell>
          <cell r="AI27">
            <v>1.5370930888841353E-3</v>
          </cell>
          <cell r="AJ27">
            <v>1.2325348534483608E-3</v>
          </cell>
          <cell r="AK27">
            <v>9.7711832500112466E-4</v>
          </cell>
          <cell r="AL27">
            <v>7.7509020446128946E-4</v>
          </cell>
          <cell r="AM27">
            <v>6.0378871815721389E-4</v>
          </cell>
        </row>
        <row r="30">
          <cell r="E30">
            <v>-0.10946378108332058</v>
          </cell>
          <cell r="F30">
            <v>-0.12724345892631048</v>
          </cell>
          <cell r="G30">
            <v>-0.16162032102574142</v>
          </cell>
          <cell r="H30">
            <v>-0.14611653614681464</v>
          </cell>
          <cell r="I30">
            <v>7.4342257764121109E-2</v>
          </cell>
          <cell r="J30">
            <v>5.1428257896018549E-2</v>
          </cell>
          <cell r="K30">
            <v>-0.13097722281007737</v>
          </cell>
          <cell r="L30">
            <v>-4.7365932568892974E-2</v>
          </cell>
          <cell r="M30">
            <v>-2.8582578917698963E-2</v>
          </cell>
          <cell r="N30">
            <v>-0.1488263649415516</v>
          </cell>
          <cell r="O30">
            <v>-0.14230340978734127</v>
          </cell>
          <cell r="P30">
            <v>-0.14345382778344229</v>
          </cell>
          <cell r="Q30">
            <v>-4.7947645667598369E-2</v>
          </cell>
          <cell r="R30">
            <v>-2.8313761150082301E-2</v>
          </cell>
          <cell r="S30">
            <v>-6.1549110656382786E-2</v>
          </cell>
          <cell r="T30">
            <v>-8.164495070610181E-2</v>
          </cell>
          <cell r="U30">
            <v>-0.10236773923944843</v>
          </cell>
          <cell r="V30">
            <v>-0.12390887800723867</v>
          </cell>
          <cell r="W30">
            <v>-0.11027847611680526</v>
          </cell>
          <cell r="X30">
            <v>-5.6563951034191644E-2</v>
          </cell>
          <cell r="Y30">
            <v>-6.6421064037273811E-2</v>
          </cell>
          <cell r="Z30">
            <v>-2.8655646043515254E-2</v>
          </cell>
          <cell r="AA30">
            <v>-2.8655646043515254E-2</v>
          </cell>
          <cell r="AB30">
            <v>-8.5071804266887305E-2</v>
          </cell>
          <cell r="AC30">
            <v>-6.2406164796595172E-2</v>
          </cell>
          <cell r="AD30">
            <v>-7.6296680497925318E-2</v>
          </cell>
          <cell r="AE30">
            <v>-4.0762120392407082E-4</v>
          </cell>
          <cell r="AF30">
            <v>-2.5708947196661138E-2</v>
          </cell>
          <cell r="AG30">
            <v>-4.5206341275793878E-2</v>
          </cell>
          <cell r="AH30">
            <v>-7.9501231729497607E-2</v>
          </cell>
          <cell r="AI30">
            <v>-0.11355328541563253</v>
          </cell>
          <cell r="AJ30">
            <v>-0.14044815765285815</v>
          </cell>
          <cell r="AK30">
            <v>-0.1836841493879143</v>
          </cell>
          <cell r="AL30">
            <v>-0.24699973341473078</v>
          </cell>
          <cell r="AM30">
            <v>-0.33735753000117097</v>
          </cell>
        </row>
        <row r="31">
          <cell r="E31">
            <v>0.67590721749706695</v>
          </cell>
          <cell r="F31">
            <v>0.58373324441243724</v>
          </cell>
          <cell r="G31">
            <v>0.5113236814635238</v>
          </cell>
          <cell r="H31">
            <v>0.52230834744262</v>
          </cell>
          <cell r="I31">
            <v>0.59652658318952556</v>
          </cell>
          <cell r="J31">
            <v>0.6488893756645564</v>
          </cell>
          <cell r="K31">
            <v>0.53281656001849276</v>
          </cell>
          <cell r="L31">
            <v>0.52543850419659432</v>
          </cell>
          <cell r="M31">
            <v>0.56335118134083462</v>
          </cell>
          <cell r="N31">
            <v>0.50005759896536628</v>
          </cell>
          <cell r="O31">
            <v>0.51253529989007807</v>
          </cell>
          <cell r="P31">
            <v>0.50509776426826947</v>
          </cell>
          <cell r="Q31">
            <v>0.51891969468931409</v>
          </cell>
          <cell r="R31">
            <v>0.48480652983458905</v>
          </cell>
          <cell r="S31">
            <v>0.49495962537383914</v>
          </cell>
          <cell r="T31">
            <v>0.50435291766586732</v>
          </cell>
          <cell r="U31">
            <v>0.47306059339740908</v>
          </cell>
          <cell r="V31">
            <v>0.65930381094315516</v>
          </cell>
          <cell r="W31">
            <v>0.45890543415200152</v>
          </cell>
          <cell r="X31">
            <v>0.45504432249894472</v>
          </cell>
          <cell r="Y31">
            <v>0.44739408386607432</v>
          </cell>
          <cell r="Z31">
            <v>0.49437826668287349</v>
          </cell>
          <cell r="AA31">
            <v>0.49437826668287349</v>
          </cell>
          <cell r="AB31">
            <v>0.44849595177589979</v>
          </cell>
          <cell r="AC31">
            <v>0.44909062936657085</v>
          </cell>
          <cell r="AD31">
            <v>0.44242738589211617</v>
          </cell>
          <cell r="AE31">
            <v>0.50588677467438814</v>
          </cell>
          <cell r="AF31">
            <v>0.48824275592317862</v>
          </cell>
          <cell r="AG31">
            <v>0.48139001481528526</v>
          </cell>
          <cell r="AH31">
            <v>0.46382021023860259</v>
          </cell>
          <cell r="AI31">
            <v>0.44592432320791608</v>
          </cell>
          <cell r="AJ31">
            <v>0.43008210935014546</v>
          </cell>
          <cell r="AK31">
            <v>0.41426860284468753</v>
          </cell>
          <cell r="AL31">
            <v>0.39996960831340578</v>
          </cell>
          <cell r="AM31">
            <v>0.39254175154650256</v>
          </cell>
        </row>
        <row r="32">
          <cell r="E32">
            <v>0.7853709985803875</v>
          </cell>
          <cell r="F32">
            <v>0.71097670333874774</v>
          </cell>
          <cell r="G32">
            <v>0.67294400248926523</v>
          </cell>
          <cell r="H32">
            <v>0.66842488358943464</v>
          </cell>
          <cell r="I32">
            <v>0.52218432542540449</v>
          </cell>
          <cell r="J32">
            <v>0.59746111776853783</v>
          </cell>
          <cell r="K32">
            <v>0.66379378282857016</v>
          </cell>
          <cell r="L32">
            <v>0.57280443676548731</v>
          </cell>
          <cell r="M32">
            <v>0.59193376025853361</v>
          </cell>
          <cell r="N32">
            <v>0.64888396390691783</v>
          </cell>
          <cell r="O32">
            <v>0.65483870967741931</v>
          </cell>
          <cell r="P32">
            <v>0.64855159205171176</v>
          </cell>
          <cell r="Q32">
            <v>0.56686734035691244</v>
          </cell>
          <cell r="R32">
            <v>0.51312029098467138</v>
          </cell>
          <cell r="S32">
            <v>0.556508736030222</v>
          </cell>
          <cell r="T32">
            <v>0.5859978683719691</v>
          </cell>
          <cell r="U32">
            <v>0.57542833263685755</v>
          </cell>
          <cell r="V32">
            <v>0.75718543751330636</v>
          </cell>
          <cell r="W32">
            <v>0.56918391026880677</v>
          </cell>
          <cell r="X32">
            <v>0.51160827353313632</v>
          </cell>
          <cell r="Y32">
            <v>0.51381514790334815</v>
          </cell>
          <cell r="Z32">
            <v>0.52303391272638877</v>
          </cell>
          <cell r="AA32">
            <v>0.52303391272638877</v>
          </cell>
          <cell r="AB32">
            <v>0.53356775604278706</v>
          </cell>
          <cell r="AC32">
            <v>0.51149679416316607</v>
          </cell>
          <cell r="AD32">
            <v>0.51872406639004154</v>
          </cell>
          <cell r="AE32">
            <v>0.50629439587831215</v>
          </cell>
          <cell r="AF32">
            <v>0.51395170311983973</v>
          </cell>
          <cell r="AG32">
            <v>0.52659635609107913</v>
          </cell>
          <cell r="AH32">
            <v>0.54332144196810028</v>
          </cell>
          <cell r="AI32">
            <v>0.55947760862354845</v>
          </cell>
          <cell r="AJ32">
            <v>0.57053026700300358</v>
          </cell>
          <cell r="AK32">
            <v>0.5979527522326018</v>
          </cell>
          <cell r="AL32">
            <v>0.64696934172813658</v>
          </cell>
          <cell r="AM32">
            <v>0.72989928154767358</v>
          </cell>
        </row>
        <row r="33">
          <cell r="E33">
            <v>0.84030938826356993</v>
          </cell>
          <cell r="F33">
            <v>0.93047961386884359</v>
          </cell>
          <cell r="G33">
            <v>0.97735914670828639</v>
          </cell>
          <cell r="H33">
            <v>0.98969101628650669</v>
          </cell>
          <cell r="I33">
            <v>0.82364878882041404</v>
          </cell>
          <cell r="J33">
            <v>0.86789971153368028</v>
          </cell>
          <cell r="K33">
            <v>0.98883004025827204</v>
          </cell>
          <cell r="L33">
            <v>0.87898939715134172</v>
          </cell>
          <cell r="M33">
            <v>0.86548350515416828</v>
          </cell>
          <cell r="N33">
            <v>0.94461550535630534</v>
          </cell>
          <cell r="O33">
            <v>0.93557129197527966</v>
          </cell>
          <cell r="P33">
            <v>0.92212272890865166</v>
          </cell>
          <cell r="Q33">
            <v>0.946464093743281</v>
          </cell>
          <cell r="R33">
            <v>0.78937724084177707</v>
          </cell>
          <cell r="S33">
            <v>0.8445650086573272</v>
          </cell>
          <cell r="T33">
            <v>0.85049653610444975</v>
          </cell>
          <cell r="U33">
            <v>0.90058874097068842</v>
          </cell>
          <cell r="V33">
            <v>0.86635086225250157</v>
          </cell>
          <cell r="W33">
            <v>0.87739315412879515</v>
          </cell>
          <cell r="X33">
            <v>0.86108062473617564</v>
          </cell>
          <cell r="Y33">
            <v>0.83219561527070463</v>
          </cell>
          <cell r="Z33">
            <v>0.83125683724322352</v>
          </cell>
          <cell r="AA33">
            <v>0.83125683724322352</v>
          </cell>
          <cell r="AB33">
            <v>0.78701022398203413</v>
          </cell>
          <cell r="AC33">
            <v>0.79875372172783554</v>
          </cell>
          <cell r="AD33">
            <v>0.79159751037344395</v>
          </cell>
          <cell r="AE33">
            <v>0.70699730877121647</v>
          </cell>
          <cell r="AF33">
            <v>0.74611291883677178</v>
          </cell>
          <cell r="AG33">
            <v>0.75550417445387941</v>
          </cell>
          <cell r="AH33">
            <v>0.78236912390313051</v>
          </cell>
          <cell r="AI33">
            <v>0.81597975917787169</v>
          </cell>
          <cell r="AJ33">
            <v>0.84272441561249822</v>
          </cell>
          <cell r="AK33">
            <v>0.88620769068641858</v>
          </cell>
          <cell r="AL33">
            <v>0.94940849108819181</v>
          </cell>
          <cell r="AM33">
            <v>1.0397603823117063</v>
          </cell>
        </row>
        <row r="34">
          <cell r="E34">
            <v>0.59143774840139463</v>
          </cell>
          <cell r="F34">
            <v>0.66702438216928683</v>
          </cell>
          <cell r="G34">
            <v>0.70163639379259668</v>
          </cell>
          <cell r="H34">
            <v>0.70858453182621495</v>
          </cell>
          <cell r="I34">
            <v>0.54600220789710874</v>
          </cell>
          <cell r="J34">
            <v>0.57836918787720204</v>
          </cell>
          <cell r="K34">
            <v>0.67969693382436702</v>
          </cell>
          <cell r="L34">
            <v>0.58824602483308319</v>
          </cell>
          <cell r="M34">
            <v>0.59376480123866926</v>
          </cell>
          <cell r="N34">
            <v>0.75821373236279577</v>
          </cell>
          <cell r="O34">
            <v>0.66921998229786028</v>
          </cell>
          <cell r="P34">
            <v>0.6453066459872967</v>
          </cell>
          <cell r="Q34">
            <v>0.68466613262470433</v>
          </cell>
          <cell r="R34">
            <v>0.52934708245994633</v>
          </cell>
          <cell r="S34">
            <v>0.56211840378994171</v>
          </cell>
          <cell r="T34">
            <v>0.55966944279576347</v>
          </cell>
          <cell r="U34">
            <v>0.60966778304146041</v>
          </cell>
          <cell r="V34">
            <v>0.58562245147128489</v>
          </cell>
          <cell r="W34">
            <v>0.58040642490572425</v>
          </cell>
          <cell r="X34">
            <v>0.576428331120726</v>
          </cell>
          <cell r="Y34">
            <v>0.57362182612778556</v>
          </cell>
          <cell r="Z34">
            <v>0.59849588246019203</v>
          </cell>
          <cell r="AA34">
            <v>0.59849588246019203</v>
          </cell>
          <cell r="AB34">
            <v>0.54262285030435542</v>
          </cell>
          <cell r="AC34">
            <v>0.56142714091863799</v>
          </cell>
          <cell r="AD34">
            <v>0.55790715767634858</v>
          </cell>
          <cell r="AE34">
            <v>0.47771083842326545</v>
          </cell>
          <cell r="AF34">
            <v>0.53044863076248916</v>
          </cell>
          <cell r="AG34">
            <v>0.54056500851654399</v>
          </cell>
          <cell r="AH34">
            <v>0.57007329250746885</v>
          </cell>
          <cell r="AI34">
            <v>0.60656120211059683</v>
          </cell>
          <cell r="AJ34">
            <v>0.63758240548895817</v>
          </cell>
          <cell r="AK34">
            <v>0.68627780856512888</v>
          </cell>
          <cell r="AL34">
            <v>0.75471129676747317</v>
          </cell>
          <cell r="AM34">
            <v>0.84771853198525005</v>
          </cell>
        </row>
        <row r="35">
          <cell r="E35">
            <v>0.24887163986217534</v>
          </cell>
          <cell r="F35">
            <v>0.2634552316995567</v>
          </cell>
          <cell r="G35">
            <v>0.27572275291568971</v>
          </cell>
          <cell r="H35">
            <v>0.28110648446029174</v>
          </cell>
          <cell r="I35">
            <v>0.27764658092330541</v>
          </cell>
          <cell r="J35">
            <v>0.28953052365647824</v>
          </cell>
          <cell r="K35">
            <v>0.30913310643390496</v>
          </cell>
          <cell r="L35">
            <v>0.29074337231825853</v>
          </cell>
          <cell r="M35">
            <v>0.27171870391549907</v>
          </cell>
          <cell r="N35">
            <v>0.18640177299350957</v>
          </cell>
          <cell r="O35">
            <v>0.26635130967741932</v>
          </cell>
          <cell r="P35">
            <v>0.27681608292135501</v>
          </cell>
          <cell r="Q35">
            <v>0.26179796111857667</v>
          </cell>
          <cell r="R35">
            <v>0.2600301583818308</v>
          </cell>
          <cell r="S35">
            <v>0.28244660486738549</v>
          </cell>
          <cell r="T35">
            <v>0.29082709330868634</v>
          </cell>
          <cell r="U35">
            <v>0.29092095792922812</v>
          </cell>
          <cell r="V35">
            <v>0.28072841078121674</v>
          </cell>
          <cell r="W35">
            <v>0.29698672922307096</v>
          </cell>
          <cell r="X35">
            <v>0.28465229361544958</v>
          </cell>
          <cell r="Y35">
            <v>0.25857378914291906</v>
          </cell>
          <cell r="Z35">
            <v>0.23276095478303149</v>
          </cell>
          <cell r="AA35">
            <v>0.23276095478303149</v>
          </cell>
          <cell r="AB35">
            <v>0.24438737367767865</v>
          </cell>
          <cell r="AC35">
            <v>0.23732658080919747</v>
          </cell>
          <cell r="AD35">
            <v>0.23369035269709545</v>
          </cell>
          <cell r="AE35">
            <v>0.22928647034795105</v>
          </cell>
          <cell r="AF35">
            <v>0.21566428807428259</v>
          </cell>
          <cell r="AG35">
            <v>0.21493916593733542</v>
          </cell>
          <cell r="AH35">
            <v>0.21229583139566166</v>
          </cell>
          <cell r="AI35">
            <v>0.20941855706727483</v>
          </cell>
          <cell r="AJ35">
            <v>0.20514201012354005</v>
          </cell>
          <cell r="AK35">
            <v>0.19992988212128973</v>
          </cell>
          <cell r="AL35">
            <v>0.19469719432071866</v>
          </cell>
          <cell r="AM35">
            <v>0.19204185032645615</v>
          </cell>
        </row>
        <row r="36">
          <cell r="E36">
            <v>0.26915439281975057</v>
          </cell>
          <cell r="F36">
            <v>0.19676384505746694</v>
          </cell>
          <cell r="G36">
            <v>0.18426117431745509</v>
          </cell>
          <cell r="H36">
            <v>0.15642551986030809</v>
          </cell>
          <cell r="I36">
            <v>0.10200895341546473</v>
          </cell>
          <cell r="J36">
            <v>8.0672030570301076E-2</v>
          </cell>
          <cell r="K36">
            <v>0.14214718255180539</v>
          </cell>
          <cell r="L36">
            <v>0.16837653541755118</v>
          </cell>
          <cell r="M36">
            <v>0.16309907376353072</v>
          </cell>
          <cell r="N36">
            <v>0.20421085958524615</v>
          </cell>
          <cell r="O36">
            <v>0.20673211781206172</v>
          </cell>
          <cell r="P36">
            <v>0.22133109887479052</v>
          </cell>
          <cell r="Q36">
            <v>0.10148355192431735</v>
          </cell>
          <cell r="R36">
            <v>0.2389365203083052</v>
          </cell>
          <cell r="S36">
            <v>0.21698410199905557</v>
          </cell>
          <cell r="T36">
            <v>0.231148414601652</v>
          </cell>
          <cell r="U36">
            <v>0.20177899826876008</v>
          </cell>
          <cell r="V36">
            <v>0.25755801575473708</v>
          </cell>
          <cell r="W36">
            <v>0.23288532198801007</v>
          </cell>
          <cell r="X36">
            <v>0.19548332629801604</v>
          </cell>
          <cell r="Y36">
            <v>0.23422544876656914</v>
          </cell>
          <cell r="Z36">
            <v>0.19739880880029173</v>
          </cell>
          <cell r="AA36">
            <v>0.19739880880029173</v>
          </cell>
          <cell r="AB36">
            <v>0.29806158028485313</v>
          </cell>
          <cell r="AC36">
            <v>0.26365244306875968</v>
          </cell>
          <cell r="AD36">
            <v>0.28469917012448132</v>
          </cell>
          <cell r="AE36">
            <v>0.2934103124327076</v>
          </cell>
          <cell r="AF36">
            <v>0.27959602835988945</v>
          </cell>
          <cell r="AG36">
            <v>0.28970216682191458</v>
          </cell>
          <cell r="AH36">
            <v>0.29713210782636706</v>
          </cell>
          <cell r="AI36">
            <v>0.29757352623776079</v>
          </cell>
          <cell r="AJ36">
            <v>0.29772374204035984</v>
          </cell>
          <cell r="AK36">
            <v>0.29747645870149592</v>
          </cell>
          <cell r="AL36">
            <v>0.29759124232653889</v>
          </cell>
          <cell r="AM36">
            <v>0.29759714768946477</v>
          </cell>
        </row>
        <row r="37">
          <cell r="E37">
            <v>0.15790733805254978</v>
          </cell>
          <cell r="F37">
            <v>9.6850621981349652E-2</v>
          </cell>
          <cell r="G37">
            <v>0.10566272783248841</v>
          </cell>
          <cell r="H37">
            <v>9.0300054618445078E-2</v>
          </cell>
          <cell r="I37">
            <v>3.3283587092564022E-2</v>
          </cell>
          <cell r="J37">
            <v>2.1755725901459154E-2</v>
          </cell>
          <cell r="K37">
            <v>8.3376314931788695E-2</v>
          </cell>
          <cell r="L37">
            <v>0.11472598058122943</v>
          </cell>
          <cell r="M37">
            <v>0.1184248277062829</v>
          </cell>
          <cell r="N37">
            <v>0.18156245053031503</v>
          </cell>
          <cell r="O37">
            <v>0.15212918159186536</v>
          </cell>
          <cell r="P37">
            <v>0.17333013744882692</v>
          </cell>
          <cell r="Q37">
            <v>6.1528676530047302E-2</v>
          </cell>
          <cell r="R37">
            <v>0.20819004553866804</v>
          </cell>
          <cell r="S37">
            <v>0.18479733216157723</v>
          </cell>
          <cell r="T37">
            <v>0.19805679138355983</v>
          </cell>
          <cell r="U37">
            <v>0.16516818140752793</v>
          </cell>
          <cell r="V37">
            <v>0.22162829192849159</v>
          </cell>
          <cell r="W37">
            <v>0.19137143740330689</v>
          </cell>
          <cell r="X37">
            <v>0.15639766161882651</v>
          </cell>
          <cell r="Y37">
            <v>0.19564606132842127</v>
          </cell>
          <cell r="Z37">
            <v>0.16138249057979823</v>
          </cell>
          <cell r="AA37">
            <v>0.16138249057979823</v>
          </cell>
          <cell r="AB37">
            <v>0.25891643519886531</v>
          </cell>
          <cell r="AC37">
            <v>0.22676044660623482</v>
          </cell>
          <cell r="AD37">
            <v>0.2503384336099585</v>
          </cell>
          <cell r="AE37">
            <v>0.25997661074628209</v>
          </cell>
          <cell r="AF37">
            <v>0.2481101393790619</v>
          </cell>
          <cell r="AG37">
            <v>0.25750681810927584</v>
          </cell>
          <cell r="AH37">
            <v>0.26403970795139664</v>
          </cell>
          <cell r="AI37">
            <v>0.2634770811066372</v>
          </cell>
          <cell r="AJ37">
            <v>0.2626212612812292</v>
          </cell>
          <cell r="AK37">
            <v>0.26139527891237613</v>
          </cell>
          <cell r="AL37">
            <v>0.26062052732264823</v>
          </cell>
          <cell r="AM37">
            <v>0.25951342928612281</v>
          </cell>
        </row>
        <row r="38">
          <cell r="E38">
            <v>0.11124705476720077</v>
          </cell>
          <cell r="F38">
            <v>9.9913223076117302E-2</v>
          </cell>
          <cell r="G38">
            <v>7.8598446484966666E-2</v>
          </cell>
          <cell r="H38">
            <v>6.6125465241863024E-2</v>
          </cell>
          <cell r="I38">
            <v>6.8725366322900716E-2</v>
          </cell>
          <cell r="J38">
            <v>5.8916304668841929E-2</v>
          </cell>
          <cell r="K38">
            <v>5.8770867620016681E-2</v>
          </cell>
          <cell r="L38">
            <v>5.3650554836321758E-2</v>
          </cell>
          <cell r="M38">
            <v>4.4674246057247818E-2</v>
          </cell>
          <cell r="N38">
            <v>2.2648409054931137E-2</v>
          </cell>
          <cell r="O38">
            <v>5.4602936220196352E-2</v>
          </cell>
          <cell r="P38">
            <v>4.8000961425963613E-2</v>
          </cell>
          <cell r="Q38">
            <v>3.9954875394270048E-2</v>
          </cell>
          <cell r="R38">
            <v>3.0746474769637135E-2</v>
          </cell>
          <cell r="S38">
            <v>3.2186769837478355E-2</v>
          </cell>
          <cell r="T38">
            <v>3.3091623218092191E-2</v>
          </cell>
          <cell r="U38">
            <v>3.6610816861232166E-2</v>
          </cell>
          <cell r="V38">
            <v>3.5929723826245472E-2</v>
          </cell>
          <cell r="W38">
            <v>4.1513884584703155E-2</v>
          </cell>
          <cell r="X38">
            <v>3.908566467918953E-2</v>
          </cell>
          <cell r="Y38">
            <v>3.8579387438147872E-2</v>
          </cell>
          <cell r="Z38">
            <v>3.6016318220493497E-2</v>
          </cell>
          <cell r="AA38">
            <v>3.6016318220493497E-2</v>
          </cell>
          <cell r="AB38">
            <v>3.9145145085987827E-2</v>
          </cell>
          <cell r="AC38">
            <v>3.6891996462524876E-2</v>
          </cell>
          <cell r="AD38">
            <v>3.4360736514522816E-2</v>
          </cell>
          <cell r="AE38">
            <v>3.3433701686425524E-2</v>
          </cell>
          <cell r="AF38">
            <v>3.1485888980827569E-2</v>
          </cell>
          <cell r="AG38">
            <v>3.2195348712638731E-2</v>
          </cell>
          <cell r="AH38">
            <v>3.3092399874970452E-2</v>
          </cell>
          <cell r="AI38">
            <v>3.4096445131123629E-2</v>
          </cell>
          <cell r="AJ38">
            <v>3.5102480759130653E-2</v>
          </cell>
          <cell r="AK38">
            <v>3.6081179789119754E-2</v>
          </cell>
          <cell r="AL38">
            <v>3.6970715003890632E-2</v>
          </cell>
          <cell r="AM38">
            <v>3.8083718403342071E-2</v>
          </cell>
        </row>
        <row r="39">
          <cell r="E39">
            <v>0.26029890587310772</v>
          </cell>
          <cell r="F39">
            <v>0.21751876579308552</v>
          </cell>
          <cell r="G39">
            <v>0.17410519527726276</v>
          </cell>
          <cell r="H39">
            <v>0.14527182692794566</v>
          </cell>
          <cell r="I39">
            <v>0.13669278314851743</v>
          </cell>
          <cell r="J39">
            <v>0.13294987837504815</v>
          </cell>
          <cell r="K39">
            <v>0.1392208322968668</v>
          </cell>
          <cell r="L39">
            <v>0.14783375791516776</v>
          </cell>
          <cell r="M39">
            <v>0.16072998495746454</v>
          </cell>
          <cell r="N39">
            <v>0.13439924014563875</v>
          </cell>
          <cell r="O39">
            <v>0.18106591865357644</v>
          </cell>
          <cell r="P39">
            <v>0.21175484797701699</v>
          </cell>
          <cell r="Q39">
            <v>0.14835519243173512</v>
          </cell>
          <cell r="R39">
            <v>0.21711266995756473</v>
          </cell>
          <cell r="S39">
            <v>0.22170628049740279</v>
          </cell>
          <cell r="T39">
            <v>0.23547828403943513</v>
          </cell>
          <cell r="U39">
            <v>0.19628678884842696</v>
          </cell>
          <cell r="V39">
            <v>0.22998722588886522</v>
          </cell>
          <cell r="W39">
            <v>0.23012956874879134</v>
          </cell>
          <cell r="X39">
            <v>0.18826509075559308</v>
          </cell>
          <cell r="Y39">
            <v>0.21934481886806081</v>
          </cell>
          <cell r="Z39">
            <v>0.21162027470523884</v>
          </cell>
          <cell r="AA39">
            <v>0.29156078245966549</v>
          </cell>
          <cell r="AB39">
            <v>0.25881605129338936</v>
          </cell>
          <cell r="AC39">
            <v>0.27059128630705392</v>
          </cell>
          <cell r="AD39">
            <v>0.27059128630705392</v>
          </cell>
          <cell r="AE39">
            <v>0.2867954925967437</v>
          </cell>
          <cell r="AF39">
            <v>0.27166618228614797</v>
          </cell>
          <cell r="AG39">
            <v>0.28042960752118506</v>
          </cell>
          <cell r="AH39">
            <v>0.2891930327562221</v>
          </cell>
          <cell r="AI39">
            <v>0.2891930327562221</v>
          </cell>
          <cell r="AJ39">
            <v>0.28919303275622205</v>
          </cell>
          <cell r="AK39">
            <v>0.2891930327562221</v>
          </cell>
          <cell r="AL39">
            <v>0.28919303275622216</v>
          </cell>
          <cell r="AM39">
            <v>0.28919303275622205</v>
          </cell>
        </row>
        <row r="40">
          <cell r="E40">
            <v>8.8554869466428432E-3</v>
          </cell>
          <cell r="F40">
            <v>-2.0754920735618576E-2</v>
          </cell>
          <cell r="G40">
            <v>1.0155979040192331E-2</v>
          </cell>
          <cell r="H40">
            <v>1.115369293236243E-2</v>
          </cell>
          <cell r="I40">
            <v>-3.4683829733052701E-2</v>
          </cell>
          <cell r="J40">
            <v>-5.2277847804747077E-2</v>
          </cell>
          <cell r="K40">
            <v>2.9263502549385922E-3</v>
          </cell>
          <cell r="L40">
            <v>2.0542777502383425E-2</v>
          </cell>
          <cell r="M40">
            <v>2.3690888060661774E-3</v>
          </cell>
          <cell r="N40">
            <v>6.9811619439607397E-2</v>
          </cell>
          <cell r="O40">
            <v>2.5666199158485281E-2</v>
          </cell>
          <cell r="P40">
            <v>9.5762508977735306E-3</v>
          </cell>
          <cell r="Q40">
            <v>-4.6871640507417767E-2</v>
          </cell>
          <cell r="R40">
            <v>2.182385035074047E-2</v>
          </cell>
          <cell r="S40">
            <v>-4.7221784983472181E-3</v>
          </cell>
          <cell r="T40">
            <v>-4.3298694377831293E-3</v>
          </cell>
          <cell r="U40">
            <v>5.4922094203331273E-3</v>
          </cell>
          <cell r="V40">
            <v>2.7570789865871859E-2</v>
          </cell>
          <cell r="W40">
            <v>2.7557532392187278E-3</v>
          </cell>
          <cell r="X40">
            <v>7.2182355424229572E-3</v>
          </cell>
          <cell r="Y40">
            <v>1.488062989850833E-2</v>
          </cell>
          <cell r="Z40">
            <v>-1.4221465904947106E-2</v>
          </cell>
          <cell r="AA40">
            <v>-9.416197365937376E-2</v>
          </cell>
          <cell r="AB40">
            <v>3.9245528991463774E-2</v>
          </cell>
          <cell r="AC40">
            <v>-6.9388432382942455E-3</v>
          </cell>
          <cell r="AD40">
            <v>1.4107883817427391E-2</v>
          </cell>
          <cell r="AE40">
            <v>6.6148198359639032E-3</v>
          </cell>
          <cell r="AF40">
            <v>7.9298460737414755E-3</v>
          </cell>
          <cell r="AG40">
            <v>9.2725593007295104E-3</v>
          </cell>
          <cell r="AH40">
            <v>7.9390750701449631E-3</v>
          </cell>
          <cell r="AI40">
            <v>8.3804934815386867E-3</v>
          </cell>
          <cell r="AJ40">
            <v>8.5307092841377941E-3</v>
          </cell>
          <cell r="AK40">
            <v>8.2834259452738146E-3</v>
          </cell>
          <cell r="AL40">
            <v>8.3982095703167281E-3</v>
          </cell>
          <cell r="AM40">
            <v>8.4041149332427234E-3</v>
          </cell>
        </row>
        <row r="41">
          <cell r="D41">
            <v>0.37387842536951371</v>
          </cell>
          <cell r="E41">
            <v>0.15969061173643001</v>
          </cell>
          <cell r="F41">
            <v>6.9520386131156423E-2</v>
          </cell>
          <cell r="G41">
            <v>2.2640853291713607E-2</v>
          </cell>
          <cell r="H41">
            <v>1.0308983713493284E-2</v>
          </cell>
          <cell r="I41">
            <v>0.17635121117958591</v>
          </cell>
          <cell r="J41">
            <v>0.13210028846631972</v>
          </cell>
          <cell r="K41">
            <v>1.1169959741727926E-2</v>
          </cell>
          <cell r="L41">
            <v>0.12101060284865824</v>
          </cell>
          <cell r="M41">
            <v>0.1345164948458317</v>
          </cell>
          <cell r="N41">
            <v>5.5384494643694625E-2</v>
          </cell>
          <cell r="O41">
            <v>6.442870802472038E-2</v>
          </cell>
          <cell r="P41">
            <v>7.7877271091348343E-2</v>
          </cell>
          <cell r="Q41">
            <v>5.3535906256718981E-2</v>
          </cell>
          <cell r="R41">
            <v>0.2106227591582229</v>
          </cell>
          <cell r="S41">
            <v>0.15543499134267277</v>
          </cell>
          <cell r="T41">
            <v>0.14950346389555019</v>
          </cell>
          <cell r="U41">
            <v>9.9411259029311541E-2</v>
          </cell>
          <cell r="V41">
            <v>0.1336491377474984</v>
          </cell>
          <cell r="W41">
            <v>0.12260684587120479</v>
          </cell>
          <cell r="X41">
            <v>0.13891937526382439</v>
          </cell>
          <cell r="Y41">
            <v>0.16780438472929535</v>
          </cell>
          <cell r="Z41">
            <v>0.16874316275677648</v>
          </cell>
          <cell r="AA41">
            <v>0.21298977601796584</v>
          </cell>
          <cell r="AB41">
            <v>0.20124627827216451</v>
          </cell>
          <cell r="AC41">
            <v>0.20840248962655603</v>
          </cell>
          <cell r="AD41">
            <v>0.29300269122878358</v>
          </cell>
          <cell r="AE41">
            <v>0.25388708116322822</v>
          </cell>
          <cell r="AF41">
            <v>0.24449582554612065</v>
          </cell>
          <cell r="AG41">
            <v>0.21763087609686951</v>
          </cell>
          <cell r="AH41">
            <v>0.18402024082212831</v>
          </cell>
          <cell r="AI41">
            <v>0.15727558438750178</v>
          </cell>
          <cell r="AJ41">
            <v>0.11379230931358139</v>
          </cell>
          <cell r="AK41">
            <v>5.0591508911808157E-2</v>
          </cell>
          <cell r="AL41">
            <v>-3.9760382311706213E-2</v>
          </cell>
          <cell r="AM41">
            <v>-0.171923813724351</v>
          </cell>
        </row>
        <row r="42">
          <cell r="D42">
            <v>0.28089735064876387</v>
          </cell>
          <cell r="E42">
            <v>0.26915439281975057</v>
          </cell>
          <cell r="F42">
            <v>0.19676384505746694</v>
          </cell>
          <cell r="G42">
            <v>0.18426117431745509</v>
          </cell>
          <cell r="H42">
            <v>0.15642551986030809</v>
          </cell>
          <cell r="I42">
            <v>0.10200895341546473</v>
          </cell>
          <cell r="J42">
            <v>8.0672030570301076E-2</v>
          </cell>
          <cell r="K42">
            <v>0.14214718255180539</v>
          </cell>
          <cell r="L42">
            <v>0.16837653541755118</v>
          </cell>
          <cell r="M42">
            <v>0.16309907376353072</v>
          </cell>
          <cell r="N42">
            <v>0.20421085958524615</v>
          </cell>
          <cell r="O42">
            <v>0.20673211781206172</v>
          </cell>
          <cell r="P42">
            <v>0.22133109887479052</v>
          </cell>
          <cell r="Q42">
            <v>0.10148355192431735</v>
          </cell>
          <cell r="R42">
            <v>0.2389365203083052</v>
          </cell>
          <cell r="S42">
            <v>0.21698410199905557</v>
          </cell>
          <cell r="T42">
            <v>0.231148414601652</v>
          </cell>
          <cell r="U42">
            <v>0.20177899826876008</v>
          </cell>
          <cell r="V42">
            <v>0.25755801575473708</v>
          </cell>
          <cell r="W42">
            <v>0.23288532198801007</v>
          </cell>
          <cell r="X42">
            <v>0.19548332629801604</v>
          </cell>
          <cell r="Y42">
            <v>0.23422544876656914</v>
          </cell>
          <cell r="Z42">
            <v>0.19739880880029173</v>
          </cell>
          <cell r="AA42">
            <v>0.29806158028485313</v>
          </cell>
          <cell r="AB42">
            <v>0.26365244306875968</v>
          </cell>
          <cell r="AC42">
            <v>0.28469917012448132</v>
          </cell>
          <cell r="AD42">
            <v>0.29341031243270771</v>
          </cell>
          <cell r="AE42">
            <v>0.27959602835988945</v>
          </cell>
          <cell r="AF42">
            <v>0.28970216682191458</v>
          </cell>
          <cell r="AG42">
            <v>0.29713210782636723</v>
          </cell>
          <cell r="AH42">
            <v>0.29757352623776101</v>
          </cell>
          <cell r="AI42">
            <v>0.29772374204035984</v>
          </cell>
          <cell r="AJ42">
            <v>0.29747645870149558</v>
          </cell>
          <cell r="AK42">
            <v>0.29759124232653889</v>
          </cell>
          <cell r="AL42">
            <v>0.29759714768946494</v>
          </cell>
          <cell r="AM42">
            <v>0.29755494957250006</v>
          </cell>
        </row>
        <row r="43">
          <cell r="D43">
            <v>-0.19153592979084769</v>
          </cell>
          <cell r="E43">
            <v>-2.4475458984652521E-2</v>
          </cell>
          <cell r="F43">
            <v>-1.948900394876029E-2</v>
          </cell>
          <cell r="G43">
            <v>-2.7369201983054783E-2</v>
          </cell>
          <cell r="H43">
            <v>-5.6533569685454947E-3</v>
          </cell>
          <cell r="I43">
            <v>-7.3699964620916492E-2</v>
          </cell>
          <cell r="J43">
            <v>-0.11117436967287243</v>
          </cell>
          <cell r="K43">
            <v>2.5384751111043338E-2</v>
          </cell>
          <cell r="L43">
            <v>4.1382599315771568E-2</v>
          </cell>
          <cell r="M43">
            <v>-2.5906463621822941E-2</v>
          </cell>
          <cell r="N43">
            <v>3.5798028705996687E-2</v>
          </cell>
          <cell r="O43">
            <v>2.3314602782249232E-3</v>
          </cell>
          <cell r="P43">
            <v>3.320723932282451E-2</v>
          </cell>
          <cell r="Q43">
            <v>-5.4395936357772519E-2</v>
          </cell>
          <cell r="R43">
            <v>-5.3352472503680581E-2</v>
          </cell>
          <cell r="S43">
            <v>-9.2866126239571883E-2</v>
          </cell>
          <cell r="T43">
            <v>-5.5578603783639727E-2</v>
          </cell>
          <cell r="U43">
            <v>-3.1057130917557015E-2</v>
          </cell>
          <cell r="V43">
            <v>-2.1236959761549927E-2</v>
          </cell>
          <cell r="W43">
            <v>-7.5420614968091278E-3</v>
          </cell>
          <cell r="X43">
            <v>-8.0202617138032922E-2</v>
          </cell>
          <cell r="Y43">
            <v>-4.1030086322100624E-2</v>
          </cell>
          <cell r="Z43">
            <v>-7.0104533851950895E-2</v>
          </cell>
          <cell r="AA43">
            <v>-6.8553867974705987E-2</v>
          </cell>
          <cell r="AB43">
            <v>-7.1437523021224858E-2</v>
          </cell>
          <cell r="AC43">
            <v>-2.995331950207469E-2</v>
          </cell>
          <cell r="AD43">
            <v>-0.1284472565314343</v>
          </cell>
          <cell r="AE43">
            <v>-7.9231070403851314E-2</v>
          </cell>
          <cell r="AF43">
            <v>-6.2470409336969478E-2</v>
          </cell>
          <cell r="AG43">
            <v>-1.5530294526253798E-2</v>
          </cell>
          <cell r="AH43">
            <v>3.2089054175492994E-2</v>
          </cell>
          <cell r="AI43">
            <v>7.3718334591120177E-2</v>
          </cell>
          <cell r="AJ43">
            <v>0.13140020390308496</v>
          </cell>
          <cell r="AK43">
            <v>0.2039743931933585</v>
          </cell>
          <cell r="AL43">
            <v>0.29042382755792007</v>
          </cell>
          <cell r="AM43">
            <v>0.41654727068834863</v>
          </cell>
        </row>
        <row r="44">
          <cell r="D44">
            <v>0.47243328043961152</v>
          </cell>
          <cell r="E44">
            <v>0.2936298518044031</v>
          </cell>
          <cell r="F44">
            <v>0.21625284900622724</v>
          </cell>
          <cell r="G44">
            <v>0.21163037630050988</v>
          </cell>
          <cell r="H44">
            <v>0.16207887682885361</v>
          </cell>
          <cell r="I44">
            <v>0.17570891803638122</v>
          </cell>
          <cell r="J44">
            <v>0.19184640024317351</v>
          </cell>
          <cell r="K44">
            <v>0.11676243144076204</v>
          </cell>
          <cell r="L44">
            <v>0.12699393610177961</v>
          </cell>
          <cell r="M44">
            <v>0.18900553738535367</v>
          </cell>
          <cell r="N44">
            <v>0.16841283087924946</v>
          </cell>
          <cell r="O44">
            <v>0.20440065753383679</v>
          </cell>
          <cell r="P44">
            <v>0.18812385955196601</v>
          </cell>
          <cell r="Q44">
            <v>0.15587948828208986</v>
          </cell>
          <cell r="R44">
            <v>0.29228899281198578</v>
          </cell>
          <cell r="S44">
            <v>0.30985022823862746</v>
          </cell>
          <cell r="T44">
            <v>0.28672701838529174</v>
          </cell>
          <cell r="U44">
            <v>0.23283612918631708</v>
          </cell>
          <cell r="V44">
            <v>0.27879497551628701</v>
          </cell>
          <cell r="W44">
            <v>0.24042738348481918</v>
          </cell>
          <cell r="X44">
            <v>0.27568594343604896</v>
          </cell>
          <cell r="Y44">
            <v>0.27525553508866979</v>
          </cell>
          <cell r="Z44">
            <v>0.26750334265224263</v>
          </cell>
          <cell r="AA44">
            <v>0.36661544825955911</v>
          </cell>
          <cell r="AB44">
            <v>0.33508996608998454</v>
          </cell>
          <cell r="AC44">
            <v>0.31465248962655601</v>
          </cell>
          <cell r="AD44">
            <v>0.421857568964142</v>
          </cell>
          <cell r="AE44">
            <v>0.35882709876374075</v>
          </cell>
          <cell r="AF44">
            <v>0.35217257615888403</v>
          </cell>
          <cell r="AG44">
            <v>0.31266240235262099</v>
          </cell>
          <cell r="AH44">
            <v>0.26548447206226805</v>
          </cell>
          <cell r="AI44">
            <v>0.22400540744923961</v>
          </cell>
          <cell r="AJ44">
            <v>0.16607625479841065</v>
          </cell>
          <cell r="AK44">
            <v>9.3616849133180399E-2</v>
          </cell>
          <cell r="AL44">
            <v>7.1733201315448466E-3</v>
          </cell>
          <cell r="AM44">
            <v>-0.11899232111584856</v>
          </cell>
        </row>
        <row r="45">
          <cell r="M45">
            <v>0</v>
          </cell>
          <cell r="N45">
            <v>0</v>
          </cell>
          <cell r="O45">
            <v>4.3757214591576381E-2</v>
          </cell>
          <cell r="P45">
            <v>4.4361063788133828E-2</v>
          </cell>
          <cell r="Q45">
            <v>4.2135332745476602E-2</v>
          </cell>
          <cell r="R45">
            <v>4.5076176132937511E-2</v>
          </cell>
          <cell r="S45">
            <v>5.4071228490598464E-2</v>
          </cell>
          <cell r="T45">
            <v>6.0993426689799804E-2</v>
          </cell>
          <cell r="U45">
            <v>6.3820787915081653E-2</v>
          </cell>
          <cell r="V45">
            <v>6.7724311557092895E-2</v>
          </cell>
          <cell r="W45">
            <v>6.3796445097919832E-2</v>
          </cell>
          <cell r="X45">
            <v>5.6959014191584327E-2</v>
          </cell>
          <cell r="Y45">
            <v>5.1446153452772307E-2</v>
          </cell>
          <cell r="Z45">
            <v>4.4315748591218153E-2</v>
          </cell>
          <cell r="AA45">
            <v>5.1139399244194361E-2</v>
          </cell>
          <cell r="AB45">
            <v>4.6336758455345545E-2</v>
          </cell>
          <cell r="AC45">
            <v>5.1575911773735723E-2</v>
          </cell>
          <cell r="AD45">
            <v>5.4526763711203553E-2</v>
          </cell>
          <cell r="AE45">
            <v>5.4040406569840979E-2</v>
          </cell>
          <cell r="AF45">
            <v>5.4865893211131327E-2</v>
          </cell>
          <cell r="AG45">
            <v>-0.50376020026754875</v>
          </cell>
          <cell r="AH45">
            <v>7.5432451923159255E-2</v>
          </cell>
          <cell r="AI45">
            <v>8.565597861513731E-2</v>
          </cell>
          <cell r="AJ45">
            <v>0.10526885710253632</v>
          </cell>
          <cell r="AK45">
            <v>0.13143489378132775</v>
          </cell>
          <cell r="AL45">
            <v>0.1683023693500981</v>
          </cell>
          <cell r="AM45">
            <v>0.2145148887759431</v>
          </cell>
        </row>
        <row r="46">
          <cell r="M46">
            <v>0</v>
          </cell>
          <cell r="N46">
            <v>2.0089921837897755E-2</v>
          </cell>
          <cell r="O46">
            <v>4.7727592286115054E-2</v>
          </cell>
          <cell r="P46">
            <v>2.2236048575233393E-2</v>
          </cell>
          <cell r="Q46">
            <v>1.9986160227101729E-2</v>
          </cell>
          <cell r="R46">
            <v>-8.8947660857798417E-3</v>
          </cell>
          <cell r="S46">
            <v>-1.3795699354438801E-2</v>
          </cell>
          <cell r="T46">
            <v>-5.2924748784305899E-2</v>
          </cell>
          <cell r="U46">
            <v>-3.8051928365620054E-2</v>
          </cell>
          <cell r="V46">
            <v>-3.9419004099026017E-2</v>
          </cell>
          <cell r="W46">
            <v>-4.1583364287130081E-2</v>
          </cell>
          <cell r="X46">
            <v>-3.1220707825559274E-2</v>
          </cell>
          <cell r="Y46">
            <v>-2.6032982730252445E-2</v>
          </cell>
          <cell r="Z46">
            <v>-9.1866569315972521E-3</v>
          </cell>
          <cell r="AA46">
            <v>-4.4637294086490212E-2</v>
          </cell>
          <cell r="AB46">
            <v>-3.6897125110546158E-2</v>
          </cell>
          <cell r="AC46">
            <v>4.8964600622403783E-4</v>
          </cell>
          <cell r="AD46">
            <v>3.5059026151024825E-2</v>
          </cell>
          <cell r="AE46">
            <v>4.880514556117211E-2</v>
          </cell>
          <cell r="AF46">
            <v>4.5526518291534548E-2</v>
          </cell>
          <cell r="AG46">
            <v>4.5549696499287702E-2</v>
          </cell>
          <cell r="AH46">
            <v>4.445854147260038E-2</v>
          </cell>
          <cell r="AI46">
            <v>4.8981957381911155E-2</v>
          </cell>
          <cell r="AJ46">
            <v>5.4106672989626174E-2</v>
          </cell>
          <cell r="AK46">
            <v>6.1257868941173521E-2</v>
          </cell>
          <cell r="AL46">
            <v>7.255353029550364E-2</v>
          </cell>
          <cell r="AM46">
            <v>8.8962179567897454E-2</v>
          </cell>
        </row>
        <row r="47">
          <cell r="M47">
            <v>0.18900553738535367</v>
          </cell>
          <cell r="N47">
            <v>0.14832290904135173</v>
          </cell>
          <cell r="O47">
            <v>0.11291585065614536</v>
          </cell>
          <cell r="P47">
            <v>0.12152674718859879</v>
          </cell>
          <cell r="Q47">
            <v>9.3757995309511552E-2</v>
          </cell>
          <cell r="R47">
            <v>0.25610758276482809</v>
          </cell>
          <cell r="S47">
            <v>0.26957469910246779</v>
          </cell>
          <cell r="T47">
            <v>0.27865834047979782</v>
          </cell>
          <cell r="U47">
            <v>0.20706726963685551</v>
          </cell>
          <cell r="V47">
            <v>0.25048966805822009</v>
          </cell>
          <cell r="W47">
            <v>0.21821430267402944</v>
          </cell>
          <cell r="X47">
            <v>0.2499476370700239</v>
          </cell>
          <cell r="Y47">
            <v>0.24984236436614993</v>
          </cell>
          <cell r="Z47">
            <v>0.23237425099262171</v>
          </cell>
          <cell r="AA47">
            <v>0.36011334310185494</v>
          </cell>
          <cell r="AB47">
            <v>0.32565033274518518</v>
          </cell>
          <cell r="AC47">
            <v>0.26258693184659626</v>
          </cell>
          <cell r="AD47">
            <v>0.33227177910191363</v>
          </cell>
          <cell r="AE47">
            <v>0.25598154663272765</v>
          </cell>
          <cell r="AF47">
            <v>0.25178016465621822</v>
          </cell>
          <cell r="AG47">
            <v>0.77087290612088222</v>
          </cell>
          <cell r="AH47">
            <v>0.1455934786665084</v>
          </cell>
          <cell r="AI47">
            <v>8.9367471452191163E-2</v>
          </cell>
          <cell r="AJ47">
            <v>6.7007247062481658E-3</v>
          </cell>
          <cell r="AK47">
            <v>-9.9075913589320871E-2</v>
          </cell>
          <cell r="AL47">
            <v>-0.23368257951405688</v>
          </cell>
          <cell r="AM47">
            <v>-0.42246938945968904</v>
          </cell>
        </row>
        <row r="50">
          <cell r="M50">
            <v>-2.5906463621822941E-2</v>
          </cell>
          <cell r="N50">
            <v>3.5798028705996687E-2</v>
          </cell>
          <cell r="O50">
            <v>2.3314602782249232E-3</v>
          </cell>
          <cell r="P50">
            <v>3.320723932282451E-2</v>
          </cell>
          <cell r="Q50">
            <v>-5.4395936357772519E-2</v>
          </cell>
          <cell r="R50">
            <v>-5.3352472503680581E-2</v>
          </cell>
          <cell r="S50">
            <v>-9.2866126239571883E-2</v>
          </cell>
          <cell r="T50">
            <v>-5.5578603783639727E-2</v>
          </cell>
          <cell r="U50">
            <v>-3.1057130917557015E-2</v>
          </cell>
          <cell r="V50">
            <v>-2.1236959761549927E-2</v>
          </cell>
          <cell r="W50">
            <v>-7.5420614968091278E-3</v>
          </cell>
          <cell r="X50">
            <v>-8.0202617138032922E-2</v>
          </cell>
          <cell r="Y50">
            <v>-4.1030086322100624E-2</v>
          </cell>
          <cell r="Z50">
            <v>-7.0104533851950895E-2</v>
          </cell>
          <cell r="AA50">
            <v>-6.8553867974705987E-2</v>
          </cell>
          <cell r="AB50">
            <v>-7.1437523021224858E-2</v>
          </cell>
          <cell r="AC50">
            <v>-2.995331950207469E-2</v>
          </cell>
          <cell r="AD50">
            <v>-0.1284472565314343</v>
          </cell>
          <cell r="AE50">
            <v>-7.9231070403851314E-2</v>
          </cell>
          <cell r="AF50">
            <v>-6.2470409336969478E-2</v>
          </cell>
          <cell r="AG50">
            <v>-1.5530294526253798E-2</v>
          </cell>
          <cell r="AH50">
            <v>3.2089054175492994E-2</v>
          </cell>
          <cell r="AI50">
            <v>7.3718334591120177E-2</v>
          </cell>
          <cell r="AJ50">
            <v>0.13140020390308496</v>
          </cell>
          <cell r="AK50">
            <v>0.2039743931933585</v>
          </cell>
          <cell r="AL50">
            <v>0.29042382755792007</v>
          </cell>
          <cell r="AM50">
            <v>0.41654727068834863</v>
          </cell>
        </row>
        <row r="51">
          <cell r="M51">
            <v>-4.4674246057247818E-2</v>
          </cell>
          <cell r="N51">
            <v>-2.5584872170333825E-3</v>
          </cell>
          <cell r="O51">
            <v>-6.8753439340812975E-3</v>
          </cell>
          <cell r="P51">
            <v>-2.576491285073022E-2</v>
          </cell>
          <cell r="Q51">
            <v>-1.9968715167168319E-2</v>
          </cell>
          <cell r="R51">
            <v>-3.9641240855416975E-2</v>
          </cell>
          <cell r="S51">
            <v>-4.5982469191917154E-2</v>
          </cell>
          <cell r="T51">
            <v>-8.6016372002398089E-2</v>
          </cell>
          <cell r="U51">
            <v>-7.466274522685222E-2</v>
          </cell>
          <cell r="V51">
            <v>-7.5348727925271489E-2</v>
          </cell>
          <cell r="W51">
            <v>-8.3097248871833229E-2</v>
          </cell>
          <cell r="X51">
            <v>-7.0306372504748804E-2</v>
          </cell>
          <cell r="Y51">
            <v>-6.4612370168400324E-2</v>
          </cell>
          <cell r="Z51">
            <v>-4.5202975152090749E-2</v>
          </cell>
          <cell r="AA51">
            <v>-8.0653612306983702E-2</v>
          </cell>
          <cell r="AB51">
            <v>-7.6042270196533979E-2</v>
          </cell>
          <cell r="AC51">
            <v>-3.6402350456300837E-2</v>
          </cell>
          <cell r="AD51">
            <v>6.9828963650191145E-4</v>
          </cell>
          <cell r="AE51">
            <v>1.537144387474651E-2</v>
          </cell>
          <cell r="AF51">
            <v>1.4040629310706938E-2</v>
          </cell>
          <cell r="AG51">
            <v>1.3354347786648929E-2</v>
          </cell>
          <cell r="AH51">
            <v>1.1366141597629859E-2</v>
          </cell>
          <cell r="AI51">
            <v>1.4885512250787526E-2</v>
          </cell>
          <cell r="AJ51">
            <v>1.900419223049548E-2</v>
          </cell>
          <cell r="AK51">
            <v>2.5176689152053733E-2</v>
          </cell>
          <cell r="AL51">
            <v>3.5582815291613008E-2</v>
          </cell>
          <cell r="AM51">
            <v>5.0878461164555321E-2</v>
          </cell>
        </row>
        <row r="52">
          <cell r="M52">
            <v>0</v>
          </cell>
          <cell r="N52">
            <v>2.0089921837897755E-2</v>
          </cell>
          <cell r="O52">
            <v>4.7727592286115054E-2</v>
          </cell>
          <cell r="P52">
            <v>2.2236048575233393E-2</v>
          </cell>
          <cell r="Q52">
            <v>1.9986160227101729E-2</v>
          </cell>
          <cell r="R52">
            <v>-8.8947660857798417E-3</v>
          </cell>
          <cell r="S52">
            <v>-1.3795699354438801E-2</v>
          </cell>
          <cell r="T52">
            <v>-5.2924748784305899E-2</v>
          </cell>
          <cell r="U52">
            <v>-3.8051928365620054E-2</v>
          </cell>
          <cell r="V52">
            <v>-3.9419004099026017E-2</v>
          </cell>
          <cell r="W52">
            <v>-4.1583364287130081E-2</v>
          </cell>
          <cell r="X52">
            <v>-3.1220707825559274E-2</v>
          </cell>
          <cell r="Y52">
            <v>-2.6032982730252445E-2</v>
          </cell>
          <cell r="Z52">
            <v>-9.1866569315972521E-3</v>
          </cell>
          <cell r="AA52">
            <v>-4.4637294086490212E-2</v>
          </cell>
          <cell r="AB52">
            <v>-3.6897125110546158E-2</v>
          </cell>
          <cell r="AC52">
            <v>4.8964600622403783E-4</v>
          </cell>
          <cell r="AD52">
            <v>3.5059026151024825E-2</v>
          </cell>
          <cell r="AE52">
            <v>4.880514556117211E-2</v>
          </cell>
          <cell r="AF52">
            <v>4.5526518291534548E-2</v>
          </cell>
          <cell r="AG52">
            <v>4.5549696499287702E-2</v>
          </cell>
          <cell r="AH52">
            <v>4.445854147260038E-2</v>
          </cell>
          <cell r="AI52">
            <v>4.8981957381911155E-2</v>
          </cell>
          <cell r="AJ52">
            <v>5.4106672989626174E-2</v>
          </cell>
          <cell r="AK52">
            <v>6.1257868941173521E-2</v>
          </cell>
          <cell r="AL52">
            <v>7.255353029550364E-2</v>
          </cell>
          <cell r="AM52">
            <v>8.8962179567897454E-2</v>
          </cell>
        </row>
        <row r="53">
          <cell r="M53">
            <v>4.4674246057247818E-2</v>
          </cell>
          <cell r="N53">
            <v>2.2648409054931137E-2</v>
          </cell>
          <cell r="O53">
            <v>5.4602936220196352E-2</v>
          </cell>
          <cell r="P53">
            <v>4.8000961425963613E-2</v>
          </cell>
          <cell r="Q53">
            <v>3.9954875394270048E-2</v>
          </cell>
          <cell r="R53">
            <v>3.0746474769637135E-2</v>
          </cell>
          <cell r="S53">
            <v>3.2186769837478355E-2</v>
          </cell>
          <cell r="T53">
            <v>3.3091623218092191E-2</v>
          </cell>
          <cell r="U53">
            <v>3.6610816861232166E-2</v>
          </cell>
          <cell r="V53">
            <v>3.5929723826245472E-2</v>
          </cell>
          <cell r="W53">
            <v>4.1513884584703155E-2</v>
          </cell>
          <cell r="X53">
            <v>3.908566467918953E-2</v>
          </cell>
          <cell r="Y53">
            <v>3.8579387438147872E-2</v>
          </cell>
          <cell r="Z53">
            <v>3.6016318220493497E-2</v>
          </cell>
          <cell r="AA53">
            <v>3.6016318220493497E-2</v>
          </cell>
          <cell r="AB53">
            <v>3.9145145085987827E-2</v>
          </cell>
          <cell r="AC53">
            <v>3.6891996462524876E-2</v>
          </cell>
          <cell r="AD53">
            <v>3.4360736514522816E-2</v>
          </cell>
          <cell r="AE53">
            <v>3.3433701686425524E-2</v>
          </cell>
          <cell r="AF53">
            <v>3.1485888980827569E-2</v>
          </cell>
          <cell r="AG53">
            <v>3.2195348712638731E-2</v>
          </cell>
          <cell r="AH53">
            <v>3.3092399874970452E-2</v>
          </cell>
          <cell r="AI53">
            <v>3.4096445131123629E-2</v>
          </cell>
          <cell r="AJ53">
            <v>3.5102480759130653E-2</v>
          </cell>
          <cell r="AK53">
            <v>3.6081179789119754E-2</v>
          </cell>
          <cell r="AL53">
            <v>3.6970715003890632E-2</v>
          </cell>
          <cell r="AM53">
            <v>3.8083718403342071E-2</v>
          </cell>
        </row>
        <row r="54">
          <cell r="M54">
            <v>7.0580709679070763E-2</v>
          </cell>
          <cell r="N54">
            <v>-3.3239541488963298E-2</v>
          </cell>
          <cell r="O54">
            <v>4.5438836558563678E-3</v>
          </cell>
          <cell r="P54">
            <v>-7.4423264720943072E-3</v>
          </cell>
          <cell r="Q54">
            <v>7.4364651524940859E-2</v>
          </cell>
          <cell r="R54">
            <v>9.2993713359097563E-2</v>
          </cell>
          <cell r="S54">
            <v>0.13884859543148903</v>
          </cell>
          <cell r="T54">
            <v>0.14159497578603777</v>
          </cell>
          <cell r="U54">
            <v>0.10571987614440925</v>
          </cell>
          <cell r="V54">
            <v>9.6585687686821409E-2</v>
          </cell>
          <cell r="W54">
            <v>9.0639310368642395E-2</v>
          </cell>
          <cell r="X54">
            <v>0.1505089896427817</v>
          </cell>
          <cell r="Y54">
            <v>0.10564245649050097</v>
          </cell>
          <cell r="Z54">
            <v>0.11530750900404166</v>
          </cell>
          <cell r="AA54">
            <v>0.24987025176625108</v>
          </cell>
          <cell r="AB54">
            <v>0.11307065600166544</v>
          </cell>
          <cell r="AC54">
            <v>8.7402397014097161E-2</v>
          </cell>
          <cell r="AD54">
            <v>0.13646010920315865</v>
          </cell>
          <cell r="AE54">
            <v>5.0045342456286668E-2</v>
          </cell>
          <cell r="AF54">
            <v>5.8535918488287542E-2</v>
          </cell>
          <cell r="AG54">
            <v>9.6058877440574619E-3</v>
          </cell>
          <cell r="AH54">
            <v>-4.3013777361729011E-2</v>
          </cell>
          <cell r="AI54">
            <v>-8.84536310393087E-2</v>
          </cell>
          <cell r="AJ54">
            <v>-0.15065167947244451</v>
          </cell>
          <cell r="AK54">
            <v>-0.22903629872036924</v>
          </cell>
          <cell r="AL54">
            <v>-0.32600073748660702</v>
          </cell>
          <cell r="AM54">
            <v>-0.4674679299698688</v>
          </cell>
        </row>
        <row r="55">
          <cell r="M55">
            <v>0.18900553738535367</v>
          </cell>
          <cell r="N55">
            <v>0.14832290904135173</v>
          </cell>
          <cell r="O55">
            <v>0.15667306524772173</v>
          </cell>
          <cell r="P55">
            <v>0.16588781097673261</v>
          </cell>
          <cell r="Q55">
            <v>0.13589332805498816</v>
          </cell>
          <cell r="R55">
            <v>0.30118375889776561</v>
          </cell>
          <cell r="S55">
            <v>0.32364592759306626</v>
          </cell>
          <cell r="T55">
            <v>0.33965176716959761</v>
          </cell>
          <cell r="U55">
            <v>0.27088805755193718</v>
          </cell>
          <cell r="V55">
            <v>0.318213979615313</v>
          </cell>
          <cell r="W55">
            <v>0.28201074777194929</v>
          </cell>
          <cell r="X55">
            <v>0.30690665126160821</v>
          </cell>
          <cell r="Y55">
            <v>0.30128851781892224</v>
          </cell>
          <cell r="Z55">
            <v>0.27668999958383989</v>
          </cell>
          <cell r="AA55">
            <v>0.4112527423460493</v>
          </cell>
          <cell r="AB55">
            <v>0.37198709120053075</v>
          </cell>
          <cell r="AC55">
            <v>0.31416284362033198</v>
          </cell>
          <cell r="AD55">
            <v>0.38679854281311721</v>
          </cell>
          <cell r="AE55">
            <v>0.31002195320256865</v>
          </cell>
          <cell r="AF55">
            <v>0.30664605786734955</v>
          </cell>
          <cell r="AG55">
            <v>0.26711270585333347</v>
          </cell>
          <cell r="AH55">
            <v>0.22102593058966766</v>
          </cell>
          <cell r="AI55">
            <v>0.17502345006732847</v>
          </cell>
          <cell r="AJ55">
            <v>0.11196958180878448</v>
          </cell>
          <cell r="AK55">
            <v>3.2358980192006878E-2</v>
          </cell>
          <cell r="AL55">
            <v>-6.5380210163958785E-2</v>
          </cell>
          <cell r="AM55">
            <v>-0.20795450068374594</v>
          </cell>
        </row>
        <row r="56">
          <cell r="M56">
            <v>0.1184248277062829</v>
          </cell>
          <cell r="N56">
            <v>0.18156245053031503</v>
          </cell>
          <cell r="O56">
            <v>0.15212918159186536</v>
          </cell>
          <cell r="P56">
            <v>0.17333013744882692</v>
          </cell>
          <cell r="Q56">
            <v>6.1528676530047302E-2</v>
          </cell>
          <cell r="R56">
            <v>0.20819004553866804</v>
          </cell>
          <cell r="S56">
            <v>0.18479733216157723</v>
          </cell>
          <cell r="T56">
            <v>0.19805679138355983</v>
          </cell>
          <cell r="U56">
            <v>0.16516818140752793</v>
          </cell>
          <cell r="V56">
            <v>0.22162829192849159</v>
          </cell>
          <cell r="W56">
            <v>0.19137143740330689</v>
          </cell>
          <cell r="X56">
            <v>0.15639766161882651</v>
          </cell>
          <cell r="Y56">
            <v>0.19564606132842127</v>
          </cell>
          <cell r="Z56">
            <v>0.16138249057979823</v>
          </cell>
          <cell r="AA56">
            <v>0.16138249057979823</v>
          </cell>
          <cell r="AB56">
            <v>0.25891643519886531</v>
          </cell>
          <cell r="AC56">
            <v>0.22676044660623482</v>
          </cell>
          <cell r="AD56">
            <v>0.2503384336099585</v>
          </cell>
          <cell r="AE56">
            <v>0.25997661074628209</v>
          </cell>
          <cell r="AF56">
            <v>0.2481101393790619</v>
          </cell>
          <cell r="AG56">
            <v>0.25750681810927584</v>
          </cell>
          <cell r="AH56">
            <v>0.26403970795139664</v>
          </cell>
          <cell r="AI56">
            <v>0.2634770811066372</v>
          </cell>
          <cell r="AJ56">
            <v>0.2626212612812292</v>
          </cell>
          <cell r="AK56">
            <v>0.26139527891237613</v>
          </cell>
          <cell r="AL56">
            <v>0.26062052732264823</v>
          </cell>
          <cell r="AM56">
            <v>0.25951342928612281</v>
          </cell>
        </row>
        <row r="58">
          <cell r="E58">
            <v>96.309797055669605</v>
          </cell>
          <cell r="F58">
            <v>-154.88980839449334</v>
          </cell>
          <cell r="G58">
            <v>-25.622239383200128</v>
          </cell>
          <cell r="H58">
            <v>-76.42893944395091</v>
          </cell>
          <cell r="I58">
            <v>21.891899621874604</v>
          </cell>
          <cell r="J58">
            <v>3.6382927308405786</v>
          </cell>
          <cell r="K58">
            <v>2.23852692805686</v>
          </cell>
          <cell r="L58">
            <v>10.78390780414677</v>
          </cell>
          <cell r="M58">
            <v>22.643356434796711</v>
          </cell>
          <cell r="N58">
            <v>-11.147993873210227</v>
          </cell>
          <cell r="O58">
            <v>3.6821178439875109</v>
          </cell>
          <cell r="P58">
            <v>2.6876617453740437</v>
          </cell>
          <cell r="Q58">
            <v>0.40312550068641101</v>
          </cell>
          <cell r="R58">
            <v>1.8671052631578948</v>
          </cell>
          <cell r="S58">
            <v>8.4314285714285706</v>
          </cell>
          <cell r="T58">
            <v>9.3775510204081627</v>
          </cell>
          <cell r="U58">
            <v>8.4160206718346249</v>
          </cell>
          <cell r="V58">
            <v>7.3217821782178216</v>
          </cell>
          <cell r="W58">
            <v>10.164948453608247</v>
          </cell>
          <cell r="X58">
            <v>7.7392197125256672</v>
          </cell>
          <cell r="Y58">
            <v>12.906137184115524</v>
          </cell>
          <cell r="Z58">
            <v>4.7402733964248158</v>
          </cell>
          <cell r="AA58">
            <v>8.4734917733089574</v>
          </cell>
          <cell r="AB58">
            <v>5.4668483197093547</v>
          </cell>
          <cell r="AC58">
            <v>7.604395604395604</v>
          </cell>
          <cell r="AD58">
            <v>10.048653392745743</v>
          </cell>
          <cell r="AE58">
            <v>9.9818485530663779</v>
          </cell>
          <cell r="AF58">
            <v>8.8472975738290565</v>
          </cell>
          <cell r="AG58">
            <v>8.1162966917080972</v>
          </cell>
          <cell r="AH58">
            <v>9.8106674200903932</v>
          </cell>
          <cell r="AI58">
            <v>9.6526743494551059</v>
          </cell>
          <cell r="AJ58">
            <v>9.6447181568895282</v>
          </cell>
          <cell r="AK58">
            <v>9.7107481879811406</v>
          </cell>
          <cell r="AL58">
            <v>10.926283475821156</v>
          </cell>
          <cell r="AM58">
            <v>10.68937932414698</v>
          </cell>
        </row>
        <row r="59">
          <cell r="E59">
            <v>89.152453266464804</v>
          </cell>
          <cell r="F59">
            <v>-140.77597308667541</v>
          </cell>
          <cell r="G59">
            <v>-28.779146985201628</v>
          </cell>
          <cell r="H59">
            <v>-68.642571256267473</v>
          </cell>
          <cell r="I59">
            <v>20.601339982979635</v>
          </cell>
          <cell r="J59">
            <v>5.0526664812374964</v>
          </cell>
          <cell r="K59">
            <v>4.2550382184519648</v>
          </cell>
          <cell r="L59">
            <v>10.123063676384493</v>
          </cell>
          <cell r="M59">
            <v>18.381287382159901</v>
          </cell>
          <cell r="N59">
            <v>-10.972280825940459</v>
          </cell>
          <cell r="O59">
            <v>2.7439935779833839</v>
          </cell>
          <cell r="P59">
            <v>2.4273211127706373</v>
          </cell>
          <cell r="Q59">
            <v>0.36874306217807984</v>
          </cell>
          <cell r="R59">
            <v>2.5513157894736844</v>
          </cell>
          <cell r="S59">
            <v>7.7771428571428576</v>
          </cell>
          <cell r="T59">
            <v>9.5816326530612237</v>
          </cell>
          <cell r="U59">
            <v>8.5426356589147279</v>
          </cell>
          <cell r="V59">
            <v>7.0940594059405937</v>
          </cell>
          <cell r="W59">
            <v>9.1855670103092777</v>
          </cell>
          <cell r="X59">
            <v>7.6242299794661195</v>
          </cell>
          <cell r="Y59">
            <v>12.1985559566787</v>
          </cell>
          <cell r="Z59">
            <v>4.5162986330178763</v>
          </cell>
          <cell r="AA59">
            <v>8.7861060329067637</v>
          </cell>
          <cell r="AB59">
            <v>5.4196185286103544</v>
          </cell>
          <cell r="AC59">
            <v>7.4931318681318677</v>
          </cell>
          <cell r="AD59">
            <v>9.5801732881781625</v>
          </cell>
          <cell r="AE59">
            <v>9.7516213301397894</v>
          </cell>
          <cell r="AF59">
            <v>8.5890478817302682</v>
          </cell>
          <cell r="AG59">
            <v>7.8479268749779125</v>
          </cell>
          <cell r="AH59">
            <v>9.5413399594873596</v>
          </cell>
          <cell r="AI59">
            <v>9.3729505480410715</v>
          </cell>
          <cell r="AJ59">
            <v>9.3602151523056492</v>
          </cell>
          <cell r="AK59">
            <v>9.4326008802064436</v>
          </cell>
          <cell r="AL59">
            <v>10.608982545089585</v>
          </cell>
          <cell r="AM59">
            <v>10.378739847293168</v>
          </cell>
        </row>
        <row r="60">
          <cell r="B60" t="str">
            <v>Private investment/Investment (Real terms)</v>
          </cell>
          <cell r="E60">
            <v>0.61997408990854608</v>
          </cell>
          <cell r="F60">
            <v>0.49600390845990333</v>
          </cell>
          <cell r="G60">
            <v>0.6028192891384313</v>
          </cell>
          <cell r="H60">
            <v>0.58334513332198301</v>
          </cell>
          <cell r="I60">
            <v>0.31265933186056438</v>
          </cell>
          <cell r="J60">
            <v>0.15070569743180193</v>
          </cell>
          <cell r="K60">
            <v>0.59961531143003166</v>
          </cell>
          <cell r="L60">
            <v>0.70541290195847872</v>
          </cell>
          <cell r="M60">
            <v>0.72433652023248185</v>
          </cell>
          <cell r="N60">
            <v>0.77811104608456527</v>
          </cell>
          <cell r="O60">
            <v>0.69129906331223634</v>
          </cell>
          <cell r="P60">
            <v>0.70935906801964987</v>
          </cell>
          <cell r="Q60">
            <v>0.56659619450317122</v>
          </cell>
          <cell r="R60">
            <v>0.70315147407658418</v>
          </cell>
          <cell r="S60">
            <v>0.74827711280377218</v>
          </cell>
          <cell r="T60">
            <v>0.79551734725207246</v>
          </cell>
          <cell r="U60">
            <v>0.75828262339418528</v>
          </cell>
          <cell r="V60">
            <v>0.83316430020283971</v>
          </cell>
          <cell r="W60">
            <v>0.80949854072698324</v>
          </cell>
          <cell r="X60">
            <v>0.80419580419580416</v>
          </cell>
          <cell r="Y60">
            <v>0.83784383318544808</v>
          </cell>
          <cell r="Z60">
            <v>0.85760517799352753</v>
          </cell>
          <cell r="AA60">
            <v>0.90230935371324139</v>
          </cell>
          <cell r="AB60">
            <v>0.87229046242774566</v>
          </cell>
          <cell r="AC60">
            <v>0.87085769980506822</v>
          </cell>
          <cell r="AD60">
            <v>0.88342319684418524</v>
          </cell>
          <cell r="AE60">
            <v>0.88410081550870678</v>
          </cell>
          <cell r="AF60">
            <v>0.88519276192972407</v>
          </cell>
          <cell r="AG60">
            <v>0.88556985775357189</v>
          </cell>
          <cell r="AH60">
            <v>0.88209797170367688</v>
          </cell>
          <cell r="AI60">
            <v>0.87861920315099495</v>
          </cell>
          <cell r="AJ60">
            <v>0.87523496176502036</v>
          </cell>
          <cell r="AK60">
            <v>0.87215903975440712</v>
          </cell>
          <cell r="AL60">
            <v>0.86831038756232726</v>
          </cell>
          <cell r="AM60">
            <v>0.86630977282749366</v>
          </cell>
        </row>
        <row r="61">
          <cell r="Z61">
            <v>0</v>
          </cell>
          <cell r="AA61">
            <v>0.65710792726058664</v>
          </cell>
          <cell r="AB61">
            <v>0.5877914321988974</v>
          </cell>
          <cell r="AC61">
            <v>0.64484559487591542</v>
          </cell>
          <cell r="AD61">
            <v>0.62393257165661131</v>
          </cell>
          <cell r="AE61">
            <v>0.53533113289746337</v>
          </cell>
          <cell r="AF61">
            <v>0.61341191110840676</v>
          </cell>
          <cell r="AG61">
            <v>0.36044184607569291</v>
          </cell>
          <cell r="AH61">
            <v>0.67770226802179512</v>
          </cell>
          <cell r="AI61">
            <v>0.75006788927339452</v>
          </cell>
          <cell r="AJ61">
            <v>0.83484969167488898</v>
          </cell>
          <cell r="AK61">
            <v>0.96808394225177974</v>
          </cell>
          <cell r="AL61">
            <v>1.1867213299664572</v>
          </cell>
          <cell r="AM61">
            <v>1.5201108093994851</v>
          </cell>
        </row>
        <row r="62">
          <cell r="B62" t="str">
            <v>Priv. Cons/Net Disposable Income (constant prices)</v>
          </cell>
          <cell r="E62">
            <v>0.60730486232901892</v>
          </cell>
          <cell r="F62">
            <v>0.63384150247158677</v>
          </cell>
          <cell r="G62">
            <v>0.68538215343439857</v>
          </cell>
          <cell r="H62">
            <v>0.73835792291170654</v>
          </cell>
          <cell r="I62">
            <v>0.77164886017532774</v>
          </cell>
          <cell r="J62">
            <v>0.71760370196255918</v>
          </cell>
          <cell r="K62">
            <v>0.71562437247108357</v>
          </cell>
          <cell r="L62">
            <v>0.74605522330047835</v>
          </cell>
          <cell r="M62">
            <v>0.72972375872187989</v>
          </cell>
          <cell r="N62">
            <v>0.65757046277867537</v>
          </cell>
          <cell r="O62">
            <v>0.54914857667301709</v>
          </cell>
          <cell r="P62">
            <v>0.50322154332186597</v>
          </cell>
          <cell r="Q62">
            <v>0.64474119661547513</v>
          </cell>
          <cell r="R62">
            <v>0.56634836428764823</v>
          </cell>
          <cell r="S62">
            <v>0.61948530777747801</v>
          </cell>
          <cell r="T62">
            <v>0.63756163854791881</v>
          </cell>
          <cell r="U62">
            <v>0.68380340414378971</v>
          </cell>
          <cell r="V62">
            <v>0.65359692757230059</v>
          </cell>
          <cell r="W62">
            <v>0.68193202446977774</v>
          </cell>
          <cell r="X62">
            <v>0.67346860581912027</v>
          </cell>
          <cell r="Y62">
            <v>0.68026851757299056</v>
          </cell>
          <cell r="Z62">
            <v>0.6487357550327193</v>
          </cell>
          <cell r="AA62">
            <v>0.45443057716039847</v>
          </cell>
          <cell r="AB62">
            <v>0.53677376793115428</v>
          </cell>
          <cell r="AC62">
            <v>0.53283530634965381</v>
          </cell>
          <cell r="AD62">
            <v>0.56946188314461998</v>
          </cell>
          <cell r="AE62">
            <v>0.62311751465535459</v>
          </cell>
          <cell r="AF62">
            <v>0.62008250738428661</v>
          </cell>
          <cell r="AG62">
            <v>0.63901118734527373</v>
          </cell>
          <cell r="AH62">
            <v>0.65899692109479657</v>
          </cell>
          <cell r="AI62">
            <v>0.68030554541692478</v>
          </cell>
          <cell r="AJ62">
            <v>0.71007248682118196</v>
          </cell>
          <cell r="AK62">
            <v>0.76333879612292566</v>
          </cell>
          <cell r="AL62">
            <v>0.8289068198483539</v>
          </cell>
          <cell r="AM62">
            <v>0.93296136098731264</v>
          </cell>
        </row>
        <row r="64">
          <cell r="B64" t="str">
            <v>VALUE ADDED</v>
          </cell>
        </row>
        <row r="66">
          <cell r="E66">
            <v>3.9884935339351557E-3</v>
          </cell>
          <cell r="F66">
            <v>-2.2820153113860542E-3</v>
          </cell>
          <cell r="G66">
            <v>-9.2689229435782838E-3</v>
          </cell>
          <cell r="H66">
            <v>-2.9604154766882385E-3</v>
          </cell>
          <cell r="I66">
            <v>8.4855058879851342E-3</v>
          </cell>
          <cell r="J66">
            <v>3.4555948261267844E-2</v>
          </cell>
          <cell r="K66">
            <v>3.7014359136246844E-2</v>
          </cell>
          <cell r="L66">
            <v>1.5716374576372427E-2</v>
          </cell>
          <cell r="M66">
            <v>9.6085070918361382E-3</v>
          </cell>
          <cell r="N66">
            <v>-1.7448150947402596E-2</v>
          </cell>
          <cell r="O66">
            <v>8.5782077021354208E-2</v>
          </cell>
          <cell r="P66">
            <v>6.9087241553202228E-2</v>
          </cell>
          <cell r="Q66">
            <v>0.59449685534591201</v>
          </cell>
          <cell r="R66">
            <v>7.4943299477369107E-2</v>
          </cell>
          <cell r="S66">
            <v>3.2107146133382169E-2</v>
          </cell>
          <cell r="T66">
            <v>2.6131010576837532E-2</v>
          </cell>
          <cell r="U66">
            <v>3.3521004763967133E-2</v>
          </cell>
          <cell r="V66">
            <v>3.3858531679517245E-2</v>
          </cell>
          <cell r="W66">
            <v>3.145265888456561E-2</v>
          </cell>
          <cell r="X66">
            <v>3.8274127632819788E-2</v>
          </cell>
          <cell r="Y66">
            <v>2.0967375671788746E-2</v>
          </cell>
          <cell r="Z66">
            <v>7.0507117437722311E-2</v>
          </cell>
          <cell r="AA66">
            <v>3.7883509938361426E-2</v>
          </cell>
          <cell r="AB66">
            <v>7.3468570665954802E-2</v>
          </cell>
          <cell r="AC66">
            <v>4.525393174613046E-2</v>
          </cell>
          <cell r="AD66">
            <v>3.6432911018659198E-2</v>
          </cell>
          <cell r="AE66">
            <v>3.6746235499263813E-2</v>
          </cell>
          <cell r="AF66">
            <v>4.0243576180632123E-2</v>
          </cell>
          <cell r="AG66">
            <v>4.5245711731821903E-2</v>
          </cell>
          <cell r="AH66">
            <v>3.9206064916911698E-2</v>
          </cell>
          <cell r="AI66">
            <v>4.0962106532936193E-2</v>
          </cell>
          <cell r="AJ66">
            <v>4.2340166422001557E-2</v>
          </cell>
          <cell r="AK66">
            <v>4.3695248227877848E-2</v>
          </cell>
          <cell r="AL66">
            <v>4.03129781135243E-2</v>
          </cell>
          <cell r="AM66">
            <v>4.2195706109819042E-2</v>
          </cell>
        </row>
        <row r="67">
          <cell r="E67">
            <v>-8.3489468263032829E-2</v>
          </cell>
          <cell r="F67">
            <v>-6.243396789561384E-2</v>
          </cell>
          <cell r="G67">
            <v>-1.71172014196741E-2</v>
          </cell>
          <cell r="H67">
            <v>-2.8155580886338738E-2</v>
          </cell>
          <cell r="I67">
            <v>-4.3460758226852025E-3</v>
          </cell>
          <cell r="J67">
            <v>5.6323380531756673E-2</v>
          </cell>
          <cell r="K67">
            <v>3.6579606042364432E-2</v>
          </cell>
          <cell r="L67">
            <v>-9.8585614443621461E-3</v>
          </cell>
          <cell r="M67">
            <v>-0.20868909080345133</v>
          </cell>
          <cell r="N67">
            <v>7.8750000000000098E-2</v>
          </cell>
          <cell r="O67">
            <v>0.16570104287369647</v>
          </cell>
          <cell r="P67">
            <v>3.6282306163021971E-2</v>
          </cell>
          <cell r="Q67">
            <v>1.342925659472427E-2</v>
          </cell>
          <cell r="R67">
            <v>0.13440605773781344</v>
          </cell>
          <cell r="S67">
            <v>1.0012515644555631E-2</v>
          </cell>
          <cell r="T67">
            <v>6.8979760429574544E-2</v>
          </cell>
          <cell r="U67">
            <v>-1.9706336939721791E-2</v>
          </cell>
          <cell r="V67">
            <v>2.2073314938904298E-2</v>
          </cell>
          <cell r="W67">
            <v>7.1731585036637124E-2</v>
          </cell>
          <cell r="X67">
            <v>3.8862900323857419E-2</v>
          </cell>
          <cell r="Y67">
            <v>-8.3131278143401488E-2</v>
          </cell>
          <cell r="Z67">
            <v>0.12353607857952409</v>
          </cell>
          <cell r="AA67">
            <v>1.6812373907195699E-3</v>
          </cell>
          <cell r="AB67">
            <v>0.13192346424974821</v>
          </cell>
          <cell r="AC67">
            <v>1.720047449584805E-2</v>
          </cell>
          <cell r="AD67">
            <v>4.7351895043731718E-2</v>
          </cell>
          <cell r="AE67">
            <v>4.347547071924085E-2</v>
          </cell>
          <cell r="AF67">
            <v>2.4463470847740476E-2</v>
          </cell>
          <cell r="AG67">
            <v>4.9038426447772565E-2</v>
          </cell>
          <cell r="AH67">
            <v>4.5005739239134535E-2</v>
          </cell>
          <cell r="AI67">
            <v>4.9818261512992512E-2</v>
          </cell>
          <cell r="AJ67">
            <v>5.2307053761522226E-2</v>
          </cell>
          <cell r="AK67">
            <v>5.5643383837927773E-2</v>
          </cell>
          <cell r="AL67">
            <v>6.0117259922110033E-2</v>
          </cell>
          <cell r="AM67">
            <v>6.6099134021481376E-2</v>
          </cell>
        </row>
        <row r="68">
          <cell r="E68">
            <v>5.009042340512293E-2</v>
          </cell>
          <cell r="F68">
            <v>-2.7622990177831208E-2</v>
          </cell>
          <cell r="G68">
            <v>-6.1282684984927949E-2</v>
          </cell>
          <cell r="H68">
            <v>-3.422012071557845E-2</v>
          </cell>
          <cell r="I68">
            <v>1.9608077850000738E-2</v>
          </cell>
          <cell r="J68">
            <v>-8.7724565791347242E-4</v>
          </cell>
          <cell r="K68">
            <v>4.1870366831703532E-2</v>
          </cell>
          <cell r="L68">
            <v>5.408166809730508E-2</v>
          </cell>
          <cell r="M68">
            <v>3.4698924482083449E-2</v>
          </cell>
          <cell r="N68">
            <v>6.4370471074368218E-2</v>
          </cell>
          <cell r="O68">
            <v>-4.9000000000000044E-2</v>
          </cell>
          <cell r="P68">
            <v>0.1608832807570979</v>
          </cell>
          <cell r="Q68">
            <v>0.73460144927536231</v>
          </cell>
          <cell r="R68">
            <v>8.2506527415143527E-2</v>
          </cell>
          <cell r="S68">
            <v>3.8591413410515862E-3</v>
          </cell>
          <cell r="T68">
            <v>-9.7068716962998569E-2</v>
          </cell>
          <cell r="U68">
            <v>7.8233102714209579E-2</v>
          </cell>
          <cell r="V68">
            <v>9.5755182625863799E-2</v>
          </cell>
          <cell r="W68">
            <v>-3.2432432432432434E-2</v>
          </cell>
          <cell r="X68">
            <v>3.0726256983240274E-2</v>
          </cell>
          <cell r="Y68">
            <v>8.9430894308943021E-2</v>
          </cell>
          <cell r="Z68">
            <v>3.8557213930348277E-2</v>
          </cell>
          <cell r="AA68">
            <v>9.4211576846307432E-2</v>
          </cell>
          <cell r="AB68">
            <v>2.7727106895293785E-2</v>
          </cell>
          <cell r="AC68">
            <v>1.3489527866524575E-2</v>
          </cell>
          <cell r="AD68">
            <v>3.8448949112536823E-2</v>
          </cell>
          <cell r="AE68">
            <v>3.5356613683831473E-2</v>
          </cell>
          <cell r="AF68">
            <v>6.1589109097176076E-2</v>
          </cell>
          <cell r="AG68">
            <v>5.4706740791234942E-2</v>
          </cell>
          <cell r="AH68">
            <v>6.5540448678937935E-2</v>
          </cell>
          <cell r="AI68">
            <v>6.8088035413032877E-2</v>
          </cell>
          <cell r="AJ68">
            <v>7.0912112301914965E-2</v>
          </cell>
          <cell r="AK68">
            <v>7.2395213080448828E-2</v>
          </cell>
          <cell r="AL68">
            <v>5.0256493713177086E-2</v>
          </cell>
          <cell r="AM68">
            <v>5.1939716015206194E-2</v>
          </cell>
        </row>
        <row r="69">
          <cell r="E69">
            <v>0.12617739544162943</v>
          </cell>
          <cell r="F69">
            <v>3.9005543271597221E-2</v>
          </cell>
          <cell r="G69">
            <v>4.4435526665604907E-3</v>
          </cell>
          <cell r="H69">
            <v>1.4593226252114011E-2</v>
          </cell>
          <cell r="I69">
            <v>1.5895150571957117E-2</v>
          </cell>
          <cell r="J69">
            <v>5.208045055867605E-2</v>
          </cell>
          <cell r="K69">
            <v>6.7986250420394523E-2</v>
          </cell>
          <cell r="L69">
            <v>9.4581498716732604E-3</v>
          </cell>
          <cell r="M69">
            <v>3.5532632561513067E-2</v>
          </cell>
          <cell r="N69">
            <v>0.10193664165462124</v>
          </cell>
          <cell r="O69">
            <v>-4.1059602649006655E-2</v>
          </cell>
          <cell r="P69">
            <v>9.2541436464088411E-2</v>
          </cell>
          <cell r="Q69">
            <v>0.76991150442477885</v>
          </cell>
          <cell r="R69">
            <v>6.4285714285714279E-2</v>
          </cell>
          <cell r="S69">
            <v>-1.9463087248322131E-2</v>
          </cell>
          <cell r="T69">
            <v>-0.161533196440794</v>
          </cell>
          <cell r="U69">
            <v>0.17959183673469381</v>
          </cell>
          <cell r="V69">
            <v>8.9273356401384119E-2</v>
          </cell>
          <cell r="W69">
            <v>-3.7484116899618836E-2</v>
          </cell>
          <cell r="X69">
            <v>3.630363036303641E-2</v>
          </cell>
          <cell r="Y69">
            <v>5.5414012738853602E-2</v>
          </cell>
          <cell r="Z69">
            <v>9.595654797827402E-2</v>
          </cell>
          <cell r="AA69">
            <v>5.2312775330396466E-2</v>
          </cell>
          <cell r="AB69">
            <v>2.982731554160134E-2</v>
          </cell>
          <cell r="AC69">
            <v>-5.5894308943089666E-3</v>
          </cell>
          <cell r="AD69">
            <v>2.4016351558507898E-2</v>
          </cell>
          <cell r="AE69">
            <v>3.0628742514970053E-2</v>
          </cell>
          <cell r="AF69">
            <v>5.0836165986525073E-2</v>
          </cell>
          <cell r="AG69">
            <v>5.1160812313665538E-2</v>
          </cell>
          <cell r="AH69">
            <v>5.1488493055882101E-2</v>
          </cell>
          <cell r="AI69">
            <v>5.1819042962592876E-2</v>
          </cell>
          <cell r="AJ69">
            <v>5.215228997949839E-2</v>
          </cell>
          <cell r="AK69">
            <v>5.2488055562582181E-2</v>
          </cell>
          <cell r="AL69">
            <v>5.2826155023789179E-2</v>
          </cell>
          <cell r="AM69">
            <v>5.3166397907246088E-2</v>
          </cell>
        </row>
        <row r="70">
          <cell r="E70">
            <v>8.6888964469034269E-2</v>
          </cell>
          <cell r="F70">
            <v>6.9167027437161188E-2</v>
          </cell>
          <cell r="G70">
            <v>1.8491727909354827E-2</v>
          </cell>
          <cell r="H70">
            <v>2.9960904000305488E-2</v>
          </cell>
          <cell r="I70">
            <v>1.4896044095440653E-2</v>
          </cell>
          <cell r="J70">
            <v>2.9811091410328228E-2</v>
          </cell>
          <cell r="K70">
            <v>3.5723501177853612E-2</v>
          </cell>
          <cell r="L70">
            <v>2.3283712863125139E-2</v>
          </cell>
          <cell r="M70">
            <v>0.17103022949174762</v>
          </cell>
          <cell r="N70">
            <v>-4.1254120657522542E-2</v>
          </cell>
          <cell r="O70">
            <v>9.2045765869643414E-2</v>
          </cell>
          <cell r="P70">
            <v>5.7079033029580506E-2</v>
          </cell>
          <cell r="Q70">
            <v>0.83935171929997665</v>
          </cell>
          <cell r="R70">
            <v>5.3704302814623128E-2</v>
          </cell>
          <cell r="S70">
            <v>5.280933374270802E-2</v>
          </cell>
          <cell r="T70">
            <v>5.0306211723534666E-2</v>
          </cell>
          <cell r="U70">
            <v>4.2065805914202503E-2</v>
          </cell>
          <cell r="V70">
            <v>2.1449507061017892E-2</v>
          </cell>
          <cell r="W70">
            <v>3.6781009521325236E-2</v>
          </cell>
          <cell r="X70">
            <v>3.9250220153478343E-2</v>
          </cell>
          <cell r="Y70">
            <v>3.9462534802082061E-2</v>
          </cell>
          <cell r="Z70">
            <v>6.1488296261791087E-2</v>
          </cell>
          <cell r="AA70">
            <v>3.609434997257277E-2</v>
          </cell>
          <cell r="AB70">
            <v>6.9885641677255306E-2</v>
          </cell>
          <cell r="AC70">
            <v>6.5221694378464035E-2</v>
          </cell>
          <cell r="AD70">
            <v>3.3415139264872717E-2</v>
          </cell>
          <cell r="AE70">
            <v>3.5837655083079234E-2</v>
          </cell>
          <cell r="AF70">
            <v>4.0619077455861463E-2</v>
          </cell>
          <cell r="AG70">
            <v>4.2300213018869437E-2</v>
          </cell>
          <cell r="AH70">
            <v>3.1117406550529525E-2</v>
          </cell>
          <cell r="AI70">
            <v>3.1384504748466435E-2</v>
          </cell>
          <cell r="AJ70">
            <v>3.1651239818548227E-2</v>
          </cell>
          <cell r="AK70">
            <v>3.1917527859323558E-2</v>
          </cell>
          <cell r="AL70">
            <v>3.1478358817119467E-2</v>
          </cell>
          <cell r="AM70">
            <v>3.1711231556751818E-2</v>
          </cell>
        </row>
        <row r="73">
          <cell r="E73">
            <v>0.90480351532358938</v>
          </cell>
          <cell r="F73">
            <v>0.89912143177338877</v>
          </cell>
          <cell r="G73">
            <v>0.90153115974074405</v>
          </cell>
          <cell r="H73">
            <v>0.90160849448951708</v>
          </cell>
          <cell r="I73">
            <v>0.90590405452051448</v>
          </cell>
          <cell r="J73">
            <v>0.89489109965183133</v>
          </cell>
          <cell r="K73">
            <v>0.89270049065225165</v>
          </cell>
          <cell r="L73">
            <v>0.88731389039954722</v>
          </cell>
          <cell r="M73">
            <v>0.87782270585858735</v>
          </cell>
          <cell r="N73">
            <v>0.8673420927655533</v>
          </cell>
          <cell r="O73">
            <v>0.87279102384291729</v>
          </cell>
          <cell r="P73">
            <v>0.86365812784294949</v>
          </cell>
          <cell r="Q73">
            <v>0.89464631262094174</v>
          </cell>
          <cell r="R73">
            <v>0.8950376721226293</v>
          </cell>
          <cell r="S73">
            <v>0.88548717141507949</v>
          </cell>
          <cell r="T73">
            <v>0.89301891819877433</v>
          </cell>
          <cell r="U73">
            <v>0.89248403080413108</v>
          </cell>
          <cell r="V73">
            <v>0.89157973174366612</v>
          </cell>
          <cell r="W73">
            <v>0.8814059176174821</v>
          </cell>
          <cell r="X73">
            <v>0.90215280709159984</v>
          </cell>
          <cell r="Y73">
            <v>0.89991692852241123</v>
          </cell>
          <cell r="Z73">
            <v>0.90394432964628657</v>
          </cell>
          <cell r="AA73">
            <v>0.9215471898823947</v>
          </cell>
          <cell r="AB73">
            <v>0.91062347999115634</v>
          </cell>
          <cell r="AC73">
            <v>0.90648340248962656</v>
          </cell>
          <cell r="AD73">
            <v>0.91643481102356139</v>
          </cell>
          <cell r="AE73">
            <v>0.89672263529344542</v>
          </cell>
          <cell r="AF73">
            <v>0.91001735687497098</v>
          </cell>
          <cell r="AG73">
            <v>0.90377247778660474</v>
          </cell>
          <cell r="AH73">
            <v>0.89336112835962889</v>
          </cell>
          <cell r="AI73">
            <v>0.88182053736020227</v>
          </cell>
          <cell r="AJ73">
            <v>0.86861008042257237</v>
          </cell>
          <cell r="AK73">
            <v>0.85748194536712119</v>
          </cell>
          <cell r="AL73">
            <v>0.85361633867098741</v>
          </cell>
          <cell r="AM73">
            <v>0.84816187825718237</v>
          </cell>
        </row>
        <row r="74">
          <cell r="E74">
            <v>0.36269016857266939</v>
          </cell>
          <cell r="F74">
            <v>0.33018978947864447</v>
          </cell>
          <cell r="G74">
            <v>0.30879596610159438</v>
          </cell>
          <cell r="H74">
            <v>0.30288034057184182</v>
          </cell>
          <cell r="I74">
            <v>0.3587372876905674</v>
          </cell>
          <cell r="J74">
            <v>0.34902293176250843</v>
          </cell>
          <cell r="K74">
            <v>0.31043535882550644</v>
          </cell>
          <cell r="L74">
            <v>0.33929457583527811</v>
          </cell>
          <cell r="M74">
            <v>0.33581430122372413</v>
          </cell>
          <cell r="N74">
            <v>0.27323096406522085</v>
          </cell>
          <cell r="O74">
            <v>0.26325385694249648</v>
          </cell>
          <cell r="P74">
            <v>0.21307158247546085</v>
          </cell>
          <cell r="Q74">
            <v>0.17275854654912923</v>
          </cell>
          <cell r="R74">
            <v>0.22239542738373602</v>
          </cell>
          <cell r="S74">
            <v>0.19053990240831103</v>
          </cell>
          <cell r="T74">
            <v>0.20909938715694112</v>
          </cell>
          <cell r="U74">
            <v>0.20046564384215868</v>
          </cell>
          <cell r="V74">
            <v>0.1955503512880562</v>
          </cell>
          <cell r="W74">
            <v>0.19440146973506092</v>
          </cell>
          <cell r="X74">
            <v>0.20907555930772478</v>
          </cell>
          <cell r="Y74">
            <v>0.22552100263661645</v>
          </cell>
          <cell r="Z74">
            <v>0.23881730886106722</v>
          </cell>
          <cell r="AA74">
            <v>0.19342828438035578</v>
          </cell>
          <cell r="AB74">
            <v>0.19094074729162061</v>
          </cell>
          <cell r="AC74">
            <v>0.19805497925311202</v>
          </cell>
          <cell r="AD74">
            <v>0.20904110207671484</v>
          </cell>
          <cell r="AE74">
            <v>0.20733878384486545</v>
          </cell>
          <cell r="AF74">
            <v>0.20669363278228586</v>
          </cell>
          <cell r="AG74">
            <v>0.20499112280022636</v>
          </cell>
          <cell r="AH74">
            <v>0.20241348651981064</v>
          </cell>
          <cell r="AI74">
            <v>0.20028514336013548</v>
          </cell>
          <cell r="AJ74">
            <v>0.19786500242455779</v>
          </cell>
          <cell r="AK74">
            <v>0.19593132682375294</v>
          </cell>
          <cell r="AL74">
            <v>0.19728039747799178</v>
          </cell>
          <cell r="AM74">
            <v>0.19849618032321328</v>
          </cell>
        </row>
        <row r="75">
          <cell r="E75">
            <v>0.17293945193625576</v>
          </cell>
          <cell r="F75">
            <v>0.16767627121098055</v>
          </cell>
          <cell r="G75">
            <v>0.1681942070515304</v>
          </cell>
          <cell r="H75">
            <v>0.15509560394405858</v>
          </cell>
          <cell r="I75">
            <v>0.14302841083886203</v>
          </cell>
          <cell r="J75">
            <v>0.13871944777393194</v>
          </cell>
          <cell r="K75">
            <v>0.14406603595889861</v>
          </cell>
          <cell r="L75">
            <v>0.14246076712432848</v>
          </cell>
          <cell r="M75">
            <v>0.14135194825988365</v>
          </cell>
          <cell r="N75">
            <v>0.1583029919265474</v>
          </cell>
          <cell r="O75">
            <v>0.14810659186535766</v>
          </cell>
          <cell r="P75">
            <v>0.16363418721570505</v>
          </cell>
          <cell r="Q75">
            <v>0.17114599010965384</v>
          </cell>
          <cell r="R75">
            <v>0.16471810859963626</v>
          </cell>
          <cell r="S75">
            <v>0.1637808909176767</v>
          </cell>
          <cell r="T75">
            <v>0.13962163602451372</v>
          </cell>
          <cell r="U75">
            <v>0.1459614351382007</v>
          </cell>
          <cell r="V75">
            <v>0.16074089844581649</v>
          </cell>
          <cell r="W75">
            <v>0.14972925933088377</v>
          </cell>
          <cell r="X75">
            <v>0.14554664415365132</v>
          </cell>
          <cell r="Y75">
            <v>0.14494166937551919</v>
          </cell>
          <cell r="Z75">
            <v>0.14841375957214051</v>
          </cell>
          <cell r="AA75">
            <v>0.17436912712014657</v>
          </cell>
          <cell r="AB75">
            <v>0.17460756135308422</v>
          </cell>
          <cell r="AC75">
            <v>0.17406639004149377</v>
          </cell>
          <cell r="AD75">
            <v>0.17253855310249089</v>
          </cell>
          <cell r="AE75">
            <v>0.16898213881262003</v>
          </cell>
          <cell r="AF75">
            <v>0.17682145593746668</v>
          </cell>
          <cell r="AG75">
            <v>0.1777903051774305</v>
          </cell>
          <cell r="AH75">
            <v>0.18213410073055566</v>
          </cell>
          <cell r="AI75">
            <v>0.18655102911233193</v>
          </cell>
          <cell r="AJ75">
            <v>0.19113765262769536</v>
          </cell>
          <cell r="AK75">
            <v>0.19641908340084574</v>
          </cell>
          <cell r="AL75">
            <v>0.19826601144771561</v>
          </cell>
          <cell r="AM75">
            <v>0.2000460414925985</v>
          </cell>
        </row>
        <row r="76">
          <cell r="E76">
            <v>0.1019365761211667</v>
          </cell>
          <cell r="F76">
            <v>0.10554891195686748</v>
          </cell>
          <cell r="G76">
            <v>0.10965525328452966</v>
          </cell>
          <cell r="H76">
            <v>0.1076424376684382</v>
          </cell>
          <cell r="I76">
            <v>0.10029254807794528</v>
          </cell>
          <cell r="J76">
            <v>0.10229380483807091</v>
          </cell>
          <cell r="K76">
            <v>0.1116388094007414</v>
          </cell>
          <cell r="L76">
            <v>0.10448261543943056</v>
          </cell>
          <cell r="M76">
            <v>0.10491757239110501</v>
          </cell>
          <cell r="N76">
            <v>0.11951875890454329</v>
          </cell>
          <cell r="O76">
            <v>0.11304347826086956</v>
          </cell>
          <cell r="P76">
            <v>0.11862580799616949</v>
          </cell>
          <cell r="Q76">
            <v>0.12653192861750162</v>
          </cell>
          <cell r="R76">
            <v>0.11786611241014983</v>
          </cell>
          <cell r="S76">
            <v>0.11498504643475524</v>
          </cell>
          <cell r="T76">
            <v>8.8995470290434323E-2</v>
          </cell>
          <cell r="U76">
            <v>9.8800071637514184E-2</v>
          </cell>
          <cell r="V76">
            <v>0.10863317010857994</v>
          </cell>
          <cell r="W76">
            <v>0.10027074066911623</v>
          </cell>
          <cell r="X76">
            <v>0.10008442380751371</v>
          </cell>
          <cell r="Y76">
            <v>9.4051359843970089E-2</v>
          </cell>
          <cell r="Z76">
            <v>0.10043150601677403</v>
          </cell>
          <cell r="AA76">
            <v>0.11435494356125525</v>
          </cell>
          <cell r="AB76">
            <v>0.11057373424718107</v>
          </cell>
          <cell r="AC76">
            <v>0.10679460580912863</v>
          </cell>
          <cell r="AD76">
            <v>0.10516997002492454</v>
          </cell>
          <cell r="AE76">
            <v>0.10109745770778852</v>
          </cell>
          <cell r="AF76">
            <v>0.10372097927719436</v>
          </cell>
          <cell r="AG76">
            <v>0.10387513245998156</v>
          </cell>
          <cell r="AH76">
            <v>0.10370242648115401</v>
          </cell>
          <cell r="AI76">
            <v>0.10327368620433099</v>
          </cell>
          <cell r="AJ76">
            <v>0.10261936112665278</v>
          </cell>
          <cell r="AK76">
            <v>0.10213097597126211</v>
          </cell>
          <cell r="AL76">
            <v>0.10326113353760757</v>
          </cell>
          <cell r="AM76">
            <v>0.10421384723730832</v>
          </cell>
        </row>
        <row r="77">
          <cell r="E77">
            <v>0.36917389481466428</v>
          </cell>
          <cell r="F77">
            <v>0.40125537108376375</v>
          </cell>
          <cell r="G77">
            <v>0.42454098658761924</v>
          </cell>
          <cell r="H77">
            <v>0.44363254997361673</v>
          </cell>
          <cell r="I77">
            <v>0.404138355991085</v>
          </cell>
          <cell r="J77">
            <v>0.40714872011539094</v>
          </cell>
          <cell r="K77">
            <v>0.43819909586784667</v>
          </cell>
          <cell r="L77">
            <v>0.40555854743994063</v>
          </cell>
          <cell r="M77">
            <v>0.40065645637497965</v>
          </cell>
          <cell r="N77">
            <v>0.46089823301627919</v>
          </cell>
          <cell r="O77">
            <v>0.49282776528686845</v>
          </cell>
          <cell r="P77">
            <v>0.51740070624850365</v>
          </cell>
          <cell r="Q77">
            <v>0.56063212212427438</v>
          </cell>
          <cell r="R77">
            <v>0.51545856066510787</v>
          </cell>
          <cell r="S77">
            <v>0.53974500236108924</v>
          </cell>
          <cell r="T77">
            <v>0.55508926192379426</v>
          </cell>
          <cell r="U77">
            <v>0.55853381887648501</v>
          </cell>
          <cell r="V77">
            <v>0.54678518203108362</v>
          </cell>
          <cell r="W77">
            <v>0.54979694449816285</v>
          </cell>
          <cell r="X77">
            <v>0.55905445335584636</v>
          </cell>
          <cell r="Y77">
            <v>0.5413732076425759</v>
          </cell>
          <cell r="Z77">
            <v>0.52762246262307033</v>
          </cell>
          <cell r="AA77">
            <v>0.56651498138407896</v>
          </cell>
          <cell r="AB77">
            <v>0.55596396197214237</v>
          </cell>
          <cell r="AC77">
            <v>0.54587655601659746</v>
          </cell>
          <cell r="AD77">
            <v>0.54676668156967567</v>
          </cell>
          <cell r="AE77">
            <v>0.53238813281992992</v>
          </cell>
          <cell r="AF77">
            <v>0.53911867837834548</v>
          </cell>
          <cell r="AG77">
            <v>0.53394937017197985</v>
          </cell>
          <cell r="AH77">
            <v>0.52207652802265592</v>
          </cell>
          <cell r="AI77">
            <v>0.50852079824940577</v>
          </cell>
          <cell r="AJ77">
            <v>0.49338752800340335</v>
          </cell>
          <cell r="AK77">
            <v>0.47917697401143916</v>
          </cell>
          <cell r="AL77">
            <v>0.47260828604831423</v>
          </cell>
          <cell r="AM77">
            <v>0.46463551735489916</v>
          </cell>
        </row>
        <row r="80">
          <cell r="E80">
            <v>0.87870000000000004</v>
          </cell>
          <cell r="F80">
            <v>1.0875999999999999</v>
          </cell>
          <cell r="G80">
            <v>1.1146</v>
          </cell>
          <cell r="H80">
            <v>1.4761</v>
          </cell>
          <cell r="I80">
            <v>2.2343999999999999</v>
          </cell>
          <cell r="J80">
            <v>2.2919</v>
          </cell>
          <cell r="K80">
            <v>2.0385</v>
          </cell>
          <cell r="L80">
            <v>2.2770000000000001</v>
          </cell>
          <cell r="M80">
            <v>2.6317200000000001</v>
          </cell>
          <cell r="N80">
            <v>2.5872999999999999</v>
          </cell>
          <cell r="O80">
            <v>2.76132</v>
          </cell>
          <cell r="P80">
            <v>2.8520099999999999</v>
          </cell>
          <cell r="Q80">
            <v>3.2677399999999999</v>
          </cell>
          <cell r="R80">
            <v>3.5508000000000002</v>
          </cell>
          <cell r="S80">
            <v>3.64</v>
          </cell>
          <cell r="T80">
            <v>4.3</v>
          </cell>
          <cell r="U80">
            <v>4.5</v>
          </cell>
          <cell r="V80">
            <v>5.5309999999999997</v>
          </cell>
          <cell r="W80">
            <v>6.11</v>
          </cell>
          <cell r="X80">
            <v>6.9519000000000002</v>
          </cell>
          <cell r="Y80">
            <v>8.6</v>
          </cell>
          <cell r="Z80">
            <v>10.52</v>
          </cell>
          <cell r="AA80">
            <v>7.52</v>
          </cell>
          <cell r="AB80">
            <v>6.4527083333333337</v>
          </cell>
          <cell r="AC80">
            <v>6.3805440903793196</v>
          </cell>
          <cell r="AD80">
            <v>6.3805440903793196</v>
          </cell>
          <cell r="AE80">
            <v>6.3805440903793196</v>
          </cell>
          <cell r="AF80">
            <v>6.3805440903793196</v>
          </cell>
          <cell r="AG80">
            <v>6.3805440903793196</v>
          </cell>
          <cell r="AH80">
            <v>6.3805440903793196</v>
          </cell>
          <cell r="AI80">
            <v>6.3805440903793196</v>
          </cell>
          <cell r="AJ80">
            <v>6.3805440903793196</v>
          </cell>
          <cell r="AK80">
            <v>6.3805440903793196</v>
          </cell>
          <cell r="AL80">
            <v>6.3805440903793196</v>
          </cell>
          <cell r="AM80">
            <v>6.3805440903793196</v>
          </cell>
        </row>
        <row r="81">
          <cell r="E81" t="str">
            <v xml:space="preserve"> </v>
          </cell>
          <cell r="F81">
            <v>0.23773756686013403</v>
          </cell>
          <cell r="G81">
            <v>2.4825303420375366E-2</v>
          </cell>
          <cell r="H81">
            <v>0.3243315987798312</v>
          </cell>
          <cell r="I81">
            <v>0.51371858275184601</v>
          </cell>
          <cell r="J81">
            <v>2.573397780164699E-2</v>
          </cell>
          <cell r="K81">
            <v>-0.11056328810157512</v>
          </cell>
          <cell r="L81">
            <v>0.11699779249448139</v>
          </cell>
          <cell r="M81">
            <v>0.15578392621870885</v>
          </cell>
          <cell r="N81">
            <v>-1.6878695301931868E-2</v>
          </cell>
          <cell r="O81">
            <v>6.7259305067058239E-2</v>
          </cell>
          <cell r="P81">
            <v>3.2842988136108753E-2</v>
          </cell>
          <cell r="Q81">
            <v>0.14576737108214899</v>
          </cell>
          <cell r="R81">
            <v>8.6622558710301334E-2</v>
          </cell>
          <cell r="S81">
            <v>2.5121099470541752E-2</v>
          </cell>
          <cell r="T81">
            <v>0.18131868131868112</v>
          </cell>
          <cell r="U81">
            <v>4.6511627906976827E-2</v>
          </cell>
          <cell r="V81">
            <v>0.22911111111111104</v>
          </cell>
          <cell r="W81">
            <v>0.10468269752305193</v>
          </cell>
          <cell r="X81">
            <v>0.13779050736497545</v>
          </cell>
          <cell r="Y81">
            <v>0.23707187963002907</v>
          </cell>
          <cell r="Z81">
            <v>0.22325581395348837</v>
          </cell>
          <cell r="AA81">
            <v>-0.28517110266159695</v>
          </cell>
          <cell r="AB81">
            <v>-0.14192708333333326</v>
          </cell>
          <cell r="AC81">
            <v>-1.1183558782787206E-2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</row>
        <row r="82">
          <cell r="E82">
            <v>0.95830000000000004</v>
          </cell>
          <cell r="F82">
            <v>1.0741000000000001</v>
          </cell>
          <cell r="G82">
            <v>1.2224999999999999</v>
          </cell>
          <cell r="H82">
            <v>1.9901</v>
          </cell>
          <cell r="I82">
            <v>2.5707</v>
          </cell>
          <cell r="J82">
            <v>2.1871999999999998</v>
          </cell>
          <cell r="K82">
            <v>1.9305000000000001</v>
          </cell>
          <cell r="L82">
            <v>2.38</v>
          </cell>
          <cell r="M82">
            <v>2.5329999999999999</v>
          </cell>
          <cell r="N82">
            <v>2.5625</v>
          </cell>
          <cell r="O82">
            <v>2.7430300000000001</v>
          </cell>
          <cell r="P82">
            <v>3.0529999999999999</v>
          </cell>
          <cell r="Q82">
            <v>3.3975</v>
          </cell>
          <cell r="R82">
            <v>3.5434999999999999</v>
          </cell>
          <cell r="S82">
            <v>3.6475</v>
          </cell>
          <cell r="T82">
            <v>4.6816000000000004</v>
          </cell>
          <cell r="U82">
            <v>4.8707000000000003</v>
          </cell>
          <cell r="V82">
            <v>5.8856999999999999</v>
          </cell>
          <cell r="W82">
            <v>6.1459999999999999</v>
          </cell>
          <cell r="X82">
            <v>7.6391999999999998</v>
          </cell>
          <cell r="Y82">
            <v>11.5467</v>
          </cell>
          <cell r="Z82">
            <v>8.9596999999999998</v>
          </cell>
          <cell r="AA82">
            <v>6.7</v>
          </cell>
          <cell r="AB82">
            <v>5.7323000000000004</v>
          </cell>
          <cell r="AC82">
            <v>6.3572790845518119</v>
          </cell>
          <cell r="AD82">
            <v>6.3805440903793196</v>
          </cell>
          <cell r="AE82">
            <v>6.3805440903793196</v>
          </cell>
          <cell r="AF82">
            <v>6.3805440903793196</v>
          </cell>
          <cell r="AG82">
            <v>6.3805440903793196</v>
          </cell>
          <cell r="AH82">
            <v>6.3805440903793196</v>
          </cell>
          <cell r="AI82">
            <v>6.3805440903793196</v>
          </cell>
          <cell r="AJ82">
            <v>6.3805440903793196</v>
          </cell>
          <cell r="AK82">
            <v>6.3805440903793196</v>
          </cell>
          <cell r="AL82">
            <v>6.3805440903793196</v>
          </cell>
          <cell r="AM82">
            <v>6.3805440903793196</v>
          </cell>
        </row>
        <row r="83">
          <cell r="E83" t="str">
            <v xml:space="preserve"> </v>
          </cell>
          <cell r="F83">
            <v>0.12083898570385054</v>
          </cell>
          <cell r="G83">
            <v>0.13816218229215149</v>
          </cell>
          <cell r="H83">
            <v>0.62789366053169737</v>
          </cell>
          <cell r="I83">
            <v>0.29174413346063011</v>
          </cell>
          <cell r="J83">
            <v>-0.14918115688333922</v>
          </cell>
          <cell r="K83">
            <v>-0.11736466715435245</v>
          </cell>
          <cell r="L83">
            <v>0.23284123284123281</v>
          </cell>
          <cell r="M83">
            <v>6.4285714285714279E-2</v>
          </cell>
          <cell r="N83">
            <v>1.1646269245953356E-2</v>
          </cell>
          <cell r="O83">
            <v>7.0450731707317082E-2</v>
          </cell>
          <cell r="P83">
            <v>0.11300277430432759</v>
          </cell>
          <cell r="Q83">
            <v>0.1128398296757287</v>
          </cell>
          <cell r="R83">
            <v>4.2972774098601896E-2</v>
          </cell>
          <cell r="S83">
            <v>2.9349513193170695E-2</v>
          </cell>
          <cell r="T83">
            <v>0.28350925291295415</v>
          </cell>
          <cell r="U83">
            <v>4.0392173615857896E-2</v>
          </cell>
          <cell r="V83">
            <v>0.20838893793499902</v>
          </cell>
          <cell r="W83">
            <v>4.4225835499600796E-2</v>
          </cell>
          <cell r="X83">
            <v>0.24295476732834365</v>
          </cell>
          <cell r="Y83">
            <v>0.51150644046497007</v>
          </cell>
          <cell r="Z83">
            <v>-0.22404669732477678</v>
          </cell>
          <cell r="AA83">
            <v>-0.25220710514860989</v>
          </cell>
          <cell r="AB83">
            <v>-0.1444328358208955</v>
          </cell>
          <cell r="AC83">
            <v>0.10902763019238559</v>
          </cell>
          <cell r="AD83">
            <v>3.6595854166669994E-3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</row>
        <row r="84">
          <cell r="E84">
            <v>0.9396758815319306</v>
          </cell>
          <cell r="F84">
            <v>0.79642309961371216</v>
          </cell>
          <cell r="G84">
            <v>0.8208955119123843</v>
          </cell>
          <cell r="H84">
            <v>0.83252462368806734</v>
          </cell>
          <cell r="I84">
            <v>1.0270718845026168</v>
          </cell>
          <cell r="J84">
            <v>0.93977341901436451</v>
          </cell>
          <cell r="K84">
            <v>0.86274988983809309</v>
          </cell>
          <cell r="L84">
            <v>0.99849815643529993</v>
          </cell>
          <cell r="M84">
            <v>1.0084668245680357</v>
          </cell>
          <cell r="N84">
            <v>0.98433390951986477</v>
          </cell>
          <cell r="O84">
            <v>0.72988683957005951</v>
          </cell>
          <cell r="P84">
            <v>0.72314483317704936</v>
          </cell>
          <cell r="Q84">
            <v>0.9641810602978903</v>
          </cell>
          <cell r="R84">
            <v>1.066791141916229</v>
          </cell>
          <cell r="S84">
            <v>1.0001521946564886</v>
          </cell>
          <cell r="T84">
            <v>1.0901954897774471</v>
          </cell>
          <cell r="U84">
            <v>1.1065093580498728</v>
          </cell>
          <cell r="V84">
            <v>1.1478545504034878</v>
          </cell>
          <cell r="W84">
            <v>1.1426019502876239</v>
          </cell>
          <cell r="X84">
            <v>1.2049042955339615</v>
          </cell>
          <cell r="Y84">
            <v>1.3232174951889641</v>
          </cell>
          <cell r="Z84">
            <v>1.3210185002805757</v>
          </cell>
          <cell r="AA84">
            <v>0.95909859572992706</v>
          </cell>
          <cell r="AB84">
            <v>1.0394843697645633</v>
          </cell>
          <cell r="AC84">
            <v>1.0237914210875123</v>
          </cell>
          <cell r="AD84">
            <v>1.1228108175675013</v>
          </cell>
          <cell r="AE84">
            <v>1.1130244805710996</v>
          </cell>
          <cell r="AF84">
            <v>1.0799239877309232</v>
          </cell>
          <cell r="AG84">
            <v>1.0538246278690291</v>
          </cell>
          <cell r="AH84">
            <v>1.0146265718421568</v>
          </cell>
          <cell r="AI84">
            <v>0.99096389669940688</v>
          </cell>
          <cell r="AJ84">
            <v>0.95444369117225913</v>
          </cell>
          <cell r="AK84">
            <v>0.92513263530777412</v>
          </cell>
          <cell r="AL84">
            <v>0.88426558601500826</v>
          </cell>
          <cell r="AM84">
            <v>0.85030533556806143</v>
          </cell>
        </row>
        <row r="85">
          <cell r="F85">
            <v>-0.15244914202190329</v>
          </cell>
          <cell r="G85">
            <v>3.0727903686547986E-2</v>
          </cell>
          <cell r="H85">
            <v>1.4166372707522079E-2</v>
          </cell>
          <cell r="I85">
            <v>0.23368349148966794</v>
          </cell>
          <cell r="J85">
            <v>-8.499742501522034E-2</v>
          </cell>
          <cell r="K85">
            <v>-8.1959680512196043E-2</v>
          </cell>
          <cell r="L85">
            <v>0.15734370783018226</v>
          </cell>
          <cell r="M85">
            <v>9.9836620313096258E-3</v>
          </cell>
          <cell r="N85">
            <v>-2.3930301384488262E-2</v>
          </cell>
          <cell r="O85">
            <v>-0.25849670268285141</v>
          </cell>
          <cell r="P85">
            <v>-9.2370570717257294E-3</v>
          </cell>
          <cell r="Q85">
            <v>0.33331666916830116</v>
          </cell>
          <cell r="R85">
            <v>0.10642200499835242</v>
          </cell>
          <cell r="S85">
            <v>-6.2466723467575758E-2</v>
          </cell>
          <cell r="T85">
            <v>9.0029593097963101E-2</v>
          </cell>
          <cell r="U85">
            <v>1.4964167826227337E-2</v>
          </cell>
          <cell r="V85">
            <v>3.7365424930957847E-2</v>
          </cell>
          <cell r="W85">
            <v>-4.5760154141634146E-3</v>
          </cell>
          <cell r="X85">
            <v>5.4526727554293331E-2</v>
          </cell>
          <cell r="Y85">
            <v>9.8193026693934593E-2</v>
          </cell>
          <cell r="Z85">
            <v>-1.6618544694154691E-3</v>
          </cell>
          <cell r="AA85">
            <v>-0.27397035277990367</v>
          </cell>
          <cell r="AB85">
            <v>8.3813879399393887E-2</v>
          </cell>
          <cell r="AC85">
            <v>-1.5096858724874651E-2</v>
          </cell>
          <cell r="AD85">
            <v>9.6718329964912808E-2</v>
          </cell>
          <cell r="AE85">
            <v>-8.7159268892716968E-3</v>
          </cell>
          <cell r="AF85">
            <v>-2.9739231632346708E-2</v>
          </cell>
          <cell r="AG85">
            <v>-2.4167774916022289E-2</v>
          </cell>
          <cell r="AH85">
            <v>-3.7195995415419292E-2</v>
          </cell>
          <cell r="AI85">
            <v>-2.3321560660281127E-2</v>
          </cell>
          <cell r="AJ85">
            <v>-3.6853214984708504E-2</v>
          </cell>
          <cell r="AK85">
            <v>-3.0710094409534872E-2</v>
          </cell>
          <cell r="AL85">
            <v>-4.41742597040371E-2</v>
          </cell>
          <cell r="AM85">
            <v>-3.8405034623127832E-2</v>
          </cell>
        </row>
        <row r="86">
          <cell r="F86">
            <v>0.13688896000504092</v>
          </cell>
          <cell r="G86">
            <v>0.11399819334974626</v>
          </cell>
          <cell r="H86">
            <v>0.18264035234159914</v>
          </cell>
          <cell r="I86">
            <v>0.16820917385538325</v>
          </cell>
          <cell r="J86">
            <v>9.9362451321108214E-2</v>
          </cell>
          <cell r="K86">
            <v>0.15934996695476977</v>
          </cell>
          <cell r="L86">
            <v>0.18605076982462099</v>
          </cell>
          <cell r="M86">
            <v>0.11850424735979659</v>
          </cell>
          <cell r="N86">
            <v>6.5361115836051642E-2</v>
          </cell>
          <cell r="O86">
            <v>7.2713902422347543E-2</v>
          </cell>
          <cell r="P86">
            <v>-9.5624667423236387E-2</v>
          </cell>
          <cell r="Q86">
            <v>-8.9734359562224975E-2</v>
          </cell>
          <cell r="R86">
            <v>0.10318121873321462</v>
          </cell>
          <cell r="S86">
            <v>0.10216376455570186</v>
          </cell>
          <cell r="T86">
            <v>0.10528353447720562</v>
          </cell>
          <cell r="U86">
            <v>7.8484693662244087E-2</v>
          </cell>
          <cell r="V86">
            <v>7.5032667174986578E-2</v>
          </cell>
          <cell r="W86">
            <v>8.6514949117207696E-2</v>
          </cell>
          <cell r="X86">
            <v>0.12488113605198325</v>
          </cell>
          <cell r="Y86">
            <v>0.12688577490211972</v>
          </cell>
          <cell r="Z86">
            <v>5.0718657227675656E-2</v>
          </cell>
          <cell r="AA86">
            <v>-1.5719517857558651E-3</v>
          </cell>
          <cell r="AB86">
            <v>1.316291823103799E-2</v>
          </cell>
          <cell r="AC86">
            <v>4.7325245201540245E-2</v>
          </cell>
          <cell r="AD86">
            <v>6.9450743885440369E-2</v>
          </cell>
          <cell r="AE86">
            <v>5.874160621948743E-2</v>
          </cell>
          <cell r="AF86">
            <v>5.1813262539854632E-2</v>
          </cell>
          <cell r="AG86">
            <v>5.2034089788898008E-2</v>
          </cell>
          <cell r="AH86">
            <v>4.8729540808941207E-2</v>
          </cell>
          <cell r="AI86">
            <v>4.4345158283327413E-2</v>
          </cell>
          <cell r="AJ86">
            <v>4.1049510598526018E-2</v>
          </cell>
          <cell r="AK86">
            <v>4.1027566290421147E-2</v>
          </cell>
          <cell r="AL86">
            <v>3.954874782466411E-2</v>
          </cell>
          <cell r="AM86">
            <v>6.3972152464087939E-2</v>
          </cell>
        </row>
        <row r="87"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7.0955462977132955E-2</v>
          </cell>
          <cell r="AE87">
            <v>6.8045718985982884E-2</v>
          </cell>
          <cell r="AF87">
            <v>5.0030263061510594E-2</v>
          </cell>
          <cell r="AG87">
            <v>5.3511308340120856E-2</v>
          </cell>
          <cell r="AH87">
            <v>5.0631904032059527E-2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4.177901101594772E-2</v>
          </cell>
          <cell r="AM87">
            <v>3.7407926049891849E-2</v>
          </cell>
        </row>
        <row r="88">
          <cell r="F88">
            <v>0.15199999999999991</v>
          </cell>
          <cell r="G88">
            <v>0.12199999999999989</v>
          </cell>
          <cell r="H88">
            <v>9.099999999999997E-2</v>
          </cell>
          <cell r="I88">
            <v>0.11899999999999999</v>
          </cell>
          <cell r="J88">
            <v>0.1339999999999999</v>
          </cell>
          <cell r="K88">
            <v>0.12599999999999989</v>
          </cell>
          <cell r="L88">
            <v>0.12800000000000011</v>
          </cell>
          <cell r="M88">
            <v>0.15199999999999991</v>
          </cell>
          <cell r="N88">
            <v>0.12000000000000011</v>
          </cell>
          <cell r="O88">
            <v>0.11899999999999999</v>
          </cell>
          <cell r="P88">
            <v>0.11699999999999999</v>
          </cell>
          <cell r="Q88">
            <v>8.4999999999999964E-2</v>
          </cell>
          <cell r="R88">
            <v>0.10762929802838372</v>
          </cell>
          <cell r="S88">
            <v>0.10009459110843566</v>
          </cell>
          <cell r="T88">
            <v>8.0043773938872631E-2</v>
          </cell>
          <cell r="U88">
            <v>8.8218619574919943E-2</v>
          </cell>
          <cell r="V88">
            <v>6.2084675028127201E-2</v>
          </cell>
          <cell r="W88">
            <v>8.5783763756763998E-2</v>
          </cell>
          <cell r="X88">
            <v>9.2660232996270242E-2</v>
          </cell>
          <cell r="Y88">
            <v>9.2658360191907985E-2</v>
          </cell>
          <cell r="Z88">
            <v>0.11702030650218864</v>
          </cell>
          <cell r="AA88">
            <v>7.1522563665918026E-2</v>
          </cell>
          <cell r="AB88">
            <v>4.1465000361193161E-2</v>
          </cell>
          <cell r="AC88">
            <v>2.3229608092007803E-2</v>
          </cell>
          <cell r="AD88">
            <v>4.6999999999999931E-2</v>
          </cell>
          <cell r="AE88">
            <v>5.0000000000000044E-2</v>
          </cell>
          <cell r="AF88">
            <v>4.0000000000000036E-2</v>
          </cell>
          <cell r="AG88">
            <v>4.0000000000000036E-2</v>
          </cell>
          <cell r="AH88">
            <v>4.4999999999999929E-2</v>
          </cell>
          <cell r="AI88">
            <v>4.4999999999999929E-2</v>
          </cell>
          <cell r="AJ88">
            <v>4.4999999999999929E-2</v>
          </cell>
          <cell r="AK88">
            <v>4.4999999999999929E-2</v>
          </cell>
          <cell r="AL88">
            <v>4.4999999999999929E-2</v>
          </cell>
          <cell r="AM88">
            <v>4.4999999999999929E-2</v>
          </cell>
        </row>
        <row r="89">
          <cell r="F89">
            <v>0.25046318213816354</v>
          </cell>
          <cell r="G89">
            <v>8.4494286684456243E-2</v>
          </cell>
          <cell r="H89">
            <v>0.14959268179881002</v>
          </cell>
          <cell r="I89">
            <v>0.18511124793178158</v>
          </cell>
          <cell r="J89">
            <v>0.34668494541832606</v>
          </cell>
          <cell r="K89">
            <v>-5.7795109440347048E-2</v>
          </cell>
          <cell r="L89">
            <v>0.1107742421661233</v>
          </cell>
          <cell r="M89">
            <v>0.26484160847205618</v>
          </cell>
          <cell r="N89">
            <v>-0.16114299943206845</v>
          </cell>
          <cell r="O89">
            <v>0.79013953147718796</v>
          </cell>
          <cell r="P89">
            <v>-9.0905750507007221E-2</v>
          </cell>
          <cell r="Q89">
            <v>-0.4515972342126604</v>
          </cell>
          <cell r="R89">
            <v>0.40537716315641337</v>
          </cell>
          <cell r="S89">
            <v>6.959043131569409E-2</v>
          </cell>
          <cell r="T89">
            <v>6.5397605158120875E-2</v>
          </cell>
          <cell r="U89">
            <v>7.2523494143757139E-2</v>
          </cell>
          <cell r="V89">
            <v>7.3742603550295938E-2</v>
          </cell>
          <cell r="W89">
            <v>4.1673924787825722E-2</v>
          </cell>
          <cell r="X89">
            <v>1.355711342840249E-2</v>
          </cell>
          <cell r="Y89">
            <v>0.11052243886297686</v>
          </cell>
          <cell r="Z89">
            <v>-2.5750470548997373E-2</v>
          </cell>
          <cell r="AA89">
            <v>0.19575278142204855</v>
          </cell>
          <cell r="AB89">
            <v>2.8287640303922279E-2</v>
          </cell>
          <cell r="AC89">
            <v>3.4837890595733834E-2</v>
          </cell>
          <cell r="AD89">
            <v>7.0955462977132955E-2</v>
          </cell>
          <cell r="AE89">
            <v>6.8045718985982884E-2</v>
          </cell>
          <cell r="AF89">
            <v>5.0030263061510594E-2</v>
          </cell>
          <cell r="AG89">
            <v>5.3511308340120856E-2</v>
          </cell>
          <cell r="AH89">
            <v>5.0631904032059527E-2</v>
          </cell>
          <cell r="AI89">
            <v>4.6918856005046194E-2</v>
          </cell>
          <cell r="AJ89">
            <v>4.1886803744237699E-2</v>
          </cell>
          <cell r="AK89">
            <v>4.0245879011387542E-2</v>
          </cell>
          <cell r="AL89">
            <v>4.177901101594772E-2</v>
          </cell>
          <cell r="AM89">
            <v>3.7407926049891849E-2</v>
          </cell>
        </row>
        <row r="92">
          <cell r="N92">
            <v>0.2847466224454584</v>
          </cell>
          <cell r="O92">
            <v>0.39789347579343737</v>
          </cell>
          <cell r="P92">
            <v>0.34980448306367129</v>
          </cell>
          <cell r="Q92">
            <v>0.31712804775302261</v>
          </cell>
          <cell r="R92">
            <v>0.31042111221407903</v>
          </cell>
          <cell r="S92">
            <v>0.33020108006775833</v>
          </cell>
          <cell r="T92">
            <v>0.30252682473659509</v>
          </cell>
          <cell r="U92">
            <v>0.3321761068350691</v>
          </cell>
          <cell r="V92">
            <v>0.32397196262070399</v>
          </cell>
          <cell r="W92">
            <v>0.33906141470924395</v>
          </cell>
          <cell r="X92">
            <v>0.3342096808530029</v>
          </cell>
          <cell r="Y92">
            <v>0.30976190681130306</v>
          </cell>
          <cell r="Z92">
            <v>0.31635903045215213</v>
          </cell>
          <cell r="AA92">
            <v>0.28370784982935154</v>
          </cell>
          <cell r="AB92">
            <v>0.31068334330306158</v>
          </cell>
          <cell r="AC92">
            <v>0.33414844325799209</v>
          </cell>
          <cell r="AD92">
            <v>0.35166849683541929</v>
          </cell>
          <cell r="AE92">
            <v>0.33564181743509297</v>
          </cell>
          <cell r="AF92">
            <v>0.32134143831376594</v>
          </cell>
          <cell r="AG92">
            <v>0.32028274018769537</v>
          </cell>
          <cell r="AH92">
            <v>0.31351917563333975</v>
          </cell>
          <cell r="AI92">
            <v>0.31382574104422251</v>
          </cell>
          <cell r="AJ92">
            <v>0.31203866026190563</v>
          </cell>
          <cell r="AK92">
            <v>0.31450379334661072</v>
          </cell>
          <cell r="AL92">
            <v>0.322691858502893</v>
          </cell>
          <cell r="AM92">
            <v>0.33903660811489505</v>
          </cell>
        </row>
        <row r="93">
          <cell r="N93">
            <v>0.26833601702388715</v>
          </cell>
          <cell r="O93">
            <v>0.38627583862291559</v>
          </cell>
          <cell r="P93">
            <v>0.34480658957048077</v>
          </cell>
          <cell r="Q93">
            <v>0.31228339715610981</v>
          </cell>
          <cell r="R93">
            <v>0.30766846473905424</v>
          </cell>
          <cell r="S93">
            <v>0.32774804788255224</v>
          </cell>
          <cell r="T93">
            <v>0.3004174878210627</v>
          </cell>
          <cell r="U93">
            <v>0.32904610217117369</v>
          </cell>
          <cell r="V93">
            <v>0.32334130230505659</v>
          </cell>
          <cell r="W93">
            <v>0.33906141470924395</v>
          </cell>
          <cell r="X93">
            <v>0.33347158062719606</v>
          </cell>
          <cell r="Y93">
            <v>0.30787384171114696</v>
          </cell>
          <cell r="Z93">
            <v>0.31563334153402833</v>
          </cell>
          <cell r="AA93">
            <v>0.28278329823542231</v>
          </cell>
          <cell r="AB93">
            <v>0.31068334330306158</v>
          </cell>
          <cell r="AC93">
            <v>0.33156516003452335</v>
          </cell>
          <cell r="AD93">
            <v>0.34940883759077956</v>
          </cell>
          <cell r="AE93">
            <v>0.33613914818217999</v>
          </cell>
          <cell r="AF93">
            <v>0.32179413422073427</v>
          </cell>
          <cell r="AG93">
            <v>0.32068711405121308</v>
          </cell>
          <cell r="AH93">
            <v>0.31387918810107696</v>
          </cell>
          <cell r="AI93">
            <v>0.31414537509174228</v>
          </cell>
          <cell r="AJ93">
            <v>0.31232201096562323</v>
          </cell>
          <cell r="AK93">
            <v>0.31475625929840728</v>
          </cell>
          <cell r="AL93">
            <v>0.32291921344044755</v>
          </cell>
          <cell r="AM93">
            <v>0.33924383361485505</v>
          </cell>
        </row>
        <row r="94">
          <cell r="N94">
            <v>0.26456205130171395</v>
          </cell>
          <cell r="O94">
            <v>0.38125768370091451</v>
          </cell>
          <cell r="P94">
            <v>0.34298781934582706</v>
          </cell>
          <cell r="Q94">
            <v>0.3111647831090158</v>
          </cell>
          <cell r="R94">
            <v>0.30676205884216529</v>
          </cell>
          <cell r="S94">
            <v>0.32721798140410313</v>
          </cell>
          <cell r="T94">
            <v>0.2995139468820302</v>
          </cell>
          <cell r="U94">
            <v>0.32650442647122729</v>
          </cell>
          <cell r="V94">
            <v>0.32052314941335275</v>
          </cell>
          <cell r="W94">
            <v>0.33812267234260918</v>
          </cell>
          <cell r="X94">
            <v>0.33262641866399345</v>
          </cell>
          <cell r="Y94">
            <v>0.30713629081840843</v>
          </cell>
          <cell r="Z94">
            <v>0.31515219932954153</v>
          </cell>
          <cell r="AA94">
            <v>0.28239116984968415</v>
          </cell>
          <cell r="AB94">
            <v>0.30968274511936483</v>
          </cell>
          <cell r="AC94">
            <v>0.33074619353314971</v>
          </cell>
          <cell r="AD94">
            <v>0.34859068838923102</v>
          </cell>
          <cell r="AE94">
            <v>0.33549145110899614</v>
          </cell>
          <cell r="AF94">
            <v>0.32120456718571161</v>
          </cell>
          <cell r="AG94">
            <v>0.32016047907156109</v>
          </cell>
          <cell r="AH94">
            <v>0.31341032704024602</v>
          </cell>
          <cell r="AI94">
            <v>0.3137291007345242</v>
          </cell>
          <cell r="AJ94">
            <v>0.31195299010263133</v>
          </cell>
          <cell r="AK94">
            <v>0.31442746109114783</v>
          </cell>
          <cell r="AL94">
            <v>0.32262311848052305</v>
          </cell>
          <cell r="AM94">
            <v>0.33897395416219844</v>
          </cell>
        </row>
        <row r="95">
          <cell r="N95">
            <v>0.18520199118131978</v>
          </cell>
          <cell r="O95">
            <v>0.30046260825712751</v>
          </cell>
          <cell r="P95">
            <v>0.2858338966360145</v>
          </cell>
          <cell r="Q95">
            <v>0.28145990966466428</v>
          </cell>
          <cell r="R95">
            <v>0.26232431199442413</v>
          </cell>
          <cell r="S95">
            <v>0.28944503195934501</v>
          </cell>
          <cell r="T95">
            <v>0.26634021150080117</v>
          </cell>
          <cell r="U95">
            <v>0.29582830347185007</v>
          </cell>
          <cell r="V95">
            <v>0.28538724016197697</v>
          </cell>
          <cell r="W95">
            <v>0.30779390734995676</v>
          </cell>
          <cell r="X95">
            <v>0.30581529025790577</v>
          </cell>
          <cell r="Y95">
            <v>0.28164428626098359</v>
          </cell>
          <cell r="Z95">
            <v>0.28149232057028195</v>
          </cell>
          <cell r="AA95">
            <v>0.25449573741921427</v>
          </cell>
          <cell r="AB95">
            <v>0.2846541954429278</v>
          </cell>
          <cell r="AC95">
            <v>0.30236041016763754</v>
          </cell>
          <cell r="AD95">
            <v>0.31366077900255479</v>
          </cell>
          <cell r="AE95">
            <v>0.30276672363543744</v>
          </cell>
          <cell r="AF95">
            <v>0.28887373905878244</v>
          </cell>
          <cell r="AG95">
            <v>0.28815006988985098</v>
          </cell>
          <cell r="AH95">
            <v>0.28173548197269449</v>
          </cell>
          <cell r="AI95">
            <v>0.28228804319500211</v>
          </cell>
          <cell r="AJ95">
            <v>0.28075177651433897</v>
          </cell>
          <cell r="AK95">
            <v>0.2833983012156458</v>
          </cell>
          <cell r="AL95">
            <v>0.29163979070733487</v>
          </cell>
          <cell r="AM95">
            <v>0.30789637297951977</v>
          </cell>
        </row>
        <row r="96">
          <cell r="N96">
            <v>0.10786635313063152</v>
          </cell>
          <cell r="O96">
            <v>9.0142777030661647E-2</v>
          </cell>
          <cell r="P96">
            <v>9.5339891747177288E-2</v>
          </cell>
          <cell r="Q96">
            <v>9.7142918713405829E-2</v>
          </cell>
          <cell r="R96">
            <v>8.9060527594145358E-2</v>
          </cell>
          <cell r="S96">
            <v>8.4740407152268021E-2</v>
          </cell>
          <cell r="T96">
            <v>8.9789070192758988E-2</v>
          </cell>
          <cell r="U96">
            <v>0.11675029486826669</v>
          </cell>
          <cell r="V96">
            <v>0.10753280557574497</v>
          </cell>
          <cell r="W96">
            <v>0.1101936795969303</v>
          </cell>
          <cell r="X96">
            <v>0.10826811478679993</v>
          </cell>
          <cell r="Y96">
            <v>0.11553782677612121</v>
          </cell>
          <cell r="Z96">
            <v>0.13643329584297631</v>
          </cell>
          <cell r="AA96">
            <v>0.10727470771911989</v>
          </cell>
          <cell r="AB96">
            <v>0.11178149980966881</v>
          </cell>
          <cell r="AC96">
            <v>0.11842154502887325</v>
          </cell>
          <cell r="AD96">
            <v>0.11426918110381731</v>
          </cell>
          <cell r="AE96">
            <v>0.11000028070519466</v>
          </cell>
          <cell r="AF96">
            <v>0.1112233932185835</v>
          </cell>
          <cell r="AG96">
            <v>0.11244643486722096</v>
          </cell>
          <cell r="AH96">
            <v>0.1087415613448697</v>
          </cell>
          <cell r="AI96">
            <v>0.11191877988703687</v>
          </cell>
          <cell r="AJ96">
            <v>0.11030553437432186</v>
          </cell>
          <cell r="AK96">
            <v>0.109146270671669</v>
          </cell>
          <cell r="AL96">
            <v>0.10863368145745675</v>
          </cell>
          <cell r="AM96">
            <v>0.10936361866238682</v>
          </cell>
        </row>
        <row r="97">
          <cell r="N97">
            <v>0.10591887212913617</v>
          </cell>
          <cell r="O97">
            <v>8.8471641742872517E-2</v>
          </cell>
          <cell r="P97">
            <v>9.3675534280060535E-2</v>
          </cell>
          <cell r="Q97">
            <v>9.4324375129901411E-2</v>
          </cell>
          <cell r="R97">
            <v>8.5847779162354532E-2</v>
          </cell>
          <cell r="S97">
            <v>8.2027062525879921E-2</v>
          </cell>
          <cell r="T97">
            <v>8.7652698464078194E-2</v>
          </cell>
          <cell r="U97">
            <v>0.11466457768572298</v>
          </cell>
          <cell r="V97">
            <v>0.1054561780188973</v>
          </cell>
          <cell r="W97">
            <v>0.10801505068694454</v>
          </cell>
          <cell r="X97">
            <v>0.10572306959506668</v>
          </cell>
          <cell r="Y97">
            <v>0.11332689109503402</v>
          </cell>
          <cell r="Z97">
            <v>0.13404170976509813</v>
          </cell>
          <cell r="AA97">
            <v>0.10509040737782296</v>
          </cell>
          <cell r="AB97">
            <v>0.10944586437544183</v>
          </cell>
          <cell r="AC97">
            <v>0.115641103203222</v>
          </cell>
          <cell r="AD97">
            <v>0.1117456415264223</v>
          </cell>
          <cell r="AE97">
            <v>0.10758755972934944</v>
          </cell>
          <cell r="AF97">
            <v>0.1087890917335954</v>
          </cell>
          <cell r="AG97">
            <v>0.11003192135824022</v>
          </cell>
          <cell r="AH97">
            <v>0.10635579157629467</v>
          </cell>
          <cell r="AI97">
            <v>0.10956517788542347</v>
          </cell>
          <cell r="AJ97">
            <v>0.10798580374635569</v>
          </cell>
          <cell r="AK97">
            <v>0.10685101659129553</v>
          </cell>
          <cell r="AL97">
            <v>0.10634994332728583</v>
          </cell>
          <cell r="AM97">
            <v>0.10706537016083884</v>
          </cell>
        </row>
        <row r="98">
          <cell r="N98">
            <v>5.7321770024155519E-2</v>
          </cell>
          <cell r="O98">
            <v>5.5546202124798279E-2</v>
          </cell>
          <cell r="P98">
            <v>5.895704807356536E-2</v>
          </cell>
          <cell r="Q98">
            <v>5.256887942615264E-2</v>
          </cell>
          <cell r="R98">
            <v>4.745390415443429E-2</v>
          </cell>
          <cell r="S98">
            <v>5.0140410013175235E-2</v>
          </cell>
          <cell r="T98">
            <v>5.4831203133345205E-2</v>
          </cell>
          <cell r="U98">
            <v>5.5962008545646792E-2</v>
          </cell>
          <cell r="V98">
            <v>6.4448645571591731E-2</v>
          </cell>
          <cell r="W98">
            <v>7.0400146159408455E-2</v>
          </cell>
          <cell r="X98">
            <v>6.1055281144627722E-2</v>
          </cell>
          <cell r="Y98">
            <v>6.3226380705188448E-2</v>
          </cell>
          <cell r="Z98">
            <v>6.5796612175972727E-2</v>
          </cell>
          <cell r="AA98">
            <v>6.7794640912061582E-2</v>
          </cell>
          <cell r="AB98">
            <v>7.2377508293001255E-2</v>
          </cell>
          <cell r="AC98">
            <v>7.3428940941062282E-2</v>
          </cell>
          <cell r="AD98">
            <v>7.8111749146439535E-2</v>
          </cell>
          <cell r="AE98">
            <v>7.7189065846630212E-2</v>
          </cell>
          <cell r="AF98">
            <v>7.7879481090626632E-2</v>
          </cell>
          <cell r="AG98">
            <v>7.7246413529853911E-2</v>
          </cell>
          <cell r="AH98">
            <v>7.632682834239693E-2</v>
          </cell>
          <cell r="AI98">
            <v>7.5297699857586442E-2</v>
          </cell>
          <cell r="AJ98">
            <v>7.4214068672320735E-2</v>
          </cell>
          <cell r="AK98">
            <v>7.3431001810157256E-2</v>
          </cell>
          <cell r="AL98">
            <v>7.3062577343602886E-2</v>
          </cell>
          <cell r="AM98">
            <v>7.3526800941315099E-2</v>
          </cell>
        </row>
        <row r="99">
          <cell r="N99">
            <v>4.3054898355124417E-2</v>
          </cell>
          <cell r="O99">
            <v>2.7522290344271116E-2</v>
          </cell>
          <cell r="P99">
            <v>2.9240529507624256E-2</v>
          </cell>
          <cell r="Q99">
            <v>3.7439249638810741E-2</v>
          </cell>
          <cell r="R99">
            <v>3.5894641687963337E-2</v>
          </cell>
          <cell r="S99">
            <v>2.9386618708827406E-2</v>
          </cell>
          <cell r="T99">
            <v>2.6952338453072655E-2</v>
          </cell>
          <cell r="U99">
            <v>5.4413962601932181E-2</v>
          </cell>
          <cell r="V99">
            <v>3.7409860191049735E-2</v>
          </cell>
          <cell r="W99">
            <v>3.326739870775116E-2</v>
          </cell>
          <cell r="X99">
            <v>3.6561632086839414E-2</v>
          </cell>
          <cell r="Y99">
            <v>4.6063929751916463E-2</v>
          </cell>
          <cell r="Z99">
            <v>6.3757391299428201E-2</v>
          </cell>
          <cell r="AA99">
            <v>3.4797763415873935E-2</v>
          </cell>
          <cell r="AB99">
            <v>3.3234542389471967E-2</v>
          </cell>
          <cell r="AC99">
            <v>3.9760318106812728E-2</v>
          </cell>
          <cell r="AD99">
            <v>3.0982809286040702E-2</v>
          </cell>
          <cell r="AE99">
            <v>2.7813821523894007E-2</v>
          </cell>
          <cell r="AF99">
            <v>2.8184646294101494E-2</v>
          </cell>
          <cell r="AG99">
            <v>3.0082694198930265E-2</v>
          </cell>
          <cell r="AH99">
            <v>2.7358325433254047E-2</v>
          </cell>
          <cell r="AI99">
            <v>3.1632848921553401E-2</v>
          </cell>
          <cell r="AJ99">
            <v>3.1175021684520573E-2</v>
          </cell>
          <cell r="AK99">
            <v>3.0850700512063477E-2</v>
          </cell>
          <cell r="AL99">
            <v>3.0730942703640837E-2</v>
          </cell>
          <cell r="AM99">
            <v>3.0965902986447632E-2</v>
          </cell>
        </row>
        <row r="100">
          <cell r="N100">
            <v>9.5536457957900393E-3</v>
          </cell>
          <cell r="O100">
            <v>8.0688542227003758E-3</v>
          </cell>
          <cell r="P100">
            <v>1.050419543708532E-2</v>
          </cell>
          <cell r="Q100">
            <v>1.6639233822523004E-2</v>
          </cell>
          <cell r="R100">
            <v>1.0644450545969122E-2</v>
          </cell>
          <cell r="S100">
            <v>6.4044181441746655E-3</v>
          </cell>
          <cell r="T100">
            <v>5.8186569343065698E-3</v>
          </cell>
          <cell r="U100">
            <v>2.9258538607494097E-2</v>
          </cell>
          <cell r="V100">
            <v>8.3811641574083693E-3</v>
          </cell>
          <cell r="W100">
            <v>6.6566142613888185E-3</v>
          </cell>
          <cell r="X100">
            <v>1.7818465972032363E-2</v>
          </cell>
          <cell r="Y100">
            <v>2.6367186484319086E-2</v>
          </cell>
          <cell r="Z100">
            <v>3.4921836179714255E-2</v>
          </cell>
          <cell r="AA100">
            <v>5.0831457410500328E-3</v>
          </cell>
          <cell r="AB100">
            <v>8.1951166458208713E-3</v>
          </cell>
          <cell r="AC100">
            <v>5.0300720300417876E-3</v>
          </cell>
          <cell r="AD100">
            <v>4.167715216888605E-3</v>
          </cell>
          <cell r="AE100">
            <v>1.307899996211799E-3</v>
          </cell>
          <cell r="AF100">
            <v>1.3967483454645204E-3</v>
          </cell>
          <cell r="AG100">
            <v>3.5106744379702413E-3</v>
          </cell>
          <cell r="AH100">
            <v>1.1005551139460841E-3</v>
          </cell>
          <cell r="AI100">
            <v>5.7275644883067432E-3</v>
          </cell>
          <cell r="AJ100">
            <v>5.6412753195215467E-3</v>
          </cell>
          <cell r="AK100">
            <v>5.584597316057714E-3</v>
          </cell>
          <cell r="AL100">
            <v>5.5876537202995402E-3</v>
          </cell>
          <cell r="AM100">
            <v>5.6585392999236161E-3</v>
          </cell>
        </row>
        <row r="101">
          <cell r="N101">
            <v>1.1629197193359149E-2</v>
          </cell>
          <cell r="O101">
            <v>3.5145294513179129E-3</v>
          </cell>
          <cell r="P101">
            <v>3.0220393434990107E-4</v>
          </cell>
          <cell r="Q101">
            <v>5.9206214989988089E-4</v>
          </cell>
          <cell r="R101">
            <v>3.1693159017466789E-3</v>
          </cell>
          <cell r="S101">
            <v>4.9360347826086955E-3</v>
          </cell>
          <cell r="T101">
            <v>2.9020852282842669E-3</v>
          </cell>
          <cell r="U101">
            <v>1.6548136904158399E-3</v>
          </cell>
          <cell r="V101">
            <v>9.9742799293946649E-4</v>
          </cell>
          <cell r="W101">
            <v>9.8748880595274195E-3</v>
          </cell>
          <cell r="X101">
            <v>1.4728095021112426E-3</v>
          </cell>
          <cell r="Y101">
            <v>3.6628520035526736E-3</v>
          </cell>
          <cell r="Z101">
            <v>8.5657634687627288E-3</v>
          </cell>
          <cell r="AA101">
            <v>8.7139641275143414E-5</v>
          </cell>
          <cell r="AB101">
            <v>2.1752134428190765E-4</v>
          </cell>
          <cell r="AC101">
            <v>2.5276743869556725E-5</v>
          </cell>
          <cell r="AD101">
            <v>1.8582986436640165E-4</v>
          </cell>
          <cell r="AE101">
            <v>1.8205535838588014E-4</v>
          </cell>
          <cell r="AF101">
            <v>4.46575909586676E-4</v>
          </cell>
          <cell r="AG101">
            <v>4.4482134288487411E-4</v>
          </cell>
          <cell r="AH101">
            <v>4.4160491308553091E-4</v>
          </cell>
          <cell r="AI101">
            <v>4.3720307250479703E-4</v>
          </cell>
          <cell r="AJ101">
            <v>4.3218359969343124E-4</v>
          </cell>
          <cell r="AK101">
            <v>4.2939859494954297E-4</v>
          </cell>
          <cell r="AL101">
            <v>4.3119727626776932E-4</v>
          </cell>
          <cell r="AM101">
            <v>4.382567667883245E-4</v>
          </cell>
        </row>
        <row r="102">
          <cell r="N102">
            <v>2.1872055365975231E-2</v>
          </cell>
          <cell r="O102">
            <v>1.5938906670252825E-2</v>
          </cell>
          <cell r="P102">
            <v>1.8434130136189036E-2</v>
          </cell>
          <cell r="Q102">
            <v>2.0207953666387855E-2</v>
          </cell>
          <cell r="R102">
            <v>2.2080875240247533E-2</v>
          </cell>
          <cell r="S102">
            <v>1.8046165782044044E-2</v>
          </cell>
          <cell r="T102">
            <v>1.8231596290481818E-2</v>
          </cell>
          <cell r="U102">
            <v>2.350061030402225E-2</v>
          </cell>
          <cell r="V102">
            <v>2.8031268040701898E-2</v>
          </cell>
          <cell r="W102">
            <v>1.6735896386834922E-2</v>
          </cell>
          <cell r="X102">
            <v>1.7270356612695808E-2</v>
          </cell>
          <cell r="Y102">
            <v>1.6033891264044701E-2</v>
          </cell>
          <cell r="Z102">
            <v>2.0269791650951226E-2</v>
          </cell>
          <cell r="AA102">
            <v>2.9627478033548763E-2</v>
          </cell>
          <cell r="AB102">
            <v>2.4821904399369186E-2</v>
          </cell>
          <cell r="AC102">
            <v>3.4704969332901382E-2</v>
          </cell>
          <cell r="AD102">
            <v>2.6629264204785692E-2</v>
          </cell>
          <cell r="AE102">
            <v>2.6323866169296328E-2</v>
          </cell>
          <cell r="AF102">
            <v>2.6341322039050298E-2</v>
          </cell>
          <cell r="AG102">
            <v>2.6127198418075152E-2</v>
          </cell>
          <cell r="AH102">
            <v>2.5816165406222433E-2</v>
          </cell>
          <cell r="AI102">
            <v>2.5468081360741857E-2</v>
          </cell>
          <cell r="AJ102">
            <v>2.5101562765305598E-2</v>
          </cell>
          <cell r="AK102">
            <v>2.4836704601056223E-2</v>
          </cell>
          <cell r="AL102">
            <v>2.4712091707073527E-2</v>
          </cell>
          <cell r="AM102">
            <v>2.4869106919735689E-2</v>
          </cell>
        </row>
        <row r="103">
          <cell r="N103">
            <v>5.5422037498562169E-3</v>
          </cell>
          <cell r="O103">
            <v>5.4031492738031203E-3</v>
          </cell>
          <cell r="P103">
            <v>5.4779566988709116E-3</v>
          </cell>
          <cell r="Q103">
            <v>4.3162460649380282E-3</v>
          </cell>
          <cell r="R103">
            <v>2.4992333199569138E-3</v>
          </cell>
          <cell r="S103">
            <v>2.500033803877282E-3</v>
          </cell>
          <cell r="T103">
            <v>5.8691568776603484E-3</v>
          </cell>
          <cell r="U103">
            <v>4.2886065381440011E-3</v>
          </cell>
          <cell r="V103">
            <v>3.5976722562558404E-3</v>
          </cell>
          <cell r="W103">
            <v>4.3475058197849359E-3</v>
          </cell>
          <cell r="X103">
            <v>8.1061563635995426E-3</v>
          </cell>
          <cell r="Y103">
            <v>4.0365806379291016E-3</v>
          </cell>
          <cell r="Z103">
            <v>4.4877062896972074E-3</v>
          </cell>
          <cell r="AA103">
            <v>2.4980030498874448E-3</v>
          </cell>
          <cell r="AB103">
            <v>3.8338136929686227E-3</v>
          </cell>
          <cell r="AC103">
            <v>2.4518441553470021E-3</v>
          </cell>
          <cell r="AD103">
            <v>2.651083093942058E-3</v>
          </cell>
          <cell r="AE103">
            <v>2.5846723588252309E-3</v>
          </cell>
          <cell r="AF103">
            <v>2.7249643488672717E-3</v>
          </cell>
          <cell r="AG103">
            <v>2.7028136294560503E-3</v>
          </cell>
          <cell r="AH103">
            <v>2.6706378006436998E-3</v>
          </cell>
          <cell r="AI103">
            <v>2.6346291062836406E-3</v>
          </cell>
          <cell r="AJ103">
            <v>2.5967133895143718E-3</v>
          </cell>
          <cell r="AK103">
            <v>2.5693142690747816E-3</v>
          </cell>
          <cell r="AL103">
            <v>2.5564232800420884E-3</v>
          </cell>
          <cell r="AM103">
            <v>2.5726662330761061E-3</v>
          </cell>
        </row>
        <row r="104">
          <cell r="N104">
            <v>1.9474810014953414E-3</v>
          </cell>
          <cell r="O104">
            <v>1.6711352877891339E-3</v>
          </cell>
          <cell r="P104">
            <v>1.6643574671167502E-3</v>
          </cell>
          <cell r="Q104">
            <v>2.8185435835044229E-3</v>
          </cell>
          <cell r="R104">
            <v>3.2127484317908211E-3</v>
          </cell>
          <cell r="S104">
            <v>2.7133446263881045E-3</v>
          </cell>
          <cell r="T104">
            <v>2.1363717286807904E-3</v>
          </cell>
          <cell r="U104">
            <v>2.0857171825437058E-3</v>
          </cell>
          <cell r="V104">
            <v>2.0766275568476792E-3</v>
          </cell>
          <cell r="W104">
            <v>2.1786289099857714E-3</v>
          </cell>
          <cell r="X104">
            <v>2.545045191733244E-3</v>
          </cell>
          <cell r="Y104">
            <v>2.2109356810871869E-3</v>
          </cell>
          <cell r="Z104">
            <v>2.3915860778781889E-3</v>
          </cell>
          <cell r="AA104">
            <v>2.1843003412969283E-3</v>
          </cell>
          <cell r="AB104">
            <v>2.3356354342269838E-3</v>
          </cell>
          <cell r="AC104">
            <v>2.7804418256512395E-3</v>
          </cell>
          <cell r="AD104">
            <v>2.5235395773950176E-3</v>
          </cell>
          <cell r="AE104">
            <v>2.4127209758452177E-3</v>
          </cell>
          <cell r="AF104">
            <v>2.4343014849880964E-3</v>
          </cell>
          <cell r="AG104">
            <v>2.4145135089807383E-3</v>
          </cell>
          <cell r="AH104">
            <v>2.3857697685750385E-3</v>
          </cell>
          <cell r="AI104">
            <v>2.3536020016133854E-3</v>
          </cell>
          <cell r="AJ104">
            <v>2.319730627966172E-3</v>
          </cell>
          <cell r="AK104">
            <v>2.2952540803734714E-3</v>
          </cell>
          <cell r="AL104">
            <v>2.2837381301709326E-3</v>
          </cell>
          <cell r="AM104">
            <v>2.2982485015479877E-3</v>
          </cell>
        </row>
        <row r="105">
          <cell r="N105">
            <v>7.7335638050688243E-2</v>
          </cell>
          <cell r="O105">
            <v>0.21031983122646583</v>
          </cell>
          <cell r="P105">
            <v>0.19049400488883717</v>
          </cell>
          <cell r="Q105">
            <v>0.18431699095125845</v>
          </cell>
          <cell r="R105">
            <v>0.17326378440027879</v>
          </cell>
          <cell r="S105">
            <v>0.20470462480707696</v>
          </cell>
          <cell r="T105">
            <v>0.17655114130804217</v>
          </cell>
          <cell r="U105">
            <v>0.17907800860358339</v>
          </cell>
          <cell r="V105">
            <v>0.17785443458623196</v>
          </cell>
          <cell r="W105">
            <v>0.19760022775302649</v>
          </cell>
          <cell r="X105">
            <v>0.19754717547110587</v>
          </cell>
          <cell r="Y105">
            <v>0.16610645948486233</v>
          </cell>
          <cell r="Z105">
            <v>0.14505902472730564</v>
          </cell>
          <cell r="AA105">
            <v>0.1472210297000944</v>
          </cell>
          <cell r="AB105">
            <v>0.17287269563325902</v>
          </cell>
          <cell r="AC105">
            <v>0.18393886513876428</v>
          </cell>
          <cell r="AD105">
            <v>0.19939159789873745</v>
          </cell>
          <cell r="AE105">
            <v>0.19276644293024275</v>
          </cell>
          <cell r="AF105">
            <v>0.1776503458401989</v>
          </cell>
          <cell r="AG105">
            <v>0.17570363502262998</v>
          </cell>
          <cell r="AH105">
            <v>0.17299392062782479</v>
          </cell>
          <cell r="AI105">
            <v>0.17036926330796526</v>
          </cell>
          <cell r="AJ105">
            <v>0.17044624214001708</v>
          </cell>
          <cell r="AK105">
            <v>0.17425203054397681</v>
          </cell>
          <cell r="AL105">
            <v>0.18300610924987812</v>
          </cell>
          <cell r="AM105">
            <v>0.19853275431713294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6.6190102527399569E-2</v>
          </cell>
          <cell r="Z106">
            <v>6.0442880406740791E-2</v>
          </cell>
          <cell r="AA106">
            <v>5.0976690145958896E-2</v>
          </cell>
          <cell r="AB106">
            <v>4.9654684865952474E-2</v>
          </cell>
          <cell r="AC106">
            <v>7.8560119946582296E-2</v>
          </cell>
          <cell r="AD106">
            <v>6.8281332608576384E-2</v>
          </cell>
          <cell r="AE106">
            <v>6.3153871811769416E-2</v>
          </cell>
          <cell r="AF106">
            <v>6.3718749691013044E-2</v>
          </cell>
          <cell r="AG106">
            <v>6.3200792035447317E-2</v>
          </cell>
          <cell r="AH106">
            <v>6.2448413905051847E-2</v>
          </cell>
          <cell r="AI106">
            <v>6.1606410601932456E-2</v>
          </cell>
          <cell r="AJ106">
            <v>6.0719814758144391E-2</v>
          </cell>
          <cell r="AK106">
            <v>6.007913199186532E-2</v>
          </cell>
          <cell r="AL106">
            <v>5.9777697698317513E-2</v>
          </cell>
          <cell r="AM106">
            <v>6.0157512083429607E-2</v>
          </cell>
        </row>
        <row r="107">
          <cell r="N107">
            <v>5.0011240826655423E-2</v>
          </cell>
          <cell r="O107">
            <v>6.9848658149542775E-2</v>
          </cell>
          <cell r="P107">
            <v>9.3177546152950763E-2</v>
          </cell>
          <cell r="Q107">
            <v>9.1926081666793405E-2</v>
          </cell>
          <cell r="R107">
            <v>9.4271408959384961E-2</v>
          </cell>
          <cell r="S107">
            <v>0.11497261140598532</v>
          </cell>
          <cell r="T107">
            <v>8.6879203845469113E-2</v>
          </cell>
          <cell r="U107">
            <v>8.6368748888341715E-2</v>
          </cell>
          <cell r="V107">
            <v>8.1914102014328735E-2</v>
          </cell>
          <cell r="W107">
            <v>9.0672801520841589E-2</v>
          </cell>
          <cell r="X107">
            <v>7.8777253784541854E-2</v>
          </cell>
          <cell r="Y107">
            <v>6.4844915451543082E-3</v>
          </cell>
          <cell r="Z107">
            <v>3.9778609598237853E-3</v>
          </cell>
          <cell r="AA107">
            <v>5.6640766828843225E-3</v>
          </cell>
          <cell r="AB107">
            <v>6.2754907825330348E-3</v>
          </cell>
          <cell r="AC107">
            <v>4.1453859946073025E-3</v>
          </cell>
          <cell r="AD107">
            <v>5.4114892020672937E-3</v>
          </cell>
          <cell r="AE107">
            <v>4.9514796146077223E-3</v>
          </cell>
          <cell r="AF107">
            <v>4.9957679729233321E-3</v>
          </cell>
          <cell r="AG107">
            <v>4.9551583206694245E-3</v>
          </cell>
          <cell r="AH107">
            <v>4.8961693011801153E-3</v>
          </cell>
          <cell r="AI107">
            <v>4.8301533615200069E-3</v>
          </cell>
          <cell r="AJ107">
            <v>4.7606412141096817E-3</v>
          </cell>
          <cell r="AK107">
            <v>4.7104094933037655E-3</v>
          </cell>
          <cell r="AL107">
            <v>4.6867760134104959E-3</v>
          </cell>
          <cell r="AM107">
            <v>4.7165547606395266E-3</v>
          </cell>
        </row>
        <row r="108">
          <cell r="N108">
            <v>2.6394672136804572E-2</v>
          </cell>
          <cell r="O108">
            <v>0.13939532584722969</v>
          </cell>
          <cell r="P108">
            <v>9.6501652543359337E-2</v>
          </cell>
          <cell r="Q108">
            <v>9.0849835094923073E-2</v>
          </cell>
          <cell r="R108">
            <v>7.6498979872008779E-2</v>
          </cell>
          <cell r="S108">
            <v>8.701415155279503E-2</v>
          </cell>
          <cell r="T108">
            <v>8.7315454707300885E-2</v>
          </cell>
          <cell r="U108">
            <v>9.0403383496762788E-2</v>
          </cell>
          <cell r="V108">
            <v>9.3719343785692036E-2</v>
          </cell>
          <cell r="W108">
            <v>0.10453420727298174</v>
          </cell>
          <cell r="X108">
            <v>0.11654059965369544</v>
          </cell>
          <cell r="Y108">
            <v>9.110020781415723E-2</v>
          </cell>
          <cell r="Z108">
            <v>7.8357554727456508E-2</v>
          </cell>
          <cell r="AA108">
            <v>8.8175208772057229E-2</v>
          </cell>
          <cell r="AB108">
            <v>0.11438392517265757</v>
          </cell>
          <cell r="AC108">
            <v>9.8377087140314762E-2</v>
          </cell>
          <cell r="AD108">
            <v>0.12347877608809379</v>
          </cell>
          <cell r="AE108">
            <v>0.12246109150386562</v>
          </cell>
          <cell r="AF108">
            <v>0.10666582817626252</v>
          </cell>
          <cell r="AG108">
            <v>0.10527768466651323</v>
          </cell>
          <cell r="AH108">
            <v>0.10337933742159282</v>
          </cell>
          <cell r="AI108">
            <v>0.10166269934451277</v>
          </cell>
          <cell r="AJ108">
            <v>0.10269578616776301</v>
          </cell>
          <cell r="AK108">
            <v>0.10719248905880775</v>
          </cell>
          <cell r="AL108">
            <v>0.11627163553815009</v>
          </cell>
          <cell r="AM108">
            <v>0.13138868747306379</v>
          </cell>
        </row>
        <row r="109">
          <cell r="N109">
            <v>1.7139671638357425E-2</v>
          </cell>
          <cell r="O109">
            <v>0.12717633001613771</v>
          </cell>
          <cell r="P109">
            <v>8.5608776626702368E-2</v>
          </cell>
          <cell r="Q109">
            <v>7.9275593744455419E-2</v>
          </cell>
          <cell r="R109">
            <v>7.6233763490823073E-2</v>
          </cell>
          <cell r="S109">
            <v>8.7000599887069457E-2</v>
          </cell>
          <cell r="T109">
            <v>8.7315454707300885E-2</v>
          </cell>
          <cell r="U109">
            <v>9.0403383496762788E-2</v>
          </cell>
          <cell r="V109">
            <v>9.3719343785692036E-2</v>
          </cell>
          <cell r="W109">
            <v>0.10453420727298174</v>
          </cell>
          <cell r="X109">
            <v>0.11654153123322904</v>
          </cell>
          <cell r="Y109">
            <v>9.1098759151152453E-2</v>
          </cell>
          <cell r="Z109">
            <v>7.8357346529275992E-2</v>
          </cell>
          <cell r="AA109">
            <v>8.8175208772057229E-2</v>
          </cell>
          <cell r="AB109">
            <v>0.11438392517265757</v>
          </cell>
          <cell r="AC109">
            <v>9.4251922540803112E-2</v>
          </cell>
          <cell r="AD109">
            <v>0.10723625720788695</v>
          </cell>
          <cell r="AE109">
            <v>9.0638340483168864E-2</v>
          </cell>
          <cell r="AF109">
            <v>8.9134008773923898E-2</v>
          </cell>
          <cell r="AG109">
            <v>7.6939772087134498E-2</v>
          </cell>
          <cell r="AH109">
            <v>6.3643756537710733E-2</v>
          </cell>
          <cell r="AI109">
            <v>4.9539852145451792E-2</v>
          </cell>
          <cell r="AJ109">
            <v>3.7087238900033383E-2</v>
          </cell>
          <cell r="AK109">
            <v>3.1924374182337643E-2</v>
          </cell>
          <cell r="AL109">
            <v>3.6783324660997804E-2</v>
          </cell>
          <cell r="AM109">
            <v>4.432245481510888E-2</v>
          </cell>
        </row>
        <row r="110">
          <cell r="N110">
            <v>9.2550004984471475E-3</v>
          </cell>
          <cell r="O110">
            <v>1.2218995831091985E-2</v>
          </cell>
          <cell r="P110">
            <v>1.0892875916656965E-2</v>
          </cell>
          <cell r="Q110">
            <v>1.1574241350467654E-2</v>
          </cell>
          <cell r="R110">
            <v>2.6521638118570846E-4</v>
          </cell>
          <cell r="S110">
            <v>1.3551665725583563E-5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-9.3157953358986187E-7</v>
          </cell>
          <cell r="Y110">
            <v>1.4486630047656297E-6</v>
          </cell>
          <cell r="Z110">
            <v>2.0819818052470691E-7</v>
          </cell>
          <cell r="AA110">
            <v>0</v>
          </cell>
          <cell r="AB110">
            <v>0</v>
          </cell>
          <cell r="AC110">
            <v>4.1251645995116527E-3</v>
          </cell>
          <cell r="AD110">
            <v>1.6242518880206846E-2</v>
          </cell>
          <cell r="AE110">
            <v>3.1822751020696767E-2</v>
          </cell>
          <cell r="AF110">
            <v>1.7531819402338618E-2</v>
          </cell>
          <cell r="AG110">
            <v>2.8337912579378739E-2</v>
          </cell>
          <cell r="AH110">
            <v>3.9735580883882078E-2</v>
          </cell>
          <cell r="AI110">
            <v>5.2122847199060983E-2</v>
          </cell>
          <cell r="AJ110">
            <v>6.5608547267729633E-2</v>
          </cell>
          <cell r="AK110">
            <v>7.5268114876470102E-2</v>
          </cell>
          <cell r="AL110">
            <v>7.9488310877152288E-2</v>
          </cell>
          <cell r="AM110">
            <v>8.7066232657954892E-2</v>
          </cell>
        </row>
        <row r="111">
          <cell r="N111">
            <v>9.297250872282504E-4</v>
          </cell>
          <cell r="O111">
            <v>1.0758472296933835E-3</v>
          </cell>
          <cell r="P111">
            <v>8.1480619252706325E-4</v>
          </cell>
          <cell r="Q111">
            <v>1.5410741895419866E-3</v>
          </cell>
          <cell r="R111">
            <v>2.4933955688850405E-3</v>
          </cell>
          <cell r="S111">
            <v>2.7178618482966311E-3</v>
          </cell>
          <cell r="T111">
            <v>2.3564827552721443E-3</v>
          </cell>
          <cell r="U111">
            <v>2.3058762184788749E-3</v>
          </cell>
          <cell r="V111">
            <v>2.2209887862111931E-3</v>
          </cell>
          <cell r="W111">
            <v>2.3932189592031907E-3</v>
          </cell>
          <cell r="X111">
            <v>2.2293220328685561E-3</v>
          </cell>
          <cell r="Y111">
            <v>2.3316575981512299E-3</v>
          </cell>
          <cell r="Z111">
            <v>2.2807286332845529E-3</v>
          </cell>
          <cell r="AA111">
            <v>2.4050540991939584E-3</v>
          </cell>
          <cell r="AB111">
            <v>2.5585948121159387E-3</v>
          </cell>
          <cell r="AC111">
            <v>2.8562720572599099E-3</v>
          </cell>
          <cell r="AD111">
            <v>2.2200000000000002E-3</v>
          </cell>
          <cell r="AE111">
            <v>2.2000000000000001E-3</v>
          </cell>
          <cell r="AF111">
            <v>2.2699999999999999E-3</v>
          </cell>
          <cell r="AG111">
            <v>2.2699999999999999E-3</v>
          </cell>
          <cell r="AH111">
            <v>2.2699999999999999E-3</v>
          </cell>
          <cell r="AI111">
            <v>2.2699999999999999E-3</v>
          </cell>
          <cell r="AJ111">
            <v>2.2699999999999999E-3</v>
          </cell>
          <cell r="AK111">
            <v>2.2699999999999999E-3</v>
          </cell>
          <cell r="AL111">
            <v>2.2699999999999999E-3</v>
          </cell>
          <cell r="AM111">
            <v>2.2699999999999999E-3</v>
          </cell>
        </row>
        <row r="112">
          <cell r="N112">
            <v>6.7719402170162188E-2</v>
          </cell>
          <cell r="O112">
            <v>7.0693878563743942E-2</v>
          </cell>
          <cell r="P112">
            <v>5.3601516470725176E-2</v>
          </cell>
          <cell r="Q112">
            <v>2.8985029579499659E-2</v>
          </cell>
          <cell r="R112">
            <v>4.4282281876359644E-2</v>
          </cell>
          <cell r="S112">
            <v>3.7742834632034636E-2</v>
          </cell>
          <cell r="T112">
            <v>3.3147839966335961E-2</v>
          </cell>
          <cell r="U112">
            <v>3.0676122999377178E-2</v>
          </cell>
          <cell r="V112">
            <v>3.3822411691413146E-2</v>
          </cell>
          <cell r="W112">
            <v>2.8256050663618765E-2</v>
          </cell>
          <cell r="X112">
            <v>2.5779425660965805E-2</v>
          </cell>
          <cell r="Y112">
            <v>2.5376070988971194E-2</v>
          </cell>
          <cell r="Z112">
            <v>3.3346189419006383E-2</v>
          </cell>
          <cell r="AA112">
            <v>2.7826592113862465E-2</v>
          </cell>
          <cell r="AB112">
            <v>2.3111642829952688E-2</v>
          </cell>
          <cell r="AC112">
            <v>2.7096669428164806E-2</v>
          </cell>
          <cell r="AD112">
            <v>3.3780613624863537E-2</v>
          </cell>
          <cell r="AE112">
            <v>3.1701142854509735E-2</v>
          </cell>
          <cell r="AF112">
            <v>3.1399109004004833E-2</v>
          </cell>
          <cell r="AG112">
            <v>3.1178144397225119E-2</v>
          </cell>
          <cell r="AH112">
            <v>3.0933882987889225E-2</v>
          </cell>
          <cell r="AI112">
            <v>3.0783200576762617E-2</v>
          </cell>
          <cell r="AJ112">
            <v>3.0618033433393806E-2</v>
          </cell>
          <cell r="AK112">
            <v>3.0509545380307191E-2</v>
          </cell>
          <cell r="AL112">
            <v>3.0515395680694942E-2</v>
          </cell>
          <cell r="AM112">
            <v>3.0651078627435289E-2</v>
          </cell>
        </row>
        <row r="113">
          <cell r="N113">
            <v>1.6532789386910012E-3</v>
          </cell>
          <cell r="O113">
            <v>1.8935806885422271E-3</v>
          </cell>
          <cell r="P113">
            <v>2.3993395646606915E-2</v>
          </cell>
          <cell r="Q113">
            <v>7.5656278609991636E-3</v>
          </cell>
          <cell r="R113">
            <v>1.6843533909223395E-2</v>
          </cell>
          <cell r="S113">
            <v>2.0337901976284586E-2</v>
          </cell>
          <cell r="T113">
            <v>1.964950685419263E-2</v>
          </cell>
          <cell r="U113">
            <v>1.7424081342970122E-2</v>
          </cell>
          <cell r="V113">
            <v>1.9667717370989511E-2</v>
          </cell>
          <cell r="W113">
            <v>1.8785365725082222E-2</v>
          </cell>
          <cell r="X113">
            <v>1.4678942900250107E-2</v>
          </cell>
          <cell r="Y113">
            <v>1.5984681354499909E-2</v>
          </cell>
          <cell r="Z113">
            <v>2.1219438981337598E-2</v>
          </cell>
          <cell r="AA113">
            <v>1.4232808074940092E-2</v>
          </cell>
          <cell r="AB113">
            <v>1.3350372505302082E-2</v>
          </cell>
          <cell r="AC113">
            <v>1.3725271921169301E-2</v>
          </cell>
          <cell r="AD113">
            <v>2.5022113624863531E-2</v>
          </cell>
          <cell r="AE113">
            <v>2.4069642854509736E-2</v>
          </cell>
          <cell r="AF113">
            <v>2.376760900400483E-2</v>
          </cell>
          <cell r="AG113">
            <v>2.3546644397225123E-2</v>
          </cell>
          <cell r="AH113">
            <v>2.3302382987889222E-2</v>
          </cell>
          <cell r="AI113">
            <v>2.3151700576762614E-2</v>
          </cell>
          <cell r="AJ113">
            <v>2.2986533433393807E-2</v>
          </cell>
          <cell r="AK113">
            <v>2.2878045380307192E-2</v>
          </cell>
          <cell r="AL113">
            <v>2.2883895680694943E-2</v>
          </cell>
          <cell r="AM113">
            <v>2.3019578627435287E-2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9.8647052229475125E-3</v>
          </cell>
          <cell r="Z114">
            <v>1.4453178039618002E-2</v>
          </cell>
          <cell r="AA114">
            <v>8.772057221697771E-3</v>
          </cell>
          <cell r="AB114">
            <v>1.0479090760780902E-2</v>
          </cell>
          <cell r="AC114">
            <v>1.0237081267170474E-2</v>
          </cell>
          <cell r="AD114">
            <v>1.1370613624863534E-2</v>
          </cell>
          <cell r="AE114">
            <v>1.1881142854509738E-2</v>
          </cell>
          <cell r="AF114">
            <v>1.157910900400483E-2</v>
          </cell>
          <cell r="AG114">
            <v>1.1358144397225125E-2</v>
          </cell>
          <cell r="AH114">
            <v>1.1113882987889224E-2</v>
          </cell>
          <cell r="AI114">
            <v>1.0963200576762613E-2</v>
          </cell>
          <cell r="AJ114">
            <v>1.0798033433393809E-2</v>
          </cell>
          <cell r="AK114">
            <v>1.0689545380307188E-2</v>
          </cell>
          <cell r="AL114">
            <v>1.0695395680694943E-2</v>
          </cell>
          <cell r="AM114">
            <v>1.0831078627435289E-2</v>
          </cell>
        </row>
        <row r="115">
          <cell r="N115">
            <v>1.6532789386910012E-3</v>
          </cell>
          <cell r="O115">
            <v>1.8935806885422271E-3</v>
          </cell>
          <cell r="P115">
            <v>2.3993395646606915E-2</v>
          </cell>
          <cell r="Q115">
            <v>7.5656278609991636E-3</v>
          </cell>
          <cell r="R115">
            <v>1.6843533909223395E-2</v>
          </cell>
          <cell r="S115">
            <v>2.0337901976284586E-2</v>
          </cell>
          <cell r="T115">
            <v>1.964950685419263E-2</v>
          </cell>
          <cell r="U115">
            <v>1.7424081342970122E-2</v>
          </cell>
          <cell r="V115">
            <v>1.9667717370989511E-2</v>
          </cell>
          <cell r="W115">
            <v>1.8785365725082222E-2</v>
          </cell>
          <cell r="X115">
            <v>1.4678942900250107E-2</v>
          </cell>
          <cell r="Y115">
            <v>6.1199761315523966E-3</v>
          </cell>
          <cell r="Z115">
            <v>6.7662609417195978E-3</v>
          </cell>
          <cell r="AA115">
            <v>5.4607508532423209E-3</v>
          </cell>
          <cell r="AB115">
            <v>2.871281744521182E-3</v>
          </cell>
          <cell r="AC115">
            <v>3.4881906539988277E-3</v>
          </cell>
          <cell r="AD115">
            <v>1.36515E-2</v>
          </cell>
          <cell r="AE115">
            <v>1.21885E-2</v>
          </cell>
          <cell r="AF115">
            <v>1.21885E-2</v>
          </cell>
          <cell r="AG115">
            <v>1.21885E-2</v>
          </cell>
          <cell r="AH115">
            <v>1.21885E-2</v>
          </cell>
          <cell r="AI115">
            <v>1.21885E-2</v>
          </cell>
          <cell r="AJ115">
            <v>1.2188499999999998E-2</v>
          </cell>
          <cell r="AK115">
            <v>1.2188500000000001E-2</v>
          </cell>
          <cell r="AL115">
            <v>1.21885E-2</v>
          </cell>
          <cell r="AM115">
            <v>1.21885E-2</v>
          </cell>
        </row>
        <row r="116">
          <cell r="N116">
            <v>6.548332349219739E-2</v>
          </cell>
          <cell r="O116">
            <v>6.8195133808499189E-2</v>
          </cell>
          <cell r="P116">
            <v>2.9468439762542199E-2</v>
          </cell>
          <cell r="Q116">
            <v>2.1267322028743062E-2</v>
          </cell>
          <cell r="R116">
            <v>2.712616216444548E-2</v>
          </cell>
          <cell r="S116">
            <v>1.6877923433088651E-2</v>
          </cell>
          <cell r="T116">
            <v>1.3498333112143329E-2</v>
          </cell>
          <cell r="U116">
            <v>1.1787746759172083E-2</v>
          </cell>
          <cell r="V116">
            <v>1.013705783407746E-2</v>
          </cell>
          <cell r="W116">
            <v>8.6454772690163547E-3</v>
          </cell>
          <cell r="X116">
            <v>1.1100482760715699E-2</v>
          </cell>
          <cell r="Y116">
            <v>5.1241923662358087E-3</v>
          </cell>
          <cell r="Z116">
            <v>9.6812571437623479E-3</v>
          </cell>
          <cell r="AA116">
            <v>1.129910681867693E-2</v>
          </cell>
          <cell r="AB116">
            <v>9.3534178041220287E-3</v>
          </cell>
          <cell r="AC116">
            <v>1.2233944032865453E-2</v>
          </cell>
          <cell r="AD116">
            <v>8.0400000000000003E-3</v>
          </cell>
          <cell r="AE116">
            <v>6.9899999999999997E-3</v>
          </cell>
          <cell r="AF116">
            <v>6.9899999999999988E-3</v>
          </cell>
          <cell r="AG116">
            <v>6.9900000000000006E-3</v>
          </cell>
          <cell r="AH116">
            <v>6.9899999999999997E-3</v>
          </cell>
          <cell r="AI116">
            <v>6.9899999999999997E-3</v>
          </cell>
          <cell r="AJ116">
            <v>6.9899999999999997E-3</v>
          </cell>
          <cell r="AK116">
            <v>6.9899999999999997E-3</v>
          </cell>
          <cell r="AL116">
            <v>6.9899999999999997E-3</v>
          </cell>
          <cell r="AM116">
            <v>6.9899999999999988E-3</v>
          </cell>
        </row>
        <row r="117">
          <cell r="N117">
            <v>5.8279973927380087E-4</v>
          </cell>
          <cell r="O117">
            <v>6.0516406670252821E-4</v>
          </cell>
          <cell r="P117">
            <v>1.3968106157606798E-4</v>
          </cell>
          <cell r="Q117">
            <v>1.520796897574329E-4</v>
          </cell>
          <cell r="R117">
            <v>3.125858026907724E-4</v>
          </cell>
          <cell r="S117">
            <v>5.2700922266139653E-4</v>
          </cell>
          <cell r="T117">
            <v>0</v>
          </cell>
          <cell r="U117">
            <v>1.4642948972349763E-3</v>
          </cell>
          <cell r="V117">
            <v>4.017636486346174E-3</v>
          </cell>
          <cell r="W117">
            <v>8.2520766952018853E-4</v>
          </cell>
          <cell r="X117">
            <v>0</v>
          </cell>
          <cell r="Y117">
            <v>4.2671972682354767E-3</v>
          </cell>
          <cell r="Z117">
            <v>2.4454932939064313E-3</v>
          </cell>
          <cell r="AA117">
            <v>2.2946772202454432E-3</v>
          </cell>
          <cell r="AB117">
            <v>4.0785252052857689E-4</v>
          </cell>
          <cell r="AC117">
            <v>1.1374534741300526E-3</v>
          </cell>
          <cell r="AD117">
            <v>7.1850000000000006E-4</v>
          </cell>
          <cell r="AE117">
            <v>6.4150000000000003E-4</v>
          </cell>
          <cell r="AF117">
            <v>6.4150000000000003E-4</v>
          </cell>
          <cell r="AG117">
            <v>6.4150000000000003E-4</v>
          </cell>
          <cell r="AH117">
            <v>6.4150000000000003E-4</v>
          </cell>
          <cell r="AI117">
            <v>6.4150000000000003E-4</v>
          </cell>
          <cell r="AJ117">
            <v>6.4150000000000003E-4</v>
          </cell>
          <cell r="AK117">
            <v>6.4150000000000003E-4</v>
          </cell>
          <cell r="AL117">
            <v>6.4150000000000003E-4</v>
          </cell>
          <cell r="AM117">
            <v>6.4149999999999993E-4</v>
          </cell>
        </row>
        <row r="118">
          <cell r="N118">
            <v>2.805126337180323E-2</v>
          </cell>
          <cell r="O118">
            <v>2.1718834050564819E-2</v>
          </cell>
          <cell r="P118">
            <v>8.5502997322779647E-3</v>
          </cell>
          <cell r="Q118">
            <v>5.5644944617646314E-3</v>
          </cell>
          <cell r="R118">
            <v>2.9081124464063195E-3</v>
          </cell>
          <cell r="S118">
            <v>2.4831469979296064E-3</v>
          </cell>
          <cell r="T118">
            <v>2.1352323304254938E-3</v>
          </cell>
          <cell r="U118">
            <v>3.1300046638953662E-3</v>
          </cell>
          <cell r="V118">
            <v>1.9441578756100094E-3</v>
          </cell>
          <cell r="W118">
            <v>2.0727143290336122E-3</v>
          </cell>
          <cell r="X118">
            <v>1.7698029709286428E-3</v>
          </cell>
          <cell r="Y118">
            <v>2.0039986686097148E-3</v>
          </cell>
          <cell r="Z118">
            <v>1.0393782583769595E-3</v>
          </cell>
          <cell r="AA118">
            <v>9.9339191053663496E-4</v>
          </cell>
          <cell r="AB118">
            <v>1.9169068464843114E-3</v>
          </cell>
          <cell r="AC118">
            <v>3.8723971608160897E-3</v>
          </cell>
          <cell r="AD118">
            <v>3.4089550064524002E-3</v>
          </cell>
          <cell r="AE118">
            <v>5.2625387196190347E-4</v>
          </cell>
          <cell r="AF118">
            <v>4.7902321595595047E-4</v>
          </cell>
          <cell r="AG118">
            <v>4.2789092096724555E-4</v>
          </cell>
          <cell r="AH118">
            <v>3.8094961192513909E-4</v>
          </cell>
          <cell r="AI118">
            <v>3.3822291523968737E-4</v>
          </cell>
          <cell r="AJ118">
            <v>2.9982945118094519E-4</v>
          </cell>
          <cell r="AK118">
            <v>2.671485433982752E-4</v>
          </cell>
          <cell r="AL118">
            <v>2.4057715493868537E-4</v>
          </cell>
          <cell r="AM118">
            <v>2.1927705528346041E-4</v>
          </cell>
        </row>
        <row r="119">
          <cell r="N119">
            <v>1.164065795023197E-2</v>
          </cell>
          <cell r="O119">
            <v>1.0101196880043033E-2</v>
          </cell>
          <cell r="P119">
            <v>3.5524062390874171E-3</v>
          </cell>
          <cell r="Q119">
            <v>7.1984386485184895E-4</v>
          </cell>
          <cell r="R119">
            <v>1.5546497138150254E-4</v>
          </cell>
          <cell r="S119">
            <v>3.0114812723508379E-5</v>
          </cell>
          <cell r="T119">
            <v>2.5895414893100492E-5</v>
          </cell>
          <cell r="U119">
            <v>0</v>
          </cell>
          <cell r="V119">
            <v>1.3134975599626206E-3</v>
          </cell>
          <cell r="W119">
            <v>2.0727143290336122E-3</v>
          </cell>
          <cell r="X119">
            <v>1.0317027451218648E-3</v>
          </cell>
          <cell r="Y119">
            <v>1.1593356845363847E-4</v>
          </cell>
          <cell r="Z119">
            <v>3.1368934025315695E-4</v>
          </cell>
          <cell r="AA119">
            <v>6.8840316607363304E-5</v>
          </cell>
          <cell r="AB119">
            <v>1.9169068464843114E-3</v>
          </cell>
          <cell r="AC119">
            <v>1.289113937347393E-3</v>
          </cell>
          <cell r="AD119">
            <v>1.1492957618127137E-3</v>
          </cell>
          <cell r="AE119">
            <v>1.0235846190489789E-3</v>
          </cell>
          <cell r="AF119">
            <v>9.3171912292435073E-4</v>
          </cell>
          <cell r="AG119">
            <v>8.322647844850083E-4</v>
          </cell>
          <cell r="AH119">
            <v>7.409620796623381E-4</v>
          </cell>
          <cell r="AI119">
            <v>6.5785696275943507E-4</v>
          </cell>
          <cell r="AJ119">
            <v>5.8318015489856444E-4</v>
          </cell>
          <cell r="AK119">
            <v>5.1961449519483745E-4</v>
          </cell>
          <cell r="AL119">
            <v>4.6793209249323682E-4</v>
          </cell>
          <cell r="AM119">
            <v>4.2650255524343385E-4</v>
          </cell>
        </row>
        <row r="120">
          <cell r="N120">
            <v>1.6410605421571259E-2</v>
          </cell>
          <cell r="O120">
            <v>1.1617637170521786E-2</v>
          </cell>
          <cell r="P120">
            <v>4.9978934931905481E-3</v>
          </cell>
          <cell r="Q120">
            <v>4.844650596912782E-3</v>
          </cell>
          <cell r="R120">
            <v>2.7526474750248168E-3</v>
          </cell>
          <cell r="S120">
            <v>2.4530321852060982E-3</v>
          </cell>
          <cell r="T120">
            <v>2.1093369155323937E-3</v>
          </cell>
          <cell r="U120">
            <v>3.1300046638953662E-3</v>
          </cell>
          <cell r="V120">
            <v>6.3066031564738866E-4</v>
          </cell>
          <cell r="W120">
            <v>0</v>
          </cell>
          <cell r="X120">
            <v>7.3810022580677822E-4</v>
          </cell>
          <cell r="Y120">
            <v>1.8880651001560761E-3</v>
          </cell>
          <cell r="Z120">
            <v>7.2568891812380251E-4</v>
          </cell>
          <cell r="AA120">
            <v>9.2455159392927167E-4</v>
          </cell>
          <cell r="AB120">
            <v>0</v>
          </cell>
          <cell r="AC120">
            <v>2.5832832234686971E-3</v>
          </cell>
          <cell r="AD120">
            <v>2.2596592446396868E-3</v>
          </cell>
          <cell r="AE120">
            <v>-4.9733074708707529E-4</v>
          </cell>
          <cell r="AF120">
            <v>-4.5269590696840026E-4</v>
          </cell>
          <cell r="AG120">
            <v>-4.0437386351776269E-4</v>
          </cell>
          <cell r="AH120">
            <v>-3.6001246773719906E-4</v>
          </cell>
          <cell r="AI120">
            <v>-3.196340475197477E-4</v>
          </cell>
          <cell r="AJ120">
            <v>-2.8335070371761925E-4</v>
          </cell>
          <cell r="AK120">
            <v>-2.5246595179656225E-4</v>
          </cell>
          <cell r="AL120">
            <v>-2.2735493755455144E-4</v>
          </cell>
          <cell r="AM120">
            <v>-2.0722549995997341E-4</v>
          </cell>
        </row>
        <row r="121">
          <cell r="N121">
            <v>3.7739657221732294E-3</v>
          </cell>
          <cell r="O121">
            <v>5.0181549220010757E-3</v>
          </cell>
          <cell r="P121">
            <v>1.8187702246537072E-3</v>
          </cell>
          <cell r="Q121">
            <v>1.1186140470940105E-3</v>
          </cell>
          <cell r="R121">
            <v>9.064058968889264E-4</v>
          </cell>
          <cell r="S121">
            <v>5.3006647844908714E-4</v>
          </cell>
          <cell r="T121">
            <v>9.0354093903248251E-4</v>
          </cell>
          <cell r="U121">
            <v>2.5416756999464083E-3</v>
          </cell>
          <cell r="V121">
            <v>2.8181528917038731E-3</v>
          </cell>
          <cell r="W121">
            <v>9.3874236663478807E-4</v>
          </cell>
          <cell r="X121">
            <v>8.4516196320260847E-4</v>
          </cell>
          <cell r="Y121">
            <v>7.3755089273857665E-4</v>
          </cell>
          <cell r="Z121">
            <v>4.8114220448682168E-4</v>
          </cell>
          <cell r="AA121">
            <v>3.9212838573814536E-4</v>
          </cell>
          <cell r="AB121">
            <v>1.0005981836967751E-3</v>
          </cell>
          <cell r="AC121">
            <v>8.1896650137363778E-4</v>
          </cell>
          <cell r="AD121">
            <v>8.1814920154857601E-4</v>
          </cell>
          <cell r="AE121">
            <v>6.4769707318388119E-4</v>
          </cell>
          <cell r="AF121">
            <v>5.895670350227083E-4</v>
          </cell>
          <cell r="AG121">
            <v>5.2663497965199451E-4</v>
          </cell>
          <cell r="AH121">
            <v>4.6886106083094043E-4</v>
          </cell>
          <cell r="AI121">
            <v>4.1627435721807679E-4</v>
          </cell>
          <cell r="AJ121">
            <v>3.690208629919326E-4</v>
          </cell>
          <cell r="AK121">
            <v>3.2879820725941562E-4</v>
          </cell>
          <cell r="AL121">
            <v>2.9609495992453586E-4</v>
          </cell>
          <cell r="AM121">
            <v>2.6987945265656668E-4</v>
          </cell>
        </row>
        <row r="123">
          <cell r="N123">
            <v>0.24247536520838925</v>
          </cell>
          <cell r="O123">
            <v>0.3268414331629908</v>
          </cell>
          <cell r="P123">
            <v>0.3345771094482598</v>
          </cell>
          <cell r="Q123">
            <v>0.29477372326565787</v>
          </cell>
          <cell r="R123">
            <v>0.32731893965742287</v>
          </cell>
          <cell r="S123">
            <v>0.33962492700922264</v>
          </cell>
          <cell r="T123">
            <v>0.36453798235874862</v>
          </cell>
          <cell r="U123">
            <v>0.35636921962717805</v>
          </cell>
          <cell r="V123">
            <v>0.36158225421347734</v>
          </cell>
          <cell r="W123">
            <v>0.37685858794989618</v>
          </cell>
          <cell r="X123">
            <v>0.35972734971090659</v>
          </cell>
          <cell r="Y123">
            <v>0.33161965697729562</v>
          </cell>
          <cell r="Z123">
            <v>0.31715151108760925</v>
          </cell>
          <cell r="AA123">
            <v>0.33547890494517463</v>
          </cell>
          <cell r="AB123">
            <v>0.32475936701288816</v>
          </cell>
          <cell r="AC123">
            <v>0.32454833593633442</v>
          </cell>
          <cell r="AD123">
            <v>0.30640550743316602</v>
          </cell>
          <cell r="AE123">
            <v>0.28439499456032441</v>
          </cell>
          <cell r="AF123">
            <v>0.27775168117811394</v>
          </cell>
          <cell r="AG123">
            <v>0.27416836117761034</v>
          </cell>
          <cell r="AH123">
            <v>0.2695849379909338</v>
          </cell>
          <cell r="AI123">
            <v>0.26342151827745014</v>
          </cell>
          <cell r="AJ123">
            <v>0.25689713785373602</v>
          </cell>
          <cell r="AK123">
            <v>0.2512839756639787</v>
          </cell>
          <cell r="AL123">
            <v>0.24747919647575045</v>
          </cell>
          <cell r="AM123">
            <v>0.24483938443837722</v>
          </cell>
        </row>
        <row r="124">
          <cell r="N124">
            <v>0.24247536520838925</v>
          </cell>
          <cell r="O124">
            <v>0.3268414331629908</v>
          </cell>
          <cell r="P124">
            <v>0.3345771094482598</v>
          </cell>
          <cell r="Q124">
            <v>0.29477372326565787</v>
          </cell>
          <cell r="R124">
            <v>0.2888370928667075</v>
          </cell>
          <cell r="S124">
            <v>0.29208116642198384</v>
          </cell>
          <cell r="T124">
            <v>0.31732416715490314</v>
          </cell>
          <cell r="U124">
            <v>0.30615557845743835</v>
          </cell>
          <cell r="V124">
            <v>0.31833648534212439</v>
          </cell>
          <cell r="W124">
            <v>0.32109128604417903</v>
          </cell>
          <cell r="X124">
            <v>0.30876589887704159</v>
          </cell>
          <cell r="Y124">
            <v>0.29862463244487747</v>
          </cell>
          <cell r="Z124">
            <v>0.2842712853887121</v>
          </cell>
          <cell r="AA124">
            <v>0.29965579841696316</v>
          </cell>
          <cell r="AB124">
            <v>0.29213116537060196</v>
          </cell>
          <cell r="AC124">
            <v>0.29106170565794565</v>
          </cell>
          <cell r="AD124">
            <v>0.2684055074331661</v>
          </cell>
          <cell r="AE124">
            <v>0.25239499456032438</v>
          </cell>
          <cell r="AF124">
            <v>0.24475168117811397</v>
          </cell>
          <cell r="AG124">
            <v>0.24016836117761037</v>
          </cell>
          <cell r="AH124">
            <v>0.23458493799093383</v>
          </cell>
          <cell r="AI124">
            <v>0.22742151827745016</v>
          </cell>
          <cell r="AJ124">
            <v>0.21989713785373599</v>
          </cell>
          <cell r="AK124">
            <v>0.21328397566397869</v>
          </cell>
          <cell r="AL124">
            <v>0.20847919647575044</v>
          </cell>
          <cell r="AM124">
            <v>0.20483938443837724</v>
          </cell>
        </row>
        <row r="125">
          <cell r="N125">
            <v>0.24078831333154405</v>
          </cell>
          <cell r="O125">
            <v>0.27014252071005918</v>
          </cell>
          <cell r="P125">
            <v>0.28096482531719241</v>
          </cell>
          <cell r="Q125">
            <v>0.2476266181025524</v>
          </cell>
          <cell r="R125">
            <v>0.23095781399286122</v>
          </cell>
          <cell r="S125">
            <v>0.23266895893092415</v>
          </cell>
          <cell r="T125">
            <v>0.24932450411898943</v>
          </cell>
          <cell r="U125">
            <v>0.23777590284207939</v>
          </cell>
          <cell r="V125">
            <v>0.2358275360814038</v>
          </cell>
          <cell r="W125">
            <v>0.24274037661822678</v>
          </cell>
          <cell r="X125">
            <v>0.2268246301527993</v>
          </cell>
          <cell r="Y125">
            <v>0.21739602824892859</v>
          </cell>
          <cell r="Z125">
            <v>0.20226694627581734</v>
          </cell>
          <cell r="AA125">
            <v>0.20903057149081403</v>
          </cell>
          <cell r="AB125">
            <v>0.20229485018217414</v>
          </cell>
          <cell r="AC125">
            <v>0.19741136962123801</v>
          </cell>
          <cell r="AD125">
            <v>0.18855519260083956</v>
          </cell>
          <cell r="AE125">
            <v>0.18187172735725213</v>
          </cell>
          <cell r="AF125">
            <v>0.18045191320808265</v>
          </cell>
          <cell r="AG125">
            <v>0.17710377285454035</v>
          </cell>
          <cell r="AH125">
            <v>0.1730797993095021</v>
          </cell>
          <cell r="AI125">
            <v>0.16743308523430628</v>
          </cell>
          <cell r="AJ125">
            <v>0.16125385139192427</v>
          </cell>
          <cell r="AK125">
            <v>0.15577948469706057</v>
          </cell>
          <cell r="AL125">
            <v>0.15190006408323672</v>
          </cell>
          <cell r="AM125">
            <v>0.14900345114246155</v>
          </cell>
        </row>
        <row r="126">
          <cell r="N126">
            <v>0.15504006748207508</v>
          </cell>
          <cell r="O126">
            <v>0.16221710476062398</v>
          </cell>
          <cell r="P126">
            <v>0.17985078801769294</v>
          </cell>
          <cell r="Q126">
            <v>0.1621644796593415</v>
          </cell>
          <cell r="R126">
            <v>0.14835973708999514</v>
          </cell>
          <cell r="S126">
            <v>0.15360428676830418</v>
          </cell>
          <cell r="T126">
            <v>0.17235887872853511</v>
          </cell>
          <cell r="U126">
            <v>0.16415016319114731</v>
          </cell>
          <cell r="V126">
            <v>0.16452341397570347</v>
          </cell>
          <cell r="W126">
            <v>0.16887087821604346</v>
          </cell>
          <cell r="X126">
            <v>0.16050750832852353</v>
          </cell>
          <cell r="Y126">
            <v>0.14919504350300511</v>
          </cell>
          <cell r="Z126">
            <v>0.14208560264321168</v>
          </cell>
          <cell r="AA126">
            <v>0.14863118146830295</v>
          </cell>
          <cell r="AB126">
            <v>0.15028005873076294</v>
          </cell>
          <cell r="AC126">
            <v>0.14882946790394999</v>
          </cell>
          <cell r="AD126">
            <v>0.14835919260083949</v>
          </cell>
          <cell r="AE126">
            <v>0.14467172735725209</v>
          </cell>
          <cell r="AF126">
            <v>0.14245191320808259</v>
          </cell>
          <cell r="AG126">
            <v>0.13810377285454026</v>
          </cell>
          <cell r="AH126">
            <v>0.13307979930950203</v>
          </cell>
          <cell r="AI126">
            <v>0.12743308523430624</v>
          </cell>
          <cell r="AJ126">
            <v>0.12125385139192425</v>
          </cell>
          <cell r="AK126">
            <v>0.11577948469706054</v>
          </cell>
          <cell r="AL126">
            <v>0.11190006408323672</v>
          </cell>
          <cell r="AM126">
            <v>0.1090034511424615</v>
          </cell>
        </row>
        <row r="127">
          <cell r="N127">
            <v>8.5748245849468968E-2</v>
          </cell>
          <cell r="O127">
            <v>0.10792541594943518</v>
          </cell>
          <cell r="P127">
            <v>0.10111403729949948</v>
          </cell>
          <cell r="Q127">
            <v>8.5462138443210905E-2</v>
          </cell>
          <cell r="R127">
            <v>8.259807690286608E-2</v>
          </cell>
          <cell r="S127">
            <v>7.9064672162619989E-2</v>
          </cell>
          <cell r="T127">
            <v>7.6965625390454304E-2</v>
          </cell>
          <cell r="U127">
            <v>7.3625739650932054E-2</v>
          </cell>
          <cell r="V127">
            <v>7.1304122105700349E-2</v>
          </cell>
          <cell r="W127">
            <v>7.3869498402183292E-2</v>
          </cell>
          <cell r="X127">
            <v>6.6317121824275752E-2</v>
          </cell>
          <cell r="Y127">
            <v>6.8200984745923482E-2</v>
          </cell>
          <cell r="Z127">
            <v>6.0181343632605647E-2</v>
          </cell>
          <cell r="AA127">
            <v>6.0399390022511074E-2</v>
          </cell>
          <cell r="AB127">
            <v>5.201479145141117E-2</v>
          </cell>
          <cell r="AC127">
            <v>4.8581901717288024E-2</v>
          </cell>
          <cell r="AD127">
            <v>4.0196000000000003E-2</v>
          </cell>
          <cell r="AE127">
            <v>3.7199999999999997E-2</v>
          </cell>
          <cell r="AF127">
            <v>3.8000000000000006E-2</v>
          </cell>
          <cell r="AG127">
            <v>3.9E-2</v>
          </cell>
          <cell r="AH127">
            <v>0.04</v>
          </cell>
          <cell r="AI127">
            <v>0.04</v>
          </cell>
          <cell r="AJ127">
            <v>0.04</v>
          </cell>
          <cell r="AK127">
            <v>0.04</v>
          </cell>
          <cell r="AL127">
            <v>0.04</v>
          </cell>
          <cell r="AM127">
            <v>3.9999999999999994E-2</v>
          </cell>
        </row>
        <row r="128">
          <cell r="N128">
            <v>1.6870518768452129E-3</v>
          </cell>
          <cell r="O128">
            <v>5.3978077595481441E-2</v>
          </cell>
          <cell r="P128">
            <v>5.1097849889419157E-2</v>
          </cell>
          <cell r="Q128">
            <v>4.004583235748866E-2</v>
          </cell>
          <cell r="R128">
            <v>4.7955516662090525E-2</v>
          </cell>
          <cell r="S128">
            <v>4.8593382345191047E-2</v>
          </cell>
          <cell r="T128">
            <v>5.2516168514412424E-2</v>
          </cell>
          <cell r="U128">
            <v>4.8119987353022114E-2</v>
          </cell>
          <cell r="V128">
            <v>5.7187207974249817E-2</v>
          </cell>
          <cell r="W128">
            <v>5.4525807608873135E-2</v>
          </cell>
          <cell r="X128">
            <v>6.1267150682989553E-2</v>
          </cell>
          <cell r="Y128">
            <v>6.1016306081797721E-2</v>
          </cell>
          <cell r="Z128">
            <v>5.7118718223375525E-2</v>
          </cell>
          <cell r="AA128">
            <v>6.549996369181614E-2</v>
          </cell>
          <cell r="AB128">
            <v>6.2727717657295123E-2</v>
          </cell>
          <cell r="AC128">
            <v>6.4329313148021858E-2</v>
          </cell>
          <cell r="AD128">
            <v>5.2839500999999983E-2</v>
          </cell>
          <cell r="AE128">
            <v>4.9271499999999989E-2</v>
          </cell>
          <cell r="AF128">
            <v>4.9271499999999989E-2</v>
          </cell>
          <cell r="AG128">
            <v>4.9271499999999982E-2</v>
          </cell>
          <cell r="AH128">
            <v>4.9271499999999996E-2</v>
          </cell>
          <cell r="AI128">
            <v>4.9271500000000003E-2</v>
          </cell>
          <cell r="AJ128">
            <v>4.9271500000000003E-2</v>
          </cell>
          <cell r="AK128">
            <v>4.9271500000000003E-2</v>
          </cell>
          <cell r="AL128">
            <v>4.9271499999999989E-2</v>
          </cell>
          <cell r="AM128">
            <v>4.9271499999999989E-2</v>
          </cell>
        </row>
        <row r="129">
          <cell r="N129">
            <v>0</v>
          </cell>
          <cell r="O129">
            <v>6.3442009144701449E-3</v>
          </cell>
          <cell r="P129">
            <v>5.0412289139797464E-2</v>
          </cell>
          <cell r="Q129">
            <v>4.0457497275238887E-3</v>
          </cell>
          <cell r="R129">
            <v>1.0775982439436501E-2</v>
          </cell>
          <cell r="S129">
            <v>4.4843299830604182E-3</v>
          </cell>
          <cell r="T129">
            <v>5.9202665932963239E-3</v>
          </cell>
          <cell r="U129">
            <v>5.0933102185657794E-3</v>
          </cell>
          <cell r="V129">
            <v>8.1336309832831469E-3</v>
          </cell>
          <cell r="W129">
            <v>7.2033293368477533E-3</v>
          </cell>
          <cell r="X129">
            <v>6.2002693479955859E-3</v>
          </cell>
          <cell r="Y129">
            <v>1.2206365494226906E-2</v>
          </cell>
          <cell r="Z129">
            <v>6.6469532157566796E-3</v>
          </cell>
          <cell r="AA129">
            <v>8.1266138987727832E-3</v>
          </cell>
          <cell r="AB129">
            <v>3.7931100114198704E-3</v>
          </cell>
          <cell r="AC129">
            <v>3.6676555354726802E-3</v>
          </cell>
          <cell r="AD129">
            <v>2.8900010000000001E-3</v>
          </cell>
          <cell r="AE129">
            <v>2.5300000000000001E-3</v>
          </cell>
          <cell r="AF129">
            <v>2.5300000000000001E-3</v>
          </cell>
          <cell r="AG129">
            <v>2.5300000000000001E-3</v>
          </cell>
          <cell r="AH129">
            <v>2.5300000000000001E-3</v>
          </cell>
          <cell r="AI129">
            <v>2.5300000000000001E-3</v>
          </cell>
          <cell r="AJ129">
            <v>2.5300000000000001E-3</v>
          </cell>
          <cell r="AK129">
            <v>2.5300000000000001E-3</v>
          </cell>
          <cell r="AL129">
            <v>2.5300000000000001E-3</v>
          </cell>
          <cell r="AM129">
            <v>2.5299999999999997E-3</v>
          </cell>
        </row>
        <row r="130">
          <cell r="N130">
            <v>0</v>
          </cell>
          <cell r="O130">
            <v>2.720834857450242E-3</v>
          </cell>
          <cell r="P130">
            <v>2.5144342416482364E-3</v>
          </cell>
          <cell r="Q130">
            <v>7.1012728056168099E-3</v>
          </cell>
          <cell r="R130">
            <v>9.9237622117557614E-3</v>
          </cell>
          <cell r="S130">
            <v>1.0818825145868623E-2</v>
          </cell>
          <cell r="T130">
            <v>1.5483494521501287E-2</v>
          </cell>
          <cell r="U130">
            <v>2.0259688262336872E-2</v>
          </cell>
          <cell r="V130">
            <v>2.5321741286470769E-2</v>
          </cell>
          <cell r="W130">
            <v>2.3825101817079145E-2</v>
          </cell>
          <cell r="X130">
            <v>2.067411804125277E-2</v>
          </cell>
          <cell r="Y130">
            <v>2.0212298114151196E-2</v>
          </cell>
          <cell r="Z130">
            <v>2.4885620889519181E-2</v>
          </cell>
          <cell r="AA130">
            <v>2.512526323433302E-2</v>
          </cell>
          <cell r="AB130">
            <v>2.7108597531132744E-2</v>
          </cell>
          <cell r="AC130">
            <v>2.9321022888685801E-2</v>
          </cell>
          <cell r="AD130">
            <v>2.7010813832326654E-2</v>
          </cell>
          <cell r="AE130">
            <v>2.1251767203072303E-2</v>
          </cell>
          <cell r="AF130">
            <v>1.5028267970031329E-2</v>
          </cell>
          <cell r="AG130">
            <v>1.3793088323070064E-2</v>
          </cell>
          <cell r="AH130">
            <v>1.2233638681431791E-2</v>
          </cell>
          <cell r="AI130">
            <v>1.0716933043143879E-2</v>
          </cell>
          <cell r="AJ130">
            <v>9.3717864618117173E-3</v>
          </cell>
          <cell r="AK130">
            <v>8.2329909669181366E-3</v>
          </cell>
          <cell r="AL130">
            <v>7.3076323925137026E-3</v>
          </cell>
          <cell r="AM130">
            <v>6.5644332959157031E-3</v>
          </cell>
        </row>
        <row r="131">
          <cell r="N131">
            <v>0</v>
          </cell>
          <cell r="O131">
            <v>1.1322791823561054E-3</v>
          </cell>
          <cell r="P131">
            <v>1.1341515749039692E-3</v>
          </cell>
          <cell r="Q131">
            <v>5.5119570121410291E-3</v>
          </cell>
          <cell r="R131">
            <v>8.2628626734534399E-3</v>
          </cell>
          <cell r="S131">
            <v>9.6454083192170151E-3</v>
          </cell>
          <cell r="T131">
            <v>1.4929168595335588E-2</v>
          </cell>
          <cell r="U131">
            <v>1.9964461349053459E-2</v>
          </cell>
          <cell r="V131">
            <v>2.4922362814349494E-2</v>
          </cell>
          <cell r="W131">
            <v>2.3351639523220828E-2</v>
          </cell>
          <cell r="X131">
            <v>2.0121424385916947E-2</v>
          </cell>
          <cell r="Y131">
            <v>1.9246522777638851E-2</v>
          </cell>
          <cell r="Z131">
            <v>2.3316591123214096E-2</v>
          </cell>
          <cell r="AA131">
            <v>2.3614842785563864E-2</v>
          </cell>
          <cell r="AB131">
            <v>2.523247593670129E-2</v>
          </cell>
          <cell r="AC131">
            <v>2.7248329891382147E-2</v>
          </cell>
          <cell r="AD131">
            <v>2.5141402804676315E-2</v>
          </cell>
          <cell r="AE131">
            <v>1.9306311152762729E-2</v>
          </cell>
          <cell r="AF131">
            <v>1.2782909651534762E-2</v>
          </cell>
          <cell r="AG131">
            <v>1.1725398899337292E-2</v>
          </cell>
          <cell r="AH131">
            <v>1.0436394821708663E-2</v>
          </cell>
          <cell r="AI131">
            <v>9.2631210312276255E-3</v>
          </cell>
          <cell r="AJ131">
            <v>8.2085886301530384E-3</v>
          </cell>
          <cell r="AK131">
            <v>7.310442675616844E-3</v>
          </cell>
          <cell r="AL131">
            <v>6.5793091066090152E-3</v>
          </cell>
          <cell r="AM131">
            <v>5.9918694248655441E-3</v>
          </cell>
        </row>
        <row r="132">
          <cell r="N132">
            <v>0</v>
          </cell>
          <cell r="O132">
            <v>1.5885556750941366E-3</v>
          </cell>
          <cell r="P132">
            <v>1.3802826667442673E-3</v>
          </cell>
          <cell r="Q132">
            <v>1.5893157934757814E-3</v>
          </cell>
          <cell r="R132">
            <v>1.6608995383023211E-3</v>
          </cell>
          <cell r="S132">
            <v>1.1734168266516092E-3</v>
          </cell>
          <cell r="T132">
            <v>5.5432592616569821E-4</v>
          </cell>
          <cell r="U132">
            <v>2.9522691328341129E-4</v>
          </cell>
          <cell r="V132">
            <v>3.9937847212127506E-4</v>
          </cell>
          <cell r="W132">
            <v>4.7346229385831915E-4</v>
          </cell>
          <cell r="X132">
            <v>5.5269365533582428E-4</v>
          </cell>
          <cell r="Y132">
            <v>9.657753365123438E-4</v>
          </cell>
          <cell r="Z132">
            <v>1.5690297663050858E-3</v>
          </cell>
          <cell r="AA132">
            <v>1.5104204487691526E-3</v>
          </cell>
          <cell r="AB132">
            <v>1.8761215944314536E-3</v>
          </cell>
          <cell r="AC132">
            <v>2.0726929973036512E-3</v>
          </cell>
          <cell r="AD132">
            <v>1.8694110276503378E-3</v>
          </cell>
          <cell r="AE132">
            <v>1.9454560503095683E-3</v>
          </cell>
          <cell r="AF132">
            <v>2.2453583184965614E-3</v>
          </cell>
          <cell r="AG132">
            <v>2.0676894237327743E-3</v>
          </cell>
          <cell r="AH132">
            <v>1.7972438597231282E-3</v>
          </cell>
          <cell r="AI132">
            <v>1.4538120119162541E-3</v>
          </cell>
          <cell r="AJ132">
            <v>1.1631978316586794E-3</v>
          </cell>
          <cell r="AK132">
            <v>9.2254829130129139E-4</v>
          </cell>
          <cell r="AL132">
            <v>7.2832328590468742E-4</v>
          </cell>
          <cell r="AM132">
            <v>5.7256387105015854E-4</v>
          </cell>
        </row>
        <row r="133">
          <cell r="N133">
            <v>3.5705686131666733E-2</v>
          </cell>
          <cell r="O133">
            <v>7.4260623722431418E-2</v>
          </cell>
          <cell r="P133">
            <v>4.9998080242113836E-2</v>
          </cell>
          <cell r="Q133">
            <v>4.3481896230958356E-2</v>
          </cell>
          <cell r="R133">
            <v>3.6860118344140075E-2</v>
          </cell>
          <cell r="S133">
            <v>3.648403026538679E-2</v>
          </cell>
          <cell r="T133">
            <v>3.9133428067392811E-2</v>
          </cell>
          <cell r="U133">
            <v>4.2727651218840978E-2</v>
          </cell>
          <cell r="V133">
            <v>4.086335790675942E-2</v>
          </cell>
          <cell r="W133">
            <v>4.8553083716265079E-2</v>
          </cell>
          <cell r="X133">
            <v>4.2690239679212615E-2</v>
          </cell>
          <cell r="Y133">
            <v>5.6140520311462543E-2</v>
          </cell>
          <cell r="Z133">
            <v>5.7170013427273965E-2</v>
          </cell>
          <cell r="AA133">
            <v>5.2185026504974218E-2</v>
          </cell>
          <cell r="AB133">
            <v>4.9021153950731415E-2</v>
          </cell>
          <cell r="AC133">
            <v>4.2098416914746722E-2</v>
          </cell>
          <cell r="AD133">
            <v>3.6876212693833121E-2</v>
          </cell>
          <cell r="AE133">
            <v>3.3318943327786517E-2</v>
          </cell>
          <cell r="AF133">
            <v>3.3502308301174379E-2</v>
          </cell>
          <cell r="AG133">
            <v>3.4365431080743074E-2</v>
          </cell>
          <cell r="AH133">
            <v>3.5239772807307293E-2</v>
          </cell>
          <cell r="AI133">
            <v>3.6125396726949317E-2</v>
          </cell>
          <cell r="AJ133">
            <v>3.7022620377007459E-2</v>
          </cell>
          <cell r="AK133">
            <v>3.7935136100789232E-2</v>
          </cell>
          <cell r="AL133">
            <v>3.8864006537835873E-2</v>
          </cell>
          <cell r="AM133">
            <v>3.9806987809528037E-2</v>
          </cell>
        </row>
        <row r="134">
          <cell r="N134">
            <v>6.4491392201219272E-3</v>
          </cell>
          <cell r="O134">
            <v>7.7382666756320596E-3</v>
          </cell>
          <cell r="P134">
            <v>5.343019519264346E-3</v>
          </cell>
          <cell r="Q134">
            <v>1.9781513192913087E-3</v>
          </cell>
          <cell r="R134">
            <v>3.7149235719264157E-3</v>
          </cell>
          <cell r="S134">
            <v>1.689816149068323E-3</v>
          </cell>
          <cell r="T134">
            <v>2.9689328175829866E-3</v>
          </cell>
          <cell r="U134">
            <v>5.0727760188873277E-3</v>
          </cell>
          <cell r="V134">
            <v>4.9813103519883708E-3</v>
          </cell>
          <cell r="W134">
            <v>5.6635021343099069E-3</v>
          </cell>
          <cell r="X134">
            <v>4.9434470467916193E-3</v>
          </cell>
          <cell r="Y134">
            <v>1.6481645957109228E-2</v>
          </cell>
          <cell r="Z134">
            <v>1.9603819984007967E-2</v>
          </cell>
          <cell r="AA134">
            <v>1.1618618836685789E-2</v>
          </cell>
          <cell r="AB134">
            <v>1.0508999945619664E-2</v>
          </cell>
          <cell r="AC134">
            <v>5.2449243529330202E-3</v>
          </cell>
          <cell r="AD134">
            <v>3.3180495396136693E-3</v>
          </cell>
          <cell r="AE134">
            <v>1.7022288704613877E-3</v>
          </cell>
          <cell r="AF134">
            <v>9.2119849222298169E-4</v>
          </cell>
          <cell r="AG134">
            <v>8.2286715570624143E-4</v>
          </cell>
          <cell r="AH134">
            <v>7.3259540754834441E-4</v>
          </cell>
          <cell r="AI134">
            <v>6.5042868315324501E-4</v>
          </cell>
          <cell r="AJ134">
            <v>5.765950984248946E-4</v>
          </cell>
          <cell r="AK134">
            <v>5.1374719884283689E-4</v>
          </cell>
          <cell r="AL134">
            <v>4.6264837488208725E-4</v>
          </cell>
          <cell r="AM134">
            <v>4.2168664477588541E-4</v>
          </cell>
        </row>
        <row r="135">
          <cell r="N135">
            <v>0</v>
          </cell>
          <cell r="O135">
            <v>5.265599784830554E-3</v>
          </cell>
          <cell r="P135">
            <v>9.3120707717378654E-5</v>
          </cell>
          <cell r="Q135">
            <v>4.1999698882214283E-3</v>
          </cell>
          <cell r="R135">
            <v>3.5148283946184553E-3</v>
          </cell>
          <cell r="S135">
            <v>2.5429273103707885E-3</v>
          </cell>
          <cell r="T135">
            <v>2.5283350219301795E-3</v>
          </cell>
          <cell r="U135">
            <v>3.1470892252429716E-4</v>
          </cell>
          <cell r="V135">
            <v>3.0786003530266847E-4</v>
          </cell>
          <cell r="W135">
            <v>1.3398525809988103E-4</v>
          </cell>
          <cell r="X135">
            <v>1.1543485525076704E-4</v>
          </cell>
          <cell r="Y135">
            <v>1.2175667635316333E-3</v>
          </cell>
          <cell r="Z135">
            <v>1.0922861065431558E-3</v>
          </cell>
          <cell r="AA135">
            <v>9.6434536344492056E-4</v>
          </cell>
          <cell r="AB135">
            <v>2.4743052912066998E-3</v>
          </cell>
          <cell r="AC135">
            <v>3.3668622834249554E-3</v>
          </cell>
          <cell r="AD135">
            <v>4.6816315421946295E-4</v>
          </cell>
          <cell r="AE135">
            <v>3.9671445732512725E-4</v>
          </cell>
          <cell r="AF135">
            <v>3.6110980895140882E-4</v>
          </cell>
          <cell r="AG135">
            <v>3.2256392503684665E-4</v>
          </cell>
          <cell r="AH135">
            <v>2.8717739975895104E-4</v>
          </cell>
          <cell r="AI135">
            <v>2.5496804379607202E-4</v>
          </cell>
          <cell r="AJ135">
            <v>2.2602527858255872E-4</v>
          </cell>
          <cell r="AK135">
            <v>2.0138890194639208E-4</v>
          </cell>
          <cell r="AL135">
            <v>1.8135816295377822E-4</v>
          </cell>
          <cell r="AM135">
            <v>1.6530116475214709E-4</v>
          </cell>
        </row>
        <row r="136">
          <cell r="E136">
            <v>0.11124705476720077</v>
          </cell>
          <cell r="F136">
            <v>9.9913223076117302E-2</v>
          </cell>
          <cell r="G136">
            <v>7.8598446484966666E-2</v>
          </cell>
          <cell r="H136">
            <v>6.6125465241863024E-2</v>
          </cell>
          <cell r="I136">
            <v>6.8725366322900716E-2</v>
          </cell>
          <cell r="J136">
            <v>5.8916304668841929E-2</v>
          </cell>
          <cell r="K136">
            <v>5.8770867620016681E-2</v>
          </cell>
          <cell r="L136">
            <v>5.3650554836321758E-2</v>
          </cell>
          <cell r="M136">
            <v>4.4674246057247818E-2</v>
          </cell>
          <cell r="N136">
            <v>2.9256546911544803E-2</v>
          </cell>
          <cell r="O136">
            <v>6.1256757261968803E-2</v>
          </cell>
          <cell r="P136">
            <v>4.4561940015132112E-2</v>
          </cell>
          <cell r="Q136">
            <v>3.7303775023445618E-2</v>
          </cell>
          <cell r="R136">
            <v>2.96303663775952E-2</v>
          </cell>
          <cell r="S136">
            <v>3.2251286805947674E-2</v>
          </cell>
          <cell r="T136">
            <v>3.3636160227879651E-2</v>
          </cell>
          <cell r="U136">
            <v>3.7340166277429358E-2</v>
          </cell>
          <cell r="V136">
            <v>3.5574187519468385E-2</v>
          </cell>
          <cell r="W136">
            <v>4.2755596323855283E-2</v>
          </cell>
          <cell r="X136">
            <v>3.7631357777170228E-2</v>
          </cell>
          <cell r="Y136">
            <v>3.8441307590821684E-2</v>
          </cell>
          <cell r="Z136">
            <v>3.6473907336722837E-2</v>
          </cell>
          <cell r="AA136">
            <v>3.9602062304843505E-2</v>
          </cell>
          <cell r="AB136">
            <v>3.6037848713905057E-2</v>
          </cell>
          <cell r="AC136">
            <v>3.3486630278388746E-2</v>
          </cell>
          <cell r="AD136">
            <v>3.3090000000000001E-2</v>
          </cell>
          <cell r="AE136">
            <v>3.1220000000000001E-2</v>
          </cell>
          <cell r="AF136">
            <v>3.2219999999999999E-2</v>
          </cell>
          <cell r="AG136">
            <v>3.322E-2</v>
          </cell>
          <cell r="AH136">
            <v>3.422E-2</v>
          </cell>
          <cell r="AI136">
            <v>3.5220000000000001E-2</v>
          </cell>
          <cell r="AJ136">
            <v>3.6220000000000002E-2</v>
          </cell>
          <cell r="AK136">
            <v>3.7220000000000003E-2</v>
          </cell>
          <cell r="AL136">
            <v>3.8220000000000004E-2</v>
          </cell>
          <cell r="AM136">
            <v>3.9219999999999998E-2</v>
          </cell>
        </row>
        <row r="138">
          <cell r="N138">
            <v>-9.8450343161688089E-3</v>
          </cell>
          <cell r="O138">
            <v>-1.4826218262506644E-2</v>
          </cell>
          <cell r="P138">
            <v>-3.9768600119892882E-2</v>
          </cell>
          <cell r="Q138">
            <v>-2.5972222340506414E-2</v>
          </cell>
          <cell r="R138">
            <v>-1.8028746471793387E-2</v>
          </cell>
          <cell r="S138">
            <v>-8.1714880481837239E-4</v>
          </cell>
          <cell r="T138">
            <v>-5.6040107401233247E-2</v>
          </cell>
          <cell r="U138">
            <v>-1.9837127505105617E-2</v>
          </cell>
          <cell r="V138">
            <v>-3.5858540943827212E-2</v>
          </cell>
          <cell r="W138">
            <v>-3.0582955051200185E-2</v>
          </cell>
          <cell r="X138">
            <v>-1.7984557929058131E-2</v>
          </cell>
          <cell r="Y138">
            <v>-4.6891311045193042E-2</v>
          </cell>
          <cell r="Z138">
            <v>-2.5807957281957724E-2</v>
          </cell>
          <cell r="AA138">
            <v>-6.9057526686515117E-2</v>
          </cell>
          <cell r="AB138">
            <v>-3.0468976018271834E-2</v>
          </cell>
          <cell r="AC138">
            <v>-1.5949625381690385E-3</v>
          </cell>
          <cell r="AD138">
            <v>4.4127117463780362E-2</v>
          </cell>
          <cell r="AE138">
            <v>5.0425210294069121E-2</v>
          </cell>
          <cell r="AF138">
            <v>4.354014474144597E-2</v>
          </cell>
          <cell r="AG138">
            <v>4.6153321792859664E-2</v>
          </cell>
          <cell r="AH138">
            <v>4.4054477302835841E-2</v>
          </cell>
          <cell r="AI138">
            <v>5.0598460087342777E-2</v>
          </cell>
          <cell r="AJ138">
            <v>5.5402252734879823E-2</v>
          </cell>
          <cell r="AK138">
            <v>6.3537147533639329E-2</v>
          </cell>
          <cell r="AL138">
            <v>7.5576010426861254E-2</v>
          </cell>
          <cell r="AM138">
            <v>9.4597461366949784E-2</v>
          </cell>
        </row>
        <row r="139">
          <cell r="N139">
            <v>6.565571105402449E-3</v>
          </cell>
          <cell r="O139">
            <v>-3.2085810919848579E-3</v>
          </cell>
          <cell r="P139">
            <v>-3.4770706626702327E-2</v>
          </cell>
          <cell r="Q139">
            <v>-2.1127571743593632E-2</v>
          </cell>
          <cell r="R139">
            <v>-1.5276098996768569E-2</v>
          </cell>
          <cell r="S139">
            <v>1.6358833803877257E-3</v>
          </cell>
          <cell r="T139">
            <v>-5.393077048570085E-2</v>
          </cell>
          <cell r="U139">
            <v>-1.6707122841210252E-2</v>
          </cell>
          <cell r="V139">
            <v>-3.5227880628179824E-2</v>
          </cell>
          <cell r="W139">
            <v>-3.0582955051200185E-2</v>
          </cell>
          <cell r="X139">
            <v>-1.7246457703251353E-2</v>
          </cell>
          <cell r="Y139">
            <v>-4.5003245945036963E-2</v>
          </cell>
          <cell r="Z139">
            <v>-2.5082268363833923E-2</v>
          </cell>
          <cell r="AA139">
            <v>-6.813297509258584E-2</v>
          </cell>
          <cell r="AB139">
            <v>-3.0468976018271834E-2</v>
          </cell>
          <cell r="AC139">
            <v>9.8832068529965881E-4</v>
          </cell>
          <cell r="AD139">
            <v>4.6386776708420049E-2</v>
          </cell>
          <cell r="AE139">
            <v>4.9927879546982044E-2</v>
          </cell>
          <cell r="AF139">
            <v>4.3087448834477571E-2</v>
          </cell>
          <cell r="AG139">
            <v>4.57489479293419E-2</v>
          </cell>
          <cell r="AH139">
            <v>4.3694464835098638E-2</v>
          </cell>
          <cell r="AI139">
            <v>5.0278826039823032E-2</v>
          </cell>
          <cell r="AJ139">
            <v>5.5118902031162195E-2</v>
          </cell>
          <cell r="AK139">
            <v>6.3284681581842764E-2</v>
          </cell>
          <cell r="AL139">
            <v>7.5348655489306693E-2</v>
          </cell>
          <cell r="AM139">
            <v>9.4390235866989816E-2</v>
          </cell>
        </row>
        <row r="141">
          <cell r="N141">
            <v>-6.565571105402449E-3</v>
          </cell>
          <cell r="O141">
            <v>3.2085810919848579E-3</v>
          </cell>
          <cell r="P141">
            <v>3.4770706626702327E-2</v>
          </cell>
          <cell r="Q141">
            <v>2.1127571743593632E-2</v>
          </cell>
          <cell r="R141">
            <v>1.5276098996768569E-2</v>
          </cell>
          <cell r="S141">
            <v>-1.6358833803877257E-3</v>
          </cell>
          <cell r="T141">
            <v>5.393077048570085E-2</v>
          </cell>
          <cell r="U141">
            <v>1.6707122841210252E-2</v>
          </cell>
          <cell r="V141">
            <v>3.5227880628179824E-2</v>
          </cell>
          <cell r="W141">
            <v>3.0582955051200185E-2</v>
          </cell>
          <cell r="X141">
            <v>1.7246457703251353E-2</v>
          </cell>
          <cell r="Y141">
            <v>4.5003245945036963E-2</v>
          </cell>
          <cell r="Z141">
            <v>2.5082268363833923E-2</v>
          </cell>
          <cell r="AA141">
            <v>6.813297509258584E-2</v>
          </cell>
          <cell r="AB141">
            <v>3.0468976018271834E-2</v>
          </cell>
          <cell r="AC141">
            <v>-9.8832068529965881E-4</v>
          </cell>
          <cell r="AD141">
            <v>-4.6386776708420049E-2</v>
          </cell>
          <cell r="AE141">
            <v>-4.9927879546982044E-2</v>
          </cell>
          <cell r="AF141">
            <v>-4.3087448834477571E-2</v>
          </cell>
          <cell r="AG141">
            <v>-4.57489479293419E-2</v>
          </cell>
          <cell r="AH141">
            <v>-4.3694464835098638E-2</v>
          </cell>
          <cell r="AI141">
            <v>-5.0278826039823032E-2</v>
          </cell>
          <cell r="AJ141">
            <v>-5.5118902031162195E-2</v>
          </cell>
          <cell r="AK141">
            <v>-6.3284681581842764E-2</v>
          </cell>
          <cell r="AL141">
            <v>-7.5348655489306693E-2</v>
          </cell>
          <cell r="AM141">
            <v>-9.4390235866989816E-2</v>
          </cell>
        </row>
        <row r="142">
          <cell r="N142">
            <v>1.492274069245811E-2</v>
          </cell>
          <cell r="O142">
            <v>1.0402097902097901E-2</v>
          </cell>
          <cell r="P142">
            <v>2.0661157024793389E-3</v>
          </cell>
          <cell r="Q142">
            <v>1.6390236483917573E-3</v>
          </cell>
          <cell r="R142">
            <v>2.0492153673939218E-3</v>
          </cell>
          <cell r="S142">
            <v>6.7422601919819303E-3</v>
          </cell>
          <cell r="T142">
            <v>-1.83162089112597E-4</v>
          </cell>
          <cell r="U142">
            <v>5.2933006184730808E-3</v>
          </cell>
          <cell r="V142">
            <v>7.1688341122226979E-3</v>
          </cell>
          <cell r="W142">
            <v>-8.26591304144993E-3</v>
          </cell>
          <cell r="X142">
            <v>1.7719042093218707E-3</v>
          </cell>
          <cell r="Y142">
            <v>4.5950438479248771E-3</v>
          </cell>
          <cell r="Z142">
            <v>9.7145118657876069E-3</v>
          </cell>
          <cell r="AA142">
            <v>7.6258753612664298E-3</v>
          </cell>
          <cell r="AB142">
            <v>5.0417538745989457E-3</v>
          </cell>
          <cell r="AC142">
            <v>5.5697769703120566E-3</v>
          </cell>
          <cell r="AD142">
            <v>7.6174976560984724E-3</v>
          </cell>
          <cell r="AE142">
            <v>2.395946694265984E-3</v>
          </cell>
          <cell r="AF142">
            <v>1.4037125567527848E-3</v>
          </cell>
          <cell r="AG142">
            <v>9.9941279670947626E-4</v>
          </cell>
          <cell r="AH142">
            <v>-6.9580423288932638E-4</v>
          </cell>
          <cell r="AI142">
            <v>-6.3774902292813569E-4</v>
          </cell>
          <cell r="AJ142">
            <v>-6.081041884029542E-4</v>
          </cell>
          <cell r="AK142">
            <v>-3.3023796643078343E-4</v>
          </cell>
          <cell r="AL142">
            <v>-4.0523422925049167E-4</v>
          </cell>
          <cell r="AM142">
            <v>-2.0295017883759745E-4</v>
          </cell>
        </row>
        <row r="143">
          <cell r="N143">
            <v>-2.1488311797860558E-2</v>
          </cell>
          <cell r="O143">
            <v>-7.1935168101130431E-3</v>
          </cell>
          <cell r="P143">
            <v>3.2704590924222988E-2</v>
          </cell>
          <cell r="Q143">
            <v>1.9488548095201876E-2</v>
          </cell>
          <cell r="R143">
            <v>1.3226883629374646E-2</v>
          </cell>
          <cell r="S143">
            <v>-8.3781435723696562E-3</v>
          </cell>
          <cell r="T143">
            <v>5.4113932574813443E-2</v>
          </cell>
          <cell r="U143">
            <v>1.1413822222737171E-2</v>
          </cell>
          <cell r="V143">
            <v>2.8059046515957125E-2</v>
          </cell>
          <cell r="W143">
            <v>3.8848868092650118E-2</v>
          </cell>
          <cell r="X143">
            <v>1.5474553493929481E-2</v>
          </cell>
          <cell r="Y143">
            <v>4.0408202097112086E-2</v>
          </cell>
          <cell r="Z143">
            <v>1.5367756498046316E-2</v>
          </cell>
          <cell r="AA143">
            <v>6.0507099731319416E-2</v>
          </cell>
          <cell r="AB143">
            <v>2.5427222143672892E-2</v>
          </cell>
          <cell r="AC143">
            <v>-6.5580976556117157E-3</v>
          </cell>
          <cell r="AD143">
            <v>-5.4004274364518517E-2</v>
          </cell>
          <cell r="AE143">
            <v>-5.2323826241248032E-2</v>
          </cell>
          <cell r="AF143">
            <v>-4.4491161391230362E-2</v>
          </cell>
          <cell r="AG143">
            <v>-4.6748360726051381E-2</v>
          </cell>
          <cell r="AH143">
            <v>-4.2998660602209318E-2</v>
          </cell>
          <cell r="AI143">
            <v>-4.9641077016894894E-2</v>
          </cell>
          <cell r="AJ143">
            <v>-5.4510797842759244E-2</v>
          </cell>
          <cell r="AK143">
            <v>-6.295444361541197E-2</v>
          </cell>
          <cell r="AL143">
            <v>-7.4943421260056209E-2</v>
          </cell>
          <cell r="AM143">
            <v>-9.4187285688152225E-2</v>
          </cell>
        </row>
        <row r="145">
          <cell r="N145">
            <v>2.2086686093324696E-2</v>
          </cell>
          <cell r="O145">
            <v>5.4416250537923691E-2</v>
          </cell>
          <cell r="P145">
            <v>8.4107098975672451E-3</v>
          </cell>
          <cell r="Q145">
            <v>1.6391059843357911E-2</v>
          </cell>
          <cell r="R145">
            <v>1.7924965975457757E-2</v>
          </cell>
          <cell r="S145">
            <v>3.5136814982119298E-2</v>
          </cell>
          <cell r="T145">
            <v>-1.7810220272872941E-2</v>
          </cell>
          <cell r="U145">
            <v>2.0348848013788928E-2</v>
          </cell>
          <cell r="V145">
            <v>2.1866640712283427E-3</v>
          </cell>
          <cell r="W145">
            <v>1.7031386298430116E-2</v>
          </cell>
          <cell r="X145">
            <v>2.3860519786951848E-2</v>
          </cell>
          <cell r="Y145">
            <v>8.5116583735309389E-3</v>
          </cell>
          <cell r="Z145">
            <v>3.0880913940829424E-2</v>
          </cell>
          <cell r="AA145">
            <v>-1.726462856727903E-2</v>
          </cell>
          <cell r="AB145">
            <v>1.7551579748762813E-2</v>
          </cell>
          <cell r="AC145">
            <v>3.9684487875204053E-2</v>
          </cell>
          <cell r="AD145">
            <v>8.0185180956064889E-2</v>
          </cell>
          <cell r="AE145">
            <v>8.309645654867176E-2</v>
          </cell>
          <cell r="AF145">
            <v>7.6452886007597642E-2</v>
          </cell>
          <cell r="AG145">
            <v>7.9992117893950748E-2</v>
          </cell>
          <cell r="AH145">
            <v>7.8825389049312175E-2</v>
          </cell>
          <cell r="AI145">
            <v>8.6307582457074025E-2</v>
          </cell>
          <cell r="AJ145">
            <v>9.2055852248895328E-2</v>
          </cell>
          <cell r="AK145">
            <v>0.10114348542716914</v>
          </cell>
          <cell r="AL145">
            <v>0.11414392200477259</v>
          </cell>
          <cell r="AM145">
            <v>0.13413456972382121</v>
          </cell>
        </row>
        <row r="146">
          <cell r="N146">
            <v>-9.8450343161688089E-3</v>
          </cell>
          <cell r="O146">
            <v>-1.2105383405056402E-2</v>
          </cell>
          <cell r="P146">
            <v>-3.7254165878244649E-2</v>
          </cell>
          <cell r="Q146">
            <v>-1.8870949534889603E-2</v>
          </cell>
          <cell r="R146">
            <v>-8.104984260037626E-3</v>
          </cell>
          <cell r="S146">
            <v>1.0001676341050252E-2</v>
          </cell>
          <cell r="T146">
            <v>-4.055661287973196E-2</v>
          </cell>
          <cell r="U146">
            <v>4.225607572312567E-4</v>
          </cell>
          <cell r="V146">
            <v>-1.0536799657356441E-2</v>
          </cell>
          <cell r="W146">
            <v>-6.7578532341210388E-3</v>
          </cell>
          <cell r="X146">
            <v>2.6895601121946417E-3</v>
          </cell>
          <cell r="Y146">
            <v>-2.6679012931041843E-2</v>
          </cell>
          <cell r="Z146">
            <v>-9.2233639243854298E-4</v>
          </cell>
          <cell r="AA146">
            <v>-4.3932263452182096E-2</v>
          </cell>
          <cell r="AB146">
            <v>-3.3603784871390928E-3</v>
          </cell>
          <cell r="AC146">
            <v>2.7726060350516762E-2</v>
          </cell>
          <cell r="AD146">
            <v>7.1137931296107015E-2</v>
          </cell>
          <cell r="AE146">
            <v>7.1676977497141414E-2</v>
          </cell>
          <cell r="AF146">
            <v>5.8568412711477294E-2</v>
          </cell>
          <cell r="AG146">
            <v>5.994641011592973E-2</v>
          </cell>
          <cell r="AH146">
            <v>5.6288115984267632E-2</v>
          </cell>
          <cell r="AI146">
            <v>6.1315393130486652E-2</v>
          </cell>
          <cell r="AJ146">
            <v>6.4774039196691544E-2</v>
          </cell>
          <cell r="AK146">
            <v>7.1770138500557468E-2</v>
          </cell>
          <cell r="AL146">
            <v>8.2883642819374964E-2</v>
          </cell>
          <cell r="AM146">
            <v>0.10116189466286549</v>
          </cell>
        </row>
        <row r="147">
          <cell r="N147">
            <v>4.9245256742256244E-2</v>
          </cell>
          <cell r="O147">
            <v>0.27171994049413462</v>
          </cell>
          <cell r="P147">
            <v>0.19335215369366218</v>
          </cell>
          <cell r="Q147">
            <v>0.19902818279749016</v>
          </cell>
          <cell r="R147">
            <v>0.17332618079150117</v>
          </cell>
          <cell r="S147">
            <v>0.18673756400210043</v>
          </cell>
          <cell r="T147">
            <v>0.18209606102541601</v>
          </cell>
          <cell r="U147">
            <v>0.18716946052118633</v>
          </cell>
          <cell r="V147">
            <v>0.19425088101579102</v>
          </cell>
          <cell r="W147">
            <v>0.22264381349827359</v>
          </cell>
          <cell r="X147">
            <v>0.25414476880272052</v>
          </cell>
          <cell r="Y147">
            <v>0.19241612938476668</v>
          </cell>
          <cell r="Z147">
            <v>0.16060651545371615</v>
          </cell>
          <cell r="AA147">
            <v>0.17746124166958963</v>
          </cell>
          <cell r="AB147">
            <v>0.24150708995923992</v>
          </cell>
          <cell r="AC147">
            <v>0.20573799010603494</v>
          </cell>
          <cell r="AD147">
            <v>0.26869999999999994</v>
          </cell>
          <cell r="AE147">
            <v>0.26105</v>
          </cell>
          <cell r="AF147">
            <v>0.221</v>
          </cell>
          <cell r="AG147">
            <v>0.21099999999999997</v>
          </cell>
          <cell r="AH147">
            <v>0.20099999999999998</v>
          </cell>
          <cell r="AI147">
            <v>0.19099999999999998</v>
          </cell>
          <cell r="AJ147">
            <v>0.18099999999999999</v>
          </cell>
          <cell r="AK147">
            <v>0.17099999999999996</v>
          </cell>
          <cell r="AL147">
            <v>0.16099999999999995</v>
          </cell>
          <cell r="AM147">
            <v>0.15099999999999994</v>
          </cell>
        </row>
        <row r="148">
          <cell r="N148">
            <v>0</v>
          </cell>
          <cell r="O148">
            <v>9.0554857166181141E-3</v>
          </cell>
          <cell r="P148">
            <v>8.7968371534680439E-3</v>
          </cell>
          <cell r="Q148">
            <v>2.523013957503709E-2</v>
          </cell>
          <cell r="R148">
            <v>3.7830127662611374E-2</v>
          </cell>
          <cell r="S148">
            <v>3.7377822906935296E-2</v>
          </cell>
          <cell r="T148">
            <v>5.8134272831929137E-2</v>
          </cell>
          <cell r="U148">
            <v>6.8484617680487456E-2</v>
          </cell>
          <cell r="V148">
            <v>8.8727657452726108E-2</v>
          </cell>
          <cell r="W148">
            <v>7.7406021523325291E-2</v>
          </cell>
          <cell r="X148">
            <v>6.7603284400258382E-2</v>
          </cell>
          <cell r="Y148">
            <v>7.1765340538176667E-2</v>
          </cell>
          <cell r="Z148">
            <v>8.8406038356935682E-2</v>
          </cell>
          <cell r="AA148">
            <v>9.8725674108033512E-2</v>
          </cell>
          <cell r="AB148">
            <v>9.5233437501074616E-2</v>
          </cell>
          <cell r="AC148">
            <v>9.6973750208995152E-2</v>
          </cell>
          <cell r="AD148">
            <v>8.6114731711823767E-2</v>
          </cell>
          <cell r="AE148">
            <v>7.0191885514676436E-2</v>
          </cell>
          <cell r="AF148">
            <v>5.2023655798539903E-2</v>
          </cell>
          <cell r="AG148">
            <v>4.7867725065423888E-2</v>
          </cell>
          <cell r="AH148">
            <v>4.3422428001516203E-2</v>
          </cell>
          <cell r="AI148">
            <v>3.7964530561929305E-2</v>
          </cell>
          <cell r="AJ148">
            <v>3.3381040640834803E-2</v>
          </cell>
          <cell r="AK148">
            <v>2.905095383988706E-2</v>
          </cell>
          <cell r="AL148">
            <v>2.5057048541935852E-2</v>
          </cell>
          <cell r="AM148">
            <v>2.1320268350002121E-2</v>
          </cell>
        </row>
        <row r="149">
          <cell r="N149">
            <v>0</v>
          </cell>
          <cell r="O149">
            <v>5.5234922861150067E-2</v>
          </cell>
          <cell r="P149">
            <v>8.5417165429734265E-2</v>
          </cell>
          <cell r="Q149">
            <v>0.12012854418404646</v>
          </cell>
          <cell r="R149">
            <v>0.11491632811552785</v>
          </cell>
          <cell r="S149">
            <v>0.15087978769872501</v>
          </cell>
          <cell r="T149">
            <v>0.17458178260724755</v>
          </cell>
          <cell r="U149">
            <v>0.21515253793803354</v>
          </cell>
          <cell r="V149">
            <v>0.24585523609496618</v>
          </cell>
          <cell r="W149">
            <v>0.24828415949504692</v>
          </cell>
          <cell r="X149">
            <v>0.24271993372424611</v>
          </cell>
          <cell r="Y149">
            <v>0.2384826680006244</v>
          </cell>
          <cell r="Z149">
            <v>0.24264880084722476</v>
          </cell>
          <cell r="AA149">
            <v>0.29482343828988555</v>
          </cell>
          <cell r="AB149">
            <v>0.34143746145028792</v>
          </cell>
          <cell r="AC149">
            <v>0.31363440333246889</v>
          </cell>
          <cell r="AD149">
            <v>0.25173990817101638</v>
          </cell>
          <cell r="AE149">
            <v>0.17389217379213676</v>
          </cell>
          <cell r="AF149">
            <v>0.11458166772873093</v>
          </cell>
          <cell r="AG149">
            <v>5.7170729045169066E-2</v>
          </cell>
          <cell r="AH149">
            <v>6.6367259924650637E-3</v>
          </cell>
          <cell r="AI149">
            <v>-4.3033211642997851E-2</v>
          </cell>
          <cell r="AJ149">
            <v>-9.2284343024195886E-2</v>
          </cell>
          <cell r="AK149">
            <v>-0.14326299510947405</v>
          </cell>
          <cell r="AL149">
            <v>-0.20183359371499815</v>
          </cell>
          <cell r="AM149">
            <v>-0.2706741671364164</v>
          </cell>
        </row>
        <row r="150">
          <cell r="N150">
            <v>0</v>
          </cell>
          <cell r="O150">
            <v>2.6928471248246844E-3</v>
          </cell>
          <cell r="P150">
            <v>2.8668901125209482E-2</v>
          </cell>
          <cell r="Q150">
            <v>7.239303375618146E-2</v>
          </cell>
          <cell r="R150">
            <v>7.3759418030657317E-2</v>
          </cell>
          <cell r="S150">
            <v>0.10719345191248229</v>
          </cell>
          <cell r="T150">
            <v>0.13567146282973619</v>
          </cell>
          <cell r="U150">
            <v>0.17552384932242851</v>
          </cell>
          <cell r="V150">
            <v>0.20047902916755375</v>
          </cell>
          <cell r="W150">
            <v>0.21096499709920713</v>
          </cell>
          <cell r="X150">
            <v>0.20298438159560994</v>
          </cell>
          <cell r="Y150">
            <v>0.1984613717629212</v>
          </cell>
          <cell r="Z150">
            <v>0.19854442688707913</v>
          </cell>
          <cell r="AA150">
            <v>0.24728148454583063</v>
          </cell>
          <cell r="AB150">
            <v>0.29495633429139956</v>
          </cell>
          <cell r="AC150">
            <v>0.26525544605809126</v>
          </cell>
          <cell r="AD150">
            <v>0.200097296047694</v>
          </cell>
          <cell r="AE150">
            <v>0.12390483259623611</v>
          </cell>
          <cell r="AF150">
            <v>6.6914379819376799E-2</v>
          </cell>
          <cell r="AG150">
            <v>1.3455488432299311E-2</v>
          </cell>
          <cell r="AH150">
            <v>-3.2004021107986967E-2</v>
          </cell>
          <cell r="AI150">
            <v>-7.6711060035218465E-2</v>
          </cell>
          <cell r="AJ150">
            <v>-0.12151281046533825</v>
          </cell>
          <cell r="AK150">
            <v>-0.16880312864967151</v>
          </cell>
          <cell r="AL150">
            <v>-0.22445807425180903</v>
          </cell>
          <cell r="AM150">
            <v>-0.29076801668784436</v>
          </cell>
        </row>
        <row r="151">
          <cell r="N151">
            <v>0</v>
          </cell>
          <cell r="O151">
            <v>5.2542075736325383E-2</v>
          </cell>
          <cell r="P151">
            <v>5.6748264304524787E-2</v>
          </cell>
          <cell r="Q151">
            <v>4.7735510427864981E-2</v>
          </cell>
          <cell r="R151">
            <v>4.1156910084870532E-2</v>
          </cell>
          <cell r="S151">
            <v>4.3686335786242723E-2</v>
          </cell>
          <cell r="T151">
            <v>3.8910319777511325E-2</v>
          </cell>
          <cell r="U151">
            <v>3.9628688615605034E-2</v>
          </cell>
          <cell r="V151">
            <v>4.5376206927412455E-2</v>
          </cell>
          <cell r="W151">
            <v>3.7319162395839794E-2</v>
          </cell>
          <cell r="X151">
            <v>3.9735552128636151E-2</v>
          </cell>
          <cell r="Y151">
            <v>4.0021296237703202E-2</v>
          </cell>
          <cell r="Z151">
            <v>4.4104373960145646E-2</v>
          </cell>
          <cell r="AA151">
            <v>4.7541953744054913E-2</v>
          </cell>
          <cell r="AB151">
            <v>4.6481127158888358E-2</v>
          </cell>
          <cell r="AC151">
            <v>4.837895727437759E-2</v>
          </cell>
          <cell r="AD151">
            <v>5.1642612123322419E-2</v>
          </cell>
          <cell r="AE151">
            <v>4.9987341195900613E-2</v>
          </cell>
          <cell r="AF151">
            <v>4.7667287909354095E-2</v>
          </cell>
          <cell r="AG151">
            <v>4.3715240612869723E-2</v>
          </cell>
          <cell r="AH151">
            <v>3.8640747100452004E-2</v>
          </cell>
          <cell r="AI151">
            <v>3.3677848392220586E-2</v>
          </cell>
          <cell r="AJ151">
            <v>2.9228467441142363E-2</v>
          </cell>
          <cell r="AK151">
            <v>2.5540133540197452E-2</v>
          </cell>
          <cell r="AL151">
            <v>2.2624480536810855E-2</v>
          </cell>
          <cell r="AM151">
            <v>2.0093849551427942E-2</v>
          </cell>
        </row>
        <row r="154">
          <cell r="E154">
            <v>-9.0094391099497351E-2</v>
          </cell>
          <cell r="F154">
            <v>-1.3239967149495047E-2</v>
          </cell>
          <cell r="G154">
            <v>-0.11811273921619936</v>
          </cell>
          <cell r="H154">
            <v>2.2812483013403329E-2</v>
          </cell>
          <cell r="I154">
            <v>0.2299532193332583</v>
          </cell>
          <cell r="J154">
            <v>0.10633039033772174</v>
          </cell>
          <cell r="K154">
            <v>-9.0373820721752818E-2</v>
          </cell>
          <cell r="L154">
            <v>-5.9693051006208364E-2</v>
          </cell>
          <cell r="M154">
            <v>3.5555147512291718E-3</v>
          </cell>
          <cell r="N154">
            <v>-0.2056374376639124</v>
          </cell>
          <cell r="O154">
            <v>0.46558398862131711</v>
          </cell>
          <cell r="P154">
            <v>6.1840583231046908E-2</v>
          </cell>
          <cell r="Q154">
            <v>0.13285658690965252</v>
          </cell>
          <cell r="R154">
            <v>-5.8623449379751946E-2</v>
          </cell>
          <cell r="S154">
            <v>8.6716259298618592E-2</v>
          </cell>
          <cell r="T154">
            <v>-2.3467631527478439E-3</v>
          </cell>
          <cell r="U154">
            <v>-6.2928825146280065E-2</v>
          </cell>
          <cell r="V154">
            <v>-3.7658987937451149E-3</v>
          </cell>
          <cell r="W154">
            <v>5.3128937421251576E-2</v>
          </cell>
          <cell r="X154">
            <v>6.5403788634097682E-2</v>
          </cell>
          <cell r="Y154">
            <v>-3.9116601160396836E-2</v>
          </cell>
          <cell r="Z154">
            <v>0.12797039345539529</v>
          </cell>
          <cell r="AA154">
            <v>2.0721809704714156E-2</v>
          </cell>
          <cell r="AB154">
            <v>0.15056673997631531</v>
          </cell>
          <cell r="AC154">
            <v>-1.6027054844875765E-2</v>
          </cell>
          <cell r="AD154">
            <v>0.18034466576355945</v>
          </cell>
          <cell r="AE154">
            <v>4.3974534465852644E-2</v>
          </cell>
          <cell r="AF154">
            <v>4.2080195783287699E-2</v>
          </cell>
          <cell r="AG154">
            <v>4.231350560892766E-2</v>
          </cell>
          <cell r="AH154">
            <v>4.2944221790454984E-2</v>
          </cell>
          <cell r="AI154">
            <v>4.7927560208934628E-2</v>
          </cell>
          <cell r="AJ154">
            <v>4.8704924844742647E-2</v>
          </cell>
          <cell r="AK154">
            <v>4.9305582197283648E-2</v>
          </cell>
          <cell r="AL154">
            <v>4.9741169150395947E-2</v>
          </cell>
          <cell r="AM154">
            <v>5.0561010123172823E-2</v>
          </cell>
        </row>
        <row r="155">
          <cell r="E155">
            <v>-9.6755881102572827E-2</v>
          </cell>
          <cell r="F155">
            <v>-1.5941030252876076E-2</v>
          </cell>
          <cell r="G155">
            <v>-0.11659044210833591</v>
          </cell>
          <cell r="H155">
            <v>2.6546261333392662E-2</v>
          </cell>
          <cell r="I155">
            <v>0.22166930300635035</v>
          </cell>
          <cell r="J155">
            <v>0.10308766899414645</v>
          </cell>
          <cell r="K155">
            <v>-8.9991130203238012E-2</v>
          </cell>
          <cell r="L155">
            <v>-4.8566159660914376E-2</v>
          </cell>
          <cell r="M155">
            <v>1.1848768614185934E-2</v>
          </cell>
          <cell r="N155">
            <v>-0.18383418027669829</v>
          </cell>
          <cell r="O155">
            <v>0.41813048933500618</v>
          </cell>
          <cell r="P155">
            <v>5.8394160583941535E-2</v>
          </cell>
          <cell r="Q155">
            <v>0.23970741901776393</v>
          </cell>
          <cell r="R155">
            <v>-3.2366824005394479E-2</v>
          </cell>
          <cell r="S155">
            <v>9.547038327526125E-2</v>
          </cell>
          <cell r="T155">
            <v>2.7512722646310328E-2</v>
          </cell>
          <cell r="U155">
            <v>-2.6930815663209984E-2</v>
          </cell>
          <cell r="V155">
            <v>-6.9985684746302068E-3</v>
          </cell>
          <cell r="W155">
            <v>4.4369694057344145E-2</v>
          </cell>
          <cell r="X155">
            <v>-8.4355828220858964E-3</v>
          </cell>
          <cell r="Y155">
            <v>-2.072699149265278E-2</v>
          </cell>
          <cell r="Z155">
            <v>0.13978834307376409</v>
          </cell>
          <cell r="AA155">
            <v>0.23032150776053206</v>
          </cell>
          <cell r="AB155">
            <v>-4.1000225275963031E-2</v>
          </cell>
          <cell r="AC155">
            <v>2.3020906741836988E-2</v>
          </cell>
          <cell r="AD155">
            <v>0.14956618866701965</v>
          </cell>
          <cell r="AE155">
            <v>4.471881991753901E-2</v>
          </cell>
          <cell r="AF155">
            <v>4.3227454242568797E-2</v>
          </cell>
          <cell r="AG155">
            <v>4.3415873631164059E-2</v>
          </cell>
          <cell r="AH155">
            <v>4.3916323841157734E-2</v>
          </cell>
          <cell r="AI155">
            <v>4.7836015149749445E-2</v>
          </cell>
          <cell r="AJ155">
            <v>4.8447020713682232E-2</v>
          </cell>
          <cell r="AK155">
            <v>4.8919461443774681E-2</v>
          </cell>
          <cell r="AL155">
            <v>4.9262547428190917E-2</v>
          </cell>
          <cell r="AM155">
            <v>4.9908402119834605E-2</v>
          </cell>
        </row>
        <row r="156">
          <cell r="F156">
            <v>-0.12574110671936756</v>
          </cell>
          <cell r="G156">
            <v>-1.6106244701893146E-2</v>
          </cell>
          <cell r="H156">
            <v>1.2349224583572571E-2</v>
          </cell>
          <cell r="I156">
            <v>3.0921985815602904E-2</v>
          </cell>
          <cell r="J156">
            <v>6.1640066042927932E-2</v>
          </cell>
          <cell r="K156">
            <v>0.13037843442198027</v>
          </cell>
          <cell r="L156">
            <v>-3.6459527631277244E-2</v>
          </cell>
          <cell r="M156">
            <v>-1.499286054259874E-2</v>
          </cell>
          <cell r="N156">
            <v>-0.23749697994684704</v>
          </cell>
          <cell r="O156">
            <v>-2.217997465145749E-2</v>
          </cell>
          <cell r="P156">
            <v>6.4160725858716683E-2</v>
          </cell>
          <cell r="Q156">
            <v>0.56029232643118143</v>
          </cell>
          <cell r="R156">
            <v>7.0257611241217877E-2</v>
          </cell>
          <cell r="S156">
            <v>6.8198395331874551E-2</v>
          </cell>
          <cell r="T156">
            <v>0.1406623420962787</v>
          </cell>
          <cell r="U156">
            <v>6.3753367255312776E-2</v>
          </cell>
          <cell r="V156">
            <v>7.7658975801913277E-2</v>
          </cell>
          <cell r="W156">
            <v>1.3054830287206221E-2</v>
          </cell>
          <cell r="X156">
            <v>3.6082474226803996E-3</v>
          </cell>
          <cell r="Y156">
            <v>0.12660503338469442</v>
          </cell>
          <cell r="Z156">
            <v>5.7214497378618612E-2</v>
          </cell>
          <cell r="AA156">
            <v>3.4497628288055138E-2</v>
          </cell>
          <cell r="AB156">
            <v>-4.6686119216340138E-2</v>
          </cell>
          <cell r="AC156">
            <v>6.1762133799737606E-2</v>
          </cell>
          <cell r="AD156">
            <v>5.7683745699574018E-2</v>
          </cell>
          <cell r="AE156">
            <v>9.5635601437439544E-2</v>
          </cell>
          <cell r="AF156">
            <v>6.4959576602766633E-2</v>
          </cell>
          <cell r="AG156">
            <v>9.3286749813151326E-2</v>
          </cell>
          <cell r="AH156">
            <v>8.8921699489791006E-2</v>
          </cell>
          <cell r="AI156">
            <v>8.7990673123536922E-2</v>
          </cell>
          <cell r="AJ156">
            <v>0.11609628585783827</v>
          </cell>
          <cell r="AK156">
            <v>0.14665216534359482</v>
          </cell>
          <cell r="AL156">
            <v>0.17277309906627836</v>
          </cell>
          <cell r="AM156">
            <v>0.21369646447951296</v>
          </cell>
        </row>
        <row r="157">
          <cell r="F157">
            <v>-0.12574110671936756</v>
          </cell>
          <cell r="G157">
            <v>-1.6106244701893146E-2</v>
          </cell>
          <cell r="H157">
            <v>1.2349224583572571E-2</v>
          </cell>
          <cell r="I157">
            <v>3.0921985815602904E-2</v>
          </cell>
          <cell r="J157">
            <v>6.1640066042927932E-2</v>
          </cell>
          <cell r="K157">
            <v>0.13037843442198027</v>
          </cell>
          <cell r="L157">
            <v>-3.6459527631277244E-2</v>
          </cell>
          <cell r="M157">
            <v>-1.499286054259874E-2</v>
          </cell>
          <cell r="N157">
            <v>-1.6187484899734206E-2</v>
          </cell>
          <cell r="O157">
            <v>3.5363457760314354E-2</v>
          </cell>
          <cell r="P157">
            <v>5.3842504743833119E-2</v>
          </cell>
          <cell r="Q157">
            <v>0.40625703353589926</v>
          </cell>
          <cell r="R157">
            <v>3.7291933418694079E-2</v>
          </cell>
          <cell r="S157">
            <v>9.1035334053386929E-2</v>
          </cell>
          <cell r="T157">
            <v>0.15740347899872709</v>
          </cell>
          <cell r="U157">
            <v>3.396871945259039E-2</v>
          </cell>
          <cell r="V157">
            <v>7.6813991964074679E-2</v>
          </cell>
          <cell r="W157">
            <v>1.4047410008779737E-2</v>
          </cell>
          <cell r="X157">
            <v>-5.2164502164502191E-2</v>
          </cell>
          <cell r="Y157">
            <v>9.8538479104818499E-2</v>
          </cell>
          <cell r="Z157">
            <v>4.8227834944392534E-2</v>
          </cell>
          <cell r="AA157">
            <v>4.4620723847297317E-3</v>
          </cell>
          <cell r="AB157">
            <v>-4.9358341559723184E-3</v>
          </cell>
          <cell r="AC157">
            <v>3.7202380952380931E-2</v>
          </cell>
          <cell r="AD157">
            <v>7.6178922982527819E-2</v>
          </cell>
          <cell r="AE157">
            <v>8.9266766583518287E-2</v>
          </cell>
          <cell r="AF157">
            <v>5.1869227056268619E-2</v>
          </cell>
          <cell r="AG157">
            <v>9.0332605705797153E-2</v>
          </cell>
          <cell r="AH157">
            <v>7.6509702793279954E-2</v>
          </cell>
          <cell r="AI157">
            <v>8.2058362903839388E-2</v>
          </cell>
          <cell r="AJ157">
            <v>9.874397559266801E-2</v>
          </cell>
          <cell r="AK157">
            <v>0.13937763919512247</v>
          </cell>
          <cell r="AL157">
            <v>0.15287776989825286</v>
          </cell>
          <cell r="AM157">
            <v>0.20523862864849218</v>
          </cell>
        </row>
        <row r="159">
          <cell r="E159">
            <v>122.10971933456842</v>
          </cell>
          <cell r="F159">
            <v>94.159996789973306</v>
          </cell>
          <cell r="G159">
            <v>94.372284312842794</v>
          </cell>
          <cell r="H159">
            <v>98.096696843227022</v>
          </cell>
          <cell r="I159">
            <v>126.90332874959313</v>
          </cell>
          <cell r="J159">
            <v>114.19671485682561</v>
          </cell>
          <cell r="K159">
            <v>102.27713376792164</v>
          </cell>
          <cell r="L159">
            <v>124.47432019965625</v>
          </cell>
          <cell r="M159">
            <v>122.23525030555847</v>
          </cell>
          <cell r="N159">
            <v>91.21571898090049</v>
          </cell>
          <cell r="O159">
            <v>66.009851999539023</v>
          </cell>
          <cell r="P159">
            <v>65.062994383442813</v>
          </cell>
          <cell r="Q159">
            <v>95.894322105573522</v>
          </cell>
          <cell r="R159">
            <v>108.00193471045421</v>
          </cell>
          <cell r="S159">
            <v>99.999159006454136</v>
          </cell>
          <cell r="T159">
            <v>110.75751926165218</v>
          </cell>
          <cell r="U159">
            <v>112.84775372171137</v>
          </cell>
          <cell r="V159">
            <v>119.11133224718367</v>
          </cell>
          <cell r="W159">
            <v>117.75906772259994</v>
          </cell>
          <cell r="X159">
            <v>123.77809989268927</v>
          </cell>
          <cell r="Y159">
            <v>137.69377727812375</v>
          </cell>
          <cell r="Z159">
            <v>134.55975195563471</v>
          </cell>
          <cell r="AA159">
            <v>113.80370527650705</v>
          </cell>
          <cell r="AB159">
            <v>105.37297008241877</v>
          </cell>
          <cell r="AC159">
            <v>112.52181266056618</v>
          </cell>
          <cell r="AD159">
            <v>126.06395513390216</v>
          </cell>
          <cell r="AE159">
            <v>125.99081267088323</v>
          </cell>
          <cell r="AF159">
            <v>124.00378844404631</v>
          </cell>
          <cell r="AG159">
            <v>121.52215603794723</v>
          </cell>
          <cell r="AH159">
            <v>118.51407739361541</v>
          </cell>
          <cell r="AI159">
            <v>116.00644605531589</v>
          </cell>
          <cell r="AJ159">
            <v>113.04189038892744</v>
          </cell>
          <cell r="AK159">
            <v>109.6813727254364</v>
          </cell>
          <cell r="AL159">
            <v>105.96062551224814</v>
          </cell>
          <cell r="AM159">
            <v>101.87732018919542</v>
          </cell>
        </row>
        <row r="160">
          <cell r="F160">
            <v>-0.22889023655861229</v>
          </cell>
          <cell r="G160">
            <v>2.2545404641740596E-3</v>
          </cell>
          <cell r="H160">
            <v>3.946510945986903E-2</v>
          </cell>
          <cell r="I160">
            <v>0.29365547295036198</v>
          </cell>
          <cell r="J160">
            <v>-0.10012829464734008</v>
          </cell>
          <cell r="K160">
            <v>-0.10437761807638835</v>
          </cell>
          <cell r="L160">
            <v>0.21702980533363925</v>
          </cell>
          <cell r="M160">
            <v>-1.7988207451194116E-2</v>
          </cell>
          <cell r="N160">
            <v>-0.25376911526844081</v>
          </cell>
          <cell r="O160">
            <v>-0.27633249250207936</v>
          </cell>
          <cell r="P160">
            <v>-1.4344186320896846E-2</v>
          </cell>
          <cell r="Q160">
            <v>0.47386887145754608</v>
          </cell>
          <cell r="R160">
            <v>0.12625995302986737</v>
          </cell>
          <cell r="S160">
            <v>-7.4098447638507259E-2</v>
          </cell>
          <cell r="T160">
            <v>0.10758450733074332</v>
          </cell>
          <cell r="U160">
            <v>1.8872167542153484E-2</v>
          </cell>
          <cell r="V160">
            <v>5.5504680588668309E-2</v>
          </cell>
          <cell r="W160">
            <v>-1.135294601337733E-2</v>
          </cell>
          <cell r="X160">
            <v>5.1113109898832665E-2</v>
          </cell>
          <cell r="Y160">
            <v>0.11242439007787985</v>
          </cell>
          <cell r="Z160">
            <v>-2.2760834835395038E-2</v>
          </cell>
          <cell r="AA160">
            <v>-0.15425152304064205</v>
          </cell>
          <cell r="AB160">
            <v>-7.4081376995628112E-2</v>
          </cell>
          <cell r="AC160">
            <v>6.7843229364758839E-2</v>
          </cell>
          <cell r="AD160">
            <v>0.12035126481820257</v>
          </cell>
          <cell r="AE160">
            <v>-5.802012394521272E-4</v>
          </cell>
          <cell r="AF160">
            <v>-1.5771183507066411E-2</v>
          </cell>
          <cell r="AG160">
            <v>-2.0012553142429668E-2</v>
          </cell>
          <cell r="AH160">
            <v>-2.4753335049392144E-2</v>
          </cell>
          <cell r="AI160">
            <v>-2.1158932284230159E-2</v>
          </cell>
          <cell r="AJ160">
            <v>-2.555509428307845E-2</v>
          </cell>
          <cell r="AK160">
            <v>-2.9728073831116753E-2</v>
          </cell>
          <cell r="AL160">
            <v>-3.3923237107018611E-2</v>
          </cell>
          <cell r="AM160">
            <v>-3.8536062837612572E-2</v>
          </cell>
        </row>
        <row r="162">
          <cell r="S162">
            <v>-0.4962611646712114</v>
          </cell>
          <cell r="T162">
            <v>1.0498845422058656</v>
          </cell>
          <cell r="U162">
            <v>1.1823017986218305</v>
          </cell>
          <cell r="V162">
            <v>1.3601046751926802</v>
          </cell>
          <cell r="W162">
            <v>2.1072336671137624</v>
          </cell>
          <cell r="X162">
            <v>2.1983529012093186</v>
          </cell>
          <cell r="Y162">
            <v>1.4306918110155675</v>
          </cell>
          <cell r="Z162">
            <v>1.5735160841987907</v>
          </cell>
          <cell r="AA162">
            <v>0.91961838681699892</v>
          </cell>
          <cell r="AB162">
            <v>0.67946565469852716</v>
          </cell>
          <cell r="AC162">
            <v>-8.7819560546764097E-2</v>
          </cell>
          <cell r="AD162">
            <v>1.7875989919486117</v>
          </cell>
          <cell r="AE162">
            <v>2.3457833074917112</v>
          </cell>
          <cell r="AF162">
            <v>2.5636257418036488</v>
          </cell>
          <cell r="AG162">
            <v>1.7975758627608565</v>
          </cell>
          <cell r="AH162">
            <v>1.9902718648603894</v>
          </cell>
          <cell r="AI162">
            <v>2.1601959580058905</v>
          </cell>
          <cell r="AJ162">
            <v>2.2088032039034</v>
          </cell>
          <cell r="AK162">
            <v>2.2321237082075833</v>
          </cell>
          <cell r="AL162">
            <v>2.2345347445270995</v>
          </cell>
          <cell r="AM162">
            <v>2.2182505626431164</v>
          </cell>
        </row>
        <row r="163">
          <cell r="S163">
            <v>-0.4962611646712114</v>
          </cell>
          <cell r="T163">
            <v>0.847698070542246</v>
          </cell>
          <cell r="U163">
            <v>0.98118972216657419</v>
          </cell>
          <cell r="V163">
            <v>1.4687196927735275</v>
          </cell>
          <cell r="W163">
            <v>1.6772945353111197</v>
          </cell>
          <cell r="X163">
            <v>1.5410935228623575</v>
          </cell>
          <cell r="Y163">
            <v>1.4759406075153934</v>
          </cell>
          <cell r="Z163">
            <v>2.1793477160025576</v>
          </cell>
          <cell r="AA163">
            <v>1.5407039391075839</v>
          </cell>
          <cell r="AB163">
            <v>1.3889025863434594</v>
          </cell>
          <cell r="AC163">
            <v>0.48140626664406561</v>
          </cell>
          <cell r="AD163">
            <v>2.147641494348655</v>
          </cell>
          <cell r="AE163">
            <v>2.516996463476203</v>
          </cell>
          <cell r="AF163">
            <v>2.5879289579635798</v>
          </cell>
          <cell r="AG163">
            <v>1.705538681343274</v>
          </cell>
          <cell r="AH163">
            <v>1.8115474011444412</v>
          </cell>
          <cell r="AI163">
            <v>1.9172694009668545</v>
          </cell>
          <cell r="AJ163">
            <v>1.9287106173264041</v>
          </cell>
          <cell r="AK163">
            <v>1.9404285027598203</v>
          </cell>
          <cell r="AL163">
            <v>1.9515421409319638</v>
          </cell>
          <cell r="AM163">
            <v>1.9621046672185134</v>
          </cell>
        </row>
        <row r="164">
          <cell r="Q164">
            <v>-0.24962630792227206</v>
          </cell>
          <cell r="R164">
            <v>-0.84409373505499763</v>
          </cell>
          <cell r="S164">
            <v>-5.8260105448154693</v>
          </cell>
          <cell r="T164">
            <v>30.028169014084494</v>
          </cell>
          <cell r="U164">
            <v>-1.2632575757575764</v>
          </cell>
          <cell r="V164">
            <v>15.542662116040979</v>
          </cell>
          <cell r="W164">
            <v>16.086505190311414</v>
          </cell>
          <cell r="X164">
            <v>5.9264957264957312</v>
          </cell>
          <cell r="Y164">
            <v>-8.4296577946768121</v>
          </cell>
          <cell r="Z164">
            <v>-8.7832898172323883</v>
          </cell>
          <cell r="AA164">
            <v>-20.389175257731921</v>
          </cell>
          <cell r="AB164">
            <v>-6.0145530145530106</v>
          </cell>
          <cell r="AC164">
            <v>-23.818181818181838</v>
          </cell>
          <cell r="AD164">
            <v>84.758299841132512</v>
          </cell>
          <cell r="AE164">
            <v>-28.747425234102458</v>
          </cell>
          <cell r="AF164">
            <v>-11.012970652144162</v>
          </cell>
          <cell r="AG164">
            <v>-1.5428366537306282</v>
          </cell>
          <cell r="AH164">
            <v>-2.4608499686167464</v>
          </cell>
          <cell r="AI164">
            <v>-1.787259943032135</v>
          </cell>
          <cell r="AJ164">
            <v>-1.200893723192052</v>
          </cell>
          <cell r="AK164">
            <v>-1.023038777441172</v>
          </cell>
          <cell r="AL164">
            <v>-0.92236249408654447</v>
          </cell>
          <cell r="AM164">
            <v>-0.87853409158946572</v>
          </cell>
        </row>
        <row r="167">
          <cell r="E167">
            <v>-6.0328004824004397E-2</v>
          </cell>
          <cell r="F167">
            <v>-8.2054337791980389E-2</v>
          </cell>
          <cell r="G167">
            <v>-4.6805816446103744E-2</v>
          </cell>
          <cell r="H167">
            <v>-7.1702311708044239E-2</v>
          </cell>
          <cell r="I167">
            <v>-0.20200119353787171</v>
          </cell>
          <cell r="J167">
            <v>-0.15545053156755476</v>
          </cell>
          <cell r="K167">
            <v>-5.2918167110139497E-2</v>
          </cell>
          <cell r="L167">
            <v>-0.11866944285357414</v>
          </cell>
          <cell r="M167">
            <v>-5.7704234490611767E-2</v>
          </cell>
          <cell r="N167">
            <v>1.3614057305683077E-2</v>
          </cell>
          <cell r="O167">
            <v>3.6185133239831697E-2</v>
          </cell>
          <cell r="P167">
            <v>5.027531721331099E-3</v>
          </cell>
          <cell r="Q167">
            <v>1.9673188561599657E-2</v>
          </cell>
          <cell r="R167">
            <v>1.5761669697756994E-2</v>
          </cell>
          <cell r="S167">
            <v>4.4781992759326303E-2</v>
          </cell>
          <cell r="T167">
            <v>2.0650146549427126E-2</v>
          </cell>
          <cell r="U167">
            <v>1.8267566115455793E-2</v>
          </cell>
          <cell r="V167">
            <v>2.576112412177986E-2</v>
          </cell>
          <cell r="W167">
            <v>-5.1247340939856896E-3</v>
          </cell>
          <cell r="X167">
            <v>9.7087378640776691E-3</v>
          </cell>
          <cell r="Y167">
            <v>-3.6118033734243508E-4</v>
          </cell>
          <cell r="Z167">
            <v>1.0818038167011062E-2</v>
          </cell>
          <cell r="AA167">
            <v>5.117900833284085E-2</v>
          </cell>
          <cell r="AB167">
            <v>1.9372387693675844E-2</v>
          </cell>
          <cell r="AC167">
            <v>1.4629667500490879E-3</v>
          </cell>
          <cell r="AD167">
            <v>-2.5971946490675499E-3</v>
          </cell>
          <cell r="AE167">
            <v>-7.4671286149007466E-4</v>
          </cell>
          <cell r="AF167">
            <v>9.1780977262998886E-4</v>
          </cell>
          <cell r="AG167">
            <v>1.7110052643228109E-3</v>
          </cell>
          <cell r="AH167">
            <v>2.5255570598814482E-3</v>
          </cell>
          <cell r="AI167">
            <v>3.282953761344696E-3</v>
          </cell>
          <cell r="AJ167">
            <v>3.8996138757884172E-3</v>
          </cell>
          <cell r="AK167">
            <v>4.385140566156253E-3</v>
          </cell>
          <cell r="AL167">
            <v>4.8298488066621601E-3</v>
          </cell>
          <cell r="AM167">
            <v>5.1749345672456384E-3</v>
          </cell>
        </row>
        <row r="168">
          <cell r="E168">
            <v>0.19426724489197747</v>
          </cell>
          <cell r="F168">
            <v>0.2287868006670512</v>
          </cell>
          <cell r="G168">
            <v>0.2357953394549</v>
          </cell>
          <cell r="H168">
            <v>0.22347220482340455</v>
          </cell>
          <cell r="I168">
            <v>0.20135890039466706</v>
          </cell>
          <cell r="J168">
            <v>0.21519664334440855</v>
          </cell>
          <cell r="K168">
            <v>0.15851063880917363</v>
          </cell>
          <cell r="L168">
            <v>0.12465277610669553</v>
          </cell>
          <cell r="M168">
            <v>0.11219327703013374</v>
          </cell>
          <cell r="N168">
            <v>9.9414278929871772E-2</v>
          </cell>
          <cell r="O168">
            <v>0.10378681626928471</v>
          </cell>
          <cell r="P168">
            <v>0.10521905673928657</v>
          </cell>
          <cell r="Q168">
            <v>8.2670393463771238E-2</v>
          </cell>
          <cell r="R168">
            <v>6.5904563956005885E-2</v>
          </cell>
          <cell r="S168">
            <v>0.10963324413662837</v>
          </cell>
          <cell r="T168">
            <v>0.11657340794031441</v>
          </cell>
          <cell r="U168">
            <v>0.11515730404154975</v>
          </cell>
          <cell r="V168">
            <v>0.11938471364700873</v>
          </cell>
          <cell r="W168">
            <v>0.12294527170760007</v>
          </cell>
          <cell r="X168">
            <v>0.12705783030814691</v>
          </cell>
          <cell r="Y168">
            <v>0.10781233069671688</v>
          </cell>
          <cell r="Z168">
            <v>8.7942141728455089E-2</v>
          </cell>
          <cell r="AA168">
            <v>0.10244666390875244</v>
          </cell>
          <cell r="AB168">
            <v>0.12006493647439706</v>
          </cell>
          <cell r="AC168">
            <v>0.11212141532055998</v>
          </cell>
          <cell r="AD168">
            <v>0.13145207238442594</v>
          </cell>
          <cell r="AE168">
            <v>0.10568673046200254</v>
          </cell>
          <cell r="AF168">
            <v>0.10675894084013336</v>
          </cell>
          <cell r="AG168">
            <v>9.3320520991428665E-2</v>
          </cell>
          <cell r="AH168">
            <v>7.8938674180258017E-2</v>
          </cell>
          <cell r="AI168">
            <v>6.3446869300393269E-2</v>
          </cell>
          <cell r="AJ168">
            <v>4.8384331609040925E-2</v>
          </cell>
          <cell r="AK168">
            <v>3.8640199655216013E-2</v>
          </cell>
          <cell r="AL168">
            <v>4.2103853636588778E-2</v>
          </cell>
          <cell r="AM168">
            <v>4.7756558041256697E-2</v>
          </cell>
        </row>
        <row r="169">
          <cell r="E169">
            <v>-2.447545898465249E-2</v>
          </cell>
          <cell r="F169">
            <v>-1.9489003948760346E-2</v>
          </cell>
          <cell r="G169">
            <v>-2.7369201983054831E-2</v>
          </cell>
          <cell r="H169">
            <v>-5.653356968545676E-3</v>
          </cell>
          <cell r="I169">
            <v>-7.3699964620916422E-2</v>
          </cell>
          <cell r="J169">
            <v>-0.11117436967287234</v>
          </cell>
          <cell r="K169">
            <v>2.5384751111043255E-2</v>
          </cell>
          <cell r="L169">
            <v>4.1382599315771589E-2</v>
          </cell>
          <cell r="M169">
            <v>-2.5906463621823E-2</v>
          </cell>
          <cell r="N169">
            <v>3.5798028705996757E-2</v>
          </cell>
          <cell r="O169">
            <v>2.3314602782248594E-3</v>
          </cell>
          <cell r="P169">
            <v>3.3207239322824614E-2</v>
          </cell>
          <cell r="Q169">
            <v>-5.4395936357772519E-2</v>
          </cell>
          <cell r="R169">
            <v>-5.3352472503680581E-2</v>
          </cell>
          <cell r="S169">
            <v>-9.2866126239571883E-2</v>
          </cell>
          <cell r="T169">
            <v>-5.5578603783639727E-2</v>
          </cell>
          <cell r="U169">
            <v>-3.1057130917557123E-2</v>
          </cell>
          <cell r="V169">
            <v>-2.1236959761549927E-2</v>
          </cell>
          <cell r="W169">
            <v>-7.5420614968091278E-3</v>
          </cell>
          <cell r="X169">
            <v>-8.0202617138032922E-2</v>
          </cell>
          <cell r="Y169">
            <v>-4.1030086322100624E-2</v>
          </cell>
          <cell r="Z169">
            <v>-7.0104533851950895E-2</v>
          </cell>
          <cell r="AA169">
            <v>-6.8553867974705987E-2</v>
          </cell>
          <cell r="AB169" t="str">
            <v>check balance!</v>
          </cell>
          <cell r="AC169" t="str">
            <v>check balance!</v>
          </cell>
          <cell r="AD169">
            <v>-0.12844725653143424</v>
          </cell>
          <cell r="AE169">
            <v>-7.9231070403851314E-2</v>
          </cell>
          <cell r="AF169">
            <v>-6.2470409336969478E-2</v>
          </cell>
          <cell r="AG169">
            <v>-1.5530294526253813E-2</v>
          </cell>
          <cell r="AH169">
            <v>3.208905417549307E-2</v>
          </cell>
          <cell r="AI169">
            <v>7.3718334591120177E-2</v>
          </cell>
          <cell r="AJ169">
            <v>0.13140020390308496</v>
          </cell>
          <cell r="AK169">
            <v>0.2039743931933585</v>
          </cell>
          <cell r="AL169">
            <v>0.29042382755792007</v>
          </cell>
          <cell r="AM169">
            <v>0.41654727068834863</v>
          </cell>
        </row>
        <row r="173">
          <cell r="M173">
            <v>0</v>
          </cell>
          <cell r="N173">
            <v>0.19104390811282349</v>
          </cell>
          <cell r="O173">
            <v>0.23839432004369196</v>
          </cell>
          <cell r="P173">
            <v>0.2267727591855839</v>
          </cell>
          <cell r="Q173">
            <v>6.9944598337950137E-2</v>
          </cell>
          <cell r="R173">
            <v>8.0191502094554154E-2</v>
          </cell>
          <cell r="S173">
            <v>7.5281666097644251E-2</v>
          </cell>
          <cell r="T173">
            <v>8.3530558262564392E-2</v>
          </cell>
          <cell r="U173">
            <v>9.3092349591483034E-2</v>
          </cell>
          <cell r="V173">
            <v>7.1326676176890161E-2</v>
          </cell>
          <cell r="W173">
            <v>6.6910717917429322E-2</v>
          </cell>
          <cell r="X173">
            <v>5.4114365411436542E-2</v>
          </cell>
          <cell r="Y173">
            <v>5.7829659780354814E-2</v>
          </cell>
          <cell r="Z173">
            <v>6.4823581392413052E-2</v>
          </cell>
          <cell r="AA173">
            <v>6.9570795428038248E-2</v>
          </cell>
          <cell r="AB173">
            <v>4.8939929328621908E-2</v>
          </cell>
          <cell r="AC173">
            <v>4.5740819812126389E-2</v>
          </cell>
          <cell r="AD173">
            <v>6.4180148389587452E-2</v>
          </cell>
          <cell r="AE173">
            <v>6.4276928812019851E-2</v>
          </cell>
          <cell r="AF173">
            <v>6.4530995100404304E-2</v>
          </cell>
          <cell r="AG173">
            <v>6.3508490111481491E-2</v>
          </cell>
          <cell r="AH173">
            <v>6.1011861183529449E-2</v>
          </cell>
          <cell r="AI173">
            <v>5.8991689030102989E-2</v>
          </cell>
          <cell r="AJ173">
            <v>5.5471747317225574E-2</v>
          </cell>
          <cell r="AK173">
            <v>5.0908278266217195E-2</v>
          </cell>
          <cell r="AL173">
            <v>4.5383261663231901E-2</v>
          </cell>
          <cell r="AM173">
            <v>3.9200269139502301E-2</v>
          </cell>
        </row>
        <row r="174">
          <cell r="M174">
            <v>0</v>
          </cell>
          <cell r="N174">
            <v>9.5958127362605408E-2</v>
          </cell>
          <cell r="O174">
            <v>0.12342981977061715</v>
          </cell>
          <cell r="P174">
            <v>0.11139714486309385</v>
          </cell>
          <cell r="Q174">
            <v>0.20683287165281625</v>
          </cell>
          <cell r="R174">
            <v>0.1980849790544584</v>
          </cell>
          <cell r="S174">
            <v>0.18948446568794811</v>
          </cell>
          <cell r="T174">
            <v>0.18850062647918697</v>
          </cell>
          <cell r="U174">
            <v>0.19113641990591732</v>
          </cell>
          <cell r="V174">
            <v>0.17732909031054536</v>
          </cell>
          <cell r="W174">
            <v>0.17042912344925767</v>
          </cell>
          <cell r="X174">
            <v>0.17182705718270572</v>
          </cell>
          <cell r="Y174">
            <v>0.14906689194378311</v>
          </cell>
          <cell r="Z174">
            <v>0.15224389320204507</v>
          </cell>
          <cell r="AA174">
            <v>0.15074644273384652</v>
          </cell>
          <cell r="AB174">
            <v>0.18551236749116609</v>
          </cell>
          <cell r="AC174">
            <v>0.16337532023911186</v>
          </cell>
          <cell r="AD174">
            <v>0.2015024572794723</v>
          </cell>
          <cell r="AE174">
            <v>0.20991080057737843</v>
          </cell>
          <cell r="AF174">
            <v>0.22911010812658764</v>
          </cell>
          <cell r="AG174">
            <v>0.25692911501688881</v>
          </cell>
          <cell r="AH174">
            <v>0.30280656118384797</v>
          </cell>
          <cell r="AI174">
            <v>0.33985026508895394</v>
          </cell>
          <cell r="AJ174">
            <v>0.39067998769015599</v>
          </cell>
          <cell r="AK174">
            <v>0.45116928681664342</v>
          </cell>
          <cell r="AL174">
            <v>0.52111766871669252</v>
          </cell>
          <cell r="AM174">
            <v>0.59160843099731619</v>
          </cell>
        </row>
        <row r="175">
          <cell r="M175">
            <v>0</v>
          </cell>
          <cell r="N175">
            <v>0.14975283512649026</v>
          </cell>
          <cell r="O175">
            <v>0.13462588749317314</v>
          </cell>
          <cell r="P175">
            <v>0.1329276854668851</v>
          </cell>
          <cell r="Q175">
            <v>0.18536472760849493</v>
          </cell>
          <cell r="R175">
            <v>0.20087771793337322</v>
          </cell>
          <cell r="S175">
            <v>0.21235916695117787</v>
          </cell>
          <cell r="T175">
            <v>0.21369901155506055</v>
          </cell>
          <cell r="U175">
            <v>0.21341916315919782</v>
          </cell>
          <cell r="V175">
            <v>0.21946669592889279</v>
          </cell>
          <cell r="W175">
            <v>0.20154565792149684</v>
          </cell>
          <cell r="X175">
            <v>0.20344026034402604</v>
          </cell>
          <cell r="Y175">
            <v>0.24322248675216956</v>
          </cell>
          <cell r="Z175">
            <v>0.20179258978728776</v>
          </cell>
          <cell r="AA175">
            <v>0.19273384651271286</v>
          </cell>
          <cell r="AB175">
            <v>0.23262661955241459</v>
          </cell>
          <cell r="AC175">
            <v>0.21728223740392827</v>
          </cell>
          <cell r="AD175">
            <v>0.20180204512508557</v>
          </cell>
          <cell r="AE175">
            <v>0.20886012913759625</v>
          </cell>
          <cell r="AF175">
            <v>0.20302985410987695</v>
          </cell>
          <cell r="AG175">
            <v>0.19785494479553778</v>
          </cell>
          <cell r="AH175">
            <v>0.1886241614422913</v>
          </cell>
          <cell r="AI175">
            <v>0.18384289234394277</v>
          </cell>
          <cell r="AJ175">
            <v>0.17406127487067699</v>
          </cell>
          <cell r="AK175">
            <v>0.16202653676662718</v>
          </cell>
          <cell r="AL175">
            <v>0.14697278754582474</v>
          </cell>
          <cell r="AM175">
            <v>0.13199421819152204</v>
          </cell>
        </row>
        <row r="176">
          <cell r="M176">
            <v>0</v>
          </cell>
          <cell r="N176">
            <v>0.1078801977318988</v>
          </cell>
          <cell r="O176">
            <v>9.2845439650464226E-2</v>
          </cell>
          <cell r="P176">
            <v>9.5717294640767614E-2</v>
          </cell>
          <cell r="Q176">
            <v>7.9639889196675903E-2</v>
          </cell>
          <cell r="R176">
            <v>7.8396169958108913E-2</v>
          </cell>
          <cell r="S176">
            <v>8.347558893820417E-2</v>
          </cell>
          <cell r="T176">
            <v>8.2834470277043021E-2</v>
          </cell>
          <cell r="U176">
            <v>8.1827184946769008E-2</v>
          </cell>
          <cell r="V176">
            <v>6.1999341599912217E-2</v>
          </cell>
          <cell r="W176">
            <v>7.5350823672971329E-2</v>
          </cell>
          <cell r="X176">
            <v>8.860994886099488E-2</v>
          </cell>
          <cell r="Y176">
            <v>0.11996006451117426</v>
          </cell>
          <cell r="Z176">
            <v>9.7835005996339083E-2</v>
          </cell>
          <cell r="AA176">
            <v>9.7212502915791935E-2</v>
          </cell>
          <cell r="AB176">
            <v>0.10541813898704358</v>
          </cell>
          <cell r="AC176">
            <v>0.1329526046114432</v>
          </cell>
          <cell r="AD176">
            <v>0.10349690632986681</v>
          </cell>
          <cell r="AE176">
            <v>0.10226027668453641</v>
          </cell>
          <cell r="AF176">
            <v>9.8975724222262584E-2</v>
          </cell>
          <cell r="AG176">
            <v>9.4157262562507518E-2</v>
          </cell>
          <cell r="AH176">
            <v>8.686702432914091E-2</v>
          </cell>
          <cell r="AI176">
            <v>8.0575910515186935E-2</v>
          </cell>
          <cell r="AJ176">
            <v>7.2670300475409871E-2</v>
          </cell>
          <cell r="AK176">
            <v>6.3395637675655189E-2</v>
          </cell>
          <cell r="AL176">
            <v>5.2955594517607903E-2</v>
          </cell>
          <cell r="AM176">
            <v>4.2611057517721714E-2</v>
          </cell>
        </row>
        <row r="177">
          <cell r="M177">
            <v>0</v>
          </cell>
          <cell r="N177">
            <v>0.31288165164291948</v>
          </cell>
          <cell r="O177">
            <v>0.28263244128891318</v>
          </cell>
          <cell r="P177">
            <v>0.29487479522583665</v>
          </cell>
          <cell r="Q177">
            <v>0.30563250230840261</v>
          </cell>
          <cell r="R177">
            <v>0.31976860163574705</v>
          </cell>
          <cell r="S177">
            <v>0.34994878798224649</v>
          </cell>
          <cell r="T177">
            <v>0.33788110817207295</v>
          </cell>
          <cell r="U177">
            <v>0.31208219856400099</v>
          </cell>
          <cell r="V177">
            <v>0.38790738505431799</v>
          </cell>
          <cell r="W177">
            <v>0.39119381736831399</v>
          </cell>
          <cell r="X177">
            <v>0.36736401673640168</v>
          </cell>
          <cell r="Y177">
            <v>0.36249136011059058</v>
          </cell>
          <cell r="Z177">
            <v>0.30612888973048036</v>
          </cell>
          <cell r="AA177">
            <v>0.28434802892465594</v>
          </cell>
          <cell r="AB177">
            <v>0.33657243816254417</v>
          </cell>
          <cell r="AC177">
            <v>0.33550384286934243</v>
          </cell>
          <cell r="AD177">
            <v>0.3505158841638748</v>
          </cell>
          <cell r="AE177">
            <v>0.33448251184904693</v>
          </cell>
          <cell r="AF177">
            <v>0.32533024824238893</v>
          </cell>
          <cell r="AG177">
            <v>0.30962574762876371</v>
          </cell>
          <cell r="AH177">
            <v>0.28404554698601786</v>
          </cell>
          <cell r="AI177">
            <v>0.26192329306428691</v>
          </cell>
          <cell r="AJ177">
            <v>0.23474860575216863</v>
          </cell>
          <cell r="AK177">
            <v>0.20370864579782913</v>
          </cell>
          <cell r="AL177">
            <v>0.16948887813882285</v>
          </cell>
          <cell r="AM177">
            <v>0.13583891014475608</v>
          </cell>
        </row>
        <row r="179">
          <cell r="M179">
            <v>0.74879440888338722</v>
          </cell>
          <cell r="N179">
            <v>0.60653205656323594</v>
          </cell>
          <cell r="O179">
            <v>0.6289461040534603</v>
          </cell>
          <cell r="P179">
            <v>0.57953470456087774</v>
          </cell>
          <cell r="Q179">
            <v>0.59674367489957403</v>
          </cell>
          <cell r="R179">
            <v>0.55715091793197125</v>
          </cell>
          <cell r="S179">
            <v>0.56112343600777392</v>
          </cell>
          <cell r="T179">
            <v>0.61761671408149643</v>
          </cell>
          <cell r="U179">
            <v>0.60535985715399632</v>
          </cell>
          <cell r="V179">
            <v>0.52193242442205101</v>
          </cell>
          <cell r="W179">
            <v>0.58912346338856225</v>
          </cell>
          <cell r="X179">
            <v>0.60462060659148142</v>
          </cell>
          <cell r="Y179">
            <v>0.56734343723191305</v>
          </cell>
          <cell r="Z179">
            <v>0.59741528289127654</v>
          </cell>
          <cell r="AA179">
            <v>0.478495965393894</v>
          </cell>
          <cell r="AB179">
            <v>0.51435492174008379</v>
          </cell>
          <cell r="AC179">
            <v>0.50113597246127362</v>
          </cell>
          <cell r="AD179">
            <v>0.59725595794801334</v>
          </cell>
          <cell r="AE179">
            <v>0.61603683599343939</v>
          </cell>
          <cell r="AF179">
            <v>0.62513916448854578</v>
          </cell>
          <cell r="AG179">
            <v>0.63449120746119192</v>
          </cell>
          <cell r="AH179">
            <v>0.643607646615036</v>
          </cell>
          <cell r="AI179">
            <v>0.65421835343909673</v>
          </cell>
          <cell r="AJ179">
            <v>0.66426658331442434</v>
          </cell>
          <cell r="AK179">
            <v>0.67385257412413113</v>
          </cell>
          <cell r="AL179">
            <v>0.68306151451629216</v>
          </cell>
          <cell r="AM179">
            <v>0.69165428945573082</v>
          </cell>
        </row>
        <row r="180">
          <cell r="M180">
            <v>8.7136711908482836E-2</v>
          </cell>
          <cell r="N180">
            <v>8.5979744657085466E-2</v>
          </cell>
          <cell r="O180">
            <v>7.5502475078732562E-2</v>
          </cell>
          <cell r="P180">
            <v>7.1763628895653575E-2</v>
          </cell>
          <cell r="Q180">
            <v>5.947693368519328E-2</v>
          </cell>
          <cell r="R180">
            <v>9.3432572790755605E-2</v>
          </cell>
          <cell r="S180">
            <v>8.8011692646740428E-2</v>
          </cell>
          <cell r="T180">
            <v>8.9077750551343537E-2</v>
          </cell>
          <cell r="U180">
            <v>4.5022721793183236E-2</v>
          </cell>
          <cell r="V180">
            <v>5.5275637225844693E-2</v>
          </cell>
          <cell r="W180">
            <v>5.0374131480491718E-2</v>
          </cell>
          <cell r="X180">
            <v>3.3285886346217014E-2</v>
          </cell>
          <cell r="Y180">
            <v>3.4887046039462397E-2</v>
          </cell>
          <cell r="Z180">
            <v>6.8675332481779247E-2</v>
          </cell>
          <cell r="AA180">
            <v>7.4120289493386574E-2</v>
          </cell>
          <cell r="AB180">
            <v>6.9388607930944687E-2</v>
          </cell>
          <cell r="AC180">
            <v>7.2702237521514626E-2</v>
          </cell>
          <cell r="AD180">
            <v>6.1602789047367941E-2</v>
          </cell>
          <cell r="AE180">
            <v>6.1629719014853528E-2</v>
          </cell>
          <cell r="AF180">
            <v>6.2008386674546452E-2</v>
          </cell>
          <cell r="AG180">
            <v>6.2292171137105737E-2</v>
          </cell>
          <cell r="AH180">
            <v>6.2487884178380054E-2</v>
          </cell>
          <cell r="AI180">
            <v>6.2268104703108673E-2</v>
          </cell>
          <cell r="AJ180">
            <v>6.1967929610888525E-2</v>
          </cell>
          <cell r="AK180">
            <v>6.1601120776668551E-2</v>
          </cell>
          <cell r="AL180">
            <v>6.1179227852192396E-2</v>
          </cell>
          <cell r="AM180">
            <v>6.0684609926227095E-2</v>
          </cell>
        </row>
        <row r="181">
          <cell r="M181">
            <v>6.3369149478331916E-4</v>
          </cell>
          <cell r="N181">
            <v>7.6772783911611519E-4</v>
          </cell>
          <cell r="O181">
            <v>1.0555711391950413E-3</v>
          </cell>
          <cell r="P181">
            <v>3.1773525513613329E-3</v>
          </cell>
          <cell r="Q181">
            <v>3.2082993274170648E-3</v>
          </cell>
          <cell r="R181">
            <v>6.2431903477693836E-3</v>
          </cell>
          <cell r="S181">
            <v>2.9337230882246807E-3</v>
          </cell>
          <cell r="T181">
            <v>2.634462123514781E-3</v>
          </cell>
          <cell r="U181">
            <v>2.1206354467803701E-3</v>
          </cell>
          <cell r="V181">
            <v>2.2228808535862477E-3</v>
          </cell>
          <cell r="W181">
            <v>2.137894174238375E-3</v>
          </cell>
          <cell r="X181">
            <v>2.4088470382130733E-3</v>
          </cell>
          <cell r="Y181">
            <v>7.6255838337622723E-4</v>
          </cell>
          <cell r="Z181">
            <v>8.2650837778946572E-4</v>
          </cell>
          <cell r="AA181">
            <v>9.1506530238748864E-3</v>
          </cell>
          <cell r="AB181">
            <v>9.021270803589776E-3</v>
          </cell>
          <cell r="AC181">
            <v>9.5697074010327021E-3</v>
          </cell>
          <cell r="AD181">
            <v>8.1888076159599889E-3</v>
          </cell>
          <cell r="AE181">
            <v>8.1048442468525279E-3</v>
          </cell>
          <cell r="AF181">
            <v>8.1073233308528031E-3</v>
          </cell>
          <cell r="AG181">
            <v>8.097167168341678E-3</v>
          </cell>
          <cell r="AH181">
            <v>8.0754741850333749E-3</v>
          </cell>
          <cell r="AI181">
            <v>8.0003766977917862E-3</v>
          </cell>
          <cell r="AJ181">
            <v>7.9156093250807736E-3</v>
          </cell>
          <cell r="AK181">
            <v>7.8230941122147193E-3</v>
          </cell>
          <cell r="AL181">
            <v>7.7244311821663301E-3</v>
          </cell>
          <cell r="AM181">
            <v>7.6175209537413672E-3</v>
          </cell>
        </row>
        <row r="182">
          <cell r="M182">
            <v>0.33643149071830719</v>
          </cell>
          <cell r="N182">
            <v>0.30128798855807631</v>
          </cell>
          <cell r="O182">
            <v>0.37560299637614103</v>
          </cell>
          <cell r="P182">
            <v>0.36139814884330446</v>
          </cell>
          <cell r="Q182">
            <v>0.37389026777206563</v>
          </cell>
          <cell r="R182">
            <v>0.31990968471673464</v>
          </cell>
          <cell r="S182">
            <v>0.34481025363600748</v>
          </cell>
          <cell r="T182">
            <v>0.38331423897140066</v>
          </cell>
          <cell r="U182">
            <v>0.40699887997823253</v>
          </cell>
          <cell r="V182">
            <v>0.31861292234736216</v>
          </cell>
          <cell r="W182">
            <v>0.38214858364510956</v>
          </cell>
          <cell r="X182">
            <v>0.43216905726486365</v>
          </cell>
          <cell r="Y182">
            <v>0.39767419693070249</v>
          </cell>
          <cell r="Z182">
            <v>0.39108873694492446</v>
          </cell>
          <cell r="AA182">
            <v>0.29623159470925881</v>
          </cell>
          <cell r="AB182">
            <v>0.37062387551414661</v>
          </cell>
          <cell r="AC182">
            <v>0.34567986230636832</v>
          </cell>
          <cell r="AD182">
            <v>0.46522997873114835</v>
          </cell>
          <cell r="AE182">
            <v>0.48429239732996199</v>
          </cell>
          <cell r="AF182">
            <v>0.49187342151122576</v>
          </cell>
          <cell r="AG182">
            <v>0.49978393011803263</v>
          </cell>
          <cell r="AH182">
            <v>0.50752655719070916</v>
          </cell>
          <cell r="AI182">
            <v>0.51755297395392763</v>
          </cell>
          <cell r="AJ182">
            <v>0.52708706278684558</v>
          </cell>
          <cell r="AK182">
            <v>0.53620417740580018</v>
          </cell>
          <cell r="AL182">
            <v>0.544968976199942</v>
          </cell>
          <cell r="AM182">
            <v>0.55318775947906462</v>
          </cell>
        </row>
        <row r="183">
          <cell r="M183">
            <v>8.0807958801161178E-2</v>
          </cell>
          <cell r="N183">
            <v>7.3680224759375357E-2</v>
          </cell>
          <cell r="O183">
            <v>5.8898163216025291E-2</v>
          </cell>
          <cell r="P183">
            <v>5.9406642191650816E-2</v>
          </cell>
          <cell r="Q183">
            <v>4.6374239232021983E-2</v>
          </cell>
          <cell r="R183">
            <v>5.2584885322281019E-2</v>
          </cell>
          <cell r="S183">
            <v>4.8886974797558443E-2</v>
          </cell>
          <cell r="T183">
            <v>2.5413668182250774E-2</v>
          </cell>
          <cell r="U183">
            <v>3.1685229839363498E-2</v>
          </cell>
          <cell r="V183">
            <v>7.7059869590989927E-3</v>
          </cell>
          <cell r="W183">
            <v>0</v>
          </cell>
          <cell r="X183">
            <v>6.3505967371071939E-3</v>
          </cell>
          <cell r="Y183">
            <v>1.9159279382327709E-2</v>
          </cell>
          <cell r="Z183">
            <v>1.9685926816440002E-2</v>
          </cell>
          <cell r="AA183">
            <v>1.5472922385824806E-2</v>
          </cell>
          <cell r="AB183">
            <v>1.5937578419675271E-2</v>
          </cell>
          <cell r="AC183">
            <v>1.3562822719449226E-2</v>
          </cell>
          <cell r="AD183">
            <v>1.260805954184128E-2</v>
          </cell>
          <cell r="AE183">
            <v>1.3825098750104622E-2</v>
          </cell>
          <cell r="AF183">
            <v>1.5467268134263317E-2</v>
          </cell>
          <cell r="AG183">
            <v>1.7277534872728012E-2</v>
          </cell>
          <cell r="AH183">
            <v>1.9272109645349405E-2</v>
          </cell>
          <cell r="AI183">
            <v>2.1354244594531672E-2</v>
          </cell>
          <cell r="AJ183">
            <v>2.3630378612931224E-2</v>
          </cell>
          <cell r="AK183">
            <v>2.6120256384356843E-2</v>
          </cell>
          <cell r="AL183">
            <v>2.8845491339998489E-2</v>
          </cell>
          <cell r="AM183">
            <v>3.1815418627571097E-2</v>
          </cell>
        </row>
        <row r="184">
          <cell r="M184">
            <v>0.24813435105003667</v>
          </cell>
          <cell r="N184">
            <v>0.38981265988843011</v>
          </cell>
          <cell r="O184">
            <v>0.36991703185541608</v>
          </cell>
          <cell r="P184">
            <v>0.41893917170391104</v>
          </cell>
          <cell r="Q184">
            <v>0.40323584134318163</v>
          </cell>
          <cell r="R184">
            <v>0.44267664084497499</v>
          </cell>
          <cell r="S184">
            <v>0.43809423783536605</v>
          </cell>
          <cell r="T184">
            <v>0.38238328591850362</v>
          </cell>
          <cell r="U184">
            <v>0.39464014284600368</v>
          </cell>
          <cell r="V184">
            <v>0.47777119146413755</v>
          </cell>
          <cell r="W184">
            <v>0.41047568145376806</v>
          </cell>
          <cell r="X184">
            <v>0.39494142121975256</v>
          </cell>
          <cell r="Y184">
            <v>0.43227528357639883</v>
          </cell>
          <cell r="Z184">
            <v>0.40220903148245546</v>
          </cell>
          <cell r="AA184">
            <v>0.52092172032276851</v>
          </cell>
          <cell r="AB184">
            <v>0.4850436602063436</v>
          </cell>
          <cell r="AC184">
            <v>0.49803786574870912</v>
          </cell>
          <cell r="AD184">
            <v>0.40207359654305963</v>
          </cell>
          <cell r="AE184">
            <v>0.38332138768183183</v>
          </cell>
          <cell r="AF184">
            <v>0.37423403509110259</v>
          </cell>
          <cell r="AG184">
            <v>0.36489757239622145</v>
          </cell>
          <cell r="AH184">
            <v>0.35579717746430134</v>
          </cell>
          <cell r="AI184">
            <v>0.34520594087015177</v>
          </cell>
          <cell r="AJ184">
            <v>0.33517727275168857</v>
          </cell>
          <cell r="AK184">
            <v>0.32561077211795536</v>
          </cell>
          <cell r="AL184">
            <v>0.31642112304481329</v>
          </cell>
          <cell r="AM184">
            <v>0.3078475666502587</v>
          </cell>
        </row>
        <row r="185">
          <cell r="M185">
            <v>3.0712400665762096E-3</v>
          </cell>
          <cell r="N185">
            <v>3.6552835483340458E-3</v>
          </cell>
          <cell r="O185">
            <v>1.1368640911235634E-3</v>
          </cell>
          <cell r="P185">
            <v>1.5261237352112603E-3</v>
          </cell>
          <cell r="Q185">
            <v>2.0483757244278184E-5</v>
          </cell>
          <cell r="R185">
            <v>1.7244122305390609E-4</v>
          </cell>
          <cell r="S185">
            <v>7.8232615685991489E-4</v>
          </cell>
          <cell r="T185">
            <v>0</v>
          </cell>
          <cell r="U185">
            <v>0</v>
          </cell>
          <cell r="V185">
            <v>2.9638411381149968E-4</v>
          </cell>
          <cell r="W185">
            <v>4.0085515766969537E-4</v>
          </cell>
          <cell r="X185">
            <v>4.3797218876601336E-4</v>
          </cell>
          <cell r="Y185">
            <v>3.8127919168811362E-4</v>
          </cell>
          <cell r="Z185">
            <v>3.7568562626793899E-4</v>
          </cell>
          <cell r="AA185">
            <v>5.8231428333749269E-4</v>
          </cell>
          <cell r="AB185">
            <v>6.0141805357265168E-4</v>
          </cell>
          <cell r="AC185">
            <v>8.2616179001721176E-4</v>
          </cell>
          <cell r="AD185">
            <v>6.7044550892699872E-4</v>
          </cell>
          <cell r="AE185">
            <v>6.4177632472888456E-4</v>
          </cell>
          <cell r="AF185">
            <v>6.2680042035167117E-4</v>
          </cell>
          <cell r="AG185">
            <v>6.1122014258663921E-4</v>
          </cell>
          <cell r="AH185">
            <v>5.9517592066272431E-4</v>
          </cell>
          <cell r="AI185">
            <v>5.7570569075149813E-4</v>
          </cell>
          <cell r="AJ185">
            <v>5.561439338870991E-4</v>
          </cell>
          <cell r="AK185">
            <v>5.3665375791345444E-4</v>
          </cell>
          <cell r="AL185">
            <v>5.1736243889444016E-4</v>
          </cell>
          <cell r="AM185">
            <v>4.9814389401053459E-4</v>
          </cell>
        </row>
        <row r="189">
          <cell r="O189">
            <v>0.45654528225260593</v>
          </cell>
          <cell r="P189">
            <v>0.28444630326688047</v>
          </cell>
          <cell r="Q189">
            <v>0.26291606367583209</v>
          </cell>
          <cell r="R189">
            <v>0.30937634285386895</v>
          </cell>
          <cell r="S189">
            <v>0.22783680184831878</v>
          </cell>
          <cell r="T189">
            <v>0.23998574483250179</v>
          </cell>
          <cell r="U189">
            <v>8.0703569580962142E-2</v>
          </cell>
          <cell r="V189">
            <v>0.10621775437476755</v>
          </cell>
          <cell r="W189">
            <v>0.20227906529473971</v>
          </cell>
          <cell r="X189">
            <v>0.12775444911017786</v>
          </cell>
          <cell r="Y189">
            <v>6.7864678451745597E-2</v>
          </cell>
          <cell r="Z189">
            <v>7.6668908204859942E-2</v>
          </cell>
          <cell r="AA189">
            <v>5.0721732157177346E-2</v>
          </cell>
          <cell r="AB189">
            <v>0.16161771828629301</v>
          </cell>
          <cell r="AC189">
            <v>9.7372527465584779E-2</v>
          </cell>
          <cell r="AD189">
            <v>8.0137951790596684E-2</v>
          </cell>
          <cell r="AE189">
            <v>-0.10420473178271528</v>
          </cell>
          <cell r="AF189">
            <v>-0.19557275196884671</v>
          </cell>
          <cell r="AG189">
            <v>1.930495685771056</v>
          </cell>
          <cell r="AH189">
            <v>-0.45982265933321842</v>
          </cell>
          <cell r="AI189">
            <v>-1.3113727124331198</v>
          </cell>
          <cell r="AJ189">
            <v>6.5666957466323375</v>
          </cell>
          <cell r="AK189">
            <v>1.3624937769531167</v>
          </cell>
          <cell r="AL189">
            <v>0.85808056235449537</v>
          </cell>
          <cell r="AM189">
            <v>0.7003679897280497</v>
          </cell>
        </row>
        <row r="190">
          <cell r="E190">
            <v>0</v>
          </cell>
          <cell r="F190">
            <v>0.15741774361423677</v>
          </cell>
          <cell r="G190">
            <v>0.11915224936408308</v>
          </cell>
          <cell r="H190">
            <v>0.10939287176167345</v>
          </cell>
          <cell r="I190">
            <v>0.24866518668509996</v>
          </cell>
          <cell r="J190">
            <v>0.10377555811303396</v>
          </cell>
          <cell r="K190">
            <v>9.5364259152883157E-2</v>
          </cell>
          <cell r="L190">
            <v>0.21776497115745519</v>
          </cell>
          <cell r="M190">
            <v>0.16000781237061368</v>
          </cell>
          <cell r="N190">
            <v>8.2725552968075711E-2</v>
          </cell>
          <cell r="O190">
            <v>4.9323407033093014E-2</v>
          </cell>
          <cell r="P190">
            <v>9.5004928461107196E-2</v>
          </cell>
          <cell r="Q190">
            <v>-0.26971483901018045</v>
          </cell>
          <cell r="R190">
            <v>0.15671797037970081</v>
          </cell>
          <cell r="S190">
            <v>5.6897895557287637E-2</v>
          </cell>
          <cell r="T190">
            <v>0.14499275417588287</v>
          </cell>
          <cell r="U190">
            <v>7.0602773787799888E-2</v>
          </cell>
          <cell r="V190">
            <v>8.5846826534885512E-2</v>
          </cell>
          <cell r="W190">
            <v>6.5073473027494888E-2</v>
          </cell>
          <cell r="X190">
            <v>0.10664640167208628</v>
          </cell>
          <cell r="Y190">
            <v>0.14135860740357797</v>
          </cell>
          <cell r="Z190">
            <v>0.11420541974679987</v>
          </cell>
          <cell r="AA190">
            <v>-6.2607483594478985E-3</v>
          </cell>
          <cell r="AB190">
            <v>3.1463851079023275E-3</v>
          </cell>
          <cell r="AC190">
            <v>2.3148034333568157E-2</v>
          </cell>
          <cell r="AD190">
            <v>7.0955462977132955E-2</v>
          </cell>
          <cell r="AE190">
            <v>6.8045718985982884E-2</v>
          </cell>
          <cell r="AF190">
            <v>5.0030263061510594E-2</v>
          </cell>
          <cell r="AG190">
            <v>5.3511308340120856E-2</v>
          </cell>
          <cell r="AH190">
            <v>5.0631904032059527E-2</v>
          </cell>
          <cell r="AI190">
            <v>4.6918856005046194E-2</v>
          </cell>
          <cell r="AJ190">
            <v>4.1886803744237699E-2</v>
          </cell>
          <cell r="AK190">
            <v>4.0245879011387542E-2</v>
          </cell>
          <cell r="AL190">
            <v>4.177901101594772E-2</v>
          </cell>
          <cell r="AM190">
            <v>3.7407926049891849E-2</v>
          </cell>
        </row>
        <row r="191">
          <cell r="N191">
            <v>0.23387684027228117</v>
          </cell>
          <cell r="O191">
            <v>0.3018092566619916</v>
          </cell>
          <cell r="P191">
            <v>0.33085946851807518</v>
          </cell>
          <cell r="Q191">
            <v>0.37526338421844763</v>
          </cell>
          <cell r="R191">
            <v>0.39582921971074742</v>
          </cell>
          <cell r="S191">
            <v>0.44168109554541163</v>
          </cell>
          <cell r="T191">
            <v>0.46354916067146285</v>
          </cell>
          <cell r="U191">
            <v>0.44895230135514297</v>
          </cell>
          <cell r="V191">
            <v>0.44279327230146909</v>
          </cell>
          <cell r="W191">
            <v>0.48356217366080062</v>
          </cell>
          <cell r="X191">
            <v>0.47614183199662302</v>
          </cell>
          <cell r="Y191">
            <v>0.4350525517390833</v>
          </cell>
          <cell r="Z191">
            <v>0.3940926218548681</v>
          </cell>
          <cell r="AA191">
            <v>0.40265350747591749</v>
          </cell>
          <cell r="AB191">
            <v>0.43745578156091092</v>
          </cell>
          <cell r="AC191">
            <v>0.45047199170124474</v>
          </cell>
          <cell r="AD191">
            <v>0.44075621321855535</v>
          </cell>
          <cell r="AE191">
            <v>0.34795636376514461</v>
          </cell>
          <cell r="AF191">
            <v>0.25646898039113214</v>
          </cell>
          <cell r="AG191">
            <v>0.67199466844862143</v>
          </cell>
          <cell r="AH191">
            <v>0.32342367172837194</v>
          </cell>
          <cell r="AI191">
            <v>-8.9473050920355832E-2</v>
          </cell>
          <cell r="AJ191">
            <v>-0.59996194645736378</v>
          </cell>
          <cell r="AK191">
            <v>-1.2576338703717989</v>
          </cell>
          <cell r="AL191">
            <v>-2.1055993824353449</v>
          </cell>
          <cell r="AM191">
            <v>-3.2190711706627488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3.8330420832497783E-2</v>
          </cell>
          <cell r="R192">
            <v>4.7573206378100218E-2</v>
          </cell>
          <cell r="S192">
            <v>4.2801140413399857E-2</v>
          </cell>
          <cell r="T192">
            <v>4.0639190665057195E-2</v>
          </cell>
          <cell r="U192">
            <v>4.462528588904846E-2</v>
          </cell>
          <cell r="V192">
            <v>4.3862390614482154E-2</v>
          </cell>
          <cell r="W192">
            <v>4.2261547690461906E-2</v>
          </cell>
          <cell r="X192">
            <v>4.2660330856930086E-2</v>
          </cell>
          <cell r="Y192">
            <v>4.2132616041111473E-2</v>
          </cell>
          <cell r="Z192">
            <v>4.2085620874714701E-2</v>
          </cell>
          <cell r="AA192">
            <v>4.2901384057651946E-2</v>
          </cell>
          <cell r="AB192">
            <v>3.9971191933741448E-2</v>
          </cell>
          <cell r="AC192">
            <v>3.9147505497921738E-2</v>
          </cell>
          <cell r="AD192">
            <v>3.8519903259608849E-2</v>
          </cell>
          <cell r="AE192">
            <v>3.9430916987887296E-2</v>
          </cell>
          <cell r="AF192">
            <v>4.1556406936198761E-2</v>
          </cell>
          <cell r="AG192">
            <v>3.4396976764442304E-2</v>
          </cell>
          <cell r="AH192">
            <v>3.7553897142771721E-2</v>
          </cell>
          <cell r="AI192">
            <v>8.6391863853773117E-3</v>
          </cell>
          <cell r="AJ192">
            <v>2.7774400800439296E-2</v>
          </cell>
          <cell r="AK192">
            <v>2.9454946366827554E-2</v>
          </cell>
          <cell r="AL192">
            <v>3.0024558575625776E-2</v>
          </cell>
          <cell r="AM192">
            <v>3.0297981291545158E-2</v>
          </cell>
        </row>
        <row r="193">
          <cell r="N193">
            <v>0.4157980235548937</v>
          </cell>
          <cell r="O193">
            <v>0.31246805148938145</v>
          </cell>
          <cell r="P193">
            <v>0.31259044862518087</v>
          </cell>
          <cell r="Q193">
            <v>0.38043945340476126</v>
          </cell>
          <cell r="R193">
            <v>0.34249032958185288</v>
          </cell>
          <cell r="S193">
            <v>0.29420883820384885</v>
          </cell>
          <cell r="T193">
            <v>0.38901822153244808</v>
          </cell>
          <cell r="U193">
            <v>0.36385032711026011</v>
          </cell>
          <cell r="V193">
            <v>0.42800990479853829</v>
          </cell>
          <cell r="W193">
            <v>0.4418416316736653</v>
          </cell>
          <cell r="X193">
            <v>0.5014007340555684</v>
          </cell>
          <cell r="Y193">
            <v>0.52429578341759864</v>
          </cell>
          <cell r="Z193">
            <v>0.52509869841465673</v>
          </cell>
          <cell r="AA193">
            <v>0.5501078772401039</v>
          </cell>
          <cell r="AB193">
            <v>0.5646065108756767</v>
          </cell>
          <cell r="AC193">
            <v>0.50251580292685183</v>
          </cell>
          <cell r="AD193">
            <v>0.45520621326688182</v>
          </cell>
          <cell r="AE193">
            <v>0.52387978233399213</v>
          </cell>
          <cell r="AF193">
            <v>0.68410237419618647</v>
          </cell>
          <cell r="AG193">
            <v>0.14441388529671609</v>
          </cell>
          <cell r="AH193">
            <v>0.38238723620376969</v>
          </cell>
          <cell r="AI193">
            <v>-1.7972466426478746</v>
          </cell>
          <cell r="AJ193">
            <v>-0.35480573538429516</v>
          </cell>
          <cell r="AK193">
            <v>-0.22812371244489832</v>
          </cell>
          <cell r="AL193">
            <v>-0.1851854974123642</v>
          </cell>
          <cell r="AM193">
            <v>-0.16457448664119573</v>
          </cell>
        </row>
        <row r="194">
          <cell r="N194">
            <v>0.5842019764451063</v>
          </cell>
          <cell r="O194">
            <v>0.6875319485106185</v>
          </cell>
          <cell r="P194">
            <v>0.68740955137481907</v>
          </cell>
          <cell r="Q194">
            <v>0.58123012576274102</v>
          </cell>
          <cell r="R194">
            <v>0.60993646404004687</v>
          </cell>
          <cell r="S194">
            <v>0.6629900213827512</v>
          </cell>
          <cell r="T194">
            <v>0.57034258780249469</v>
          </cell>
          <cell r="U194">
            <v>0.59152438700069143</v>
          </cell>
          <cell r="V194">
            <v>0.52812770458697955</v>
          </cell>
          <cell r="W194">
            <v>0.51589682063587283</v>
          </cell>
          <cell r="X194">
            <v>0.45593893508750155</v>
          </cell>
          <cell r="Y194">
            <v>0.43357160054129001</v>
          </cell>
          <cell r="Z194">
            <v>0.43281568071062865</v>
          </cell>
          <cell r="AA194">
            <v>0.40699073870224411</v>
          </cell>
          <cell r="AB194">
            <v>0.39542229719058175</v>
          </cell>
          <cell r="AC194">
            <v>0.45833669157522661</v>
          </cell>
          <cell r="AD194">
            <v>0.50627388347350932</v>
          </cell>
          <cell r="AE194">
            <v>0.43668930067812062</v>
          </cell>
          <cell r="AF194">
            <v>0.27434121886761481</v>
          </cell>
          <cell r="AG194">
            <v>0.82118913793884163</v>
          </cell>
          <cell r="AH194">
            <v>0.58005886665345863</v>
          </cell>
          <cell r="AI194">
            <v>2.788607456262497</v>
          </cell>
          <cell r="AJ194">
            <v>1.3270313345838558</v>
          </cell>
          <cell r="AK194">
            <v>1.1986687660780708</v>
          </cell>
          <cell r="AL194">
            <v>1.1551609388367385</v>
          </cell>
          <cell r="AM194">
            <v>1.1342765053496506</v>
          </cell>
        </row>
        <row r="195">
          <cell r="N195">
            <v>3.2695303817270824</v>
          </cell>
          <cell r="O195">
            <v>4.3223264240619734</v>
          </cell>
          <cell r="P195">
            <v>3.2734023252919662</v>
          </cell>
          <cell r="Q195">
            <v>2.1672745135554288</v>
          </cell>
          <cell r="R195">
            <v>2.4963626371262357</v>
          </cell>
          <cell r="S195">
            <v>2.2640769779044905</v>
          </cell>
          <cell r="T195">
            <v>2.0073041330729611</v>
          </cell>
          <cell r="U195">
            <v>2.0762862404388533</v>
          </cell>
          <cell r="V195">
            <v>2.0816994771204986</v>
          </cell>
          <cell r="W195">
            <v>1.8643135262573383</v>
          </cell>
          <cell r="X195">
            <v>1.7341005773424789</v>
          </cell>
          <cell r="Y195">
            <v>1.8466054839962287</v>
          </cell>
          <cell r="Z195">
            <v>1.7824710098361038</v>
          </cell>
          <cell r="AA195">
            <v>2.0992214154636377</v>
          </cell>
          <cell r="AB195">
            <v>1.9806415129975363</v>
          </cell>
          <cell r="AC195">
            <v>1.9453873706867395</v>
          </cell>
          <cell r="AD195">
            <v>1.2803841135749883</v>
          </cell>
          <cell r="AE195">
            <v>1.4940015243232692</v>
          </cell>
          <cell r="AF195">
            <v>1.782887680833976</v>
          </cell>
          <cell r="AG195">
            <v>0.60263617131270653</v>
          </cell>
          <cell r="AH195">
            <v>1.1094217710921548</v>
          </cell>
          <cell r="AI195">
            <v>-3.5392781805265439</v>
          </cell>
          <cell r="AJ195">
            <v>-0.46802502928176831</v>
          </cell>
          <cell r="AK195">
            <v>-0.19941382664697868</v>
          </cell>
          <cell r="AL195">
            <v>-0.10652638841572622</v>
          </cell>
          <cell r="AM195">
            <v>-6.2276866631239519E-2</v>
          </cell>
        </row>
        <row r="196">
          <cell r="E196">
            <v>2.7512221861945685E-2</v>
          </cell>
          <cell r="F196">
            <v>0.1466736718613324</v>
          </cell>
          <cell r="G196">
            <v>9.3096902499069545E-2</v>
          </cell>
          <cell r="H196">
            <v>0.10849389934300135</v>
          </cell>
          <cell r="I196">
            <v>0.24038744729012418</v>
          </cell>
          <cell r="J196">
            <v>0.16104056654242549</v>
          </cell>
          <cell r="K196">
            <v>0.13425534979820353</v>
          </cell>
          <cell r="L196">
            <v>0.22270903656083818</v>
          </cell>
          <cell r="M196">
            <v>0.17860595923645972</v>
          </cell>
          <cell r="N196">
            <v>6.8966713422857984E-2</v>
          </cell>
          <cell r="O196">
            <v>0.12870033243628298</v>
          </cell>
          <cell r="P196">
            <v>0.17166900420757369</v>
          </cell>
          <cell r="Q196">
            <v>0.11347857313861631</v>
          </cell>
          <cell r="R196">
            <v>0.24134594710814872</v>
          </cell>
          <cell r="S196">
            <v>0.10037239109725471</v>
          </cell>
          <cell r="T196">
            <v>0.18148906028647893</v>
          </cell>
          <cell r="U196">
            <v>0.11584066080468958</v>
          </cell>
          <cell r="V196">
            <v>0.12160468031759297</v>
          </cell>
          <cell r="W196">
            <v>0.10091547796465838</v>
          </cell>
          <cell r="X196">
            <v>0.14532972345774509</v>
          </cell>
          <cell r="Y196">
            <v>0.16872097931616725</v>
          </cell>
          <cell r="Z196">
            <v>0.18857225412648537</v>
          </cell>
          <cell r="AA196">
            <v>2.8382156314573859E-2</v>
          </cell>
          <cell r="AB196">
            <v>6.9203947757224826E-2</v>
          </cell>
          <cell r="AC196">
            <v>6.566438204731373E-2</v>
          </cell>
          <cell r="AD196">
            <v>0.10394789650744984</v>
          </cell>
          <cell r="AE196">
            <v>0.134703575949086</v>
          </cell>
          <cell r="AF196">
            <v>9.1381810430436694E-2</v>
          </cell>
          <cell r="AG196">
            <v>0.11843333862369487</v>
          </cell>
          <cell r="AH196">
            <v>0.12235536442018646</v>
          </cell>
          <cell r="AI196">
            <v>0.12553785631799719</v>
          </cell>
          <cell r="AJ196">
            <v>0.12843049102566595</v>
          </cell>
          <cell r="AK196">
            <v>0.12704213706909195</v>
          </cell>
          <cell r="AL196">
            <v>0.10979565656684631</v>
          </cell>
          <cell r="AM196">
            <v>0.11221330603485313</v>
          </cell>
        </row>
        <row r="200">
          <cell r="N200">
            <v>0.19528257084058886</v>
          </cell>
          <cell r="O200">
            <v>0.2900420757363254</v>
          </cell>
          <cell r="P200">
            <v>0.42805841513047643</v>
          </cell>
          <cell r="Q200">
            <v>0.48130509567834867</v>
          </cell>
          <cell r="R200">
            <v>0.48506971507750929</v>
          </cell>
          <cell r="S200">
            <v>0.5547851408783252</v>
          </cell>
          <cell r="T200">
            <v>0.49882094324540371</v>
          </cell>
          <cell r="U200">
            <v>0.50031639902095393</v>
          </cell>
          <cell r="V200">
            <v>0.48996700021290185</v>
          </cell>
          <cell r="W200">
            <v>0.48797621349835629</v>
          </cell>
          <cell r="X200">
            <v>0.49061207260447448</v>
          </cell>
          <cell r="Y200">
            <v>0.47939104995124071</v>
          </cell>
          <cell r="Z200">
            <v>0.45547891090312392</v>
          </cell>
          <cell r="AA200">
            <v>0.51257608888363571</v>
          </cell>
          <cell r="AB200">
            <v>0.59553946495688703</v>
          </cell>
          <cell r="AC200">
            <v>0.67603993775933602</v>
          </cell>
          <cell r="AD200">
            <v>0.67555983647528839</v>
          </cell>
          <cell r="AE200">
            <v>0.65631977159474497</v>
          </cell>
          <cell r="AF200">
            <v>0.67050978107344161</v>
          </cell>
          <cell r="AG200">
            <v>0.6712523213638496</v>
          </cell>
          <cell r="AH200">
            <v>0.67133953195928797</v>
          </cell>
          <cell r="AI200">
            <v>0.6658601410228927</v>
          </cell>
          <cell r="AJ200">
            <v>0.65472312997126536</v>
          </cell>
          <cell r="AK200">
            <v>0.63926356337406642</v>
          </cell>
          <cell r="AL200">
            <v>0.62480037545162692</v>
          </cell>
          <cell r="AM200">
            <v>0.59700217384028942</v>
          </cell>
        </row>
        <row r="201">
          <cell r="N201">
            <v>0.21728668671837897</v>
          </cell>
          <cell r="O201">
            <v>0.33206171107994387</v>
          </cell>
          <cell r="P201">
            <v>0.36903279865932487</v>
          </cell>
          <cell r="Q201">
            <v>0.41434100193506773</v>
          </cell>
          <cell r="R201">
            <v>0.42581622932363383</v>
          </cell>
          <cell r="S201">
            <v>0.49286164016999845</v>
          </cell>
          <cell r="T201">
            <v>0.46737276845190512</v>
          </cell>
          <cell r="U201">
            <v>0.47496268879469883</v>
          </cell>
          <cell r="V201">
            <v>0.46587183308494778</v>
          </cell>
          <cell r="W201">
            <v>0.4464175207890157</v>
          </cell>
          <cell r="X201">
            <v>0.4555382017729</v>
          </cell>
          <cell r="Y201">
            <v>0.45560010113049448</v>
          </cell>
          <cell r="Z201">
            <v>0.45027652850370731</v>
          </cell>
          <cell r="AA201">
            <v>0.49276933987352989</v>
          </cell>
          <cell r="AB201">
            <v>0.56095788193676765</v>
          </cell>
          <cell r="AC201">
            <v>0.62926348547717847</v>
          </cell>
          <cell r="AD201">
            <v>0.67684338197591498</v>
          </cell>
          <cell r="AE201">
            <v>0.69844874975180971</v>
          </cell>
          <cell r="AF201">
            <v>0.7457839068181743</v>
          </cell>
          <cell r="AG201">
            <v>0.77531230275285135</v>
          </cell>
          <cell r="AH201">
            <v>0.79906026968642907</v>
          </cell>
          <cell r="AI201">
            <v>0.81785457617277257</v>
          </cell>
          <cell r="AJ201">
            <v>0.83218618869705629</v>
          </cell>
          <cell r="AK201">
            <v>0.84547676534154614</v>
          </cell>
          <cell r="AL201">
            <v>0.86847213262343081</v>
          </cell>
          <cell r="AM201">
            <v>0.88723635222892805</v>
          </cell>
        </row>
        <row r="202">
          <cell r="N202">
            <v>-3.0504986544245685E-2</v>
          </cell>
          <cell r="O202">
            <v>-5.287517531556802E-2</v>
          </cell>
          <cell r="P202">
            <v>5.0347139095044291E-2</v>
          </cell>
          <cell r="Q202">
            <v>5.8912061922167275E-2</v>
          </cell>
          <cell r="R202">
            <v>5.1874945873387028E-2</v>
          </cell>
          <cell r="S202">
            <v>5.2943491263969779E-2</v>
          </cell>
          <cell r="T202">
            <v>2.3541167066346919E-2</v>
          </cell>
          <cell r="U202">
            <v>1.3778281893618292E-2</v>
          </cell>
          <cell r="V202">
            <v>1.386523312752821E-2</v>
          </cell>
          <cell r="W202">
            <v>3.2314832720943723E-2</v>
          </cell>
          <cell r="X202">
            <v>1.3068805403123681E-2</v>
          </cell>
          <cell r="Y202">
            <v>1.529959908982555E-2</v>
          </cell>
          <cell r="Z202">
            <v>-2.3732830922572018E-3</v>
          </cell>
          <cell r="AA202">
            <v>1.497251935464807E-2</v>
          </cell>
          <cell r="AB202">
            <v>2.4090758346230378E-2</v>
          </cell>
          <cell r="AC202">
            <v>3.64548755186722E-2</v>
          </cell>
          <cell r="AD202">
            <v>-2.4221689897665623E-3</v>
          </cell>
          <cell r="AE202">
            <v>-4.4085346683272263E-2</v>
          </cell>
          <cell r="AF202">
            <v>-7.7686747531499442E-2</v>
          </cell>
          <cell r="AG202">
            <v>-0.10655887462505287</v>
          </cell>
          <cell r="AH202">
            <v>-0.13013629891206516</v>
          </cell>
          <cell r="AI202">
            <v>-0.15424274066439184</v>
          </cell>
          <cell r="AJ202">
            <v>-0.17951384914771673</v>
          </cell>
          <cell r="AK202">
            <v>-0.20806869960611765</v>
          </cell>
          <cell r="AL202">
            <v>-0.24536793938947229</v>
          </cell>
          <cell r="AM202">
            <v>-0.2917770574500963</v>
          </cell>
        </row>
        <row r="203">
          <cell r="N203">
            <v>0.8349803709218897</v>
          </cell>
          <cell r="O203">
            <v>0.96101119940517676</v>
          </cell>
          <cell r="P203">
            <v>1.2937771345875542</v>
          </cell>
          <cell r="Q203">
            <v>1.282579425330163</v>
          </cell>
          <cell r="R203">
            <v>1.2254520154726689</v>
          </cell>
          <cell r="S203">
            <v>1.2560762651461155</v>
          </cell>
          <cell r="T203">
            <v>1.0760907052940163</v>
          </cell>
          <cell r="U203">
            <v>1.1144088080421253</v>
          </cell>
          <cell r="V203">
            <v>1.1065366862198287</v>
          </cell>
          <cell r="W203">
            <v>1.009128174365127</v>
          </cell>
          <cell r="X203">
            <v>1.0303906097625846</v>
          </cell>
          <cell r="Y203">
            <v>1.1019152698562926</v>
          </cell>
          <cell r="Z203">
            <v>1.155766146443773</v>
          </cell>
          <cell r="AA203">
            <v>1.2729954647527628</v>
          </cell>
          <cell r="AB203">
            <v>1.3613706574683015</v>
          </cell>
          <cell r="AC203">
            <v>1.5007368942211374</v>
          </cell>
          <cell r="AD203">
            <v>1.5327290148495361</v>
          </cell>
          <cell r="AE203">
            <v>1.8862128701796994</v>
          </cell>
          <cell r="AF203">
            <v>2.6143893895116275</v>
          </cell>
          <cell r="AG203">
            <v>0.99889530807367022</v>
          </cell>
          <cell r="AH203">
            <v>2.0757278784563238</v>
          </cell>
          <cell r="AI203">
            <v>-7.4420189562509282</v>
          </cell>
          <cell r="AJ203">
            <v>-1.091274428048735</v>
          </cell>
          <cell r="AK203">
            <v>-0.50830657350622932</v>
          </cell>
          <cell r="AL203">
            <v>-0.29673278813796961</v>
          </cell>
          <cell r="AM203">
            <v>-0.18545789831586029</v>
          </cell>
        </row>
        <row r="205">
          <cell r="N205">
            <v>0.19528257084058886</v>
          </cell>
          <cell r="O205">
            <v>0.11702664796633942</v>
          </cell>
          <cell r="P205">
            <v>0.18051232942303089</v>
          </cell>
          <cell r="Q205">
            <v>9.68716405074177E-2</v>
          </cell>
          <cell r="R205">
            <v>9.7341300770762973E-2</v>
          </cell>
          <cell r="S205">
            <v>0.1139619077601134</v>
          </cell>
          <cell r="T205">
            <v>2.9256594724220611E-2</v>
          </cell>
          <cell r="U205">
            <v>5.3280401170079345E-2</v>
          </cell>
          <cell r="V205">
            <v>4.3895039386842707E-2</v>
          </cell>
          <cell r="W205">
            <v>4.2922065364533024E-2</v>
          </cell>
          <cell r="X205">
            <v>6.4554664415365101E-2</v>
          </cell>
          <cell r="Y205">
            <v>5.9605591071622104E-2</v>
          </cell>
          <cell r="Z205">
            <v>5.2145374984806127E-2</v>
          </cell>
          <cell r="AA205">
            <v>6.9667868329294877E-2</v>
          </cell>
          <cell r="AB205">
            <v>0.1161397302675216</v>
          </cell>
          <cell r="AC205">
            <v>0.11719657676348544</v>
          </cell>
          <cell r="AD205">
            <v>6.3175918812038462E-2</v>
          </cell>
          <cell r="AE205">
            <v>6.095737846027522E-2</v>
          </cell>
          <cell r="AF205">
            <v>6.914391138216E-2</v>
          </cell>
          <cell r="AG205">
            <v>7.1744279249737003E-2</v>
          </cell>
          <cell r="AH205">
            <v>7.3264855574931342E-2</v>
          </cell>
          <cell r="AI205">
            <v>6.9399055159944156E-2</v>
          </cell>
          <cell r="AJ205">
            <v>6.4646783826389886E-2</v>
          </cell>
          <cell r="AK205">
            <v>5.8341955887505938E-2</v>
          </cell>
          <cell r="AL205">
            <v>4.8781214093914574E-2</v>
          </cell>
          <cell r="AM205">
            <v>3.523909111014295E-2</v>
          </cell>
        </row>
        <row r="206">
          <cell r="N206">
            <v>0.21728668671837897</v>
          </cell>
          <cell r="O206">
            <v>0.13955119214586256</v>
          </cell>
          <cell r="P206">
            <v>8.5623653339717526E-2</v>
          </cell>
          <cell r="Q206">
            <v>8.2917652117824092E-2</v>
          </cell>
          <cell r="R206">
            <v>9.2032562570364587E-2</v>
          </cell>
          <cell r="S206">
            <v>0.1058869825279396</v>
          </cell>
          <cell r="T206">
            <v>5.0219824140687423E-2</v>
          </cell>
          <cell r="U206">
            <v>5.6110082980120622E-2</v>
          </cell>
          <cell r="V206">
            <v>4.2404726421119802E-2</v>
          </cell>
          <cell r="W206">
            <v>2.3249854960355899E-2</v>
          </cell>
          <cell r="X206">
            <v>6.5766146053186994E-2</v>
          </cell>
          <cell r="Y206">
            <v>6.5825116480658794E-2</v>
          </cell>
          <cell r="Z206">
            <v>6.6959401969126045E-2</v>
          </cell>
          <cell r="AA206">
            <v>5.4919921990426057E-2</v>
          </cell>
          <cell r="AB206">
            <v>0.10008290957329211</v>
          </cell>
          <cell r="AC206">
            <v>0.10287085062240665</v>
          </cell>
          <cell r="AD206">
            <v>0.10683143895942501</v>
          </cell>
          <cell r="AE206">
            <v>0.10195518409983635</v>
          </cell>
          <cell r="AF206">
            <v>0.1058165341932409</v>
          </cell>
          <cell r="AG206">
            <v>0.10850107577716947</v>
          </cell>
          <cell r="AH206">
            <v>0.10826987715029943</v>
          </cell>
          <cell r="AI206">
            <v>0.10791819757737216</v>
          </cell>
          <cell r="AJ206">
            <v>0.10741440817790462</v>
          </cell>
          <cell r="AK206">
            <v>0.10709604174128894</v>
          </cell>
          <cell r="AL206">
            <v>0.10664110513767802</v>
          </cell>
          <cell r="AM206">
            <v>0.10638601721574863</v>
          </cell>
        </row>
        <row r="207">
          <cell r="N207">
            <v>-3.0504986544245685E-2</v>
          </cell>
          <cell r="O207">
            <v>-2.5848527349228614E-2</v>
          </cell>
          <cell r="P207">
            <v>9.547522145080202E-2</v>
          </cell>
          <cell r="Q207">
            <v>1.3695979359277572E-2</v>
          </cell>
          <cell r="R207">
            <v>4.4167316186022347E-3</v>
          </cell>
          <cell r="S207">
            <v>5.80040925546986E-3</v>
          </cell>
          <cell r="T207">
            <v>-2.1269650945909942E-2</v>
          </cell>
          <cell r="U207">
            <v>-7.3189660318786921E-3</v>
          </cell>
          <cell r="V207">
            <v>1.5807962529273999E-3</v>
          </cell>
          <cell r="W207">
            <v>1.9720556952233608E-2</v>
          </cell>
          <cell r="X207">
            <v>-1.5145631067961162E-2</v>
          </cell>
          <cell r="Y207">
            <v>4.1174558457037595E-3</v>
          </cell>
          <cell r="Z207">
            <v>-1.524553300109396E-2</v>
          </cell>
          <cell r="AA207">
            <v>1.7280302582589679E-2</v>
          </cell>
          <cell r="AB207">
            <v>1.0087331417200975E-2</v>
          </cell>
          <cell r="AC207">
            <v>1.3848547717842323E-2</v>
          </cell>
          <cell r="AD207">
            <v>-3.5444448061092454E-2</v>
          </cell>
          <cell r="AE207">
            <v>-4.1950719595540899E-2</v>
          </cell>
          <cell r="AF207">
            <v>-3.7292683545876323E-2</v>
          </cell>
          <cell r="AG207">
            <v>-3.7098545744747802E-2</v>
          </cell>
          <cell r="AH207">
            <v>-3.5194110365479793E-2</v>
          </cell>
          <cell r="AI207">
            <v>-3.8621308491702748E-2</v>
          </cell>
          <cell r="AJ207">
            <v>-4.2825996514280942E-2</v>
          </cell>
          <cell r="AK207">
            <v>-4.8789961710347336E-2</v>
          </cell>
          <cell r="AL207">
            <v>-5.7884145976747702E-2</v>
          </cell>
          <cell r="AM207">
            <v>-7.1164753984466603E-2</v>
          </cell>
        </row>
        <row r="210">
          <cell r="N210">
            <v>0.10669621655849296</v>
          </cell>
          <cell r="O210">
            <v>9.5932678821879377E-2</v>
          </cell>
          <cell r="P210">
            <v>0.1435480009576251</v>
          </cell>
          <cell r="Q210">
            <v>0.13218662653192861</v>
          </cell>
          <cell r="R210">
            <v>0.11238416904823764</v>
          </cell>
          <cell r="S210">
            <v>0.10872028962694791</v>
          </cell>
          <cell r="T210">
            <v>9.5909938715694115E-2</v>
          </cell>
          <cell r="U210">
            <v>1.9986866455733988E-2</v>
          </cell>
          <cell r="V210">
            <v>2.9327230146902278E-2</v>
          </cell>
          <cell r="W210">
            <v>4.0064784374395673E-2</v>
          </cell>
          <cell r="X210">
            <v>4.2211903756859431E-2</v>
          </cell>
          <cell r="Y210">
            <v>0.16275037486666263</v>
          </cell>
          <cell r="Z210">
            <v>0.11743000906407174</v>
          </cell>
          <cell r="AA210">
            <v>0.19797632523510153</v>
          </cell>
          <cell r="AB210">
            <v>0.16976766264418572</v>
          </cell>
          <cell r="AC210">
            <v>0.16406879129927385</v>
          </cell>
          <cell r="AD210">
            <v>9.8776463977478801E-2</v>
          </cell>
          <cell r="AE210">
            <v>3.8066558519125354E-2</v>
          </cell>
          <cell r="AF210">
            <v>-1.2238453571340829E-2</v>
          </cell>
          <cell r="AG210">
            <v>-5.3643116073980424E-2</v>
          </cell>
          <cell r="AH210">
            <v>-8.7125588248979743E-2</v>
          </cell>
          <cell r="AI210">
            <v>-0.11273036879309596</v>
          </cell>
          <cell r="AJ210">
            <v>-0.13124004122209415</v>
          </cell>
          <cell r="AK210">
            <v>-0.14410038678000864</v>
          </cell>
          <cell r="AL210">
            <v>-0.15479630713414946</v>
          </cell>
          <cell r="AM210">
            <v>-0.16151172614880013</v>
          </cell>
        </row>
        <row r="211">
          <cell r="T211">
            <v>0.16795366362243536</v>
          </cell>
          <cell r="U211">
            <v>0.1852659904781804</v>
          </cell>
          <cell r="V211">
            <v>0.26695978787480007</v>
          </cell>
          <cell r="W211">
            <v>0.21473567737896901</v>
          </cell>
          <cell r="X211">
            <v>0.29720939172880673</v>
          </cell>
          <cell r="Y211">
            <v>0.35404711720907595</v>
          </cell>
          <cell r="Z211">
            <v>0.49717784662926823</v>
          </cell>
          <cell r="AA211">
            <v>0.36149114160173368</v>
          </cell>
          <cell r="AB211">
            <v>0.30320252021336547</v>
          </cell>
          <cell r="AC211">
            <v>0.31779950443882393</v>
          </cell>
          <cell r="AD211">
            <v>0.3385421789038261</v>
          </cell>
          <cell r="AE211">
            <v>0.31412229817165921</v>
          </cell>
          <cell r="AF211">
            <v>0.2971205779832779</v>
          </cell>
          <cell r="AG211">
            <v>0.27318425800472812</v>
          </cell>
          <cell r="AH211">
            <v>0.32626320303067702</v>
          </cell>
          <cell r="AI211">
            <v>0.41114171542522809</v>
          </cell>
          <cell r="AJ211">
            <v>0.5385135352882916</v>
          </cell>
          <cell r="AK211">
            <v>0.72672132610714646</v>
          </cell>
          <cell r="AL211">
            <v>0.99206492982736982</v>
          </cell>
          <cell r="AM211">
            <v>1.3625986932347385</v>
          </cell>
        </row>
        <row r="212">
          <cell r="T212">
            <v>0.35575539568345321</v>
          </cell>
          <cell r="U212">
            <v>0.96710644140648327</v>
          </cell>
          <cell r="V212">
            <v>0.91849691292314239</v>
          </cell>
          <cell r="W212">
            <v>0.92163991491007546</v>
          </cell>
          <cell r="X212">
            <v>0.15781717029404124</v>
          </cell>
          <cell r="Y212">
            <v>-0.6350253377424776</v>
          </cell>
          <cell r="Z212">
            <v>-1.4790332886520807</v>
          </cell>
          <cell r="AA212">
            <v>-1.5900905901889806</v>
          </cell>
          <cell r="AB212">
            <v>-0.70427560523619614</v>
          </cell>
          <cell r="AC212">
            <v>0.46599525684374865</v>
          </cell>
          <cell r="AD212">
            <v>2.2839887911897798</v>
          </cell>
          <cell r="AE212">
            <v>5.0082669554083665</v>
          </cell>
          <cell r="AF212">
            <v>8.9382579559825182</v>
          </cell>
          <cell r="AG212">
            <v>14.216992770357889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</row>
        <row r="216">
          <cell r="N216">
            <v>0</v>
          </cell>
          <cell r="O216">
            <v>0.22070000000000001</v>
          </cell>
          <cell r="P216">
            <v>0.2021</v>
          </cell>
          <cell r="Q216">
            <v>0.1802</v>
          </cell>
          <cell r="R216">
            <v>0.17050000000000001</v>
          </cell>
          <cell r="S216">
            <v>0.1903</v>
          </cell>
          <cell r="T216">
            <v>0.19919999999999999</v>
          </cell>
          <cell r="U216">
            <v>0.20179166666666667</v>
          </cell>
          <cell r="V216">
            <v>0.20719166666666669</v>
          </cell>
          <cell r="W216">
            <v>0.18484999999999999</v>
          </cell>
          <cell r="X216">
            <v>0.15270833333333333</v>
          </cell>
          <cell r="Y216">
            <v>0.14531666666666668</v>
          </cell>
          <cell r="Z216">
            <v>0.138375</v>
          </cell>
          <cell r="AA216">
            <v>0.14671666666666666</v>
          </cell>
          <cell r="AB216">
            <v>0.11305833333333332</v>
          </cell>
          <cell r="AC216">
            <v>0.11305833333333332</v>
          </cell>
          <cell r="AD216">
            <v>0.11</v>
          </cell>
          <cell r="AE216">
            <v>0.11</v>
          </cell>
          <cell r="AF216">
            <v>0.11</v>
          </cell>
          <cell r="AG216">
            <v>0.11</v>
          </cell>
          <cell r="AH216">
            <v>0.11</v>
          </cell>
          <cell r="AI216">
            <v>0.11</v>
          </cell>
          <cell r="AJ216">
            <v>0.11</v>
          </cell>
          <cell r="AK216">
            <v>0.11</v>
          </cell>
          <cell r="AL216">
            <v>0.11</v>
          </cell>
          <cell r="AM216">
            <v>0.11</v>
          </cell>
        </row>
        <row r="217">
          <cell r="N217">
            <v>0</v>
          </cell>
          <cell r="O217">
            <v>0.16339999999999999</v>
          </cell>
          <cell r="P217">
            <v>0.15440000000000001</v>
          </cell>
          <cell r="Q217">
            <v>0.1394</v>
          </cell>
          <cell r="R217">
            <v>0.14630000000000001</v>
          </cell>
          <cell r="S217">
            <v>0.14560000000000001</v>
          </cell>
          <cell r="T217">
            <v>0.16189999999999999</v>
          </cell>
          <cell r="U217">
            <v>0.14697499999999999</v>
          </cell>
          <cell r="V217">
            <v>0.15104166666666666</v>
          </cell>
          <cell r="W217">
            <v>0.14901666666666669</v>
          </cell>
          <cell r="X217">
            <v>0.13717499999999999</v>
          </cell>
          <cell r="Y217">
            <v>0.11284166666666669</v>
          </cell>
          <cell r="Z217">
            <v>0.12740833333333337</v>
          </cell>
          <cell r="AA217">
            <v>0.12886666666666671</v>
          </cell>
          <cell r="AB217">
            <v>0.12969166666666671</v>
          </cell>
          <cell r="AC217">
            <v>0.12969166666666671</v>
          </cell>
          <cell r="AD217">
            <v>0.14099999999999999</v>
          </cell>
          <cell r="AE217">
            <v>0.1426</v>
          </cell>
          <cell r="AF217">
            <v>0.1426</v>
          </cell>
          <cell r="AG217">
            <v>0.1426</v>
          </cell>
          <cell r="AH217">
            <v>0.1426</v>
          </cell>
          <cell r="AI217">
            <v>0.1426</v>
          </cell>
          <cell r="AJ217">
            <v>0.1426</v>
          </cell>
          <cell r="AK217">
            <v>0.1426</v>
          </cell>
          <cell r="AL217">
            <v>0.1426</v>
          </cell>
          <cell r="AM217">
            <v>0.1426</v>
          </cell>
        </row>
        <row r="218">
          <cell r="N218">
            <v>0</v>
          </cell>
          <cell r="O218">
            <v>0.1275</v>
          </cell>
          <cell r="P218">
            <v>0.11360000000000001</v>
          </cell>
          <cell r="Q218">
            <v>9.6100000000000005E-2</v>
          </cell>
          <cell r="R218">
            <v>9.2100000000000001E-2</v>
          </cell>
          <cell r="S218">
            <v>0.1084</v>
          </cell>
          <cell r="T218">
            <v>0.12909999999999999</v>
          </cell>
          <cell r="U218">
            <v>0.12784166666666669</v>
          </cell>
          <cell r="V218">
            <v>0.12906666666666669</v>
          </cell>
          <cell r="W218">
            <v>0.10904999999999999</v>
          </cell>
          <cell r="X218">
            <v>7.3883333333333315E-2</v>
          </cell>
          <cell r="Y218">
            <v>6.7941666666666678E-2</v>
          </cell>
          <cell r="Z218">
            <v>7.809166666666667E-2</v>
          </cell>
          <cell r="AA218">
            <v>8.7433333333333321E-2</v>
          </cell>
          <cell r="AB218">
            <v>6.3516666666666666E-2</v>
          </cell>
          <cell r="AC218">
            <v>6.3516666666666666E-2</v>
          </cell>
          <cell r="AD218">
            <v>0.06</v>
          </cell>
          <cell r="AE218">
            <v>0.06</v>
          </cell>
          <cell r="AF218">
            <v>0.06</v>
          </cell>
          <cell r="AG218">
            <v>0.06</v>
          </cell>
          <cell r="AH218">
            <v>0.06</v>
          </cell>
          <cell r="AI218">
            <v>0.06</v>
          </cell>
          <cell r="AJ218">
            <v>0.06</v>
          </cell>
          <cell r="AK218">
            <v>0.06</v>
          </cell>
          <cell r="AL218">
            <v>0.06</v>
          </cell>
          <cell r="AM218">
            <v>0.06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"/>
      <sheetName val="Indianew$"/>
      <sheetName val="GraphI"/>
      <sheetName val="ThirdC$"/>
      <sheetName val="ThirdC"/>
      <sheetName val="WsheetCOTI"/>
      <sheetName val="WORKSHEET"/>
      <sheetName val="New BOPI"/>
      <sheetName val="BoPI Revised"/>
      <sheetName val="NewBOPCOTI"/>
      <sheetName val="BoPCOTI Revised"/>
      <sheetName val="graphforinvisible"/>
      <sheetName val="COTInew"/>
      <sheetName val="COTInew$"/>
      <sheetName val="GraphT"/>
      <sheetName val="Final$"/>
      <sheetName val="Final"/>
      <sheetName val="Ext.Sector Indicators"/>
      <sheetName val="Finalnew"/>
      <sheetName val="FINALNEW$"/>
      <sheetName val="GraphF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sect.dist.toGDP"/>
      <sheetName val="budGraph"/>
      <sheetName val="Budget"/>
      <sheetName val="DebtRe"/>
      <sheetName val="Debt$"/>
      <sheetName val="ExRate"/>
      <sheetName val="Reserves"/>
      <sheetName val="Keyind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>
        <row r="5">
          <cell r="W5" t="str">
            <v xml:space="preserve">TABLE 15. BALANCE OF PAYMENTS ESTIMATES </v>
          </cell>
        </row>
        <row r="7">
          <cell r="W7" t="str">
            <v xml:space="preserve">Millions of Ngultrum </v>
          </cell>
        </row>
        <row r="9"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W10" t="str">
            <v/>
          </cell>
        </row>
        <row r="11"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3"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7"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tuseco.org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ropbox.com/sh/4rmq1qyyxpcytil/AAAPrQYuUeYcc4rzYbk2YqWna?dl=0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stuseo.org/" TargetMode="External"/><Relationship Id="rId1" Type="http://schemas.openxmlformats.org/officeDocument/2006/relationships/hyperlink" Target="http://www.stuseco.org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dropbox.com/sh/obo49yt0h3cl5j6/AAA6gInSBtztzXrjNchhaiBEa?dl=0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dropbox.com/sh/obo49yt0h3cl5j6/AAA6gInSBtztzXrjNchhaiBEa?dl=0" TargetMode="External"/><Relationship Id="rId1" Type="http://schemas.openxmlformats.org/officeDocument/2006/relationships/hyperlink" Target="https://www.dropbox.com/sh/obo49yt0h3cl5j6/AAA6gInSBtztzXrjNchhaiBEa?dl=0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dropbox.com/sh/4rmq1qyyxpcytil/AAAPrQYuUeYcc4rzYbk2YqWna?dl=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tuseco.org/" TargetMode="External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dropbox.com/sh/obo49yt0h3cl5j6/AAA6gInSBtztzXrjNchhaiBEa?dl=0" TargetMode="External"/><Relationship Id="rId1" Type="http://schemas.openxmlformats.org/officeDocument/2006/relationships/hyperlink" Target="http://www.stusec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91"/>
  <sheetViews>
    <sheetView workbookViewId="0">
      <selection activeCell="A17" sqref="A17"/>
    </sheetView>
  </sheetViews>
  <sheetFormatPr defaultRowHeight="11.25"/>
  <sheetData>
    <row r="1" spans="1:2" ht="18.75">
      <c r="A1" s="805" t="s">
        <v>3683</v>
      </c>
    </row>
    <row r="10" spans="1:2" ht="15.75">
      <c r="A10" s="697" t="s">
        <v>1422</v>
      </c>
      <c r="B10" s="697"/>
    </row>
    <row r="11" spans="1:2" ht="15.75">
      <c r="A11" s="697" t="s">
        <v>3289</v>
      </c>
      <c r="B11" s="697"/>
    </row>
    <row r="12" spans="1:2" ht="15.75">
      <c r="A12" s="697" t="s">
        <v>3387</v>
      </c>
      <c r="B12" s="697"/>
    </row>
    <row r="13" spans="1:2" ht="15.75">
      <c r="A13" s="697" t="s">
        <v>3290</v>
      </c>
      <c r="B13" s="697"/>
    </row>
    <row r="14" spans="1:2" ht="15.75">
      <c r="A14" s="697"/>
      <c r="B14" s="697"/>
    </row>
    <row r="15" spans="1:2" s="806" customFormat="1" ht="18.75">
      <c r="A15" s="805" t="s">
        <v>3495</v>
      </c>
      <c r="B15" s="804"/>
    </row>
    <row r="16" spans="1:2" ht="15.75">
      <c r="A16" s="697" t="s">
        <v>3684</v>
      </c>
      <c r="B16" s="697"/>
    </row>
    <row r="17" spans="1:2" ht="15.75">
      <c r="A17" s="697"/>
      <c r="B17" s="697"/>
    </row>
    <row r="18" spans="1:2" s="807" customFormat="1" ht="18.75">
      <c r="A18" s="805" t="s">
        <v>3496</v>
      </c>
      <c r="B18" s="805" t="s">
        <v>3497</v>
      </c>
    </row>
    <row r="19" spans="1:2" ht="15.75">
      <c r="A19" s="697"/>
      <c r="B19" s="697"/>
    </row>
    <row r="20" spans="1:2" ht="15.75">
      <c r="A20" s="697" t="s">
        <v>3498</v>
      </c>
      <c r="B20" s="697"/>
    </row>
    <row r="21" spans="1:2" ht="15.75">
      <c r="A21" s="697" t="s">
        <v>3499</v>
      </c>
      <c r="B21" s="697"/>
    </row>
    <row r="22" spans="1:2" ht="15.75">
      <c r="A22" s="697" t="s">
        <v>3500</v>
      </c>
      <c r="B22" s="697"/>
    </row>
    <row r="23" spans="1:2" ht="15.75">
      <c r="A23" s="697" t="s">
        <v>3501</v>
      </c>
      <c r="B23" s="697"/>
    </row>
    <row r="24" spans="1:2" ht="15.75">
      <c r="A24" s="697" t="s">
        <v>3502</v>
      </c>
      <c r="B24" s="697"/>
    </row>
    <row r="25" spans="1:2" ht="15.75">
      <c r="A25" s="697" t="s">
        <v>3503</v>
      </c>
      <c r="B25" s="697"/>
    </row>
    <row r="26" spans="1:2" ht="15.75">
      <c r="A26" s="697" t="s">
        <v>3504</v>
      </c>
      <c r="B26" s="697"/>
    </row>
    <row r="27" spans="1:2" ht="15.75">
      <c r="A27" s="697" t="s">
        <v>3505</v>
      </c>
      <c r="B27" s="697"/>
    </row>
    <row r="28" spans="1:2" ht="15.75">
      <c r="A28" s="697" t="s">
        <v>3506</v>
      </c>
      <c r="B28" s="697"/>
    </row>
    <row r="29" spans="1:2" ht="15.75">
      <c r="A29" s="697" t="s">
        <v>3507</v>
      </c>
      <c r="B29" s="697"/>
    </row>
    <row r="30" spans="1:2" ht="15.75">
      <c r="A30" s="697" t="s">
        <v>3508</v>
      </c>
      <c r="B30" s="697"/>
    </row>
    <row r="31" spans="1:2" ht="15.75">
      <c r="A31" s="697" t="s">
        <v>3509</v>
      </c>
      <c r="B31" s="697"/>
    </row>
    <row r="32" spans="1:2" ht="15.75">
      <c r="A32" s="697" t="s">
        <v>3510</v>
      </c>
      <c r="B32" s="697"/>
    </row>
    <row r="33" spans="1:2" ht="15.75">
      <c r="A33" s="697"/>
      <c r="B33" s="697"/>
    </row>
    <row r="34" spans="1:2" ht="15.75">
      <c r="A34" s="697" t="s">
        <v>3511</v>
      </c>
      <c r="B34" s="697"/>
    </row>
    <row r="35" spans="1:2" ht="15.75">
      <c r="A35" s="697" t="s">
        <v>3512</v>
      </c>
      <c r="B35" s="697"/>
    </row>
    <row r="36" spans="1:2" ht="15.75">
      <c r="A36" s="697"/>
      <c r="B36" s="697"/>
    </row>
    <row r="37" spans="1:2" ht="15.75">
      <c r="A37" s="697"/>
      <c r="B37" s="697"/>
    </row>
    <row r="38" spans="1:2" s="807" customFormat="1" ht="18.75">
      <c r="A38" s="805" t="s">
        <v>3346</v>
      </c>
      <c r="B38" s="805" t="s">
        <v>3513</v>
      </c>
    </row>
    <row r="39" spans="1:2" ht="15.75">
      <c r="A39" s="697"/>
      <c r="B39" s="697"/>
    </row>
    <row r="40" spans="1:2" ht="15.75">
      <c r="A40" s="697" t="s">
        <v>3514</v>
      </c>
      <c r="B40" s="697"/>
    </row>
    <row r="41" spans="1:2" ht="15.75">
      <c r="A41" s="697" t="s">
        <v>3496</v>
      </c>
      <c r="B41" s="697" t="s">
        <v>3515</v>
      </c>
    </row>
    <row r="42" spans="1:2" ht="15.75">
      <c r="A42" s="697" t="s">
        <v>3516</v>
      </c>
      <c r="B42" s="697"/>
    </row>
    <row r="43" spans="1:2" ht="15.75">
      <c r="A43" s="697" t="s">
        <v>3346</v>
      </c>
      <c r="B43" s="697" t="s">
        <v>3517</v>
      </c>
    </row>
    <row r="44" spans="1:2" ht="15.75">
      <c r="A44" s="697" t="s">
        <v>3518</v>
      </c>
      <c r="B44" s="697"/>
    </row>
    <row r="45" spans="1:2" ht="15.75">
      <c r="A45" s="697" t="s">
        <v>3519</v>
      </c>
      <c r="B45" s="697"/>
    </row>
    <row r="46" spans="1:2" ht="15.75">
      <c r="A46" s="697" t="s">
        <v>3520</v>
      </c>
      <c r="B46" s="697"/>
    </row>
    <row r="47" spans="1:2" ht="15.75">
      <c r="A47" s="697" t="s">
        <v>3521</v>
      </c>
      <c r="B47" s="697"/>
    </row>
    <row r="48" spans="1:2" ht="15.75">
      <c r="A48" s="697" t="s">
        <v>3522</v>
      </c>
      <c r="B48" s="697"/>
    </row>
    <row r="49" spans="1:2" ht="15.75">
      <c r="A49" s="697" t="s">
        <v>3523</v>
      </c>
      <c r="B49" s="697"/>
    </row>
    <row r="50" spans="1:2" ht="15.75">
      <c r="A50" s="697" t="s">
        <v>3524</v>
      </c>
      <c r="B50" s="697"/>
    </row>
    <row r="51" spans="1:2" ht="15.75">
      <c r="A51" s="697" t="s">
        <v>3349</v>
      </c>
      <c r="B51" s="697" t="s">
        <v>3525</v>
      </c>
    </row>
    <row r="52" spans="1:2" ht="15.75">
      <c r="A52" s="697"/>
      <c r="B52" s="697"/>
    </row>
    <row r="53" spans="1:2" ht="15.75">
      <c r="A53" s="697" t="s">
        <v>3526</v>
      </c>
      <c r="B53" s="697"/>
    </row>
    <row r="54" spans="1:2" ht="15.75">
      <c r="A54" s="697" t="s">
        <v>3527</v>
      </c>
      <c r="B54" s="697"/>
    </row>
    <row r="55" spans="1:2" ht="15.75">
      <c r="A55" s="697" t="s">
        <v>3528</v>
      </c>
      <c r="B55" s="697"/>
    </row>
    <row r="56" spans="1:2" ht="15.75">
      <c r="A56" s="697" t="s">
        <v>3529</v>
      </c>
      <c r="B56" s="697"/>
    </row>
    <row r="57" spans="1:2" ht="15.75">
      <c r="A57" s="697" t="s">
        <v>3530</v>
      </c>
      <c r="B57" s="697"/>
    </row>
    <row r="58" spans="1:2" ht="15.75">
      <c r="A58" s="697" t="s">
        <v>3531</v>
      </c>
      <c r="B58" s="697"/>
    </row>
    <row r="59" spans="1:2" ht="15.75">
      <c r="A59" s="697"/>
      <c r="B59" s="697"/>
    </row>
    <row r="60" spans="1:2" ht="15.75">
      <c r="A60" s="697" t="s">
        <v>3532</v>
      </c>
      <c r="B60" s="697"/>
    </row>
    <row r="61" spans="1:2" ht="15.75">
      <c r="A61" s="697"/>
      <c r="B61" s="697"/>
    </row>
    <row r="62" spans="1:2" ht="15.75">
      <c r="A62" s="697"/>
      <c r="B62" s="697"/>
    </row>
    <row r="63" spans="1:2" ht="15.75">
      <c r="A63" s="697"/>
      <c r="B63" s="697"/>
    </row>
    <row r="64" spans="1:2" ht="15.75">
      <c r="A64" s="697"/>
      <c r="B64" s="697"/>
    </row>
    <row r="65" spans="1:2" ht="15.75">
      <c r="A65" s="697"/>
      <c r="B65" s="697"/>
    </row>
    <row r="66" spans="1:2" ht="15.75">
      <c r="A66" s="697"/>
      <c r="B66" s="697"/>
    </row>
    <row r="67" spans="1:2" ht="15.75">
      <c r="A67" s="697"/>
      <c r="B67" s="697"/>
    </row>
    <row r="68" spans="1:2" ht="15.75">
      <c r="A68" s="697"/>
      <c r="B68" s="697"/>
    </row>
    <row r="69" spans="1:2" ht="15.75">
      <c r="A69" s="697"/>
      <c r="B69" s="697"/>
    </row>
    <row r="70" spans="1:2" ht="15.75">
      <c r="A70" s="697"/>
      <c r="B70" s="697"/>
    </row>
    <row r="71" spans="1:2" ht="15.75">
      <c r="A71" s="697"/>
      <c r="B71" s="697"/>
    </row>
    <row r="72" spans="1:2" ht="15.75">
      <c r="A72" s="697"/>
      <c r="B72" s="697"/>
    </row>
    <row r="73" spans="1:2" ht="15.75">
      <c r="A73" s="697"/>
      <c r="B73" s="697"/>
    </row>
    <row r="74" spans="1:2" ht="15.75">
      <c r="A74" s="697" t="s">
        <v>1344</v>
      </c>
      <c r="B74" s="697"/>
    </row>
    <row r="75" spans="1:2" ht="15.75">
      <c r="A75" s="697" t="s">
        <v>3310</v>
      </c>
      <c r="B75" s="697"/>
    </row>
    <row r="76" spans="1:2" ht="15.75">
      <c r="A76" s="697"/>
      <c r="B76" s="697"/>
    </row>
    <row r="77" spans="1:2" ht="15.75">
      <c r="A77" s="697" t="s">
        <v>3533</v>
      </c>
      <c r="B77" s="697"/>
    </row>
    <row r="78" spans="1:2" ht="15.75">
      <c r="A78" s="697" t="s">
        <v>3534</v>
      </c>
      <c r="B78" s="697"/>
    </row>
    <row r="79" spans="1:2" ht="15.75">
      <c r="A79" s="697" t="s">
        <v>3535</v>
      </c>
      <c r="B79" s="697"/>
    </row>
    <row r="80" spans="1:2" ht="15.75">
      <c r="A80" s="697" t="s">
        <v>3536</v>
      </c>
      <c r="B80" s="697"/>
    </row>
    <row r="81" spans="1:2" ht="15.75">
      <c r="A81" s="697"/>
      <c r="B81" s="697"/>
    </row>
    <row r="82" spans="1:2" ht="15.75">
      <c r="A82" s="697"/>
      <c r="B82" s="697"/>
    </row>
    <row r="83" spans="1:2" s="807" customFormat="1" ht="18.75">
      <c r="A83" s="805" t="s">
        <v>3349</v>
      </c>
      <c r="B83" s="805" t="s">
        <v>3537</v>
      </c>
    </row>
    <row r="84" spans="1:2" ht="15.75">
      <c r="A84" s="697"/>
      <c r="B84" s="697"/>
    </row>
    <row r="85" spans="1:2" ht="15.75">
      <c r="A85" s="697" t="s">
        <v>3538</v>
      </c>
      <c r="B85" s="697"/>
    </row>
    <row r="86" spans="1:2" ht="15.75">
      <c r="A86" s="697" t="s">
        <v>3539</v>
      </c>
      <c r="B86" s="697"/>
    </row>
    <row r="87" spans="1:2" ht="15.75">
      <c r="A87" s="697" t="s">
        <v>3540</v>
      </c>
      <c r="B87" s="697"/>
    </row>
    <row r="88" spans="1:2" ht="15.75">
      <c r="A88" s="697" t="s">
        <v>3541</v>
      </c>
      <c r="B88" s="697"/>
    </row>
    <row r="89" spans="1:2" ht="15.75">
      <c r="A89" s="697" t="s">
        <v>3542</v>
      </c>
      <c r="B89" s="697"/>
    </row>
    <row r="90" spans="1:2" ht="15.75">
      <c r="A90" s="697" t="s">
        <v>3543</v>
      </c>
      <c r="B90" s="697"/>
    </row>
    <row r="91" spans="1:2" ht="15.75">
      <c r="A91" s="697" t="s">
        <v>3544</v>
      </c>
      <c r="B91" s="697"/>
    </row>
    <row r="92" spans="1:2" ht="15.75">
      <c r="A92" s="697" t="s">
        <v>3545</v>
      </c>
      <c r="B92" s="697"/>
    </row>
    <row r="93" spans="1:2" ht="15.75">
      <c r="A93" s="697"/>
      <c r="B93" s="697"/>
    </row>
    <row r="94" spans="1:2" ht="15.75">
      <c r="A94" s="697" t="s">
        <v>3546</v>
      </c>
      <c r="B94" s="697"/>
    </row>
    <row r="95" spans="1:2" ht="15.75">
      <c r="A95" s="697" t="s">
        <v>3547</v>
      </c>
      <c r="B95" s="697"/>
    </row>
    <row r="96" spans="1:2" ht="15.75">
      <c r="A96" s="697"/>
      <c r="B96" s="697"/>
    </row>
    <row r="97" spans="1:2" ht="15.75">
      <c r="A97" s="697" t="s">
        <v>3548</v>
      </c>
      <c r="B97" s="697"/>
    </row>
    <row r="98" spans="1:2" ht="15.75">
      <c r="A98" s="697" t="s">
        <v>3549</v>
      </c>
      <c r="B98" s="697"/>
    </row>
    <row r="99" spans="1:2" ht="15.75">
      <c r="A99" s="697"/>
      <c r="B99" s="697"/>
    </row>
    <row r="100" spans="1:2" ht="15.75">
      <c r="A100" s="697" t="s">
        <v>3496</v>
      </c>
      <c r="B100" s="697" t="s">
        <v>3550</v>
      </c>
    </row>
    <row r="101" spans="1:2" ht="15.75">
      <c r="A101" s="697" t="s">
        <v>3551</v>
      </c>
      <c r="B101" s="697"/>
    </row>
    <row r="102" spans="1:2" ht="15.75">
      <c r="A102" s="697" t="s">
        <v>3346</v>
      </c>
      <c r="B102" s="697" t="s">
        <v>3552</v>
      </c>
    </row>
    <row r="103" spans="1:2" ht="15.75">
      <c r="A103" s="697" t="s">
        <v>3553</v>
      </c>
      <c r="B103" s="697"/>
    </row>
    <row r="104" spans="1:2" ht="15.75">
      <c r="A104" s="697" t="s">
        <v>3554</v>
      </c>
      <c r="B104" s="697"/>
    </row>
    <row r="105" spans="1:2" ht="15.75">
      <c r="A105" s="697" t="s">
        <v>3349</v>
      </c>
      <c r="B105" s="697" t="s">
        <v>3555</v>
      </c>
    </row>
    <row r="106" spans="1:2" ht="15.75">
      <c r="A106" s="697" t="s">
        <v>3556</v>
      </c>
      <c r="B106" s="697" t="s">
        <v>3557</v>
      </c>
    </row>
    <row r="107" spans="1:2" ht="15.75">
      <c r="A107" s="697" t="s">
        <v>3558</v>
      </c>
      <c r="B107" s="697"/>
    </row>
    <row r="108" spans="1:2" ht="15.75">
      <c r="A108" s="697" t="s">
        <v>3559</v>
      </c>
      <c r="B108" s="697"/>
    </row>
    <row r="109" spans="1:2" ht="15.75">
      <c r="A109" s="697" t="s">
        <v>3358</v>
      </c>
      <c r="B109" s="697" t="s">
        <v>3560</v>
      </c>
    </row>
    <row r="110" spans="1:2" ht="15.75">
      <c r="A110" s="697" t="s">
        <v>3362</v>
      </c>
      <c r="B110" s="697" t="s">
        <v>3561</v>
      </c>
    </row>
    <row r="111" spans="1:2" ht="15.75">
      <c r="A111" s="697" t="s">
        <v>3562</v>
      </c>
      <c r="B111" s="697"/>
    </row>
    <row r="112" spans="1:2" ht="15.75">
      <c r="A112" s="697" t="s">
        <v>3563</v>
      </c>
      <c r="B112" s="697"/>
    </row>
    <row r="113" spans="1:2" ht="15.75">
      <c r="A113" s="697" t="s">
        <v>3365</v>
      </c>
      <c r="B113" s="697" t="s">
        <v>3564</v>
      </c>
    </row>
    <row r="114" spans="1:2" ht="15.75">
      <c r="A114" s="697" t="s">
        <v>3368</v>
      </c>
      <c r="B114" s="697" t="s">
        <v>3565</v>
      </c>
    </row>
    <row r="115" spans="1:2" ht="15.75">
      <c r="A115" s="697"/>
      <c r="B115" s="697"/>
    </row>
    <row r="116" spans="1:2" ht="15.75">
      <c r="A116" s="697"/>
      <c r="B116" s="697"/>
    </row>
    <row r="117" spans="1:2" ht="15.75">
      <c r="A117" s="697" t="s">
        <v>3566</v>
      </c>
      <c r="B117" s="697"/>
    </row>
    <row r="118" spans="1:2" ht="15.75">
      <c r="A118" s="697" t="s">
        <v>3567</v>
      </c>
      <c r="B118" s="697" t="s">
        <v>3568</v>
      </c>
    </row>
    <row r="119" spans="1:2" ht="15.75">
      <c r="A119" s="697" t="s">
        <v>3569</v>
      </c>
      <c r="B119" s="697"/>
    </row>
    <row r="120" spans="1:2" ht="15.75">
      <c r="A120" s="697" t="s">
        <v>3567</v>
      </c>
      <c r="B120" s="697" t="s">
        <v>3570</v>
      </c>
    </row>
    <row r="121" spans="1:2" ht="15.75">
      <c r="A121" s="697" t="s">
        <v>3567</v>
      </c>
      <c r="B121" s="697" t="s">
        <v>3571</v>
      </c>
    </row>
    <row r="122" spans="1:2" ht="15.75">
      <c r="A122" s="697" t="s">
        <v>3567</v>
      </c>
      <c r="B122" s="697" t="s">
        <v>3572</v>
      </c>
    </row>
    <row r="123" spans="1:2" ht="15.75">
      <c r="A123" s="697" t="s">
        <v>3567</v>
      </c>
      <c r="B123" s="697" t="s">
        <v>3573</v>
      </c>
    </row>
    <row r="124" spans="1:2" ht="15.75">
      <c r="A124" s="697" t="s">
        <v>3574</v>
      </c>
      <c r="B124" s="697"/>
    </row>
    <row r="125" spans="1:2" ht="15.75">
      <c r="A125" s="697" t="s">
        <v>3567</v>
      </c>
      <c r="B125" s="697" t="s">
        <v>3575</v>
      </c>
    </row>
    <row r="126" spans="1:2" ht="15.75">
      <c r="A126" s="697" t="s">
        <v>3567</v>
      </c>
      <c r="B126" s="697" t="s">
        <v>3576</v>
      </c>
    </row>
    <row r="127" spans="1:2" ht="15.75">
      <c r="A127" s="697"/>
      <c r="B127" s="697"/>
    </row>
    <row r="128" spans="1:2" s="807" customFormat="1" ht="18.75">
      <c r="A128" s="805" t="s">
        <v>3577</v>
      </c>
      <c r="B128" s="805"/>
    </row>
    <row r="129" spans="1:2" ht="15.75">
      <c r="A129" s="697" t="s">
        <v>3310</v>
      </c>
      <c r="B129" s="697"/>
    </row>
    <row r="130" spans="1:2" ht="15.75">
      <c r="A130" s="697"/>
      <c r="B130" s="697"/>
    </row>
    <row r="131" spans="1:2" ht="15.75">
      <c r="A131" s="697"/>
      <c r="B131" s="697"/>
    </row>
    <row r="132" spans="1:2" ht="15.75">
      <c r="A132" s="697"/>
      <c r="B132" s="697"/>
    </row>
    <row r="133" spans="1:2" ht="15.75">
      <c r="A133" s="697"/>
      <c r="B133" s="697"/>
    </row>
    <row r="134" spans="1:2" ht="15.75">
      <c r="A134" s="697"/>
      <c r="B134" s="697"/>
    </row>
    <row r="135" spans="1:2" ht="15.75">
      <c r="A135" s="697"/>
      <c r="B135" s="697"/>
    </row>
    <row r="136" spans="1:2" ht="15.75">
      <c r="A136" s="697"/>
      <c r="B136" s="697"/>
    </row>
    <row r="137" spans="1:2" ht="15.75">
      <c r="A137" s="697"/>
      <c r="B137" s="697"/>
    </row>
    <row r="138" spans="1:2" ht="15.75">
      <c r="A138" s="697" t="s">
        <v>1344</v>
      </c>
      <c r="B138" s="697"/>
    </row>
    <row r="139" spans="1:2" ht="15.75">
      <c r="A139" s="697"/>
      <c r="B139" s="697"/>
    </row>
    <row r="140" spans="1:2" ht="15.75">
      <c r="A140" s="697"/>
      <c r="B140" s="697"/>
    </row>
    <row r="141" spans="1:2" ht="15.75">
      <c r="A141" s="697" t="s">
        <v>3556</v>
      </c>
      <c r="B141" s="697" t="s">
        <v>3578</v>
      </c>
    </row>
    <row r="142" spans="1:2" ht="15.75">
      <c r="A142" s="697"/>
      <c r="B142" s="697"/>
    </row>
    <row r="143" spans="1:2" ht="15.75">
      <c r="A143" s="697"/>
      <c r="B143" s="697"/>
    </row>
    <row r="144" spans="1:2" ht="15.75">
      <c r="A144" s="697"/>
      <c r="B144" s="697"/>
    </row>
    <row r="145" spans="1:2" ht="15.75">
      <c r="A145" s="697"/>
      <c r="B145" s="697"/>
    </row>
    <row r="146" spans="1:2" ht="15.75">
      <c r="A146" s="697"/>
      <c r="B146" s="697"/>
    </row>
    <row r="147" spans="1:2" ht="15.75">
      <c r="A147" s="697"/>
      <c r="B147" s="697"/>
    </row>
    <row r="148" spans="1:2" s="807" customFormat="1" ht="18.75">
      <c r="A148" s="805" t="s">
        <v>3579</v>
      </c>
      <c r="B148" s="805"/>
    </row>
    <row r="149" spans="1:2" ht="15.75">
      <c r="A149" s="697"/>
      <c r="B149" s="697"/>
    </row>
    <row r="150" spans="1:2" ht="15.75">
      <c r="A150" s="697" t="s">
        <v>3496</v>
      </c>
      <c r="B150" s="697" t="s">
        <v>3580</v>
      </c>
    </row>
    <row r="151" spans="1:2" ht="15.75">
      <c r="A151" s="697" t="s">
        <v>3346</v>
      </c>
      <c r="B151" s="697" t="s">
        <v>3581</v>
      </c>
    </row>
    <row r="152" spans="1:2" ht="15.75">
      <c r="A152" s="697" t="s">
        <v>3349</v>
      </c>
      <c r="B152" s="697" t="s">
        <v>3582</v>
      </c>
    </row>
    <row r="153" spans="1:2" ht="15.75">
      <c r="A153" s="697" t="s">
        <v>3556</v>
      </c>
      <c r="B153" s="697" t="s">
        <v>3583</v>
      </c>
    </row>
    <row r="154" spans="1:2" ht="15.75">
      <c r="A154" s="697"/>
      <c r="B154" s="697"/>
    </row>
    <row r="155" spans="1:2" ht="15.75">
      <c r="A155" s="697" t="s">
        <v>3584</v>
      </c>
      <c r="B155" s="697"/>
    </row>
    <row r="156" spans="1:2" ht="15.75">
      <c r="A156" s="697" t="s">
        <v>3585</v>
      </c>
      <c r="B156" s="697"/>
    </row>
    <row r="157" spans="1:2" ht="15.75">
      <c r="A157" s="697" t="s">
        <v>3586</v>
      </c>
      <c r="B157" s="697"/>
    </row>
    <row r="158" spans="1:2" ht="15.75">
      <c r="A158" s="697" t="s">
        <v>3587</v>
      </c>
      <c r="B158" s="697"/>
    </row>
    <row r="159" spans="1:2" ht="15.75">
      <c r="A159" s="697"/>
      <c r="B159" s="697"/>
    </row>
    <row r="160" spans="1:2" ht="15.75">
      <c r="A160" s="697" t="s">
        <v>3588</v>
      </c>
      <c r="B160" s="697"/>
    </row>
    <row r="161" spans="1:2" ht="15.75">
      <c r="A161" s="697" t="s">
        <v>3589</v>
      </c>
      <c r="B161" s="697"/>
    </row>
    <row r="162" spans="1:2" ht="15.75">
      <c r="A162" s="697" t="s">
        <v>3590</v>
      </c>
      <c r="B162" s="697"/>
    </row>
    <row r="163" spans="1:2" ht="15.75">
      <c r="A163" s="697" t="s">
        <v>3591</v>
      </c>
      <c r="B163" s="697"/>
    </row>
    <row r="164" spans="1:2" ht="15.75">
      <c r="A164" s="697" t="s">
        <v>3592</v>
      </c>
      <c r="B164" s="697"/>
    </row>
    <row r="165" spans="1:2" ht="15.75">
      <c r="A165" s="697" t="s">
        <v>3593</v>
      </c>
      <c r="B165" s="697"/>
    </row>
    <row r="166" spans="1:2" ht="15.75">
      <c r="A166" s="697" t="s">
        <v>3594</v>
      </c>
      <c r="B166" s="697"/>
    </row>
    <row r="167" spans="1:2" ht="15.75">
      <c r="A167" s="697" t="s">
        <v>3595</v>
      </c>
      <c r="B167" s="697"/>
    </row>
    <row r="168" spans="1:2" ht="15.75">
      <c r="A168" s="697" t="s">
        <v>3596</v>
      </c>
      <c r="B168" s="697"/>
    </row>
    <row r="169" spans="1:2" ht="15.75">
      <c r="A169" s="697" t="s">
        <v>3597</v>
      </c>
      <c r="B169" s="697"/>
    </row>
    <row r="170" spans="1:2" ht="15.75">
      <c r="A170" s="697" t="s">
        <v>3598</v>
      </c>
      <c r="B170" s="697"/>
    </row>
    <row r="171" spans="1:2" ht="15.75">
      <c r="A171" s="697" t="s">
        <v>3599</v>
      </c>
      <c r="B171" s="697"/>
    </row>
    <row r="172" spans="1:2" ht="15.75">
      <c r="A172" s="697"/>
      <c r="B172" s="697"/>
    </row>
    <row r="173" spans="1:2" ht="15.75">
      <c r="A173" s="697" t="s">
        <v>3600</v>
      </c>
      <c r="B173" s="697"/>
    </row>
    <row r="174" spans="1:2" ht="15.75">
      <c r="A174" s="697" t="s">
        <v>3601</v>
      </c>
      <c r="B174" s="697"/>
    </row>
    <row r="175" spans="1:2" ht="15.75">
      <c r="A175" s="697" t="s">
        <v>3602</v>
      </c>
      <c r="B175" s="697"/>
    </row>
    <row r="176" spans="1:2" ht="15.75">
      <c r="A176" s="697" t="s">
        <v>3603</v>
      </c>
      <c r="B176" s="697"/>
    </row>
    <row r="177" spans="1:2" ht="15.75">
      <c r="A177" s="697" t="s">
        <v>3604</v>
      </c>
      <c r="B177" s="697"/>
    </row>
    <row r="178" spans="1:2" ht="15.75">
      <c r="A178" s="697" t="s">
        <v>3605</v>
      </c>
      <c r="B178" s="697"/>
    </row>
    <row r="179" spans="1:2" ht="15.75">
      <c r="A179" s="697"/>
      <c r="B179" s="697"/>
    </row>
    <row r="180" spans="1:2" ht="15.75">
      <c r="A180" s="697" t="s">
        <v>3606</v>
      </c>
      <c r="B180" s="697"/>
    </row>
    <row r="181" spans="1:2" ht="15.75">
      <c r="A181" s="697" t="s">
        <v>3607</v>
      </c>
      <c r="B181" s="697"/>
    </row>
    <row r="182" spans="1:2" ht="15.75">
      <c r="A182" s="697" t="s">
        <v>3608</v>
      </c>
      <c r="B182" s="697"/>
    </row>
    <row r="183" spans="1:2" ht="15.75">
      <c r="A183" s="697"/>
      <c r="B183" s="697"/>
    </row>
    <row r="184" spans="1:2" ht="15.75">
      <c r="A184" s="697"/>
      <c r="B184" s="697"/>
    </row>
    <row r="185" spans="1:2" ht="15.75">
      <c r="A185" s="697" t="s">
        <v>3609</v>
      </c>
      <c r="B185" s="697"/>
    </row>
    <row r="186" spans="1:2" ht="15.75">
      <c r="A186" s="697" t="s">
        <v>3310</v>
      </c>
      <c r="B186" s="697"/>
    </row>
    <row r="187" spans="1:2" ht="15.75">
      <c r="A187" s="697"/>
      <c r="B187" s="697"/>
    </row>
    <row r="188" spans="1:2" ht="15.75">
      <c r="A188" s="697"/>
      <c r="B188" s="697"/>
    </row>
    <row r="189" spans="1:2" ht="15.75">
      <c r="A189" s="697"/>
      <c r="B189" s="697"/>
    </row>
    <row r="190" spans="1:2" ht="15.75">
      <c r="A190" s="697"/>
      <c r="B190" s="697"/>
    </row>
    <row r="191" spans="1:2" ht="15.75">
      <c r="A191" s="697"/>
      <c r="B191" s="697"/>
    </row>
    <row r="192" spans="1:2" ht="15.75">
      <c r="A192" s="697"/>
      <c r="B192" s="697"/>
    </row>
    <row r="193" spans="1:2" ht="15.75">
      <c r="A193" s="697"/>
      <c r="B193" s="697"/>
    </row>
    <row r="194" spans="1:2" ht="15.75">
      <c r="A194" s="697"/>
      <c r="B194" s="697"/>
    </row>
    <row r="195" spans="1:2" ht="15.75">
      <c r="A195" s="697"/>
      <c r="B195" s="697"/>
    </row>
    <row r="196" spans="1:2" ht="15.75">
      <c r="A196" s="697"/>
      <c r="B196" s="697"/>
    </row>
    <row r="197" spans="1:2" ht="15.75">
      <c r="A197" s="697"/>
      <c r="B197" s="697"/>
    </row>
    <row r="198" spans="1:2" ht="15.75">
      <c r="A198" s="697"/>
      <c r="B198" s="697"/>
    </row>
    <row r="199" spans="1:2" ht="15.75">
      <c r="A199" s="697"/>
      <c r="B199" s="697"/>
    </row>
    <row r="200" spans="1:2" ht="15.75">
      <c r="A200" s="697" t="s">
        <v>1344</v>
      </c>
      <c r="B200" s="697"/>
    </row>
    <row r="201" spans="1:2" ht="15.75">
      <c r="A201" s="697"/>
      <c r="B201" s="697"/>
    </row>
    <row r="202" spans="1:2" ht="15.75">
      <c r="A202" s="697"/>
      <c r="B202" s="697"/>
    </row>
    <row r="203" spans="1:2" ht="15.75">
      <c r="A203" s="697" t="s">
        <v>3610</v>
      </c>
      <c r="B203" s="697"/>
    </row>
    <row r="204" spans="1:2" ht="15.75">
      <c r="A204" s="697"/>
      <c r="B204" s="697"/>
    </row>
    <row r="205" spans="1:2" ht="15.75">
      <c r="A205" s="697" t="s">
        <v>3611</v>
      </c>
      <c r="B205" s="697"/>
    </row>
    <row r="206" spans="1:2" ht="15.75">
      <c r="A206" s="697" t="s">
        <v>3612</v>
      </c>
      <c r="B206" s="697"/>
    </row>
    <row r="207" spans="1:2" ht="15.75">
      <c r="A207" s="697" t="s">
        <v>3613</v>
      </c>
      <c r="B207" s="697"/>
    </row>
    <row r="208" spans="1:2" ht="15.75">
      <c r="A208" s="697" t="s">
        <v>3614</v>
      </c>
      <c r="B208" s="697"/>
    </row>
    <row r="209" spans="1:2" ht="15.75">
      <c r="A209" s="697"/>
      <c r="B209" s="697"/>
    </row>
    <row r="210" spans="1:2" ht="15.75">
      <c r="A210" s="697" t="s">
        <v>3615</v>
      </c>
      <c r="B210" s="697"/>
    </row>
    <row r="211" spans="1:2" ht="15.75">
      <c r="A211" s="697" t="s">
        <v>3616</v>
      </c>
      <c r="B211" s="697"/>
    </row>
    <row r="212" spans="1:2" ht="15.75">
      <c r="A212" s="697" t="s">
        <v>3617</v>
      </c>
      <c r="B212" s="697"/>
    </row>
    <row r="213" spans="1:2" ht="15.75">
      <c r="A213" s="697" t="s">
        <v>3618</v>
      </c>
      <c r="B213" s="697"/>
    </row>
    <row r="214" spans="1:2" ht="15.75">
      <c r="A214" s="697" t="s">
        <v>3619</v>
      </c>
      <c r="B214" s="697"/>
    </row>
    <row r="215" spans="1:2" ht="15.75">
      <c r="A215" s="697" t="s">
        <v>3620</v>
      </c>
      <c r="B215" s="697"/>
    </row>
    <row r="216" spans="1:2" ht="15.75">
      <c r="A216" s="697" t="s">
        <v>3621</v>
      </c>
      <c r="B216" s="697"/>
    </row>
    <row r="217" spans="1:2" ht="15.75">
      <c r="A217" s="697" t="s">
        <v>3622</v>
      </c>
      <c r="B217" s="697"/>
    </row>
    <row r="218" spans="1:2" ht="15.75">
      <c r="A218" s="697"/>
      <c r="B218" s="697"/>
    </row>
    <row r="219" spans="1:2" s="807" customFormat="1" ht="18.75">
      <c r="A219" s="805" t="s">
        <v>3358</v>
      </c>
      <c r="B219" s="805" t="s">
        <v>3623</v>
      </c>
    </row>
    <row r="220" spans="1:2" ht="15.75">
      <c r="A220" s="697" t="s">
        <v>3624</v>
      </c>
      <c r="B220" s="697"/>
    </row>
    <row r="221" spans="1:2" ht="15.75">
      <c r="A221" s="697" t="s">
        <v>3625</v>
      </c>
      <c r="B221" s="697"/>
    </row>
    <row r="222" spans="1:2" ht="15.75">
      <c r="A222" s="697" t="s">
        <v>3626</v>
      </c>
      <c r="B222" s="697"/>
    </row>
    <row r="223" spans="1:2" ht="15.75">
      <c r="A223" s="697" t="s">
        <v>3627</v>
      </c>
      <c r="B223" s="697"/>
    </row>
    <row r="224" spans="1:2" ht="15.75">
      <c r="A224" s="697" t="s">
        <v>3628</v>
      </c>
      <c r="B224" s="697"/>
    </row>
    <row r="225" spans="1:2" ht="15.75">
      <c r="A225" s="697" t="s">
        <v>3629</v>
      </c>
      <c r="B225" s="697"/>
    </row>
    <row r="226" spans="1:2" ht="15.75">
      <c r="A226" s="697" t="s">
        <v>3630</v>
      </c>
      <c r="B226" s="697"/>
    </row>
    <row r="227" spans="1:2" ht="15.75">
      <c r="A227" s="697" t="s">
        <v>3631</v>
      </c>
      <c r="B227" s="697"/>
    </row>
    <row r="228" spans="1:2" ht="15.75">
      <c r="A228" s="697" t="s">
        <v>3632</v>
      </c>
      <c r="B228" s="697"/>
    </row>
    <row r="229" spans="1:2" ht="15.75">
      <c r="A229" s="697" t="s">
        <v>3633</v>
      </c>
      <c r="B229" s="697"/>
    </row>
    <row r="230" spans="1:2" ht="15.75">
      <c r="A230" s="697" t="s">
        <v>3634</v>
      </c>
      <c r="B230" s="697"/>
    </row>
    <row r="231" spans="1:2" ht="15.75">
      <c r="A231" s="697"/>
      <c r="B231" s="697"/>
    </row>
    <row r="232" spans="1:2" ht="15.75">
      <c r="A232" s="697" t="s">
        <v>3635</v>
      </c>
      <c r="B232" s="697"/>
    </row>
    <row r="233" spans="1:2" ht="15.75">
      <c r="A233" s="697" t="s">
        <v>3496</v>
      </c>
      <c r="B233" s="697" t="s">
        <v>3636</v>
      </c>
    </row>
    <row r="234" spans="1:2" ht="15.75">
      <c r="A234" s="697" t="s">
        <v>3637</v>
      </c>
      <c r="B234" s="697"/>
    </row>
    <row r="235" spans="1:2" ht="15.75">
      <c r="A235" s="697" t="s">
        <v>3638</v>
      </c>
      <c r="B235" s="697"/>
    </row>
    <row r="236" spans="1:2" ht="15.75">
      <c r="A236" s="697" t="s">
        <v>3346</v>
      </c>
      <c r="B236" s="697" t="s">
        <v>3639</v>
      </c>
    </row>
    <row r="237" spans="1:2" ht="15.75">
      <c r="A237" s="697" t="s">
        <v>3640</v>
      </c>
      <c r="B237" s="697"/>
    </row>
    <row r="238" spans="1:2" ht="15.75">
      <c r="A238" s="697" t="s">
        <v>3641</v>
      </c>
      <c r="B238" s="697"/>
    </row>
    <row r="239" spans="1:2" ht="15.75">
      <c r="A239" s="697" t="s">
        <v>3642</v>
      </c>
      <c r="B239" s="697"/>
    </row>
    <row r="240" spans="1:2" ht="15.75">
      <c r="A240" s="697" t="s">
        <v>3349</v>
      </c>
      <c r="B240" s="697" t="s">
        <v>3643</v>
      </c>
    </row>
    <row r="241" spans="1:2" ht="15.75">
      <c r="A241" s="697" t="s">
        <v>3644</v>
      </c>
      <c r="B241" s="697"/>
    </row>
    <row r="242" spans="1:2" ht="15.75">
      <c r="A242" s="697" t="s">
        <v>3645</v>
      </c>
      <c r="B242" s="697"/>
    </row>
    <row r="243" spans="1:2" ht="15.75">
      <c r="A243" s="697" t="s">
        <v>3646</v>
      </c>
      <c r="B243" s="697"/>
    </row>
    <row r="244" spans="1:2" ht="15.75">
      <c r="A244" s="697" t="s">
        <v>3556</v>
      </c>
      <c r="B244" s="697" t="s">
        <v>3647</v>
      </c>
    </row>
    <row r="245" spans="1:2" ht="15.75">
      <c r="A245" s="697" t="s">
        <v>3648</v>
      </c>
      <c r="B245" s="697"/>
    </row>
    <row r="246" spans="1:2" ht="15.75">
      <c r="A246" s="697" t="s">
        <v>3649</v>
      </c>
      <c r="B246" s="697"/>
    </row>
    <row r="247" spans="1:2" ht="15.75">
      <c r="A247" s="697"/>
      <c r="B247" s="697"/>
    </row>
    <row r="248" spans="1:2" ht="15.75">
      <c r="A248" s="697" t="s">
        <v>3650</v>
      </c>
      <c r="B248" s="697"/>
    </row>
    <row r="249" spans="1:2" ht="15.75">
      <c r="A249" s="697" t="s">
        <v>3651</v>
      </c>
      <c r="B249" s="697"/>
    </row>
    <row r="250" spans="1:2" ht="15.75">
      <c r="A250" s="697" t="s">
        <v>3652</v>
      </c>
      <c r="B250" s="697"/>
    </row>
    <row r="251" spans="1:2" ht="15.75">
      <c r="A251" s="697"/>
      <c r="B251" s="697"/>
    </row>
    <row r="252" spans="1:2" ht="15.75">
      <c r="A252" s="697" t="s">
        <v>3653</v>
      </c>
      <c r="B252" s="697"/>
    </row>
    <row r="253" spans="1:2" ht="15.75">
      <c r="A253" s="697" t="s">
        <v>3654</v>
      </c>
      <c r="B253" s="697"/>
    </row>
    <row r="254" spans="1:2" ht="15.75">
      <c r="A254" s="697" t="s">
        <v>3655</v>
      </c>
      <c r="B254" s="697"/>
    </row>
    <row r="255" spans="1:2" ht="15.75">
      <c r="A255" s="697" t="s">
        <v>3656</v>
      </c>
      <c r="B255" s="697"/>
    </row>
    <row r="256" spans="1:2" ht="15.75">
      <c r="A256" s="697" t="s">
        <v>3657</v>
      </c>
      <c r="B256" s="697"/>
    </row>
    <row r="257" spans="1:2" ht="15.75">
      <c r="A257" s="697" t="s">
        <v>3658</v>
      </c>
      <c r="B257" s="697"/>
    </row>
    <row r="258" spans="1:2" ht="15.75">
      <c r="A258" s="697" t="s">
        <v>3659</v>
      </c>
      <c r="B258" s="697"/>
    </row>
    <row r="259" spans="1:2" ht="15.75">
      <c r="A259" s="697"/>
      <c r="B259" s="697"/>
    </row>
    <row r="260" spans="1:2" ht="15.75">
      <c r="A260" s="697" t="s">
        <v>3660</v>
      </c>
      <c r="B260" s="697"/>
    </row>
    <row r="261" spans="1:2" ht="15.75">
      <c r="A261" s="697" t="s">
        <v>3661</v>
      </c>
      <c r="B261" s="697"/>
    </row>
    <row r="262" spans="1:2" ht="15.75">
      <c r="A262" s="697" t="s">
        <v>3662</v>
      </c>
      <c r="B262" s="697"/>
    </row>
    <row r="263" spans="1:2" ht="15.75">
      <c r="A263" s="697" t="s">
        <v>3663</v>
      </c>
      <c r="B263" s="697"/>
    </row>
    <row r="264" spans="1:2" ht="15.75">
      <c r="A264" s="697"/>
      <c r="B264" s="697"/>
    </row>
    <row r="265" spans="1:2" ht="15.75">
      <c r="A265" s="697"/>
      <c r="B265" s="697"/>
    </row>
    <row r="266" spans="1:2" ht="15.75">
      <c r="A266" s="697" t="s">
        <v>3664</v>
      </c>
      <c r="B266" s="697"/>
    </row>
    <row r="267" spans="1:2" ht="15.75">
      <c r="A267" s="697" t="s">
        <v>3665</v>
      </c>
      <c r="B267" s="697"/>
    </row>
    <row r="268" spans="1:2" ht="15.75">
      <c r="A268" s="697"/>
      <c r="B268" s="697"/>
    </row>
    <row r="269" spans="1:2" ht="15.75">
      <c r="A269" s="697"/>
      <c r="B269" s="697"/>
    </row>
    <row r="270" spans="1:2" s="807" customFormat="1" ht="18.75">
      <c r="A270" s="805" t="s">
        <v>3666</v>
      </c>
      <c r="B270" s="805"/>
    </row>
    <row r="271" spans="1:2" ht="15.75">
      <c r="A271" s="697"/>
      <c r="B271" s="697"/>
    </row>
    <row r="272" spans="1:2" ht="15.75">
      <c r="A272" s="697" t="s">
        <v>3667</v>
      </c>
      <c r="B272" s="697"/>
    </row>
    <row r="273" spans="1:2" ht="15.75">
      <c r="A273" s="697" t="s">
        <v>3668</v>
      </c>
      <c r="B273" s="697"/>
    </row>
    <row r="274" spans="1:2" ht="15.75">
      <c r="A274" s="697" t="s">
        <v>3669</v>
      </c>
      <c r="B274" s="697"/>
    </row>
    <row r="275" spans="1:2" ht="15.75">
      <c r="A275" s="697" t="s">
        <v>3670</v>
      </c>
      <c r="B275" s="697"/>
    </row>
    <row r="276" spans="1:2" ht="15.75">
      <c r="A276" s="697" t="s">
        <v>3671</v>
      </c>
      <c r="B276" s="697"/>
    </row>
    <row r="277" spans="1:2" ht="15.75">
      <c r="A277" s="697" t="s">
        <v>3672</v>
      </c>
      <c r="B277" s="697"/>
    </row>
    <row r="278" spans="1:2" ht="15.75">
      <c r="A278" s="697" t="s">
        <v>3673</v>
      </c>
      <c r="B278" s="697"/>
    </row>
    <row r="279" spans="1:2" ht="15.75">
      <c r="A279" s="697" t="s">
        <v>3674</v>
      </c>
      <c r="B279" s="697"/>
    </row>
    <row r="280" spans="1:2" ht="15.75">
      <c r="A280" s="697" t="s">
        <v>3675</v>
      </c>
      <c r="B280" s="697"/>
    </row>
    <row r="281" spans="1:2" ht="15.75">
      <c r="A281" s="697" t="s">
        <v>3676</v>
      </c>
      <c r="B281" s="697"/>
    </row>
    <row r="282" spans="1:2" ht="15.75">
      <c r="A282" s="697" t="s">
        <v>3677</v>
      </c>
      <c r="B282" s="697"/>
    </row>
    <row r="283" spans="1:2" ht="15.75">
      <c r="A283" s="697" t="s">
        <v>3678</v>
      </c>
      <c r="B283" s="697"/>
    </row>
    <row r="284" spans="1:2" ht="15.75">
      <c r="A284" s="697" t="s">
        <v>3679</v>
      </c>
      <c r="B284" s="697"/>
    </row>
    <row r="285" spans="1:2" ht="15.75">
      <c r="A285" s="697" t="s">
        <v>3680</v>
      </c>
      <c r="B285" s="697"/>
    </row>
    <row r="286" spans="1:2" ht="15.75">
      <c r="A286" s="697" t="s">
        <v>3681</v>
      </c>
      <c r="B286" s="697"/>
    </row>
    <row r="287" spans="1:2" ht="15.75">
      <c r="A287" s="697" t="s">
        <v>3682</v>
      </c>
      <c r="B287" s="697"/>
    </row>
    <row r="288" spans="1:2" ht="15.75">
      <c r="A288" s="697"/>
      <c r="B288" s="697"/>
    </row>
    <row r="289" spans="1:2" ht="15.75">
      <c r="A289" s="697"/>
      <c r="B289" s="697"/>
    </row>
    <row r="290" spans="1:2" ht="15.75">
      <c r="A290" s="697"/>
      <c r="B290" s="697"/>
    </row>
    <row r="291" spans="1:2" ht="15.75">
      <c r="A291" s="697"/>
      <c r="B291" s="697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84D9-74F3-457C-8269-FCD7D57DEC51}">
  <dimension ref="A2:AB32"/>
  <sheetViews>
    <sheetView workbookViewId="0">
      <selection activeCell="A12" sqref="A12"/>
    </sheetView>
  </sheetViews>
  <sheetFormatPr defaultRowHeight="11.25"/>
  <cols>
    <col min="1" max="1" width="25.1640625" customWidth="1"/>
    <col min="257" max="257" width="25.1640625" customWidth="1"/>
    <col min="513" max="513" width="25.1640625" customWidth="1"/>
    <col min="769" max="769" width="25.1640625" customWidth="1"/>
    <col min="1025" max="1025" width="25.1640625" customWidth="1"/>
    <col min="1281" max="1281" width="25.1640625" customWidth="1"/>
    <col min="1537" max="1537" width="25.1640625" customWidth="1"/>
    <col min="1793" max="1793" width="25.1640625" customWidth="1"/>
    <col min="2049" max="2049" width="25.1640625" customWidth="1"/>
    <col min="2305" max="2305" width="25.1640625" customWidth="1"/>
    <col min="2561" max="2561" width="25.1640625" customWidth="1"/>
    <col min="2817" max="2817" width="25.1640625" customWidth="1"/>
    <col min="3073" max="3073" width="25.1640625" customWidth="1"/>
    <col min="3329" max="3329" width="25.1640625" customWidth="1"/>
    <col min="3585" max="3585" width="25.1640625" customWidth="1"/>
    <col min="3841" max="3841" width="25.1640625" customWidth="1"/>
    <col min="4097" max="4097" width="25.1640625" customWidth="1"/>
    <col min="4353" max="4353" width="25.1640625" customWidth="1"/>
    <col min="4609" max="4609" width="25.1640625" customWidth="1"/>
    <col min="4865" max="4865" width="25.1640625" customWidth="1"/>
    <col min="5121" max="5121" width="25.1640625" customWidth="1"/>
    <col min="5377" max="5377" width="25.1640625" customWidth="1"/>
    <col min="5633" max="5633" width="25.1640625" customWidth="1"/>
    <col min="5889" max="5889" width="25.1640625" customWidth="1"/>
    <col min="6145" max="6145" width="25.1640625" customWidth="1"/>
    <col min="6401" max="6401" width="25.1640625" customWidth="1"/>
    <col min="6657" max="6657" width="25.1640625" customWidth="1"/>
    <col min="6913" max="6913" width="25.1640625" customWidth="1"/>
    <col min="7169" max="7169" width="25.1640625" customWidth="1"/>
    <col min="7425" max="7425" width="25.1640625" customWidth="1"/>
    <col min="7681" max="7681" width="25.1640625" customWidth="1"/>
    <col min="7937" max="7937" width="25.1640625" customWidth="1"/>
    <col min="8193" max="8193" width="25.1640625" customWidth="1"/>
    <col min="8449" max="8449" width="25.1640625" customWidth="1"/>
    <col min="8705" max="8705" width="25.1640625" customWidth="1"/>
    <col min="8961" max="8961" width="25.1640625" customWidth="1"/>
    <col min="9217" max="9217" width="25.1640625" customWidth="1"/>
    <col min="9473" max="9473" width="25.1640625" customWidth="1"/>
    <col min="9729" max="9729" width="25.1640625" customWidth="1"/>
    <col min="9985" max="9985" width="25.1640625" customWidth="1"/>
    <col min="10241" max="10241" width="25.1640625" customWidth="1"/>
    <col min="10497" max="10497" width="25.1640625" customWidth="1"/>
    <col min="10753" max="10753" width="25.1640625" customWidth="1"/>
    <col min="11009" max="11009" width="25.1640625" customWidth="1"/>
    <col min="11265" max="11265" width="25.1640625" customWidth="1"/>
    <col min="11521" max="11521" width="25.1640625" customWidth="1"/>
    <col min="11777" max="11777" width="25.1640625" customWidth="1"/>
    <col min="12033" max="12033" width="25.1640625" customWidth="1"/>
    <col min="12289" max="12289" width="25.1640625" customWidth="1"/>
    <col min="12545" max="12545" width="25.1640625" customWidth="1"/>
    <col min="12801" max="12801" width="25.1640625" customWidth="1"/>
    <col min="13057" max="13057" width="25.1640625" customWidth="1"/>
    <col min="13313" max="13313" width="25.1640625" customWidth="1"/>
    <col min="13569" max="13569" width="25.1640625" customWidth="1"/>
    <col min="13825" max="13825" width="25.1640625" customWidth="1"/>
    <col min="14081" max="14081" width="25.1640625" customWidth="1"/>
    <col min="14337" max="14337" width="25.1640625" customWidth="1"/>
    <col min="14593" max="14593" width="25.1640625" customWidth="1"/>
    <col min="14849" max="14849" width="25.1640625" customWidth="1"/>
    <col min="15105" max="15105" width="25.1640625" customWidth="1"/>
    <col min="15361" max="15361" width="25.1640625" customWidth="1"/>
    <col min="15617" max="15617" width="25.1640625" customWidth="1"/>
    <col min="15873" max="15873" width="25.1640625" customWidth="1"/>
    <col min="16129" max="16129" width="25.1640625" customWidth="1"/>
  </cols>
  <sheetData>
    <row r="2" spans="1:28" s="881" customFormat="1" ht="15">
      <c r="A2" s="881" t="s">
        <v>3840</v>
      </c>
    </row>
    <row r="3" spans="1:28" s="860" customFormat="1" ht="15"/>
    <row r="4" spans="1:28" s="861" customFormat="1" ht="12.75">
      <c r="D4" s="862">
        <v>2020</v>
      </c>
      <c r="E4" s="862"/>
      <c r="F4" s="862"/>
      <c r="G4" s="862"/>
      <c r="O4" s="861">
        <v>2020</v>
      </c>
      <c r="P4" s="934">
        <v>2021</v>
      </c>
    </row>
    <row r="5" spans="1:28" s="861" customFormat="1" ht="12.75">
      <c r="C5" s="861" t="s">
        <v>3841</v>
      </c>
      <c r="D5" s="862" t="s">
        <v>303</v>
      </c>
      <c r="E5" s="862" t="s">
        <v>630</v>
      </c>
      <c r="F5" s="862" t="s">
        <v>632</v>
      </c>
      <c r="G5" s="862" t="s">
        <v>683</v>
      </c>
      <c r="H5" s="862" t="s">
        <v>632</v>
      </c>
      <c r="I5" s="862" t="s">
        <v>303</v>
      </c>
      <c r="J5" s="862" t="s">
        <v>303</v>
      </c>
      <c r="K5" s="862" t="s">
        <v>683</v>
      </c>
      <c r="L5" s="862" t="s">
        <v>304</v>
      </c>
      <c r="M5" s="862" t="s">
        <v>305</v>
      </c>
      <c r="N5" s="862" t="s">
        <v>306</v>
      </c>
      <c r="O5" s="862" t="s">
        <v>686</v>
      </c>
      <c r="P5" s="862" t="s">
        <v>303</v>
      </c>
      <c r="Q5" s="862" t="s">
        <v>630</v>
      </c>
      <c r="R5" s="862" t="s">
        <v>632</v>
      </c>
      <c r="S5" s="862" t="s">
        <v>683</v>
      </c>
      <c r="T5" s="862" t="s">
        <v>632</v>
      </c>
      <c r="U5" s="862" t="s">
        <v>303</v>
      </c>
      <c r="V5" s="862" t="s">
        <v>303</v>
      </c>
      <c r="W5" s="862" t="s">
        <v>683</v>
      </c>
      <c r="X5" s="862" t="s">
        <v>304</v>
      </c>
      <c r="Y5" s="862" t="s">
        <v>305</v>
      </c>
      <c r="Z5" s="862" t="s">
        <v>306</v>
      </c>
      <c r="AA5" s="862" t="s">
        <v>686</v>
      </c>
      <c r="AB5" s="861" t="s">
        <v>302</v>
      </c>
    </row>
    <row r="6" spans="1:28" s="861" customFormat="1" ht="12.75">
      <c r="A6" s="861" t="s">
        <v>1344</v>
      </c>
      <c r="B6" s="935" t="s">
        <v>3842</v>
      </c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7">
        <v>2</v>
      </c>
      <c r="O6" s="936"/>
    </row>
    <row r="7" spans="1:28" s="861" customFormat="1" ht="12.75">
      <c r="A7" s="861" t="s">
        <v>307</v>
      </c>
      <c r="C7" s="936">
        <f>+AVERAGE(D7:O7)</f>
        <v>14.921190000000001</v>
      </c>
      <c r="D7" s="938">
        <v>9</v>
      </c>
      <c r="E7" s="938">
        <v>10</v>
      </c>
      <c r="F7" s="938">
        <v>13</v>
      </c>
      <c r="G7" s="938">
        <v>14</v>
      </c>
      <c r="H7" s="938">
        <v>15</v>
      </c>
      <c r="I7" s="938">
        <v>16</v>
      </c>
      <c r="J7" s="938">
        <v>17</v>
      </c>
      <c r="K7" s="938">
        <v>17</v>
      </c>
      <c r="L7" s="938">
        <v>17</v>
      </c>
      <c r="M7" s="938">
        <v>16.399999999999999</v>
      </c>
      <c r="N7" s="939">
        <f>2*N8-N9</f>
        <v>17.013999999999999</v>
      </c>
      <c r="O7" s="939">
        <f>2*O8-O9</f>
        <v>17.640280000000001</v>
      </c>
      <c r="P7" s="939">
        <f>2*P8-P9</f>
        <v>18.279085599999998</v>
      </c>
      <c r="Q7" s="939">
        <f t="shared" ref="Q7:AA7" si="0">2*Q8-Q9</f>
        <v>18.930667312000001</v>
      </c>
      <c r="R7" s="939">
        <f t="shared" si="0"/>
        <v>19.595280658240004</v>
      </c>
      <c r="S7" s="939">
        <f t="shared" si="0"/>
        <v>20.273186271404807</v>
      </c>
      <c r="T7" s="939">
        <f t="shared" si="0"/>
        <v>20.9646499968329</v>
      </c>
      <c r="U7" s="939">
        <f t="shared" si="0"/>
        <v>21.66994299676956</v>
      </c>
      <c r="V7" s="939">
        <f t="shared" si="0"/>
        <v>22.389341856704949</v>
      </c>
      <c r="W7" s="939">
        <f t="shared" si="0"/>
        <v>23.123128693839046</v>
      </c>
      <c r="X7" s="939">
        <f t="shared" si="0"/>
        <v>23.871591267715825</v>
      </c>
      <c r="Y7" s="939">
        <f t="shared" si="0"/>
        <v>24.635023093070142</v>
      </c>
      <c r="Z7" s="939">
        <f t="shared" si="0"/>
        <v>25.413723554931547</v>
      </c>
      <c r="AA7" s="939">
        <f t="shared" si="0"/>
        <v>26.207998026030179</v>
      </c>
      <c r="AB7" s="936">
        <f>AVERAGE(P7:AA7)</f>
        <v>22.112801610628249</v>
      </c>
    </row>
    <row r="8" spans="1:28" s="861" customFormat="1" ht="12.75">
      <c r="A8" s="861" t="s">
        <v>3843</v>
      </c>
      <c r="B8" s="861" t="s">
        <v>1344</v>
      </c>
      <c r="C8" s="936">
        <f>+AVERAGE(D8:O8)</f>
        <v>12.079344999999998</v>
      </c>
      <c r="D8" s="939">
        <f t="shared" ref="D8:M8" si="1">0.5*D7+0.5*D9</f>
        <v>8.2750000000000004</v>
      </c>
      <c r="E8" s="939">
        <f t="shared" si="1"/>
        <v>8.7750000000000004</v>
      </c>
      <c r="F8" s="939">
        <f t="shared" si="1"/>
        <v>10.275</v>
      </c>
      <c r="G8" s="939">
        <f t="shared" si="1"/>
        <v>10.775</v>
      </c>
      <c r="H8" s="939">
        <f t="shared" si="1"/>
        <v>11.275</v>
      </c>
      <c r="I8" s="939">
        <f t="shared" si="1"/>
        <v>11.775</v>
      </c>
      <c r="J8" s="939">
        <f t="shared" si="1"/>
        <v>12.275</v>
      </c>
      <c r="K8" s="939">
        <f t="shared" si="1"/>
        <v>12.275</v>
      </c>
      <c r="L8" s="939">
        <f t="shared" si="1"/>
        <v>12.275</v>
      </c>
      <c r="M8" s="939">
        <f t="shared" si="1"/>
        <v>15.35</v>
      </c>
      <c r="N8" s="940">
        <f>+M8*(1+$N6/100)</f>
        <v>15.657</v>
      </c>
      <c r="O8" s="940">
        <f t="shared" ref="O8:AA8" si="2">+N8*(1+$N6/100)</f>
        <v>15.970140000000001</v>
      </c>
      <c r="P8" s="940">
        <f t="shared" si="2"/>
        <v>16.2895428</v>
      </c>
      <c r="Q8" s="940">
        <f t="shared" si="2"/>
        <v>16.615333656000001</v>
      </c>
      <c r="R8" s="940">
        <f t="shared" si="2"/>
        <v>16.947640329120002</v>
      </c>
      <c r="S8" s="940">
        <f t="shared" si="2"/>
        <v>17.286593135702404</v>
      </c>
      <c r="T8" s="940">
        <f t="shared" si="2"/>
        <v>17.632324998416451</v>
      </c>
      <c r="U8" s="940">
        <f t="shared" si="2"/>
        <v>17.98497149838478</v>
      </c>
      <c r="V8" s="940">
        <f t="shared" si="2"/>
        <v>18.344670928352475</v>
      </c>
      <c r="W8" s="940">
        <f t="shared" si="2"/>
        <v>18.711564346919523</v>
      </c>
      <c r="X8" s="940">
        <f t="shared" si="2"/>
        <v>19.085795633857913</v>
      </c>
      <c r="Y8" s="940">
        <f t="shared" si="2"/>
        <v>19.467511546535071</v>
      </c>
      <c r="Z8" s="940">
        <f t="shared" si="2"/>
        <v>19.856861777465774</v>
      </c>
      <c r="AA8" s="940">
        <f t="shared" si="2"/>
        <v>20.25399901301509</v>
      </c>
      <c r="AB8" s="936">
        <f>AVERAGE(P8:AA8)</f>
        <v>18.206400805314122</v>
      </c>
    </row>
    <row r="9" spans="1:28" s="861" customFormat="1" ht="12.75">
      <c r="A9" s="861" t="s">
        <v>308</v>
      </c>
      <c r="C9" s="862">
        <v>7.55</v>
      </c>
      <c r="D9" s="941">
        <f t="shared" ref="D9:L9" si="3">+C9</f>
        <v>7.55</v>
      </c>
      <c r="E9" s="941">
        <f t="shared" si="3"/>
        <v>7.55</v>
      </c>
      <c r="F9" s="941">
        <f t="shared" si="3"/>
        <v>7.55</v>
      </c>
      <c r="G9" s="941">
        <f t="shared" si="3"/>
        <v>7.55</v>
      </c>
      <c r="H9" s="941">
        <f t="shared" si="3"/>
        <v>7.55</v>
      </c>
      <c r="I9" s="941">
        <f t="shared" si="3"/>
        <v>7.55</v>
      </c>
      <c r="J9" s="941">
        <f t="shared" si="3"/>
        <v>7.55</v>
      </c>
      <c r="K9" s="941">
        <f t="shared" si="3"/>
        <v>7.55</v>
      </c>
      <c r="L9" s="941">
        <f t="shared" si="3"/>
        <v>7.55</v>
      </c>
      <c r="M9" s="942">
        <v>14.3</v>
      </c>
      <c r="N9" s="943">
        <f t="shared" ref="N9:AA9" si="4">+M9</f>
        <v>14.3</v>
      </c>
      <c r="O9" s="943">
        <f t="shared" si="4"/>
        <v>14.3</v>
      </c>
      <c r="P9" s="943">
        <f t="shared" si="4"/>
        <v>14.3</v>
      </c>
      <c r="Q9" s="943">
        <f t="shared" si="4"/>
        <v>14.3</v>
      </c>
      <c r="R9" s="943">
        <f t="shared" si="4"/>
        <v>14.3</v>
      </c>
      <c r="S9" s="943">
        <f t="shared" si="4"/>
        <v>14.3</v>
      </c>
      <c r="T9" s="943">
        <f t="shared" si="4"/>
        <v>14.3</v>
      </c>
      <c r="U9" s="943">
        <f t="shared" si="4"/>
        <v>14.3</v>
      </c>
      <c r="V9" s="943">
        <f t="shared" si="4"/>
        <v>14.3</v>
      </c>
      <c r="W9" s="943">
        <f t="shared" si="4"/>
        <v>14.3</v>
      </c>
      <c r="X9" s="943">
        <f t="shared" si="4"/>
        <v>14.3</v>
      </c>
      <c r="Y9" s="943">
        <f t="shared" si="4"/>
        <v>14.3</v>
      </c>
      <c r="Z9" s="943">
        <f t="shared" si="4"/>
        <v>14.3</v>
      </c>
      <c r="AA9" s="943">
        <f t="shared" si="4"/>
        <v>14.3</v>
      </c>
      <c r="AB9" s="936">
        <f>AVERAGE(P9:AA9)</f>
        <v>14.300000000000002</v>
      </c>
    </row>
    <row r="10" spans="1:28" s="861" customFormat="1" ht="12.75">
      <c r="D10" s="862"/>
      <c r="E10" s="862"/>
      <c r="F10" s="862"/>
      <c r="G10" s="862"/>
    </row>
    <row r="11" spans="1:28" s="861" customFormat="1" ht="12.75">
      <c r="D11" s="862"/>
      <c r="E11" s="862"/>
      <c r="F11" s="862"/>
      <c r="G11" s="862"/>
    </row>
    <row r="12" spans="1:28" s="861" customFormat="1" ht="12.75">
      <c r="D12" s="862"/>
      <c r="E12" s="862"/>
      <c r="F12" s="862"/>
      <c r="G12" s="862"/>
    </row>
    <row r="13" spans="1:28" s="861" customFormat="1" ht="12.75">
      <c r="E13" s="862"/>
      <c r="F13" s="862"/>
      <c r="G13" s="862"/>
      <c r="H13" s="862"/>
      <c r="I13" s="862"/>
    </row>
    <row r="14" spans="1:28" s="861" customFormat="1" ht="12.75">
      <c r="E14" s="862"/>
      <c r="F14" s="862"/>
      <c r="G14" s="862"/>
      <c r="H14" s="862"/>
      <c r="I14" s="862"/>
    </row>
    <row r="15" spans="1:28" s="861" customFormat="1" ht="12.75">
      <c r="E15" s="862"/>
      <c r="F15" s="862"/>
      <c r="G15" s="862"/>
      <c r="H15" s="862"/>
      <c r="I15" s="862"/>
    </row>
    <row r="16" spans="1:28" s="861" customFormat="1" ht="12.75">
      <c r="E16" s="862"/>
      <c r="F16" s="862"/>
      <c r="G16" s="862"/>
      <c r="H16" s="862"/>
      <c r="I16" s="862"/>
    </row>
    <row r="17" spans="5:9" s="861" customFormat="1" ht="12.75">
      <c r="E17" s="862"/>
      <c r="F17" s="862"/>
      <c r="G17" s="862"/>
      <c r="H17" s="862"/>
      <c r="I17" s="862"/>
    </row>
    <row r="18" spans="5:9" s="861" customFormat="1" ht="12.75">
      <c r="E18" s="862"/>
      <c r="F18" s="862"/>
      <c r="G18" s="862"/>
      <c r="H18" s="862"/>
      <c r="I18" s="862"/>
    </row>
    <row r="19" spans="5:9" s="861" customFormat="1" ht="12.75">
      <c r="E19" s="862"/>
      <c r="F19" s="862"/>
      <c r="G19" s="862"/>
      <c r="H19" s="862"/>
      <c r="I19" s="862"/>
    </row>
    <row r="20" spans="5:9" s="861" customFormat="1" ht="12.75">
      <c r="E20" s="862"/>
      <c r="F20" s="862"/>
      <c r="G20" s="862"/>
      <c r="H20" s="862"/>
      <c r="I20" s="862"/>
    </row>
    <row r="21" spans="5:9" s="861" customFormat="1" ht="12.75">
      <c r="E21" s="862"/>
      <c r="F21" s="862"/>
      <c r="G21" s="862"/>
      <c r="H21" s="862"/>
      <c r="I21" s="862"/>
    </row>
    <row r="22" spans="5:9" s="861" customFormat="1" ht="12.75">
      <c r="E22" s="862"/>
      <c r="F22" s="862"/>
      <c r="G22" s="862"/>
      <c r="H22" s="862"/>
      <c r="I22" s="862"/>
    </row>
    <row r="23" spans="5:9" s="861" customFormat="1" ht="12.75">
      <c r="E23" s="862"/>
      <c r="F23" s="862"/>
      <c r="G23" s="862"/>
      <c r="H23" s="862"/>
      <c r="I23" s="862"/>
    </row>
    <row r="24" spans="5:9" s="861" customFormat="1" ht="12.75">
      <c r="E24" s="862"/>
      <c r="F24" s="862"/>
      <c r="G24" s="862"/>
      <c r="H24" s="862"/>
      <c r="I24" s="862"/>
    </row>
    <row r="25" spans="5:9" s="861" customFormat="1" ht="12.75">
      <c r="E25" s="862"/>
      <c r="F25" s="862"/>
      <c r="G25" s="862"/>
      <c r="H25" s="862"/>
      <c r="I25" s="862"/>
    </row>
    <row r="26" spans="5:9" s="861" customFormat="1" ht="12.75">
      <c r="E26" s="862"/>
      <c r="F26" s="862"/>
      <c r="G26" s="862"/>
      <c r="H26" s="862"/>
      <c r="I26" s="862"/>
    </row>
    <row r="27" spans="5:9" s="861" customFormat="1" ht="12.75">
      <c r="E27" s="862"/>
      <c r="F27" s="862"/>
      <c r="G27" s="862"/>
      <c r="H27" s="862"/>
      <c r="I27" s="862"/>
    </row>
    <row r="28" spans="5:9" s="861" customFormat="1" ht="12.75">
      <c r="E28" s="862"/>
      <c r="F28" s="862"/>
      <c r="G28" s="862"/>
      <c r="H28" s="862"/>
      <c r="I28" s="862"/>
    </row>
    <row r="29" spans="5:9" s="861" customFormat="1" ht="12.75">
      <c r="E29" s="862"/>
      <c r="F29" s="862"/>
      <c r="G29" s="862"/>
      <c r="H29" s="862"/>
      <c r="I29" s="862"/>
    </row>
    <row r="30" spans="5:9" s="861" customFormat="1" ht="12.75">
      <c r="E30" s="862"/>
      <c r="F30" s="862"/>
      <c r="G30" s="862"/>
      <c r="H30" s="862"/>
      <c r="I30" s="862"/>
    </row>
    <row r="31" spans="5:9" s="861" customFormat="1" ht="12.75">
      <c r="E31" s="862"/>
      <c r="F31" s="862"/>
      <c r="G31" s="862"/>
      <c r="H31" s="862"/>
      <c r="I31" s="862"/>
    </row>
    <row r="32" spans="5:9" s="861" customFormat="1" ht="12.75">
      <c r="E32" s="862"/>
      <c r="F32" s="862"/>
      <c r="G32" s="862"/>
      <c r="H32" s="862"/>
      <c r="I32" s="86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0DFF-495E-468A-8821-171A3E4FC5A6}">
  <dimension ref="A1:CR201"/>
  <sheetViews>
    <sheetView zoomScaleNormal="100" workbookViewId="0">
      <pane xSplit="6" ySplit="5" topLeftCell="G34" activePane="bottomRight" state="frozen"/>
      <selection pane="topRight" activeCell="B1" sqref="B1"/>
      <selection pane="bottomLeft" activeCell="A6" sqref="A6"/>
      <selection pane="bottomRight" activeCell="R38" sqref="R38"/>
    </sheetView>
  </sheetViews>
  <sheetFormatPr defaultColWidth="10.6640625" defaultRowHeight="15"/>
  <cols>
    <col min="1" max="1" width="30.5" style="860" customWidth="1"/>
    <col min="2" max="5" width="2.1640625" style="860" customWidth="1"/>
    <col min="6" max="18" width="7.6640625" style="860" customWidth="1"/>
    <col min="19" max="19" width="5.5" style="860" customWidth="1"/>
    <col min="20" max="23" width="7.6640625" style="860" customWidth="1"/>
    <col min="24" max="24" width="6.6640625" style="860" customWidth="1"/>
    <col min="25" max="16384" width="10.6640625" style="860"/>
  </cols>
  <sheetData>
    <row r="1" spans="1:96">
      <c r="A1" s="399" t="s">
        <v>1776</v>
      </c>
      <c r="B1" s="399"/>
      <c r="C1" s="399"/>
      <c r="D1" s="399"/>
      <c r="E1" s="399"/>
      <c r="F1" s="289" t="s">
        <v>207</v>
      </c>
      <c r="G1" s="290"/>
      <c r="H1" s="290"/>
      <c r="I1" s="290"/>
      <c r="J1" s="290"/>
      <c r="K1" s="291"/>
      <c r="L1" s="291"/>
      <c r="M1" s="291" t="s">
        <v>208</v>
      </c>
      <c r="N1" s="291"/>
      <c r="O1" s="291"/>
      <c r="P1" s="515" t="s">
        <v>1478</v>
      </c>
      <c r="Q1" s="292">
        <v>2020</v>
      </c>
      <c r="R1" s="291"/>
      <c r="S1" s="291"/>
      <c r="T1" s="291"/>
      <c r="U1" s="291"/>
      <c r="V1" s="291"/>
      <c r="W1" s="932"/>
    </row>
    <row r="2" spans="1:96">
      <c r="A2" s="401" t="s">
        <v>231</v>
      </c>
      <c r="B2" s="401"/>
      <c r="C2" s="401"/>
      <c r="D2" s="401"/>
      <c r="E2" s="401"/>
      <c r="F2" s="293" t="s">
        <v>210</v>
      </c>
      <c r="G2" s="291"/>
      <c r="H2" s="291"/>
      <c r="I2" s="291"/>
      <c r="J2" s="291"/>
      <c r="K2" s="291"/>
      <c r="L2" s="291"/>
      <c r="M2" s="291"/>
      <c r="N2" s="291"/>
      <c r="O2" s="933"/>
      <c r="P2" s="294"/>
      <c r="Q2" s="291"/>
      <c r="R2" s="291"/>
      <c r="S2" s="291"/>
      <c r="T2" s="291"/>
      <c r="U2" s="291"/>
      <c r="V2" s="291"/>
      <c r="W2" s="932"/>
    </row>
    <row r="3" spans="1:96">
      <c r="A3" s="399" t="s">
        <v>1344</v>
      </c>
      <c r="B3" s="399"/>
      <c r="C3" s="399"/>
      <c r="D3" s="399"/>
      <c r="E3" s="399"/>
      <c r="F3" s="293" t="s">
        <v>211</v>
      </c>
      <c r="G3" s="291"/>
      <c r="H3" s="291"/>
      <c r="I3" s="291"/>
      <c r="J3" s="291"/>
      <c r="K3" s="291"/>
      <c r="L3" s="291"/>
      <c r="M3" s="291"/>
      <c r="N3" s="291"/>
      <c r="O3" s="293"/>
      <c r="P3" s="293"/>
      <c r="Q3" s="293"/>
      <c r="R3" s="293"/>
      <c r="S3" s="291"/>
      <c r="T3" s="291"/>
      <c r="U3" s="295">
        <v>2020</v>
      </c>
      <c r="V3" s="291"/>
      <c r="W3" s="932"/>
    </row>
    <row r="4" spans="1:96">
      <c r="A4" s="399" t="s">
        <v>1105</v>
      </c>
      <c r="B4" s="399"/>
      <c r="C4" s="399"/>
      <c r="D4" s="399"/>
      <c r="E4" s="399"/>
      <c r="F4" s="293" t="s">
        <v>212</v>
      </c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6">
        <v>4</v>
      </c>
      <c r="V4" s="291"/>
      <c r="W4" s="932"/>
      <c r="Y4" s="860">
        <v>2015</v>
      </c>
      <c r="AH4" s="860">
        <v>2015</v>
      </c>
      <c r="AK4" s="860">
        <v>2016</v>
      </c>
      <c r="AW4" s="860">
        <v>2017</v>
      </c>
      <c r="BI4" s="860">
        <v>2018</v>
      </c>
      <c r="CG4" s="860">
        <v>2019</v>
      </c>
    </row>
    <row r="5" spans="1:96">
      <c r="A5" s="399" t="s">
        <v>1106</v>
      </c>
      <c r="B5" s="399"/>
      <c r="C5" s="399"/>
      <c r="D5" s="399"/>
      <c r="E5" s="399"/>
      <c r="F5" s="931" t="s">
        <v>1344</v>
      </c>
      <c r="G5" s="927" t="s">
        <v>213</v>
      </c>
      <c r="H5" s="927" t="s">
        <v>214</v>
      </c>
      <c r="I5" s="927" t="s">
        <v>215</v>
      </c>
      <c r="J5" s="927" t="s">
        <v>216</v>
      </c>
      <c r="K5" s="927" t="s">
        <v>217</v>
      </c>
      <c r="L5" s="927" t="s">
        <v>218</v>
      </c>
      <c r="M5" s="927" t="s">
        <v>219</v>
      </c>
      <c r="N5" s="927" t="s">
        <v>220</v>
      </c>
      <c r="O5" s="927" t="s">
        <v>221</v>
      </c>
      <c r="P5" s="927" t="s">
        <v>222</v>
      </c>
      <c r="Q5" s="927" t="s">
        <v>223</v>
      </c>
      <c r="R5" s="927" t="s">
        <v>209</v>
      </c>
      <c r="S5" s="930"/>
      <c r="T5" s="929" t="s">
        <v>224</v>
      </c>
      <c r="U5" s="928" t="s">
        <v>225</v>
      </c>
      <c r="V5" s="889" t="s">
        <v>226</v>
      </c>
      <c r="W5" s="889" t="s">
        <v>227</v>
      </c>
      <c r="Y5" s="927" t="s">
        <v>213</v>
      </c>
      <c r="Z5" s="927" t="s">
        <v>214</v>
      </c>
      <c r="AA5" s="927" t="s">
        <v>215</v>
      </c>
      <c r="AB5" s="927" t="s">
        <v>216</v>
      </c>
      <c r="AC5" s="927" t="s">
        <v>217</v>
      </c>
      <c r="AD5" s="927" t="s">
        <v>218</v>
      </c>
      <c r="AE5" s="927" t="s">
        <v>219</v>
      </c>
      <c r="AF5" s="927" t="s">
        <v>220</v>
      </c>
      <c r="AG5" s="927" t="s">
        <v>221</v>
      </c>
      <c r="AH5" s="927" t="s">
        <v>222</v>
      </c>
      <c r="AI5" s="927" t="s">
        <v>223</v>
      </c>
      <c r="AJ5" s="927" t="s">
        <v>209</v>
      </c>
      <c r="AK5" s="927" t="s">
        <v>213</v>
      </c>
      <c r="AL5" s="927" t="s">
        <v>214</v>
      </c>
      <c r="AM5" s="927" t="s">
        <v>215</v>
      </c>
      <c r="AN5" s="927" t="s">
        <v>216</v>
      </c>
      <c r="AO5" s="927" t="s">
        <v>217</v>
      </c>
      <c r="AP5" s="927" t="s">
        <v>218</v>
      </c>
      <c r="AQ5" s="927" t="s">
        <v>219</v>
      </c>
      <c r="AR5" s="927" t="s">
        <v>220</v>
      </c>
      <c r="AS5" s="927" t="s">
        <v>221</v>
      </c>
      <c r="AT5" s="927" t="s">
        <v>222</v>
      </c>
      <c r="AU5" s="927" t="s">
        <v>223</v>
      </c>
      <c r="AV5" s="927" t="s">
        <v>209</v>
      </c>
      <c r="AW5" s="927" t="s">
        <v>213</v>
      </c>
      <c r="AX5" s="927" t="s">
        <v>214</v>
      </c>
      <c r="AY5" s="927" t="s">
        <v>215</v>
      </c>
      <c r="AZ5" s="927" t="s">
        <v>216</v>
      </c>
      <c r="BA5" s="927" t="s">
        <v>217</v>
      </c>
      <c r="BB5" s="927" t="s">
        <v>218</v>
      </c>
      <c r="BC5" s="927" t="s">
        <v>219</v>
      </c>
      <c r="BD5" s="927" t="s">
        <v>220</v>
      </c>
      <c r="BE5" s="927" t="s">
        <v>221</v>
      </c>
      <c r="BF5" s="927" t="s">
        <v>222</v>
      </c>
      <c r="BG5" s="927" t="s">
        <v>223</v>
      </c>
      <c r="BH5" s="927" t="s">
        <v>209</v>
      </c>
      <c r="BI5" s="927" t="s">
        <v>213</v>
      </c>
      <c r="BJ5" s="927" t="s">
        <v>214</v>
      </c>
      <c r="BK5" s="927" t="s">
        <v>215</v>
      </c>
      <c r="BL5" s="927" t="s">
        <v>216</v>
      </c>
      <c r="BM5" s="927" t="s">
        <v>217</v>
      </c>
      <c r="BN5" s="927" t="s">
        <v>218</v>
      </c>
      <c r="BO5" s="927" t="s">
        <v>219</v>
      </c>
      <c r="BP5" s="927" t="s">
        <v>220</v>
      </c>
      <c r="BQ5" s="927" t="s">
        <v>221</v>
      </c>
      <c r="BR5" s="927" t="s">
        <v>222</v>
      </c>
      <c r="BS5" s="927" t="s">
        <v>223</v>
      </c>
      <c r="BT5" s="927" t="s">
        <v>209</v>
      </c>
      <c r="BU5" s="927" t="s">
        <v>213</v>
      </c>
      <c r="BV5" s="927" t="s">
        <v>214</v>
      </c>
      <c r="BW5" s="927" t="s">
        <v>215</v>
      </c>
      <c r="BX5" s="927" t="s">
        <v>216</v>
      </c>
      <c r="BY5" s="927" t="s">
        <v>217</v>
      </c>
      <c r="BZ5" s="927" t="s">
        <v>218</v>
      </c>
      <c r="CA5" s="927" t="s">
        <v>219</v>
      </c>
      <c r="CB5" s="927" t="s">
        <v>220</v>
      </c>
      <c r="CC5" s="927" t="s">
        <v>221</v>
      </c>
      <c r="CD5" s="927" t="s">
        <v>222</v>
      </c>
      <c r="CE5" s="927" t="s">
        <v>223</v>
      </c>
      <c r="CF5" s="927" t="s">
        <v>209</v>
      </c>
      <c r="CG5" s="927" t="s">
        <v>213</v>
      </c>
      <c r="CH5" s="927" t="s">
        <v>214</v>
      </c>
      <c r="CI5" s="927" t="s">
        <v>215</v>
      </c>
      <c r="CJ5" s="927" t="s">
        <v>216</v>
      </c>
      <c r="CK5" s="927" t="s">
        <v>217</v>
      </c>
      <c r="CL5" s="927" t="s">
        <v>218</v>
      </c>
      <c r="CM5" s="927" t="s">
        <v>219</v>
      </c>
      <c r="CN5" s="927" t="s">
        <v>220</v>
      </c>
      <c r="CO5" s="927" t="s">
        <v>221</v>
      </c>
      <c r="CP5" s="927" t="s">
        <v>222</v>
      </c>
      <c r="CQ5" s="927" t="s">
        <v>223</v>
      </c>
      <c r="CR5" s="927" t="s">
        <v>209</v>
      </c>
    </row>
    <row r="6" spans="1:96" s="881" customFormat="1">
      <c r="A6" s="881" t="s">
        <v>1776</v>
      </c>
      <c r="F6" s="926"/>
      <c r="G6" s="925"/>
      <c r="H6" s="925"/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4"/>
      <c r="T6" s="923"/>
      <c r="U6" s="922"/>
      <c r="V6" s="921"/>
      <c r="W6" s="921"/>
    </row>
    <row r="7" spans="1:96">
      <c r="A7" s="860" t="s">
        <v>1776</v>
      </c>
      <c r="F7" s="915">
        <v>1990</v>
      </c>
      <c r="G7" s="297">
        <v>0.75590000000000002</v>
      </c>
      <c r="H7" s="297">
        <v>0.75970000000000004</v>
      </c>
      <c r="I7" s="297">
        <v>0.75870000000000004</v>
      </c>
      <c r="J7" s="297">
        <v>0.77090000000000003</v>
      </c>
      <c r="K7" s="297">
        <v>0.78839999999999999</v>
      </c>
      <c r="L7" s="297">
        <v>0.79330000000000001</v>
      </c>
      <c r="M7" s="297">
        <v>0.8105</v>
      </c>
      <c r="N7" s="297">
        <v>0.83420000000000005</v>
      </c>
      <c r="O7" s="297">
        <v>0.84439999999999993</v>
      </c>
      <c r="P7" s="297">
        <v>0.86950000000000005</v>
      </c>
      <c r="Q7" s="297">
        <v>0.8822000000000001</v>
      </c>
      <c r="R7" s="297">
        <v>0.88249999999999995</v>
      </c>
      <c r="S7" s="920"/>
      <c r="T7" s="889">
        <f t="shared" ref="T7:T29" si="0">SUM(G7:R7)/12</f>
        <v>0.81251666666666689</v>
      </c>
      <c r="U7" s="889" t="s">
        <v>1344</v>
      </c>
      <c r="V7" s="889"/>
      <c r="W7" s="889"/>
      <c r="Y7" s="883">
        <v>0.95274390243902451</v>
      </c>
      <c r="Z7" s="883">
        <v>0.9557926829268294</v>
      </c>
      <c r="AA7" s="883">
        <v>0.96189024390243916</v>
      </c>
      <c r="AB7" s="883">
        <v>0.96189024390243916</v>
      </c>
      <c r="AC7" s="883">
        <v>0.97408536585365857</v>
      </c>
      <c r="AD7" s="883">
        <v>0.99390243902439035</v>
      </c>
      <c r="AE7" s="883">
        <v>1</v>
      </c>
      <c r="AF7" s="883">
        <v>0.99847560975609762</v>
      </c>
      <c r="AG7" s="883">
        <v>0.99695121951219534</v>
      </c>
      <c r="AH7" s="883">
        <v>1</v>
      </c>
      <c r="AI7" s="883">
        <v>1.1554878048780488</v>
      </c>
      <c r="AJ7" s="883">
        <v>1.1951219512195124</v>
      </c>
      <c r="AK7" s="883">
        <v>1.2332317073170733</v>
      </c>
      <c r="AL7" s="883">
        <v>1.2698170731707317</v>
      </c>
      <c r="AM7" s="883">
        <v>1.3140243902439026</v>
      </c>
      <c r="AN7" s="883">
        <v>1.4375</v>
      </c>
      <c r="AO7" s="883">
        <v>1.5365853658536586</v>
      </c>
      <c r="AP7" s="883">
        <v>1.5975609756097562</v>
      </c>
      <c r="AQ7" s="883">
        <v>1.625</v>
      </c>
      <c r="AR7" s="883">
        <v>1.6783536585365855</v>
      </c>
      <c r="AS7" s="883">
        <v>1.7652439024390245</v>
      </c>
      <c r="AT7" s="883">
        <v>1.7911585365853659</v>
      </c>
      <c r="AU7" s="883">
        <v>1.8170731707317076</v>
      </c>
      <c r="AV7" s="883">
        <v>1.8201219512195124</v>
      </c>
      <c r="AW7" s="883">
        <v>1.8338414634146343</v>
      </c>
      <c r="AX7" s="883">
        <v>1.8445121951219514</v>
      </c>
      <c r="AY7" s="883">
        <v>1.8628048780487807</v>
      </c>
      <c r="AZ7" s="883">
        <v>1.88109756097561</v>
      </c>
      <c r="BA7" s="883">
        <v>1.8905030487804879</v>
      </c>
      <c r="BB7" s="883">
        <v>1.9131097560975612</v>
      </c>
      <c r="BC7" s="883">
        <v>1.9390243902439026</v>
      </c>
      <c r="BD7" s="883">
        <v>1.9506585365853659</v>
      </c>
      <c r="BE7" s="883">
        <v>1.971036585365854</v>
      </c>
      <c r="BF7" s="883">
        <v>1.9847560975609757</v>
      </c>
      <c r="BG7" s="883">
        <v>1.9847560975609757</v>
      </c>
      <c r="BH7" s="883">
        <v>1.9887256097560977</v>
      </c>
      <c r="BI7" s="883">
        <v>2.0015243902439028</v>
      </c>
      <c r="BJ7" s="883">
        <v>2.0213414634146343</v>
      </c>
      <c r="BK7" s="883">
        <v>2.0243902439024395</v>
      </c>
      <c r="BL7" s="883">
        <v>2.0289634146341466</v>
      </c>
      <c r="BM7" s="883">
        <v>2.0376016260162602</v>
      </c>
      <c r="BN7" s="883">
        <v>2.0462398373983741</v>
      </c>
      <c r="BO7" s="883">
        <v>2.0548780487804881</v>
      </c>
      <c r="BP7" s="883">
        <v>2.0701219512195124</v>
      </c>
      <c r="BQ7" s="883">
        <v>2.0792682926829271</v>
      </c>
      <c r="BR7" s="883">
        <v>2.0884146341463414</v>
      </c>
      <c r="BS7" s="883">
        <v>2.092987804878049</v>
      </c>
      <c r="BT7" s="883">
        <v>2.0975609756097562</v>
      </c>
      <c r="BU7" s="883">
        <v>2.1112804878048781</v>
      </c>
      <c r="BV7" s="883">
        <v>2.1082317073170733</v>
      </c>
      <c r="BW7" s="883">
        <v>2.1082317073170733</v>
      </c>
      <c r="BX7" s="883">
        <v>2.1219512195121952</v>
      </c>
      <c r="BY7" s="883">
        <v>2.13109756097561</v>
      </c>
      <c r="BZ7" s="883">
        <v>2.1387195121951224</v>
      </c>
      <c r="CA7" s="883">
        <v>2.1448170731707319</v>
      </c>
      <c r="CB7" s="883">
        <v>2.1524390243902438</v>
      </c>
      <c r="CC7" s="883">
        <v>2.1631097560975614</v>
      </c>
      <c r="CD7" s="883">
        <v>2.1768292682926833</v>
      </c>
      <c r="CE7" s="883">
        <v>2.1814024390243905</v>
      </c>
      <c r="CF7" s="883">
        <v>2.1901280487804877</v>
      </c>
    </row>
    <row r="8" spans="1:96">
      <c r="A8" s="860" t="s">
        <v>231</v>
      </c>
      <c r="F8" s="915">
        <v>1991</v>
      </c>
      <c r="G8" s="297">
        <v>0.92679999999999996</v>
      </c>
      <c r="H8" s="297">
        <v>0.98299999999999998</v>
      </c>
      <c r="I8" s="297">
        <v>0.95140000000000002</v>
      </c>
      <c r="J8" s="297">
        <v>0.95520000000000005</v>
      </c>
      <c r="K8" s="297">
        <v>0.94289999999999996</v>
      </c>
      <c r="L8" s="297">
        <v>1.0024</v>
      </c>
      <c r="M8" s="297">
        <v>1.0261</v>
      </c>
      <c r="N8" s="297">
        <v>1.0339</v>
      </c>
      <c r="O8" s="297">
        <v>1.0745</v>
      </c>
      <c r="P8" s="297">
        <v>1.1133</v>
      </c>
      <c r="Q8" s="297">
        <v>1.1311</v>
      </c>
      <c r="R8" s="297">
        <v>1.1474000000000002</v>
      </c>
      <c r="S8" s="920"/>
      <c r="T8" s="889">
        <f t="shared" si="0"/>
        <v>1.024</v>
      </c>
      <c r="U8" s="889">
        <f t="shared" ref="U8:U29" si="1">(T8/T7-1)*100</f>
        <v>26.02818403725049</v>
      </c>
      <c r="V8" s="889">
        <f t="shared" ref="V8:V29" si="2">+(R8/R7-1)*100</f>
        <v>30.016997167138836</v>
      </c>
      <c r="W8" s="889">
        <f t="shared" ref="W8:W29" si="3">+(R8/T8-1)*100</f>
        <v>12.050781250000009</v>
      </c>
      <c r="Y8" s="860">
        <v>3.35</v>
      </c>
      <c r="Z8" s="860">
        <v>3.35</v>
      </c>
      <c r="AA8" s="860">
        <v>3.35</v>
      </c>
      <c r="AB8" s="860">
        <v>3.35</v>
      </c>
      <c r="AC8" s="860">
        <v>3.35</v>
      </c>
      <c r="AD8" s="860">
        <v>3.35</v>
      </c>
      <c r="AE8" s="860">
        <v>3.35</v>
      </c>
      <c r="AF8" s="860">
        <v>3.35</v>
      </c>
      <c r="AG8" s="860">
        <v>3.35</v>
      </c>
      <c r="AH8" s="860">
        <v>3.35</v>
      </c>
      <c r="AI8" s="860">
        <v>4.2</v>
      </c>
      <c r="AJ8" s="860">
        <v>4.5999999999999996</v>
      </c>
      <c r="AK8" s="860">
        <v>4.9000000000000004</v>
      </c>
      <c r="AL8" s="860">
        <v>5</v>
      </c>
      <c r="AM8" s="860">
        <v>5.16</v>
      </c>
      <c r="AN8" s="860">
        <v>5.4024999999999999</v>
      </c>
      <c r="AO8" s="860">
        <v>6.2</v>
      </c>
      <c r="AP8" s="860">
        <v>7</v>
      </c>
      <c r="AQ8" s="860">
        <v>7.2</v>
      </c>
      <c r="AR8" s="860">
        <v>7.3</v>
      </c>
      <c r="AS8" s="860">
        <v>7.7</v>
      </c>
      <c r="AT8" s="860">
        <v>7.3</v>
      </c>
      <c r="AU8" s="860">
        <v>7.3</v>
      </c>
      <c r="AV8" s="860">
        <v>7.5</v>
      </c>
      <c r="AW8" s="860">
        <v>7.4359999999999999</v>
      </c>
      <c r="AX8" s="860">
        <v>7.48</v>
      </c>
      <c r="AY8" s="860">
        <v>7.6</v>
      </c>
      <c r="AZ8" s="860">
        <v>7.6</v>
      </c>
      <c r="BA8" s="860">
        <v>7.6</v>
      </c>
      <c r="BB8" s="860">
        <v>7.6</v>
      </c>
      <c r="BC8" s="860">
        <v>7.5</v>
      </c>
      <c r="BD8" s="860">
        <v>7.5</v>
      </c>
      <c r="BE8" s="860">
        <v>7.5</v>
      </c>
      <c r="BF8" s="860">
        <v>7.5</v>
      </c>
      <c r="BG8" s="860">
        <v>7.5</v>
      </c>
      <c r="BH8" s="860">
        <v>7.5</v>
      </c>
      <c r="BI8" s="860">
        <v>8</v>
      </c>
      <c r="BJ8" s="860">
        <v>8</v>
      </c>
      <c r="BK8" s="860">
        <v>8</v>
      </c>
      <c r="BL8" s="860">
        <v>8</v>
      </c>
      <c r="BM8" s="860">
        <v>8</v>
      </c>
      <c r="BN8" s="860">
        <v>8</v>
      </c>
      <c r="BO8" s="860">
        <v>8</v>
      </c>
      <c r="BP8" s="860">
        <v>8</v>
      </c>
      <c r="BQ8" s="860">
        <v>8</v>
      </c>
      <c r="BR8" s="860">
        <v>8</v>
      </c>
      <c r="BS8" s="860">
        <v>8</v>
      </c>
      <c r="BT8" s="860">
        <v>8</v>
      </c>
      <c r="BU8" s="860">
        <v>8.1999999999999993</v>
      </c>
      <c r="BV8" s="860">
        <v>8.1999999999999993</v>
      </c>
      <c r="BW8" s="860">
        <v>8.1999999999999993</v>
      </c>
      <c r="BX8" s="860">
        <v>8.1999999999999993</v>
      </c>
      <c r="BY8" s="860">
        <v>8.1999999999999993</v>
      </c>
      <c r="BZ8" s="860">
        <v>8.1999999999999993</v>
      </c>
      <c r="CA8" s="860">
        <v>8.1999999999999993</v>
      </c>
      <c r="CB8" s="860">
        <v>8.1999999999999993</v>
      </c>
      <c r="CC8" s="860">
        <v>8.1999999999999993</v>
      </c>
      <c r="CD8" s="860">
        <v>8.1999999999999993</v>
      </c>
      <c r="CE8" s="860">
        <v>8.1999999999999993</v>
      </c>
      <c r="CF8" s="860">
        <v>8.1999999999999993</v>
      </c>
    </row>
    <row r="9" spans="1:96">
      <c r="F9" s="915">
        <v>1992</v>
      </c>
      <c r="G9" s="297">
        <v>1.2127000000000001</v>
      </c>
      <c r="H9" s="297">
        <v>1.2425999999999999</v>
      </c>
      <c r="I9" s="297">
        <v>1.2641</v>
      </c>
      <c r="J9" s="297">
        <v>1.2962</v>
      </c>
      <c r="K9" s="297">
        <v>1.3343</v>
      </c>
      <c r="L9" s="297">
        <v>1.3984000000000001</v>
      </c>
      <c r="M9" s="297">
        <v>1.4300999999999999</v>
      </c>
      <c r="N9" s="297">
        <v>1.5135999999999998</v>
      </c>
      <c r="O9" s="297">
        <v>1.5874000000000001</v>
      </c>
      <c r="P9" s="297">
        <v>1.7655000000000001</v>
      </c>
      <c r="Q9" s="297">
        <v>1.8012000000000001</v>
      </c>
      <c r="R9" s="297">
        <v>1.8075999999999999</v>
      </c>
      <c r="S9" s="920"/>
      <c r="T9" s="889">
        <f t="shared" si="0"/>
        <v>1.4711416666666668</v>
      </c>
      <c r="U9" s="889">
        <f t="shared" si="1"/>
        <v>43.666178385416664</v>
      </c>
      <c r="V9" s="889">
        <f t="shared" si="2"/>
        <v>57.53878333623841</v>
      </c>
      <c r="W9" s="889">
        <f t="shared" si="3"/>
        <v>22.87055971269476</v>
      </c>
    </row>
    <row r="10" spans="1:96">
      <c r="F10" s="915">
        <v>1993</v>
      </c>
      <c r="G10" s="297">
        <v>1.9984000000000002</v>
      </c>
      <c r="H10" s="297">
        <v>2.2990999999999997</v>
      </c>
      <c r="I10" s="297">
        <v>2.5831999999999997</v>
      </c>
      <c r="J10" s="297">
        <v>2.7431999999999999</v>
      </c>
      <c r="K10" s="297">
        <v>2.8424</v>
      </c>
      <c r="L10" s="297">
        <v>2.8706</v>
      </c>
      <c r="M10" s="297">
        <v>3.1655000000000002</v>
      </c>
      <c r="N10" s="297">
        <v>3.4473000000000003</v>
      </c>
      <c r="O10" s="297">
        <v>4.2928000000000006</v>
      </c>
      <c r="P10" s="297">
        <v>5.3131000000000004</v>
      </c>
      <c r="Q10" s="297">
        <v>5.5682</v>
      </c>
      <c r="R10" s="297">
        <v>5.8718999999999992</v>
      </c>
      <c r="S10" s="920"/>
      <c r="T10" s="889">
        <f t="shared" si="0"/>
        <v>3.5829749999999994</v>
      </c>
      <c r="U10" s="889">
        <f t="shared" si="1"/>
        <v>143.55064377439282</v>
      </c>
      <c r="V10" s="889">
        <f t="shared" si="2"/>
        <v>224.8450984731135</v>
      </c>
      <c r="W10" s="889">
        <f t="shared" si="3"/>
        <v>63.883365080694119</v>
      </c>
    </row>
    <row r="11" spans="1:96">
      <c r="F11" s="915">
        <v>1994</v>
      </c>
      <c r="G11" s="297">
        <v>6.9109999999999996</v>
      </c>
      <c r="H11" s="297">
        <v>7.85</v>
      </c>
      <c r="I11" s="297">
        <v>8.8019999999999996</v>
      </c>
      <c r="J11" s="297">
        <v>9.9860000000000007</v>
      </c>
      <c r="K11" s="297">
        <v>11.782</v>
      </c>
      <c r="L11" s="297">
        <v>13.766</v>
      </c>
      <c r="M11" s="297">
        <v>15.566000000000001</v>
      </c>
      <c r="N11" s="297">
        <v>16.459</v>
      </c>
      <c r="O11" s="297">
        <v>18.175999999999998</v>
      </c>
      <c r="P11" s="297">
        <v>21.513000000000002</v>
      </c>
      <c r="Q11" s="297">
        <v>30.274000000000001</v>
      </c>
      <c r="R11" s="297">
        <v>40.309599999999996</v>
      </c>
      <c r="S11" s="920"/>
      <c r="T11" s="889">
        <f t="shared" si="0"/>
        <v>16.782883333333334</v>
      </c>
      <c r="U11" s="889">
        <f t="shared" si="1"/>
        <v>368.40637552127316</v>
      </c>
      <c r="V11" s="889">
        <f t="shared" si="2"/>
        <v>586.48308043393115</v>
      </c>
      <c r="W11" s="889">
        <f t="shared" si="3"/>
        <v>140.18280529865245</v>
      </c>
    </row>
    <row r="12" spans="1:96">
      <c r="F12" s="915">
        <v>1995</v>
      </c>
      <c r="G12" s="297">
        <v>45.353099999999998</v>
      </c>
      <c r="H12" s="297">
        <v>47.735399999999998</v>
      </c>
      <c r="I12" s="297">
        <v>49.262500000000003</v>
      </c>
      <c r="J12" s="297">
        <v>55.0274</v>
      </c>
      <c r="K12" s="297">
        <v>60.834600000000002</v>
      </c>
      <c r="L12" s="297">
        <v>63.167199999999994</v>
      </c>
      <c r="M12" s="297">
        <v>62.144599999999997</v>
      </c>
      <c r="N12" s="297">
        <v>61.213200000000001</v>
      </c>
      <c r="O12" s="297">
        <v>60.483899999999998</v>
      </c>
      <c r="P12" s="297">
        <v>58.898499999999999</v>
      </c>
      <c r="Q12" s="297">
        <v>56.468000000000004</v>
      </c>
      <c r="R12" s="297">
        <v>55.203900000000004</v>
      </c>
      <c r="S12" s="920"/>
      <c r="T12" s="889">
        <f t="shared" si="0"/>
        <v>56.316024999999996</v>
      </c>
      <c r="U12" s="889">
        <f t="shared" si="1"/>
        <v>235.55631580985784</v>
      </c>
      <c r="V12" s="889">
        <f t="shared" si="2"/>
        <v>36.949758866374282</v>
      </c>
      <c r="W12" s="889">
        <f t="shared" si="3"/>
        <v>-1.9747931428043652</v>
      </c>
    </row>
    <row r="13" spans="1:96">
      <c r="F13" s="915">
        <v>1996</v>
      </c>
      <c r="G13" s="297">
        <v>54.321800000000003</v>
      </c>
      <c r="H13" s="297">
        <v>56.136000000000003</v>
      </c>
      <c r="I13" s="297">
        <v>57.165199999999999</v>
      </c>
      <c r="J13" s="297">
        <v>54.706800000000001</v>
      </c>
      <c r="K13" s="297">
        <v>55.101500000000001</v>
      </c>
      <c r="L13" s="297">
        <v>55.787800000000004</v>
      </c>
      <c r="M13" s="297">
        <v>56.0002</v>
      </c>
      <c r="N13" s="297">
        <v>55.379199999999997</v>
      </c>
      <c r="O13" s="297">
        <v>56.530300000000004</v>
      </c>
      <c r="P13" s="297">
        <v>56.871300000000005</v>
      </c>
      <c r="Q13" s="297">
        <v>57.170199999999994</v>
      </c>
      <c r="R13" s="297">
        <v>55.878699999999995</v>
      </c>
      <c r="S13" s="920"/>
      <c r="T13" s="889">
        <f t="shared" si="0"/>
        <v>55.920749999999998</v>
      </c>
      <c r="U13" s="889">
        <f t="shared" si="1"/>
        <v>-0.70188725145284847</v>
      </c>
      <c r="V13" s="889">
        <f t="shared" si="2"/>
        <v>1.2223774044949565</v>
      </c>
      <c r="W13" s="889">
        <f t="shared" si="3"/>
        <v>-7.5195701059094233E-2</v>
      </c>
    </row>
    <row r="14" spans="1:96">
      <c r="F14" s="915">
        <v>1997</v>
      </c>
      <c r="G14" s="297">
        <v>56.481300000000005</v>
      </c>
      <c r="H14" s="297">
        <v>57.458800000000004</v>
      </c>
      <c r="I14" s="297">
        <v>57.9739</v>
      </c>
      <c r="J14" s="297">
        <v>57.526000000000003</v>
      </c>
      <c r="K14" s="297">
        <v>56.812800000000003</v>
      </c>
      <c r="L14" s="297">
        <v>58.0167</v>
      </c>
      <c r="M14" s="297">
        <v>58.8367</v>
      </c>
      <c r="N14" s="297">
        <v>59.2821</v>
      </c>
      <c r="O14" s="297">
        <v>61.687400000000004</v>
      </c>
      <c r="P14" s="297">
        <v>63.839700000000001</v>
      </c>
      <c r="Q14" s="297">
        <v>65.462400000000002</v>
      </c>
      <c r="R14" s="297">
        <v>65.618399999999994</v>
      </c>
      <c r="S14" s="920"/>
      <c r="T14" s="889">
        <f t="shared" si="0"/>
        <v>59.916349999999994</v>
      </c>
      <c r="U14" s="889">
        <f t="shared" si="1"/>
        <v>7.145111608839283</v>
      </c>
      <c r="V14" s="889">
        <f t="shared" si="2"/>
        <v>17.4300762186665</v>
      </c>
      <c r="W14" s="889">
        <f t="shared" si="3"/>
        <v>9.5166845109890819</v>
      </c>
    </row>
    <row r="15" spans="1:96">
      <c r="F15" s="915">
        <v>1998</v>
      </c>
      <c r="G15" s="297">
        <v>64.0642</v>
      </c>
      <c r="H15" s="297">
        <v>65.197299999999998</v>
      </c>
      <c r="I15" s="297">
        <v>66.403199999999998</v>
      </c>
      <c r="J15" s="297">
        <v>68.264300000000006</v>
      </c>
      <c r="K15" s="297">
        <v>68.557100000000005</v>
      </c>
      <c r="L15" s="297">
        <v>70.028700000000001</v>
      </c>
      <c r="M15" s="297">
        <v>69.911100000000005</v>
      </c>
      <c r="N15" s="297">
        <v>72.490200000000002</v>
      </c>
      <c r="O15" s="297">
        <v>74.248899999999992</v>
      </c>
      <c r="P15" s="297">
        <v>76.813299999999998</v>
      </c>
      <c r="Q15" s="297">
        <v>79.206500000000005</v>
      </c>
      <c r="R15" s="297">
        <v>80.666399999999996</v>
      </c>
      <c r="S15" s="896"/>
      <c r="T15" s="889">
        <f t="shared" si="0"/>
        <v>71.320933333333329</v>
      </c>
      <c r="U15" s="889">
        <f t="shared" si="1"/>
        <v>19.034175702180356</v>
      </c>
      <c r="V15" s="889">
        <f t="shared" si="2"/>
        <v>22.932592077831828</v>
      </c>
      <c r="W15" s="889">
        <f t="shared" si="3"/>
        <v>13.10339928249209</v>
      </c>
    </row>
    <row r="16" spans="1:96">
      <c r="F16" s="915">
        <v>1999</v>
      </c>
      <c r="G16" s="297">
        <v>88.42710000000001</v>
      </c>
      <c r="H16" s="297">
        <v>95.941500000000005</v>
      </c>
      <c r="I16" s="297">
        <v>104.7898</v>
      </c>
      <c r="J16" s="297">
        <v>114.90300000000001</v>
      </c>
      <c r="K16" s="297">
        <v>138.637</v>
      </c>
      <c r="L16" s="297">
        <v>150.44800000000001</v>
      </c>
      <c r="M16" s="297">
        <v>154.18600000000001</v>
      </c>
      <c r="N16" s="297">
        <v>164.10300000000001</v>
      </c>
      <c r="O16" s="297">
        <v>164.92351499999998</v>
      </c>
      <c r="P16" s="297">
        <v>169.96</v>
      </c>
      <c r="Q16" s="297">
        <v>174.15799999999999</v>
      </c>
      <c r="R16" s="297">
        <v>171.65</v>
      </c>
      <c r="S16" s="896"/>
      <c r="T16" s="889">
        <f t="shared" si="0"/>
        <v>141.01057625000001</v>
      </c>
      <c r="U16" s="889">
        <f t="shared" si="1"/>
        <v>97.712746678394609</v>
      </c>
      <c r="V16" s="889">
        <f t="shared" si="2"/>
        <v>112.78995963623024</v>
      </c>
      <c r="W16" s="889">
        <f t="shared" si="3"/>
        <v>21.728457938983837</v>
      </c>
    </row>
    <row r="17" spans="6:25">
      <c r="F17" s="915">
        <v>2000</v>
      </c>
      <c r="G17" s="297">
        <v>174.32825</v>
      </c>
      <c r="H17" s="297">
        <v>177.00649999999999</v>
      </c>
      <c r="I17" s="297">
        <v>179.68475000000001</v>
      </c>
      <c r="J17" s="297">
        <v>60.1</v>
      </c>
      <c r="K17" s="297">
        <v>62.7</v>
      </c>
      <c r="L17" s="297">
        <v>68.5</v>
      </c>
      <c r="M17" s="297">
        <v>71.8</v>
      </c>
      <c r="N17" s="297">
        <v>74.8</v>
      </c>
      <c r="O17" s="297">
        <v>81.2</v>
      </c>
      <c r="P17" s="297">
        <v>99.4</v>
      </c>
      <c r="Q17" s="297">
        <v>100.9</v>
      </c>
      <c r="R17" s="297">
        <v>99.7</v>
      </c>
      <c r="S17" s="896"/>
      <c r="T17" s="889">
        <f t="shared" si="0"/>
        <v>104.17662500000002</v>
      </c>
      <c r="U17" s="889">
        <f t="shared" si="1"/>
        <v>-26.121410343502514</v>
      </c>
      <c r="V17" s="889">
        <f t="shared" si="2"/>
        <v>-41.916690940868051</v>
      </c>
      <c r="W17" s="889">
        <f t="shared" si="3"/>
        <v>-4.2971491925372085</v>
      </c>
      <c r="Y17" s="883"/>
    </row>
    <row r="18" spans="6:25">
      <c r="F18" s="915">
        <v>2001</v>
      </c>
      <c r="G18" s="297">
        <v>103.2</v>
      </c>
      <c r="H18" s="297">
        <v>102.9</v>
      </c>
      <c r="I18" s="297">
        <v>101.7</v>
      </c>
      <c r="J18" s="297">
        <v>101.3</v>
      </c>
      <c r="K18" s="297">
        <v>101.1</v>
      </c>
      <c r="L18" s="297">
        <v>101.7</v>
      </c>
      <c r="M18" s="297">
        <v>104</v>
      </c>
      <c r="N18" s="297">
        <v>104.2</v>
      </c>
      <c r="O18" s="917">
        <v>104</v>
      </c>
      <c r="P18" s="917">
        <v>104.9</v>
      </c>
      <c r="Q18" s="917">
        <v>105.5</v>
      </c>
      <c r="R18" s="917">
        <v>104.6</v>
      </c>
      <c r="S18" s="896"/>
      <c r="T18" s="889">
        <f t="shared" si="0"/>
        <v>103.25833333333334</v>
      </c>
      <c r="U18" s="889">
        <f t="shared" si="1"/>
        <v>-0.88147573092013376</v>
      </c>
      <c r="V18" s="889">
        <f t="shared" si="2"/>
        <v>4.9147442326980872</v>
      </c>
      <c r="W18" s="889">
        <f t="shared" si="3"/>
        <v>1.299330158986356</v>
      </c>
      <c r="Y18" s="883"/>
    </row>
    <row r="19" spans="6:25">
      <c r="F19" s="915">
        <v>2002</v>
      </c>
      <c r="G19" s="917">
        <v>104.4</v>
      </c>
      <c r="H19" s="917">
        <v>105.1</v>
      </c>
      <c r="I19" s="917">
        <v>105.7</v>
      </c>
      <c r="J19" s="917">
        <v>107.7</v>
      </c>
      <c r="K19" s="917">
        <v>109.7</v>
      </c>
      <c r="L19" s="917">
        <v>114.5</v>
      </c>
      <c r="M19" s="917">
        <v>121.3</v>
      </c>
      <c r="N19" s="917">
        <v>126.8</v>
      </c>
      <c r="O19" s="917">
        <v>133.1</v>
      </c>
      <c r="P19" s="917">
        <v>133.80000000000001</v>
      </c>
      <c r="Q19" s="917">
        <v>135.1</v>
      </c>
      <c r="R19" s="917">
        <v>134.30000000000001</v>
      </c>
      <c r="S19" s="896"/>
      <c r="T19" s="889">
        <f t="shared" si="0"/>
        <v>119.29166666666664</v>
      </c>
      <c r="U19" s="889">
        <f t="shared" si="1"/>
        <v>15.52739891856989</v>
      </c>
      <c r="V19" s="889">
        <f t="shared" si="2"/>
        <v>28.39388145315489</v>
      </c>
      <c r="W19" s="889">
        <f t="shared" si="3"/>
        <v>12.581208522528842</v>
      </c>
      <c r="Y19" s="883"/>
    </row>
    <row r="20" spans="6:25">
      <c r="F20" s="915">
        <v>2003</v>
      </c>
      <c r="G20" s="917">
        <v>135.5</v>
      </c>
      <c r="H20" s="917">
        <v>137.1</v>
      </c>
      <c r="I20" s="917">
        <v>142.69999999999999</v>
      </c>
      <c r="J20" s="917">
        <v>146.30000000000001</v>
      </c>
      <c r="K20" s="917">
        <v>146.6</v>
      </c>
      <c r="L20" s="917">
        <v>147.1</v>
      </c>
      <c r="M20" s="919">
        <v>147.98259999999999</v>
      </c>
      <c r="N20" s="919">
        <v>148.8704956</v>
      </c>
      <c r="O20" s="919">
        <v>149.76371857359999</v>
      </c>
      <c r="P20" s="919">
        <v>150.66230088504159</v>
      </c>
      <c r="Q20" s="919">
        <v>151.56627469035183</v>
      </c>
      <c r="R20" s="919">
        <v>152.47567233849395</v>
      </c>
      <c r="S20" s="896"/>
      <c r="T20" s="889">
        <f t="shared" si="0"/>
        <v>146.38508850729059</v>
      </c>
      <c r="U20" s="889">
        <f t="shared" si="1"/>
        <v>22.711914920537012</v>
      </c>
      <c r="V20" s="889">
        <f t="shared" si="2"/>
        <v>13.533635397240463</v>
      </c>
      <c r="W20" s="889">
        <f t="shared" si="3"/>
        <v>4.1606586390116052</v>
      </c>
      <c r="Y20" s="883"/>
    </row>
    <row r="21" spans="6:25">
      <c r="F21" s="915">
        <v>2004</v>
      </c>
      <c r="G21" s="919">
        <v>153.3905263725249</v>
      </c>
      <c r="H21" s="919">
        <v>154.31086953076004</v>
      </c>
      <c r="I21" s="917">
        <v>157.30000000000001</v>
      </c>
      <c r="J21" s="917">
        <v>158</v>
      </c>
      <c r="K21" s="917">
        <v>160.9</v>
      </c>
      <c r="L21" s="917">
        <v>162.80000000000001</v>
      </c>
      <c r="M21" s="917">
        <v>162.4</v>
      </c>
      <c r="N21" s="917">
        <v>161.5</v>
      </c>
      <c r="O21" s="917">
        <v>162.9</v>
      </c>
      <c r="P21" s="917">
        <v>164.6</v>
      </c>
      <c r="Q21" s="917">
        <v>166.7</v>
      </c>
      <c r="R21" s="917">
        <v>167.2</v>
      </c>
      <c r="S21" s="896"/>
      <c r="T21" s="889">
        <f t="shared" si="0"/>
        <v>161.00011632527375</v>
      </c>
      <c r="U21" s="889">
        <f t="shared" si="1"/>
        <v>9.9839594094006898</v>
      </c>
      <c r="V21" s="889">
        <f t="shared" si="2"/>
        <v>9.6568373404632304</v>
      </c>
      <c r="W21" s="889">
        <f t="shared" si="3"/>
        <v>3.8508566429855229</v>
      </c>
      <c r="Y21" s="883"/>
    </row>
    <row r="22" spans="6:25">
      <c r="F22" s="915">
        <v>2005</v>
      </c>
      <c r="G22" s="917">
        <v>168.5</v>
      </c>
      <c r="H22" s="917">
        <v>168.6</v>
      </c>
      <c r="I22" s="917">
        <v>168.8</v>
      </c>
      <c r="J22" s="917">
        <v>169.2</v>
      </c>
      <c r="K22" s="917">
        <v>170.3</v>
      </c>
      <c r="L22" s="917">
        <v>171.4</v>
      </c>
      <c r="M22" s="918">
        <v>173.2</v>
      </c>
      <c r="N22" s="918">
        <v>175.5</v>
      </c>
      <c r="O22" s="918">
        <v>183.6</v>
      </c>
      <c r="P22" s="918">
        <v>191.8</v>
      </c>
      <c r="Q22" s="917">
        <v>193.8</v>
      </c>
      <c r="R22" s="917">
        <v>193.6</v>
      </c>
      <c r="S22" s="896"/>
      <c r="T22" s="889">
        <f t="shared" si="0"/>
        <v>177.35833333333332</v>
      </c>
      <c r="U22" s="889">
        <f t="shared" si="1"/>
        <v>10.160375893772988</v>
      </c>
      <c r="V22" s="889">
        <f t="shared" si="2"/>
        <v>15.789473684210531</v>
      </c>
      <c r="W22" s="889">
        <f t="shared" si="3"/>
        <v>9.1575435793826099</v>
      </c>
      <c r="Y22" s="883"/>
    </row>
    <row r="23" spans="6:25">
      <c r="F23" s="915">
        <v>2006</v>
      </c>
      <c r="G23" s="917">
        <v>191.1</v>
      </c>
      <c r="H23" s="917">
        <v>193.3</v>
      </c>
      <c r="I23" s="917">
        <v>193.6</v>
      </c>
      <c r="J23" s="917">
        <v>192.9</v>
      </c>
      <c r="K23" s="917">
        <v>193.3</v>
      </c>
      <c r="L23" s="917">
        <v>196.6</v>
      </c>
      <c r="M23" s="917">
        <v>196.8</v>
      </c>
      <c r="N23" s="917">
        <v>199.5</v>
      </c>
      <c r="O23" s="917">
        <v>202.5</v>
      </c>
      <c r="P23" s="917">
        <v>202.6</v>
      </c>
      <c r="Q23" s="917">
        <v>203.4</v>
      </c>
      <c r="R23" s="917">
        <v>202.8</v>
      </c>
      <c r="S23" s="896"/>
      <c r="T23" s="889">
        <f t="shared" si="0"/>
        <v>197.36666666666667</v>
      </c>
      <c r="U23" s="889">
        <f t="shared" si="1"/>
        <v>11.281304327397468</v>
      </c>
      <c r="V23" s="889">
        <f t="shared" si="2"/>
        <v>4.7520661157024913</v>
      </c>
      <c r="W23" s="889">
        <f t="shared" si="3"/>
        <v>2.7529133592298694</v>
      </c>
    </row>
    <row r="24" spans="6:25">
      <c r="F24" s="915">
        <v>2007</v>
      </c>
      <c r="G24" s="917">
        <v>200.2</v>
      </c>
      <c r="H24" s="917">
        <v>200.3</v>
      </c>
      <c r="I24" s="917">
        <v>200.8</v>
      </c>
      <c r="J24" s="917">
        <v>204</v>
      </c>
      <c r="K24" s="917">
        <v>209.7</v>
      </c>
      <c r="L24" s="917">
        <v>214.9</v>
      </c>
      <c r="M24" s="917">
        <v>213</v>
      </c>
      <c r="N24" s="917">
        <v>213.7</v>
      </c>
      <c r="O24" s="917">
        <v>213.8</v>
      </c>
      <c r="P24" s="917">
        <v>213.9</v>
      </c>
      <c r="Q24" s="917">
        <v>216.6</v>
      </c>
      <c r="R24" s="917">
        <v>219.7</v>
      </c>
      <c r="S24" s="902"/>
      <c r="T24" s="889">
        <f t="shared" si="0"/>
        <v>210.04999999999998</v>
      </c>
      <c r="U24" s="889">
        <f t="shared" si="1"/>
        <v>6.4262793447052768</v>
      </c>
      <c r="V24" s="889">
        <f t="shared" si="2"/>
        <v>8.333333333333325</v>
      </c>
      <c r="W24" s="889">
        <f t="shared" si="3"/>
        <v>4.5941442513687258</v>
      </c>
    </row>
    <row r="25" spans="6:25">
      <c r="F25" s="915">
        <v>2008</v>
      </c>
      <c r="G25" s="917">
        <v>223.6</v>
      </c>
      <c r="H25" s="917">
        <v>224.4</v>
      </c>
      <c r="I25" s="917">
        <v>228.5</v>
      </c>
      <c r="J25" s="917">
        <v>236.8</v>
      </c>
      <c r="K25" s="917">
        <v>240.3</v>
      </c>
      <c r="L25" s="917">
        <v>246.5</v>
      </c>
      <c r="M25" s="917">
        <v>249.4</v>
      </c>
      <c r="N25" s="917">
        <v>252.4</v>
      </c>
      <c r="O25" s="917">
        <v>252.6</v>
      </c>
      <c r="P25" s="917">
        <v>252</v>
      </c>
      <c r="Q25" s="917">
        <v>244.1</v>
      </c>
      <c r="R25" s="917">
        <v>240.3</v>
      </c>
      <c r="S25" s="902"/>
      <c r="T25" s="889">
        <f t="shared" si="0"/>
        <v>240.90833333333333</v>
      </c>
      <c r="U25" s="889">
        <f t="shared" si="1"/>
        <v>14.690946600015886</v>
      </c>
      <c r="V25" s="889">
        <f t="shared" si="2"/>
        <v>9.3764223941738898</v>
      </c>
      <c r="W25" s="889">
        <f t="shared" si="3"/>
        <v>-0.25251651734753411</v>
      </c>
    </row>
    <row r="26" spans="6:25">
      <c r="F26" s="915">
        <v>2009</v>
      </c>
      <c r="G26" s="917">
        <v>241</v>
      </c>
      <c r="H26" s="917">
        <v>238.5</v>
      </c>
      <c r="I26" s="917">
        <v>238.8</v>
      </c>
      <c r="J26" s="917">
        <v>238.6</v>
      </c>
      <c r="K26" s="917">
        <v>236.4</v>
      </c>
      <c r="L26" s="917">
        <v>237.6</v>
      </c>
      <c r="M26" s="917">
        <v>237.6</v>
      </c>
      <c r="N26" s="917">
        <v>240.9</v>
      </c>
      <c r="O26" s="917">
        <v>243.9</v>
      </c>
      <c r="P26" s="917">
        <v>245.3</v>
      </c>
      <c r="Q26" s="917">
        <v>245.3</v>
      </c>
      <c r="R26" s="917">
        <v>243.8</v>
      </c>
      <c r="S26" s="902"/>
      <c r="T26" s="889">
        <f t="shared" si="0"/>
        <v>240.64166666666668</v>
      </c>
      <c r="U26" s="889">
        <f t="shared" si="1"/>
        <v>-0.11069217198795833</v>
      </c>
      <c r="V26" s="889">
        <f t="shared" si="2"/>
        <v>1.4565126924677596</v>
      </c>
      <c r="W26" s="889">
        <f t="shared" si="3"/>
        <v>1.3124632060117047</v>
      </c>
      <c r="X26" s="860" t="s">
        <v>1344</v>
      </c>
    </row>
    <row r="27" spans="6:25">
      <c r="F27" s="915">
        <v>2010</v>
      </c>
      <c r="G27" s="916">
        <v>243.9</v>
      </c>
      <c r="H27" s="916">
        <v>244.9</v>
      </c>
      <c r="I27" s="916">
        <v>245.3</v>
      </c>
      <c r="J27" s="916">
        <v>247</v>
      </c>
      <c r="K27" s="916">
        <v>252.7</v>
      </c>
      <c r="L27" s="916">
        <v>259.39999999999998</v>
      </c>
      <c r="M27" s="916">
        <v>260.3</v>
      </c>
      <c r="N27" s="914">
        <v>261.72500000000002</v>
      </c>
      <c r="O27" s="916">
        <v>265.05</v>
      </c>
      <c r="P27" s="914">
        <v>267.89999999999998</v>
      </c>
      <c r="Q27" s="914">
        <v>269.5625</v>
      </c>
      <c r="R27" s="914">
        <v>268.61250000000001</v>
      </c>
      <c r="S27" s="902"/>
      <c r="T27" s="889">
        <f t="shared" si="0"/>
        <v>257.19583333333338</v>
      </c>
      <c r="U27" s="889">
        <f t="shared" si="1"/>
        <v>6.8791771998476525</v>
      </c>
      <c r="V27" s="889">
        <f t="shared" si="2"/>
        <v>10.177399507793282</v>
      </c>
      <c r="W27" s="889">
        <f t="shared" si="3"/>
        <v>4.4389003191471987</v>
      </c>
    </row>
    <row r="28" spans="6:25">
      <c r="F28" s="915">
        <v>2011</v>
      </c>
      <c r="G28" s="914">
        <v>278.11250000000001</v>
      </c>
      <c r="H28" s="914">
        <v>290.7</v>
      </c>
      <c r="I28" s="914">
        <v>297.58749999999998</v>
      </c>
      <c r="J28" s="914">
        <v>303.05</v>
      </c>
      <c r="K28" s="914">
        <v>304</v>
      </c>
      <c r="L28" s="914">
        <v>305.1875</v>
      </c>
      <c r="M28" s="914">
        <v>307.32499999999999</v>
      </c>
      <c r="N28" s="914">
        <v>308.03750000000002</v>
      </c>
      <c r="O28" s="914">
        <v>308.75</v>
      </c>
      <c r="P28" s="914">
        <v>310.17500000000001</v>
      </c>
      <c r="Q28" s="914">
        <v>310.64999999999998</v>
      </c>
      <c r="R28" s="914">
        <v>309.7</v>
      </c>
      <c r="S28" s="902"/>
      <c r="T28" s="889">
        <f t="shared" si="0"/>
        <v>302.77291666666667</v>
      </c>
      <c r="U28" s="889">
        <f t="shared" si="1"/>
        <v>17.720770489413052</v>
      </c>
      <c r="V28" s="889">
        <f t="shared" si="2"/>
        <v>15.296198054818744</v>
      </c>
      <c r="W28" s="889">
        <f t="shared" si="3"/>
        <v>2.2878807687279235</v>
      </c>
    </row>
    <row r="29" spans="6:25">
      <c r="F29" s="915">
        <v>2012</v>
      </c>
      <c r="G29" s="914">
        <v>310.88749999999999</v>
      </c>
      <c r="H29" s="914">
        <v>315.63749999999999</v>
      </c>
      <c r="I29" s="914">
        <v>317.0625</v>
      </c>
      <c r="J29" s="914">
        <v>315.63749999999999</v>
      </c>
      <c r="K29" s="914">
        <v>315.16250000000002</v>
      </c>
      <c r="L29" s="914">
        <v>315.875</v>
      </c>
      <c r="M29" s="913">
        <f>133.2*2.375</f>
        <v>316.34999999999997</v>
      </c>
      <c r="N29" s="913">
        <f>134.5*2.375</f>
        <v>319.4375</v>
      </c>
      <c r="O29" s="913">
        <f>134.8*2.375</f>
        <v>320.15000000000003</v>
      </c>
      <c r="P29" s="913">
        <f>135.6*2.375</f>
        <v>322.05</v>
      </c>
      <c r="Q29" s="913">
        <f>136.4*2.375</f>
        <v>323.95</v>
      </c>
      <c r="R29" s="913">
        <f>136.1*2.375</f>
        <v>323.23750000000001</v>
      </c>
      <c r="S29" s="902"/>
      <c r="T29" s="889">
        <f t="shared" si="0"/>
        <v>317.953125</v>
      </c>
      <c r="U29" s="889">
        <f t="shared" si="1"/>
        <v>5.0137272846123571</v>
      </c>
      <c r="V29" s="889">
        <f t="shared" si="2"/>
        <v>4.3711656441717928</v>
      </c>
      <c r="W29" s="889">
        <f t="shared" si="3"/>
        <v>1.661998132586362</v>
      </c>
    </row>
    <row r="30" spans="6:25">
      <c r="F30" s="915" t="s">
        <v>3259</v>
      </c>
      <c r="G30" s="914"/>
      <c r="H30" s="914"/>
      <c r="I30" s="914"/>
      <c r="J30" s="914"/>
      <c r="K30" s="914"/>
      <c r="L30" s="914"/>
      <c r="M30" s="913"/>
      <c r="N30" s="913"/>
      <c r="O30" s="913"/>
      <c r="P30" s="913"/>
      <c r="Q30" s="913"/>
      <c r="R30" s="913"/>
      <c r="S30" s="889"/>
      <c r="T30" s="889"/>
      <c r="U30" s="889"/>
      <c r="V30" s="889"/>
      <c r="W30" s="889"/>
    </row>
    <row r="31" spans="6:25">
      <c r="F31" s="890">
        <v>2013</v>
      </c>
      <c r="G31" s="910">
        <v>59.4</v>
      </c>
      <c r="H31" s="910">
        <v>59.5</v>
      </c>
      <c r="I31" s="910">
        <v>56.6</v>
      </c>
      <c r="J31" s="910">
        <v>59.4</v>
      </c>
      <c r="K31" s="910">
        <v>59.9</v>
      </c>
      <c r="L31" s="910">
        <v>60.7</v>
      </c>
      <c r="M31" s="910">
        <v>60.4</v>
      </c>
      <c r="N31" s="910">
        <v>60.7</v>
      </c>
      <c r="O31" s="910">
        <v>60.4</v>
      </c>
      <c r="P31" s="910">
        <v>60.4</v>
      </c>
      <c r="Q31" s="910">
        <v>60.3</v>
      </c>
      <c r="R31" s="910">
        <v>60.3</v>
      </c>
      <c r="S31" s="889"/>
      <c r="T31" s="889">
        <f t="shared" ref="T31:T39" si="4">SUM(G31:R31)/12</f>
        <v>59.833333333333321</v>
      </c>
      <c r="U31" s="889" t="s">
        <v>1344</v>
      </c>
      <c r="V31" s="889"/>
      <c r="W31" s="889"/>
    </row>
    <row r="32" spans="6:25">
      <c r="F32" s="890">
        <v>2014</v>
      </c>
      <c r="G32" s="910">
        <v>61.1</v>
      </c>
      <c r="H32" s="910">
        <v>61.3</v>
      </c>
      <c r="I32" s="910">
        <v>61.4</v>
      </c>
      <c r="J32" s="910">
        <v>61.5</v>
      </c>
      <c r="K32" s="910">
        <v>61.6</v>
      </c>
      <c r="L32" s="910">
        <v>62</v>
      </c>
      <c r="M32" s="910">
        <v>62.7</v>
      </c>
      <c r="N32" s="910">
        <v>62.7</v>
      </c>
      <c r="O32" s="910">
        <v>62.7</v>
      </c>
      <c r="P32" s="910">
        <v>63</v>
      </c>
      <c r="Q32" s="910">
        <v>62.8</v>
      </c>
      <c r="R32" s="910">
        <v>62.6</v>
      </c>
      <c r="S32" s="889"/>
      <c r="T32" s="889">
        <f t="shared" si="4"/>
        <v>62.116666666666667</v>
      </c>
      <c r="U32" s="889">
        <f t="shared" ref="U32:U39" si="5">(T32/T31-1)*100</f>
        <v>3.816155988857961</v>
      </c>
      <c r="V32" s="889">
        <f t="shared" ref="V32:V39" si="6">+(R32/R31-1)*100</f>
        <v>3.814262023217263</v>
      </c>
      <c r="W32" s="889">
        <f t="shared" ref="W32:W39" si="7">+(R32/T32-1)*100</f>
        <v>0.77810571505232407</v>
      </c>
    </row>
    <row r="33" spans="2:23">
      <c r="F33" s="890">
        <v>2015</v>
      </c>
      <c r="G33" s="910">
        <v>62.5</v>
      </c>
      <c r="H33" s="910">
        <v>62.7</v>
      </c>
      <c r="I33" s="910">
        <v>63.1</v>
      </c>
      <c r="J33" s="910">
        <v>63.1</v>
      </c>
      <c r="K33" s="910">
        <v>63.9</v>
      </c>
      <c r="L33" s="910">
        <v>65.2</v>
      </c>
      <c r="M33" s="910">
        <v>65.599999999999994</v>
      </c>
      <c r="N33" s="910">
        <v>65.5</v>
      </c>
      <c r="O33" s="910">
        <v>65.400000000000006</v>
      </c>
      <c r="P33" s="910">
        <v>65.599999999999994</v>
      </c>
      <c r="Q33" s="910">
        <v>75.8</v>
      </c>
      <c r="R33" s="910">
        <v>78.400000000000006</v>
      </c>
      <c r="S33" s="889"/>
      <c r="T33" s="889">
        <f t="shared" si="4"/>
        <v>66.399999999999991</v>
      </c>
      <c r="U33" s="889">
        <f t="shared" si="5"/>
        <v>6.8956265092567692</v>
      </c>
      <c r="V33" s="889">
        <f t="shared" si="6"/>
        <v>25.239616613418537</v>
      </c>
      <c r="W33" s="889">
        <f t="shared" si="7"/>
        <v>18.072289156626532</v>
      </c>
    </row>
    <row r="34" spans="2:23">
      <c r="F34" s="890">
        <v>2016</v>
      </c>
      <c r="G34" s="910">
        <v>80.900000000000006</v>
      </c>
      <c r="H34" s="910">
        <v>83.3</v>
      </c>
      <c r="I34" s="910">
        <v>86.2</v>
      </c>
      <c r="J34" s="910">
        <v>94.3</v>
      </c>
      <c r="K34" s="910">
        <v>100.8</v>
      </c>
      <c r="L34" s="910">
        <v>104.8</v>
      </c>
      <c r="M34" s="910">
        <v>106.6</v>
      </c>
      <c r="N34" s="910">
        <v>110.1</v>
      </c>
      <c r="O34" s="910">
        <v>115.8</v>
      </c>
      <c r="P34" s="910">
        <v>117.5</v>
      </c>
      <c r="Q34" s="910">
        <v>119.2</v>
      </c>
      <c r="R34" s="910">
        <v>119.4</v>
      </c>
      <c r="S34" s="889"/>
      <c r="T34" s="889">
        <f t="shared" si="4"/>
        <v>103.24166666666667</v>
      </c>
      <c r="U34" s="889">
        <f t="shared" si="5"/>
        <v>55.484437751004045</v>
      </c>
      <c r="V34" s="889">
        <f t="shared" si="6"/>
        <v>52.295918367346928</v>
      </c>
      <c r="W34" s="889">
        <f t="shared" si="7"/>
        <v>15.650980708693197</v>
      </c>
    </row>
    <row r="35" spans="2:23">
      <c r="F35" s="890">
        <v>2017</v>
      </c>
      <c r="G35" s="912">
        <v>120.3</v>
      </c>
      <c r="H35" s="912">
        <v>121</v>
      </c>
      <c r="I35" s="912">
        <v>122.2</v>
      </c>
      <c r="J35" s="912">
        <v>123.4</v>
      </c>
      <c r="K35" s="912">
        <f>J35*1.005</f>
        <v>124.017</v>
      </c>
      <c r="L35" s="912">
        <v>125.5</v>
      </c>
      <c r="M35" s="912">
        <v>127.2</v>
      </c>
      <c r="N35" s="912">
        <f>M35*1.006</f>
        <v>127.9632</v>
      </c>
      <c r="O35" s="910">
        <v>129.30000000000001</v>
      </c>
      <c r="P35" s="910">
        <v>130.19999999999999</v>
      </c>
      <c r="Q35" s="910">
        <v>130.19999999999999</v>
      </c>
      <c r="R35" s="910">
        <f>Q35*1.002</f>
        <v>130.46039999999999</v>
      </c>
      <c r="S35" s="889"/>
      <c r="T35" s="889">
        <f t="shared" si="4"/>
        <v>125.97838333333334</v>
      </c>
      <c r="U35" s="889">
        <f t="shared" si="5"/>
        <v>22.022810557752837</v>
      </c>
      <c r="V35" s="889">
        <f t="shared" si="6"/>
        <v>9.2633165829145714</v>
      </c>
      <c r="W35" s="889">
        <f t="shared" si="7"/>
        <v>3.5577664580814794</v>
      </c>
    </row>
    <row r="36" spans="2:23">
      <c r="F36" s="908">
        <v>2018</v>
      </c>
      <c r="G36" s="910">
        <v>131.30000000000001</v>
      </c>
      <c r="H36" s="910">
        <v>132.6</v>
      </c>
      <c r="I36" s="910">
        <v>132.80000000000001</v>
      </c>
      <c r="J36" s="910">
        <v>133.1</v>
      </c>
      <c r="K36" s="911">
        <f>+J36+($M36-$J36)/3</f>
        <v>133.66666666666666</v>
      </c>
      <c r="L36" s="911">
        <f>+K36+($M36-$J36)/3</f>
        <v>134.23333333333332</v>
      </c>
      <c r="M36" s="910">
        <v>134.80000000000001</v>
      </c>
      <c r="N36" s="910">
        <v>135.80000000000001</v>
      </c>
      <c r="O36" s="910">
        <v>136.4</v>
      </c>
      <c r="P36" s="910">
        <v>137</v>
      </c>
      <c r="Q36" s="910">
        <v>137.30000000000001</v>
      </c>
      <c r="R36" s="910">
        <v>137.6</v>
      </c>
      <c r="S36" s="906"/>
      <c r="T36" s="889">
        <f t="shared" si="4"/>
        <v>134.71666666666667</v>
      </c>
      <c r="U36" s="889">
        <f t="shared" si="5"/>
        <v>6.9363355062369791</v>
      </c>
      <c r="V36" s="889">
        <f t="shared" si="6"/>
        <v>5.4726185110577585</v>
      </c>
      <c r="W36" s="889">
        <f t="shared" si="7"/>
        <v>2.1402944451317518</v>
      </c>
    </row>
    <row r="37" spans="2:23">
      <c r="B37" s="860">
        <f>14.3/7.5</f>
        <v>1.9066666666666667</v>
      </c>
      <c r="D37" s="883">
        <f>+O38/R37</f>
        <v>1.4365411436541142</v>
      </c>
      <c r="F37" s="908">
        <v>2019</v>
      </c>
      <c r="G37" s="910">
        <v>138.5</v>
      </c>
      <c r="H37" s="910">
        <v>138.30000000000001</v>
      </c>
      <c r="I37" s="910">
        <v>138.30000000000001</v>
      </c>
      <c r="J37" s="910">
        <v>139.19999999999999</v>
      </c>
      <c r="K37" s="910">
        <v>139.80000000000001</v>
      </c>
      <c r="L37" s="910">
        <v>140.30000000000001</v>
      </c>
      <c r="M37" s="910">
        <v>140.69999999999999</v>
      </c>
      <c r="N37" s="910">
        <v>141.19999999999999</v>
      </c>
      <c r="O37" s="910">
        <v>141.9</v>
      </c>
      <c r="P37" s="910">
        <v>142.80000000000001</v>
      </c>
      <c r="Q37" s="910">
        <v>143.19999999999999</v>
      </c>
      <c r="R37" s="910">
        <v>143.4</v>
      </c>
      <c r="S37" s="906"/>
      <c r="T37" s="889">
        <f t="shared" si="4"/>
        <v>140.63333333333335</v>
      </c>
      <c r="U37" s="889">
        <f t="shared" si="5"/>
        <v>4.3919336879871373</v>
      </c>
      <c r="V37" s="889">
        <f t="shared" si="6"/>
        <v>4.215116279069786</v>
      </c>
      <c r="W37" s="889">
        <f t="shared" si="7"/>
        <v>1.967290827210233</v>
      </c>
    </row>
    <row r="38" spans="2:23">
      <c r="B38" s="860">
        <f>1/D37</f>
        <v>0.69611650485436904</v>
      </c>
      <c r="D38" s="860">
        <f>B37/D37</f>
        <v>1.3272621359223302</v>
      </c>
      <c r="F38" s="908">
        <v>2020</v>
      </c>
      <c r="G38" s="910">
        <v>144.30000000000001</v>
      </c>
      <c r="H38" s="910">
        <v>147.9</v>
      </c>
      <c r="I38" s="910">
        <v>162.6</v>
      </c>
      <c r="J38" s="910">
        <v>175.3</v>
      </c>
      <c r="K38" s="910">
        <v>184</v>
      </c>
      <c r="L38" s="910">
        <v>189.7</v>
      </c>
      <c r="M38" s="910">
        <v>194.4</v>
      </c>
      <c r="N38" s="910">
        <v>197.6</v>
      </c>
      <c r="O38" s="910">
        <v>206</v>
      </c>
      <c r="P38" s="910">
        <v>220.2</v>
      </c>
      <c r="Q38" s="910">
        <v>223.9</v>
      </c>
      <c r="R38" s="910">
        <v>230.9</v>
      </c>
      <c r="S38" s="906"/>
      <c r="T38" s="889">
        <f t="shared" si="4"/>
        <v>189.73333333333335</v>
      </c>
      <c r="U38" s="889">
        <f t="shared" si="5"/>
        <v>34.913486608200998</v>
      </c>
      <c r="V38" s="889">
        <f t="shared" si="6"/>
        <v>61.018131101813111</v>
      </c>
      <c r="W38" s="889">
        <f t="shared" si="7"/>
        <v>21.69711876317637</v>
      </c>
    </row>
    <row r="39" spans="2:23">
      <c r="B39" s="909">
        <f>-1+B38</f>
        <v>-0.30388349514563096</v>
      </c>
      <c r="D39" s="909">
        <f>+D38-1</f>
        <v>0.32726213592233022</v>
      </c>
      <c r="F39" s="908">
        <v>2021</v>
      </c>
      <c r="G39" s="907">
        <f>R38*(1+$U$4/100)</f>
        <v>240.13600000000002</v>
      </c>
      <c r="H39" s="907">
        <f t="shared" ref="H39:Q39" si="8">G39*(1+$U$4/100)</f>
        <v>249.74144000000004</v>
      </c>
      <c r="I39" s="907">
        <f t="shared" si="8"/>
        <v>259.73109760000006</v>
      </c>
      <c r="J39" s="907">
        <f t="shared" si="8"/>
        <v>270.12034150400007</v>
      </c>
      <c r="K39" s="907">
        <f t="shared" si="8"/>
        <v>280.92515516416006</v>
      </c>
      <c r="L39" s="907">
        <f t="shared" si="8"/>
        <v>292.16216137072649</v>
      </c>
      <c r="M39" s="907">
        <f t="shared" si="8"/>
        <v>303.84864782555559</v>
      </c>
      <c r="N39" s="907">
        <f t="shared" si="8"/>
        <v>316.00259373857784</v>
      </c>
      <c r="O39" s="907">
        <f t="shared" si="8"/>
        <v>328.64269748812097</v>
      </c>
      <c r="P39" s="907">
        <f t="shared" si="8"/>
        <v>341.78840538764581</v>
      </c>
      <c r="Q39" s="907">
        <f t="shared" si="8"/>
        <v>355.45994160315166</v>
      </c>
      <c r="R39" s="907">
        <f>Q39*(1+$U$4/100)</f>
        <v>369.67833926727775</v>
      </c>
      <c r="S39" s="906"/>
      <c r="T39" s="889">
        <f t="shared" si="4"/>
        <v>300.68640174576802</v>
      </c>
      <c r="U39" s="889">
        <f t="shared" si="5"/>
        <v>58.47842678097399</v>
      </c>
      <c r="V39" s="889">
        <f t="shared" si="6"/>
        <v>60.103221856768194</v>
      </c>
      <c r="W39" s="889">
        <f t="shared" si="7"/>
        <v>22.944814637757638</v>
      </c>
    </row>
    <row r="40" spans="2:23">
      <c r="B40" s="860" t="s">
        <v>1344</v>
      </c>
      <c r="C40" s="860">
        <v>-25</v>
      </c>
      <c r="D40" s="860" t="s">
        <v>1344</v>
      </c>
      <c r="F40" s="902" t="s">
        <v>2712</v>
      </c>
      <c r="G40" s="903">
        <f t="shared" ref="G40:R40" si="9">G33/$P$33</f>
        <v>0.95274390243902451</v>
      </c>
      <c r="H40" s="903">
        <f t="shared" si="9"/>
        <v>0.9557926829268294</v>
      </c>
      <c r="I40" s="903">
        <f t="shared" si="9"/>
        <v>0.96189024390243916</v>
      </c>
      <c r="J40" s="903">
        <f t="shared" si="9"/>
        <v>0.96189024390243916</v>
      </c>
      <c r="K40" s="903">
        <f t="shared" si="9"/>
        <v>0.97408536585365857</v>
      </c>
      <c r="L40" s="903">
        <f t="shared" si="9"/>
        <v>0.99390243902439035</v>
      </c>
      <c r="M40" s="903">
        <f t="shared" si="9"/>
        <v>1</v>
      </c>
      <c r="N40" s="903">
        <f t="shared" si="9"/>
        <v>0.99847560975609762</v>
      </c>
      <c r="O40" s="903">
        <f t="shared" si="9"/>
        <v>0.99695121951219534</v>
      </c>
      <c r="P40" s="903">
        <f t="shared" si="9"/>
        <v>1</v>
      </c>
      <c r="Q40" s="903">
        <f t="shared" si="9"/>
        <v>1.1554878048780488</v>
      </c>
      <c r="R40" s="903">
        <f t="shared" si="9"/>
        <v>1.1951219512195124</v>
      </c>
      <c r="S40" s="906"/>
      <c r="T40" s="889"/>
      <c r="U40" s="889"/>
      <c r="V40" s="889"/>
      <c r="W40" s="889"/>
    </row>
    <row r="41" spans="2:23">
      <c r="F41" s="860">
        <v>2016</v>
      </c>
      <c r="G41" s="903">
        <f t="shared" ref="G41:R41" si="10">G34/$P$33</f>
        <v>1.2332317073170733</v>
      </c>
      <c r="H41" s="903">
        <f t="shared" si="10"/>
        <v>1.2698170731707317</v>
      </c>
      <c r="I41" s="903">
        <f t="shared" si="10"/>
        <v>1.3140243902439026</v>
      </c>
      <c r="J41" s="903">
        <f t="shared" si="10"/>
        <v>1.4375</v>
      </c>
      <c r="K41" s="903">
        <f t="shared" si="10"/>
        <v>1.5365853658536586</v>
      </c>
      <c r="L41" s="903">
        <f t="shared" si="10"/>
        <v>1.5975609756097562</v>
      </c>
      <c r="M41" s="903">
        <f t="shared" si="10"/>
        <v>1.625</v>
      </c>
      <c r="N41" s="903">
        <f t="shared" si="10"/>
        <v>1.6783536585365855</v>
      </c>
      <c r="O41" s="903">
        <f t="shared" si="10"/>
        <v>1.7652439024390245</v>
      </c>
      <c r="P41" s="903">
        <f t="shared" si="10"/>
        <v>1.7911585365853659</v>
      </c>
      <c r="Q41" s="903">
        <f t="shared" si="10"/>
        <v>1.8170731707317076</v>
      </c>
      <c r="R41" s="903">
        <f t="shared" si="10"/>
        <v>1.8201219512195124</v>
      </c>
      <c r="S41" s="902"/>
      <c r="T41" s="900"/>
      <c r="U41" s="895"/>
      <c r="V41" s="895"/>
      <c r="W41" s="893"/>
    </row>
    <row r="42" spans="2:23">
      <c r="F42" s="905">
        <f>2017</f>
        <v>2017</v>
      </c>
      <c r="G42" s="903">
        <f t="shared" ref="G42:R42" si="11">G35/$P$33</f>
        <v>1.8338414634146343</v>
      </c>
      <c r="H42" s="903">
        <f t="shared" si="11"/>
        <v>1.8445121951219514</v>
      </c>
      <c r="I42" s="903">
        <f t="shared" si="11"/>
        <v>1.8628048780487807</v>
      </c>
      <c r="J42" s="903">
        <f t="shared" si="11"/>
        <v>1.88109756097561</v>
      </c>
      <c r="K42" s="903">
        <f t="shared" si="11"/>
        <v>1.8905030487804879</v>
      </c>
      <c r="L42" s="903">
        <f t="shared" si="11"/>
        <v>1.9131097560975612</v>
      </c>
      <c r="M42" s="903">
        <f t="shared" si="11"/>
        <v>1.9390243902439026</v>
      </c>
      <c r="N42" s="903">
        <f t="shared" si="11"/>
        <v>1.9506585365853659</v>
      </c>
      <c r="O42" s="903">
        <f t="shared" si="11"/>
        <v>1.971036585365854</v>
      </c>
      <c r="P42" s="903">
        <f t="shared" si="11"/>
        <v>1.9847560975609757</v>
      </c>
      <c r="Q42" s="903">
        <f t="shared" si="11"/>
        <v>1.9847560975609757</v>
      </c>
      <c r="R42" s="903">
        <f t="shared" si="11"/>
        <v>1.9887256097560977</v>
      </c>
      <c r="S42" s="902"/>
      <c r="T42" s="900"/>
      <c r="U42" s="895"/>
      <c r="V42" s="895"/>
      <c r="W42" s="893"/>
    </row>
    <row r="43" spans="2:23">
      <c r="F43" s="860">
        <v>2018</v>
      </c>
      <c r="G43" s="903">
        <f t="shared" ref="G43:R43" si="12">G36/$P$33</f>
        <v>2.0015243902439028</v>
      </c>
      <c r="H43" s="903">
        <f t="shared" si="12"/>
        <v>2.0213414634146343</v>
      </c>
      <c r="I43" s="903">
        <f t="shared" si="12"/>
        <v>2.0243902439024395</v>
      </c>
      <c r="J43" s="903">
        <f t="shared" si="12"/>
        <v>2.0289634146341466</v>
      </c>
      <c r="K43" s="903">
        <f t="shared" si="12"/>
        <v>2.0376016260162602</v>
      </c>
      <c r="L43" s="903">
        <f t="shared" si="12"/>
        <v>2.0462398373983741</v>
      </c>
      <c r="M43" s="903">
        <f t="shared" si="12"/>
        <v>2.0548780487804881</v>
      </c>
      <c r="N43" s="903">
        <f t="shared" si="12"/>
        <v>2.0701219512195124</v>
      </c>
      <c r="O43" s="903">
        <f t="shared" si="12"/>
        <v>2.0792682926829271</v>
      </c>
      <c r="P43" s="903">
        <f t="shared" si="12"/>
        <v>2.0884146341463414</v>
      </c>
      <c r="Q43" s="903">
        <f t="shared" si="12"/>
        <v>2.092987804878049</v>
      </c>
      <c r="R43" s="903">
        <f t="shared" si="12"/>
        <v>2.0975609756097562</v>
      </c>
      <c r="S43" s="902"/>
      <c r="T43" s="900"/>
      <c r="U43" s="895"/>
      <c r="V43" s="895"/>
      <c r="W43" s="893"/>
    </row>
    <row r="44" spans="2:23">
      <c r="F44" s="905">
        <v>2019</v>
      </c>
      <c r="G44" s="903">
        <f t="shared" ref="G44:R44" si="13">G37/$P$33</f>
        <v>2.1112804878048781</v>
      </c>
      <c r="H44" s="903">
        <f t="shared" si="13"/>
        <v>2.1082317073170733</v>
      </c>
      <c r="I44" s="903">
        <f t="shared" si="13"/>
        <v>2.1082317073170733</v>
      </c>
      <c r="J44" s="903">
        <f t="shared" si="13"/>
        <v>2.1219512195121952</v>
      </c>
      <c r="K44" s="903">
        <f t="shared" si="13"/>
        <v>2.13109756097561</v>
      </c>
      <c r="L44" s="903">
        <f t="shared" si="13"/>
        <v>2.1387195121951224</v>
      </c>
      <c r="M44" s="903">
        <f t="shared" si="13"/>
        <v>2.1448170731707319</v>
      </c>
      <c r="N44" s="903">
        <f t="shared" si="13"/>
        <v>2.1524390243902438</v>
      </c>
      <c r="O44" s="903">
        <f t="shared" si="13"/>
        <v>2.1631097560975614</v>
      </c>
      <c r="P44" s="903">
        <f t="shared" si="13"/>
        <v>2.1768292682926833</v>
      </c>
      <c r="Q44" s="903">
        <f t="shared" si="13"/>
        <v>2.1829268292682928</v>
      </c>
      <c r="R44" s="903">
        <f t="shared" si="13"/>
        <v>2.1859756097560976</v>
      </c>
      <c r="S44" s="902"/>
      <c r="T44" s="900"/>
      <c r="U44" s="895"/>
      <c r="V44" s="895"/>
      <c r="W44" s="893"/>
    </row>
    <row r="45" spans="2:23">
      <c r="F45" s="904" t="s">
        <v>228</v>
      </c>
      <c r="G45" s="903"/>
      <c r="H45" s="903"/>
      <c r="I45" s="903" t="s">
        <v>1344</v>
      </c>
      <c r="J45" s="903"/>
      <c r="K45" s="903"/>
      <c r="L45" s="903"/>
      <c r="M45" s="903"/>
      <c r="N45" s="903"/>
      <c r="O45" s="903"/>
      <c r="P45" s="903"/>
      <c r="Q45" s="903"/>
      <c r="R45" s="903"/>
      <c r="S45" s="902"/>
      <c r="T45" s="900"/>
      <c r="U45" s="895"/>
      <c r="V45" s="895"/>
      <c r="W45" s="893"/>
    </row>
    <row r="46" spans="2:23">
      <c r="F46" s="890">
        <v>2007</v>
      </c>
      <c r="G46" s="900">
        <f t="shared" ref="G46:R46" si="14">(G24/G23-1)*100</f>
        <v>4.7619047619047672</v>
      </c>
      <c r="H46" s="900">
        <f t="shared" si="14"/>
        <v>3.6213140196585725</v>
      </c>
      <c r="I46" s="900">
        <f t="shared" si="14"/>
        <v>3.7190082644628086</v>
      </c>
      <c r="J46" s="900">
        <f t="shared" si="14"/>
        <v>5.7542768273716849</v>
      </c>
      <c r="K46" s="900">
        <f t="shared" si="14"/>
        <v>8.4842214174857702</v>
      </c>
      <c r="L46" s="900">
        <f t="shared" si="14"/>
        <v>9.3082400813835342</v>
      </c>
      <c r="M46" s="900">
        <f t="shared" si="14"/>
        <v>8.2317073170731661</v>
      </c>
      <c r="N46" s="900">
        <f t="shared" si="14"/>
        <v>7.1177944862155229</v>
      </c>
      <c r="O46" s="900">
        <f t="shared" si="14"/>
        <v>5.5802469135802557</v>
      </c>
      <c r="P46" s="900">
        <f t="shared" si="14"/>
        <v>5.5774925962487787</v>
      </c>
      <c r="Q46" s="900">
        <f t="shared" si="14"/>
        <v>6.4896755162241915</v>
      </c>
      <c r="R46" s="900">
        <f t="shared" si="14"/>
        <v>8.333333333333325</v>
      </c>
      <c r="S46" s="899"/>
      <c r="T46" s="893"/>
      <c r="U46" s="895"/>
      <c r="V46" s="895"/>
      <c r="W46" s="893"/>
    </row>
    <row r="47" spans="2:23">
      <c r="F47" s="890">
        <v>2008</v>
      </c>
      <c r="G47" s="900">
        <f t="shared" ref="G47:R47" si="15">(G25/G24-1)*100</f>
        <v>11.688311688311682</v>
      </c>
      <c r="H47" s="900">
        <f t="shared" si="15"/>
        <v>12.03195207189216</v>
      </c>
      <c r="I47" s="900">
        <f t="shared" si="15"/>
        <v>13.794820717131472</v>
      </c>
      <c r="J47" s="900">
        <f t="shared" si="15"/>
        <v>16.07843137254903</v>
      </c>
      <c r="K47" s="900">
        <f t="shared" si="15"/>
        <v>14.592274678111593</v>
      </c>
      <c r="L47" s="900">
        <f t="shared" si="15"/>
        <v>14.704513727315028</v>
      </c>
      <c r="M47" s="900">
        <f t="shared" si="15"/>
        <v>17.089201877934279</v>
      </c>
      <c r="N47" s="900">
        <f t="shared" si="15"/>
        <v>18.109499298081431</v>
      </c>
      <c r="O47" s="900">
        <f t="shared" si="15"/>
        <v>18.147801683816645</v>
      </c>
      <c r="P47" s="900">
        <f t="shared" si="15"/>
        <v>17.812061711079942</v>
      </c>
      <c r="Q47" s="900">
        <f t="shared" si="15"/>
        <v>12.696214219759927</v>
      </c>
      <c r="R47" s="900">
        <f t="shared" si="15"/>
        <v>9.3764223941738898</v>
      </c>
      <c r="S47" s="899"/>
      <c r="T47" s="893"/>
      <c r="U47" s="895"/>
      <c r="V47" s="895"/>
      <c r="W47" s="893"/>
    </row>
    <row r="48" spans="2:23">
      <c r="F48" s="890">
        <v>2009</v>
      </c>
      <c r="G48" s="900">
        <f t="shared" ref="G48:R48" si="16">(G26/G25-1)*100</f>
        <v>7.781753130590352</v>
      </c>
      <c r="H48" s="900">
        <f t="shared" si="16"/>
        <v>6.2834224598930399</v>
      </c>
      <c r="I48" s="900">
        <f t="shared" si="16"/>
        <v>4.5076586433260513</v>
      </c>
      <c r="J48" s="900">
        <f t="shared" si="16"/>
        <v>0.76013513513513153</v>
      </c>
      <c r="K48" s="900">
        <f t="shared" si="16"/>
        <v>-1.6229712858926382</v>
      </c>
      <c r="L48" s="900">
        <f t="shared" si="16"/>
        <v>-3.6105476673428005</v>
      </c>
      <c r="M48" s="900">
        <f t="shared" si="16"/>
        <v>-4.7313552526062619</v>
      </c>
      <c r="N48" s="900">
        <f t="shared" si="16"/>
        <v>-4.5562599049128405</v>
      </c>
      <c r="O48" s="900">
        <f t="shared" si="16"/>
        <v>-3.444180522565321</v>
      </c>
      <c r="P48" s="900">
        <f t="shared" si="16"/>
        <v>-2.6587301587301493</v>
      </c>
      <c r="Q48" s="900">
        <f t="shared" si="16"/>
        <v>0.49160180253995378</v>
      </c>
      <c r="R48" s="900">
        <f t="shared" si="16"/>
        <v>1.4565126924677596</v>
      </c>
      <c r="S48" s="899"/>
      <c r="T48" s="893"/>
      <c r="U48" s="895"/>
      <c r="V48" s="895"/>
      <c r="W48" s="893"/>
    </row>
    <row r="49" spans="6:23">
      <c r="F49" s="890">
        <v>2010</v>
      </c>
      <c r="G49" s="900">
        <f t="shared" ref="G49:R49" si="17">(G27/G26-1)*100</f>
        <v>1.2033195020746845</v>
      </c>
      <c r="H49" s="900">
        <f t="shared" si="17"/>
        <v>2.6834381551362751</v>
      </c>
      <c r="I49" s="900">
        <f t="shared" si="17"/>
        <v>2.7219430485762253</v>
      </c>
      <c r="J49" s="900">
        <f t="shared" si="17"/>
        <v>3.5205364626990754</v>
      </c>
      <c r="K49" s="900">
        <f t="shared" si="17"/>
        <v>6.8950930626057394</v>
      </c>
      <c r="L49" s="900">
        <f t="shared" si="17"/>
        <v>9.1750841750841694</v>
      </c>
      <c r="M49" s="900">
        <f t="shared" si="17"/>
        <v>9.553872053872059</v>
      </c>
      <c r="N49" s="900">
        <f t="shared" si="17"/>
        <v>8.6446658364466735</v>
      </c>
      <c r="O49" s="900">
        <f t="shared" si="17"/>
        <v>8.6715867158671642</v>
      </c>
      <c r="P49" s="900">
        <f t="shared" si="17"/>
        <v>9.2132083163473091</v>
      </c>
      <c r="Q49" s="900">
        <f t="shared" si="17"/>
        <v>9.8909498573175547</v>
      </c>
      <c r="R49" s="900">
        <f t="shared" si="17"/>
        <v>10.177399507793282</v>
      </c>
      <c r="S49" s="899"/>
      <c r="T49" s="893"/>
      <c r="U49" s="895"/>
      <c r="V49" s="895"/>
      <c r="W49" s="893"/>
    </row>
    <row r="50" spans="6:23">
      <c r="F50" s="890">
        <v>2011</v>
      </c>
      <c r="G50" s="900">
        <f t="shared" ref="G50:R50" si="18">(G28/G27-1)*100</f>
        <v>14.027265272652723</v>
      </c>
      <c r="H50" s="900">
        <f t="shared" si="18"/>
        <v>18.70151082074316</v>
      </c>
      <c r="I50" s="900">
        <f t="shared" si="18"/>
        <v>21.315735833673031</v>
      </c>
      <c r="J50" s="900">
        <f t="shared" si="18"/>
        <v>22.692307692307701</v>
      </c>
      <c r="K50" s="900">
        <f t="shared" si="18"/>
        <v>20.300751879699263</v>
      </c>
      <c r="L50" s="900">
        <f t="shared" si="18"/>
        <v>17.651310717039337</v>
      </c>
      <c r="M50" s="900">
        <f t="shared" si="18"/>
        <v>18.065693430656914</v>
      </c>
      <c r="N50" s="900">
        <f t="shared" si="18"/>
        <v>17.695099818511807</v>
      </c>
      <c r="O50" s="900">
        <f t="shared" si="18"/>
        <v>16.487455197132618</v>
      </c>
      <c r="P50" s="900">
        <f t="shared" si="18"/>
        <v>15.780141843971652</v>
      </c>
      <c r="Q50" s="900">
        <f t="shared" si="18"/>
        <v>15.242290748898668</v>
      </c>
      <c r="R50" s="900">
        <f t="shared" si="18"/>
        <v>15.296198054818744</v>
      </c>
      <c r="S50" s="899"/>
      <c r="T50" s="893"/>
      <c r="U50" s="895"/>
      <c r="V50" s="895"/>
      <c r="W50" s="893"/>
    </row>
    <row r="51" spans="6:23">
      <c r="F51" s="890">
        <v>2012</v>
      </c>
      <c r="G51" s="900">
        <f t="shared" ref="G51:R51" si="19">(G29/G28-1)*100</f>
        <v>11.784799316823214</v>
      </c>
      <c r="H51" s="900">
        <f t="shared" si="19"/>
        <v>8.5784313725490122</v>
      </c>
      <c r="I51" s="900">
        <f t="shared" si="19"/>
        <v>6.5442936951316977</v>
      </c>
      <c r="J51" s="900">
        <f t="shared" si="19"/>
        <v>4.1536050156739668</v>
      </c>
      <c r="K51" s="900">
        <f t="shared" si="19"/>
        <v>3.6718750000000133</v>
      </c>
      <c r="L51" s="900">
        <f t="shared" si="19"/>
        <v>3.5019455252918386</v>
      </c>
      <c r="M51" s="900">
        <f t="shared" si="19"/>
        <v>2.9366306027820643</v>
      </c>
      <c r="N51" s="900">
        <f t="shared" si="19"/>
        <v>3.7008481110254454</v>
      </c>
      <c r="O51" s="900">
        <f t="shared" si="19"/>
        <v>3.6923076923077058</v>
      </c>
      <c r="P51" s="900">
        <f t="shared" si="19"/>
        <v>3.8284839203675425</v>
      </c>
      <c r="Q51" s="900">
        <f t="shared" si="19"/>
        <v>4.2813455657492394</v>
      </c>
      <c r="R51" s="900">
        <f t="shared" si="19"/>
        <v>4.3711656441717928</v>
      </c>
      <c r="S51" s="899"/>
      <c r="T51" s="893"/>
      <c r="U51" s="895"/>
      <c r="V51" s="895"/>
      <c r="W51" s="893"/>
    </row>
    <row r="52" spans="6:23">
      <c r="F52" s="890">
        <v>2013</v>
      </c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899"/>
      <c r="T52" s="893"/>
      <c r="U52" s="895"/>
      <c r="V52" s="895"/>
      <c r="W52" s="893"/>
    </row>
    <row r="53" spans="6:23">
      <c r="F53" s="890">
        <v>2014</v>
      </c>
      <c r="G53" s="900">
        <f t="shared" ref="G53:R53" si="20">(G32/G31-1)*100</f>
        <v>2.8619528619528767</v>
      </c>
      <c r="H53" s="900">
        <f t="shared" si="20"/>
        <v>3.0252100840336027</v>
      </c>
      <c r="I53" s="900">
        <f t="shared" si="20"/>
        <v>8.4805653710247277</v>
      </c>
      <c r="J53" s="900">
        <f t="shared" si="20"/>
        <v>3.535353535353547</v>
      </c>
      <c r="K53" s="900">
        <f t="shared" si="20"/>
        <v>2.8380634390651194</v>
      </c>
      <c r="L53" s="900">
        <f t="shared" si="20"/>
        <v>2.1416803953871355</v>
      </c>
      <c r="M53" s="900">
        <f t="shared" si="20"/>
        <v>3.8079470198675525</v>
      </c>
      <c r="N53" s="900">
        <f t="shared" si="20"/>
        <v>3.2948929159802409</v>
      </c>
      <c r="O53" s="900">
        <f t="shared" si="20"/>
        <v>3.8079470198675525</v>
      </c>
      <c r="P53" s="900">
        <f t="shared" si="20"/>
        <v>4.3046357615894149</v>
      </c>
      <c r="Q53" s="900">
        <f t="shared" si="20"/>
        <v>4.1459369817578695</v>
      </c>
      <c r="R53" s="900">
        <f t="shared" si="20"/>
        <v>3.814262023217263</v>
      </c>
      <c r="S53" s="899"/>
      <c r="T53" s="893"/>
      <c r="U53" s="895"/>
      <c r="V53" s="895"/>
      <c r="W53" s="893"/>
    </row>
    <row r="54" spans="6:23">
      <c r="F54" s="890">
        <v>2015</v>
      </c>
      <c r="G54" s="900">
        <f t="shared" ref="G54:R54" si="21">(G33/G32-1)*100</f>
        <v>2.2913256955810146</v>
      </c>
      <c r="H54" s="900">
        <f t="shared" si="21"/>
        <v>2.2838499184339334</v>
      </c>
      <c r="I54" s="900">
        <f t="shared" si="21"/>
        <v>2.7687296416938123</v>
      </c>
      <c r="J54" s="900">
        <f t="shared" si="21"/>
        <v>2.6016260162601723</v>
      </c>
      <c r="K54" s="900">
        <f t="shared" si="21"/>
        <v>3.7337662337662225</v>
      </c>
      <c r="L54" s="900">
        <f t="shared" si="21"/>
        <v>5.1612903225806583</v>
      </c>
      <c r="M54" s="900">
        <f t="shared" si="21"/>
        <v>4.6251993620414433</v>
      </c>
      <c r="N54" s="900">
        <f t="shared" si="21"/>
        <v>4.4657097288676173</v>
      </c>
      <c r="O54" s="900">
        <f t="shared" si="21"/>
        <v>4.3062200956937913</v>
      </c>
      <c r="P54" s="900">
        <f t="shared" si="21"/>
        <v>4.1269841269841123</v>
      </c>
      <c r="Q54" s="900">
        <f t="shared" si="21"/>
        <v>20.700636942675168</v>
      </c>
      <c r="R54" s="900">
        <f t="shared" si="21"/>
        <v>25.239616613418537</v>
      </c>
      <c r="S54" s="899"/>
      <c r="T54" s="893"/>
      <c r="U54" s="895"/>
      <c r="V54" s="895"/>
      <c r="W54" s="893"/>
    </row>
    <row r="55" spans="6:23">
      <c r="F55" s="890">
        <v>2016</v>
      </c>
      <c r="G55" s="900">
        <f t="shared" ref="G55:R55" si="22">(G34/G33-1)*100</f>
        <v>29.439999999999998</v>
      </c>
      <c r="H55" s="900">
        <f t="shared" si="22"/>
        <v>32.854864433811784</v>
      </c>
      <c r="I55" s="900">
        <f t="shared" si="22"/>
        <v>36.608557844690971</v>
      </c>
      <c r="J55" s="900">
        <f t="shared" si="22"/>
        <v>49.44532488114104</v>
      </c>
      <c r="K55" s="900">
        <f t="shared" si="22"/>
        <v>57.746478873239425</v>
      </c>
      <c r="L55" s="900">
        <f t="shared" si="22"/>
        <v>60.73619631901839</v>
      </c>
      <c r="M55" s="900">
        <f t="shared" si="22"/>
        <v>62.5</v>
      </c>
      <c r="N55" s="900">
        <f t="shared" si="22"/>
        <v>68.091603053435108</v>
      </c>
      <c r="O55" s="900">
        <f t="shared" si="22"/>
        <v>77.064220183486214</v>
      </c>
      <c r="P55" s="901">
        <f t="shared" si="22"/>
        <v>79.115853658536594</v>
      </c>
      <c r="Q55" s="900">
        <f t="shared" si="22"/>
        <v>57.255936675461761</v>
      </c>
      <c r="R55" s="900">
        <f t="shared" si="22"/>
        <v>52.295918367346928</v>
      </c>
      <c r="S55" s="899"/>
      <c r="T55" s="893"/>
      <c r="U55" s="895"/>
      <c r="V55" s="895"/>
      <c r="W55" s="893"/>
    </row>
    <row r="56" spans="6:23">
      <c r="F56" s="890">
        <v>2017</v>
      </c>
      <c r="G56" s="900">
        <f t="shared" ref="G56:R56" si="23">(G35/G34-1)*100</f>
        <v>48.70210135970332</v>
      </c>
      <c r="H56" s="900">
        <f t="shared" si="23"/>
        <v>45.258103241296531</v>
      </c>
      <c r="I56" s="900">
        <f t="shared" si="23"/>
        <v>41.763341067285388</v>
      </c>
      <c r="J56" s="900">
        <f t="shared" si="23"/>
        <v>30.858960763520681</v>
      </c>
      <c r="K56" s="900">
        <f t="shared" si="23"/>
        <v>23.032738095238091</v>
      </c>
      <c r="L56" s="900">
        <f t="shared" si="23"/>
        <v>19.751908396946561</v>
      </c>
      <c r="M56" s="900">
        <f t="shared" si="23"/>
        <v>19.324577861163238</v>
      </c>
      <c r="N56" s="900">
        <f t="shared" si="23"/>
        <v>16.224523160762949</v>
      </c>
      <c r="O56" s="900">
        <f t="shared" si="23"/>
        <v>11.658031088082922</v>
      </c>
      <c r="P56" s="900">
        <f t="shared" si="23"/>
        <v>10.808510638297864</v>
      </c>
      <c r="Q56" s="900">
        <f t="shared" si="23"/>
        <v>9.2281879194630712</v>
      </c>
      <c r="R56" s="900">
        <f t="shared" si="23"/>
        <v>9.2633165829145714</v>
      </c>
      <c r="S56" s="899"/>
      <c r="T56" s="893"/>
      <c r="U56" s="895"/>
      <c r="V56" s="895"/>
      <c r="W56" s="893"/>
    </row>
    <row r="57" spans="6:23">
      <c r="F57" s="890">
        <v>2018</v>
      </c>
      <c r="G57" s="900">
        <f t="shared" ref="G57:R57" si="24">(G36/G35-1)*100</f>
        <v>9.1438071487947035</v>
      </c>
      <c r="H57" s="900">
        <f t="shared" si="24"/>
        <v>9.5867768595041305</v>
      </c>
      <c r="I57" s="900">
        <f t="shared" si="24"/>
        <v>8.6743044189852689</v>
      </c>
      <c r="J57" s="900">
        <f t="shared" si="24"/>
        <v>7.86061588330631</v>
      </c>
      <c r="K57" s="900">
        <f t="shared" si="24"/>
        <v>7.7809225079357391</v>
      </c>
      <c r="L57" s="900">
        <f t="shared" si="24"/>
        <v>6.9588313413014413</v>
      </c>
      <c r="M57" s="900">
        <f t="shared" si="24"/>
        <v>5.9748427672956073</v>
      </c>
      <c r="N57" s="900">
        <f t="shared" si="24"/>
        <v>6.1242607249584413</v>
      </c>
      <c r="O57" s="900">
        <f t="shared" si="24"/>
        <v>5.491105955143083</v>
      </c>
      <c r="P57" s="900">
        <f t="shared" si="24"/>
        <v>5.2227342549923339</v>
      </c>
      <c r="Q57" s="900">
        <f t="shared" si="24"/>
        <v>5.4531490015361062</v>
      </c>
      <c r="R57" s="900">
        <f t="shared" si="24"/>
        <v>5.4726185110577585</v>
      </c>
      <c r="S57" s="899"/>
      <c r="T57" s="893"/>
      <c r="U57" s="895"/>
      <c r="V57" s="895"/>
      <c r="W57" s="893"/>
    </row>
    <row r="58" spans="6:23">
      <c r="F58" s="890">
        <v>2019</v>
      </c>
      <c r="G58" s="900">
        <f t="shared" ref="G58:R58" si="25">(G37/G36-1)*100</f>
        <v>5.4836252856054646</v>
      </c>
      <c r="H58" s="900">
        <f t="shared" si="25"/>
        <v>4.2986425339366585</v>
      </c>
      <c r="I58" s="900">
        <f t="shared" si="25"/>
        <v>4.141566265060237</v>
      </c>
      <c r="J58" s="900">
        <f t="shared" si="25"/>
        <v>4.5830202854996172</v>
      </c>
      <c r="K58" s="900">
        <f t="shared" si="25"/>
        <v>4.58852867830426</v>
      </c>
      <c r="L58" s="900">
        <f t="shared" si="25"/>
        <v>4.5194934194189518</v>
      </c>
      <c r="M58" s="900">
        <f t="shared" si="25"/>
        <v>4.37685459940651</v>
      </c>
      <c r="N58" s="900">
        <f t="shared" si="25"/>
        <v>3.9764359351988077</v>
      </c>
      <c r="O58" s="900">
        <f t="shared" si="25"/>
        <v>4.0322580645161255</v>
      </c>
      <c r="P58" s="900">
        <f t="shared" si="25"/>
        <v>4.2335766423357679</v>
      </c>
      <c r="Q58" s="900">
        <f t="shared" si="25"/>
        <v>4.2971595047341493</v>
      </c>
      <c r="R58" s="900">
        <f t="shared" si="25"/>
        <v>4.215116279069786</v>
      </c>
      <c r="S58" s="899"/>
      <c r="T58" s="893"/>
      <c r="U58" s="895"/>
      <c r="V58" s="895"/>
      <c r="W58" s="893"/>
    </row>
    <row r="59" spans="6:23">
      <c r="F59" s="890">
        <v>2020</v>
      </c>
      <c r="G59" s="900">
        <f t="shared" ref="G59:R59" si="26">(G38/G37-1)*100</f>
        <v>4.1877256317689682</v>
      </c>
      <c r="H59" s="900">
        <f t="shared" si="26"/>
        <v>6.9414316702819834</v>
      </c>
      <c r="I59" s="900">
        <f t="shared" si="26"/>
        <v>17.570498915401277</v>
      </c>
      <c r="J59" s="900">
        <f t="shared" si="26"/>
        <v>25.933908045977038</v>
      </c>
      <c r="K59" s="900">
        <f t="shared" si="26"/>
        <v>31.616595135908419</v>
      </c>
      <c r="L59" s="900">
        <f t="shared" si="26"/>
        <v>35.210263720598704</v>
      </c>
      <c r="M59" s="900">
        <f t="shared" si="26"/>
        <v>38.166311300639677</v>
      </c>
      <c r="N59" s="900">
        <f t="shared" si="26"/>
        <v>39.94334277620397</v>
      </c>
      <c r="O59" s="900">
        <f t="shared" si="26"/>
        <v>45.172656800563772</v>
      </c>
      <c r="P59" s="900">
        <f t="shared" si="26"/>
        <v>54.201680672268893</v>
      </c>
      <c r="Q59" s="900">
        <f t="shared" si="26"/>
        <v>56.354748603351965</v>
      </c>
      <c r="R59" s="900">
        <f t="shared" si="26"/>
        <v>61.018131101813111</v>
      </c>
      <c r="S59" s="899"/>
      <c r="T59" s="893"/>
      <c r="U59" s="895"/>
      <c r="V59" s="895"/>
      <c r="W59" s="893"/>
    </row>
    <row r="60" spans="6:23">
      <c r="F60" s="890" t="s">
        <v>229</v>
      </c>
      <c r="G60" s="898"/>
      <c r="H60" s="898"/>
      <c r="I60" s="898"/>
      <c r="J60" s="898"/>
      <c r="K60" s="898"/>
      <c r="L60" s="898"/>
      <c r="M60" s="898"/>
      <c r="N60" s="898"/>
      <c r="O60" s="898"/>
      <c r="P60" s="898"/>
      <c r="Q60" s="898"/>
      <c r="R60" s="898"/>
      <c r="S60" s="896"/>
      <c r="T60" s="893"/>
      <c r="U60" s="895"/>
      <c r="V60" s="895"/>
      <c r="W60" s="893"/>
    </row>
    <row r="61" spans="6:23">
      <c r="F61" s="890" t="s">
        <v>230</v>
      </c>
      <c r="G61" s="897" t="s">
        <v>213</v>
      </c>
      <c r="H61" s="897" t="s">
        <v>214</v>
      </c>
      <c r="I61" s="897" t="s">
        <v>215</v>
      </c>
      <c r="J61" s="897" t="s">
        <v>216</v>
      </c>
      <c r="K61" s="897" t="s">
        <v>217</v>
      </c>
      <c r="L61" s="897" t="s">
        <v>218</v>
      </c>
      <c r="M61" s="897" t="s">
        <v>219</v>
      </c>
      <c r="N61" s="897" t="s">
        <v>220</v>
      </c>
      <c r="O61" s="897" t="s">
        <v>221</v>
      </c>
      <c r="P61" s="897" t="s">
        <v>222</v>
      </c>
      <c r="Q61" s="897" t="s">
        <v>223</v>
      </c>
      <c r="R61" s="897" t="s">
        <v>209</v>
      </c>
      <c r="S61" s="896"/>
      <c r="T61" s="893"/>
      <c r="U61" s="895"/>
      <c r="V61" s="895"/>
      <c r="W61" s="893"/>
    </row>
    <row r="62" spans="6:23">
      <c r="F62" s="892">
        <v>1999</v>
      </c>
      <c r="G62" s="891">
        <f t="shared" ref="G62:G75" si="27">(G16/R15-1)*100</f>
        <v>9.6207342834191412</v>
      </c>
      <c r="H62" s="891">
        <f t="shared" ref="H62:R62" si="28">(H16/G16-1)*100</f>
        <v>8.4978473793667177</v>
      </c>
      <c r="I62" s="891">
        <f t="shared" si="28"/>
        <v>9.2225991880468872</v>
      </c>
      <c r="J62" s="891">
        <f t="shared" si="28"/>
        <v>9.6509393089785576</v>
      </c>
      <c r="K62" s="891">
        <f t="shared" si="28"/>
        <v>20.655683489552047</v>
      </c>
      <c r="L62" s="891">
        <f t="shared" si="28"/>
        <v>8.5193707307573021</v>
      </c>
      <c r="M62" s="891">
        <f t="shared" si="28"/>
        <v>2.4845793895565293</v>
      </c>
      <c r="N62" s="891">
        <f t="shared" si="28"/>
        <v>6.4318420608874938</v>
      </c>
      <c r="O62" s="891">
        <f t="shared" si="28"/>
        <v>0.49999999999998934</v>
      </c>
      <c r="P62" s="891">
        <f t="shared" si="28"/>
        <v>3.0538307408740417</v>
      </c>
      <c r="Q62" s="891">
        <f t="shared" si="28"/>
        <v>2.4699929395151754</v>
      </c>
      <c r="R62" s="891">
        <f t="shared" si="28"/>
        <v>-1.4400716590681872</v>
      </c>
      <c r="S62" s="896"/>
      <c r="T62" s="889">
        <f t="shared" ref="T62:T83" si="29">AVERAGE(G62:R62)</f>
        <v>6.638945654323809</v>
      </c>
      <c r="U62" s="895"/>
      <c r="V62" s="895"/>
      <c r="W62" s="893"/>
    </row>
    <row r="63" spans="6:23">
      <c r="F63" s="892">
        <v>2000</v>
      </c>
      <c r="G63" s="891">
        <f t="shared" si="27"/>
        <v>1.5602971162248735</v>
      </c>
      <c r="H63" s="891">
        <f t="shared" ref="H63:R63" si="30">(H17/G17-1)*100</f>
        <v>1.5363258680104908</v>
      </c>
      <c r="I63" s="891">
        <f t="shared" si="30"/>
        <v>1.5130800281345724</v>
      </c>
      <c r="J63" s="891">
        <f t="shared" si="30"/>
        <v>-66.552531586570367</v>
      </c>
      <c r="K63" s="891">
        <f t="shared" si="30"/>
        <v>4.3261231281197965</v>
      </c>
      <c r="L63" s="891">
        <f t="shared" si="30"/>
        <v>9.2503987240829311</v>
      </c>
      <c r="M63" s="891">
        <f t="shared" si="30"/>
        <v>4.8175182481751788</v>
      </c>
      <c r="N63" s="891">
        <f t="shared" si="30"/>
        <v>4.1782729805013963</v>
      </c>
      <c r="O63" s="891">
        <f t="shared" si="30"/>
        <v>8.5561497326203337</v>
      </c>
      <c r="P63" s="891">
        <f t="shared" si="30"/>
        <v>22.413793103448288</v>
      </c>
      <c r="Q63" s="891">
        <f t="shared" si="30"/>
        <v>1.5090543259557387</v>
      </c>
      <c r="R63" s="891">
        <f t="shared" si="30"/>
        <v>-1.189296333002976</v>
      </c>
      <c r="S63" s="896"/>
      <c r="T63" s="889">
        <f t="shared" si="29"/>
        <v>-0.67340122202497865</v>
      </c>
      <c r="U63" s="895"/>
      <c r="V63" s="895"/>
      <c r="W63" s="893"/>
    </row>
    <row r="64" spans="6:23">
      <c r="F64" s="892">
        <v>2001</v>
      </c>
      <c r="G64" s="891">
        <f t="shared" si="27"/>
        <v>3.5105315947843607</v>
      </c>
      <c r="H64" s="891">
        <f t="shared" ref="H64:R64" si="31">(H18/G18-1)*100</f>
        <v>-0.29069767441860517</v>
      </c>
      <c r="I64" s="891">
        <f t="shared" si="31"/>
        <v>-1.1661807580174988</v>
      </c>
      <c r="J64" s="891">
        <f t="shared" si="31"/>
        <v>-0.39331366764995268</v>
      </c>
      <c r="K64" s="891">
        <f t="shared" si="31"/>
        <v>-0.19743336623889718</v>
      </c>
      <c r="L64" s="891">
        <f t="shared" si="31"/>
        <v>0.59347181008901906</v>
      </c>
      <c r="M64" s="891">
        <f t="shared" si="31"/>
        <v>2.2615535889872085</v>
      </c>
      <c r="N64" s="891">
        <f t="shared" si="31"/>
        <v>0.19230769230769162</v>
      </c>
      <c r="O64" s="891">
        <f t="shared" si="31"/>
        <v>-0.19193857965451588</v>
      </c>
      <c r="P64" s="891">
        <f t="shared" si="31"/>
        <v>0.86538461538461231</v>
      </c>
      <c r="Q64" s="891">
        <f t="shared" si="31"/>
        <v>0.57197330791229906</v>
      </c>
      <c r="R64" s="891">
        <f t="shared" si="31"/>
        <v>-0.85308056872038796</v>
      </c>
      <c r="S64" s="894"/>
      <c r="T64" s="889">
        <f t="shared" si="29"/>
        <v>0.40854816623044449</v>
      </c>
      <c r="U64" s="893"/>
      <c r="V64" s="893"/>
      <c r="W64" s="893"/>
    </row>
    <row r="65" spans="6:23">
      <c r="F65" s="892">
        <v>2002</v>
      </c>
      <c r="G65" s="891">
        <f t="shared" si="27"/>
        <v>-0.19120458891012104</v>
      </c>
      <c r="H65" s="891">
        <f t="shared" ref="H65:R65" si="32">(H19/G19-1)*100</f>
        <v>0.67049808429118229</v>
      </c>
      <c r="I65" s="891">
        <f t="shared" si="32"/>
        <v>0.57088487155090295</v>
      </c>
      <c r="J65" s="891">
        <f t="shared" si="32"/>
        <v>1.8921475875118166</v>
      </c>
      <c r="K65" s="891">
        <f t="shared" si="32"/>
        <v>1.8570102135561761</v>
      </c>
      <c r="L65" s="891">
        <f t="shared" si="32"/>
        <v>4.3755697356426593</v>
      </c>
      <c r="M65" s="891">
        <f t="shared" si="32"/>
        <v>5.9388646288209612</v>
      </c>
      <c r="N65" s="891">
        <f t="shared" si="32"/>
        <v>4.5342126957955475</v>
      </c>
      <c r="O65" s="891">
        <f t="shared" si="32"/>
        <v>4.9684542586750702</v>
      </c>
      <c r="P65" s="891">
        <f t="shared" si="32"/>
        <v>0.5259203606311269</v>
      </c>
      <c r="Q65" s="891">
        <f t="shared" si="32"/>
        <v>0.97159940209265994</v>
      </c>
      <c r="R65" s="891">
        <f t="shared" si="32"/>
        <v>-0.59215396002959553</v>
      </c>
      <c r="T65" s="889">
        <f t="shared" si="29"/>
        <v>2.1268169408023661</v>
      </c>
    </row>
    <row r="66" spans="6:23">
      <c r="F66" s="892">
        <v>2003</v>
      </c>
      <c r="G66" s="891">
        <f t="shared" si="27"/>
        <v>0.89352196574832288</v>
      </c>
      <c r="H66" s="891">
        <f t="shared" ref="H66:R66" si="33">(H20/G20-1)*100</f>
        <v>1.1808118081180874</v>
      </c>
      <c r="I66" s="891">
        <f t="shared" si="33"/>
        <v>4.0846097738876708</v>
      </c>
      <c r="J66" s="891">
        <f t="shared" si="33"/>
        <v>2.5227750525578241</v>
      </c>
      <c r="K66" s="891">
        <f t="shared" si="33"/>
        <v>0.20505809979491918</v>
      </c>
      <c r="L66" s="891">
        <f t="shared" si="33"/>
        <v>0.34106412005456832</v>
      </c>
      <c r="M66" s="891">
        <f t="shared" si="33"/>
        <v>0.60000000000000053</v>
      </c>
      <c r="N66" s="891">
        <f t="shared" si="33"/>
        <v>0.60000000000000053</v>
      </c>
      <c r="O66" s="891">
        <f t="shared" si="33"/>
        <v>0.60000000000000053</v>
      </c>
      <c r="P66" s="891">
        <f t="shared" si="33"/>
        <v>0.60000000000000053</v>
      </c>
      <c r="Q66" s="891">
        <f t="shared" si="33"/>
        <v>0.60000000000000053</v>
      </c>
      <c r="R66" s="891">
        <f t="shared" si="33"/>
        <v>0.60000000000000053</v>
      </c>
      <c r="T66" s="889">
        <f t="shared" si="29"/>
        <v>1.0689867350134501</v>
      </c>
    </row>
    <row r="67" spans="6:23">
      <c r="F67" s="892">
        <v>2004</v>
      </c>
      <c r="G67" s="891">
        <f t="shared" si="27"/>
        <v>0.60000000000000053</v>
      </c>
      <c r="H67" s="891">
        <f t="shared" ref="H67:R67" si="34">(H21/G21-1)*100</f>
        <v>0.60000000000000053</v>
      </c>
      <c r="I67" s="891">
        <f t="shared" si="34"/>
        <v>1.9370835498040639</v>
      </c>
      <c r="J67" s="891">
        <f t="shared" si="34"/>
        <v>0.44500953591861681</v>
      </c>
      <c r="K67" s="891">
        <f t="shared" si="34"/>
        <v>1.8354430379746933</v>
      </c>
      <c r="L67" s="891">
        <f t="shared" si="34"/>
        <v>1.1808576755748978</v>
      </c>
      <c r="M67" s="891">
        <f t="shared" si="34"/>
        <v>-0.24570024570025328</v>
      </c>
      <c r="N67" s="891">
        <f t="shared" si="34"/>
        <v>-0.55418719211822731</v>
      </c>
      <c r="O67" s="891">
        <f t="shared" si="34"/>
        <v>0.86687306501549433</v>
      </c>
      <c r="P67" s="891">
        <f t="shared" si="34"/>
        <v>1.0435850214855602</v>
      </c>
      <c r="Q67" s="891">
        <f t="shared" si="34"/>
        <v>1.275820170109343</v>
      </c>
      <c r="R67" s="891">
        <f t="shared" si="34"/>
        <v>0.29994001199760145</v>
      </c>
      <c r="T67" s="889">
        <f t="shared" si="29"/>
        <v>0.77372705250514928</v>
      </c>
    </row>
    <row r="68" spans="6:23">
      <c r="F68" s="892">
        <v>2005</v>
      </c>
      <c r="G68" s="891">
        <f t="shared" si="27"/>
        <v>0.77751196172248793</v>
      </c>
      <c r="H68" s="891">
        <f t="shared" ref="H68:R68" si="35">(H22/G22-1)*100</f>
        <v>5.9347181008906347E-2</v>
      </c>
      <c r="I68" s="891">
        <f t="shared" si="35"/>
        <v>0.11862396204034287</v>
      </c>
      <c r="J68" s="891">
        <f t="shared" si="35"/>
        <v>0.23696682464453556</v>
      </c>
      <c r="K68" s="891">
        <f t="shared" si="35"/>
        <v>0.65011820330971304</v>
      </c>
      <c r="L68" s="891">
        <f t="shared" si="35"/>
        <v>0.64591896652965719</v>
      </c>
      <c r="M68" s="891">
        <f t="shared" si="35"/>
        <v>1.0501750291715295</v>
      </c>
      <c r="N68" s="891">
        <f t="shared" si="35"/>
        <v>1.3279445727482742</v>
      </c>
      <c r="O68" s="891">
        <f t="shared" si="35"/>
        <v>4.6153846153846212</v>
      </c>
      <c r="P68" s="891">
        <f t="shared" si="35"/>
        <v>4.466230936819171</v>
      </c>
      <c r="Q68" s="891">
        <f t="shared" si="35"/>
        <v>1.0427528675703845</v>
      </c>
      <c r="R68" s="891">
        <f t="shared" si="35"/>
        <v>-0.10319917440660964</v>
      </c>
      <c r="T68" s="889">
        <f t="shared" si="29"/>
        <v>1.2406479955452512</v>
      </c>
      <c r="W68" s="889"/>
    </row>
    <row r="69" spans="6:23">
      <c r="F69" s="892">
        <v>2006</v>
      </c>
      <c r="G69" s="891">
        <f t="shared" si="27"/>
        <v>-1.2913223140495922</v>
      </c>
      <c r="H69" s="891">
        <f t="shared" ref="H69:R69" si="36">(H23/G23-1)*100</f>
        <v>1.151229722658309</v>
      </c>
      <c r="I69" s="891">
        <f t="shared" si="36"/>
        <v>0.15519917227106994</v>
      </c>
      <c r="J69" s="891">
        <f t="shared" si="36"/>
        <v>-0.36157024793387338</v>
      </c>
      <c r="K69" s="891">
        <f t="shared" si="36"/>
        <v>0.20736132711249855</v>
      </c>
      <c r="L69" s="891">
        <f t="shared" si="36"/>
        <v>1.7071908949818804</v>
      </c>
      <c r="M69" s="891">
        <f t="shared" si="36"/>
        <v>0.10172939979655737</v>
      </c>
      <c r="N69" s="891">
        <f t="shared" si="36"/>
        <v>1.3719512195121908</v>
      </c>
      <c r="O69" s="891">
        <f t="shared" si="36"/>
        <v>1.5037593984962516</v>
      </c>
      <c r="P69" s="891">
        <f t="shared" si="36"/>
        <v>4.9382716049373165E-2</v>
      </c>
      <c r="Q69" s="891">
        <f t="shared" si="36"/>
        <v>0.39486673247779436</v>
      </c>
      <c r="R69" s="891">
        <f t="shared" si="36"/>
        <v>-0.29498525073745618</v>
      </c>
      <c r="T69" s="889">
        <f t="shared" si="29"/>
        <v>0.39123273088625027</v>
      </c>
      <c r="U69" s="889"/>
    </row>
    <row r="70" spans="6:23">
      <c r="F70" s="892">
        <v>2007</v>
      </c>
      <c r="G70" s="891">
        <f t="shared" si="27"/>
        <v>-1.2820512820512886</v>
      </c>
      <c r="H70" s="891">
        <f t="shared" ref="H70:R70" si="37">(H24/G24-1)*100</f>
        <v>4.995004995005381E-2</v>
      </c>
      <c r="I70" s="891">
        <f t="shared" si="37"/>
        <v>0.24962556165750716</v>
      </c>
      <c r="J70" s="891">
        <f t="shared" si="37"/>
        <v>1.5936254980079667</v>
      </c>
      <c r="K70" s="891">
        <f t="shared" si="37"/>
        <v>2.7941176470588136</v>
      </c>
      <c r="L70" s="891">
        <f t="shared" si="37"/>
        <v>2.4797329518359668</v>
      </c>
      <c r="M70" s="891">
        <f t="shared" si="37"/>
        <v>-0.8841321544904579</v>
      </c>
      <c r="N70" s="891">
        <f t="shared" si="37"/>
        <v>0.32863849765256692</v>
      </c>
      <c r="O70" s="891">
        <f t="shared" si="37"/>
        <v>4.6794571829678056E-2</v>
      </c>
      <c r="P70" s="891">
        <f t="shared" si="37"/>
        <v>4.6772684752105498E-2</v>
      </c>
      <c r="Q70" s="891">
        <f t="shared" si="37"/>
        <v>1.2622720897615736</v>
      </c>
      <c r="R70" s="891">
        <f t="shared" si="37"/>
        <v>1.4312096029547527</v>
      </c>
      <c r="T70" s="889">
        <f t="shared" si="29"/>
        <v>0.67637964324326971</v>
      </c>
    </row>
    <row r="71" spans="6:23">
      <c r="F71" s="892">
        <v>2008</v>
      </c>
      <c r="G71" s="891">
        <f t="shared" si="27"/>
        <v>1.7751479289940919</v>
      </c>
      <c r="H71" s="891">
        <f t="shared" ref="H71:R71" si="38">(H25/G25-1)*100</f>
        <v>0.35778175313059268</v>
      </c>
      <c r="I71" s="891">
        <f t="shared" si="38"/>
        <v>1.8270944741533013</v>
      </c>
      <c r="J71" s="891">
        <f t="shared" si="38"/>
        <v>3.6323851203501123</v>
      </c>
      <c r="K71" s="891">
        <f t="shared" si="38"/>
        <v>1.4780405405405483</v>
      </c>
      <c r="L71" s="891">
        <f t="shared" si="38"/>
        <v>2.5801081980857177</v>
      </c>
      <c r="M71" s="891">
        <f t="shared" si="38"/>
        <v>1.1764705882352899</v>
      </c>
      <c r="N71" s="891">
        <f t="shared" si="38"/>
        <v>1.2028869286287103</v>
      </c>
      <c r="O71" s="891">
        <f t="shared" si="38"/>
        <v>7.9239302694134039E-2</v>
      </c>
      <c r="P71" s="891">
        <f t="shared" si="38"/>
        <v>-0.23752969121140222</v>
      </c>
      <c r="Q71" s="891">
        <f t="shared" si="38"/>
        <v>-3.1349206349206349</v>
      </c>
      <c r="R71" s="891">
        <f t="shared" si="38"/>
        <v>-1.5567390413764759</v>
      </c>
      <c r="T71" s="889">
        <f t="shared" si="29"/>
        <v>0.76499712227533223</v>
      </c>
    </row>
    <row r="72" spans="6:23">
      <c r="F72" s="892">
        <v>2009</v>
      </c>
      <c r="G72" s="891">
        <f t="shared" si="27"/>
        <v>0.29130253849354304</v>
      </c>
      <c r="H72" s="891">
        <f t="shared" ref="H72:R72" si="39">(H26/G26-1)*100</f>
        <v>-1.0373443983402453</v>
      </c>
      <c r="I72" s="891">
        <f t="shared" si="39"/>
        <v>0.12578616352201255</v>
      </c>
      <c r="J72" s="891">
        <f t="shared" si="39"/>
        <v>-8.3752093802347272E-2</v>
      </c>
      <c r="K72" s="891">
        <f t="shared" si="39"/>
        <v>-0.92204526404022769</v>
      </c>
      <c r="L72" s="891">
        <f t="shared" si="39"/>
        <v>0.50761421319795996</v>
      </c>
      <c r="M72" s="891">
        <f t="shared" si="39"/>
        <v>0</v>
      </c>
      <c r="N72" s="891">
        <f t="shared" si="39"/>
        <v>1.388888888888884</v>
      </c>
      <c r="O72" s="891">
        <f t="shared" si="39"/>
        <v>1.2453300124533051</v>
      </c>
      <c r="P72" s="891">
        <f t="shared" si="39"/>
        <v>0.5740057400573928</v>
      </c>
      <c r="Q72" s="891">
        <f t="shared" si="39"/>
        <v>0</v>
      </c>
      <c r="R72" s="891">
        <f t="shared" si="39"/>
        <v>-0.61149612719119117</v>
      </c>
      <c r="T72" s="889">
        <f t="shared" si="29"/>
        <v>0.12319080610325717</v>
      </c>
    </row>
    <row r="73" spans="6:23">
      <c r="F73" s="892">
        <v>2010</v>
      </c>
      <c r="G73" s="891">
        <f t="shared" si="27"/>
        <v>4.1017227235440323E-2</v>
      </c>
      <c r="H73" s="891">
        <f t="shared" ref="H73:R73" si="40">(H27/G27-1)*100</f>
        <v>0.41000410004099486</v>
      </c>
      <c r="I73" s="891">
        <f t="shared" si="40"/>
        <v>0.16333197223357132</v>
      </c>
      <c r="J73" s="891">
        <f t="shared" si="40"/>
        <v>0.69302894415002037</v>
      </c>
      <c r="K73" s="891">
        <f t="shared" si="40"/>
        <v>2.3076923076922995</v>
      </c>
      <c r="L73" s="891">
        <f t="shared" si="40"/>
        <v>2.6513652552433653</v>
      </c>
      <c r="M73" s="891">
        <f t="shared" si="40"/>
        <v>0.346954510408648</v>
      </c>
      <c r="N73" s="891">
        <f t="shared" si="40"/>
        <v>0.54744525547445466</v>
      </c>
      <c r="O73" s="891">
        <f t="shared" si="40"/>
        <v>1.2704174228675091</v>
      </c>
      <c r="P73" s="891">
        <f t="shared" si="40"/>
        <v>1.0752688172042779</v>
      </c>
      <c r="Q73" s="891">
        <f t="shared" si="40"/>
        <v>0.62056737588653821</v>
      </c>
      <c r="R73" s="891">
        <f t="shared" si="40"/>
        <v>-0.35242290748898064</v>
      </c>
      <c r="T73" s="889">
        <f t="shared" si="29"/>
        <v>0.81455585674567821</v>
      </c>
    </row>
    <row r="74" spans="6:23">
      <c r="F74" s="892">
        <v>2011</v>
      </c>
      <c r="G74" s="891">
        <f t="shared" si="27"/>
        <v>3.536693191865603</v>
      </c>
      <c r="H74" s="891">
        <f t="shared" ref="H74:R74" si="41">(H28/G28-1)*100</f>
        <v>4.5260461144321029</v>
      </c>
      <c r="I74" s="891">
        <f t="shared" si="41"/>
        <v>2.3692810457516256</v>
      </c>
      <c r="J74" s="891">
        <f t="shared" si="41"/>
        <v>1.8355945730247569</v>
      </c>
      <c r="K74" s="891">
        <f t="shared" si="41"/>
        <v>0.31347962382444194</v>
      </c>
      <c r="L74" s="891">
        <f t="shared" si="41"/>
        <v>0.390625</v>
      </c>
      <c r="M74" s="891">
        <f t="shared" si="41"/>
        <v>0.70038910505836327</v>
      </c>
      <c r="N74" s="891">
        <f t="shared" si="41"/>
        <v>0.23183925811438577</v>
      </c>
      <c r="O74" s="891">
        <f t="shared" si="41"/>
        <v>0.23130300693907646</v>
      </c>
      <c r="P74" s="891">
        <f t="shared" si="41"/>
        <v>0.46153846153846878</v>
      </c>
      <c r="Q74" s="891">
        <f t="shared" si="41"/>
        <v>0.15313935681469104</v>
      </c>
      <c r="R74" s="891">
        <f t="shared" si="41"/>
        <v>-0.30581039755351869</v>
      </c>
      <c r="T74" s="889">
        <f t="shared" si="29"/>
        <v>1.2036765283174999</v>
      </c>
    </row>
    <row r="75" spans="6:23">
      <c r="F75" s="892">
        <v>2012</v>
      </c>
      <c r="G75" s="891">
        <f t="shared" si="27"/>
        <v>0.38343558282207812</v>
      </c>
      <c r="H75" s="891">
        <f t="shared" ref="H75:R75" si="42">(H29/G29-1)*100</f>
        <v>1.5278838808250539</v>
      </c>
      <c r="I75" s="891">
        <f t="shared" si="42"/>
        <v>0.45146726862301811</v>
      </c>
      <c r="J75" s="891">
        <f t="shared" si="42"/>
        <v>-0.44943820224719877</v>
      </c>
      <c r="K75" s="891">
        <f t="shared" si="42"/>
        <v>-0.15048908954099494</v>
      </c>
      <c r="L75" s="891">
        <f t="shared" si="42"/>
        <v>0.22607385079125297</v>
      </c>
      <c r="M75" s="891">
        <f t="shared" si="42"/>
        <v>0.15037593984961184</v>
      </c>
      <c r="N75" s="891">
        <f t="shared" si="42"/>
        <v>0.97597597597598451</v>
      </c>
      <c r="O75" s="891">
        <f t="shared" si="42"/>
        <v>0.22304832713755385</v>
      </c>
      <c r="P75" s="891">
        <f t="shared" si="42"/>
        <v>0.59347181008901906</v>
      </c>
      <c r="Q75" s="891">
        <f t="shared" si="42"/>
        <v>0.58997050147491237</v>
      </c>
      <c r="R75" s="891">
        <f t="shared" si="42"/>
        <v>-0.21994134897359574</v>
      </c>
      <c r="T75" s="889">
        <f t="shared" si="29"/>
        <v>0.35848620806889125</v>
      </c>
    </row>
    <row r="76" spans="6:23">
      <c r="F76" s="892">
        <v>2013</v>
      </c>
      <c r="G76" s="891">
        <f>(G31/R29-1)*100</f>
        <v>-81.623419312425071</v>
      </c>
      <c r="H76" s="891">
        <f t="shared" ref="H76:R76" si="43">(H31/G31-1)*100</f>
        <v>0.16835016835017313</v>
      </c>
      <c r="I76" s="891">
        <f t="shared" si="43"/>
        <v>-4.8739495798319261</v>
      </c>
      <c r="J76" s="891">
        <f t="shared" si="43"/>
        <v>4.9469964664310861</v>
      </c>
      <c r="K76" s="891">
        <f t="shared" si="43"/>
        <v>0.84175084175084347</v>
      </c>
      <c r="L76" s="891">
        <f t="shared" si="43"/>
        <v>1.3355592654424209</v>
      </c>
      <c r="M76" s="891">
        <f t="shared" si="43"/>
        <v>-0.49423393739703725</v>
      </c>
      <c r="N76" s="891">
        <f t="shared" si="43"/>
        <v>0.49668874172186239</v>
      </c>
      <c r="O76" s="891">
        <f t="shared" si="43"/>
        <v>-0.49423393739703725</v>
      </c>
      <c r="P76" s="891">
        <f t="shared" si="43"/>
        <v>0</v>
      </c>
      <c r="Q76" s="891">
        <f t="shared" si="43"/>
        <v>-0.16556291390729116</v>
      </c>
      <c r="R76" s="891">
        <f t="shared" si="43"/>
        <v>0</v>
      </c>
      <c r="T76" s="889">
        <f t="shared" si="29"/>
        <v>-6.655171183105165</v>
      </c>
    </row>
    <row r="77" spans="6:23">
      <c r="F77" s="892">
        <v>2014</v>
      </c>
      <c r="G77" s="891">
        <f t="shared" ref="G77:G83" si="44">(G32/R31-1)*100</f>
        <v>1.3266998341625369</v>
      </c>
      <c r="H77" s="891">
        <f t="shared" ref="H77:R77" si="45">(H32/G32-1)*100</f>
        <v>0.32733224222585289</v>
      </c>
      <c r="I77" s="891">
        <f t="shared" si="45"/>
        <v>0.16313213703100793</v>
      </c>
      <c r="J77" s="891">
        <f t="shared" si="45"/>
        <v>0.16286644951140072</v>
      </c>
      <c r="K77" s="891">
        <f t="shared" si="45"/>
        <v>0.16260162601626771</v>
      </c>
      <c r="L77" s="891">
        <f t="shared" si="45"/>
        <v>0.64935064935065512</v>
      </c>
      <c r="M77" s="891">
        <f t="shared" si="45"/>
        <v>1.1290322580645107</v>
      </c>
      <c r="N77" s="891">
        <f t="shared" si="45"/>
        <v>0</v>
      </c>
      <c r="O77" s="891">
        <f t="shared" si="45"/>
        <v>0</v>
      </c>
      <c r="P77" s="891">
        <f t="shared" si="45"/>
        <v>0.47846889952152249</v>
      </c>
      <c r="Q77" s="891">
        <f t="shared" si="45"/>
        <v>-0.31746031746032743</v>
      </c>
      <c r="R77" s="891">
        <f t="shared" si="45"/>
        <v>-0.31847133757960666</v>
      </c>
      <c r="T77" s="889">
        <f t="shared" si="29"/>
        <v>0.31362937007031833</v>
      </c>
    </row>
    <row r="78" spans="6:23">
      <c r="F78" s="892">
        <v>2015</v>
      </c>
      <c r="G78" s="891">
        <f t="shared" si="44"/>
        <v>-0.15974440894569453</v>
      </c>
      <c r="H78" s="891">
        <f t="shared" ref="H78:R78" si="46">(H33/G33-1)*100</f>
        <v>0.32000000000000917</v>
      </c>
      <c r="I78" s="891">
        <f t="shared" si="46"/>
        <v>0.63795853269537073</v>
      </c>
      <c r="J78" s="891">
        <f t="shared" si="46"/>
        <v>0</v>
      </c>
      <c r="K78" s="891">
        <f t="shared" si="46"/>
        <v>1.2678288431061668</v>
      </c>
      <c r="L78" s="891">
        <f t="shared" si="46"/>
        <v>2.0344287949921824</v>
      </c>
      <c r="M78" s="891">
        <f t="shared" si="46"/>
        <v>0.61349693251533388</v>
      </c>
      <c r="N78" s="891">
        <f t="shared" si="46"/>
        <v>-0.15243902439023849</v>
      </c>
      <c r="O78" s="891">
        <f t="shared" si="46"/>
        <v>-0.15267175572518665</v>
      </c>
      <c r="P78" s="891">
        <f t="shared" si="46"/>
        <v>0.30581039755350758</v>
      </c>
      <c r="Q78" s="891">
        <f t="shared" si="46"/>
        <v>15.54878048780488</v>
      </c>
      <c r="R78" s="891">
        <f t="shared" si="46"/>
        <v>3.4300791556728383</v>
      </c>
      <c r="T78" s="889">
        <f t="shared" si="29"/>
        <v>1.9744606629399308</v>
      </c>
    </row>
    <row r="79" spans="6:23">
      <c r="F79" s="892">
        <v>2016</v>
      </c>
      <c r="G79" s="891">
        <f t="shared" si="44"/>
        <v>3.1887755102040893</v>
      </c>
      <c r="H79" s="891">
        <f t="shared" ref="H79:R79" si="47">(H34/G34-1)*100</f>
        <v>2.9666254635352107</v>
      </c>
      <c r="I79" s="891">
        <f t="shared" si="47"/>
        <v>3.4813925570228221</v>
      </c>
      <c r="J79" s="891">
        <f t="shared" si="47"/>
        <v>9.3967517401392087</v>
      </c>
      <c r="K79" s="891">
        <f t="shared" si="47"/>
        <v>6.892895015906686</v>
      </c>
      <c r="L79" s="891">
        <f t="shared" si="47"/>
        <v>3.9682539682539764</v>
      </c>
      <c r="M79" s="891">
        <f t="shared" si="47"/>
        <v>1.7175572519083859</v>
      </c>
      <c r="N79" s="891">
        <f t="shared" si="47"/>
        <v>3.2833020637898613</v>
      </c>
      <c r="O79" s="891">
        <f t="shared" si="47"/>
        <v>5.1771117166212521</v>
      </c>
      <c r="P79" s="891">
        <f t="shared" si="47"/>
        <v>1.4680483592400817</v>
      </c>
      <c r="Q79" s="891">
        <f t="shared" si="47"/>
        <v>1.4468085106382977</v>
      </c>
      <c r="R79" s="891">
        <f t="shared" si="47"/>
        <v>0.16778523489933139</v>
      </c>
      <c r="T79" s="889">
        <f t="shared" si="29"/>
        <v>3.5962756160132674</v>
      </c>
    </row>
    <row r="80" spans="6:23">
      <c r="F80" s="892">
        <v>2017</v>
      </c>
      <c r="G80" s="891">
        <f t="shared" si="44"/>
        <v>0.75376884422109214</v>
      </c>
      <c r="H80" s="891">
        <f t="shared" ref="H80:R80" si="48">(H35/G35-1)*100</f>
        <v>0.5818786367414841</v>
      </c>
      <c r="I80" s="891">
        <f t="shared" si="48"/>
        <v>0.9917355371900749</v>
      </c>
      <c r="J80" s="891">
        <f t="shared" si="48"/>
        <v>0.98199672667758087</v>
      </c>
      <c r="K80" s="891">
        <f t="shared" si="48"/>
        <v>0.49999999999998934</v>
      </c>
      <c r="L80" s="891">
        <f t="shared" si="48"/>
        <v>1.1958038010917882</v>
      </c>
      <c r="M80" s="891">
        <f t="shared" si="48"/>
        <v>1.3545816733067761</v>
      </c>
      <c r="N80" s="891">
        <f t="shared" si="48"/>
        <v>0.60000000000000053</v>
      </c>
      <c r="O80" s="891">
        <f t="shared" si="48"/>
        <v>1.0446753441614609</v>
      </c>
      <c r="P80" s="891">
        <f t="shared" si="48"/>
        <v>0.69605568445474386</v>
      </c>
      <c r="Q80" s="891">
        <f t="shared" si="48"/>
        <v>0</v>
      </c>
      <c r="R80" s="891">
        <f t="shared" si="48"/>
        <v>0.20000000000000018</v>
      </c>
      <c r="T80" s="889">
        <f t="shared" si="29"/>
        <v>0.7417080206537493</v>
      </c>
    </row>
    <row r="81" spans="1:23">
      <c r="F81" s="892">
        <v>2018</v>
      </c>
      <c r="G81" s="891">
        <f t="shared" si="44"/>
        <v>0.64356693678695454</v>
      </c>
      <c r="H81" s="891">
        <f t="shared" ref="H81:R81" si="49">(H36/G36-1)*100</f>
        <v>0.99009900990096877</v>
      </c>
      <c r="I81" s="891">
        <f t="shared" si="49"/>
        <v>0.15082956259429015</v>
      </c>
      <c r="J81" s="891">
        <f t="shared" si="49"/>
        <v>0.22590361445782303</v>
      </c>
      <c r="K81" s="891">
        <f t="shared" si="49"/>
        <v>0.42574505384422867</v>
      </c>
      <c r="L81" s="891">
        <f t="shared" si="49"/>
        <v>0.42394014962592319</v>
      </c>
      <c r="M81" s="891">
        <f t="shared" si="49"/>
        <v>0.42215048423146495</v>
      </c>
      <c r="N81" s="891">
        <f t="shared" si="49"/>
        <v>0.74183976261128493</v>
      </c>
      <c r="O81" s="891">
        <f t="shared" si="49"/>
        <v>0.44182621502208974</v>
      </c>
      <c r="P81" s="891">
        <f t="shared" si="49"/>
        <v>0.43988269794721369</v>
      </c>
      <c r="Q81" s="891">
        <f t="shared" si="49"/>
        <v>0.21897810218978186</v>
      </c>
      <c r="R81" s="891">
        <f t="shared" si="49"/>
        <v>0.21849963583393528</v>
      </c>
      <c r="T81" s="889">
        <f t="shared" si="29"/>
        <v>0.4452717687538299</v>
      </c>
    </row>
    <row r="82" spans="1:23">
      <c r="F82" s="892">
        <v>2019</v>
      </c>
      <c r="G82" s="891">
        <f t="shared" si="44"/>
        <v>0.65406976744186718</v>
      </c>
      <c r="H82" s="891">
        <f t="shared" ref="H82:R82" si="50">(H37/G37-1)*100</f>
        <v>-0.14440433212995485</v>
      </c>
      <c r="I82" s="891">
        <f t="shared" si="50"/>
        <v>0</v>
      </c>
      <c r="J82" s="891">
        <f t="shared" si="50"/>
        <v>0.65075921908892553</v>
      </c>
      <c r="K82" s="891">
        <f t="shared" si="50"/>
        <v>0.43103448275862988</v>
      </c>
      <c r="L82" s="891">
        <f t="shared" si="50"/>
        <v>0.35765379113019691</v>
      </c>
      <c r="M82" s="891">
        <f t="shared" si="50"/>
        <v>0.28510334996434405</v>
      </c>
      <c r="N82" s="891">
        <f t="shared" si="50"/>
        <v>0.3553660270078085</v>
      </c>
      <c r="O82" s="891">
        <f t="shared" si="50"/>
        <v>0.49575070821530343</v>
      </c>
      <c r="P82" s="891">
        <f t="shared" si="50"/>
        <v>0.63424947145878097</v>
      </c>
      <c r="Q82" s="891">
        <f t="shared" si="50"/>
        <v>0.28011204481790397</v>
      </c>
      <c r="R82" s="891">
        <f t="shared" si="50"/>
        <v>0.13966480446927498</v>
      </c>
      <c r="T82" s="889">
        <f t="shared" si="29"/>
        <v>0.34494661118525666</v>
      </c>
    </row>
    <row r="83" spans="1:23">
      <c r="F83" s="892">
        <v>2020</v>
      </c>
      <c r="G83" s="891">
        <f t="shared" si="44"/>
        <v>0.62761506276149959</v>
      </c>
      <c r="H83" s="891">
        <f t="shared" ref="H83:R83" si="51">(H38/G38-1)*100</f>
        <v>2.4948024948024949</v>
      </c>
      <c r="I83" s="891">
        <f t="shared" si="51"/>
        <v>9.939148073022297</v>
      </c>
      <c r="J83" s="891">
        <f t="shared" si="51"/>
        <v>7.8105781057810741</v>
      </c>
      <c r="K83" s="891">
        <f t="shared" si="51"/>
        <v>4.9629207073587978</v>
      </c>
      <c r="L83" s="891">
        <f t="shared" si="51"/>
        <v>3.0978260869565233</v>
      </c>
      <c r="M83" s="891">
        <f t="shared" si="51"/>
        <v>2.4775962045334721</v>
      </c>
      <c r="N83" s="891">
        <f t="shared" si="51"/>
        <v>1.6460905349794164</v>
      </c>
      <c r="O83" s="891">
        <f t="shared" si="51"/>
        <v>4.2510121457489891</v>
      </c>
      <c r="P83" s="891">
        <f t="shared" si="51"/>
        <v>6.893203883495147</v>
      </c>
      <c r="Q83" s="891">
        <f t="shared" si="51"/>
        <v>1.6802906448682986</v>
      </c>
      <c r="R83" s="891">
        <f t="shared" si="51"/>
        <v>3.126395712371588</v>
      </c>
      <c r="T83" s="889">
        <f t="shared" si="29"/>
        <v>4.083956638056633</v>
      </c>
    </row>
    <row r="84" spans="1:23" s="881" customFormat="1">
      <c r="A84" s="881" t="s">
        <v>3839</v>
      </c>
      <c r="T84" s="881" t="s">
        <v>1344</v>
      </c>
    </row>
    <row r="85" spans="1:23">
      <c r="F85" s="860">
        <v>2015</v>
      </c>
      <c r="G85" s="860">
        <v>3.35</v>
      </c>
      <c r="H85" s="860">
        <v>3.35</v>
      </c>
      <c r="I85" s="860">
        <v>3.35</v>
      </c>
      <c r="J85" s="860">
        <v>3.35</v>
      </c>
      <c r="K85" s="860">
        <v>3.35</v>
      </c>
      <c r="L85" s="860">
        <v>3.35</v>
      </c>
      <c r="M85" s="860">
        <v>3.35</v>
      </c>
      <c r="N85" s="860">
        <v>3.35</v>
      </c>
      <c r="O85" s="860">
        <v>3.35</v>
      </c>
      <c r="P85" s="860">
        <v>3.35</v>
      </c>
      <c r="Q85" s="860">
        <v>4.2</v>
      </c>
      <c r="R85" s="860">
        <v>4.5999999999999996</v>
      </c>
      <c r="T85" s="889">
        <f>SUM(G85:R85)/12</f>
        <v>3.5250000000000008</v>
      </c>
    </row>
    <row r="86" spans="1:23">
      <c r="F86" s="860">
        <v>2016</v>
      </c>
      <c r="G86" s="860">
        <v>4.9000000000000004</v>
      </c>
      <c r="H86" s="889">
        <v>5</v>
      </c>
      <c r="I86" s="889">
        <v>5.16</v>
      </c>
      <c r="J86" s="889">
        <v>5.4024999999999999</v>
      </c>
      <c r="K86" s="889">
        <v>6.2</v>
      </c>
      <c r="L86" s="889">
        <v>7</v>
      </c>
      <c r="M86" s="889">
        <v>7.2</v>
      </c>
      <c r="N86" s="889">
        <v>7.3</v>
      </c>
      <c r="O86" s="889">
        <v>7.7</v>
      </c>
      <c r="P86" s="889">
        <v>7.3</v>
      </c>
      <c r="Q86" s="889">
        <v>7.3</v>
      </c>
      <c r="R86" s="889">
        <v>7.5</v>
      </c>
      <c r="T86" s="713">
        <f>SUM(G86:R86)/12</f>
        <v>6.4968749999999993</v>
      </c>
    </row>
    <row r="87" spans="1:23">
      <c r="F87" s="860">
        <v>2017</v>
      </c>
      <c r="G87" s="889">
        <v>7.4359999999999999</v>
      </c>
      <c r="H87" s="889">
        <v>7.48</v>
      </c>
      <c r="I87" s="889">
        <v>7.6</v>
      </c>
      <c r="J87" s="889">
        <v>7.6</v>
      </c>
      <c r="K87" s="889">
        <v>7.6</v>
      </c>
      <c r="L87" s="889">
        <v>7.6</v>
      </c>
      <c r="M87" s="889">
        <v>7.5</v>
      </c>
      <c r="N87" s="889">
        <v>7.5</v>
      </c>
      <c r="O87" s="889">
        <v>7.5</v>
      </c>
      <c r="P87" s="889">
        <f t="shared" ref="P87:R88" si="52">O87</f>
        <v>7.5</v>
      </c>
      <c r="Q87" s="889">
        <f t="shared" si="52"/>
        <v>7.5</v>
      </c>
      <c r="R87" s="889">
        <f t="shared" si="52"/>
        <v>7.5</v>
      </c>
      <c r="T87" s="713">
        <f>SUM(G87:R87)/12</f>
        <v>7.5263333333333335</v>
      </c>
    </row>
    <row r="88" spans="1:23">
      <c r="F88" s="860">
        <v>2018</v>
      </c>
      <c r="G88" s="889">
        <v>7.55</v>
      </c>
      <c r="H88" s="889">
        <f t="shared" ref="H88:O88" si="53">G88</f>
        <v>7.55</v>
      </c>
      <c r="I88" s="889">
        <f t="shared" si="53"/>
        <v>7.55</v>
      </c>
      <c r="J88" s="889">
        <f t="shared" si="53"/>
        <v>7.55</v>
      </c>
      <c r="K88" s="889">
        <f t="shared" si="53"/>
        <v>7.55</v>
      </c>
      <c r="L88" s="889">
        <f t="shared" si="53"/>
        <v>7.55</v>
      </c>
      <c r="M88" s="889">
        <f t="shared" si="53"/>
        <v>7.55</v>
      </c>
      <c r="N88" s="889">
        <f t="shared" si="53"/>
        <v>7.55</v>
      </c>
      <c r="O88" s="889">
        <f t="shared" si="53"/>
        <v>7.55</v>
      </c>
      <c r="P88" s="889">
        <f t="shared" si="52"/>
        <v>7.55</v>
      </c>
      <c r="Q88" s="889">
        <f t="shared" si="52"/>
        <v>7.55</v>
      </c>
      <c r="R88" s="889">
        <f t="shared" si="52"/>
        <v>7.55</v>
      </c>
      <c r="T88" s="713">
        <f>SUM(G88:R88)/12</f>
        <v>7.549999999999998</v>
      </c>
    </row>
    <row r="89" spans="1:23">
      <c r="F89" s="860">
        <v>2019</v>
      </c>
      <c r="G89" s="889">
        <v>7.55</v>
      </c>
      <c r="H89" s="889">
        <v>7.55</v>
      </c>
      <c r="I89" s="889">
        <v>7.55</v>
      </c>
      <c r="J89" s="889">
        <v>7.55</v>
      </c>
      <c r="K89" s="889">
        <v>7.55</v>
      </c>
      <c r="L89" s="889">
        <v>7.55</v>
      </c>
      <c r="M89" s="889">
        <v>7.55</v>
      </c>
      <c r="N89" s="889">
        <v>7.55</v>
      </c>
      <c r="O89" s="889">
        <v>7.55</v>
      </c>
      <c r="P89" s="889">
        <v>7.55</v>
      </c>
      <c r="Q89" s="889">
        <v>7.55</v>
      </c>
      <c r="R89" s="889">
        <v>7.55</v>
      </c>
      <c r="T89" s="713"/>
    </row>
    <row r="90" spans="1:23">
      <c r="F90" s="860">
        <v>2020</v>
      </c>
      <c r="G90" s="889">
        <v>7.55</v>
      </c>
      <c r="H90" s="889">
        <v>7.55</v>
      </c>
      <c r="I90" s="889">
        <v>7.55</v>
      </c>
      <c r="J90" s="889">
        <v>7.55</v>
      </c>
      <c r="K90" s="889">
        <v>7.55</v>
      </c>
      <c r="L90" s="889">
        <v>7.55</v>
      </c>
      <c r="M90" s="889">
        <v>7.55</v>
      </c>
      <c r="N90" s="889">
        <v>7.55</v>
      </c>
      <c r="O90" s="889">
        <v>7.55</v>
      </c>
      <c r="P90" s="889">
        <v>14</v>
      </c>
      <c r="Q90" s="889">
        <f>+P90</f>
        <v>14</v>
      </c>
      <c r="R90" s="889">
        <f>+Q90</f>
        <v>14</v>
      </c>
      <c r="T90" s="713"/>
    </row>
    <row r="91" spans="1:23">
      <c r="F91" s="860" t="s">
        <v>232</v>
      </c>
      <c r="H91" s="889"/>
      <c r="I91" s="889"/>
    </row>
    <row r="92" spans="1:23">
      <c r="F92" s="860">
        <v>2015</v>
      </c>
      <c r="P92" s="889">
        <f t="shared" ref="P92:R93" si="54">+(P85/O85-1)*100</f>
        <v>0</v>
      </c>
      <c r="Q92" s="889">
        <f t="shared" si="54"/>
        <v>25.373134328358216</v>
      </c>
      <c r="R92" s="889">
        <f t="shared" si="54"/>
        <v>9.5238095238095113</v>
      </c>
      <c r="T92" s="889"/>
    </row>
    <row r="93" spans="1:23">
      <c r="F93" s="860">
        <v>2016</v>
      </c>
      <c r="G93" s="889">
        <f>+(G86/R85-1)*100</f>
        <v>6.5217391304347894</v>
      </c>
      <c r="H93" s="889">
        <f t="shared" ref="H93:O93" si="55">+(H86/G86-1)*100</f>
        <v>2.0408163265306145</v>
      </c>
      <c r="I93" s="889">
        <f t="shared" si="55"/>
        <v>3.2000000000000028</v>
      </c>
      <c r="J93" s="889">
        <f t="shared" si="55"/>
        <v>4.6996124031007724</v>
      </c>
      <c r="K93" s="889">
        <f t="shared" si="55"/>
        <v>14.761684405367891</v>
      </c>
      <c r="L93" s="889">
        <f t="shared" si="55"/>
        <v>12.903225806451601</v>
      </c>
      <c r="M93" s="889">
        <f t="shared" si="55"/>
        <v>2.8571428571428692</v>
      </c>
      <c r="N93" s="889">
        <f t="shared" si="55"/>
        <v>1.388888888888884</v>
      </c>
      <c r="O93" s="889">
        <f t="shared" si="55"/>
        <v>5.4794520547945202</v>
      </c>
      <c r="P93" s="889">
        <f t="shared" si="54"/>
        <v>-5.1948051948051965</v>
      </c>
      <c r="Q93" s="889">
        <f t="shared" si="54"/>
        <v>0</v>
      </c>
      <c r="R93" s="889">
        <f t="shared" si="54"/>
        <v>2.7397260273972712</v>
      </c>
      <c r="T93" s="889">
        <f>SUM(G93:R93)/12</f>
        <v>4.283123558775336</v>
      </c>
    </row>
    <row r="95" spans="1:23">
      <c r="F95" s="890"/>
      <c r="G95" s="864"/>
      <c r="H95" s="864"/>
      <c r="I95" s="864"/>
      <c r="J95" s="864"/>
      <c r="K95" s="864"/>
      <c r="L95" s="864"/>
      <c r="M95" s="864"/>
      <c r="N95" s="864"/>
      <c r="O95" s="864"/>
      <c r="P95" s="864"/>
      <c r="Q95" s="864"/>
      <c r="R95" s="864"/>
      <c r="T95" s="889"/>
      <c r="U95" s="889"/>
      <c r="V95" s="889"/>
      <c r="W95" s="889"/>
    </row>
    <row r="97" spans="1:25" s="881" customFormat="1">
      <c r="A97" s="881" t="s">
        <v>1104</v>
      </c>
    </row>
    <row r="98" spans="1:25">
      <c r="F98" s="860">
        <v>2015</v>
      </c>
      <c r="G98" s="860">
        <v>2016</v>
      </c>
      <c r="H98" s="860">
        <v>2016</v>
      </c>
      <c r="I98" s="860">
        <v>2016</v>
      </c>
      <c r="J98" s="860">
        <v>2016</v>
      </c>
      <c r="K98" s="860">
        <f t="shared" ref="K98:R98" si="56">J98</f>
        <v>2016</v>
      </c>
      <c r="L98" s="860">
        <f t="shared" si="56"/>
        <v>2016</v>
      </c>
      <c r="M98" s="860">
        <f t="shared" si="56"/>
        <v>2016</v>
      </c>
      <c r="N98" s="860">
        <f t="shared" si="56"/>
        <v>2016</v>
      </c>
      <c r="O98" s="860">
        <f t="shared" si="56"/>
        <v>2016</v>
      </c>
      <c r="P98" s="860">
        <f t="shared" si="56"/>
        <v>2016</v>
      </c>
      <c r="Q98" s="860">
        <f t="shared" si="56"/>
        <v>2016</v>
      </c>
      <c r="R98" s="860">
        <f t="shared" si="56"/>
        <v>2016</v>
      </c>
    </row>
    <row r="99" spans="1:25" s="887" customFormat="1">
      <c r="F99" s="887" t="s">
        <v>209</v>
      </c>
      <c r="G99" s="887" t="s">
        <v>213</v>
      </c>
      <c r="H99" s="887" t="s">
        <v>214</v>
      </c>
      <c r="I99" s="887" t="s">
        <v>215</v>
      </c>
      <c r="J99" s="887" t="s">
        <v>216</v>
      </c>
      <c r="K99" s="887" t="s">
        <v>217</v>
      </c>
      <c r="L99" s="887" t="s">
        <v>1478</v>
      </c>
      <c r="M99" s="887" t="s">
        <v>1479</v>
      </c>
      <c r="N99" s="888" t="str">
        <f>+N5</f>
        <v>aug</v>
      </c>
      <c r="O99" s="888" t="str">
        <f>+O5</f>
        <v>sep</v>
      </c>
      <c r="P99" s="888" t="str">
        <f>+P5</f>
        <v>okt</v>
      </c>
      <c r="Q99" s="888" t="str">
        <f>+Q5</f>
        <v>nov</v>
      </c>
      <c r="R99" s="888" t="str">
        <f>+R5</f>
        <v>dec</v>
      </c>
    </row>
    <row r="100" spans="1:25">
      <c r="A100" s="860" t="s">
        <v>1480</v>
      </c>
      <c r="F100" s="886">
        <v>10639.3</v>
      </c>
      <c r="G100" s="886">
        <v>10531.5</v>
      </c>
      <c r="H100" s="886">
        <v>10677.4</v>
      </c>
      <c r="I100" s="886">
        <v>12330.3</v>
      </c>
      <c r="J100" s="886">
        <v>12855.3</v>
      </c>
      <c r="K100" s="886">
        <v>14761.9</v>
      </c>
      <c r="L100" s="885">
        <v>15212</v>
      </c>
      <c r="M100" s="885">
        <v>15658</v>
      </c>
      <c r="N100" s="885">
        <v>15919</v>
      </c>
      <c r="O100" s="885">
        <v>16302</v>
      </c>
      <c r="P100" s="885">
        <v>15333</v>
      </c>
      <c r="Q100" s="885">
        <v>15824</v>
      </c>
      <c r="R100" s="885">
        <v>16193</v>
      </c>
    </row>
    <row r="101" spans="1:25">
      <c r="A101" s="860" t="s">
        <v>2845</v>
      </c>
      <c r="F101" s="886"/>
      <c r="G101" s="886"/>
      <c r="H101" s="886"/>
      <c r="I101" s="886"/>
      <c r="J101" s="886"/>
      <c r="K101" s="886"/>
      <c r="L101" s="885"/>
      <c r="M101" s="885"/>
      <c r="N101" s="885"/>
      <c r="O101" s="885"/>
      <c r="P101" s="885"/>
      <c r="Q101" s="885"/>
      <c r="R101" s="885">
        <v>17601.5</v>
      </c>
    </row>
    <row r="102" spans="1:25">
      <c r="A102" s="860" t="s">
        <v>2846</v>
      </c>
      <c r="F102" s="886"/>
      <c r="G102" s="886">
        <v>17662</v>
      </c>
      <c r="H102" s="886">
        <v>17797</v>
      </c>
      <c r="I102" s="886">
        <v>17950</v>
      </c>
      <c r="J102" s="886">
        <v>17822</v>
      </c>
      <c r="K102" s="886">
        <v>17816</v>
      </c>
      <c r="L102" s="885"/>
      <c r="M102" s="885"/>
      <c r="N102" s="885"/>
      <c r="O102" s="885"/>
      <c r="P102" s="885"/>
      <c r="Q102" s="885"/>
      <c r="R102" s="885"/>
    </row>
    <row r="103" spans="1:25">
      <c r="A103" s="860" t="s">
        <v>1481</v>
      </c>
      <c r="F103" s="886">
        <v>5570.5</v>
      </c>
      <c r="G103" s="886">
        <v>5575</v>
      </c>
      <c r="H103" s="886">
        <v>5593.8</v>
      </c>
      <c r="I103" s="886">
        <v>7202.9</v>
      </c>
      <c r="J103" s="886">
        <v>7728.4</v>
      </c>
      <c r="K103" s="886">
        <v>9558.5</v>
      </c>
      <c r="L103" s="885">
        <v>9833</v>
      </c>
      <c r="M103" s="886">
        <v>10224.9</v>
      </c>
      <c r="N103" s="885">
        <v>10517</v>
      </c>
      <c r="O103" s="885">
        <v>10807</v>
      </c>
      <c r="P103" s="885">
        <v>9847</v>
      </c>
      <c r="Q103" s="885">
        <v>10296</v>
      </c>
      <c r="R103" s="885">
        <v>10471.799999999999</v>
      </c>
    </row>
    <row r="104" spans="1:25">
      <c r="A104" s="860" t="s">
        <v>1482</v>
      </c>
      <c r="F104" s="864" t="s">
        <v>1344</v>
      </c>
      <c r="G104" s="864">
        <f t="shared" ref="G104:R104" si="57">+G103/G107</f>
        <v>1137.7551020408162</v>
      </c>
      <c r="H104" s="864">
        <f t="shared" si="57"/>
        <v>1118.76</v>
      </c>
      <c r="I104" s="864">
        <f t="shared" si="57"/>
        <v>1395.9108527131782</v>
      </c>
      <c r="J104" s="864">
        <f t="shared" si="57"/>
        <v>1430.5229060620084</v>
      </c>
      <c r="K104" s="864">
        <f t="shared" si="57"/>
        <v>1541.6935483870968</v>
      </c>
      <c r="L104" s="864">
        <f t="shared" si="57"/>
        <v>1404.7142857142858</v>
      </c>
      <c r="M104" s="864">
        <f t="shared" si="57"/>
        <v>1420.125</v>
      </c>
      <c r="N104" s="864">
        <f t="shared" si="57"/>
        <v>1440.6849315068494</v>
      </c>
      <c r="O104" s="864">
        <f t="shared" si="57"/>
        <v>1403.5064935064934</v>
      </c>
      <c r="P104" s="864">
        <f t="shared" si="57"/>
        <v>1348.9041095890411</v>
      </c>
      <c r="Q104" s="864">
        <f t="shared" si="57"/>
        <v>1410.4109589041095</v>
      </c>
      <c r="R104" s="864">
        <f t="shared" si="57"/>
        <v>1396.24</v>
      </c>
      <c r="Y104" s="864">
        <f>+R104-G104</f>
        <v>258.48489795918385</v>
      </c>
    </row>
    <row r="106" spans="1:25">
      <c r="A106" s="860" t="s">
        <v>1483</v>
      </c>
      <c r="F106" s="864">
        <f t="shared" ref="F106:R106" si="58">+F100-F103</f>
        <v>5068.7999999999993</v>
      </c>
      <c r="G106" s="864">
        <f t="shared" si="58"/>
        <v>4956.5</v>
      </c>
      <c r="H106" s="864">
        <f t="shared" si="58"/>
        <v>5083.5999999999995</v>
      </c>
      <c r="I106" s="864">
        <f t="shared" si="58"/>
        <v>5127.3999999999996</v>
      </c>
      <c r="J106" s="864">
        <f t="shared" si="58"/>
        <v>5126.8999999999996</v>
      </c>
      <c r="K106" s="864">
        <f t="shared" si="58"/>
        <v>5203.3999999999996</v>
      </c>
      <c r="L106" s="864">
        <f t="shared" si="58"/>
        <v>5379</v>
      </c>
      <c r="M106" s="864">
        <f t="shared" si="58"/>
        <v>5433.1</v>
      </c>
      <c r="N106" s="864">
        <f t="shared" si="58"/>
        <v>5402</v>
      </c>
      <c r="O106" s="864">
        <f t="shared" si="58"/>
        <v>5495</v>
      </c>
      <c r="P106" s="864">
        <f t="shared" si="58"/>
        <v>5486</v>
      </c>
      <c r="Q106" s="864">
        <f t="shared" si="58"/>
        <v>5528</v>
      </c>
      <c r="R106" s="864">
        <f t="shared" si="58"/>
        <v>5721.2000000000007</v>
      </c>
    </row>
    <row r="107" spans="1:25">
      <c r="A107" s="860" t="s">
        <v>1484</v>
      </c>
      <c r="F107" s="875">
        <v>2016</v>
      </c>
      <c r="G107" s="884">
        <f t="shared" ref="G107:R107" si="59">+G86</f>
        <v>4.9000000000000004</v>
      </c>
      <c r="H107" s="884">
        <f t="shared" si="59"/>
        <v>5</v>
      </c>
      <c r="I107" s="884">
        <f t="shared" si="59"/>
        <v>5.16</v>
      </c>
      <c r="J107" s="884">
        <f t="shared" si="59"/>
        <v>5.4024999999999999</v>
      </c>
      <c r="K107" s="884">
        <f t="shared" si="59"/>
        <v>6.2</v>
      </c>
      <c r="L107" s="884">
        <f t="shared" si="59"/>
        <v>7</v>
      </c>
      <c r="M107" s="884">
        <f t="shared" si="59"/>
        <v>7.2</v>
      </c>
      <c r="N107" s="884">
        <f t="shared" si="59"/>
        <v>7.3</v>
      </c>
      <c r="O107" s="884">
        <f t="shared" si="59"/>
        <v>7.7</v>
      </c>
      <c r="P107" s="884">
        <f t="shared" si="59"/>
        <v>7.3</v>
      </c>
      <c r="Q107" s="884">
        <f t="shared" si="59"/>
        <v>7.3</v>
      </c>
      <c r="R107" s="884">
        <f t="shared" si="59"/>
        <v>7.5</v>
      </c>
    </row>
    <row r="108" spans="1:25">
      <c r="F108" s="875">
        <v>2017</v>
      </c>
      <c r="G108" s="884">
        <f>+G87</f>
        <v>7.4359999999999999</v>
      </c>
      <c r="H108" s="884">
        <f>+H87</f>
        <v>7.48</v>
      </c>
      <c r="I108" s="884">
        <f>+I87</f>
        <v>7.6</v>
      </c>
      <c r="J108" s="884">
        <f>+J87</f>
        <v>7.6</v>
      </c>
      <c r="K108" s="884">
        <f>+K87</f>
        <v>7.6</v>
      </c>
      <c r="L108" s="884">
        <v>7.5</v>
      </c>
      <c r="M108" s="884">
        <v>7.5</v>
      </c>
      <c r="N108" s="884">
        <v>7.5</v>
      </c>
      <c r="O108" s="884">
        <f>N108</f>
        <v>7.5</v>
      </c>
      <c r="P108" s="884">
        <f>O108</f>
        <v>7.5</v>
      </c>
      <c r="Q108" s="884">
        <f>P108</f>
        <v>7.5</v>
      </c>
      <c r="R108" s="884">
        <f>Q108</f>
        <v>7.5</v>
      </c>
    </row>
    <row r="109" spans="1:25">
      <c r="F109" s="875">
        <v>2018</v>
      </c>
      <c r="G109" s="884">
        <f>+R108</f>
        <v>7.5</v>
      </c>
      <c r="H109" s="884">
        <f t="shared" ref="H109:R109" si="60">+G109</f>
        <v>7.5</v>
      </c>
      <c r="I109" s="884">
        <f t="shared" si="60"/>
        <v>7.5</v>
      </c>
      <c r="J109" s="884">
        <f t="shared" si="60"/>
        <v>7.5</v>
      </c>
      <c r="K109" s="884">
        <f t="shared" si="60"/>
        <v>7.5</v>
      </c>
      <c r="L109" s="884">
        <f t="shared" si="60"/>
        <v>7.5</v>
      </c>
      <c r="M109" s="884">
        <f t="shared" si="60"/>
        <v>7.5</v>
      </c>
      <c r="N109" s="884">
        <f t="shared" si="60"/>
        <v>7.5</v>
      </c>
      <c r="O109" s="884">
        <f t="shared" si="60"/>
        <v>7.5</v>
      </c>
      <c r="P109" s="884">
        <f t="shared" si="60"/>
        <v>7.5</v>
      </c>
      <c r="Q109" s="884">
        <f t="shared" si="60"/>
        <v>7.5</v>
      </c>
      <c r="R109" s="884">
        <f t="shared" si="60"/>
        <v>7.5</v>
      </c>
    </row>
    <row r="110" spans="1:25">
      <c r="A110" s="860" t="s">
        <v>1485</v>
      </c>
      <c r="G110" s="864">
        <f t="shared" ref="G110:R110" si="61">+(G107/F107-1)*F103</f>
        <v>-5556.9605902777776</v>
      </c>
      <c r="H110" s="864">
        <f t="shared" si="61"/>
        <v>113.77551020408175</v>
      </c>
      <c r="I110" s="864">
        <f t="shared" si="61"/>
        <v>179.00160000000017</v>
      </c>
      <c r="J110" s="864">
        <f t="shared" si="61"/>
        <v>338.50838178294555</v>
      </c>
      <c r="K110" s="864">
        <f t="shared" si="61"/>
        <v>1140.8420175844522</v>
      </c>
      <c r="L110" s="864">
        <f t="shared" si="61"/>
        <v>1233.3548387096764</v>
      </c>
      <c r="M110" s="864">
        <f t="shared" si="61"/>
        <v>280.94285714285832</v>
      </c>
      <c r="N110" s="864">
        <f t="shared" si="61"/>
        <v>142.01249999999948</v>
      </c>
      <c r="O110" s="864">
        <f t="shared" si="61"/>
        <v>576.27397260273972</v>
      </c>
      <c r="P110" s="864">
        <f t="shared" si="61"/>
        <v>-561.40259740259762</v>
      </c>
      <c r="Q110" s="864">
        <f t="shared" si="61"/>
        <v>0</v>
      </c>
      <c r="R110" s="864">
        <f t="shared" si="61"/>
        <v>282.08219178082305</v>
      </c>
    </row>
    <row r="111" spans="1:25">
      <c r="A111" s="860" t="s">
        <v>1486</v>
      </c>
      <c r="G111" s="864">
        <f t="shared" ref="G111:R111" si="62">+F111+G110</f>
        <v>-5556.9605902777776</v>
      </c>
      <c r="H111" s="864">
        <f t="shared" si="62"/>
        <v>-5443.1850800736956</v>
      </c>
      <c r="I111" s="864">
        <f t="shared" si="62"/>
        <v>-5264.1834800736951</v>
      </c>
      <c r="J111" s="864">
        <f t="shared" si="62"/>
        <v>-4925.6750982907497</v>
      </c>
      <c r="K111" s="864">
        <f t="shared" si="62"/>
        <v>-3784.8330807062976</v>
      </c>
      <c r="L111" s="864">
        <f t="shared" si="62"/>
        <v>-2551.4782419966214</v>
      </c>
      <c r="M111" s="864">
        <f t="shared" si="62"/>
        <v>-2270.5353848537629</v>
      </c>
      <c r="N111" s="864">
        <f t="shared" si="62"/>
        <v>-2128.5228848537636</v>
      </c>
      <c r="O111" s="864">
        <f t="shared" si="62"/>
        <v>-1552.2489122510237</v>
      </c>
      <c r="P111" s="864">
        <f t="shared" si="62"/>
        <v>-2113.6515096536214</v>
      </c>
      <c r="Q111" s="864">
        <f t="shared" si="62"/>
        <v>-2113.6515096536214</v>
      </c>
      <c r="R111" s="864">
        <f t="shared" si="62"/>
        <v>-1831.5693178727984</v>
      </c>
    </row>
    <row r="112" spans="1:25">
      <c r="A112" s="860" t="s">
        <v>2907</v>
      </c>
      <c r="F112" s="864">
        <f t="shared" ref="F112:R112" si="63">+F103-F111</f>
        <v>5570.5</v>
      </c>
      <c r="G112" s="864">
        <f t="shared" si="63"/>
        <v>11131.960590277777</v>
      </c>
      <c r="H112" s="864">
        <f t="shared" si="63"/>
        <v>11036.985080073697</v>
      </c>
      <c r="I112" s="864">
        <f t="shared" si="63"/>
        <v>12467.083480073696</v>
      </c>
      <c r="J112" s="864">
        <f t="shared" si="63"/>
        <v>12654.075098290748</v>
      </c>
      <c r="K112" s="864">
        <f t="shared" si="63"/>
        <v>13343.333080706298</v>
      </c>
      <c r="L112" s="864">
        <f t="shared" si="63"/>
        <v>12384.478241996621</v>
      </c>
      <c r="M112" s="864">
        <f t="shared" si="63"/>
        <v>12495.435384853763</v>
      </c>
      <c r="N112" s="864">
        <f t="shared" si="63"/>
        <v>12645.522884853763</v>
      </c>
      <c r="O112" s="864">
        <f t="shared" si="63"/>
        <v>12359.248912251023</v>
      </c>
      <c r="P112" s="864">
        <f t="shared" si="63"/>
        <v>11960.65150965362</v>
      </c>
      <c r="Q112" s="864">
        <f t="shared" si="63"/>
        <v>12409.65150965362</v>
      </c>
      <c r="R112" s="864">
        <f t="shared" si="63"/>
        <v>12303.369317872797</v>
      </c>
    </row>
    <row r="113" spans="1:27">
      <c r="A113" s="860" t="s">
        <v>1872</v>
      </c>
      <c r="F113" s="864"/>
      <c r="G113" s="864"/>
      <c r="H113" s="864"/>
      <c r="I113" s="864"/>
      <c r="J113" s="864"/>
      <c r="K113" s="864"/>
      <c r="L113" s="864"/>
      <c r="M113" s="864"/>
      <c r="N113" s="864"/>
      <c r="O113" s="864"/>
      <c r="P113" s="864"/>
    </row>
    <row r="114" spans="1:27">
      <c r="A114" s="860" t="s">
        <v>3084</v>
      </c>
      <c r="F114" s="883">
        <f t="shared" ref="F114:R114" si="64">+F103/F100</f>
        <v>0.52357767898263985</v>
      </c>
      <c r="G114" s="883">
        <f t="shared" si="64"/>
        <v>0.52936428808811664</v>
      </c>
      <c r="H114" s="883">
        <f t="shared" si="64"/>
        <v>0.52389158409350589</v>
      </c>
      <c r="I114" s="883">
        <f t="shared" si="64"/>
        <v>0.58416259134003223</v>
      </c>
      <c r="J114" s="883">
        <f t="shared" si="64"/>
        <v>0.60118394747691617</v>
      </c>
      <c r="K114" s="883">
        <f t="shared" si="64"/>
        <v>0.64751149919725781</v>
      </c>
      <c r="L114" s="883">
        <f t="shared" si="64"/>
        <v>0.64639758085721799</v>
      </c>
      <c r="M114" s="883">
        <f t="shared" si="64"/>
        <v>0.65301443351641331</v>
      </c>
      <c r="N114" s="883">
        <f t="shared" si="64"/>
        <v>0.66065707644952576</v>
      </c>
      <c r="O114" s="883">
        <f t="shared" si="64"/>
        <v>0.66292479450374187</v>
      </c>
      <c r="P114" s="883">
        <f t="shared" si="64"/>
        <v>0.64220961325246206</v>
      </c>
      <c r="Q114" s="883">
        <f t="shared" si="64"/>
        <v>0.65065722952477245</v>
      </c>
      <c r="R114" s="883">
        <f t="shared" si="64"/>
        <v>0.64668683999258936</v>
      </c>
    </row>
    <row r="115" spans="1:27">
      <c r="A115" s="860" t="s">
        <v>3085</v>
      </c>
      <c r="F115" s="883">
        <f t="shared" ref="F115:R115" si="65">+F103/F139</f>
        <v>2.7631448412698414</v>
      </c>
      <c r="G115" s="883">
        <f t="shared" ca="1" si="65"/>
        <v>1.8583333333333334</v>
      </c>
      <c r="H115" s="883">
        <f t="shared" ca="1" si="65"/>
        <v>1.878374748153123</v>
      </c>
      <c r="I115" s="883">
        <f t="shared" ca="1" si="65"/>
        <v>1.8314009661835748</v>
      </c>
      <c r="J115" s="883">
        <f t="shared" ca="1" si="65"/>
        <v>1.8970054000981835</v>
      </c>
      <c r="K115" s="883">
        <f t="shared" ca="1" si="65"/>
        <v>1.9583077238270845</v>
      </c>
      <c r="L115" s="883">
        <f t="shared" ca="1" si="65"/>
        <v>1.7217650148835582</v>
      </c>
      <c r="M115" s="883">
        <f t="shared" ca="1" si="65"/>
        <v>1.7601824754690996</v>
      </c>
      <c r="N115" s="883">
        <f t="shared" ca="1" si="65"/>
        <v>1.8082874828060522</v>
      </c>
      <c r="O115" s="883">
        <f t="shared" ca="1" si="65"/>
        <v>1.822735705852589</v>
      </c>
      <c r="P115" s="883">
        <f t="shared" ca="1" si="65"/>
        <v>1.1750596658711217</v>
      </c>
      <c r="Q115" s="883">
        <f t="shared" ca="1" si="65"/>
        <v>1.5542070464631825</v>
      </c>
      <c r="R115" s="883">
        <f t="shared" si="65"/>
        <v>1.6237866335866025</v>
      </c>
    </row>
    <row r="116" spans="1:27">
      <c r="A116" s="860" t="s">
        <v>2908</v>
      </c>
      <c r="G116" s="883">
        <f t="shared" ref="G116:R116" si="66">+(G122*G107)/G100</f>
        <v>0.14362911266201397</v>
      </c>
      <c r="H116" s="883">
        <f t="shared" si="66"/>
        <v>0.14006218742390469</v>
      </c>
      <c r="I116" s="883">
        <f t="shared" si="66"/>
        <v>0.11566823191649839</v>
      </c>
      <c r="J116" s="883">
        <f t="shared" si="66"/>
        <v>9.7246933171532365E-2</v>
      </c>
      <c r="K116" s="883">
        <f t="shared" si="66"/>
        <v>8.9250028790331865E-2</v>
      </c>
      <c r="L116" s="883">
        <f t="shared" si="66"/>
        <v>0.18604391270049961</v>
      </c>
      <c r="M116" s="883">
        <f t="shared" si="66"/>
        <v>0.1738612849661515</v>
      </c>
      <c r="N116" s="883">
        <f t="shared" si="66"/>
        <v>0.16476474652930459</v>
      </c>
      <c r="O116" s="883">
        <f t="shared" si="66"/>
        <v>0.16536437246963565</v>
      </c>
      <c r="P116" s="883">
        <f t="shared" si="66"/>
        <v>0.17672732015913387</v>
      </c>
      <c r="Q116" s="883">
        <f t="shared" si="66"/>
        <v>0.18171574823053588</v>
      </c>
      <c r="R116" s="883">
        <f t="shared" si="66"/>
        <v>0.17651145556722039</v>
      </c>
    </row>
    <row r="117" spans="1:27">
      <c r="A117" s="860" t="s">
        <v>2491</v>
      </c>
      <c r="G117" s="883">
        <f t="shared" ref="G117:R117" ca="1" si="67">+G139/G100</f>
        <v>0.28485970659450222</v>
      </c>
      <c r="H117" s="883">
        <f t="shared" ca="1" si="67"/>
        <v>0.27890684998220544</v>
      </c>
      <c r="I117" s="883">
        <f t="shared" ca="1" si="67"/>
        <v>0.31897034135422497</v>
      </c>
      <c r="J117" s="883">
        <f t="shared" ca="1" si="67"/>
        <v>0.31691209073300508</v>
      </c>
      <c r="K117" s="883">
        <f t="shared" ca="1" si="67"/>
        <v>0.33064849375757865</v>
      </c>
      <c r="L117" s="883">
        <f t="shared" ca="1" si="67"/>
        <v>0.37542729424138838</v>
      </c>
      <c r="M117" s="883">
        <f t="shared" ca="1" si="67"/>
        <v>0.37099246391620899</v>
      </c>
      <c r="N117" s="883">
        <f t="shared" ca="1" si="67"/>
        <v>0.36534958226019221</v>
      </c>
      <c r="O117" s="883">
        <f t="shared" ca="1" si="67"/>
        <v>0.36369770580296895</v>
      </c>
      <c r="P117" s="883">
        <f t="shared" ca="1" si="67"/>
        <v>0.54653362029609343</v>
      </c>
      <c r="Q117" s="883">
        <f t="shared" ca="1" si="67"/>
        <v>0.41864256825075835</v>
      </c>
      <c r="R117" s="883">
        <f t="shared" si="67"/>
        <v>0.39825850676218116</v>
      </c>
    </row>
    <row r="118" spans="1:27">
      <c r="F118" s="864"/>
      <c r="G118" s="883"/>
      <c r="H118" s="883"/>
      <c r="I118" s="883"/>
      <c r="J118" s="883"/>
      <c r="K118" s="883"/>
      <c r="L118" s="883"/>
      <c r="M118" s="883"/>
      <c r="N118" s="883"/>
      <c r="O118" s="883"/>
      <c r="P118" s="883"/>
    </row>
    <row r="119" spans="1:27" s="881" customFormat="1" ht="15.75">
      <c r="A119" s="882" t="s">
        <v>1487</v>
      </c>
      <c r="B119" s="882"/>
      <c r="C119" s="882"/>
      <c r="D119" s="882"/>
      <c r="E119" s="882"/>
    </row>
    <row r="120" spans="1:27" ht="15.75">
      <c r="A120" s="880"/>
      <c r="B120" s="880"/>
      <c r="C120" s="880"/>
      <c r="D120" s="880"/>
      <c r="E120" s="880"/>
      <c r="F120" s="860" t="s">
        <v>1344</v>
      </c>
      <c r="G120" s="860" t="s">
        <v>2682</v>
      </c>
      <c r="R120" s="860">
        <v>626.1</v>
      </c>
    </row>
    <row r="121" spans="1:27" ht="15.75">
      <c r="A121" s="871" t="s">
        <v>1488</v>
      </c>
      <c r="B121" s="871"/>
      <c r="C121" s="871"/>
      <c r="D121" s="871"/>
      <c r="E121" s="871"/>
      <c r="F121" s="871">
        <v>2015</v>
      </c>
      <c r="G121" s="867">
        <v>631.5</v>
      </c>
      <c r="H121" s="867">
        <v>577.70000000000005</v>
      </c>
      <c r="I121" s="867">
        <v>493.6</v>
      </c>
      <c r="J121" s="867">
        <v>596</v>
      </c>
      <c r="K121" s="867">
        <v>514.5</v>
      </c>
      <c r="L121" s="867">
        <v>503.9</v>
      </c>
      <c r="M121" s="867">
        <v>460.7</v>
      </c>
      <c r="N121" s="867">
        <v>426.8</v>
      </c>
      <c r="O121" s="867">
        <v>398.4</v>
      </c>
      <c r="P121" s="867">
        <v>369.6</v>
      </c>
      <c r="Q121" s="867">
        <v>359.3</v>
      </c>
      <c r="R121" s="867">
        <v>330.2</v>
      </c>
      <c r="U121" s="860" t="s">
        <v>3260</v>
      </c>
      <c r="Y121" s="879">
        <f>(P121-J121)/6</f>
        <v>-37.733333333333327</v>
      </c>
      <c r="AA121" s="860" t="s">
        <v>1344</v>
      </c>
    </row>
    <row r="122" spans="1:27" ht="15.75">
      <c r="A122" s="877" t="s">
        <v>3261</v>
      </c>
      <c r="B122" s="877"/>
      <c r="C122" s="877"/>
      <c r="D122" s="877"/>
      <c r="E122" s="877"/>
      <c r="F122" s="871">
        <v>2016</v>
      </c>
      <c r="G122" s="867">
        <v>308.7</v>
      </c>
      <c r="H122" s="867">
        <v>299.10000000000002</v>
      </c>
      <c r="I122" s="867">
        <v>276.39999999999998</v>
      </c>
      <c r="J122" s="867">
        <v>231.4</v>
      </c>
      <c r="K122" s="867">
        <v>212.5</v>
      </c>
      <c r="L122" s="867">
        <v>404.3</v>
      </c>
      <c r="M122" s="864">
        <v>378.1</v>
      </c>
      <c r="N122" s="864">
        <v>359.3</v>
      </c>
      <c r="O122" s="864">
        <v>350.1</v>
      </c>
      <c r="P122" s="864">
        <v>371.2</v>
      </c>
      <c r="Q122" s="864">
        <v>393.9</v>
      </c>
      <c r="R122" s="864">
        <v>381.1</v>
      </c>
      <c r="T122" s="864"/>
    </row>
    <row r="123" spans="1:27" ht="15.75">
      <c r="A123" s="877"/>
      <c r="B123" s="877"/>
      <c r="C123" s="877"/>
      <c r="D123" s="877"/>
      <c r="E123" s="877"/>
      <c r="F123" s="871">
        <v>2017</v>
      </c>
      <c r="G123" s="867">
        <v>398.6</v>
      </c>
      <c r="H123" s="867">
        <v>390.6</v>
      </c>
      <c r="I123" s="867">
        <v>385</v>
      </c>
      <c r="J123" s="867">
        <v>393</v>
      </c>
      <c r="K123" s="867">
        <v>384.7</v>
      </c>
      <c r="L123" s="867">
        <v>401.4</v>
      </c>
      <c r="M123" s="864">
        <v>400</v>
      </c>
      <c r="N123" s="864">
        <v>418</v>
      </c>
      <c r="O123" s="864">
        <v>404</v>
      </c>
      <c r="P123" s="864">
        <v>411</v>
      </c>
      <c r="Q123" s="864">
        <v>410</v>
      </c>
      <c r="R123" s="864">
        <v>424</v>
      </c>
      <c r="T123" s="864">
        <f>+L123-R122</f>
        <v>20.299999999999955</v>
      </c>
    </row>
    <row r="124" spans="1:27" ht="15.75">
      <c r="A124" s="877"/>
      <c r="B124" s="877"/>
      <c r="C124" s="877"/>
      <c r="D124" s="877"/>
      <c r="E124" s="877"/>
      <c r="F124" s="871">
        <v>2018</v>
      </c>
      <c r="G124" s="867">
        <v>444.6</v>
      </c>
      <c r="H124" s="867">
        <v>443.6</v>
      </c>
      <c r="I124" s="867">
        <v>447.2</v>
      </c>
      <c r="J124" s="867">
        <v>448.2</v>
      </c>
      <c r="K124" s="878">
        <v>761.7</v>
      </c>
      <c r="L124" s="867">
        <v>533.4</v>
      </c>
      <c r="M124" s="864">
        <v>564.6</v>
      </c>
      <c r="N124" s="864">
        <v>565.79999999999995</v>
      </c>
      <c r="O124" s="864">
        <v>540.70000000000005</v>
      </c>
      <c r="P124" s="864">
        <v>547.29999999999995</v>
      </c>
      <c r="Q124" s="864">
        <v>576.6</v>
      </c>
      <c r="R124" s="864">
        <v>581</v>
      </c>
      <c r="T124" s="864"/>
    </row>
    <row r="125" spans="1:27" ht="15.75">
      <c r="A125" s="877"/>
      <c r="B125" s="877"/>
      <c r="C125" s="877"/>
      <c r="D125" s="877"/>
      <c r="E125" s="877"/>
      <c r="F125" s="871">
        <v>2019</v>
      </c>
      <c r="G125" s="867">
        <v>589</v>
      </c>
      <c r="H125" s="867">
        <v>585.9</v>
      </c>
      <c r="I125" s="867">
        <v>573.20000000000005</v>
      </c>
      <c r="J125" s="867">
        <v>612.9</v>
      </c>
      <c r="K125" s="867">
        <v>605.4</v>
      </c>
      <c r="L125" s="867">
        <v>621.9</v>
      </c>
      <c r="M125" s="864">
        <v>713.3</v>
      </c>
      <c r="N125" s="864">
        <v>683.8</v>
      </c>
      <c r="O125" s="864">
        <v>699.8</v>
      </c>
      <c r="P125" s="864">
        <v>674.3</v>
      </c>
      <c r="Q125" s="864">
        <v>648.6</v>
      </c>
      <c r="R125" s="864">
        <v>647.5</v>
      </c>
      <c r="T125" s="864"/>
    </row>
    <row r="126" spans="1:27" ht="15.75">
      <c r="A126" s="877"/>
      <c r="B126" s="877"/>
      <c r="C126" s="877"/>
      <c r="D126" s="877"/>
      <c r="E126" s="877"/>
      <c r="F126" s="871">
        <v>2020</v>
      </c>
      <c r="G126" s="867">
        <v>596.1</v>
      </c>
      <c r="H126" s="867">
        <v>565</v>
      </c>
      <c r="I126" s="867">
        <v>537.9</v>
      </c>
      <c r="J126" s="868">
        <v>519.6</v>
      </c>
      <c r="K126" s="868">
        <v>527.5</v>
      </c>
      <c r="L126" s="868">
        <v>563.5</v>
      </c>
      <c r="M126" s="865">
        <v>564.29999999999995</v>
      </c>
      <c r="N126" s="865">
        <v>562</v>
      </c>
      <c r="O126" s="865">
        <v>551</v>
      </c>
      <c r="P126" s="864">
        <v>570</v>
      </c>
      <c r="Q126" s="864"/>
      <c r="R126" s="864"/>
      <c r="T126" s="864"/>
    </row>
    <row r="127" spans="1:27" ht="15.75">
      <c r="A127" s="876" t="s">
        <v>3262</v>
      </c>
      <c r="B127" s="876"/>
      <c r="C127" s="876"/>
      <c r="D127" s="876"/>
      <c r="E127" s="876"/>
      <c r="F127" s="871">
        <v>2016</v>
      </c>
      <c r="G127" s="867">
        <v>21.8</v>
      </c>
      <c r="H127" s="867">
        <v>21.6</v>
      </c>
      <c r="I127" s="867">
        <v>-5.5</v>
      </c>
      <c r="J127" s="867">
        <v>-10.9</v>
      </c>
      <c r="K127" s="867">
        <v>-25.1</v>
      </c>
      <c r="L127" s="867">
        <v>-45.5</v>
      </c>
      <c r="M127" s="867">
        <v>-47</v>
      </c>
      <c r="N127" s="867">
        <v>-50.5</v>
      </c>
      <c r="O127" s="867">
        <v>-62.3</v>
      </c>
      <c r="P127" s="867">
        <v>390.1</v>
      </c>
      <c r="Q127" s="864">
        <v>56.3</v>
      </c>
      <c r="R127" s="864">
        <v>70.5</v>
      </c>
    </row>
    <row r="128" spans="1:27" ht="15.75">
      <c r="A128" s="876"/>
      <c r="B128" s="876"/>
      <c r="C128" s="876"/>
      <c r="D128" s="876"/>
      <c r="E128" s="876"/>
      <c r="F128" s="871">
        <v>2017</v>
      </c>
      <c r="G128" s="867">
        <v>68.8</v>
      </c>
      <c r="H128" s="867">
        <v>63</v>
      </c>
      <c r="I128" s="867">
        <v>41</v>
      </c>
      <c r="J128" s="867">
        <v>27</v>
      </c>
      <c r="K128" s="867">
        <v>0</v>
      </c>
      <c r="L128" s="867">
        <v>-3.7</v>
      </c>
      <c r="M128" s="867">
        <v>8</v>
      </c>
      <c r="N128" s="867">
        <v>-4</v>
      </c>
      <c r="O128" s="867">
        <v>-4.5</v>
      </c>
      <c r="P128" s="867">
        <v>2.8</v>
      </c>
      <c r="Q128" s="864">
        <v>0.5</v>
      </c>
      <c r="R128" s="864"/>
      <c r="T128" s="864">
        <f>+L128-R127</f>
        <v>-74.2</v>
      </c>
    </row>
    <row r="129" spans="1:22" ht="15.75">
      <c r="A129" s="876"/>
      <c r="B129" s="876"/>
      <c r="C129" s="876"/>
      <c r="D129" s="876"/>
      <c r="E129" s="876"/>
      <c r="F129" s="871">
        <v>2018</v>
      </c>
      <c r="G129" s="867"/>
      <c r="H129" s="867"/>
      <c r="I129" s="867"/>
      <c r="J129" s="867"/>
      <c r="K129" s="867"/>
      <c r="L129" s="867"/>
      <c r="M129" s="867"/>
      <c r="N129" s="867"/>
      <c r="O129" s="867"/>
      <c r="P129" s="867"/>
      <c r="Q129" s="864"/>
      <c r="R129" s="864"/>
      <c r="T129" s="864"/>
    </row>
    <row r="130" spans="1:22" ht="15.75">
      <c r="A130" s="860" t="s">
        <v>3263</v>
      </c>
      <c r="F130" s="871">
        <v>2016</v>
      </c>
      <c r="G130" s="867">
        <f t="shared" ref="G130:R130" si="68">+G122+G127</f>
        <v>330.5</v>
      </c>
      <c r="H130" s="867">
        <f t="shared" si="68"/>
        <v>320.70000000000005</v>
      </c>
      <c r="I130" s="867">
        <f t="shared" si="68"/>
        <v>270.89999999999998</v>
      </c>
      <c r="J130" s="867">
        <f t="shared" si="68"/>
        <v>220.5</v>
      </c>
      <c r="K130" s="867">
        <f t="shared" si="68"/>
        <v>187.4</v>
      </c>
      <c r="L130" s="867">
        <f t="shared" si="68"/>
        <v>358.8</v>
      </c>
      <c r="M130" s="867">
        <f t="shared" si="68"/>
        <v>331.1</v>
      </c>
      <c r="N130" s="867">
        <f t="shared" si="68"/>
        <v>308.8</v>
      </c>
      <c r="O130" s="867">
        <f t="shared" si="68"/>
        <v>287.8</v>
      </c>
      <c r="P130" s="867">
        <f t="shared" si="68"/>
        <v>761.3</v>
      </c>
      <c r="Q130" s="867">
        <f t="shared" si="68"/>
        <v>450.2</v>
      </c>
      <c r="R130" s="867">
        <f t="shared" si="68"/>
        <v>451.6</v>
      </c>
      <c r="T130" s="860" t="s">
        <v>2001</v>
      </c>
    </row>
    <row r="131" spans="1:22" ht="15.75">
      <c r="A131" s="860" t="s">
        <v>1722</v>
      </c>
      <c r="F131" s="871">
        <v>2017</v>
      </c>
      <c r="G131" s="867">
        <f t="shared" ref="G131:Q131" si="69">+G123+G128</f>
        <v>467.40000000000003</v>
      </c>
      <c r="H131" s="867">
        <f t="shared" si="69"/>
        <v>453.6</v>
      </c>
      <c r="I131" s="867">
        <f t="shared" si="69"/>
        <v>426</v>
      </c>
      <c r="J131" s="867">
        <f t="shared" si="69"/>
        <v>420</v>
      </c>
      <c r="K131" s="867">
        <f t="shared" si="69"/>
        <v>384.7</v>
      </c>
      <c r="L131" s="867">
        <f t="shared" si="69"/>
        <v>397.7</v>
      </c>
      <c r="M131" s="867">
        <f t="shared" si="69"/>
        <v>408</v>
      </c>
      <c r="N131" s="867">
        <f t="shared" si="69"/>
        <v>414</v>
      </c>
      <c r="O131" s="867">
        <f t="shared" si="69"/>
        <v>399.5</v>
      </c>
      <c r="P131" s="867">
        <f t="shared" si="69"/>
        <v>413.8</v>
      </c>
      <c r="Q131" s="867">
        <f t="shared" si="69"/>
        <v>410.5</v>
      </c>
      <c r="R131" s="867"/>
      <c r="T131" s="864">
        <f>+L131-R130</f>
        <v>-53.900000000000034</v>
      </c>
    </row>
    <row r="132" spans="1:22" ht="15.75">
      <c r="F132" s="871">
        <v>2018</v>
      </c>
      <c r="G132" s="867"/>
      <c r="H132" s="867"/>
      <c r="I132" s="867"/>
      <c r="J132" s="867"/>
      <c r="K132" s="867"/>
      <c r="L132" s="867"/>
      <c r="M132" s="867"/>
      <c r="N132" s="867"/>
      <c r="O132" s="867"/>
      <c r="P132" s="867"/>
      <c r="Q132" s="867"/>
      <c r="R132" s="867"/>
      <c r="T132" s="864"/>
    </row>
    <row r="133" spans="1:22" ht="15.75">
      <c r="A133" s="860" t="s">
        <v>3264</v>
      </c>
      <c r="F133" s="871">
        <v>2016</v>
      </c>
      <c r="G133" s="867">
        <v>334.625</v>
      </c>
      <c r="H133" s="867">
        <v>330.16868686868685</v>
      </c>
      <c r="I133" s="864">
        <v>312.31077348066299</v>
      </c>
      <c r="J133" s="875">
        <v>278.20133234641008</v>
      </c>
      <c r="K133" s="875">
        <v>247.31470808944923</v>
      </c>
      <c r="L133" s="864">
        <v>411.71314139110603</v>
      </c>
      <c r="M133" s="875">
        <v>382.38469073607615</v>
      </c>
      <c r="N133" s="875">
        <v>357.56390875961671</v>
      </c>
      <c r="O133" s="864">
        <v>354.18325762491889</v>
      </c>
      <c r="P133" s="864">
        <v>895.61129762078531</v>
      </c>
      <c r="Q133" s="864">
        <v>486.2131396957123</v>
      </c>
      <c r="R133" s="864">
        <v>474.46804460157739</v>
      </c>
      <c r="V133" s="864"/>
    </row>
    <row r="134" spans="1:22" ht="15.75">
      <c r="A134" s="860" t="s">
        <v>730</v>
      </c>
      <c r="F134" s="871">
        <v>2017</v>
      </c>
      <c r="G134" s="864">
        <v>490.25748987854251</v>
      </c>
      <c r="H134" s="864">
        <v>481.68756684491979</v>
      </c>
      <c r="I134" s="864">
        <v>451</v>
      </c>
      <c r="J134" s="864">
        <v>428</v>
      </c>
      <c r="K134" s="875">
        <v>410</v>
      </c>
      <c r="L134" s="864">
        <v>411</v>
      </c>
      <c r="M134" s="875">
        <v>405</v>
      </c>
      <c r="N134" s="875">
        <v>394</v>
      </c>
      <c r="O134" s="864">
        <v>408</v>
      </c>
      <c r="P134" s="864">
        <v>410</v>
      </c>
      <c r="Q134" s="864">
        <v>417</v>
      </c>
      <c r="R134" s="860">
        <v>439</v>
      </c>
      <c r="T134" s="864">
        <f>+M134-R133</f>
        <v>-69.46804460157739</v>
      </c>
    </row>
    <row r="135" spans="1:22" ht="15.75">
      <c r="F135" s="871">
        <v>2018</v>
      </c>
      <c r="G135" s="864">
        <v>430</v>
      </c>
      <c r="H135" s="864">
        <v>450</v>
      </c>
      <c r="I135" s="865"/>
      <c r="J135" s="865"/>
      <c r="K135" s="875">
        <v>446</v>
      </c>
      <c r="L135" s="872">
        <v>751</v>
      </c>
      <c r="M135" s="874"/>
      <c r="N135" s="874"/>
      <c r="O135" s="865"/>
      <c r="P135" s="864"/>
      <c r="Q135" s="864"/>
      <c r="R135" s="860">
        <v>615</v>
      </c>
      <c r="T135" s="864"/>
    </row>
    <row r="136" spans="1:22" ht="15.75">
      <c r="F136" s="871">
        <v>2019</v>
      </c>
      <c r="G136" s="864">
        <v>619</v>
      </c>
      <c r="H136" s="864">
        <v>620</v>
      </c>
      <c r="I136" s="864">
        <v>576</v>
      </c>
      <c r="J136" s="864">
        <v>632</v>
      </c>
      <c r="K136" s="875">
        <v>588</v>
      </c>
      <c r="L136" s="872">
        <v>778</v>
      </c>
      <c r="M136" s="875">
        <v>776</v>
      </c>
      <c r="N136" s="875">
        <v>792</v>
      </c>
      <c r="O136" s="864">
        <v>775</v>
      </c>
      <c r="P136" s="864">
        <v>739</v>
      </c>
      <c r="Q136" s="864">
        <v>705</v>
      </c>
      <c r="R136" s="860">
        <v>755</v>
      </c>
      <c r="T136" s="864"/>
    </row>
    <row r="137" spans="1:22" ht="15.75">
      <c r="F137" s="871">
        <v>2020</v>
      </c>
      <c r="G137" s="864">
        <v>618</v>
      </c>
      <c r="H137" s="864">
        <v>592</v>
      </c>
      <c r="I137" s="864">
        <v>581</v>
      </c>
      <c r="J137" s="864">
        <v>561</v>
      </c>
      <c r="K137" s="874"/>
      <c r="L137" s="875">
        <v>556</v>
      </c>
      <c r="M137" s="875">
        <v>590</v>
      </c>
      <c r="N137" s="874"/>
      <c r="O137" s="865"/>
      <c r="P137" s="864">
        <v>586</v>
      </c>
      <c r="Q137" s="864"/>
      <c r="R137" s="860">
        <v>621</v>
      </c>
      <c r="T137" s="864"/>
    </row>
    <row r="138" spans="1:22" ht="15.75">
      <c r="A138" s="871" t="s">
        <v>2681</v>
      </c>
      <c r="B138" s="871"/>
      <c r="C138" s="871"/>
      <c r="D138" s="871"/>
      <c r="E138" s="871"/>
      <c r="F138" s="873"/>
      <c r="G138" s="864" t="s">
        <v>818</v>
      </c>
      <c r="H138" s="864"/>
      <c r="I138" s="864"/>
      <c r="J138" s="864"/>
      <c r="K138" s="864"/>
      <c r="L138" s="864"/>
      <c r="M138" s="864"/>
      <c r="N138" s="864"/>
      <c r="O138" s="864"/>
      <c r="P138" s="864"/>
      <c r="Q138" s="864"/>
      <c r="R138" s="864"/>
    </row>
    <row r="139" spans="1:22" ht="15.75">
      <c r="A139" s="860" t="s">
        <v>731</v>
      </c>
      <c r="F139" s="871">
        <v>2016</v>
      </c>
      <c r="G139" s="864">
        <f t="shared" ref="G139:Q139" ca="1" si="70">+G150+G155</f>
        <v>3000</v>
      </c>
      <c r="H139" s="864">
        <f t="shared" ca="1" si="70"/>
        <v>2978</v>
      </c>
      <c r="I139" s="864">
        <f t="shared" ca="1" si="70"/>
        <v>3933</v>
      </c>
      <c r="J139" s="864">
        <f t="shared" ca="1" si="70"/>
        <v>4074</v>
      </c>
      <c r="K139" s="864">
        <f t="shared" ca="1" si="70"/>
        <v>4881</v>
      </c>
      <c r="L139" s="864">
        <f t="shared" ca="1" si="70"/>
        <v>5711</v>
      </c>
      <c r="M139" s="864">
        <f t="shared" ca="1" si="70"/>
        <v>5809</v>
      </c>
      <c r="N139" s="864">
        <f t="shared" ca="1" si="70"/>
        <v>5816</v>
      </c>
      <c r="O139" s="864">
        <f t="shared" ca="1" si="70"/>
        <v>5929</v>
      </c>
      <c r="P139" s="864">
        <f t="shared" ca="1" si="70"/>
        <v>8380</v>
      </c>
      <c r="Q139" s="864">
        <f t="shared" ca="1" si="70"/>
        <v>6624.6</v>
      </c>
      <c r="R139" s="864">
        <v>6449</v>
      </c>
    </row>
    <row r="140" spans="1:22" ht="15.75">
      <c r="A140" s="860" t="s">
        <v>3072</v>
      </c>
      <c r="F140" s="871">
        <v>2017</v>
      </c>
      <c r="G140" s="864">
        <f t="shared" ref="G140:L140" si="71">+G151+G156</f>
        <v>6559.2999999999993</v>
      </c>
      <c r="H140" s="864">
        <f t="shared" si="71"/>
        <v>6568.9</v>
      </c>
      <c r="I140" s="864">
        <f t="shared" si="71"/>
        <v>6379.7000000000007</v>
      </c>
      <c r="J140" s="864">
        <f t="shared" si="71"/>
        <v>6177.5</v>
      </c>
      <c r="K140" s="864">
        <f t="shared" si="71"/>
        <v>5833.5</v>
      </c>
      <c r="L140" s="864">
        <f t="shared" si="71"/>
        <v>5772</v>
      </c>
      <c r="M140" s="864">
        <v>5772</v>
      </c>
      <c r="N140" s="864">
        <v>5661</v>
      </c>
      <c r="O140" s="864">
        <f>+O151+O156</f>
        <v>5853</v>
      </c>
      <c r="P140" s="864">
        <f>+P151+P156</f>
        <v>5919</v>
      </c>
      <c r="Q140" s="864">
        <v>5884</v>
      </c>
      <c r="R140" s="864">
        <v>6364</v>
      </c>
      <c r="T140" s="864" t="s">
        <v>1344</v>
      </c>
    </row>
    <row r="141" spans="1:22" ht="15.75">
      <c r="F141" s="871">
        <v>2018</v>
      </c>
      <c r="G141" s="864">
        <v>6776</v>
      </c>
      <c r="H141" s="864">
        <v>6840</v>
      </c>
      <c r="I141" s="864">
        <v>6737</v>
      </c>
      <c r="J141" s="864">
        <v>6854</v>
      </c>
      <c r="K141" s="872">
        <v>9183</v>
      </c>
      <c r="L141" s="864">
        <v>8653</v>
      </c>
      <c r="M141" s="864">
        <v>8644</v>
      </c>
      <c r="N141" s="864">
        <v>8693</v>
      </c>
      <c r="O141" s="864">
        <v>8445</v>
      </c>
      <c r="P141" s="864">
        <v>8182</v>
      </c>
      <c r="Q141" s="864">
        <v>8288</v>
      </c>
      <c r="R141" s="864">
        <v>8426</v>
      </c>
      <c r="T141" s="864"/>
    </row>
    <row r="142" spans="1:22" ht="15.75">
      <c r="F142" s="871">
        <v>2019</v>
      </c>
      <c r="G142" s="864">
        <v>8628</v>
      </c>
      <c r="H142" s="864">
        <v>8585</v>
      </c>
      <c r="I142" s="864">
        <v>8052</v>
      </c>
      <c r="J142" s="864">
        <v>7737</v>
      </c>
      <c r="K142" s="864">
        <v>7415</v>
      </c>
      <c r="L142" s="864">
        <v>7345</v>
      </c>
      <c r="M142" s="864">
        <v>7179</v>
      </c>
      <c r="N142" s="864">
        <v>7085</v>
      </c>
      <c r="O142" s="864">
        <v>6645</v>
      </c>
      <c r="P142" s="864">
        <v>6142</v>
      </c>
      <c r="Q142" s="864">
        <f>2532.2+3492.6</f>
        <v>6024.7999999999993</v>
      </c>
      <c r="R142" s="864">
        <v>5863</v>
      </c>
      <c r="T142" s="864"/>
    </row>
    <row r="143" spans="1:22" ht="15.75">
      <c r="F143" s="871">
        <v>2020</v>
      </c>
      <c r="G143" s="864">
        <v>5466</v>
      </c>
      <c r="H143" s="864">
        <v>5311</v>
      </c>
      <c r="I143" s="865">
        <v>4648</v>
      </c>
      <c r="J143" s="865">
        <v>4535</v>
      </c>
      <c r="K143" s="865">
        <v>4722</v>
      </c>
      <c r="L143" s="865">
        <v>5054</v>
      </c>
      <c r="M143" s="865">
        <v>5241</v>
      </c>
      <c r="N143" s="865">
        <v>5259</v>
      </c>
      <c r="O143" s="865"/>
      <c r="P143" s="864"/>
      <c r="Q143" s="864"/>
      <c r="R143" s="864"/>
      <c r="T143" s="864"/>
    </row>
    <row r="144" spans="1:22" ht="15.75">
      <c r="A144" s="860" t="s">
        <v>2683</v>
      </c>
      <c r="F144" s="867">
        <v>2016</v>
      </c>
      <c r="G144" s="867">
        <f t="shared" ref="G144:R144" ca="1" si="72">+G139/G86</f>
        <v>612.24489795918362</v>
      </c>
      <c r="H144" s="867">
        <f t="shared" ca="1" si="72"/>
        <v>595.6</v>
      </c>
      <c r="I144" s="867">
        <f t="shared" ca="1" si="72"/>
        <v>762.20930232558135</v>
      </c>
      <c r="J144" s="867">
        <f t="shared" ca="1" si="72"/>
        <v>754.09532623785287</v>
      </c>
      <c r="K144" s="867">
        <f t="shared" ca="1" si="72"/>
        <v>787.25806451612902</v>
      </c>
      <c r="L144" s="867">
        <f t="shared" ca="1" si="72"/>
        <v>815.85714285714289</v>
      </c>
      <c r="M144" s="867">
        <f t="shared" ca="1" si="72"/>
        <v>806.80555555555554</v>
      </c>
      <c r="N144" s="867">
        <f t="shared" ca="1" si="72"/>
        <v>796.71232876712327</v>
      </c>
      <c r="O144" s="867">
        <f t="shared" ca="1" si="72"/>
        <v>770</v>
      </c>
      <c r="P144" s="867">
        <f t="shared" ca="1" si="72"/>
        <v>1147.9452054794522</v>
      </c>
      <c r="Q144" s="867">
        <f t="shared" ca="1" si="72"/>
        <v>907.47945205479459</v>
      </c>
      <c r="R144" s="867">
        <f t="shared" si="72"/>
        <v>859.86666666666667</v>
      </c>
    </row>
    <row r="145" spans="1:18" ht="15.75">
      <c r="F145" s="867">
        <v>2017</v>
      </c>
      <c r="G145" s="867">
        <f t="shared" ref="G145:R145" si="73">+G140/G87</f>
        <v>882.10059171597629</v>
      </c>
      <c r="H145" s="867">
        <f t="shared" si="73"/>
        <v>878.19518716577534</v>
      </c>
      <c r="I145" s="867">
        <f t="shared" si="73"/>
        <v>839.43421052631595</v>
      </c>
      <c r="J145" s="867">
        <f t="shared" si="73"/>
        <v>812.82894736842104</v>
      </c>
      <c r="K145" s="867">
        <f t="shared" si="73"/>
        <v>767.56578947368428</v>
      </c>
      <c r="L145" s="867">
        <f t="shared" si="73"/>
        <v>759.47368421052636</v>
      </c>
      <c r="M145" s="867">
        <f t="shared" si="73"/>
        <v>769.6</v>
      </c>
      <c r="N145" s="867">
        <f t="shared" si="73"/>
        <v>754.8</v>
      </c>
      <c r="O145" s="867">
        <f t="shared" si="73"/>
        <v>780.4</v>
      </c>
      <c r="P145" s="867">
        <f t="shared" si="73"/>
        <v>789.2</v>
      </c>
      <c r="Q145" s="867">
        <f t="shared" si="73"/>
        <v>784.5333333333333</v>
      </c>
      <c r="R145" s="867">
        <f t="shared" si="73"/>
        <v>848.5333333333333</v>
      </c>
    </row>
    <row r="146" spans="1:18" ht="15.75">
      <c r="F146" s="867">
        <v>2018</v>
      </c>
      <c r="G146" s="867">
        <f t="shared" ref="G146:R146" si="74">+G141/G88</f>
        <v>897.48344370860934</v>
      </c>
      <c r="H146" s="867">
        <f t="shared" si="74"/>
        <v>905.96026490066231</v>
      </c>
      <c r="I146" s="867">
        <f t="shared" si="74"/>
        <v>892.31788079470198</v>
      </c>
      <c r="J146" s="867">
        <f t="shared" si="74"/>
        <v>907.81456953642385</v>
      </c>
      <c r="K146" s="869">
        <f t="shared" si="74"/>
        <v>1216.2913907284769</v>
      </c>
      <c r="L146" s="867">
        <f t="shared" si="74"/>
        <v>1146.0927152317881</v>
      </c>
      <c r="M146" s="867">
        <f t="shared" si="74"/>
        <v>1144.9006622516556</v>
      </c>
      <c r="N146" s="867">
        <f t="shared" si="74"/>
        <v>1151.3907284768213</v>
      </c>
      <c r="O146" s="867">
        <f t="shared" si="74"/>
        <v>1118.5430463576158</v>
      </c>
      <c r="P146" s="867">
        <f t="shared" si="74"/>
        <v>1083.7086092715233</v>
      </c>
      <c r="Q146" s="867">
        <f t="shared" si="74"/>
        <v>1097.7483443708609</v>
      </c>
      <c r="R146" s="867">
        <f t="shared" si="74"/>
        <v>1116.0264900662253</v>
      </c>
    </row>
    <row r="147" spans="1:18" ht="15.75">
      <c r="F147" s="867">
        <v>2019</v>
      </c>
      <c r="G147" s="867">
        <f t="shared" ref="G147:R147" si="75">+G142/G89</f>
        <v>1142.7814569536424</v>
      </c>
      <c r="H147" s="867">
        <f t="shared" si="75"/>
        <v>1137.0860927152319</v>
      </c>
      <c r="I147" s="867">
        <f t="shared" si="75"/>
        <v>1066.4900662251655</v>
      </c>
      <c r="J147" s="867">
        <f t="shared" si="75"/>
        <v>1024.7682119205299</v>
      </c>
      <c r="K147" s="867">
        <f t="shared" si="75"/>
        <v>982.1192052980133</v>
      </c>
      <c r="L147" s="867">
        <f t="shared" si="75"/>
        <v>972.84768211920527</v>
      </c>
      <c r="M147" s="867">
        <f t="shared" si="75"/>
        <v>950.86092715231791</v>
      </c>
      <c r="N147" s="867">
        <f t="shared" si="75"/>
        <v>938.41059602649011</v>
      </c>
      <c r="O147" s="867">
        <f t="shared" si="75"/>
        <v>880.13245033112582</v>
      </c>
      <c r="P147" s="867">
        <f t="shared" si="75"/>
        <v>813.50993377483451</v>
      </c>
      <c r="Q147" s="867">
        <f t="shared" si="75"/>
        <v>797.98675496688736</v>
      </c>
      <c r="R147" s="867">
        <f t="shared" si="75"/>
        <v>776.55629139072846</v>
      </c>
    </row>
    <row r="148" spans="1:18" ht="15.75">
      <c r="F148" s="867">
        <v>2020</v>
      </c>
      <c r="G148" s="867">
        <f t="shared" ref="G148:N148" si="76">+G143/G90</f>
        <v>723.97350993377484</v>
      </c>
      <c r="H148" s="867">
        <f t="shared" si="76"/>
        <v>703.44370860927154</v>
      </c>
      <c r="I148" s="867">
        <f t="shared" si="76"/>
        <v>615.62913907284769</v>
      </c>
      <c r="J148" s="867">
        <f t="shared" si="76"/>
        <v>600.66225165562912</v>
      </c>
      <c r="K148" s="867">
        <f t="shared" si="76"/>
        <v>625.4304635761589</v>
      </c>
      <c r="L148" s="867">
        <f t="shared" si="76"/>
        <v>669.40397350993373</v>
      </c>
      <c r="M148" s="867">
        <f t="shared" si="76"/>
        <v>694.17218543046363</v>
      </c>
      <c r="N148" s="867">
        <f t="shared" si="76"/>
        <v>696.55629139072846</v>
      </c>
      <c r="O148" s="868"/>
      <c r="P148" s="867"/>
      <c r="Q148" s="867"/>
      <c r="R148" s="867"/>
    </row>
    <row r="149" spans="1:18" ht="15.75">
      <c r="A149" s="860" t="s">
        <v>1488</v>
      </c>
      <c r="F149" s="867"/>
      <c r="G149" s="867"/>
      <c r="H149" s="867"/>
      <c r="I149" s="867"/>
      <c r="J149" s="867"/>
      <c r="K149" s="867"/>
      <c r="L149" s="867"/>
      <c r="M149" s="867"/>
      <c r="N149" s="867"/>
      <c r="O149" s="867"/>
      <c r="P149" s="867"/>
      <c r="Q149" s="867"/>
      <c r="R149" s="864"/>
    </row>
    <row r="150" spans="1:18" ht="15.75">
      <c r="A150" s="860" t="s">
        <v>3265</v>
      </c>
      <c r="F150" s="867">
        <v>2016</v>
      </c>
      <c r="G150" s="867">
        <v>295.10000000000002</v>
      </c>
      <c r="H150" s="867">
        <v>258</v>
      </c>
      <c r="I150" s="867">
        <v>358.7</v>
      </c>
      <c r="J150" s="867">
        <v>173.1</v>
      </c>
      <c r="K150" s="870">
        <v>-7.9</v>
      </c>
      <c r="L150" s="867">
        <v>644</v>
      </c>
      <c r="M150" s="867">
        <v>419.9</v>
      </c>
      <c r="N150" s="867">
        <v>342.2</v>
      </c>
      <c r="O150" s="867">
        <v>316.7</v>
      </c>
      <c r="P150" s="867">
        <v>3333.3</v>
      </c>
      <c r="Q150" s="867">
        <v>1278.3</v>
      </c>
      <c r="R150" s="864">
        <v>1162.7</v>
      </c>
    </row>
    <row r="151" spans="1:18" ht="15.75">
      <c r="A151" s="860" t="s">
        <v>1722</v>
      </c>
      <c r="F151" s="867">
        <v>2017</v>
      </c>
      <c r="G151" s="867">
        <v>1293.5999999999999</v>
      </c>
      <c r="H151" s="867">
        <v>1198.5999999999999</v>
      </c>
      <c r="I151" s="867">
        <v>987.6</v>
      </c>
      <c r="J151" s="867">
        <v>824.2</v>
      </c>
      <c r="K151" s="867">
        <v>371.7</v>
      </c>
      <c r="L151" s="867">
        <v>388</v>
      </c>
      <c r="M151" s="867">
        <v>350</v>
      </c>
      <c r="N151" s="867">
        <v>467</v>
      </c>
      <c r="O151" s="867">
        <v>378</v>
      </c>
      <c r="P151" s="867">
        <v>445</v>
      </c>
      <c r="Q151" s="867">
        <v>412</v>
      </c>
      <c r="R151" s="864">
        <v>511</v>
      </c>
    </row>
    <row r="152" spans="1:18" ht="15.75">
      <c r="F152" s="867">
        <v>2018</v>
      </c>
      <c r="G152" s="867">
        <v>876</v>
      </c>
      <c r="H152" s="867">
        <v>748</v>
      </c>
      <c r="I152" s="867">
        <v>694</v>
      </c>
      <c r="J152" s="867">
        <v>718</v>
      </c>
      <c r="K152" s="869">
        <v>3068</v>
      </c>
      <c r="L152" s="867">
        <v>2423</v>
      </c>
      <c r="M152" s="867">
        <v>2273</v>
      </c>
      <c r="N152" s="867">
        <v>2283</v>
      </c>
      <c r="O152" s="867">
        <v>2099</v>
      </c>
      <c r="P152" s="867">
        <v>1852</v>
      </c>
      <c r="Q152" s="867">
        <v>1889</v>
      </c>
      <c r="R152" s="864">
        <v>1988</v>
      </c>
    </row>
    <row r="153" spans="1:18" ht="15.75">
      <c r="F153" s="867">
        <v>2019</v>
      </c>
      <c r="G153" s="867">
        <v>2038</v>
      </c>
      <c r="H153" s="867">
        <v>2015</v>
      </c>
      <c r="I153" s="867">
        <v>1698</v>
      </c>
      <c r="J153" s="867">
        <v>1996</v>
      </c>
      <c r="K153" s="867">
        <v>1947</v>
      </c>
      <c r="L153" s="867">
        <v>2512</v>
      </c>
      <c r="M153" s="867">
        <v>2755</v>
      </c>
      <c r="N153" s="867">
        <v>2622</v>
      </c>
      <c r="O153" s="867">
        <v>2747</v>
      </c>
      <c r="P153" s="867">
        <v>2548</v>
      </c>
      <c r="Q153" s="867">
        <v>2435</v>
      </c>
      <c r="R153" s="864">
        <v>2391</v>
      </c>
    </row>
    <row r="154" spans="1:18" ht="15.75">
      <c r="F154" s="867">
        <v>2020</v>
      </c>
      <c r="G154" s="867">
        <v>2018</v>
      </c>
      <c r="H154" s="867">
        <v>1869</v>
      </c>
      <c r="I154" s="868">
        <v>1788.6</v>
      </c>
      <c r="J154" s="868">
        <v>1670.6</v>
      </c>
      <c r="K154" s="868">
        <v>1607.7</v>
      </c>
      <c r="L154" s="868">
        <v>1654.6</v>
      </c>
      <c r="M154" s="868">
        <v>1899</v>
      </c>
      <c r="N154" s="868">
        <v>1896</v>
      </c>
      <c r="O154" s="867"/>
      <c r="P154" s="867"/>
      <c r="Q154" s="867"/>
      <c r="R154" s="864"/>
    </row>
    <row r="155" spans="1:18" ht="15.75">
      <c r="A155" s="860" t="s">
        <v>3266</v>
      </c>
      <c r="F155" s="867">
        <v>2016</v>
      </c>
      <c r="G155" s="867">
        <f t="shared" ref="G155:R155" ca="1" si="77">+G139-G150</f>
        <v>2704.9</v>
      </c>
      <c r="H155" s="867">
        <f t="shared" ca="1" si="77"/>
        <v>2720</v>
      </c>
      <c r="I155" s="867">
        <f t="shared" ca="1" si="77"/>
        <v>3574.3</v>
      </c>
      <c r="J155" s="867">
        <f t="shared" ca="1" si="77"/>
        <v>3900.9</v>
      </c>
      <c r="K155" s="867">
        <f t="shared" ca="1" si="77"/>
        <v>4888.8999999999996</v>
      </c>
      <c r="L155" s="867">
        <f t="shared" ca="1" si="77"/>
        <v>5067</v>
      </c>
      <c r="M155" s="867">
        <f t="shared" ca="1" si="77"/>
        <v>5389.1</v>
      </c>
      <c r="N155" s="867">
        <f t="shared" ca="1" si="77"/>
        <v>5473.8</v>
      </c>
      <c r="O155" s="867">
        <f t="shared" ca="1" si="77"/>
        <v>5612.3</v>
      </c>
      <c r="P155" s="867">
        <f t="shared" ca="1" si="77"/>
        <v>5046.7</v>
      </c>
      <c r="Q155" s="867">
        <f t="shared" ca="1" si="77"/>
        <v>5346.3</v>
      </c>
      <c r="R155" s="867">
        <f t="shared" si="77"/>
        <v>5286.3</v>
      </c>
    </row>
    <row r="156" spans="1:18" ht="15.75">
      <c r="A156" s="860" t="s">
        <v>1722</v>
      </c>
      <c r="F156" s="867">
        <v>2017</v>
      </c>
      <c r="G156" s="867">
        <v>5265.7</v>
      </c>
      <c r="H156" s="867">
        <v>5370.3</v>
      </c>
      <c r="I156" s="867">
        <v>5392.1</v>
      </c>
      <c r="J156" s="867">
        <v>5353.3</v>
      </c>
      <c r="K156" s="867">
        <v>5461.8</v>
      </c>
      <c r="L156" s="867">
        <v>5384</v>
      </c>
      <c r="M156" s="867">
        <v>5311</v>
      </c>
      <c r="N156" s="867">
        <v>5364</v>
      </c>
      <c r="O156" s="867">
        <v>5475</v>
      </c>
      <c r="P156" s="867">
        <v>5474</v>
      </c>
      <c r="Q156" s="867">
        <v>5472</v>
      </c>
      <c r="R156" s="867">
        <v>5853</v>
      </c>
    </row>
    <row r="157" spans="1:18" ht="15.75">
      <c r="A157" s="860" t="s">
        <v>1722</v>
      </c>
      <c r="F157" s="867">
        <v>2018</v>
      </c>
      <c r="G157" s="867">
        <v>5899</v>
      </c>
      <c r="H157" s="867">
        <v>6092</v>
      </c>
      <c r="I157" s="867">
        <v>6042</v>
      </c>
      <c r="J157" s="867">
        <v>6136</v>
      </c>
      <c r="K157" s="867">
        <v>6115</v>
      </c>
      <c r="L157" s="867">
        <v>6230</v>
      </c>
      <c r="M157" s="867">
        <v>6370</v>
      </c>
      <c r="N157" s="867">
        <v>6410</v>
      </c>
      <c r="O157" s="867">
        <v>6346</v>
      </c>
      <c r="P157" s="867">
        <v>6331</v>
      </c>
      <c r="Q157" s="867">
        <v>6400</v>
      </c>
      <c r="R157" s="867">
        <v>6438</v>
      </c>
    </row>
    <row r="158" spans="1:18" ht="15.75">
      <c r="F158" s="867">
        <v>2019</v>
      </c>
      <c r="G158" s="867">
        <v>6590</v>
      </c>
      <c r="H158" s="867">
        <v>6596</v>
      </c>
      <c r="I158" s="867">
        <v>6354</v>
      </c>
      <c r="J158" s="867">
        <v>5741</v>
      </c>
      <c r="K158" s="867">
        <v>5468</v>
      </c>
      <c r="L158" s="867">
        <v>4833</v>
      </c>
      <c r="M158" s="867">
        <v>4423</v>
      </c>
      <c r="N158" s="867">
        <v>4352</v>
      </c>
      <c r="O158" s="867">
        <v>3788</v>
      </c>
      <c r="P158" s="867">
        <v>3489</v>
      </c>
      <c r="Q158" s="867">
        <v>3492</v>
      </c>
      <c r="R158" s="867">
        <v>3472</v>
      </c>
    </row>
    <row r="159" spans="1:18" ht="15.75">
      <c r="F159" s="867">
        <v>2020</v>
      </c>
      <c r="G159" s="867">
        <v>3488</v>
      </c>
      <c r="H159" s="867">
        <v>3442</v>
      </c>
      <c r="I159" s="868">
        <v>2859</v>
      </c>
      <c r="J159" s="868">
        <v>2864</v>
      </c>
      <c r="K159" s="868">
        <v>3114</v>
      </c>
      <c r="L159" s="868">
        <v>3399</v>
      </c>
      <c r="M159" s="868">
        <v>3342</v>
      </c>
      <c r="N159" s="868">
        <v>3363</v>
      </c>
      <c r="O159" s="868"/>
      <c r="P159" s="867"/>
      <c r="Q159" s="867"/>
      <c r="R159" s="867"/>
    </row>
    <row r="160" spans="1:18" ht="15.75">
      <c r="A160" s="860" t="s">
        <v>3267</v>
      </c>
      <c r="F160" s="867">
        <v>2016</v>
      </c>
      <c r="G160" s="867">
        <f t="shared" ref="G160:R160" si="78">+G150/G$107</f>
        <v>60.224489795918366</v>
      </c>
      <c r="H160" s="867">
        <f t="shared" si="78"/>
        <v>51.6</v>
      </c>
      <c r="I160" s="867">
        <f t="shared" si="78"/>
        <v>69.515503875968989</v>
      </c>
      <c r="J160" s="867">
        <f t="shared" si="78"/>
        <v>32.040721888014808</v>
      </c>
      <c r="K160" s="867">
        <f t="shared" si="78"/>
        <v>-1.2741935483870968</v>
      </c>
      <c r="L160" s="867">
        <f t="shared" si="78"/>
        <v>92</v>
      </c>
      <c r="M160" s="867">
        <f t="shared" si="78"/>
        <v>58.319444444444443</v>
      </c>
      <c r="N160" s="867">
        <f t="shared" si="78"/>
        <v>46.87671232876712</v>
      </c>
      <c r="O160" s="867">
        <f t="shared" si="78"/>
        <v>41.129870129870127</v>
      </c>
      <c r="P160" s="867">
        <f t="shared" si="78"/>
        <v>456.61643835616439</v>
      </c>
      <c r="Q160" s="867">
        <f t="shared" si="78"/>
        <v>175.10958904109589</v>
      </c>
      <c r="R160" s="867">
        <f t="shared" si="78"/>
        <v>155.02666666666667</v>
      </c>
    </row>
    <row r="161" spans="1:20" ht="15.75">
      <c r="F161" s="867">
        <v>2017</v>
      </c>
      <c r="G161" s="867">
        <f t="shared" ref="G161:R161" si="79">+G151/G$108</f>
        <v>173.96449704142012</v>
      </c>
      <c r="H161" s="867">
        <f t="shared" si="79"/>
        <v>160.24064171122993</v>
      </c>
      <c r="I161" s="867">
        <f t="shared" si="79"/>
        <v>129.94736842105263</v>
      </c>
      <c r="J161" s="867">
        <f t="shared" si="79"/>
        <v>108.44736842105264</v>
      </c>
      <c r="K161" s="867">
        <f t="shared" si="79"/>
        <v>48.907894736842103</v>
      </c>
      <c r="L161" s="867">
        <f t="shared" si="79"/>
        <v>51.733333333333334</v>
      </c>
      <c r="M161" s="867">
        <f t="shared" si="79"/>
        <v>46.666666666666664</v>
      </c>
      <c r="N161" s="867">
        <f t="shared" si="79"/>
        <v>62.266666666666666</v>
      </c>
      <c r="O161" s="867">
        <f t="shared" si="79"/>
        <v>50.4</v>
      </c>
      <c r="P161" s="867">
        <f t="shared" si="79"/>
        <v>59.333333333333336</v>
      </c>
      <c r="Q161" s="867">
        <f t="shared" si="79"/>
        <v>54.93333333333333</v>
      </c>
      <c r="R161" s="867">
        <f t="shared" si="79"/>
        <v>68.13333333333334</v>
      </c>
      <c r="T161" s="864">
        <f>+K161-R160</f>
        <v>-106.11877192982456</v>
      </c>
    </row>
    <row r="162" spans="1:20" ht="15.75">
      <c r="F162" s="867">
        <v>2018</v>
      </c>
      <c r="G162" s="867">
        <f t="shared" ref="G162:R162" si="80">+G152/G$109</f>
        <v>116.8</v>
      </c>
      <c r="H162" s="867">
        <f t="shared" si="80"/>
        <v>99.733333333333334</v>
      </c>
      <c r="I162" s="867">
        <f t="shared" si="80"/>
        <v>92.533333333333331</v>
      </c>
      <c r="J162" s="867">
        <f t="shared" si="80"/>
        <v>95.733333333333334</v>
      </c>
      <c r="K162" s="867">
        <f t="shared" si="80"/>
        <v>409.06666666666666</v>
      </c>
      <c r="L162" s="867">
        <f t="shared" si="80"/>
        <v>323.06666666666666</v>
      </c>
      <c r="M162" s="867">
        <f t="shared" si="80"/>
        <v>303.06666666666666</v>
      </c>
      <c r="N162" s="867">
        <f t="shared" si="80"/>
        <v>304.39999999999998</v>
      </c>
      <c r="O162" s="867">
        <f t="shared" si="80"/>
        <v>279.86666666666667</v>
      </c>
      <c r="P162" s="867">
        <f t="shared" si="80"/>
        <v>246.93333333333334</v>
      </c>
      <c r="Q162" s="867">
        <f t="shared" si="80"/>
        <v>251.86666666666667</v>
      </c>
      <c r="R162" s="867">
        <f t="shared" si="80"/>
        <v>265.06666666666666</v>
      </c>
      <c r="T162" s="864"/>
    </row>
    <row r="163" spans="1:20" ht="15.75">
      <c r="F163" s="867">
        <v>2019</v>
      </c>
      <c r="G163" s="867">
        <f t="shared" ref="G163:R163" si="81">+G153/G$109</f>
        <v>271.73333333333335</v>
      </c>
      <c r="H163" s="867">
        <f t="shared" si="81"/>
        <v>268.66666666666669</v>
      </c>
      <c r="I163" s="867">
        <f t="shared" si="81"/>
        <v>226.4</v>
      </c>
      <c r="J163" s="867">
        <f t="shared" si="81"/>
        <v>266.13333333333333</v>
      </c>
      <c r="K163" s="867">
        <f t="shared" si="81"/>
        <v>259.60000000000002</v>
      </c>
      <c r="L163" s="867">
        <f t="shared" si="81"/>
        <v>334.93333333333334</v>
      </c>
      <c r="M163" s="867">
        <f t="shared" si="81"/>
        <v>367.33333333333331</v>
      </c>
      <c r="N163" s="867">
        <f t="shared" si="81"/>
        <v>349.6</v>
      </c>
      <c r="O163" s="867">
        <f t="shared" si="81"/>
        <v>366.26666666666665</v>
      </c>
      <c r="P163" s="867">
        <f t="shared" si="81"/>
        <v>339.73333333333335</v>
      </c>
      <c r="Q163" s="867">
        <f t="shared" si="81"/>
        <v>324.66666666666669</v>
      </c>
      <c r="R163" s="867">
        <f t="shared" si="81"/>
        <v>318.8</v>
      </c>
      <c r="T163" s="864"/>
    </row>
    <row r="164" spans="1:20" ht="15.75">
      <c r="F164" s="867">
        <v>2020</v>
      </c>
      <c r="G164" s="867">
        <f t="shared" ref="G164:N164" si="82">+G154/G$109</f>
        <v>269.06666666666666</v>
      </c>
      <c r="H164" s="867">
        <f t="shared" si="82"/>
        <v>249.2</v>
      </c>
      <c r="I164" s="867">
        <f t="shared" si="82"/>
        <v>238.48</v>
      </c>
      <c r="J164" s="867">
        <f t="shared" si="82"/>
        <v>222.74666666666664</v>
      </c>
      <c r="K164" s="867">
        <f t="shared" si="82"/>
        <v>214.36</v>
      </c>
      <c r="L164" s="867">
        <f t="shared" si="82"/>
        <v>220.61333333333332</v>
      </c>
      <c r="M164" s="867">
        <f t="shared" si="82"/>
        <v>253.2</v>
      </c>
      <c r="N164" s="867">
        <f t="shared" si="82"/>
        <v>252.8</v>
      </c>
      <c r="O164" s="868"/>
      <c r="P164" s="867"/>
      <c r="Q164" s="867"/>
      <c r="R164" s="867"/>
      <c r="T164" s="864"/>
    </row>
    <row r="165" spans="1:20" ht="15.75">
      <c r="A165" s="860" t="s">
        <v>3268</v>
      </c>
      <c r="F165" s="867">
        <v>2016</v>
      </c>
      <c r="G165" s="867">
        <f t="shared" ref="G165:R165" ca="1" si="83">+G155/G$107</f>
        <v>552.0204081632653</v>
      </c>
      <c r="H165" s="867">
        <f t="shared" ca="1" si="83"/>
        <v>544</v>
      </c>
      <c r="I165" s="867">
        <f t="shared" ca="1" si="83"/>
        <v>692.69379844961247</v>
      </c>
      <c r="J165" s="867">
        <f t="shared" ca="1" si="83"/>
        <v>722.05460434983809</v>
      </c>
      <c r="K165" s="867">
        <f t="shared" ca="1" si="83"/>
        <v>788.5322580645161</v>
      </c>
      <c r="L165" s="867">
        <f t="shared" ca="1" si="83"/>
        <v>723.85714285714289</v>
      </c>
      <c r="M165" s="867">
        <f t="shared" ca="1" si="83"/>
        <v>748.4861111111112</v>
      </c>
      <c r="N165" s="867">
        <f t="shared" ca="1" si="83"/>
        <v>749.83561643835617</v>
      </c>
      <c r="O165" s="867">
        <f t="shared" ca="1" si="83"/>
        <v>728.87012987012986</v>
      </c>
      <c r="P165" s="867">
        <f t="shared" ca="1" si="83"/>
        <v>691.32876712328766</v>
      </c>
      <c r="Q165" s="867">
        <f t="shared" ca="1" si="83"/>
        <v>732.3698630136987</v>
      </c>
      <c r="R165" s="867">
        <f t="shared" si="83"/>
        <v>704.84</v>
      </c>
    </row>
    <row r="166" spans="1:20" ht="15.75">
      <c r="F166" s="867">
        <v>2017</v>
      </c>
      <c r="G166" s="867">
        <f t="shared" ref="G166:R166" si="84">+G156/G$108</f>
        <v>708.13609467455615</v>
      </c>
      <c r="H166" s="867">
        <f t="shared" si="84"/>
        <v>717.95454545454538</v>
      </c>
      <c r="I166" s="867">
        <f t="shared" si="84"/>
        <v>709.48684210526324</v>
      </c>
      <c r="J166" s="867">
        <f t="shared" si="84"/>
        <v>704.38157894736844</v>
      </c>
      <c r="K166" s="867">
        <f t="shared" si="84"/>
        <v>718.6578947368422</v>
      </c>
      <c r="L166" s="867">
        <f t="shared" si="84"/>
        <v>717.86666666666667</v>
      </c>
      <c r="M166" s="867">
        <f t="shared" si="84"/>
        <v>708.13333333333333</v>
      </c>
      <c r="N166" s="867">
        <f t="shared" si="84"/>
        <v>715.2</v>
      </c>
      <c r="O166" s="867">
        <f t="shared" si="84"/>
        <v>730</v>
      </c>
      <c r="P166" s="867">
        <f t="shared" si="84"/>
        <v>729.86666666666667</v>
      </c>
      <c r="Q166" s="867">
        <f t="shared" si="84"/>
        <v>729.6</v>
      </c>
      <c r="R166" s="867">
        <f t="shared" si="84"/>
        <v>780.4</v>
      </c>
      <c r="T166" s="864">
        <f>+K166-R165</f>
        <v>13.817894736842163</v>
      </c>
    </row>
    <row r="167" spans="1:20" ht="15.75">
      <c r="F167" s="860">
        <v>2018</v>
      </c>
      <c r="G167" s="867">
        <f t="shared" ref="G167:M167" si="85">+G157/G$109</f>
        <v>786.5333333333333</v>
      </c>
      <c r="H167" s="867">
        <f t="shared" si="85"/>
        <v>812.26666666666665</v>
      </c>
      <c r="I167" s="867">
        <f t="shared" si="85"/>
        <v>805.6</v>
      </c>
      <c r="J167" s="867">
        <f t="shared" si="85"/>
        <v>818.13333333333333</v>
      </c>
      <c r="K167" s="867">
        <f t="shared" si="85"/>
        <v>815.33333333333337</v>
      </c>
      <c r="L167" s="867">
        <f t="shared" si="85"/>
        <v>830.66666666666663</v>
      </c>
      <c r="M167" s="867">
        <f t="shared" si="85"/>
        <v>849.33333333333337</v>
      </c>
      <c r="N167" s="866"/>
      <c r="O167" s="865"/>
      <c r="P167" s="864"/>
    </row>
    <row r="169" spans="1:20" s="863" customFormat="1">
      <c r="A169" s="863" t="s">
        <v>3838</v>
      </c>
    </row>
    <row r="201" spans="8:12" s="861" customFormat="1" ht="12.75">
      <c r="H201" s="862"/>
      <c r="I201" s="862"/>
      <c r="J201" s="862"/>
      <c r="K201" s="862"/>
      <c r="L201" s="862"/>
    </row>
  </sheetData>
  <hyperlinks>
    <hyperlink ref="A1" location="month!A6" display="CPI" xr:uid="{42DCF390-B937-4750-BFC2-7D822018F043}"/>
    <hyperlink ref="A2" location="month!A76" display="Koers SRD/US$" xr:uid="{EEDD37B1-F784-4224-B56E-DED8A077D92A}"/>
    <hyperlink ref="A3" location="month!A83" display="Exercitie maandlonen" xr:uid="{AFD81B28-3734-4B73-BEAD-BA895B229EEE}"/>
    <hyperlink ref="A4" location="month!A120" display="M2 en VV" xr:uid="{1F596D4F-7370-4779-B6BE-63B58021B83D}"/>
    <hyperlink ref="A5" location="month!A138" display="Deviezen " xr:uid="{DC486C45-317C-43C9-B22D-97AE518E41D2}"/>
  </hyperlink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M320"/>
  <sheetViews>
    <sheetView workbookViewId="0">
      <pane ySplit="2" topLeftCell="A365" activePane="bottomLeft" state="frozen"/>
      <selection pane="bottomLeft" activeCell="P365" sqref="P365"/>
    </sheetView>
  </sheetViews>
  <sheetFormatPr defaultRowHeight="11.25"/>
  <sheetData>
    <row r="1" spans="1:5" s="1" customFormat="1" ht="15.75">
      <c r="A1" s="273" t="s">
        <v>700</v>
      </c>
      <c r="E1" s="273" t="s">
        <v>702</v>
      </c>
    </row>
    <row r="2" spans="1:5" s="1" customFormat="1" ht="15.75">
      <c r="A2" s="273" t="s">
        <v>701</v>
      </c>
    </row>
    <row r="3" spans="1:5" s="1" customFormat="1" ht="15.75"/>
    <row r="242" spans="2:13" ht="15.75">
      <c r="B242" s="588" t="s">
        <v>1344</v>
      </c>
    </row>
    <row r="243" spans="2:13" ht="15.75">
      <c r="B243" s="588" t="s">
        <v>2033</v>
      </c>
      <c r="M243" s="588" t="s">
        <v>2849</v>
      </c>
    </row>
    <row r="320" spans="2:2" ht="15">
      <c r="B320" s="273" t="s">
        <v>699</v>
      </c>
    </row>
  </sheetData>
  <phoneticPr fontId="15" type="noConversion"/>
  <hyperlinks>
    <hyperlink ref="B320" r:id="rId1" display="http://www.stuseco.org/" xr:uid="{00000000-0004-0000-0C00-000000000000}"/>
    <hyperlink ref="A1" location="grafieken!B83" display="grafiek Export en BBP" xr:uid="{00000000-0004-0000-0C00-000001000000}"/>
    <hyperlink ref="E1" location="grafieken!B293" display="rijstblokje" xr:uid="{00000000-0004-0000-0C00-000002000000}"/>
    <hyperlink ref="A2" location="grafieken!M214" display="lonen bedrijven en overheid" xr:uid="{00000000-0004-0000-0C00-000003000000}"/>
  </hyperlink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AI112"/>
  <sheetViews>
    <sheetView zoomScale="115" zoomScaleNormal="115" workbookViewId="0">
      <pane xSplit="5" ySplit="3" topLeftCell="F11" activePane="bottomRight" state="frozen"/>
      <selection pane="topRight" activeCell="F1" sqref="F1"/>
      <selection pane="bottomLeft" activeCell="A3" sqref="A3"/>
      <selection pane="bottomRight" activeCell="L16" sqref="L16"/>
    </sheetView>
  </sheetViews>
  <sheetFormatPr defaultRowHeight="11.25"/>
  <cols>
    <col min="1" max="1" width="35" customWidth="1"/>
    <col min="2" max="2" width="6.5" customWidth="1"/>
    <col min="3" max="3" width="8.83203125" bestFit="1" customWidth="1"/>
    <col min="4" max="4" width="8.5" customWidth="1"/>
    <col min="5" max="5" width="10" customWidth="1"/>
    <col min="6" max="6" width="1.6640625" customWidth="1"/>
    <col min="7" max="7" width="6.5" customWidth="1"/>
    <col min="8" max="8" width="12.5" customWidth="1"/>
    <col min="9" max="9" width="2.1640625" customWidth="1"/>
    <col min="10" max="10" width="1.83203125" customWidth="1"/>
    <col min="11" max="11" width="6.5" customWidth="1"/>
    <col min="12" max="12" width="8.33203125" customWidth="1"/>
    <col min="13" max="13" width="1.5" customWidth="1"/>
    <col min="14" max="15" width="8.1640625" customWidth="1"/>
    <col min="16" max="16" width="2" customWidth="1"/>
    <col min="17" max="18" width="8.1640625" customWidth="1"/>
    <col min="19" max="19" width="1" customWidth="1"/>
    <col min="20" max="21" width="8.1640625" customWidth="1"/>
    <col min="22" max="22" width="1.6640625" customWidth="1"/>
    <col min="23" max="24" width="8.1640625" customWidth="1"/>
    <col min="25" max="25" width="3.1640625" customWidth="1"/>
    <col min="26" max="27" width="8.1640625" customWidth="1"/>
    <col min="28" max="28" width="5" customWidth="1"/>
    <col min="29" max="29" width="14" customWidth="1"/>
    <col min="30" max="30" width="12.6640625" customWidth="1"/>
    <col min="31" max="31" width="8.1640625" customWidth="1"/>
    <col min="32" max="32" width="12.1640625" bestFit="1" customWidth="1"/>
    <col min="34" max="34" width="12" customWidth="1"/>
  </cols>
  <sheetData>
    <row r="1" spans="1:35" ht="15.75" thickBot="1">
      <c r="A1" s="273" t="s">
        <v>343</v>
      </c>
    </row>
    <row r="2" spans="1:35" ht="80.25" customHeight="1" thickBot="1">
      <c r="A2" s="737" t="s">
        <v>2887</v>
      </c>
      <c r="B2" s="353"/>
      <c r="C2" s="267"/>
      <c r="D2" s="272" t="s">
        <v>1344</v>
      </c>
      <c r="E2" s="272" t="s">
        <v>1344</v>
      </c>
      <c r="F2" s="267"/>
      <c r="G2" s="948" t="s">
        <v>1558</v>
      </c>
      <c r="H2" s="949"/>
      <c r="I2" s="681"/>
      <c r="J2" s="681"/>
      <c r="K2" s="950" t="s">
        <v>1519</v>
      </c>
      <c r="L2" s="951"/>
      <c r="M2" s="665"/>
      <c r="N2" s="950" t="s">
        <v>1520</v>
      </c>
      <c r="O2" s="951"/>
      <c r="P2" s="665"/>
      <c r="Q2" s="948" t="s">
        <v>1521</v>
      </c>
      <c r="R2" s="949"/>
      <c r="S2" s="665"/>
      <c r="T2" s="948" t="s">
        <v>1522</v>
      </c>
      <c r="U2" s="949"/>
      <c r="V2" s="666"/>
      <c r="W2" s="948" t="s">
        <v>1523</v>
      </c>
      <c r="X2" s="949"/>
      <c r="Y2" s="666"/>
      <c r="Z2" s="948" t="s">
        <v>1524</v>
      </c>
      <c r="AA2" s="949"/>
      <c r="AB2" s="624"/>
      <c r="AC2" s="656" t="s">
        <v>597</v>
      </c>
      <c r="AD2" s="657" t="s">
        <v>598</v>
      </c>
      <c r="AE2" s="655"/>
      <c r="AF2" s="679" t="s">
        <v>1559</v>
      </c>
      <c r="AG2" s="678"/>
      <c r="AH2" s="683" t="s">
        <v>603</v>
      </c>
    </row>
    <row r="3" spans="1:35" ht="15.75">
      <c r="A3" s="223" t="s">
        <v>1854</v>
      </c>
      <c r="B3" s="242"/>
      <c r="C3" s="583"/>
      <c r="D3" s="583"/>
      <c r="E3" s="224"/>
      <c r="F3" s="224"/>
      <c r="G3" s="563">
        <v>0</v>
      </c>
      <c r="H3" s="574" t="s">
        <v>1855</v>
      </c>
      <c r="I3" s="246"/>
      <c r="J3" s="246"/>
      <c r="K3" s="246">
        <v>0</v>
      </c>
      <c r="L3" s="563" t="s">
        <v>1855</v>
      </c>
      <c r="M3" s="246"/>
      <c r="N3" s="246">
        <v>0</v>
      </c>
      <c r="O3" s="563" t="s">
        <v>1855</v>
      </c>
      <c r="P3" s="246"/>
      <c r="Q3" s="246">
        <v>0</v>
      </c>
      <c r="R3" s="563" t="s">
        <v>1855</v>
      </c>
      <c r="S3" s="246"/>
      <c r="T3" s="246">
        <v>0</v>
      </c>
      <c r="U3" s="563" t="s">
        <v>1855</v>
      </c>
      <c r="V3" s="563"/>
      <c r="W3" s="246">
        <v>0</v>
      </c>
      <c r="X3" s="563" t="s">
        <v>1855</v>
      </c>
      <c r="Y3" s="563"/>
      <c r="Z3" s="563">
        <v>0</v>
      </c>
      <c r="AA3" s="574" t="s">
        <v>1855</v>
      </c>
      <c r="AB3" s="242"/>
      <c r="AC3" s="658"/>
      <c r="AD3" s="659"/>
      <c r="AE3" s="655"/>
      <c r="AF3" s="680"/>
    </row>
    <row r="4" spans="1:35" ht="15.75">
      <c r="A4" s="288" t="s">
        <v>1344</v>
      </c>
      <c r="B4" s="242"/>
      <c r="C4" s="674">
        <v>2021</v>
      </c>
      <c r="D4" s="675">
        <v>2021</v>
      </c>
      <c r="E4" s="676" t="s">
        <v>2032</v>
      </c>
      <c r="F4" s="572"/>
      <c r="G4" s="667">
        <v>0</v>
      </c>
      <c r="H4" s="677" t="s">
        <v>1552</v>
      </c>
      <c r="I4" s="667"/>
      <c r="J4" s="667"/>
      <c r="K4" s="667"/>
      <c r="L4" s="677" t="s">
        <v>1552</v>
      </c>
      <c r="M4" s="667"/>
      <c r="N4" s="667"/>
      <c r="O4" s="677" t="s">
        <v>1552</v>
      </c>
      <c r="P4" s="667"/>
      <c r="Q4" s="667"/>
      <c r="R4" s="667" t="s">
        <v>1552</v>
      </c>
      <c r="S4" s="667"/>
      <c r="T4" s="667"/>
      <c r="U4" s="667" t="s">
        <v>1552</v>
      </c>
      <c r="V4" s="667"/>
      <c r="W4" s="667"/>
      <c r="X4" s="667" t="s">
        <v>1552</v>
      </c>
      <c r="Y4" s="667"/>
      <c r="Z4" s="667"/>
      <c r="AA4" s="667" t="s">
        <v>1552</v>
      </c>
      <c r="AB4" s="572"/>
      <c r="AC4" s="660">
        <v>2019</v>
      </c>
      <c r="AD4" s="661">
        <v>2019</v>
      </c>
    </row>
    <row r="5" spans="1:35" ht="15.75">
      <c r="A5" s="738" t="s">
        <v>1199</v>
      </c>
      <c r="B5" s="259" t="s">
        <v>918</v>
      </c>
      <c r="C5" s="597">
        <v>8.1999999999999993</v>
      </c>
      <c r="D5" s="268">
        <f>+Key!I3</f>
        <v>20.96</v>
      </c>
      <c r="E5" s="671">
        <f t="shared" ref="E5:E20" si="0">D5-C5</f>
        <v>12.760000000000002</v>
      </c>
      <c r="F5" s="268"/>
      <c r="G5" s="356">
        <v>0</v>
      </c>
      <c r="H5" s="668">
        <v>0.22590000000000021</v>
      </c>
      <c r="I5" s="356"/>
      <c r="J5" s="356"/>
      <c r="K5" s="356">
        <v>0</v>
      </c>
      <c r="L5" s="668">
        <v>0.5270999999999999</v>
      </c>
      <c r="M5" s="356"/>
      <c r="N5" s="356">
        <v>0</v>
      </c>
      <c r="O5" s="668">
        <v>0.22590000000000021</v>
      </c>
      <c r="P5" s="356"/>
      <c r="Q5" s="356">
        <v>0</v>
      </c>
      <c r="R5" s="668">
        <v>0.67770000000000064</v>
      </c>
      <c r="S5" s="356"/>
      <c r="T5" s="356">
        <v>0</v>
      </c>
      <c r="U5" s="668">
        <v>1.0542000000000007</v>
      </c>
      <c r="V5" s="356"/>
      <c r="W5" s="356">
        <v>0</v>
      </c>
      <c r="X5" s="668">
        <v>1.1294999999999993</v>
      </c>
      <c r="Y5" s="356"/>
      <c r="Z5" s="356">
        <v>0</v>
      </c>
      <c r="AA5" s="668">
        <v>1.7319000000000004</v>
      </c>
      <c r="AB5" s="268"/>
      <c r="AC5" s="662">
        <v>0</v>
      </c>
      <c r="AD5" s="662">
        <v>16.189499999999999</v>
      </c>
      <c r="AF5" s="671">
        <v>1.8072000000000008</v>
      </c>
      <c r="AH5" s="671">
        <v>5.0450999999999988</v>
      </c>
      <c r="AI5" t="s">
        <v>1344</v>
      </c>
    </row>
    <row r="6" spans="1:35" ht="15.75">
      <c r="A6" s="663" t="str">
        <f>+Key!A7</f>
        <v>Net Foreign Assets CBvS +ODI's in months imports</v>
      </c>
      <c r="B6" s="259" t="s">
        <v>2702</v>
      </c>
      <c r="C6" s="617">
        <v>3.3835302574801069</v>
      </c>
      <c r="D6" s="267">
        <f ca="1">+Key!I7</f>
        <v>5.2520870358813223</v>
      </c>
      <c r="E6" s="672">
        <f t="shared" ca="1" si="0"/>
        <v>1.8685567784012154</v>
      </c>
      <c r="F6" s="267"/>
      <c r="G6" s="355">
        <v>-2.0388664713203219E-2</v>
      </c>
      <c r="H6" s="669">
        <v>1.1970546932893456E-4</v>
      </c>
      <c r="I6" s="355"/>
      <c r="J6" s="356"/>
      <c r="K6" s="355">
        <v>-4.0165067251452857E-2</v>
      </c>
      <c r="L6" s="669">
        <v>2.5933048612358789E-3</v>
      </c>
      <c r="M6" s="356"/>
      <c r="N6" s="355">
        <v>-1.8257078195864196E-2</v>
      </c>
      <c r="O6" s="669">
        <v>-7.3599688213743519E-4</v>
      </c>
      <c r="P6" s="355"/>
      <c r="Q6" s="355">
        <v>-4.987146908540474E-2</v>
      </c>
      <c r="R6" s="669">
        <v>2.1506322456046334E-3</v>
      </c>
      <c r="S6" s="355"/>
      <c r="T6" s="355">
        <v>-8.6681803592521423E-2</v>
      </c>
      <c r="U6" s="669">
        <v>1.2340975499842699E-3</v>
      </c>
      <c r="V6" s="355"/>
      <c r="W6" s="355">
        <v>-8.6291654646827975E-2</v>
      </c>
      <c r="X6" s="669">
        <v>4.2197282325062702E-4</v>
      </c>
      <c r="Y6" s="355"/>
      <c r="Z6" s="355">
        <v>-0.14028881804258519</v>
      </c>
      <c r="AA6" s="669">
        <v>-9.9608287983965482E-4</v>
      </c>
      <c r="AB6" s="267"/>
      <c r="AC6" s="663">
        <v>-1.6372066417198492</v>
      </c>
      <c r="AD6" s="663">
        <v>4.1111867458631934E-3</v>
      </c>
      <c r="AF6" s="672">
        <v>5.2472414832083203E-3</v>
      </c>
      <c r="AH6" s="672">
        <v>-1.3257675081143221</v>
      </c>
    </row>
    <row r="7" spans="1:35" ht="15.75">
      <c r="A7" s="738" t="s">
        <v>819</v>
      </c>
      <c r="B7" s="259" t="s">
        <v>1579</v>
      </c>
      <c r="C7" s="596">
        <v>7717.8746699857829</v>
      </c>
      <c r="D7" s="243">
        <f ca="1">+Model!BU164</f>
        <v>19026.375003382382</v>
      </c>
      <c r="E7" s="673">
        <f t="shared" ca="1" si="0"/>
        <v>11308.500333396598</v>
      </c>
      <c r="F7" s="243"/>
      <c r="G7" s="248">
        <v>-29.008533888320017</v>
      </c>
      <c r="H7" s="670">
        <v>255.96147637351169</v>
      </c>
      <c r="I7" s="248"/>
      <c r="J7" s="670"/>
      <c r="K7" s="248">
        <v>-68.989110784017612</v>
      </c>
      <c r="L7" s="670">
        <v>599.5153961971555</v>
      </c>
      <c r="M7" s="356"/>
      <c r="N7" s="248">
        <v>-30.333550778654171</v>
      </c>
      <c r="O7" s="670">
        <v>254.71307823187999</v>
      </c>
      <c r="P7" s="248"/>
      <c r="Q7" s="248">
        <v>-83.153226566937519</v>
      </c>
      <c r="R7" s="670">
        <v>773.08823107771241</v>
      </c>
      <c r="S7" s="356"/>
      <c r="T7" s="248">
        <v>-145.12725898155622</v>
      </c>
      <c r="U7" s="670">
        <v>1202.2565737213008</v>
      </c>
      <c r="V7" s="248"/>
      <c r="W7" s="248">
        <v>-144.46771238483052</v>
      </c>
      <c r="X7" s="670">
        <v>1287.2719516048055</v>
      </c>
      <c r="Y7" s="248"/>
      <c r="Z7" s="248">
        <v>-352.8396460398053</v>
      </c>
      <c r="AA7" s="670">
        <v>1759.1542902296678</v>
      </c>
      <c r="AB7" s="243"/>
      <c r="AC7" s="664">
        <v>-3953.2499999999991</v>
      </c>
      <c r="AD7" s="664">
        <v>13924.541992717343</v>
      </c>
      <c r="AE7" s="618"/>
      <c r="AF7" s="673">
        <v>2075.2663850170393</v>
      </c>
      <c r="AH7" s="673">
        <v>174.3951221628904</v>
      </c>
    </row>
    <row r="8" spans="1:35" ht="15.75">
      <c r="A8" s="738" t="s">
        <v>1851</v>
      </c>
      <c r="B8" s="259" t="s">
        <v>1455</v>
      </c>
      <c r="C8" s="596">
        <v>-3264.3309254129927</v>
      </c>
      <c r="D8" s="243">
        <f ca="1">+Model!BU100</f>
        <v>-1850.3867993041149</v>
      </c>
      <c r="E8" s="673">
        <f ca="1">D8-C8</f>
        <v>1413.9441261088778</v>
      </c>
      <c r="F8" s="243"/>
      <c r="G8" s="248">
        <v>-362.84267918878686</v>
      </c>
      <c r="H8" s="670">
        <v>-379.51339485317021</v>
      </c>
      <c r="I8" s="248"/>
      <c r="J8" s="248"/>
      <c r="K8" s="248">
        <v>-386.79129625099813</v>
      </c>
      <c r="L8" s="670">
        <v>-429.26224109373106</v>
      </c>
      <c r="M8" s="356"/>
      <c r="N8" s="248">
        <v>-385.54119541235923</v>
      </c>
      <c r="O8" s="670">
        <v>-394.91512959617648</v>
      </c>
      <c r="P8" s="248"/>
      <c r="Q8" s="248">
        <v>-384.19078136726239</v>
      </c>
      <c r="R8" s="670">
        <v>-556.56384765586154</v>
      </c>
      <c r="S8" s="356"/>
      <c r="T8" s="248">
        <v>-383.50908294799046</v>
      </c>
      <c r="U8" s="670">
        <v>-480.26696303750487</v>
      </c>
      <c r="V8" s="248"/>
      <c r="W8" s="248">
        <v>-384.27539625610189</v>
      </c>
      <c r="X8" s="670">
        <v>-532.32755430399629</v>
      </c>
      <c r="Y8" s="248"/>
      <c r="Z8" s="248">
        <v>32.333334791732341</v>
      </c>
      <c r="AA8" s="670">
        <v>-65.672846653411398</v>
      </c>
      <c r="AB8" s="243"/>
      <c r="AC8" s="664">
        <v>0</v>
      </c>
      <c r="AD8" s="664">
        <v>-487.28094126109136</v>
      </c>
      <c r="AE8" s="618"/>
      <c r="AF8" s="673">
        <v>-3749.9872520703739</v>
      </c>
      <c r="AH8" s="673">
        <v>-2630.4880624879261</v>
      </c>
    </row>
    <row r="9" spans="1:35" ht="15.75">
      <c r="A9" s="259" t="s">
        <v>1851</v>
      </c>
      <c r="B9" s="259" t="s">
        <v>1852</v>
      </c>
      <c r="C9" s="597">
        <v>-9.0896863671469355</v>
      </c>
      <c r="D9" s="268">
        <f ca="1">+Key!I9</f>
        <v>-3.0200500680185516</v>
      </c>
      <c r="E9" s="671">
        <f t="shared" ca="1" si="0"/>
        <v>6.0696362991283834</v>
      </c>
      <c r="F9" s="268"/>
      <c r="G9" s="356">
        <v>-0.91227610895812195</v>
      </c>
      <c r="H9" s="668">
        <v>-0.90526229605615161</v>
      </c>
      <c r="I9" s="356"/>
      <c r="J9" s="356"/>
      <c r="K9" s="356">
        <v>-0.95818896522030372</v>
      </c>
      <c r="L9" s="668">
        <v>-0.9959837072580795</v>
      </c>
      <c r="M9" s="356"/>
      <c r="N9" s="356">
        <v>-0.95045280865520732</v>
      </c>
      <c r="O9" s="668">
        <v>-0.94353382248402973</v>
      </c>
      <c r="P9" s="356"/>
      <c r="Q9" s="356">
        <v>-0.94095034130670008</v>
      </c>
      <c r="R9" s="668">
        <v>-1.1957985606080719</v>
      </c>
      <c r="S9" s="356"/>
      <c r="T9" s="356">
        <v>-0.94031066182181045</v>
      </c>
      <c r="U9" s="668">
        <v>-0.93404745999230787</v>
      </c>
      <c r="V9" s="356"/>
      <c r="W9" s="356">
        <v>-0.94214822775186158</v>
      </c>
      <c r="X9" s="668">
        <v>-1.0362754698851662</v>
      </c>
      <c r="Y9" s="356"/>
      <c r="Z9" s="356">
        <v>7.9822162088532822E-2</v>
      </c>
      <c r="AA9" s="668">
        <v>0.14538585468831489</v>
      </c>
      <c r="AB9" s="268"/>
      <c r="AC9" s="662">
        <v>0</v>
      </c>
      <c r="AD9" s="662">
        <v>1.2861121507207942</v>
      </c>
      <c r="AF9" s="671">
        <v>-8.27683723714377</v>
      </c>
      <c r="AH9" s="671">
        <v>-4.6879929830492957</v>
      </c>
    </row>
    <row r="10" spans="1:35" ht="15.75">
      <c r="A10" s="259" t="s">
        <v>151</v>
      </c>
      <c r="B10" s="259" t="s">
        <v>1455</v>
      </c>
      <c r="C10" s="596">
        <v>1984.3999999999999</v>
      </c>
      <c r="D10" s="243">
        <f>+Model!BU103</f>
        <v>0</v>
      </c>
      <c r="E10" s="673">
        <f t="shared" si="0"/>
        <v>-1984.3999999999999</v>
      </c>
      <c r="F10" s="243"/>
      <c r="G10" s="356">
        <v>0</v>
      </c>
      <c r="H10" s="670">
        <v>25.78272000000004</v>
      </c>
      <c r="I10" s="248"/>
      <c r="J10" s="356"/>
      <c r="K10" s="248"/>
      <c r="L10" s="670">
        <v>60.15967999999998</v>
      </c>
      <c r="M10" s="248"/>
      <c r="N10" s="248"/>
      <c r="O10" s="670">
        <v>25.78272000000004</v>
      </c>
      <c r="P10" s="248"/>
      <c r="Q10" s="248"/>
      <c r="R10" s="670">
        <v>77.348160000000007</v>
      </c>
      <c r="S10" s="248"/>
      <c r="T10" s="248"/>
      <c r="U10" s="670">
        <v>120.31936000000007</v>
      </c>
      <c r="V10" s="248"/>
      <c r="W10" s="248"/>
      <c r="X10" s="670">
        <v>128.91359999999986</v>
      </c>
      <c r="Y10" s="356"/>
      <c r="Z10" s="248">
        <v>-387.51600000000008</v>
      </c>
      <c r="AA10" s="670">
        <v>-385.21472000000006</v>
      </c>
      <c r="AB10" s="268"/>
      <c r="AC10" s="664">
        <v>0</v>
      </c>
      <c r="AD10" s="664">
        <v>1847.7616000000003</v>
      </c>
      <c r="AF10" s="673">
        <v>206.26175999999998</v>
      </c>
      <c r="AH10" s="673">
        <v>575.81407999999999</v>
      </c>
    </row>
    <row r="11" spans="1:35" ht="15.75">
      <c r="A11" s="738" t="str">
        <f>+Key!A10</f>
        <v>Binnenlandse (=Mon) fin overheid in % BBP</v>
      </c>
      <c r="B11" s="259" t="s">
        <v>1349</v>
      </c>
      <c r="C11" s="597">
        <v>-0.60342596387631409</v>
      </c>
      <c r="D11" s="268">
        <f ca="1">+Key!I10</f>
        <v>3.0200500680185516</v>
      </c>
      <c r="E11" s="671">
        <f t="shared" ca="1" si="0"/>
        <v>3.6234760318948656</v>
      </c>
      <c r="F11" s="268"/>
      <c r="G11" s="356">
        <v>0.91230968846375582</v>
      </c>
      <c r="H11" s="668">
        <v>0.84073125352229194</v>
      </c>
      <c r="I11" s="356"/>
      <c r="J11" s="356"/>
      <c r="K11" s="356">
        <v>0.97221906694974036</v>
      </c>
      <c r="L11" s="668">
        <v>0.84626491555071492</v>
      </c>
      <c r="M11" s="356"/>
      <c r="N11" s="356">
        <v>0.94439433422668095</v>
      </c>
      <c r="O11" s="668">
        <v>0.87900932240763474</v>
      </c>
      <c r="P11" s="356"/>
      <c r="Q11" s="356">
        <v>0.90799919591348921</v>
      </c>
      <c r="R11" s="668">
        <v>1.0077998767108873</v>
      </c>
      <c r="S11" s="356"/>
      <c r="T11" s="356">
        <v>0.91183321907950354</v>
      </c>
      <c r="U11" s="668">
        <v>0.64583191316689792</v>
      </c>
      <c r="V11" s="356"/>
      <c r="W11" s="356">
        <v>0.91351275630727757</v>
      </c>
      <c r="X11" s="668">
        <v>0.72886030670581992</v>
      </c>
      <c r="Y11" s="356"/>
      <c r="Z11" s="356">
        <v>0.87685124516916213</v>
      </c>
      <c r="AA11" s="668">
        <v>0.76255201414825358</v>
      </c>
      <c r="AB11" s="268"/>
      <c r="AC11" s="662">
        <v>0</v>
      </c>
      <c r="AD11" s="662">
        <v>-3.742524560746086</v>
      </c>
      <c r="AF11" s="671">
        <v>7.8025943868887291</v>
      </c>
      <c r="AH11" s="671">
        <v>3.4996047693182044</v>
      </c>
    </row>
    <row r="12" spans="1:35" ht="15.75">
      <c r="A12" s="738" t="s">
        <v>2701</v>
      </c>
      <c r="B12" s="259" t="s">
        <v>1349</v>
      </c>
      <c r="C12" s="597">
        <v>2.1888067590701832</v>
      </c>
      <c r="D12" s="268">
        <f ca="1">+Key!I11</f>
        <v>7.6329919606266117</v>
      </c>
      <c r="E12" s="671">
        <f t="shared" ca="1" si="0"/>
        <v>5.4441852015564285</v>
      </c>
      <c r="F12" s="268"/>
      <c r="G12" s="356">
        <v>0.19555308459942022</v>
      </c>
      <c r="H12" s="668">
        <v>-0.22074424615177168</v>
      </c>
      <c r="I12" s="356"/>
      <c r="J12" s="356"/>
      <c r="K12" s="356">
        <v>0.58182174739221937</v>
      </c>
      <c r="L12" s="668">
        <v>-0.35049359146719361</v>
      </c>
      <c r="M12" s="356"/>
      <c r="N12" s="356">
        <v>0.20183001739479955</v>
      </c>
      <c r="O12" s="668">
        <v>-0.21261551447471216</v>
      </c>
      <c r="P12" s="356"/>
      <c r="Q12" s="356">
        <v>0.56382887056132258</v>
      </c>
      <c r="R12" s="668">
        <v>-0.57505560337189898</v>
      </c>
      <c r="S12" s="356"/>
      <c r="T12" s="356">
        <v>0.95588736435741062</v>
      </c>
      <c r="U12" s="668">
        <v>-0.79658861637077472</v>
      </c>
      <c r="V12" s="356"/>
      <c r="W12" s="356">
        <v>0.96124324898163582</v>
      </c>
      <c r="X12" s="668">
        <v>-0.7872466026411562</v>
      </c>
      <c r="Y12" s="356"/>
      <c r="Z12" s="356">
        <v>1.3313103099710233E-3</v>
      </c>
      <c r="AA12" s="668">
        <v>-2.5864722129908313</v>
      </c>
      <c r="AB12" s="268"/>
      <c r="AC12" s="662">
        <v>0</v>
      </c>
      <c r="AD12" s="662">
        <v>-5.0893677829132784</v>
      </c>
      <c r="AF12" s="671">
        <v>-1.0031322356145456</v>
      </c>
      <c r="AH12" s="671">
        <v>-2.8652648656523616</v>
      </c>
    </row>
    <row r="13" spans="1:35" ht="15.75">
      <c r="A13" s="259" t="s">
        <v>1776</v>
      </c>
      <c r="B13" s="259" t="s">
        <v>1349</v>
      </c>
      <c r="C13" s="597">
        <v>4.2616376458528684</v>
      </c>
      <c r="D13" s="268">
        <f ca="1">+Key!I12</f>
        <v>50.991102337104202</v>
      </c>
      <c r="E13" s="671">
        <f t="shared" ca="1" si="0"/>
        <v>46.729464691251337</v>
      </c>
      <c r="F13" s="268"/>
      <c r="G13" s="356">
        <v>0</v>
      </c>
      <c r="H13" s="668">
        <v>1.5051191601089275</v>
      </c>
      <c r="I13" s="356"/>
      <c r="J13" s="356"/>
      <c r="K13" s="356">
        <v>-1.3651996267648627</v>
      </c>
      <c r="L13" s="668">
        <v>2.1688123460116628</v>
      </c>
      <c r="M13" s="356"/>
      <c r="N13" s="356">
        <v>0</v>
      </c>
      <c r="O13" s="668">
        <v>1.5051191601089293</v>
      </c>
      <c r="P13" s="356"/>
      <c r="Q13" s="356">
        <v>0</v>
      </c>
      <c r="R13" s="668">
        <v>4.5153574803267809</v>
      </c>
      <c r="S13" s="356"/>
      <c r="T13" s="356">
        <v>0</v>
      </c>
      <c r="U13" s="668">
        <v>7.0238894138416406</v>
      </c>
      <c r="V13" s="356"/>
      <c r="W13" s="356">
        <v>0</v>
      </c>
      <c r="X13" s="668">
        <v>7.5255958005446111</v>
      </c>
      <c r="Y13" s="356"/>
      <c r="Z13" s="356">
        <v>0</v>
      </c>
      <c r="AA13" s="668">
        <v>11.539246894168418</v>
      </c>
      <c r="AB13" s="268"/>
      <c r="AC13" s="662">
        <v>0</v>
      </c>
      <c r="AD13" s="662">
        <v>107.86687314113966</v>
      </c>
      <c r="AF13" s="671">
        <v>12.040953280871399</v>
      </c>
      <c r="AH13" s="671">
        <v>27.252121989003246</v>
      </c>
    </row>
    <row r="14" spans="1:35" ht="15.75">
      <c r="A14" s="259" t="s">
        <v>917</v>
      </c>
      <c r="B14" s="259" t="s">
        <v>1349</v>
      </c>
      <c r="C14" s="597">
        <v>2.0621474427788389</v>
      </c>
      <c r="D14" s="259">
        <f ca="1">+Key!I14</f>
        <v>-4.637485379731265</v>
      </c>
      <c r="E14" s="671">
        <f t="shared" ca="1" si="0"/>
        <v>-6.6996328225101038</v>
      </c>
      <c r="F14" s="268"/>
      <c r="G14" s="356">
        <v>9.7776542299721214E-2</v>
      </c>
      <c r="H14" s="668">
        <v>-0.11037212307587474</v>
      </c>
      <c r="I14" s="356"/>
      <c r="J14" s="356"/>
      <c r="K14" s="356">
        <v>0.29091087369614854</v>
      </c>
      <c r="L14" s="668">
        <v>-0.1752467957335746</v>
      </c>
      <c r="M14" s="356"/>
      <c r="N14" s="356">
        <v>0.10091500869739978</v>
      </c>
      <c r="O14" s="668">
        <v>-0.10630775723736718</v>
      </c>
      <c r="P14" s="356"/>
      <c r="Q14" s="356">
        <v>0.28191443528067239</v>
      </c>
      <c r="R14" s="668">
        <v>-0.28752780168592729</v>
      </c>
      <c r="S14" s="356"/>
      <c r="T14" s="356">
        <v>0.4779436821786831</v>
      </c>
      <c r="U14" s="668">
        <v>-0.39829430818536515</v>
      </c>
      <c r="V14" s="356"/>
      <c r="W14" s="356">
        <v>0.48062162449080681</v>
      </c>
      <c r="X14" s="668">
        <v>-0.3936233013205559</v>
      </c>
      <c r="Y14" s="356"/>
      <c r="Z14" s="356">
        <v>6.6565515499661387E-4</v>
      </c>
      <c r="AA14" s="668">
        <v>-1.2932361064954323</v>
      </c>
      <c r="AB14" s="268"/>
      <c r="AC14" s="662">
        <v>0</v>
      </c>
      <c r="AD14" s="662">
        <v>-2.5446838914566339</v>
      </c>
      <c r="AF14" s="671">
        <v>-0.50156611780725058</v>
      </c>
      <c r="AH14" s="671">
        <v>-1.4326324328261641</v>
      </c>
    </row>
    <row r="15" spans="1:35" ht="15.75">
      <c r="A15" s="259" t="s">
        <v>2671</v>
      </c>
      <c r="B15" s="259" t="s">
        <v>1349</v>
      </c>
      <c r="C15" s="597">
        <v>6.219014335707107</v>
      </c>
      <c r="D15" s="268">
        <f ca="1">+Key!I18</f>
        <v>25.292957432737097</v>
      </c>
      <c r="E15" s="671">
        <f t="shared" ca="1" si="0"/>
        <v>19.073943097029989</v>
      </c>
      <c r="F15" s="268"/>
      <c r="G15" s="356">
        <v>0</v>
      </c>
      <c r="H15" s="668">
        <v>0.60505790236380363</v>
      </c>
      <c r="I15" s="356"/>
      <c r="J15" s="356"/>
      <c r="K15" s="356">
        <v>-0.54881024995934169</v>
      </c>
      <c r="L15" s="668">
        <v>0.8718625630967054</v>
      </c>
      <c r="M15" s="356"/>
      <c r="N15" s="356">
        <v>0</v>
      </c>
      <c r="O15" s="668">
        <v>0.60505790236380363</v>
      </c>
      <c r="P15" s="356"/>
      <c r="Q15" s="356">
        <v>1.3500311979441904E-13</v>
      </c>
      <c r="R15" s="668">
        <v>1.8151737070913683</v>
      </c>
      <c r="S15" s="356"/>
      <c r="T15" s="356">
        <v>0</v>
      </c>
      <c r="U15" s="668">
        <v>2.8236035443643317</v>
      </c>
      <c r="V15" s="356"/>
      <c r="W15" s="356">
        <v>0</v>
      </c>
      <c r="X15" s="668">
        <v>3.0252895118189329</v>
      </c>
      <c r="Y15" s="356"/>
      <c r="Z15" s="356">
        <v>1.3500311979441904E-13</v>
      </c>
      <c r="AA15" s="668">
        <v>4.6387772514556964</v>
      </c>
      <c r="AB15" s="268"/>
      <c r="AC15" s="662">
        <v>0</v>
      </c>
      <c r="AD15" s="662">
        <v>43.362483002738152</v>
      </c>
      <c r="AF15" s="671">
        <v>4.8404632189102976</v>
      </c>
      <c r="AH15" s="671">
        <v>10.955353039579308</v>
      </c>
    </row>
    <row r="16" spans="1:35" ht="15.75">
      <c r="A16" s="738" t="s">
        <v>2037</v>
      </c>
      <c r="B16" s="259" t="s">
        <v>1349</v>
      </c>
      <c r="C16" s="597">
        <v>1.8773699838696922</v>
      </c>
      <c r="D16" s="268">
        <f ca="1">+Key!I21</f>
        <v>-17.019641890548741</v>
      </c>
      <c r="E16" s="671">
        <f t="shared" ca="1" si="0"/>
        <v>-18.897011874418432</v>
      </c>
      <c r="F16" s="268"/>
      <c r="G16" s="356">
        <v>0</v>
      </c>
      <c r="H16" s="668">
        <v>-0.79031522381233232</v>
      </c>
      <c r="I16" s="356"/>
      <c r="J16" s="356"/>
      <c r="K16" s="356">
        <v>0.69217921387508818</v>
      </c>
      <c r="L16" s="668">
        <v>-1.1322942327332997</v>
      </c>
      <c r="M16" s="356"/>
      <c r="N16" s="356">
        <v>0</v>
      </c>
      <c r="O16" s="668">
        <v>-0.79031522381233232</v>
      </c>
      <c r="P16" s="356"/>
      <c r="Q16" s="356">
        <v>9.5558992127711893</v>
      </c>
      <c r="R16" s="668">
        <v>6.9553847928118469</v>
      </c>
      <c r="S16" s="356"/>
      <c r="T16" s="356">
        <v>0</v>
      </c>
      <c r="U16" s="668">
        <v>-3.5197085344572998</v>
      </c>
      <c r="V16" s="356"/>
      <c r="W16" s="356">
        <v>0</v>
      </c>
      <c r="X16" s="668">
        <v>-3.7555247781439149</v>
      </c>
      <c r="Y16" s="356"/>
      <c r="Z16" s="356">
        <v>-8.8817841970012523E-14</v>
      </c>
      <c r="AA16" s="668">
        <v>-5.5741042813967638</v>
      </c>
      <c r="AB16" s="268"/>
      <c r="AC16" s="662">
        <v>0</v>
      </c>
      <c r="AD16" s="662">
        <v>-29.464916801545495</v>
      </c>
      <c r="AF16" s="671">
        <v>-5.7932714876850149</v>
      </c>
      <c r="AH16" s="671">
        <v>-11.698062043443791</v>
      </c>
    </row>
    <row r="17" spans="1:34" ht="15.75">
      <c r="A17" s="2" t="s">
        <v>573</v>
      </c>
      <c r="B17" s="1" t="s">
        <v>918</v>
      </c>
      <c r="C17" s="597">
        <v>12.458401988512733</v>
      </c>
      <c r="D17" s="268">
        <f ca="1">+Key!I15</f>
        <v>17.685887346693484</v>
      </c>
      <c r="E17" s="671">
        <f t="shared" ca="1" si="0"/>
        <v>5.2274853581807506</v>
      </c>
      <c r="F17" s="268"/>
      <c r="G17" s="356">
        <v>-1.6980420086213144E-2</v>
      </c>
      <c r="H17" s="668">
        <v>1.9183791243527537E-2</v>
      </c>
      <c r="I17" s="356"/>
      <c r="J17" s="356"/>
      <c r="K17" s="356">
        <v>-5.069329752647711E-2</v>
      </c>
      <c r="L17" s="668">
        <v>3.0467568416987945E-2</v>
      </c>
      <c r="M17" s="356"/>
      <c r="N17" s="356">
        <v>-1.7598645134919266E-2</v>
      </c>
      <c r="O17" s="668">
        <v>1.8477063092454671E-2</v>
      </c>
      <c r="P17" s="356"/>
      <c r="Q17" s="356">
        <v>-4.9127386226329506E-2</v>
      </c>
      <c r="R17" s="668">
        <v>5.0010663572923164E-2</v>
      </c>
      <c r="S17" s="356"/>
      <c r="T17" s="356">
        <v>-8.3222329662078209E-2</v>
      </c>
      <c r="U17" s="668">
        <v>6.9307365708954904E-2</v>
      </c>
      <c r="V17" s="356"/>
      <c r="W17" s="356">
        <v>-8.3687725433556182E-2</v>
      </c>
      <c r="X17" s="668">
        <v>6.8493281110043824E-2</v>
      </c>
      <c r="Y17" s="356"/>
      <c r="Z17" s="356">
        <v>-1.1613109412067502E-4</v>
      </c>
      <c r="AA17" s="668">
        <v>0.22584564162650267</v>
      </c>
      <c r="AB17" s="268"/>
      <c r="AC17" s="662">
        <v>0</v>
      </c>
      <c r="AD17" s="662">
        <v>0.44663899242722849</v>
      </c>
      <c r="AF17" s="671">
        <v>8.7313832734100316E-2</v>
      </c>
      <c r="AH17" s="671">
        <v>0.25032944906973853</v>
      </c>
    </row>
    <row r="18" spans="1:34" ht="15.75">
      <c r="A18" s="244" t="s">
        <v>1328</v>
      </c>
      <c r="B18" s="353" t="s">
        <v>3138</v>
      </c>
      <c r="C18" s="617">
        <v>0.64546199831634443</v>
      </c>
      <c r="D18" s="267">
        <f ca="1">+Key!I30</f>
        <v>0.83462163604375605</v>
      </c>
      <c r="E18" s="672">
        <f t="shared" ca="1" si="0"/>
        <v>0.18915963772741162</v>
      </c>
      <c r="F18" s="267"/>
      <c r="G18" s="355">
        <v>7.5867703335893433E-3</v>
      </c>
      <c r="H18" s="669">
        <v>1.2250311561125771E-2</v>
      </c>
      <c r="I18" s="355"/>
      <c r="J18" s="355"/>
      <c r="K18" s="355">
        <v>9.836714757553211E-3</v>
      </c>
      <c r="L18" s="669">
        <v>2.1110342400877835E-2</v>
      </c>
      <c r="M18" s="355"/>
      <c r="N18" s="355">
        <v>7.9081581674059764E-3</v>
      </c>
      <c r="O18" s="669">
        <v>1.2568024112618814E-2</v>
      </c>
      <c r="P18" s="355"/>
      <c r="Q18" s="355">
        <v>2.7616781917214617E-3</v>
      </c>
      <c r="R18" s="669">
        <v>1.9027136140468803E-2</v>
      </c>
      <c r="S18" s="355"/>
      <c r="T18" s="355">
        <v>1.8636682106683011E-3</v>
      </c>
      <c r="U18" s="669">
        <v>2.3050697416575616E-2</v>
      </c>
      <c r="V18" s="355"/>
      <c r="W18" s="355">
        <v>1.8762155979318296E-3</v>
      </c>
      <c r="X18" s="669">
        <v>2.470786573918704E-2</v>
      </c>
      <c r="Y18" s="355"/>
      <c r="Z18" s="355">
        <v>5.226922648859933E-5</v>
      </c>
      <c r="AA18" s="669">
        <v>3.4824759089343127E-2</v>
      </c>
      <c r="AB18" s="267"/>
      <c r="AC18" s="663">
        <v>-0.10043402439290855</v>
      </c>
      <c r="AD18" s="663">
        <v>3.7359399181348008E-2</v>
      </c>
      <c r="AF18" s="672">
        <v>0.10439563814104258</v>
      </c>
      <c r="AH18" s="672">
        <v>3.5075478603660004E-3</v>
      </c>
    </row>
    <row r="19" spans="1:34" ht="15.75">
      <c r="A19" s="245" t="s">
        <v>1853</v>
      </c>
      <c r="B19" s="224" t="s">
        <v>3138</v>
      </c>
      <c r="C19" s="617">
        <v>0.3461509266360086</v>
      </c>
      <c r="D19" s="267">
        <f ca="1">+Key!I31</f>
        <v>0.31048970913639745</v>
      </c>
      <c r="E19" s="672">
        <f t="shared" ca="1" si="0"/>
        <v>-3.5661217499611153E-2</v>
      </c>
      <c r="F19" s="267"/>
      <c r="G19" s="355">
        <v>8.132849526871877E-3</v>
      </c>
      <c r="H19" s="669">
        <v>7.1117758467073022E-3</v>
      </c>
      <c r="I19" s="355"/>
      <c r="J19" s="355"/>
      <c r="K19" s="355">
        <v>8.5379650268808949E-3</v>
      </c>
      <c r="L19" s="669">
        <v>6.6883440238522107E-3</v>
      </c>
      <c r="M19" s="355"/>
      <c r="N19" s="355">
        <v>8.4689838965481545E-3</v>
      </c>
      <c r="O19" s="669">
        <v>7.4526879465859341E-3</v>
      </c>
      <c r="P19" s="355"/>
      <c r="Q19" s="355">
        <v>5.8119262961325857E-3</v>
      </c>
      <c r="R19" s="669">
        <v>5.6718280182766478E-3</v>
      </c>
      <c r="S19" s="355"/>
      <c r="T19" s="355">
        <v>4.4997910132763275E-3</v>
      </c>
      <c r="U19" s="669">
        <v>6.1634032403512506E-4</v>
      </c>
      <c r="V19" s="355"/>
      <c r="W19" s="355">
        <v>4.5269669284350722E-3</v>
      </c>
      <c r="X19" s="669">
        <v>9.544538029264138E-4</v>
      </c>
      <c r="Y19" s="355"/>
      <c r="Z19" s="355">
        <v>5.5976022234949241E-5</v>
      </c>
      <c r="AA19" s="669">
        <v>-5.0797405874466461E-3</v>
      </c>
      <c r="AB19" s="267"/>
      <c r="AC19" s="663">
        <v>-0.10043402439290852</v>
      </c>
      <c r="AD19" s="616">
        <v>-0.14970369544216144</v>
      </c>
      <c r="AF19" s="672">
        <v>6.8339051122120298E-2</v>
      </c>
      <c r="AH19" s="672">
        <v>-9.9581005584751414E-2</v>
      </c>
    </row>
    <row r="20" spans="1:34" ht="15.75">
      <c r="A20" s="224" t="s">
        <v>1324</v>
      </c>
      <c r="B20" s="224" t="s">
        <v>3251</v>
      </c>
      <c r="C20" s="596">
        <v>74.260598079941559</v>
      </c>
      <c r="D20" s="243">
        <f ca="1">+Key!I32</f>
        <v>68.046120302841643</v>
      </c>
      <c r="E20" s="673">
        <f t="shared" ca="1" si="0"/>
        <v>-6.2144777770999156</v>
      </c>
      <c r="F20" s="243"/>
      <c r="G20" s="248">
        <v>0.825307502713585</v>
      </c>
      <c r="H20" s="670">
        <v>1.3967956199301454</v>
      </c>
      <c r="I20" s="248"/>
      <c r="J20" s="248"/>
      <c r="K20" s="248">
        <v>1.2259341740428411</v>
      </c>
      <c r="L20" s="670">
        <v>2.5353341578593671</v>
      </c>
      <c r="M20" s="248"/>
      <c r="N20" s="248">
        <v>0.83483515082941295</v>
      </c>
      <c r="O20" s="670">
        <v>1.4313984226724088</v>
      </c>
      <c r="P20" s="248"/>
      <c r="Q20" s="248">
        <v>0.31212301885309301</v>
      </c>
      <c r="R20" s="670">
        <v>2.3701039542422038</v>
      </c>
      <c r="S20" s="248"/>
      <c r="T20" s="248">
        <v>0.39685780589650221</v>
      </c>
      <c r="U20" s="670">
        <v>3.0470586080572275</v>
      </c>
      <c r="V20" s="248"/>
      <c r="W20" s="248">
        <v>0.39567961123497497</v>
      </c>
      <c r="X20" s="670">
        <v>3.2620534723073433</v>
      </c>
      <c r="Y20" s="248"/>
      <c r="Z20" s="248">
        <v>-8.0586340727194283E-2</v>
      </c>
      <c r="AA20" s="670">
        <v>3.8610336196863244</v>
      </c>
      <c r="AB20" s="243"/>
      <c r="AC20" s="664">
        <v>0</v>
      </c>
      <c r="AD20" s="664">
        <v>16.061910514645447</v>
      </c>
      <c r="AF20" s="673">
        <v>11.616780875736609</v>
      </c>
      <c r="AH20" s="673">
        <v>15.089703166513047</v>
      </c>
    </row>
    <row r="21" spans="1:34" ht="15.75">
      <c r="A21" s="224"/>
      <c r="B21" s="224"/>
      <c r="C21" s="224"/>
      <c r="D21" s="224"/>
      <c r="E21" s="224"/>
      <c r="F21" s="224"/>
      <c r="G21" s="1" t="s">
        <v>1344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 t="s">
        <v>171</v>
      </c>
      <c r="X21" s="224"/>
      <c r="Y21" s="224"/>
      <c r="Z21" s="224"/>
      <c r="AA21" s="224"/>
      <c r="AB21" s="224"/>
      <c r="AC21" s="224"/>
      <c r="AD21" s="224"/>
    </row>
    <row r="22" spans="1:34" ht="15.75">
      <c r="A22" s="224" t="s">
        <v>172</v>
      </c>
      <c r="B22" s="224"/>
      <c r="C22" s="224"/>
      <c r="D22" s="224"/>
      <c r="E22" s="224"/>
      <c r="F22" s="224"/>
      <c r="G22" s="1" t="s">
        <v>1344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</row>
    <row r="23" spans="1:34" ht="15.75">
      <c r="A23" s="224" t="s">
        <v>173</v>
      </c>
    </row>
    <row r="26" spans="1:34" ht="15.75">
      <c r="A26" s="222" t="s">
        <v>342</v>
      </c>
    </row>
    <row r="27" spans="1:34" ht="15.75">
      <c r="A27" s="223" t="s">
        <v>1535</v>
      </c>
    </row>
    <row r="28" spans="1:34" ht="15.75">
      <c r="A28" s="223" t="s">
        <v>1551</v>
      </c>
    </row>
    <row r="29" spans="1:34" ht="15">
      <c r="A29" s="273" t="s">
        <v>2676</v>
      </c>
    </row>
    <row r="30" spans="1:34" ht="15.75">
      <c r="A30" s="222" t="s">
        <v>1553</v>
      </c>
    </row>
    <row r="31" spans="1:34" ht="15.75">
      <c r="A31" s="1" t="s">
        <v>1512</v>
      </c>
    </row>
    <row r="32" spans="1:34" ht="15.75">
      <c r="A32" s="1" t="s">
        <v>1554</v>
      </c>
    </row>
    <row r="33" spans="1:1" ht="15.75">
      <c r="A33" s="1" t="s">
        <v>1560</v>
      </c>
    </row>
    <row r="34" spans="1:1" ht="15.75">
      <c r="A34" s="1" t="s">
        <v>1514</v>
      </c>
    </row>
    <row r="35" spans="1:1" ht="15.75">
      <c r="A35" s="1" t="s">
        <v>1513</v>
      </c>
    </row>
    <row r="36" spans="1:1" ht="15.75">
      <c r="A36" s="1" t="s">
        <v>1515</v>
      </c>
    </row>
    <row r="37" spans="1:1" ht="15.75">
      <c r="A37" s="1" t="s">
        <v>1516</v>
      </c>
    </row>
    <row r="38" spans="1:1" ht="15.75">
      <c r="A38" s="1" t="s">
        <v>1517</v>
      </c>
    </row>
    <row r="39" spans="1:1" ht="15.75">
      <c r="A39" s="1"/>
    </row>
    <row r="40" spans="1:1" ht="15.75">
      <c r="A40" s="222" t="s">
        <v>1555</v>
      </c>
    </row>
    <row r="41" spans="1:1" ht="15.75">
      <c r="A41" s="1" t="s">
        <v>1556</v>
      </c>
    </row>
    <row r="42" spans="1:1" ht="15.75">
      <c r="A42" s="1" t="s">
        <v>1554</v>
      </c>
    </row>
    <row r="43" spans="1:1" ht="15.75">
      <c r="A43" s="1" t="s">
        <v>1561</v>
      </c>
    </row>
    <row r="44" spans="1:1" ht="15.75">
      <c r="A44" s="1" t="s">
        <v>1514</v>
      </c>
    </row>
    <row r="45" spans="1:1" ht="15.75">
      <c r="A45" s="1" t="s">
        <v>1557</v>
      </c>
    </row>
    <row r="46" spans="1:1" ht="15.75">
      <c r="A46" s="1" t="s">
        <v>1515</v>
      </c>
    </row>
    <row r="47" spans="1:1" ht="15.75">
      <c r="A47" s="1" t="s">
        <v>1516</v>
      </c>
    </row>
    <row r="48" spans="1:1" ht="15.75">
      <c r="A48" s="1" t="s">
        <v>1517</v>
      </c>
    </row>
    <row r="49" spans="1:1" ht="15.75">
      <c r="A49" s="1"/>
    </row>
    <row r="50" spans="1:1" ht="15.75">
      <c r="A50" s="222" t="s">
        <v>1518</v>
      </c>
    </row>
    <row r="51" spans="1:1" ht="15.75">
      <c r="A51" s="1" t="s">
        <v>1530</v>
      </c>
    </row>
    <row r="52" spans="1:1" ht="15.75">
      <c r="A52" s="1" t="s">
        <v>1533</v>
      </c>
    </row>
    <row r="53" spans="1:1" ht="15.75">
      <c r="A53" s="1" t="s">
        <v>1563</v>
      </c>
    </row>
    <row r="54" spans="1:1" ht="15.75">
      <c r="A54" s="1" t="s">
        <v>1562</v>
      </c>
    </row>
    <row r="55" spans="1:1" ht="15.75">
      <c r="A55" s="1" t="s">
        <v>1529</v>
      </c>
    </row>
    <row r="56" spans="1:1" ht="15.75">
      <c r="A56" s="1"/>
    </row>
    <row r="57" spans="1:1" ht="15.75">
      <c r="A57" s="222" t="s">
        <v>1531</v>
      </c>
    </row>
    <row r="58" spans="1:1" ht="15.75">
      <c r="A58" s="1" t="s">
        <v>1532</v>
      </c>
    </row>
    <row r="59" spans="1:1" ht="15.75">
      <c r="A59" s="1" t="s">
        <v>1564</v>
      </c>
    </row>
    <row r="60" spans="1:1" ht="15.75">
      <c r="A60" s="1" t="s">
        <v>1566</v>
      </c>
    </row>
    <row r="61" spans="1:1" ht="15.75">
      <c r="A61" s="1" t="s">
        <v>1565</v>
      </c>
    </row>
    <row r="62" spans="1:1" ht="15.75">
      <c r="A62" s="1" t="s">
        <v>1529</v>
      </c>
    </row>
    <row r="63" spans="1:1" ht="15.75">
      <c r="A63" s="1"/>
    </row>
    <row r="64" spans="1:1" ht="15.75">
      <c r="A64" s="222" t="s">
        <v>1536</v>
      </c>
    </row>
    <row r="65" spans="1:1" ht="15.75">
      <c r="A65" s="1" t="s">
        <v>1534</v>
      </c>
    </row>
    <row r="66" spans="1:1" ht="15.75">
      <c r="A66" s="1" t="s">
        <v>1533</v>
      </c>
    </row>
    <row r="67" spans="1:1" ht="15.75">
      <c r="A67" s="1" t="s">
        <v>587</v>
      </c>
    </row>
    <row r="68" spans="1:1" ht="15.75">
      <c r="A68" s="1" t="s">
        <v>1537</v>
      </c>
    </row>
    <row r="69" spans="1:1" ht="15.75">
      <c r="A69" s="1" t="s">
        <v>1529</v>
      </c>
    </row>
    <row r="70" spans="1:1" ht="15.75">
      <c r="A70" s="1"/>
    </row>
    <row r="71" spans="1:1" ht="15.75">
      <c r="A71" s="222" t="s">
        <v>1538</v>
      </c>
    </row>
    <row r="72" spans="1:1" ht="15.75">
      <c r="A72" s="1" t="s">
        <v>1539</v>
      </c>
    </row>
    <row r="73" spans="1:1" ht="15.75">
      <c r="A73" s="1" t="s">
        <v>588</v>
      </c>
    </row>
    <row r="74" spans="1:1" ht="15.75">
      <c r="A74" s="1" t="s">
        <v>590</v>
      </c>
    </row>
    <row r="75" spans="1:1" ht="15.75">
      <c r="A75" s="1" t="s">
        <v>600</v>
      </c>
    </row>
    <row r="76" spans="1:1" ht="15.75">
      <c r="A76" s="1" t="s">
        <v>1529</v>
      </c>
    </row>
    <row r="77" spans="1:1" ht="15.75">
      <c r="A77" s="1"/>
    </row>
    <row r="78" spans="1:1" ht="15.75">
      <c r="A78" s="222" t="s">
        <v>1540</v>
      </c>
    </row>
    <row r="79" spans="1:1" ht="15.75">
      <c r="A79" s="1" t="s">
        <v>1541</v>
      </c>
    </row>
    <row r="80" spans="1:1" ht="15.75">
      <c r="A80" s="1" t="s">
        <v>589</v>
      </c>
    </row>
    <row r="81" spans="1:1" ht="15.75">
      <c r="A81" s="1" t="s">
        <v>591</v>
      </c>
    </row>
    <row r="82" spans="1:1" ht="15.75">
      <c r="A82" s="1" t="s">
        <v>601</v>
      </c>
    </row>
    <row r="83" spans="1:1" ht="15.75">
      <c r="A83" s="1" t="s">
        <v>1529</v>
      </c>
    </row>
    <row r="84" spans="1:1" ht="15.75">
      <c r="A84" s="1"/>
    </row>
    <row r="85" spans="1:1" ht="15.75">
      <c r="A85" s="222" t="s">
        <v>1543</v>
      </c>
    </row>
    <row r="86" spans="1:1" ht="15.75">
      <c r="A86" s="1" t="s">
        <v>1542</v>
      </c>
    </row>
    <row r="87" spans="1:1" ht="15.75">
      <c r="A87" s="1" t="s">
        <v>1533</v>
      </c>
    </row>
    <row r="88" spans="1:1" ht="15.75">
      <c r="A88" s="1" t="s">
        <v>592</v>
      </c>
    </row>
    <row r="89" spans="1:1" ht="15.75">
      <c r="A89" s="1" t="s">
        <v>593</v>
      </c>
    </row>
    <row r="90" spans="1:1" ht="15.75">
      <c r="A90" s="1" t="s">
        <v>1529</v>
      </c>
    </row>
    <row r="91" spans="1:1" ht="15.75">
      <c r="A91" s="1"/>
    </row>
    <row r="92" spans="1:1" ht="15.75">
      <c r="A92" s="1" t="s">
        <v>1544</v>
      </c>
    </row>
    <row r="93" spans="1:1" ht="15.75">
      <c r="A93" s="222" t="s">
        <v>1547</v>
      </c>
    </row>
    <row r="94" spans="1:1" ht="15.75">
      <c r="A94" s="1" t="s">
        <v>594</v>
      </c>
    </row>
    <row r="95" spans="1:1" ht="15.75">
      <c r="A95" s="1" t="s">
        <v>596</v>
      </c>
    </row>
    <row r="96" spans="1:1" ht="15.75">
      <c r="A96" s="1" t="s">
        <v>595</v>
      </c>
    </row>
    <row r="97" spans="1:1" ht="15.75">
      <c r="A97" s="1" t="s">
        <v>1529</v>
      </c>
    </row>
    <row r="98" spans="1:1" ht="15.75">
      <c r="A98" s="1"/>
    </row>
    <row r="99" spans="1:1" ht="15.75">
      <c r="A99" s="222" t="s">
        <v>1545</v>
      </c>
    </row>
    <row r="100" spans="1:1" ht="15.75">
      <c r="A100" s="1" t="s">
        <v>599</v>
      </c>
    </row>
    <row r="101" spans="1:1" ht="15.75">
      <c r="A101" s="1" t="s">
        <v>1546</v>
      </c>
    </row>
    <row r="102" spans="1:1" ht="15.75">
      <c r="A102" s="1" t="s">
        <v>1529</v>
      </c>
    </row>
    <row r="103" spans="1:1" ht="15.75">
      <c r="A103" s="1"/>
    </row>
    <row r="104" spans="1:1" ht="15.75">
      <c r="A104" s="222" t="s">
        <v>1548</v>
      </c>
    </row>
    <row r="105" spans="1:1" ht="15.75">
      <c r="A105" s="1" t="s">
        <v>1344</v>
      </c>
    </row>
    <row r="106" spans="1:1" ht="15.75">
      <c r="A106" s="1" t="s">
        <v>1549</v>
      </c>
    </row>
    <row r="107" spans="1:1" ht="15.75">
      <c r="A107" s="1" t="s">
        <v>1511</v>
      </c>
    </row>
    <row r="108" spans="1:1" ht="15.75">
      <c r="A108" s="2" t="s">
        <v>1550</v>
      </c>
    </row>
    <row r="109" spans="1:1" ht="15.75">
      <c r="A109" s="2" t="s">
        <v>1528</v>
      </c>
    </row>
    <row r="110" spans="1:1" ht="15.75">
      <c r="A110" s="1" t="s">
        <v>602</v>
      </c>
    </row>
    <row r="111" spans="1:1" ht="15.75">
      <c r="A111" s="1" t="s">
        <v>1529</v>
      </c>
    </row>
    <row r="112" spans="1:1" ht="15.75">
      <c r="A112" s="1"/>
    </row>
  </sheetData>
  <mergeCells count="7">
    <mergeCell ref="G2:H2"/>
    <mergeCell ref="Z2:AA2"/>
    <mergeCell ref="W2:X2"/>
    <mergeCell ref="Q2:R2"/>
    <mergeCell ref="K2:L2"/>
    <mergeCell ref="N2:O2"/>
    <mergeCell ref="T2:U2"/>
  </mergeCells>
  <phoneticPr fontId="15" type="noConversion"/>
  <hyperlinks>
    <hyperlink ref="A29" r:id="rId1" xr:uid="{00000000-0004-0000-0D00-000000000000}"/>
    <hyperlink ref="A1" location="variantenOUD!A26" display="Zie Toelichting bij draaien regel  26  en volgende" xr:uid="{00000000-0004-0000-0D00-000001000000}"/>
  </hyperlinks>
  <pageMargins left="0.75" right="0.75" top="1" bottom="1" header="0.5" footer="0.5"/>
  <pageSetup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J19"/>
  <sheetViews>
    <sheetView zoomScale="86" zoomScaleNormal="86" workbookViewId="0">
      <selection activeCell="A14" sqref="A14"/>
    </sheetView>
  </sheetViews>
  <sheetFormatPr defaultRowHeight="11.25"/>
  <cols>
    <col min="1" max="1" width="37.5" customWidth="1"/>
  </cols>
  <sheetData>
    <row r="1" spans="1:10" ht="18.75">
      <c r="A1" s="684" t="s">
        <v>618</v>
      </c>
      <c r="B1" s="685"/>
      <c r="C1" s="685"/>
      <c r="D1" s="685"/>
      <c r="E1" s="685"/>
      <c r="F1" s="685"/>
      <c r="G1" s="685"/>
      <c r="H1" s="685"/>
      <c r="I1" s="685"/>
      <c r="J1" s="685"/>
    </row>
    <row r="2" spans="1:10" ht="18.75">
      <c r="A2" s="685" t="s">
        <v>619</v>
      </c>
      <c r="B2" s="685" t="s">
        <v>620</v>
      </c>
      <c r="C2" s="685"/>
      <c r="D2" s="685"/>
      <c r="E2" s="685"/>
      <c r="F2" s="685"/>
      <c r="G2" s="685" t="s">
        <v>621</v>
      </c>
      <c r="H2" s="685" t="s">
        <v>622</v>
      </c>
      <c r="I2" s="685"/>
      <c r="J2" s="685"/>
    </row>
    <row r="3" spans="1:10" ht="18.75">
      <c r="A3" s="685" t="s">
        <v>623</v>
      </c>
      <c r="B3" s="685" t="s">
        <v>624</v>
      </c>
      <c r="C3" s="685"/>
      <c r="D3" s="685"/>
      <c r="E3" s="685"/>
      <c r="F3" s="685"/>
      <c r="G3" s="685"/>
      <c r="H3" s="685"/>
      <c r="I3" s="685"/>
      <c r="J3" s="685"/>
    </row>
    <row r="4" spans="1:10" ht="18.75">
      <c r="A4" s="685" t="s">
        <v>625</v>
      </c>
      <c r="B4" s="685" t="s">
        <v>626</v>
      </c>
      <c r="C4" s="685"/>
      <c r="D4" s="686" t="s">
        <v>627</v>
      </c>
      <c r="E4" s="685"/>
      <c r="F4" s="685"/>
      <c r="G4" s="685"/>
      <c r="H4" s="685"/>
      <c r="I4" s="685"/>
      <c r="J4" s="685"/>
    </row>
    <row r="5" spans="1:10" ht="18.75">
      <c r="A5" s="685" t="s">
        <v>628</v>
      </c>
      <c r="B5" s="685"/>
      <c r="C5" s="685"/>
      <c r="D5" s="686"/>
      <c r="E5" s="685"/>
      <c r="F5" s="685"/>
      <c r="G5" s="685" t="s">
        <v>629</v>
      </c>
      <c r="H5" s="685"/>
      <c r="I5" s="685"/>
      <c r="J5" s="685"/>
    </row>
    <row r="6" spans="1:10" ht="18.75">
      <c r="A6" s="685" t="s">
        <v>630</v>
      </c>
      <c r="B6" s="686" t="s">
        <v>631</v>
      </c>
      <c r="C6" s="685"/>
      <c r="D6" s="685"/>
      <c r="E6" s="685"/>
      <c r="F6" s="685"/>
      <c r="G6" s="685" t="s">
        <v>632</v>
      </c>
      <c r="H6" s="686" t="s">
        <v>633</v>
      </c>
      <c r="I6" s="685"/>
      <c r="J6" s="685"/>
    </row>
    <row r="7" spans="1:10" ht="18.75">
      <c r="A7" s="685" t="s">
        <v>634</v>
      </c>
      <c r="B7" s="685" t="s">
        <v>635</v>
      </c>
      <c r="C7" s="685"/>
      <c r="D7" s="685"/>
      <c r="E7" s="685"/>
      <c r="F7" s="685"/>
      <c r="G7" s="685" t="s">
        <v>636</v>
      </c>
      <c r="H7" s="685" t="s">
        <v>637</v>
      </c>
      <c r="I7" s="685"/>
      <c r="J7" s="685"/>
    </row>
    <row r="8" spans="1:10" ht="18.75">
      <c r="A8" s="685" t="s">
        <v>638</v>
      </c>
      <c r="B8" s="685"/>
      <c r="C8" s="685"/>
      <c r="D8" s="685"/>
      <c r="E8" s="685"/>
      <c r="F8" s="685"/>
      <c r="G8" s="685"/>
      <c r="H8" s="685"/>
      <c r="I8" s="685"/>
      <c r="J8" s="685"/>
    </row>
    <row r="9" spans="1:10" ht="18.75">
      <c r="A9" s="685" t="s">
        <v>737</v>
      </c>
      <c r="B9" s="685" t="s">
        <v>639</v>
      </c>
      <c r="C9" s="685"/>
      <c r="D9" s="685"/>
      <c r="E9" s="685"/>
      <c r="F9" s="685"/>
      <c r="G9" s="685"/>
      <c r="H9" s="685"/>
      <c r="I9" s="685"/>
      <c r="J9" s="685"/>
    </row>
    <row r="10" spans="1:10" ht="18.75">
      <c r="A10" s="685" t="s">
        <v>640</v>
      </c>
      <c r="B10" s="685"/>
      <c r="C10" s="685"/>
      <c r="D10" s="685"/>
      <c r="E10" s="685"/>
      <c r="F10" s="685"/>
      <c r="G10" s="685"/>
      <c r="H10" s="685"/>
      <c r="I10" s="685"/>
      <c r="J10" s="685"/>
    </row>
    <row r="11" spans="1:10" ht="18.75">
      <c r="A11" s="685" t="s">
        <v>738</v>
      </c>
      <c r="B11" s="685" t="s">
        <v>739</v>
      </c>
      <c r="C11" s="685"/>
      <c r="D11" s="685"/>
      <c r="E11" s="685"/>
      <c r="F11" s="685"/>
      <c r="G11" s="685"/>
      <c r="H11" s="685"/>
      <c r="I11" s="685"/>
      <c r="J11" s="685"/>
    </row>
    <row r="12" spans="1:10" ht="18.75">
      <c r="A12" s="685" t="s">
        <v>740</v>
      </c>
      <c r="B12" s="685" t="s">
        <v>741</v>
      </c>
      <c r="C12" s="685"/>
      <c r="D12" s="685"/>
      <c r="E12" s="685"/>
      <c r="F12" s="685"/>
      <c r="G12" s="685"/>
      <c r="H12" s="685"/>
      <c r="I12" s="685"/>
      <c r="J12" s="685"/>
    </row>
    <row r="13" spans="1:10" ht="18.75">
      <c r="A13" s="685" t="s">
        <v>742</v>
      </c>
      <c r="B13" s="685"/>
      <c r="C13" s="685"/>
      <c r="D13" s="685"/>
      <c r="E13" s="685"/>
      <c r="F13" s="685"/>
      <c r="G13" s="685"/>
      <c r="H13" s="685"/>
      <c r="I13" s="685"/>
      <c r="J13" s="685"/>
    </row>
    <row r="14" spans="1:10" ht="18.75">
      <c r="A14" s="685" t="s">
        <v>743</v>
      </c>
      <c r="B14" s="685"/>
      <c r="C14" s="685"/>
      <c r="D14" s="685"/>
      <c r="E14" s="685"/>
      <c r="F14" s="685"/>
      <c r="G14" s="685"/>
      <c r="H14" s="685"/>
      <c r="I14" s="685"/>
      <c r="J14" s="685"/>
    </row>
    <row r="15" spans="1:10" ht="18.75">
      <c r="A15" s="685" t="s">
        <v>641</v>
      </c>
      <c r="B15" s="685"/>
      <c r="C15" s="685"/>
      <c r="D15" s="685"/>
      <c r="E15" s="685"/>
      <c r="F15" s="685"/>
      <c r="G15" s="685"/>
      <c r="H15" s="685"/>
      <c r="I15" s="685"/>
      <c r="J15" s="685"/>
    </row>
    <row r="16" spans="1:10" ht="18.75">
      <c r="A16" s="685" t="s">
        <v>630</v>
      </c>
      <c r="B16" s="685" t="s">
        <v>642</v>
      </c>
      <c r="C16" s="685"/>
      <c r="D16" s="685"/>
      <c r="E16" s="685"/>
      <c r="F16" s="685"/>
      <c r="G16" s="685" t="s">
        <v>643</v>
      </c>
      <c r="H16" s="685" t="s">
        <v>644</v>
      </c>
      <c r="I16" s="685"/>
      <c r="J16" s="685"/>
    </row>
    <row r="17" spans="1:10" ht="18.75">
      <c r="A17" s="685" t="s">
        <v>645</v>
      </c>
      <c r="B17" s="685"/>
      <c r="C17" s="685"/>
      <c r="D17" s="685"/>
      <c r="E17" s="685"/>
      <c r="F17" s="685"/>
      <c r="G17" s="685" t="s">
        <v>646</v>
      </c>
      <c r="H17" s="685"/>
      <c r="I17" s="685"/>
      <c r="J17" s="685"/>
    </row>
    <row r="19" spans="1:10" ht="18" customHeight="1">
      <c r="A19" s="685" t="s">
        <v>647</v>
      </c>
    </row>
  </sheetData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M40"/>
  <sheetViews>
    <sheetView workbookViewId="0">
      <pane xSplit="6" ySplit="3" topLeftCell="G4" activePane="bottomRight" state="frozen"/>
      <selection pane="topRight" activeCell="F1" sqref="F1"/>
      <selection pane="bottomLeft" activeCell="A3" sqref="A3"/>
      <selection pane="bottomRight" activeCell="G4" sqref="G4"/>
    </sheetView>
  </sheetViews>
  <sheetFormatPr defaultRowHeight="15.75"/>
  <cols>
    <col min="1" max="1" width="3.33203125" style="154" customWidth="1"/>
    <col min="2" max="6" width="9.33203125" style="154"/>
    <col min="7" max="12" width="11.6640625" style="154" customWidth="1"/>
    <col min="13" max="16384" width="9.33203125" style="154"/>
  </cols>
  <sheetData>
    <row r="1" spans="1:13" ht="21" customHeight="1">
      <c r="B1" s="222" t="s">
        <v>665</v>
      </c>
      <c r="G1" s="222" t="s">
        <v>679</v>
      </c>
    </row>
    <row r="2" spans="1:13" ht="21" customHeight="1">
      <c r="B2" s="222"/>
      <c r="G2" s="693" t="s">
        <v>3263</v>
      </c>
      <c r="H2" s="693" t="s">
        <v>1344</v>
      </c>
      <c r="I2" s="693" t="s">
        <v>3263</v>
      </c>
      <c r="J2" s="693" t="s">
        <v>1344</v>
      </c>
      <c r="K2" s="693" t="s">
        <v>3263</v>
      </c>
    </row>
    <row r="3" spans="1:13">
      <c r="C3" s="687"/>
      <c r="D3" s="272"/>
      <c r="E3" s="272"/>
      <c r="F3" s="244"/>
      <c r="G3" s="244" t="s">
        <v>666</v>
      </c>
      <c r="H3" s="244"/>
      <c r="I3" s="244" t="s">
        <v>650</v>
      </c>
      <c r="J3" s="244"/>
      <c r="K3" s="244" t="s">
        <v>651</v>
      </c>
      <c r="L3" s="244"/>
      <c r="M3" s="244"/>
    </row>
    <row r="4" spans="1:13">
      <c r="B4" s="223" t="s">
        <v>652</v>
      </c>
      <c r="C4" s="687"/>
      <c r="D4" s="272"/>
      <c r="E4" s="244"/>
      <c r="F4" s="244"/>
      <c r="G4" s="244">
        <v>138240.71336721923</v>
      </c>
      <c r="H4" s="244"/>
      <c r="I4" s="244">
        <v>334176.1540430687</v>
      </c>
      <c r="J4" s="244"/>
      <c r="K4" s="244">
        <f t="shared" ref="K4:K9" si="0">+G4+I4</f>
        <v>472416.86741028796</v>
      </c>
      <c r="L4" s="244"/>
      <c r="M4" s="244"/>
    </row>
    <row r="5" spans="1:13">
      <c r="A5" s="1" t="s">
        <v>683</v>
      </c>
      <c r="B5" s="223" t="s">
        <v>653</v>
      </c>
      <c r="C5" s="687"/>
      <c r="D5" s="272"/>
      <c r="E5" s="244"/>
      <c r="F5" s="244"/>
      <c r="G5" s="244">
        <v>140166.26717896483</v>
      </c>
      <c r="H5" s="244"/>
      <c r="I5" s="244">
        <v>334078.73336748965</v>
      </c>
      <c r="J5" s="244"/>
      <c r="K5" s="244">
        <f t="shared" si="0"/>
        <v>474245.00054645445</v>
      </c>
      <c r="L5" s="244"/>
      <c r="M5" s="244"/>
    </row>
    <row r="6" spans="1:13">
      <c r="A6" s="1" t="s">
        <v>684</v>
      </c>
      <c r="B6" s="223" t="s">
        <v>654</v>
      </c>
      <c r="C6" s="687"/>
      <c r="D6" s="244" t="s">
        <v>1344</v>
      </c>
      <c r="E6" s="244"/>
      <c r="F6" s="244"/>
      <c r="G6" s="244">
        <v>140166.26717896483</v>
      </c>
      <c r="H6" s="244"/>
      <c r="I6" s="244">
        <v>332195.4510579987</v>
      </c>
      <c r="J6" s="244"/>
      <c r="K6" s="244">
        <f t="shared" si="0"/>
        <v>472361.7182369635</v>
      </c>
      <c r="L6" s="244"/>
      <c r="M6" s="244"/>
    </row>
    <row r="7" spans="1:13">
      <c r="A7" s="1" t="s">
        <v>685</v>
      </c>
      <c r="B7" s="223" t="s">
        <v>655</v>
      </c>
      <c r="C7" s="687"/>
      <c r="D7" s="272"/>
      <c r="E7" s="244"/>
      <c r="F7" s="244"/>
      <c r="G7" s="244">
        <v>140166.26717896483</v>
      </c>
      <c r="H7" s="244"/>
      <c r="I7" s="244">
        <v>327257.28196313692</v>
      </c>
      <c r="J7" s="244"/>
      <c r="K7" s="244">
        <f t="shared" si="0"/>
        <v>467423.54914210178</v>
      </c>
      <c r="L7" s="244"/>
      <c r="M7" s="244"/>
    </row>
    <row r="8" spans="1:13">
      <c r="A8" s="1"/>
      <c r="B8" s="223" t="s">
        <v>656</v>
      </c>
      <c r="C8" s="687"/>
      <c r="D8" s="272"/>
      <c r="E8" s="244"/>
      <c r="F8" s="244"/>
      <c r="G8" s="244">
        <v>140166.26717896483</v>
      </c>
      <c r="H8" s="244"/>
      <c r="I8" s="244">
        <v>324487.03059440915</v>
      </c>
      <c r="J8" s="244"/>
      <c r="K8" s="244">
        <f t="shared" si="0"/>
        <v>464653.29777337401</v>
      </c>
      <c r="L8" s="244"/>
      <c r="M8" s="244"/>
    </row>
    <row r="9" spans="1:13">
      <c r="A9" s="1" t="s">
        <v>686</v>
      </c>
      <c r="B9" s="223" t="s">
        <v>688</v>
      </c>
      <c r="C9" s="687"/>
      <c r="D9" s="272"/>
      <c r="E9" s="244"/>
      <c r="F9" s="244"/>
      <c r="G9" s="244">
        <v>141861.8368460362</v>
      </c>
      <c r="H9" s="244"/>
      <c r="I9" s="244">
        <v>333679.94571326213</v>
      </c>
      <c r="J9" s="244"/>
      <c r="K9" s="244">
        <f t="shared" si="0"/>
        <v>475541.78255929833</v>
      </c>
      <c r="L9" s="244"/>
    </row>
    <row r="10" spans="1:13">
      <c r="A10" s="1" t="s">
        <v>687</v>
      </c>
      <c r="B10" s="223" t="s">
        <v>657</v>
      </c>
      <c r="C10" s="687"/>
      <c r="D10" s="272"/>
      <c r="E10" s="244"/>
      <c r="F10" s="244"/>
      <c r="G10" s="244">
        <v>141861.8368460362</v>
      </c>
      <c r="H10" s="244"/>
      <c r="I10" s="244">
        <v>338846.05927802651</v>
      </c>
      <c r="J10" s="244"/>
      <c r="K10" s="244">
        <f>+G10+I10</f>
        <v>480707.89612406271</v>
      </c>
      <c r="L10" s="244"/>
    </row>
    <row r="11" spans="1:13">
      <c r="A11" s="1" t="s">
        <v>691</v>
      </c>
      <c r="B11" s="688" t="s">
        <v>658</v>
      </c>
      <c r="C11" s="689"/>
      <c r="D11" s="690"/>
      <c r="E11" s="691"/>
      <c r="F11" s="691"/>
      <c r="G11" s="691">
        <v>143310.95721529215</v>
      </c>
      <c r="H11" s="691"/>
      <c r="I11" s="691">
        <v>376705.20657366002</v>
      </c>
      <c r="J11" s="691"/>
      <c r="K11" s="691">
        <f>+G11+I11</f>
        <v>520016.16378895217</v>
      </c>
      <c r="L11" s="691"/>
    </row>
    <row r="12" spans="1:13">
      <c r="B12" s="288" t="s">
        <v>659</v>
      </c>
      <c r="C12" s="687"/>
      <c r="D12" s="272"/>
      <c r="E12" s="244"/>
      <c r="F12" s="244"/>
      <c r="G12" s="244" t="s">
        <v>1579</v>
      </c>
      <c r="H12" s="244"/>
      <c r="I12" s="244" t="s">
        <v>1579</v>
      </c>
      <c r="J12" s="244"/>
      <c r="K12" s="244" t="s">
        <v>1579</v>
      </c>
      <c r="L12" s="353" t="s">
        <v>37</v>
      </c>
    </row>
    <row r="13" spans="1:13">
      <c r="B13" s="223" t="s">
        <v>660</v>
      </c>
      <c r="C13" s="687"/>
      <c r="D13" s="272"/>
      <c r="E13" s="244"/>
      <c r="F13" s="244"/>
      <c r="G13" s="244">
        <f>+G5-G4</f>
        <v>1925.5538117456017</v>
      </c>
      <c r="H13" s="244" t="s">
        <v>1344</v>
      </c>
      <c r="I13" s="244">
        <f>+I5-I4</f>
        <v>-97.420675579051021</v>
      </c>
      <c r="J13" s="244"/>
      <c r="K13" s="244">
        <f>+K5-K4</f>
        <v>1828.1331361664925</v>
      </c>
      <c r="L13" s="259">
        <f t="shared" ref="L13:L19" si="1">100*K13/K$4</f>
        <v>0.38697456892003446</v>
      </c>
    </row>
    <row r="14" spans="1:13">
      <c r="B14" s="223" t="s">
        <v>689</v>
      </c>
      <c r="C14" s="687"/>
      <c r="D14" s="272"/>
      <c r="E14" s="244"/>
      <c r="F14" s="244"/>
      <c r="G14" s="244">
        <f>+G6-G4</f>
        <v>1925.5538117456017</v>
      </c>
      <c r="H14" s="244"/>
      <c r="I14" s="244">
        <f>+I6-I4</f>
        <v>-1980.7029850700055</v>
      </c>
      <c r="J14" s="244"/>
      <c r="K14" s="244">
        <f>+K6-K4</f>
        <v>-55.149173324462026</v>
      </c>
      <c r="L14" s="259">
        <f t="shared" si="1"/>
        <v>-1.1673836632205954E-2</v>
      </c>
    </row>
    <row r="15" spans="1:13">
      <c r="B15" s="223" t="s">
        <v>661</v>
      </c>
      <c r="C15" s="687"/>
      <c r="D15" s="272"/>
      <c r="E15" s="244"/>
      <c r="F15" s="244"/>
      <c r="G15" s="244">
        <f>+G7-G4</f>
        <v>1925.5538117456017</v>
      </c>
      <c r="H15" s="244" t="s">
        <v>662</v>
      </c>
      <c r="I15" s="244">
        <f>+I7-I4</f>
        <v>-6918.8720799317816</v>
      </c>
      <c r="J15" s="244" t="s">
        <v>663</v>
      </c>
      <c r="K15" s="244">
        <f>+K7-K4</f>
        <v>-4993.3182681861799</v>
      </c>
      <c r="L15" s="259">
        <f t="shared" si="1"/>
        <v>-1.0569729009801734</v>
      </c>
    </row>
    <row r="16" spans="1:13">
      <c r="B16" s="223" t="s">
        <v>656</v>
      </c>
      <c r="C16" s="687"/>
      <c r="D16" s="272"/>
      <c r="E16" s="244"/>
      <c r="F16" s="244"/>
      <c r="G16" s="244">
        <f>+G8-G4</f>
        <v>1925.5538117456017</v>
      </c>
      <c r="H16" s="244"/>
      <c r="I16" s="244">
        <f>+I8-I4</f>
        <v>-9689.1234486595495</v>
      </c>
      <c r="J16" s="244"/>
      <c r="K16" s="244">
        <f>+K8-K4</f>
        <v>-7763.5696369139478</v>
      </c>
      <c r="L16" s="259">
        <f t="shared" si="1"/>
        <v>-1.6433726592940188</v>
      </c>
    </row>
    <row r="17" spans="2:13">
      <c r="B17" s="223" t="s">
        <v>677</v>
      </c>
      <c r="C17" s="687"/>
      <c r="D17" s="272"/>
      <c r="E17" s="244"/>
      <c r="F17" s="244"/>
      <c r="G17" s="244">
        <f>+G9-G4</f>
        <v>3621.1234788169677</v>
      </c>
      <c r="H17" s="244"/>
      <c r="I17" s="244">
        <f>+I9-I4</f>
        <v>-496.20832980656996</v>
      </c>
      <c r="J17" s="244"/>
      <c r="K17" s="244">
        <f>+K9-K4</f>
        <v>3124.9151490103686</v>
      </c>
      <c r="L17" s="259">
        <f t="shared" si="1"/>
        <v>0.6614740845602407</v>
      </c>
    </row>
    <row r="18" spans="2:13">
      <c r="B18" s="223" t="s">
        <v>690</v>
      </c>
      <c r="C18" s="687"/>
      <c r="D18" s="272"/>
      <c r="E18" s="244"/>
      <c r="F18" s="244"/>
      <c r="G18" s="244">
        <f>+G10-G4</f>
        <v>3621.1234788169677</v>
      </c>
      <c r="H18" s="244"/>
      <c r="I18" s="244">
        <f>+I10-I4</f>
        <v>4669.9052349578124</v>
      </c>
      <c r="J18" s="244"/>
      <c r="K18" s="244">
        <f>+K10-K4</f>
        <v>8291.0287137747509</v>
      </c>
      <c r="L18" s="259">
        <f t="shared" si="1"/>
        <v>1.7550238540856542</v>
      </c>
    </row>
    <row r="19" spans="2:13">
      <c r="B19" s="688" t="s">
        <v>658</v>
      </c>
      <c r="C19" s="689"/>
      <c r="D19" s="690"/>
      <c r="E19" s="691"/>
      <c r="F19" s="691"/>
      <c r="G19" s="691">
        <f>+G11-G4</f>
        <v>5070.2438480729179</v>
      </c>
      <c r="H19" s="691"/>
      <c r="I19" s="691">
        <f>+I11-I4</f>
        <v>42529.052530591318</v>
      </c>
      <c r="J19" s="691"/>
      <c r="K19" s="691">
        <f>+K11-K4</f>
        <v>47599.296378664207</v>
      </c>
      <c r="L19" s="692">
        <f t="shared" si="1"/>
        <v>10.075697897832431</v>
      </c>
    </row>
    <row r="20" spans="2:13">
      <c r="B20" s="223" t="s">
        <v>664</v>
      </c>
      <c r="C20" s="687"/>
      <c r="D20" s="272"/>
      <c r="E20" s="272"/>
      <c r="F20" s="244"/>
      <c r="G20" s="244">
        <f>4*80*7.6</f>
        <v>2432</v>
      </c>
      <c r="H20" s="244"/>
      <c r="I20" s="244"/>
      <c r="J20" s="244"/>
      <c r="K20" s="244"/>
      <c r="L20" s="259" t="s">
        <v>1344</v>
      </c>
      <c r="M20" s="244"/>
    </row>
    <row r="22" spans="2:13">
      <c r="B22" s="414" t="s">
        <v>671</v>
      </c>
      <c r="C22" s="1"/>
    </row>
    <row r="23" spans="2:13">
      <c r="B23" s="2" t="s">
        <v>667</v>
      </c>
      <c r="C23" s="1"/>
    </row>
    <row r="24" spans="2:13">
      <c r="B24" s="2" t="s">
        <v>853</v>
      </c>
      <c r="C24" s="1"/>
    </row>
    <row r="25" spans="2:13">
      <c r="B25" s="2" t="s">
        <v>668</v>
      </c>
      <c r="C25" s="1"/>
    </row>
    <row r="26" spans="2:13">
      <c r="B26" s="222" t="s">
        <v>855</v>
      </c>
      <c r="C26" s="1"/>
    </row>
    <row r="27" spans="2:13">
      <c r="B27" s="1" t="s">
        <v>669</v>
      </c>
      <c r="C27" s="1"/>
    </row>
    <row r="28" spans="2:13">
      <c r="B28" s="1" t="s">
        <v>672</v>
      </c>
      <c r="C28" s="1"/>
    </row>
    <row r="29" spans="2:13">
      <c r="B29" s="1" t="s">
        <v>673</v>
      </c>
      <c r="C29" s="1"/>
    </row>
    <row r="30" spans="2:13">
      <c r="B30" s="222" t="s">
        <v>857</v>
      </c>
      <c r="C30" s="1"/>
    </row>
    <row r="31" spans="2:13">
      <c r="B31" s="1" t="s">
        <v>674</v>
      </c>
      <c r="C31" s="1"/>
    </row>
    <row r="32" spans="2:13">
      <c r="B32" s="1" t="s">
        <v>675</v>
      </c>
      <c r="C32" s="1"/>
    </row>
    <row r="33" spans="2:3">
      <c r="B33" s="1" t="s">
        <v>676</v>
      </c>
      <c r="C33" s="1"/>
    </row>
    <row r="34" spans="2:3">
      <c r="B34" s="222" t="s">
        <v>680</v>
      </c>
      <c r="C34" s="1"/>
    </row>
    <row r="35" spans="2:3">
      <c r="B35" s="1" t="s">
        <v>678</v>
      </c>
      <c r="C35" s="1"/>
    </row>
    <row r="36" spans="2:3">
      <c r="B36" s="1" t="s">
        <v>863</v>
      </c>
      <c r="C36" s="1"/>
    </row>
    <row r="37" spans="2:3">
      <c r="B37" s="222" t="s">
        <v>692</v>
      </c>
      <c r="C37" s="1"/>
    </row>
    <row r="38" spans="2:3">
      <c r="B38" s="1" t="s">
        <v>693</v>
      </c>
      <c r="C38" s="1"/>
    </row>
    <row r="39" spans="2:3">
      <c r="B39" s="222" t="s">
        <v>681</v>
      </c>
    </row>
    <row r="40" spans="2:3">
      <c r="B40" s="1" t="s">
        <v>682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19"/>
  <sheetViews>
    <sheetView workbookViewId="0">
      <selection activeCell="A3" sqref="A3:B10"/>
    </sheetView>
  </sheetViews>
  <sheetFormatPr defaultColWidth="40.83203125" defaultRowHeight="15.75"/>
  <cols>
    <col min="1" max="1" width="40.83203125" style="1"/>
    <col min="2" max="2" width="10.1640625" style="1" customWidth="1"/>
    <col min="3" max="8" width="7.5" style="1" customWidth="1"/>
    <col min="9" max="9" width="7.33203125" style="1" customWidth="1"/>
    <col min="10" max="10" width="4.6640625" style="1" customWidth="1"/>
    <col min="11" max="11" width="10.5" style="1" customWidth="1"/>
    <col min="12" max="16384" width="40.83203125" style="1"/>
  </cols>
  <sheetData>
    <row r="1" spans="1:9">
      <c r="A1" s="573" t="s">
        <v>565</v>
      </c>
      <c r="B1" s="259"/>
      <c r="C1" s="572">
        <f>+D1</f>
        <v>2016</v>
      </c>
      <c r="D1" s="572">
        <v>2016</v>
      </c>
      <c r="E1" s="577"/>
      <c r="G1" s="6">
        <v>2017</v>
      </c>
      <c r="H1" s="6">
        <v>2017</v>
      </c>
    </row>
    <row r="2" spans="1:9">
      <c r="A2" s="259" t="s">
        <v>1344</v>
      </c>
      <c r="B2" s="259"/>
      <c r="C2" s="576" t="s">
        <v>2668</v>
      </c>
      <c r="D2" s="575" t="s">
        <v>2669</v>
      </c>
      <c r="E2" s="575"/>
      <c r="F2" s="354"/>
      <c r="G2" s="576" t="s">
        <v>2674</v>
      </c>
      <c r="H2" s="575" t="s">
        <v>2669</v>
      </c>
    </row>
    <row r="3" spans="1:9">
      <c r="A3" s="259" t="s">
        <v>1199</v>
      </c>
      <c r="B3" s="259" t="s">
        <v>918</v>
      </c>
      <c r="C3" s="259">
        <v>6.3</v>
      </c>
      <c r="D3" s="259">
        <v>6.5</v>
      </c>
      <c r="E3" s="259"/>
      <c r="G3" s="1">
        <v>7.4</v>
      </c>
      <c r="H3" s="1">
        <v>7.5</v>
      </c>
    </row>
    <row r="4" spans="1:9">
      <c r="A4" s="259" t="s">
        <v>1200</v>
      </c>
      <c r="B4" s="259" t="s">
        <v>2702</v>
      </c>
      <c r="C4" s="259">
        <v>2.2999999999999998</v>
      </c>
      <c r="D4" s="259">
        <v>3.0205016916254426</v>
      </c>
      <c r="E4" s="259"/>
      <c r="G4" s="1">
        <v>3.4</v>
      </c>
      <c r="H4" s="1">
        <v>2.9</v>
      </c>
    </row>
    <row r="5" spans="1:9">
      <c r="A5" s="259" t="s">
        <v>1181</v>
      </c>
      <c r="B5" s="259" t="s">
        <v>1349</v>
      </c>
      <c r="C5" s="244">
        <v>-7.6</v>
      </c>
      <c r="D5" s="244">
        <v>-5.2503405291616794</v>
      </c>
      <c r="E5" s="244"/>
      <c r="G5" s="1">
        <v>-4</v>
      </c>
      <c r="H5" s="1">
        <v>-5</v>
      </c>
    </row>
    <row r="6" spans="1:9">
      <c r="A6" s="259" t="s">
        <v>2701</v>
      </c>
      <c r="B6" s="259" t="s">
        <v>1349</v>
      </c>
      <c r="C6" s="244">
        <v>-6.1</v>
      </c>
      <c r="D6" s="244">
        <v>-5.897152057965183</v>
      </c>
      <c r="E6" s="244"/>
      <c r="G6" s="1">
        <v>5</v>
      </c>
      <c r="H6" s="1">
        <v>-1</v>
      </c>
      <c r="I6" s="578" t="s">
        <v>566</v>
      </c>
    </row>
    <row r="7" spans="1:9">
      <c r="A7" s="259" t="s">
        <v>1776</v>
      </c>
      <c r="B7" s="259" t="s">
        <v>1349</v>
      </c>
      <c r="C7" s="244">
        <v>83.4</v>
      </c>
      <c r="D7" s="244">
        <v>55.5</v>
      </c>
      <c r="E7" s="244"/>
      <c r="G7" s="1">
        <v>39</v>
      </c>
      <c r="H7" s="1">
        <v>22</v>
      </c>
    </row>
    <row r="8" spans="1:9">
      <c r="A8" s="259" t="s">
        <v>917</v>
      </c>
      <c r="B8" s="259" t="s">
        <v>1349</v>
      </c>
      <c r="C8" s="244">
        <v>-8.1</v>
      </c>
      <c r="D8" s="244">
        <v>-4.7997950635463855</v>
      </c>
      <c r="E8" s="244"/>
      <c r="G8" s="1">
        <v>-3</v>
      </c>
      <c r="H8" s="1">
        <v>-4</v>
      </c>
    </row>
    <row r="9" spans="1:9">
      <c r="A9" s="259" t="s">
        <v>2671</v>
      </c>
      <c r="B9" s="259" t="s">
        <v>1349</v>
      </c>
      <c r="C9" s="244">
        <v>44.2</v>
      </c>
      <c r="D9" s="244">
        <v>19.946749999999991</v>
      </c>
      <c r="E9" s="244"/>
      <c r="G9" s="1">
        <v>39</v>
      </c>
      <c r="H9" s="1">
        <v>13</v>
      </c>
    </row>
    <row r="10" spans="1:9">
      <c r="A10" s="259" t="s">
        <v>2672</v>
      </c>
      <c r="B10" s="259" t="s">
        <v>1349</v>
      </c>
      <c r="C10" s="244">
        <f>+((1+C9/100)/(1+C7/100)-1)*100</f>
        <v>-21.374045801526719</v>
      </c>
      <c r="D10" s="244">
        <v>-22.863826366559504</v>
      </c>
      <c r="E10" s="244"/>
      <c r="G10" s="1">
        <v>0</v>
      </c>
      <c r="H10" s="1">
        <v>-7</v>
      </c>
    </row>
    <row r="11" spans="1:9">
      <c r="A11" s="571" t="s">
        <v>2937</v>
      </c>
      <c r="B11" s="259"/>
      <c r="C11" s="259"/>
      <c r="D11" s="259"/>
      <c r="E11" s="259"/>
    </row>
    <row r="12" spans="1:9">
      <c r="A12" s="1" t="s">
        <v>571</v>
      </c>
    </row>
    <row r="13" spans="1:9">
      <c r="A13" s="1" t="s">
        <v>2670</v>
      </c>
    </row>
    <row r="14" spans="1:9">
      <c r="A14" s="1" t="s">
        <v>572</v>
      </c>
    </row>
    <row r="15" spans="1:9">
      <c r="A15" s="1" t="s">
        <v>567</v>
      </c>
    </row>
    <row r="16" spans="1:9">
      <c r="A16" s="1" t="s">
        <v>563</v>
      </c>
    </row>
    <row r="18" spans="1:1">
      <c r="A18" s="1" t="s">
        <v>568</v>
      </c>
    </row>
    <row r="19" spans="1:1">
      <c r="A19" s="1" t="s">
        <v>569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CG41"/>
  <sheetViews>
    <sheetView workbookViewId="0">
      <pane xSplit="3" ySplit="1" topLeftCell="BF39" activePane="bottomRight" state="frozen"/>
      <selection pane="topRight" activeCell="D1" sqref="D1"/>
      <selection pane="bottomLeft" activeCell="A2" sqref="A2"/>
      <selection pane="bottomRight" activeCell="BT56" sqref="BT56"/>
    </sheetView>
  </sheetViews>
  <sheetFormatPr defaultRowHeight="15.75"/>
  <cols>
    <col min="1" max="1" width="24.83203125" style="224" customWidth="1"/>
    <col min="2" max="57" width="9.33203125" style="224"/>
    <col min="58" max="70" width="7.83203125" style="224" customWidth="1"/>
    <col min="71" max="16384" width="9.33203125" style="224"/>
  </cols>
  <sheetData>
    <row r="1" spans="1:85" s="1" customFormat="1">
      <c r="F1" s="1">
        <v>1954</v>
      </c>
      <c r="G1" s="1">
        <v>1955</v>
      </c>
      <c r="H1" s="1">
        <v>1956</v>
      </c>
      <c r="I1" s="1">
        <v>1957</v>
      </c>
      <c r="J1" s="1">
        <v>1958</v>
      </c>
      <c r="K1" s="1">
        <v>1959</v>
      </c>
      <c r="L1" s="1">
        <v>1960</v>
      </c>
      <c r="M1" s="1">
        <v>1961</v>
      </c>
      <c r="N1" s="1">
        <v>1962</v>
      </c>
      <c r="O1" s="1">
        <v>1963</v>
      </c>
      <c r="P1" s="1">
        <v>1964</v>
      </c>
      <c r="Q1" s="1">
        <v>1965</v>
      </c>
      <c r="R1" s="1">
        <v>1966</v>
      </c>
      <c r="S1" s="1">
        <v>1967</v>
      </c>
      <c r="T1" s="1">
        <v>1968</v>
      </c>
      <c r="U1" s="1">
        <v>1969</v>
      </c>
      <c r="V1" s="1">
        <v>1970</v>
      </c>
      <c r="W1" s="1">
        <v>1971</v>
      </c>
      <c r="X1" s="1">
        <v>1972</v>
      </c>
      <c r="Y1" s="1">
        <v>1973</v>
      </c>
      <c r="Z1" s="1">
        <v>1974</v>
      </c>
      <c r="AA1" s="1">
        <v>1975</v>
      </c>
      <c r="AB1" s="1">
        <v>1976</v>
      </c>
      <c r="AC1" s="1">
        <v>1977</v>
      </c>
      <c r="AD1" s="1">
        <v>1978</v>
      </c>
      <c r="AE1" s="1">
        <v>1979</v>
      </c>
      <c r="AF1" s="1">
        <v>1980</v>
      </c>
      <c r="AG1" s="1">
        <v>1981</v>
      </c>
      <c r="AH1" s="1">
        <v>1982</v>
      </c>
      <c r="AI1" s="1">
        <v>1983</v>
      </c>
      <c r="AJ1" s="1">
        <v>1984</v>
      </c>
      <c r="AK1" s="1">
        <v>1985</v>
      </c>
      <c r="AL1" s="1">
        <v>1986</v>
      </c>
      <c r="AM1" s="1">
        <v>1987</v>
      </c>
      <c r="AN1" s="1">
        <v>1988</v>
      </c>
      <c r="AO1" s="1">
        <v>1989</v>
      </c>
      <c r="AP1" s="1">
        <v>1990</v>
      </c>
      <c r="AQ1" s="1">
        <v>1991</v>
      </c>
      <c r="AR1" s="1">
        <v>1992</v>
      </c>
      <c r="AS1" s="1">
        <v>1993</v>
      </c>
      <c r="AT1" s="1">
        <v>1994</v>
      </c>
      <c r="AU1" s="1">
        <v>1995</v>
      </c>
      <c r="AV1" s="1">
        <v>1996</v>
      </c>
      <c r="AW1" s="1">
        <v>1997</v>
      </c>
      <c r="AX1" s="1">
        <v>1998</v>
      </c>
      <c r="AY1" s="1">
        <v>1999</v>
      </c>
      <c r="AZ1" s="1">
        <v>2000</v>
      </c>
      <c r="BA1" s="1">
        <v>2001</v>
      </c>
      <c r="BB1" s="1">
        <v>2002</v>
      </c>
      <c r="BC1" s="1">
        <v>2003</v>
      </c>
      <c r="BD1" s="1">
        <v>2004</v>
      </c>
      <c r="BE1" s="1">
        <v>2005</v>
      </c>
      <c r="BF1" s="1">
        <v>2006</v>
      </c>
      <c r="BG1" s="1">
        <v>2007</v>
      </c>
      <c r="BH1" s="1">
        <v>2008</v>
      </c>
      <c r="BI1" s="1">
        <v>2009</v>
      </c>
      <c r="BJ1" s="1">
        <v>2010</v>
      </c>
      <c r="BK1" s="1">
        <v>2011</v>
      </c>
      <c r="BL1" s="1">
        <v>2012</v>
      </c>
      <c r="BM1" s="1">
        <v>2013</v>
      </c>
      <c r="BN1" s="1">
        <v>2014</v>
      </c>
      <c r="BO1" s="1">
        <v>2015</v>
      </c>
      <c r="BP1" s="1">
        <v>2016</v>
      </c>
      <c r="BQ1" s="1">
        <v>2017</v>
      </c>
      <c r="BR1" s="1">
        <v>2018</v>
      </c>
      <c r="BS1" s="1">
        <v>2019</v>
      </c>
      <c r="BT1" s="1">
        <v>2020</v>
      </c>
      <c r="BU1" s="1">
        <v>2021</v>
      </c>
      <c r="BV1" s="1">
        <v>2022</v>
      </c>
      <c r="BW1" s="1">
        <v>2023</v>
      </c>
      <c r="BX1" s="1">
        <v>2024</v>
      </c>
      <c r="BY1" s="1">
        <v>2025</v>
      </c>
      <c r="BZ1" s="1">
        <v>2026</v>
      </c>
      <c r="CA1" s="1">
        <v>2027</v>
      </c>
      <c r="CB1" s="1">
        <v>2028</v>
      </c>
      <c r="CC1" s="1">
        <v>2029</v>
      </c>
      <c r="CD1" s="1">
        <v>2030</v>
      </c>
      <c r="CE1" s="1">
        <v>2031</v>
      </c>
      <c r="CF1" s="1">
        <v>2032</v>
      </c>
      <c r="CG1" s="1">
        <v>2033</v>
      </c>
    </row>
    <row r="3" spans="1:85" s="1" customFormat="1">
      <c r="A3" s="244" t="s">
        <v>2847</v>
      </c>
      <c r="BR3" s="224"/>
    </row>
    <row r="4" spans="1:85" s="1" customFormat="1">
      <c r="A4" s="244" t="str">
        <f>+Model!A164</f>
        <v xml:space="preserve">Total Foreign Assets (net)  </v>
      </c>
      <c r="B4" s="244"/>
      <c r="C4" s="244" t="str">
        <f>+Model!C164</f>
        <v>mln SRD</v>
      </c>
      <c r="D4" s="244"/>
      <c r="BF4" s="244">
        <f ca="1">+Model!BF164-Model!BE164</f>
        <v>140.15391836951312</v>
      </c>
      <c r="BG4" s="244">
        <f>+Model!BG164-Model!BF164</f>
        <v>702</v>
      </c>
      <c r="BH4" s="244">
        <f>+Model!BH164-Model!BG164</f>
        <v>486.09999999999991</v>
      </c>
      <c r="BI4" s="244">
        <f>+Model!BI164-Model!BH164</f>
        <v>231.30000000000018</v>
      </c>
      <c r="BJ4" s="244">
        <f>+Model!BJ164-Model!BI164</f>
        <v>120.5</v>
      </c>
      <c r="BK4" s="244">
        <f>+Model!BK164-Model!BJ164</f>
        <v>1431.7999999999997</v>
      </c>
      <c r="BL4" s="244">
        <f>+Model!BL164-Model!BK164</f>
        <v>690.60000000000036</v>
      </c>
      <c r="BM4" s="244">
        <f>+Model!BM164-Model!BL164</f>
        <v>-504.80000000000018</v>
      </c>
      <c r="BN4" s="244">
        <f>+Model!BN164-Model!BM164</f>
        <v>-748.90000000000009</v>
      </c>
      <c r="BO4" s="244">
        <f>+Model!BO164-Model!BN164</f>
        <v>-839.90000000000009</v>
      </c>
      <c r="BP4" s="244">
        <f>+Model!BP164-Model!BO164</f>
        <v>3452.1000000000004</v>
      </c>
      <c r="BQ4" s="244">
        <f>+Model!BQ164-Model!BP164</f>
        <v>-84.300000000000182</v>
      </c>
      <c r="BR4" s="244">
        <f>+Model!BR164-Model!BQ164</f>
        <v>2061.7000000000007</v>
      </c>
      <c r="BS4" s="244">
        <f>+Model!BS164-Model!BR164</f>
        <v>-2563.2000000000007</v>
      </c>
    </row>
    <row r="5" spans="1:85" s="1" customFormat="1">
      <c r="A5" s="244" t="s">
        <v>2853</v>
      </c>
      <c r="B5" s="244"/>
      <c r="C5" s="244" t="str">
        <f>+Model!C165</f>
        <v>mln SRD</v>
      </c>
      <c r="D5" s="244"/>
      <c r="BF5" s="244">
        <f>+Model!BF156</f>
        <v>0</v>
      </c>
      <c r="BG5" s="244">
        <f>+Model!BG156</f>
        <v>-3.4829887076479067</v>
      </c>
      <c r="BH5" s="244">
        <f>+Model!BH156</f>
        <v>7.8103195237953482</v>
      </c>
      <c r="BI5" s="244">
        <f>+Model!BI156</f>
        <v>-1.5990227549793647</v>
      </c>
      <c r="BJ5" s="244">
        <f>+Model!BJ156</f>
        <v>1.3122489111171094</v>
      </c>
      <c r="BK5" s="244">
        <f>+Model!BK156</f>
        <v>593.39684716345732</v>
      </c>
      <c r="BL5" s="244">
        <f>+Model!BL156</f>
        <v>-1.3467646859568967</v>
      </c>
      <c r="BM5" s="244">
        <f>+Model!BM156</f>
        <v>-1.3161104854543786</v>
      </c>
      <c r="BN5" s="244">
        <f>+Model!BN156</f>
        <v>0.73669330112538511</v>
      </c>
      <c r="BO5" s="244">
        <f>+Model!BO156</f>
        <v>839.42328948080444</v>
      </c>
      <c r="BP5" s="244">
        <f>+Model!BP156</f>
        <v>2564.0767764184729</v>
      </c>
      <c r="BQ5" s="244">
        <f>+Model!BQ156</f>
        <v>39.782614565282458</v>
      </c>
      <c r="BR5" s="244">
        <f>+Model!BR156</f>
        <v>2.0775412880321955</v>
      </c>
      <c r="BS5" s="244">
        <f>+Model!BS156</f>
        <v>-0.12798661127905336</v>
      </c>
    </row>
    <row r="6" spans="1:85" s="1" customFormat="1">
      <c r="A6" s="244" t="s">
        <v>2854</v>
      </c>
      <c r="B6" s="244"/>
      <c r="C6" s="244" t="str">
        <f>+Model!C166</f>
        <v>mln SRD</v>
      </c>
      <c r="D6" s="244"/>
      <c r="BF6" s="244">
        <f t="shared" ref="BF6:BP6" ca="1" si="0">+BF4-BF5</f>
        <v>140.15391836951312</v>
      </c>
      <c r="BG6" s="244">
        <f t="shared" si="0"/>
        <v>705.48298870764791</v>
      </c>
      <c r="BH6" s="244">
        <f t="shared" si="0"/>
        <v>478.28968047620458</v>
      </c>
      <c r="BI6" s="244">
        <f t="shared" si="0"/>
        <v>232.89902275497954</v>
      </c>
      <c r="BJ6" s="244">
        <f t="shared" si="0"/>
        <v>119.18775108888289</v>
      </c>
      <c r="BK6" s="244">
        <f t="shared" si="0"/>
        <v>838.4031528365424</v>
      </c>
      <c r="BL6" s="244">
        <f t="shared" si="0"/>
        <v>691.94676468595731</v>
      </c>
      <c r="BM6" s="244">
        <f t="shared" si="0"/>
        <v>-503.48388951454581</v>
      </c>
      <c r="BN6" s="244">
        <f t="shared" si="0"/>
        <v>-749.63669330112543</v>
      </c>
      <c r="BO6" s="244">
        <f t="shared" si="0"/>
        <v>-1679.3232894808045</v>
      </c>
      <c r="BP6" s="244">
        <f t="shared" si="0"/>
        <v>888.02322358152742</v>
      </c>
      <c r="BQ6" s="244">
        <f>+BQ4-BQ5</f>
        <v>-124.08261456528264</v>
      </c>
      <c r="BR6" s="244">
        <f>+BR4-BR5</f>
        <v>2059.6224587119686</v>
      </c>
      <c r="BS6" s="244">
        <f>+BS4-BS5</f>
        <v>-2563.0720133887216</v>
      </c>
    </row>
    <row r="7" spans="1:85" s="1" customFormat="1">
      <c r="A7" s="244" t="str">
        <f>+Model!A165</f>
        <v>Net claims on government</v>
      </c>
      <c r="B7" s="244"/>
      <c r="C7" s="244" t="str">
        <f>+Model!C165</f>
        <v>mln SRD</v>
      </c>
    </row>
    <row r="8" spans="1:85" s="1" customFormat="1">
      <c r="A8" s="244" t="str">
        <f>+Model!A166</f>
        <v>of which net in foreign curency</v>
      </c>
      <c r="B8" s="244"/>
      <c r="C8" s="244" t="str">
        <f>+Model!C166</f>
        <v>mln SRD</v>
      </c>
      <c r="BF8" s="244">
        <f>+Model!BF166-Model!BE166</f>
        <v>-88.4</v>
      </c>
      <c r="BG8" s="244">
        <f>+Model!BG166-Model!BF166</f>
        <v>-10.399999999999991</v>
      </c>
      <c r="BH8" s="244">
        <f>+Model!BH166-Model!BG166</f>
        <v>-43.100000000000009</v>
      </c>
      <c r="BI8" s="244">
        <f>+Model!BI166-Model!BH166</f>
        <v>-38.599999999999994</v>
      </c>
      <c r="BJ8" s="244">
        <f>+Model!BJ166-Model!BI166</f>
        <v>-8.0999999999999943</v>
      </c>
      <c r="BK8" s="244">
        <f>+Model!BK166-Model!BJ166</f>
        <v>-226.6</v>
      </c>
      <c r="BL8" s="244">
        <f>+Model!BL166-Model!BK166</f>
        <v>187.89999999999998</v>
      </c>
      <c r="BM8" s="244">
        <f>+Model!BM166-Model!BL166</f>
        <v>-402.09999999999997</v>
      </c>
      <c r="BN8" s="244">
        <f>+Model!BN166-Model!BM166</f>
        <v>571.4</v>
      </c>
      <c r="BO8" s="244">
        <f>+Model!BO166-Model!BN166</f>
        <v>-166.79999999999998</v>
      </c>
      <c r="BP8" s="244">
        <f>+Model!BP166-Model!BO166</f>
        <v>-498.10000000000014</v>
      </c>
      <c r="BQ8" s="244">
        <f>+Model!BQ166-Model!BP166</f>
        <v>904.10000000000014</v>
      </c>
      <c r="BR8" s="244">
        <f>+Model!BR166-Model!BQ166</f>
        <v>-171.70000000000005</v>
      </c>
      <c r="BS8" s="244">
        <f>+Model!BS166-Model!BR166</f>
        <v>1340.7</v>
      </c>
    </row>
    <row r="9" spans="1:85" s="1" customFormat="1">
      <c r="A9" s="244" t="str">
        <f>+Model!A167</f>
        <v>of which in SRD</v>
      </c>
      <c r="B9" s="244"/>
      <c r="C9" s="244" t="str">
        <f>+Model!C167</f>
        <v>mln SRD</v>
      </c>
      <c r="BF9" s="244">
        <f>+Model!BF167-Model!BE167</f>
        <v>418.79999999999995</v>
      </c>
      <c r="BG9" s="244">
        <f>+Model!BG167-Model!BF167</f>
        <v>-180.89999999999998</v>
      </c>
      <c r="BH9" s="244">
        <f>+Model!BH167-Model!BG167</f>
        <v>-169.09999999999997</v>
      </c>
      <c r="BI9" s="244">
        <f>+Model!BI167-Model!BH167</f>
        <v>227.39999999999998</v>
      </c>
      <c r="BJ9" s="244">
        <f>+Model!BJ167-Model!BI167</f>
        <v>83.800000000000011</v>
      </c>
      <c r="BK9" s="244">
        <f>+Model!BK167-Model!BJ167</f>
        <v>-28.300000000000011</v>
      </c>
      <c r="BL9" s="244">
        <f>+Model!BL167-Model!BK167</f>
        <v>-133.79999999999998</v>
      </c>
      <c r="BM9" s="244">
        <f>+Model!BM167-Model!BL167</f>
        <v>937.00000000000011</v>
      </c>
      <c r="BN9" s="244">
        <f>+Model!BN167-Model!BM167</f>
        <v>194.59999999999991</v>
      </c>
      <c r="BO9" s="244">
        <f>+Model!BO167-Model!BN167</f>
        <v>1510.9999999999995</v>
      </c>
      <c r="BP9" s="244">
        <f>+Model!BP167-Model!BO167</f>
        <v>212.80000000000064</v>
      </c>
      <c r="BQ9" s="244">
        <f>+Model!BQ167-Model!BP167</f>
        <v>592.89999999999964</v>
      </c>
      <c r="BR9" s="244">
        <f>+Model!BR167-Model!BQ167</f>
        <v>-179.59999999999991</v>
      </c>
      <c r="BS9" s="244">
        <f>+Model!BS167-Model!BR167</f>
        <v>140.39999999999964</v>
      </c>
    </row>
    <row r="10" spans="1:85" s="1" customFormat="1">
      <c r="A10" s="244" t="str">
        <f>+Model!A168</f>
        <v>Claims on other resident sectors</v>
      </c>
      <c r="B10" s="244"/>
      <c r="C10" s="244" t="str">
        <f>+Model!C168</f>
        <v>mln SRD</v>
      </c>
    </row>
    <row r="11" spans="1:85" s="1" customFormat="1">
      <c r="A11" s="244" t="str">
        <f>+Model!A169</f>
        <v>of which net in foreign curency</v>
      </c>
      <c r="B11" s="244"/>
      <c r="C11" s="244" t="str">
        <f>+Model!C169</f>
        <v>mln SRD</v>
      </c>
      <c r="BF11" s="244">
        <f>+Model!BF169-Model!BE169</f>
        <v>692.3</v>
      </c>
      <c r="BG11" s="244">
        <f>+Model!BG169-Model!BF169</f>
        <v>187.80000000000007</v>
      </c>
      <c r="BH11" s="244">
        <f>+Model!BH169-Model!BG169</f>
        <v>221.69999999999993</v>
      </c>
      <c r="BI11" s="244">
        <f>+Model!BI169-Model!BH169</f>
        <v>10.800000000000182</v>
      </c>
      <c r="BJ11" s="244">
        <f>+Model!BJ169-Model!BI169</f>
        <v>9.2999999999999545</v>
      </c>
      <c r="BK11" s="244">
        <f>+Model!BK169-Model!BJ169</f>
        <v>354.49999999999977</v>
      </c>
      <c r="BL11" s="244">
        <f>+Model!BL169-Model!BK169</f>
        <v>280.90000000000009</v>
      </c>
      <c r="BM11" s="244">
        <f>+Model!BM169-Model!BL169</f>
        <v>234.10000000000014</v>
      </c>
      <c r="BN11" s="244">
        <f>+Model!BN169-Model!BM169</f>
        <v>64.400000000000091</v>
      </c>
      <c r="BO11" s="244">
        <f>+Model!BO169-Model!BN169</f>
        <v>391.69999999999982</v>
      </c>
      <c r="BP11" s="244">
        <f>+Model!BP169-Model!BO169</f>
        <v>1864.1999999999998</v>
      </c>
      <c r="BQ11" s="244">
        <f>+Model!BQ169-Model!BP169</f>
        <v>28.300000000000182</v>
      </c>
      <c r="BR11" s="244">
        <f>+Model!BR169-Model!BQ169</f>
        <v>-474.09999999999991</v>
      </c>
      <c r="BS11" s="244">
        <f>+Model!BS169-Model!BR169</f>
        <v>-595.09999999999991</v>
      </c>
    </row>
    <row r="12" spans="1:85" s="1" customFormat="1">
      <c r="A12" s="244" t="str">
        <f>+Model!A170</f>
        <v>of which in SRD</v>
      </c>
      <c r="B12" s="244"/>
      <c r="C12" s="244" t="str">
        <f>+Model!C170</f>
        <v>mln SRD</v>
      </c>
      <c r="BF12" s="244">
        <f>+Model!BF170-Model!BE170</f>
        <v>642.10000000000014</v>
      </c>
      <c r="BG12" s="244">
        <f>+Model!BG170-Model!BF170</f>
        <v>264.30000000000007</v>
      </c>
      <c r="BH12" s="244">
        <f>+Model!BH170-Model!BG170</f>
        <v>404.49999999999989</v>
      </c>
      <c r="BI12" s="244">
        <f>+Model!BI170-Model!BH170</f>
        <v>289.49999999999977</v>
      </c>
      <c r="BJ12" s="244">
        <f>+Model!BJ170-Model!BI170</f>
        <v>336.70000000000005</v>
      </c>
      <c r="BK12" s="244">
        <f>+Model!BK170-Model!BJ170</f>
        <v>255.90000000000055</v>
      </c>
      <c r="BL12" s="244">
        <f>+Model!BL170-Model!BK170</f>
        <v>291.29999999999973</v>
      </c>
      <c r="BM12" s="244">
        <f>+Model!BM170-Model!BL170</f>
        <v>525.69999999999936</v>
      </c>
      <c r="BN12" s="244">
        <f>+Model!BN170-Model!BM170</f>
        <v>361.90000000000009</v>
      </c>
      <c r="BO12" s="244">
        <f>+Model!BO170-Model!BN170</f>
        <v>491.70000000000118</v>
      </c>
      <c r="BP12" s="244">
        <f>+Model!BP170-Model!BO170</f>
        <v>-21.100000000001273</v>
      </c>
      <c r="BQ12" s="244">
        <f>+Model!BQ170-Model!BP170</f>
        <v>33.600000000000819</v>
      </c>
      <c r="BR12" s="244">
        <f>+Model!BR170-Model!BQ170</f>
        <v>423.39999999999964</v>
      </c>
      <c r="BS12" s="244">
        <f>+Model!BS170-Model!BR170</f>
        <v>711.70000000000073</v>
      </c>
    </row>
    <row r="13" spans="1:85" s="1" customFormat="1">
      <c r="A13" s="244" t="str">
        <f>+Model!A171</f>
        <v>Shares and other equity and Other assets/liabilities (net)</v>
      </c>
      <c r="B13" s="244"/>
      <c r="C13" s="244" t="str">
        <f>+Model!C171</f>
        <v>mln SRD</v>
      </c>
      <c r="BF13" s="244">
        <f>+Model!BF171-Model!BE171</f>
        <v>325.89999999999998</v>
      </c>
      <c r="BG13" s="244">
        <f>+Model!BG171-Model!BF171</f>
        <v>156.40000000000003</v>
      </c>
      <c r="BH13" s="244">
        <f>+Model!BH171-Model!BG171</f>
        <v>156.69999999999999</v>
      </c>
      <c r="BI13" s="244">
        <f>+Model!BI171-Model!BH171</f>
        <v>60.400000000000091</v>
      </c>
      <c r="BJ13" s="244">
        <f>+Model!BJ171-Model!BI171</f>
        <v>10.799999999999841</v>
      </c>
      <c r="BK13" s="244">
        <f>+Model!BK171-Model!BJ171</f>
        <v>601.6</v>
      </c>
      <c r="BL13" s="244">
        <f>+Model!BL171-Model!BK171</f>
        <v>-103.89999999999986</v>
      </c>
      <c r="BM13" s="244">
        <f>+Model!BM171-Model!BL171</f>
        <v>-106.29999999999995</v>
      </c>
      <c r="BN13" s="244">
        <f>+Model!BN171-Model!BM171</f>
        <v>-45.900000000000091</v>
      </c>
      <c r="BO13" s="244">
        <f>+Model!BO171-Model!BN171</f>
        <v>269.09999999999991</v>
      </c>
      <c r="BP13" s="244">
        <f>+Model!BP171-Model!BO171</f>
        <v>-545</v>
      </c>
      <c r="BQ13" s="244">
        <f>+Model!BQ171-Model!BP171</f>
        <v>61.900000000000091</v>
      </c>
      <c r="BR13" s="244">
        <f>+Model!BR171-Model!BQ171</f>
        <v>61.699999999999932</v>
      </c>
      <c r="BS13" s="244">
        <f>+Model!BS171-Model!BR171</f>
        <v>-2057.4</v>
      </c>
    </row>
    <row r="14" spans="1:85" s="1" customFormat="1">
      <c r="A14" s="244" t="str">
        <f>+Model!A172</f>
        <v>Broad money liabilities (I+II+III-IV-V)</v>
      </c>
      <c r="B14" s="244"/>
      <c r="C14" s="244" t="str">
        <f>+Model!C172</f>
        <v>mln SRD</v>
      </c>
      <c r="BF14" s="244">
        <f t="shared" ref="BF14:BP14" ca="1" si="1">+BF4+BF8+BF9+BF11+BF12-BF13</f>
        <v>1479.0539183695132</v>
      </c>
      <c r="BG14" s="244">
        <f t="shared" si="1"/>
        <v>806.40000000000009</v>
      </c>
      <c r="BH14" s="244">
        <f t="shared" si="1"/>
        <v>743.39999999999964</v>
      </c>
      <c r="BI14" s="244">
        <f t="shared" si="1"/>
        <v>660</v>
      </c>
      <c r="BJ14" s="244">
        <f t="shared" si="1"/>
        <v>531.4000000000002</v>
      </c>
      <c r="BK14" s="244">
        <f t="shared" si="1"/>
        <v>1185.7000000000003</v>
      </c>
      <c r="BL14" s="244">
        <f t="shared" si="1"/>
        <v>1420.8</v>
      </c>
      <c r="BM14" s="244">
        <f t="shared" si="1"/>
        <v>896.19999999999948</v>
      </c>
      <c r="BN14" s="244">
        <f t="shared" si="1"/>
        <v>489.30000000000007</v>
      </c>
      <c r="BO14" s="244">
        <f t="shared" si="1"/>
        <v>1118.6000000000006</v>
      </c>
      <c r="BP14" s="244">
        <f t="shared" si="1"/>
        <v>5554.8999999999987</v>
      </c>
      <c r="BQ14" s="244">
        <f>+BQ4+BQ8+BQ9+BQ11+BQ12-BQ13</f>
        <v>1412.7000000000005</v>
      </c>
      <c r="BR14" s="244">
        <f>+BR4+BR8+BR9+BR11+BR12-BR13</f>
        <v>1598.0000000000005</v>
      </c>
      <c r="BS14" s="244">
        <f>+BS4+BS8+BS9+BS11+BS12-BS13</f>
        <v>1091.8999999999999</v>
      </c>
    </row>
    <row r="16" spans="1:85">
      <c r="A16" s="222" t="s">
        <v>2861</v>
      </c>
      <c r="B16" s="224" t="s">
        <v>1344</v>
      </c>
      <c r="C16" s="224" t="s">
        <v>1349</v>
      </c>
    </row>
    <row r="17" spans="1:71">
      <c r="A17" s="224" t="s">
        <v>2862</v>
      </c>
      <c r="BF17" s="243">
        <f>+Model!BF36</f>
        <v>11.3</v>
      </c>
      <c r="BG17" s="243">
        <f>+Model!BG36</f>
        <v>6.4</v>
      </c>
      <c r="BH17" s="243">
        <f>+Model!BH36</f>
        <v>14.7</v>
      </c>
      <c r="BI17" s="243">
        <f>+Model!BI36</f>
        <v>-0.1</v>
      </c>
      <c r="BJ17" s="243">
        <f>+Model!BJ36</f>
        <v>6.9</v>
      </c>
      <c r="BK17" s="243">
        <f>+Model!BK36</f>
        <v>17.7</v>
      </c>
      <c r="BL17" s="243">
        <f>+Model!BL36</f>
        <v>5</v>
      </c>
      <c r="BM17" s="243">
        <f>+Model!BM36</f>
        <v>1.9</v>
      </c>
      <c r="BN17" s="243">
        <f>+Model!BN36</f>
        <v>3.4</v>
      </c>
      <c r="BO17" s="243">
        <f>+Model!BO36</f>
        <v>6.9</v>
      </c>
      <c r="BP17" s="243">
        <f>+Model!BP36</f>
        <v>55.5</v>
      </c>
      <c r="BQ17" s="243">
        <f>+Model!BQ36</f>
        <v>22</v>
      </c>
      <c r="BR17" s="243">
        <f>+Model!BR36</f>
        <v>6.9</v>
      </c>
      <c r="BS17" s="243">
        <f>+Model!BS36</f>
        <v>4.4000000000000004</v>
      </c>
    </row>
    <row r="18" spans="1:71">
      <c r="A18" s="224" t="s">
        <v>2863</v>
      </c>
      <c r="BF18" s="372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18" s="372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18" s="372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18" s="372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18" s="372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18" s="372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18" s="372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18" s="372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18" s="372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18" s="372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18" s="372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18" s="372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18" s="372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18" s="372">
        <f>Model!BR257*(0.9*Model!BS42+0.1*Model!BR42)+Model!BR258*(Model!BS238-Model!BS243)+Model!BR259*(Model!BS240-Model!BS243)+Model!BR260*(0.75*Model!BS48+0.25*Model!BR48)+(Model!BS262-Model!BR262)*100+Assumptions!BS28</f>
        <v>7.3762848414363038</v>
      </c>
    </row>
    <row r="34" spans="1:85">
      <c r="A34" s="224" t="s">
        <v>2872</v>
      </c>
      <c r="F34" s="616">
        <f>+mamiabc!F144/mamiabc!F235</f>
        <v>0.44987364496216581</v>
      </c>
      <c r="G34" s="616">
        <f>+mamiabc!G144/mamiabc!G235</f>
        <v>0.41727200691694183</v>
      </c>
      <c r="H34" s="616">
        <f>+mamiabc!H144/mamiabc!H235</f>
        <v>0.38430514146273542</v>
      </c>
      <c r="I34" s="616">
        <f>+mamiabc!I144/mamiabc!I235</f>
        <v>0.36253976674425054</v>
      </c>
      <c r="J34" s="616">
        <f>+mamiabc!J144/mamiabc!J235</f>
        <v>0.3550737631184171</v>
      </c>
      <c r="K34" s="616">
        <f>+mamiabc!K144/mamiabc!K235</f>
        <v>0.32354498170228213</v>
      </c>
      <c r="L34" s="616">
        <f>+mamiabc!L144/mamiabc!L235</f>
        <v>0.33619157065261385</v>
      </c>
      <c r="M34" s="616">
        <f>+mamiabc!M144/mamiabc!M235</f>
        <v>0.34160221953759506</v>
      </c>
      <c r="N34" s="616">
        <f>+mamiabc!N144/mamiabc!N235</f>
        <v>0.33565470619246046</v>
      </c>
      <c r="O34" s="616">
        <f>+mamiabc!O144/mamiabc!O235</f>
        <v>0.32100909859840132</v>
      </c>
      <c r="P34" s="616">
        <f>+mamiabc!P144/mamiabc!P235</f>
        <v>0.33831792692922596</v>
      </c>
      <c r="Q34" s="616">
        <f>+mamiabc!Q144/mamiabc!Q235</f>
        <v>0.31113300565888063</v>
      </c>
      <c r="R34" s="616">
        <f>+mamiabc!R144/mamiabc!R235</f>
        <v>0.27809673325464751</v>
      </c>
      <c r="S34" s="616">
        <f>+mamiabc!S144/mamiabc!S235</f>
        <v>0.26358278298180393</v>
      </c>
      <c r="T34" s="616">
        <f>+mamiabc!T144/mamiabc!T235</f>
        <v>0.25747864805521253</v>
      </c>
      <c r="U34" s="616">
        <f>+mamiabc!U144/mamiabc!U235</f>
        <v>0.27580502944540797</v>
      </c>
      <c r="V34" s="616">
        <f>+mamiabc!V144/mamiabc!V235</f>
        <v>0.2837433303998626</v>
      </c>
      <c r="W34" s="616">
        <f>+mamiabc!W144/mamiabc!W235</f>
        <v>0.28432138081380592</v>
      </c>
      <c r="X34" s="616">
        <f>+mamiabc!X144/mamiabc!X235</f>
        <v>0.28389940209204123</v>
      </c>
      <c r="Y34" s="616">
        <f>+mamiabc!Y144/mamiabc!Y235</f>
        <v>0.26963637590069739</v>
      </c>
      <c r="Z34" s="616">
        <f>+mamiabc!Z144/mamiabc!Z235</f>
        <v>0.26302577390259479</v>
      </c>
      <c r="AA34" s="616">
        <f>+mamiabc!AA144/mamiabc!AA235</f>
        <v>0.22766585567618783</v>
      </c>
      <c r="AB34" s="616">
        <f>+mamiabc!AB144/mamiabc!AB235</f>
        <v>0.24232297818745663</v>
      </c>
      <c r="AC34" s="616">
        <f>+mamiabc!AC144/mamiabc!AC235</f>
        <v>0.21914370315306722</v>
      </c>
      <c r="AD34" s="616">
        <f>+mamiabc!AD144/mamiabc!AD235</f>
        <v>0.20863641363053448</v>
      </c>
      <c r="AE34" s="616">
        <f>+mamiabc!AE144/mamiabc!AE235</f>
        <v>0.21548309509988672</v>
      </c>
      <c r="AF34" s="616">
        <f>+mamiabc!AF144/mamiabc!AF235</f>
        <v>0.22891521202635681</v>
      </c>
      <c r="AG34" s="616">
        <f>+mamiabc!AG144/mamiabc!AG235</f>
        <v>0.30006783663780895</v>
      </c>
      <c r="AH34" s="616">
        <f>+mamiabc!AH144/mamiabc!AH235</f>
        <v>0.43336686924837586</v>
      </c>
      <c r="AI34" s="616">
        <f>+mamiabc!AI144/mamiabc!AI235</f>
        <v>0.47373870865818979</v>
      </c>
      <c r="AJ34" s="616">
        <f>+mamiabc!AJ144/mamiabc!AJ235</f>
        <v>0.5988720749935067</v>
      </c>
      <c r="AK34" s="616">
        <f>+mamiabc!AK144/mamiabc!AK235</f>
        <v>0.81837288344837589</v>
      </c>
      <c r="AL34" s="616">
        <f>+mamiabc!AL144/mamiabc!AL235</f>
        <v>1.0311875034025175</v>
      </c>
      <c r="AM34" s="616">
        <f>+mamiabc!AM144/mamiabc!AM235</f>
        <v>1.0851635810296729</v>
      </c>
      <c r="AN34" s="616">
        <f>+mamiabc!AN144/mamiabc!AN235</f>
        <v>1.0214122440581168</v>
      </c>
      <c r="AO34" s="616">
        <f>+mamiabc!AO144/mamiabc!AO235</f>
        <v>0.59484667029577221</v>
      </c>
      <c r="AP34" s="616">
        <f>+mamiabc!AP144/mamiabc!AP235</f>
        <v>0.68174575195656772</v>
      </c>
      <c r="AQ34" s="616">
        <f>+mamiabc!AQ144/mamiabc!AQ235</f>
        <v>0.75545479226303036</v>
      </c>
      <c r="AR34" s="616">
        <f>+mamiabc!AR144/mamiabc!AR235</f>
        <v>0.64856944268692807</v>
      </c>
      <c r="AS34" s="616">
        <f>+mamiabc!AS144/mamiabc!AS235</f>
        <v>0.54146549148612799</v>
      </c>
      <c r="AT34" s="616">
        <f>+mamiabc!AT144/mamiabc!AT235</f>
        <v>0.48208395462442288</v>
      </c>
      <c r="AU34" s="616">
        <f>+mamiabc!AU144/mamiabc!AU235</f>
        <v>0.26627306117905181</v>
      </c>
      <c r="AV34" s="616">
        <f>+mamiabc!AV144/mamiabc!AV235</f>
        <v>0.25809081858460198</v>
      </c>
      <c r="AW34" s="616">
        <f>+mamiabc!AW144/mamiabc!AW235</f>
        <v>0.2455184466323492</v>
      </c>
      <c r="AX34" s="616">
        <f>+mamiabc!AX144/mamiabc!AX235</f>
        <v>0.19464613895052621</v>
      </c>
      <c r="AY34" s="616">
        <f>+mamiabc!AY144/mamiabc!AY235</f>
        <v>0.17242863261682115</v>
      </c>
      <c r="AZ34" s="616">
        <f>+mamiabc!AZ144/mamiabc!AZ235</f>
        <v>0.23074373540316176</v>
      </c>
      <c r="BA34" s="616">
        <f>+mamiabc!BA144/mamiabc!BA235</f>
        <v>0.22976229621031283</v>
      </c>
      <c r="BB34" s="616">
        <f>+mamiabc!BB144/mamiabc!BB235</f>
        <v>0.19590823686072739</v>
      </c>
      <c r="BC34" s="616">
        <f>+mamiabc!BC144/mamiabc!BC235</f>
        <v>0.14699434623512131</v>
      </c>
      <c r="BD34" s="616">
        <f>+mamiabc!BD144/mamiabc!BD235</f>
        <v>0.15131532336072429</v>
      </c>
      <c r="BE34" s="616">
        <f ca="1">+mamiabc!BE144/mamiabc!BE235</f>
        <v>0.22742998501295159</v>
      </c>
      <c r="BF34" s="616">
        <f ca="1">+mamiabc!BF144/mamiabc!BF235</f>
        <v>0.28867634485293647</v>
      </c>
      <c r="BG34" s="616">
        <f ca="1">+mamiabc!BG144/mamiabc!BG235</f>
        <v>0.33671975477725186</v>
      </c>
    </row>
    <row r="35" spans="1:85">
      <c r="A35" s="1" t="s">
        <v>752</v>
      </c>
      <c r="J35" s="267">
        <f>+Model!I197</f>
        <v>0.15756302521008403</v>
      </c>
      <c r="K35" s="267">
        <f>+Model!J197</f>
        <v>0.15466309223075733</v>
      </c>
      <c r="L35" s="267">
        <f>+Model!K197</f>
        <v>0.18570964297321141</v>
      </c>
      <c r="M35" s="267">
        <f>+Model!L197</f>
        <v>0.16891178581985558</v>
      </c>
      <c r="N35" s="267">
        <f>+Model!M197</f>
        <v>0.19542700801250737</v>
      </c>
      <c r="O35" s="267">
        <f>+Model!N197</f>
        <v>0.18110692552883223</v>
      </c>
      <c r="P35" s="267">
        <f>+Model!O197</f>
        <v>0.20008003201280514</v>
      </c>
      <c r="Q35" s="267">
        <f>+Model!P197</f>
        <v>0.21867483052700637</v>
      </c>
      <c r="R35" s="267">
        <f>+Model!Q197</f>
        <v>0.21756275325664248</v>
      </c>
      <c r="S35" s="267">
        <f>+Model!R197</f>
        <v>0.19850459868986967</v>
      </c>
      <c r="T35" s="267">
        <f>+Model!S197</f>
        <v>0.19055241144076679</v>
      </c>
      <c r="U35" s="267">
        <f>+Model!T197</f>
        <v>0.17398263653287402</v>
      </c>
      <c r="V35" s="267">
        <f>+Model!U197</f>
        <v>0.16191447677336832</v>
      </c>
      <c r="W35" s="267">
        <f>+Model!V197</f>
        <v>0.15278838808250575</v>
      </c>
      <c r="X35" s="267">
        <f>+Model!W197</f>
        <v>0.27918144001786765</v>
      </c>
      <c r="Y35" s="267">
        <f>+Model!X197</f>
        <v>0.26933850463262232</v>
      </c>
      <c r="Z35" s="267">
        <f>+Model!Y197</f>
        <v>0.24752168908800634</v>
      </c>
      <c r="AA35" s="267">
        <f>+Model!Z197</f>
        <v>0.20496003279360528</v>
      </c>
      <c r="AB35" s="267">
        <f>+Model!AA197</f>
        <v>0.27078500573161596</v>
      </c>
      <c r="AC35" s="267">
        <f>+Model!AB197</f>
        <v>0.33247720453166441</v>
      </c>
      <c r="AD35" s="267">
        <f>+Model!AC197</f>
        <v>0.32748875076141143</v>
      </c>
      <c r="AE35" s="267">
        <f>+Model!AD197</f>
        <v>0.34276116972961851</v>
      </c>
      <c r="AF35" s="267">
        <f>+Model!AE197</f>
        <v>0.32217359787365424</v>
      </c>
      <c r="AG35" s="267">
        <f>+Model!AF197</f>
        <v>0.36995930447650754</v>
      </c>
      <c r="AH35" s="267">
        <f>+Model!AG197</f>
        <v>0.37810399750451368</v>
      </c>
      <c r="AI35" s="267">
        <f>+Model!AH197</f>
        <v>0.41328006612481055</v>
      </c>
      <c r="AJ35" s="267">
        <f>+Model!AI197</f>
        <v>0.52312945551735135</v>
      </c>
      <c r="AK35" s="267">
        <f>+Model!AJ197</f>
        <v>0.56588291882409525</v>
      </c>
      <c r="AL35" s="267">
        <f>+Model!AK197</f>
        <v>0.77006747716268642</v>
      </c>
      <c r="AM35" s="267">
        <f>+Model!AL197</f>
        <v>0.9289911250695565</v>
      </c>
      <c r="AN35" s="267">
        <f>+Model!AM197</f>
        <v>1.0718573143543133</v>
      </c>
      <c r="AO35" s="267">
        <f>+Model!AN197</f>
        <v>1.0857056000694854</v>
      </c>
      <c r="AP35" s="267">
        <f>+Model!AO197</f>
        <v>1.1460537034570557</v>
      </c>
      <c r="AQ35" s="267">
        <f>+Model!AP197</f>
        <v>0.97837281153450051</v>
      </c>
      <c r="AR35" s="267">
        <f>+Model!AQ197</f>
        <v>1.0488730194153091</v>
      </c>
      <c r="AS35" s="267">
        <f>+Model!AR197</f>
        <v>0.92272202998846597</v>
      </c>
      <c r="AT35" s="267">
        <f>+Model!AS197</f>
        <v>0.65166689532171773</v>
      </c>
      <c r="AU35" s="267">
        <f>+Model!AT197</f>
        <v>0.45972194833366198</v>
      </c>
      <c r="AV35" s="267">
        <f>+Model!AU197</f>
        <v>0.30129251544901087</v>
      </c>
      <c r="AW35" s="267">
        <f>+Model!AV197</f>
        <v>0.37374140915854626</v>
      </c>
      <c r="AX35" s="267">
        <f>+Model!AW197</f>
        <v>0.44202294309561785</v>
      </c>
      <c r="AY35" s="267">
        <f>+Model!AX197</f>
        <v>0.47103569338794621</v>
      </c>
      <c r="AZ35" s="267">
        <f>+Model!AY197</f>
        <v>0.45591110061531598</v>
      </c>
      <c r="BA35" s="267">
        <f>+Model!AZ197</f>
        <v>0.55598767953685546</v>
      </c>
      <c r="BB35" s="267">
        <f>+Model!BA197</f>
        <v>0.51596472041739039</v>
      </c>
      <c r="BC35" s="267">
        <f>+Model!BB197</f>
        <v>0.48935756255107199</v>
      </c>
      <c r="BD35" s="267">
        <f>+Model!BC197</f>
        <v>0.45172711470054783</v>
      </c>
      <c r="BE35" s="267">
        <f>+Model!BD197</f>
        <v>0.48258780036968574</v>
      </c>
      <c r="BF35" s="267">
        <f>+Model!BE197</f>
        <v>0.44415186772810777</v>
      </c>
      <c r="BG35" s="267">
        <f>+Model!BF197</f>
        <v>0.3876191665625911</v>
      </c>
      <c r="BH35" s="267">
        <f>+Model!BG197</f>
        <v>0.44625023261584268</v>
      </c>
      <c r="BI35" s="267">
        <f>+Model!BH197</f>
        <v>0.44715975294129778</v>
      </c>
      <c r="BJ35" s="267">
        <f>+Model!BI197</f>
        <v>0.4695066927357498</v>
      </c>
      <c r="BK35" s="267">
        <f>+Model!BJ197</f>
        <v>0.46085897553529576</v>
      </c>
      <c r="BL35" s="267">
        <f>+Model!BK197</f>
        <v>0.4643025186825353</v>
      </c>
      <c r="BM35" s="267">
        <f>+Model!BL197</f>
        <v>0.49462090787391993</v>
      </c>
      <c r="BN35" s="267">
        <f>+Model!BM197</f>
        <v>0.53165891290265588</v>
      </c>
      <c r="BO35" s="267">
        <f>+Model!BN197</f>
        <v>0.5504914999421765</v>
      </c>
      <c r="BP35" s="267">
        <f>+Model!BO197</f>
        <v>0.6504432353120988</v>
      </c>
      <c r="BQ35" s="267">
        <f>+Model!BP197</f>
        <v>0.83088408846015704</v>
      </c>
      <c r="BR35" s="267">
        <f>+Model!BQ197</f>
        <v>0.73229738725245463</v>
      </c>
      <c r="BS35" s="267">
        <f>+Model!BR197</f>
        <v>0.74388126792218856</v>
      </c>
      <c r="BT35" s="267">
        <f>+Model!BS197</f>
        <v>0.73582620049325409</v>
      </c>
      <c r="BU35" s="267">
        <f>+Model!BT197</f>
        <v>1.0090125952417974</v>
      </c>
      <c r="BV35" s="267">
        <f ca="1">+Model!BU197</f>
        <v>0.83462163604375605</v>
      </c>
      <c r="BW35" s="267">
        <f ca="1">+Model!BV197</f>
        <v>0.76681949693852691</v>
      </c>
      <c r="BX35" s="267">
        <f ca="1">+Model!BW197</f>
        <v>0.74589381958640666</v>
      </c>
      <c r="BY35" s="267">
        <f ca="1">+Model!BX197</f>
        <v>0.72621578540044385</v>
      </c>
      <c r="BZ35" s="267">
        <f ca="1">+Model!BY197</f>
        <v>0.69500824650061988</v>
      </c>
      <c r="CA35" s="267">
        <f ca="1">+Model!BZ197</f>
        <v>0.65769221794016353</v>
      </c>
      <c r="CB35" s="267">
        <f ca="1">+Model!CA197</f>
        <v>0.6148894402623144</v>
      </c>
      <c r="CC35" s="267">
        <f ca="1">+Model!CB197</f>
        <v>0.56665178659806759</v>
      </c>
      <c r="CD35" s="267">
        <f ca="1">+Model!CC197</f>
        <v>0.51350447452418324</v>
      </c>
      <c r="CE35" s="267">
        <f ca="1">+Model!CD197</f>
        <v>0.45652842911220343</v>
      </c>
      <c r="CF35" s="267">
        <f ca="1">+Model!CE197</f>
        <v>0.3975005943436552</v>
      </c>
      <c r="CG35" s="267">
        <f ca="1">+Model!CF197</f>
        <v>0.33896734490200869</v>
      </c>
    </row>
    <row r="36" spans="1:85">
      <c r="A36" s="243" t="s">
        <v>1656</v>
      </c>
      <c r="BF36" s="267"/>
      <c r="BG36" s="267">
        <f>+Model!BG190</f>
        <v>0.23239253148067737</v>
      </c>
      <c r="BH36" s="267">
        <f>+Model!BH190</f>
        <v>0.22236314329610959</v>
      </c>
      <c r="BI36" s="267">
        <f>+Model!BI190</f>
        <v>0.25375056399458568</v>
      </c>
      <c r="BJ36" s="267">
        <f>+Model!BJ190</f>
        <v>0.26235538465388242</v>
      </c>
      <c r="BK36" s="267">
        <f>+Model!BK190</f>
        <v>0.2365416551342375</v>
      </c>
      <c r="BL36" s="267">
        <f>+Model!BL190</f>
        <v>0.26695874406717784</v>
      </c>
      <c r="BM36" s="267">
        <f>+Model!BM190</f>
        <v>0.27994817737471284</v>
      </c>
      <c r="BN36" s="267">
        <f>+Model!BN190</f>
        <v>0.28815774256967736</v>
      </c>
      <c r="BO36" s="267">
        <f>+Model!BO190</f>
        <v>0.30988567585743104</v>
      </c>
      <c r="BP36" s="267">
        <f>+Model!BP190</f>
        <v>0.29356560110831759</v>
      </c>
      <c r="BQ36" s="267">
        <f>+Model!BQ190</f>
        <v>0.26700782160093189</v>
      </c>
      <c r="BR36" s="267">
        <f>+Model!BR190</f>
        <v>0.29952724172673018</v>
      </c>
      <c r="BS36" s="267">
        <f>+Model!BS190</f>
        <v>0.34419701146090237</v>
      </c>
      <c r="BT36" s="267">
        <f>+Model!BT190</f>
        <v>0.38481729124552944</v>
      </c>
      <c r="BU36" s="267">
        <f ca="1">+Model!BU190</f>
        <v>0.31048970913639745</v>
      </c>
      <c r="BV36" s="267">
        <f ca="1">+Model!BV190</f>
        <v>0.3150969371619875</v>
      </c>
      <c r="BW36" s="267">
        <f ca="1">+Model!BW190</f>
        <v>0.34110712397383436</v>
      </c>
      <c r="BX36" s="267">
        <f ca="1">+Model!BX190</f>
        <v>0.35377678226802445</v>
      </c>
      <c r="BY36" s="267">
        <f ca="1">+Model!BY190</f>
        <v>0.35913937074276714</v>
      </c>
      <c r="BZ36" s="267">
        <f ca="1">+Model!BZ190</f>
        <v>0.35779420408728985</v>
      </c>
      <c r="CA36" s="267">
        <f ca="1">+Model!CA190</f>
        <v>0.34967805978480926</v>
      </c>
      <c r="CB36" s="267">
        <f ca="1">+Model!CB190</f>
        <v>0.33485912971231607</v>
      </c>
      <c r="CC36" s="267">
        <f ca="1">+Model!CC190</f>
        <v>0.313812642140603</v>
      </c>
      <c r="CD36" s="267">
        <f ca="1">+Model!CD190</f>
        <v>0.28751889364442107</v>
      </c>
      <c r="CE36" s="267">
        <f ca="1">+Model!CE190</f>
        <v>0.25757070640046287</v>
      </c>
      <c r="CF36" s="267">
        <f ca="1">+Model!CF190</f>
        <v>0.22622424133686661</v>
      </c>
      <c r="CG36" s="267">
        <f ca="1">+Model!CG190</f>
        <v>0.19631039255132196</v>
      </c>
    </row>
    <row r="37" spans="1:85">
      <c r="A37" s="243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</row>
    <row r="38" spans="1:85">
      <c r="A38" s="243" t="str">
        <f>+Model!A192</f>
        <v>gem creditrente SRD deposito's</v>
      </c>
      <c r="BF38" s="243">
        <f>+Model!BF192</f>
        <v>6.6</v>
      </c>
      <c r="BG38" s="243">
        <f>+Model!BG192</f>
        <v>6.3</v>
      </c>
      <c r="BH38" s="243">
        <f>+Model!BH192</f>
        <v>6.4</v>
      </c>
      <c r="BI38" s="243">
        <f>+Model!BI192</f>
        <v>6.2</v>
      </c>
      <c r="BJ38" s="243">
        <f>+Model!BJ192</f>
        <v>6.2</v>
      </c>
      <c r="BK38" s="243">
        <f>+Model!BK192</f>
        <v>6.6</v>
      </c>
      <c r="BL38" s="243">
        <f>+Model!BL192</f>
        <v>7</v>
      </c>
      <c r="BM38" s="243">
        <f>+Model!BM192</f>
        <v>7.2</v>
      </c>
      <c r="BN38" s="243">
        <f>+Model!BN192</f>
        <v>7.4</v>
      </c>
      <c r="BO38" s="243">
        <f>+Model!BO192</f>
        <v>7.7</v>
      </c>
      <c r="BP38" s="243">
        <f>+Model!BP192</f>
        <v>8.5</v>
      </c>
      <c r="BQ38" s="243">
        <f>+Model!BQ192</f>
        <v>9.1</v>
      </c>
      <c r="BR38" s="243">
        <f>+Model!BR192</f>
        <v>9.1999999999999993</v>
      </c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</row>
    <row r="39" spans="1:85">
      <c r="A39" s="243" t="str">
        <f>+Model!A193</f>
        <v>gem creditrente US$ deposito's</v>
      </c>
      <c r="BF39" s="243">
        <f>+Model!BF193</f>
        <v>2.8</v>
      </c>
      <c r="BG39" s="243">
        <f>+Model!BG193</f>
        <v>3.1</v>
      </c>
      <c r="BH39" s="243">
        <f>+Model!BH193</f>
        <v>3</v>
      </c>
      <c r="BI39" s="243">
        <f>+Model!BI193</f>
        <v>2.9</v>
      </c>
      <c r="BJ39" s="243">
        <f>+Model!BJ193</f>
        <v>2.7</v>
      </c>
      <c r="BK39" s="243">
        <f>+Model!BK193</f>
        <v>2.6</v>
      </c>
      <c r="BL39" s="243">
        <f>+Model!BL193</f>
        <v>2.6</v>
      </c>
      <c r="BM39" s="243">
        <f>+Model!BM193</f>
        <v>2.8</v>
      </c>
      <c r="BN39" s="243">
        <f>+Model!BN193</f>
        <v>3.3</v>
      </c>
      <c r="BO39" s="243">
        <f>+Model!BO193</f>
        <v>3.8</v>
      </c>
      <c r="BP39" s="243">
        <f>+Model!BP193</f>
        <v>3.7</v>
      </c>
      <c r="BQ39" s="243">
        <f>+Model!BQ193</f>
        <v>3.4</v>
      </c>
      <c r="BR39" s="243">
        <f>+Model!BR193</f>
        <v>3</v>
      </c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</row>
    <row r="40" spans="1:85">
      <c r="A40" s="243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</row>
    <row r="41" spans="1:85">
      <c r="A41" s="243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A1:E890"/>
  <sheetViews>
    <sheetView zoomScaleNormal="200" workbookViewId="0">
      <pane ySplit="2" topLeftCell="A18" activePane="bottomLeft" state="frozen"/>
      <selection pane="bottomLeft" activeCell="A18" sqref="A18"/>
    </sheetView>
  </sheetViews>
  <sheetFormatPr defaultRowHeight="15.75"/>
  <cols>
    <col min="1" max="1" width="84.5" style="1" customWidth="1"/>
    <col min="2" max="5" width="10.6640625" style="1" customWidth="1"/>
  </cols>
  <sheetData>
    <row r="1" spans="1:1">
      <c r="A1" s="273" t="s">
        <v>1464</v>
      </c>
    </row>
    <row r="2" spans="1:1">
      <c r="A2" s="273" t="s">
        <v>2490</v>
      </c>
    </row>
    <row r="3" spans="1:1">
      <c r="A3" s="222"/>
    </row>
    <row r="4" spans="1:1">
      <c r="A4" s="1" t="s">
        <v>1465</v>
      </c>
    </row>
    <row r="5" spans="1:1" ht="16.5" customHeight="1"/>
    <row r="8" spans="1:1">
      <c r="A8" s="222" t="s">
        <v>1422</v>
      </c>
    </row>
    <row r="9" spans="1:1">
      <c r="A9" s="1" t="s">
        <v>1423</v>
      </c>
    </row>
    <row r="10" spans="1:1">
      <c r="A10" s="1" t="s">
        <v>1424</v>
      </c>
    </row>
    <row r="11" spans="1:1">
      <c r="A11" s="1" t="s">
        <v>1425</v>
      </c>
    </row>
    <row r="13" spans="1:1">
      <c r="A13" s="223" t="s">
        <v>1426</v>
      </c>
    </row>
    <row r="14" spans="1:1">
      <c r="A14" s="223" t="s">
        <v>3087</v>
      </c>
    </row>
    <row r="15" spans="1:1">
      <c r="A15" s="223" t="s">
        <v>1466</v>
      </c>
    </row>
    <row r="16" spans="1:1">
      <c r="A16" s="223" t="s">
        <v>3274</v>
      </c>
    </row>
    <row r="17" spans="1:2">
      <c r="A17" s="20" t="s">
        <v>3273</v>
      </c>
      <c r="B17" s="20"/>
    </row>
    <row r="18" spans="1:2">
      <c r="A18" s="222" t="s">
        <v>1427</v>
      </c>
      <c r="B18" s="222" t="s">
        <v>1463</v>
      </c>
    </row>
    <row r="19" spans="1:2">
      <c r="A19" s="273" t="s">
        <v>1428</v>
      </c>
      <c r="B19" s="1">
        <v>35</v>
      </c>
    </row>
    <row r="20" spans="1:2">
      <c r="A20" s="273" t="s">
        <v>1601</v>
      </c>
      <c r="B20" s="1">
        <v>88</v>
      </c>
    </row>
    <row r="21" spans="1:2">
      <c r="A21" s="273" t="s">
        <v>1212</v>
      </c>
      <c r="B21" s="1">
        <v>124</v>
      </c>
    </row>
    <row r="22" spans="1:2">
      <c r="A22" s="273" t="s">
        <v>1429</v>
      </c>
      <c r="B22" s="1">
        <v>296</v>
      </c>
    </row>
    <row r="23" spans="1:2">
      <c r="A23" s="273" t="s">
        <v>2684</v>
      </c>
      <c r="B23" s="1">
        <v>357</v>
      </c>
    </row>
    <row r="24" spans="1:2">
      <c r="A24" s="273" t="s">
        <v>1430</v>
      </c>
      <c r="B24" s="1">
        <v>373</v>
      </c>
    </row>
    <row r="25" spans="1:2">
      <c r="A25" s="273" t="s">
        <v>1213</v>
      </c>
      <c r="B25" s="1">
        <v>419</v>
      </c>
    </row>
    <row r="26" spans="1:2">
      <c r="A26" s="273" t="s">
        <v>1602</v>
      </c>
      <c r="B26" s="1">
        <v>451</v>
      </c>
    </row>
    <row r="27" spans="1:2">
      <c r="A27" s="273" t="s">
        <v>1603</v>
      </c>
      <c r="B27" s="1">
        <v>485</v>
      </c>
    </row>
    <row r="28" spans="1:2">
      <c r="A28" s="273" t="s">
        <v>1604</v>
      </c>
      <c r="B28" s="1">
        <v>573</v>
      </c>
    </row>
    <row r="29" spans="1:2">
      <c r="A29" s="273" t="s">
        <v>1605</v>
      </c>
      <c r="B29" s="1">
        <v>610</v>
      </c>
    </row>
    <row r="30" spans="1:2">
      <c r="A30" s="273" t="s">
        <v>1431</v>
      </c>
      <c r="B30" s="1">
        <v>654</v>
      </c>
    </row>
    <row r="31" spans="1:2">
      <c r="A31" s="273" t="s">
        <v>1432</v>
      </c>
      <c r="B31" s="1">
        <v>777</v>
      </c>
    </row>
    <row r="32" spans="1:2">
      <c r="A32" s="273" t="s">
        <v>1433</v>
      </c>
      <c r="B32" s="1">
        <v>843</v>
      </c>
    </row>
    <row r="33" spans="1:2">
      <c r="A33" s="273" t="s">
        <v>3205</v>
      </c>
      <c r="B33" s="1">
        <v>885</v>
      </c>
    </row>
    <row r="34" spans="1:2">
      <c r="A34" s="222" t="s">
        <v>1434</v>
      </c>
    </row>
    <row r="35" spans="1:2">
      <c r="A35" s="1" t="s">
        <v>1435</v>
      </c>
    </row>
    <row r="36" spans="1:2">
      <c r="A36" s="1" t="s">
        <v>1436</v>
      </c>
    </row>
    <row r="37" spans="1:2">
      <c r="A37" s="1" t="s">
        <v>1467</v>
      </c>
    </row>
    <row r="38" spans="1:2">
      <c r="A38" s="1" t="s">
        <v>1437</v>
      </c>
    </row>
    <row r="39" spans="1:2">
      <c r="A39" s="1" t="s">
        <v>1438</v>
      </c>
    </row>
    <row r="40" spans="1:2">
      <c r="A40" s="1" t="s">
        <v>1439</v>
      </c>
    </row>
    <row r="41" spans="1:2">
      <c r="A41" s="1" t="s">
        <v>3253</v>
      </c>
    </row>
    <row r="42" spans="1:2">
      <c r="A42" s="1" t="s">
        <v>3254</v>
      </c>
    </row>
    <row r="43" spans="1:2">
      <c r="A43" s="1" t="s">
        <v>3255</v>
      </c>
    </row>
    <row r="44" spans="1:2">
      <c r="A44" s="1" t="s">
        <v>3088</v>
      </c>
    </row>
    <row r="45" spans="1:2">
      <c r="A45" s="1" t="s">
        <v>3089</v>
      </c>
    </row>
    <row r="46" spans="1:2">
      <c r="A46" s="1" t="s">
        <v>3090</v>
      </c>
    </row>
    <row r="47" spans="1:2">
      <c r="A47" s="1" t="s">
        <v>3091</v>
      </c>
    </row>
    <row r="48" spans="1:2">
      <c r="A48" s="1" t="s">
        <v>3092</v>
      </c>
    </row>
    <row r="49" spans="1:1">
      <c r="A49" s="1" t="s">
        <v>3093</v>
      </c>
    </row>
    <row r="50" spans="1:1">
      <c r="A50" s="1" t="s">
        <v>255</v>
      </c>
    </row>
    <row r="51" spans="1:1">
      <c r="A51" s="1" t="s">
        <v>256</v>
      </c>
    </row>
    <row r="52" spans="1:1">
      <c r="A52" s="1" t="s">
        <v>257</v>
      </c>
    </row>
    <row r="53" spans="1:1">
      <c r="A53" s="1" t="s">
        <v>258</v>
      </c>
    </row>
    <row r="54" spans="1:1">
      <c r="A54" s="1" t="s">
        <v>259</v>
      </c>
    </row>
    <row r="55" spans="1:1">
      <c r="A55" s="1" t="s">
        <v>260</v>
      </c>
    </row>
    <row r="56" spans="1:1">
      <c r="A56" s="1" t="s">
        <v>261</v>
      </c>
    </row>
    <row r="57" spans="1:1">
      <c r="A57" s="1" t="s">
        <v>262</v>
      </c>
    </row>
    <row r="58" spans="1:1">
      <c r="A58" s="1" t="s">
        <v>1353</v>
      </c>
    </row>
    <row r="59" spans="1:1">
      <c r="A59" s="1" t="s">
        <v>1354</v>
      </c>
    </row>
    <row r="60" spans="1:1">
      <c r="A60" s="1" t="s">
        <v>1355</v>
      </c>
    </row>
    <row r="61" spans="1:1">
      <c r="A61" s="1" t="s">
        <v>1356</v>
      </c>
    </row>
    <row r="62" spans="1:1">
      <c r="A62" s="1" t="s">
        <v>1357</v>
      </c>
    </row>
    <row r="63" spans="1:1">
      <c r="A63" s="1" t="s">
        <v>1358</v>
      </c>
    </row>
    <row r="64" spans="1:1">
      <c r="A64" s="1" t="s">
        <v>1359</v>
      </c>
    </row>
    <row r="65" spans="1:1">
      <c r="A65" s="1" t="s">
        <v>1440</v>
      </c>
    </row>
    <row r="66" spans="1:1">
      <c r="A66" s="1" t="s">
        <v>2926</v>
      </c>
    </row>
    <row r="67" spans="1:1">
      <c r="A67" s="1" t="s">
        <v>2927</v>
      </c>
    </row>
    <row r="68" spans="1:1">
      <c r="A68" s="1" t="s">
        <v>2928</v>
      </c>
    </row>
    <row r="69" spans="1:1">
      <c r="A69" s="1" t="s">
        <v>2929</v>
      </c>
    </row>
    <row r="70" spans="1:1">
      <c r="A70" s="1" t="s">
        <v>1284</v>
      </c>
    </row>
    <row r="71" spans="1:1">
      <c r="A71" s="1" t="s">
        <v>3065</v>
      </c>
    </row>
    <row r="72" spans="1:1">
      <c r="A72" s="1" t="s">
        <v>2501</v>
      </c>
    </row>
    <row r="73" spans="1:1">
      <c r="A73" s="1" t="s">
        <v>2502</v>
      </c>
    </row>
    <row r="74" spans="1:1">
      <c r="A74" s="1" t="s">
        <v>2503</v>
      </c>
    </row>
    <row r="75" spans="1:1">
      <c r="A75" s="1" t="s">
        <v>2504</v>
      </c>
    </row>
    <row r="76" spans="1:1">
      <c r="A76" s="1" t="s">
        <v>2505</v>
      </c>
    </row>
    <row r="77" spans="1:1">
      <c r="A77" s="1" t="s">
        <v>2506</v>
      </c>
    </row>
    <row r="78" spans="1:1">
      <c r="A78" s="1" t="s">
        <v>2507</v>
      </c>
    </row>
    <row r="79" spans="1:1">
      <c r="A79" s="1" t="s">
        <v>2508</v>
      </c>
    </row>
    <row r="80" spans="1:1">
      <c r="A80" s="1" t="s">
        <v>2509</v>
      </c>
    </row>
    <row r="81" spans="1:1">
      <c r="A81" s="1" t="s">
        <v>2510</v>
      </c>
    </row>
    <row r="82" spans="1:1">
      <c r="A82" s="1" t="s">
        <v>2511</v>
      </c>
    </row>
    <row r="83" spans="1:1">
      <c r="A83" s="1" t="s">
        <v>2512</v>
      </c>
    </row>
    <row r="84" spans="1:1">
      <c r="A84" s="1" t="s">
        <v>2513</v>
      </c>
    </row>
    <row r="85" spans="1:1">
      <c r="A85" s="1" t="s">
        <v>2514</v>
      </c>
    </row>
    <row r="86" spans="1:1">
      <c r="A86" s="1" t="s">
        <v>2330</v>
      </c>
    </row>
    <row r="88" spans="1:1">
      <c r="A88" s="222" t="s">
        <v>2331</v>
      </c>
    </row>
    <row r="89" spans="1:1">
      <c r="A89" s="1" t="s">
        <v>2332</v>
      </c>
    </row>
    <row r="90" spans="1:1">
      <c r="A90" s="1" t="s">
        <v>3188</v>
      </c>
    </row>
    <row r="91" spans="1:1">
      <c r="A91" s="1" t="s">
        <v>3189</v>
      </c>
    </row>
    <row r="92" spans="1:1">
      <c r="A92" s="1" t="s">
        <v>3190</v>
      </c>
    </row>
    <row r="93" spans="1:1">
      <c r="A93" s="1" t="s">
        <v>3191</v>
      </c>
    </row>
    <row r="94" spans="1:1">
      <c r="A94" s="1" t="s">
        <v>3192</v>
      </c>
    </row>
    <row r="95" spans="1:1">
      <c r="A95" s="1" t="s">
        <v>2302</v>
      </c>
    </row>
    <row r="96" spans="1:1">
      <c r="A96" s="1" t="s">
        <v>2303</v>
      </c>
    </row>
    <row r="97" spans="1:1">
      <c r="A97" s="1" t="s">
        <v>2304</v>
      </c>
    </row>
    <row r="98" spans="1:1">
      <c r="A98" s="1" t="s">
        <v>2305</v>
      </c>
    </row>
    <row r="99" spans="1:1">
      <c r="A99" s="1" t="s">
        <v>2306</v>
      </c>
    </row>
    <row r="100" spans="1:1">
      <c r="A100" s="1" t="s">
        <v>2307</v>
      </c>
    </row>
    <row r="101" spans="1:1">
      <c r="A101" s="1" t="s">
        <v>2308</v>
      </c>
    </row>
    <row r="103" spans="1:1">
      <c r="A103" s="1" t="s">
        <v>2309</v>
      </c>
    </row>
    <row r="104" spans="1:1">
      <c r="A104" s="1" t="s">
        <v>1462</v>
      </c>
    </row>
    <row r="105" spans="1:1">
      <c r="A105" s="1" t="s">
        <v>2310</v>
      </c>
    </row>
    <row r="106" spans="1:1">
      <c r="A106" s="1" t="s">
        <v>2311</v>
      </c>
    </row>
    <row r="107" spans="1:1">
      <c r="A107" s="1" t="s">
        <v>2312</v>
      </c>
    </row>
    <row r="108" spans="1:1">
      <c r="A108" s="1" t="s">
        <v>2313</v>
      </c>
    </row>
    <row r="109" spans="1:1">
      <c r="A109" s="1" t="s">
        <v>2314</v>
      </c>
    </row>
    <row r="110" spans="1:1">
      <c r="A110" s="1" t="s">
        <v>2315</v>
      </c>
    </row>
    <row r="111" spans="1:1">
      <c r="A111" s="1" t="s">
        <v>2316</v>
      </c>
    </row>
    <row r="112" spans="1:1">
      <c r="A112" s="1" t="s">
        <v>2317</v>
      </c>
    </row>
    <row r="113" spans="1:1">
      <c r="A113" s="1" t="s">
        <v>2318</v>
      </c>
    </row>
    <row r="115" spans="1:1">
      <c r="A115" s="1" t="s">
        <v>2319</v>
      </c>
    </row>
    <row r="116" spans="1:1">
      <c r="A116" s="1" t="s">
        <v>2320</v>
      </c>
    </row>
    <row r="117" spans="1:1">
      <c r="A117" s="1" t="s">
        <v>1279</v>
      </c>
    </row>
    <row r="118" spans="1:1">
      <c r="A118" s="1" t="s">
        <v>1280</v>
      </c>
    </row>
    <row r="119" spans="1:1">
      <c r="A119" s="1" t="s">
        <v>1657</v>
      </c>
    </row>
    <row r="120" spans="1:1">
      <c r="A120" s="1" t="s">
        <v>1658</v>
      </c>
    </row>
    <row r="121" spans="1:1">
      <c r="A121" s="1" t="s">
        <v>1659</v>
      </c>
    </row>
    <row r="122" spans="1:1">
      <c r="A122" s="1" t="s">
        <v>1660</v>
      </c>
    </row>
    <row r="124" spans="1:1">
      <c r="A124" s="222" t="s">
        <v>1661</v>
      </c>
    </row>
    <row r="125" spans="1:1">
      <c r="A125" s="1" t="s">
        <v>1662</v>
      </c>
    </row>
    <row r="126" spans="1:1">
      <c r="A126" s="1" t="s">
        <v>1663</v>
      </c>
    </row>
    <row r="127" spans="1:1">
      <c r="A127" s="1" t="s">
        <v>1780</v>
      </c>
    </row>
    <row r="128" spans="1:1">
      <c r="A128" s="1" t="s">
        <v>1781</v>
      </c>
    </row>
    <row r="129" spans="1:1">
      <c r="A129" s="1" t="s">
        <v>1782</v>
      </c>
    </row>
    <row r="130" spans="1:1">
      <c r="A130" s="1" t="s">
        <v>1783</v>
      </c>
    </row>
    <row r="131" spans="1:1">
      <c r="A131" s="1" t="s">
        <v>1784</v>
      </c>
    </row>
    <row r="132" spans="1:1">
      <c r="A132" s="1" t="s">
        <v>1785</v>
      </c>
    </row>
    <row r="133" spans="1:1">
      <c r="A133" s="1" t="s">
        <v>1786</v>
      </c>
    </row>
    <row r="134" spans="1:1">
      <c r="A134" s="1" t="s">
        <v>1173</v>
      </c>
    </row>
    <row r="135" spans="1:1">
      <c r="A135" s="1" t="s">
        <v>1174</v>
      </c>
    </row>
    <row r="136" spans="1:1">
      <c r="A136" s="1" t="s">
        <v>1175</v>
      </c>
    </row>
    <row r="137" spans="1:1">
      <c r="A137" s="1" t="s">
        <v>1176</v>
      </c>
    </row>
    <row r="138" spans="1:1">
      <c r="A138" s="1" t="s">
        <v>1177</v>
      </c>
    </row>
    <row r="139" spans="1:1">
      <c r="A139" s="1" t="s">
        <v>1178</v>
      </c>
    </row>
    <row r="141" spans="1:1">
      <c r="A141" s="1" t="s">
        <v>1179</v>
      </c>
    </row>
    <row r="142" spans="1:1">
      <c r="A142" s="1" t="s">
        <v>1180</v>
      </c>
    </row>
    <row r="143" spans="1:1">
      <c r="A143" s="1" t="s">
        <v>926</v>
      </c>
    </row>
    <row r="144" spans="1:1">
      <c r="A144" s="1" t="s">
        <v>1701</v>
      </c>
    </row>
    <row r="145" spans="1:1">
      <c r="A145" s="1" t="s">
        <v>1702</v>
      </c>
    </row>
    <row r="146" spans="1:1">
      <c r="A146" s="1" t="s">
        <v>1703</v>
      </c>
    </row>
    <row r="147" spans="1:1">
      <c r="A147" s="1" t="s">
        <v>1344</v>
      </c>
    </row>
    <row r="149" spans="1:1">
      <c r="A149" s="1" t="s">
        <v>1704</v>
      </c>
    </row>
    <row r="150" spans="1:1">
      <c r="A150" s="1" t="s">
        <v>1705</v>
      </c>
    </row>
    <row r="151" spans="1:1">
      <c r="A151" s="1" t="s">
        <v>1706</v>
      </c>
    </row>
    <row r="152" spans="1:1">
      <c r="A152" s="1" t="s">
        <v>1707</v>
      </c>
    </row>
    <row r="153" spans="1:1">
      <c r="A153" s="1" t="s">
        <v>1708</v>
      </c>
    </row>
    <row r="154" spans="1:1">
      <c r="A154" s="1" t="s">
        <v>1709</v>
      </c>
    </row>
    <row r="155" spans="1:1">
      <c r="A155" s="1" t="s">
        <v>1710</v>
      </c>
    </row>
    <row r="156" spans="1:1">
      <c r="A156" s="1" t="s">
        <v>1711</v>
      </c>
    </row>
    <row r="157" spans="1:1">
      <c r="A157" s="1" t="s">
        <v>1573</v>
      </c>
    </row>
    <row r="158" spans="1:1">
      <c r="A158" s="1" t="s">
        <v>1574</v>
      </c>
    </row>
    <row r="159" spans="1:1">
      <c r="A159" s="1" t="s">
        <v>1575</v>
      </c>
    </row>
    <row r="160" spans="1:1">
      <c r="A160" s="1" t="s">
        <v>1576</v>
      </c>
    </row>
    <row r="161" spans="1:1">
      <c r="A161" s="1" t="s">
        <v>1577</v>
      </c>
    </row>
    <row r="162" spans="1:1">
      <c r="A162" s="1" t="s">
        <v>1276</v>
      </c>
    </row>
    <row r="163" spans="1:1">
      <c r="A163" s="1" t="s">
        <v>1277</v>
      </c>
    </row>
    <row r="164" spans="1:1">
      <c r="A164" s="1" t="s">
        <v>1278</v>
      </c>
    </row>
    <row r="165" spans="1:1">
      <c r="A165" s="1" t="s">
        <v>401</v>
      </c>
    </row>
    <row r="166" spans="1:1">
      <c r="A166" s="1" t="s">
        <v>402</v>
      </c>
    </row>
    <row r="167" spans="1:1">
      <c r="A167" s="1" t="s">
        <v>403</v>
      </c>
    </row>
    <row r="168" spans="1:1">
      <c r="A168" s="1" t="s">
        <v>404</v>
      </c>
    </row>
    <row r="169" spans="1:1">
      <c r="A169" s="1" t="s">
        <v>405</v>
      </c>
    </row>
    <row r="170" spans="1:1">
      <c r="A170" s="1" t="s">
        <v>406</v>
      </c>
    </row>
    <row r="171" spans="1:1">
      <c r="A171" s="1" t="s">
        <v>407</v>
      </c>
    </row>
    <row r="172" spans="1:1">
      <c r="A172" s="1" t="s">
        <v>1969</v>
      </c>
    </row>
    <row r="173" spans="1:1">
      <c r="A173" s="1" t="s">
        <v>1970</v>
      </c>
    </row>
    <row r="174" spans="1:1">
      <c r="A174" s="1" t="s">
        <v>1971</v>
      </c>
    </row>
    <row r="175" spans="1:1">
      <c r="A175" s="1" t="s">
        <v>1972</v>
      </c>
    </row>
    <row r="176" spans="1:1">
      <c r="A176" s="1" t="s">
        <v>1973</v>
      </c>
    </row>
    <row r="177" spans="1:1">
      <c r="A177" s="1" t="s">
        <v>1974</v>
      </c>
    </row>
    <row r="178" spans="1:1">
      <c r="A178" s="1" t="s">
        <v>1975</v>
      </c>
    </row>
    <row r="179" spans="1:1">
      <c r="A179" s="1" t="s">
        <v>1976</v>
      </c>
    </row>
    <row r="180" spans="1:1">
      <c r="A180" s="1" t="s">
        <v>2873</v>
      </c>
    </row>
    <row r="181" spans="1:1">
      <c r="A181" s="1" t="s">
        <v>177</v>
      </c>
    </row>
    <row r="182" spans="1:1">
      <c r="A182" s="1" t="s">
        <v>178</v>
      </c>
    </row>
    <row r="183" spans="1:1">
      <c r="A183" s="1" t="s">
        <v>179</v>
      </c>
    </row>
    <row r="184" spans="1:1">
      <c r="A184" s="1" t="s">
        <v>180</v>
      </c>
    </row>
    <row r="185" spans="1:1">
      <c r="A185" s="1" t="s">
        <v>181</v>
      </c>
    </row>
    <row r="186" spans="1:1">
      <c r="A186" s="1" t="s">
        <v>182</v>
      </c>
    </row>
    <row r="187" spans="1:1">
      <c r="A187" s="1" t="s">
        <v>3034</v>
      </c>
    </row>
    <row r="188" spans="1:1">
      <c r="A188" s="1" t="s">
        <v>3035</v>
      </c>
    </row>
    <row r="189" spans="1:1">
      <c r="A189" s="1" t="s">
        <v>3219</v>
      </c>
    </row>
    <row r="190" spans="1:1">
      <c r="A190" s="1" t="s">
        <v>3220</v>
      </c>
    </row>
    <row r="191" spans="1:1">
      <c r="A191" s="1" t="s">
        <v>3221</v>
      </c>
    </row>
    <row r="192" spans="1:1">
      <c r="A192" s="1" t="s">
        <v>3222</v>
      </c>
    </row>
    <row r="193" spans="1:1">
      <c r="A193" s="1" t="s">
        <v>3223</v>
      </c>
    </row>
    <row r="194" spans="1:1">
      <c r="A194" s="1" t="s">
        <v>3224</v>
      </c>
    </row>
    <row r="195" spans="1:1">
      <c r="A195" s="1" t="s">
        <v>3225</v>
      </c>
    </row>
    <row r="196" spans="1:1">
      <c r="A196" s="1" t="s">
        <v>3226</v>
      </c>
    </row>
    <row r="197" spans="1:1">
      <c r="A197" s="1" t="s">
        <v>3227</v>
      </c>
    </row>
    <row r="198" spans="1:1">
      <c r="A198" s="1" t="s">
        <v>3228</v>
      </c>
    </row>
    <row r="199" spans="1:1">
      <c r="A199" s="1" t="s">
        <v>3229</v>
      </c>
    </row>
    <row r="201" spans="1:1">
      <c r="A201" s="1" t="s">
        <v>1790</v>
      </c>
    </row>
    <row r="202" spans="1:1">
      <c r="A202" s="1" t="s">
        <v>840</v>
      </c>
    </row>
    <row r="203" spans="1:1">
      <c r="A203" s="1" t="s">
        <v>385</v>
      </c>
    </row>
    <row r="204" spans="1:1">
      <c r="A204" s="1" t="s">
        <v>386</v>
      </c>
    </row>
    <row r="205" spans="1:1">
      <c r="A205" s="1" t="s">
        <v>387</v>
      </c>
    </row>
    <row r="206" spans="1:1">
      <c r="A206" s="1" t="s">
        <v>388</v>
      </c>
    </row>
    <row r="207" spans="1:1">
      <c r="A207" s="1" t="s">
        <v>389</v>
      </c>
    </row>
    <row r="209" spans="1:1">
      <c r="A209" s="1" t="s">
        <v>390</v>
      </c>
    </row>
    <row r="210" spans="1:1">
      <c r="A210" s="1" t="s">
        <v>391</v>
      </c>
    </row>
    <row r="211" spans="1:1">
      <c r="A211" s="1" t="s">
        <v>392</v>
      </c>
    </row>
    <row r="212" spans="1:1">
      <c r="A212" s="1" t="s">
        <v>393</v>
      </c>
    </row>
    <row r="213" spans="1:1">
      <c r="A213" s="1" t="s">
        <v>394</v>
      </c>
    </row>
    <row r="214" spans="1:1">
      <c r="A214" s="1" t="s">
        <v>395</v>
      </c>
    </row>
    <row r="215" spans="1:1">
      <c r="A215" s="1" t="s">
        <v>396</v>
      </c>
    </row>
    <row r="216" spans="1:1">
      <c r="A216" s="1" t="s">
        <v>397</v>
      </c>
    </row>
    <row r="217" spans="1:1">
      <c r="A217" s="1" t="s">
        <v>3106</v>
      </c>
    </row>
    <row r="218" spans="1:1">
      <c r="A218" s="1" t="s">
        <v>3107</v>
      </c>
    </row>
    <row r="220" spans="1:1">
      <c r="A220" s="1" t="s">
        <v>3108</v>
      </c>
    </row>
    <row r="221" spans="1:1">
      <c r="A221" s="1" t="s">
        <v>3109</v>
      </c>
    </row>
    <row r="222" spans="1:1">
      <c r="A222" s="1" t="s">
        <v>1567</v>
      </c>
    </row>
    <row r="223" spans="1:1">
      <c r="A223" s="1" t="s">
        <v>1568</v>
      </c>
    </row>
    <row r="224" spans="1:1">
      <c r="A224" s="1" t="s">
        <v>1569</v>
      </c>
    </row>
    <row r="225" spans="1:1">
      <c r="A225" s="1" t="s">
        <v>1570</v>
      </c>
    </row>
    <row r="227" spans="1:1">
      <c r="A227" s="1" t="s">
        <v>1571</v>
      </c>
    </row>
    <row r="228" spans="1:1">
      <c r="A228" s="1" t="s">
        <v>1572</v>
      </c>
    </row>
    <row r="229" spans="1:1">
      <c r="A229" s="1" t="s">
        <v>552</v>
      </c>
    </row>
    <row r="230" spans="1:1">
      <c r="A230" s="1" t="s">
        <v>553</v>
      </c>
    </row>
    <row r="231" spans="1:1">
      <c r="A231" s="1" t="s">
        <v>554</v>
      </c>
    </row>
    <row r="232" spans="1:1">
      <c r="A232" s="1" t="s">
        <v>555</v>
      </c>
    </row>
    <row r="234" spans="1:1">
      <c r="A234" s="1" t="s">
        <v>556</v>
      </c>
    </row>
    <row r="235" spans="1:1">
      <c r="A235" s="1" t="s">
        <v>557</v>
      </c>
    </row>
    <row r="236" spans="1:1">
      <c r="A236" s="1" t="s">
        <v>1748</v>
      </c>
    </row>
    <row r="237" spans="1:1">
      <c r="A237" s="1" t="s">
        <v>1749</v>
      </c>
    </row>
    <row r="238" spans="1:1">
      <c r="A238" s="1" t="s">
        <v>1750</v>
      </c>
    </row>
    <row r="239" spans="1:1">
      <c r="A239" s="1" t="s">
        <v>1751</v>
      </c>
    </row>
    <row r="240" spans="1:1">
      <c r="A240" s="1" t="s">
        <v>1752</v>
      </c>
    </row>
    <row r="241" spans="1:1">
      <c r="A241" s="1" t="s">
        <v>1753</v>
      </c>
    </row>
    <row r="242" spans="1:1">
      <c r="A242" s="1" t="s">
        <v>1754</v>
      </c>
    </row>
    <row r="243" spans="1:1">
      <c r="A243" s="1" t="s">
        <v>1755</v>
      </c>
    </row>
    <row r="245" spans="1:1" ht="16.5" thickBot="1"/>
    <row r="246" spans="1:1">
      <c r="A246" s="275" t="s">
        <v>410</v>
      </c>
    </row>
    <row r="247" spans="1:1">
      <c r="A247" s="276" t="s">
        <v>411</v>
      </c>
    </row>
    <row r="248" spans="1:1">
      <c r="A248" s="276" t="s">
        <v>412</v>
      </c>
    </row>
    <row r="249" spans="1:1">
      <c r="A249" s="276" t="s">
        <v>413</v>
      </c>
    </row>
    <row r="250" spans="1:1">
      <c r="A250" s="276" t="s">
        <v>1600</v>
      </c>
    </row>
    <row r="251" spans="1:1">
      <c r="A251" s="276" t="s">
        <v>191</v>
      </c>
    </row>
    <row r="252" spans="1:1">
      <c r="A252" s="276" t="s">
        <v>192</v>
      </c>
    </row>
    <row r="253" spans="1:1">
      <c r="A253" s="276" t="s">
        <v>193</v>
      </c>
    </row>
    <row r="254" spans="1:1">
      <c r="A254" s="276" t="s">
        <v>194</v>
      </c>
    </row>
    <row r="255" spans="1:1">
      <c r="A255" s="276" t="s">
        <v>195</v>
      </c>
    </row>
    <row r="256" spans="1:1">
      <c r="A256" s="276" t="s">
        <v>196</v>
      </c>
    </row>
    <row r="257" spans="1:1">
      <c r="A257" s="276" t="s">
        <v>197</v>
      </c>
    </row>
    <row r="258" spans="1:1">
      <c r="A258" s="276" t="s">
        <v>198</v>
      </c>
    </row>
    <row r="259" spans="1:1">
      <c r="A259" s="276" t="s">
        <v>3031</v>
      </c>
    </row>
    <row r="260" spans="1:1">
      <c r="A260" s="276" t="s">
        <v>3032</v>
      </c>
    </row>
    <row r="261" spans="1:1">
      <c r="A261" s="276" t="s">
        <v>3033</v>
      </c>
    </row>
    <row r="262" spans="1:1">
      <c r="A262" s="276" t="s">
        <v>1618</v>
      </c>
    </row>
    <row r="263" spans="1:1">
      <c r="A263" s="276" t="s">
        <v>1619</v>
      </c>
    </row>
    <row r="264" spans="1:1">
      <c r="A264" s="276" t="s">
        <v>1620</v>
      </c>
    </row>
    <row r="265" spans="1:1">
      <c r="A265" s="276" t="s">
        <v>1856</v>
      </c>
    </row>
    <row r="266" spans="1:1">
      <c r="A266" s="276" t="s">
        <v>1857</v>
      </c>
    </row>
    <row r="267" spans="1:1">
      <c r="A267" s="276" t="s">
        <v>1914</v>
      </c>
    </row>
    <row r="268" spans="1:1">
      <c r="A268" s="276" t="s">
        <v>1915</v>
      </c>
    </row>
    <row r="269" spans="1:1">
      <c r="A269" s="276" t="s">
        <v>1916</v>
      </c>
    </row>
    <row r="270" spans="1:1">
      <c r="A270" s="276" t="s">
        <v>1609</v>
      </c>
    </row>
    <row r="271" spans="1:1">
      <c r="A271" s="276" t="s">
        <v>1610</v>
      </c>
    </row>
    <row r="272" spans="1:1">
      <c r="A272" s="276" t="s">
        <v>1611</v>
      </c>
    </row>
    <row r="273" spans="1:1">
      <c r="A273" s="276" t="s">
        <v>1612</v>
      </c>
    </row>
    <row r="274" spans="1:1">
      <c r="A274" s="276" t="s">
        <v>1613</v>
      </c>
    </row>
    <row r="275" spans="1:1">
      <c r="A275" s="276" t="s">
        <v>1614</v>
      </c>
    </row>
    <row r="276" spans="1:1">
      <c r="A276" s="276" t="s">
        <v>1615</v>
      </c>
    </row>
    <row r="277" spans="1:1">
      <c r="A277" s="276" t="s">
        <v>1616</v>
      </c>
    </row>
    <row r="278" spans="1:1">
      <c r="A278" s="276" t="s">
        <v>1617</v>
      </c>
    </row>
    <row r="279" spans="1:1">
      <c r="A279" s="276" t="s">
        <v>2118</v>
      </c>
    </row>
    <row r="280" spans="1:1">
      <c r="A280" s="276" t="s">
        <v>2119</v>
      </c>
    </row>
    <row r="281" spans="1:1">
      <c r="A281" s="276" t="s">
        <v>2120</v>
      </c>
    </row>
    <row r="282" spans="1:1">
      <c r="A282" s="276" t="s">
        <v>2121</v>
      </c>
    </row>
    <row r="283" spans="1:1" ht="16.5" thickBot="1">
      <c r="A283" s="277" t="s">
        <v>2122</v>
      </c>
    </row>
    <row r="284" spans="1:1">
      <c r="A284" s="222" t="s">
        <v>2123</v>
      </c>
    </row>
    <row r="285" spans="1:1">
      <c r="A285" s="1" t="s">
        <v>2124</v>
      </c>
    </row>
    <row r="286" spans="1:1">
      <c r="A286" s="1" t="s">
        <v>2125</v>
      </c>
    </row>
    <row r="287" spans="1:1">
      <c r="A287" s="1" t="s">
        <v>2126</v>
      </c>
    </row>
    <row r="288" spans="1:1">
      <c r="A288" s="1" t="s">
        <v>2127</v>
      </c>
    </row>
    <row r="289" spans="1:1">
      <c r="A289" s="1" t="s">
        <v>2128</v>
      </c>
    </row>
    <row r="290" spans="1:1">
      <c r="A290" s="1" t="s">
        <v>2129</v>
      </c>
    </row>
    <row r="291" spans="1:1">
      <c r="A291" s="1" t="s">
        <v>2130</v>
      </c>
    </row>
    <row r="292" spans="1:1">
      <c r="A292" s="1" t="s">
        <v>1606</v>
      </c>
    </row>
    <row r="293" spans="1:1">
      <c r="A293" s="1" t="s">
        <v>2131</v>
      </c>
    </row>
    <row r="294" spans="1:1">
      <c r="A294" s="1" t="s">
        <v>2132</v>
      </c>
    </row>
    <row r="296" spans="1:1">
      <c r="A296" s="222" t="s">
        <v>2133</v>
      </c>
    </row>
    <row r="297" spans="1:1">
      <c r="A297" s="1" t="s">
        <v>1907</v>
      </c>
    </row>
    <row r="298" spans="1:1">
      <c r="A298" s="1" t="s">
        <v>1908</v>
      </c>
    </row>
    <row r="299" spans="1:1">
      <c r="A299" s="1" t="s">
        <v>1909</v>
      </c>
    </row>
    <row r="300" spans="1:1">
      <c r="A300" s="1" t="s">
        <v>1910</v>
      </c>
    </row>
    <row r="301" spans="1:1">
      <c r="A301" s="1" t="s">
        <v>1911</v>
      </c>
    </row>
    <row r="302" spans="1:1">
      <c r="A302" s="1" t="s">
        <v>1912</v>
      </c>
    </row>
    <row r="303" spans="1:1">
      <c r="A303" s="1" t="s">
        <v>3277</v>
      </c>
    </row>
    <row r="304" spans="1:1">
      <c r="A304" s="1" t="s">
        <v>3278</v>
      </c>
    </row>
    <row r="305" spans="1:1">
      <c r="A305" s="1" t="s">
        <v>3279</v>
      </c>
    </row>
    <row r="306" spans="1:1">
      <c r="A306" s="1" t="s">
        <v>1647</v>
      </c>
    </row>
    <row r="307" spans="1:1">
      <c r="A307" s="1" t="s">
        <v>1648</v>
      </c>
    </row>
    <row r="308" spans="1:1">
      <c r="A308" s="1" t="s">
        <v>1649</v>
      </c>
    </row>
    <row r="309" spans="1:1">
      <c r="A309" s="1" t="s">
        <v>1650</v>
      </c>
    </row>
    <row r="310" spans="1:1">
      <c r="A310" s="1" t="s">
        <v>1651</v>
      </c>
    </row>
    <row r="311" spans="1:1">
      <c r="A311" s="1" t="s">
        <v>1652</v>
      </c>
    </row>
    <row r="312" spans="1:1">
      <c r="A312" s="1" t="s">
        <v>1653</v>
      </c>
    </row>
    <row r="313" spans="1:1">
      <c r="A313" s="1" t="s">
        <v>1654</v>
      </c>
    </row>
    <row r="314" spans="1:1">
      <c r="A314" s="1" t="s">
        <v>3147</v>
      </c>
    </row>
    <row r="315" spans="1:1">
      <c r="A315" s="1" t="s">
        <v>3148</v>
      </c>
    </row>
    <row r="316" spans="1:1">
      <c r="A316" s="1" t="s">
        <v>3149</v>
      </c>
    </row>
    <row r="317" spans="1:1">
      <c r="A317" s="1" t="s">
        <v>3150</v>
      </c>
    </row>
    <row r="318" spans="1:1">
      <c r="A318" s="1" t="s">
        <v>3151</v>
      </c>
    </row>
    <row r="319" spans="1:1">
      <c r="A319" s="1" t="s">
        <v>3152</v>
      </c>
    </row>
    <row r="320" spans="1:1">
      <c r="A320" s="1" t="s">
        <v>3153</v>
      </c>
    </row>
    <row r="321" spans="1:1">
      <c r="A321" s="1" t="s">
        <v>1629</v>
      </c>
    </row>
    <row r="322" spans="1:1">
      <c r="A322" s="1" t="s">
        <v>1664</v>
      </c>
    </row>
    <row r="323" spans="1:1">
      <c r="A323" s="1" t="s">
        <v>1632</v>
      </c>
    </row>
    <row r="324" spans="1:1">
      <c r="A324" s="1" t="s">
        <v>1633</v>
      </c>
    </row>
    <row r="325" spans="1:1">
      <c r="A325" s="1" t="s">
        <v>1634</v>
      </c>
    </row>
    <row r="326" spans="1:1">
      <c r="A326" s="1" t="s">
        <v>1635</v>
      </c>
    </row>
    <row r="327" spans="1:1">
      <c r="A327" s="1" t="s">
        <v>1636</v>
      </c>
    </row>
    <row r="328" spans="1:1">
      <c r="A328" s="1" t="s">
        <v>1637</v>
      </c>
    </row>
    <row r="329" spans="1:1">
      <c r="A329" s="1" t="s">
        <v>1638</v>
      </c>
    </row>
    <row r="330" spans="1:1">
      <c r="A330" s="1" t="s">
        <v>1639</v>
      </c>
    </row>
    <row r="331" spans="1:1">
      <c r="A331" s="1" t="s">
        <v>1640</v>
      </c>
    </row>
    <row r="332" spans="1:1">
      <c r="A332" s="1" t="s">
        <v>1641</v>
      </c>
    </row>
    <row r="333" spans="1:1">
      <c r="A333" s="1" t="s">
        <v>1642</v>
      </c>
    </row>
    <row r="334" spans="1:1">
      <c r="A334" s="1" t="s">
        <v>1643</v>
      </c>
    </row>
    <row r="335" spans="1:1">
      <c r="A335" s="1" t="s">
        <v>1644</v>
      </c>
    </row>
    <row r="336" spans="1:1">
      <c r="A336" s="1" t="s">
        <v>2436</v>
      </c>
    </row>
    <row r="337" spans="1:1">
      <c r="A337" s="1" t="s">
        <v>2437</v>
      </c>
    </row>
    <row r="338" spans="1:1">
      <c r="A338" s="1" t="s">
        <v>2438</v>
      </c>
    </row>
    <row r="339" spans="1:1">
      <c r="A339" s="1" t="s">
        <v>2439</v>
      </c>
    </row>
    <row r="340" spans="1:1">
      <c r="A340" s="1" t="s">
        <v>3021</v>
      </c>
    </row>
    <row r="341" spans="1:1">
      <c r="A341" s="1" t="s">
        <v>3022</v>
      </c>
    </row>
    <row r="342" spans="1:1">
      <c r="A342" s="1" t="s">
        <v>3023</v>
      </c>
    </row>
    <row r="343" spans="1:1">
      <c r="A343" s="1" t="s">
        <v>3024</v>
      </c>
    </row>
    <row r="344" spans="1:1">
      <c r="A344" s="1" t="s">
        <v>3025</v>
      </c>
    </row>
    <row r="345" spans="1:1">
      <c r="A345" s="1" t="s">
        <v>3026</v>
      </c>
    </row>
    <row r="346" spans="1:1">
      <c r="A346" s="1" t="s">
        <v>1344</v>
      </c>
    </row>
    <row r="348" spans="1:1">
      <c r="A348" s="1" t="s">
        <v>3027</v>
      </c>
    </row>
    <row r="349" spans="1:1">
      <c r="A349" s="1" t="s">
        <v>3028</v>
      </c>
    </row>
    <row r="350" spans="1:1">
      <c r="A350" s="1" t="s">
        <v>3029</v>
      </c>
    </row>
    <row r="351" spans="1:1">
      <c r="A351" s="1" t="s">
        <v>3030</v>
      </c>
    </row>
    <row r="352" spans="1:1">
      <c r="A352" s="1" t="s">
        <v>254</v>
      </c>
    </row>
    <row r="353" spans="1:1">
      <c r="A353" s="1" t="s">
        <v>2410</v>
      </c>
    </row>
    <row r="354" spans="1:1">
      <c r="A354" s="1" t="s">
        <v>1373</v>
      </c>
    </row>
    <row r="355" spans="1:1">
      <c r="A355" s="1" t="s">
        <v>1374</v>
      </c>
    </row>
    <row r="357" spans="1:1">
      <c r="A357" s="222" t="s">
        <v>1375</v>
      </c>
    </row>
    <row r="358" spans="1:1">
      <c r="A358" s="1" t="s">
        <v>1376</v>
      </c>
    </row>
    <row r="359" spans="1:1">
      <c r="A359" s="1" t="s">
        <v>1377</v>
      </c>
    </row>
    <row r="360" spans="1:1">
      <c r="A360" s="1" t="s">
        <v>1378</v>
      </c>
    </row>
    <row r="361" spans="1:1">
      <c r="A361" s="1" t="s">
        <v>2134</v>
      </c>
    </row>
    <row r="362" spans="1:1">
      <c r="A362" s="1" t="s">
        <v>2412</v>
      </c>
    </row>
    <row r="363" spans="1:1">
      <c r="A363" s="1" t="s">
        <v>2413</v>
      </c>
    </row>
    <row r="364" spans="1:1">
      <c r="A364" s="1" t="s">
        <v>2414</v>
      </c>
    </row>
    <row r="365" spans="1:1">
      <c r="A365" s="1" t="s">
        <v>2415</v>
      </c>
    </row>
    <row r="366" spans="1:1">
      <c r="A366" s="1" t="s">
        <v>2416</v>
      </c>
    </row>
    <row r="367" spans="1:1">
      <c r="A367" s="1" t="s">
        <v>2417</v>
      </c>
    </row>
    <row r="368" spans="1:1">
      <c r="A368" s="1" t="s">
        <v>2418</v>
      </c>
    </row>
    <row r="369" spans="1:1">
      <c r="A369" s="1" t="s">
        <v>2419</v>
      </c>
    </row>
    <row r="370" spans="1:1">
      <c r="A370" s="1" t="s">
        <v>2420</v>
      </c>
    </row>
    <row r="371" spans="1:1">
      <c r="A371" s="1" t="s">
        <v>2421</v>
      </c>
    </row>
    <row r="373" spans="1:1">
      <c r="A373" s="222" t="s">
        <v>3134</v>
      </c>
    </row>
    <row r="374" spans="1:1">
      <c r="A374" s="1" t="s">
        <v>2422</v>
      </c>
    </row>
    <row r="375" spans="1:1">
      <c r="A375" s="1" t="s">
        <v>2423</v>
      </c>
    </row>
    <row r="376" spans="1:1">
      <c r="A376" s="1" t="s">
        <v>2499</v>
      </c>
    </row>
    <row r="377" spans="1:1">
      <c r="A377" s="1" t="s">
        <v>2500</v>
      </c>
    </row>
    <row r="378" spans="1:1">
      <c r="A378" s="1" t="s">
        <v>3082</v>
      </c>
    </row>
    <row r="379" spans="1:1">
      <c r="A379" s="1" t="s">
        <v>3083</v>
      </c>
    </row>
    <row r="380" spans="1:1">
      <c r="A380" s="1" t="s">
        <v>3174</v>
      </c>
    </row>
    <row r="381" spans="1:1">
      <c r="A381" s="1" t="s">
        <v>3175</v>
      </c>
    </row>
    <row r="382" spans="1:1">
      <c r="A382" s="1" t="s">
        <v>3176</v>
      </c>
    </row>
    <row r="383" spans="1:1">
      <c r="A383" s="1" t="s">
        <v>3177</v>
      </c>
    </row>
    <row r="384" spans="1:1">
      <c r="A384" s="1" t="s">
        <v>3178</v>
      </c>
    </row>
    <row r="385" spans="1:1">
      <c r="A385" s="1" t="s">
        <v>3179</v>
      </c>
    </row>
    <row r="386" spans="1:1">
      <c r="A386" s="1" t="s">
        <v>3180</v>
      </c>
    </row>
    <row r="387" spans="1:1">
      <c r="A387" s="1" t="s">
        <v>3181</v>
      </c>
    </row>
    <row r="388" spans="1:1">
      <c r="A388" s="1" t="s">
        <v>3182</v>
      </c>
    </row>
    <row r="389" spans="1:1">
      <c r="A389" s="1" t="s">
        <v>3183</v>
      </c>
    </row>
    <row r="390" spans="1:1">
      <c r="A390" s="1" t="s">
        <v>3184</v>
      </c>
    </row>
    <row r="391" spans="1:1">
      <c r="A391" s="1" t="s">
        <v>3185</v>
      </c>
    </row>
    <row r="392" spans="1:1">
      <c r="A392" s="1" t="s">
        <v>3186</v>
      </c>
    </row>
    <row r="393" spans="1:1">
      <c r="A393" s="1" t="s">
        <v>3187</v>
      </c>
    </row>
    <row r="394" spans="1:1">
      <c r="A394" s="1" t="s">
        <v>2116</v>
      </c>
    </row>
    <row r="395" spans="1:1">
      <c r="A395" s="1" t="s">
        <v>2117</v>
      </c>
    </row>
    <row r="396" spans="1:1">
      <c r="A396" s="1" t="s">
        <v>1233</v>
      </c>
    </row>
    <row r="397" spans="1:1">
      <c r="A397" s="1" t="s">
        <v>1234</v>
      </c>
    </row>
    <row r="398" spans="1:1">
      <c r="A398" s="1" t="s">
        <v>1235</v>
      </c>
    </row>
    <row r="399" spans="1:1">
      <c r="A399" s="1" t="s">
        <v>1236</v>
      </c>
    </row>
    <row r="400" spans="1:1">
      <c r="A400" s="1" t="s">
        <v>1237</v>
      </c>
    </row>
    <row r="401" spans="1:1">
      <c r="A401" s="1" t="s">
        <v>908</v>
      </c>
    </row>
    <row r="402" spans="1:1">
      <c r="A402" s="1" t="s">
        <v>909</v>
      </c>
    </row>
    <row r="403" spans="1:1">
      <c r="A403" s="1" t="s">
        <v>910</v>
      </c>
    </row>
    <row r="404" spans="1:1">
      <c r="A404" s="1" t="s">
        <v>911</v>
      </c>
    </row>
    <row r="405" spans="1:1">
      <c r="A405" s="1" t="s">
        <v>912</v>
      </c>
    </row>
    <row r="406" spans="1:1">
      <c r="A406" s="1" t="s">
        <v>913</v>
      </c>
    </row>
    <row r="407" spans="1:1">
      <c r="A407" s="1" t="s">
        <v>239</v>
      </c>
    </row>
    <row r="408" spans="1:1">
      <c r="A408" s="1" t="s">
        <v>240</v>
      </c>
    </row>
    <row r="409" spans="1:1">
      <c r="A409" s="1" t="s">
        <v>241</v>
      </c>
    </row>
    <row r="410" spans="1:1">
      <c r="A410" s="1" t="s">
        <v>1157</v>
      </c>
    </row>
    <row r="411" spans="1:1">
      <c r="A411" s="1" t="s">
        <v>1158</v>
      </c>
    </row>
    <row r="412" spans="1:1">
      <c r="A412" s="1" t="s">
        <v>1159</v>
      </c>
    </row>
    <row r="413" spans="1:1">
      <c r="A413" s="1" t="s">
        <v>1160</v>
      </c>
    </row>
    <row r="414" spans="1:1">
      <c r="A414" s="1" t="s">
        <v>1161</v>
      </c>
    </row>
    <row r="415" spans="1:1">
      <c r="A415" s="1" t="s">
        <v>1162</v>
      </c>
    </row>
    <row r="416" spans="1:1">
      <c r="A416" s="1" t="s">
        <v>1163</v>
      </c>
    </row>
    <row r="417" spans="1:1">
      <c r="A417" s="1" t="s">
        <v>1164</v>
      </c>
    </row>
    <row r="419" spans="1:1">
      <c r="A419" s="222" t="s">
        <v>1165</v>
      </c>
    </row>
    <row r="420" spans="1:1">
      <c r="A420" s="1" t="s">
        <v>1166</v>
      </c>
    </row>
    <row r="421" spans="1:1">
      <c r="A421" s="1" t="s">
        <v>1167</v>
      </c>
    </row>
    <row r="422" spans="1:1">
      <c r="A422" s="1" t="s">
        <v>1168</v>
      </c>
    </row>
    <row r="423" spans="1:1">
      <c r="A423" s="1" t="s">
        <v>1169</v>
      </c>
    </row>
    <row r="424" spans="1:1">
      <c r="A424" s="1" t="s">
        <v>1170</v>
      </c>
    </row>
    <row r="425" spans="1:1">
      <c r="A425" s="1" t="s">
        <v>1607</v>
      </c>
    </row>
    <row r="426" spans="1:1">
      <c r="A426" s="1" t="s">
        <v>1171</v>
      </c>
    </row>
    <row r="427" spans="1:1">
      <c r="A427" s="1" t="s">
        <v>1608</v>
      </c>
    </row>
    <row r="428" spans="1:1">
      <c r="A428" s="1" t="s">
        <v>1172</v>
      </c>
    </row>
    <row r="429" spans="1:1">
      <c r="A429" s="1" t="s">
        <v>2930</v>
      </c>
    </row>
    <row r="430" spans="1:1">
      <c r="A430" s="1" t="s">
        <v>2931</v>
      </c>
    </row>
    <row r="435" spans="1:1">
      <c r="A435" s="222" t="s">
        <v>2932</v>
      </c>
    </row>
    <row r="436" spans="1:1">
      <c r="A436" s="1" t="s">
        <v>2685</v>
      </c>
    </row>
    <row r="441" spans="1:1">
      <c r="A441" s="1" t="s">
        <v>2933</v>
      </c>
    </row>
    <row r="442" spans="1:1">
      <c r="A442" s="1" t="s">
        <v>251</v>
      </c>
    </row>
    <row r="443" spans="1:1">
      <c r="A443" s="1" t="s">
        <v>243</v>
      </c>
    </row>
    <row r="444" spans="1:1">
      <c r="A444" s="1" t="s">
        <v>244</v>
      </c>
    </row>
    <row r="445" spans="1:1">
      <c r="A445" s="1" t="s">
        <v>245</v>
      </c>
    </row>
    <row r="446" spans="1:1">
      <c r="A446" s="1" t="s">
        <v>246</v>
      </c>
    </row>
    <row r="447" spans="1:1">
      <c r="A447" s="1" t="s">
        <v>247</v>
      </c>
    </row>
    <row r="448" spans="1:1">
      <c r="A448" s="1" t="s">
        <v>1259</v>
      </c>
    </row>
    <row r="449" spans="1:1">
      <c r="A449" s="1" t="s">
        <v>1260</v>
      </c>
    </row>
    <row r="451" spans="1:1">
      <c r="A451" s="222" t="s">
        <v>1261</v>
      </c>
    </row>
    <row r="452" spans="1:1">
      <c r="A452" s="1" t="s">
        <v>1262</v>
      </c>
    </row>
    <row r="453" spans="1:1">
      <c r="A453" s="1" t="s">
        <v>1263</v>
      </c>
    </row>
    <row r="454" spans="1:1">
      <c r="A454" s="1" t="s">
        <v>1264</v>
      </c>
    </row>
    <row r="455" spans="1:1">
      <c r="A455" s="1" t="s">
        <v>1265</v>
      </c>
    </row>
    <row r="456" spans="1:1">
      <c r="A456" s="1" t="s">
        <v>1304</v>
      </c>
    </row>
    <row r="457" spans="1:1">
      <c r="A457" s="1" t="s">
        <v>1305</v>
      </c>
    </row>
    <row r="458" spans="1:1">
      <c r="A458" s="1" t="s">
        <v>1306</v>
      </c>
    </row>
    <row r="459" spans="1:1">
      <c r="A459" s="1" t="s">
        <v>1307</v>
      </c>
    </row>
    <row r="460" spans="1:1">
      <c r="A460" s="1" t="s">
        <v>1308</v>
      </c>
    </row>
    <row r="461" spans="1:1">
      <c r="A461" s="1" t="s">
        <v>183</v>
      </c>
    </row>
    <row r="462" spans="1:1">
      <c r="A462" s="1" t="s">
        <v>200</v>
      </c>
    </row>
    <row r="463" spans="1:1">
      <c r="A463" s="1" t="s">
        <v>201</v>
      </c>
    </row>
    <row r="464" spans="1:1">
      <c r="A464" s="1" t="s">
        <v>202</v>
      </c>
    </row>
    <row r="465" spans="1:1">
      <c r="A465" s="1" t="s">
        <v>203</v>
      </c>
    </row>
    <row r="467" spans="1:1">
      <c r="A467" s="1" t="s">
        <v>204</v>
      </c>
    </row>
    <row r="468" spans="1:1">
      <c r="A468" s="1" t="s">
        <v>205</v>
      </c>
    </row>
    <row r="469" spans="1:1">
      <c r="A469" s="1" t="s">
        <v>2109</v>
      </c>
    </row>
    <row r="470" spans="1:1">
      <c r="A470" s="1" t="s">
        <v>206</v>
      </c>
    </row>
    <row r="471" spans="1:1">
      <c r="A471" s="1" t="s">
        <v>927</v>
      </c>
    </row>
    <row r="472" spans="1:1">
      <c r="A472" s="1" t="s">
        <v>928</v>
      </c>
    </row>
    <row r="473" spans="1:1">
      <c r="A473" s="1" t="s">
        <v>929</v>
      </c>
    </row>
    <row r="474" spans="1:1">
      <c r="A474" s="1" t="s">
        <v>184</v>
      </c>
    </row>
    <row r="475" spans="1:1">
      <c r="A475" s="1" t="s">
        <v>185</v>
      </c>
    </row>
    <row r="476" spans="1:1">
      <c r="A476" s="1" t="s">
        <v>186</v>
      </c>
    </row>
    <row r="477" spans="1:1">
      <c r="A477" s="1" t="s">
        <v>187</v>
      </c>
    </row>
    <row r="478" spans="1:1">
      <c r="A478" s="1" t="s">
        <v>2939</v>
      </c>
    </row>
    <row r="479" spans="1:1">
      <c r="A479" s="1" t="s">
        <v>2940</v>
      </c>
    </row>
    <row r="480" spans="1:1">
      <c r="A480" s="1" t="s">
        <v>2941</v>
      </c>
    </row>
    <row r="481" spans="1:1">
      <c r="A481" s="1" t="s">
        <v>2942</v>
      </c>
    </row>
    <row r="482" spans="1:1">
      <c r="A482" s="1" t="s">
        <v>2943</v>
      </c>
    </row>
    <row r="483" spans="1:1">
      <c r="A483" s="1" t="s">
        <v>2944</v>
      </c>
    </row>
    <row r="485" spans="1:1">
      <c r="A485" s="222" t="s">
        <v>2945</v>
      </c>
    </row>
    <row r="486" spans="1:1">
      <c r="A486" s="1" t="s">
        <v>2946</v>
      </c>
    </row>
    <row r="487" spans="1:1">
      <c r="A487" s="1" t="s">
        <v>2947</v>
      </c>
    </row>
    <row r="488" spans="1:1">
      <c r="A488" s="1" t="s">
        <v>2948</v>
      </c>
    </row>
    <row r="489" spans="1:1">
      <c r="A489" s="1" t="s">
        <v>2949</v>
      </c>
    </row>
    <row r="490" spans="1:1">
      <c r="A490" s="1" t="s">
        <v>2950</v>
      </c>
    </row>
    <row r="491" spans="1:1">
      <c r="A491" s="1" t="s">
        <v>2951</v>
      </c>
    </row>
    <row r="492" spans="1:1">
      <c r="A492" s="1" t="s">
        <v>2952</v>
      </c>
    </row>
    <row r="493" spans="1:1">
      <c r="A493" s="1" t="s">
        <v>2953</v>
      </c>
    </row>
    <row r="494" spans="1:1">
      <c r="A494" s="1" t="s">
        <v>2954</v>
      </c>
    </row>
    <row r="495" spans="1:1">
      <c r="A495" s="1" t="s">
        <v>2955</v>
      </c>
    </row>
    <row r="496" spans="1:1">
      <c r="A496" s="1" t="s">
        <v>2956</v>
      </c>
    </row>
    <row r="497" spans="1:1">
      <c r="A497" s="1" t="s">
        <v>2957</v>
      </c>
    </row>
    <row r="498" spans="1:1">
      <c r="A498" s="1" t="s">
        <v>2958</v>
      </c>
    </row>
    <row r="499" spans="1:1">
      <c r="A499" s="1" t="s">
        <v>2959</v>
      </c>
    </row>
    <row r="500" spans="1:1">
      <c r="A500" s="1" t="s">
        <v>2960</v>
      </c>
    </row>
    <row r="501" spans="1:1">
      <c r="A501" s="1" t="s">
        <v>2961</v>
      </c>
    </row>
    <row r="502" spans="1:1">
      <c r="A502" s="1" t="s">
        <v>2962</v>
      </c>
    </row>
    <row r="503" spans="1:1">
      <c r="A503" s="1" t="s">
        <v>2138</v>
      </c>
    </row>
    <row r="504" spans="1:1">
      <c r="A504" s="1" t="s">
        <v>2110</v>
      </c>
    </row>
    <row r="505" spans="1:1">
      <c r="A505" s="1" t="s">
        <v>1473</v>
      </c>
    </row>
    <row r="506" spans="1:1">
      <c r="A506" s="1" t="s">
        <v>1474</v>
      </c>
    </row>
    <row r="507" spans="1:1">
      <c r="A507" s="1" t="s">
        <v>1787</v>
      </c>
    </row>
    <row r="508" spans="1:1">
      <c r="A508" s="1" t="s">
        <v>1788</v>
      </c>
    </row>
    <row r="509" spans="1:1">
      <c r="A509" s="1" t="s">
        <v>1789</v>
      </c>
    </row>
    <row r="510" spans="1:1">
      <c r="A510" s="1" t="s">
        <v>930</v>
      </c>
    </row>
    <row r="511" spans="1:1">
      <c r="A511" s="1" t="s">
        <v>931</v>
      </c>
    </row>
    <row r="512" spans="1:1">
      <c r="A512" s="1" t="s">
        <v>932</v>
      </c>
    </row>
    <row r="513" spans="1:1">
      <c r="A513" s="1" t="s">
        <v>933</v>
      </c>
    </row>
    <row r="514" spans="1:1">
      <c r="A514" s="1" t="s">
        <v>142</v>
      </c>
    </row>
    <row r="515" spans="1:1">
      <c r="A515" s="1" t="s">
        <v>143</v>
      </c>
    </row>
    <row r="516" spans="1:1">
      <c r="A516" s="1" t="s">
        <v>1905</v>
      </c>
    </row>
    <row r="517" spans="1:1">
      <c r="A517" s="1" t="s">
        <v>250</v>
      </c>
    </row>
    <row r="518" spans="1:1">
      <c r="A518" s="1" t="s">
        <v>2111</v>
      </c>
    </row>
    <row r="519" spans="1:1">
      <c r="A519" s="1" t="s">
        <v>3218</v>
      </c>
    </row>
    <row r="520" spans="1:1">
      <c r="A520" s="1" t="s">
        <v>1182</v>
      </c>
    </row>
    <row r="521" spans="1:1">
      <c r="A521" s="1" t="s">
        <v>1183</v>
      </c>
    </row>
    <row r="522" spans="1:1">
      <c r="A522" s="1" t="s">
        <v>1184</v>
      </c>
    </row>
    <row r="523" spans="1:1">
      <c r="A523" s="1" t="s">
        <v>1185</v>
      </c>
    </row>
    <row r="524" spans="1:1">
      <c r="A524" s="1" t="s">
        <v>1186</v>
      </c>
    </row>
    <row r="525" spans="1:1">
      <c r="A525" s="1" t="s">
        <v>1187</v>
      </c>
    </row>
    <row r="526" spans="1:1">
      <c r="A526" s="1" t="s">
        <v>1188</v>
      </c>
    </row>
    <row r="527" spans="1:1">
      <c r="A527" s="1" t="s">
        <v>1331</v>
      </c>
    </row>
    <row r="529" spans="1:1">
      <c r="A529" s="1" t="s">
        <v>1332</v>
      </c>
    </row>
    <row r="530" spans="1:1">
      <c r="A530" s="1" t="s">
        <v>1333</v>
      </c>
    </row>
    <row r="531" spans="1:1">
      <c r="A531" s="1" t="s">
        <v>2692</v>
      </c>
    </row>
    <row r="532" spans="1:1">
      <c r="A532" s="1" t="s">
        <v>2693</v>
      </c>
    </row>
    <row r="533" spans="1:1">
      <c r="A533" s="1" t="s">
        <v>2694</v>
      </c>
    </row>
    <row r="534" spans="1:1">
      <c r="A534" s="1" t="s">
        <v>104</v>
      </c>
    </row>
    <row r="535" spans="1:1">
      <c r="A535" s="1" t="s">
        <v>105</v>
      </c>
    </row>
    <row r="536" spans="1:1">
      <c r="A536" s="1" t="s">
        <v>106</v>
      </c>
    </row>
    <row r="537" spans="1:1">
      <c r="A537" s="1" t="s">
        <v>107</v>
      </c>
    </row>
    <row r="538" spans="1:1">
      <c r="A538" s="1" t="s">
        <v>199</v>
      </c>
    </row>
    <row r="539" spans="1:1">
      <c r="A539" s="1" t="s">
        <v>1379</v>
      </c>
    </row>
    <row r="540" spans="1:1">
      <c r="A540" s="1" t="s">
        <v>1380</v>
      </c>
    </row>
    <row r="541" spans="1:1">
      <c r="A541" s="1" t="s">
        <v>1381</v>
      </c>
    </row>
    <row r="542" spans="1:1">
      <c r="A542" s="1" t="s">
        <v>1382</v>
      </c>
    </row>
    <row r="543" spans="1:1">
      <c r="A543" s="1" t="s">
        <v>1383</v>
      </c>
    </row>
    <row r="544" spans="1:1">
      <c r="A544" s="1" t="s">
        <v>1266</v>
      </c>
    </row>
    <row r="545" spans="1:1">
      <c r="A545" s="1" t="s">
        <v>1267</v>
      </c>
    </row>
    <row r="546" spans="1:1">
      <c r="A546" s="1" t="s">
        <v>1268</v>
      </c>
    </row>
    <row r="547" spans="1:1">
      <c r="A547" s="1" t="s">
        <v>1269</v>
      </c>
    </row>
    <row r="548" spans="1:1">
      <c r="A548" s="1" t="s">
        <v>1270</v>
      </c>
    </row>
    <row r="549" spans="1:1">
      <c r="A549" s="1" t="s">
        <v>1271</v>
      </c>
    </row>
    <row r="550" spans="1:1">
      <c r="A550" s="1" t="s">
        <v>1272</v>
      </c>
    </row>
    <row r="551" spans="1:1">
      <c r="A551" s="1" t="s">
        <v>1232</v>
      </c>
    </row>
    <row r="552" spans="1:1">
      <c r="A552" s="1" t="s">
        <v>2145</v>
      </c>
    </row>
    <row r="553" spans="1:1">
      <c r="A553" s="1" t="s">
        <v>2146</v>
      </c>
    </row>
    <row r="554" spans="1:1">
      <c r="A554" s="1" t="s">
        <v>2147</v>
      </c>
    </row>
    <row r="555" spans="1:1">
      <c r="A555" s="1" t="s">
        <v>2148</v>
      </c>
    </row>
    <row r="556" spans="1:1">
      <c r="A556" s="1" t="s">
        <v>2149</v>
      </c>
    </row>
    <row r="557" spans="1:1">
      <c r="A557" s="1" t="s">
        <v>2150</v>
      </c>
    </row>
    <row r="558" spans="1:1">
      <c r="A558" s="1" t="s">
        <v>2151</v>
      </c>
    </row>
    <row r="559" spans="1:1">
      <c r="A559" s="1" t="s">
        <v>2152</v>
      </c>
    </row>
    <row r="560" spans="1:1">
      <c r="A560" s="1" t="s">
        <v>2153</v>
      </c>
    </row>
    <row r="561" spans="1:1">
      <c r="A561" s="1" t="s">
        <v>2154</v>
      </c>
    </row>
    <row r="562" spans="1:1">
      <c r="A562" s="1" t="s">
        <v>2296</v>
      </c>
    </row>
    <row r="563" spans="1:1">
      <c r="A563" s="1" t="s">
        <v>2297</v>
      </c>
    </row>
    <row r="564" spans="1:1">
      <c r="A564" s="1" t="s">
        <v>2298</v>
      </c>
    </row>
    <row r="565" spans="1:1">
      <c r="A565" s="1" t="s">
        <v>2299</v>
      </c>
    </row>
    <row r="566" spans="1:1">
      <c r="A566" s="1" t="s">
        <v>2300</v>
      </c>
    </row>
    <row r="567" spans="1:1">
      <c r="A567" s="1" t="s">
        <v>2301</v>
      </c>
    </row>
    <row r="568" spans="1:1">
      <c r="A568" s="1" t="s">
        <v>2586</v>
      </c>
    </row>
    <row r="569" spans="1:1">
      <c r="A569" s="1" t="s">
        <v>2587</v>
      </c>
    </row>
    <row r="570" spans="1:1">
      <c r="A570" s="1" t="s">
        <v>2588</v>
      </c>
    </row>
    <row r="571" spans="1:1">
      <c r="A571" s="1" t="s">
        <v>1093</v>
      </c>
    </row>
    <row r="573" spans="1:1">
      <c r="A573" s="222" t="s">
        <v>1094</v>
      </c>
    </row>
    <row r="575" spans="1:1">
      <c r="A575" s="26"/>
    </row>
    <row r="576" spans="1:1">
      <c r="A576" s="26"/>
    </row>
    <row r="577" spans="1:1">
      <c r="A577" s="278"/>
    </row>
    <row r="578" spans="1:1">
      <c r="A578" s="278"/>
    </row>
    <row r="579" spans="1:1">
      <c r="A579" s="278"/>
    </row>
    <row r="580" spans="1:1">
      <c r="A580" s="278"/>
    </row>
    <row r="581" spans="1:1">
      <c r="A581" s="278"/>
    </row>
    <row r="582" spans="1:1">
      <c r="A582" s="278"/>
    </row>
    <row r="583" spans="1:1">
      <c r="A583" s="278"/>
    </row>
    <row r="584" spans="1:1">
      <c r="A584" s="278"/>
    </row>
    <row r="585" spans="1:1">
      <c r="A585" s="278"/>
    </row>
    <row r="586" spans="1:1">
      <c r="A586" s="278"/>
    </row>
    <row r="587" spans="1:1">
      <c r="A587" s="278"/>
    </row>
    <row r="588" spans="1:1">
      <c r="A588" s="278"/>
    </row>
    <row r="589" spans="1:1">
      <c r="A589" s="278"/>
    </row>
    <row r="590" spans="1:1">
      <c r="A590" s="278"/>
    </row>
    <row r="591" spans="1:1">
      <c r="A591" s="278"/>
    </row>
    <row r="592" spans="1:1">
      <c r="A592" s="278"/>
    </row>
    <row r="593" spans="1:1">
      <c r="A593" s="278"/>
    </row>
    <row r="594" spans="1:1">
      <c r="A594" s="278"/>
    </row>
    <row r="610" spans="1:1">
      <c r="A610" s="222" t="s">
        <v>1095</v>
      </c>
    </row>
    <row r="611" spans="1:1">
      <c r="A611" s="1" t="s">
        <v>1096</v>
      </c>
    </row>
    <row r="612" spans="1:1">
      <c r="A612" s="1" t="s">
        <v>1097</v>
      </c>
    </row>
    <row r="613" spans="1:1">
      <c r="A613" s="1" t="s">
        <v>1098</v>
      </c>
    </row>
    <row r="614" spans="1:1">
      <c r="A614" s="1" t="s">
        <v>1099</v>
      </c>
    </row>
    <row r="615" spans="1:1">
      <c r="A615" s="1" t="s">
        <v>1100</v>
      </c>
    </row>
    <row r="616" spans="1:1">
      <c r="A616" s="1" t="s">
        <v>1101</v>
      </c>
    </row>
    <row r="618" spans="1:1">
      <c r="A618" s="1" t="s">
        <v>1102</v>
      </c>
    </row>
    <row r="619" spans="1:1">
      <c r="A619" s="1" t="s">
        <v>1103</v>
      </c>
    </row>
    <row r="620" spans="1:1">
      <c r="A620" s="1" t="s">
        <v>1489</v>
      </c>
    </row>
    <row r="621" spans="1:1">
      <c r="A621" s="1" t="s">
        <v>1490</v>
      </c>
    </row>
    <row r="622" spans="1:1">
      <c r="A622" s="1" t="s">
        <v>1491</v>
      </c>
    </row>
    <row r="623" spans="1:1">
      <c r="A623" s="1" t="s">
        <v>1210</v>
      </c>
    </row>
    <row r="624" spans="1:1">
      <c r="A624" s="1" t="s">
        <v>1796</v>
      </c>
    </row>
    <row r="625" spans="1:1">
      <c r="A625" s="1" t="s">
        <v>1492</v>
      </c>
    </row>
    <row r="626" spans="1:1">
      <c r="A626" s="1" t="s">
        <v>1493</v>
      </c>
    </row>
    <row r="627" spans="1:1">
      <c r="A627" s="1" t="s">
        <v>1494</v>
      </c>
    </row>
    <row r="628" spans="1:1">
      <c r="A628" s="1" t="s">
        <v>1495</v>
      </c>
    </row>
    <row r="629" spans="1:1">
      <c r="A629" s="1" t="s">
        <v>1496</v>
      </c>
    </row>
    <row r="630" spans="1:1">
      <c r="A630" s="1" t="s">
        <v>1497</v>
      </c>
    </row>
    <row r="631" spans="1:1">
      <c r="A631" s="1" t="s">
        <v>1498</v>
      </c>
    </row>
    <row r="632" spans="1:1">
      <c r="A632" s="1" t="s">
        <v>1499</v>
      </c>
    </row>
    <row r="633" spans="1:1">
      <c r="A633" s="1" t="s">
        <v>3048</v>
      </c>
    </row>
    <row r="634" spans="1:1">
      <c r="A634" s="1" t="s">
        <v>3049</v>
      </c>
    </row>
    <row r="635" spans="1:1">
      <c r="A635" s="1" t="s">
        <v>3050</v>
      </c>
    </row>
    <row r="636" spans="1:1">
      <c r="A636" s="1" t="s">
        <v>3051</v>
      </c>
    </row>
    <row r="637" spans="1:1">
      <c r="A637" s="1" t="s">
        <v>3052</v>
      </c>
    </row>
    <row r="638" spans="1:1">
      <c r="A638" s="1" t="s">
        <v>3053</v>
      </c>
    </row>
    <row r="639" spans="1:1">
      <c r="A639" s="1" t="s">
        <v>3054</v>
      </c>
    </row>
    <row r="640" spans="1:1">
      <c r="A640" s="1" t="s">
        <v>3055</v>
      </c>
    </row>
    <row r="641" spans="1:1">
      <c r="A641" s="1" t="s">
        <v>3056</v>
      </c>
    </row>
    <row r="642" spans="1:1">
      <c r="A642" s="1" t="s">
        <v>3057</v>
      </c>
    </row>
    <row r="643" spans="1:1">
      <c r="A643" s="1" t="s">
        <v>3058</v>
      </c>
    </row>
    <row r="644" spans="1:1">
      <c r="A644" s="1" t="s">
        <v>2425</v>
      </c>
    </row>
    <row r="645" spans="1:1">
      <c r="A645" s="1" t="s">
        <v>2426</v>
      </c>
    </row>
    <row r="646" spans="1:1">
      <c r="A646" s="1" t="s">
        <v>2427</v>
      </c>
    </row>
    <row r="647" spans="1:1">
      <c r="A647" s="1" t="s">
        <v>2428</v>
      </c>
    </row>
    <row r="648" spans="1:1">
      <c r="A648" s="1" t="s">
        <v>2429</v>
      </c>
    </row>
    <row r="649" spans="1:1">
      <c r="A649" s="1" t="s">
        <v>2430</v>
      </c>
    </row>
    <row r="650" spans="1:1">
      <c r="A650" s="1" t="s">
        <v>2431</v>
      </c>
    </row>
    <row r="651" spans="1:1">
      <c r="A651" s="1" t="s">
        <v>2915</v>
      </c>
    </row>
    <row r="652" spans="1:1">
      <c r="A652" s="1" t="s">
        <v>3211</v>
      </c>
    </row>
    <row r="654" spans="1:1">
      <c r="A654" s="222" t="s">
        <v>2916</v>
      </c>
    </row>
    <row r="655" spans="1:1">
      <c r="A655" s="1" t="s">
        <v>2917</v>
      </c>
    </row>
    <row r="656" spans="1:1">
      <c r="A656" s="1" t="s">
        <v>3212</v>
      </c>
    </row>
    <row r="657" spans="1:1">
      <c r="A657" s="1" t="s">
        <v>2918</v>
      </c>
    </row>
    <row r="658" spans="1:1">
      <c r="A658" s="1" t="s">
        <v>2919</v>
      </c>
    </row>
    <row r="659" spans="1:1">
      <c r="A659" s="1" t="s">
        <v>2920</v>
      </c>
    </row>
    <row r="660" spans="1:1">
      <c r="A660" s="1" t="s">
        <v>3213</v>
      </c>
    </row>
    <row r="661" spans="1:1">
      <c r="A661" s="1" t="s">
        <v>3214</v>
      </c>
    </row>
    <row r="662" spans="1:1">
      <c r="A662" s="1" t="s">
        <v>2921</v>
      </c>
    </row>
    <row r="663" spans="1:1">
      <c r="A663" s="1" t="s">
        <v>2922</v>
      </c>
    </row>
    <row r="664" spans="1:1">
      <c r="A664" s="1" t="s">
        <v>2923</v>
      </c>
    </row>
    <row r="665" spans="1:1">
      <c r="A665" s="1" t="s">
        <v>2924</v>
      </c>
    </row>
    <row r="666" spans="1:1">
      <c r="A666" s="1" t="s">
        <v>2925</v>
      </c>
    </row>
    <row r="667" spans="1:1">
      <c r="A667" s="1" t="s">
        <v>2986</v>
      </c>
    </row>
    <row r="668" spans="1:1">
      <c r="A668" s="1" t="s">
        <v>3045</v>
      </c>
    </row>
    <row r="669" spans="1:1">
      <c r="A669" s="1" t="s">
        <v>3046</v>
      </c>
    </row>
    <row r="670" spans="1:1">
      <c r="A670" s="1" t="s">
        <v>3047</v>
      </c>
    </row>
    <row r="671" spans="1:1">
      <c r="A671" s="1" t="s">
        <v>3110</v>
      </c>
    </row>
    <row r="672" spans="1:1">
      <c r="A672" s="1" t="s">
        <v>3111</v>
      </c>
    </row>
    <row r="673" spans="1:1">
      <c r="A673" s="1" t="s">
        <v>3112</v>
      </c>
    </row>
    <row r="675" spans="1:1">
      <c r="A675" s="1" t="s">
        <v>3113</v>
      </c>
    </row>
    <row r="676" spans="1:1">
      <c r="A676" s="1" t="s">
        <v>3114</v>
      </c>
    </row>
    <row r="678" spans="1:1">
      <c r="A678" s="1" t="s">
        <v>3115</v>
      </c>
    </row>
    <row r="679" spans="1:1">
      <c r="A679" s="1" t="s">
        <v>3116</v>
      </c>
    </row>
    <row r="680" spans="1:1">
      <c r="A680" s="1" t="s">
        <v>3117</v>
      </c>
    </row>
    <row r="681" spans="1:1">
      <c r="A681" s="1" t="s">
        <v>3118</v>
      </c>
    </row>
    <row r="682" spans="1:1">
      <c r="A682" s="1" t="s">
        <v>3119</v>
      </c>
    </row>
    <row r="683" spans="1:1">
      <c r="A683" s="1" t="s">
        <v>3120</v>
      </c>
    </row>
    <row r="684" spans="1:1">
      <c r="A684" s="1" t="s">
        <v>1253</v>
      </c>
    </row>
    <row r="686" spans="1:1">
      <c r="A686" s="1" t="s">
        <v>1254</v>
      </c>
    </row>
    <row r="687" spans="1:1">
      <c r="A687" s="1" t="s">
        <v>1344</v>
      </c>
    </row>
    <row r="688" spans="1:1">
      <c r="A688" s="1" t="s">
        <v>1255</v>
      </c>
    </row>
    <row r="689" spans="1:1">
      <c r="A689" s="1" t="s">
        <v>1256</v>
      </c>
    </row>
    <row r="690" spans="1:1">
      <c r="A690" s="1" t="s">
        <v>1257</v>
      </c>
    </row>
    <row r="691" spans="1:1">
      <c r="A691" s="1" t="s">
        <v>1258</v>
      </c>
    </row>
    <row r="692" spans="1:1">
      <c r="A692" s="1" t="s">
        <v>1351</v>
      </c>
    </row>
    <row r="693" spans="1:1">
      <c r="A693" s="1" t="s">
        <v>1352</v>
      </c>
    </row>
    <row r="694" spans="1:1">
      <c r="A694" s="1" t="s">
        <v>2896</v>
      </c>
    </row>
    <row r="695" spans="1:1">
      <c r="A695" s="1" t="s">
        <v>2897</v>
      </c>
    </row>
    <row r="697" spans="1:1">
      <c r="A697" s="1" t="s">
        <v>2898</v>
      </c>
    </row>
    <row r="699" spans="1:1">
      <c r="A699" s="1" t="s">
        <v>2899</v>
      </c>
    </row>
    <row r="700" spans="1:1">
      <c r="A700" s="1" t="s">
        <v>2900</v>
      </c>
    </row>
    <row r="701" spans="1:1">
      <c r="A701" s="1" t="s">
        <v>2901</v>
      </c>
    </row>
    <row r="702" spans="1:1">
      <c r="A702" s="1" t="s">
        <v>2902</v>
      </c>
    </row>
    <row r="703" spans="1:1">
      <c r="A703" s="1" t="s">
        <v>2897</v>
      </c>
    </row>
    <row r="705" spans="1:1">
      <c r="A705" s="1" t="s">
        <v>2903</v>
      </c>
    </row>
    <row r="707" spans="1:1">
      <c r="A707" s="1" t="s">
        <v>2904</v>
      </c>
    </row>
    <row r="708" spans="1:1">
      <c r="A708" s="1" t="s">
        <v>2905</v>
      </c>
    </row>
    <row r="709" spans="1:1">
      <c r="A709" s="1" t="s">
        <v>2906</v>
      </c>
    </row>
    <row r="710" spans="1:1">
      <c r="A710" s="1" t="s">
        <v>1917</v>
      </c>
    </row>
    <row r="711" spans="1:1">
      <c r="A711" s="1" t="s">
        <v>2135</v>
      </c>
    </row>
    <row r="712" spans="1:1">
      <c r="A712" s="1" t="s">
        <v>1683</v>
      </c>
    </row>
    <row r="713" spans="1:1">
      <c r="A713" s="1" t="s">
        <v>1684</v>
      </c>
    </row>
    <row r="714" spans="1:1">
      <c r="A714" s="1" t="s">
        <v>1685</v>
      </c>
    </row>
    <row r="715" spans="1:1">
      <c r="A715" s="1" t="s">
        <v>408</v>
      </c>
    </row>
    <row r="717" spans="1:1">
      <c r="A717" s="1" t="s">
        <v>409</v>
      </c>
    </row>
    <row r="718" spans="1:1">
      <c r="A718" s="1" t="s">
        <v>1344</v>
      </c>
    </row>
    <row r="719" spans="1:1">
      <c r="A719" s="1" t="s">
        <v>3215</v>
      </c>
    </row>
    <row r="720" spans="1:1">
      <c r="A720" s="1" t="s">
        <v>1189</v>
      </c>
    </row>
    <row r="721" spans="1:1">
      <c r="A721" s="1" t="s">
        <v>1190</v>
      </c>
    </row>
    <row r="722" spans="1:1">
      <c r="A722" s="1" t="s">
        <v>1191</v>
      </c>
    </row>
    <row r="723" spans="1:1">
      <c r="A723" s="1" t="s">
        <v>1192</v>
      </c>
    </row>
    <row r="724" spans="1:1">
      <c r="A724" s="1" t="s">
        <v>1193</v>
      </c>
    </row>
    <row r="726" spans="1:1">
      <c r="A726" s="1" t="s">
        <v>1194</v>
      </c>
    </row>
    <row r="728" spans="1:1">
      <c r="A728" s="1" t="s">
        <v>1195</v>
      </c>
    </row>
    <row r="730" spans="1:1">
      <c r="A730" s="1" t="s">
        <v>1196</v>
      </c>
    </row>
    <row r="731" spans="1:1">
      <c r="A731" s="1" t="s">
        <v>1344</v>
      </c>
    </row>
    <row r="732" spans="1:1">
      <c r="A732" s="1" t="s">
        <v>1197</v>
      </c>
    </row>
    <row r="733" spans="1:1">
      <c r="A733" s="1" t="s">
        <v>3216</v>
      </c>
    </row>
    <row r="735" spans="1:1">
      <c r="A735" s="1" t="s">
        <v>1198</v>
      </c>
    </row>
    <row r="736" spans="1:1">
      <c r="A736" s="1" t="s">
        <v>1344</v>
      </c>
    </row>
    <row r="737" spans="1:1">
      <c r="A737" s="1" t="s">
        <v>1408</v>
      </c>
    </row>
    <row r="738" spans="1:1">
      <c r="A738" s="1" t="s">
        <v>1409</v>
      </c>
    </row>
    <row r="739" spans="1:1">
      <c r="A739" s="1" t="s">
        <v>1475</v>
      </c>
    </row>
    <row r="740" spans="1:1">
      <c r="A740" s="1" t="s">
        <v>1476</v>
      </c>
    </row>
    <row r="741" spans="1:1">
      <c r="A741" s="1" t="s">
        <v>1477</v>
      </c>
    </row>
    <row r="742" spans="1:1">
      <c r="A742" s="1" t="s">
        <v>2441</v>
      </c>
    </row>
    <row r="743" spans="1:1">
      <c r="A743" s="1" t="s">
        <v>2442</v>
      </c>
    </row>
    <row r="744" spans="1:1">
      <c r="A744" s="1" t="s">
        <v>2443</v>
      </c>
    </row>
    <row r="745" spans="1:1">
      <c r="A745" s="1" t="s">
        <v>2444</v>
      </c>
    </row>
    <row r="747" spans="1:1">
      <c r="A747" s="1" t="s">
        <v>2445</v>
      </c>
    </row>
    <row r="748" spans="1:1">
      <c r="A748" s="1" t="s">
        <v>1344</v>
      </c>
    </row>
    <row r="749" spans="1:1">
      <c r="A749" s="1" t="s">
        <v>3217</v>
      </c>
    </row>
    <row r="750" spans="1:1">
      <c r="A750" s="1" t="s">
        <v>2446</v>
      </c>
    </row>
    <row r="751" spans="1:1">
      <c r="A751" s="1" t="s">
        <v>2447</v>
      </c>
    </row>
    <row r="752" spans="1:1">
      <c r="A752" s="1" t="s">
        <v>2448</v>
      </c>
    </row>
    <row r="753" spans="1:1">
      <c r="A753" s="1" t="s">
        <v>2449</v>
      </c>
    </row>
    <row r="754" spans="1:1">
      <c r="A754" s="1" t="s">
        <v>2450</v>
      </c>
    </row>
    <row r="755" spans="1:1">
      <c r="A755" s="1" t="s">
        <v>2451</v>
      </c>
    </row>
    <row r="757" spans="1:1">
      <c r="A757" s="1" t="s">
        <v>2452</v>
      </c>
    </row>
    <row r="758" spans="1:1">
      <c r="A758" s="1" t="s">
        <v>1344</v>
      </c>
    </row>
    <row r="759" spans="1:1">
      <c r="A759" s="1" t="s">
        <v>2453</v>
      </c>
    </row>
    <row r="760" spans="1:1">
      <c r="A760" s="1" t="s">
        <v>2454</v>
      </c>
    </row>
    <row r="761" spans="1:1">
      <c r="A761" s="1" t="s">
        <v>2455</v>
      </c>
    </row>
    <row r="762" spans="1:1">
      <c r="A762" s="1" t="s">
        <v>2456</v>
      </c>
    </row>
    <row r="764" spans="1:1">
      <c r="A764" s="1" t="s">
        <v>2457</v>
      </c>
    </row>
    <row r="766" spans="1:1">
      <c r="A766" s="1" t="s">
        <v>2458</v>
      </c>
    </row>
    <row r="767" spans="1:1">
      <c r="A767" s="1" t="s">
        <v>2459</v>
      </c>
    </row>
    <row r="768" spans="1:1">
      <c r="A768" s="1" t="s">
        <v>2460</v>
      </c>
    </row>
    <row r="770" spans="1:1">
      <c r="A770" s="1" t="s">
        <v>2461</v>
      </c>
    </row>
    <row r="771" spans="1:1">
      <c r="A771" s="1" t="s">
        <v>1344</v>
      </c>
    </row>
    <row r="772" spans="1:1">
      <c r="A772" s="1" t="s">
        <v>2462</v>
      </c>
    </row>
    <row r="773" spans="1:1">
      <c r="A773" s="1" t="s">
        <v>2463</v>
      </c>
    </row>
    <row r="774" spans="1:1">
      <c r="A774" s="1" t="s">
        <v>2464</v>
      </c>
    </row>
    <row r="775" spans="1:1">
      <c r="A775" s="1" t="s">
        <v>1211</v>
      </c>
    </row>
    <row r="777" spans="1:1">
      <c r="A777" s="222" t="s">
        <v>1471</v>
      </c>
    </row>
    <row r="778" spans="1:1">
      <c r="A778" s="1" t="s">
        <v>2465</v>
      </c>
    </row>
    <row r="779" spans="1:1">
      <c r="A779" s="1" t="s">
        <v>2466</v>
      </c>
    </row>
    <row r="780" spans="1:1">
      <c r="A780" s="1" t="s">
        <v>2467</v>
      </c>
    </row>
    <row r="781" spans="1:1">
      <c r="A781" s="1" t="s">
        <v>2468</v>
      </c>
    </row>
    <row r="782" spans="1:1">
      <c r="A782" s="1" t="s">
        <v>2469</v>
      </c>
    </row>
    <row r="783" spans="1:1">
      <c r="A783" s="1" t="s">
        <v>2470</v>
      </c>
    </row>
    <row r="784" spans="1:1">
      <c r="A784" s="1" t="s">
        <v>2471</v>
      </c>
    </row>
    <row r="785" spans="1:1">
      <c r="A785" s="1" t="s">
        <v>2472</v>
      </c>
    </row>
    <row r="786" spans="1:1">
      <c r="A786" s="1" t="s">
        <v>2473</v>
      </c>
    </row>
    <row r="787" spans="1:1">
      <c r="A787" s="1" t="s">
        <v>2474</v>
      </c>
    </row>
    <row r="788" spans="1:1">
      <c r="A788" s="1" t="s">
        <v>2475</v>
      </c>
    </row>
    <row r="789" spans="1:1">
      <c r="A789" s="1" t="s">
        <v>2476</v>
      </c>
    </row>
    <row r="790" spans="1:1">
      <c r="A790" s="1" t="s">
        <v>3197</v>
      </c>
    </row>
    <row r="791" spans="1:1">
      <c r="A791" s="1" t="s">
        <v>3198</v>
      </c>
    </row>
    <row r="792" spans="1:1">
      <c r="A792" s="1" t="s">
        <v>3199</v>
      </c>
    </row>
    <row r="794" spans="1:1">
      <c r="A794" s="1" t="s">
        <v>3193</v>
      </c>
    </row>
    <row r="795" spans="1:1">
      <c r="A795" s="1" t="s">
        <v>3194</v>
      </c>
    </row>
    <row r="797" spans="1:1">
      <c r="A797" s="1" t="s">
        <v>3195</v>
      </c>
    </row>
    <row r="798" spans="1:1">
      <c r="A798" s="1" t="s">
        <v>3196</v>
      </c>
    </row>
    <row r="799" spans="1:1">
      <c r="A799" s="1" t="s">
        <v>1273</v>
      </c>
    </row>
    <row r="800" spans="1:1">
      <c r="A800" s="1" t="s">
        <v>1274</v>
      </c>
    </row>
    <row r="801" spans="1:1">
      <c r="A801" s="1" t="s">
        <v>1275</v>
      </c>
    </row>
    <row r="802" spans="1:1">
      <c r="A802" s="1" t="s">
        <v>2963</v>
      </c>
    </row>
    <row r="803" spans="1:1">
      <c r="A803" s="1" t="s">
        <v>2964</v>
      </c>
    </row>
    <row r="804" spans="1:1">
      <c r="A804" s="1" t="s">
        <v>2965</v>
      </c>
    </row>
    <row r="805" spans="1:1">
      <c r="A805" s="1" t="s">
        <v>2966</v>
      </c>
    </row>
    <row r="806" spans="1:1">
      <c r="A806" s="1" t="s">
        <v>2967</v>
      </c>
    </row>
    <row r="807" spans="1:1">
      <c r="A807" s="1" t="s">
        <v>1769</v>
      </c>
    </row>
    <row r="808" spans="1:1">
      <c r="A808" s="1" t="s">
        <v>1413</v>
      </c>
    </row>
    <row r="809" spans="1:1">
      <c r="A809" s="1" t="s">
        <v>1414</v>
      </c>
    </row>
    <row r="810" spans="1:1">
      <c r="A810" s="1" t="s">
        <v>1415</v>
      </c>
    </row>
    <row r="811" spans="1:1">
      <c r="A811" s="1" t="s">
        <v>1416</v>
      </c>
    </row>
    <row r="812" spans="1:1">
      <c r="A812" s="1" t="s">
        <v>1417</v>
      </c>
    </row>
    <row r="813" spans="1:1">
      <c r="A813" s="1" t="s">
        <v>1418</v>
      </c>
    </row>
    <row r="814" spans="1:1">
      <c r="A814" s="1" t="s">
        <v>1419</v>
      </c>
    </row>
    <row r="815" spans="1:1">
      <c r="A815" s="1" t="s">
        <v>1420</v>
      </c>
    </row>
    <row r="817" spans="1:1">
      <c r="A817" s="1" t="s">
        <v>1421</v>
      </c>
    </row>
    <row r="818" spans="1:1">
      <c r="A818" s="1" t="s">
        <v>1218</v>
      </c>
    </row>
    <row r="819" spans="1:1">
      <c r="A819" s="1" t="s">
        <v>1219</v>
      </c>
    </row>
    <row r="820" spans="1:1">
      <c r="A820" s="1" t="s">
        <v>1220</v>
      </c>
    </row>
    <row r="821" spans="1:1">
      <c r="A821" s="1" t="s">
        <v>1221</v>
      </c>
    </row>
    <row r="822" spans="1:1">
      <c r="A822" s="1" t="s">
        <v>1222</v>
      </c>
    </row>
    <row r="823" spans="1:1">
      <c r="A823" s="1" t="s">
        <v>1223</v>
      </c>
    </row>
    <row r="824" spans="1:1">
      <c r="A824" s="1" t="s">
        <v>1224</v>
      </c>
    </row>
    <row r="825" spans="1:1">
      <c r="A825" s="1" t="s">
        <v>1225</v>
      </c>
    </row>
    <row r="826" spans="1:1">
      <c r="A826" s="1" t="s">
        <v>1226</v>
      </c>
    </row>
    <row r="827" spans="1:1">
      <c r="A827" s="1" t="s">
        <v>1227</v>
      </c>
    </row>
    <row r="828" spans="1:1">
      <c r="A828" s="1" t="s">
        <v>1228</v>
      </c>
    </row>
    <row r="829" spans="1:1">
      <c r="A829" s="1" t="s">
        <v>1229</v>
      </c>
    </row>
    <row r="830" spans="1:1">
      <c r="A830" s="1" t="s">
        <v>1230</v>
      </c>
    </row>
    <row r="831" spans="1:1">
      <c r="A831" s="1" t="s">
        <v>1231</v>
      </c>
    </row>
    <row r="832" spans="1:1">
      <c r="A832" s="1" t="s">
        <v>108</v>
      </c>
    </row>
    <row r="833" spans="1:1">
      <c r="A833" s="1" t="s">
        <v>109</v>
      </c>
    </row>
    <row r="834" spans="1:1">
      <c r="A834" s="1" t="s">
        <v>110</v>
      </c>
    </row>
    <row r="836" spans="1:1">
      <c r="A836" s="1" t="s">
        <v>111</v>
      </c>
    </row>
    <row r="837" spans="1:1">
      <c r="A837" s="1" t="s">
        <v>112</v>
      </c>
    </row>
    <row r="838" spans="1:1">
      <c r="A838" s="1" t="s">
        <v>113</v>
      </c>
    </row>
    <row r="839" spans="1:1">
      <c r="A839" s="1" t="s">
        <v>114</v>
      </c>
    </row>
    <row r="840" spans="1:1">
      <c r="A840" s="1" t="s">
        <v>1770</v>
      </c>
    </row>
    <row r="843" spans="1:1">
      <c r="A843" s="222" t="s">
        <v>3269</v>
      </c>
    </row>
    <row r="844" spans="1:1">
      <c r="A844" s="1" t="s">
        <v>115</v>
      </c>
    </row>
    <row r="845" spans="1:1">
      <c r="A845" s="1" t="s">
        <v>116</v>
      </c>
    </row>
    <row r="846" spans="1:1">
      <c r="A846" s="1" t="s">
        <v>117</v>
      </c>
    </row>
    <row r="847" spans="1:1">
      <c r="A847" s="1" t="s">
        <v>3270</v>
      </c>
    </row>
    <row r="848" spans="1:1">
      <c r="A848" s="1" t="s">
        <v>118</v>
      </c>
    </row>
    <row r="849" spans="1:1">
      <c r="A849" s="1" t="s">
        <v>119</v>
      </c>
    </row>
    <row r="850" spans="1:1">
      <c r="A850" s="1" t="s">
        <v>120</v>
      </c>
    </row>
    <row r="851" spans="1:1">
      <c r="A851" s="1" t="s">
        <v>121</v>
      </c>
    </row>
    <row r="852" spans="1:1">
      <c r="A852" s="1" t="s">
        <v>122</v>
      </c>
    </row>
    <row r="853" spans="1:1">
      <c r="A853" s="1" t="s">
        <v>123</v>
      </c>
    </row>
    <row r="854" spans="1:1">
      <c r="A854" s="1" t="s">
        <v>1630</v>
      </c>
    </row>
    <row r="855" spans="1:1">
      <c r="A855" s="1" t="s">
        <v>1631</v>
      </c>
    </row>
    <row r="856" spans="1:1">
      <c r="A856" s="1" t="s">
        <v>2878</v>
      </c>
    </row>
    <row r="857" spans="1:1">
      <c r="A857" s="1" t="s">
        <v>3271</v>
      </c>
    </row>
    <row r="858" spans="1:1">
      <c r="A858" s="222" t="s">
        <v>2379</v>
      </c>
    </row>
    <row r="859" spans="1:1">
      <c r="A859" s="1" t="s">
        <v>2380</v>
      </c>
    </row>
    <row r="860" spans="1:1">
      <c r="A860" s="1" t="s">
        <v>2381</v>
      </c>
    </row>
    <row r="862" spans="1:1">
      <c r="A862" s="1" t="s">
        <v>2382</v>
      </c>
    </row>
    <row r="863" spans="1:1">
      <c r="A863" s="1" t="s">
        <v>233</v>
      </c>
    </row>
    <row r="864" spans="1:1">
      <c r="A864" s="1" t="s">
        <v>234</v>
      </c>
    </row>
    <row r="866" spans="1:1">
      <c r="A866" s="1" t="s">
        <v>235</v>
      </c>
    </row>
    <row r="867" spans="1:1">
      <c r="A867" s="1" t="s">
        <v>236</v>
      </c>
    </row>
    <row r="868" spans="1:1">
      <c r="A868" s="1" t="s">
        <v>237</v>
      </c>
    </row>
    <row r="870" spans="1:1">
      <c r="A870" s="1" t="s">
        <v>238</v>
      </c>
    </row>
    <row r="871" spans="1:1">
      <c r="A871" s="1" t="s">
        <v>3013</v>
      </c>
    </row>
    <row r="873" spans="1:1">
      <c r="A873" s="1" t="s">
        <v>3014</v>
      </c>
    </row>
    <row r="874" spans="1:1">
      <c r="A874" s="1" t="s">
        <v>3015</v>
      </c>
    </row>
    <row r="875" spans="1:1">
      <c r="A875" s="1" t="s">
        <v>3016</v>
      </c>
    </row>
    <row r="876" spans="1:1">
      <c r="A876" s="1" t="s">
        <v>3017</v>
      </c>
    </row>
    <row r="877" spans="1:1">
      <c r="A877" s="1" t="s">
        <v>3018</v>
      </c>
    </row>
    <row r="879" spans="1:1">
      <c r="A879" s="1" t="s">
        <v>3019</v>
      </c>
    </row>
    <row r="880" spans="1:1">
      <c r="A880" s="1" t="s">
        <v>3086</v>
      </c>
    </row>
    <row r="882" spans="1:1">
      <c r="A882" s="1" t="s">
        <v>3272</v>
      </c>
    </row>
    <row r="883" spans="1:1">
      <c r="A883" s="354">
        <v>2017</v>
      </c>
    </row>
    <row r="885" spans="1:1">
      <c r="A885" s="369" t="s">
        <v>3205</v>
      </c>
    </row>
    <row r="886" spans="1:1">
      <c r="A886" s="1" t="s">
        <v>1344</v>
      </c>
    </row>
    <row r="887" spans="1:1">
      <c r="A887" s="1" t="s">
        <v>1344</v>
      </c>
    </row>
    <row r="888" spans="1:1">
      <c r="A888" s="1" t="s">
        <v>1344</v>
      </c>
    </row>
    <row r="889" spans="1:1">
      <c r="A889" s="1" t="s">
        <v>1344</v>
      </c>
    </row>
    <row r="890" spans="1:1">
      <c r="A890" s="1">
        <v>26</v>
      </c>
    </row>
  </sheetData>
  <phoneticPr fontId="15" type="noConversion"/>
  <hyperlinks>
    <hyperlink ref="A19" location="Manual!A34" display="INTRODUCTION TO THIS MANUAL" xr:uid="{00000000-0004-0000-1200-000000000000}"/>
    <hyperlink ref="A2" location="Manual!A18" display="table of contents" xr:uid="{00000000-0004-0000-1200-000001000000}"/>
    <hyperlink ref="A26" location="Manual!A453" display="FEATURES OF THE MODEL" xr:uid="{00000000-0004-0000-1200-000002000000}"/>
    <hyperlink ref="A22" location="Manual!A297" display="THE UNDERPINNING OF THE ASSUMPTIONS" xr:uid="{00000000-0004-0000-1200-000003000000}"/>
    <hyperlink ref="A24" location="Manual!A374" display="MACROABC METHODOLOGY" xr:uid="{00000000-0004-0000-1200-000004000000}"/>
    <hyperlink ref="A25" location="Manual!A420" display="THE MAIN SHEETS OF THE MODEL" xr:uid="{00000000-0004-0000-1200-000005000000}"/>
    <hyperlink ref="A27" location="Manual!A486" display="MODEL OPERATIONS" xr:uid="{00000000-0004-0000-1200-000006000000}"/>
    <hyperlink ref="A29" location="Manual!A611" display="THE MODEL IN DETAIL" xr:uid="{00000000-0004-0000-1200-000007000000}"/>
    <hyperlink ref="A28" location="Manual!A574" display="Flow diagram of the model" xr:uid="{00000000-0004-0000-1200-000008000000}"/>
    <hyperlink ref="A30" location="Manual!A655" display="THEORY BEHIND THE BEHAVIOURAL EQUATIONS IN BRIEF" xr:uid="{00000000-0004-0000-1200-000009000000}"/>
    <hyperlink ref="A32" location="Manual!A847" display="WHAT IS STUSECO AND CV" xr:uid="{00000000-0004-0000-1200-00000A000000}"/>
    <hyperlink ref="A31" location="Manual!A778" display="MAIN BEHAVIOURAL EQUATIONS" xr:uid="{00000000-0004-0000-1200-00000B000000}"/>
    <hyperlink ref="A23" location="Manual!A357" display="OUTLINE OF SURINAM’S MACROABC MODEL" xr:uid="{00000000-0004-0000-1200-00000C000000}"/>
    <hyperlink ref="A20" location="Manual!A89" display="THE MACROABC MODEL IN A NUTSHELL:" xr:uid="{00000000-0004-0000-1200-00000D000000}"/>
    <hyperlink ref="A21" location="Manual!A125" display="OVERVIEW OF THE MODEL" xr:uid="{00000000-0004-0000-1200-00000E000000}"/>
    <hyperlink ref="A33" location="Manual!A885" display="The End" xr:uid="{00000000-0004-0000-1200-00000F000000}"/>
    <hyperlink ref="A1" location="Manual!A18" display="Manual Macroabc Suriname    Index, Table of contents" xr:uid="{00000000-0004-0000-1200-00001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indexed="10"/>
  </sheetPr>
  <dimension ref="A1:R47"/>
  <sheetViews>
    <sheetView zoomScale="80" zoomScaleNormal="80" workbookViewId="0"/>
  </sheetViews>
  <sheetFormatPr defaultRowHeight="11.25"/>
  <cols>
    <col min="1" max="1" width="1.6640625" customWidth="1"/>
    <col min="2" max="2" width="3.6640625" customWidth="1"/>
    <col min="3" max="3" width="0.83203125" customWidth="1"/>
    <col min="4" max="6" width="7.83203125" customWidth="1"/>
    <col min="7" max="7" width="4.83203125" customWidth="1"/>
    <col min="8" max="10" width="7.83203125" customWidth="1"/>
    <col min="11" max="11" width="4.83203125" customWidth="1"/>
    <col min="12" max="14" width="7.83203125" customWidth="1"/>
    <col min="15" max="15" width="8.6640625" customWidth="1"/>
    <col min="17" max="17" width="5.6640625" customWidth="1"/>
    <col min="18" max="18" width="2.33203125" customWidth="1"/>
  </cols>
  <sheetData>
    <row r="1" spans="1:18" ht="9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9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9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phoneticPr fontId="15" type="noConversion"/>
  <pageMargins left="0.75" right="0.75" top="1" bottom="1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2:F188"/>
  <sheetViews>
    <sheetView workbookViewId="0">
      <selection activeCell="A2" sqref="A2"/>
    </sheetView>
  </sheetViews>
  <sheetFormatPr defaultRowHeight="11.25"/>
  <cols>
    <col min="1" max="1" width="5.33203125" customWidth="1"/>
    <col min="2" max="4" width="26.6640625" customWidth="1"/>
  </cols>
  <sheetData>
    <row r="2" spans="1:6" ht="15.75">
      <c r="A2" s="687"/>
      <c r="B2" s="626"/>
      <c r="C2" s="626"/>
      <c r="D2" s="626"/>
      <c r="F2" s="154"/>
    </row>
    <row r="3" spans="1:6" ht="15.75">
      <c r="A3" s="687"/>
      <c r="B3" s="626"/>
      <c r="C3" s="626"/>
      <c r="D3" s="626"/>
    </row>
    <row r="4" spans="1:6" ht="15.75">
      <c r="A4" s="687"/>
      <c r="B4" s="626"/>
      <c r="C4" s="626"/>
      <c r="D4" s="626"/>
      <c r="F4" s="154"/>
    </row>
    <row r="5" spans="1:6" ht="15.75">
      <c r="A5" s="687"/>
      <c r="B5" s="626"/>
      <c r="C5" s="626"/>
      <c r="D5" s="626"/>
    </row>
    <row r="6" spans="1:6" ht="15.75">
      <c r="B6" s="626"/>
      <c r="C6" s="626"/>
      <c r="D6" s="687" t="s">
        <v>1422</v>
      </c>
    </row>
    <row r="7" spans="1:6" ht="12.75">
      <c r="B7" s="626"/>
      <c r="C7" s="626"/>
      <c r="D7" s="771" t="s">
        <v>3289</v>
      </c>
    </row>
    <row r="8" spans="1:6" ht="12.75">
      <c r="B8" s="626"/>
      <c r="C8" s="626"/>
      <c r="D8" s="771" t="s">
        <v>3387</v>
      </c>
    </row>
    <row r="9" spans="1:6" ht="12.75">
      <c r="B9" s="626"/>
      <c r="C9" s="626"/>
      <c r="D9" s="771" t="s">
        <v>3290</v>
      </c>
    </row>
    <row r="10" spans="1:6" ht="12.75">
      <c r="A10" s="772"/>
      <c r="B10" s="626"/>
      <c r="C10" s="626"/>
      <c r="D10" s="626"/>
    </row>
    <row r="11" spans="1:6" ht="20.25">
      <c r="A11" s="787" t="s">
        <v>3390</v>
      </c>
      <c r="B11" s="626"/>
      <c r="C11" s="626"/>
      <c r="D11" s="626"/>
    </row>
    <row r="12" spans="1:6" ht="18.75">
      <c r="A12" s="773" t="s">
        <v>3291</v>
      </c>
      <c r="B12" s="626"/>
      <c r="C12" s="626"/>
      <c r="D12" s="626"/>
    </row>
    <row r="13" spans="1:6" ht="15.75">
      <c r="A13" s="288"/>
      <c r="B13" s="626"/>
      <c r="C13" s="626"/>
      <c r="D13" s="626"/>
    </row>
    <row r="14" spans="1:6" ht="15.75">
      <c r="A14" s="288" t="s">
        <v>3292</v>
      </c>
      <c r="B14" s="626"/>
      <c r="C14" s="626"/>
      <c r="D14" s="626"/>
    </row>
    <row r="15" spans="1:6" ht="15.75">
      <c r="A15" s="223" t="s">
        <v>3293</v>
      </c>
      <c r="B15" s="626"/>
      <c r="C15" s="626"/>
      <c r="D15" s="626"/>
    </row>
    <row r="16" spans="1:6" ht="15.75">
      <c r="A16" s="223" t="s">
        <v>3294</v>
      </c>
      <c r="B16" s="626"/>
      <c r="C16" s="626"/>
      <c r="D16" s="626"/>
    </row>
    <row r="17" spans="1:6" ht="15.75">
      <c r="A17" s="223" t="s">
        <v>3295</v>
      </c>
      <c r="B17" s="626"/>
      <c r="C17" s="626"/>
      <c r="D17" s="626"/>
    </row>
    <row r="18" spans="1:6" ht="15.75">
      <c r="A18" s="223" t="s">
        <v>3296</v>
      </c>
      <c r="B18" s="626"/>
      <c r="C18" s="626"/>
      <c r="D18" s="626"/>
    </row>
    <row r="19" spans="1:6" ht="15.75">
      <c r="A19" s="223" t="s">
        <v>3297</v>
      </c>
      <c r="B19" s="626"/>
      <c r="C19" s="626"/>
      <c r="D19" s="626"/>
    </row>
    <row r="20" spans="1:6" ht="15.75">
      <c r="A20" s="223" t="s">
        <v>3298</v>
      </c>
      <c r="B20" s="626"/>
      <c r="C20" s="626"/>
      <c r="D20" s="626"/>
    </row>
    <row r="21" spans="1:6" ht="15.75">
      <c r="A21" s="1"/>
      <c r="B21" s="626"/>
      <c r="C21" s="626"/>
      <c r="D21" s="626"/>
    </row>
    <row r="22" spans="1:6" ht="15.75">
      <c r="A22" s="222" t="s">
        <v>3299</v>
      </c>
      <c r="B22" s="626"/>
      <c r="C22" s="626"/>
      <c r="D22" s="626"/>
    </row>
    <row r="23" spans="1:6" ht="15.75">
      <c r="A23" s="410" t="s">
        <v>3300</v>
      </c>
      <c r="B23" s="788"/>
      <c r="C23" s="788"/>
      <c r="D23" s="788"/>
      <c r="E23" s="789"/>
      <c r="F23" s="789"/>
    </row>
    <row r="24" spans="1:6" ht="15.75">
      <c r="A24" s="222"/>
      <c r="B24" s="626"/>
      <c r="C24" s="626"/>
      <c r="D24" s="626"/>
    </row>
    <row r="25" spans="1:6" ht="15.75">
      <c r="A25" s="222" t="s">
        <v>3301</v>
      </c>
      <c r="B25" s="626"/>
      <c r="C25" s="626"/>
      <c r="D25" s="626"/>
    </row>
    <row r="26" spans="1:6" ht="15.75">
      <c r="A26" s="774" t="s">
        <v>3302</v>
      </c>
      <c r="B26" s="626"/>
      <c r="C26" s="626"/>
      <c r="D26" s="626"/>
    </row>
    <row r="27" spans="1:6" ht="15.75">
      <c r="A27" s="775" t="s">
        <v>3303</v>
      </c>
      <c r="B27" s="626"/>
      <c r="C27" s="626"/>
      <c r="D27" s="626"/>
    </row>
    <row r="28" spans="1:6" ht="15.75">
      <c r="A28" s="774" t="s">
        <v>3304</v>
      </c>
      <c r="B28" s="626"/>
      <c r="C28" s="626"/>
      <c r="D28" s="626"/>
    </row>
    <row r="29" spans="1:6" ht="15.75">
      <c r="A29" s="775" t="s">
        <v>3305</v>
      </c>
      <c r="B29" s="626"/>
      <c r="C29" s="626"/>
      <c r="D29" s="626"/>
    </row>
    <row r="30" spans="1:6" ht="15.75">
      <c r="A30" s="775" t="s">
        <v>3306</v>
      </c>
      <c r="B30" s="626"/>
      <c r="C30" s="626"/>
      <c r="D30" s="626"/>
    </row>
    <row r="31" spans="1:6" ht="15.75">
      <c r="A31" s="775" t="s">
        <v>3307</v>
      </c>
      <c r="B31" s="626"/>
      <c r="C31" s="626"/>
      <c r="D31" s="626"/>
    </row>
    <row r="32" spans="1:6" ht="15.75">
      <c r="A32" s="774" t="s">
        <v>3281</v>
      </c>
      <c r="B32" s="626"/>
      <c r="C32" s="626"/>
      <c r="D32" s="626"/>
    </row>
    <row r="33" spans="1:4" ht="15.75">
      <c r="A33" s="774" t="s">
        <v>3308</v>
      </c>
      <c r="B33" s="626"/>
      <c r="C33" s="626"/>
      <c r="D33" s="626"/>
    </row>
    <row r="34" spans="1:4" ht="15.75">
      <c r="A34" s="1"/>
      <c r="B34" s="626"/>
      <c r="C34" s="626"/>
      <c r="D34" s="626"/>
    </row>
    <row r="35" spans="1:4" ht="15.75">
      <c r="A35" s="1" t="s">
        <v>3309</v>
      </c>
      <c r="B35" s="626"/>
      <c r="C35" s="626"/>
      <c r="D35" s="626"/>
    </row>
    <row r="36" spans="1:4" ht="15.75">
      <c r="A36" s="1"/>
      <c r="B36" s="626"/>
      <c r="C36" s="626"/>
      <c r="D36" s="626"/>
    </row>
    <row r="37" spans="1:4" ht="15.75">
      <c r="A37" s="154"/>
      <c r="B37" s="626"/>
      <c r="C37" s="626"/>
      <c r="D37" s="626"/>
    </row>
    <row r="38" spans="1:4">
      <c r="B38" s="626"/>
      <c r="C38" s="626"/>
      <c r="D38" s="626"/>
    </row>
    <row r="39" spans="1:4" ht="15.75">
      <c r="A39" s="154"/>
      <c r="B39" s="626"/>
      <c r="C39" s="626"/>
      <c r="D39" s="626"/>
    </row>
    <row r="40" spans="1:4" ht="15.75">
      <c r="A40" s="1"/>
      <c r="B40" s="626"/>
      <c r="C40" s="626"/>
      <c r="D40" s="626"/>
    </row>
    <row r="41" spans="1:4" ht="15.75">
      <c r="A41" s="1"/>
      <c r="B41" s="626"/>
      <c r="C41" s="626"/>
      <c r="D41" s="626"/>
    </row>
    <row r="42" spans="1:4" ht="15.75">
      <c r="A42" s="1"/>
      <c r="B42" s="626"/>
      <c r="C42" s="626"/>
      <c r="D42" s="626"/>
    </row>
    <row r="43" spans="1:4" ht="15.75">
      <c r="A43" s="1"/>
      <c r="B43" s="626"/>
      <c r="C43" s="626"/>
      <c r="D43" s="626"/>
    </row>
    <row r="44" spans="1:4" ht="15.75">
      <c r="A44" s="1"/>
      <c r="B44" s="626"/>
      <c r="C44" s="626"/>
      <c r="D44" s="626"/>
    </row>
    <row r="45" spans="1:4" ht="15.75">
      <c r="A45" s="1"/>
      <c r="B45" s="626"/>
      <c r="C45" s="626"/>
      <c r="D45" s="626"/>
    </row>
    <row r="46" spans="1:4" ht="15.75">
      <c r="A46" s="1"/>
      <c r="B46" s="626"/>
      <c r="C46" s="626"/>
      <c r="D46" s="626"/>
    </row>
    <row r="47" spans="1:4" ht="15.75">
      <c r="A47" s="1"/>
      <c r="B47" s="626"/>
      <c r="C47" s="626"/>
      <c r="D47" s="626"/>
    </row>
    <row r="48" spans="1:4" ht="15">
      <c r="A48" s="776" t="s">
        <v>3310</v>
      </c>
      <c r="B48" s="626"/>
      <c r="C48" s="626"/>
      <c r="D48" s="626"/>
    </row>
    <row r="49" spans="1:4" ht="15.75">
      <c r="A49" s="1"/>
      <c r="B49" s="626"/>
      <c r="C49" s="626"/>
      <c r="D49" s="626"/>
    </row>
    <row r="50" spans="1:4" ht="15.75">
      <c r="A50" s="1" t="s">
        <v>3311</v>
      </c>
      <c r="B50" s="626"/>
      <c r="C50" s="626"/>
      <c r="D50" s="626"/>
    </row>
    <row r="51" spans="1:4" ht="15.75">
      <c r="A51" s="1" t="s">
        <v>3312</v>
      </c>
      <c r="B51" s="626"/>
      <c r="C51" s="626"/>
      <c r="D51" s="626"/>
    </row>
    <row r="52" spans="1:4" ht="15.75">
      <c r="A52" s="1" t="s">
        <v>3313</v>
      </c>
      <c r="B52" s="626"/>
      <c r="C52" s="626"/>
      <c r="D52" s="626"/>
    </row>
    <row r="53" spans="1:4" ht="15.75">
      <c r="A53" s="1" t="s">
        <v>3314</v>
      </c>
      <c r="B53" s="626"/>
      <c r="C53" s="626"/>
      <c r="D53" s="626"/>
    </row>
    <row r="54" spans="1:4" ht="15.75">
      <c r="A54" s="1" t="s">
        <v>3315</v>
      </c>
      <c r="B54" s="626"/>
      <c r="C54" s="626"/>
      <c r="D54" s="626"/>
    </row>
    <row r="55" spans="1:4" ht="15.75">
      <c r="A55" s="1" t="s">
        <v>3316</v>
      </c>
      <c r="B55" s="626"/>
      <c r="C55" s="626"/>
      <c r="D55" s="626"/>
    </row>
    <row r="56" spans="1:4" ht="15.75">
      <c r="A56" s="1"/>
      <c r="B56" s="626"/>
      <c r="C56" s="626"/>
      <c r="D56" s="626"/>
    </row>
    <row r="57" spans="1:4" ht="15.75">
      <c r="A57" s="222" t="s">
        <v>3317</v>
      </c>
      <c r="B57" s="626"/>
      <c r="C57" s="626"/>
      <c r="D57" s="626"/>
    </row>
    <row r="58" spans="1:4" ht="15.75">
      <c r="A58" s="1" t="s">
        <v>3318</v>
      </c>
      <c r="B58" s="626"/>
      <c r="C58" s="626"/>
      <c r="D58" s="626"/>
    </row>
    <row r="59" spans="1:4" ht="15.75">
      <c r="A59" s="1" t="s">
        <v>3319</v>
      </c>
      <c r="B59" s="626"/>
      <c r="C59" s="626"/>
      <c r="D59" s="626"/>
    </row>
    <row r="60" spans="1:4" ht="15.75">
      <c r="A60" s="1" t="s">
        <v>3320</v>
      </c>
      <c r="B60" s="626"/>
      <c r="C60" s="626"/>
      <c r="D60" s="626"/>
    </row>
    <row r="61" spans="1:4" ht="15.75">
      <c r="A61" s="1" t="s">
        <v>3321</v>
      </c>
      <c r="B61" s="626"/>
      <c r="C61" s="626"/>
      <c r="D61" s="626"/>
    </row>
    <row r="62" spans="1:4" ht="15.75">
      <c r="A62" s="1" t="s">
        <v>3391</v>
      </c>
      <c r="B62" s="626"/>
      <c r="C62" s="626"/>
      <c r="D62" s="626"/>
    </row>
    <row r="63" spans="1:4" ht="15.75">
      <c r="A63" s="1" t="s">
        <v>3392</v>
      </c>
      <c r="B63" s="626"/>
      <c r="C63" s="626"/>
      <c r="D63" s="626"/>
    </row>
    <row r="64" spans="1:4" ht="15.75">
      <c r="A64" s="1"/>
      <c r="B64" s="626"/>
      <c r="C64" s="626"/>
      <c r="D64" s="626"/>
    </row>
    <row r="65" spans="1:4" ht="15.75">
      <c r="A65" s="1"/>
      <c r="B65" s="626"/>
      <c r="C65" s="626"/>
      <c r="D65" s="626"/>
    </row>
    <row r="66" spans="1:4" ht="15.75">
      <c r="A66" s="1"/>
      <c r="B66" s="626"/>
      <c r="C66" s="626"/>
      <c r="D66" s="626"/>
    </row>
    <row r="67" spans="1:4" ht="15.75">
      <c r="A67" s="1"/>
      <c r="B67" s="626"/>
      <c r="C67" s="626"/>
      <c r="D67" s="626"/>
    </row>
    <row r="68" spans="1:4" ht="15.75">
      <c r="A68" s="1"/>
      <c r="B68" s="626"/>
      <c r="C68" s="626"/>
      <c r="D68" s="626"/>
    </row>
    <row r="69" spans="1:4" ht="15.75">
      <c r="A69" s="1"/>
      <c r="B69" s="626"/>
      <c r="C69" s="626"/>
      <c r="D69" s="626"/>
    </row>
    <row r="70" spans="1:4" ht="15.75">
      <c r="A70" s="1"/>
      <c r="B70" s="626"/>
      <c r="C70" s="626"/>
      <c r="D70" s="626"/>
    </row>
    <row r="71" spans="1:4" ht="15.75">
      <c r="A71" s="1"/>
      <c r="B71" s="626"/>
      <c r="C71" s="626"/>
      <c r="D71" s="626"/>
    </row>
    <row r="72" spans="1:4" ht="15.75">
      <c r="A72" s="1"/>
      <c r="B72" s="626"/>
      <c r="C72" s="626"/>
      <c r="D72" s="626"/>
    </row>
    <row r="73" spans="1:4" ht="15.75">
      <c r="A73" s="1"/>
      <c r="B73" s="626"/>
      <c r="C73" s="626"/>
      <c r="D73" s="626"/>
    </row>
    <row r="74" spans="1:4" ht="15.75">
      <c r="A74" s="1"/>
      <c r="B74" s="626"/>
      <c r="C74" s="626"/>
      <c r="D74" s="626"/>
    </row>
    <row r="75" spans="1:4" ht="15.75">
      <c r="A75" s="1"/>
      <c r="B75" s="626"/>
      <c r="C75" s="626"/>
      <c r="D75" s="626"/>
    </row>
    <row r="76" spans="1:4" ht="15.75">
      <c r="A76" s="1"/>
      <c r="B76" s="626"/>
      <c r="C76" s="626"/>
      <c r="D76" s="626"/>
    </row>
    <row r="77" spans="1:4" ht="15.75">
      <c r="A77" s="1"/>
      <c r="B77" s="626"/>
      <c r="C77" s="626"/>
      <c r="D77" s="626"/>
    </row>
    <row r="78" spans="1:4" ht="15.75">
      <c r="A78" s="1"/>
      <c r="B78" s="626"/>
      <c r="C78" s="626"/>
      <c r="D78" s="626"/>
    </row>
    <row r="79" spans="1:4" ht="15.75">
      <c r="A79" s="1"/>
      <c r="B79" s="626"/>
      <c r="C79" s="626"/>
      <c r="D79" s="626"/>
    </row>
    <row r="80" spans="1:4" ht="15.75">
      <c r="A80" s="1"/>
      <c r="B80" s="626"/>
      <c r="C80" s="626"/>
      <c r="D80" s="626"/>
    </row>
    <row r="81" spans="1:4" ht="15.75">
      <c r="A81" s="1"/>
      <c r="B81" s="626"/>
      <c r="C81" s="626"/>
      <c r="D81" s="626"/>
    </row>
    <row r="82" spans="1:4" ht="15.75">
      <c r="A82" s="1"/>
      <c r="B82" s="626"/>
      <c r="C82" s="626"/>
      <c r="D82" s="626"/>
    </row>
    <row r="83" spans="1:4" ht="15.75">
      <c r="A83" s="1"/>
      <c r="B83" s="626"/>
      <c r="C83" s="626"/>
      <c r="D83" s="626"/>
    </row>
    <row r="84" spans="1:4" ht="15.75">
      <c r="A84" s="1"/>
      <c r="B84" s="626"/>
      <c r="C84" s="626"/>
      <c r="D84" s="626"/>
    </row>
    <row r="85" spans="1:4" ht="15.75">
      <c r="A85" s="1"/>
      <c r="B85" s="626"/>
      <c r="C85" s="626"/>
      <c r="D85" s="626"/>
    </row>
    <row r="86" spans="1:4" ht="15.75">
      <c r="A86" s="1"/>
      <c r="B86" s="626"/>
      <c r="C86" s="626"/>
      <c r="D86" s="626"/>
    </row>
    <row r="87" spans="1:4" ht="15.75">
      <c r="A87" s="1" t="s">
        <v>3393</v>
      </c>
      <c r="B87" s="626"/>
      <c r="C87" s="626"/>
      <c r="D87" s="626"/>
    </row>
    <row r="88" spans="1:4" ht="15.75">
      <c r="A88" s="1" t="s">
        <v>3394</v>
      </c>
      <c r="B88" s="626"/>
      <c r="C88" s="626"/>
      <c r="D88" s="626"/>
    </row>
    <row r="89" spans="1:4" ht="15.75">
      <c r="A89" s="1" t="s">
        <v>3322</v>
      </c>
      <c r="B89" s="626"/>
      <c r="C89" s="626"/>
      <c r="D89" s="626"/>
    </row>
    <row r="90" spans="1:4" ht="15.75">
      <c r="A90" s="1" t="s">
        <v>3323</v>
      </c>
      <c r="B90" s="626"/>
      <c r="C90" s="626"/>
      <c r="D90" s="626"/>
    </row>
    <row r="91" spans="1:4" ht="15.75">
      <c r="A91" s="222"/>
      <c r="B91" s="626"/>
      <c r="C91" s="626"/>
      <c r="D91" s="626"/>
    </row>
    <row r="92" spans="1:4" ht="15.75">
      <c r="A92" s="222" t="s">
        <v>3324</v>
      </c>
      <c r="B92" s="626"/>
      <c r="C92" s="626"/>
      <c r="D92" s="626"/>
    </row>
    <row r="93" spans="1:4" ht="15.75">
      <c r="A93" s="1" t="s">
        <v>3388</v>
      </c>
      <c r="B93" s="626"/>
      <c r="C93" s="626"/>
      <c r="D93" s="626"/>
    </row>
    <row r="94" spans="1:4" ht="15.75">
      <c r="A94" s="1" t="s">
        <v>3325</v>
      </c>
      <c r="B94" s="626"/>
      <c r="C94" s="626"/>
      <c r="D94" s="626"/>
    </row>
    <row r="95" spans="1:4" ht="15.75">
      <c r="A95" s="1" t="s">
        <v>3326</v>
      </c>
      <c r="B95" s="626"/>
      <c r="C95" s="626"/>
      <c r="D95" s="626"/>
    </row>
    <row r="96" spans="1:4" ht="15.75">
      <c r="A96" s="1" t="s">
        <v>3327</v>
      </c>
      <c r="B96" s="626"/>
      <c r="C96" s="626"/>
      <c r="D96" s="626"/>
    </row>
    <row r="97" spans="1:4" ht="15.75">
      <c r="A97" s="1"/>
      <c r="B97" s="626"/>
      <c r="C97" s="626"/>
      <c r="D97" s="626"/>
    </row>
    <row r="98" spans="1:4" ht="15.75">
      <c r="A98" s="1" t="s">
        <v>3328</v>
      </c>
      <c r="B98" s="626"/>
      <c r="C98" s="626"/>
      <c r="D98" s="626"/>
    </row>
    <row r="99" spans="1:4" ht="15.75">
      <c r="A99" s="1" t="s">
        <v>3329</v>
      </c>
      <c r="B99" s="626"/>
      <c r="C99" s="626"/>
      <c r="D99" s="626"/>
    </row>
    <row r="100" spans="1:4" ht="15.75">
      <c r="A100" s="1" t="s">
        <v>3330</v>
      </c>
      <c r="B100" s="626"/>
      <c r="C100" s="626"/>
      <c r="D100" s="626"/>
    </row>
    <row r="101" spans="1:4" ht="15.75">
      <c r="A101" s="1" t="s">
        <v>3331</v>
      </c>
      <c r="B101" s="626"/>
      <c r="C101" s="626"/>
      <c r="D101" s="626"/>
    </row>
    <row r="102" spans="1:4" ht="15.75">
      <c r="A102" s="1"/>
      <c r="B102" s="626"/>
      <c r="C102" s="626"/>
      <c r="D102" s="626"/>
    </row>
    <row r="103" spans="1:4" ht="15.75">
      <c r="A103" s="1" t="s">
        <v>3332</v>
      </c>
      <c r="B103" s="626"/>
      <c r="C103" s="626"/>
      <c r="D103" s="626"/>
    </row>
    <row r="104" spans="1:4" ht="15.75">
      <c r="A104" s="1" t="s">
        <v>3333</v>
      </c>
      <c r="B104" s="626"/>
      <c r="C104" s="626"/>
      <c r="D104" s="626"/>
    </row>
    <row r="105" spans="1:4" ht="15.75">
      <c r="A105" s="1" t="s">
        <v>3334</v>
      </c>
      <c r="B105" s="626"/>
      <c r="C105" s="626"/>
      <c r="D105" s="626"/>
    </row>
    <row r="106" spans="1:4" ht="15.75">
      <c r="A106" s="1" t="s">
        <v>3335</v>
      </c>
      <c r="B106" s="626"/>
      <c r="C106" s="626"/>
      <c r="D106" s="626"/>
    </row>
    <row r="107" spans="1:4" ht="15.75">
      <c r="A107" s="222"/>
      <c r="B107" s="626"/>
      <c r="C107" s="626"/>
      <c r="D107" s="626"/>
    </row>
    <row r="108" spans="1:4" ht="15.75">
      <c r="A108" s="1" t="s">
        <v>3336</v>
      </c>
      <c r="B108" s="626"/>
      <c r="C108" s="626"/>
      <c r="D108" s="626"/>
    </row>
    <row r="109" spans="1:4" ht="15.75">
      <c r="A109" s="1" t="s">
        <v>3337</v>
      </c>
      <c r="B109" s="626"/>
      <c r="C109" s="626"/>
      <c r="D109" s="626"/>
    </row>
    <row r="110" spans="1:4" ht="15.75">
      <c r="A110" s="1" t="s">
        <v>3338</v>
      </c>
      <c r="B110" s="626"/>
      <c r="C110" s="626"/>
      <c r="D110" s="626"/>
    </row>
    <row r="111" spans="1:4" ht="16.5" thickBot="1">
      <c r="A111" s="222"/>
      <c r="B111" s="626"/>
      <c r="C111" s="626"/>
      <c r="D111" s="626"/>
    </row>
    <row r="112" spans="1:4" ht="15.75" thickBot="1">
      <c r="A112" s="777"/>
      <c r="B112" s="944" t="s">
        <v>3339</v>
      </c>
      <c r="C112" s="944"/>
      <c r="D112" s="778"/>
    </row>
    <row r="113" spans="1:4" ht="15.75" thickBot="1">
      <c r="A113" s="779"/>
      <c r="B113" s="780" t="s">
        <v>3340</v>
      </c>
      <c r="C113" s="780" t="s">
        <v>3341</v>
      </c>
      <c r="D113" s="780" t="s">
        <v>3342</v>
      </c>
    </row>
    <row r="114" spans="1:4" ht="15">
      <c r="A114" s="781" t="s">
        <v>3343</v>
      </c>
      <c r="B114" s="782" t="s">
        <v>3344</v>
      </c>
      <c r="C114" s="782" t="s">
        <v>3345</v>
      </c>
      <c r="D114" s="782"/>
    </row>
    <row r="115" spans="1:4" ht="15">
      <c r="A115" s="781" t="s">
        <v>3346</v>
      </c>
      <c r="B115" s="782" t="s">
        <v>3347</v>
      </c>
      <c r="C115" s="782" t="s">
        <v>3348</v>
      </c>
      <c r="D115" s="782"/>
    </row>
    <row r="116" spans="1:4" ht="15">
      <c r="A116" s="781" t="s">
        <v>3349</v>
      </c>
      <c r="B116" s="782" t="s">
        <v>3350</v>
      </c>
      <c r="C116" s="782" t="s">
        <v>3351</v>
      </c>
      <c r="D116" s="782" t="s">
        <v>3352</v>
      </c>
    </row>
    <row r="117" spans="1:4" ht="15.75" thickBot="1">
      <c r="A117" s="779" t="s">
        <v>3353</v>
      </c>
      <c r="B117" s="783" t="s">
        <v>3354</v>
      </c>
      <c r="C117" s="783" t="s">
        <v>3355</v>
      </c>
      <c r="D117" s="783" t="s">
        <v>3356</v>
      </c>
    </row>
    <row r="118" spans="1:4" ht="15.75" thickBot="1">
      <c r="A118" s="784"/>
      <c r="B118" s="785" t="s">
        <v>3357</v>
      </c>
      <c r="C118" s="786"/>
      <c r="D118" s="783"/>
    </row>
    <row r="119" spans="1:4" ht="15.75" thickBot="1">
      <c r="A119" s="779"/>
      <c r="B119" s="780" t="s">
        <v>3340</v>
      </c>
      <c r="C119" s="780" t="s">
        <v>3341</v>
      </c>
      <c r="D119" s="780" t="s">
        <v>3342</v>
      </c>
    </row>
    <row r="120" spans="1:4" ht="15">
      <c r="A120" s="781" t="s">
        <v>3358</v>
      </c>
      <c r="B120" s="782" t="s">
        <v>3359</v>
      </c>
      <c r="C120" s="782" t="s">
        <v>3360</v>
      </c>
      <c r="D120" s="782" t="s">
        <v>3361</v>
      </c>
    </row>
    <row r="121" spans="1:4" ht="15">
      <c r="A121" s="781" t="s">
        <v>3362</v>
      </c>
      <c r="B121" s="782" t="s">
        <v>3363</v>
      </c>
      <c r="C121" s="782" t="s">
        <v>3364</v>
      </c>
      <c r="D121" s="782" t="s">
        <v>3361</v>
      </c>
    </row>
    <row r="122" spans="1:4" ht="15">
      <c r="A122" s="781" t="s">
        <v>3365</v>
      </c>
      <c r="B122" s="782" t="s">
        <v>3366</v>
      </c>
      <c r="C122" s="782" t="s">
        <v>3367</v>
      </c>
      <c r="D122" s="782" t="s">
        <v>3361</v>
      </c>
    </row>
    <row r="123" spans="1:4" ht="15.75" thickBot="1">
      <c r="A123" s="779" t="s">
        <v>3368</v>
      </c>
      <c r="B123" s="783" t="s">
        <v>3369</v>
      </c>
      <c r="C123" s="783" t="s">
        <v>3370</v>
      </c>
      <c r="D123" s="783" t="s">
        <v>3361</v>
      </c>
    </row>
    <row r="124" spans="1:4" ht="15.75">
      <c r="A124" s="222"/>
      <c r="B124" s="626"/>
      <c r="C124" s="626"/>
      <c r="D124" s="626"/>
    </row>
    <row r="125" spans="1:4" ht="15.75">
      <c r="A125" s="1"/>
      <c r="B125" s="626"/>
      <c r="C125" s="626"/>
      <c r="D125" s="626"/>
    </row>
    <row r="126" spans="1:4" ht="15.75">
      <c r="A126" s="1" t="s">
        <v>3371</v>
      </c>
      <c r="B126" s="626"/>
      <c r="C126" s="626"/>
      <c r="D126" s="626"/>
    </row>
    <row r="127" spans="1:4" ht="15.75">
      <c r="A127" s="774" t="s">
        <v>3389</v>
      </c>
      <c r="B127" s="626"/>
      <c r="C127" s="626"/>
      <c r="D127" s="626"/>
    </row>
    <row r="128" spans="1:4" ht="15.75">
      <c r="A128" s="774" t="s">
        <v>3372</v>
      </c>
      <c r="B128" s="626"/>
      <c r="C128" s="626"/>
      <c r="D128" s="626"/>
    </row>
    <row r="129" spans="1:4" ht="15.75">
      <c r="A129" s="774" t="s">
        <v>3373</v>
      </c>
      <c r="B129" s="626"/>
      <c r="C129" s="626"/>
      <c r="D129" s="626"/>
    </row>
    <row r="130" spans="1:4" ht="15.75">
      <c r="A130" s="774" t="s">
        <v>3374</v>
      </c>
      <c r="B130" s="626"/>
      <c r="C130" s="626"/>
      <c r="D130" s="626"/>
    </row>
    <row r="131" spans="1:4" ht="15.75">
      <c r="A131" s="774" t="s">
        <v>3375</v>
      </c>
      <c r="B131" s="626"/>
      <c r="C131" s="626"/>
      <c r="D131" s="626"/>
    </row>
    <row r="132" spans="1:4" ht="15.75">
      <c r="A132" s="774" t="s">
        <v>3376</v>
      </c>
      <c r="B132" s="626"/>
      <c r="C132" s="626"/>
      <c r="D132" s="626"/>
    </row>
    <row r="133" spans="1:4" ht="15.75">
      <c r="A133" s="774" t="s">
        <v>3377</v>
      </c>
      <c r="B133" s="626"/>
      <c r="C133" s="626"/>
      <c r="D133" s="626"/>
    </row>
    <row r="134" spans="1:4" ht="15.75">
      <c r="A134" s="774" t="s">
        <v>3378</v>
      </c>
      <c r="B134" s="626"/>
      <c r="C134" s="626"/>
      <c r="D134" s="626"/>
    </row>
    <row r="135" spans="1:4" ht="15.75">
      <c r="A135" s="774" t="s">
        <v>3379</v>
      </c>
      <c r="B135" s="626"/>
      <c r="C135" s="626"/>
      <c r="D135" s="626"/>
    </row>
    <row r="136" spans="1:4" ht="15.75">
      <c r="A136" s="774" t="s">
        <v>1401</v>
      </c>
      <c r="B136" s="626"/>
      <c r="C136" s="626"/>
      <c r="D136" s="626"/>
    </row>
    <row r="137" spans="1:4" ht="15.75">
      <c r="A137" s="1"/>
      <c r="B137" s="626"/>
      <c r="C137" s="626"/>
      <c r="D137" s="626"/>
    </row>
    <row r="138" spans="1:4" ht="15.75">
      <c r="A138" s="222" t="s">
        <v>3380</v>
      </c>
      <c r="B138" s="626"/>
      <c r="C138" s="626"/>
      <c r="D138" s="626"/>
    </row>
    <row r="139" spans="1:4" ht="15.75">
      <c r="A139" s="1" t="s">
        <v>3381</v>
      </c>
      <c r="B139" s="626"/>
      <c r="C139" s="626"/>
      <c r="D139" s="626"/>
    </row>
    <row r="140" spans="1:4" ht="15.75">
      <c r="A140" s="1" t="s">
        <v>3382</v>
      </c>
      <c r="B140" s="626"/>
      <c r="C140" s="626"/>
      <c r="D140" s="626"/>
    </row>
    <row r="141" spans="1:4" ht="15.75">
      <c r="A141" s="1" t="s">
        <v>3383</v>
      </c>
      <c r="B141" s="626"/>
      <c r="C141" s="626"/>
      <c r="D141" s="626"/>
    </row>
    <row r="142" spans="1:4" ht="15.75">
      <c r="A142" s="1" t="s">
        <v>3384</v>
      </c>
      <c r="B142" s="626"/>
      <c r="C142" s="626"/>
      <c r="D142" s="626"/>
    </row>
    <row r="143" spans="1:4" ht="15.75">
      <c r="A143" s="1" t="s">
        <v>3385</v>
      </c>
      <c r="B143" s="626"/>
      <c r="C143" s="626"/>
      <c r="D143" s="626"/>
    </row>
    <row r="144" spans="1:4" ht="15.75">
      <c r="A144" s="1"/>
      <c r="B144" s="626"/>
      <c r="C144" s="626"/>
      <c r="D144" s="626"/>
    </row>
    <row r="145" spans="1:4" ht="15.75">
      <c r="A145" s="1" t="s">
        <v>3395</v>
      </c>
      <c r="B145" s="626"/>
      <c r="C145" s="626"/>
      <c r="D145" s="626"/>
    </row>
    <row r="146" spans="1:4" ht="15.75">
      <c r="A146" s="1" t="s">
        <v>3396</v>
      </c>
      <c r="B146" s="626"/>
      <c r="C146" s="626"/>
      <c r="D146" s="626"/>
    </row>
    <row r="147" spans="1:4" ht="15.75">
      <c r="A147" s="1" t="s">
        <v>3386</v>
      </c>
      <c r="B147" s="626"/>
      <c r="C147" s="626"/>
      <c r="D147" s="626"/>
    </row>
    <row r="148" spans="1:4" ht="15.75">
      <c r="A148" s="1"/>
      <c r="B148" s="626"/>
      <c r="C148" s="626"/>
      <c r="D148" s="626"/>
    </row>
    <row r="149" spans="1:4" ht="15.75">
      <c r="A149" s="1"/>
      <c r="B149" s="626"/>
      <c r="C149" s="626"/>
      <c r="D149" s="626"/>
    </row>
    <row r="150" spans="1:4" ht="15.75">
      <c r="A150" s="1"/>
      <c r="B150" s="626"/>
      <c r="C150" s="626"/>
      <c r="D150" s="626"/>
    </row>
    <row r="151" spans="1:4" ht="15.75">
      <c r="A151" s="1"/>
      <c r="B151" s="626"/>
      <c r="C151" s="626"/>
      <c r="D151" s="626"/>
    </row>
    <row r="152" spans="1:4" ht="15.75">
      <c r="A152" s="1"/>
      <c r="B152" s="626"/>
      <c r="C152" s="626"/>
      <c r="D152" s="626"/>
    </row>
    <row r="153" spans="1:4" ht="15.75">
      <c r="A153" s="1"/>
      <c r="B153" s="626"/>
      <c r="C153" s="626"/>
      <c r="D153" s="626"/>
    </row>
    <row r="154" spans="1:4" ht="15.75">
      <c r="A154" s="1"/>
      <c r="B154" s="626"/>
      <c r="C154" s="626"/>
      <c r="D154" s="626"/>
    </row>
    <row r="155" spans="1:4" ht="15.75">
      <c r="A155" s="1"/>
      <c r="B155" s="626"/>
      <c r="C155" s="626"/>
      <c r="D155" s="626"/>
    </row>
    <row r="156" spans="1:4" ht="15.75">
      <c r="A156" s="1"/>
      <c r="B156" s="626"/>
      <c r="C156" s="626"/>
      <c r="D156" s="626"/>
    </row>
    <row r="157" spans="1:4" ht="15.75">
      <c r="A157" s="1"/>
      <c r="B157" s="626"/>
      <c r="C157" s="626"/>
      <c r="D157" s="626"/>
    </row>
    <row r="158" spans="1:4" ht="15.75">
      <c r="A158" s="1"/>
      <c r="B158" s="626"/>
      <c r="C158" s="626"/>
      <c r="D158" s="626"/>
    </row>
    <row r="159" spans="1:4" ht="15.75">
      <c r="A159" s="1"/>
      <c r="B159" s="626"/>
      <c r="C159" s="626"/>
      <c r="D159" s="626"/>
    </row>
    <row r="160" spans="1:4" ht="15.75">
      <c r="A160" s="1"/>
      <c r="B160" s="626"/>
      <c r="C160" s="626"/>
      <c r="D160" s="626"/>
    </row>
    <row r="161" spans="1:4" ht="15.75">
      <c r="A161" s="1"/>
      <c r="B161" s="626"/>
      <c r="C161" s="626"/>
      <c r="D161" s="626"/>
    </row>
    <row r="162" spans="1:4" ht="15.75">
      <c r="A162" s="222" t="s">
        <v>3397</v>
      </c>
      <c r="B162" s="626"/>
      <c r="C162" s="626"/>
      <c r="D162" s="626"/>
    </row>
    <row r="163" spans="1:4" ht="15.75">
      <c r="A163" s="1" t="s">
        <v>3398</v>
      </c>
      <c r="B163" s="626"/>
      <c r="C163" s="626"/>
      <c r="D163" s="626"/>
    </row>
    <row r="164" spans="1:4" ht="15.75">
      <c r="A164" s="1" t="s">
        <v>3399</v>
      </c>
      <c r="B164" s="626"/>
      <c r="C164" s="626"/>
      <c r="D164" s="626"/>
    </row>
    <row r="165" spans="1:4" ht="15.75">
      <c r="A165" s="1" t="s">
        <v>3400</v>
      </c>
      <c r="B165" s="626"/>
      <c r="C165" s="626"/>
      <c r="D165" s="626"/>
    </row>
    <row r="166" spans="1:4" ht="15.75">
      <c r="A166" s="1" t="s">
        <v>3401</v>
      </c>
    </row>
    <row r="167" spans="1:4" ht="15.75">
      <c r="A167" s="1" t="s">
        <v>3402</v>
      </c>
    </row>
    <row r="168" spans="1:4" ht="15.75">
      <c r="A168" s="222"/>
    </row>
    <row r="169" spans="1:4" ht="15.75">
      <c r="A169" s="222" t="s">
        <v>10</v>
      </c>
    </row>
    <row r="170" spans="1:4" ht="15.75">
      <c r="A170" s="1" t="s">
        <v>3403</v>
      </c>
    </row>
    <row r="171" spans="1:4" ht="15.75">
      <c r="A171" s="1"/>
    </row>
    <row r="172" spans="1:4" ht="15.75">
      <c r="A172" s="1" t="s">
        <v>3404</v>
      </c>
    </row>
    <row r="173" spans="1:4" ht="15.75">
      <c r="A173" s="1" t="s">
        <v>3406</v>
      </c>
    </row>
    <row r="174" spans="1:4" ht="15.75">
      <c r="A174" s="1" t="s">
        <v>3405</v>
      </c>
    </row>
    <row r="175" spans="1:4" ht="15.75">
      <c r="A175" s="1" t="s">
        <v>3407</v>
      </c>
    </row>
    <row r="176" spans="1:4" ht="15.75">
      <c r="A176" s="1" t="s">
        <v>3408</v>
      </c>
    </row>
    <row r="177" spans="1:1" ht="15.75">
      <c r="A177" s="1" t="s">
        <v>3409</v>
      </c>
    </row>
    <row r="178" spans="1:1" ht="15.75">
      <c r="A178" s="1" t="s">
        <v>3410</v>
      </c>
    </row>
    <row r="179" spans="1:1" ht="15">
      <c r="A179" s="776" t="s">
        <v>3411</v>
      </c>
    </row>
    <row r="180" spans="1:1" ht="15.75">
      <c r="A180" s="1" t="s">
        <v>3412</v>
      </c>
    </row>
    <row r="181" spans="1:1" ht="15.75">
      <c r="A181" s="1" t="s">
        <v>3413</v>
      </c>
    </row>
    <row r="182" spans="1:1" ht="15.75">
      <c r="A182" s="1"/>
    </row>
    <row r="183" spans="1:1" ht="15.75">
      <c r="A183" s="1"/>
    </row>
    <row r="184" spans="1:1" ht="15.75">
      <c r="A184" s="1"/>
    </row>
    <row r="185" spans="1:1" ht="15.75">
      <c r="A185" s="1"/>
    </row>
    <row r="186" spans="1:1" ht="15.75">
      <c r="A186" s="1"/>
    </row>
    <row r="187" spans="1:1" ht="15.75">
      <c r="A187" s="1"/>
    </row>
    <row r="188" spans="1:1" ht="15.75">
      <c r="A188" s="1"/>
    </row>
  </sheetData>
  <mergeCells count="1">
    <mergeCell ref="B112:C112"/>
  </mergeCells>
  <hyperlinks>
    <hyperlink ref="A48" r:id="rId1" display="http://www.stuseco.org/" xr:uid="{00000000-0004-0000-0200-000000000000}"/>
    <hyperlink ref="A179" r:id="rId2" display="http://www.stuseo.org/" xr:uid="{00000000-0004-0000-0200-000001000000}"/>
  </hyperlinks>
  <pageMargins left="0.7" right="0.7" top="0.75" bottom="0.75" header="0.3" footer="0.3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indexed="11"/>
  </sheetPr>
  <dimension ref="A1:B75"/>
  <sheetViews>
    <sheetView zoomScaleNormal="100" workbookViewId="0">
      <selection activeCell="G22" sqref="G22"/>
    </sheetView>
  </sheetViews>
  <sheetFormatPr defaultColWidth="12" defaultRowHeight="15.75"/>
  <cols>
    <col min="1" max="1" width="38.1640625" style="1" customWidth="1"/>
    <col min="2" max="2" width="44" style="1" customWidth="1"/>
    <col min="3" max="16384" width="12" style="1"/>
  </cols>
  <sheetData>
    <row r="1" spans="1:2" ht="21" thickBot="1">
      <c r="A1" s="49" t="s">
        <v>1346</v>
      </c>
      <c r="B1" s="49"/>
    </row>
    <row r="2" spans="1:2">
      <c r="A2" s="5" t="s">
        <v>1889</v>
      </c>
      <c r="B2" s="6"/>
    </row>
    <row r="3" spans="1:2">
      <c r="A3" s="21"/>
      <c r="B3" s="23"/>
    </row>
    <row r="4" spans="1:2">
      <c r="A4" s="50" t="s">
        <v>1904</v>
      </c>
      <c r="B4" s="22" t="s">
        <v>1903</v>
      </c>
    </row>
    <row r="5" spans="1:2">
      <c r="A5" s="47"/>
      <c r="B5" s="8"/>
    </row>
    <row r="6" spans="1:2">
      <c r="A6" s="51" t="s">
        <v>2974</v>
      </c>
      <c r="B6" s="8" t="s">
        <v>2975</v>
      </c>
    </row>
    <row r="7" spans="1:2">
      <c r="A7" s="47" t="s">
        <v>1772</v>
      </c>
      <c r="B7" s="52" t="s">
        <v>2976</v>
      </c>
    </row>
    <row r="8" spans="1:2">
      <c r="A8" s="47"/>
      <c r="B8" s="8" t="s">
        <v>2977</v>
      </c>
    </row>
    <row r="9" spans="1:2">
      <c r="A9" s="53" t="s">
        <v>2978</v>
      </c>
      <c r="B9" s="54" t="s">
        <v>2979</v>
      </c>
    </row>
    <row r="10" spans="1:2">
      <c r="A10" s="47"/>
      <c r="B10" s="55" t="s">
        <v>1347</v>
      </c>
    </row>
    <row r="11" spans="1:2">
      <c r="A11" s="47" t="s">
        <v>2980</v>
      </c>
      <c r="B11" s="8" t="s">
        <v>2981</v>
      </c>
    </row>
    <row r="12" spans="1:2">
      <c r="A12" s="47"/>
      <c r="B12" s="56" t="s">
        <v>1348</v>
      </c>
    </row>
    <row r="13" spans="1:2">
      <c r="A13" s="57"/>
      <c r="B13" s="48"/>
    </row>
    <row r="14" spans="1:2">
      <c r="A14" s="11" t="s">
        <v>1890</v>
      </c>
      <c r="B14" s="11" t="s">
        <v>1890</v>
      </c>
    </row>
    <row r="15" spans="1:2" ht="16.5" thickBot="1">
      <c r="A15" s="11"/>
      <c r="B15" s="11"/>
    </row>
    <row r="16" spans="1:2" ht="21" thickBot="1">
      <c r="A16" s="49" t="s">
        <v>2139</v>
      </c>
      <c r="B16" s="49"/>
    </row>
    <row r="17" spans="1:2">
      <c r="A17" s="5" t="s">
        <v>1888</v>
      </c>
      <c r="B17" s="6"/>
    </row>
    <row r="18" spans="1:2">
      <c r="A18" s="12" t="s">
        <v>1347</v>
      </c>
      <c r="B18" s="10" t="s">
        <v>1348</v>
      </c>
    </row>
    <row r="19" spans="1:2">
      <c r="A19" s="8" t="s">
        <v>2982</v>
      </c>
    </row>
    <row r="20" spans="1:2">
      <c r="A20" s="8" t="s">
        <v>2983</v>
      </c>
    </row>
    <row r="21" spans="1:2">
      <c r="A21" s="8"/>
      <c r="B21" s="1" t="s">
        <v>1344</v>
      </c>
    </row>
    <row r="22" spans="1:2">
      <c r="A22" s="8" t="s">
        <v>2984</v>
      </c>
      <c r="B22" s="13" t="s">
        <v>2985</v>
      </c>
    </row>
    <row r="23" spans="1:2" s="2" customFormat="1">
      <c r="A23" s="18"/>
    </row>
    <row r="24" spans="1:2" s="2" customFormat="1" ht="16.5" thickBot="1">
      <c r="A24" s="18"/>
    </row>
    <row r="25" spans="1:2" ht="21" thickBot="1">
      <c r="A25" s="49" t="s">
        <v>2140</v>
      </c>
      <c r="B25" s="49"/>
    </row>
    <row r="26" spans="1:2">
      <c r="A26" s="5" t="s">
        <v>1246</v>
      </c>
      <c r="B26" s="6"/>
    </row>
    <row r="27" spans="1:2">
      <c r="A27" s="7" t="s">
        <v>1441</v>
      </c>
      <c r="B27" s="1" t="s">
        <v>1442</v>
      </c>
    </row>
    <row r="28" spans="1:2">
      <c r="A28" s="8" t="s">
        <v>139</v>
      </c>
      <c r="B28" s="1" t="s">
        <v>139</v>
      </c>
    </row>
    <row r="29" spans="1:2">
      <c r="A29" s="8" t="s">
        <v>1344</v>
      </c>
      <c r="B29" s="14" t="s">
        <v>1446</v>
      </c>
    </row>
    <row r="30" spans="1:2">
      <c r="A30" s="9" t="s">
        <v>2978</v>
      </c>
      <c r="B30" s="15" t="s">
        <v>1447</v>
      </c>
    </row>
    <row r="31" spans="1:2">
      <c r="A31" s="8" t="s">
        <v>139</v>
      </c>
      <c r="B31" s="1" t="s">
        <v>139</v>
      </c>
    </row>
    <row r="32" spans="1:2">
      <c r="A32" s="8" t="s">
        <v>1443</v>
      </c>
      <c r="B32" s="1" t="s">
        <v>1444</v>
      </c>
    </row>
    <row r="33" spans="1:2">
      <c r="A33" s="8"/>
    </row>
    <row r="34" spans="1:2">
      <c r="A34" s="8"/>
      <c r="B34" s="16" t="s">
        <v>1445</v>
      </c>
    </row>
    <row r="35" spans="1:2" ht="16.5" thickBot="1">
      <c r="A35" s="3"/>
      <c r="B35" s="3"/>
    </row>
    <row r="36" spans="1:2" ht="21" thickBot="1">
      <c r="A36" s="49" t="s">
        <v>2142</v>
      </c>
      <c r="B36" s="49"/>
    </row>
    <row r="37" spans="1:2">
      <c r="A37" s="5" t="s">
        <v>1887</v>
      </c>
      <c r="B37" s="6"/>
    </row>
    <row r="38" spans="1:2">
      <c r="A38" s="1" t="s">
        <v>1451</v>
      </c>
      <c r="B38" s="13" t="s">
        <v>1452</v>
      </c>
    </row>
    <row r="39" spans="1:2">
      <c r="A39" s="1" t="s">
        <v>1344</v>
      </c>
      <c r="B39" s="17" t="s">
        <v>3036</v>
      </c>
    </row>
    <row r="40" spans="1:2">
      <c r="B40" s="1" t="s">
        <v>3037</v>
      </c>
    </row>
    <row r="41" spans="1:2">
      <c r="A41" s="1" t="s">
        <v>3038</v>
      </c>
    </row>
    <row r="42" spans="1:2">
      <c r="A42" s="3"/>
    </row>
    <row r="43" spans="1:2">
      <c r="A43" s="5" t="s">
        <v>1330</v>
      </c>
    </row>
    <row r="44" spans="1:2">
      <c r="A44" s="18" t="s">
        <v>3039</v>
      </c>
    </row>
    <row r="45" spans="1:2">
      <c r="A45" s="18" t="s">
        <v>3040</v>
      </c>
    </row>
    <row r="46" spans="1:2">
      <c r="A46" s="18" t="s">
        <v>3038</v>
      </c>
    </row>
    <row r="48" spans="1:2">
      <c r="A48" s="5" t="s">
        <v>2874</v>
      </c>
    </row>
    <row r="49" spans="1:2">
      <c r="A49" s="19" t="s">
        <v>1776</v>
      </c>
    </row>
    <row r="50" spans="1:2">
      <c r="A50" s="1" t="s">
        <v>3041</v>
      </c>
    </row>
    <row r="51" spans="1:2">
      <c r="A51" s="1" t="s">
        <v>3042</v>
      </c>
    </row>
    <row r="52" spans="1:2">
      <c r="A52" s="20" t="s">
        <v>3043</v>
      </c>
    </row>
    <row r="54" spans="1:2">
      <c r="A54" s="11" t="s">
        <v>1791</v>
      </c>
    </row>
    <row r="55" spans="1:2">
      <c r="A55" s="19" t="s">
        <v>1792</v>
      </c>
    </row>
    <row r="56" spans="1:2">
      <c r="A56" s="1" t="s">
        <v>1793</v>
      </c>
    </row>
    <row r="57" spans="1:2">
      <c r="A57" s="1" t="s">
        <v>1347</v>
      </c>
    </row>
    <row r="58" spans="1:2">
      <c r="A58" s="1" t="s">
        <v>1348</v>
      </c>
    </row>
    <row r="59" spans="1:2" ht="16.5" thickBot="1"/>
    <row r="60" spans="1:2" ht="21" thickBot="1">
      <c r="A60" s="49" t="s">
        <v>2141</v>
      </c>
      <c r="B60" s="49"/>
    </row>
    <row r="61" spans="1:2">
      <c r="A61" s="5" t="s">
        <v>1893</v>
      </c>
      <c r="B61" s="5"/>
    </row>
    <row r="62" spans="1:2">
      <c r="A62" s="59" t="s">
        <v>1314</v>
      </c>
      <c r="B62" s="1" t="s">
        <v>1448</v>
      </c>
    </row>
    <row r="63" spans="1:2">
      <c r="A63" s="60" t="s">
        <v>1313</v>
      </c>
    </row>
    <row r="64" spans="1:2">
      <c r="A64" s="60" t="s">
        <v>1310</v>
      </c>
    </row>
    <row r="65" spans="1:2">
      <c r="A65" s="60" t="s">
        <v>1311</v>
      </c>
      <c r="B65" s="1" t="s">
        <v>1449</v>
      </c>
    </row>
    <row r="66" spans="1:2">
      <c r="A66" s="60" t="s">
        <v>1312</v>
      </c>
    </row>
    <row r="67" spans="1:2">
      <c r="A67" s="3" t="s">
        <v>1450</v>
      </c>
      <c r="B67" s="3" t="s">
        <v>1450</v>
      </c>
    </row>
    <row r="68" spans="1:2" ht="16.5" thickBot="1">
      <c r="A68" s="3"/>
      <c r="B68" s="3"/>
    </row>
    <row r="69" spans="1:2" ht="21" thickBot="1">
      <c r="A69" s="49" t="s">
        <v>1247</v>
      </c>
      <c r="B69" s="49"/>
    </row>
    <row r="70" spans="1:2">
      <c r="A70" s="1" t="s">
        <v>3172</v>
      </c>
    </row>
    <row r="71" spans="1:2">
      <c r="A71" s="11" t="s">
        <v>1794</v>
      </c>
    </row>
    <row r="72" spans="1:2">
      <c r="A72" s="11" t="s">
        <v>1795</v>
      </c>
    </row>
    <row r="73" spans="1:2">
      <c r="A73" s="11"/>
    </row>
    <row r="74" spans="1:2">
      <c r="A74" s="11" t="s">
        <v>1891</v>
      </c>
    </row>
    <row r="75" spans="1:2" s="6" customFormat="1">
      <c r="A75" s="58" t="s">
        <v>1892</v>
      </c>
    </row>
  </sheetData>
  <phoneticPr fontId="15" type="noConversion"/>
  <pageMargins left="0.75" right="0.75" top="1" bottom="1" header="0.5" footer="0.5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indexed="39"/>
  </sheetPr>
  <dimension ref="B1:AM30"/>
  <sheetViews>
    <sheetView topLeftCell="A6" zoomScale="90" zoomScaleNormal="90" workbookViewId="0">
      <selection activeCell="M3" sqref="M3"/>
    </sheetView>
  </sheetViews>
  <sheetFormatPr defaultColWidth="9.1640625" defaultRowHeight="15"/>
  <cols>
    <col min="1" max="1" width="3" style="27" customWidth="1"/>
    <col min="2" max="40" width="2.6640625" style="27" customWidth="1"/>
    <col min="41" max="48" width="3" style="27" customWidth="1"/>
    <col min="49" max="16384" width="9.1640625" style="27"/>
  </cols>
  <sheetData>
    <row r="1" spans="2:39">
      <c r="B1" s="28" t="s">
        <v>3240</v>
      </c>
    </row>
    <row r="3" spans="2:39" s="28" customFormat="1" ht="14.25">
      <c r="D3" s="28" t="s">
        <v>3241</v>
      </c>
      <c r="R3" s="28" t="s">
        <v>1395</v>
      </c>
      <c r="AG3" s="28" t="s">
        <v>1396</v>
      </c>
    </row>
    <row r="4" spans="2:39" ht="15.75" thickBot="1">
      <c r="C4" s="29"/>
      <c r="Q4" s="29"/>
    </row>
    <row r="5" spans="2:39">
      <c r="B5" s="30"/>
      <c r="C5" s="31" t="s">
        <v>1397</v>
      </c>
      <c r="D5" s="32"/>
      <c r="E5" s="32"/>
      <c r="F5" s="32"/>
      <c r="G5" s="32"/>
      <c r="H5" s="32"/>
      <c r="I5" s="32"/>
      <c r="J5" s="33"/>
      <c r="K5" s="31"/>
      <c r="L5" s="31"/>
      <c r="M5" s="31"/>
      <c r="O5" s="30"/>
      <c r="P5" s="32" t="s">
        <v>2709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3"/>
      <c r="AG5" s="30"/>
      <c r="AH5" s="32" t="s">
        <v>1398</v>
      </c>
      <c r="AI5" s="32"/>
      <c r="AJ5" s="32"/>
      <c r="AK5" s="32"/>
      <c r="AL5" s="32"/>
      <c r="AM5" s="33"/>
    </row>
    <row r="6" spans="2:39">
      <c r="B6" s="34"/>
      <c r="C6" s="35" t="s">
        <v>2710</v>
      </c>
      <c r="D6" s="35"/>
      <c r="E6" s="35"/>
      <c r="F6" s="35"/>
      <c r="G6" s="35"/>
      <c r="H6" s="35"/>
      <c r="I6" s="35"/>
      <c r="J6" s="36"/>
      <c r="K6" s="31"/>
      <c r="L6" s="31"/>
      <c r="M6" s="31"/>
      <c r="O6" s="34"/>
      <c r="P6" s="31" t="s">
        <v>126</v>
      </c>
      <c r="R6" s="31"/>
      <c r="S6" s="31"/>
      <c r="T6" s="31"/>
      <c r="U6" s="31"/>
      <c r="V6" s="37"/>
      <c r="W6" s="31"/>
      <c r="X6" s="31"/>
      <c r="Y6" s="31"/>
      <c r="Z6" s="31"/>
      <c r="AA6" s="31"/>
      <c r="AB6" s="31"/>
      <c r="AC6" s="36"/>
      <c r="AG6" s="34"/>
      <c r="AH6" s="31" t="s">
        <v>1399</v>
      </c>
      <c r="AI6" s="31"/>
      <c r="AJ6" s="31"/>
      <c r="AK6" s="31"/>
      <c r="AL6" s="31"/>
      <c r="AM6" s="36"/>
    </row>
    <row r="7" spans="2:39">
      <c r="B7" s="34"/>
      <c r="C7" s="31"/>
      <c r="D7" s="31"/>
      <c r="E7" s="31"/>
      <c r="F7" s="31"/>
      <c r="G7" s="31"/>
      <c r="H7" s="31"/>
      <c r="I7" s="31"/>
      <c r="J7" s="36"/>
      <c r="K7" s="31"/>
      <c r="L7" s="31"/>
      <c r="M7" s="31"/>
      <c r="O7" s="34"/>
      <c r="P7" s="31"/>
      <c r="Q7" s="31"/>
      <c r="R7" s="31"/>
      <c r="S7" s="31"/>
      <c r="T7" s="37"/>
      <c r="U7" s="31"/>
      <c r="V7" s="31"/>
      <c r="W7" s="31"/>
      <c r="X7" s="37"/>
      <c r="Y7" s="31"/>
      <c r="Z7" s="31"/>
      <c r="AA7" s="31"/>
      <c r="AB7" s="31"/>
      <c r="AC7" s="36"/>
      <c r="AG7" s="34"/>
      <c r="AI7" s="31"/>
      <c r="AJ7" s="31"/>
      <c r="AK7" s="31"/>
      <c r="AL7" s="31"/>
      <c r="AM7" s="36"/>
    </row>
    <row r="8" spans="2:39">
      <c r="B8" s="34"/>
      <c r="C8" s="35" t="s">
        <v>3257</v>
      </c>
      <c r="D8" s="35"/>
      <c r="E8" s="35"/>
      <c r="F8" s="35"/>
      <c r="G8" s="35"/>
      <c r="H8" s="35"/>
      <c r="I8" s="35"/>
      <c r="J8" s="36"/>
      <c r="K8" s="31"/>
      <c r="L8" s="31"/>
      <c r="M8" s="31"/>
      <c r="O8" s="34"/>
      <c r="P8" s="31"/>
      <c r="Q8" s="31"/>
      <c r="R8" s="37"/>
      <c r="S8" s="31"/>
      <c r="T8" s="31"/>
      <c r="U8" s="31"/>
      <c r="V8" s="37"/>
      <c r="W8" s="31"/>
      <c r="X8" s="31"/>
      <c r="Y8" s="31"/>
      <c r="Z8" s="37"/>
      <c r="AA8" s="31"/>
      <c r="AB8" s="31"/>
      <c r="AC8" s="36"/>
      <c r="AG8" s="34"/>
      <c r="AH8" s="31"/>
      <c r="AI8" s="31"/>
      <c r="AJ8" s="31"/>
      <c r="AK8" s="31"/>
      <c r="AL8" s="31"/>
      <c r="AM8" s="36"/>
    </row>
    <row r="9" spans="2:39">
      <c r="B9" s="34"/>
      <c r="C9" s="31"/>
      <c r="D9" s="31"/>
      <c r="E9" s="31"/>
      <c r="F9" s="31"/>
      <c r="G9" s="31"/>
      <c r="H9" s="31"/>
      <c r="I9" s="31"/>
      <c r="J9" s="36"/>
      <c r="K9" s="31"/>
      <c r="L9" s="31"/>
      <c r="M9" s="31"/>
      <c r="O9" s="34"/>
      <c r="P9" s="38"/>
      <c r="Q9" s="31"/>
      <c r="R9" s="31"/>
      <c r="S9" s="31"/>
      <c r="T9" s="37"/>
      <c r="U9" s="31"/>
      <c r="V9" s="31"/>
      <c r="W9" s="31"/>
      <c r="X9" s="37"/>
      <c r="Y9" s="31"/>
      <c r="Z9" s="31"/>
      <c r="AA9" s="31"/>
      <c r="AB9" s="37"/>
      <c r="AC9" s="36"/>
      <c r="AG9" s="34"/>
      <c r="AH9" s="39"/>
      <c r="AI9" s="31"/>
      <c r="AJ9" s="31"/>
      <c r="AK9" s="31"/>
      <c r="AL9" s="31"/>
      <c r="AM9" s="36"/>
    </row>
    <row r="10" spans="2:39">
      <c r="B10" s="34"/>
      <c r="C10" s="35" t="s">
        <v>3258</v>
      </c>
      <c r="D10" s="35"/>
      <c r="E10" s="35"/>
      <c r="F10" s="35"/>
      <c r="G10" s="35"/>
      <c r="H10" s="35"/>
      <c r="I10" s="35"/>
      <c r="J10" s="36"/>
      <c r="K10" s="31"/>
      <c r="L10" s="31"/>
      <c r="M10" s="31"/>
      <c r="O10" s="34"/>
      <c r="P10" s="31"/>
      <c r="Q10" s="31"/>
      <c r="R10" s="37"/>
      <c r="S10" s="31"/>
      <c r="T10" s="31"/>
      <c r="U10" s="31"/>
      <c r="V10" s="37"/>
      <c r="W10" s="31"/>
      <c r="X10" s="31"/>
      <c r="Y10" s="31"/>
      <c r="Z10" s="37"/>
      <c r="AA10" s="31"/>
      <c r="AB10" s="31"/>
      <c r="AC10" s="36"/>
      <c r="AG10" s="34"/>
      <c r="AH10" s="31"/>
      <c r="AI10" s="31"/>
      <c r="AJ10" s="40"/>
      <c r="AK10" s="31"/>
      <c r="AL10" s="31"/>
      <c r="AM10" s="36"/>
    </row>
    <row r="11" spans="2:39">
      <c r="B11" s="34"/>
      <c r="C11" s="31"/>
      <c r="D11" s="31"/>
      <c r="E11" s="31"/>
      <c r="F11" s="31"/>
      <c r="G11" s="31"/>
      <c r="H11" s="31"/>
      <c r="I11" s="31"/>
      <c r="J11" s="36"/>
      <c r="K11" s="31"/>
      <c r="L11" s="31"/>
      <c r="M11" s="31"/>
      <c r="O11" s="34"/>
      <c r="P11" s="38"/>
      <c r="Q11" s="31"/>
      <c r="R11" s="31"/>
      <c r="S11" s="31"/>
      <c r="T11" s="37"/>
      <c r="U11" s="31"/>
      <c r="V11" s="31"/>
      <c r="W11" s="31"/>
      <c r="X11" s="37"/>
      <c r="Y11" s="31"/>
      <c r="Z11" s="31"/>
      <c r="AA11" s="31"/>
      <c r="AB11" s="37"/>
      <c r="AC11" s="36"/>
      <c r="AG11" s="34"/>
      <c r="AH11" s="39"/>
      <c r="AI11" s="31"/>
      <c r="AJ11" s="31"/>
      <c r="AK11" s="31"/>
      <c r="AM11" s="36"/>
    </row>
    <row r="12" spans="2:39">
      <c r="B12" s="34"/>
      <c r="C12" s="35" t="s">
        <v>1400</v>
      </c>
      <c r="D12" s="35"/>
      <c r="E12" s="35"/>
      <c r="F12" s="35"/>
      <c r="G12" s="35"/>
      <c r="H12" s="35" t="s">
        <v>1344</v>
      </c>
      <c r="I12" s="35" t="s">
        <v>1344</v>
      </c>
      <c r="J12" s="36"/>
      <c r="K12" s="31"/>
      <c r="L12" s="31"/>
      <c r="M12" s="31"/>
      <c r="O12" s="34"/>
      <c r="P12" s="31"/>
      <c r="Q12" s="31"/>
      <c r="R12" s="37"/>
      <c r="S12" s="31"/>
      <c r="T12" s="31" t="s">
        <v>1401</v>
      </c>
      <c r="U12" s="31"/>
      <c r="V12" s="37"/>
      <c r="W12" s="31"/>
      <c r="X12" s="31" t="s">
        <v>1401</v>
      </c>
      <c r="Y12" s="31"/>
      <c r="Z12" s="37"/>
      <c r="AA12" s="31"/>
      <c r="AB12" s="31"/>
      <c r="AC12" s="36"/>
      <c r="AG12" s="34"/>
      <c r="AH12" s="31"/>
      <c r="AI12" s="31"/>
      <c r="AJ12" s="40"/>
      <c r="AK12" s="31"/>
      <c r="AL12" s="41" t="s">
        <v>1344</v>
      </c>
      <c r="AM12" s="36"/>
    </row>
    <row r="13" spans="2:39">
      <c r="B13" s="34"/>
      <c r="C13" s="31"/>
      <c r="D13" s="31"/>
      <c r="E13" s="31"/>
      <c r="F13" s="31"/>
      <c r="G13" s="31"/>
      <c r="H13" s="31"/>
      <c r="I13" s="31"/>
      <c r="J13" s="36"/>
      <c r="K13" s="31"/>
      <c r="L13" s="31"/>
      <c r="M13" s="31"/>
      <c r="O13" s="34"/>
      <c r="P13" s="38"/>
      <c r="Q13" s="31"/>
      <c r="R13" s="31"/>
      <c r="S13" s="31"/>
      <c r="T13" s="37"/>
      <c r="U13" s="31"/>
      <c r="V13" s="31"/>
      <c r="W13" s="31"/>
      <c r="X13" s="37"/>
      <c r="Y13" s="31"/>
      <c r="Z13" s="31"/>
      <c r="AA13" s="31"/>
      <c r="AB13" s="37"/>
      <c r="AC13" s="36"/>
      <c r="AG13" s="34"/>
      <c r="AH13" s="39"/>
      <c r="AI13" s="31"/>
      <c r="AJ13" s="31"/>
      <c r="AK13" s="31"/>
      <c r="AL13" s="31"/>
      <c r="AM13" s="36"/>
    </row>
    <row r="14" spans="2:39">
      <c r="B14" s="34"/>
      <c r="C14" s="35" t="s">
        <v>2704</v>
      </c>
      <c r="D14" s="35"/>
      <c r="E14" s="35"/>
      <c r="F14" s="35"/>
      <c r="G14" s="35"/>
      <c r="H14" s="35"/>
      <c r="I14" s="35" t="s">
        <v>1344</v>
      </c>
      <c r="J14" s="36"/>
      <c r="K14" s="31"/>
      <c r="L14" s="31"/>
      <c r="M14" s="31"/>
      <c r="O14" s="34"/>
      <c r="P14" s="31"/>
      <c r="Q14" s="31"/>
      <c r="R14" s="37"/>
      <c r="S14" s="31"/>
      <c r="T14" s="31"/>
      <c r="U14" s="31"/>
      <c r="V14" s="37"/>
      <c r="W14" s="31"/>
      <c r="X14" s="31"/>
      <c r="Y14" s="31"/>
      <c r="Z14" s="37"/>
      <c r="AA14" s="31"/>
      <c r="AB14" s="31"/>
      <c r="AC14" s="36"/>
      <c r="AG14" s="34"/>
      <c r="AH14" s="31"/>
      <c r="AI14" s="31"/>
      <c r="AJ14" s="40"/>
      <c r="AK14" s="31"/>
      <c r="AL14" s="31"/>
      <c r="AM14" s="36"/>
    </row>
    <row r="15" spans="2:39">
      <c r="B15" s="34"/>
      <c r="C15" s="31"/>
      <c r="D15" s="31"/>
      <c r="E15" s="31"/>
      <c r="F15" s="31"/>
      <c r="G15" s="31"/>
      <c r="H15" s="31"/>
      <c r="I15" s="31"/>
      <c r="J15" s="36"/>
      <c r="K15" s="31"/>
      <c r="L15" s="31"/>
      <c r="M15" s="31"/>
      <c r="O15" s="34"/>
      <c r="P15" s="38"/>
      <c r="Q15" s="31"/>
      <c r="R15" s="31"/>
      <c r="S15" s="31"/>
      <c r="T15" s="37"/>
      <c r="U15" s="31"/>
      <c r="V15" s="31"/>
      <c r="W15" s="31"/>
      <c r="X15" s="37"/>
      <c r="Y15" s="31" t="s">
        <v>1401</v>
      </c>
      <c r="Z15" s="31"/>
      <c r="AA15" s="31"/>
      <c r="AB15" s="37"/>
      <c r="AC15" s="36"/>
      <c r="AG15" s="34"/>
      <c r="AH15" s="39"/>
      <c r="AI15" s="31" t="s">
        <v>1401</v>
      </c>
      <c r="AJ15" s="31"/>
      <c r="AK15" s="31"/>
      <c r="AL15" s="31"/>
      <c r="AM15" s="36"/>
    </row>
    <row r="16" spans="2:39">
      <c r="B16" s="34"/>
      <c r="C16" s="35" t="s">
        <v>1765</v>
      </c>
      <c r="D16" s="35"/>
      <c r="E16" s="35"/>
      <c r="F16" s="35"/>
      <c r="G16" s="35"/>
      <c r="H16" s="35"/>
      <c r="I16" s="35"/>
      <c r="J16" s="36"/>
      <c r="K16" s="31"/>
      <c r="L16" s="31"/>
      <c r="M16" s="31"/>
      <c r="O16" s="34"/>
      <c r="P16" s="31"/>
      <c r="Q16" s="31"/>
      <c r="R16" s="37"/>
      <c r="S16" s="31"/>
      <c r="T16" s="31"/>
      <c r="U16" s="31"/>
      <c r="V16" s="37"/>
      <c r="W16" s="31"/>
      <c r="X16" s="31"/>
      <c r="Y16" s="31"/>
      <c r="Z16" s="37"/>
      <c r="AA16" s="31"/>
      <c r="AB16" s="31"/>
      <c r="AC16" s="36"/>
      <c r="AG16" s="34"/>
      <c r="AH16" s="31"/>
      <c r="AI16" s="31"/>
      <c r="AJ16" s="31"/>
      <c r="AK16" s="31"/>
      <c r="AL16" s="31"/>
      <c r="AM16" s="36"/>
    </row>
    <row r="17" spans="2:39">
      <c r="B17" s="34"/>
      <c r="C17" s="31"/>
      <c r="D17" s="31"/>
      <c r="E17" s="31"/>
      <c r="F17" s="31"/>
      <c r="G17" s="31"/>
      <c r="H17" s="31"/>
      <c r="I17" s="31"/>
      <c r="J17" s="36"/>
      <c r="K17" s="31"/>
      <c r="L17" s="31"/>
      <c r="M17" s="31"/>
      <c r="O17" s="34"/>
      <c r="P17" s="31"/>
      <c r="Q17" s="31"/>
      <c r="R17" s="31"/>
      <c r="S17" s="31"/>
      <c r="T17" s="37"/>
      <c r="U17" s="31"/>
      <c r="V17" s="31"/>
      <c r="W17" s="31"/>
      <c r="X17" s="37"/>
      <c r="Y17" s="31"/>
      <c r="Z17" s="31"/>
      <c r="AA17" s="31"/>
      <c r="AB17" s="31"/>
      <c r="AC17" s="36"/>
      <c r="AG17" s="34"/>
      <c r="AH17" s="31"/>
      <c r="AI17" s="31"/>
      <c r="AJ17" s="31"/>
      <c r="AK17" s="31"/>
      <c r="AL17" s="31"/>
      <c r="AM17" s="36"/>
    </row>
    <row r="18" spans="2:39">
      <c r="B18" s="34"/>
      <c r="C18" s="35" t="s">
        <v>1344</v>
      </c>
      <c r="D18" s="35" t="s">
        <v>1344</v>
      </c>
      <c r="E18" s="31" t="s">
        <v>1401</v>
      </c>
      <c r="F18" s="31"/>
      <c r="G18" s="31"/>
      <c r="H18" s="31"/>
      <c r="I18" s="31"/>
      <c r="J18" s="36"/>
      <c r="K18" s="31"/>
      <c r="L18" s="31"/>
      <c r="M18" s="31"/>
      <c r="O18" s="34"/>
      <c r="P18" s="31"/>
      <c r="Q18" s="31"/>
      <c r="R18" s="31"/>
      <c r="S18" s="31"/>
      <c r="T18" s="31"/>
      <c r="U18" s="31"/>
      <c r="V18" s="37"/>
      <c r="W18" s="31"/>
      <c r="X18" s="31"/>
      <c r="Y18" s="31"/>
      <c r="Z18" s="31"/>
      <c r="AA18" s="31"/>
      <c r="AB18" s="31"/>
      <c r="AC18" s="36"/>
      <c r="AG18" s="34"/>
      <c r="AH18" s="31"/>
      <c r="AI18" s="31"/>
      <c r="AJ18" s="31"/>
      <c r="AK18" s="31"/>
      <c r="AL18" s="31"/>
      <c r="AM18" s="36"/>
    </row>
    <row r="19" spans="2:39" ht="15.75" thickBot="1">
      <c r="B19" s="42"/>
      <c r="C19" s="29"/>
      <c r="D19" s="29"/>
      <c r="E19" s="29"/>
      <c r="F19" s="29"/>
      <c r="G19" s="29"/>
      <c r="H19" s="29"/>
      <c r="I19" s="29"/>
      <c r="J19" s="43"/>
      <c r="K19" s="31"/>
      <c r="L19" s="31"/>
      <c r="M19" s="31"/>
      <c r="O19" s="42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43"/>
      <c r="AG19" s="42"/>
      <c r="AH19" s="29"/>
      <c r="AI19" s="29"/>
      <c r="AJ19" s="29"/>
      <c r="AK19" s="29"/>
      <c r="AL19" s="29"/>
      <c r="AM19" s="43"/>
    </row>
    <row r="21" spans="2:39">
      <c r="C21" s="44"/>
      <c r="E21" s="44"/>
      <c r="G21" s="44"/>
      <c r="I21" s="44"/>
      <c r="U21" s="27" t="s">
        <v>1402</v>
      </c>
      <c r="AG21" s="45" t="s">
        <v>1403</v>
      </c>
    </row>
    <row r="22" spans="2:39">
      <c r="U22" s="27" t="s">
        <v>1217</v>
      </c>
      <c r="AG22" s="27" t="s">
        <v>1410</v>
      </c>
    </row>
    <row r="23" spans="2:39">
      <c r="C23" s="27" t="s">
        <v>1411</v>
      </c>
    </row>
    <row r="24" spans="2:39">
      <c r="P24" s="38" t="s">
        <v>1412</v>
      </c>
      <c r="AI24" s="40"/>
      <c r="AJ24" s="27" t="s">
        <v>1858</v>
      </c>
    </row>
    <row r="26" spans="2:39">
      <c r="R26" s="37" t="s">
        <v>1859</v>
      </c>
      <c r="AK26" s="46" t="s">
        <v>1860</v>
      </c>
    </row>
    <row r="27" spans="2:39">
      <c r="B27" s="27" t="s">
        <v>1861</v>
      </c>
      <c r="R27" s="27" t="s">
        <v>1862</v>
      </c>
      <c r="AG27" s="27" t="s">
        <v>1863</v>
      </c>
    </row>
    <row r="28" spans="2:39">
      <c r="B28" s="27" t="s">
        <v>1864</v>
      </c>
      <c r="P28" s="38" t="s">
        <v>1344</v>
      </c>
      <c r="R28" s="27" t="s">
        <v>1865</v>
      </c>
      <c r="AG28" s="27" t="s">
        <v>1866</v>
      </c>
    </row>
    <row r="30" spans="2:39">
      <c r="AH30" s="27" t="s">
        <v>1344</v>
      </c>
    </row>
  </sheetData>
  <phoneticPr fontId="15" type="noConversion"/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indexed="13"/>
  </sheetPr>
  <dimension ref="B2:K37"/>
  <sheetViews>
    <sheetView workbookViewId="0">
      <selection activeCell="B10" sqref="B10"/>
    </sheetView>
  </sheetViews>
  <sheetFormatPr defaultRowHeight="11.25"/>
  <cols>
    <col min="1" max="16384" width="9.33203125" style="626"/>
  </cols>
  <sheetData>
    <row r="2" spans="2:9" ht="12" thickBot="1"/>
    <row r="3" spans="2:9" ht="13.5" thickTop="1">
      <c r="B3" s="625" t="s">
        <v>146</v>
      </c>
      <c r="C3" s="627"/>
      <c r="D3" s="628"/>
      <c r="G3" s="629" t="s">
        <v>147</v>
      </c>
      <c r="H3" s="627"/>
      <c r="I3" s="628"/>
    </row>
    <row r="4" spans="2:9" ht="12.75">
      <c r="B4" s="637"/>
      <c r="C4" s="631"/>
      <c r="D4" s="632"/>
      <c r="G4" s="630"/>
      <c r="H4" s="631"/>
      <c r="I4" s="632"/>
    </row>
    <row r="5" spans="2:9">
      <c r="B5" s="630" t="s">
        <v>1967</v>
      </c>
      <c r="C5" s="631"/>
      <c r="D5" s="632"/>
      <c r="G5" s="630" t="s">
        <v>1966</v>
      </c>
      <c r="H5" s="631"/>
      <c r="I5" s="632"/>
    </row>
    <row r="6" spans="2:9" ht="12.75">
      <c r="B6" s="637"/>
      <c r="C6" s="631"/>
      <c r="D6" s="632"/>
      <c r="G6" s="630" t="s">
        <v>139</v>
      </c>
      <c r="H6" s="631"/>
      <c r="I6" s="632"/>
    </row>
    <row r="7" spans="2:9" ht="12.75">
      <c r="B7" s="637"/>
      <c r="C7" s="631"/>
      <c r="D7" s="632"/>
      <c r="G7" s="630" t="s">
        <v>139</v>
      </c>
      <c r="H7" s="631"/>
      <c r="I7" s="632"/>
    </row>
    <row r="8" spans="2:9">
      <c r="B8" s="630" t="s">
        <v>93</v>
      </c>
      <c r="C8" s="631"/>
      <c r="D8" s="632"/>
      <c r="G8" s="630" t="s">
        <v>3160</v>
      </c>
      <c r="H8" s="631"/>
      <c r="I8" s="632"/>
    </row>
    <row r="9" spans="2:9" ht="12.75">
      <c r="B9" s="637"/>
      <c r="C9" s="631"/>
      <c r="D9" s="632"/>
      <c r="G9" s="630" t="s">
        <v>139</v>
      </c>
      <c r="H9" s="631"/>
      <c r="I9" s="632"/>
    </row>
    <row r="10" spans="2:9" ht="12.75">
      <c r="B10" s="637"/>
      <c r="C10" s="631"/>
      <c r="D10" s="632"/>
      <c r="G10" s="630" t="s">
        <v>139</v>
      </c>
      <c r="H10" s="631"/>
      <c r="I10" s="632"/>
    </row>
    <row r="11" spans="2:9" ht="12.75">
      <c r="B11" s="637"/>
      <c r="C11" s="631"/>
      <c r="D11" s="632"/>
      <c r="G11" s="630" t="s">
        <v>139</v>
      </c>
      <c r="H11" s="631"/>
      <c r="I11" s="632"/>
    </row>
    <row r="12" spans="2:9">
      <c r="B12" s="630"/>
      <c r="C12" s="631"/>
      <c r="D12" s="632"/>
      <c r="G12" s="630"/>
      <c r="H12" s="631"/>
      <c r="I12" s="632"/>
    </row>
    <row r="13" spans="2:9">
      <c r="B13" s="630" t="s">
        <v>148</v>
      </c>
      <c r="C13" s="631"/>
      <c r="D13" s="632"/>
      <c r="G13" s="630" t="s">
        <v>149</v>
      </c>
      <c r="H13" s="631"/>
      <c r="I13" s="632"/>
    </row>
    <row r="14" spans="2:9">
      <c r="B14" s="630"/>
      <c r="C14" s="631"/>
      <c r="D14" s="632"/>
      <c r="G14" s="630"/>
      <c r="H14" s="631"/>
      <c r="I14" s="632"/>
    </row>
    <row r="15" spans="2:9">
      <c r="B15" s="630" t="s">
        <v>150</v>
      </c>
      <c r="C15" s="631"/>
      <c r="D15" s="632"/>
      <c r="G15" s="630" t="s">
        <v>151</v>
      </c>
      <c r="H15" s="631"/>
      <c r="I15" s="632"/>
    </row>
    <row r="16" spans="2:9">
      <c r="B16" s="630"/>
      <c r="C16" s="631"/>
      <c r="D16" s="632"/>
      <c r="G16" s="630"/>
      <c r="H16" s="631"/>
      <c r="I16" s="632"/>
    </row>
    <row r="17" spans="2:11">
      <c r="B17" s="630" t="s">
        <v>152</v>
      </c>
      <c r="C17" s="631"/>
      <c r="D17" s="632"/>
      <c r="G17" s="630" t="s">
        <v>153</v>
      </c>
      <c r="H17" s="631"/>
      <c r="I17" s="632"/>
    </row>
    <row r="18" spans="2:11">
      <c r="B18" s="630"/>
      <c r="C18" s="631"/>
      <c r="D18" s="632"/>
      <c r="G18" s="630"/>
      <c r="H18" s="631"/>
      <c r="I18" s="632"/>
    </row>
    <row r="19" spans="2:11" ht="12" thickBot="1">
      <c r="B19" s="633" t="s">
        <v>154</v>
      </c>
      <c r="C19" s="634"/>
      <c r="D19" s="635"/>
      <c r="G19" s="633"/>
      <c r="H19" s="634"/>
      <c r="I19" s="635"/>
    </row>
    <row r="20" spans="2:11" ht="12" thickTop="1"/>
    <row r="21" spans="2:11" ht="12" thickBot="1"/>
    <row r="22" spans="2:11" ht="12" thickTop="1">
      <c r="C22" s="629" t="s">
        <v>155</v>
      </c>
      <c r="D22" s="627"/>
      <c r="E22" s="627"/>
      <c r="F22" s="627"/>
      <c r="G22" s="628"/>
      <c r="I22" s="629" t="s">
        <v>156</v>
      </c>
      <c r="J22" s="627"/>
      <c r="K22" s="628"/>
    </row>
    <row r="23" spans="2:11">
      <c r="C23" s="630"/>
      <c r="D23" s="631"/>
      <c r="E23" s="631"/>
      <c r="F23" s="631"/>
      <c r="G23" s="632"/>
      <c r="I23" s="630" t="s">
        <v>157</v>
      </c>
      <c r="J23" s="631"/>
      <c r="K23" s="632"/>
    </row>
    <row r="24" spans="2:11">
      <c r="C24" s="630" t="s">
        <v>38</v>
      </c>
      <c r="D24" s="631"/>
      <c r="E24" s="631"/>
      <c r="F24" s="631"/>
      <c r="G24" s="632"/>
      <c r="I24" s="630" t="s">
        <v>2368</v>
      </c>
      <c r="J24" s="631"/>
      <c r="K24" s="632"/>
    </row>
    <row r="25" spans="2:11">
      <c r="C25" s="630" t="s">
        <v>158</v>
      </c>
      <c r="D25" s="631"/>
      <c r="E25" s="631"/>
      <c r="F25" s="631"/>
      <c r="G25" s="632"/>
      <c r="I25" s="630"/>
      <c r="J25" s="631"/>
      <c r="K25" s="632"/>
    </row>
    <row r="26" spans="2:11">
      <c r="C26" s="630"/>
      <c r="D26" s="631"/>
      <c r="E26" s="631"/>
      <c r="F26" s="631"/>
      <c r="G26" s="632"/>
      <c r="I26" s="630" t="s">
        <v>159</v>
      </c>
      <c r="J26" s="631"/>
      <c r="K26" s="632"/>
    </row>
    <row r="27" spans="2:11">
      <c r="C27" s="630" t="s">
        <v>160</v>
      </c>
      <c r="D27" s="631"/>
      <c r="E27" s="631"/>
      <c r="F27" s="631"/>
      <c r="G27" s="632"/>
      <c r="I27" s="630"/>
      <c r="J27" s="631"/>
      <c r="K27" s="632"/>
    </row>
    <row r="28" spans="2:11">
      <c r="C28" s="630" t="s">
        <v>161</v>
      </c>
      <c r="D28" s="631"/>
      <c r="E28" s="631"/>
      <c r="F28" s="631"/>
      <c r="G28" s="632"/>
      <c r="I28" s="630" t="s">
        <v>162</v>
      </c>
      <c r="J28" s="631"/>
      <c r="K28" s="632"/>
    </row>
    <row r="29" spans="2:11">
      <c r="C29" s="630" t="s">
        <v>163</v>
      </c>
      <c r="D29" s="631"/>
      <c r="E29" s="631"/>
      <c r="F29" s="631"/>
      <c r="G29" s="632"/>
      <c r="I29" s="630"/>
      <c r="J29" s="631"/>
      <c r="K29" s="632"/>
    </row>
    <row r="30" spans="2:11">
      <c r="C30" s="630" t="s">
        <v>164</v>
      </c>
      <c r="D30" s="631"/>
      <c r="E30" s="631"/>
      <c r="F30" s="631"/>
      <c r="G30" s="632"/>
      <c r="I30" s="630"/>
      <c r="J30" s="631"/>
      <c r="K30" s="632"/>
    </row>
    <row r="31" spans="2:11" ht="12" thickBot="1">
      <c r="C31" s="630"/>
      <c r="D31" s="631"/>
      <c r="E31" s="631"/>
      <c r="F31" s="631"/>
      <c r="G31" s="632"/>
      <c r="I31" s="633"/>
      <c r="J31" s="634"/>
      <c r="K31" s="635"/>
    </row>
    <row r="32" spans="2:11" ht="12" thickTop="1">
      <c r="C32" s="630" t="s">
        <v>165</v>
      </c>
      <c r="D32" s="631"/>
      <c r="E32" s="631"/>
      <c r="F32" s="631"/>
      <c r="G32" s="632" t="s">
        <v>166</v>
      </c>
    </row>
    <row r="33" spans="3:9">
      <c r="C33" s="630" t="s">
        <v>167</v>
      </c>
      <c r="D33" s="631"/>
      <c r="E33" s="631"/>
      <c r="F33" s="631"/>
      <c r="G33" s="632" t="s">
        <v>168</v>
      </c>
    </row>
    <row r="34" spans="3:9" ht="12.75">
      <c r="C34" s="630"/>
      <c r="D34" s="631"/>
      <c r="E34" s="631"/>
      <c r="F34" s="631"/>
      <c r="G34" s="632"/>
      <c r="I34" s="636"/>
    </row>
    <row r="35" spans="3:9">
      <c r="C35" s="630" t="s">
        <v>169</v>
      </c>
      <c r="D35" s="631"/>
      <c r="E35" s="631"/>
      <c r="F35" s="631"/>
      <c r="G35" s="632" t="s">
        <v>170</v>
      </c>
    </row>
    <row r="36" spans="3:9" ht="12" thickBot="1">
      <c r="C36" s="633"/>
      <c r="D36" s="634"/>
      <c r="E36" s="634"/>
      <c r="F36" s="634"/>
      <c r="G36" s="635"/>
    </row>
    <row r="37" spans="3:9" ht="12" thickTop="1"/>
  </sheetData>
  <phoneticPr fontId="15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/>
  <dimension ref="A1:CO792"/>
  <sheetViews>
    <sheetView workbookViewId="0">
      <pane xSplit="3" ySplit="6" topLeftCell="X126" activePane="bottomRight" state="frozen"/>
      <selection pane="topRight" activeCell="C1" sqref="C1"/>
      <selection pane="bottomLeft" activeCell="A10" sqref="A10"/>
      <selection pane="bottomRight" activeCell="AE143" sqref="AE143"/>
    </sheetView>
  </sheetViews>
  <sheetFormatPr defaultColWidth="14.6640625" defaultRowHeight="15"/>
  <cols>
    <col min="1" max="1" width="18.1640625" style="448" customWidth="1"/>
    <col min="2" max="2" width="15.6640625" style="448" customWidth="1"/>
    <col min="3" max="3" width="10.1640625" style="449" customWidth="1"/>
    <col min="4" max="4" width="8.33203125" style="448" customWidth="1"/>
    <col min="5" max="5" width="14.33203125" style="438" customWidth="1"/>
    <col min="6" max="47" width="8.33203125" style="448" customWidth="1"/>
    <col min="48" max="48" width="8.33203125" style="507" customWidth="1"/>
    <col min="49" max="51" width="8.33203125" style="448" customWidth="1"/>
    <col min="52" max="52" width="8.33203125" style="506" customWidth="1"/>
    <col min="53" max="56" width="8.33203125" style="438" customWidth="1"/>
    <col min="57" max="67" width="8.33203125" style="505" customWidth="1"/>
    <col min="68" max="68" width="5.1640625" style="438" customWidth="1"/>
    <col min="69" max="80" width="8.83203125" style="448" customWidth="1"/>
    <col min="81" max="81" width="3.1640625" style="448" customWidth="1"/>
    <col min="82" max="93" width="8.6640625" style="439" customWidth="1"/>
    <col min="94" max="16384" width="14.6640625" style="448"/>
  </cols>
  <sheetData>
    <row r="1" spans="1:93" s="438" customFormat="1" ht="12" customHeight="1">
      <c r="A1" s="436" t="s">
        <v>102</v>
      </c>
      <c r="B1" s="436" t="s">
        <v>1344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7"/>
      <c r="AY1" s="438" t="s">
        <v>872</v>
      </c>
      <c r="AZ1" s="436"/>
      <c r="BB1" s="435" t="s">
        <v>873</v>
      </c>
      <c r="BD1" s="437"/>
      <c r="BE1" s="438" t="s">
        <v>872</v>
      </c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R1" s="438" t="s">
        <v>874</v>
      </c>
      <c r="BV1" s="438" t="s">
        <v>874</v>
      </c>
      <c r="BZ1" s="438" t="s">
        <v>874</v>
      </c>
      <c r="CD1" s="439" t="s">
        <v>872</v>
      </c>
      <c r="CE1" s="439"/>
      <c r="CF1" s="439"/>
      <c r="CG1" s="439"/>
      <c r="CH1" s="439"/>
      <c r="CI1" s="439"/>
      <c r="CJ1" s="439"/>
      <c r="CK1" s="439"/>
      <c r="CL1" s="439"/>
      <c r="CM1" s="439"/>
      <c r="CN1" s="439"/>
      <c r="CO1" s="439"/>
    </row>
    <row r="2" spans="1:93" s="438" customFormat="1" ht="12.75" customHeight="1">
      <c r="A2" s="547" t="s">
        <v>2611</v>
      </c>
      <c r="B2" s="442"/>
      <c r="C2" s="442" t="s">
        <v>875</v>
      </c>
      <c r="D2" s="443"/>
      <c r="E2" s="436" t="s">
        <v>876</v>
      </c>
      <c r="F2" s="444">
        <v>1954</v>
      </c>
      <c r="G2" s="444">
        <f>+F2+1</f>
        <v>1955</v>
      </c>
      <c r="H2" s="444">
        <f t="shared" ref="H2:BB2" si="0">+G2+1</f>
        <v>1956</v>
      </c>
      <c r="I2" s="444">
        <f t="shared" si="0"/>
        <v>1957</v>
      </c>
      <c r="J2" s="444">
        <f t="shared" si="0"/>
        <v>1958</v>
      </c>
      <c r="K2" s="444">
        <f t="shared" si="0"/>
        <v>1959</v>
      </c>
      <c r="L2" s="444">
        <f t="shared" si="0"/>
        <v>1960</v>
      </c>
      <c r="M2" s="444">
        <f t="shared" si="0"/>
        <v>1961</v>
      </c>
      <c r="N2" s="444">
        <f t="shared" si="0"/>
        <v>1962</v>
      </c>
      <c r="O2" s="444">
        <f t="shared" si="0"/>
        <v>1963</v>
      </c>
      <c r="P2" s="444">
        <f t="shared" si="0"/>
        <v>1964</v>
      </c>
      <c r="Q2" s="444">
        <f t="shared" si="0"/>
        <v>1965</v>
      </c>
      <c r="R2" s="444">
        <f t="shared" si="0"/>
        <v>1966</v>
      </c>
      <c r="S2" s="444">
        <f t="shared" si="0"/>
        <v>1967</v>
      </c>
      <c r="T2" s="444">
        <f t="shared" si="0"/>
        <v>1968</v>
      </c>
      <c r="U2" s="444">
        <f t="shared" si="0"/>
        <v>1969</v>
      </c>
      <c r="V2" s="444">
        <f t="shared" si="0"/>
        <v>1970</v>
      </c>
      <c r="W2" s="444">
        <f t="shared" si="0"/>
        <v>1971</v>
      </c>
      <c r="X2" s="444">
        <f t="shared" si="0"/>
        <v>1972</v>
      </c>
      <c r="Y2" s="444">
        <f t="shared" si="0"/>
        <v>1973</v>
      </c>
      <c r="Z2" s="444">
        <f t="shared" si="0"/>
        <v>1974</v>
      </c>
      <c r="AA2" s="444">
        <f t="shared" si="0"/>
        <v>1975</v>
      </c>
      <c r="AB2" s="444">
        <f t="shared" si="0"/>
        <v>1976</v>
      </c>
      <c r="AC2" s="444">
        <f t="shared" si="0"/>
        <v>1977</v>
      </c>
      <c r="AD2" s="444">
        <f t="shared" si="0"/>
        <v>1978</v>
      </c>
      <c r="AE2" s="444">
        <f t="shared" si="0"/>
        <v>1979</v>
      </c>
      <c r="AF2" s="444">
        <f t="shared" si="0"/>
        <v>1980</v>
      </c>
      <c r="AG2" s="444">
        <f t="shared" si="0"/>
        <v>1981</v>
      </c>
      <c r="AH2" s="444">
        <f t="shared" si="0"/>
        <v>1982</v>
      </c>
      <c r="AI2" s="444">
        <f t="shared" si="0"/>
        <v>1983</v>
      </c>
      <c r="AJ2" s="444">
        <f t="shared" si="0"/>
        <v>1984</v>
      </c>
      <c r="AK2" s="444">
        <f t="shared" si="0"/>
        <v>1985</v>
      </c>
      <c r="AL2" s="444">
        <f t="shared" si="0"/>
        <v>1986</v>
      </c>
      <c r="AM2" s="444">
        <f t="shared" si="0"/>
        <v>1987</v>
      </c>
      <c r="AN2" s="444">
        <f t="shared" si="0"/>
        <v>1988</v>
      </c>
      <c r="AO2" s="444">
        <f t="shared" si="0"/>
        <v>1989</v>
      </c>
      <c r="AP2" s="444">
        <f t="shared" si="0"/>
        <v>1990</v>
      </c>
      <c r="AQ2" s="444">
        <f t="shared" si="0"/>
        <v>1991</v>
      </c>
      <c r="AR2" s="444">
        <f t="shared" si="0"/>
        <v>1992</v>
      </c>
      <c r="AS2" s="444">
        <f t="shared" si="0"/>
        <v>1993</v>
      </c>
      <c r="AT2" s="444">
        <f t="shared" si="0"/>
        <v>1994</v>
      </c>
      <c r="AU2" s="444">
        <f t="shared" si="0"/>
        <v>1995</v>
      </c>
      <c r="AV2" s="444">
        <f t="shared" si="0"/>
        <v>1996</v>
      </c>
      <c r="AW2" s="444">
        <f t="shared" si="0"/>
        <v>1997</v>
      </c>
      <c r="AX2" s="444">
        <f t="shared" si="0"/>
        <v>1998</v>
      </c>
      <c r="AY2" s="444">
        <f t="shared" si="0"/>
        <v>1999</v>
      </c>
      <c r="AZ2" s="444">
        <f t="shared" si="0"/>
        <v>2000</v>
      </c>
      <c r="BA2" s="444">
        <f t="shared" si="0"/>
        <v>2001</v>
      </c>
      <c r="BB2" s="444">
        <f t="shared" si="0"/>
        <v>2002</v>
      </c>
      <c r="BC2" s="444">
        <f>+BB2+1</f>
        <v>2003</v>
      </c>
      <c r="BD2" s="444">
        <f>+BC2+1</f>
        <v>2004</v>
      </c>
      <c r="BE2" s="444">
        <f>+BD2+1</f>
        <v>2005</v>
      </c>
      <c r="BF2" s="444">
        <f t="shared" ref="BF2:BO2" si="1">+BE2+1</f>
        <v>2006</v>
      </c>
      <c r="BG2" s="444">
        <f t="shared" si="1"/>
        <v>2007</v>
      </c>
      <c r="BH2" s="444">
        <f t="shared" si="1"/>
        <v>2008</v>
      </c>
      <c r="BI2" s="444">
        <f t="shared" si="1"/>
        <v>2009</v>
      </c>
      <c r="BJ2" s="444">
        <f t="shared" si="1"/>
        <v>2010</v>
      </c>
      <c r="BK2" s="444">
        <f t="shared" si="1"/>
        <v>2011</v>
      </c>
      <c r="BL2" s="444">
        <f t="shared" si="1"/>
        <v>2012</v>
      </c>
      <c r="BM2" s="444">
        <f t="shared" si="1"/>
        <v>2013</v>
      </c>
      <c r="BN2" s="444">
        <f t="shared" si="1"/>
        <v>2014</v>
      </c>
      <c r="BO2" s="444">
        <f t="shared" si="1"/>
        <v>2015</v>
      </c>
      <c r="BP2" s="445"/>
      <c r="BQ2" s="446">
        <f t="shared" ref="BQ2:BW2" si="2">BD2</f>
        <v>2004</v>
      </c>
      <c r="BR2" s="446">
        <f t="shared" si="2"/>
        <v>2005</v>
      </c>
      <c r="BS2" s="446">
        <f t="shared" si="2"/>
        <v>2006</v>
      </c>
      <c r="BT2" s="446">
        <f t="shared" si="2"/>
        <v>2007</v>
      </c>
      <c r="BU2" s="446">
        <f t="shared" si="2"/>
        <v>2008</v>
      </c>
      <c r="BV2" s="446">
        <f t="shared" si="2"/>
        <v>2009</v>
      </c>
      <c r="BW2" s="446">
        <f t="shared" si="2"/>
        <v>2010</v>
      </c>
      <c r="BX2" s="446">
        <f>BK2</f>
        <v>2011</v>
      </c>
      <c r="BY2" s="446">
        <f>BL2</f>
        <v>2012</v>
      </c>
      <c r="BZ2" s="446">
        <f>BM2</f>
        <v>2013</v>
      </c>
      <c r="CA2" s="446">
        <f>BN2</f>
        <v>2014</v>
      </c>
      <c r="CB2" s="446">
        <f>BO2</f>
        <v>2015</v>
      </c>
      <c r="CD2" s="439">
        <v>2004</v>
      </c>
      <c r="CE2" s="439">
        <v>2005</v>
      </c>
      <c r="CF2" s="439">
        <v>2006</v>
      </c>
      <c r="CG2" s="439">
        <v>2007</v>
      </c>
      <c r="CH2" s="439">
        <v>2008</v>
      </c>
      <c r="CI2" s="439">
        <v>2009</v>
      </c>
      <c r="CJ2" s="439">
        <v>2010</v>
      </c>
      <c r="CK2" s="439">
        <v>2011</v>
      </c>
      <c r="CL2" s="439">
        <v>2012</v>
      </c>
      <c r="CM2" s="439">
        <v>2013</v>
      </c>
      <c r="CN2" s="439">
        <v>2014</v>
      </c>
      <c r="CO2" s="439">
        <v>2015</v>
      </c>
    </row>
    <row r="3" spans="1:93" s="438" customFormat="1" ht="3" hidden="1" customHeight="1">
      <c r="A3" s="436" t="s">
        <v>1344</v>
      </c>
      <c r="B3" s="436"/>
      <c r="C3" s="442"/>
      <c r="D3" s="436"/>
    </row>
    <row r="4" spans="1:93" s="438" customFormat="1" ht="0.75" hidden="1" customHeight="1">
      <c r="A4" s="436" t="s">
        <v>1344</v>
      </c>
      <c r="B4" s="436"/>
      <c r="C4" s="442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6"/>
      <c r="AC4" s="436"/>
      <c r="AD4" s="436"/>
      <c r="AE4" s="436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CD4" s="439"/>
      <c r="CE4" s="439"/>
      <c r="CF4" s="439"/>
      <c r="CG4" s="439"/>
      <c r="CH4" s="439"/>
      <c r="CI4" s="439"/>
      <c r="CJ4" s="439"/>
      <c r="CK4" s="439"/>
      <c r="CL4" s="439"/>
      <c r="CM4" s="439"/>
      <c r="CN4" s="439"/>
      <c r="CO4" s="439"/>
    </row>
    <row r="5" spans="1:93" ht="0.75" hidden="1" customHeight="1">
      <c r="A5" s="447"/>
      <c r="B5" s="447"/>
      <c r="C5" s="442"/>
      <c r="D5" s="447"/>
      <c r="E5" s="436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V5" s="448"/>
      <c r="AZ5" s="448"/>
      <c r="BA5" s="448"/>
      <c r="BB5" s="448"/>
      <c r="BC5" s="448"/>
      <c r="BD5" s="448"/>
      <c r="BE5" s="448"/>
      <c r="BF5" s="448"/>
      <c r="BG5" s="448"/>
      <c r="BH5" s="448"/>
      <c r="BI5" s="448"/>
      <c r="BJ5" s="448"/>
      <c r="BK5" s="448"/>
      <c r="BL5" s="448"/>
      <c r="BM5" s="448"/>
      <c r="BN5" s="448"/>
      <c r="BO5" s="448"/>
    </row>
    <row r="6" spans="1:93" ht="0.75" customHeight="1">
      <c r="AV6" s="448"/>
      <c r="AZ6" s="448"/>
      <c r="BA6" s="448"/>
      <c r="BB6" s="448"/>
      <c r="BC6" s="448"/>
      <c r="BD6" s="448"/>
      <c r="BE6" s="448"/>
      <c r="BF6" s="448"/>
      <c r="BG6" s="448"/>
      <c r="BH6" s="448"/>
      <c r="BI6" s="448"/>
      <c r="BJ6" s="448"/>
      <c r="BK6" s="448"/>
      <c r="BL6" s="448"/>
      <c r="BM6" s="448"/>
      <c r="BN6" s="448"/>
      <c r="BO6" s="448"/>
    </row>
    <row r="7" spans="1:93" s="450" customFormat="1" ht="15" customHeight="1">
      <c r="A7" s="450" t="s">
        <v>877</v>
      </c>
      <c r="C7" s="451"/>
      <c r="F7" s="452"/>
      <c r="G7" s="452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452"/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3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  <c r="BJ7" s="453"/>
      <c r="BK7" s="453"/>
      <c r="BL7" s="453"/>
      <c r="BM7" s="453"/>
      <c r="BN7" s="453"/>
      <c r="BO7" s="453"/>
      <c r="BP7" s="453"/>
    </row>
    <row r="8" spans="1:93" ht="10.15" customHeight="1">
      <c r="A8" s="447" t="s">
        <v>878</v>
      </c>
      <c r="B8" s="447"/>
      <c r="C8" s="442"/>
      <c r="D8" s="447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8" t="s">
        <v>1344</v>
      </c>
      <c r="AQ8" s="438"/>
      <c r="AR8" s="438"/>
      <c r="AS8" s="438"/>
      <c r="AT8" s="436" t="s">
        <v>1344</v>
      </c>
      <c r="AU8" s="436" t="s">
        <v>1344</v>
      </c>
      <c r="AV8" s="436" t="s">
        <v>1344</v>
      </c>
      <c r="AW8" s="436" t="s">
        <v>1344</v>
      </c>
      <c r="AX8" s="436" t="s">
        <v>1344</v>
      </c>
      <c r="AY8" s="436" t="s">
        <v>1344</v>
      </c>
      <c r="AZ8" s="436" t="s">
        <v>1344</v>
      </c>
      <c r="BA8" s="436" t="s">
        <v>1344</v>
      </c>
      <c r="BB8" s="436" t="s">
        <v>1344</v>
      </c>
      <c r="BC8" s="436" t="s">
        <v>1344</v>
      </c>
      <c r="BD8" s="436" t="s">
        <v>1344</v>
      </c>
      <c r="BE8" s="436" t="s">
        <v>1344</v>
      </c>
      <c r="BF8" s="436" t="s">
        <v>1344</v>
      </c>
      <c r="BG8" s="436" t="s">
        <v>1344</v>
      </c>
      <c r="BH8" s="436" t="s">
        <v>1344</v>
      </c>
      <c r="BI8" s="436" t="s">
        <v>1344</v>
      </c>
      <c r="BJ8" s="436" t="s">
        <v>1344</v>
      </c>
      <c r="BK8" s="436" t="s">
        <v>1344</v>
      </c>
      <c r="BL8" s="436" t="s">
        <v>1344</v>
      </c>
      <c r="BM8" s="436" t="s">
        <v>1344</v>
      </c>
      <c r="BN8" s="436" t="s">
        <v>1344</v>
      </c>
      <c r="BO8" s="436" t="s">
        <v>1344</v>
      </c>
      <c r="BP8" s="436"/>
      <c r="CD8" s="439" t="s">
        <v>1344</v>
      </c>
      <c r="CE8" s="439" t="s">
        <v>1344</v>
      </c>
      <c r="CF8" s="439" t="s">
        <v>1344</v>
      </c>
      <c r="CG8" s="439" t="s">
        <v>1344</v>
      </c>
      <c r="CH8" s="439" t="s">
        <v>1344</v>
      </c>
      <c r="CI8" s="439" t="s">
        <v>1344</v>
      </c>
      <c r="CJ8" s="439" t="s">
        <v>1344</v>
      </c>
      <c r="CK8" s="439" t="s">
        <v>1344</v>
      </c>
      <c r="CL8" s="439" t="s">
        <v>1344</v>
      </c>
      <c r="CM8" s="439" t="s">
        <v>1344</v>
      </c>
      <c r="CN8" s="439" t="s">
        <v>1344</v>
      </c>
      <c r="CO8" s="439" t="s">
        <v>1344</v>
      </c>
    </row>
    <row r="9" spans="1:93">
      <c r="A9" s="447" t="s">
        <v>879</v>
      </c>
      <c r="B9" s="447"/>
      <c r="C9" s="442"/>
      <c r="D9" s="447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 t="s">
        <v>1344</v>
      </c>
      <c r="AQ9" s="438"/>
      <c r="AR9" s="438"/>
      <c r="AS9" s="438"/>
      <c r="AT9" s="438"/>
      <c r="AU9" s="438"/>
      <c r="AV9" s="438"/>
      <c r="AW9" s="438"/>
      <c r="AX9" s="438"/>
      <c r="AY9" s="438"/>
      <c r="AZ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</row>
    <row r="10" spans="1:93">
      <c r="A10" s="447" t="s">
        <v>878</v>
      </c>
      <c r="B10" s="447"/>
      <c r="C10" s="442"/>
      <c r="D10" s="447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 t="s">
        <v>1344</v>
      </c>
      <c r="AO10" s="436" t="s">
        <v>1344</v>
      </c>
      <c r="AP10" s="436" t="s">
        <v>1344</v>
      </c>
      <c r="AQ10" s="436" t="s">
        <v>1344</v>
      </c>
      <c r="AR10" s="436" t="s">
        <v>1344</v>
      </c>
      <c r="AS10" s="436" t="s">
        <v>1344</v>
      </c>
      <c r="AT10" s="436" t="s">
        <v>1344</v>
      </c>
      <c r="AU10" s="436" t="s">
        <v>1344</v>
      </c>
      <c r="AV10" s="436" t="s">
        <v>1344</v>
      </c>
      <c r="AW10" s="436" t="s">
        <v>1344</v>
      </c>
      <c r="AX10" s="436" t="s">
        <v>1344</v>
      </c>
      <c r="AY10" s="436" t="s">
        <v>1344</v>
      </c>
      <c r="AZ10" s="436" t="s">
        <v>1344</v>
      </c>
      <c r="BA10" s="436" t="s">
        <v>1344</v>
      </c>
      <c r="BB10" s="436" t="s">
        <v>1344</v>
      </c>
      <c r="BC10" s="436" t="s">
        <v>1344</v>
      </c>
      <c r="BD10" s="436" t="s">
        <v>1344</v>
      </c>
      <c r="BE10" s="436" t="s">
        <v>1344</v>
      </c>
      <c r="BF10" s="436" t="s">
        <v>1344</v>
      </c>
      <c r="BG10" s="436" t="s">
        <v>1344</v>
      </c>
      <c r="BH10" s="436" t="s">
        <v>1344</v>
      </c>
      <c r="BI10" s="436" t="s">
        <v>1344</v>
      </c>
      <c r="BJ10" s="436" t="s">
        <v>1344</v>
      </c>
      <c r="BK10" s="436" t="s">
        <v>1344</v>
      </c>
      <c r="BL10" s="436" t="s">
        <v>1344</v>
      </c>
      <c r="BM10" s="436" t="s">
        <v>1344</v>
      </c>
      <c r="BN10" s="436" t="s">
        <v>1344</v>
      </c>
      <c r="BO10" s="436" t="s">
        <v>1344</v>
      </c>
      <c r="BP10" s="436"/>
      <c r="CD10" s="439" t="s">
        <v>1344</v>
      </c>
      <c r="CE10" s="439" t="s">
        <v>1344</v>
      </c>
      <c r="CF10" s="439" t="s">
        <v>1344</v>
      </c>
      <c r="CG10" s="439" t="s">
        <v>1344</v>
      </c>
      <c r="CH10" s="439" t="s">
        <v>1344</v>
      </c>
      <c r="CI10" s="439" t="s">
        <v>1344</v>
      </c>
      <c r="CJ10" s="439" t="s">
        <v>1344</v>
      </c>
      <c r="CK10" s="439" t="s">
        <v>1344</v>
      </c>
      <c r="CL10" s="439" t="s">
        <v>1344</v>
      </c>
      <c r="CM10" s="439" t="s">
        <v>1344</v>
      </c>
      <c r="CN10" s="439" t="s">
        <v>1344</v>
      </c>
      <c r="CO10" s="439" t="s">
        <v>1344</v>
      </c>
    </row>
    <row r="11" spans="1:93">
      <c r="A11" s="447" t="s">
        <v>880</v>
      </c>
      <c r="B11" s="447"/>
      <c r="C11" s="442" t="s">
        <v>1455</v>
      </c>
      <c r="D11" s="447" t="s">
        <v>3006</v>
      </c>
      <c r="E11" s="436" t="s">
        <v>881</v>
      </c>
      <c r="F11" s="454">
        <v>0.10890000000000001</v>
      </c>
      <c r="G11" s="454">
        <v>0.11259999999999999</v>
      </c>
      <c r="H11" s="454">
        <v>0.12151309967041016</v>
      </c>
      <c r="I11" s="454">
        <v>0.13808164978027343</v>
      </c>
      <c r="J11" s="454">
        <v>0.14706317138671876</v>
      </c>
      <c r="K11" s="454">
        <v>0.16201873779296874</v>
      </c>
      <c r="L11" s="454">
        <v>0.17508694458007812</v>
      </c>
      <c r="M11" s="454">
        <v>0.17672322082519532</v>
      </c>
      <c r="N11" s="454">
        <v>0.18668693542480469</v>
      </c>
      <c r="O11" s="454">
        <v>0.20040840148925781</v>
      </c>
      <c r="P11" s="454">
        <v>0.21904617309570312</v>
      </c>
      <c r="Q11" s="454">
        <v>0.25320899963378907</v>
      </c>
      <c r="R11" s="454">
        <v>0.32270901489257814</v>
      </c>
      <c r="S11" s="454">
        <v>0.3790799865722656</v>
      </c>
      <c r="T11" s="454">
        <v>0.41746499633789064</v>
      </c>
      <c r="U11" s="454">
        <v>0.42966198730468752</v>
      </c>
      <c r="V11" s="454">
        <v>0.4453080139160156</v>
      </c>
      <c r="W11" s="454">
        <v>0.4883009948730469</v>
      </c>
      <c r="X11" s="454">
        <v>0.50700000000000001</v>
      </c>
      <c r="Y11" s="454">
        <v>0.5539000244140625</v>
      </c>
      <c r="Z11" s="454">
        <v>0.68070001220703125</v>
      </c>
      <c r="AA11" s="454">
        <v>0.81240002441406245</v>
      </c>
      <c r="AB11" s="454">
        <v>0.8696300048828125</v>
      </c>
      <c r="AC11" s="454">
        <v>1.1004599609375001</v>
      </c>
      <c r="AD11" s="454">
        <v>1.2600400390625</v>
      </c>
      <c r="AE11" s="454">
        <v>1.343760009765625</v>
      </c>
      <c r="AF11" s="454">
        <v>1.376489990234375</v>
      </c>
      <c r="AG11" s="454">
        <v>1.5221700439453125</v>
      </c>
      <c r="AH11" s="454">
        <v>1.5024999999999999</v>
      </c>
      <c r="AI11" s="454">
        <v>1.4129699707031249</v>
      </c>
      <c r="AJ11" s="454">
        <v>1.3707099609375</v>
      </c>
      <c r="AK11" s="454">
        <v>1.3574300537109374</v>
      </c>
      <c r="AL11" s="454">
        <v>1.3817600097656251</v>
      </c>
      <c r="AM11" s="454">
        <v>1.5015000000000001</v>
      </c>
      <c r="AN11" s="454">
        <v>1.814449951171875</v>
      </c>
      <c r="AO11" s="454">
        <v>2.1924999999999999</v>
      </c>
      <c r="AP11" s="454">
        <v>3.0186599999999997</v>
      </c>
      <c r="AQ11" s="454">
        <v>3.5215699999999996</v>
      </c>
      <c r="AR11" s="454">
        <v>4.6094999999999997</v>
      </c>
      <c r="AS11" s="454">
        <v>11.28565</v>
      </c>
      <c r="AT11" s="455">
        <v>44.913250000000005</v>
      </c>
      <c r="AU11" s="454">
        <v>218.98577000000003</v>
      </c>
      <c r="AV11" s="455">
        <f>($AX11-$AU11)/3+AU11</f>
        <v>278.39737000000002</v>
      </c>
      <c r="AW11" s="455">
        <f>($AX11-$AU11)/3+AV11</f>
        <v>337.80897000000004</v>
      </c>
      <c r="AX11" s="454">
        <v>397.22057000000001</v>
      </c>
      <c r="AY11" s="454">
        <v>687.39930000000004</v>
      </c>
      <c r="AZ11" s="454">
        <v>1005.4160000000001</v>
      </c>
      <c r="BA11" s="454">
        <v>1450.663</v>
      </c>
      <c r="BB11" s="454">
        <v>2204.143</v>
      </c>
      <c r="BC11" s="454">
        <v>2962.2629999999999</v>
      </c>
      <c r="BD11" s="454">
        <v>3653.15</v>
      </c>
      <c r="BE11" s="456">
        <f t="shared" ref="BE11:BO11" ca="1" si="3">BE12+BE130+BE131+BE50+BE19-BE25-BE26-BE27</f>
        <v>3962.1551584685476</v>
      </c>
      <c r="BF11" s="456">
        <f t="shared" ca="1" si="3"/>
        <v>4205.8611995441761</v>
      </c>
      <c r="BG11" s="456">
        <f t="shared" ca="1" si="3"/>
        <v>4448.0726407414541</v>
      </c>
      <c r="BH11" s="456">
        <f t="shared" ca="1" si="3"/>
        <v>4671.6799569198638</v>
      </c>
      <c r="BI11" s="456">
        <f t="shared" ca="1" si="3"/>
        <v>4892.411127094063</v>
      </c>
      <c r="BJ11" s="456">
        <f t="shared" ca="1" si="3"/>
        <v>5111.1796367423613</v>
      </c>
      <c r="BK11" s="456">
        <f t="shared" ca="1" si="3"/>
        <v>5344.0485094053001</v>
      </c>
      <c r="BL11" s="456">
        <f t="shared" ca="1" si="3"/>
        <v>5585.720730621485</v>
      </c>
      <c r="BM11" s="456">
        <f t="shared" ca="1" si="3"/>
        <v>5833.8287488556443</v>
      </c>
      <c r="BN11" s="456">
        <f t="shared" ca="1" si="3"/>
        <v>6091.1149197420846</v>
      </c>
      <c r="BO11" s="456">
        <f t="shared" ca="1" si="3"/>
        <v>6354.4707565026447</v>
      </c>
      <c r="BP11" s="457"/>
      <c r="BQ11" s="448">
        <f t="shared" ref="BQ11:CB14" si="4">+BD11-CD11</f>
        <v>0</v>
      </c>
      <c r="BR11" s="448">
        <f t="shared" ca="1" si="4"/>
        <v>0</v>
      </c>
      <c r="BS11" s="448">
        <f t="shared" ca="1" si="4"/>
        <v>-7.2759576141834259E-12</v>
      </c>
      <c r="BT11" s="448">
        <f t="shared" ca="1" si="4"/>
        <v>-8.3673512563109398E-11</v>
      </c>
      <c r="BU11" s="448">
        <f t="shared" ca="1" si="4"/>
        <v>-9.7043084679171443E-10</v>
      </c>
      <c r="BV11" s="448">
        <f t="shared" ca="1" si="4"/>
        <v>-8.288225217256695E-9</v>
      </c>
      <c r="BW11" s="448">
        <f t="shared" ca="1" si="4"/>
        <v>-5.5878444982226938E-8</v>
      </c>
      <c r="BX11" s="448">
        <f t="shared" ca="1" si="4"/>
        <v>-3.0822320695733652E-7</v>
      </c>
      <c r="BY11" s="448">
        <f t="shared" ca="1" si="4"/>
        <v>-1.4337574612000026E-6</v>
      </c>
      <c r="BZ11" s="448">
        <f t="shared" ca="1" si="4"/>
        <v>-5.7663610277813859E-6</v>
      </c>
      <c r="CA11" s="448">
        <f t="shared" ca="1" si="4"/>
        <v>-2.0422976376721635E-5</v>
      </c>
      <c r="CB11" s="448">
        <f t="shared" ca="1" si="4"/>
        <v>-6.5139316575368866E-5</v>
      </c>
      <c r="CD11" s="439">
        <v>3653.15</v>
      </c>
      <c r="CE11" s="439">
        <v>3962.1551584685476</v>
      </c>
      <c r="CF11" s="439">
        <v>4205.8611995441834</v>
      </c>
      <c r="CG11" s="439">
        <v>4448.0726407415377</v>
      </c>
      <c r="CH11" s="439">
        <v>4671.6799569208342</v>
      </c>
      <c r="CI11" s="439">
        <v>4892.4111271023512</v>
      </c>
      <c r="CJ11" s="439">
        <v>5111.1796367982397</v>
      </c>
      <c r="CK11" s="439">
        <v>5344.0485097135233</v>
      </c>
      <c r="CL11" s="439">
        <v>5585.7207320552425</v>
      </c>
      <c r="CM11" s="439">
        <v>5833.8287546220054</v>
      </c>
      <c r="CN11" s="439">
        <v>6091.1149401650609</v>
      </c>
      <c r="CO11" s="439">
        <v>6354.4708216419613</v>
      </c>
    </row>
    <row r="12" spans="1:93">
      <c r="A12" s="447" t="s">
        <v>882</v>
      </c>
      <c r="B12" s="447"/>
      <c r="C12" s="442" t="s">
        <v>1455</v>
      </c>
      <c r="D12" s="447" t="s">
        <v>3006</v>
      </c>
      <c r="E12" s="436" t="s">
        <v>883</v>
      </c>
      <c r="F12" s="454">
        <v>2.3600000000000003E-2</v>
      </c>
      <c r="G12" s="454">
        <v>2.52E-2</v>
      </c>
      <c r="H12" s="454">
        <v>2.8200000762939454E-2</v>
      </c>
      <c r="I12" s="454">
        <v>3.8599998474121093E-2</v>
      </c>
      <c r="J12" s="454">
        <v>3.9700000762939454E-2</v>
      </c>
      <c r="K12" s="454">
        <v>4.1099998474121095E-2</v>
      </c>
      <c r="L12" s="454">
        <v>4.5599998474121092E-2</v>
      </c>
      <c r="M12" s="454">
        <v>4.9099998474121095E-2</v>
      </c>
      <c r="N12" s="454">
        <v>5.5700000762939454E-2</v>
      </c>
      <c r="O12" s="454">
        <v>6.3400001525878907E-2</v>
      </c>
      <c r="P12" s="454">
        <v>0.12059999847412109</v>
      </c>
      <c r="Q12" s="454">
        <v>0.12730000305175782</v>
      </c>
      <c r="R12" s="454">
        <v>9.6000000000000002E-2</v>
      </c>
      <c r="S12" s="454">
        <v>7.7699996948242187E-2</v>
      </c>
      <c r="T12" s="454">
        <v>8.190000152587891E-2</v>
      </c>
      <c r="U12" s="454">
        <v>6.9099998474121099E-2</v>
      </c>
      <c r="V12" s="454">
        <v>6.9099998474121099E-2</v>
      </c>
      <c r="W12" s="454">
        <v>7.6999999999999999E-2</v>
      </c>
      <c r="X12" s="454">
        <v>0.09</v>
      </c>
      <c r="Y12" s="454">
        <v>0.115</v>
      </c>
      <c r="Z12" s="454">
        <v>0.20200000000000001</v>
      </c>
      <c r="AA12" s="454">
        <v>0.27520001220703127</v>
      </c>
      <c r="AB12" s="454">
        <v>0.16089999389648438</v>
      </c>
      <c r="AC12" s="454">
        <v>0.23910000610351562</v>
      </c>
      <c r="AD12" s="454">
        <v>0.21889999389648437</v>
      </c>
      <c r="AE12" s="454">
        <v>0.19950000000000001</v>
      </c>
      <c r="AF12" s="454">
        <v>0.29208999633789062</v>
      </c>
      <c r="AG12" s="454">
        <v>0.37942999267578126</v>
      </c>
      <c r="AH12" s="454">
        <v>0.32235998535156252</v>
      </c>
      <c r="AI12" s="454">
        <v>0.15617999267578125</v>
      </c>
      <c r="AJ12" s="454">
        <v>0.11880999755859376</v>
      </c>
      <c r="AK12" s="454">
        <v>0.14599999999999999</v>
      </c>
      <c r="AL12" s="454">
        <v>0.17299999999999999</v>
      </c>
      <c r="AM12" s="454">
        <v>0.17299999999999999</v>
      </c>
      <c r="AN12" s="454">
        <v>0.22</v>
      </c>
      <c r="AO12" s="454">
        <v>0.22260000610351563</v>
      </c>
      <c r="AP12" s="454">
        <v>0.56641999999999992</v>
      </c>
      <c r="AQ12" s="454">
        <v>0.71115000000000006</v>
      </c>
      <c r="AR12" s="454">
        <v>1.0469300000000001</v>
      </c>
      <c r="AS12" s="454">
        <v>2.2277999999999998</v>
      </c>
      <c r="AT12" s="454">
        <v>20.53877</v>
      </c>
      <c r="AU12" s="454">
        <v>32.773789999999998</v>
      </c>
      <c r="AV12" s="454">
        <v>134.96355000000003</v>
      </c>
      <c r="AW12" s="454">
        <v>103.71688</v>
      </c>
      <c r="AX12" s="454">
        <v>45.365000000000002</v>
      </c>
      <c r="AY12" s="454">
        <v>83.716999999999999</v>
      </c>
      <c r="AZ12" s="454">
        <v>117.077</v>
      </c>
      <c r="BA12" s="454">
        <v>441.81900000000002</v>
      </c>
      <c r="BB12" s="454">
        <v>490.44200000000001</v>
      </c>
      <c r="BC12" s="454">
        <v>674.33699999999999</v>
      </c>
      <c r="BD12" s="458">
        <f t="shared" ref="BD12:BO12" ca="1" si="5">BC12*(1+0.9*BC107/BC12*(BD107/BC107-1)+0.6*(BC182+BD182)/200)</f>
        <v>830.28404414727743</v>
      </c>
      <c r="BE12" s="458">
        <f ca="1">BD12*(1+0.9*BD107/BD12*(BE107/BD107-1)+0.6*(BD182+BE182)/200)</f>
        <v>921.09084535766044</v>
      </c>
      <c r="BF12" s="458">
        <f ca="1">BE12*(1+0.9*BE107/BE12*(BF107/BE107-1)+0.6*(BE182+BF182)/200)</f>
        <v>984.4726322683573</v>
      </c>
      <c r="BG12" s="458">
        <f t="shared" ca="1" si="5"/>
        <v>1038.9012445744745</v>
      </c>
      <c r="BH12" s="458">
        <f t="shared" ca="1" si="5"/>
        <v>1089.0451102530228</v>
      </c>
      <c r="BI12" s="458">
        <f t="shared" ca="1" si="5"/>
        <v>1136.1963563335037</v>
      </c>
      <c r="BJ12" s="458">
        <f t="shared" ca="1" si="5"/>
        <v>1182.1834859510313</v>
      </c>
      <c r="BK12" s="458">
        <f t="shared" ca="1" si="5"/>
        <v>1228.7736767668898</v>
      </c>
      <c r="BL12" s="458">
        <f t="shared" ca="1" si="5"/>
        <v>1277.215899064546</v>
      </c>
      <c r="BM12" s="458">
        <f t="shared" ca="1" si="5"/>
        <v>1327.0326943829584</v>
      </c>
      <c r="BN12" s="458">
        <f t="shared" ca="1" si="5"/>
        <v>1378.1729083223827</v>
      </c>
      <c r="BO12" s="458">
        <f t="shared" ca="1" si="5"/>
        <v>1430.6033917057016</v>
      </c>
      <c r="BP12" s="457"/>
      <c r="BQ12" s="448">
        <f t="shared" ca="1" si="4"/>
        <v>0</v>
      </c>
      <c r="BR12" s="448">
        <f t="shared" ca="1" si="4"/>
        <v>0</v>
      </c>
      <c r="BS12" s="448">
        <f t="shared" ca="1" si="4"/>
        <v>0</v>
      </c>
      <c r="BT12" s="448">
        <f t="shared" ca="1" si="4"/>
        <v>-5.4569682106375694E-12</v>
      </c>
      <c r="BU12" s="448">
        <f t="shared" ca="1" si="4"/>
        <v>-5.95719029661268E-11</v>
      </c>
      <c r="BV12" s="448">
        <f t="shared" ca="1" si="4"/>
        <v>-5.1340975915081799E-10</v>
      </c>
      <c r="BW12" s="448">
        <f t="shared" ca="1" si="4"/>
        <v>-3.5049652069574222E-9</v>
      </c>
      <c r="BX12" s="448">
        <f t="shared" ca="1" si="4"/>
        <v>-1.9608933143899776E-8</v>
      </c>
      <c r="BY12" s="448">
        <f t="shared" ca="1" si="4"/>
        <v>-9.2486970970639959E-8</v>
      </c>
      <c r="BZ12" s="448">
        <f t="shared" ca="1" si="4"/>
        <v>-3.7686936593672726E-7</v>
      </c>
      <c r="CA12" s="448">
        <f t="shared" ca="1" si="4"/>
        <v>-1.3516266790247755E-6</v>
      </c>
      <c r="CB12" s="448">
        <f t="shared" ca="1" si="4"/>
        <v>-4.3548911889956798E-6</v>
      </c>
      <c r="CD12" s="439">
        <v>830.28404414727743</v>
      </c>
      <c r="CE12" s="439">
        <v>921.09084535766044</v>
      </c>
      <c r="CF12" s="439">
        <v>984.47263226835798</v>
      </c>
      <c r="CG12" s="439">
        <v>1038.90124457448</v>
      </c>
      <c r="CH12" s="439">
        <v>1089.0451102530824</v>
      </c>
      <c r="CI12" s="439">
        <v>1136.1963563340171</v>
      </c>
      <c r="CJ12" s="439">
        <v>1182.1834859545363</v>
      </c>
      <c r="CK12" s="439">
        <v>1228.7736767864988</v>
      </c>
      <c r="CL12" s="439">
        <v>1277.2158991570329</v>
      </c>
      <c r="CM12" s="439">
        <v>1327.0326947598278</v>
      </c>
      <c r="CN12" s="439">
        <v>1378.1729096740094</v>
      </c>
      <c r="CO12" s="439">
        <v>1430.6033960605928</v>
      </c>
    </row>
    <row r="13" spans="1:93">
      <c r="A13" s="447" t="s">
        <v>884</v>
      </c>
      <c r="B13" s="447"/>
      <c r="C13" s="442" t="s">
        <v>1455</v>
      </c>
      <c r="D13" s="447" t="s">
        <v>3006</v>
      </c>
      <c r="E13" s="436" t="s">
        <v>885</v>
      </c>
      <c r="F13" s="454">
        <v>4.1500000000000002E-2</v>
      </c>
      <c r="G13" s="454">
        <v>4.3400000000000001E-2</v>
      </c>
      <c r="H13" s="454">
        <v>4.6439998626708986E-2</v>
      </c>
      <c r="I13" s="454">
        <v>5.241699981689453E-2</v>
      </c>
      <c r="J13" s="454">
        <v>5.6544998168945315E-2</v>
      </c>
      <c r="K13" s="454">
        <v>6.2349998474121093E-2</v>
      </c>
      <c r="L13" s="454">
        <v>6.665000152587891E-2</v>
      </c>
      <c r="M13" s="454">
        <v>6.7080001831054684E-2</v>
      </c>
      <c r="N13" s="454">
        <v>7.1165000915527341E-2</v>
      </c>
      <c r="O13" s="454">
        <v>7.6110000610351558E-2</v>
      </c>
      <c r="P13" s="454">
        <v>8.243099975585938E-2</v>
      </c>
      <c r="Q13" s="454">
        <v>8.608599853515625E-2</v>
      </c>
      <c r="R13" s="454">
        <v>9.8396003723144526E-2</v>
      </c>
      <c r="S13" s="454">
        <v>0.10769999694824219</v>
      </c>
      <c r="T13" s="454">
        <v>0.12057599639892579</v>
      </c>
      <c r="U13" s="454">
        <v>0.13096800231933595</v>
      </c>
      <c r="V13" s="454">
        <v>0.1467790069580078</v>
      </c>
      <c r="W13" s="454">
        <v>0.15624000549316405</v>
      </c>
      <c r="X13" s="454">
        <v>0.17239999389648439</v>
      </c>
      <c r="Y13" s="454">
        <v>0.192</v>
      </c>
      <c r="Z13" s="454">
        <v>0.2175</v>
      </c>
      <c r="AA13" s="454">
        <v>0.27389999389648439</v>
      </c>
      <c r="AB13" s="454">
        <v>0.32139999389648438</v>
      </c>
      <c r="AC13" s="454">
        <v>0.4126000061035156</v>
      </c>
      <c r="AD13" s="454">
        <v>0.49049999999999999</v>
      </c>
      <c r="AE13" s="454">
        <v>0.50420001220703126</v>
      </c>
      <c r="AF13" s="454">
        <v>0.60074401855468751</v>
      </c>
      <c r="AG13" s="454">
        <v>0.6944051513671875</v>
      </c>
      <c r="AH13" s="454">
        <v>0.77085192871093755</v>
      </c>
      <c r="AI13" s="454">
        <v>0.81893273925781251</v>
      </c>
      <c r="AJ13" s="454">
        <v>0.84596643066406252</v>
      </c>
      <c r="AK13" s="454">
        <v>0.8725950927734375</v>
      </c>
      <c r="AL13" s="454">
        <v>0.80781958007812504</v>
      </c>
      <c r="AM13" s="454">
        <v>0.71</v>
      </c>
      <c r="AN13" s="454">
        <v>0.747</v>
      </c>
      <c r="AO13" s="454">
        <v>0.80829998779296874</v>
      </c>
      <c r="AP13" s="454">
        <v>0.90961999999999998</v>
      </c>
      <c r="AQ13" s="454">
        <v>1.0680000000000001</v>
      </c>
      <c r="AR13" s="454">
        <v>1.3939999999999999</v>
      </c>
      <c r="AS13" s="454">
        <v>2.4820000000000002</v>
      </c>
      <c r="AT13" s="454">
        <v>15.302</v>
      </c>
      <c r="AU13" s="454">
        <v>65.677000000000007</v>
      </c>
      <c r="AV13" s="454">
        <v>100.84399999999999</v>
      </c>
      <c r="AW13" s="454">
        <v>133.77799999999999</v>
      </c>
      <c r="AX13" s="454">
        <v>159.37317000000002</v>
      </c>
      <c r="AY13" s="454">
        <v>286.04847999999998</v>
      </c>
      <c r="AZ13" s="454">
        <v>389.363</v>
      </c>
      <c r="BA13" s="454">
        <v>634.14369999999997</v>
      </c>
      <c r="BB13" s="454">
        <v>762.428</v>
      </c>
      <c r="BC13" s="454">
        <v>720.43700000000001</v>
      </c>
      <c r="BD13" s="458">
        <f t="shared" ref="BD13:BO13" ca="1" si="6">BC13*(1+0.015+0.75*(BC80)/100-0.9*(BD90-BC90)/100)*BD88/BC88</f>
        <v>976.9584693060566</v>
      </c>
      <c r="BE13" s="458">
        <f t="shared" ca="1" si="6"/>
        <v>1150.5737737888965</v>
      </c>
      <c r="BF13" s="458">
        <f t="shared" ca="1" si="6"/>
        <v>1263.2277133361993</v>
      </c>
      <c r="BG13" s="458">
        <f t="shared" ca="1" si="6"/>
        <v>1358.3189283626459</v>
      </c>
      <c r="BH13" s="458">
        <f t="shared" ca="1" si="6"/>
        <v>1448.570328736547</v>
      </c>
      <c r="BI13" s="458">
        <f t="shared" ca="1" si="6"/>
        <v>1536.4919664671588</v>
      </c>
      <c r="BJ13" s="458">
        <f t="shared" ca="1" si="6"/>
        <v>1624.8651488593648</v>
      </c>
      <c r="BK13" s="458">
        <f t="shared" ca="1" si="6"/>
        <v>1716.2777212651911</v>
      </c>
      <c r="BL13" s="458">
        <f t="shared" ca="1" si="6"/>
        <v>1812.7072236499828</v>
      </c>
      <c r="BM13" s="458">
        <f t="shared" ca="1" si="6"/>
        <v>1913.8688125191095</v>
      </c>
      <c r="BN13" s="458">
        <f t="shared" ca="1" si="6"/>
        <v>2019.9158007066144</v>
      </c>
      <c r="BO13" s="458">
        <f t="shared" ca="1" si="6"/>
        <v>2131.0157013679727</v>
      </c>
      <c r="BP13" s="457"/>
      <c r="BQ13" s="448">
        <f t="shared" ca="1" si="4"/>
        <v>0</v>
      </c>
      <c r="BR13" s="448">
        <f t="shared" ca="1" si="4"/>
        <v>0</v>
      </c>
      <c r="BS13" s="448">
        <f t="shared" ca="1" si="4"/>
        <v>0</v>
      </c>
      <c r="BT13" s="448">
        <f t="shared" ca="1" si="4"/>
        <v>-3.865352482534945E-12</v>
      </c>
      <c r="BU13" s="448">
        <f t="shared" ca="1" si="4"/>
        <v>-5.1159076974727213E-11</v>
      </c>
      <c r="BV13" s="448">
        <f t="shared" ca="1" si="4"/>
        <v>-4.6361492422875017E-10</v>
      </c>
      <c r="BW13" s="448">
        <f t="shared" ca="1" si="4"/>
        <v>-3.2991920306812972E-9</v>
      </c>
      <c r="BX13" s="448">
        <f t="shared" ca="1" si="4"/>
        <v>-1.915759639814496E-8</v>
      </c>
      <c r="BY13" s="448">
        <f t="shared" ca="1" si="4"/>
        <v>-9.3688186098006554E-8</v>
      </c>
      <c r="BZ13" s="448">
        <f t="shared" ca="1" si="4"/>
        <v>-3.9534029383503366E-7</v>
      </c>
      <c r="CA13" s="448">
        <f t="shared" ca="1" si="4"/>
        <v>-1.4665874914499E-6</v>
      </c>
      <c r="CB13" s="448">
        <f t="shared" ca="1" si="4"/>
        <v>-4.8771166802907828E-6</v>
      </c>
      <c r="CD13" s="439">
        <v>976.9584693060566</v>
      </c>
      <c r="CE13" s="439">
        <v>1150.5737737888965</v>
      </c>
      <c r="CF13" s="439">
        <v>1263.2277133361993</v>
      </c>
      <c r="CG13" s="439">
        <v>1358.3189283626498</v>
      </c>
      <c r="CH13" s="439">
        <v>1448.5703287365982</v>
      </c>
      <c r="CI13" s="439">
        <v>1536.4919664676224</v>
      </c>
      <c r="CJ13" s="439">
        <v>1624.865148862664</v>
      </c>
      <c r="CK13" s="439">
        <v>1716.2777212843487</v>
      </c>
      <c r="CL13" s="439">
        <v>1812.707223743671</v>
      </c>
      <c r="CM13" s="439">
        <v>1913.8688129144498</v>
      </c>
      <c r="CN13" s="439">
        <v>2019.9158021732019</v>
      </c>
      <c r="CO13" s="439">
        <v>2131.0157062450894</v>
      </c>
    </row>
    <row r="14" spans="1:93">
      <c r="A14" s="447" t="s">
        <v>886</v>
      </c>
      <c r="B14" s="447"/>
      <c r="C14" s="442" t="s">
        <v>1455</v>
      </c>
      <c r="D14" s="447" t="s">
        <v>3006</v>
      </c>
      <c r="E14" s="436" t="s">
        <v>887</v>
      </c>
      <c r="F14" s="454">
        <v>8.0999999999999996E-3</v>
      </c>
      <c r="G14" s="454">
        <v>9.4000000000000004E-3</v>
      </c>
      <c r="H14" s="454">
        <v>1.0800000190734863E-2</v>
      </c>
      <c r="I14" s="454">
        <v>1.2500000000000001E-2</v>
      </c>
      <c r="J14" s="454">
        <v>1.2899999618530273E-2</v>
      </c>
      <c r="K14" s="454">
        <v>1.4E-2</v>
      </c>
      <c r="L14" s="454">
        <v>1.4999999999999999E-2</v>
      </c>
      <c r="M14" s="454">
        <v>0.02</v>
      </c>
      <c r="N14" s="454">
        <v>2.0500000000000001E-2</v>
      </c>
      <c r="O14" s="454">
        <v>2.1700000762939452E-2</v>
      </c>
      <c r="P14" s="454">
        <v>2.4100000381469727E-2</v>
      </c>
      <c r="Q14" s="454">
        <v>2.7899999618530274E-2</v>
      </c>
      <c r="R14" s="454">
        <v>3.4236259460449218E-2</v>
      </c>
      <c r="S14" s="454">
        <v>4.0149082183837892E-2</v>
      </c>
      <c r="T14" s="454">
        <v>4.3782920837402345E-2</v>
      </c>
      <c r="U14" s="454">
        <v>4.7741664886474612E-2</v>
      </c>
      <c r="V14" s="454">
        <v>5.110216522216797E-2</v>
      </c>
      <c r="W14" s="454">
        <v>5.5593360900878908E-2</v>
      </c>
      <c r="X14" s="454">
        <v>5.9400001525878904E-2</v>
      </c>
      <c r="Y14" s="454">
        <v>6.9000000000000006E-2</v>
      </c>
      <c r="Z14" s="454">
        <v>8.5000000000000006E-2</v>
      </c>
      <c r="AA14" s="454">
        <v>9.0959999084472651E-2</v>
      </c>
      <c r="AB14" s="454">
        <v>0.11237000274658203</v>
      </c>
      <c r="AC14" s="454">
        <v>0.13410000610351563</v>
      </c>
      <c r="AD14" s="454">
        <v>0.14561999511718751</v>
      </c>
      <c r="AE14" s="454">
        <v>0.16836000061035156</v>
      </c>
      <c r="AF14" s="454">
        <v>0.17158000183105468</v>
      </c>
      <c r="AG14" s="454">
        <v>0.18639999389648437</v>
      </c>
      <c r="AH14" s="454">
        <v>0.18233000183105469</v>
      </c>
      <c r="AI14" s="454">
        <v>0.18247000122070312</v>
      </c>
      <c r="AJ14" s="454">
        <v>0.17297000122070313</v>
      </c>
      <c r="AK14" s="454">
        <v>0.1745500030517578</v>
      </c>
      <c r="AL14" s="454">
        <v>0.18074999999999999</v>
      </c>
      <c r="AM14" s="454">
        <v>0.188</v>
      </c>
      <c r="AN14" s="454">
        <v>0.186</v>
      </c>
      <c r="AO14" s="454">
        <v>0.28720001220703123</v>
      </c>
      <c r="AP14" s="454">
        <v>0.34073000000000003</v>
      </c>
      <c r="AQ14" s="454">
        <v>0.46747000000000005</v>
      </c>
      <c r="AR14" s="454">
        <v>0.63603999999999994</v>
      </c>
      <c r="AS14" s="454">
        <v>1.4209499999999999</v>
      </c>
      <c r="AT14" s="454">
        <v>6.97905</v>
      </c>
      <c r="AU14" s="454">
        <v>22.00149</v>
      </c>
      <c r="AV14" s="454">
        <v>76.643240000000006</v>
      </c>
      <c r="AW14" s="454">
        <v>85.684420000000003</v>
      </c>
      <c r="AX14" s="454">
        <v>100.68707000000001</v>
      </c>
      <c r="AY14" s="454">
        <v>170.74192000000002</v>
      </c>
      <c r="AZ14" s="454">
        <v>261.09005999999999</v>
      </c>
      <c r="BA14" s="458">
        <f t="shared" ref="BA14:BO14" ca="1" si="7">0.27*BA147</f>
        <v>387.32612842106619</v>
      </c>
      <c r="BB14" s="458">
        <f t="shared" ca="1" si="7"/>
        <v>400.0616276565566</v>
      </c>
      <c r="BC14" s="458">
        <f t="shared" ca="1" si="7"/>
        <v>488.63715711766673</v>
      </c>
      <c r="BD14" s="458">
        <f t="shared" ca="1" si="7"/>
        <v>614.55889922647759</v>
      </c>
      <c r="BE14" s="458">
        <f t="shared" ca="1" si="7"/>
        <v>707.60328795834107</v>
      </c>
      <c r="BF14" s="458">
        <f t="shared" ca="1" si="7"/>
        <v>790.5043078508445</v>
      </c>
      <c r="BG14" s="458">
        <f t="shared" ca="1" si="7"/>
        <v>866.00583789588597</v>
      </c>
      <c r="BH14" s="458">
        <f t="shared" ca="1" si="7"/>
        <v>936.0223020324363</v>
      </c>
      <c r="BI14" s="458">
        <f t="shared" ca="1" si="7"/>
        <v>1001.7376908819314</v>
      </c>
      <c r="BJ14" s="458">
        <f t="shared" ca="1" si="7"/>
        <v>1064.1711895230515</v>
      </c>
      <c r="BK14" s="458">
        <f t="shared" ca="1" si="7"/>
        <v>1124.3626967388047</v>
      </c>
      <c r="BL14" s="458">
        <f t="shared" ca="1" si="7"/>
        <v>1183.3078185008317</v>
      </c>
      <c r="BM14" s="458">
        <f t="shared" ca="1" si="7"/>
        <v>1241.5964087582386</v>
      </c>
      <c r="BN14" s="458">
        <f t="shared" ca="1" si="7"/>
        <v>1299.6614229273011</v>
      </c>
      <c r="BO14" s="458">
        <f t="shared" ca="1" si="7"/>
        <v>1357.827766441043</v>
      </c>
      <c r="BP14" s="457"/>
      <c r="BQ14" s="448">
        <f t="shared" ca="1" si="4"/>
        <v>0</v>
      </c>
      <c r="BR14" s="448">
        <f t="shared" ca="1" si="4"/>
        <v>0</v>
      </c>
      <c r="BS14" s="448">
        <f t="shared" ca="1" si="4"/>
        <v>0</v>
      </c>
      <c r="BT14" s="448">
        <f t="shared" ca="1" si="4"/>
        <v>-2.0463630789890885E-12</v>
      </c>
      <c r="BU14" s="448">
        <f t="shared" ca="1" si="4"/>
        <v>-2.3987922759260982E-11</v>
      </c>
      <c r="BV14" s="448">
        <f t="shared" ca="1" si="4"/>
        <v>-2.135038812411949E-10</v>
      </c>
      <c r="BW14" s="448">
        <f t="shared" ca="1" si="4"/>
        <v>-1.4756551536265761E-9</v>
      </c>
      <c r="BX14" s="448">
        <f t="shared" ca="1" si="4"/>
        <v>-8.2013684732373804E-9</v>
      </c>
      <c r="BY14" s="448">
        <f t="shared" ca="1" si="4"/>
        <v>-3.7832251109648496E-8</v>
      </c>
      <c r="BZ14" s="448">
        <f t="shared" ca="1" si="4"/>
        <v>-1.4878060028422624E-7</v>
      </c>
      <c r="CA14" s="448">
        <f t="shared" ca="1" si="4"/>
        <v>-5.0794233175111003E-7</v>
      </c>
      <c r="CB14" s="448">
        <f t="shared" ca="1" si="4"/>
        <v>-1.5391831311717397E-6</v>
      </c>
      <c r="CD14" s="439">
        <v>614.55889922647759</v>
      </c>
      <c r="CE14" s="439">
        <v>707.60328795834107</v>
      </c>
      <c r="CF14" s="439">
        <v>790.50430785084461</v>
      </c>
      <c r="CG14" s="439">
        <v>866.00583789588802</v>
      </c>
      <c r="CH14" s="439">
        <v>936.02230203246029</v>
      </c>
      <c r="CI14" s="439">
        <v>1001.7376908821449</v>
      </c>
      <c r="CJ14" s="439">
        <v>1064.1711895245271</v>
      </c>
      <c r="CK14" s="439">
        <v>1124.3626967470061</v>
      </c>
      <c r="CL14" s="439">
        <v>1183.3078185386639</v>
      </c>
      <c r="CM14" s="439">
        <v>1241.5964089070192</v>
      </c>
      <c r="CN14" s="439">
        <v>1299.6614234352435</v>
      </c>
      <c r="CO14" s="439">
        <v>1357.8277679802261</v>
      </c>
    </row>
    <row r="15" spans="1:93">
      <c r="A15" s="447" t="s">
        <v>878</v>
      </c>
      <c r="B15" s="447"/>
      <c r="C15" s="442" t="s">
        <v>1344</v>
      </c>
      <c r="D15" s="447"/>
      <c r="E15" s="436"/>
      <c r="F15" s="436" t="s">
        <v>1344</v>
      </c>
      <c r="G15" s="436" t="s">
        <v>1344</v>
      </c>
      <c r="H15" s="436" t="s">
        <v>1344</v>
      </c>
      <c r="I15" s="436" t="s">
        <v>1344</v>
      </c>
      <c r="J15" s="436" t="s">
        <v>1344</v>
      </c>
      <c r="K15" s="436" t="s">
        <v>1344</v>
      </c>
      <c r="L15" s="436" t="s">
        <v>1344</v>
      </c>
      <c r="M15" s="436" t="s">
        <v>1344</v>
      </c>
      <c r="N15" s="436" t="s">
        <v>1344</v>
      </c>
      <c r="O15" s="436" t="s">
        <v>1344</v>
      </c>
      <c r="P15" s="436" t="s">
        <v>1344</v>
      </c>
      <c r="Q15" s="436" t="s">
        <v>1344</v>
      </c>
      <c r="R15" s="436" t="s">
        <v>1344</v>
      </c>
      <c r="S15" s="436" t="s">
        <v>1344</v>
      </c>
      <c r="T15" s="436" t="s">
        <v>1344</v>
      </c>
      <c r="U15" s="436" t="s">
        <v>1344</v>
      </c>
      <c r="V15" s="436" t="s">
        <v>1344</v>
      </c>
      <c r="W15" s="436" t="s">
        <v>1344</v>
      </c>
      <c r="X15" s="436" t="s">
        <v>1344</v>
      </c>
      <c r="Y15" s="436" t="s">
        <v>1344</v>
      </c>
      <c r="Z15" s="436" t="s">
        <v>1344</v>
      </c>
      <c r="AA15" s="436" t="s">
        <v>1344</v>
      </c>
      <c r="AB15" s="436" t="s">
        <v>1344</v>
      </c>
      <c r="AC15" s="436" t="s">
        <v>1344</v>
      </c>
      <c r="AD15" s="436" t="s">
        <v>1344</v>
      </c>
      <c r="AE15" s="436" t="s">
        <v>1344</v>
      </c>
      <c r="AF15" s="436" t="s">
        <v>1344</v>
      </c>
      <c r="AG15" s="436" t="s">
        <v>1344</v>
      </c>
      <c r="AH15" s="436" t="s">
        <v>1344</v>
      </c>
      <c r="AI15" s="436" t="s">
        <v>1344</v>
      </c>
      <c r="AJ15" s="436" t="s">
        <v>1344</v>
      </c>
      <c r="AK15" s="436" t="s">
        <v>1344</v>
      </c>
      <c r="AL15" s="436" t="s">
        <v>1344</v>
      </c>
      <c r="AM15" s="436" t="s">
        <v>1344</v>
      </c>
      <c r="AN15" s="436" t="s">
        <v>1344</v>
      </c>
      <c r="AO15" s="436" t="s">
        <v>1344</v>
      </c>
      <c r="AP15" s="436" t="s">
        <v>1344</v>
      </c>
      <c r="AQ15" s="436" t="s">
        <v>1344</v>
      </c>
      <c r="AR15" s="436" t="s">
        <v>1344</v>
      </c>
      <c r="AS15" s="436" t="s">
        <v>1344</v>
      </c>
      <c r="AT15" s="436" t="s">
        <v>1344</v>
      </c>
      <c r="AU15" s="436" t="s">
        <v>1344</v>
      </c>
      <c r="AV15" s="436" t="s">
        <v>1344</v>
      </c>
      <c r="AW15" s="436" t="s">
        <v>1344</v>
      </c>
      <c r="AX15" s="436" t="s">
        <v>1344</v>
      </c>
      <c r="AY15" s="436" t="s">
        <v>1344</v>
      </c>
      <c r="AZ15" s="436" t="s">
        <v>1344</v>
      </c>
      <c r="BA15" s="436" t="s">
        <v>1344</v>
      </c>
      <c r="BB15" s="436" t="s">
        <v>1344</v>
      </c>
      <c r="BC15" s="436" t="s">
        <v>1344</v>
      </c>
      <c r="BD15" s="436" t="s">
        <v>1344</v>
      </c>
      <c r="BE15" s="436" t="s">
        <v>1344</v>
      </c>
      <c r="BF15" s="436" t="s">
        <v>1344</v>
      </c>
      <c r="BG15" s="436" t="s">
        <v>1344</v>
      </c>
      <c r="BH15" s="436" t="s">
        <v>1344</v>
      </c>
      <c r="BI15" s="436" t="s">
        <v>1344</v>
      </c>
      <c r="BJ15" s="436" t="s">
        <v>1344</v>
      </c>
      <c r="BK15" s="436" t="s">
        <v>1344</v>
      </c>
      <c r="BL15" s="436" t="s">
        <v>1344</v>
      </c>
      <c r="BM15" s="436" t="s">
        <v>1344</v>
      </c>
      <c r="BN15" s="436" t="s">
        <v>1344</v>
      </c>
      <c r="BO15" s="436" t="s">
        <v>1344</v>
      </c>
      <c r="BP15" s="436"/>
      <c r="BQ15" s="436" t="s">
        <v>1344</v>
      </c>
      <c r="BR15" s="436" t="s">
        <v>1344</v>
      </c>
      <c r="BS15" s="436" t="s">
        <v>1344</v>
      </c>
      <c r="BT15" s="436" t="s">
        <v>1344</v>
      </c>
      <c r="BU15" s="436" t="s">
        <v>1344</v>
      </c>
      <c r="BV15" s="436" t="s">
        <v>1344</v>
      </c>
      <c r="BW15" s="436" t="s">
        <v>1344</v>
      </c>
      <c r="BX15" s="436" t="s">
        <v>1344</v>
      </c>
      <c r="BY15" s="436" t="s">
        <v>1344</v>
      </c>
      <c r="BZ15" s="436" t="s">
        <v>1344</v>
      </c>
      <c r="CA15" s="436" t="s">
        <v>1344</v>
      </c>
      <c r="CB15" s="436" t="s">
        <v>1344</v>
      </c>
      <c r="CC15" s="436"/>
      <c r="CD15" s="439" t="s">
        <v>1344</v>
      </c>
      <c r="CE15" s="439" t="s">
        <v>1344</v>
      </c>
      <c r="CF15" s="439" t="s">
        <v>1344</v>
      </c>
      <c r="CG15" s="439" t="s">
        <v>1344</v>
      </c>
      <c r="CH15" s="439" t="s">
        <v>1344</v>
      </c>
      <c r="CI15" s="439" t="s">
        <v>1344</v>
      </c>
      <c r="CJ15" s="439" t="s">
        <v>1344</v>
      </c>
      <c r="CK15" s="439" t="s">
        <v>1344</v>
      </c>
      <c r="CL15" s="439" t="s">
        <v>1344</v>
      </c>
      <c r="CM15" s="439" t="s">
        <v>1344</v>
      </c>
      <c r="CN15" s="439" t="s">
        <v>1344</v>
      </c>
      <c r="CO15" s="439" t="s">
        <v>1344</v>
      </c>
    </row>
    <row r="16" spans="1:93">
      <c r="A16" s="447" t="s">
        <v>888</v>
      </c>
      <c r="B16" s="447"/>
      <c r="C16" s="442" t="s">
        <v>1344</v>
      </c>
      <c r="D16" s="447"/>
      <c r="E16" s="43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</row>
    <row r="17" spans="1:93">
      <c r="A17" s="447" t="s">
        <v>878</v>
      </c>
      <c r="B17" s="447"/>
      <c r="C17" s="442" t="s">
        <v>1344</v>
      </c>
      <c r="D17" s="447"/>
      <c r="E17" s="436"/>
      <c r="F17" s="436" t="s">
        <v>1344</v>
      </c>
      <c r="G17" s="436" t="s">
        <v>1344</v>
      </c>
      <c r="H17" s="436" t="s">
        <v>1344</v>
      </c>
      <c r="I17" s="436" t="s">
        <v>1344</v>
      </c>
      <c r="J17" s="436" t="s">
        <v>1344</v>
      </c>
      <c r="K17" s="436" t="s">
        <v>1344</v>
      </c>
      <c r="L17" s="436" t="s">
        <v>1344</v>
      </c>
      <c r="M17" s="436" t="s">
        <v>1344</v>
      </c>
      <c r="N17" s="436" t="s">
        <v>1344</v>
      </c>
      <c r="O17" s="436" t="s">
        <v>1344</v>
      </c>
      <c r="P17" s="436" t="s">
        <v>1344</v>
      </c>
      <c r="Q17" s="436" t="s">
        <v>1344</v>
      </c>
      <c r="R17" s="436" t="s">
        <v>1344</v>
      </c>
      <c r="S17" s="436" t="s">
        <v>1344</v>
      </c>
      <c r="T17" s="436" t="s">
        <v>1344</v>
      </c>
      <c r="U17" s="436" t="s">
        <v>1344</v>
      </c>
      <c r="V17" s="436" t="s">
        <v>1344</v>
      </c>
      <c r="W17" s="436" t="s">
        <v>1344</v>
      </c>
      <c r="X17" s="436" t="s">
        <v>1344</v>
      </c>
      <c r="Y17" s="436" t="s">
        <v>1344</v>
      </c>
      <c r="Z17" s="436" t="s">
        <v>1344</v>
      </c>
      <c r="AA17" s="436" t="s">
        <v>1344</v>
      </c>
      <c r="AB17" s="436" t="s">
        <v>1344</v>
      </c>
      <c r="AC17" s="436" t="s">
        <v>1344</v>
      </c>
      <c r="AD17" s="436" t="s">
        <v>1344</v>
      </c>
      <c r="AE17" s="436" t="s">
        <v>1344</v>
      </c>
      <c r="AF17" s="436" t="s">
        <v>1344</v>
      </c>
      <c r="AG17" s="436" t="s">
        <v>1344</v>
      </c>
      <c r="AH17" s="436" t="s">
        <v>1344</v>
      </c>
      <c r="AI17" s="436" t="s">
        <v>1344</v>
      </c>
      <c r="AJ17" s="436" t="s">
        <v>1344</v>
      </c>
      <c r="AK17" s="436" t="s">
        <v>1344</v>
      </c>
      <c r="AL17" s="436" t="s">
        <v>1344</v>
      </c>
      <c r="AM17" s="436" t="s">
        <v>1344</v>
      </c>
      <c r="AN17" s="436" t="s">
        <v>1344</v>
      </c>
      <c r="AO17" s="436" t="s">
        <v>1344</v>
      </c>
      <c r="AP17" s="436" t="s">
        <v>1344</v>
      </c>
      <c r="AQ17" s="436" t="s">
        <v>1344</v>
      </c>
      <c r="AR17" s="436" t="s">
        <v>1344</v>
      </c>
      <c r="AS17" s="436" t="s">
        <v>1344</v>
      </c>
      <c r="AT17" s="436" t="s">
        <v>1344</v>
      </c>
      <c r="AU17" s="436" t="s">
        <v>1344</v>
      </c>
      <c r="AV17" s="436" t="s">
        <v>1344</v>
      </c>
      <c r="AW17" s="436" t="s">
        <v>1344</v>
      </c>
      <c r="AX17" s="436" t="s">
        <v>1344</v>
      </c>
      <c r="AY17" s="436" t="s">
        <v>1344</v>
      </c>
      <c r="AZ17" s="436" t="s">
        <v>1344</v>
      </c>
      <c r="BA17" s="436" t="s">
        <v>1344</v>
      </c>
      <c r="BB17" s="436" t="s">
        <v>1344</v>
      </c>
      <c r="BC17" s="436" t="s">
        <v>1344</v>
      </c>
      <c r="BD17" s="436" t="s">
        <v>1344</v>
      </c>
      <c r="BE17" s="436" t="s">
        <v>1344</v>
      </c>
      <c r="BF17" s="436" t="s">
        <v>1344</v>
      </c>
      <c r="BG17" s="436" t="s">
        <v>1344</v>
      </c>
      <c r="BH17" s="436" t="s">
        <v>1344</v>
      </c>
      <c r="BI17" s="436" t="s">
        <v>1344</v>
      </c>
      <c r="BJ17" s="436" t="s">
        <v>1344</v>
      </c>
      <c r="BK17" s="436" t="s">
        <v>1344</v>
      </c>
      <c r="BL17" s="436" t="s">
        <v>1344</v>
      </c>
      <c r="BM17" s="436" t="s">
        <v>1344</v>
      </c>
      <c r="BN17" s="436" t="s">
        <v>1344</v>
      </c>
      <c r="BO17" s="436" t="s">
        <v>1344</v>
      </c>
      <c r="BP17" s="436"/>
      <c r="BQ17" s="436" t="s">
        <v>1344</v>
      </c>
      <c r="BR17" s="436" t="s">
        <v>1344</v>
      </c>
      <c r="BS17" s="436" t="s">
        <v>1344</v>
      </c>
      <c r="BT17" s="436" t="s">
        <v>1344</v>
      </c>
      <c r="BU17" s="436" t="s">
        <v>1344</v>
      </c>
      <c r="BV17" s="436" t="s">
        <v>1344</v>
      </c>
      <c r="BW17" s="436" t="s">
        <v>1344</v>
      </c>
      <c r="BX17" s="436" t="s">
        <v>1344</v>
      </c>
      <c r="BY17" s="436" t="s">
        <v>1344</v>
      </c>
      <c r="BZ17" s="436" t="s">
        <v>1344</v>
      </c>
      <c r="CA17" s="436" t="s">
        <v>1344</v>
      </c>
      <c r="CB17" s="436" t="s">
        <v>1344</v>
      </c>
      <c r="CC17" s="436"/>
      <c r="CD17" s="439" t="s">
        <v>1344</v>
      </c>
      <c r="CE17" s="439" t="s">
        <v>1344</v>
      </c>
      <c r="CF17" s="439" t="s">
        <v>1344</v>
      </c>
      <c r="CG17" s="439" t="s">
        <v>1344</v>
      </c>
      <c r="CH17" s="439" t="s">
        <v>1344</v>
      </c>
      <c r="CI17" s="439" t="s">
        <v>1344</v>
      </c>
      <c r="CJ17" s="439" t="s">
        <v>1344</v>
      </c>
      <c r="CK17" s="439" t="s">
        <v>1344</v>
      </c>
      <c r="CL17" s="439" t="s">
        <v>1344</v>
      </c>
      <c r="CM17" s="439" t="s">
        <v>1344</v>
      </c>
      <c r="CN17" s="439" t="s">
        <v>1344</v>
      </c>
      <c r="CO17" s="439" t="s">
        <v>1344</v>
      </c>
    </row>
    <row r="18" spans="1:93">
      <c r="A18" s="459" t="s">
        <v>889</v>
      </c>
      <c r="B18" s="459"/>
      <c r="C18" s="442" t="s">
        <v>1344</v>
      </c>
      <c r="D18" s="459"/>
      <c r="E18" s="460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  <c r="AI18" s="438"/>
      <c r="AJ18" s="438"/>
      <c r="AK18" s="438"/>
      <c r="AL18" s="438"/>
      <c r="AM18" s="438"/>
      <c r="AN18" s="438"/>
      <c r="AO18" s="438"/>
      <c r="AP18" s="438"/>
      <c r="AQ18" s="438"/>
      <c r="AR18" s="438"/>
      <c r="AS18" s="438"/>
      <c r="AT18" s="438"/>
      <c r="AU18" s="438"/>
      <c r="AV18" s="438"/>
      <c r="AW18" s="438"/>
      <c r="AX18" s="438"/>
      <c r="AY18" s="438"/>
      <c r="AZ18" s="438"/>
      <c r="BE18" s="438"/>
      <c r="BF18" s="438"/>
      <c r="BG18" s="438"/>
      <c r="BH18" s="438"/>
      <c r="BI18" s="438"/>
      <c r="BJ18" s="438"/>
      <c r="BK18" s="438"/>
      <c r="BL18" s="438"/>
      <c r="BM18" s="438"/>
      <c r="BN18" s="438"/>
      <c r="BO18" s="438"/>
      <c r="BQ18" s="438"/>
      <c r="BR18" s="438"/>
      <c r="BS18" s="438"/>
      <c r="BT18" s="438"/>
      <c r="BU18" s="438"/>
      <c r="BV18" s="438"/>
      <c r="BW18" s="438"/>
      <c r="BX18" s="438"/>
      <c r="BY18" s="438"/>
      <c r="BZ18" s="438"/>
      <c r="CA18" s="438"/>
      <c r="CB18" s="438"/>
      <c r="CC18" s="438"/>
    </row>
    <row r="19" spans="1:93">
      <c r="A19" s="447" t="s">
        <v>890</v>
      </c>
      <c r="B19" s="447"/>
      <c r="C19" s="442" t="s">
        <v>1455</v>
      </c>
      <c r="D19" s="447" t="s">
        <v>3006</v>
      </c>
      <c r="E19" s="436" t="s">
        <v>891</v>
      </c>
      <c r="F19" s="454">
        <v>6.2299999999999994E-2</v>
      </c>
      <c r="G19" s="454">
        <v>5.7500000000000002E-2</v>
      </c>
      <c r="H19" s="454">
        <v>6.9500000000000006E-2</v>
      </c>
      <c r="I19" s="454">
        <v>7.8E-2</v>
      </c>
      <c r="J19" s="454">
        <v>7.3099998474121089E-2</v>
      </c>
      <c r="K19" s="454">
        <v>0.09</v>
      </c>
      <c r="L19" s="454">
        <v>9.8099998474121097E-2</v>
      </c>
      <c r="M19" s="454">
        <v>9.4400001525878907E-2</v>
      </c>
      <c r="N19" s="454">
        <v>9.5300003051757814E-2</v>
      </c>
      <c r="O19" s="454">
        <v>0.1045</v>
      </c>
      <c r="P19" s="454">
        <v>0.10880000305175781</v>
      </c>
      <c r="Q19" s="454">
        <v>0.13219999694824219</v>
      </c>
      <c r="R19" s="454">
        <v>0.19550000000000001</v>
      </c>
      <c r="S19" s="454">
        <v>0.22380000305175782</v>
      </c>
      <c r="T19" s="454">
        <v>0.24519999694824218</v>
      </c>
      <c r="U19" s="454">
        <v>0.27970001220703122</v>
      </c>
      <c r="V19" s="454">
        <v>0.29360000610351561</v>
      </c>
      <c r="W19" s="454">
        <v>0.34010000610351565</v>
      </c>
      <c r="X19" s="454">
        <v>0.36420001220703124</v>
      </c>
      <c r="Y19" s="454">
        <v>0.36049999999999999</v>
      </c>
      <c r="Z19" s="454">
        <v>0.54340002441406254</v>
      </c>
      <c r="AA19" s="454">
        <v>0.57770001220703127</v>
      </c>
      <c r="AB19" s="454">
        <v>0.61790002441406255</v>
      </c>
      <c r="AC19" s="454">
        <v>0.70720001220703121</v>
      </c>
      <c r="AD19" s="454">
        <v>0.81359997558593755</v>
      </c>
      <c r="AE19" s="454">
        <v>0.91670001220703123</v>
      </c>
      <c r="AF19" s="454">
        <v>1.094199951171875</v>
      </c>
      <c r="AG19" s="454">
        <v>1.0097999877929686</v>
      </c>
      <c r="AH19" s="454">
        <v>0.90949999999999998</v>
      </c>
      <c r="AI19" s="454">
        <v>0.77429998779296871</v>
      </c>
      <c r="AJ19" s="454">
        <v>0.7605999755859375</v>
      </c>
      <c r="AK19" s="454">
        <v>0.67140002441406255</v>
      </c>
      <c r="AL19" s="454">
        <v>0.63870001220703121</v>
      </c>
      <c r="AM19" s="454">
        <v>0.6932000122070312</v>
      </c>
      <c r="AN19" s="454">
        <v>0.77120001220703127</v>
      </c>
      <c r="AO19" s="454">
        <v>1.0049999999999999</v>
      </c>
      <c r="AP19" s="454">
        <v>0.86860000000000004</v>
      </c>
      <c r="AQ19" s="454">
        <v>0.6573</v>
      </c>
      <c r="AR19" s="454">
        <v>0.64910000000000001</v>
      </c>
      <c r="AS19" s="454">
        <v>14.860100000000001</v>
      </c>
      <c r="AT19" s="454">
        <v>75.662499999999994</v>
      </c>
      <c r="AU19" s="454">
        <v>229.46979999999999</v>
      </c>
      <c r="AV19" s="454">
        <v>193.32489999999999</v>
      </c>
      <c r="AW19" s="454">
        <v>195.34870000000001</v>
      </c>
      <c r="AX19" s="454">
        <v>167.04259999999999</v>
      </c>
      <c r="AY19" s="454">
        <v>364.19880000000001</v>
      </c>
      <c r="AZ19" s="454">
        <v>641.01930000000004</v>
      </c>
      <c r="BA19" s="454">
        <v>1073.796</v>
      </c>
      <c r="BB19" s="454">
        <v>940.54</v>
      </c>
      <c r="BC19" s="454">
        <v>1437.434</v>
      </c>
      <c r="BD19" s="454">
        <v>2134.1759999999999</v>
      </c>
      <c r="BE19" s="458">
        <f>BD19*BE106/BD106</f>
        <v>2322.9472824735726</v>
      </c>
      <c r="BF19" s="458">
        <f t="shared" ref="BF19:BO19" si="8">BE19*BF106/BE106</f>
        <v>2440.5464886489949</v>
      </c>
      <c r="BG19" s="458">
        <f t="shared" si="8"/>
        <v>2564.0991546366513</v>
      </c>
      <c r="BH19" s="458">
        <f t="shared" si="8"/>
        <v>2693.9066743403291</v>
      </c>
      <c r="BI19" s="458">
        <f t="shared" si="8"/>
        <v>2830.2856997286103</v>
      </c>
      <c r="BJ19" s="458">
        <f t="shared" si="8"/>
        <v>2973.5689132775683</v>
      </c>
      <c r="BK19" s="458">
        <f t="shared" si="8"/>
        <v>3124.1058395120467</v>
      </c>
      <c r="BL19" s="458">
        <f t="shared" si="8"/>
        <v>3282.2636976375406</v>
      </c>
      <c r="BM19" s="458">
        <f t="shared" si="8"/>
        <v>3448.4282973302434</v>
      </c>
      <c r="BN19" s="458">
        <f t="shared" si="8"/>
        <v>3623.004979882784</v>
      </c>
      <c r="BO19" s="458">
        <f t="shared" si="8"/>
        <v>3806.4196069891509</v>
      </c>
      <c r="BP19" s="457"/>
      <c r="BQ19" s="448">
        <f t="shared" ref="BQ19:CB30" si="9">+BD19-CD19</f>
        <v>0</v>
      </c>
      <c r="BR19" s="448">
        <f t="shared" si="9"/>
        <v>0</v>
      </c>
      <c r="BS19" s="448">
        <f t="shared" si="9"/>
        <v>0</v>
      </c>
      <c r="BT19" s="448">
        <f t="shared" si="9"/>
        <v>0</v>
      </c>
      <c r="BU19" s="448">
        <f t="shared" si="9"/>
        <v>0</v>
      </c>
      <c r="BV19" s="448">
        <f t="shared" si="9"/>
        <v>0</v>
      </c>
      <c r="BW19" s="448">
        <f t="shared" si="9"/>
        <v>0</v>
      </c>
      <c r="BX19" s="448">
        <f t="shared" si="9"/>
        <v>0</v>
      </c>
      <c r="BY19" s="448">
        <f t="shared" si="9"/>
        <v>0</v>
      </c>
      <c r="BZ19" s="448">
        <f t="shared" si="9"/>
        <v>0</v>
      </c>
      <c r="CA19" s="448">
        <f t="shared" si="9"/>
        <v>0</v>
      </c>
      <c r="CB19" s="448">
        <f t="shared" si="9"/>
        <v>0</v>
      </c>
      <c r="CD19" s="439">
        <v>2134.1759999999999</v>
      </c>
      <c r="CE19" s="439">
        <v>2322.9472824735726</v>
      </c>
      <c r="CF19" s="439">
        <v>2440.5464886489949</v>
      </c>
      <c r="CG19" s="439">
        <v>2564.0991546366513</v>
      </c>
      <c r="CH19" s="439">
        <v>2693.9066743403291</v>
      </c>
      <c r="CI19" s="439">
        <v>2830.2856997286103</v>
      </c>
      <c r="CJ19" s="439">
        <v>2973.5689132775683</v>
      </c>
      <c r="CK19" s="439">
        <v>3124.1058395120467</v>
      </c>
      <c r="CL19" s="439">
        <v>3282.2636976375406</v>
      </c>
      <c r="CM19" s="439">
        <v>3448.4282973302434</v>
      </c>
      <c r="CN19" s="439">
        <v>3623.004979882784</v>
      </c>
      <c r="CO19" s="439">
        <v>3806.4196069891509</v>
      </c>
    </row>
    <row r="20" spans="1:93">
      <c r="A20" s="447" t="s">
        <v>892</v>
      </c>
      <c r="B20" s="447"/>
      <c r="C20" s="442" t="s">
        <v>1455</v>
      </c>
      <c r="D20" s="447" t="s">
        <v>2384</v>
      </c>
      <c r="E20" s="436" t="s">
        <v>893</v>
      </c>
      <c r="F20" s="454">
        <v>2E-3</v>
      </c>
      <c r="G20" s="454">
        <v>2.2000000000000001E-3</v>
      </c>
      <c r="H20" s="454">
        <v>2.5000000000000001E-3</v>
      </c>
      <c r="I20" s="454">
        <v>2.5999999046325685E-3</v>
      </c>
      <c r="J20" s="454">
        <v>3.0000000000000001E-3</v>
      </c>
      <c r="K20" s="454">
        <v>2.5999999046325685E-3</v>
      </c>
      <c r="L20" s="454">
        <v>3.4000000953674316E-3</v>
      </c>
      <c r="M20" s="454">
        <v>3.5999999046325685E-3</v>
      </c>
      <c r="N20" s="454">
        <v>3.0999999046325685E-3</v>
      </c>
      <c r="O20" s="454">
        <v>3.2000000476837156E-3</v>
      </c>
      <c r="P20" s="454">
        <v>3.5999999046325685E-3</v>
      </c>
      <c r="Q20" s="454">
        <v>4.4000000953674312E-3</v>
      </c>
      <c r="R20" s="454">
        <v>5.0999999046325685E-3</v>
      </c>
      <c r="S20" s="454">
        <v>8.6000003814697273E-3</v>
      </c>
      <c r="T20" s="454">
        <v>7.3000001907348629E-3</v>
      </c>
      <c r="U20" s="454">
        <v>7.4999999999999997E-3</v>
      </c>
      <c r="V20" s="454">
        <v>4.3000001907348637E-3</v>
      </c>
      <c r="W20" s="454">
        <v>4.0000000000000001E-3</v>
      </c>
      <c r="X20" s="454">
        <v>4.9000000953674317E-3</v>
      </c>
      <c r="Y20" s="454">
        <v>6.199999809265137E-3</v>
      </c>
      <c r="Z20" s="454">
        <v>5.3000001907348637E-3</v>
      </c>
      <c r="AA20" s="454">
        <v>2.7000000476837156E-3</v>
      </c>
      <c r="AB20" s="454">
        <v>4.5999999046325681E-3</v>
      </c>
      <c r="AC20" s="454">
        <v>1E-3</v>
      </c>
      <c r="AD20" s="454">
        <v>1.2999999523162842E-3</v>
      </c>
      <c r="AE20" s="454">
        <v>1.2999999523162842E-3</v>
      </c>
      <c r="AF20" s="454">
        <v>1.2000000476837158E-3</v>
      </c>
      <c r="AG20" s="454">
        <v>1.899999976158142E-3</v>
      </c>
      <c r="AH20" s="454">
        <v>6.9999998807907101E-4</v>
      </c>
      <c r="AI20" s="454">
        <v>1.399999976158142E-3</v>
      </c>
      <c r="AJ20" s="454">
        <v>1.2000000476837158E-3</v>
      </c>
      <c r="AK20" s="454">
        <v>1E-3</v>
      </c>
      <c r="AL20" s="454">
        <v>1.0000000149011611E-4</v>
      </c>
      <c r="AM20" s="454">
        <v>1.0000000149011611E-4</v>
      </c>
      <c r="AN20" s="454">
        <v>1.0000000149011611E-4</v>
      </c>
      <c r="AO20" s="454">
        <v>0</v>
      </c>
      <c r="AP20" s="454">
        <v>0</v>
      </c>
      <c r="AQ20" s="454">
        <v>0</v>
      </c>
      <c r="AR20" s="454">
        <v>1E-4</v>
      </c>
      <c r="AS20" s="454">
        <v>2.0000000000000001E-4</v>
      </c>
      <c r="AT20" s="454">
        <v>0</v>
      </c>
      <c r="AU20" s="454">
        <v>0</v>
      </c>
      <c r="AV20" s="454">
        <v>0</v>
      </c>
      <c r="AW20" s="454">
        <v>0</v>
      </c>
      <c r="AX20" s="454">
        <v>0</v>
      </c>
      <c r="AY20" s="454">
        <v>2.0895000000000001</v>
      </c>
      <c r="AZ20" s="454">
        <v>0</v>
      </c>
      <c r="BA20" s="454">
        <v>2.1999999999999999E-2</v>
      </c>
      <c r="BB20" s="454">
        <v>3.7519999999999998</v>
      </c>
      <c r="BC20" s="454">
        <v>6.3079999999999998</v>
      </c>
      <c r="BD20" s="454">
        <v>5.5039999999999996</v>
      </c>
      <c r="BE20" s="458">
        <f>0*BD20</f>
        <v>0</v>
      </c>
      <c r="BF20" s="458">
        <f t="shared" ref="BF20:BO20" si="10">0*BE20</f>
        <v>0</v>
      </c>
      <c r="BG20" s="458">
        <f t="shared" si="10"/>
        <v>0</v>
      </c>
      <c r="BH20" s="458">
        <f t="shared" si="10"/>
        <v>0</v>
      </c>
      <c r="BI20" s="458">
        <f t="shared" si="10"/>
        <v>0</v>
      </c>
      <c r="BJ20" s="458">
        <f t="shared" si="10"/>
        <v>0</v>
      </c>
      <c r="BK20" s="458">
        <f t="shared" si="10"/>
        <v>0</v>
      </c>
      <c r="BL20" s="458">
        <f t="shared" si="10"/>
        <v>0</v>
      </c>
      <c r="BM20" s="458">
        <f t="shared" si="10"/>
        <v>0</v>
      </c>
      <c r="BN20" s="458">
        <f t="shared" si="10"/>
        <v>0</v>
      </c>
      <c r="BO20" s="458">
        <f t="shared" si="10"/>
        <v>0</v>
      </c>
      <c r="BP20" s="457"/>
      <c r="BQ20" s="448">
        <f t="shared" si="9"/>
        <v>0</v>
      </c>
      <c r="BR20" s="448">
        <f t="shared" si="9"/>
        <v>0</v>
      </c>
      <c r="BS20" s="448">
        <f t="shared" si="9"/>
        <v>0</v>
      </c>
      <c r="BT20" s="448">
        <f t="shared" si="9"/>
        <v>0</v>
      </c>
      <c r="BU20" s="448">
        <f t="shared" si="9"/>
        <v>0</v>
      </c>
      <c r="BV20" s="448">
        <f t="shared" si="9"/>
        <v>0</v>
      </c>
      <c r="BW20" s="448">
        <f t="shared" si="9"/>
        <v>0</v>
      </c>
      <c r="BX20" s="448">
        <f t="shared" si="9"/>
        <v>0</v>
      </c>
      <c r="BY20" s="448">
        <f t="shared" si="9"/>
        <v>0</v>
      </c>
      <c r="BZ20" s="448">
        <f t="shared" si="9"/>
        <v>0</v>
      </c>
      <c r="CA20" s="448">
        <f t="shared" si="9"/>
        <v>0</v>
      </c>
      <c r="CB20" s="448">
        <f t="shared" si="9"/>
        <v>0</v>
      </c>
      <c r="CD20" s="439">
        <v>5.5039999999999996</v>
      </c>
      <c r="CE20" s="439">
        <v>0</v>
      </c>
      <c r="CF20" s="439">
        <v>0</v>
      </c>
      <c r="CG20" s="439">
        <v>0</v>
      </c>
      <c r="CH20" s="439">
        <v>0</v>
      </c>
      <c r="CI20" s="439">
        <v>0</v>
      </c>
      <c r="CJ20" s="439">
        <v>0</v>
      </c>
      <c r="CK20" s="439">
        <v>0</v>
      </c>
      <c r="CL20" s="439">
        <v>0</v>
      </c>
      <c r="CM20" s="439">
        <v>0</v>
      </c>
      <c r="CN20" s="439">
        <v>0</v>
      </c>
      <c r="CO20" s="439">
        <v>0</v>
      </c>
    </row>
    <row r="21" spans="1:93">
      <c r="A21" s="447" t="s">
        <v>894</v>
      </c>
      <c r="B21" s="447"/>
      <c r="C21" s="442" t="s">
        <v>1455</v>
      </c>
      <c r="D21" s="447" t="s">
        <v>2384</v>
      </c>
      <c r="E21" s="436" t="s">
        <v>895</v>
      </c>
      <c r="F21" s="454">
        <v>4.0000000000000002E-4</v>
      </c>
      <c r="G21" s="454">
        <v>2.9999999999999997E-4</v>
      </c>
      <c r="H21" s="454">
        <v>3.0000001192092895E-4</v>
      </c>
      <c r="I21" s="454">
        <v>6.9999998807907101E-4</v>
      </c>
      <c r="J21" s="454">
        <v>4.0000000596046445E-4</v>
      </c>
      <c r="K21" s="454">
        <v>6.0000002384185791E-4</v>
      </c>
      <c r="L21" s="454">
        <v>5.0000000000000001E-4</v>
      </c>
      <c r="M21" s="454">
        <v>3.0000001192092895E-4</v>
      </c>
      <c r="N21" s="454">
        <v>3.0000001192092895E-4</v>
      </c>
      <c r="O21" s="454">
        <v>4.0000000596046445E-4</v>
      </c>
      <c r="P21" s="454">
        <v>1E-3</v>
      </c>
      <c r="Q21" s="454">
        <v>1.5E-3</v>
      </c>
      <c r="R21" s="454">
        <v>1.7999999523162843E-3</v>
      </c>
      <c r="S21" s="454">
        <v>2.0999999046325685E-3</v>
      </c>
      <c r="T21" s="454">
        <v>6.0000002384185791E-4</v>
      </c>
      <c r="U21" s="454">
        <v>1.7999999523162843E-3</v>
      </c>
      <c r="V21" s="454">
        <v>5.199999809265137E-3</v>
      </c>
      <c r="W21" s="454">
        <v>4.4999999999999997E-3</v>
      </c>
      <c r="X21" s="454">
        <v>5.199999809265137E-3</v>
      </c>
      <c r="Y21" s="454">
        <v>5.0999999046325685E-3</v>
      </c>
      <c r="Z21" s="454">
        <v>1.2600000381469727E-2</v>
      </c>
      <c r="AA21" s="454">
        <v>1.8100000381469725E-2</v>
      </c>
      <c r="AB21" s="454">
        <v>1.7200000762939455E-2</v>
      </c>
      <c r="AC21" s="454">
        <v>1.1899999618530274E-2</v>
      </c>
      <c r="AD21" s="454">
        <v>1.3600000381469727E-2</v>
      </c>
      <c r="AE21" s="454">
        <v>2.3899999618530274E-2</v>
      </c>
      <c r="AF21" s="454">
        <v>4.4499999999999998E-2</v>
      </c>
      <c r="AG21" s="454">
        <v>6.2799999237060547E-2</v>
      </c>
      <c r="AH21" s="454">
        <v>6.3200000762939454E-2</v>
      </c>
      <c r="AI21" s="454">
        <v>2.8100000381469727E-2</v>
      </c>
      <c r="AJ21" s="454">
        <v>7.6999998092651366E-3</v>
      </c>
      <c r="AK21" s="454">
        <v>3.9000000953674317E-3</v>
      </c>
      <c r="AL21" s="454">
        <v>2.7999999523162841E-3</v>
      </c>
      <c r="AM21" s="454">
        <v>2.0999999046325685E-3</v>
      </c>
      <c r="AN21" s="454">
        <v>2.299999952316284E-3</v>
      </c>
      <c r="AO21" s="454">
        <v>1.7000000476837158E-3</v>
      </c>
      <c r="AP21" s="454">
        <v>4.0000000000000001E-3</v>
      </c>
      <c r="AQ21" s="454">
        <v>2.5000000000000001E-3</v>
      </c>
      <c r="AR21" s="454">
        <v>1.1999999999999999E-3</v>
      </c>
      <c r="AS21" s="454">
        <v>1.34E-2</v>
      </c>
      <c r="AT21" s="454">
        <v>0.2661</v>
      </c>
      <c r="AU21" s="454">
        <v>1.222</v>
      </c>
      <c r="AV21" s="454">
        <v>2.7805999999999997</v>
      </c>
      <c r="AW21" s="454">
        <v>2.8186999999999998</v>
      </c>
      <c r="AX21" s="454">
        <v>2.5804999999999998</v>
      </c>
      <c r="AY21" s="454">
        <v>5.7709999999999999</v>
      </c>
      <c r="AZ21" s="454">
        <v>22.161999999999999</v>
      </c>
      <c r="BA21" s="454">
        <v>11.426</v>
      </c>
      <c r="BB21" s="454">
        <v>12.788</v>
      </c>
      <c r="BC21" s="454">
        <v>23.917999999999999</v>
      </c>
      <c r="BD21" s="454">
        <v>37.427</v>
      </c>
      <c r="BE21" s="458">
        <f t="shared" ref="BE21:BO21" ca="1" si="11">0.55*BD101/100*(BE143+BD143)/2</f>
        <v>27.046684915280508</v>
      </c>
      <c r="BF21" s="458">
        <f t="shared" ca="1" si="11"/>
        <v>34.595014640120318</v>
      </c>
      <c r="BG21" s="458">
        <f t="shared" ca="1" si="11"/>
        <v>39.2849987925376</v>
      </c>
      <c r="BH21" s="458">
        <f t="shared" ca="1" si="11"/>
        <v>42.52245571228719</v>
      </c>
      <c r="BI21" s="458">
        <f t="shared" ca="1" si="11"/>
        <v>44.385343369155606</v>
      </c>
      <c r="BJ21" s="458">
        <f t="shared" ca="1" si="11"/>
        <v>44.896802605607405</v>
      </c>
      <c r="BK21" s="458">
        <f t="shared" ca="1" si="11"/>
        <v>43.973470666300287</v>
      </c>
      <c r="BL21" s="458">
        <f t="shared" ca="1" si="11"/>
        <v>41.438656331690268</v>
      </c>
      <c r="BM21" s="458">
        <f t="shared" ca="1" si="11"/>
        <v>37.117150077509308</v>
      </c>
      <c r="BN21" s="458">
        <f t="shared" ca="1" si="11"/>
        <v>30.846415883076844</v>
      </c>
      <c r="BO21" s="458">
        <f t="shared" ca="1" si="11"/>
        <v>22.372175311144783</v>
      </c>
      <c r="BP21" s="457"/>
      <c r="BQ21" s="448">
        <f t="shared" si="9"/>
        <v>0</v>
      </c>
      <c r="BR21" s="448">
        <f t="shared" ca="1" si="9"/>
        <v>0</v>
      </c>
      <c r="BS21" s="448">
        <f t="shared" ca="1" si="9"/>
        <v>0</v>
      </c>
      <c r="BT21" s="448">
        <f t="shared" ca="1" si="9"/>
        <v>-2.5579538487363607E-13</v>
      </c>
      <c r="BU21" s="448">
        <f t="shared" ca="1" si="9"/>
        <v>-3.0411229090532288E-12</v>
      </c>
      <c r="BV21" s="448">
        <f t="shared" ca="1" si="9"/>
        <v>-2.7483793019200675E-11</v>
      </c>
      <c r="BW21" s="448">
        <f t="shared" ca="1" si="9"/>
        <v>-1.9601742451413884E-10</v>
      </c>
      <c r="BX21" s="448">
        <f t="shared" ca="1" si="9"/>
        <v>-1.1502550023578806E-9</v>
      </c>
      <c r="BY21" s="448">
        <f t="shared" ca="1" si="9"/>
        <v>-5.7144760035043873E-9</v>
      </c>
      <c r="BZ21" s="448">
        <f t="shared" ca="1" si="9"/>
        <v>-2.4617996530196251E-8</v>
      </c>
      <c r="CA21" s="448">
        <f t="shared" ca="1" si="9"/>
        <v>-9.3631800979210311E-8</v>
      </c>
      <c r="CB21" s="448">
        <f t="shared" ca="1" si="9"/>
        <v>-3.192532211926391E-7</v>
      </c>
      <c r="CD21" s="439">
        <v>37.427</v>
      </c>
      <c r="CE21" s="439">
        <v>27.046684915280508</v>
      </c>
      <c r="CF21" s="439">
        <v>34.595014640120333</v>
      </c>
      <c r="CG21" s="439">
        <v>39.284998792537856</v>
      </c>
      <c r="CH21" s="439">
        <v>42.522455712290231</v>
      </c>
      <c r="CI21" s="439">
        <v>44.38534336918309</v>
      </c>
      <c r="CJ21" s="439">
        <v>44.896802605803423</v>
      </c>
      <c r="CK21" s="439">
        <v>43.973470667450542</v>
      </c>
      <c r="CL21" s="439">
        <v>41.438656337404744</v>
      </c>
      <c r="CM21" s="439">
        <v>37.117150102127304</v>
      </c>
      <c r="CN21" s="439">
        <v>30.846415976708645</v>
      </c>
      <c r="CO21" s="439">
        <v>22.372175630398004</v>
      </c>
    </row>
    <row r="22" spans="1:93">
      <c r="A22" s="447" t="s">
        <v>896</v>
      </c>
      <c r="B22" s="447"/>
      <c r="C22" s="442" t="s">
        <v>1455</v>
      </c>
      <c r="D22" s="447" t="s">
        <v>2384</v>
      </c>
      <c r="E22" s="436" t="s">
        <v>897</v>
      </c>
      <c r="F22" s="454">
        <v>0</v>
      </c>
      <c r="G22" s="454">
        <v>0</v>
      </c>
      <c r="H22" s="454">
        <v>0</v>
      </c>
      <c r="I22" s="454">
        <v>0</v>
      </c>
      <c r="J22" s="454">
        <v>0</v>
      </c>
      <c r="K22" s="454">
        <v>0</v>
      </c>
      <c r="L22" s="454">
        <v>0</v>
      </c>
      <c r="M22" s="454">
        <v>0</v>
      </c>
      <c r="N22" s="454">
        <v>0</v>
      </c>
      <c r="O22" s="454">
        <v>0</v>
      </c>
      <c r="P22" s="454">
        <v>0</v>
      </c>
      <c r="Q22" s="454">
        <v>0</v>
      </c>
      <c r="R22" s="454">
        <v>0</v>
      </c>
      <c r="S22" s="454">
        <v>0</v>
      </c>
      <c r="T22" s="454">
        <v>0</v>
      </c>
      <c r="U22" s="454">
        <v>0</v>
      </c>
      <c r="V22" s="454">
        <v>0</v>
      </c>
      <c r="W22" s="454">
        <v>0</v>
      </c>
      <c r="X22" s="454">
        <v>6.5999999046325681E-3</v>
      </c>
      <c r="Y22" s="454">
        <v>6.5999999046325681E-3</v>
      </c>
      <c r="Z22" s="454">
        <v>5.6999998092651365E-3</v>
      </c>
      <c r="AA22" s="454">
        <v>1.1600000381469727E-2</v>
      </c>
      <c r="AB22" s="454">
        <v>1.2100000381469727E-2</v>
      </c>
      <c r="AC22" s="454">
        <v>1.9200000762939453E-2</v>
      </c>
      <c r="AD22" s="454">
        <v>2.2899999618530273E-2</v>
      </c>
      <c r="AE22" s="454">
        <v>2.8299999237060548E-2</v>
      </c>
      <c r="AF22" s="454">
        <v>3.4299999237060549E-2</v>
      </c>
      <c r="AG22" s="454">
        <v>2.6799999237060546E-2</v>
      </c>
      <c r="AH22" s="454">
        <v>2.0600000381469728E-2</v>
      </c>
      <c r="AI22" s="454">
        <v>1.7500000000000002E-2</v>
      </c>
      <c r="AJ22" s="454">
        <v>3.2375000000000001E-2</v>
      </c>
      <c r="AK22" s="454">
        <v>9.3999000549316411E-2</v>
      </c>
      <c r="AL22" s="454">
        <v>0.24912200927734374</v>
      </c>
      <c r="AM22" s="454">
        <v>0.65440002441406253</v>
      </c>
      <c r="AN22" s="454">
        <v>0.95065002441406254</v>
      </c>
      <c r="AO22" s="454">
        <v>1.1973800048828125</v>
      </c>
      <c r="AP22" s="461">
        <f>3.6/1000+AP103</f>
        <v>1.9586000000000001</v>
      </c>
      <c r="AQ22" s="461">
        <f>+AQ103+6.2/1000</f>
        <v>3.2352000000000003</v>
      </c>
      <c r="AR22" s="461">
        <f>+AR103+12.7/1000</f>
        <v>4.7766999999999999</v>
      </c>
      <c r="AS22" s="461">
        <f>+AS103+98.4/1000</f>
        <v>8.327399999999999</v>
      </c>
      <c r="AT22" s="461">
        <f>+AT103+133.6/1000</f>
        <v>27.6556</v>
      </c>
      <c r="AU22" s="461">
        <f>822.9/1000+AU103</f>
        <v>60.190527499999995</v>
      </c>
      <c r="AV22" s="461">
        <f>1458.9/1000+AV103</f>
        <v>54.7883475</v>
      </c>
      <c r="AW22" s="461">
        <f>1597.5/1000+AW103</f>
        <v>26.579799999999999</v>
      </c>
      <c r="AX22" s="461">
        <f>560/1000+AX103</f>
        <v>0.56000000000000005</v>
      </c>
      <c r="AY22" s="454">
        <v>1.7909999999999999</v>
      </c>
      <c r="AZ22" s="454">
        <v>1.4630000000000001</v>
      </c>
      <c r="BA22" s="454">
        <v>4.71</v>
      </c>
      <c r="BB22" s="454">
        <v>30.527000000000001</v>
      </c>
      <c r="BC22" s="454">
        <v>114.858</v>
      </c>
      <c r="BD22" s="454">
        <v>208.602</v>
      </c>
      <c r="BE22" s="458">
        <f>BD22</f>
        <v>208.602</v>
      </c>
      <c r="BF22" s="458">
        <f t="shared" ref="BF22:BO22" si="12">BE22</f>
        <v>208.602</v>
      </c>
      <c r="BG22" s="458">
        <f t="shared" si="12"/>
        <v>208.602</v>
      </c>
      <c r="BH22" s="458">
        <f t="shared" si="12"/>
        <v>208.602</v>
      </c>
      <c r="BI22" s="458">
        <f t="shared" si="12"/>
        <v>208.602</v>
      </c>
      <c r="BJ22" s="458">
        <f t="shared" si="12"/>
        <v>208.602</v>
      </c>
      <c r="BK22" s="458">
        <f t="shared" si="12"/>
        <v>208.602</v>
      </c>
      <c r="BL22" s="458">
        <f t="shared" si="12"/>
        <v>208.602</v>
      </c>
      <c r="BM22" s="458">
        <f t="shared" si="12"/>
        <v>208.602</v>
      </c>
      <c r="BN22" s="458">
        <f t="shared" si="12"/>
        <v>208.602</v>
      </c>
      <c r="BO22" s="458">
        <f t="shared" si="12"/>
        <v>208.602</v>
      </c>
      <c r="BP22" s="457"/>
      <c r="BQ22" s="448">
        <f t="shared" si="9"/>
        <v>0</v>
      </c>
      <c r="BR22" s="448">
        <f t="shared" si="9"/>
        <v>0</v>
      </c>
      <c r="BS22" s="448">
        <f t="shared" si="9"/>
        <v>0</v>
      </c>
      <c r="BT22" s="448">
        <f t="shared" si="9"/>
        <v>0</v>
      </c>
      <c r="BU22" s="448">
        <f t="shared" si="9"/>
        <v>0</v>
      </c>
      <c r="BV22" s="448">
        <f t="shared" si="9"/>
        <v>0</v>
      </c>
      <c r="BW22" s="448">
        <f t="shared" si="9"/>
        <v>0</v>
      </c>
      <c r="BX22" s="448">
        <f t="shared" si="9"/>
        <v>0</v>
      </c>
      <c r="BY22" s="448">
        <f t="shared" si="9"/>
        <v>0</v>
      </c>
      <c r="BZ22" s="448">
        <f t="shared" si="9"/>
        <v>0</v>
      </c>
      <c r="CA22" s="448">
        <f t="shared" si="9"/>
        <v>0</v>
      </c>
      <c r="CB22" s="448">
        <f t="shared" si="9"/>
        <v>0</v>
      </c>
      <c r="CD22" s="439">
        <v>208.602</v>
      </c>
      <c r="CE22" s="439">
        <v>208.602</v>
      </c>
      <c r="CF22" s="439">
        <v>208.602</v>
      </c>
      <c r="CG22" s="439">
        <v>208.602</v>
      </c>
      <c r="CH22" s="439">
        <v>208.602</v>
      </c>
      <c r="CI22" s="439">
        <v>208.602</v>
      </c>
      <c r="CJ22" s="439">
        <v>208.602</v>
      </c>
      <c r="CK22" s="439">
        <v>208.602</v>
      </c>
      <c r="CL22" s="439">
        <v>208.602</v>
      </c>
      <c r="CM22" s="439">
        <v>208.602</v>
      </c>
      <c r="CN22" s="439">
        <v>208.602</v>
      </c>
      <c r="CO22" s="439">
        <v>208.602</v>
      </c>
    </row>
    <row r="23" spans="1:93">
      <c r="A23" s="447" t="s">
        <v>898</v>
      </c>
      <c r="B23" s="447"/>
      <c r="C23" s="442" t="s">
        <v>1344</v>
      </c>
      <c r="D23" s="447"/>
      <c r="E23" s="436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438"/>
      <c r="AD23" s="438"/>
      <c r="AE23" s="438"/>
      <c r="AF23" s="438"/>
      <c r="AG23" s="438"/>
      <c r="AH23" s="438"/>
      <c r="AI23" s="438"/>
      <c r="AJ23" s="438"/>
      <c r="AK23" s="438"/>
      <c r="AL23" s="438"/>
      <c r="AM23" s="438"/>
      <c r="AN23" s="438"/>
      <c r="AO23" s="438"/>
      <c r="AP23" s="438"/>
      <c r="AQ23" s="438"/>
      <c r="AR23" s="438"/>
      <c r="AS23" s="438"/>
      <c r="AT23" s="438"/>
      <c r="AU23" s="438"/>
      <c r="AV23" s="438"/>
      <c r="AW23" s="438"/>
      <c r="AX23" s="438"/>
      <c r="AY23" s="438"/>
      <c r="AZ23" s="438"/>
      <c r="BE23" s="438"/>
      <c r="BF23" s="438"/>
      <c r="BG23" s="438"/>
      <c r="BH23" s="438"/>
      <c r="BI23" s="438"/>
      <c r="BJ23" s="438"/>
      <c r="BK23" s="438"/>
      <c r="BL23" s="438"/>
      <c r="BM23" s="438"/>
      <c r="BN23" s="438"/>
      <c r="BO23" s="438"/>
      <c r="BQ23" s="448">
        <f t="shared" si="9"/>
        <v>0</v>
      </c>
      <c r="BR23" s="448">
        <f t="shared" si="9"/>
        <v>0</v>
      </c>
      <c r="BS23" s="448">
        <f t="shared" si="9"/>
        <v>0</v>
      </c>
      <c r="BT23" s="448">
        <f t="shared" si="9"/>
        <v>0</v>
      </c>
      <c r="BU23" s="448">
        <f t="shared" si="9"/>
        <v>0</v>
      </c>
      <c r="BV23" s="448">
        <f t="shared" si="9"/>
        <v>0</v>
      </c>
      <c r="BW23" s="448">
        <f t="shared" si="9"/>
        <v>0</v>
      </c>
      <c r="BX23" s="448">
        <f t="shared" si="9"/>
        <v>0</v>
      </c>
      <c r="BY23" s="448">
        <f t="shared" si="9"/>
        <v>0</v>
      </c>
      <c r="BZ23" s="448">
        <f t="shared" si="9"/>
        <v>0</v>
      </c>
      <c r="CA23" s="448">
        <f t="shared" si="9"/>
        <v>0</v>
      </c>
      <c r="CB23" s="448">
        <f t="shared" si="9"/>
        <v>0</v>
      </c>
    </row>
    <row r="24" spans="1:93">
      <c r="A24" s="459" t="s">
        <v>899</v>
      </c>
      <c r="B24" s="459"/>
      <c r="C24" s="442" t="s">
        <v>1344</v>
      </c>
      <c r="D24" s="459"/>
      <c r="E24" s="460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8"/>
      <c r="AG24" s="438"/>
      <c r="AH24" s="438"/>
      <c r="AI24" s="438"/>
      <c r="AJ24" s="438"/>
      <c r="AK24" s="438"/>
      <c r="AL24" s="438"/>
      <c r="AM24" s="438"/>
      <c r="AN24" s="438"/>
      <c r="AO24" s="438"/>
      <c r="AP24" s="438"/>
      <c r="AQ24" s="438"/>
      <c r="AR24" s="438"/>
      <c r="AS24" s="438"/>
      <c r="AT24" s="438"/>
      <c r="AU24" s="438"/>
      <c r="AV24" s="438"/>
      <c r="AW24" s="438"/>
      <c r="AX24" s="438"/>
      <c r="AY24" s="438"/>
      <c r="AZ24" s="438"/>
      <c r="BC24" s="462"/>
      <c r="BD24" s="463"/>
      <c r="BE24" s="463"/>
      <c r="BF24" s="463"/>
      <c r="BG24" s="463"/>
      <c r="BH24" s="463"/>
      <c r="BI24" s="463"/>
      <c r="BJ24" s="463"/>
      <c r="BK24" s="463"/>
      <c r="BL24" s="463"/>
      <c r="BM24" s="463"/>
      <c r="BN24" s="463"/>
      <c r="BO24" s="463"/>
      <c r="BQ24" s="448">
        <f t="shared" si="9"/>
        <v>0</v>
      </c>
      <c r="BR24" s="448">
        <f t="shared" si="9"/>
        <v>0</v>
      </c>
      <c r="BS24" s="448">
        <f t="shared" si="9"/>
        <v>0</v>
      </c>
      <c r="BT24" s="448">
        <f t="shared" si="9"/>
        <v>0</v>
      </c>
      <c r="BU24" s="448">
        <f t="shared" si="9"/>
        <v>0</v>
      </c>
      <c r="BV24" s="448">
        <f t="shared" si="9"/>
        <v>0</v>
      </c>
      <c r="BW24" s="448">
        <f t="shared" si="9"/>
        <v>0</v>
      </c>
      <c r="BX24" s="448">
        <f t="shared" si="9"/>
        <v>0</v>
      </c>
      <c r="BY24" s="448">
        <f t="shared" si="9"/>
        <v>0</v>
      </c>
      <c r="BZ24" s="448">
        <f t="shared" si="9"/>
        <v>0</v>
      </c>
      <c r="CA24" s="448">
        <f t="shared" si="9"/>
        <v>0</v>
      </c>
      <c r="CB24" s="448">
        <f t="shared" si="9"/>
        <v>0</v>
      </c>
    </row>
    <row r="25" spans="1:93">
      <c r="A25" s="447" t="s">
        <v>900</v>
      </c>
      <c r="B25" s="447"/>
      <c r="C25" s="442" t="s">
        <v>1455</v>
      </c>
      <c r="D25" s="447" t="s">
        <v>3006</v>
      </c>
      <c r="E25" s="436" t="s">
        <v>901</v>
      </c>
      <c r="F25" s="454">
        <v>5.5500000000000001E-2</v>
      </c>
      <c r="G25" s="454">
        <v>5.4899999999999997E-2</v>
      </c>
      <c r="H25" s="454">
        <v>6.7099998474121098E-2</v>
      </c>
      <c r="I25" s="454">
        <v>7.8099998474121093E-2</v>
      </c>
      <c r="J25" s="454">
        <v>7.5499999999999998E-2</v>
      </c>
      <c r="K25" s="454">
        <v>9.3699996948242187E-2</v>
      </c>
      <c r="L25" s="454">
        <v>0.10940000152587891</v>
      </c>
      <c r="M25" s="454">
        <v>0.10980000305175781</v>
      </c>
      <c r="N25" s="454">
        <v>0.11180000305175782</v>
      </c>
      <c r="O25" s="454">
        <v>0.1214000015258789</v>
      </c>
      <c r="P25" s="454">
        <v>0.16660000610351564</v>
      </c>
      <c r="Q25" s="454">
        <v>0.19189999389648438</v>
      </c>
      <c r="R25" s="454">
        <v>0.18930000305175781</v>
      </c>
      <c r="S25" s="454">
        <v>0.21199999999999999</v>
      </c>
      <c r="T25" s="454">
        <v>0.20860000610351562</v>
      </c>
      <c r="U25" s="454">
        <v>0.2291999969482422</v>
      </c>
      <c r="V25" s="454">
        <v>0.24260000610351562</v>
      </c>
      <c r="W25" s="454">
        <v>0.26739999389648439</v>
      </c>
      <c r="X25" s="454">
        <v>0.28970001220703123</v>
      </c>
      <c r="Y25" s="454">
        <v>0.31520001220703125</v>
      </c>
      <c r="Z25" s="454">
        <v>0.48160000610351561</v>
      </c>
      <c r="AA25" s="454">
        <v>0.54509997558593748</v>
      </c>
      <c r="AB25" s="454">
        <v>0.59340002441406248</v>
      </c>
      <c r="AC25" s="454">
        <v>0.79959997558593754</v>
      </c>
      <c r="AD25" s="454">
        <v>0.83409997558593751</v>
      </c>
      <c r="AE25" s="454">
        <v>0.85140002441406248</v>
      </c>
      <c r="AF25" s="454">
        <v>1.1174999999999999</v>
      </c>
      <c r="AG25" s="454">
        <v>1.1805999755859375</v>
      </c>
      <c r="AH25" s="454">
        <v>1.113699951171875</v>
      </c>
      <c r="AI25" s="454">
        <v>0.9297999877929688</v>
      </c>
      <c r="AJ25" s="454">
        <v>0.86120001220703124</v>
      </c>
      <c r="AK25" s="454">
        <v>0.75120001220703125</v>
      </c>
      <c r="AL25" s="454">
        <v>0.83850000000000002</v>
      </c>
      <c r="AM25" s="454">
        <v>1.119</v>
      </c>
      <c r="AN25" s="454">
        <v>1.3959999999999999</v>
      </c>
      <c r="AO25" s="454">
        <v>2.1004999999999998</v>
      </c>
      <c r="AP25" s="461">
        <f>844.4/1000-AP26-AP27+AP103</f>
        <v>2.7515999999999998</v>
      </c>
      <c r="AQ25" s="461">
        <f>793.9/1000-AQ26-AQ27+AQ103</f>
        <v>3.9668999999999999</v>
      </c>
      <c r="AR25" s="461">
        <f>667.6/1000-AR26-AR27+AR103</f>
        <v>5.3887999999999998</v>
      </c>
      <c r="AS25" s="461">
        <f>11619.1/1000-AS26-AS27+AS103</f>
        <v>19.431399999999996</v>
      </c>
      <c r="AT25" s="461">
        <f>63900.4/1000-AT26-AT27+AT103</f>
        <v>87.653400000000005</v>
      </c>
      <c r="AU25" s="461">
        <f>201019.5/1000-AU26-AU27+AU103</f>
        <v>251.89292749999998</v>
      </c>
      <c r="AV25" s="461">
        <f>226085.5/1000-AV26-AV27+AV103</f>
        <v>266.1356475</v>
      </c>
      <c r="AW25" s="461">
        <f>221602.9/1000-AW26-AW27+AW103</f>
        <v>234.43700000000001</v>
      </c>
      <c r="AX25" s="461">
        <f>227231.1/1000-AX26-AX27+AX103</f>
        <v>213.9316</v>
      </c>
      <c r="AY25" s="454">
        <v>384.66740000000004</v>
      </c>
      <c r="AZ25" s="454">
        <v>577.52700000000004</v>
      </c>
      <c r="BA25" s="454">
        <v>1032.6479999999999</v>
      </c>
      <c r="BB25" s="454">
        <v>1138.171</v>
      </c>
      <c r="BC25" s="454">
        <v>1715.248</v>
      </c>
      <c r="BD25" s="454">
        <v>2377.1779999999999</v>
      </c>
      <c r="BE25" s="458">
        <f t="shared" ref="BE25:BO25" ca="1" si="13">(BD25+BD26+BD27)*(1+BE82/100)*(1+0.01+0.75*BE155/100+0.25*BD155/100 +0.4*(0.75*(BE80-BE82)+0.25*(BD80-BD82))/100)-BE26-BE27</f>
        <v>2664.4661403297882</v>
      </c>
      <c r="BF25" s="458">
        <f t="shared" ca="1" si="13"/>
        <v>2879.6283639470071</v>
      </c>
      <c r="BG25" s="458">
        <f t="shared" ca="1" si="13"/>
        <v>3078.7967265527677</v>
      </c>
      <c r="BH25" s="458">
        <f t="shared" ca="1" si="13"/>
        <v>3278.7720865479687</v>
      </c>
      <c r="BI25" s="458">
        <f t="shared" ca="1" si="13"/>
        <v>3479.3592848334142</v>
      </c>
      <c r="BJ25" s="458">
        <f t="shared" ca="1" si="13"/>
        <v>3685.4596120367851</v>
      </c>
      <c r="BK25" s="458">
        <f t="shared" ca="1" si="13"/>
        <v>3902.4713803114091</v>
      </c>
      <c r="BL25" s="458">
        <f t="shared" ca="1" si="13"/>
        <v>4132.8946961366664</v>
      </c>
      <c r="BM25" s="458">
        <f t="shared" ca="1" si="13"/>
        <v>4375.3111765169442</v>
      </c>
      <c r="BN25" s="458">
        <f t="shared" ca="1" si="13"/>
        <v>4630.716013509561</v>
      </c>
      <c r="BO25" s="458">
        <f t="shared" ca="1" si="13"/>
        <v>4898.8308950167848</v>
      </c>
      <c r="BP25" s="457"/>
      <c r="BQ25" s="448">
        <f t="shared" si="9"/>
        <v>0</v>
      </c>
      <c r="BR25" s="448">
        <f t="shared" ca="1" si="9"/>
        <v>0</v>
      </c>
      <c r="BS25" s="448">
        <f t="shared" ca="1" si="9"/>
        <v>0</v>
      </c>
      <c r="BT25" s="448">
        <f t="shared" ca="1" si="9"/>
        <v>-1.4097167877480388E-11</v>
      </c>
      <c r="BU25" s="448">
        <f t="shared" ca="1" si="9"/>
        <v>-1.482476363889873E-10</v>
      </c>
      <c r="BV25" s="448">
        <f t="shared" ca="1" si="9"/>
        <v>-1.2842065189033747E-9</v>
      </c>
      <c r="BW25" s="448">
        <f t="shared" ca="1" si="9"/>
        <v>-8.7466105469502509E-9</v>
      </c>
      <c r="BX25" s="448">
        <f t="shared" ca="1" si="9"/>
        <v>-4.8722995416028425E-8</v>
      </c>
      <c r="BY25" s="448">
        <f t="shared" ca="1" si="9"/>
        <v>-2.2891163098393008E-7</v>
      </c>
      <c r="BZ25" s="448">
        <f t="shared" ca="1" si="9"/>
        <v>-9.3050130089977756E-7</v>
      </c>
      <c r="CA25" s="448">
        <f t="shared" ca="1" si="9"/>
        <v>-3.3315736800432205E-6</v>
      </c>
      <c r="CB25" s="448">
        <f t="shared" ca="1" si="9"/>
        <v>-1.0747428859758656E-5</v>
      </c>
      <c r="CD25" s="439">
        <v>2377.1779999999999</v>
      </c>
      <c r="CE25" s="439">
        <v>2664.4661403297882</v>
      </c>
      <c r="CF25" s="439">
        <v>2879.628363947008</v>
      </c>
      <c r="CG25" s="439">
        <v>3078.7967265527818</v>
      </c>
      <c r="CH25" s="439">
        <v>3278.7720865481169</v>
      </c>
      <c r="CI25" s="439">
        <v>3479.3592848346984</v>
      </c>
      <c r="CJ25" s="439">
        <v>3685.4596120455317</v>
      </c>
      <c r="CK25" s="439">
        <v>3902.4713803601321</v>
      </c>
      <c r="CL25" s="439">
        <v>4132.8946963655781</v>
      </c>
      <c r="CM25" s="439">
        <v>4375.3111774474455</v>
      </c>
      <c r="CN25" s="439">
        <v>4630.7160168411347</v>
      </c>
      <c r="CO25" s="439">
        <v>4898.8309057642136</v>
      </c>
    </row>
    <row r="26" spans="1:93">
      <c r="A26" s="447" t="s">
        <v>902</v>
      </c>
      <c r="B26" s="447"/>
      <c r="C26" s="442" t="s">
        <v>1455</v>
      </c>
      <c r="D26" s="447" t="s">
        <v>2384</v>
      </c>
      <c r="E26" s="436" t="s">
        <v>903</v>
      </c>
      <c r="F26" s="454">
        <v>4.0000000000000002E-4</v>
      </c>
      <c r="G26" s="454">
        <v>4.0000000000000002E-4</v>
      </c>
      <c r="H26" s="454">
        <v>1E-3</v>
      </c>
      <c r="I26" s="454">
        <v>1.1000000238418578E-3</v>
      </c>
      <c r="J26" s="454">
        <v>1E-3</v>
      </c>
      <c r="K26" s="454">
        <v>1E-3</v>
      </c>
      <c r="L26" s="454">
        <v>1.5E-3</v>
      </c>
      <c r="M26" s="454">
        <v>1.7000000476837158E-3</v>
      </c>
      <c r="N26" s="454">
        <v>1.7999999523162843E-3</v>
      </c>
      <c r="O26" s="454">
        <v>2E-3</v>
      </c>
      <c r="P26" s="454">
        <v>1.5E-3</v>
      </c>
      <c r="Q26" s="454">
        <v>1.399999976158142E-3</v>
      </c>
      <c r="R26" s="454">
        <v>1.7999999523162843E-3</v>
      </c>
      <c r="S26" s="454">
        <v>2.5000000000000001E-3</v>
      </c>
      <c r="T26" s="454">
        <v>3.2000000476837156E-3</v>
      </c>
      <c r="U26" s="454">
        <v>4.1999998092651369E-3</v>
      </c>
      <c r="V26" s="454">
        <v>3.7000000476837156E-3</v>
      </c>
      <c r="W26" s="454">
        <v>4.0999999046325685E-3</v>
      </c>
      <c r="X26" s="454">
        <v>5.3000001907348637E-3</v>
      </c>
      <c r="Y26" s="454">
        <v>4.5999999046325681E-3</v>
      </c>
      <c r="Z26" s="454">
        <v>5.4000000953674313E-3</v>
      </c>
      <c r="AA26" s="454">
        <v>1.0699999809265138E-2</v>
      </c>
      <c r="AB26" s="454">
        <v>1.7600000381469725E-2</v>
      </c>
      <c r="AC26" s="454">
        <v>2.8100000381469727E-2</v>
      </c>
      <c r="AD26" s="454">
        <v>1.5600000381469727E-2</v>
      </c>
      <c r="AE26" s="454">
        <v>1.8600000381469726E-2</v>
      </c>
      <c r="AF26" s="454">
        <v>2.6799999237060546E-2</v>
      </c>
      <c r="AG26" s="454">
        <v>2.3100000381469726E-2</v>
      </c>
      <c r="AH26" s="454">
        <v>2.7200000762939453E-2</v>
      </c>
      <c r="AI26" s="454">
        <v>2.3600000381469727E-2</v>
      </c>
      <c r="AJ26" s="454">
        <v>1.5899999618530274E-2</v>
      </c>
      <c r="AK26" s="454">
        <v>1.8299999237060546E-2</v>
      </c>
      <c r="AL26" s="454">
        <v>1.6299999237060547E-2</v>
      </c>
      <c r="AM26" s="454">
        <v>1.9299999237060547E-2</v>
      </c>
      <c r="AN26" s="454">
        <v>1.9E-2</v>
      </c>
      <c r="AO26" s="454">
        <v>2.5700000762939452E-2</v>
      </c>
      <c r="AP26" s="454">
        <v>2.5899999999999999E-2</v>
      </c>
      <c r="AQ26" s="454">
        <v>2.7E-2</v>
      </c>
      <c r="AR26" s="454">
        <v>2.23E-2</v>
      </c>
      <c r="AS26" s="454">
        <v>0.30119999999999997</v>
      </c>
      <c r="AT26" s="454">
        <v>3.1394000000000002</v>
      </c>
      <c r="AU26" s="454">
        <v>6.9737</v>
      </c>
      <c r="AV26" s="454">
        <v>10.239100000000001</v>
      </c>
      <c r="AW26" s="454">
        <v>7.7415000000000003</v>
      </c>
      <c r="AX26" s="454">
        <v>9.0118999999999989</v>
      </c>
      <c r="AY26" s="454">
        <v>15.0245</v>
      </c>
      <c r="AZ26" s="454">
        <v>43.485999999999997</v>
      </c>
      <c r="BA26" s="454">
        <v>22.739000000000001</v>
      </c>
      <c r="BB26" s="454">
        <v>32.150475</v>
      </c>
      <c r="BC26" s="458">
        <f t="shared" ref="BC26:BO26" ca="1" si="14">BB26*(BC130+BC50)/(BB130+BB50)</f>
        <v>33.392361368405233</v>
      </c>
      <c r="BD26" s="458">
        <f t="shared" ca="1" si="14"/>
        <v>40.029944176956711</v>
      </c>
      <c r="BE26" s="458">
        <f t="shared" ca="1" si="14"/>
        <v>42.996095474605283</v>
      </c>
      <c r="BF26" s="458">
        <f t="shared" ca="1" si="14"/>
        <v>45.520850740422773</v>
      </c>
      <c r="BG26" s="458">
        <f t="shared" ca="1" si="14"/>
        <v>47.838329160020727</v>
      </c>
      <c r="BH26" s="458">
        <f t="shared" ca="1" si="14"/>
        <v>50.093277370678209</v>
      </c>
      <c r="BI26" s="458">
        <f t="shared" ca="1" si="14"/>
        <v>52.363365548405582</v>
      </c>
      <c r="BJ26" s="458">
        <f t="shared" ca="1" si="14"/>
        <v>54.692839786062031</v>
      </c>
      <c r="BK26" s="458">
        <f t="shared" ca="1" si="14"/>
        <v>57.111353770713606</v>
      </c>
      <c r="BL26" s="458">
        <f t="shared" ca="1" si="14"/>
        <v>59.638688486346503</v>
      </c>
      <c r="BM26" s="458">
        <f t="shared" ca="1" si="14"/>
        <v>62.286132361730488</v>
      </c>
      <c r="BN26" s="458">
        <f t="shared" ca="1" si="14"/>
        <v>65.06258853410074</v>
      </c>
      <c r="BO26" s="458">
        <f t="shared" ca="1" si="14"/>
        <v>67.975708900682378</v>
      </c>
      <c r="BP26" s="457"/>
      <c r="BQ26" s="448">
        <f ca="1">+BD26-CD26</f>
        <v>0</v>
      </c>
      <c r="BR26" s="448">
        <f t="shared" ca="1" si="9"/>
        <v>0</v>
      </c>
      <c r="BS26" s="448">
        <f t="shared" ca="1" si="9"/>
        <v>0</v>
      </c>
      <c r="BT26" s="448">
        <f t="shared" ca="1" si="9"/>
        <v>-2.2737367544323206E-13</v>
      </c>
      <c r="BU26" s="448">
        <f t="shared" ca="1" si="9"/>
        <v>-2.6076918402395677E-12</v>
      </c>
      <c r="BV26" s="448">
        <f t="shared" ca="1" si="9"/>
        <v>-2.241051788587356E-11</v>
      </c>
      <c r="BW26" s="448">
        <f t="shared" ca="1" si="9"/>
        <v>-1.5122481045182212E-10</v>
      </c>
      <c r="BX26" s="448">
        <f t="shared" ca="1" si="9"/>
        <v>-8.3424112062857603E-10</v>
      </c>
      <c r="BY26" s="448">
        <f t="shared" ca="1" si="9"/>
        <v>-3.8803094071226951E-9</v>
      </c>
      <c r="BZ26" s="448">
        <f t="shared" ca="1" si="9"/>
        <v>-1.5605259306994412E-8</v>
      </c>
      <c r="CA26" s="448">
        <f t="shared" ca="1" si="9"/>
        <v>-5.5275449994951487E-8</v>
      </c>
      <c r="CB26" s="448">
        <f t="shared" ca="1" si="9"/>
        <v>-1.7613317027098674E-7</v>
      </c>
      <c r="CD26" s="439">
        <v>40.029944176956711</v>
      </c>
      <c r="CE26" s="439">
        <v>42.996095474605283</v>
      </c>
      <c r="CF26" s="439">
        <v>45.52085074042278</v>
      </c>
      <c r="CG26" s="439">
        <v>47.838329160020955</v>
      </c>
      <c r="CH26" s="439">
        <v>50.093277370680816</v>
      </c>
      <c r="CI26" s="439">
        <v>52.363365548427993</v>
      </c>
      <c r="CJ26" s="439">
        <v>54.692839786213256</v>
      </c>
      <c r="CK26" s="439">
        <v>57.111353771547847</v>
      </c>
      <c r="CL26" s="439">
        <v>59.638688490226812</v>
      </c>
      <c r="CM26" s="439">
        <v>62.286132377335747</v>
      </c>
      <c r="CN26" s="439">
        <v>65.06258858937619</v>
      </c>
      <c r="CO26" s="439">
        <v>67.975709076815548</v>
      </c>
    </row>
    <row r="27" spans="1:93">
      <c r="A27" s="447" t="s">
        <v>904</v>
      </c>
      <c r="B27" s="447"/>
      <c r="C27" s="442" t="s">
        <v>1455</v>
      </c>
      <c r="D27" s="447" t="s">
        <v>2384</v>
      </c>
      <c r="E27" s="436" t="s">
        <v>905</v>
      </c>
      <c r="F27" s="454">
        <v>8.9999999999999998E-4</v>
      </c>
      <c r="G27" s="454">
        <v>1.1000000000000001E-3</v>
      </c>
      <c r="H27" s="454">
        <v>1.5E-3</v>
      </c>
      <c r="I27" s="454">
        <v>1.7999999523162843E-3</v>
      </c>
      <c r="J27" s="454">
        <v>2.9000000953674316E-3</v>
      </c>
      <c r="K27" s="454">
        <v>2.5000000000000001E-3</v>
      </c>
      <c r="L27" s="454">
        <v>2.9000000953674316E-3</v>
      </c>
      <c r="M27" s="454">
        <v>3.2000000476837156E-3</v>
      </c>
      <c r="N27" s="454">
        <v>4.1999998092651369E-3</v>
      </c>
      <c r="O27" s="454">
        <v>4.1999998092651369E-3</v>
      </c>
      <c r="P27" s="454">
        <v>4.9000000953674317E-3</v>
      </c>
      <c r="Q27" s="454">
        <v>5.5999999046325681E-3</v>
      </c>
      <c r="R27" s="454">
        <v>6.6999998092651366E-3</v>
      </c>
      <c r="S27" s="454">
        <v>7.4000000953674313E-3</v>
      </c>
      <c r="T27" s="454">
        <v>8.6999998092651375E-3</v>
      </c>
      <c r="U27" s="454">
        <v>1.0999999999999999E-2</v>
      </c>
      <c r="V27" s="454">
        <v>1.6100000381469727E-2</v>
      </c>
      <c r="W27" s="454">
        <v>1.7399999618530275E-2</v>
      </c>
      <c r="X27" s="454">
        <v>2.1799999237060545E-2</v>
      </c>
      <c r="Y27" s="454">
        <v>2.9200000762939451E-2</v>
      </c>
      <c r="Z27" s="454">
        <v>4.8599998474121095E-2</v>
      </c>
      <c r="AA27" s="454">
        <v>6.1099998474121092E-2</v>
      </c>
      <c r="AB27" s="454">
        <v>2.9000000000000001E-2</v>
      </c>
      <c r="AC27" s="454">
        <v>3.4000000000000002E-2</v>
      </c>
      <c r="AD27" s="454">
        <v>4.1000000000000002E-2</v>
      </c>
      <c r="AE27" s="454">
        <v>5.6900001525878909E-2</v>
      </c>
      <c r="AF27" s="454">
        <v>5.9900001525878904E-2</v>
      </c>
      <c r="AG27" s="454">
        <v>5.1499999999999997E-2</v>
      </c>
      <c r="AH27" s="454">
        <v>6.3400001525878907E-2</v>
      </c>
      <c r="AI27" s="454">
        <v>6.1599998474121093E-2</v>
      </c>
      <c r="AJ27" s="454">
        <v>2.9700000762939452E-2</v>
      </c>
      <c r="AK27" s="454">
        <v>2.4E-2</v>
      </c>
      <c r="AL27" s="454">
        <v>2.1100000381469728E-2</v>
      </c>
      <c r="AM27" s="454">
        <v>1.4699999809265136E-2</v>
      </c>
      <c r="AN27" s="454">
        <v>1.7000000000000001E-2</v>
      </c>
      <c r="AO27" s="454">
        <v>1.7899999618530272E-2</v>
      </c>
      <c r="AP27" s="454">
        <v>2.1899999999999999E-2</v>
      </c>
      <c r="AQ27" s="454">
        <v>2.9000000000000001E-2</v>
      </c>
      <c r="AR27" s="454">
        <v>2.0500000000000001E-2</v>
      </c>
      <c r="AS27" s="454">
        <v>0.11550000000000001</v>
      </c>
      <c r="AT27" s="454">
        <v>0.62960000000000005</v>
      </c>
      <c r="AU27" s="454">
        <v>1.5205</v>
      </c>
      <c r="AV27" s="454">
        <v>3.0402</v>
      </c>
      <c r="AW27" s="454">
        <v>4.4066999999999998</v>
      </c>
      <c r="AX27" s="454">
        <v>4.2876000000000003</v>
      </c>
      <c r="AY27" s="454">
        <v>12.8355</v>
      </c>
      <c r="AZ27" s="454">
        <v>29.247</v>
      </c>
      <c r="BA27" s="454">
        <v>50.152999999999999</v>
      </c>
      <c r="BB27" s="454">
        <v>23.232825000000002</v>
      </c>
      <c r="BC27" s="458">
        <f t="shared" ref="BC27:BO27" ca="1" si="15">(BA27+BB27)*0.5*BC131/BB131</f>
        <v>52.555160401418867</v>
      </c>
      <c r="BD27" s="458">
        <f t="shared" ca="1" si="15"/>
        <v>44.948703555035323</v>
      </c>
      <c r="BE27" s="458">
        <f t="shared" ca="1" si="15"/>
        <v>54.133849404607474</v>
      </c>
      <c r="BF27" s="458">
        <f t="shared" ca="1" si="15"/>
        <v>53.73511845861686</v>
      </c>
      <c r="BG27" s="458">
        <f t="shared" ca="1" si="15"/>
        <v>58.019385173211312</v>
      </c>
      <c r="BH27" s="458">
        <f t="shared" ca="1" si="15"/>
        <v>59.452550309398305</v>
      </c>
      <c r="BI27" s="458">
        <f t="shared" ca="1" si="15"/>
        <v>62.191658029930586</v>
      </c>
      <c r="BJ27" s="458">
        <f t="shared" ca="1" si="15"/>
        <v>64.143141780089948</v>
      </c>
      <c r="BK27" s="458">
        <f t="shared" ca="1" si="15"/>
        <v>66.698435638185245</v>
      </c>
      <c r="BL27" s="458">
        <f t="shared" ca="1" si="15"/>
        <v>69.056205045674673</v>
      </c>
      <c r="BM27" s="458">
        <f t="shared" ca="1" si="15"/>
        <v>71.567382433721164</v>
      </c>
      <c r="BN27" s="458">
        <f t="shared" ca="1" si="15"/>
        <v>74.098247781123945</v>
      </c>
      <c r="BO27" s="458">
        <f t="shared" ca="1" si="15"/>
        <v>76.656819819092235</v>
      </c>
      <c r="BP27" s="457"/>
      <c r="BQ27" s="448">
        <f ca="1">+BD27-CD27</f>
        <v>0</v>
      </c>
      <c r="BR27" s="448">
        <f t="shared" ca="1" si="9"/>
        <v>0</v>
      </c>
      <c r="BS27" s="448">
        <f t="shared" ca="1" si="9"/>
        <v>-8.5265128291212022E-14</v>
      </c>
      <c r="BT27" s="448">
        <f t="shared" ca="1" si="9"/>
        <v>-1.1297629498585593E-12</v>
      </c>
      <c r="BU27" s="448">
        <f t="shared" ca="1" si="9"/>
        <v>-1.2498446722020162E-11</v>
      </c>
      <c r="BV27" s="448">
        <f t="shared" ca="1" si="9"/>
        <v>-1.042224084812915E-10</v>
      </c>
      <c r="BW27" s="448">
        <f t="shared" ca="1" si="9"/>
        <v>-6.779998784622876E-10</v>
      </c>
      <c r="BX27" s="448">
        <f t="shared" ca="1" si="9"/>
        <v>-3.6275764614401851E-9</v>
      </c>
      <c r="BY27" s="448">
        <f t="shared" ca="1" si="9"/>
        <v>-1.6315539141942281E-8</v>
      </c>
      <c r="BZ27" s="448">
        <f t="shared" ca="1" si="9"/>
        <v>-6.3552192841598298E-8</v>
      </c>
      <c r="CA27" s="448">
        <f t="shared" ca="1" si="9"/>
        <v>-2.1793898952182644E-7</v>
      </c>
      <c r="CB27" s="448">
        <f t="shared" ca="1" si="9"/>
        <v>-6.7416439719636401E-7</v>
      </c>
      <c r="CD27" s="439">
        <v>44.948703555035323</v>
      </c>
      <c r="CE27" s="439">
        <v>54.133849404607474</v>
      </c>
      <c r="CF27" s="439">
        <v>53.735118458616945</v>
      </c>
      <c r="CG27" s="439">
        <v>58.019385173212441</v>
      </c>
      <c r="CH27" s="439">
        <v>59.452550309410803</v>
      </c>
      <c r="CI27" s="439">
        <v>62.191658030034809</v>
      </c>
      <c r="CJ27" s="439">
        <v>64.143141780767948</v>
      </c>
      <c r="CK27" s="439">
        <v>66.698435641812821</v>
      </c>
      <c r="CL27" s="439">
        <v>69.056205061990212</v>
      </c>
      <c r="CM27" s="439">
        <v>71.567382497273357</v>
      </c>
      <c r="CN27" s="439">
        <v>74.098247999062934</v>
      </c>
      <c r="CO27" s="439">
        <v>76.656820493256632</v>
      </c>
    </row>
    <row r="28" spans="1:93">
      <c r="A28" s="447" t="s">
        <v>906</v>
      </c>
      <c r="B28" s="447"/>
      <c r="C28" s="442" t="s">
        <v>1455</v>
      </c>
      <c r="D28" s="447" t="s">
        <v>2384</v>
      </c>
      <c r="E28" s="436" t="s">
        <v>907</v>
      </c>
      <c r="F28" s="454">
        <v>2.0000000000000001E-4</v>
      </c>
      <c r="G28" s="454">
        <v>2.0000000000000001E-4</v>
      </c>
      <c r="H28" s="454">
        <v>4.0000000596046445E-4</v>
      </c>
      <c r="I28" s="454">
        <v>5.0000000000000001E-4</v>
      </c>
      <c r="J28" s="454">
        <v>8.9999997615814213E-4</v>
      </c>
      <c r="K28" s="454">
        <v>1.2000000476837158E-3</v>
      </c>
      <c r="L28" s="454">
        <v>1.7999999523162843E-3</v>
      </c>
      <c r="M28" s="454">
        <v>2.0999999046325685E-3</v>
      </c>
      <c r="N28" s="454">
        <v>3.0000000000000001E-3</v>
      </c>
      <c r="O28" s="454">
        <v>4.4999999999999997E-3</v>
      </c>
      <c r="P28" s="454">
        <v>4.4999999999999997E-3</v>
      </c>
      <c r="Q28" s="454">
        <v>6.199999809265137E-3</v>
      </c>
      <c r="R28" s="454">
        <v>6.0000000000000001E-3</v>
      </c>
      <c r="S28" s="454">
        <v>6.0000000000000001E-3</v>
      </c>
      <c r="T28" s="454">
        <v>6.0999999046325686E-3</v>
      </c>
      <c r="U28" s="454">
        <v>5.8000001907348633E-3</v>
      </c>
      <c r="V28" s="454">
        <v>2.9000000953674316E-3</v>
      </c>
      <c r="W28" s="454">
        <v>3.2000000476837156E-3</v>
      </c>
      <c r="X28" s="454">
        <v>4.0000000000000001E-3</v>
      </c>
      <c r="Y28" s="454">
        <v>5.3000001907348637E-3</v>
      </c>
      <c r="Z28" s="454">
        <v>6.8000001907348633E-3</v>
      </c>
      <c r="AA28" s="454">
        <v>7.0000000000000001E-3</v>
      </c>
      <c r="AB28" s="454">
        <v>7.0999999046325686E-3</v>
      </c>
      <c r="AC28" s="454">
        <v>6.3000001907348637E-3</v>
      </c>
      <c r="AD28" s="454">
        <v>6.6999998092651366E-3</v>
      </c>
      <c r="AE28" s="454">
        <v>8.199999809265137E-3</v>
      </c>
      <c r="AF28" s="454">
        <v>7.4999999999999997E-3</v>
      </c>
      <c r="AG28" s="454">
        <v>6.5999999046325681E-3</v>
      </c>
      <c r="AH28" s="454">
        <v>5.4000000953674313E-3</v>
      </c>
      <c r="AI28" s="454">
        <v>2.7999999523162841E-3</v>
      </c>
      <c r="AJ28" s="454">
        <v>2.2000000476837156E-3</v>
      </c>
      <c r="AK28" s="454">
        <v>1.7000000476837158E-3</v>
      </c>
      <c r="AL28" s="454">
        <v>1.399999976158142E-3</v>
      </c>
      <c r="AM28" s="454">
        <v>1.899999976158142E-3</v>
      </c>
      <c r="AN28" s="454">
        <v>3.0000000000000001E-3</v>
      </c>
      <c r="AO28" s="454">
        <v>1.5E-3</v>
      </c>
      <c r="AP28" s="454">
        <v>2.2000000000000001E-3</v>
      </c>
      <c r="AQ28" s="454">
        <v>3.0999999999999999E-3</v>
      </c>
      <c r="AR28" s="454">
        <v>2.8999999999999998E-3</v>
      </c>
      <c r="AS28" s="454">
        <v>8.3900000000000002E-2</v>
      </c>
      <c r="AT28" s="454">
        <v>0.2102</v>
      </c>
      <c r="AU28" s="454">
        <v>0.49810000000000004</v>
      </c>
      <c r="AV28" s="454">
        <v>0.53389999999999993</v>
      </c>
      <c r="AW28" s="454">
        <v>0.47639999999999999</v>
      </c>
      <c r="AX28" s="454">
        <v>0.31760000000000005</v>
      </c>
      <c r="AY28" s="454">
        <v>0.995</v>
      </c>
      <c r="AZ28" s="454">
        <v>1.5409999999999999</v>
      </c>
      <c r="BA28" s="454">
        <v>2.4980000000000002</v>
      </c>
      <c r="BB28" s="454">
        <v>2.6440000000000001</v>
      </c>
      <c r="BC28" s="454">
        <v>12.879</v>
      </c>
      <c r="BD28" s="454">
        <v>14.586</v>
      </c>
      <c r="BE28" s="458">
        <f t="shared" ref="BE28:BO28" ca="1" si="16">BD28*(1+BE80/100)</f>
        <v>15.576766001178889</v>
      </c>
      <c r="BF28" s="458">
        <f t="shared" ca="1" si="16"/>
        <v>16.355930898636647</v>
      </c>
      <c r="BG28" s="458">
        <f t="shared" ca="1" si="16"/>
        <v>17.023068497098265</v>
      </c>
      <c r="BH28" s="458">
        <f t="shared" ca="1" si="16"/>
        <v>17.639089435484021</v>
      </c>
      <c r="BI28" s="458">
        <f t="shared" ca="1" si="16"/>
        <v>18.235542558916826</v>
      </c>
      <c r="BJ28" s="458">
        <f t="shared" ca="1" si="16"/>
        <v>18.829355898754326</v>
      </c>
      <c r="BK28" s="458">
        <f t="shared" ca="1" si="16"/>
        <v>19.430957150964456</v>
      </c>
      <c r="BL28" s="458">
        <f t="shared" ca="1" si="16"/>
        <v>20.046426505350389</v>
      </c>
      <c r="BM28" s="458">
        <f t="shared" ca="1" si="16"/>
        <v>20.678319443429924</v>
      </c>
      <c r="BN28" s="458">
        <f t="shared" ca="1" si="16"/>
        <v>21.32810263356491</v>
      </c>
      <c r="BO28" s="458">
        <f t="shared" ca="1" si="16"/>
        <v>21.996624098168191</v>
      </c>
      <c r="BP28" s="457"/>
      <c r="BQ28" s="448">
        <f t="shared" si="9"/>
        <v>0</v>
      </c>
      <c r="BR28" s="448">
        <f t="shared" ca="1" si="9"/>
        <v>0</v>
      </c>
      <c r="BS28" s="448">
        <f t="shared" ca="1" si="9"/>
        <v>0</v>
      </c>
      <c r="BT28" s="448">
        <f t="shared" ca="1" si="9"/>
        <v>-1.1013412404281553E-13</v>
      </c>
      <c r="BU28" s="448">
        <f t="shared" ca="1" si="9"/>
        <v>-1.2292389328649733E-12</v>
      </c>
      <c r="BV28" s="448">
        <f t="shared" ca="1" si="9"/>
        <v>-1.0409451078885468E-11</v>
      </c>
      <c r="BW28" s="448">
        <f t="shared" ca="1" si="9"/>
        <v>-6.9448446993192192E-11</v>
      </c>
      <c r="BX28" s="448">
        <f t="shared" ca="1" si="9"/>
        <v>-3.7907099681433465E-10</v>
      </c>
      <c r="BY28" s="448">
        <f t="shared" ca="1" si="9"/>
        <v>-1.744950850479654E-9</v>
      </c>
      <c r="BZ28" s="448">
        <f t="shared" ca="1" si="9"/>
        <v>-6.9452426032512449E-9</v>
      </c>
      <c r="CA28" s="448">
        <f t="shared" ca="1" si="9"/>
        <v>-2.4347396987423053E-8</v>
      </c>
      <c r="CB28" s="448">
        <f t="shared" ca="1" si="9"/>
        <v>-7.6780661828479424E-8</v>
      </c>
      <c r="CD28" s="439">
        <v>14.586</v>
      </c>
      <c r="CE28" s="439">
        <v>15.576766001178889</v>
      </c>
      <c r="CF28" s="439">
        <v>16.355930898636654</v>
      </c>
      <c r="CG28" s="439">
        <v>17.023068497098375</v>
      </c>
      <c r="CH28" s="439">
        <v>17.63908943548525</v>
      </c>
      <c r="CI28" s="439">
        <v>18.235542558927236</v>
      </c>
      <c r="CJ28" s="439">
        <v>18.829355898823774</v>
      </c>
      <c r="CK28" s="439">
        <v>19.430957151343527</v>
      </c>
      <c r="CL28" s="439">
        <v>20.04642650709534</v>
      </c>
      <c r="CM28" s="439">
        <v>20.678319450375167</v>
      </c>
      <c r="CN28" s="439">
        <v>21.328102657912307</v>
      </c>
      <c r="CO28" s="439">
        <v>21.996624174948852</v>
      </c>
    </row>
    <row r="29" spans="1:93">
      <c r="A29" s="447" t="s">
        <v>2715</v>
      </c>
      <c r="B29" s="447"/>
      <c r="C29" s="442" t="s">
        <v>1455</v>
      </c>
      <c r="D29" s="447" t="s">
        <v>2384</v>
      </c>
      <c r="E29" s="436" t="s">
        <v>2716</v>
      </c>
      <c r="F29" s="454">
        <v>7.7999999999999996E-3</v>
      </c>
      <c r="G29" s="454">
        <v>4.0999999999999995E-3</v>
      </c>
      <c r="H29" s="454">
        <v>1.072898006439209E-2</v>
      </c>
      <c r="I29" s="454">
        <v>1.1048999786376953E-2</v>
      </c>
      <c r="J29" s="454">
        <v>8.9983396530151361E-3</v>
      </c>
      <c r="K29" s="454">
        <v>2.226300048828125E-2</v>
      </c>
      <c r="L29" s="454">
        <v>2.7204460144042968E-2</v>
      </c>
      <c r="M29" s="454">
        <v>2.5658399581909179E-2</v>
      </c>
      <c r="N29" s="454">
        <v>2.5698879241943359E-2</v>
      </c>
      <c r="O29" s="454">
        <v>2.7847240447998047E-2</v>
      </c>
      <c r="P29" s="454">
        <v>2.9030500411987306E-2</v>
      </c>
      <c r="Q29" s="454">
        <v>2.9634000778198243E-2</v>
      </c>
      <c r="R29" s="454">
        <v>3.24119987487793E-2</v>
      </c>
      <c r="S29" s="454">
        <v>4.1234001159667966E-2</v>
      </c>
      <c r="T29" s="454">
        <v>7.1874999999999994E-2</v>
      </c>
      <c r="U29" s="454">
        <v>8.1740997314453126E-2</v>
      </c>
      <c r="V29" s="454">
        <v>7.831099700927735E-2</v>
      </c>
      <c r="W29" s="454">
        <v>8.7449996948242181E-2</v>
      </c>
      <c r="X29" s="454">
        <v>7.9900001525878908E-2</v>
      </c>
      <c r="Y29" s="454">
        <v>6.9000000000000006E-2</v>
      </c>
      <c r="Z29" s="454">
        <v>6.4099998474121095E-2</v>
      </c>
      <c r="AA29" s="454">
        <v>5.8400001525878903E-2</v>
      </c>
      <c r="AB29" s="454">
        <v>7.9199996948242188E-2</v>
      </c>
      <c r="AC29" s="454">
        <v>6.7699996948242191E-2</v>
      </c>
      <c r="AD29" s="454">
        <v>6.1299999237060546E-2</v>
      </c>
      <c r="AE29" s="454">
        <v>8.69000015258789E-2</v>
      </c>
      <c r="AF29" s="454">
        <v>6.6099998474121097E-2</v>
      </c>
      <c r="AG29" s="454">
        <v>3.2200000762939454E-2</v>
      </c>
      <c r="AH29" s="454">
        <v>4.4499999999999998E-2</v>
      </c>
      <c r="AI29" s="454">
        <v>4.5599998474121092E-2</v>
      </c>
      <c r="AJ29" s="454">
        <v>2.9000000953674316E-3</v>
      </c>
      <c r="AK29" s="454">
        <v>3.2999999523162841E-3</v>
      </c>
      <c r="AL29" s="454">
        <v>5.0000000000000001E-3</v>
      </c>
      <c r="AM29" s="454">
        <v>8.6000003814697273E-3</v>
      </c>
      <c r="AN29" s="454">
        <v>1.4800000190734863E-2</v>
      </c>
      <c r="AO29" s="454">
        <v>1.1300000190734863E-2</v>
      </c>
      <c r="AP29" s="454">
        <v>1.7000000000000001E-2</v>
      </c>
      <c r="AQ29" s="454">
        <v>1.9399999999999997E-2</v>
      </c>
      <c r="AR29" s="454">
        <v>1.1699999999999999E-2</v>
      </c>
      <c r="AS29" s="454">
        <v>0.18390000000000001</v>
      </c>
      <c r="AT29" s="454">
        <v>0.79349999999999998</v>
      </c>
      <c r="AU29" s="454">
        <v>1.9869000000000001</v>
      </c>
      <c r="AV29" s="454">
        <v>1.2207999999999999</v>
      </c>
      <c r="AW29" s="454">
        <v>3.4935999999999998</v>
      </c>
      <c r="AX29" s="454">
        <v>2.4763999999999999</v>
      </c>
      <c r="AY29" s="454">
        <v>6.5670000000000002</v>
      </c>
      <c r="AZ29" s="454">
        <v>83.96</v>
      </c>
      <c r="BA29" s="454">
        <v>241.15299999999999</v>
      </c>
      <c r="BB29" s="454">
        <v>115.75700000000001</v>
      </c>
      <c r="BC29" s="454">
        <v>145.34700000000001</v>
      </c>
      <c r="BD29" s="454">
        <v>201.446</v>
      </c>
      <c r="BE29" s="458">
        <f ca="1">BE55+IF(BD148&gt;0,0.2*(BD148/BD147)*BD175,0)</f>
        <v>164.44103939718863</v>
      </c>
      <c r="BF29" s="458">
        <f t="shared" ref="BF29:BO29" ca="1" si="17">BF55+IF(BE148&gt;0,0.2*(BE148/BE147)*BE175,0)</f>
        <v>140.10266875882644</v>
      </c>
      <c r="BG29" s="458">
        <f t="shared" ca="1" si="17"/>
        <v>122.64860585254665</v>
      </c>
      <c r="BH29" s="458">
        <f t="shared" ca="1" si="17"/>
        <v>108.04949389683202</v>
      </c>
      <c r="BI29" s="458">
        <f t="shared" ca="1" si="17"/>
        <v>94.539458004759794</v>
      </c>
      <c r="BJ29" s="458">
        <f t="shared" ca="1" si="17"/>
        <v>82.124470892591432</v>
      </c>
      <c r="BK29" s="458">
        <f t="shared" ca="1" si="17"/>
        <v>70.328170458182427</v>
      </c>
      <c r="BL29" s="458">
        <f t="shared" ca="1" si="17"/>
        <v>59.070841926737856</v>
      </c>
      <c r="BM29" s="458">
        <f t="shared" ca="1" si="17"/>
        <v>48.042568818868432</v>
      </c>
      <c r="BN29" s="458">
        <f t="shared" ca="1" si="17"/>
        <v>37.164316348267796</v>
      </c>
      <c r="BO29" s="458">
        <f t="shared" ca="1" si="17"/>
        <v>33.732988046619163</v>
      </c>
      <c r="BP29" s="457"/>
      <c r="BQ29" s="448">
        <f t="shared" si="9"/>
        <v>0</v>
      </c>
      <c r="BR29" s="448">
        <f t="shared" ca="1" si="9"/>
        <v>0</v>
      </c>
      <c r="BS29" s="448">
        <f t="shared" ca="1" si="9"/>
        <v>0</v>
      </c>
      <c r="BT29" s="448">
        <f t="shared" ca="1" si="9"/>
        <v>4.1211478674085811E-13</v>
      </c>
      <c r="BU29" s="448">
        <f t="shared" ca="1" si="9"/>
        <v>4.6185277824406512E-12</v>
      </c>
      <c r="BV29" s="448">
        <f t="shared" ca="1" si="9"/>
        <v>3.9520386962976772E-11</v>
      </c>
      <c r="BW29" s="448">
        <f t="shared" ca="1" si="9"/>
        <v>2.5475799247942632E-10</v>
      </c>
      <c r="BX29" s="448">
        <f t="shared" ca="1" si="9"/>
        <v>1.2347385336397565E-9</v>
      </c>
      <c r="BY29" s="448">
        <f t="shared" ca="1" si="9"/>
        <v>4.4832262346972129E-9</v>
      </c>
      <c r="BZ29" s="448">
        <f t="shared" ca="1" si="9"/>
        <v>1.1260084420428029E-8</v>
      </c>
      <c r="CA29" s="448">
        <f t="shared" ca="1" si="9"/>
        <v>1.0897970526002609E-8</v>
      </c>
      <c r="CB29" s="448">
        <f t="shared" ca="1" si="9"/>
        <v>0</v>
      </c>
      <c r="CD29" s="439">
        <v>201.446</v>
      </c>
      <c r="CE29" s="439">
        <v>164.44103939718863</v>
      </c>
      <c r="CF29" s="439">
        <v>140.10266875882644</v>
      </c>
      <c r="CG29" s="439">
        <v>122.64860585254624</v>
      </c>
      <c r="CH29" s="439">
        <v>108.0494938968274</v>
      </c>
      <c r="CI29" s="439">
        <v>94.539458004720274</v>
      </c>
      <c r="CJ29" s="439">
        <v>82.124470892336674</v>
      </c>
      <c r="CK29" s="439">
        <v>70.328170456947689</v>
      </c>
      <c r="CL29" s="439">
        <v>59.07084192225463</v>
      </c>
      <c r="CM29" s="439">
        <v>48.042568807608347</v>
      </c>
      <c r="CN29" s="439">
        <v>37.164316337369826</v>
      </c>
      <c r="CO29" s="439">
        <v>33.732988046619163</v>
      </c>
    </row>
    <row r="30" spans="1:93">
      <c r="A30" s="447" t="s">
        <v>2717</v>
      </c>
      <c r="B30" s="447"/>
      <c r="C30" s="442" t="s">
        <v>1455</v>
      </c>
      <c r="D30" s="447" t="s">
        <v>2384</v>
      </c>
      <c r="E30" s="436" t="s">
        <v>2718</v>
      </c>
      <c r="F30" s="454">
        <v>5.0000000000000001E-4</v>
      </c>
      <c r="G30" s="454">
        <v>5.0000000000000001E-4</v>
      </c>
      <c r="H30" s="454">
        <v>1.7223854064941405E-3</v>
      </c>
      <c r="I30" s="454">
        <v>2.0706267356872558E-3</v>
      </c>
      <c r="J30" s="454">
        <v>2.1953413486480713E-3</v>
      </c>
      <c r="K30" s="454">
        <v>2.4671094417572023E-3</v>
      </c>
      <c r="L30" s="454">
        <v>2.7579457759857179E-3</v>
      </c>
      <c r="M30" s="454">
        <v>3.7937061786651612E-3</v>
      </c>
      <c r="N30" s="454">
        <v>4.1579456329345699E-3</v>
      </c>
      <c r="O30" s="454">
        <v>2.9842956066131591E-3</v>
      </c>
      <c r="P30" s="454">
        <v>3.0955884456634521E-3</v>
      </c>
      <c r="Q30" s="454">
        <v>2.2449998855590819E-3</v>
      </c>
      <c r="R30" s="454">
        <v>2.1449999809265135E-3</v>
      </c>
      <c r="S30" s="454">
        <v>2.299999952316284E-3</v>
      </c>
      <c r="T30" s="454">
        <v>2.1250000000000002E-3</v>
      </c>
      <c r="U30" s="454">
        <v>2.3099999427795411E-3</v>
      </c>
      <c r="V30" s="454">
        <v>2.4400000572204592E-3</v>
      </c>
      <c r="W30" s="454">
        <v>2.805000066757202E-3</v>
      </c>
      <c r="X30" s="454">
        <v>1.0899999618530273E-2</v>
      </c>
      <c r="Y30" s="454">
        <v>1.0199999809265137E-2</v>
      </c>
      <c r="Z30" s="454">
        <v>1.15E-2</v>
      </c>
      <c r="AA30" s="454">
        <v>1.4800000190734863E-2</v>
      </c>
      <c r="AB30" s="454">
        <v>9.100000381469726E-3</v>
      </c>
      <c r="AC30" s="454">
        <v>1.35E-2</v>
      </c>
      <c r="AD30" s="454">
        <v>6.6999998092651366E-3</v>
      </c>
      <c r="AE30" s="454">
        <v>1.4899999618530273E-2</v>
      </c>
      <c r="AF30" s="454">
        <v>2.0600000381469728E-2</v>
      </c>
      <c r="AG30" s="454">
        <v>1.8200000762939452E-2</v>
      </c>
      <c r="AH30" s="454">
        <v>2.3299999237060547E-2</v>
      </c>
      <c r="AI30" s="454">
        <v>2.9799999237060545E-2</v>
      </c>
      <c r="AJ30" s="454">
        <v>2.2799999237060546E-2</v>
      </c>
      <c r="AK30" s="454">
        <v>1.3699999809265137E-2</v>
      </c>
      <c r="AL30" s="454">
        <v>1.0600000381469727E-2</v>
      </c>
      <c r="AM30" s="454">
        <v>1.0399999618530274E-2</v>
      </c>
      <c r="AN30" s="454">
        <v>1.2800000190734863E-2</v>
      </c>
      <c r="AO30" s="454">
        <v>1.3100000381469726E-2</v>
      </c>
      <c r="AP30" s="454">
        <v>1.5900000000000001E-2</v>
      </c>
      <c r="AQ30" s="454">
        <v>1.9300000000000001E-2</v>
      </c>
      <c r="AR30" s="454">
        <v>2.5700000000000001E-2</v>
      </c>
      <c r="AS30" s="454">
        <v>0.19889999999999999</v>
      </c>
      <c r="AT30" s="454">
        <v>0.45789999999999997</v>
      </c>
      <c r="AU30" s="454">
        <v>1.0139</v>
      </c>
      <c r="AV30" s="454">
        <v>0.98020000000000007</v>
      </c>
      <c r="AW30" s="454">
        <v>1.1910000000000001</v>
      </c>
      <c r="AX30" s="454">
        <v>1.4292</v>
      </c>
      <c r="AY30" s="454">
        <v>3.2835000000000001</v>
      </c>
      <c r="AZ30" s="454">
        <v>4.0590000000000002</v>
      </c>
      <c r="BA30" s="454">
        <v>6.4390000000000001</v>
      </c>
      <c r="BB30" s="454">
        <v>51.155000000000001</v>
      </c>
      <c r="BC30" s="454">
        <v>129.84</v>
      </c>
      <c r="BD30" s="454">
        <v>173.376</v>
      </c>
      <c r="BE30" s="458">
        <f t="shared" ref="BE30:BO30" ca="1" si="18">BD30*(1+BE80/100)</f>
        <v>185.1527068572872</v>
      </c>
      <c r="BF30" s="458">
        <f t="shared" ca="1" si="18"/>
        <v>194.4142242891833</v>
      </c>
      <c r="BG30" s="458">
        <f t="shared" ca="1" si="18"/>
        <v>202.34413298731036</v>
      </c>
      <c r="BH30" s="458">
        <f t="shared" ca="1" si="18"/>
        <v>209.66644521914696</v>
      </c>
      <c r="BI30" s="458">
        <f t="shared" ca="1" si="18"/>
        <v>216.75616527456216</v>
      </c>
      <c r="BJ30" s="458">
        <f t="shared" ca="1" si="18"/>
        <v>223.81450763077129</v>
      </c>
      <c r="BK30" s="458">
        <f t="shared" ca="1" si="18"/>
        <v>230.9654207463056</v>
      </c>
      <c r="BL30" s="458">
        <f t="shared" ca="1" si="18"/>
        <v>238.28117659342035</v>
      </c>
      <c r="BM30" s="458">
        <f t="shared" ca="1" si="18"/>
        <v>245.79215081750354</v>
      </c>
      <c r="BN30" s="458">
        <f t="shared" ca="1" si="18"/>
        <v>253.51577692286784</v>
      </c>
      <c r="BO30" s="458">
        <f t="shared" ca="1" si="18"/>
        <v>261.46213489949326</v>
      </c>
      <c r="BP30" s="457"/>
      <c r="BQ30" s="448">
        <f t="shared" si="9"/>
        <v>0</v>
      </c>
      <c r="BR30" s="448">
        <f t="shared" ca="1" si="9"/>
        <v>0</v>
      </c>
      <c r="BS30" s="448">
        <f t="shared" ca="1" si="9"/>
        <v>0</v>
      </c>
      <c r="BT30" s="448">
        <f t="shared" ca="1" si="9"/>
        <v>-1.3073986337985843E-12</v>
      </c>
      <c r="BU30" s="448">
        <f t="shared" ca="1" si="9"/>
        <v>-1.460875864722766E-11</v>
      </c>
      <c r="BV30" s="448">
        <f t="shared" ca="1" si="9"/>
        <v>-1.2371970115054864E-10</v>
      </c>
      <c r="BW30" s="448">
        <f t="shared" ca="1" si="9"/>
        <v>-8.2548012869665399E-10</v>
      </c>
      <c r="BX30" s="448">
        <f t="shared" ca="1" si="9"/>
        <v>-4.5058072828396689E-9</v>
      </c>
      <c r="BY30" s="448">
        <f t="shared" ca="1" si="9"/>
        <v>-2.0741282469316502E-8</v>
      </c>
      <c r="BZ30" s="448">
        <f t="shared" ca="1" si="9"/>
        <v>-8.255437933257781E-8</v>
      </c>
      <c r="CA30" s="448">
        <f t="shared" ca="1" si="9"/>
        <v>-2.8940448260073026E-7</v>
      </c>
      <c r="CB30" s="448">
        <f t="shared" ca="1" si="9"/>
        <v>-9.1265070523149916E-7</v>
      </c>
      <c r="CD30" s="439">
        <v>173.376</v>
      </c>
      <c r="CE30" s="439">
        <v>185.1527068572872</v>
      </c>
      <c r="CF30" s="439">
        <v>194.41422428918338</v>
      </c>
      <c r="CG30" s="439">
        <v>202.34413298731167</v>
      </c>
      <c r="CH30" s="439">
        <v>209.66644521916157</v>
      </c>
      <c r="CI30" s="439">
        <v>216.75616527468588</v>
      </c>
      <c r="CJ30" s="439">
        <v>223.81450763159677</v>
      </c>
      <c r="CK30" s="439">
        <v>230.9654207508114</v>
      </c>
      <c r="CL30" s="439">
        <v>238.28117661416164</v>
      </c>
      <c r="CM30" s="439">
        <v>245.79215090005792</v>
      </c>
      <c r="CN30" s="439">
        <v>253.51577721227233</v>
      </c>
      <c r="CO30" s="439">
        <v>261.46213581214397</v>
      </c>
    </row>
    <row r="31" spans="1:93">
      <c r="A31" s="447" t="s">
        <v>2719</v>
      </c>
      <c r="B31" s="447"/>
      <c r="C31" s="442" t="s">
        <v>1344</v>
      </c>
      <c r="D31" s="447"/>
      <c r="E31" s="436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8"/>
      <c r="AW31" s="438"/>
      <c r="AX31" s="438"/>
      <c r="AY31" s="438"/>
      <c r="AZ31" s="438"/>
      <c r="BE31" s="438"/>
      <c r="BF31" s="438"/>
      <c r="BG31" s="438"/>
      <c r="BH31" s="438"/>
      <c r="BI31" s="438"/>
      <c r="BJ31" s="438"/>
      <c r="BK31" s="438"/>
      <c r="BL31" s="438"/>
      <c r="BM31" s="438"/>
      <c r="BN31" s="438"/>
      <c r="BO31" s="438"/>
      <c r="BQ31" s="438"/>
      <c r="BR31" s="438"/>
      <c r="BS31" s="438"/>
      <c r="BT31" s="438"/>
      <c r="BU31" s="438"/>
      <c r="BV31" s="438"/>
      <c r="BW31" s="438"/>
      <c r="BX31" s="438"/>
      <c r="BY31" s="438"/>
      <c r="BZ31" s="438"/>
      <c r="CA31" s="438"/>
      <c r="CB31" s="438"/>
      <c r="CC31" s="438"/>
    </row>
    <row r="32" spans="1:93">
      <c r="A32" s="447" t="s">
        <v>878</v>
      </c>
      <c r="B32" s="447"/>
      <c r="C32" s="442" t="s">
        <v>1344</v>
      </c>
      <c r="D32" s="447"/>
      <c r="E32" s="436"/>
      <c r="F32" s="436" t="s">
        <v>1344</v>
      </c>
      <c r="G32" s="436" t="s">
        <v>1344</v>
      </c>
      <c r="H32" s="436" t="s">
        <v>1344</v>
      </c>
      <c r="I32" s="436" t="s">
        <v>1344</v>
      </c>
      <c r="J32" s="436" t="s">
        <v>1344</v>
      </c>
      <c r="K32" s="436" t="s">
        <v>1344</v>
      </c>
      <c r="L32" s="436" t="s">
        <v>1344</v>
      </c>
      <c r="M32" s="436" t="s">
        <v>1344</v>
      </c>
      <c r="N32" s="436" t="s">
        <v>1344</v>
      </c>
      <c r="O32" s="436" t="s">
        <v>1344</v>
      </c>
      <c r="P32" s="436" t="s">
        <v>1344</v>
      </c>
      <c r="Q32" s="436" t="s">
        <v>1344</v>
      </c>
      <c r="R32" s="436" t="s">
        <v>1344</v>
      </c>
      <c r="S32" s="436" t="s">
        <v>1344</v>
      </c>
      <c r="T32" s="436" t="s">
        <v>1344</v>
      </c>
      <c r="U32" s="436" t="s">
        <v>1344</v>
      </c>
      <c r="V32" s="436" t="s">
        <v>1344</v>
      </c>
      <c r="W32" s="436" t="s">
        <v>1344</v>
      </c>
      <c r="X32" s="436" t="s">
        <v>1344</v>
      </c>
      <c r="Y32" s="436" t="s">
        <v>1344</v>
      </c>
      <c r="Z32" s="436" t="s">
        <v>1344</v>
      </c>
      <c r="AA32" s="436" t="s">
        <v>1344</v>
      </c>
      <c r="AB32" s="436" t="s">
        <v>1344</v>
      </c>
      <c r="AC32" s="436" t="s">
        <v>1344</v>
      </c>
      <c r="AD32" s="436" t="s">
        <v>1344</v>
      </c>
      <c r="AE32" s="436" t="s">
        <v>1344</v>
      </c>
      <c r="AF32" s="436" t="s">
        <v>1344</v>
      </c>
      <c r="AG32" s="436" t="s">
        <v>1344</v>
      </c>
      <c r="AH32" s="436" t="s">
        <v>1344</v>
      </c>
      <c r="AI32" s="436" t="s">
        <v>1344</v>
      </c>
      <c r="AJ32" s="436" t="s">
        <v>1344</v>
      </c>
      <c r="AK32" s="436" t="s">
        <v>1344</v>
      </c>
      <c r="AL32" s="436" t="s">
        <v>1344</v>
      </c>
      <c r="AM32" s="436" t="s">
        <v>1344</v>
      </c>
      <c r="AN32" s="436" t="s">
        <v>1344</v>
      </c>
      <c r="AO32" s="436" t="s">
        <v>1344</v>
      </c>
      <c r="AP32" s="436" t="s">
        <v>1344</v>
      </c>
      <c r="AQ32" s="436" t="s">
        <v>1344</v>
      </c>
      <c r="AR32" s="436" t="s">
        <v>1344</v>
      </c>
      <c r="AS32" s="436" t="s">
        <v>1344</v>
      </c>
      <c r="AT32" s="436" t="s">
        <v>1344</v>
      </c>
      <c r="AU32" s="436" t="s">
        <v>1344</v>
      </c>
      <c r="AV32" s="436" t="s">
        <v>1344</v>
      </c>
      <c r="AW32" s="436" t="s">
        <v>1344</v>
      </c>
      <c r="AX32" s="436" t="s">
        <v>1344</v>
      </c>
      <c r="AY32" s="436" t="s">
        <v>1344</v>
      </c>
      <c r="AZ32" s="436" t="s">
        <v>1344</v>
      </c>
      <c r="BA32" s="436" t="s">
        <v>1344</v>
      </c>
      <c r="BB32" s="436" t="s">
        <v>1344</v>
      </c>
      <c r="BC32" s="436" t="s">
        <v>1344</v>
      </c>
      <c r="BD32" s="436" t="s">
        <v>1344</v>
      </c>
      <c r="BE32" s="436" t="s">
        <v>1344</v>
      </c>
      <c r="BF32" s="436" t="s">
        <v>1344</v>
      </c>
      <c r="BG32" s="436" t="s">
        <v>1344</v>
      </c>
      <c r="BH32" s="436" t="s">
        <v>1344</v>
      </c>
      <c r="BI32" s="436" t="s">
        <v>1344</v>
      </c>
      <c r="BJ32" s="436" t="s">
        <v>1344</v>
      </c>
      <c r="BK32" s="436" t="s">
        <v>1344</v>
      </c>
      <c r="BL32" s="436" t="s">
        <v>1344</v>
      </c>
      <c r="BM32" s="436" t="s">
        <v>1344</v>
      </c>
      <c r="BN32" s="436" t="s">
        <v>1344</v>
      </c>
      <c r="BO32" s="436" t="s">
        <v>1344</v>
      </c>
      <c r="BP32" s="436"/>
      <c r="BQ32" s="436" t="s">
        <v>1344</v>
      </c>
      <c r="BR32" s="436" t="s">
        <v>1344</v>
      </c>
      <c r="BS32" s="436" t="s">
        <v>1344</v>
      </c>
      <c r="BT32" s="436" t="s">
        <v>1344</v>
      </c>
      <c r="BU32" s="436" t="s">
        <v>1344</v>
      </c>
      <c r="BV32" s="436" t="s">
        <v>1344</v>
      </c>
      <c r="BW32" s="436" t="s">
        <v>1344</v>
      </c>
      <c r="BX32" s="436" t="s">
        <v>1344</v>
      </c>
      <c r="BY32" s="436" t="s">
        <v>1344</v>
      </c>
      <c r="BZ32" s="436" t="s">
        <v>1344</v>
      </c>
      <c r="CA32" s="436" t="s">
        <v>1344</v>
      </c>
      <c r="CB32" s="436" t="s">
        <v>1344</v>
      </c>
      <c r="CC32" s="436"/>
      <c r="CD32" s="439" t="s">
        <v>1344</v>
      </c>
      <c r="CE32" s="439" t="s">
        <v>1344</v>
      </c>
      <c r="CF32" s="439" t="s">
        <v>1344</v>
      </c>
      <c r="CG32" s="439" t="s">
        <v>1344</v>
      </c>
      <c r="CH32" s="439" t="s">
        <v>1344</v>
      </c>
      <c r="CI32" s="439" t="s">
        <v>1344</v>
      </c>
      <c r="CJ32" s="439" t="s">
        <v>1344</v>
      </c>
      <c r="CK32" s="439" t="s">
        <v>1344</v>
      </c>
      <c r="CL32" s="439" t="s">
        <v>1344</v>
      </c>
      <c r="CM32" s="439" t="s">
        <v>1344</v>
      </c>
      <c r="CN32" s="439" t="s">
        <v>1344</v>
      </c>
      <c r="CO32" s="439" t="s">
        <v>1344</v>
      </c>
    </row>
    <row r="33" spans="1:93">
      <c r="A33" s="447" t="s">
        <v>2720</v>
      </c>
      <c r="B33" s="447"/>
      <c r="C33" s="442" t="s">
        <v>1344</v>
      </c>
      <c r="D33" s="447"/>
      <c r="E33" s="436"/>
      <c r="F33" s="456"/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456"/>
      <c r="BA33" s="456"/>
      <c r="BB33" s="456"/>
      <c r="BC33" s="456"/>
      <c r="BD33" s="456"/>
      <c r="BE33" s="456"/>
      <c r="BF33" s="456"/>
      <c r="BG33" s="456"/>
      <c r="BH33" s="456"/>
      <c r="BI33" s="456"/>
      <c r="BJ33" s="456"/>
      <c r="BK33" s="456"/>
      <c r="BL33" s="456"/>
      <c r="BM33" s="456"/>
      <c r="BN33" s="456"/>
      <c r="BO33" s="456"/>
      <c r="BP33" s="456"/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56"/>
      <c r="CC33" s="456"/>
    </row>
    <row r="34" spans="1:93">
      <c r="A34" s="447" t="s">
        <v>878</v>
      </c>
      <c r="B34" s="447"/>
      <c r="C34" s="442" t="s">
        <v>1344</v>
      </c>
      <c r="D34" s="447"/>
      <c r="E34" s="436"/>
      <c r="F34" s="436" t="s">
        <v>1344</v>
      </c>
      <c r="G34" s="436" t="s">
        <v>1344</v>
      </c>
      <c r="H34" s="436" t="s">
        <v>1344</v>
      </c>
      <c r="I34" s="436" t="s">
        <v>1344</v>
      </c>
      <c r="J34" s="436" t="s">
        <v>1344</v>
      </c>
      <c r="K34" s="436" t="s">
        <v>1344</v>
      </c>
      <c r="L34" s="436" t="s">
        <v>1344</v>
      </c>
      <c r="M34" s="436" t="s">
        <v>1344</v>
      </c>
      <c r="N34" s="436" t="s">
        <v>1344</v>
      </c>
      <c r="O34" s="436" t="s">
        <v>1344</v>
      </c>
      <c r="P34" s="436" t="s">
        <v>1344</v>
      </c>
      <c r="Q34" s="436" t="s">
        <v>1344</v>
      </c>
      <c r="R34" s="436" t="s">
        <v>1344</v>
      </c>
      <c r="S34" s="436" t="s">
        <v>1344</v>
      </c>
      <c r="T34" s="436" t="s">
        <v>1344</v>
      </c>
      <c r="U34" s="436" t="s">
        <v>1344</v>
      </c>
      <c r="V34" s="436" t="s">
        <v>1344</v>
      </c>
      <c r="W34" s="436" t="s">
        <v>1344</v>
      </c>
      <c r="X34" s="436" t="s">
        <v>1344</v>
      </c>
      <c r="Y34" s="436" t="s">
        <v>1344</v>
      </c>
      <c r="Z34" s="436" t="s">
        <v>1344</v>
      </c>
      <c r="AA34" s="436" t="s">
        <v>1344</v>
      </c>
      <c r="AB34" s="436" t="s">
        <v>1344</v>
      </c>
      <c r="AC34" s="436" t="s">
        <v>1344</v>
      </c>
      <c r="AD34" s="436" t="s">
        <v>1344</v>
      </c>
      <c r="AE34" s="436" t="s">
        <v>1344</v>
      </c>
      <c r="AF34" s="436" t="s">
        <v>1344</v>
      </c>
      <c r="AG34" s="436" t="s">
        <v>1344</v>
      </c>
      <c r="AH34" s="436" t="s">
        <v>1344</v>
      </c>
      <c r="AI34" s="436" t="s">
        <v>1344</v>
      </c>
      <c r="AJ34" s="436" t="s">
        <v>1344</v>
      </c>
      <c r="AK34" s="436" t="s">
        <v>1344</v>
      </c>
      <c r="AL34" s="436" t="s">
        <v>1344</v>
      </c>
      <c r="AM34" s="436" t="s">
        <v>1344</v>
      </c>
      <c r="AN34" s="436" t="s">
        <v>1344</v>
      </c>
      <c r="AO34" s="436" t="s">
        <v>1344</v>
      </c>
      <c r="AP34" s="436" t="s">
        <v>1344</v>
      </c>
      <c r="AQ34" s="436" t="s">
        <v>1344</v>
      </c>
      <c r="AR34" s="436" t="s">
        <v>1344</v>
      </c>
      <c r="AS34" s="436" t="s">
        <v>1344</v>
      </c>
      <c r="AT34" s="436" t="s">
        <v>1344</v>
      </c>
      <c r="AU34" s="436" t="s">
        <v>1344</v>
      </c>
      <c r="AV34" s="436" t="s">
        <v>1344</v>
      </c>
      <c r="AW34" s="436" t="s">
        <v>1344</v>
      </c>
      <c r="AX34" s="436" t="s">
        <v>1344</v>
      </c>
      <c r="AY34" s="436" t="s">
        <v>1344</v>
      </c>
      <c r="AZ34" s="436" t="s">
        <v>1344</v>
      </c>
      <c r="BA34" s="436" t="s">
        <v>1344</v>
      </c>
      <c r="BB34" s="436" t="s">
        <v>1344</v>
      </c>
      <c r="BC34" s="436" t="s">
        <v>1344</v>
      </c>
      <c r="BD34" s="436" t="s">
        <v>1344</v>
      </c>
      <c r="BE34" s="436" t="s">
        <v>1344</v>
      </c>
      <c r="BF34" s="436" t="s">
        <v>1344</v>
      </c>
      <c r="BG34" s="436" t="s">
        <v>1344</v>
      </c>
      <c r="BH34" s="436" t="s">
        <v>1344</v>
      </c>
      <c r="BI34" s="436" t="s">
        <v>1344</v>
      </c>
      <c r="BJ34" s="436" t="s">
        <v>1344</v>
      </c>
      <c r="BK34" s="436" t="s">
        <v>1344</v>
      </c>
      <c r="BL34" s="436" t="s">
        <v>1344</v>
      </c>
      <c r="BM34" s="436" t="s">
        <v>1344</v>
      </c>
      <c r="BN34" s="436" t="s">
        <v>1344</v>
      </c>
      <c r="BO34" s="436" t="s">
        <v>1344</v>
      </c>
      <c r="BP34" s="436"/>
      <c r="BQ34" s="436" t="s">
        <v>1344</v>
      </c>
      <c r="BR34" s="436" t="s">
        <v>1344</v>
      </c>
      <c r="BS34" s="436" t="s">
        <v>1344</v>
      </c>
      <c r="BT34" s="436" t="s">
        <v>1344</v>
      </c>
      <c r="BU34" s="436" t="s">
        <v>1344</v>
      </c>
      <c r="BV34" s="436" t="s">
        <v>1344</v>
      </c>
      <c r="BW34" s="436" t="s">
        <v>1344</v>
      </c>
      <c r="BX34" s="436" t="s">
        <v>1344</v>
      </c>
      <c r="BY34" s="436" t="s">
        <v>1344</v>
      </c>
      <c r="BZ34" s="436" t="s">
        <v>1344</v>
      </c>
      <c r="CA34" s="436" t="s">
        <v>1344</v>
      </c>
      <c r="CB34" s="436" t="s">
        <v>1344</v>
      </c>
      <c r="CC34" s="436"/>
      <c r="CD34" s="439" t="s">
        <v>1344</v>
      </c>
      <c r="CE34" s="439" t="s">
        <v>1344</v>
      </c>
      <c r="CF34" s="439" t="s">
        <v>1344</v>
      </c>
      <c r="CG34" s="439" t="s">
        <v>1344</v>
      </c>
      <c r="CH34" s="439" t="s">
        <v>1344</v>
      </c>
      <c r="CI34" s="439" t="s">
        <v>1344</v>
      </c>
      <c r="CJ34" s="439" t="s">
        <v>1344</v>
      </c>
      <c r="CK34" s="439" t="s">
        <v>1344</v>
      </c>
      <c r="CL34" s="439" t="s">
        <v>1344</v>
      </c>
      <c r="CM34" s="439" t="s">
        <v>1344</v>
      </c>
      <c r="CN34" s="439" t="s">
        <v>1344</v>
      </c>
      <c r="CO34" s="439" t="s">
        <v>1344</v>
      </c>
    </row>
    <row r="35" spans="1:93">
      <c r="A35" s="459" t="s">
        <v>889</v>
      </c>
      <c r="B35" s="459"/>
      <c r="C35" s="442" t="s">
        <v>1344</v>
      </c>
      <c r="D35" s="459"/>
      <c r="E35" s="460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  <c r="AG35" s="438"/>
      <c r="AH35" s="438"/>
      <c r="AI35" s="438"/>
      <c r="AJ35" s="438"/>
      <c r="AK35" s="438"/>
      <c r="AL35" s="438"/>
      <c r="AM35" s="438"/>
      <c r="AN35" s="438"/>
      <c r="AO35" s="438"/>
      <c r="AP35" s="438"/>
      <c r="AQ35" s="438"/>
      <c r="AR35" s="438"/>
      <c r="AS35" s="438"/>
      <c r="AT35" s="438"/>
      <c r="AU35" s="438"/>
      <c r="AV35" s="438"/>
      <c r="AW35" s="438"/>
      <c r="AX35" s="438"/>
      <c r="AY35" s="438"/>
      <c r="AZ35" s="438"/>
      <c r="BE35" s="438"/>
      <c r="BF35" s="438"/>
      <c r="BG35" s="438"/>
      <c r="BH35" s="438"/>
      <c r="BI35" s="438"/>
      <c r="BJ35" s="438"/>
      <c r="BK35" s="438"/>
      <c r="BL35" s="438"/>
      <c r="BM35" s="438"/>
      <c r="BN35" s="438"/>
      <c r="BO35" s="438"/>
      <c r="BQ35" s="438"/>
      <c r="BR35" s="438"/>
      <c r="BS35" s="438"/>
      <c r="BT35" s="438"/>
      <c r="BU35" s="438"/>
      <c r="BV35" s="438"/>
      <c r="BW35" s="438"/>
      <c r="BX35" s="438"/>
      <c r="BY35" s="438"/>
      <c r="BZ35" s="438"/>
      <c r="CA35" s="438"/>
      <c r="CB35" s="438"/>
      <c r="CC35" s="438"/>
    </row>
    <row r="36" spans="1:93">
      <c r="A36" s="447" t="s">
        <v>2721</v>
      </c>
      <c r="B36" s="447"/>
      <c r="C36" s="442" t="s">
        <v>1455</v>
      </c>
      <c r="D36" s="447" t="s">
        <v>2722</v>
      </c>
      <c r="E36" s="436" t="s">
        <v>2723</v>
      </c>
      <c r="F36" s="454">
        <v>4.3E-3</v>
      </c>
      <c r="G36" s="454">
        <v>4.5999999999999999E-3</v>
      </c>
      <c r="H36" s="454">
        <v>4.4079999923706051E-3</v>
      </c>
      <c r="I36" s="454">
        <v>4.484000205993652E-3</v>
      </c>
      <c r="J36" s="454">
        <v>5.320000171661377E-3</v>
      </c>
      <c r="K36" s="454">
        <v>5.7760000228881834E-3</v>
      </c>
      <c r="L36" s="454">
        <v>7.0679998397827149E-3</v>
      </c>
      <c r="M36" s="454">
        <v>7.5999999046325682E-3</v>
      </c>
      <c r="N36" s="454">
        <v>7.7519998550415036E-3</v>
      </c>
      <c r="O36" s="454">
        <v>7.8280000686645514E-3</v>
      </c>
      <c r="P36" s="454">
        <v>8.8159999847412102E-3</v>
      </c>
      <c r="Q36" s="454">
        <v>9.2720003128051766E-3</v>
      </c>
      <c r="R36" s="454">
        <v>1.0031999588012696E-2</v>
      </c>
      <c r="S36" s="454">
        <v>1.0564000129699706E-2</v>
      </c>
      <c r="T36" s="454">
        <v>1.0184000015258789E-2</v>
      </c>
      <c r="U36" s="454">
        <v>9.4239997863769537E-3</v>
      </c>
      <c r="V36" s="454">
        <v>9.8800001144409184E-3</v>
      </c>
      <c r="W36" s="454">
        <v>9.4999999999999998E-3</v>
      </c>
      <c r="X36" s="454">
        <v>6.9000000953674317E-3</v>
      </c>
      <c r="Y36" s="454">
        <v>6.199999809265137E-3</v>
      </c>
      <c r="Z36" s="454">
        <v>6.5999999046325681E-3</v>
      </c>
      <c r="AA36" s="454">
        <v>3.9000000953674317E-3</v>
      </c>
      <c r="AB36" s="454">
        <v>3.5999999046325685E-3</v>
      </c>
      <c r="AC36" s="454">
        <v>3.9000000953674317E-3</v>
      </c>
      <c r="AD36" s="454">
        <v>4.3000001907348637E-3</v>
      </c>
      <c r="AE36" s="454">
        <v>3.7999999523162841E-3</v>
      </c>
      <c r="AF36" s="454">
        <v>7.7922000885009765E-3</v>
      </c>
      <c r="AG36" s="454">
        <v>7.3260002136230472E-3</v>
      </c>
      <c r="AH36" s="454">
        <v>6.8597998619079588E-3</v>
      </c>
      <c r="AI36" s="454">
        <v>6.3935999870300296E-3</v>
      </c>
      <c r="AJ36" s="454">
        <v>9.9233999252319339E-3</v>
      </c>
      <c r="AK36" s="454">
        <v>1.3519800186157227E-2</v>
      </c>
      <c r="AL36" s="454">
        <v>1.0722599983215331E-2</v>
      </c>
      <c r="AM36" s="454">
        <v>1.3600000381469727E-2</v>
      </c>
      <c r="AN36" s="454">
        <v>1.4899999618530273E-2</v>
      </c>
      <c r="AO36" s="454">
        <v>1.3899999618530274E-2</v>
      </c>
      <c r="AP36" s="454">
        <v>0</v>
      </c>
      <c r="AQ36" s="454">
        <v>0</v>
      </c>
      <c r="AR36" s="454">
        <v>0</v>
      </c>
      <c r="AS36" s="454">
        <v>0</v>
      </c>
      <c r="AT36" s="454">
        <v>0</v>
      </c>
      <c r="AU36" s="454">
        <v>0</v>
      </c>
      <c r="AV36" s="454">
        <v>0</v>
      </c>
      <c r="AW36" s="454">
        <v>0</v>
      </c>
      <c r="AX36" s="454">
        <v>0</v>
      </c>
      <c r="AY36" s="454">
        <v>0</v>
      </c>
      <c r="AZ36" s="454">
        <v>0</v>
      </c>
      <c r="BA36" s="454">
        <v>0</v>
      </c>
      <c r="BB36" s="454">
        <v>0</v>
      </c>
      <c r="BC36" s="454">
        <v>0</v>
      </c>
      <c r="BD36" s="454">
        <v>0</v>
      </c>
      <c r="BE36" s="461">
        <f>BD36</f>
        <v>0</v>
      </c>
      <c r="BF36" s="461">
        <f t="shared" ref="BF36:BO37" si="19">BE36</f>
        <v>0</v>
      </c>
      <c r="BG36" s="461">
        <f t="shared" si="19"/>
        <v>0</v>
      </c>
      <c r="BH36" s="461">
        <f t="shared" si="19"/>
        <v>0</v>
      </c>
      <c r="BI36" s="461">
        <f t="shared" si="19"/>
        <v>0</v>
      </c>
      <c r="BJ36" s="461">
        <f t="shared" si="19"/>
        <v>0</v>
      </c>
      <c r="BK36" s="461">
        <f t="shared" si="19"/>
        <v>0</v>
      </c>
      <c r="BL36" s="461">
        <f t="shared" si="19"/>
        <v>0</v>
      </c>
      <c r="BM36" s="461">
        <f t="shared" si="19"/>
        <v>0</v>
      </c>
      <c r="BN36" s="461">
        <f t="shared" si="19"/>
        <v>0</v>
      </c>
      <c r="BO36" s="461">
        <f t="shared" si="19"/>
        <v>0</v>
      </c>
      <c r="BP36" s="457"/>
      <c r="BQ36" s="448">
        <f t="shared" ref="BQ36:CB57" si="20">+BD36-CD36</f>
        <v>0</v>
      </c>
      <c r="BR36" s="448">
        <f t="shared" si="20"/>
        <v>0</v>
      </c>
      <c r="BS36" s="448">
        <f t="shared" si="20"/>
        <v>0</v>
      </c>
      <c r="BT36" s="448">
        <f t="shared" si="20"/>
        <v>0</v>
      </c>
      <c r="BU36" s="448">
        <f t="shared" si="20"/>
        <v>0</v>
      </c>
      <c r="BV36" s="448">
        <f t="shared" si="20"/>
        <v>0</v>
      </c>
      <c r="BW36" s="448">
        <f t="shared" si="20"/>
        <v>0</v>
      </c>
      <c r="BX36" s="448">
        <f t="shared" si="20"/>
        <v>0</v>
      </c>
      <c r="BY36" s="448">
        <f t="shared" si="20"/>
        <v>0</v>
      </c>
      <c r="BZ36" s="448">
        <f t="shared" si="20"/>
        <v>0</v>
      </c>
      <c r="CA36" s="448">
        <f t="shared" si="20"/>
        <v>0</v>
      </c>
      <c r="CB36" s="448">
        <f t="shared" si="20"/>
        <v>0</v>
      </c>
      <c r="CD36" s="439">
        <v>0</v>
      </c>
      <c r="CE36" s="439">
        <v>0</v>
      </c>
      <c r="CF36" s="439">
        <v>0</v>
      </c>
      <c r="CG36" s="439">
        <v>0</v>
      </c>
      <c r="CH36" s="439">
        <v>0</v>
      </c>
      <c r="CI36" s="439">
        <v>0</v>
      </c>
      <c r="CJ36" s="439">
        <v>0</v>
      </c>
      <c r="CK36" s="439">
        <v>0</v>
      </c>
      <c r="CL36" s="439">
        <v>0</v>
      </c>
      <c r="CM36" s="439">
        <v>0</v>
      </c>
      <c r="CN36" s="439">
        <v>0</v>
      </c>
      <c r="CO36" s="439">
        <v>0</v>
      </c>
    </row>
    <row r="37" spans="1:93">
      <c r="A37" s="447" t="s">
        <v>2724</v>
      </c>
      <c r="B37" s="447"/>
      <c r="C37" s="442" t="s">
        <v>1455</v>
      </c>
      <c r="D37" s="447" t="s">
        <v>2722</v>
      </c>
      <c r="E37" s="436" t="s">
        <v>2725</v>
      </c>
      <c r="F37" s="454">
        <v>1.2999999999999999E-3</v>
      </c>
      <c r="G37" s="454">
        <v>1.4E-3</v>
      </c>
      <c r="H37" s="454">
        <v>1.3919999599456786E-3</v>
      </c>
      <c r="I37" s="454">
        <v>1.4160000085830689E-3</v>
      </c>
      <c r="J37" s="454">
        <v>1.6799999475479127E-3</v>
      </c>
      <c r="K37" s="454">
        <v>1.8240000009536743E-3</v>
      </c>
      <c r="L37" s="454">
        <v>2.2320001125335693E-3</v>
      </c>
      <c r="M37" s="454">
        <v>2.4000000953674316E-3</v>
      </c>
      <c r="N37" s="454">
        <v>2.447999954223633E-3</v>
      </c>
      <c r="O37" s="454">
        <v>2.4719998836517333E-3</v>
      </c>
      <c r="P37" s="454">
        <v>2.7839999198913572E-3</v>
      </c>
      <c r="Q37" s="454">
        <v>2.9279999732971193E-3</v>
      </c>
      <c r="R37" s="454">
        <v>3.1679999828338624E-3</v>
      </c>
      <c r="S37" s="454">
        <v>3.3359999656677247E-3</v>
      </c>
      <c r="T37" s="454">
        <v>3.2160000801086425E-3</v>
      </c>
      <c r="U37" s="454">
        <v>2.9760000705718994E-3</v>
      </c>
      <c r="V37" s="454">
        <v>3.1199998855590818E-3</v>
      </c>
      <c r="W37" s="454">
        <v>3.0000000000000001E-3</v>
      </c>
      <c r="X37" s="454">
        <v>2.3399999141693116E-3</v>
      </c>
      <c r="Y37" s="454">
        <v>1.399999976158142E-3</v>
      </c>
      <c r="Z37" s="454">
        <v>1.7000000476837158E-3</v>
      </c>
      <c r="AA37" s="454">
        <v>1.5E-3</v>
      </c>
      <c r="AB37" s="454">
        <v>1.6000000238418578E-3</v>
      </c>
      <c r="AC37" s="454">
        <v>2.2000000476837156E-3</v>
      </c>
      <c r="AD37" s="454">
        <v>3.5999999046325685E-3</v>
      </c>
      <c r="AE37" s="454">
        <v>3.4000000953674316E-3</v>
      </c>
      <c r="AF37" s="454">
        <v>3.8961000442504883E-3</v>
      </c>
      <c r="AG37" s="454">
        <v>3.6630001068115236E-3</v>
      </c>
      <c r="AH37" s="454">
        <v>3.4298999309539794E-3</v>
      </c>
      <c r="AI37" s="454">
        <v>3.1967999935150148E-3</v>
      </c>
      <c r="AJ37" s="454">
        <v>4.9616999626159669E-3</v>
      </c>
      <c r="AK37" s="454">
        <v>6.7599000930786135E-3</v>
      </c>
      <c r="AL37" s="454">
        <v>5.3612999916076657E-3</v>
      </c>
      <c r="AM37" s="454">
        <v>6.8000001907348633E-3</v>
      </c>
      <c r="AN37" s="454">
        <v>7.4000000953674313E-3</v>
      </c>
      <c r="AO37" s="454">
        <v>6.9000000953674317E-3</v>
      </c>
      <c r="AP37" s="454">
        <v>1.2E-2</v>
      </c>
      <c r="AQ37" s="454">
        <v>1.4999999999999999E-2</v>
      </c>
      <c r="AR37" s="454">
        <v>6.0000000000000001E-3</v>
      </c>
      <c r="AS37" s="454">
        <v>1.0999999999999999E-2</v>
      </c>
      <c r="AT37" s="454">
        <v>0.11700000000000001</v>
      </c>
      <c r="AU37" s="454">
        <v>1.0589999999999999</v>
      </c>
      <c r="AV37" s="454">
        <v>1.0505280000000001</v>
      </c>
      <c r="AW37" s="454">
        <v>1.1261660160000002</v>
      </c>
      <c r="AX37" s="454">
        <v>1.3367590609920004</v>
      </c>
      <c r="AY37" s="454">
        <v>2.6621414491244941</v>
      </c>
      <c r="AZ37" s="454">
        <v>4.2378106401661286</v>
      </c>
      <c r="BA37" s="454">
        <v>5.8760515319350484</v>
      </c>
      <c r="BB37" s="454">
        <v>6.7861853606955593</v>
      </c>
      <c r="BC37" s="454">
        <v>8.3349340996899706</v>
      </c>
      <c r="BD37" s="454">
        <v>9.0974090406139361</v>
      </c>
      <c r="BE37" s="461">
        <f>BD37</f>
        <v>9.0974090406139361</v>
      </c>
      <c r="BF37" s="461">
        <f t="shared" si="19"/>
        <v>9.0974090406139361</v>
      </c>
      <c r="BG37" s="461">
        <f t="shared" si="19"/>
        <v>9.0974090406139361</v>
      </c>
      <c r="BH37" s="461">
        <f t="shared" si="19"/>
        <v>9.0974090406139361</v>
      </c>
      <c r="BI37" s="461">
        <f t="shared" si="19"/>
        <v>9.0974090406139361</v>
      </c>
      <c r="BJ37" s="461">
        <f t="shared" si="19"/>
        <v>9.0974090406139361</v>
      </c>
      <c r="BK37" s="461">
        <f t="shared" si="19"/>
        <v>9.0974090406139361</v>
      </c>
      <c r="BL37" s="461">
        <f t="shared" si="19"/>
        <v>9.0974090406139361</v>
      </c>
      <c r="BM37" s="461">
        <f t="shared" si="19"/>
        <v>9.0974090406139361</v>
      </c>
      <c r="BN37" s="461">
        <f t="shared" si="19"/>
        <v>9.0974090406139361</v>
      </c>
      <c r="BO37" s="461">
        <f t="shared" si="19"/>
        <v>9.0974090406139361</v>
      </c>
      <c r="BP37" s="457"/>
      <c r="BQ37" s="448">
        <f t="shared" si="20"/>
        <v>0</v>
      </c>
      <c r="BR37" s="448">
        <f t="shared" si="20"/>
        <v>0</v>
      </c>
      <c r="BS37" s="448">
        <f t="shared" si="20"/>
        <v>0</v>
      </c>
      <c r="BT37" s="448">
        <f t="shared" si="20"/>
        <v>0</v>
      </c>
      <c r="BU37" s="448">
        <f t="shared" si="20"/>
        <v>0</v>
      </c>
      <c r="BV37" s="448">
        <f t="shared" si="20"/>
        <v>0</v>
      </c>
      <c r="BW37" s="448">
        <f t="shared" si="20"/>
        <v>0</v>
      </c>
      <c r="BX37" s="448">
        <f t="shared" si="20"/>
        <v>0</v>
      </c>
      <c r="BY37" s="448">
        <f t="shared" si="20"/>
        <v>0</v>
      </c>
      <c r="BZ37" s="448">
        <f t="shared" si="20"/>
        <v>0</v>
      </c>
      <c r="CA37" s="448">
        <f t="shared" si="20"/>
        <v>0</v>
      </c>
      <c r="CB37" s="448">
        <f t="shared" si="20"/>
        <v>0</v>
      </c>
      <c r="CD37" s="439">
        <v>9.0974090406139361</v>
      </c>
      <c r="CE37" s="439">
        <v>9.0974090406139361</v>
      </c>
      <c r="CF37" s="439">
        <v>9.0974090406139361</v>
      </c>
      <c r="CG37" s="439">
        <v>9.0974090406139361</v>
      </c>
      <c r="CH37" s="439">
        <v>9.0974090406139361</v>
      </c>
      <c r="CI37" s="439">
        <v>9.0974090406139361</v>
      </c>
      <c r="CJ37" s="439">
        <v>9.0974090406139361</v>
      </c>
      <c r="CK37" s="439">
        <v>9.0974090406139361</v>
      </c>
      <c r="CL37" s="439">
        <v>9.0974090406139361</v>
      </c>
      <c r="CM37" s="439">
        <v>9.0974090406139361</v>
      </c>
      <c r="CN37" s="439">
        <v>9.0974090406139361</v>
      </c>
      <c r="CO37" s="439">
        <v>9.0974090406139361</v>
      </c>
    </row>
    <row r="38" spans="1:93">
      <c r="A38" s="447" t="s">
        <v>2726</v>
      </c>
      <c r="B38" s="447"/>
      <c r="C38" s="442" t="s">
        <v>1455</v>
      </c>
      <c r="D38" s="447" t="s">
        <v>2722</v>
      </c>
      <c r="E38" s="436" t="s">
        <v>2727</v>
      </c>
      <c r="F38" s="454">
        <v>1.4E-3</v>
      </c>
      <c r="G38" s="454">
        <v>2E-3</v>
      </c>
      <c r="H38" s="454">
        <v>1.6019999980926513E-3</v>
      </c>
      <c r="I38" s="454">
        <v>1.9579999446868897E-3</v>
      </c>
      <c r="J38" s="454">
        <v>7.9210000038146978E-3</v>
      </c>
      <c r="K38" s="454">
        <v>8.633000373840332E-3</v>
      </c>
      <c r="L38" s="454">
        <v>1.1569999694824218E-2</v>
      </c>
      <c r="M38" s="454">
        <v>6.2300000190734861E-3</v>
      </c>
      <c r="N38" s="454">
        <v>1.4506999969482421E-2</v>
      </c>
      <c r="O38" s="454">
        <v>6.6750001907348632E-3</v>
      </c>
      <c r="P38" s="454">
        <v>1.3260999679565429E-2</v>
      </c>
      <c r="Q38" s="454">
        <v>3.7379999160766604E-3</v>
      </c>
      <c r="R38" s="454">
        <v>3.9159998893737794E-3</v>
      </c>
      <c r="S38" s="454">
        <v>6.3189997673034669E-3</v>
      </c>
      <c r="T38" s="454">
        <v>7.0310001373291011E-3</v>
      </c>
      <c r="U38" s="454">
        <v>7.6539998054504397E-3</v>
      </c>
      <c r="V38" s="454">
        <v>8.277000427246094E-3</v>
      </c>
      <c r="W38" s="454">
        <v>1.1836999893188477E-2</v>
      </c>
      <c r="X38" s="454">
        <v>2.2200000762939452E-2</v>
      </c>
      <c r="Y38" s="454">
        <v>2.4299999237060547E-2</v>
      </c>
      <c r="Z38" s="454">
        <v>1.3199999809265136E-2</v>
      </c>
      <c r="AA38" s="454">
        <v>1.9200000762939453E-2</v>
      </c>
      <c r="AB38" s="454">
        <v>2.4799999237060548E-2</v>
      </c>
      <c r="AC38" s="454">
        <v>1.5300000190734863E-2</v>
      </c>
      <c r="AD38" s="454">
        <v>1.7799999237060545E-2</v>
      </c>
      <c r="AE38" s="454">
        <v>2.2899999618530273E-2</v>
      </c>
      <c r="AF38" s="454">
        <v>2.8399999618530274E-2</v>
      </c>
      <c r="AG38" s="454">
        <v>0.03</v>
      </c>
      <c r="AH38" s="454">
        <v>6.619999694824219E-2</v>
      </c>
      <c r="AI38" s="454">
        <v>5.3400001525878905E-2</v>
      </c>
      <c r="AJ38" s="454">
        <v>3.85E-2</v>
      </c>
      <c r="AK38" s="454">
        <v>3.8700000762939453E-2</v>
      </c>
      <c r="AL38" s="454">
        <v>4.8099998474121095E-2</v>
      </c>
      <c r="AM38" s="454">
        <v>6.8900001525878912E-2</v>
      </c>
      <c r="AN38" s="454">
        <v>7.4999999999999997E-2</v>
      </c>
      <c r="AO38" s="454">
        <v>0.10119999694824219</v>
      </c>
      <c r="AP38" s="454">
        <v>0.13589999389648438</v>
      </c>
      <c r="AQ38" s="454">
        <v>0.1169000015258789</v>
      </c>
      <c r="AR38" s="454">
        <v>0.153</v>
      </c>
      <c r="AS38" s="454">
        <v>0.15</v>
      </c>
      <c r="AT38" s="454">
        <v>0</v>
      </c>
      <c r="AU38" s="454">
        <v>0</v>
      </c>
      <c r="AV38" s="454">
        <v>6.5884719999999994</v>
      </c>
      <c r="AW38" s="454">
        <v>9.4878339840000017</v>
      </c>
      <c r="AX38" s="454">
        <v>20.399999999999999</v>
      </c>
      <c r="AY38" s="454">
        <v>9.6999999999999993</v>
      </c>
      <c r="AZ38" s="454">
        <v>25.8</v>
      </c>
      <c r="BA38" s="454">
        <v>64.308999999999997</v>
      </c>
      <c r="BB38" s="454">
        <v>85.287999999999997</v>
      </c>
      <c r="BC38" s="454">
        <v>163.9588</v>
      </c>
      <c r="BD38" s="454">
        <v>212.083</v>
      </c>
      <c r="BE38" s="461">
        <f ca="1">BD38*BD175/BC175</f>
        <v>241.6344822928975</v>
      </c>
      <c r="BF38" s="461">
        <f ca="1">BE38*BE175/BD175</f>
        <v>254.34985832538993</v>
      </c>
      <c r="BG38" s="461">
        <f t="shared" ref="BG38:BO38" ca="1" si="21">BF38*BF175/BE175</f>
        <v>270.4334162205609</v>
      </c>
      <c r="BH38" s="461">
        <f t="shared" ca="1" si="21"/>
        <v>287.12967564977941</v>
      </c>
      <c r="BI38" s="461">
        <f t="shared" ca="1" si="21"/>
        <v>301.98060376079104</v>
      </c>
      <c r="BJ38" s="461">
        <f t="shared" ca="1" si="21"/>
        <v>316.99752948468722</v>
      </c>
      <c r="BK38" s="461">
        <f t="shared" ca="1" si="21"/>
        <v>331.6253353072297</v>
      </c>
      <c r="BL38" s="461">
        <f t="shared" ca="1" si="21"/>
        <v>347.39157995548794</v>
      </c>
      <c r="BM38" s="461">
        <f t="shared" ca="1" si="21"/>
        <v>363.2719725712364</v>
      </c>
      <c r="BN38" s="461">
        <f t="shared" ca="1" si="21"/>
        <v>379.26398233908714</v>
      </c>
      <c r="BO38" s="461">
        <f t="shared" ca="1" si="21"/>
        <v>395.67686308827666</v>
      </c>
      <c r="BP38" s="457"/>
      <c r="BQ38" s="448">
        <f t="shared" si="20"/>
        <v>0</v>
      </c>
      <c r="BR38" s="448">
        <f t="shared" ca="1" si="20"/>
        <v>0</v>
      </c>
      <c r="BS38" s="448">
        <f t="shared" ca="1" si="20"/>
        <v>0</v>
      </c>
      <c r="BT38" s="448">
        <f t="shared" ca="1" si="20"/>
        <v>1.1368683772161603E-12</v>
      </c>
      <c r="BU38" s="448">
        <f t="shared" ca="1" si="20"/>
        <v>1.6541434888495132E-11</v>
      </c>
      <c r="BV38" s="448">
        <f t="shared" ca="1" si="20"/>
        <v>1.8115997590939514E-10</v>
      </c>
      <c r="BW38" s="448">
        <f t="shared" ca="1" si="20"/>
        <v>1.5353407434304245E-9</v>
      </c>
      <c r="BX38" s="448">
        <f t="shared" ca="1" si="20"/>
        <v>1.0261715033266228E-8</v>
      </c>
      <c r="BY38" s="448">
        <f t="shared" ca="1" si="20"/>
        <v>5.6159763062169077E-8</v>
      </c>
      <c r="BZ38" s="448">
        <f t="shared" ca="1" si="20"/>
        <v>2.5914039269991918E-7</v>
      </c>
      <c r="CA38" s="448">
        <f t="shared" ca="1" si="20"/>
        <v>1.0336149216527701E-6</v>
      </c>
      <c r="CB38" s="448">
        <f t="shared" ca="1" si="20"/>
        <v>3.6300319266047154E-6</v>
      </c>
      <c r="CD38" s="439">
        <v>212.083</v>
      </c>
      <c r="CE38" s="439">
        <v>241.6344822928975</v>
      </c>
      <c r="CF38" s="439">
        <v>254.34985832538993</v>
      </c>
      <c r="CG38" s="439">
        <v>270.43341622055976</v>
      </c>
      <c r="CH38" s="439">
        <v>287.12967564976287</v>
      </c>
      <c r="CI38" s="439">
        <v>301.98060376060988</v>
      </c>
      <c r="CJ38" s="439">
        <v>316.99752948315188</v>
      </c>
      <c r="CK38" s="439">
        <v>331.62533529696799</v>
      </c>
      <c r="CL38" s="439">
        <v>347.39157989932818</v>
      </c>
      <c r="CM38" s="439">
        <v>363.27197231209601</v>
      </c>
      <c r="CN38" s="439">
        <v>379.26398130547221</v>
      </c>
      <c r="CO38" s="439">
        <v>395.67685945824473</v>
      </c>
    </row>
    <row r="39" spans="1:93">
      <c r="A39" s="447" t="s">
        <v>2728</v>
      </c>
      <c r="B39" s="447"/>
      <c r="C39" s="442" t="s">
        <v>1455</v>
      </c>
      <c r="D39" s="447" t="s">
        <v>2722</v>
      </c>
      <c r="E39" s="436" t="s">
        <v>2729</v>
      </c>
      <c r="F39" s="454">
        <v>1.55E-2</v>
      </c>
      <c r="G39" s="454">
        <v>1.52E-2</v>
      </c>
      <c r="H39" s="454">
        <v>1.6899999618530274E-2</v>
      </c>
      <c r="I39" s="454">
        <v>2.0200000762939454E-2</v>
      </c>
      <c r="J39" s="454">
        <v>2.0500000000000001E-2</v>
      </c>
      <c r="K39" s="454">
        <v>2.2299999237060546E-2</v>
      </c>
      <c r="L39" s="454">
        <v>2.6700000762939453E-2</v>
      </c>
      <c r="M39" s="454">
        <v>2.6899999618530273E-2</v>
      </c>
      <c r="N39" s="454">
        <v>2.7799999237060547E-2</v>
      </c>
      <c r="O39" s="454">
        <v>2.9700000762939452E-2</v>
      </c>
      <c r="P39" s="454">
        <v>3.3500000000000002E-2</v>
      </c>
      <c r="Q39" s="454">
        <v>3.7599998474121092E-2</v>
      </c>
      <c r="R39" s="454">
        <v>4.1299999237060549E-2</v>
      </c>
      <c r="S39" s="454">
        <v>4.5499999999999999E-2</v>
      </c>
      <c r="T39" s="454">
        <v>4.8900001525878908E-2</v>
      </c>
      <c r="U39" s="454">
        <v>5.4099998474121093E-2</v>
      </c>
      <c r="V39" s="454">
        <v>5.909999847412109E-2</v>
      </c>
      <c r="W39" s="454">
        <v>6.4000000000000001E-2</v>
      </c>
      <c r="X39" s="454">
        <v>6.9400001525878913E-2</v>
      </c>
      <c r="Y39" s="454">
        <v>0.08</v>
      </c>
      <c r="Z39" s="454">
        <v>0.11319999694824219</v>
      </c>
      <c r="AA39" s="454">
        <v>0.224</v>
      </c>
      <c r="AB39" s="454">
        <v>0.19260000610351563</v>
      </c>
      <c r="AC39" s="454">
        <v>0.21660000610351562</v>
      </c>
      <c r="AD39" s="454">
        <v>0.26489999389648439</v>
      </c>
      <c r="AE39" s="454">
        <v>0.25119999694824219</v>
      </c>
      <c r="AF39" s="454">
        <v>0.27379998779296877</v>
      </c>
      <c r="AG39" s="454">
        <v>0.29870001220703124</v>
      </c>
      <c r="AH39" s="454">
        <v>0.2778999938964844</v>
      </c>
      <c r="AI39" s="454">
        <v>0.25920001220703126</v>
      </c>
      <c r="AJ39" s="454">
        <v>0.24519999694824218</v>
      </c>
      <c r="AK39" s="454">
        <v>0.20399999999999999</v>
      </c>
      <c r="AL39" s="454">
        <v>0.17799999999999999</v>
      </c>
      <c r="AM39" s="454">
        <v>0.15630000305175781</v>
      </c>
      <c r="AN39" s="454">
        <v>0.19880000305175782</v>
      </c>
      <c r="AO39" s="454">
        <v>0.23</v>
      </c>
      <c r="AP39" s="454">
        <v>0.31851000000000002</v>
      </c>
      <c r="AQ39" s="454">
        <v>0.36616000000000004</v>
      </c>
      <c r="AR39" s="454">
        <v>0.43654000000000004</v>
      </c>
      <c r="AS39" s="454">
        <v>0.39879999999999999</v>
      </c>
      <c r="AT39" s="454">
        <v>4.0976999999999997</v>
      </c>
      <c r="AU39" s="454">
        <v>24.86618</v>
      </c>
      <c r="AV39" s="454">
        <v>40.82837</v>
      </c>
      <c r="AW39" s="454">
        <v>31.105049999999999</v>
      </c>
      <c r="AX39" s="454">
        <v>55.4</v>
      </c>
      <c r="AY39" s="454">
        <v>91.7</v>
      </c>
      <c r="AZ39" s="454">
        <v>123.9</v>
      </c>
      <c r="BA39" s="454">
        <v>267.3</v>
      </c>
      <c r="BB39" s="454">
        <v>313.89999999999998</v>
      </c>
      <c r="BC39" s="454">
        <v>413.89509999999996</v>
      </c>
      <c r="BD39" s="454">
        <v>446.8</v>
      </c>
      <c r="BE39" s="461">
        <f ca="1">(BD39-BD108-BD40)*BE131/BD131+BE108+BE40</f>
        <v>497.76679037167895</v>
      </c>
      <c r="BF39" s="461">
        <f ca="1">(BE39-BE108-BE40)*BF131/BE131+BF108+BF40</f>
        <v>538.92410104572639</v>
      </c>
      <c r="BG39" s="461">
        <f t="shared" ref="BG39:BO39" ca="1" si="22">(BF39-BF108-BF40)*BG131/BF131+BG108+BG40</f>
        <v>578.56141639227531</v>
      </c>
      <c r="BH39" s="461">
        <f t="shared" ca="1" si="22"/>
        <v>615.57427665289367</v>
      </c>
      <c r="BI39" s="461">
        <f t="shared" ca="1" si="22"/>
        <v>652.1625621534223</v>
      </c>
      <c r="BJ39" s="461">
        <f t="shared" ca="1" si="22"/>
        <v>688.61317583535049</v>
      </c>
      <c r="BK39" s="461">
        <f t="shared" ca="1" si="22"/>
        <v>727.66090437110029</v>
      </c>
      <c r="BL39" s="461">
        <f t="shared" ca="1" si="22"/>
        <v>768.78462867533403</v>
      </c>
      <c r="BM39" s="461">
        <f t="shared" ca="1" si="22"/>
        <v>811.52384341346669</v>
      </c>
      <c r="BN39" s="461">
        <f t="shared" ca="1" si="22"/>
        <v>856.28947397158595</v>
      </c>
      <c r="BO39" s="461">
        <f t="shared" ca="1" si="22"/>
        <v>902.62426376419182</v>
      </c>
      <c r="BP39" s="457"/>
      <c r="BQ39" s="448">
        <f t="shared" si="20"/>
        <v>0</v>
      </c>
      <c r="BR39" s="448">
        <f t="shared" ca="1" si="20"/>
        <v>0</v>
      </c>
      <c r="BS39" s="448">
        <f t="shared" ca="1" si="20"/>
        <v>0</v>
      </c>
      <c r="BT39" s="448">
        <f t="shared" ca="1" si="20"/>
        <v>-6.8212102632969618E-12</v>
      </c>
      <c r="BU39" s="448">
        <f t="shared" ca="1" si="20"/>
        <v>-7.8216544352471828E-11</v>
      </c>
      <c r="BV39" s="448">
        <f t="shared" ca="1" si="20"/>
        <v>-6.7086602939525619E-10</v>
      </c>
      <c r="BW39" s="448">
        <f t="shared" ca="1" si="20"/>
        <v>-4.5331489673117176E-9</v>
      </c>
      <c r="BX39" s="448">
        <f t="shared" ca="1" si="20"/>
        <v>-2.5062490749405697E-8</v>
      </c>
      <c r="BY39" s="448">
        <f t="shared" ca="1" si="20"/>
        <v>-1.1684164746839087E-7</v>
      </c>
      <c r="BZ39" s="448">
        <f t="shared" ca="1" si="20"/>
        <v>-4.7071318931557471E-7</v>
      </c>
      <c r="CA39" s="448">
        <f t="shared" ca="1" si="20"/>
        <v>-1.6695121303200722E-6</v>
      </c>
      <c r="CB39" s="448">
        <f t="shared" ca="1" si="20"/>
        <v>-5.3292694701667642E-6</v>
      </c>
      <c r="CD39" s="439">
        <v>446.8</v>
      </c>
      <c r="CE39" s="439">
        <v>497.76679037167895</v>
      </c>
      <c r="CF39" s="439">
        <v>538.92410104572696</v>
      </c>
      <c r="CG39" s="439">
        <v>578.56141639228213</v>
      </c>
      <c r="CH39" s="439">
        <v>615.57427665297189</v>
      </c>
      <c r="CI39" s="439">
        <v>652.16256215409317</v>
      </c>
      <c r="CJ39" s="439">
        <v>688.61317583988364</v>
      </c>
      <c r="CK39" s="439">
        <v>727.66090439616278</v>
      </c>
      <c r="CL39" s="439">
        <v>768.78462879217568</v>
      </c>
      <c r="CM39" s="439">
        <v>811.52384388417988</v>
      </c>
      <c r="CN39" s="439">
        <v>856.28947564109808</v>
      </c>
      <c r="CO39" s="439">
        <v>902.62426909346129</v>
      </c>
    </row>
    <row r="40" spans="1:93">
      <c r="A40" s="447" t="s">
        <v>2730</v>
      </c>
      <c r="B40" s="447"/>
      <c r="C40" s="442" t="s">
        <v>1455</v>
      </c>
      <c r="D40" s="447" t="s">
        <v>2722</v>
      </c>
      <c r="E40" s="436" t="s">
        <v>2731</v>
      </c>
      <c r="F40" s="454">
        <v>9.1000000000000004E-3</v>
      </c>
      <c r="G40" s="454">
        <v>9.1999999999999998E-3</v>
      </c>
      <c r="H40" s="454">
        <v>1.0100000381469727E-2</v>
      </c>
      <c r="I40" s="454">
        <v>1.3600000381469727E-2</v>
      </c>
      <c r="J40" s="454">
        <v>1.3899999618530274E-2</v>
      </c>
      <c r="K40" s="454">
        <v>1.4999999999999999E-2</v>
      </c>
      <c r="L40" s="454">
        <v>1.8799999237060546E-2</v>
      </c>
      <c r="M40" s="454">
        <v>1.9200000762939453E-2</v>
      </c>
      <c r="N40" s="454">
        <v>1.9600000381469727E-2</v>
      </c>
      <c r="O40" s="454">
        <v>2.1299999237060548E-2</v>
      </c>
      <c r="P40" s="454">
        <v>2.4399999618530274E-2</v>
      </c>
      <c r="Q40" s="454">
        <v>2.8000000000000001E-2</v>
      </c>
      <c r="R40" s="454">
        <v>3.0799999237060546E-2</v>
      </c>
      <c r="S40" s="454">
        <v>3.4599998474121096E-2</v>
      </c>
      <c r="T40" s="454">
        <v>3.6599998474121091E-2</v>
      </c>
      <c r="U40" s="454">
        <v>4.0900001525878908E-2</v>
      </c>
      <c r="V40" s="454">
        <v>4.4900001525878905E-2</v>
      </c>
      <c r="W40" s="454">
        <v>4.7900001525878907E-2</v>
      </c>
      <c r="X40" s="454">
        <v>5.1499999999999997E-2</v>
      </c>
      <c r="Y40" s="454">
        <v>5.6599998474121095E-2</v>
      </c>
      <c r="Z40" s="454">
        <v>7.09000015258789E-2</v>
      </c>
      <c r="AA40" s="454">
        <v>7.2900001525878902E-2</v>
      </c>
      <c r="AB40" s="454">
        <v>9.4900001525878908E-2</v>
      </c>
      <c r="AC40" s="454">
        <v>0.12209999847412109</v>
      </c>
      <c r="AD40" s="454">
        <v>0.13110000610351563</v>
      </c>
      <c r="AE40" s="454">
        <v>0.13200000000000001</v>
      </c>
      <c r="AF40" s="454">
        <v>0.14389999389648436</v>
      </c>
      <c r="AG40" s="454">
        <v>0.16500000000000001</v>
      </c>
      <c r="AH40" s="454">
        <v>0.16800000000000001</v>
      </c>
      <c r="AI40" s="454">
        <v>0.14699999999999999</v>
      </c>
      <c r="AJ40" s="454">
        <v>0.14899999999999999</v>
      </c>
      <c r="AK40" s="454">
        <v>0.127</v>
      </c>
      <c r="AL40" s="454">
        <v>0.128</v>
      </c>
      <c r="AM40" s="454">
        <v>0.113</v>
      </c>
      <c r="AN40" s="454">
        <v>0.14489999389648436</v>
      </c>
      <c r="AO40" s="454">
        <v>0.16939999389648439</v>
      </c>
      <c r="AP40" s="454">
        <v>0.15131999999999998</v>
      </c>
      <c r="AQ40" s="454">
        <v>0.16974</v>
      </c>
      <c r="AR40" s="454">
        <v>0.20746999999999999</v>
      </c>
      <c r="AS40" s="454">
        <v>0.14771000000000001</v>
      </c>
      <c r="AT40" s="454">
        <v>2.8434400000000002</v>
      </c>
      <c r="AU40" s="454">
        <v>12.58165</v>
      </c>
      <c r="AV40" s="454">
        <v>21.518999999999998</v>
      </c>
      <c r="AW40" s="454">
        <v>18.91</v>
      </c>
      <c r="AX40" s="454">
        <v>21.623849999999997</v>
      </c>
      <c r="AY40" s="454">
        <v>34.027459999999998</v>
      </c>
      <c r="AZ40" s="454">
        <v>33.941000000000003</v>
      </c>
      <c r="BA40" s="454">
        <v>91.058000000000007</v>
      </c>
      <c r="BB40" s="454">
        <v>102.654</v>
      </c>
      <c r="BC40" s="454">
        <v>118.724</v>
      </c>
      <c r="BD40" s="454">
        <v>146.37899999999999</v>
      </c>
      <c r="BE40" s="461">
        <f t="shared" ref="BE40:BO40" ca="1" si="23">BD40*(BE25+BE26+BE27)/(BD25+BD26+BD27)</f>
        <v>164.18113515611304</v>
      </c>
      <c r="BF40" s="461">
        <f t="shared" ca="1" si="23"/>
        <v>177.09925572901614</v>
      </c>
      <c r="BG40" s="461">
        <f t="shared" ca="1" si="23"/>
        <v>189.33260514998491</v>
      </c>
      <c r="BH40" s="461">
        <f t="shared" ca="1" si="23"/>
        <v>201.44071191557049</v>
      </c>
      <c r="BI40" s="461">
        <f t="shared" ca="1" si="23"/>
        <v>213.66373379841394</v>
      </c>
      <c r="BJ40" s="461">
        <f t="shared" ca="1" si="23"/>
        <v>226.17122481177728</v>
      </c>
      <c r="BK40" s="461">
        <f t="shared" ca="1" si="23"/>
        <v>239.36860877043662</v>
      </c>
      <c r="BL40" s="461">
        <f t="shared" ca="1" si="23"/>
        <v>253.35805628806392</v>
      </c>
      <c r="BM40" s="461">
        <f t="shared" ca="1" si="23"/>
        <v>268.07677690110313</v>
      </c>
      <c r="BN40" s="461">
        <f t="shared" ca="1" si="23"/>
        <v>283.57651575242221</v>
      </c>
      <c r="BO40" s="461">
        <f t="shared" ca="1" si="23"/>
        <v>299.84165840267605</v>
      </c>
      <c r="BP40" s="457"/>
      <c r="BQ40" s="448">
        <f t="shared" si="20"/>
        <v>0</v>
      </c>
      <c r="BR40" s="448">
        <f t="shared" ca="1" si="20"/>
        <v>0</v>
      </c>
      <c r="BS40" s="448">
        <f t="shared" ca="1" si="20"/>
        <v>0</v>
      </c>
      <c r="BT40" s="448">
        <f t="shared" ca="1" si="20"/>
        <v>-9.0949470177292824E-13</v>
      </c>
      <c r="BU40" s="448">
        <f t="shared" ca="1" si="20"/>
        <v>-9.7486463346285746E-12</v>
      </c>
      <c r="BV40" s="448">
        <f t="shared" ca="1" si="20"/>
        <v>-8.3872464529122226E-11</v>
      </c>
      <c r="BW40" s="448">
        <f t="shared" ca="1" si="20"/>
        <v>-5.6928683989099227E-10</v>
      </c>
      <c r="BX40" s="448">
        <f t="shared" ca="1" si="20"/>
        <v>-3.1618867524230154E-9</v>
      </c>
      <c r="BY40" s="448">
        <f t="shared" ca="1" si="20"/>
        <v>-1.4809785398028907E-8</v>
      </c>
      <c r="BZ40" s="448">
        <f t="shared" ca="1" si="20"/>
        <v>-6.0025797665730352E-8</v>
      </c>
      <c r="CA40" s="448">
        <f t="shared" ca="1" si="20"/>
        <v>-2.143101482943166E-7</v>
      </c>
      <c r="CB40" s="448">
        <f t="shared" ca="1" si="20"/>
        <v>-6.8950254217270412E-7</v>
      </c>
      <c r="CD40" s="439">
        <v>146.37899999999999</v>
      </c>
      <c r="CE40" s="439">
        <v>164.18113515611304</v>
      </c>
      <c r="CF40" s="439">
        <v>177.09925572901619</v>
      </c>
      <c r="CG40" s="439">
        <v>189.33260514998582</v>
      </c>
      <c r="CH40" s="439">
        <v>201.44071191558024</v>
      </c>
      <c r="CI40" s="439">
        <v>213.66373379849782</v>
      </c>
      <c r="CJ40" s="439">
        <v>226.17122481234657</v>
      </c>
      <c r="CK40" s="439">
        <v>239.36860877359851</v>
      </c>
      <c r="CL40" s="439">
        <v>253.35805630287371</v>
      </c>
      <c r="CM40" s="439">
        <v>268.07677696112893</v>
      </c>
      <c r="CN40" s="439">
        <v>283.57651596673236</v>
      </c>
      <c r="CO40" s="439">
        <v>299.84165909217859</v>
      </c>
    </row>
    <row r="41" spans="1:93">
      <c r="A41" s="447" t="s">
        <v>2732</v>
      </c>
      <c r="B41" s="447"/>
      <c r="C41" s="442" t="s">
        <v>1455</v>
      </c>
      <c r="D41" s="447" t="s">
        <v>2722</v>
      </c>
      <c r="E41" s="436" t="s">
        <v>2733</v>
      </c>
      <c r="F41" s="454">
        <v>7.4000000000000003E-3</v>
      </c>
      <c r="G41" s="454">
        <v>8.0999999999999996E-3</v>
      </c>
      <c r="H41" s="454">
        <v>9.1739997863769535E-3</v>
      </c>
      <c r="I41" s="454">
        <v>1.0692000389099121E-2</v>
      </c>
      <c r="J41" s="454">
        <v>1.1088000297546387E-2</v>
      </c>
      <c r="K41" s="454">
        <v>1.1748000144958496E-2</v>
      </c>
      <c r="L41" s="454">
        <v>1.1748000144958496E-2</v>
      </c>
      <c r="M41" s="454">
        <v>1.1484000205993652E-2</v>
      </c>
      <c r="N41" s="454">
        <v>1.2737999916076661E-2</v>
      </c>
      <c r="O41" s="454">
        <v>1.2539999961853027E-2</v>
      </c>
      <c r="P41" s="454">
        <v>1.4123999595642089E-2</v>
      </c>
      <c r="Q41" s="454">
        <v>1.6631999969482423E-2</v>
      </c>
      <c r="R41" s="454">
        <v>2.6465999603271485E-2</v>
      </c>
      <c r="S41" s="454">
        <v>2.950200080871582E-2</v>
      </c>
      <c r="T41" s="454">
        <v>2.7587999343872072E-2</v>
      </c>
      <c r="U41" s="454">
        <v>3.207600021362305E-2</v>
      </c>
      <c r="V41" s="454">
        <v>3.4386001586914065E-2</v>
      </c>
      <c r="W41" s="454">
        <v>3.9402000427246092E-2</v>
      </c>
      <c r="X41" s="454">
        <v>5.0599998474121097E-2</v>
      </c>
      <c r="Y41" s="454">
        <v>4.2700000762939457E-2</v>
      </c>
      <c r="Z41" s="454">
        <v>4.1700000762939456E-2</v>
      </c>
      <c r="AA41" s="454">
        <v>2.8799999237060548E-2</v>
      </c>
      <c r="AB41" s="454">
        <v>4.4599998474121091E-2</v>
      </c>
      <c r="AC41" s="454">
        <v>5.9400001525878904E-2</v>
      </c>
      <c r="AD41" s="454">
        <v>7.409999847412109E-2</v>
      </c>
      <c r="AE41" s="454">
        <v>7.0499999999999993E-2</v>
      </c>
      <c r="AF41" s="454">
        <v>6.7783332824707027E-2</v>
      </c>
      <c r="AG41" s="454">
        <v>6.506666564941406E-2</v>
      </c>
      <c r="AH41" s="454">
        <v>6.2349998474121093E-2</v>
      </c>
      <c r="AI41" s="454">
        <v>5.9633335113525393E-2</v>
      </c>
      <c r="AJ41" s="454">
        <v>5.6916667938232419E-2</v>
      </c>
      <c r="AK41" s="454">
        <v>5.4200000762939453E-2</v>
      </c>
      <c r="AL41" s="454">
        <v>3.4599998474121096E-2</v>
      </c>
      <c r="AM41" s="454">
        <v>4.6599998474121093E-2</v>
      </c>
      <c r="AN41" s="454">
        <v>9.6300003051757815E-2</v>
      </c>
      <c r="AO41" s="454">
        <v>0.11780000305175781</v>
      </c>
      <c r="AP41" s="454">
        <v>0.191</v>
      </c>
      <c r="AQ41" s="454">
        <v>0.17699999999999999</v>
      </c>
      <c r="AR41" s="454">
        <v>0.127</v>
      </c>
      <c r="AS41" s="454">
        <v>0.17749999999999999</v>
      </c>
      <c r="AT41" s="454">
        <v>4.1551</v>
      </c>
      <c r="AU41" s="454">
        <v>25.084</v>
      </c>
      <c r="AV41" s="454">
        <v>38.569000000000003</v>
      </c>
      <c r="AW41" s="454">
        <v>37.213999999999999</v>
      </c>
      <c r="AX41" s="454">
        <v>15.17</v>
      </c>
      <c r="AY41" s="454">
        <v>16.382000000000001</v>
      </c>
      <c r="AZ41" s="454">
        <v>57.691000000000003</v>
      </c>
      <c r="BA41" s="454">
        <v>155.30000000000001</v>
      </c>
      <c r="BB41" s="454">
        <v>111</v>
      </c>
      <c r="BC41" s="454">
        <v>123.9</v>
      </c>
      <c r="BD41" s="454">
        <v>231.72900000000001</v>
      </c>
      <c r="BE41" s="461">
        <f t="shared" ref="BE41:BO41" ca="1" si="24">0.11*(0.25*(BD175+BD41+BD29-BD55)+0.75*(BE175+BE41+BE29-BE55))</f>
        <v>236.2189617795685</v>
      </c>
      <c r="BF41" s="461">
        <f t="shared" ca="1" si="24"/>
        <v>244.93995274006531</v>
      </c>
      <c r="BG41" s="461">
        <f t="shared" ca="1" si="24"/>
        <v>256.75998871429493</v>
      </c>
      <c r="BH41" s="461">
        <f t="shared" ca="1" si="24"/>
        <v>268.10138794502132</v>
      </c>
      <c r="BI41" s="461">
        <f t="shared" ca="1" si="24"/>
        <v>279.32881082897916</v>
      </c>
      <c r="BJ41" s="461">
        <f t="shared" ca="1" si="24"/>
        <v>290.47349942421772</v>
      </c>
      <c r="BK41" s="461">
        <f t="shared" ca="1" si="24"/>
        <v>302.34008410483329</v>
      </c>
      <c r="BL41" s="461">
        <f t="shared" ca="1" si="24"/>
        <v>314.60650490026404</v>
      </c>
      <c r="BM41" s="461">
        <f t="shared" ca="1" si="24"/>
        <v>327.01601307073537</v>
      </c>
      <c r="BN41" s="461">
        <f t="shared" ca="1" si="24"/>
        <v>339.73894480988508</v>
      </c>
      <c r="BO41" s="461">
        <f t="shared" ca="1" si="24"/>
        <v>352.59260165731683</v>
      </c>
      <c r="BP41" s="457"/>
      <c r="BQ41" s="448">
        <f t="shared" si="20"/>
        <v>0</v>
      </c>
      <c r="BR41" s="448">
        <f t="shared" ca="1" si="20"/>
        <v>0</v>
      </c>
      <c r="BS41" s="448">
        <f t="shared" ca="1" si="20"/>
        <v>5.9685589803848416E-13</v>
      </c>
      <c r="BT41" s="448">
        <f t="shared" ca="1" si="20"/>
        <v>8.9244167611468583E-12</v>
      </c>
      <c r="BU41" s="448">
        <f t="shared" ca="1" si="20"/>
        <v>9.7998054116033018E-11</v>
      </c>
      <c r="BV41" s="448">
        <f t="shared" ca="1" si="20"/>
        <v>8.3883833212894388E-10</v>
      </c>
      <c r="BW41" s="448">
        <f t="shared" ca="1" si="20"/>
        <v>5.6729163588897791E-9</v>
      </c>
      <c r="BX41" s="448">
        <f t="shared" ca="1" si="20"/>
        <v>3.1419176593772136E-8</v>
      </c>
      <c r="BY41" s="448">
        <f t="shared" ca="1" si="20"/>
        <v>1.4670592918264447E-7</v>
      </c>
      <c r="BZ41" s="448">
        <f t="shared" ca="1" si="20"/>
        <v>5.9191125956203905E-7</v>
      </c>
      <c r="CA41" s="448">
        <f t="shared" ca="1" si="20"/>
        <v>2.1020867393417575E-6</v>
      </c>
      <c r="CB41" s="448">
        <f t="shared" ca="1" si="20"/>
        <v>6.7256694933348626E-6</v>
      </c>
      <c r="CD41" s="439">
        <v>231.72900000000001</v>
      </c>
      <c r="CE41" s="439">
        <v>236.2189617795685</v>
      </c>
      <c r="CF41" s="439">
        <v>244.93995274006471</v>
      </c>
      <c r="CG41" s="439">
        <v>256.75998871428601</v>
      </c>
      <c r="CH41" s="439">
        <v>268.10138794492332</v>
      </c>
      <c r="CI41" s="439">
        <v>279.32881082814032</v>
      </c>
      <c r="CJ41" s="439">
        <v>290.4734994185448</v>
      </c>
      <c r="CK41" s="439">
        <v>302.34008407341412</v>
      </c>
      <c r="CL41" s="439">
        <v>314.60650475355811</v>
      </c>
      <c r="CM41" s="439">
        <v>327.01601247882411</v>
      </c>
      <c r="CN41" s="439">
        <v>339.73894270779834</v>
      </c>
      <c r="CO41" s="439">
        <v>352.59259493164734</v>
      </c>
    </row>
    <row r="42" spans="1:93">
      <c r="A42" s="447" t="s">
        <v>2734</v>
      </c>
      <c r="B42" s="447"/>
      <c r="C42" s="442" t="s">
        <v>1455</v>
      </c>
      <c r="D42" s="447" t="s">
        <v>2722</v>
      </c>
      <c r="E42" s="436" t="s">
        <v>2735</v>
      </c>
      <c r="F42" s="454">
        <v>3.8E-3</v>
      </c>
      <c r="G42" s="454">
        <v>4.0999999999999995E-3</v>
      </c>
      <c r="H42" s="454">
        <v>4.72599983215332E-3</v>
      </c>
      <c r="I42" s="454">
        <v>5.5079998970031735E-3</v>
      </c>
      <c r="J42" s="454">
        <v>5.7119998931884769E-3</v>
      </c>
      <c r="K42" s="454">
        <v>6.0520000457763672E-3</v>
      </c>
      <c r="L42" s="454">
        <v>6.0520000457763672E-3</v>
      </c>
      <c r="M42" s="454">
        <v>5.9159998893737794E-3</v>
      </c>
      <c r="N42" s="454">
        <v>6.5619997978210451E-3</v>
      </c>
      <c r="O42" s="454">
        <v>6.460000038146973E-3</v>
      </c>
      <c r="P42" s="454">
        <v>7.2760000228881839E-3</v>
      </c>
      <c r="Q42" s="454">
        <v>8.5679998397827153E-3</v>
      </c>
      <c r="R42" s="454">
        <v>1.3633999824523926E-2</v>
      </c>
      <c r="S42" s="454">
        <v>1.5197999954223633E-2</v>
      </c>
      <c r="T42" s="454">
        <v>1.4211999893188476E-2</v>
      </c>
      <c r="U42" s="454">
        <v>1.6524000167846678E-2</v>
      </c>
      <c r="V42" s="454">
        <v>1.7714000701904296E-2</v>
      </c>
      <c r="W42" s="454">
        <v>2.0298000335693359E-2</v>
      </c>
      <c r="X42" s="454">
        <v>1.3399999618530273E-2</v>
      </c>
      <c r="Y42" s="454">
        <v>1.3399999618530273E-2</v>
      </c>
      <c r="Z42" s="454">
        <v>1.4399999618530274E-2</v>
      </c>
      <c r="AA42" s="454">
        <v>1.9600000381469727E-2</v>
      </c>
      <c r="AB42" s="454">
        <v>2.3799999237060547E-2</v>
      </c>
      <c r="AC42" s="454">
        <v>2.8000000000000001E-2</v>
      </c>
      <c r="AD42" s="454">
        <v>4.320000076293945E-2</v>
      </c>
      <c r="AE42" s="454">
        <v>5.2499999999999998E-2</v>
      </c>
      <c r="AF42" s="454">
        <v>7.3616668701171881E-2</v>
      </c>
      <c r="AG42" s="454">
        <v>7.0333335876464842E-2</v>
      </c>
      <c r="AH42" s="454">
        <v>8.9150001525878902E-2</v>
      </c>
      <c r="AI42" s="454">
        <v>8.886666870117188E-2</v>
      </c>
      <c r="AJ42" s="454">
        <v>0.13158332824707031</v>
      </c>
      <c r="AK42" s="454">
        <v>0.14319999694824218</v>
      </c>
      <c r="AL42" s="454">
        <v>0.15380000305175781</v>
      </c>
      <c r="AM42" s="454">
        <v>0.14810000610351562</v>
      </c>
      <c r="AN42" s="454">
        <v>0.16430000305175782</v>
      </c>
      <c r="AO42" s="454">
        <v>0.19910000610351564</v>
      </c>
      <c r="AP42" s="454">
        <v>0.19839999389648438</v>
      </c>
      <c r="AQ42" s="454">
        <v>0.27860000610351565</v>
      </c>
      <c r="AR42" s="454">
        <v>0.29185659790039065</v>
      </c>
      <c r="AS42" s="454">
        <v>0.47599999999999998</v>
      </c>
      <c r="AT42" s="454">
        <v>1.4330000000000001</v>
      </c>
      <c r="AU42" s="454">
        <v>9.6690000000000005</v>
      </c>
      <c r="AV42" s="454">
        <v>7.1829999999999998</v>
      </c>
      <c r="AW42" s="454">
        <v>13.731</v>
      </c>
      <c r="AX42" s="454">
        <v>31.8</v>
      </c>
      <c r="AY42" s="454">
        <v>33.799999999999997</v>
      </c>
      <c r="AZ42" s="454">
        <v>53.7</v>
      </c>
      <c r="BA42" s="454">
        <v>61.2</v>
      </c>
      <c r="BB42" s="454">
        <v>116.4</v>
      </c>
      <c r="BC42" s="454">
        <v>171.6</v>
      </c>
      <c r="BD42" s="454">
        <v>168.137</v>
      </c>
      <c r="BE42" s="461">
        <f t="shared" ref="BE42:BO42" ca="1" si="25">BD42*(0.5*BE175+BE165)/(0.5*BD175+BD165)</f>
        <v>183.28509910099007</v>
      </c>
      <c r="BF42" s="461">
        <f t="shared" ca="1" si="25"/>
        <v>198.02767856119553</v>
      </c>
      <c r="BG42" s="461">
        <f t="shared" ca="1" si="25"/>
        <v>211.89780980841888</v>
      </c>
      <c r="BH42" s="461">
        <f t="shared" ca="1" si="25"/>
        <v>224.07006285513441</v>
      </c>
      <c r="BI42" s="461">
        <f t="shared" ca="1" si="25"/>
        <v>236.02889624753465</v>
      </c>
      <c r="BJ42" s="461">
        <f t="shared" ca="1" si="25"/>
        <v>247.58812885769481</v>
      </c>
      <c r="BK42" s="461">
        <f t="shared" ca="1" si="25"/>
        <v>260.26788649076713</v>
      </c>
      <c r="BL42" s="461">
        <f t="shared" ca="1" si="25"/>
        <v>273.41700883642125</v>
      </c>
      <c r="BM42" s="461">
        <f t="shared" ca="1" si="25"/>
        <v>286.90217550746559</v>
      </c>
      <c r="BN42" s="461">
        <f t="shared" ca="1" si="25"/>
        <v>300.95243795973283</v>
      </c>
      <c r="BO42" s="461">
        <f t="shared" ca="1" si="25"/>
        <v>315.26262783063913</v>
      </c>
      <c r="BP42" s="457"/>
      <c r="BQ42" s="448">
        <f t="shared" si="20"/>
        <v>0</v>
      </c>
      <c r="BR42" s="448">
        <f t="shared" ca="1" si="20"/>
        <v>0</v>
      </c>
      <c r="BS42" s="448">
        <f t="shared" ca="1" si="20"/>
        <v>2.5579538487363607E-13</v>
      </c>
      <c r="BT42" s="448">
        <f t="shared" ca="1" si="20"/>
        <v>3.979039320256561E-12</v>
      </c>
      <c r="BU42" s="448">
        <f t="shared" ca="1" si="20"/>
        <v>4.3684167394530959E-11</v>
      </c>
      <c r="BV42" s="448">
        <f t="shared" ca="1" si="20"/>
        <v>3.7167069422139321E-10</v>
      </c>
      <c r="BW42" s="448">
        <f t="shared" ca="1" si="20"/>
        <v>2.493322881491622E-9</v>
      </c>
      <c r="BX42" s="448">
        <f t="shared" ca="1" si="20"/>
        <v>1.3697160738956882E-8</v>
      </c>
      <c r="BY42" s="448">
        <f t="shared" ca="1" si="20"/>
        <v>6.345311476252391E-8</v>
      </c>
      <c r="BZ42" s="448">
        <f t="shared" ca="1" si="20"/>
        <v>2.5410611215193057E-7</v>
      </c>
      <c r="CA42" s="448">
        <f t="shared" ca="1" si="20"/>
        <v>8.9602463049232028E-7</v>
      </c>
      <c r="CB42" s="448">
        <f t="shared" ca="1" si="20"/>
        <v>2.8469843300626962E-6</v>
      </c>
      <c r="CD42" s="439">
        <v>168.137</v>
      </c>
      <c r="CE42" s="439">
        <v>183.28509910099007</v>
      </c>
      <c r="CF42" s="439">
        <v>198.02767856119527</v>
      </c>
      <c r="CG42" s="439">
        <v>211.89780980841491</v>
      </c>
      <c r="CH42" s="439">
        <v>224.07006285509073</v>
      </c>
      <c r="CI42" s="439">
        <v>236.02889624716298</v>
      </c>
      <c r="CJ42" s="439">
        <v>247.58812885520149</v>
      </c>
      <c r="CK42" s="439">
        <v>260.26788647706996</v>
      </c>
      <c r="CL42" s="439">
        <v>273.41700877296813</v>
      </c>
      <c r="CM42" s="439">
        <v>286.90217525335947</v>
      </c>
      <c r="CN42" s="439">
        <v>300.9524370637082</v>
      </c>
      <c r="CO42" s="439">
        <v>315.2626249836548</v>
      </c>
    </row>
    <row r="43" spans="1:93">
      <c r="A43" s="447" t="s">
        <v>2736</v>
      </c>
      <c r="B43" s="447"/>
      <c r="C43" s="442" t="s">
        <v>1455</v>
      </c>
      <c r="D43" s="447" t="s">
        <v>2722</v>
      </c>
      <c r="E43" s="436" t="s">
        <v>2737</v>
      </c>
      <c r="F43" s="454">
        <v>2.0000000000000001E-4</v>
      </c>
      <c r="G43" s="454">
        <v>2.9999999999999997E-4</v>
      </c>
      <c r="H43" s="454">
        <v>1.979999989271164E-4</v>
      </c>
      <c r="I43" s="454">
        <v>2.4199999868869781E-4</v>
      </c>
      <c r="J43" s="454">
        <v>9.7899997234344484E-4</v>
      </c>
      <c r="K43" s="454">
        <v>1.0670000314712525E-3</v>
      </c>
      <c r="L43" s="454">
        <v>1.4299999475479127E-3</v>
      </c>
      <c r="M43" s="454">
        <v>7.6999998092651368E-4</v>
      </c>
      <c r="N43" s="454">
        <v>1.7929999828338622E-3</v>
      </c>
      <c r="O43" s="454">
        <v>8.2499998807907102E-4</v>
      </c>
      <c r="P43" s="454">
        <v>1.6390000581741333E-3</v>
      </c>
      <c r="Q43" s="454">
        <v>4.6200001239776609E-4</v>
      </c>
      <c r="R43" s="454">
        <v>4.8399999737739561E-4</v>
      </c>
      <c r="S43" s="454">
        <v>7.8100001811981198E-4</v>
      </c>
      <c r="T43" s="454">
        <v>8.6900001764297484E-4</v>
      </c>
      <c r="U43" s="454">
        <v>9.4599997997283931E-4</v>
      </c>
      <c r="V43" s="454">
        <v>1.0230000019073487E-3</v>
      </c>
      <c r="W43" s="454">
        <v>1.4630000591278076E-3</v>
      </c>
      <c r="X43" s="454">
        <v>2E-3</v>
      </c>
      <c r="Y43" s="454">
        <v>2.2000000476837156E-3</v>
      </c>
      <c r="Z43" s="454">
        <v>2.9000000953674316E-3</v>
      </c>
      <c r="AA43" s="454">
        <v>2.0999999046325685E-3</v>
      </c>
      <c r="AB43" s="454">
        <v>2.7999999523162841E-3</v>
      </c>
      <c r="AC43" s="454">
        <v>2.2000000476837156E-3</v>
      </c>
      <c r="AD43" s="454">
        <v>2.4000000953674316E-3</v>
      </c>
      <c r="AE43" s="454">
        <v>3.0999999046325685E-3</v>
      </c>
      <c r="AF43" s="454">
        <v>6.0000000000000001E-3</v>
      </c>
      <c r="AG43" s="454">
        <v>1.0999999999999999E-2</v>
      </c>
      <c r="AH43" s="454">
        <v>1.6E-2</v>
      </c>
      <c r="AI43" s="454">
        <v>2.0200000762939454E-2</v>
      </c>
      <c r="AJ43" s="454">
        <v>2.8399999618530274E-2</v>
      </c>
      <c r="AK43" s="454">
        <v>1.8299999237060546E-2</v>
      </c>
      <c r="AL43" s="454">
        <v>0.02</v>
      </c>
      <c r="AM43" s="454">
        <v>2.6600000381469726E-2</v>
      </c>
      <c r="AN43" s="454">
        <v>2.3600000381469727E-2</v>
      </c>
      <c r="AO43" s="454">
        <v>2.1700000762939452E-2</v>
      </c>
      <c r="AP43" s="454">
        <v>4.7E-2</v>
      </c>
      <c r="AQ43" s="454">
        <v>5.2999999999999999E-2</v>
      </c>
      <c r="AR43" s="454">
        <v>7.0000000000000007E-2</v>
      </c>
      <c r="AS43" s="454">
        <v>0.28299999999999997</v>
      </c>
      <c r="AT43" s="454">
        <v>1.296</v>
      </c>
      <c r="AU43" s="454">
        <v>9.6460000000000008</v>
      </c>
      <c r="AV43" s="454">
        <v>7.9089999999999998</v>
      </c>
      <c r="AW43" s="454">
        <v>1.401</v>
      </c>
      <c r="AX43" s="454">
        <v>3.53</v>
      </c>
      <c r="AY43" s="454">
        <v>8.718</v>
      </c>
      <c r="AZ43" s="454">
        <v>36.509</v>
      </c>
      <c r="BA43" s="454">
        <v>72.5</v>
      </c>
      <c r="BB43" s="454">
        <v>5</v>
      </c>
      <c r="BC43" s="454">
        <v>6.4700000000011637E-2</v>
      </c>
      <c r="BD43" s="454">
        <v>-26.666</v>
      </c>
      <c r="BE43" s="461">
        <f t="shared" ref="BE43:BO43" ca="1" si="26">(AZ43+BA43+BB43+BC43+BD43)*0.2*BE165/BD165</f>
        <v>19.388134913173431</v>
      </c>
      <c r="BF43" s="461">
        <f t="shared" ca="1" si="26"/>
        <v>15.304255904443547</v>
      </c>
      <c r="BG43" s="461">
        <f t="shared" ca="1" si="26"/>
        <v>2.8118019362673716</v>
      </c>
      <c r="BH43" s="461">
        <f t="shared" ca="1" si="26"/>
        <v>2.3116279192668561</v>
      </c>
      <c r="BI43" s="461">
        <f t="shared" ca="1" si="26"/>
        <v>2.7747372103763048</v>
      </c>
      <c r="BJ43" s="461">
        <f t="shared" ca="1" si="26"/>
        <v>8.9463105708471051</v>
      </c>
      <c r="BK43" s="461">
        <f t="shared" ca="1" si="26"/>
        <v>6.7697995101639066</v>
      </c>
      <c r="BL43" s="461">
        <f t="shared" ca="1" si="26"/>
        <v>4.9717665466778831</v>
      </c>
      <c r="BM43" s="461">
        <f t="shared" ca="1" si="26"/>
        <v>5.4214030921197454</v>
      </c>
      <c r="BN43" s="461">
        <f t="shared" ca="1" si="26"/>
        <v>6.0744334439923273</v>
      </c>
      <c r="BO43" s="461">
        <f t="shared" ca="1" si="26"/>
        <v>6.7674988714940225</v>
      </c>
      <c r="BP43" s="457"/>
      <c r="BQ43" s="448">
        <f t="shared" si="20"/>
        <v>0</v>
      </c>
      <c r="BR43" s="448">
        <f t="shared" ca="1" si="20"/>
        <v>0</v>
      </c>
      <c r="BS43" s="448">
        <f t="shared" ca="1" si="20"/>
        <v>0</v>
      </c>
      <c r="BT43" s="448">
        <f t="shared" ca="1" si="20"/>
        <v>0</v>
      </c>
      <c r="BU43" s="448">
        <f t="shared" ca="1" si="20"/>
        <v>1.7319479184152442E-14</v>
      </c>
      <c r="BV43" s="448">
        <f t="shared" ca="1" si="20"/>
        <v>1.9539925233402755E-13</v>
      </c>
      <c r="BW43" s="448">
        <f t="shared" ca="1" si="20"/>
        <v>4.2650327714000014E-12</v>
      </c>
      <c r="BX43" s="448">
        <f t="shared" ca="1" si="20"/>
        <v>1.8524737299685512E-11</v>
      </c>
      <c r="BY43" s="448">
        <f t="shared" ca="1" si="20"/>
        <v>6.4358296469890774E-11</v>
      </c>
      <c r="BZ43" s="448">
        <f t="shared" ca="1" si="20"/>
        <v>2.7501378951910738E-10</v>
      </c>
      <c r="CA43" s="448">
        <f t="shared" ca="1" si="20"/>
        <v>1.0691270091456317E-9</v>
      </c>
      <c r="CB43" s="448">
        <f t="shared" ca="1" si="20"/>
        <v>3.7038434541614151E-9</v>
      </c>
      <c r="CD43" s="439">
        <v>-26.666</v>
      </c>
      <c r="CE43" s="439">
        <v>19.388134913173431</v>
      </c>
      <c r="CF43" s="439">
        <v>15.304255904443551</v>
      </c>
      <c r="CG43" s="439">
        <v>2.8118019362673699</v>
      </c>
      <c r="CH43" s="439">
        <v>2.3116279192668387</v>
      </c>
      <c r="CI43" s="439">
        <v>2.7747372103761094</v>
      </c>
      <c r="CJ43" s="439">
        <v>8.9463105708428401</v>
      </c>
      <c r="CK43" s="439">
        <v>6.7697995101453818</v>
      </c>
      <c r="CL43" s="439">
        <v>4.9717665466135248</v>
      </c>
      <c r="CM43" s="439">
        <v>5.4214030918447316</v>
      </c>
      <c r="CN43" s="439">
        <v>6.0744334429232003</v>
      </c>
      <c r="CO43" s="439">
        <v>6.7674988677901791</v>
      </c>
    </row>
    <row r="44" spans="1:93">
      <c r="A44" s="447" t="s">
        <v>2738</v>
      </c>
      <c r="B44" s="447"/>
      <c r="C44" s="442" t="s">
        <v>1455</v>
      </c>
      <c r="D44" s="447" t="s">
        <v>2722</v>
      </c>
      <c r="E44" s="436" t="s">
        <v>2739</v>
      </c>
      <c r="F44" s="454">
        <v>0</v>
      </c>
      <c r="G44" s="454">
        <v>0</v>
      </c>
      <c r="H44" s="454">
        <v>0</v>
      </c>
      <c r="I44" s="454">
        <v>0</v>
      </c>
      <c r="J44" s="454">
        <v>0</v>
      </c>
      <c r="K44" s="454">
        <v>0</v>
      </c>
      <c r="L44" s="454">
        <v>0</v>
      </c>
      <c r="M44" s="454">
        <v>0</v>
      </c>
      <c r="N44" s="454">
        <v>0</v>
      </c>
      <c r="O44" s="454">
        <v>0</v>
      </c>
      <c r="P44" s="454">
        <v>0</v>
      </c>
      <c r="Q44" s="454">
        <v>0</v>
      </c>
      <c r="R44" s="454">
        <v>0</v>
      </c>
      <c r="S44" s="454">
        <v>0</v>
      </c>
      <c r="T44" s="454">
        <v>0</v>
      </c>
      <c r="U44" s="454">
        <v>0</v>
      </c>
      <c r="V44" s="454">
        <v>0</v>
      </c>
      <c r="W44" s="454">
        <v>0</v>
      </c>
      <c r="X44" s="454">
        <v>0</v>
      </c>
      <c r="Y44" s="454">
        <v>0</v>
      </c>
      <c r="Z44" s="454">
        <v>0</v>
      </c>
      <c r="AA44" s="454">
        <v>0</v>
      </c>
      <c r="AB44" s="454">
        <v>0</v>
      </c>
      <c r="AC44" s="454">
        <v>0</v>
      </c>
      <c r="AD44" s="454">
        <v>0</v>
      </c>
      <c r="AE44" s="454">
        <v>0</v>
      </c>
      <c r="AF44" s="454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454">
        <v>0</v>
      </c>
      <c r="AM44" s="454">
        <v>0</v>
      </c>
      <c r="AN44" s="454">
        <v>0</v>
      </c>
      <c r="AO44" s="454">
        <v>0</v>
      </c>
      <c r="AP44" s="454">
        <v>0</v>
      </c>
      <c r="AQ44" s="454">
        <v>0</v>
      </c>
      <c r="AR44" s="454">
        <v>0</v>
      </c>
      <c r="AS44" s="454">
        <v>0</v>
      </c>
      <c r="AT44" s="454">
        <v>0</v>
      </c>
      <c r="AU44" s="454">
        <v>0</v>
      </c>
      <c r="AV44" s="454">
        <v>0</v>
      </c>
      <c r="AW44" s="454">
        <v>0</v>
      </c>
      <c r="AX44" s="454">
        <v>0</v>
      </c>
      <c r="AY44" s="454">
        <v>0</v>
      </c>
      <c r="AZ44" s="454">
        <v>0</v>
      </c>
      <c r="BA44" s="454">
        <v>0</v>
      </c>
      <c r="BB44" s="454">
        <v>0</v>
      </c>
      <c r="BC44" s="454">
        <v>0</v>
      </c>
      <c r="BD44" s="454">
        <v>0</v>
      </c>
      <c r="BE44" s="461">
        <f>BD44</f>
        <v>0</v>
      </c>
      <c r="BF44" s="461">
        <f t="shared" ref="BF44:BO44" si="27">BE44</f>
        <v>0</v>
      </c>
      <c r="BG44" s="461">
        <f t="shared" si="27"/>
        <v>0</v>
      </c>
      <c r="BH44" s="461">
        <f t="shared" si="27"/>
        <v>0</v>
      </c>
      <c r="BI44" s="461">
        <f t="shared" si="27"/>
        <v>0</v>
      </c>
      <c r="BJ44" s="461">
        <f t="shared" si="27"/>
        <v>0</v>
      </c>
      <c r="BK44" s="461">
        <f t="shared" si="27"/>
        <v>0</v>
      </c>
      <c r="BL44" s="461">
        <f t="shared" si="27"/>
        <v>0</v>
      </c>
      <c r="BM44" s="461">
        <f t="shared" si="27"/>
        <v>0</v>
      </c>
      <c r="BN44" s="461">
        <f t="shared" si="27"/>
        <v>0</v>
      </c>
      <c r="BO44" s="461">
        <f t="shared" si="27"/>
        <v>0</v>
      </c>
      <c r="BP44" s="457"/>
      <c r="BQ44" s="448">
        <f t="shared" si="20"/>
        <v>0</v>
      </c>
      <c r="BR44" s="448">
        <f t="shared" si="20"/>
        <v>0</v>
      </c>
      <c r="BS44" s="448">
        <f t="shared" si="20"/>
        <v>0</v>
      </c>
      <c r="BT44" s="448">
        <f t="shared" si="20"/>
        <v>0</v>
      </c>
      <c r="BU44" s="448">
        <f t="shared" si="20"/>
        <v>0</v>
      </c>
      <c r="BV44" s="448">
        <f t="shared" si="20"/>
        <v>0</v>
      </c>
      <c r="BW44" s="448">
        <f t="shared" si="20"/>
        <v>0</v>
      </c>
      <c r="BX44" s="448">
        <f t="shared" si="20"/>
        <v>0</v>
      </c>
      <c r="BY44" s="448">
        <f t="shared" si="20"/>
        <v>0</v>
      </c>
      <c r="BZ44" s="448">
        <f t="shared" si="20"/>
        <v>0</v>
      </c>
      <c r="CA44" s="448">
        <f t="shared" si="20"/>
        <v>0</v>
      </c>
      <c r="CB44" s="448">
        <f t="shared" si="20"/>
        <v>0</v>
      </c>
      <c r="CD44" s="439">
        <v>0</v>
      </c>
      <c r="CE44" s="439">
        <v>0</v>
      </c>
      <c r="CF44" s="439">
        <v>0</v>
      </c>
      <c r="CG44" s="439">
        <v>0</v>
      </c>
      <c r="CH44" s="439">
        <v>0</v>
      </c>
      <c r="CI44" s="439">
        <v>0</v>
      </c>
      <c r="CJ44" s="439">
        <v>0</v>
      </c>
      <c r="CK44" s="439">
        <v>0</v>
      </c>
      <c r="CL44" s="439">
        <v>0</v>
      </c>
      <c r="CM44" s="439">
        <v>0</v>
      </c>
      <c r="CN44" s="439">
        <v>0</v>
      </c>
      <c r="CO44" s="439">
        <v>0</v>
      </c>
    </row>
    <row r="45" spans="1:93">
      <c r="A45" s="459" t="s">
        <v>2740</v>
      </c>
      <c r="B45" s="459"/>
      <c r="C45" s="442" t="s">
        <v>1344</v>
      </c>
      <c r="D45" s="447" t="s">
        <v>1344</v>
      </c>
      <c r="E45" s="460"/>
      <c r="F45" s="464" t="s">
        <v>1344</v>
      </c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460"/>
      <c r="AA45" s="460"/>
      <c r="AB45" s="460"/>
      <c r="AC45" s="460"/>
      <c r="AD45" s="460"/>
      <c r="AE45" s="460"/>
      <c r="AF45" s="460"/>
      <c r="AG45" s="460"/>
      <c r="AH45" s="460"/>
      <c r="AI45" s="460"/>
      <c r="AJ45" s="460"/>
      <c r="AK45" s="460"/>
      <c r="AL45" s="460"/>
      <c r="AM45" s="460"/>
      <c r="AN45" s="460"/>
      <c r="AO45" s="460"/>
      <c r="AP45" s="438"/>
      <c r="AQ45" s="438"/>
      <c r="AR45" s="438"/>
      <c r="AS45" s="438"/>
      <c r="AT45" s="438"/>
      <c r="AU45" s="438"/>
      <c r="AV45" s="438"/>
      <c r="AW45" s="438"/>
      <c r="AX45" s="438"/>
      <c r="AY45" s="438"/>
      <c r="AZ45" s="438"/>
      <c r="BE45" s="438"/>
      <c r="BF45" s="438"/>
      <c r="BG45" s="438"/>
      <c r="BH45" s="438"/>
      <c r="BI45" s="438"/>
      <c r="BJ45" s="438"/>
      <c r="BK45" s="438"/>
      <c r="BL45" s="438"/>
      <c r="BM45" s="438"/>
      <c r="BN45" s="438"/>
      <c r="BO45" s="438"/>
      <c r="BQ45" s="448">
        <f t="shared" si="20"/>
        <v>0</v>
      </c>
      <c r="BR45" s="448">
        <f t="shared" si="20"/>
        <v>0</v>
      </c>
      <c r="BS45" s="448">
        <f t="shared" si="20"/>
        <v>0</v>
      </c>
      <c r="BT45" s="448">
        <f t="shared" si="20"/>
        <v>0</v>
      </c>
      <c r="BU45" s="448">
        <f t="shared" si="20"/>
        <v>0</v>
      </c>
      <c r="BV45" s="448">
        <f t="shared" si="20"/>
        <v>0</v>
      </c>
      <c r="BW45" s="448">
        <f t="shared" si="20"/>
        <v>0</v>
      </c>
      <c r="BX45" s="448">
        <f t="shared" si="20"/>
        <v>0</v>
      </c>
      <c r="BY45" s="448">
        <f t="shared" si="20"/>
        <v>0</v>
      </c>
      <c r="BZ45" s="448">
        <f t="shared" si="20"/>
        <v>0</v>
      </c>
      <c r="CA45" s="448">
        <f t="shared" si="20"/>
        <v>0</v>
      </c>
      <c r="CB45" s="448">
        <f t="shared" si="20"/>
        <v>0</v>
      </c>
    </row>
    <row r="46" spans="1:93">
      <c r="A46" s="447" t="s">
        <v>2741</v>
      </c>
      <c r="B46" s="447"/>
      <c r="C46" s="442" t="s">
        <v>1455</v>
      </c>
      <c r="D46" s="447" t="s">
        <v>2722</v>
      </c>
      <c r="E46" s="436" t="s">
        <v>2742</v>
      </c>
      <c r="F46" s="454">
        <v>0</v>
      </c>
      <c r="G46" s="454">
        <v>0</v>
      </c>
      <c r="H46" s="454">
        <v>0</v>
      </c>
      <c r="I46" s="454">
        <v>0</v>
      </c>
      <c r="J46" s="454">
        <v>0</v>
      </c>
      <c r="K46" s="454">
        <v>0</v>
      </c>
      <c r="L46" s="454">
        <v>0</v>
      </c>
      <c r="M46" s="454">
        <v>0</v>
      </c>
      <c r="N46" s="454">
        <v>0</v>
      </c>
      <c r="O46" s="454">
        <v>0</v>
      </c>
      <c r="P46" s="454">
        <v>0</v>
      </c>
      <c r="Q46" s="454">
        <v>0</v>
      </c>
      <c r="R46" s="454">
        <v>0</v>
      </c>
      <c r="S46" s="454">
        <v>0</v>
      </c>
      <c r="T46" s="454">
        <v>0</v>
      </c>
      <c r="U46" s="454">
        <v>0</v>
      </c>
      <c r="V46" s="454">
        <v>0</v>
      </c>
      <c r="W46" s="454">
        <v>0</v>
      </c>
      <c r="X46" s="454">
        <v>0</v>
      </c>
      <c r="Y46" s="454">
        <v>0</v>
      </c>
      <c r="Z46" s="454">
        <v>0</v>
      </c>
      <c r="AA46" s="454">
        <v>0</v>
      </c>
      <c r="AB46" s="454">
        <v>0</v>
      </c>
      <c r="AC46" s="454">
        <v>0</v>
      </c>
      <c r="AD46" s="454">
        <v>0</v>
      </c>
      <c r="AE46" s="454">
        <v>0</v>
      </c>
      <c r="AF46" s="454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454">
        <v>0</v>
      </c>
      <c r="AM46" s="454">
        <v>0</v>
      </c>
      <c r="AN46" s="454">
        <v>0</v>
      </c>
      <c r="AO46" s="454">
        <v>0</v>
      </c>
      <c r="AP46" s="454">
        <v>0</v>
      </c>
      <c r="AQ46" s="454">
        <v>0</v>
      </c>
      <c r="AR46" s="454">
        <v>0</v>
      </c>
      <c r="AS46" s="454">
        <v>0</v>
      </c>
      <c r="AT46" s="454">
        <v>7.0000000000000007E-5</v>
      </c>
      <c r="AU46" s="454">
        <v>0</v>
      </c>
      <c r="AV46" s="454">
        <v>0</v>
      </c>
      <c r="AW46" s="454">
        <v>0</v>
      </c>
      <c r="AX46" s="454">
        <v>0</v>
      </c>
      <c r="AY46" s="454">
        <v>0</v>
      </c>
      <c r="AZ46" s="454">
        <v>0</v>
      </c>
      <c r="BA46" s="454">
        <v>0</v>
      </c>
      <c r="BB46" s="454">
        <v>0</v>
      </c>
      <c r="BC46" s="454">
        <v>0</v>
      </c>
      <c r="BD46" s="454">
        <v>0</v>
      </c>
      <c r="BE46" s="461">
        <f>BD46</f>
        <v>0</v>
      </c>
      <c r="BF46" s="461">
        <f t="shared" ref="BF46:BO46" si="28">BE46</f>
        <v>0</v>
      </c>
      <c r="BG46" s="461">
        <f t="shared" si="28"/>
        <v>0</v>
      </c>
      <c r="BH46" s="461">
        <f t="shared" si="28"/>
        <v>0</v>
      </c>
      <c r="BI46" s="461">
        <f t="shared" si="28"/>
        <v>0</v>
      </c>
      <c r="BJ46" s="461">
        <f t="shared" si="28"/>
        <v>0</v>
      </c>
      <c r="BK46" s="461">
        <f t="shared" si="28"/>
        <v>0</v>
      </c>
      <c r="BL46" s="461">
        <f t="shared" si="28"/>
        <v>0</v>
      </c>
      <c r="BM46" s="461">
        <f t="shared" si="28"/>
        <v>0</v>
      </c>
      <c r="BN46" s="461">
        <f t="shared" si="28"/>
        <v>0</v>
      </c>
      <c r="BO46" s="461">
        <f t="shared" si="28"/>
        <v>0</v>
      </c>
      <c r="BP46" s="457"/>
      <c r="BQ46" s="448">
        <f t="shared" si="20"/>
        <v>0</v>
      </c>
      <c r="BR46" s="448">
        <f t="shared" si="20"/>
        <v>0</v>
      </c>
      <c r="BS46" s="448">
        <f t="shared" si="20"/>
        <v>0</v>
      </c>
      <c r="BT46" s="448">
        <f t="shared" si="20"/>
        <v>0</v>
      </c>
      <c r="BU46" s="448">
        <f t="shared" si="20"/>
        <v>0</v>
      </c>
      <c r="BV46" s="448">
        <f t="shared" si="20"/>
        <v>0</v>
      </c>
      <c r="BW46" s="448">
        <f t="shared" si="20"/>
        <v>0</v>
      </c>
      <c r="BX46" s="448">
        <f t="shared" si="20"/>
        <v>0</v>
      </c>
      <c r="BY46" s="448">
        <f t="shared" si="20"/>
        <v>0</v>
      </c>
      <c r="BZ46" s="448">
        <f t="shared" si="20"/>
        <v>0</v>
      </c>
      <c r="CA46" s="448">
        <f t="shared" si="20"/>
        <v>0</v>
      </c>
      <c r="CB46" s="448">
        <f t="shared" si="20"/>
        <v>0</v>
      </c>
      <c r="CD46" s="439">
        <v>0</v>
      </c>
      <c r="CE46" s="439">
        <v>0</v>
      </c>
      <c r="CF46" s="439">
        <v>0</v>
      </c>
      <c r="CG46" s="439">
        <v>0</v>
      </c>
      <c r="CH46" s="439">
        <v>0</v>
      </c>
      <c r="CI46" s="439">
        <v>0</v>
      </c>
      <c r="CJ46" s="439">
        <v>0</v>
      </c>
      <c r="CK46" s="439">
        <v>0</v>
      </c>
      <c r="CL46" s="439">
        <v>0</v>
      </c>
      <c r="CM46" s="439">
        <v>0</v>
      </c>
      <c r="CN46" s="439">
        <v>0</v>
      </c>
      <c r="CO46" s="439">
        <v>0</v>
      </c>
    </row>
    <row r="47" spans="1:93">
      <c r="A47" s="447" t="s">
        <v>2743</v>
      </c>
      <c r="B47" s="447"/>
      <c r="C47" s="442" t="s">
        <v>1455</v>
      </c>
      <c r="D47" s="447" t="s">
        <v>2722</v>
      </c>
      <c r="E47" s="436" t="s">
        <v>2744</v>
      </c>
      <c r="F47" s="454">
        <v>2E-3</v>
      </c>
      <c r="G47" s="454">
        <v>1.6000000000000001E-3</v>
      </c>
      <c r="H47" s="454">
        <v>4.9000000953674317E-3</v>
      </c>
      <c r="I47" s="454">
        <v>6.8000001907348633E-3</v>
      </c>
      <c r="J47" s="454">
        <v>4.6999998092651365E-3</v>
      </c>
      <c r="K47" s="454">
        <v>5.4999999999999997E-3</v>
      </c>
      <c r="L47" s="454">
        <v>6.3000001907348637E-3</v>
      </c>
      <c r="M47" s="454">
        <v>8.3000001907348638E-3</v>
      </c>
      <c r="N47" s="454">
        <v>7.3000001907348629E-3</v>
      </c>
      <c r="O47" s="454">
        <v>1.2999999999999999E-2</v>
      </c>
      <c r="P47" s="454">
        <v>6.0999999046325686E-3</v>
      </c>
      <c r="Q47" s="454">
        <v>6.0000000000000001E-3</v>
      </c>
      <c r="R47" s="454">
        <v>1.2500000000000001E-2</v>
      </c>
      <c r="S47" s="454">
        <v>1.2999999999999999E-2</v>
      </c>
      <c r="T47" s="454">
        <v>1.2399999618530274E-2</v>
      </c>
      <c r="U47" s="454">
        <v>2.0399999618530274E-2</v>
      </c>
      <c r="V47" s="454">
        <v>2.3899999618530274E-2</v>
      </c>
      <c r="W47" s="454">
        <v>2.4200000762939454E-2</v>
      </c>
      <c r="X47" s="454">
        <v>2.2899999618530273E-2</v>
      </c>
      <c r="Y47" s="454">
        <v>2.4299999237060547E-2</v>
      </c>
      <c r="Z47" s="454">
        <v>4.0700000762939455E-2</v>
      </c>
      <c r="AA47" s="454">
        <v>5.6000000000000001E-2</v>
      </c>
      <c r="AB47" s="454">
        <v>0.15919999694824219</v>
      </c>
      <c r="AC47" s="454">
        <v>0.13839999389648439</v>
      </c>
      <c r="AD47" s="454">
        <v>9.8900001525878911E-2</v>
      </c>
      <c r="AE47" s="454">
        <v>0.14399999999999999</v>
      </c>
      <c r="AF47" s="454">
        <v>0.13155450439453126</v>
      </c>
      <c r="AG47" s="454">
        <v>0.16903950500488282</v>
      </c>
      <c r="AH47" s="454">
        <v>0.1729665069580078</v>
      </c>
      <c r="AI47" s="454">
        <v>4.4625000953674313E-3</v>
      </c>
      <c r="AJ47" s="454">
        <v>3.5999999046325685E-3</v>
      </c>
      <c r="AK47" s="454">
        <v>4.0000000000000001E-3</v>
      </c>
      <c r="AL47" s="454">
        <v>2E-3</v>
      </c>
      <c r="AM47" s="454">
        <v>8.199999809265137E-3</v>
      </c>
      <c r="AN47" s="454">
        <v>1.9E-2</v>
      </c>
      <c r="AO47" s="454">
        <v>4.2999999999999997E-2</v>
      </c>
      <c r="AP47" s="454">
        <v>6.1399999999999996E-2</v>
      </c>
      <c r="AQ47" s="454">
        <v>3.44E-2</v>
      </c>
      <c r="AR47" s="454">
        <v>5.96E-2</v>
      </c>
      <c r="AS47" s="454">
        <v>0.42699999999999999</v>
      </c>
      <c r="AT47" s="454">
        <v>1.4037999999999999</v>
      </c>
      <c r="AU47" s="454">
        <v>9.3406000000000002</v>
      </c>
      <c r="AV47" s="454">
        <v>43.279000000000003</v>
      </c>
      <c r="AW47" s="454">
        <v>28.643000000000001</v>
      </c>
      <c r="AX47" s="454">
        <v>26.466000000000001</v>
      </c>
      <c r="AY47" s="454">
        <v>20.3</v>
      </c>
      <c r="AZ47" s="454">
        <v>22.5</v>
      </c>
      <c r="BA47" s="454">
        <v>22.5</v>
      </c>
      <c r="BB47" s="454">
        <v>29.998000000000001</v>
      </c>
      <c r="BC47" s="454">
        <v>11.341100000000001</v>
      </c>
      <c r="BD47" s="454">
        <v>55.545000000000002</v>
      </c>
      <c r="BE47" s="461">
        <f>BD47*(BE99/BD99)</f>
        <v>55.545000000000002</v>
      </c>
      <c r="BF47" s="461">
        <f t="shared" ref="BF47:BO47" si="29">BE47*(BF99/BE99)</f>
        <v>55.545000000000002</v>
      </c>
      <c r="BG47" s="461">
        <f t="shared" si="29"/>
        <v>55.545000000000002</v>
      </c>
      <c r="BH47" s="461">
        <f t="shared" si="29"/>
        <v>55.545000000000002</v>
      </c>
      <c r="BI47" s="461">
        <f t="shared" si="29"/>
        <v>55.545000000000002</v>
      </c>
      <c r="BJ47" s="461">
        <f t="shared" si="29"/>
        <v>55.545000000000002</v>
      </c>
      <c r="BK47" s="461">
        <f t="shared" si="29"/>
        <v>55.545000000000002</v>
      </c>
      <c r="BL47" s="461">
        <f t="shared" si="29"/>
        <v>55.545000000000002</v>
      </c>
      <c r="BM47" s="461">
        <f t="shared" si="29"/>
        <v>55.545000000000002</v>
      </c>
      <c r="BN47" s="461">
        <f t="shared" si="29"/>
        <v>55.545000000000002</v>
      </c>
      <c r="BO47" s="461">
        <f t="shared" si="29"/>
        <v>55.545000000000002</v>
      </c>
      <c r="BP47" s="457"/>
      <c r="BQ47" s="448">
        <f t="shared" si="20"/>
        <v>0</v>
      </c>
      <c r="BR47" s="448">
        <f t="shared" si="20"/>
        <v>0</v>
      </c>
      <c r="BS47" s="448">
        <f t="shared" si="20"/>
        <v>0</v>
      </c>
      <c r="BT47" s="448">
        <f t="shared" si="20"/>
        <v>0</v>
      </c>
      <c r="BU47" s="448">
        <f t="shared" si="20"/>
        <v>0</v>
      </c>
      <c r="BV47" s="448">
        <f t="shared" si="20"/>
        <v>0</v>
      </c>
      <c r="BW47" s="448">
        <f t="shared" si="20"/>
        <v>0</v>
      </c>
      <c r="BX47" s="448">
        <f t="shared" si="20"/>
        <v>0</v>
      </c>
      <c r="BY47" s="448">
        <f t="shared" si="20"/>
        <v>0</v>
      </c>
      <c r="BZ47" s="448">
        <f t="shared" si="20"/>
        <v>0</v>
      </c>
      <c r="CA47" s="448">
        <f t="shared" si="20"/>
        <v>0</v>
      </c>
      <c r="CB47" s="448">
        <f t="shared" si="20"/>
        <v>0</v>
      </c>
      <c r="CD47" s="439">
        <v>55.545000000000002</v>
      </c>
      <c r="CE47" s="439">
        <v>55.545000000000002</v>
      </c>
      <c r="CF47" s="439">
        <v>55.545000000000002</v>
      </c>
      <c r="CG47" s="439">
        <v>55.545000000000002</v>
      </c>
      <c r="CH47" s="439">
        <v>55.545000000000002</v>
      </c>
      <c r="CI47" s="439">
        <v>55.545000000000002</v>
      </c>
      <c r="CJ47" s="439">
        <v>55.545000000000002</v>
      </c>
      <c r="CK47" s="439">
        <v>55.545000000000002</v>
      </c>
      <c r="CL47" s="439">
        <v>55.545000000000002</v>
      </c>
      <c r="CM47" s="439">
        <v>55.545000000000002</v>
      </c>
      <c r="CN47" s="439">
        <v>55.545000000000002</v>
      </c>
      <c r="CO47" s="439">
        <v>55.545000000000002</v>
      </c>
    </row>
    <row r="48" spans="1:93">
      <c r="A48" s="459" t="s">
        <v>2745</v>
      </c>
      <c r="B48" s="459"/>
      <c r="C48" s="442" t="s">
        <v>1344</v>
      </c>
      <c r="D48" s="447" t="s">
        <v>1344</v>
      </c>
      <c r="E48" s="460"/>
      <c r="F48" s="464" t="s">
        <v>2746</v>
      </c>
      <c r="G48" s="464" t="s">
        <v>2746</v>
      </c>
      <c r="H48" s="464" t="s">
        <v>2746</v>
      </c>
      <c r="I48" s="464" t="s">
        <v>2746</v>
      </c>
      <c r="J48" s="464" t="s">
        <v>2746</v>
      </c>
      <c r="K48" s="464" t="s">
        <v>2746</v>
      </c>
      <c r="L48" s="464" t="s">
        <v>2746</v>
      </c>
      <c r="M48" s="464" t="s">
        <v>2746</v>
      </c>
      <c r="N48" s="464" t="s">
        <v>2746</v>
      </c>
      <c r="O48" s="464" t="s">
        <v>2746</v>
      </c>
      <c r="P48" s="464" t="s">
        <v>2746</v>
      </c>
      <c r="Q48" s="464" t="s">
        <v>2746</v>
      </c>
      <c r="R48" s="464" t="s">
        <v>2746</v>
      </c>
      <c r="S48" s="464" t="s">
        <v>2746</v>
      </c>
      <c r="T48" s="464" t="s">
        <v>2746</v>
      </c>
      <c r="U48" s="464" t="s">
        <v>2746</v>
      </c>
      <c r="V48" s="464" t="s">
        <v>2746</v>
      </c>
      <c r="W48" s="464" t="s">
        <v>2746</v>
      </c>
      <c r="X48" s="464" t="s">
        <v>2746</v>
      </c>
      <c r="Y48" s="464" t="s">
        <v>2746</v>
      </c>
      <c r="Z48" s="464" t="s">
        <v>2746</v>
      </c>
      <c r="AA48" s="464" t="s">
        <v>2746</v>
      </c>
      <c r="AB48" s="464" t="s">
        <v>2746</v>
      </c>
      <c r="AC48" s="464" t="s">
        <v>2746</v>
      </c>
      <c r="AD48" s="464" t="s">
        <v>2746</v>
      </c>
      <c r="AE48" s="464" t="s">
        <v>2746</v>
      </c>
      <c r="AF48" s="464" t="s">
        <v>2746</v>
      </c>
      <c r="AG48" s="464" t="s">
        <v>2746</v>
      </c>
      <c r="AH48" s="464" t="s">
        <v>2746</v>
      </c>
      <c r="AI48" s="464" t="s">
        <v>2746</v>
      </c>
      <c r="AJ48" s="464" t="s">
        <v>2746</v>
      </c>
      <c r="AK48" s="464" t="s">
        <v>2746</v>
      </c>
      <c r="AL48" s="464" t="s">
        <v>2746</v>
      </c>
      <c r="AM48" s="464" t="s">
        <v>2746</v>
      </c>
      <c r="AN48" s="464" t="s">
        <v>2746</v>
      </c>
      <c r="AO48" s="464" t="s">
        <v>2746</v>
      </c>
      <c r="AP48" s="464" t="s">
        <v>2746</v>
      </c>
      <c r="AQ48" s="464" t="s">
        <v>2746</v>
      </c>
      <c r="AR48" s="464" t="s">
        <v>2746</v>
      </c>
      <c r="AS48" s="464" t="s">
        <v>2746</v>
      </c>
      <c r="AT48" s="464" t="s">
        <v>2746</v>
      </c>
      <c r="AU48" s="464" t="s">
        <v>2746</v>
      </c>
      <c r="AV48" s="464" t="s">
        <v>2746</v>
      </c>
      <c r="AW48" s="464" t="s">
        <v>2746</v>
      </c>
      <c r="AX48" s="464" t="s">
        <v>2746</v>
      </c>
      <c r="AY48" s="464" t="s">
        <v>2746</v>
      </c>
      <c r="AZ48" s="438"/>
      <c r="BE48" s="438"/>
      <c r="BF48" s="438"/>
      <c r="BG48" s="438"/>
      <c r="BH48" s="438"/>
      <c r="BI48" s="438"/>
      <c r="BJ48" s="438"/>
      <c r="BK48" s="438"/>
      <c r="BL48" s="438"/>
      <c r="BM48" s="438"/>
      <c r="BN48" s="438"/>
      <c r="BO48" s="438"/>
      <c r="BQ48" s="448">
        <f t="shared" si="20"/>
        <v>0</v>
      </c>
      <c r="BR48" s="448">
        <f t="shared" si="20"/>
        <v>0</v>
      </c>
      <c r="BS48" s="448">
        <f t="shared" si="20"/>
        <v>0</v>
      </c>
      <c r="BT48" s="448">
        <f t="shared" si="20"/>
        <v>0</v>
      </c>
      <c r="BU48" s="448">
        <f t="shared" si="20"/>
        <v>0</v>
      </c>
      <c r="BV48" s="448">
        <f t="shared" si="20"/>
        <v>0</v>
      </c>
      <c r="BW48" s="448">
        <f t="shared" si="20"/>
        <v>0</v>
      </c>
      <c r="BX48" s="448">
        <f t="shared" si="20"/>
        <v>0</v>
      </c>
      <c r="BY48" s="448">
        <f t="shared" si="20"/>
        <v>0</v>
      </c>
      <c r="BZ48" s="448">
        <f t="shared" si="20"/>
        <v>0</v>
      </c>
      <c r="CA48" s="448">
        <f t="shared" si="20"/>
        <v>0</v>
      </c>
      <c r="CB48" s="448">
        <f t="shared" si="20"/>
        <v>0</v>
      </c>
    </row>
    <row r="49" spans="1:93">
      <c r="A49" s="447" t="s">
        <v>2747</v>
      </c>
      <c r="B49" s="447"/>
      <c r="C49" s="442" t="s">
        <v>1455</v>
      </c>
      <c r="D49" s="447" t="s">
        <v>2722</v>
      </c>
      <c r="E49" s="436" t="s">
        <v>2748</v>
      </c>
      <c r="F49" s="454">
        <v>2.18E-2</v>
      </c>
      <c r="G49" s="454">
        <v>2.5499999999999998E-2</v>
      </c>
      <c r="H49" s="454">
        <v>2.4739931106567383E-2</v>
      </c>
      <c r="I49" s="454">
        <v>2.820513343811035E-2</v>
      </c>
      <c r="J49" s="454">
        <v>3.4732604980468748E-2</v>
      </c>
      <c r="K49" s="454">
        <v>3.6183155059814454E-2</v>
      </c>
      <c r="L49" s="454">
        <v>4.7304035186767575E-2</v>
      </c>
      <c r="M49" s="454">
        <v>4.4886451721191406E-2</v>
      </c>
      <c r="N49" s="454">
        <v>4.7384620666503903E-2</v>
      </c>
      <c r="O49" s="454">
        <v>4.5208793640136719E-2</v>
      </c>
      <c r="P49" s="454">
        <v>4.5934070587158204E-2</v>
      </c>
      <c r="Q49" s="454">
        <v>4.7299999237060547E-2</v>
      </c>
      <c r="R49" s="454">
        <v>5.3799999237060546E-2</v>
      </c>
      <c r="S49" s="454">
        <v>6.5599998474121096E-2</v>
      </c>
      <c r="T49" s="454">
        <v>6.5800003051757816E-2</v>
      </c>
      <c r="U49" s="454">
        <v>6.4599998474121095E-2</v>
      </c>
      <c r="V49" s="454">
        <v>6.6500000000000004E-2</v>
      </c>
      <c r="W49" s="454">
        <v>8.1599998474121097E-2</v>
      </c>
      <c r="X49" s="454">
        <v>6.7800003051757818E-2</v>
      </c>
      <c r="Y49" s="454">
        <v>7.1999999999999995E-2</v>
      </c>
      <c r="Z49" s="454">
        <v>9.719999694824219E-2</v>
      </c>
      <c r="AA49" s="454">
        <v>0.1351999969482422</v>
      </c>
      <c r="AB49" s="454">
        <v>0.18930000305175781</v>
      </c>
      <c r="AC49" s="454">
        <v>0.26660000610351564</v>
      </c>
      <c r="AD49" s="454">
        <v>0.26689999389648439</v>
      </c>
      <c r="AE49" s="454">
        <v>0.2331999969482422</v>
      </c>
      <c r="AF49" s="454">
        <v>0.24994999694824219</v>
      </c>
      <c r="AG49" s="454">
        <v>0.36280999755859378</v>
      </c>
      <c r="AH49" s="454">
        <v>0.37211999511718752</v>
      </c>
      <c r="AI49" s="454">
        <v>0.32922000122070311</v>
      </c>
      <c r="AJ49" s="454">
        <v>0.27852999877929685</v>
      </c>
      <c r="AK49" s="454">
        <v>0.31507000732421875</v>
      </c>
      <c r="AL49" s="454">
        <v>0.36029998779296873</v>
      </c>
      <c r="AM49" s="454">
        <v>0.313</v>
      </c>
      <c r="AN49" s="454">
        <v>0.34499999999999997</v>
      </c>
      <c r="AO49" s="454">
        <v>0.29799999999999999</v>
      </c>
      <c r="AP49" s="454">
        <v>0.32988999999999996</v>
      </c>
      <c r="AQ49" s="454">
        <v>0.51302999999999999</v>
      </c>
      <c r="AR49" s="454">
        <v>0.49628</v>
      </c>
      <c r="AS49" s="454">
        <v>0.86281000000000008</v>
      </c>
      <c r="AT49" s="454">
        <v>7.5251599999999987</v>
      </c>
      <c r="AU49" s="454">
        <v>112.10211</v>
      </c>
      <c r="AV49" s="454">
        <v>71.557497999999995</v>
      </c>
      <c r="AW49" s="454">
        <v>79.304506016000005</v>
      </c>
      <c r="AX49" s="454">
        <v>114.91785906099199</v>
      </c>
      <c r="AY49" s="454">
        <v>135.0326414491245</v>
      </c>
      <c r="AZ49" s="454">
        <v>267.37568564016618</v>
      </c>
      <c r="BA49" s="454">
        <v>340.03405153193506</v>
      </c>
      <c r="BB49" s="454">
        <v>394.36171036069561</v>
      </c>
      <c r="BC49" s="454">
        <v>410.88145909968995</v>
      </c>
      <c r="BD49" s="456">
        <f t="shared" ref="BD49:BO49" ca="1" si="30">BD36+BD37+BD50-BD26-BD52+BD130</f>
        <v>491.66031456859423</v>
      </c>
      <c r="BE49" s="456">
        <f t="shared" ca="1" si="30"/>
        <v>527.41741135847292</v>
      </c>
      <c r="BF49" s="456">
        <f t="shared" ca="1" si="30"/>
        <v>557.85345772001904</v>
      </c>
      <c r="BG49" s="456">
        <f t="shared" ca="1" si="30"/>
        <v>585.79077171465985</v>
      </c>
      <c r="BH49" s="456">
        <f t="shared" ca="1" si="30"/>
        <v>612.97428102807999</v>
      </c>
      <c r="BI49" s="456">
        <f t="shared" ca="1" si="30"/>
        <v>640.34030337390777</v>
      </c>
      <c r="BJ49" s="456">
        <f t="shared" ca="1" si="30"/>
        <v>668.42222753315184</v>
      </c>
      <c r="BK49" s="456">
        <f t="shared" ca="1" si="30"/>
        <v>697.57753013198362</v>
      </c>
      <c r="BL49" s="456">
        <f t="shared" ca="1" si="30"/>
        <v>728.04467188532146</v>
      </c>
      <c r="BM49" s="456">
        <f t="shared" ca="1" si="30"/>
        <v>759.95973534581412</v>
      </c>
      <c r="BN49" s="456">
        <f t="shared" ca="1" si="30"/>
        <v>793.4300482617474</v>
      </c>
      <c r="BO49" s="456">
        <f t="shared" ca="1" si="30"/>
        <v>828.54785462280654</v>
      </c>
      <c r="BP49" s="457"/>
      <c r="BQ49" s="448">
        <f t="shared" ca="1" si="20"/>
        <v>0</v>
      </c>
      <c r="BR49" s="448">
        <f t="shared" ca="1" si="20"/>
        <v>0</v>
      </c>
      <c r="BS49" s="448">
        <f t="shared" ca="1" si="20"/>
        <v>0</v>
      </c>
      <c r="BT49" s="448">
        <f t="shared" ca="1" si="20"/>
        <v>-2.6147972675971687E-12</v>
      </c>
      <c r="BU49" s="448">
        <f t="shared" ca="1" si="20"/>
        <v>-3.149125404888764E-11</v>
      </c>
      <c r="BV49" s="448">
        <f t="shared" ca="1" si="20"/>
        <v>-2.702336132642813E-10</v>
      </c>
      <c r="BW49" s="448">
        <f t="shared" ca="1" si="20"/>
        <v>-1.8231958165415563E-9</v>
      </c>
      <c r="BX49" s="448">
        <f t="shared" ca="1" si="20"/>
        <v>-1.0056965038529597E-8</v>
      </c>
      <c r="BY49" s="448">
        <f t="shared" ca="1" si="20"/>
        <v>-4.677747256209841E-8</v>
      </c>
      <c r="BZ49" s="448">
        <f t="shared" ca="1" si="20"/>
        <v>-1.8812227153830463E-7</v>
      </c>
      <c r="CA49" s="448">
        <f t="shared" ca="1" si="20"/>
        <v>-6.6634845552471234E-7</v>
      </c>
      <c r="CB49" s="448">
        <f t="shared" ca="1" si="20"/>
        <v>-2.1232941662674421E-6</v>
      </c>
      <c r="CD49" s="439">
        <v>491.66031456859423</v>
      </c>
      <c r="CE49" s="439">
        <v>527.41741135847292</v>
      </c>
      <c r="CF49" s="439">
        <v>557.85345772001915</v>
      </c>
      <c r="CG49" s="439">
        <v>585.79077171466247</v>
      </c>
      <c r="CH49" s="439">
        <v>612.97428102811148</v>
      </c>
      <c r="CI49" s="439">
        <v>640.34030337417801</v>
      </c>
      <c r="CJ49" s="439">
        <v>668.42222753497504</v>
      </c>
      <c r="CK49" s="439">
        <v>697.57753014204059</v>
      </c>
      <c r="CL49" s="439">
        <v>728.04467193209894</v>
      </c>
      <c r="CM49" s="439">
        <v>759.9597355339364</v>
      </c>
      <c r="CN49" s="439">
        <v>793.43004892809586</v>
      </c>
      <c r="CO49" s="439">
        <v>828.54785674610071</v>
      </c>
    </row>
    <row r="50" spans="1:93">
      <c r="A50" s="447" t="s">
        <v>2749</v>
      </c>
      <c r="B50" s="447"/>
      <c r="C50" s="442" t="s">
        <v>1455</v>
      </c>
      <c r="D50" s="447" t="s">
        <v>2722</v>
      </c>
      <c r="E50" s="436" t="s">
        <v>2750</v>
      </c>
      <c r="F50" s="454">
        <v>3.0000000000000001E-3</v>
      </c>
      <c r="G50" s="454">
        <v>2.8E-3</v>
      </c>
      <c r="H50" s="454">
        <v>6.5999999046325681E-3</v>
      </c>
      <c r="I50" s="454">
        <v>8.8000001907348625E-3</v>
      </c>
      <c r="J50" s="454">
        <v>9.6999998092651366E-3</v>
      </c>
      <c r="K50" s="454">
        <v>1.3600000381469727E-2</v>
      </c>
      <c r="L50" s="454">
        <v>2.0299999237060547E-2</v>
      </c>
      <c r="M50" s="454">
        <v>1.7799999237060545E-2</v>
      </c>
      <c r="N50" s="454">
        <v>1.4999999999999999E-2</v>
      </c>
      <c r="O50" s="454">
        <v>1.3899999618530274E-2</v>
      </c>
      <c r="P50" s="454">
        <v>1.4E-2</v>
      </c>
      <c r="Q50" s="454">
        <v>1.6100000381469727E-2</v>
      </c>
      <c r="R50" s="454">
        <v>2.1799999237060545E-2</v>
      </c>
      <c r="S50" s="454">
        <v>2.4500000000000001E-2</v>
      </c>
      <c r="T50" s="454">
        <v>1.8799999237060546E-2</v>
      </c>
      <c r="U50" s="454">
        <v>2.4299999237060547E-2</v>
      </c>
      <c r="V50" s="454">
        <v>3.15E-2</v>
      </c>
      <c r="W50" s="454">
        <v>2.8399999618530274E-2</v>
      </c>
      <c r="X50" s="454">
        <v>4.0900001525878908E-2</v>
      </c>
      <c r="Y50" s="454">
        <v>4.1400001525878909E-2</v>
      </c>
      <c r="Z50" s="454">
        <v>4.3299999237060544E-2</v>
      </c>
      <c r="AA50" s="454">
        <v>7.3410003662109369E-2</v>
      </c>
      <c r="AB50" s="454">
        <v>0.12026000213623046</v>
      </c>
      <c r="AC50" s="454">
        <v>0.13771000671386718</v>
      </c>
      <c r="AD50" s="454">
        <v>0.13914999389648439</v>
      </c>
      <c r="AE50" s="454">
        <v>0.13571000671386718</v>
      </c>
      <c r="AF50" s="454">
        <v>0.12849000549316406</v>
      </c>
      <c r="AG50" s="454">
        <v>0.17553999328613282</v>
      </c>
      <c r="AH50" s="454">
        <v>0.18494000244140624</v>
      </c>
      <c r="AI50" s="454">
        <v>0.11944999694824218</v>
      </c>
      <c r="AJ50" s="454">
        <v>8.50999984741211E-2</v>
      </c>
      <c r="AK50" s="454">
        <v>5.5889999389648434E-2</v>
      </c>
      <c r="AL50" s="454">
        <v>4.0840000152587888E-2</v>
      </c>
      <c r="AM50" s="454">
        <v>4.2999999999999997E-2</v>
      </c>
      <c r="AN50" s="454">
        <v>2.7E-2</v>
      </c>
      <c r="AO50" s="454">
        <v>0.08</v>
      </c>
      <c r="AP50" s="454">
        <v>9.3859999999999999E-2</v>
      </c>
      <c r="AQ50" s="454">
        <v>0.11756</v>
      </c>
      <c r="AR50" s="454">
        <v>0.11655</v>
      </c>
      <c r="AS50" s="454">
        <v>0.39944000000000002</v>
      </c>
      <c r="AT50" s="454">
        <v>7.1788599999999994</v>
      </c>
      <c r="AU50" s="454">
        <v>85.748589999999993</v>
      </c>
      <c r="AV50" s="454">
        <v>48.477849999999997</v>
      </c>
      <c r="AW50" s="454">
        <v>53.651620000000001</v>
      </c>
      <c r="AX50" s="454">
        <v>49.128999999999998</v>
      </c>
      <c r="AY50" s="454">
        <v>43.383000000000003</v>
      </c>
      <c r="AZ50" s="454">
        <v>27.5</v>
      </c>
      <c r="BA50" s="454">
        <v>39.198</v>
      </c>
      <c r="BB50" s="454">
        <v>67.953000000000003</v>
      </c>
      <c r="BC50" s="454">
        <v>47.667000000000002</v>
      </c>
      <c r="BD50" s="461">
        <f t="shared" ref="BD50:BO50" ca="1" si="31">(BC50-BC47)*(1+BD83/100)*(BD92/BC92)*1.03+BD47</f>
        <v>98.202947762106049</v>
      </c>
      <c r="BE50" s="461">
        <f t="shared" ca="1" si="31"/>
        <v>102.5797093395288</v>
      </c>
      <c r="BF50" s="461">
        <f t="shared" ca="1" si="31"/>
        <v>106.6993877408521</v>
      </c>
      <c r="BG50" s="461">
        <f t="shared" ca="1" si="31"/>
        <v>110.82644057543364</v>
      </c>
      <c r="BH50" s="461">
        <f t="shared" ca="1" si="31"/>
        <v>115.09873469677791</v>
      </c>
      <c r="BI50" s="461">
        <f t="shared" ca="1" si="31"/>
        <v>119.59811498082333</v>
      </c>
      <c r="BJ50" s="461">
        <f t="shared" ca="1" si="31"/>
        <v>124.38091521923121</v>
      </c>
      <c r="BK50" s="461">
        <f t="shared" ca="1" si="31"/>
        <v>129.49297715999273</v>
      </c>
      <c r="BL50" s="461">
        <f t="shared" ca="1" si="31"/>
        <v>134.97399574750239</v>
      </c>
      <c r="BM50" s="461">
        <f t="shared" ca="1" si="31"/>
        <v>140.85689310316999</v>
      </c>
      <c r="BN50" s="461">
        <f t="shared" ca="1" si="31"/>
        <v>147.1741850487042</v>
      </c>
      <c r="BO50" s="461">
        <f t="shared" ca="1" si="31"/>
        <v>153.95919077785663</v>
      </c>
      <c r="BP50" s="457"/>
      <c r="BQ50" s="448">
        <f t="shared" ca="1" si="20"/>
        <v>0</v>
      </c>
      <c r="BR50" s="448">
        <f t="shared" ca="1" si="20"/>
        <v>0</v>
      </c>
      <c r="BS50" s="448">
        <f t="shared" ca="1" si="20"/>
        <v>0</v>
      </c>
      <c r="BT50" s="448">
        <f t="shared" ca="1" si="20"/>
        <v>-2.1316282072803006E-13</v>
      </c>
      <c r="BU50" s="448">
        <f t="shared" ca="1" si="20"/>
        <v>-2.5295321393059567E-12</v>
      </c>
      <c r="BV50" s="448">
        <f t="shared" ca="1" si="20"/>
        <v>-2.2254198484006338E-11</v>
      </c>
      <c r="BW50" s="448">
        <f t="shared" ca="1" si="20"/>
        <v>-1.5491252725041704E-10</v>
      </c>
      <c r="BX50" s="448">
        <f t="shared" ca="1" si="20"/>
        <v>-8.8326146396866534E-10</v>
      </c>
      <c r="BY50" s="448">
        <f t="shared" ca="1" si="20"/>
        <v>-4.2480223783059046E-9</v>
      </c>
      <c r="BZ50" s="448">
        <f t="shared" ca="1" si="20"/>
        <v>-1.7664945062279003E-8</v>
      </c>
      <c r="CA50" s="448">
        <f t="shared" ca="1" si="20"/>
        <v>-6.4695996115915477E-8</v>
      </c>
      <c r="CB50" s="448">
        <f t="shared" ca="1" si="20"/>
        <v>-2.1306510689100833E-7</v>
      </c>
      <c r="CD50" s="439">
        <v>98.202947762106049</v>
      </c>
      <c r="CE50" s="439">
        <v>102.5797093395288</v>
      </c>
      <c r="CF50" s="439">
        <v>106.69938774085212</v>
      </c>
      <c r="CG50" s="439">
        <v>110.82644057543385</v>
      </c>
      <c r="CH50" s="439">
        <v>115.09873469678044</v>
      </c>
      <c r="CI50" s="439">
        <v>119.59811498084558</v>
      </c>
      <c r="CJ50" s="439">
        <v>124.38091521938613</v>
      </c>
      <c r="CK50" s="439">
        <v>129.49297716087599</v>
      </c>
      <c r="CL50" s="439">
        <v>134.97399575175041</v>
      </c>
      <c r="CM50" s="439">
        <v>140.85689312083494</v>
      </c>
      <c r="CN50" s="439">
        <v>147.1741851134002</v>
      </c>
      <c r="CO50" s="439">
        <v>153.95919099092174</v>
      </c>
    </row>
    <row r="51" spans="1:93">
      <c r="A51" s="447" t="s">
        <v>2751</v>
      </c>
      <c r="B51" s="447"/>
      <c r="C51" s="442" t="s">
        <v>1344</v>
      </c>
      <c r="D51" s="447" t="s">
        <v>1344</v>
      </c>
      <c r="E51" s="436"/>
      <c r="F51" s="464" t="s">
        <v>1344</v>
      </c>
      <c r="G51" s="464" t="s">
        <v>1344</v>
      </c>
      <c r="H51" s="464" t="s">
        <v>1344</v>
      </c>
      <c r="I51" s="464" t="s">
        <v>1344</v>
      </c>
      <c r="J51" s="464" t="s">
        <v>1344</v>
      </c>
      <c r="K51" s="464" t="s">
        <v>1344</v>
      </c>
      <c r="L51" s="464" t="s">
        <v>1344</v>
      </c>
      <c r="M51" s="464" t="s">
        <v>1344</v>
      </c>
      <c r="N51" s="464" t="s">
        <v>1344</v>
      </c>
      <c r="O51" s="464" t="s">
        <v>1344</v>
      </c>
      <c r="P51" s="464" t="s">
        <v>1344</v>
      </c>
      <c r="Q51" s="464" t="s">
        <v>1344</v>
      </c>
      <c r="R51" s="464" t="s">
        <v>1344</v>
      </c>
      <c r="S51" s="464" t="s">
        <v>1344</v>
      </c>
      <c r="T51" s="464" t="s">
        <v>1344</v>
      </c>
      <c r="U51" s="464" t="s">
        <v>1344</v>
      </c>
      <c r="V51" s="464" t="s">
        <v>1344</v>
      </c>
      <c r="W51" s="464" t="s">
        <v>1344</v>
      </c>
      <c r="X51" s="464" t="s">
        <v>1344</v>
      </c>
      <c r="Y51" s="464" t="s">
        <v>1344</v>
      </c>
      <c r="Z51" s="464" t="s">
        <v>1344</v>
      </c>
      <c r="AA51" s="464" t="s">
        <v>1344</v>
      </c>
      <c r="AB51" s="464" t="s">
        <v>1344</v>
      </c>
      <c r="AC51" s="464" t="s">
        <v>1344</v>
      </c>
      <c r="AD51" s="464" t="s">
        <v>1344</v>
      </c>
      <c r="AE51" s="464" t="s">
        <v>1344</v>
      </c>
      <c r="AF51" s="464" t="s">
        <v>1344</v>
      </c>
      <c r="AG51" s="464" t="s">
        <v>1344</v>
      </c>
      <c r="AH51" s="464" t="s">
        <v>1344</v>
      </c>
      <c r="AI51" s="464" t="s">
        <v>1344</v>
      </c>
      <c r="AJ51" s="464" t="s">
        <v>1344</v>
      </c>
      <c r="AK51" s="464" t="s">
        <v>1344</v>
      </c>
      <c r="AL51" s="464" t="s">
        <v>1344</v>
      </c>
      <c r="AM51" s="464" t="s">
        <v>1344</v>
      </c>
      <c r="AN51" s="464" t="s">
        <v>1344</v>
      </c>
      <c r="AO51" s="464" t="s">
        <v>1344</v>
      </c>
      <c r="AP51" s="464" t="s">
        <v>1344</v>
      </c>
      <c r="AQ51" s="464" t="s">
        <v>1344</v>
      </c>
      <c r="AR51" s="464" t="s">
        <v>1344</v>
      </c>
      <c r="AS51" s="464" t="s">
        <v>1344</v>
      </c>
      <c r="AT51" s="464" t="s">
        <v>1344</v>
      </c>
      <c r="AU51" s="464" t="s">
        <v>1344</v>
      </c>
      <c r="AV51" s="464" t="s">
        <v>1344</v>
      </c>
      <c r="AW51" s="464" t="s">
        <v>1344</v>
      </c>
      <c r="AX51" s="464" t="s">
        <v>1344</v>
      </c>
      <c r="AY51" s="464" t="s">
        <v>1344</v>
      </c>
      <c r="AZ51" s="464" t="s">
        <v>1344</v>
      </c>
      <c r="BA51" s="464" t="s">
        <v>1344</v>
      </c>
      <c r="BB51" s="464" t="s">
        <v>1344</v>
      </c>
      <c r="BE51" s="438"/>
      <c r="BF51" s="438"/>
      <c r="BG51" s="438"/>
      <c r="BH51" s="438"/>
      <c r="BI51" s="438"/>
      <c r="BJ51" s="438"/>
      <c r="BK51" s="438"/>
      <c r="BL51" s="438"/>
      <c r="BM51" s="438"/>
      <c r="BN51" s="438"/>
      <c r="BO51" s="438"/>
      <c r="BQ51" s="448">
        <f t="shared" si="20"/>
        <v>0</v>
      </c>
      <c r="BR51" s="448">
        <f t="shared" si="20"/>
        <v>0</v>
      </c>
      <c r="BS51" s="448">
        <f t="shared" si="20"/>
        <v>0</v>
      </c>
      <c r="BT51" s="448">
        <f t="shared" si="20"/>
        <v>0</v>
      </c>
      <c r="BU51" s="448">
        <f t="shared" si="20"/>
        <v>0</v>
      </c>
      <c r="BV51" s="448">
        <f t="shared" si="20"/>
        <v>0</v>
      </c>
      <c r="BW51" s="448">
        <f t="shared" si="20"/>
        <v>0</v>
      </c>
      <c r="BX51" s="448">
        <f t="shared" si="20"/>
        <v>0</v>
      </c>
      <c r="BY51" s="448">
        <f t="shared" si="20"/>
        <v>0</v>
      </c>
      <c r="BZ51" s="448">
        <f t="shared" si="20"/>
        <v>0</v>
      </c>
      <c r="CA51" s="448">
        <f t="shared" si="20"/>
        <v>0</v>
      </c>
      <c r="CB51" s="448">
        <f t="shared" si="20"/>
        <v>0</v>
      </c>
    </row>
    <row r="52" spans="1:93">
      <c r="A52" s="447" t="s">
        <v>2752</v>
      </c>
      <c r="B52" s="447"/>
      <c r="C52" s="442" t="s">
        <v>1455</v>
      </c>
      <c r="D52" s="447" t="s">
        <v>2722</v>
      </c>
      <c r="E52" s="436" t="s">
        <v>2753</v>
      </c>
      <c r="F52" s="454">
        <v>0</v>
      </c>
      <c r="G52" s="454">
        <v>0</v>
      </c>
      <c r="H52" s="454">
        <v>0</v>
      </c>
      <c r="I52" s="454">
        <v>0</v>
      </c>
      <c r="J52" s="454">
        <v>0</v>
      </c>
      <c r="K52" s="454">
        <v>0</v>
      </c>
      <c r="L52" s="454">
        <v>0</v>
      </c>
      <c r="M52" s="454">
        <v>0</v>
      </c>
      <c r="N52" s="454">
        <v>0</v>
      </c>
      <c r="O52" s="454">
        <v>0</v>
      </c>
      <c r="P52" s="454">
        <v>0</v>
      </c>
      <c r="Q52" s="454">
        <v>0</v>
      </c>
      <c r="R52" s="454">
        <v>0</v>
      </c>
      <c r="S52" s="454">
        <v>0</v>
      </c>
      <c r="T52" s="454">
        <v>0</v>
      </c>
      <c r="U52" s="454">
        <v>0</v>
      </c>
      <c r="V52" s="454">
        <v>0</v>
      </c>
      <c r="W52" s="454">
        <v>0</v>
      </c>
      <c r="X52" s="454">
        <v>0</v>
      </c>
      <c r="Y52" s="454">
        <v>0</v>
      </c>
      <c r="Z52" s="454">
        <v>0</v>
      </c>
      <c r="AA52" s="454">
        <v>0</v>
      </c>
      <c r="AB52" s="454">
        <v>0</v>
      </c>
      <c r="AC52" s="454">
        <v>0</v>
      </c>
      <c r="AD52" s="454">
        <v>0</v>
      </c>
      <c r="AE52" s="454">
        <v>0</v>
      </c>
      <c r="AF52" s="454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454">
        <v>0</v>
      </c>
      <c r="AM52" s="454">
        <v>0</v>
      </c>
      <c r="AN52" s="454">
        <v>0</v>
      </c>
      <c r="AO52" s="454">
        <v>0</v>
      </c>
      <c r="AP52" s="454">
        <v>0</v>
      </c>
      <c r="AQ52" s="454">
        <v>0</v>
      </c>
      <c r="AR52" s="454">
        <v>0</v>
      </c>
      <c r="AS52" s="454">
        <v>0</v>
      </c>
      <c r="AT52" s="454">
        <v>0</v>
      </c>
      <c r="AU52" s="454">
        <v>0</v>
      </c>
      <c r="AV52" s="454">
        <v>0</v>
      </c>
      <c r="AW52" s="454">
        <v>0</v>
      </c>
      <c r="AX52" s="454">
        <v>0</v>
      </c>
      <c r="AY52" s="454">
        <v>0</v>
      </c>
      <c r="AZ52" s="454">
        <v>0</v>
      </c>
      <c r="BA52" s="454">
        <v>0</v>
      </c>
      <c r="BB52" s="454">
        <v>0</v>
      </c>
      <c r="BC52" s="454">
        <v>0</v>
      </c>
      <c r="BD52" s="456">
        <f>BC52</f>
        <v>0</v>
      </c>
      <c r="BE52" s="456">
        <f>BD52</f>
        <v>0</v>
      </c>
      <c r="BF52" s="456">
        <f t="shared" ref="BF52:BO52" si="32">BE52</f>
        <v>0</v>
      </c>
      <c r="BG52" s="456">
        <f t="shared" si="32"/>
        <v>0</v>
      </c>
      <c r="BH52" s="456">
        <f t="shared" si="32"/>
        <v>0</v>
      </c>
      <c r="BI52" s="456">
        <f t="shared" si="32"/>
        <v>0</v>
      </c>
      <c r="BJ52" s="456">
        <f t="shared" si="32"/>
        <v>0</v>
      </c>
      <c r="BK52" s="456">
        <f t="shared" si="32"/>
        <v>0</v>
      </c>
      <c r="BL52" s="456">
        <f t="shared" si="32"/>
        <v>0</v>
      </c>
      <c r="BM52" s="456">
        <f t="shared" si="32"/>
        <v>0</v>
      </c>
      <c r="BN52" s="456">
        <f t="shared" si="32"/>
        <v>0</v>
      </c>
      <c r="BO52" s="456">
        <f t="shared" si="32"/>
        <v>0</v>
      </c>
      <c r="BP52" s="457"/>
      <c r="BQ52" s="448">
        <f t="shared" si="20"/>
        <v>0</v>
      </c>
      <c r="BR52" s="448">
        <f t="shared" si="20"/>
        <v>0</v>
      </c>
      <c r="BS52" s="448">
        <f t="shared" si="20"/>
        <v>0</v>
      </c>
      <c r="BT52" s="448">
        <f t="shared" si="20"/>
        <v>0</v>
      </c>
      <c r="BU52" s="448">
        <f t="shared" si="20"/>
        <v>0</v>
      </c>
      <c r="BV52" s="448">
        <f t="shared" si="20"/>
        <v>0</v>
      </c>
      <c r="BW52" s="448">
        <f t="shared" si="20"/>
        <v>0</v>
      </c>
      <c r="BX52" s="448">
        <f t="shared" si="20"/>
        <v>0</v>
      </c>
      <c r="BY52" s="448">
        <f t="shared" si="20"/>
        <v>0</v>
      </c>
      <c r="BZ52" s="448">
        <f t="shared" si="20"/>
        <v>0</v>
      </c>
      <c r="CA52" s="448">
        <f t="shared" si="20"/>
        <v>0</v>
      </c>
      <c r="CB52" s="448">
        <f t="shared" si="20"/>
        <v>0</v>
      </c>
      <c r="CD52" s="439">
        <v>0</v>
      </c>
      <c r="CE52" s="439">
        <v>0</v>
      </c>
      <c r="CF52" s="439">
        <v>0</v>
      </c>
      <c r="CG52" s="439">
        <v>0</v>
      </c>
      <c r="CH52" s="439">
        <v>0</v>
      </c>
      <c r="CI52" s="439">
        <v>0</v>
      </c>
      <c r="CJ52" s="439">
        <v>0</v>
      </c>
      <c r="CK52" s="439">
        <v>0</v>
      </c>
      <c r="CL52" s="439">
        <v>0</v>
      </c>
      <c r="CM52" s="439">
        <v>0</v>
      </c>
      <c r="CN52" s="439">
        <v>0</v>
      </c>
      <c r="CO52" s="439">
        <v>0</v>
      </c>
    </row>
    <row r="53" spans="1:93">
      <c r="A53" s="447" t="s">
        <v>2366</v>
      </c>
      <c r="B53" s="447"/>
      <c r="C53" s="442" t="s">
        <v>1455</v>
      </c>
      <c r="D53" s="447" t="s">
        <v>2722</v>
      </c>
      <c r="E53" s="436" t="s">
        <v>2754</v>
      </c>
      <c r="F53" s="454">
        <v>9.8000000000000014E-3</v>
      </c>
      <c r="G53" s="454">
        <v>1.1300000000000001E-2</v>
      </c>
      <c r="H53" s="454">
        <v>1.2494999885559082E-2</v>
      </c>
      <c r="I53" s="454">
        <v>1.6659999847412111E-2</v>
      </c>
      <c r="J53" s="454">
        <v>1.7409700393676758E-2</v>
      </c>
      <c r="K53" s="454">
        <v>1.9408899307250975E-2</v>
      </c>
      <c r="L53" s="454">
        <v>2.1824600219726563E-2</v>
      </c>
      <c r="M53" s="454">
        <v>2.9071699142456053E-2</v>
      </c>
      <c r="N53" s="454">
        <v>2.9904699325561522E-2</v>
      </c>
      <c r="O53" s="454">
        <v>3.0737699508666991E-2</v>
      </c>
      <c r="P53" s="454">
        <v>3.5152599334716796E-2</v>
      </c>
      <c r="Q53" s="454">
        <v>3.7984798431396481E-2</v>
      </c>
      <c r="R53" s="454">
        <v>4.514860153198242E-2</v>
      </c>
      <c r="S53" s="454">
        <v>4.7730899810791018E-2</v>
      </c>
      <c r="T53" s="454">
        <v>5.0146598815917966E-2</v>
      </c>
      <c r="U53" s="454">
        <v>5.8726501464843747E-2</v>
      </c>
      <c r="V53" s="454">
        <v>6.8889099121093755E-2</v>
      </c>
      <c r="W53" s="454">
        <v>7.0221900939941406E-2</v>
      </c>
      <c r="X53" s="454">
        <v>8.088430023193359E-2</v>
      </c>
      <c r="Y53" s="454">
        <v>8.2883499145507813E-2</v>
      </c>
      <c r="Z53" s="454">
        <v>9.4128997802734371E-2</v>
      </c>
      <c r="AA53" s="454">
        <v>0.11834999847412109</v>
      </c>
      <c r="AB53" s="454">
        <v>0.14183000183105468</v>
      </c>
      <c r="AC53" s="454">
        <v>0.18225999450683594</v>
      </c>
      <c r="AD53" s="454">
        <v>0.21094000244140626</v>
      </c>
      <c r="AE53" s="454">
        <v>0.22155999755859376</v>
      </c>
      <c r="AF53" s="454">
        <v>0.22585000610351563</v>
      </c>
      <c r="AG53" s="454">
        <v>0.27608999633789061</v>
      </c>
      <c r="AH53" s="454">
        <v>0.34627999877929688</v>
      </c>
      <c r="AI53" s="454">
        <v>0.37388000488281248</v>
      </c>
      <c r="AJ53" s="454">
        <v>0.37407000732421875</v>
      </c>
      <c r="AK53" s="454">
        <v>0.38382998657226564</v>
      </c>
      <c r="AL53" s="454">
        <v>0.40870001220703123</v>
      </c>
      <c r="AM53" s="454">
        <v>0.47</v>
      </c>
      <c r="AN53" s="454">
        <v>0.52300000000000002</v>
      </c>
      <c r="AO53" s="454">
        <v>0.56299999999999994</v>
      </c>
      <c r="AP53" s="454">
        <v>0.52709000000000006</v>
      </c>
      <c r="AQ53" s="454">
        <v>0.67749000000000004</v>
      </c>
      <c r="AR53" s="454">
        <v>0.84326999999999996</v>
      </c>
      <c r="AS53" s="454">
        <v>0.99841999999999997</v>
      </c>
      <c r="AT53" s="454">
        <v>3.4202399999999997</v>
      </c>
      <c r="AU53" s="454">
        <v>13.131590000000001</v>
      </c>
      <c r="AV53" s="454">
        <v>25.609569999999998</v>
      </c>
      <c r="AW53" s="454">
        <v>31.287939999999999</v>
      </c>
      <c r="AX53" s="454">
        <v>73.376999999999995</v>
      </c>
      <c r="AY53" s="454">
        <v>101.501</v>
      </c>
      <c r="AZ53" s="454">
        <v>162.21700000000001</v>
      </c>
      <c r="BA53" s="454">
        <v>212.87799999999999</v>
      </c>
      <c r="BB53" s="454">
        <v>377.678</v>
      </c>
      <c r="BC53" s="454">
        <v>426.983</v>
      </c>
      <c r="BD53" s="454">
        <v>454.16699999999997</v>
      </c>
      <c r="BE53" s="461">
        <f t="shared" ref="BE53:BO53" ca="1" si="33">BD53*(BE89/BD89)*(1+BE163/100)</f>
        <v>507.62847806253075</v>
      </c>
      <c r="BF53" s="461">
        <f t="shared" ca="1" si="33"/>
        <v>550.58553321946818</v>
      </c>
      <c r="BG53" s="461">
        <f t="shared" ca="1" si="33"/>
        <v>588.4714314826216</v>
      </c>
      <c r="BH53" s="461">
        <f t="shared" ca="1" si="33"/>
        <v>624.59862326340919</v>
      </c>
      <c r="BI53" s="461">
        <f t="shared" ca="1" si="33"/>
        <v>660.43099373973178</v>
      </c>
      <c r="BJ53" s="461">
        <f t="shared" ca="1" si="33"/>
        <v>696.92636740854755</v>
      </c>
      <c r="BK53" s="461">
        <f t="shared" ca="1" si="33"/>
        <v>734.75469838771596</v>
      </c>
      <c r="BL53" s="461">
        <f t="shared" ca="1" si="33"/>
        <v>774.40390912489681</v>
      </c>
      <c r="BM53" s="461">
        <f t="shared" ca="1" si="33"/>
        <v>816.03328203801698</v>
      </c>
      <c r="BN53" s="461">
        <f t="shared" ca="1" si="33"/>
        <v>859.78430628173965</v>
      </c>
      <c r="BO53" s="461">
        <f t="shared" ca="1" si="33"/>
        <v>905.78255437884991</v>
      </c>
      <c r="BP53" s="457"/>
      <c r="BQ53" s="448">
        <f t="shared" si="20"/>
        <v>0</v>
      </c>
      <c r="BR53" s="448">
        <f t="shared" ca="1" si="20"/>
        <v>0</v>
      </c>
      <c r="BS53" s="448">
        <f t="shared" ca="1" si="20"/>
        <v>0</v>
      </c>
      <c r="BT53" s="448">
        <f t="shared" ca="1" si="20"/>
        <v>3.5242919693700969E-12</v>
      </c>
      <c r="BU53" s="448">
        <f t="shared" ca="1" si="20"/>
        <v>4.3542058847378939E-11</v>
      </c>
      <c r="BV53" s="448">
        <f t="shared" ca="1" si="20"/>
        <v>3.836930773104541E-10</v>
      </c>
      <c r="BW53" s="448">
        <f t="shared" ca="1" si="20"/>
        <v>2.6590214474708773E-9</v>
      </c>
      <c r="BX53" s="448">
        <f t="shared" ca="1" si="20"/>
        <v>1.5071236703079194E-8</v>
      </c>
      <c r="BY53" s="448">
        <f t="shared" ca="1" si="20"/>
        <v>7.1970362114370801E-8</v>
      </c>
      <c r="BZ53" s="448">
        <f t="shared" ca="1" si="20"/>
        <v>2.9681018531846348E-7</v>
      </c>
      <c r="CA53" s="448">
        <f t="shared" ca="1" si="20"/>
        <v>1.0770053222586284E-6</v>
      </c>
      <c r="CB53" s="448">
        <f t="shared" ca="1" si="20"/>
        <v>3.5090848768959404E-6</v>
      </c>
      <c r="CD53" s="439">
        <v>454.16699999999997</v>
      </c>
      <c r="CE53" s="439">
        <v>507.62847806253075</v>
      </c>
      <c r="CF53" s="439">
        <v>550.58553321946818</v>
      </c>
      <c r="CG53" s="439">
        <v>588.47143148261807</v>
      </c>
      <c r="CH53" s="439">
        <v>624.59862326336565</v>
      </c>
      <c r="CI53" s="439">
        <v>660.43099373934808</v>
      </c>
      <c r="CJ53" s="439">
        <v>696.92636740588853</v>
      </c>
      <c r="CK53" s="439">
        <v>734.75469837264473</v>
      </c>
      <c r="CL53" s="439">
        <v>774.40390905292645</v>
      </c>
      <c r="CM53" s="439">
        <v>816.03328174120679</v>
      </c>
      <c r="CN53" s="439">
        <v>859.78430520473432</v>
      </c>
      <c r="CO53" s="439">
        <v>905.78255086976503</v>
      </c>
    </row>
    <row r="54" spans="1:93">
      <c r="A54" s="447" t="s">
        <v>2755</v>
      </c>
      <c r="B54" s="447"/>
      <c r="C54" s="442" t="s">
        <v>1455</v>
      </c>
      <c r="D54" s="447" t="s">
        <v>2722</v>
      </c>
      <c r="E54" s="436" t="s">
        <v>2756</v>
      </c>
      <c r="F54" s="454">
        <v>0</v>
      </c>
      <c r="G54" s="454">
        <v>0</v>
      </c>
      <c r="H54" s="454">
        <v>0</v>
      </c>
      <c r="I54" s="454">
        <v>0</v>
      </c>
      <c r="J54" s="454">
        <v>0</v>
      </c>
      <c r="K54" s="454">
        <v>0</v>
      </c>
      <c r="L54" s="454">
        <v>1.0000000149011611E-4</v>
      </c>
      <c r="M54" s="454">
        <v>1.0000000149011611E-4</v>
      </c>
      <c r="N54" s="454">
        <v>1.0000000149011611E-4</v>
      </c>
      <c r="O54" s="454">
        <v>1.0000000149011611E-4</v>
      </c>
      <c r="P54" s="454">
        <v>1.0000000149011611E-4</v>
      </c>
      <c r="Q54" s="454">
        <v>2.3399999737739563E-4</v>
      </c>
      <c r="R54" s="454">
        <v>3.1200000643730164E-4</v>
      </c>
      <c r="S54" s="454">
        <v>2.3399999737739563E-4</v>
      </c>
      <c r="T54" s="454">
        <v>9.7500002384185791E-4</v>
      </c>
      <c r="U54" s="454">
        <v>7.4099999666213986E-4</v>
      </c>
      <c r="V54" s="454">
        <v>1.9110000133514403E-3</v>
      </c>
      <c r="W54" s="454">
        <v>1.9500000476837158E-3</v>
      </c>
      <c r="X54" s="454">
        <v>6.0000002384185791E-4</v>
      </c>
      <c r="Y54" s="454">
        <v>6.9999998807907101E-4</v>
      </c>
      <c r="Z54" s="454">
        <v>6.9999998807907101E-4</v>
      </c>
      <c r="AA54" s="454">
        <v>5.0000000000000001E-4</v>
      </c>
      <c r="AB54" s="454">
        <v>1E-3</v>
      </c>
      <c r="AC54" s="454">
        <v>1.1000000238418578E-3</v>
      </c>
      <c r="AD54" s="454">
        <v>8.9999997615814213E-4</v>
      </c>
      <c r="AE54" s="454">
        <v>8.9999997615814213E-4</v>
      </c>
      <c r="AF54" s="454">
        <v>2.7999999523162841E-3</v>
      </c>
      <c r="AG54" s="454">
        <v>6.3000001907348637E-3</v>
      </c>
      <c r="AH54" s="454">
        <v>4.9000000953674317E-3</v>
      </c>
      <c r="AI54" s="454">
        <v>1.4E-2</v>
      </c>
      <c r="AJ54" s="454">
        <v>2.3E-2</v>
      </c>
      <c r="AK54" s="454">
        <v>3.9599998474121094E-2</v>
      </c>
      <c r="AL54" s="454">
        <v>5.8400001525878903E-2</v>
      </c>
      <c r="AM54" s="454">
        <v>8.4000000000000005E-2</v>
      </c>
      <c r="AN54" s="454">
        <v>0.106</v>
      </c>
      <c r="AO54" s="454">
        <v>0.13100000000000001</v>
      </c>
      <c r="AP54" s="454">
        <v>0.13027000427246094</v>
      </c>
      <c r="AQ54" s="454">
        <v>0.16189300537109375</v>
      </c>
      <c r="AR54" s="454">
        <v>0.18407449340820312</v>
      </c>
      <c r="AS54" s="454">
        <v>0.219</v>
      </c>
      <c r="AT54" s="454">
        <v>1.319</v>
      </c>
      <c r="AU54" s="454">
        <v>1.968</v>
      </c>
      <c r="AV54" s="454">
        <v>2.4180000000000001</v>
      </c>
      <c r="AW54" s="454">
        <v>1.6519999999999999</v>
      </c>
      <c r="AX54" s="454">
        <v>2.3913092000000002</v>
      </c>
      <c r="AY54" s="454">
        <v>-0.22170592799999941</v>
      </c>
      <c r="AZ54" s="454">
        <v>4.2907368859999995</v>
      </c>
      <c r="BA54" s="454">
        <v>28.442708875000001</v>
      </c>
      <c r="BB54" s="454">
        <v>48.735186445500005</v>
      </c>
      <c r="BC54" s="454">
        <v>64.573599999999999</v>
      </c>
      <c r="BD54" s="454">
        <v>68.198999999999998</v>
      </c>
      <c r="BE54" s="461">
        <f t="shared" ref="BE54:BO54" si="34">0.5*(BE102/100)*BD145</f>
        <v>50.302833787499999</v>
      </c>
      <c r="BF54" s="461">
        <f t="shared" ca="1" si="34"/>
        <v>62.088705957969239</v>
      </c>
      <c r="BG54" s="461">
        <f t="shared" ca="1" si="34"/>
        <v>76.825353116484678</v>
      </c>
      <c r="BH54" s="461">
        <f t="shared" ca="1" si="34"/>
        <v>94.220976457938619</v>
      </c>
      <c r="BI54" s="461">
        <f t="shared" ca="1" si="34"/>
        <v>113.41238384882168</v>
      </c>
      <c r="BJ54" s="461">
        <f t="shared" ca="1" si="34"/>
        <v>134.68272639014563</v>
      </c>
      <c r="BK54" s="461">
        <f t="shared" ca="1" si="34"/>
        <v>157.854755528439</v>
      </c>
      <c r="BL54" s="461">
        <f t="shared" ca="1" si="34"/>
        <v>183.80125475482717</v>
      </c>
      <c r="BM54" s="461">
        <f t="shared" ca="1" si="34"/>
        <v>212.71017574442661</v>
      </c>
      <c r="BN54" s="461">
        <f t="shared" ca="1" si="34"/>
        <v>244.82245365403855</v>
      </c>
      <c r="BO54" s="461">
        <f t="shared" ca="1" si="34"/>
        <v>280.55242344983947</v>
      </c>
      <c r="BP54" s="457"/>
      <c r="BQ54" s="448">
        <f t="shared" si="20"/>
        <v>0</v>
      </c>
      <c r="BR54" s="448">
        <f t="shared" si="20"/>
        <v>0</v>
      </c>
      <c r="BS54" s="448">
        <f t="shared" ca="1" si="20"/>
        <v>0</v>
      </c>
      <c r="BT54" s="448">
        <f t="shared" ca="1" si="20"/>
        <v>0</v>
      </c>
      <c r="BU54" s="448">
        <f t="shared" ca="1" si="20"/>
        <v>-4.4053649617126212E-13</v>
      </c>
      <c r="BV54" s="448">
        <f t="shared" ca="1" si="20"/>
        <v>-6.0822458181064576E-12</v>
      </c>
      <c r="BW54" s="448">
        <f t="shared" ca="1" si="20"/>
        <v>-5.9486637837835588E-11</v>
      </c>
      <c r="BX54" s="448">
        <f t="shared" ca="1" si="20"/>
        <v>-4.5508841139962897E-10</v>
      </c>
      <c r="BY54" s="448">
        <f t="shared" ca="1" si="20"/>
        <v>-2.8306601507210871E-9</v>
      </c>
      <c r="BZ54" s="448">
        <f t="shared" ca="1" si="20"/>
        <v>-1.4759763189431396E-8</v>
      </c>
      <c r="CA54" s="448">
        <f t="shared" ca="1" si="20"/>
        <v>-6.6077063820557669E-8</v>
      </c>
      <c r="CB54" s="448">
        <f t="shared" ca="1" si="20"/>
        <v>-2.5896855504470295E-7</v>
      </c>
      <c r="CD54" s="439">
        <v>68.198999999999998</v>
      </c>
      <c r="CE54" s="439">
        <v>50.302833787499999</v>
      </c>
      <c r="CF54" s="439">
        <v>62.088705957969239</v>
      </c>
      <c r="CG54" s="439">
        <v>76.825353116484663</v>
      </c>
      <c r="CH54" s="439">
        <v>94.220976457939059</v>
      </c>
      <c r="CI54" s="439">
        <v>113.41238384882776</v>
      </c>
      <c r="CJ54" s="439">
        <v>134.68272639020512</v>
      </c>
      <c r="CK54" s="439">
        <v>157.85475552889409</v>
      </c>
      <c r="CL54" s="439">
        <v>183.80125475765783</v>
      </c>
      <c r="CM54" s="439">
        <v>212.71017575918637</v>
      </c>
      <c r="CN54" s="439">
        <v>244.82245372011562</v>
      </c>
      <c r="CO54" s="439">
        <v>280.55242370880802</v>
      </c>
    </row>
    <row r="55" spans="1:93">
      <c r="A55" s="447" t="s">
        <v>2757</v>
      </c>
      <c r="B55" s="447"/>
      <c r="C55" s="442" t="s">
        <v>1455</v>
      </c>
      <c r="D55" s="447" t="s">
        <v>2722</v>
      </c>
      <c r="E55" s="436" t="s">
        <v>2758</v>
      </c>
      <c r="F55" s="454">
        <v>0</v>
      </c>
      <c r="G55" s="454">
        <v>0</v>
      </c>
      <c r="H55" s="454">
        <v>0</v>
      </c>
      <c r="I55" s="454">
        <v>0</v>
      </c>
      <c r="J55" s="454">
        <v>0</v>
      </c>
      <c r="K55" s="454">
        <v>1.0000000149011611E-4</v>
      </c>
      <c r="L55" s="454">
        <v>1.0000000149011611E-4</v>
      </c>
      <c r="M55" s="454">
        <v>2.0000000298023223E-4</v>
      </c>
      <c r="N55" s="454">
        <v>3.0000001192092895E-4</v>
      </c>
      <c r="O55" s="454">
        <v>4.0000000596046445E-4</v>
      </c>
      <c r="P55" s="454">
        <v>4.0000000596046445E-4</v>
      </c>
      <c r="Q55" s="454">
        <v>3.6599999666213991E-4</v>
      </c>
      <c r="R55" s="454">
        <v>4.8800000548362732E-4</v>
      </c>
      <c r="S55" s="454">
        <v>3.6599999666213991E-4</v>
      </c>
      <c r="T55" s="454">
        <v>1.5249999761581421E-3</v>
      </c>
      <c r="U55" s="454">
        <v>1.1590000391006471E-3</v>
      </c>
      <c r="V55" s="454">
        <v>2.9890000820159911E-3</v>
      </c>
      <c r="W55" s="454">
        <v>3.0499999523162843E-3</v>
      </c>
      <c r="X55" s="454">
        <v>6.0000002384185791E-4</v>
      </c>
      <c r="Y55" s="454">
        <v>6.9999998807907101E-4</v>
      </c>
      <c r="Z55" s="454">
        <v>8.0000001192092891E-4</v>
      </c>
      <c r="AA55" s="454">
        <v>6.0000002384185791E-4</v>
      </c>
      <c r="AB55" s="454">
        <v>1.1000000238418578E-3</v>
      </c>
      <c r="AC55" s="454">
        <v>2.0000000298023223E-4</v>
      </c>
      <c r="AD55" s="454">
        <v>2.0999999046325685E-3</v>
      </c>
      <c r="AE55" s="454">
        <v>3.7999999523162841E-3</v>
      </c>
      <c r="AF55" s="454">
        <v>2.7999999523162841E-3</v>
      </c>
      <c r="AG55" s="454">
        <v>2.9000000953674316E-3</v>
      </c>
      <c r="AH55" s="454">
        <v>1.7000000476837158E-3</v>
      </c>
      <c r="AI55" s="454">
        <v>1.2000000476837158E-3</v>
      </c>
      <c r="AJ55" s="454">
        <v>1.2999999523162842E-3</v>
      </c>
      <c r="AK55" s="454">
        <v>8.0000001192092891E-4</v>
      </c>
      <c r="AL55" s="454">
        <v>1.7000000476837158E-3</v>
      </c>
      <c r="AM55" s="454">
        <v>2E-3</v>
      </c>
      <c r="AN55" s="454">
        <v>2.7000000476837156E-3</v>
      </c>
      <c r="AO55" s="454">
        <v>3.7999999523162841E-3</v>
      </c>
      <c r="AP55" s="454">
        <v>4.0289998054504391E-3</v>
      </c>
      <c r="AQ55" s="454">
        <v>1E-3</v>
      </c>
      <c r="AR55" s="454">
        <v>0</v>
      </c>
      <c r="AS55" s="454">
        <v>0</v>
      </c>
      <c r="AT55" s="454">
        <v>0</v>
      </c>
      <c r="AU55" s="454">
        <v>0</v>
      </c>
      <c r="AV55" s="454">
        <v>1.1641469279999999</v>
      </c>
      <c r="AW55" s="454">
        <v>1.2222210126116397</v>
      </c>
      <c r="AX55" s="454">
        <v>1.3516907999999999</v>
      </c>
      <c r="AY55" s="454">
        <v>3.7257059279999996</v>
      </c>
      <c r="AZ55" s="454">
        <v>4.6722631140000006</v>
      </c>
      <c r="BA55" s="454">
        <v>8.8212911250000001</v>
      </c>
      <c r="BB55" s="454">
        <v>9.0688135544999984</v>
      </c>
      <c r="BC55" s="454">
        <v>0</v>
      </c>
      <c r="BD55" s="454">
        <v>0</v>
      </c>
      <c r="BE55" s="461">
        <f>BE146*BE101/100</f>
        <v>29.74256777696538</v>
      </c>
      <c r="BF55" s="461">
        <f t="shared" ref="BF55:BO55" si="35">BF146*BF101/100</f>
        <v>30.141609803930756</v>
      </c>
      <c r="BG55" s="461">
        <f t="shared" si="35"/>
        <v>30.540651830896135</v>
      </c>
      <c r="BH55" s="461">
        <f t="shared" si="35"/>
        <v>30.939693857861513</v>
      </c>
      <c r="BI55" s="461">
        <f t="shared" si="35"/>
        <v>31.338735884826892</v>
      </c>
      <c r="BJ55" s="461">
        <f t="shared" si="35"/>
        <v>31.737777911792268</v>
      </c>
      <c r="BK55" s="461">
        <f t="shared" si="35"/>
        <v>32.136819938757647</v>
      </c>
      <c r="BL55" s="461">
        <f t="shared" si="35"/>
        <v>32.535861965723022</v>
      </c>
      <c r="BM55" s="461">
        <f t="shared" si="35"/>
        <v>32.934903992688405</v>
      </c>
      <c r="BN55" s="461">
        <f t="shared" si="35"/>
        <v>33.33394601965378</v>
      </c>
      <c r="BO55" s="461">
        <f t="shared" si="35"/>
        <v>33.732988046619163</v>
      </c>
      <c r="BP55" s="457"/>
      <c r="BQ55" s="448">
        <f t="shared" si="20"/>
        <v>0</v>
      </c>
      <c r="BR55" s="448">
        <f t="shared" si="20"/>
        <v>0</v>
      </c>
      <c r="BS55" s="448">
        <f t="shared" si="20"/>
        <v>0</v>
      </c>
      <c r="BT55" s="448">
        <f t="shared" si="20"/>
        <v>0</v>
      </c>
      <c r="BU55" s="448">
        <f t="shared" si="20"/>
        <v>0</v>
      </c>
      <c r="BV55" s="448">
        <f t="shared" si="20"/>
        <v>0</v>
      </c>
      <c r="BW55" s="448">
        <f t="shared" si="20"/>
        <v>0</v>
      </c>
      <c r="BX55" s="448">
        <f t="shared" si="20"/>
        <v>0</v>
      </c>
      <c r="BY55" s="448">
        <f t="shared" si="20"/>
        <v>0</v>
      </c>
      <c r="BZ55" s="448">
        <f t="shared" si="20"/>
        <v>0</v>
      </c>
      <c r="CA55" s="448">
        <f t="shared" si="20"/>
        <v>0</v>
      </c>
      <c r="CB55" s="448">
        <f t="shared" si="20"/>
        <v>0</v>
      </c>
      <c r="CD55" s="439">
        <v>0</v>
      </c>
      <c r="CE55" s="439">
        <v>29.74256777696538</v>
      </c>
      <c r="CF55" s="439">
        <v>30.141609803930756</v>
      </c>
      <c r="CG55" s="439">
        <v>30.540651830896135</v>
      </c>
      <c r="CH55" s="439">
        <v>30.939693857861513</v>
      </c>
      <c r="CI55" s="439">
        <v>31.338735884826892</v>
      </c>
      <c r="CJ55" s="439">
        <v>31.737777911792268</v>
      </c>
      <c r="CK55" s="439">
        <v>32.136819938757647</v>
      </c>
      <c r="CL55" s="439">
        <v>32.535861965723022</v>
      </c>
      <c r="CM55" s="439">
        <v>32.934903992688405</v>
      </c>
      <c r="CN55" s="439">
        <v>33.33394601965378</v>
      </c>
      <c r="CO55" s="439">
        <v>33.732988046619163</v>
      </c>
    </row>
    <row r="56" spans="1:93">
      <c r="A56" s="447" t="s">
        <v>2759</v>
      </c>
      <c r="B56" s="447"/>
      <c r="C56" s="442" t="s">
        <v>1455</v>
      </c>
      <c r="D56" s="447" t="s">
        <v>2722</v>
      </c>
      <c r="E56" s="436" t="s">
        <v>2760</v>
      </c>
      <c r="F56" s="454">
        <v>3.2000000000000002E-3</v>
      </c>
      <c r="G56" s="454">
        <v>3.7000000000000002E-3</v>
      </c>
      <c r="H56" s="454">
        <v>3.6355149745941162E-3</v>
      </c>
      <c r="I56" s="454">
        <v>4.1447238922119141E-3</v>
      </c>
      <c r="J56" s="454">
        <v>5.1039314270019528E-3</v>
      </c>
      <c r="K56" s="454">
        <v>5.3170886039733889E-3</v>
      </c>
      <c r="L56" s="454">
        <v>6.9512939453125E-3</v>
      </c>
      <c r="M56" s="454">
        <v>6.5960316658020017E-3</v>
      </c>
      <c r="N56" s="454">
        <v>6.9631357192993168E-3</v>
      </c>
      <c r="O56" s="454">
        <v>6.6433997154235836E-3</v>
      </c>
      <c r="P56" s="454">
        <v>6.7499785423278807E-3</v>
      </c>
      <c r="Q56" s="454">
        <v>7.9910001754760745E-3</v>
      </c>
      <c r="R56" s="454">
        <v>7.9910001754760745E-3</v>
      </c>
      <c r="S56" s="454">
        <v>7.3200001716613771E-3</v>
      </c>
      <c r="T56" s="454">
        <v>8.2349996566772454E-3</v>
      </c>
      <c r="U56" s="454">
        <v>9.6379995346069329E-3</v>
      </c>
      <c r="V56" s="454">
        <v>1.0491999626159668E-2</v>
      </c>
      <c r="W56" s="454">
        <v>9.6990003585815422E-3</v>
      </c>
      <c r="X56" s="454">
        <v>1.3899999618530274E-2</v>
      </c>
      <c r="Y56" s="454">
        <v>1.7100000381469728E-2</v>
      </c>
      <c r="Z56" s="454">
        <v>2.2499999999999999E-2</v>
      </c>
      <c r="AA56" s="454">
        <v>2.8200000762939454E-2</v>
      </c>
      <c r="AB56" s="454">
        <v>3.4000000000000002E-2</v>
      </c>
      <c r="AC56" s="454">
        <v>3.5999999999999997E-2</v>
      </c>
      <c r="AD56" s="454">
        <v>0.03</v>
      </c>
      <c r="AE56" s="454">
        <v>2.4899999618530275E-2</v>
      </c>
      <c r="AF56" s="454">
        <v>2.6100000381469726E-2</v>
      </c>
      <c r="AG56" s="454">
        <v>2.9100000381469728E-2</v>
      </c>
      <c r="AH56" s="454">
        <v>3.2799999237060548E-2</v>
      </c>
      <c r="AI56" s="454">
        <v>3.2799999237060548E-2</v>
      </c>
      <c r="AJ56" s="454">
        <v>3.1100000381469727E-2</v>
      </c>
      <c r="AK56" s="454">
        <v>2.1000000000000001E-2</v>
      </c>
      <c r="AL56" s="454">
        <v>3.15E-2</v>
      </c>
      <c r="AM56" s="454">
        <v>2.5000000000000001E-2</v>
      </c>
      <c r="AN56" s="454">
        <v>2.3E-2</v>
      </c>
      <c r="AO56" s="454">
        <v>3.2000000000000001E-2</v>
      </c>
      <c r="AP56" s="454">
        <v>3.3259999999999998E-2</v>
      </c>
      <c r="AQ56" s="454">
        <v>3.3059999999999999E-2</v>
      </c>
      <c r="AR56" s="454">
        <v>3.9079999999999997E-2</v>
      </c>
      <c r="AS56" s="454">
        <v>0.15209999999999999</v>
      </c>
      <c r="AT56" s="454">
        <v>0.4995</v>
      </c>
      <c r="AU56" s="454">
        <v>0.79089999999999994</v>
      </c>
      <c r="AV56" s="454">
        <v>4.9847399999999995</v>
      </c>
      <c r="AW56" s="454">
        <v>5.7395100000000001</v>
      </c>
      <c r="AX56" s="454">
        <v>1</v>
      </c>
      <c r="AY56" s="454">
        <v>3.5</v>
      </c>
      <c r="AZ56" s="454">
        <v>10.5</v>
      </c>
      <c r="BA56" s="454">
        <v>16.3</v>
      </c>
      <c r="BB56" s="454">
        <v>5.6</v>
      </c>
      <c r="BC56" s="454">
        <v>3.7</v>
      </c>
      <c r="BD56" s="454">
        <v>4.343</v>
      </c>
      <c r="BE56" s="461">
        <f t="shared" ref="BE56:BO56" ca="1" si="36">BD56*(1+BE80/100)</f>
        <v>4.6380018334786719</v>
      </c>
      <c r="BF56" s="461">
        <f t="shared" ca="1" si="36"/>
        <v>4.8699991699423384</v>
      </c>
      <c r="BG56" s="461">
        <f t="shared" ca="1" si="36"/>
        <v>5.0686402360412552</v>
      </c>
      <c r="BH56" s="461">
        <f t="shared" ca="1" si="36"/>
        <v>5.2520612517693053</v>
      </c>
      <c r="BI56" s="461">
        <f t="shared" ca="1" si="36"/>
        <v>5.4296559257764816</v>
      </c>
      <c r="BJ56" s="461">
        <f t="shared" ca="1" si="36"/>
        <v>5.6064646008700132</v>
      </c>
      <c r="BK56" s="461">
        <f t="shared" ca="1" si="36"/>
        <v>5.7855921367502123</v>
      </c>
      <c r="BL56" s="461">
        <f t="shared" ca="1" si="36"/>
        <v>5.9688489176427195</v>
      </c>
      <c r="BM56" s="461">
        <f t="shared" ca="1" si="36"/>
        <v>6.1569958414106756</v>
      </c>
      <c r="BN56" s="461">
        <f t="shared" ca="1" si="36"/>
        <v>6.350469610419057</v>
      </c>
      <c r="BO56" s="461">
        <f t="shared" ca="1" si="36"/>
        <v>6.5495227244168666</v>
      </c>
      <c r="BP56" s="457"/>
      <c r="BQ56" s="448">
        <f t="shared" si="20"/>
        <v>0</v>
      </c>
      <c r="BR56" s="448">
        <f t="shared" ca="1" si="20"/>
        <v>0</v>
      </c>
      <c r="BS56" s="448">
        <f t="shared" ca="1" si="20"/>
        <v>0</v>
      </c>
      <c r="BT56" s="448">
        <f t="shared" ca="1" si="20"/>
        <v>-3.3750779948604759E-14</v>
      </c>
      <c r="BU56" s="448">
        <f t="shared" ca="1" si="20"/>
        <v>-3.6681768733615172E-13</v>
      </c>
      <c r="BV56" s="448">
        <f t="shared" ca="1" si="20"/>
        <v>-3.0997426847534371E-12</v>
      </c>
      <c r="BW56" s="448">
        <f t="shared" ca="1" si="20"/>
        <v>-2.0678569967458316E-11</v>
      </c>
      <c r="BX56" s="448">
        <f t="shared" ca="1" si="20"/>
        <v>-1.1286971357549191E-10</v>
      </c>
      <c r="BY56" s="448">
        <f t="shared" ca="1" si="20"/>
        <v>-5.1956217106408076E-10</v>
      </c>
      <c r="BZ56" s="448">
        <f t="shared" ca="1" si="20"/>
        <v>-2.067956472728838E-9</v>
      </c>
      <c r="CA56" s="448">
        <f t="shared" ca="1" si="20"/>
        <v>-7.2494703573511288E-9</v>
      </c>
      <c r="CB56" s="448">
        <f t="shared" ca="1" si="20"/>
        <v>-2.2861541104646221E-8</v>
      </c>
      <c r="CD56" s="439">
        <v>4.343</v>
      </c>
      <c r="CE56" s="439">
        <v>4.6380018334786719</v>
      </c>
      <c r="CF56" s="439">
        <v>4.8699991699423411</v>
      </c>
      <c r="CG56" s="439">
        <v>5.068640236041289</v>
      </c>
      <c r="CH56" s="439">
        <v>5.2520612517696721</v>
      </c>
      <c r="CI56" s="439">
        <v>5.4296559257795813</v>
      </c>
      <c r="CJ56" s="439">
        <v>5.6064646008906918</v>
      </c>
      <c r="CK56" s="439">
        <v>5.785592136863082</v>
      </c>
      <c r="CL56" s="439">
        <v>5.9688489181622817</v>
      </c>
      <c r="CM56" s="439">
        <v>6.156995843478632</v>
      </c>
      <c r="CN56" s="439">
        <v>6.3504696176685274</v>
      </c>
      <c r="CO56" s="439">
        <v>6.5495227472784077</v>
      </c>
    </row>
    <row r="57" spans="1:93">
      <c r="A57" s="447" t="s">
        <v>2761</v>
      </c>
      <c r="B57" s="447"/>
      <c r="C57" s="442" t="s">
        <v>1455</v>
      </c>
      <c r="D57" s="447" t="s">
        <v>2722</v>
      </c>
      <c r="E57" s="436" t="s">
        <v>2762</v>
      </c>
      <c r="F57" s="454">
        <v>3.8E-3</v>
      </c>
      <c r="G57" s="454">
        <v>4.4000000000000003E-3</v>
      </c>
      <c r="H57" s="454">
        <v>4.531274795532227E-3</v>
      </c>
      <c r="I57" s="454">
        <v>5.6500849723815916E-3</v>
      </c>
      <c r="J57" s="454">
        <v>6.335004806518555E-3</v>
      </c>
      <c r="K57" s="454">
        <v>6.8546090126037594E-3</v>
      </c>
      <c r="L57" s="454">
        <v>8.2497425079345703E-3</v>
      </c>
      <c r="M57" s="454">
        <v>9.5046358108520513E-3</v>
      </c>
      <c r="N57" s="454">
        <v>9.8762426376342773E-3</v>
      </c>
      <c r="O57" s="454">
        <v>9.8650360107421873E-3</v>
      </c>
      <c r="P57" s="454">
        <v>1.0809538841247558E-2</v>
      </c>
      <c r="Q57" s="454">
        <v>1.2069199562072754E-2</v>
      </c>
      <c r="R57" s="454">
        <v>1.3505399703979492E-2</v>
      </c>
      <c r="S57" s="454">
        <v>1.3649100303649903E-2</v>
      </c>
      <c r="T57" s="454">
        <v>1.4643400192260743E-2</v>
      </c>
      <c r="U57" s="454">
        <v>1.7145500183105469E-2</v>
      </c>
      <c r="V57" s="454">
        <v>1.9658899307250975E-2</v>
      </c>
      <c r="W57" s="454">
        <v>1.9484100341796876E-2</v>
      </c>
      <c r="X57" s="454">
        <v>2.4215700149536133E-2</v>
      </c>
      <c r="Y57" s="454">
        <v>2.3916500091552734E-2</v>
      </c>
      <c r="Z57" s="454">
        <v>2.8270999908447267E-2</v>
      </c>
      <c r="AA57" s="454">
        <v>1.9700000762939453E-2</v>
      </c>
      <c r="AB57" s="454">
        <v>8.1000003814697269E-3</v>
      </c>
      <c r="AC57" s="454">
        <v>2.4399999618530274E-2</v>
      </c>
      <c r="AD57" s="454">
        <v>3.1200000762939453E-2</v>
      </c>
      <c r="AE57" s="454">
        <v>3.2000000000000001E-2</v>
      </c>
      <c r="AF57" s="454">
        <v>3.3000000000000002E-2</v>
      </c>
      <c r="AG57" s="454">
        <v>3.3900001525878909E-2</v>
      </c>
      <c r="AH57" s="454">
        <v>0.03</v>
      </c>
      <c r="AI57" s="454">
        <v>3.3799999237060549E-2</v>
      </c>
      <c r="AJ57" s="454">
        <v>4.8200000762939454E-2</v>
      </c>
      <c r="AK57" s="454">
        <v>4.7400001525878907E-2</v>
      </c>
      <c r="AL57" s="454">
        <v>2.6299999237060546E-2</v>
      </c>
      <c r="AM57" s="454">
        <v>2.4899999618530275E-2</v>
      </c>
      <c r="AN57" s="454">
        <v>5.7299999237060549E-2</v>
      </c>
      <c r="AO57" s="454">
        <v>5.040000152587891E-2</v>
      </c>
      <c r="AP57" s="454">
        <v>0.11</v>
      </c>
      <c r="AQ57" s="454">
        <v>0.20599999999999999</v>
      </c>
      <c r="AR57" s="454">
        <v>0.20599999999999999</v>
      </c>
      <c r="AS57" s="454">
        <v>0.33</v>
      </c>
      <c r="AT57" s="454">
        <v>2.2730000000000001</v>
      </c>
      <c r="AU57" s="454">
        <v>11.994062111801242</v>
      </c>
      <c r="AV57" s="454">
        <v>15.35726</v>
      </c>
      <c r="AW57" s="454">
        <v>10.82249</v>
      </c>
      <c r="AX57" s="454">
        <v>20.556999999999999</v>
      </c>
      <c r="AY57" s="454">
        <v>20.725999999999999</v>
      </c>
      <c r="AZ57" s="454">
        <v>41.378999999999998</v>
      </c>
      <c r="BA57" s="454">
        <v>116.916</v>
      </c>
      <c r="BB57" s="454">
        <v>129.059</v>
      </c>
      <c r="BC57" s="454">
        <v>135.66129999999998</v>
      </c>
      <c r="BD57" s="454">
        <v>189.285</v>
      </c>
      <c r="BE57" s="461">
        <f t="shared" ref="BE57:BO57" ca="1" si="37">BD57*(1+BE164/100)</f>
        <v>209.02081638360252</v>
      </c>
      <c r="BF57" s="461">
        <f t="shared" ca="1" si="37"/>
        <v>223.96793884689694</v>
      </c>
      <c r="BG57" s="461">
        <f t="shared" ca="1" si="37"/>
        <v>236.47143249269268</v>
      </c>
      <c r="BH57" s="461">
        <f t="shared" ca="1" si="37"/>
        <v>247.92566989125996</v>
      </c>
      <c r="BI57" s="461">
        <f t="shared" ca="1" si="37"/>
        <v>258.93467755126983</v>
      </c>
      <c r="BJ57" s="461">
        <f t="shared" ca="1" si="37"/>
        <v>269.87787275725054</v>
      </c>
      <c r="BK57" s="461">
        <f t="shared" ca="1" si="37"/>
        <v>281.00618113256303</v>
      </c>
      <c r="BL57" s="461">
        <f t="shared" ca="1" si="37"/>
        <v>292.48921484631194</v>
      </c>
      <c r="BM57" s="461">
        <f t="shared" ca="1" si="37"/>
        <v>304.36513749539165</v>
      </c>
      <c r="BN57" s="461">
        <f t="shared" ca="1" si="37"/>
        <v>316.66302274277626</v>
      </c>
      <c r="BO57" s="461">
        <f t="shared" ca="1" si="37"/>
        <v>329.40401198653456</v>
      </c>
      <c r="BP57" s="457"/>
      <c r="BQ57" s="448">
        <f t="shared" si="20"/>
        <v>0</v>
      </c>
      <c r="BR57" s="448">
        <f t="shared" ca="1" si="20"/>
        <v>0</v>
      </c>
      <c r="BS57" s="448">
        <f t="shared" ca="1" si="20"/>
        <v>0</v>
      </c>
      <c r="BT57" s="448">
        <f t="shared" ref="BT57:CB58" ca="1" si="38">+BG57-CG57</f>
        <v>-1.9326762412674725E-12</v>
      </c>
      <c r="BU57" s="448">
        <f t="shared" ca="1" si="38"/>
        <v>-2.276578925375361E-11</v>
      </c>
      <c r="BV57" s="448">
        <f t="shared" ca="1" si="38"/>
        <v>-1.9628032532637008E-10</v>
      </c>
      <c r="BW57" s="448">
        <f t="shared" ca="1" si="38"/>
        <v>-1.3292265066411346E-9</v>
      </c>
      <c r="BX57" s="448">
        <f t="shared" ca="1" si="38"/>
        <v>-7.3628712016216014E-9</v>
      </c>
      <c r="BY57" s="448">
        <f t="shared" ca="1" si="38"/>
        <v>-3.4357412914687302E-8</v>
      </c>
      <c r="BZ57" s="448">
        <f t="shared" ca="1" si="38"/>
        <v>-1.3845311741533806E-7</v>
      </c>
      <c r="CA57" s="448">
        <f t="shared" ca="1" si="38"/>
        <v>-4.9093478082795627E-7</v>
      </c>
      <c r="CB57" s="448">
        <f t="shared" ca="1" si="38"/>
        <v>-1.5632388112862827E-6</v>
      </c>
      <c r="CD57" s="439">
        <v>189.285</v>
      </c>
      <c r="CE57" s="439">
        <v>209.02081638360252</v>
      </c>
      <c r="CF57" s="439">
        <v>223.96793884689708</v>
      </c>
      <c r="CG57" s="439">
        <v>236.47143249269462</v>
      </c>
      <c r="CH57" s="439">
        <v>247.92566989128272</v>
      </c>
      <c r="CI57" s="439">
        <v>258.93467755146611</v>
      </c>
      <c r="CJ57" s="439">
        <v>269.87787275857977</v>
      </c>
      <c r="CK57" s="439">
        <v>281.0061811399259</v>
      </c>
      <c r="CL57" s="439">
        <v>292.48921488066935</v>
      </c>
      <c r="CM57" s="439">
        <v>304.36513763384477</v>
      </c>
      <c r="CN57" s="439">
        <v>316.66302323371104</v>
      </c>
      <c r="CO57" s="439">
        <v>329.40401354977337</v>
      </c>
    </row>
    <row r="58" spans="1:93">
      <c r="A58" s="447" t="s">
        <v>2763</v>
      </c>
      <c r="B58" s="447"/>
      <c r="C58" s="442" t="s">
        <v>1455</v>
      </c>
      <c r="D58" s="447" t="s">
        <v>2722</v>
      </c>
      <c r="E58" s="436" t="s">
        <v>2764</v>
      </c>
      <c r="F58" s="454">
        <v>2.9999999999999997E-4</v>
      </c>
      <c r="G58" s="454">
        <v>2.9999999999999997E-4</v>
      </c>
      <c r="H58" s="454">
        <v>2.9797226190567019E-4</v>
      </c>
      <c r="I58" s="454">
        <v>3.3970779180526731E-4</v>
      </c>
      <c r="J58" s="454">
        <v>4.1832587122917175E-4</v>
      </c>
      <c r="K58" s="454">
        <v>4.3579655885696414E-4</v>
      </c>
      <c r="L58" s="454">
        <v>5.69738507270813E-4</v>
      </c>
      <c r="M58" s="454">
        <v>5.406206846237183E-4</v>
      </c>
      <c r="N58" s="454">
        <v>5.7070904970169065E-4</v>
      </c>
      <c r="O58" s="454">
        <v>5.4450303316116338E-4</v>
      </c>
      <c r="P58" s="454">
        <v>5.5323833227157598E-4</v>
      </c>
      <c r="Q58" s="454">
        <v>6.5499997138977045E-4</v>
      </c>
      <c r="R58" s="454">
        <v>6.5499997138977045E-4</v>
      </c>
      <c r="S58" s="454">
        <v>6.0000002384185791E-4</v>
      </c>
      <c r="T58" s="454">
        <v>6.7500001192092891E-4</v>
      </c>
      <c r="U58" s="454">
        <v>7.9000002145767213E-4</v>
      </c>
      <c r="V58" s="454">
        <v>8.600000143051148E-4</v>
      </c>
      <c r="W58" s="454">
        <v>7.9500001668930057E-4</v>
      </c>
      <c r="X58" s="454">
        <v>1.0000000149011611E-4</v>
      </c>
      <c r="Y58" s="454">
        <v>1.0000000149011611E-4</v>
      </c>
      <c r="Z58" s="454">
        <v>5.0000000000000001E-4</v>
      </c>
      <c r="AA58" s="454">
        <v>1.399999976158142E-3</v>
      </c>
      <c r="AB58" s="454">
        <v>1.899999976158142E-3</v>
      </c>
      <c r="AC58" s="454">
        <v>1.899999976158142E-3</v>
      </c>
      <c r="AD58" s="454">
        <v>9.1999998092651362E-3</v>
      </c>
      <c r="AE58" s="454">
        <v>8.9999997615814213E-4</v>
      </c>
      <c r="AF58" s="454">
        <v>2E-3</v>
      </c>
      <c r="AG58" s="454">
        <v>2E-3</v>
      </c>
      <c r="AH58" s="454">
        <v>2E-3</v>
      </c>
      <c r="AI58" s="454">
        <v>2E-3</v>
      </c>
      <c r="AJ58" s="454">
        <v>2E-3</v>
      </c>
      <c r="AK58" s="454">
        <v>2E-3</v>
      </c>
      <c r="AL58" s="454">
        <v>2E-3</v>
      </c>
      <c r="AM58" s="454">
        <v>2E-3</v>
      </c>
      <c r="AN58" s="454">
        <v>2E-3</v>
      </c>
      <c r="AO58" s="454">
        <v>2E-3</v>
      </c>
      <c r="AP58" s="454">
        <v>0</v>
      </c>
      <c r="AQ58" s="454">
        <v>0</v>
      </c>
      <c r="AR58" s="454">
        <v>0</v>
      </c>
      <c r="AS58" s="454">
        <v>0</v>
      </c>
      <c r="AT58" s="454">
        <v>0</v>
      </c>
      <c r="AU58" s="454">
        <v>0</v>
      </c>
      <c r="AV58" s="454">
        <v>0</v>
      </c>
      <c r="AW58" s="454">
        <v>0</v>
      </c>
      <c r="AX58" s="454">
        <v>0</v>
      </c>
      <c r="AY58" s="454">
        <v>0</v>
      </c>
      <c r="AZ58" s="454">
        <v>0</v>
      </c>
      <c r="BA58" s="454">
        <v>0</v>
      </c>
      <c r="BB58" s="454">
        <v>0</v>
      </c>
      <c r="BC58" s="454">
        <v>0</v>
      </c>
      <c r="BD58" s="454">
        <v>0</v>
      </c>
      <c r="BE58" s="461">
        <f>BD58</f>
        <v>0</v>
      </c>
      <c r="BF58" s="461">
        <f t="shared" ref="BF58:BO58" si="39">BE58</f>
        <v>0</v>
      </c>
      <c r="BG58" s="461">
        <f t="shared" si="39"/>
        <v>0</v>
      </c>
      <c r="BH58" s="461">
        <f t="shared" si="39"/>
        <v>0</v>
      </c>
      <c r="BI58" s="461">
        <f t="shared" si="39"/>
        <v>0</v>
      </c>
      <c r="BJ58" s="461">
        <f t="shared" si="39"/>
        <v>0</v>
      </c>
      <c r="BK58" s="461">
        <f t="shared" si="39"/>
        <v>0</v>
      </c>
      <c r="BL58" s="461">
        <f t="shared" si="39"/>
        <v>0</v>
      </c>
      <c r="BM58" s="461">
        <f t="shared" si="39"/>
        <v>0</v>
      </c>
      <c r="BN58" s="461">
        <f t="shared" si="39"/>
        <v>0</v>
      </c>
      <c r="BO58" s="461">
        <f t="shared" si="39"/>
        <v>0</v>
      </c>
      <c r="BP58" s="457"/>
      <c r="BQ58" s="448">
        <f>+BD58-CD58</f>
        <v>0</v>
      </c>
      <c r="BR58" s="448">
        <f>+BE58-CE58</f>
        <v>0</v>
      </c>
      <c r="BS58" s="448">
        <f>+BF58-CF58</f>
        <v>0</v>
      </c>
      <c r="BT58" s="448">
        <f t="shared" si="38"/>
        <v>0</v>
      </c>
      <c r="BU58" s="448">
        <f t="shared" si="38"/>
        <v>0</v>
      </c>
      <c r="BV58" s="448">
        <f t="shared" si="38"/>
        <v>0</v>
      </c>
      <c r="BW58" s="448">
        <f t="shared" si="38"/>
        <v>0</v>
      </c>
      <c r="BX58" s="448">
        <f t="shared" si="38"/>
        <v>0</v>
      </c>
      <c r="BY58" s="448">
        <f t="shared" si="38"/>
        <v>0</v>
      </c>
      <c r="BZ58" s="448">
        <f t="shared" si="38"/>
        <v>0</v>
      </c>
      <c r="CA58" s="448">
        <f t="shared" si="38"/>
        <v>0</v>
      </c>
      <c r="CB58" s="448">
        <f t="shared" si="38"/>
        <v>0</v>
      </c>
      <c r="CD58" s="439">
        <v>0</v>
      </c>
      <c r="CE58" s="439">
        <v>0</v>
      </c>
      <c r="CF58" s="439">
        <v>0</v>
      </c>
      <c r="CG58" s="439">
        <v>0</v>
      </c>
      <c r="CH58" s="439">
        <v>0</v>
      </c>
      <c r="CI58" s="439">
        <v>0</v>
      </c>
      <c r="CJ58" s="439">
        <v>0</v>
      </c>
      <c r="CK58" s="439">
        <v>0</v>
      </c>
      <c r="CL58" s="439">
        <v>0</v>
      </c>
      <c r="CM58" s="439">
        <v>0</v>
      </c>
      <c r="CN58" s="439">
        <v>0</v>
      </c>
      <c r="CO58" s="439">
        <v>0</v>
      </c>
    </row>
    <row r="59" spans="1:93">
      <c r="A59" s="447" t="s">
        <v>878</v>
      </c>
      <c r="B59" s="447"/>
      <c r="C59" s="442"/>
      <c r="D59" s="447"/>
      <c r="E59" s="436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4"/>
      <c r="V59" s="464"/>
      <c r="W59" s="464"/>
      <c r="X59" s="464"/>
      <c r="Y59" s="464"/>
      <c r="Z59" s="464"/>
      <c r="AA59" s="464"/>
      <c r="AB59" s="464"/>
      <c r="AC59" s="464"/>
      <c r="AD59" s="464"/>
      <c r="AE59" s="464"/>
      <c r="AF59" s="464"/>
      <c r="AG59" s="464"/>
      <c r="AH59" s="464"/>
      <c r="AI59" s="464"/>
      <c r="AJ59" s="464"/>
      <c r="AK59" s="464"/>
      <c r="AL59" s="464"/>
      <c r="AM59" s="464"/>
      <c r="AN59" s="464"/>
      <c r="AO59" s="464"/>
      <c r="AP59" s="464"/>
      <c r="AQ59" s="464"/>
      <c r="AR59" s="464"/>
      <c r="AS59" s="464"/>
      <c r="AT59" s="436" t="s">
        <v>1344</v>
      </c>
      <c r="AU59" s="436" t="s">
        <v>1344</v>
      </c>
      <c r="AV59" s="436" t="s">
        <v>1344</v>
      </c>
      <c r="AW59" s="436" t="s">
        <v>1344</v>
      </c>
      <c r="AX59" s="436" t="s">
        <v>1344</v>
      </c>
      <c r="AY59" s="436" t="s">
        <v>1344</v>
      </c>
      <c r="AZ59" s="436" t="s">
        <v>1344</v>
      </c>
      <c r="BA59" s="436" t="s">
        <v>1344</v>
      </c>
      <c r="BB59" s="436" t="s">
        <v>1344</v>
      </c>
      <c r="BC59" s="436" t="s">
        <v>1344</v>
      </c>
      <c r="BD59" s="436" t="s">
        <v>1344</v>
      </c>
      <c r="BE59" s="436" t="s">
        <v>1344</v>
      </c>
      <c r="BF59" s="436" t="s">
        <v>1344</v>
      </c>
      <c r="BG59" s="436" t="s">
        <v>1344</v>
      </c>
      <c r="BH59" s="436" t="s">
        <v>1344</v>
      </c>
      <c r="BI59" s="436" t="s">
        <v>1344</v>
      </c>
      <c r="BJ59" s="436" t="s">
        <v>1344</v>
      </c>
      <c r="BK59" s="436" t="s">
        <v>1344</v>
      </c>
      <c r="BL59" s="436" t="s">
        <v>1344</v>
      </c>
      <c r="BM59" s="436" t="s">
        <v>1344</v>
      </c>
      <c r="BN59" s="436" t="s">
        <v>1344</v>
      </c>
      <c r="BO59" s="436" t="s">
        <v>1344</v>
      </c>
      <c r="BP59" s="436"/>
      <c r="BQ59" s="436" t="s">
        <v>1344</v>
      </c>
      <c r="BR59" s="436" t="s">
        <v>1344</v>
      </c>
      <c r="BS59" s="436" t="s">
        <v>1344</v>
      </c>
      <c r="BT59" s="436" t="s">
        <v>1344</v>
      </c>
      <c r="BU59" s="436" t="s">
        <v>1344</v>
      </c>
      <c r="BV59" s="436" t="s">
        <v>1344</v>
      </c>
      <c r="BW59" s="436" t="s">
        <v>1344</v>
      </c>
      <c r="BX59" s="436" t="s">
        <v>1344</v>
      </c>
      <c r="BY59" s="436" t="s">
        <v>1344</v>
      </c>
      <c r="BZ59" s="436" t="s">
        <v>1344</v>
      </c>
      <c r="CA59" s="436" t="s">
        <v>1344</v>
      </c>
      <c r="CB59" s="436" t="s">
        <v>1344</v>
      </c>
      <c r="CC59" s="436"/>
      <c r="CD59" s="439" t="s">
        <v>1344</v>
      </c>
      <c r="CE59" s="439" t="s">
        <v>1344</v>
      </c>
      <c r="CF59" s="439" t="s">
        <v>1344</v>
      </c>
      <c r="CG59" s="439" t="s">
        <v>1344</v>
      </c>
      <c r="CH59" s="439" t="s">
        <v>1344</v>
      </c>
      <c r="CI59" s="439" t="s">
        <v>1344</v>
      </c>
      <c r="CJ59" s="439" t="s">
        <v>1344</v>
      </c>
      <c r="CK59" s="439" t="s">
        <v>1344</v>
      </c>
      <c r="CL59" s="439" t="s">
        <v>1344</v>
      </c>
      <c r="CM59" s="439" t="s">
        <v>1344</v>
      </c>
      <c r="CN59" s="439" t="s">
        <v>1344</v>
      </c>
      <c r="CO59" s="439" t="s">
        <v>1344</v>
      </c>
    </row>
    <row r="60" spans="1:93">
      <c r="A60" s="447" t="s">
        <v>2765</v>
      </c>
      <c r="B60" s="447"/>
      <c r="C60" s="442"/>
      <c r="D60" s="447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4"/>
      <c r="Q60" s="464"/>
      <c r="R60" s="464"/>
      <c r="S60" s="464"/>
      <c r="T60" s="464"/>
      <c r="U60" s="464"/>
      <c r="V60" s="464"/>
      <c r="W60" s="464"/>
      <c r="X60" s="464"/>
      <c r="Y60" s="464"/>
      <c r="Z60" s="464"/>
      <c r="AA60" s="464"/>
      <c r="AB60" s="464"/>
      <c r="AC60" s="464"/>
      <c r="AD60" s="464"/>
      <c r="AE60" s="464"/>
      <c r="AF60" s="464"/>
      <c r="AG60" s="464"/>
      <c r="AH60" s="464"/>
      <c r="AI60" s="464"/>
      <c r="AJ60" s="464"/>
      <c r="AK60" s="464"/>
      <c r="AL60" s="464"/>
      <c r="AM60" s="464"/>
      <c r="AN60" s="464"/>
      <c r="AO60" s="464"/>
      <c r="AP60" s="464"/>
      <c r="AQ60" s="464"/>
      <c r="AR60" s="464"/>
      <c r="AS60" s="464"/>
      <c r="AT60" s="438"/>
      <c r="AU60" s="438"/>
      <c r="AV60" s="438"/>
      <c r="AW60" s="438"/>
      <c r="AX60" s="438"/>
      <c r="AY60" s="438"/>
      <c r="AZ60" s="438"/>
      <c r="BE60" s="438"/>
      <c r="BF60" s="438"/>
      <c r="BG60" s="438"/>
      <c r="BH60" s="438"/>
      <c r="BI60" s="438"/>
      <c r="BJ60" s="438"/>
      <c r="BK60" s="438"/>
      <c r="BL60" s="438"/>
      <c r="BM60" s="438"/>
      <c r="BN60" s="438"/>
      <c r="BO60" s="438"/>
      <c r="BQ60" s="438"/>
      <c r="BR60" s="438"/>
      <c r="BS60" s="438"/>
      <c r="BT60" s="438"/>
      <c r="BU60" s="438"/>
      <c r="BV60" s="438"/>
      <c r="BW60" s="438"/>
      <c r="BX60" s="438"/>
      <c r="BY60" s="438"/>
      <c r="BZ60" s="438"/>
      <c r="CA60" s="438"/>
      <c r="CB60" s="438"/>
      <c r="CC60" s="438"/>
    </row>
    <row r="61" spans="1:93">
      <c r="A61" s="447" t="s">
        <v>2766</v>
      </c>
      <c r="B61" s="447"/>
      <c r="C61" s="442"/>
      <c r="D61" s="447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  <c r="R61" s="464"/>
      <c r="S61" s="464"/>
      <c r="T61" s="464"/>
      <c r="U61" s="464"/>
      <c r="V61" s="464"/>
      <c r="W61" s="464"/>
      <c r="X61" s="464"/>
      <c r="Y61" s="464"/>
      <c r="Z61" s="464"/>
      <c r="AA61" s="464"/>
      <c r="AB61" s="464"/>
      <c r="AC61" s="464"/>
      <c r="AD61" s="464"/>
      <c r="AE61" s="464"/>
      <c r="AF61" s="464"/>
      <c r="AG61" s="464"/>
      <c r="AH61" s="464"/>
      <c r="AI61" s="464"/>
      <c r="AJ61" s="464"/>
      <c r="AK61" s="464"/>
      <c r="AL61" s="464"/>
      <c r="AM61" s="464"/>
      <c r="AN61" s="464"/>
      <c r="AO61" s="464"/>
      <c r="AP61" s="464"/>
      <c r="AQ61" s="464"/>
      <c r="AR61" s="464"/>
      <c r="AS61" s="464"/>
      <c r="AT61" s="436" t="s">
        <v>1344</v>
      </c>
      <c r="AU61" s="436" t="s">
        <v>1344</v>
      </c>
      <c r="AV61" s="436" t="s">
        <v>1344</v>
      </c>
      <c r="AW61" s="436" t="s">
        <v>1344</v>
      </c>
      <c r="AX61" s="436" t="s">
        <v>1344</v>
      </c>
      <c r="AY61" s="436" t="s">
        <v>1344</v>
      </c>
      <c r="AZ61" s="436" t="s">
        <v>1344</v>
      </c>
      <c r="BA61" s="436" t="s">
        <v>1344</v>
      </c>
      <c r="BB61" s="436" t="s">
        <v>1344</v>
      </c>
      <c r="BC61" s="436" t="s">
        <v>1344</v>
      </c>
      <c r="BD61" s="436" t="s">
        <v>1344</v>
      </c>
      <c r="BE61" s="436" t="s">
        <v>1344</v>
      </c>
      <c r="BF61" s="436" t="s">
        <v>1344</v>
      </c>
      <c r="BG61" s="436" t="s">
        <v>1344</v>
      </c>
      <c r="BH61" s="436" t="s">
        <v>1344</v>
      </c>
      <c r="BI61" s="436" t="s">
        <v>1344</v>
      </c>
      <c r="BJ61" s="436" t="s">
        <v>1344</v>
      </c>
      <c r="BK61" s="436" t="s">
        <v>1344</v>
      </c>
      <c r="BL61" s="436" t="s">
        <v>1344</v>
      </c>
      <c r="BM61" s="436" t="s">
        <v>1344</v>
      </c>
      <c r="BN61" s="436" t="s">
        <v>1344</v>
      </c>
      <c r="BO61" s="436" t="s">
        <v>1344</v>
      </c>
      <c r="BP61" s="436"/>
      <c r="BQ61" s="436" t="s">
        <v>1344</v>
      </c>
      <c r="BR61" s="436" t="s">
        <v>1344</v>
      </c>
      <c r="BS61" s="436" t="s">
        <v>1344</v>
      </c>
      <c r="BT61" s="436" t="s">
        <v>1344</v>
      </c>
      <c r="BU61" s="436" t="s">
        <v>1344</v>
      </c>
      <c r="BV61" s="436" t="s">
        <v>1344</v>
      </c>
      <c r="BW61" s="436" t="s">
        <v>1344</v>
      </c>
      <c r="BX61" s="436" t="s">
        <v>1344</v>
      </c>
      <c r="BY61" s="436" t="s">
        <v>1344</v>
      </c>
      <c r="BZ61" s="436" t="s">
        <v>1344</v>
      </c>
      <c r="CA61" s="436" t="s">
        <v>1344</v>
      </c>
      <c r="CB61" s="436" t="s">
        <v>1344</v>
      </c>
      <c r="CC61" s="436"/>
      <c r="CD61" s="439" t="s">
        <v>1344</v>
      </c>
      <c r="CE61" s="439" t="s">
        <v>1344</v>
      </c>
      <c r="CF61" s="439" t="s">
        <v>1344</v>
      </c>
      <c r="CG61" s="439" t="s">
        <v>1344</v>
      </c>
      <c r="CH61" s="439" t="s">
        <v>1344</v>
      </c>
      <c r="CI61" s="439" t="s">
        <v>1344</v>
      </c>
      <c r="CJ61" s="439" t="s">
        <v>1344</v>
      </c>
      <c r="CK61" s="439" t="s">
        <v>1344</v>
      </c>
      <c r="CL61" s="439" t="s">
        <v>1344</v>
      </c>
      <c r="CM61" s="439" t="s">
        <v>1344</v>
      </c>
      <c r="CN61" s="439" t="s">
        <v>1344</v>
      </c>
      <c r="CO61" s="439" t="s">
        <v>1344</v>
      </c>
    </row>
    <row r="62" spans="1:93">
      <c r="A62" s="447" t="s">
        <v>2767</v>
      </c>
      <c r="B62" s="447"/>
      <c r="C62" s="442"/>
      <c r="D62" s="447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4"/>
      <c r="Q62" s="464"/>
      <c r="R62" s="464"/>
      <c r="S62" s="464"/>
      <c r="T62" s="464"/>
      <c r="U62" s="464"/>
      <c r="V62" s="464"/>
      <c r="W62" s="464"/>
      <c r="X62" s="464"/>
      <c r="Y62" s="464"/>
      <c r="Z62" s="464"/>
      <c r="AA62" s="464"/>
      <c r="AB62" s="464"/>
      <c r="AC62" s="464"/>
      <c r="AD62" s="464"/>
      <c r="AE62" s="464"/>
      <c r="AF62" s="464"/>
      <c r="AG62" s="464"/>
      <c r="AH62" s="464"/>
      <c r="AI62" s="464"/>
      <c r="AJ62" s="464"/>
      <c r="AK62" s="464"/>
      <c r="AL62" s="464"/>
      <c r="AM62" s="464"/>
      <c r="AN62" s="464"/>
      <c r="AO62" s="464"/>
      <c r="AP62" s="464"/>
      <c r="AQ62" s="464"/>
      <c r="AR62" s="464"/>
      <c r="AS62" s="464"/>
      <c r="AT62" s="438"/>
      <c r="AU62" s="438"/>
      <c r="AV62" s="438"/>
      <c r="AW62" s="438"/>
      <c r="AX62" s="438"/>
      <c r="AY62" s="438"/>
      <c r="AZ62" s="438"/>
      <c r="BE62" s="438"/>
      <c r="BF62" s="438"/>
      <c r="BG62" s="438"/>
      <c r="BH62" s="438"/>
      <c r="BI62" s="438"/>
      <c r="BJ62" s="438"/>
      <c r="BK62" s="438"/>
      <c r="BL62" s="438"/>
      <c r="BM62" s="438"/>
      <c r="BN62" s="438"/>
      <c r="BO62" s="438"/>
      <c r="BQ62" s="438"/>
      <c r="BR62" s="438"/>
      <c r="BS62" s="438"/>
      <c r="BT62" s="438"/>
      <c r="BU62" s="438"/>
      <c r="BV62" s="438"/>
      <c r="BW62" s="438"/>
      <c r="BX62" s="438"/>
      <c r="BY62" s="438"/>
      <c r="BZ62" s="438"/>
      <c r="CA62" s="438"/>
      <c r="CB62" s="438"/>
      <c r="CC62" s="438"/>
    </row>
    <row r="63" spans="1:93">
      <c r="A63" s="447" t="s">
        <v>878</v>
      </c>
      <c r="B63" s="447"/>
      <c r="C63" s="442"/>
      <c r="D63" s="447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  <c r="AC63" s="464"/>
      <c r="AD63" s="464"/>
      <c r="AE63" s="464"/>
      <c r="AF63" s="464"/>
      <c r="AG63" s="464"/>
      <c r="AH63" s="464"/>
      <c r="AI63" s="464"/>
      <c r="AJ63" s="464"/>
      <c r="AK63" s="464"/>
      <c r="AL63" s="464"/>
      <c r="AM63" s="464"/>
      <c r="AN63" s="464"/>
      <c r="AO63" s="464"/>
      <c r="AP63" s="464"/>
      <c r="AQ63" s="464"/>
      <c r="AR63" s="464"/>
      <c r="AS63" s="464"/>
      <c r="AT63" s="436" t="s">
        <v>1344</v>
      </c>
      <c r="AU63" s="436" t="s">
        <v>1344</v>
      </c>
      <c r="AV63" s="436" t="s">
        <v>1344</v>
      </c>
      <c r="AW63" s="436" t="s">
        <v>1344</v>
      </c>
      <c r="AX63" s="436" t="s">
        <v>1344</v>
      </c>
      <c r="AY63" s="436" t="s">
        <v>1344</v>
      </c>
      <c r="AZ63" s="436" t="s">
        <v>1344</v>
      </c>
      <c r="BA63" s="436" t="s">
        <v>1344</v>
      </c>
      <c r="BB63" s="436" t="s">
        <v>1344</v>
      </c>
      <c r="BC63" s="436" t="s">
        <v>1344</v>
      </c>
      <c r="BD63" s="436" t="s">
        <v>1344</v>
      </c>
      <c r="BE63" s="436" t="s">
        <v>1344</v>
      </c>
      <c r="BF63" s="436" t="s">
        <v>1344</v>
      </c>
      <c r="BG63" s="436" t="s">
        <v>1344</v>
      </c>
      <c r="BH63" s="436" t="s">
        <v>1344</v>
      </c>
      <c r="BI63" s="436" t="s">
        <v>1344</v>
      </c>
      <c r="BJ63" s="436" t="s">
        <v>1344</v>
      </c>
      <c r="BK63" s="436" t="s">
        <v>1344</v>
      </c>
      <c r="BL63" s="436" t="s">
        <v>1344</v>
      </c>
      <c r="BM63" s="436" t="s">
        <v>1344</v>
      </c>
      <c r="BN63" s="436" t="s">
        <v>1344</v>
      </c>
      <c r="BO63" s="436" t="s">
        <v>1344</v>
      </c>
      <c r="BP63" s="436"/>
      <c r="BQ63" s="436" t="s">
        <v>1344</v>
      </c>
      <c r="BR63" s="436" t="s">
        <v>1344</v>
      </c>
      <c r="BS63" s="436" t="s">
        <v>1344</v>
      </c>
      <c r="BT63" s="436" t="s">
        <v>1344</v>
      </c>
      <c r="BU63" s="436" t="s">
        <v>1344</v>
      </c>
      <c r="BV63" s="436" t="s">
        <v>1344</v>
      </c>
      <c r="BW63" s="436" t="s">
        <v>1344</v>
      </c>
      <c r="BX63" s="436" t="s">
        <v>1344</v>
      </c>
      <c r="BY63" s="436" t="s">
        <v>1344</v>
      </c>
      <c r="BZ63" s="436" t="s">
        <v>1344</v>
      </c>
      <c r="CA63" s="436" t="s">
        <v>1344</v>
      </c>
      <c r="CB63" s="436" t="s">
        <v>1344</v>
      </c>
      <c r="CC63" s="436"/>
      <c r="CD63" s="439" t="s">
        <v>1344</v>
      </c>
      <c r="CE63" s="439" t="s">
        <v>1344</v>
      </c>
      <c r="CF63" s="439" t="s">
        <v>1344</v>
      </c>
      <c r="CG63" s="439" t="s">
        <v>1344</v>
      </c>
      <c r="CH63" s="439" t="s">
        <v>1344</v>
      </c>
      <c r="CI63" s="439" t="s">
        <v>1344</v>
      </c>
      <c r="CJ63" s="439" t="s">
        <v>1344</v>
      </c>
      <c r="CK63" s="439" t="s">
        <v>1344</v>
      </c>
      <c r="CL63" s="439" t="s">
        <v>1344</v>
      </c>
      <c r="CM63" s="439" t="s">
        <v>1344</v>
      </c>
      <c r="CN63" s="439" t="s">
        <v>1344</v>
      </c>
      <c r="CO63" s="439" t="s">
        <v>1344</v>
      </c>
    </row>
    <row r="64" spans="1:93" s="450" customFormat="1">
      <c r="A64" s="452" t="s">
        <v>2768</v>
      </c>
      <c r="B64" s="452"/>
      <c r="C64" s="465"/>
      <c r="D64" s="452"/>
      <c r="E64" s="452"/>
      <c r="F64" s="466"/>
      <c r="G64" s="466"/>
      <c r="H64" s="466"/>
      <c r="I64" s="466"/>
      <c r="J64" s="466"/>
      <c r="K64" s="466"/>
      <c r="L64" s="466"/>
      <c r="M64" s="466"/>
      <c r="N64" s="466"/>
      <c r="O64" s="466"/>
      <c r="P64" s="466"/>
      <c r="Q64" s="466"/>
      <c r="R64" s="466"/>
      <c r="S64" s="466"/>
      <c r="T64" s="466"/>
      <c r="U64" s="466"/>
      <c r="V64" s="466"/>
      <c r="W64" s="466"/>
      <c r="X64" s="466"/>
      <c r="Y64" s="466"/>
      <c r="Z64" s="466"/>
      <c r="AA64" s="466"/>
      <c r="AB64" s="466"/>
      <c r="AC64" s="466"/>
      <c r="AD64" s="466"/>
      <c r="AE64" s="466"/>
      <c r="AF64" s="466"/>
      <c r="AG64" s="466"/>
      <c r="AH64" s="466"/>
      <c r="AI64" s="466"/>
      <c r="AJ64" s="466"/>
      <c r="AK64" s="466"/>
      <c r="AL64" s="466"/>
      <c r="AM64" s="466"/>
      <c r="AN64" s="466"/>
      <c r="AO64" s="466"/>
      <c r="AP64" s="466"/>
      <c r="AQ64" s="466"/>
      <c r="AR64" s="466"/>
      <c r="AS64" s="466"/>
      <c r="AT64" s="453"/>
      <c r="AU64" s="453"/>
      <c r="AV64" s="453"/>
      <c r="AW64" s="453"/>
      <c r="AX64" s="453"/>
      <c r="AY64" s="453"/>
      <c r="AZ64" s="453"/>
      <c r="BA64" s="453"/>
      <c r="BB64" s="453"/>
      <c r="BC64" s="453"/>
      <c r="BD64" s="453"/>
      <c r="BE64" s="453"/>
      <c r="BF64" s="453"/>
      <c r="BG64" s="453"/>
      <c r="BH64" s="453"/>
      <c r="BI64" s="453"/>
      <c r="BJ64" s="453"/>
      <c r="BK64" s="453"/>
      <c r="BL64" s="453"/>
      <c r="BM64" s="453"/>
      <c r="BN64" s="453"/>
      <c r="BO64" s="453"/>
      <c r="BP64" s="453"/>
      <c r="BQ64" s="453"/>
      <c r="BR64" s="453"/>
      <c r="BS64" s="453"/>
      <c r="BT64" s="453"/>
      <c r="BU64" s="453"/>
      <c r="BV64" s="453"/>
      <c r="BW64" s="453"/>
      <c r="BX64" s="453"/>
      <c r="BY64" s="453"/>
      <c r="BZ64" s="453"/>
      <c r="CA64" s="453"/>
      <c r="CB64" s="453"/>
      <c r="CC64" s="453"/>
    </row>
    <row r="65" spans="1:93">
      <c r="A65" s="447" t="s">
        <v>878</v>
      </c>
      <c r="B65" s="447"/>
      <c r="C65" s="442"/>
      <c r="D65" s="447"/>
      <c r="E65" s="436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4"/>
      <c r="V65" s="464"/>
      <c r="W65" s="464"/>
      <c r="X65" s="464"/>
      <c r="Y65" s="464"/>
      <c r="Z65" s="464"/>
      <c r="AA65" s="464"/>
      <c r="AB65" s="464"/>
      <c r="AC65" s="464"/>
      <c r="AD65" s="464"/>
      <c r="AE65" s="464"/>
      <c r="AF65" s="464"/>
      <c r="AG65" s="464"/>
      <c r="AH65" s="464"/>
      <c r="AI65" s="464"/>
      <c r="AJ65" s="464"/>
      <c r="AK65" s="464"/>
      <c r="AL65" s="464"/>
      <c r="AM65" s="464"/>
      <c r="AN65" s="464"/>
      <c r="AO65" s="464"/>
      <c r="AP65" s="464"/>
      <c r="AQ65" s="464"/>
      <c r="AR65" s="464"/>
      <c r="AS65" s="464"/>
      <c r="AT65" s="436" t="s">
        <v>1344</v>
      </c>
      <c r="AU65" s="436" t="s">
        <v>1344</v>
      </c>
      <c r="AV65" s="436" t="s">
        <v>1344</v>
      </c>
      <c r="AW65" s="436" t="s">
        <v>1344</v>
      </c>
      <c r="AX65" s="436" t="s">
        <v>1344</v>
      </c>
      <c r="AY65" s="436" t="s">
        <v>1344</v>
      </c>
      <c r="AZ65" s="436" t="s">
        <v>1344</v>
      </c>
      <c r="BA65" s="436" t="s">
        <v>1344</v>
      </c>
      <c r="BB65" s="436" t="s">
        <v>1344</v>
      </c>
      <c r="BC65" s="436" t="s">
        <v>1344</v>
      </c>
      <c r="BD65" s="436"/>
      <c r="BE65" s="436"/>
      <c r="BF65" s="436"/>
      <c r="BG65" s="436"/>
      <c r="BH65" s="436"/>
      <c r="BI65" s="436"/>
      <c r="BJ65" s="436"/>
      <c r="BK65" s="436"/>
      <c r="BL65" s="436"/>
      <c r="BM65" s="436"/>
      <c r="BN65" s="436"/>
      <c r="BO65" s="436"/>
      <c r="BP65" s="436"/>
      <c r="BQ65" s="436" t="s">
        <v>1344</v>
      </c>
      <c r="BR65" s="436" t="s">
        <v>1344</v>
      </c>
      <c r="BS65" s="436" t="s">
        <v>1344</v>
      </c>
      <c r="BT65" s="436" t="s">
        <v>1344</v>
      </c>
      <c r="BU65" s="436" t="s">
        <v>1344</v>
      </c>
      <c r="BV65" s="436" t="s">
        <v>1344</v>
      </c>
      <c r="BW65" s="436" t="s">
        <v>1344</v>
      </c>
      <c r="BX65" s="436" t="s">
        <v>1344</v>
      </c>
      <c r="BY65" s="436" t="s">
        <v>1344</v>
      </c>
      <c r="BZ65" s="436" t="s">
        <v>1344</v>
      </c>
      <c r="CA65" s="436" t="s">
        <v>1344</v>
      </c>
      <c r="CB65" s="436" t="s">
        <v>1344</v>
      </c>
      <c r="CC65" s="436"/>
    </row>
    <row r="66" spans="1:93">
      <c r="A66" s="447" t="s">
        <v>2155</v>
      </c>
      <c r="B66" s="447"/>
      <c r="C66" s="442"/>
      <c r="D66" s="447"/>
      <c r="E66" s="436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4"/>
      <c r="T66" s="464"/>
      <c r="U66" s="464"/>
      <c r="V66" s="464"/>
      <c r="W66" s="464"/>
      <c r="X66" s="464"/>
      <c r="Y66" s="464"/>
      <c r="Z66" s="464"/>
      <c r="AA66" s="464"/>
      <c r="AB66" s="464"/>
      <c r="AC66" s="464"/>
      <c r="AD66" s="464"/>
      <c r="AE66" s="464"/>
      <c r="AF66" s="464"/>
      <c r="AG66" s="464"/>
      <c r="AH66" s="464"/>
      <c r="AI66" s="464"/>
      <c r="AJ66" s="464"/>
      <c r="AK66" s="464"/>
      <c r="AL66" s="464"/>
      <c r="AM66" s="464"/>
      <c r="AN66" s="464"/>
      <c r="AO66" s="464"/>
      <c r="AP66" s="464"/>
      <c r="AQ66" s="464"/>
      <c r="AR66" s="464"/>
      <c r="AS66" s="464"/>
      <c r="AT66" s="436" t="s">
        <v>1344</v>
      </c>
      <c r="AU66" s="436" t="s">
        <v>1344</v>
      </c>
      <c r="AV66" s="436" t="s">
        <v>1344</v>
      </c>
      <c r="AW66" s="436" t="s">
        <v>1344</v>
      </c>
      <c r="AX66" s="436" t="s">
        <v>1344</v>
      </c>
      <c r="AY66" s="436" t="s">
        <v>1344</v>
      </c>
      <c r="AZ66" s="436" t="s">
        <v>1344</v>
      </c>
      <c r="BA66" s="436" t="s">
        <v>1344</v>
      </c>
      <c r="BB66" s="436" t="s">
        <v>1344</v>
      </c>
      <c r="BC66" s="436" t="s">
        <v>1344</v>
      </c>
      <c r="BD66" s="467"/>
      <c r="BE66" s="467"/>
      <c r="BF66" s="467"/>
      <c r="BG66" s="467"/>
      <c r="BH66" s="467"/>
      <c r="BI66" s="467"/>
      <c r="BJ66" s="467"/>
      <c r="BK66" s="467"/>
      <c r="BL66" s="467"/>
      <c r="BM66" s="467"/>
      <c r="BN66" s="467"/>
      <c r="BO66" s="467"/>
      <c r="BP66" s="436"/>
      <c r="BQ66" s="436" t="s">
        <v>1344</v>
      </c>
      <c r="BR66" s="436" t="s">
        <v>1344</v>
      </c>
      <c r="BS66" s="436" t="s">
        <v>1344</v>
      </c>
      <c r="BT66" s="436" t="s">
        <v>1344</v>
      </c>
      <c r="BU66" s="436" t="s">
        <v>1344</v>
      </c>
      <c r="BV66" s="436" t="s">
        <v>1344</v>
      </c>
      <c r="BW66" s="436" t="s">
        <v>1344</v>
      </c>
      <c r="BX66" s="436" t="s">
        <v>1344</v>
      </c>
      <c r="BY66" s="436" t="s">
        <v>1344</v>
      </c>
      <c r="BZ66" s="436" t="s">
        <v>1344</v>
      </c>
      <c r="CA66" s="436" t="s">
        <v>1344</v>
      </c>
      <c r="CB66" s="436" t="s">
        <v>1344</v>
      </c>
      <c r="CC66" s="436"/>
    </row>
    <row r="67" spans="1:93">
      <c r="A67" s="447" t="s">
        <v>2156</v>
      </c>
      <c r="B67" s="447"/>
      <c r="C67" s="442" t="s">
        <v>1455</v>
      </c>
      <c r="D67" s="447" t="s">
        <v>2384</v>
      </c>
      <c r="E67" s="436" t="s">
        <v>2157</v>
      </c>
      <c r="F67" s="454">
        <v>2.8999999999999998E-3</v>
      </c>
      <c r="G67" s="454">
        <v>2.8999999999999998E-3</v>
      </c>
      <c r="H67" s="454">
        <v>8.8000001907348625E-3</v>
      </c>
      <c r="I67" s="454">
        <v>1.4300000190734864E-2</v>
      </c>
      <c r="J67" s="454">
        <v>1.4500000000000001E-2</v>
      </c>
      <c r="K67" s="454">
        <v>3.5099998474121097E-2</v>
      </c>
      <c r="L67" s="454">
        <v>3.2299999237060548E-2</v>
      </c>
      <c r="M67" s="454">
        <v>4.1599998474121096E-2</v>
      </c>
      <c r="N67" s="454">
        <v>5.0500000000000003E-2</v>
      </c>
      <c r="O67" s="454">
        <v>5.8500000000000003E-2</v>
      </c>
      <c r="P67" s="454">
        <v>9.1199996948242185E-2</v>
      </c>
      <c r="Q67" s="454">
        <v>9.0999999999999998E-2</v>
      </c>
      <c r="R67" s="454">
        <v>3.1100000381469727E-2</v>
      </c>
      <c r="S67" s="454">
        <v>2.3700000762939454E-2</v>
      </c>
      <c r="T67" s="454">
        <v>4.2000000000000003E-2</v>
      </c>
      <c r="U67" s="454">
        <v>3.2900001525878908E-2</v>
      </c>
      <c r="V67" s="454">
        <v>4.0099998474121094E-2</v>
      </c>
      <c r="W67" s="454">
        <v>1.4899999618530273E-2</v>
      </c>
      <c r="X67" s="454">
        <v>3.9E-2</v>
      </c>
      <c r="Y67" s="454">
        <v>7.3300003051757809E-2</v>
      </c>
      <c r="Z67" s="454">
        <v>6.0599998474121092E-2</v>
      </c>
      <c r="AA67" s="454">
        <v>0.16350000000000001</v>
      </c>
      <c r="AB67" s="454">
        <v>0.10309999847412109</v>
      </c>
      <c r="AC67" s="454">
        <v>0.11290000152587891</v>
      </c>
      <c r="AD67" s="454">
        <v>0.1275999984741211</v>
      </c>
      <c r="AE67" s="454">
        <v>0.11269999694824219</v>
      </c>
      <c r="AF67" s="454">
        <v>0.1605</v>
      </c>
      <c r="AG67" s="454">
        <v>0.24069999694824218</v>
      </c>
      <c r="AH67" s="454">
        <v>0.20699999999999999</v>
      </c>
      <c r="AI67" s="454">
        <v>6.590000152587891E-2</v>
      </c>
      <c r="AJ67" s="454">
        <v>5.4000000953674313E-3</v>
      </c>
      <c r="AK67" s="454">
        <v>3.9799999237060547E-2</v>
      </c>
      <c r="AL67" s="454">
        <v>-5.7599998474121096E-2</v>
      </c>
      <c r="AM67" s="454">
        <v>-0.11190000152587891</v>
      </c>
      <c r="AN67" s="454">
        <v>-0.13830000305175782</v>
      </c>
      <c r="AO67" s="454">
        <v>-0.26500000000000001</v>
      </c>
      <c r="AP67" s="454">
        <v>1.55E-2</v>
      </c>
      <c r="AQ67" s="454">
        <v>9.290000000000001E-2</v>
      </c>
      <c r="AR67" s="454">
        <v>3.8899999999999997E-2</v>
      </c>
      <c r="AS67" s="454">
        <v>-1.6172</v>
      </c>
      <c r="AT67" s="454">
        <v>-1.4397</v>
      </c>
      <c r="AU67" s="454">
        <v>7.0614999999999997</v>
      </c>
      <c r="AV67" s="454">
        <v>27.740400000000001</v>
      </c>
      <c r="AW67" s="454">
        <v>16.5946</v>
      </c>
      <c r="AX67" s="454">
        <v>13.152799999999999</v>
      </c>
      <c r="AY67" s="454">
        <v>16.42409</v>
      </c>
      <c r="AZ67" s="454">
        <v>-95.228340000000003</v>
      </c>
      <c r="BA67" s="454">
        <v>228.30680000000001</v>
      </c>
      <c r="BB67" s="454">
        <v>-88.003124999999997</v>
      </c>
      <c r="BC67" s="454">
        <v>-59.989750000000001</v>
      </c>
      <c r="BD67" s="454">
        <v>-36.254250000000006</v>
      </c>
      <c r="BE67" s="461">
        <f>+BE47+BE71+BE72-BE73-35*BE99</f>
        <v>-32.449899400769326</v>
      </c>
      <c r="BF67" s="461">
        <f t="shared" ref="BF67:BO67" si="40">+BF47+BF71+BF72-BF73-35*BF99</f>
        <v>-32.449899400769326</v>
      </c>
      <c r="BG67" s="461">
        <f t="shared" si="40"/>
        <v>-32.449899400769326</v>
      </c>
      <c r="BH67" s="461">
        <f t="shared" si="40"/>
        <v>-32.449899400769326</v>
      </c>
      <c r="BI67" s="461">
        <f t="shared" si="40"/>
        <v>-32.449899400769326</v>
      </c>
      <c r="BJ67" s="461">
        <f t="shared" si="40"/>
        <v>-32.449899400769326</v>
      </c>
      <c r="BK67" s="461">
        <f t="shared" si="40"/>
        <v>-32.449899400769326</v>
      </c>
      <c r="BL67" s="461">
        <f t="shared" si="40"/>
        <v>-32.449899400769326</v>
      </c>
      <c r="BM67" s="461">
        <f t="shared" si="40"/>
        <v>-32.449899400769326</v>
      </c>
      <c r="BN67" s="461">
        <f t="shared" si="40"/>
        <v>-32.449899400769326</v>
      </c>
      <c r="BO67" s="461">
        <f t="shared" si="40"/>
        <v>-32.449899400769326</v>
      </c>
      <c r="BP67" s="457"/>
      <c r="BQ67" s="448">
        <f t="shared" ref="BQ67:CB68" si="41">+BD67-CD67</f>
        <v>0</v>
      </c>
      <c r="BR67" s="448">
        <f t="shared" si="41"/>
        <v>0</v>
      </c>
      <c r="BS67" s="448">
        <f t="shared" si="41"/>
        <v>0</v>
      </c>
      <c r="BT67" s="448">
        <f t="shared" si="41"/>
        <v>0</v>
      </c>
      <c r="BU67" s="448">
        <f t="shared" si="41"/>
        <v>0</v>
      </c>
      <c r="BV67" s="448">
        <f t="shared" si="41"/>
        <v>0</v>
      </c>
      <c r="BW67" s="448">
        <f t="shared" si="41"/>
        <v>0</v>
      </c>
      <c r="BX67" s="448">
        <f t="shared" si="41"/>
        <v>0</v>
      </c>
      <c r="BY67" s="448">
        <f t="shared" si="41"/>
        <v>0</v>
      </c>
      <c r="BZ67" s="448">
        <f t="shared" si="41"/>
        <v>0</v>
      </c>
      <c r="CA67" s="448">
        <f t="shared" si="41"/>
        <v>0</v>
      </c>
      <c r="CB67" s="448">
        <f t="shared" si="41"/>
        <v>0</v>
      </c>
      <c r="CD67" s="439">
        <v>-36.254250000000006</v>
      </c>
      <c r="CE67" s="439">
        <v>-32.449899400769326</v>
      </c>
      <c r="CF67" s="439">
        <v>-32.449899400769326</v>
      </c>
      <c r="CG67" s="439">
        <v>-32.449899400769326</v>
      </c>
      <c r="CH67" s="439">
        <v>-32.449899400769326</v>
      </c>
      <c r="CI67" s="439">
        <v>-32.449899400769326</v>
      </c>
      <c r="CJ67" s="439">
        <v>-32.449899400769326</v>
      </c>
      <c r="CK67" s="439">
        <v>-32.449899400769326</v>
      </c>
      <c r="CL67" s="439">
        <v>-32.449899400769326</v>
      </c>
      <c r="CM67" s="439">
        <v>-32.449899400769326</v>
      </c>
      <c r="CN67" s="439">
        <v>-32.449899400769326</v>
      </c>
      <c r="CO67" s="439">
        <v>-32.449899400769326</v>
      </c>
    </row>
    <row r="68" spans="1:93">
      <c r="A68" s="447" t="s">
        <v>2158</v>
      </c>
      <c r="B68" s="447"/>
      <c r="C68" s="442" t="s">
        <v>1455</v>
      </c>
      <c r="D68" s="447" t="s">
        <v>2384</v>
      </c>
      <c r="E68" s="436" t="s">
        <v>2159</v>
      </c>
      <c r="F68" s="454">
        <v>0</v>
      </c>
      <c r="G68" s="454">
        <v>0</v>
      </c>
      <c r="H68" s="454">
        <v>0</v>
      </c>
      <c r="I68" s="454">
        <v>0</v>
      </c>
      <c r="J68" s="454">
        <v>0</v>
      </c>
      <c r="K68" s="454">
        <v>0</v>
      </c>
      <c r="L68" s="454">
        <v>0</v>
      </c>
      <c r="M68" s="454">
        <v>-2.6645352591003758E-18</v>
      </c>
      <c r="N68" s="454">
        <v>-1.3322676295501879E-18</v>
      </c>
      <c r="O68" s="454">
        <v>2.6645352591003758E-18</v>
      </c>
      <c r="P68" s="454">
        <v>3.552713678800501E-18</v>
      </c>
      <c r="Q68" s="454">
        <v>2.6645352591003758E-18</v>
      </c>
      <c r="R68" s="454">
        <v>8.8817841970012525E-19</v>
      </c>
      <c r="S68" s="454">
        <v>-1.3322676295501879E-18</v>
      </c>
      <c r="T68" s="454">
        <v>0</v>
      </c>
      <c r="U68" s="454">
        <v>-1.7763568394002505E-18</v>
      </c>
      <c r="V68" s="454">
        <v>1.7763568394002505E-18</v>
      </c>
      <c r="W68" s="454">
        <v>-6.6613381477509394E-19</v>
      </c>
      <c r="X68" s="454">
        <v>0</v>
      </c>
      <c r="Y68" s="454">
        <v>-3.552713678800501E-18</v>
      </c>
      <c r="Z68" s="454">
        <v>3.552713678800501E-18</v>
      </c>
      <c r="AA68" s="454">
        <v>-1.4210854715202004E-17</v>
      </c>
      <c r="AB68" s="454">
        <v>2.0000000298023223E-4</v>
      </c>
      <c r="AC68" s="454">
        <v>-6.9999998807907101E-4</v>
      </c>
      <c r="AD68" s="454">
        <v>-2.0700000762939454E-2</v>
      </c>
      <c r="AE68" s="454">
        <v>-7.5999999046325682E-3</v>
      </c>
      <c r="AF68" s="454">
        <v>4.9000000953674317E-3</v>
      </c>
      <c r="AG68" s="454">
        <v>-6.6999998092651366E-3</v>
      </c>
      <c r="AH68" s="454">
        <v>1.1600000381469727E-2</v>
      </c>
      <c r="AI68" s="454">
        <v>-5.6799999237060549E-2</v>
      </c>
      <c r="AJ68" s="454">
        <v>5.0999999046325685E-3</v>
      </c>
      <c r="AK68" s="454">
        <v>-9.6000003814697265E-3</v>
      </c>
      <c r="AL68" s="454">
        <v>-4.7799999237060548E-2</v>
      </c>
      <c r="AM68" s="454">
        <v>-1.6799999237060548E-2</v>
      </c>
      <c r="AN68" s="454">
        <v>-3.2000000000000001E-2</v>
      </c>
      <c r="AO68" s="454">
        <v>-1.6E-2</v>
      </c>
      <c r="AP68" s="454">
        <v>-2E-3</v>
      </c>
      <c r="AQ68" s="454">
        <v>-1.6999999999999999E-3</v>
      </c>
      <c r="AR68" s="454">
        <v>-2.7000000000000001E-3</v>
      </c>
      <c r="AS68" s="454">
        <v>1.4734</v>
      </c>
      <c r="AT68" s="454">
        <v>4.3628</v>
      </c>
      <c r="AU68" s="454">
        <v>10.9621</v>
      </c>
      <c r="AV68" s="454">
        <v>6.5015000000000001</v>
      </c>
      <c r="AW68" s="456">
        <f t="shared" ref="AW68:BO68" si="42">+AV143*(AW99/AV99-1)</f>
        <v>-4.8281851598026511E-2</v>
      </c>
      <c r="AX68" s="456">
        <f t="shared" si="42"/>
        <v>0</v>
      </c>
      <c r="AY68" s="456">
        <f t="shared" si="42"/>
        <v>80.309788778054866</v>
      </c>
      <c r="AZ68" s="456">
        <f t="shared" si="42"/>
        <v>62.219571578090452</v>
      </c>
      <c r="BA68" s="456">
        <f t="shared" si="42"/>
        <v>146.06077026313807</v>
      </c>
      <c r="BB68" s="456">
        <f t="shared" si="42"/>
        <v>37.169927473031912</v>
      </c>
      <c r="BC68" s="456">
        <f t="shared" si="42"/>
        <v>66.691275167785136</v>
      </c>
      <c r="BD68" s="456">
        <f t="shared" si="42"/>
        <v>45.89599348221995</v>
      </c>
      <c r="BE68" s="456">
        <f t="shared" si="42"/>
        <v>0</v>
      </c>
      <c r="BF68" s="456">
        <f t="shared" ca="1" si="42"/>
        <v>0</v>
      </c>
      <c r="BG68" s="456">
        <f t="shared" ca="1" si="42"/>
        <v>0</v>
      </c>
      <c r="BH68" s="456">
        <f t="shared" ca="1" si="42"/>
        <v>0</v>
      </c>
      <c r="BI68" s="456">
        <f t="shared" ca="1" si="42"/>
        <v>0</v>
      </c>
      <c r="BJ68" s="456">
        <f t="shared" ca="1" si="42"/>
        <v>0</v>
      </c>
      <c r="BK68" s="456">
        <f t="shared" ca="1" si="42"/>
        <v>0</v>
      </c>
      <c r="BL68" s="456">
        <f t="shared" ca="1" si="42"/>
        <v>0</v>
      </c>
      <c r="BM68" s="456">
        <f t="shared" ca="1" si="42"/>
        <v>0</v>
      </c>
      <c r="BN68" s="456">
        <f t="shared" ca="1" si="42"/>
        <v>0</v>
      </c>
      <c r="BO68" s="456">
        <f t="shared" ca="1" si="42"/>
        <v>0</v>
      </c>
      <c r="BP68" s="457"/>
      <c r="BQ68" s="448">
        <f t="shared" si="41"/>
        <v>0</v>
      </c>
      <c r="BR68" s="448">
        <f t="shared" si="41"/>
        <v>0</v>
      </c>
      <c r="BS68" s="448">
        <f t="shared" ca="1" si="41"/>
        <v>0</v>
      </c>
      <c r="BT68" s="448">
        <f t="shared" ca="1" si="41"/>
        <v>0</v>
      </c>
      <c r="BU68" s="448">
        <f t="shared" ca="1" si="41"/>
        <v>0</v>
      </c>
      <c r="BV68" s="448">
        <f t="shared" ca="1" si="41"/>
        <v>0</v>
      </c>
      <c r="BW68" s="448">
        <f t="shared" ca="1" si="41"/>
        <v>0</v>
      </c>
      <c r="BX68" s="448">
        <f t="shared" ca="1" si="41"/>
        <v>0</v>
      </c>
      <c r="BY68" s="448">
        <f t="shared" ca="1" si="41"/>
        <v>0</v>
      </c>
      <c r="BZ68" s="448">
        <f t="shared" ca="1" si="41"/>
        <v>0</v>
      </c>
      <c r="CA68" s="448">
        <f t="shared" ca="1" si="41"/>
        <v>0</v>
      </c>
      <c r="CB68" s="448">
        <f t="shared" ca="1" si="41"/>
        <v>0</v>
      </c>
      <c r="CD68" s="439">
        <v>45.89599348221995</v>
      </c>
      <c r="CE68" s="439">
        <v>0</v>
      </c>
      <c r="CF68" s="439">
        <v>0</v>
      </c>
      <c r="CG68" s="439">
        <v>0</v>
      </c>
      <c r="CH68" s="439">
        <v>0</v>
      </c>
      <c r="CI68" s="439">
        <v>0</v>
      </c>
      <c r="CJ68" s="439">
        <v>0</v>
      </c>
      <c r="CK68" s="439">
        <v>0</v>
      </c>
      <c r="CL68" s="439">
        <v>0</v>
      </c>
      <c r="CM68" s="439">
        <v>0</v>
      </c>
      <c r="CN68" s="439">
        <v>0</v>
      </c>
      <c r="CO68" s="439">
        <v>0</v>
      </c>
    </row>
    <row r="69" spans="1:93">
      <c r="A69" s="447" t="s">
        <v>2160</v>
      </c>
      <c r="B69" s="447"/>
      <c r="C69" s="442" t="s">
        <v>1344</v>
      </c>
      <c r="D69" s="447"/>
      <c r="E69" s="436"/>
      <c r="F69" s="464"/>
      <c r="G69" s="464"/>
      <c r="H69" s="464"/>
      <c r="I69" s="436" t="s">
        <v>1344</v>
      </c>
      <c r="J69" s="436" t="s">
        <v>1344</v>
      </c>
      <c r="K69" s="436" t="s">
        <v>1344</v>
      </c>
      <c r="L69" s="436" t="s">
        <v>1344</v>
      </c>
      <c r="M69" s="436" t="s">
        <v>1344</v>
      </c>
      <c r="N69" s="436" t="s">
        <v>1344</v>
      </c>
      <c r="O69" s="436" t="s">
        <v>1344</v>
      </c>
      <c r="P69" s="436" t="s">
        <v>1344</v>
      </c>
      <c r="Q69" s="436" t="s">
        <v>1344</v>
      </c>
      <c r="R69" s="436" t="s">
        <v>1344</v>
      </c>
      <c r="S69" s="436" t="s">
        <v>1344</v>
      </c>
      <c r="T69" s="436" t="s">
        <v>1344</v>
      </c>
      <c r="U69" s="436" t="s">
        <v>1344</v>
      </c>
      <c r="V69" s="436" t="s">
        <v>1344</v>
      </c>
      <c r="W69" s="436" t="s">
        <v>1344</v>
      </c>
      <c r="X69" s="436" t="s">
        <v>1344</v>
      </c>
      <c r="Y69" s="436" t="s">
        <v>1344</v>
      </c>
      <c r="Z69" s="436" t="s">
        <v>1344</v>
      </c>
      <c r="AA69" s="436" t="s">
        <v>1344</v>
      </c>
      <c r="AB69" s="436" t="s">
        <v>1344</v>
      </c>
      <c r="AC69" s="436" t="s">
        <v>1344</v>
      </c>
      <c r="AD69" s="436" t="s">
        <v>1344</v>
      </c>
      <c r="AE69" s="436" t="s">
        <v>1344</v>
      </c>
      <c r="AF69" s="436" t="s">
        <v>1344</v>
      </c>
      <c r="AG69" s="436" t="s">
        <v>1344</v>
      </c>
      <c r="AH69" s="436" t="s">
        <v>1344</v>
      </c>
      <c r="AI69" s="436" t="s">
        <v>1344</v>
      </c>
      <c r="AJ69" s="436" t="s">
        <v>1344</v>
      </c>
      <c r="AK69" s="436" t="s">
        <v>1344</v>
      </c>
      <c r="AL69" s="436" t="s">
        <v>1344</v>
      </c>
      <c r="AM69" s="436" t="s">
        <v>1344</v>
      </c>
      <c r="AN69" s="436" t="s">
        <v>1344</v>
      </c>
      <c r="AO69" s="436" t="s">
        <v>1344</v>
      </c>
      <c r="AP69" s="436" t="s">
        <v>1344</v>
      </c>
      <c r="AQ69" s="436" t="s">
        <v>1344</v>
      </c>
      <c r="AR69" s="436" t="s">
        <v>1344</v>
      </c>
      <c r="AS69" s="436" t="s">
        <v>1344</v>
      </c>
      <c r="AT69" s="436" t="s">
        <v>1344</v>
      </c>
      <c r="AU69" s="436" t="s">
        <v>1344</v>
      </c>
      <c r="AV69" s="436" t="s">
        <v>1344</v>
      </c>
      <c r="AW69" s="436" t="s">
        <v>1344</v>
      </c>
      <c r="AX69" s="436" t="s">
        <v>1344</v>
      </c>
      <c r="AY69" s="436" t="s">
        <v>1344</v>
      </c>
      <c r="AZ69" s="436" t="s">
        <v>1344</v>
      </c>
      <c r="BA69" s="436" t="s">
        <v>1344</v>
      </c>
      <c r="BB69" s="436" t="s">
        <v>1344</v>
      </c>
      <c r="BC69" s="436" t="s">
        <v>1344</v>
      </c>
      <c r="BD69" s="436" t="s">
        <v>1344</v>
      </c>
      <c r="BE69" s="436" t="s">
        <v>1344</v>
      </c>
      <c r="BF69" s="436" t="s">
        <v>1344</v>
      </c>
      <c r="BG69" s="436" t="s">
        <v>1344</v>
      </c>
      <c r="BH69" s="436" t="s">
        <v>1344</v>
      </c>
      <c r="BI69" s="436" t="s">
        <v>1344</v>
      </c>
      <c r="BJ69" s="436" t="s">
        <v>1344</v>
      </c>
      <c r="BK69" s="436" t="s">
        <v>1344</v>
      </c>
      <c r="BL69" s="436" t="s">
        <v>1344</v>
      </c>
      <c r="BM69" s="436" t="s">
        <v>1344</v>
      </c>
      <c r="BN69" s="436" t="s">
        <v>1344</v>
      </c>
      <c r="BO69" s="436" t="s">
        <v>1344</v>
      </c>
      <c r="BP69" s="436"/>
      <c r="BQ69" s="436" t="s">
        <v>1344</v>
      </c>
      <c r="BR69" s="436" t="s">
        <v>1344</v>
      </c>
      <c r="BS69" s="436" t="s">
        <v>1344</v>
      </c>
      <c r="BT69" s="436" t="s">
        <v>1344</v>
      </c>
      <c r="BU69" s="436" t="s">
        <v>1344</v>
      </c>
      <c r="BV69" s="436" t="s">
        <v>1344</v>
      </c>
      <c r="BW69" s="436" t="s">
        <v>1344</v>
      </c>
      <c r="BX69" s="436" t="s">
        <v>1344</v>
      </c>
      <c r="BY69" s="436" t="s">
        <v>1344</v>
      </c>
      <c r="BZ69" s="436" t="s">
        <v>1344</v>
      </c>
      <c r="CA69" s="436" t="s">
        <v>1344</v>
      </c>
      <c r="CB69" s="436" t="s">
        <v>1344</v>
      </c>
      <c r="CC69" s="436"/>
      <c r="CD69" s="439" t="s">
        <v>1344</v>
      </c>
      <c r="CE69" s="439" t="s">
        <v>1344</v>
      </c>
      <c r="CF69" s="439" t="s">
        <v>1344</v>
      </c>
      <c r="CG69" s="439" t="s">
        <v>1344</v>
      </c>
      <c r="CH69" s="439" t="s">
        <v>1344</v>
      </c>
      <c r="CI69" s="439" t="s">
        <v>1344</v>
      </c>
      <c r="CJ69" s="439" t="s">
        <v>1344</v>
      </c>
      <c r="CK69" s="439" t="s">
        <v>1344</v>
      </c>
      <c r="CL69" s="439" t="s">
        <v>1344</v>
      </c>
      <c r="CM69" s="439" t="s">
        <v>1344</v>
      </c>
      <c r="CN69" s="439" t="s">
        <v>1344</v>
      </c>
      <c r="CO69" s="439" t="s">
        <v>1344</v>
      </c>
    </row>
    <row r="70" spans="1:93">
      <c r="A70" s="447" t="s">
        <v>2161</v>
      </c>
      <c r="B70" s="447"/>
      <c r="C70" s="442" t="s">
        <v>1344</v>
      </c>
      <c r="D70" s="447"/>
      <c r="E70" s="436"/>
      <c r="F70" s="464"/>
      <c r="G70" s="464"/>
      <c r="H70" s="464"/>
      <c r="I70" s="436" t="s">
        <v>1344</v>
      </c>
      <c r="J70" s="436" t="s">
        <v>1344</v>
      </c>
      <c r="K70" s="436" t="s">
        <v>1344</v>
      </c>
      <c r="L70" s="436" t="s">
        <v>1344</v>
      </c>
      <c r="M70" s="436" t="s">
        <v>1344</v>
      </c>
      <c r="N70" s="436" t="s">
        <v>1344</v>
      </c>
      <c r="O70" s="436" t="s">
        <v>1344</v>
      </c>
      <c r="P70" s="436" t="s">
        <v>1344</v>
      </c>
      <c r="Q70" s="436" t="s">
        <v>1344</v>
      </c>
      <c r="R70" s="436" t="s">
        <v>1344</v>
      </c>
      <c r="S70" s="436" t="s">
        <v>1344</v>
      </c>
      <c r="T70" s="436" t="s">
        <v>1344</v>
      </c>
      <c r="U70" s="436" t="s">
        <v>1344</v>
      </c>
      <c r="V70" s="436" t="s">
        <v>1344</v>
      </c>
      <c r="W70" s="436" t="s">
        <v>1344</v>
      </c>
      <c r="X70" s="436" t="s">
        <v>1344</v>
      </c>
      <c r="Y70" s="436" t="s">
        <v>1344</v>
      </c>
      <c r="Z70" s="436" t="s">
        <v>1344</v>
      </c>
      <c r="AA70" s="436" t="s">
        <v>1344</v>
      </c>
      <c r="AB70" s="436" t="s">
        <v>1344</v>
      </c>
      <c r="AC70" s="436" t="s">
        <v>1344</v>
      </c>
      <c r="AD70" s="436" t="s">
        <v>1344</v>
      </c>
      <c r="AE70" s="436" t="s">
        <v>1344</v>
      </c>
      <c r="AF70" s="436" t="s">
        <v>1344</v>
      </c>
      <c r="AG70" s="436" t="s">
        <v>1344</v>
      </c>
      <c r="AH70" s="436" t="s">
        <v>1344</v>
      </c>
      <c r="AI70" s="436" t="s">
        <v>1344</v>
      </c>
      <c r="AJ70" s="436" t="s">
        <v>1344</v>
      </c>
      <c r="AK70" s="436" t="s">
        <v>1344</v>
      </c>
      <c r="AL70" s="436" t="s">
        <v>1344</v>
      </c>
      <c r="AM70" s="436" t="s">
        <v>1344</v>
      </c>
      <c r="AN70" s="436" t="s">
        <v>1344</v>
      </c>
      <c r="AO70" s="436" t="s">
        <v>1344</v>
      </c>
      <c r="AP70" s="436" t="s">
        <v>1344</v>
      </c>
      <c r="AQ70" s="436" t="s">
        <v>1344</v>
      </c>
      <c r="AR70" s="436" t="s">
        <v>1344</v>
      </c>
      <c r="AS70" s="436" t="s">
        <v>1344</v>
      </c>
      <c r="AT70" s="436" t="s">
        <v>1344</v>
      </c>
      <c r="AU70" s="436" t="s">
        <v>1344</v>
      </c>
      <c r="AV70" s="436" t="s">
        <v>1344</v>
      </c>
      <c r="AW70" s="436" t="s">
        <v>1344</v>
      </c>
      <c r="AX70" s="436" t="s">
        <v>1344</v>
      </c>
      <c r="AY70" s="436" t="s">
        <v>1344</v>
      </c>
      <c r="AZ70" s="436" t="s">
        <v>1344</v>
      </c>
      <c r="BA70" s="436" t="s">
        <v>1344</v>
      </c>
      <c r="BB70" s="436" t="s">
        <v>1344</v>
      </c>
      <c r="BC70" s="436" t="s">
        <v>1344</v>
      </c>
      <c r="BD70" s="436"/>
      <c r="BE70" s="436"/>
      <c r="BF70" s="436"/>
      <c r="BG70" s="436"/>
      <c r="BH70" s="436"/>
      <c r="BI70" s="436"/>
      <c r="BJ70" s="436"/>
      <c r="BK70" s="436"/>
      <c r="BL70" s="436"/>
      <c r="BM70" s="436"/>
      <c r="BN70" s="436"/>
      <c r="BO70" s="436"/>
      <c r="BP70" s="436"/>
      <c r="BQ70" s="436" t="s">
        <v>1344</v>
      </c>
      <c r="BR70" s="436" t="s">
        <v>1344</v>
      </c>
      <c r="BS70" s="436" t="s">
        <v>1344</v>
      </c>
      <c r="BT70" s="436" t="s">
        <v>1344</v>
      </c>
      <c r="BU70" s="436" t="s">
        <v>1344</v>
      </c>
      <c r="BV70" s="436" t="s">
        <v>1344</v>
      </c>
      <c r="BW70" s="436" t="s">
        <v>1344</v>
      </c>
      <c r="BX70" s="436" t="s">
        <v>1344</v>
      </c>
      <c r="BY70" s="436" t="s">
        <v>1344</v>
      </c>
      <c r="BZ70" s="436" t="s">
        <v>1344</v>
      </c>
      <c r="CA70" s="436" t="s">
        <v>1344</v>
      </c>
      <c r="CB70" s="436" t="s">
        <v>1344</v>
      </c>
      <c r="CC70" s="436"/>
    </row>
    <row r="71" spans="1:93">
      <c r="A71" s="447" t="s">
        <v>2162</v>
      </c>
      <c r="B71" s="447"/>
      <c r="C71" s="442" t="s">
        <v>1455</v>
      </c>
      <c r="D71" s="447" t="s">
        <v>2163</v>
      </c>
      <c r="E71" s="436" t="s">
        <v>2164</v>
      </c>
      <c r="F71" s="454">
        <v>2E-3</v>
      </c>
      <c r="G71" s="454">
        <v>1.6000000000000001E-3</v>
      </c>
      <c r="H71" s="454">
        <v>2.299999952316284E-3</v>
      </c>
      <c r="I71" s="454">
        <v>3.5999999046325685E-3</v>
      </c>
      <c r="J71" s="454">
        <v>4.6999998092651365E-3</v>
      </c>
      <c r="K71" s="454">
        <v>4.6999998092651365E-3</v>
      </c>
      <c r="L71" s="454">
        <v>6.4000000953674313E-3</v>
      </c>
      <c r="M71" s="454">
        <v>8.199999809265137E-3</v>
      </c>
      <c r="N71" s="454">
        <v>7.4000000953674313E-3</v>
      </c>
      <c r="O71" s="454">
        <v>1.1800000190734863E-2</v>
      </c>
      <c r="P71" s="454">
        <v>1.5399999618530273E-2</v>
      </c>
      <c r="Q71" s="454">
        <v>1.6600000381469728E-2</v>
      </c>
      <c r="R71" s="454">
        <v>6.0000000000000001E-3</v>
      </c>
      <c r="S71" s="454">
        <v>4.4000000953674312E-3</v>
      </c>
      <c r="T71" s="454">
        <v>6.8000001907348633E-3</v>
      </c>
      <c r="U71" s="454">
        <v>6.9000000953674317E-3</v>
      </c>
      <c r="V71" s="454">
        <v>1.5399999618530273E-2</v>
      </c>
      <c r="W71" s="454">
        <v>7.199999809265137E-3</v>
      </c>
      <c r="X71" s="454">
        <v>3.2900001525878908E-2</v>
      </c>
      <c r="Y71" s="454">
        <v>1.2300000190734864E-2</v>
      </c>
      <c r="Z71" s="454">
        <v>1.8100000381469725E-2</v>
      </c>
      <c r="AA71" s="454">
        <v>1.7100000381469728E-2</v>
      </c>
      <c r="AB71" s="454">
        <v>0</v>
      </c>
      <c r="AC71" s="454">
        <v>0</v>
      </c>
      <c r="AD71" s="454">
        <v>0.04</v>
      </c>
      <c r="AE71" s="454">
        <v>0</v>
      </c>
      <c r="AF71" s="454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454">
        <v>0</v>
      </c>
      <c r="AM71" s="454">
        <v>8.199999809265137E-3</v>
      </c>
      <c r="AN71" s="454">
        <v>1.9E-2</v>
      </c>
      <c r="AO71" s="454">
        <v>4.2999999999999997E-2</v>
      </c>
      <c r="AP71" s="454">
        <v>0</v>
      </c>
      <c r="AQ71" s="454">
        <v>0</v>
      </c>
      <c r="AR71" s="454">
        <v>0</v>
      </c>
      <c r="AS71" s="454">
        <v>0</v>
      </c>
      <c r="AT71" s="454">
        <v>0</v>
      </c>
      <c r="AU71" s="454">
        <v>0</v>
      </c>
      <c r="AV71" s="454">
        <v>0</v>
      </c>
      <c r="AW71" s="454">
        <v>0</v>
      </c>
      <c r="AX71" s="454">
        <v>10.385899999999999</v>
      </c>
      <c r="AY71" s="454">
        <v>16.854040000000005</v>
      </c>
      <c r="AZ71" s="454">
        <v>-13.395629999999999</v>
      </c>
      <c r="BA71" s="454">
        <v>113.71770000000001</v>
      </c>
      <c r="BB71" s="454">
        <v>-58.434075</v>
      </c>
      <c r="BC71" s="454">
        <v>-38.6021</v>
      </c>
      <c r="BD71" s="454">
        <v>1.6604999999999941</v>
      </c>
      <c r="BE71" s="461">
        <f>2*BE99</f>
        <v>5.5350000000000001</v>
      </c>
      <c r="BF71" s="461">
        <f t="shared" ref="BF71:BO71" si="43">2*BF99</f>
        <v>5.5350000000000001</v>
      </c>
      <c r="BG71" s="461">
        <f t="shared" si="43"/>
        <v>5.5350000000000001</v>
      </c>
      <c r="BH71" s="461">
        <f t="shared" si="43"/>
        <v>5.5350000000000001</v>
      </c>
      <c r="BI71" s="461">
        <f t="shared" si="43"/>
        <v>5.5350000000000001</v>
      </c>
      <c r="BJ71" s="461">
        <f t="shared" si="43"/>
        <v>5.5350000000000001</v>
      </c>
      <c r="BK71" s="461">
        <f t="shared" si="43"/>
        <v>5.5350000000000001</v>
      </c>
      <c r="BL71" s="461">
        <f t="shared" si="43"/>
        <v>5.5350000000000001</v>
      </c>
      <c r="BM71" s="461">
        <f t="shared" si="43"/>
        <v>5.5350000000000001</v>
      </c>
      <c r="BN71" s="461">
        <f t="shared" si="43"/>
        <v>5.5350000000000001</v>
      </c>
      <c r="BO71" s="461">
        <f t="shared" si="43"/>
        <v>5.5350000000000001</v>
      </c>
      <c r="BP71" s="457"/>
      <c r="BQ71" s="448">
        <f t="shared" ref="BQ71:CB77" si="44">+BD71-CD71</f>
        <v>0</v>
      </c>
      <c r="BR71" s="448">
        <f t="shared" si="44"/>
        <v>0</v>
      </c>
      <c r="BS71" s="448">
        <f t="shared" si="44"/>
        <v>0</v>
      </c>
      <c r="BT71" s="448">
        <f t="shared" si="44"/>
        <v>0</v>
      </c>
      <c r="BU71" s="448">
        <f t="shared" si="44"/>
        <v>0</v>
      </c>
      <c r="BV71" s="448">
        <f t="shared" si="44"/>
        <v>0</v>
      </c>
      <c r="BW71" s="448">
        <f t="shared" si="44"/>
        <v>0</v>
      </c>
      <c r="BX71" s="448">
        <f t="shared" si="44"/>
        <v>0</v>
      </c>
      <c r="BY71" s="448">
        <f t="shared" si="44"/>
        <v>0</v>
      </c>
      <c r="BZ71" s="448">
        <f t="shared" si="44"/>
        <v>0</v>
      </c>
      <c r="CA71" s="448">
        <f t="shared" si="44"/>
        <v>0</v>
      </c>
      <c r="CB71" s="448">
        <f t="shared" si="44"/>
        <v>0</v>
      </c>
      <c r="CD71" s="439">
        <v>1.6604999999999941</v>
      </c>
      <c r="CE71" s="439">
        <v>5.5350000000000001</v>
      </c>
      <c r="CF71" s="439">
        <v>5.5350000000000001</v>
      </c>
      <c r="CG71" s="439">
        <v>5.5350000000000001</v>
      </c>
      <c r="CH71" s="439">
        <v>5.5350000000000001</v>
      </c>
      <c r="CI71" s="439">
        <v>5.5350000000000001</v>
      </c>
      <c r="CJ71" s="439">
        <v>5.5350000000000001</v>
      </c>
      <c r="CK71" s="439">
        <v>5.5350000000000001</v>
      </c>
      <c r="CL71" s="439">
        <v>5.5350000000000001</v>
      </c>
      <c r="CM71" s="439">
        <v>5.5350000000000001</v>
      </c>
      <c r="CN71" s="439">
        <v>5.5350000000000001</v>
      </c>
      <c r="CO71" s="439">
        <v>5.5350000000000001</v>
      </c>
    </row>
    <row r="72" spans="1:93">
      <c r="A72" s="447" t="s">
        <v>2165</v>
      </c>
      <c r="B72" s="447"/>
      <c r="C72" s="442" t="s">
        <v>1455</v>
      </c>
      <c r="D72" s="447" t="s">
        <v>2163</v>
      </c>
      <c r="E72" s="436" t="s">
        <v>2166</v>
      </c>
      <c r="F72" s="454">
        <v>0</v>
      </c>
      <c r="G72" s="454">
        <v>0</v>
      </c>
      <c r="H72" s="454">
        <v>4.0000000596046445E-4</v>
      </c>
      <c r="I72" s="454">
        <v>5.0000000000000001E-4</v>
      </c>
      <c r="J72" s="454">
        <v>-1.0000000149011611E-4</v>
      </c>
      <c r="K72" s="454">
        <v>4.4000000953674312E-3</v>
      </c>
      <c r="L72" s="454">
        <v>1.399999976158142E-3</v>
      </c>
      <c r="M72" s="454">
        <v>2.299999952316284E-3</v>
      </c>
      <c r="N72" s="454">
        <v>1.5E-3</v>
      </c>
      <c r="O72" s="454">
        <v>8.0000001192092891E-4</v>
      </c>
      <c r="P72" s="454">
        <v>1.399999976158142E-3</v>
      </c>
      <c r="Q72" s="454">
        <v>-1.0000000149011611E-4</v>
      </c>
      <c r="R72" s="454">
        <v>3.0000001192092895E-4</v>
      </c>
      <c r="S72" s="454">
        <v>6.0000000000000001E-3</v>
      </c>
      <c r="T72" s="454">
        <v>5.3000001907348637E-3</v>
      </c>
      <c r="U72" s="454">
        <v>1.0500000000000001E-2</v>
      </c>
      <c r="V72" s="454">
        <v>7.8000001907348633E-3</v>
      </c>
      <c r="W72" s="454">
        <v>4.3000001907348637E-3</v>
      </c>
      <c r="X72" s="454">
        <v>-1.0999999999999999E-2</v>
      </c>
      <c r="Y72" s="454">
        <v>-2.5999999046325685E-3</v>
      </c>
      <c r="Z72" s="454">
        <v>-3.0000000000000001E-3</v>
      </c>
      <c r="AA72" s="454">
        <v>5.199999809265137E-3</v>
      </c>
      <c r="AB72" s="454">
        <v>-5.3000001907348637E-3</v>
      </c>
      <c r="AC72" s="454">
        <v>-5.0000000000000001E-4</v>
      </c>
      <c r="AD72" s="454">
        <v>-7.0999999046325686E-3</v>
      </c>
      <c r="AE72" s="454">
        <v>2.2204460492503131E-19</v>
      </c>
      <c r="AF72" s="454">
        <v>-3.5999999046325685E-3</v>
      </c>
      <c r="AG72" s="454">
        <v>-2.0000000298023223E-4</v>
      </c>
      <c r="AH72" s="454">
        <v>-4.5999999046325681E-3</v>
      </c>
      <c r="AI72" s="454">
        <v>-8.6000003814697273E-3</v>
      </c>
      <c r="AJ72" s="454">
        <v>-1.5E-3</v>
      </c>
      <c r="AK72" s="454">
        <v>-2.0999999046325685E-3</v>
      </c>
      <c r="AL72" s="454">
        <v>-2.0999999046325685E-3</v>
      </c>
      <c r="AM72" s="454">
        <v>-2.3299999237060547E-2</v>
      </c>
      <c r="AN72" s="454">
        <v>1.1800000190734863E-2</v>
      </c>
      <c r="AO72" s="454">
        <v>-5.8000001907348633E-3</v>
      </c>
      <c r="AP72" s="454">
        <v>-3.2000000000000002E-3</v>
      </c>
      <c r="AQ72" s="454">
        <v>1.01E-2</v>
      </c>
      <c r="AR72" s="454">
        <v>1.6199999999999999E-2</v>
      </c>
      <c r="AS72" s="454">
        <v>0.20649999999999999</v>
      </c>
      <c r="AT72" s="454">
        <v>0.74709999999999999</v>
      </c>
      <c r="AU72" s="454">
        <v>-2.86</v>
      </c>
      <c r="AV72" s="454">
        <v>-0.71460000000000001</v>
      </c>
      <c r="AW72" s="454">
        <v>7.9003000000000005</v>
      </c>
      <c r="AX72" s="454">
        <v>14.6</v>
      </c>
      <c r="AY72" s="454">
        <v>2.7</v>
      </c>
      <c r="AZ72" s="454">
        <v>41.7</v>
      </c>
      <c r="BA72" s="454">
        <v>31.3</v>
      </c>
      <c r="BB72" s="454">
        <v>11.3</v>
      </c>
      <c r="BC72" s="454">
        <v>15.7</v>
      </c>
      <c r="BD72" s="461">
        <f>BC72*BD99/BC99</f>
        <v>16.65858334132081</v>
      </c>
      <c r="BE72" s="461">
        <f>BD72*BE99/BD99</f>
        <v>16.65858334132081</v>
      </c>
      <c r="BF72" s="461">
        <f t="shared" ref="BF72:BO72" si="45">BE72*BF99/BE99</f>
        <v>16.65858334132081</v>
      </c>
      <c r="BG72" s="461">
        <f t="shared" si="45"/>
        <v>16.65858334132081</v>
      </c>
      <c r="BH72" s="461">
        <f t="shared" si="45"/>
        <v>16.65858334132081</v>
      </c>
      <c r="BI72" s="461">
        <f t="shared" si="45"/>
        <v>16.65858334132081</v>
      </c>
      <c r="BJ72" s="461">
        <f t="shared" si="45"/>
        <v>16.65858334132081</v>
      </c>
      <c r="BK72" s="461">
        <f t="shared" si="45"/>
        <v>16.65858334132081</v>
      </c>
      <c r="BL72" s="461">
        <f t="shared" si="45"/>
        <v>16.65858334132081</v>
      </c>
      <c r="BM72" s="461">
        <f t="shared" si="45"/>
        <v>16.65858334132081</v>
      </c>
      <c r="BN72" s="461">
        <f t="shared" si="45"/>
        <v>16.65858334132081</v>
      </c>
      <c r="BO72" s="461">
        <f t="shared" si="45"/>
        <v>16.65858334132081</v>
      </c>
      <c r="BP72" s="457"/>
      <c r="BQ72" s="448">
        <f t="shared" si="44"/>
        <v>0</v>
      </c>
      <c r="BR72" s="448">
        <f t="shared" si="44"/>
        <v>0</v>
      </c>
      <c r="BS72" s="448">
        <f t="shared" si="44"/>
        <v>0</v>
      </c>
      <c r="BT72" s="448">
        <f t="shared" si="44"/>
        <v>0</v>
      </c>
      <c r="BU72" s="448">
        <f t="shared" si="44"/>
        <v>0</v>
      </c>
      <c r="BV72" s="448">
        <f t="shared" si="44"/>
        <v>0</v>
      </c>
      <c r="BW72" s="448">
        <f t="shared" si="44"/>
        <v>0</v>
      </c>
      <c r="BX72" s="448">
        <f t="shared" si="44"/>
        <v>0</v>
      </c>
      <c r="BY72" s="448">
        <f t="shared" si="44"/>
        <v>0</v>
      </c>
      <c r="BZ72" s="448">
        <f t="shared" si="44"/>
        <v>0</v>
      </c>
      <c r="CA72" s="448">
        <f t="shared" si="44"/>
        <v>0</v>
      </c>
      <c r="CB72" s="448">
        <f t="shared" si="44"/>
        <v>0</v>
      </c>
      <c r="CD72" s="439">
        <v>16.65858334132081</v>
      </c>
      <c r="CE72" s="439">
        <v>16.65858334132081</v>
      </c>
      <c r="CF72" s="439">
        <v>16.65858334132081</v>
      </c>
      <c r="CG72" s="439">
        <v>16.65858334132081</v>
      </c>
      <c r="CH72" s="439">
        <v>16.65858334132081</v>
      </c>
      <c r="CI72" s="439">
        <v>16.65858334132081</v>
      </c>
      <c r="CJ72" s="439">
        <v>16.65858334132081</v>
      </c>
      <c r="CK72" s="439">
        <v>16.65858334132081</v>
      </c>
      <c r="CL72" s="439">
        <v>16.65858334132081</v>
      </c>
      <c r="CM72" s="439">
        <v>16.65858334132081</v>
      </c>
      <c r="CN72" s="439">
        <v>16.65858334132081</v>
      </c>
      <c r="CO72" s="439">
        <v>16.65858334132081</v>
      </c>
    </row>
    <row r="73" spans="1:93">
      <c r="A73" s="447" t="s">
        <v>2167</v>
      </c>
      <c r="B73" s="447"/>
      <c r="C73" s="442" t="s">
        <v>1455</v>
      </c>
      <c r="D73" s="447" t="s">
        <v>1344</v>
      </c>
      <c r="E73" s="436" t="s">
        <v>2168</v>
      </c>
      <c r="F73" s="454">
        <v>0</v>
      </c>
      <c r="G73" s="454">
        <v>0</v>
      </c>
      <c r="H73" s="454">
        <v>0</v>
      </c>
      <c r="I73" s="454">
        <v>0</v>
      </c>
      <c r="J73" s="454">
        <v>-4.0000000596046445E-4</v>
      </c>
      <c r="K73" s="454">
        <v>1E-3</v>
      </c>
      <c r="L73" s="454">
        <v>1.399999976158142E-3</v>
      </c>
      <c r="M73" s="454">
        <v>2.299999952316284E-3</v>
      </c>
      <c r="N73" s="454">
        <v>1.5E-3</v>
      </c>
      <c r="O73" s="454">
        <v>-1.0000000149011611E-4</v>
      </c>
      <c r="P73" s="454">
        <v>-1.0000000149011611E-4</v>
      </c>
      <c r="Q73" s="454">
        <v>-1.0000000149011611E-4</v>
      </c>
      <c r="R73" s="454">
        <v>1.5E-3</v>
      </c>
      <c r="S73" s="454">
        <v>4.0000000596046445E-4</v>
      </c>
      <c r="T73" s="454">
        <v>2.0999999046325685E-3</v>
      </c>
      <c r="U73" s="454">
        <v>4.0000000596046445E-4</v>
      </c>
      <c r="V73" s="454">
        <v>-1E-3</v>
      </c>
      <c r="W73" s="454">
        <v>3.2000000476837156E-3</v>
      </c>
      <c r="X73" s="454">
        <v>3.0999999046325685E-3</v>
      </c>
      <c r="Y73" s="454">
        <v>1.7999999523162843E-3</v>
      </c>
      <c r="Z73" s="454">
        <v>4.0000000596046445E-4</v>
      </c>
      <c r="AA73" s="454">
        <v>1.399999976158142E-3</v>
      </c>
      <c r="AB73" s="454">
        <v>-2.0000000298023223E-4</v>
      </c>
      <c r="AC73" s="454">
        <v>4.0000000000000001E-3</v>
      </c>
      <c r="AD73" s="454">
        <v>-3.7999999523162841E-3</v>
      </c>
      <c r="AE73" s="454">
        <v>8.0000001192092891E-4</v>
      </c>
      <c r="AF73" s="454">
        <v>4.0000000596046445E-4</v>
      </c>
      <c r="AG73" s="454">
        <v>-5.0000000000000001E-4</v>
      </c>
      <c r="AH73" s="454">
        <v>-5.0000000000000001E-3</v>
      </c>
      <c r="AI73" s="454">
        <v>-7.199999809265137E-3</v>
      </c>
      <c r="AJ73" s="454">
        <v>1.0000000149011611E-4</v>
      </c>
      <c r="AK73" s="454">
        <v>-1.0300000190734864E-2</v>
      </c>
      <c r="AL73" s="454">
        <v>-2.5000000000000001E-3</v>
      </c>
      <c r="AM73" s="454">
        <v>-2.5000000000000001E-2</v>
      </c>
      <c r="AN73" s="454">
        <v>3.0000000000000001E-3</v>
      </c>
      <c r="AO73" s="454">
        <v>2.4000000953674316E-3</v>
      </c>
      <c r="AP73" s="454">
        <v>0.46260000610351565</v>
      </c>
      <c r="AQ73" s="454">
        <v>-1.2E-2</v>
      </c>
      <c r="AR73" s="454">
        <v>8.0000000000000002E-3</v>
      </c>
      <c r="AS73" s="454">
        <v>0.20699999999999999</v>
      </c>
      <c r="AT73" s="454">
        <v>0.47499999999999998</v>
      </c>
      <c r="AU73" s="454">
        <v>-2.86</v>
      </c>
      <c r="AV73" s="454">
        <v>-0.71460000000000001</v>
      </c>
      <c r="AW73" s="454">
        <v>7.9003000000000005</v>
      </c>
      <c r="AX73" s="454">
        <v>14.6</v>
      </c>
      <c r="AY73" s="454">
        <v>2.7</v>
      </c>
      <c r="AZ73" s="454">
        <v>41.7</v>
      </c>
      <c r="BA73" s="454">
        <v>31.3</v>
      </c>
      <c r="BB73" s="454">
        <v>11.3</v>
      </c>
      <c r="BC73" s="461">
        <f>BB73*BC99/BB99</f>
        <v>12.559166932992436</v>
      </c>
      <c r="BD73" s="461">
        <f>BC73*BD99/BC99</f>
        <v>13.325982742090126</v>
      </c>
      <c r="BE73" s="461">
        <f>BD73*BE99/BD99</f>
        <v>13.325982742090126</v>
      </c>
      <c r="BF73" s="461">
        <f t="shared" ref="BF73:BO73" si="46">BE73*BF99/BE99</f>
        <v>13.325982742090126</v>
      </c>
      <c r="BG73" s="461">
        <f t="shared" si="46"/>
        <v>13.325982742090126</v>
      </c>
      <c r="BH73" s="461">
        <f t="shared" si="46"/>
        <v>13.325982742090126</v>
      </c>
      <c r="BI73" s="461">
        <f t="shared" si="46"/>
        <v>13.325982742090126</v>
      </c>
      <c r="BJ73" s="461">
        <f t="shared" si="46"/>
        <v>13.325982742090126</v>
      </c>
      <c r="BK73" s="461">
        <f t="shared" si="46"/>
        <v>13.325982742090126</v>
      </c>
      <c r="BL73" s="461">
        <f t="shared" si="46"/>
        <v>13.325982742090126</v>
      </c>
      <c r="BM73" s="461">
        <f t="shared" si="46"/>
        <v>13.325982742090126</v>
      </c>
      <c r="BN73" s="461">
        <f t="shared" si="46"/>
        <v>13.325982742090126</v>
      </c>
      <c r="BO73" s="461">
        <f t="shared" si="46"/>
        <v>13.325982742090126</v>
      </c>
      <c r="BP73" s="457"/>
      <c r="BQ73" s="448">
        <f t="shared" si="44"/>
        <v>0</v>
      </c>
      <c r="BR73" s="448">
        <f t="shared" si="44"/>
        <v>0</v>
      </c>
      <c r="BS73" s="448">
        <f t="shared" si="44"/>
        <v>0</v>
      </c>
      <c r="BT73" s="448">
        <f t="shared" si="44"/>
        <v>0</v>
      </c>
      <c r="BU73" s="448">
        <f t="shared" si="44"/>
        <v>0</v>
      </c>
      <c r="BV73" s="448">
        <f t="shared" si="44"/>
        <v>0</v>
      </c>
      <c r="BW73" s="448">
        <f t="shared" si="44"/>
        <v>0</v>
      </c>
      <c r="BX73" s="448">
        <f t="shared" si="44"/>
        <v>0</v>
      </c>
      <c r="BY73" s="448">
        <f t="shared" si="44"/>
        <v>0</v>
      </c>
      <c r="BZ73" s="448">
        <f t="shared" si="44"/>
        <v>0</v>
      </c>
      <c r="CA73" s="448">
        <f t="shared" si="44"/>
        <v>0</v>
      </c>
      <c r="CB73" s="448">
        <f t="shared" si="44"/>
        <v>0</v>
      </c>
      <c r="CD73" s="439">
        <v>13.325982742090126</v>
      </c>
      <c r="CE73" s="439">
        <v>13.325982742090126</v>
      </c>
      <c r="CF73" s="439">
        <v>13.325982742090126</v>
      </c>
      <c r="CG73" s="439">
        <v>13.325982742090126</v>
      </c>
      <c r="CH73" s="439">
        <v>13.325982742090126</v>
      </c>
      <c r="CI73" s="439">
        <v>13.325982742090126</v>
      </c>
      <c r="CJ73" s="439">
        <v>13.325982742090126</v>
      </c>
      <c r="CK73" s="439">
        <v>13.325982742090126</v>
      </c>
      <c r="CL73" s="439">
        <v>13.325982742090126</v>
      </c>
      <c r="CM73" s="439">
        <v>13.325982742090126</v>
      </c>
      <c r="CN73" s="439">
        <v>13.325982742090126</v>
      </c>
      <c r="CO73" s="439">
        <v>13.325982742090126</v>
      </c>
    </row>
    <row r="74" spans="1:93">
      <c r="A74" s="448" t="s">
        <v>2169</v>
      </c>
      <c r="C74" s="442" t="s">
        <v>1455</v>
      </c>
      <c r="D74" s="447" t="s">
        <v>2163</v>
      </c>
      <c r="E74" s="436" t="s">
        <v>2170</v>
      </c>
      <c r="F74" s="454">
        <v>0</v>
      </c>
      <c r="G74" s="454">
        <v>0</v>
      </c>
      <c r="H74" s="454">
        <v>0</v>
      </c>
      <c r="I74" s="454">
        <v>0</v>
      </c>
      <c r="J74" s="454">
        <v>0</v>
      </c>
      <c r="K74" s="454">
        <v>0</v>
      </c>
      <c r="L74" s="454">
        <v>0</v>
      </c>
      <c r="M74" s="454">
        <v>0</v>
      </c>
      <c r="N74" s="454">
        <v>0</v>
      </c>
      <c r="O74" s="454">
        <v>0</v>
      </c>
      <c r="P74" s="454">
        <v>0</v>
      </c>
      <c r="Q74" s="454">
        <v>0</v>
      </c>
      <c r="R74" s="454">
        <v>0</v>
      </c>
      <c r="S74" s="454">
        <v>0</v>
      </c>
      <c r="T74" s="454">
        <v>0</v>
      </c>
      <c r="U74" s="454">
        <v>0</v>
      </c>
      <c r="V74" s="454">
        <v>0</v>
      </c>
      <c r="W74" s="454">
        <v>0</v>
      </c>
      <c r="X74" s="454">
        <v>0</v>
      </c>
      <c r="Y74" s="454">
        <v>0</v>
      </c>
      <c r="Z74" s="454">
        <v>0</v>
      </c>
      <c r="AA74" s="454">
        <v>0</v>
      </c>
      <c r="AB74" s="454">
        <v>0</v>
      </c>
      <c r="AC74" s="454">
        <v>0</v>
      </c>
      <c r="AD74" s="454">
        <v>0</v>
      </c>
      <c r="AE74" s="454">
        <v>0</v>
      </c>
      <c r="AF74" s="454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454">
        <v>0</v>
      </c>
      <c r="AM74" s="454">
        <v>0</v>
      </c>
      <c r="AN74" s="454">
        <v>0</v>
      </c>
      <c r="AO74" s="454">
        <v>0</v>
      </c>
      <c r="AP74" s="454">
        <v>0</v>
      </c>
      <c r="AQ74" s="454">
        <v>1.3319786520565225E-2</v>
      </c>
      <c r="AR74" s="454">
        <v>8.0285724779764811E-2</v>
      </c>
      <c r="AS74" s="454">
        <v>0.27786165878969937</v>
      </c>
      <c r="AT74" s="454">
        <v>0.43971427194492241</v>
      </c>
      <c r="AU74" s="454">
        <v>0.22075645924964554</v>
      </c>
      <c r="AV74" s="454">
        <v>-11.822739121716459</v>
      </c>
      <c r="AW74" s="454">
        <v>3.0246919068562454</v>
      </c>
      <c r="AX74" s="454">
        <v>17.505221760453068</v>
      </c>
      <c r="AY74" s="454">
        <v>106.49266288594831</v>
      </c>
      <c r="AZ74" s="454">
        <v>122.33806749450549</v>
      </c>
      <c r="BA74" s="454">
        <v>40.573298094862231</v>
      </c>
      <c r="BB74" s="454">
        <v>118.14898694946497</v>
      </c>
      <c r="BC74" s="438">
        <f>+BB146*(BC99/BB99-1)</f>
        <v>73.227844999999874</v>
      </c>
      <c r="BD74" s="438">
        <f>+BC146*(BD99/BC99-1)</f>
        <v>43.07234750000007</v>
      </c>
      <c r="BE74" s="438">
        <f>+BD146*(BE99/BD99-1)</f>
        <v>0</v>
      </c>
      <c r="BF74" s="438">
        <f t="shared" ref="BF74:BO74" si="47">+BE146*(BF99/BE99-1)</f>
        <v>0</v>
      </c>
      <c r="BG74" s="438">
        <f t="shared" si="47"/>
        <v>0</v>
      </c>
      <c r="BH74" s="438">
        <f t="shared" si="47"/>
        <v>0</v>
      </c>
      <c r="BI74" s="438">
        <f t="shared" si="47"/>
        <v>0</v>
      </c>
      <c r="BJ74" s="438">
        <f t="shared" si="47"/>
        <v>0</v>
      </c>
      <c r="BK74" s="438">
        <f t="shared" si="47"/>
        <v>0</v>
      </c>
      <c r="BL74" s="438">
        <f t="shared" si="47"/>
        <v>0</v>
      </c>
      <c r="BM74" s="438">
        <f t="shared" si="47"/>
        <v>0</v>
      </c>
      <c r="BN74" s="438">
        <f t="shared" si="47"/>
        <v>0</v>
      </c>
      <c r="BO74" s="438">
        <f t="shared" si="47"/>
        <v>0</v>
      </c>
      <c r="BP74" s="440"/>
      <c r="BQ74" s="448">
        <f t="shared" si="44"/>
        <v>0</v>
      </c>
      <c r="BR74" s="448">
        <f t="shared" si="44"/>
        <v>0</v>
      </c>
      <c r="BS74" s="448">
        <f t="shared" si="44"/>
        <v>0</v>
      </c>
      <c r="BT74" s="448">
        <f t="shared" si="44"/>
        <v>0</v>
      </c>
      <c r="BU74" s="448">
        <f t="shared" si="44"/>
        <v>0</v>
      </c>
      <c r="BV74" s="448">
        <f t="shared" si="44"/>
        <v>0</v>
      </c>
      <c r="BW74" s="448">
        <f t="shared" si="44"/>
        <v>0</v>
      </c>
      <c r="BX74" s="448">
        <f t="shared" si="44"/>
        <v>0</v>
      </c>
      <c r="BY74" s="448">
        <f t="shared" si="44"/>
        <v>0</v>
      </c>
      <c r="BZ74" s="448">
        <f t="shared" si="44"/>
        <v>0</v>
      </c>
      <c r="CA74" s="448">
        <f t="shared" si="44"/>
        <v>0</v>
      </c>
      <c r="CB74" s="448">
        <f t="shared" si="44"/>
        <v>0</v>
      </c>
      <c r="CD74" s="439">
        <v>43.07234750000007</v>
      </c>
      <c r="CE74" s="439">
        <v>0</v>
      </c>
      <c r="CF74" s="439">
        <v>0</v>
      </c>
      <c r="CG74" s="439">
        <v>0</v>
      </c>
      <c r="CH74" s="439">
        <v>0</v>
      </c>
      <c r="CI74" s="439">
        <v>0</v>
      </c>
      <c r="CJ74" s="439">
        <v>0</v>
      </c>
      <c r="CK74" s="439">
        <v>0</v>
      </c>
      <c r="CL74" s="439">
        <v>0</v>
      </c>
      <c r="CM74" s="439">
        <v>0</v>
      </c>
      <c r="CN74" s="439">
        <v>0</v>
      </c>
      <c r="CO74" s="439">
        <v>0</v>
      </c>
    </row>
    <row r="75" spans="1:93">
      <c r="A75" s="447" t="s">
        <v>2171</v>
      </c>
      <c r="B75" s="447"/>
      <c r="C75" s="442" t="s">
        <v>1344</v>
      </c>
      <c r="D75" s="447"/>
      <c r="E75" s="436"/>
      <c r="F75" s="464"/>
      <c r="G75" s="464"/>
      <c r="H75" s="464"/>
      <c r="I75" s="464"/>
      <c r="J75" s="464"/>
      <c r="K75" s="464"/>
      <c r="L75" s="464"/>
      <c r="M75" s="464"/>
      <c r="N75" s="464"/>
      <c r="O75" s="464"/>
      <c r="P75" s="464"/>
      <c r="Q75" s="464"/>
      <c r="R75" s="464"/>
      <c r="S75" s="464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64"/>
      <c r="AQ75" s="464"/>
      <c r="AR75" s="464"/>
      <c r="AS75" s="464"/>
      <c r="AT75" s="464"/>
      <c r="AU75" s="464"/>
      <c r="AV75" s="464"/>
      <c r="AW75" s="464"/>
      <c r="AX75" s="464"/>
      <c r="AY75" s="464"/>
      <c r="AZ75" s="464"/>
      <c r="BA75" s="464"/>
      <c r="BB75" s="464"/>
      <c r="BC75" s="436"/>
      <c r="BD75" s="436"/>
      <c r="BE75" s="436"/>
      <c r="BF75" s="436"/>
      <c r="BG75" s="436"/>
      <c r="BH75" s="436"/>
      <c r="BI75" s="436"/>
      <c r="BJ75" s="436"/>
      <c r="BK75" s="436"/>
      <c r="BL75" s="436"/>
      <c r="BM75" s="436"/>
      <c r="BN75" s="436"/>
      <c r="BO75" s="436"/>
      <c r="BP75" s="436"/>
      <c r="BQ75" s="448">
        <f t="shared" si="44"/>
        <v>0</v>
      </c>
      <c r="BR75" s="448">
        <f t="shared" si="44"/>
        <v>0</v>
      </c>
      <c r="BS75" s="448">
        <f t="shared" si="44"/>
        <v>0</v>
      </c>
      <c r="BT75" s="448">
        <f t="shared" si="44"/>
        <v>0</v>
      </c>
      <c r="BU75" s="448">
        <f t="shared" si="44"/>
        <v>0</v>
      </c>
      <c r="BV75" s="448">
        <f t="shared" si="44"/>
        <v>0</v>
      </c>
      <c r="BW75" s="448">
        <f t="shared" si="44"/>
        <v>0</v>
      </c>
      <c r="BX75" s="448">
        <f t="shared" si="44"/>
        <v>0</v>
      </c>
      <c r="BY75" s="448">
        <f t="shared" si="44"/>
        <v>0</v>
      </c>
      <c r="BZ75" s="448">
        <f t="shared" si="44"/>
        <v>0</v>
      </c>
      <c r="CA75" s="448">
        <f t="shared" si="44"/>
        <v>0</v>
      </c>
      <c r="CB75" s="448">
        <f t="shared" si="44"/>
        <v>0</v>
      </c>
    </row>
    <row r="76" spans="1:93">
      <c r="A76" s="447" t="s">
        <v>2172</v>
      </c>
      <c r="B76" s="447"/>
      <c r="C76" s="442" t="s">
        <v>1455</v>
      </c>
      <c r="D76" s="447" t="s">
        <v>2384</v>
      </c>
      <c r="E76" s="436" t="s">
        <v>2173</v>
      </c>
      <c r="F76" s="454">
        <v>-1.6999999999999999E-3</v>
      </c>
      <c r="G76" s="454">
        <v>-2.0000000000000001E-4</v>
      </c>
      <c r="H76" s="454">
        <v>4.5999999046325681E-3</v>
      </c>
      <c r="I76" s="454">
        <v>2.299999952316284E-3</v>
      </c>
      <c r="J76" s="454">
        <v>3.0000001192092895E-4</v>
      </c>
      <c r="K76" s="454">
        <v>7.4999999999999997E-3</v>
      </c>
      <c r="L76" s="454">
        <v>4.0999999046325685E-3</v>
      </c>
      <c r="M76" s="454">
        <v>2.4000000953674316E-3</v>
      </c>
      <c r="N76" s="454">
        <v>1.5E-3</v>
      </c>
      <c r="O76" s="454">
        <v>1.1800000190734863E-2</v>
      </c>
      <c r="P76" s="454">
        <v>4.5999999046325681E-3</v>
      </c>
      <c r="Q76" s="454">
        <v>1.1699999809265137E-2</v>
      </c>
      <c r="R76" s="454">
        <v>1.0199999809265137E-2</v>
      </c>
      <c r="S76" s="454">
        <v>7.9000000953674317E-3</v>
      </c>
      <c r="T76" s="454">
        <v>1.4300000190734864E-2</v>
      </c>
      <c r="U76" s="454">
        <v>1.1199999809265136E-2</v>
      </c>
      <c r="V76" s="454">
        <v>1.2899999618530273E-2</v>
      </c>
      <c r="W76" s="454">
        <v>8.1000003814697269E-3</v>
      </c>
      <c r="X76" s="454">
        <v>4.8000001907348632E-3</v>
      </c>
      <c r="Y76" s="454">
        <v>3.2099998474121094E-2</v>
      </c>
      <c r="Z76" s="454">
        <v>8.1000003814697269E-3</v>
      </c>
      <c r="AA76" s="454">
        <v>3.3200000762939455E-2</v>
      </c>
      <c r="AB76" s="454">
        <v>3.5999999999999997E-2</v>
      </c>
      <c r="AC76" s="454">
        <v>2.5799999237060545E-2</v>
      </c>
      <c r="AD76" s="454">
        <v>3.0399999618530273E-2</v>
      </c>
      <c r="AE76" s="454">
        <v>2.9499999999999998E-2</v>
      </c>
      <c r="AF76" s="454">
        <v>3.1700000762939454E-2</v>
      </c>
      <c r="AG76" s="454">
        <v>8.2300003051757817E-2</v>
      </c>
      <c r="AH76" s="454">
        <v>5.3799999237060546E-2</v>
      </c>
      <c r="AI76" s="454">
        <v>7.5499999999999998E-2</v>
      </c>
      <c r="AJ76" s="454">
        <v>0.113</v>
      </c>
      <c r="AK76" s="454">
        <v>0.28679998779296872</v>
      </c>
      <c r="AL76" s="454">
        <v>0.39479998779296877</v>
      </c>
      <c r="AM76" s="454">
        <v>0.30989999389648437</v>
      </c>
      <c r="AN76" s="454">
        <v>0.37439999389648437</v>
      </c>
      <c r="AO76" s="454">
        <v>0.23300000000000001</v>
      </c>
      <c r="AP76" s="454">
        <v>0.14980000305175781</v>
      </c>
      <c r="AQ76" s="454">
        <v>0.75490002441406245</v>
      </c>
      <c r="AR76" s="454">
        <v>0.4</v>
      </c>
      <c r="AS76" s="454">
        <v>3.0790000000000002</v>
      </c>
      <c r="AT76" s="454">
        <v>16.650200000000002</v>
      </c>
      <c r="AU76" s="454">
        <v>38.128999999999998</v>
      </c>
      <c r="AV76" s="454">
        <v>16.654799999999994</v>
      </c>
      <c r="AW76" s="454">
        <v>12.158700000000012</v>
      </c>
      <c r="AX76" s="454">
        <v>0.97989999999999422</v>
      </c>
      <c r="AY76" s="454">
        <v>44.429000000000002</v>
      </c>
      <c r="AZ76" s="454">
        <v>133.39500000000001</v>
      </c>
      <c r="BA76" s="454">
        <v>112.795</v>
      </c>
      <c r="BB76" s="454">
        <v>123.581</v>
      </c>
      <c r="BC76" s="456">
        <f>BC144-BB144</f>
        <v>-7.6000000000000227</v>
      </c>
      <c r="BD76" s="456">
        <f>BD144-BC144</f>
        <v>123.30000000000001</v>
      </c>
      <c r="BE76" s="458">
        <f t="shared" ref="BE76:BO76" ca="1" si="48">+BE177+BE143-BD143</f>
        <v>395.06282546739942</v>
      </c>
      <c r="BF76" s="458">
        <f t="shared" ca="1" si="48"/>
        <v>356.51083183450123</v>
      </c>
      <c r="BG76" s="458">
        <f t="shared" ca="1" si="48"/>
        <v>322.8302276222114</v>
      </c>
      <c r="BH76" s="458">
        <f t="shared" ca="1" si="48"/>
        <v>284.47019705822481</v>
      </c>
      <c r="BI76" s="458">
        <f t="shared" ca="1" si="48"/>
        <v>251.18625226104359</v>
      </c>
      <c r="BJ76" s="458">
        <f t="shared" ca="1" si="48"/>
        <v>215.77394017098231</v>
      </c>
      <c r="BK76" s="458">
        <f t="shared" ca="1" si="48"/>
        <v>182.83194655878833</v>
      </c>
      <c r="BL76" s="458">
        <f t="shared" ca="1" si="48"/>
        <v>143.93646940240683</v>
      </c>
      <c r="BM76" s="458">
        <f t="shared" ca="1" si="48"/>
        <v>101.20083546458113</v>
      </c>
      <c r="BN76" s="458">
        <f t="shared" ca="1" si="48"/>
        <v>55.839702006504012</v>
      </c>
      <c r="BO76" s="458">
        <f t="shared" ca="1" si="48"/>
        <v>2.4499677838491607</v>
      </c>
      <c r="BP76" s="457"/>
      <c r="BQ76" s="448">
        <f t="shared" si="44"/>
        <v>0</v>
      </c>
      <c r="BR76" s="448">
        <f t="shared" ca="1" si="44"/>
        <v>0</v>
      </c>
      <c r="BS76" s="448">
        <f t="shared" ca="1" si="44"/>
        <v>-9.0949470177292824E-13</v>
      </c>
      <c r="BT76" s="448">
        <f t="shared" ca="1" si="44"/>
        <v>-1.4551915228366852E-11</v>
      </c>
      <c r="BU76" s="448">
        <f t="shared" ca="1" si="44"/>
        <v>-1.6484591469634324E-10</v>
      </c>
      <c r="BV76" s="448">
        <f t="shared" ca="1" si="44"/>
        <v>-1.3521912478609011E-9</v>
      </c>
      <c r="BW76" s="448">
        <f t="shared" ca="1" si="44"/>
        <v>-8.7500211520818993E-9</v>
      </c>
      <c r="BX76" s="448">
        <f t="shared" ca="1" si="44"/>
        <v>-4.6428112909779884E-8</v>
      </c>
      <c r="BY76" s="448">
        <f t="shared" ca="1" si="44"/>
        <v>-2.0801212485821452E-7</v>
      </c>
      <c r="BZ76" s="448">
        <f t="shared" ca="1" si="44"/>
        <v>-8.0859217632678337E-7</v>
      </c>
      <c r="CA76" s="448">
        <f t="shared" ca="1" si="44"/>
        <v>-2.7751534616982099E-6</v>
      </c>
      <c r="CB76" s="448">
        <f t="shared" ca="1" si="44"/>
        <v>-8.5365613813337404E-6</v>
      </c>
      <c r="CD76" s="439">
        <v>123.3</v>
      </c>
      <c r="CE76" s="439">
        <v>395.06282546739942</v>
      </c>
      <c r="CF76" s="439">
        <v>356.51083183450214</v>
      </c>
      <c r="CG76" s="439">
        <v>322.83022762222595</v>
      </c>
      <c r="CH76" s="439">
        <v>284.47019705838966</v>
      </c>
      <c r="CI76" s="439">
        <v>251.18625226239578</v>
      </c>
      <c r="CJ76" s="439">
        <v>215.77394017973234</v>
      </c>
      <c r="CK76" s="439">
        <v>182.83194660521644</v>
      </c>
      <c r="CL76" s="439">
        <v>143.93646961041895</v>
      </c>
      <c r="CM76" s="439">
        <v>101.20083627317331</v>
      </c>
      <c r="CN76" s="439">
        <v>55.839704781657474</v>
      </c>
      <c r="CO76" s="439">
        <v>2.449976320410542</v>
      </c>
    </row>
    <row r="77" spans="1:93">
      <c r="A77" s="447" t="s">
        <v>2174</v>
      </c>
      <c r="B77" s="447"/>
      <c r="C77" s="442" t="s">
        <v>1455</v>
      </c>
      <c r="D77" s="447" t="s">
        <v>1344</v>
      </c>
      <c r="E77" s="447" t="s">
        <v>1344</v>
      </c>
      <c r="F77" s="468">
        <v>3.8999999999999998E-3</v>
      </c>
      <c r="G77" s="468">
        <v>3.2000000000000002E-3</v>
      </c>
      <c r="H77" s="468">
        <v>7.1999999999999998E-3</v>
      </c>
      <c r="I77" s="468">
        <v>1.04E-2</v>
      </c>
      <c r="J77" s="468">
        <v>9.4000000000000004E-3</v>
      </c>
      <c r="K77" s="468">
        <v>1.0199999999999999E-2</v>
      </c>
      <c r="L77" s="468">
        <v>1.2699999999999999E-2</v>
      </c>
      <c r="M77" s="468">
        <v>1.6500000000000001E-2</v>
      </c>
      <c r="N77" s="468">
        <v>1.47E-2</v>
      </c>
      <c r="O77" s="468">
        <v>2.4799999999999999E-2</v>
      </c>
      <c r="P77" s="468">
        <v>2.1499999999999998E-2</v>
      </c>
      <c r="Q77" s="468">
        <v>2.2600000000000002E-2</v>
      </c>
      <c r="R77" s="468">
        <v>1.8499999999999999E-2</v>
      </c>
      <c r="S77" s="468">
        <v>1.7399999999999999E-2</v>
      </c>
      <c r="T77" s="468">
        <v>1.9199999999999998E-2</v>
      </c>
      <c r="U77" s="468">
        <v>2.7300000000000001E-2</v>
      </c>
      <c r="V77" s="468">
        <v>3.9299999999999995E-2</v>
      </c>
      <c r="W77" s="468">
        <v>3.1399999999999997E-2</v>
      </c>
      <c r="X77" s="468">
        <v>5.5799999999999995E-2</v>
      </c>
      <c r="Y77" s="468">
        <v>3.56E-2</v>
      </c>
      <c r="Z77" s="468">
        <v>5.8900000000000001E-2</v>
      </c>
      <c r="AA77" s="468">
        <v>5.8960053380782911E-2</v>
      </c>
      <c r="AB77" s="468">
        <v>0.17837172359015091</v>
      </c>
      <c r="AC77" s="468">
        <v>0.13396773010634397</v>
      </c>
      <c r="AD77" s="468">
        <v>0.10992649750415971</v>
      </c>
      <c r="AE77" s="468">
        <v>0.15892016949152543</v>
      </c>
      <c r="AF77" s="468">
        <v>0.13474007092198578</v>
      </c>
      <c r="AG77" s="468">
        <v>0.16590656460403974</v>
      </c>
      <c r="AH77" s="468">
        <v>0.17368353494120287</v>
      </c>
      <c r="AI77" s="468">
        <v>6.1046862408465014E-3</v>
      </c>
      <c r="AJ77" s="468">
        <v>0</v>
      </c>
      <c r="AK77" s="468">
        <v>0</v>
      </c>
      <c r="AL77" s="468">
        <v>0</v>
      </c>
      <c r="AM77" s="468">
        <v>0</v>
      </c>
      <c r="AN77" s="468">
        <v>5.6444347159603243E-3</v>
      </c>
      <c r="AO77" s="468">
        <v>6.9413582937710439E-2</v>
      </c>
      <c r="AP77" s="468">
        <v>6.5042103892156866E-2</v>
      </c>
      <c r="AQ77" s="468">
        <v>3.2903243950381682E-2</v>
      </c>
      <c r="AR77" s="468">
        <v>9.3876714013358023E-2</v>
      </c>
      <c r="AS77" s="468">
        <v>0.11221667840331243</v>
      </c>
      <c r="AT77" s="468">
        <v>5.7067957828542184</v>
      </c>
      <c r="AU77" s="468">
        <v>24.493854313800412</v>
      </c>
      <c r="AV77" s="468">
        <v>35.711643831984645</v>
      </c>
      <c r="AW77" s="468">
        <v>23.849104507533088</v>
      </c>
      <c r="AX77" s="468">
        <v>13.381357868070687</v>
      </c>
      <c r="AY77" s="468">
        <v>17.541807651546957</v>
      </c>
      <c r="AZ77" s="468">
        <v>18.983658325200526</v>
      </c>
      <c r="BA77" s="468">
        <v>27.449099999999998</v>
      </c>
      <c r="BB77" s="468">
        <v>29.099700000000002</v>
      </c>
      <c r="BC77" s="468">
        <v>50.860875</v>
      </c>
      <c r="BD77" s="455">
        <f>BC77*BD47/BC47</f>
        <v>249.09993756117129</v>
      </c>
      <c r="BE77" s="455">
        <f>BD77*BE47/BD47</f>
        <v>249.09993756117129</v>
      </c>
      <c r="BF77" s="455">
        <f t="shared" ref="BF77:BO77" si="49">BE77*BF47/BE47</f>
        <v>249.09993756117129</v>
      </c>
      <c r="BG77" s="455">
        <f t="shared" si="49"/>
        <v>249.09993756117129</v>
      </c>
      <c r="BH77" s="455">
        <f t="shared" si="49"/>
        <v>249.09993756117129</v>
      </c>
      <c r="BI77" s="455">
        <f t="shared" si="49"/>
        <v>249.09993756117129</v>
      </c>
      <c r="BJ77" s="455">
        <f t="shared" si="49"/>
        <v>249.09993756117129</v>
      </c>
      <c r="BK77" s="455">
        <f t="shared" si="49"/>
        <v>249.09993756117129</v>
      </c>
      <c r="BL77" s="455">
        <f t="shared" si="49"/>
        <v>249.09993756117129</v>
      </c>
      <c r="BM77" s="455">
        <f t="shared" si="49"/>
        <v>249.09993756117129</v>
      </c>
      <c r="BN77" s="455">
        <f t="shared" si="49"/>
        <v>249.09993756117129</v>
      </c>
      <c r="BO77" s="455">
        <f t="shared" si="49"/>
        <v>249.09993756117129</v>
      </c>
      <c r="BP77" s="445"/>
      <c r="BQ77" s="448">
        <f t="shared" si="44"/>
        <v>0</v>
      </c>
      <c r="BR77" s="448">
        <f t="shared" si="44"/>
        <v>0</v>
      </c>
      <c r="BS77" s="448">
        <f t="shared" si="44"/>
        <v>0</v>
      </c>
      <c r="BT77" s="448">
        <f t="shared" si="44"/>
        <v>0</v>
      </c>
      <c r="BU77" s="448">
        <f t="shared" si="44"/>
        <v>0</v>
      </c>
      <c r="BV77" s="448">
        <f t="shared" si="44"/>
        <v>0</v>
      </c>
      <c r="BW77" s="448">
        <f t="shared" si="44"/>
        <v>0</v>
      </c>
      <c r="BX77" s="448">
        <f t="shared" si="44"/>
        <v>0</v>
      </c>
      <c r="BY77" s="448">
        <f t="shared" si="44"/>
        <v>0</v>
      </c>
      <c r="BZ77" s="448">
        <f t="shared" si="44"/>
        <v>0</v>
      </c>
      <c r="CA77" s="448">
        <f t="shared" si="44"/>
        <v>0</v>
      </c>
      <c r="CB77" s="448">
        <f t="shared" si="44"/>
        <v>0</v>
      </c>
      <c r="CC77" s="436"/>
      <c r="CD77" s="439">
        <v>249.09993756117129</v>
      </c>
      <c r="CE77" s="439">
        <v>249.09993756117129</v>
      </c>
      <c r="CF77" s="439">
        <v>249.09993756117129</v>
      </c>
      <c r="CG77" s="439">
        <v>249.09993756117129</v>
      </c>
      <c r="CH77" s="439">
        <v>249.09993756117129</v>
      </c>
      <c r="CI77" s="439">
        <v>249.09993756117129</v>
      </c>
      <c r="CJ77" s="439">
        <v>249.09993756117129</v>
      </c>
      <c r="CK77" s="439">
        <v>249.09993756117129</v>
      </c>
      <c r="CL77" s="439">
        <v>249.09993756117129</v>
      </c>
      <c r="CM77" s="439">
        <v>249.09993756117129</v>
      </c>
      <c r="CN77" s="439">
        <v>249.09993756117129</v>
      </c>
      <c r="CO77" s="439">
        <v>249.09993756117129</v>
      </c>
    </row>
    <row r="78" spans="1:93">
      <c r="A78" s="447" t="s">
        <v>1344</v>
      </c>
      <c r="B78" s="447"/>
      <c r="C78" s="442"/>
      <c r="D78" s="447"/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  <c r="R78" s="464"/>
      <c r="S78" s="464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464"/>
      <c r="AZ78" s="464"/>
      <c r="BA78" s="456"/>
      <c r="BB78" s="456"/>
      <c r="BC78" s="456"/>
      <c r="BD78" s="456"/>
      <c r="BE78" s="456"/>
      <c r="BF78" s="456"/>
      <c r="BG78" s="456"/>
      <c r="BH78" s="456"/>
      <c r="BI78" s="456"/>
      <c r="BJ78" s="456"/>
      <c r="BK78" s="456"/>
      <c r="BL78" s="456"/>
      <c r="BM78" s="456"/>
      <c r="BN78" s="456"/>
      <c r="BO78" s="456"/>
      <c r="BP78" s="456"/>
      <c r="BQ78" s="456"/>
      <c r="BR78" s="456"/>
      <c r="BS78" s="456"/>
      <c r="BT78" s="456"/>
      <c r="BU78" s="456"/>
      <c r="BV78" s="456"/>
      <c r="BW78" s="456"/>
      <c r="BX78" s="456"/>
      <c r="BY78" s="456"/>
      <c r="BZ78" s="456"/>
      <c r="CA78" s="456"/>
      <c r="CB78" s="456"/>
      <c r="CC78" s="456"/>
    </row>
    <row r="79" spans="1:93" s="450" customFormat="1">
      <c r="A79" s="452" t="s">
        <v>2175</v>
      </c>
      <c r="B79" s="452"/>
      <c r="C79" s="465"/>
      <c r="D79" s="452"/>
      <c r="E79" s="452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466"/>
      <c r="AI79" s="466"/>
      <c r="AJ79" s="466"/>
      <c r="AK79" s="466"/>
      <c r="AL79" s="466"/>
      <c r="AM79" s="466"/>
      <c r="AN79" s="466"/>
      <c r="AO79" s="466"/>
      <c r="AP79" s="466" t="s">
        <v>1344</v>
      </c>
      <c r="AQ79" s="466" t="s">
        <v>1344</v>
      </c>
      <c r="AR79" s="466" t="s">
        <v>1344</v>
      </c>
      <c r="AS79" s="466" t="s">
        <v>1344</v>
      </c>
      <c r="AT79" s="466" t="s">
        <v>1344</v>
      </c>
      <c r="AU79" s="466" t="s">
        <v>1344</v>
      </c>
      <c r="AV79" s="466" t="s">
        <v>1344</v>
      </c>
      <c r="AW79" s="466"/>
      <c r="AX79" s="466"/>
      <c r="AY79" s="466"/>
      <c r="AZ79" s="466"/>
      <c r="BA79" s="452" t="s">
        <v>1344</v>
      </c>
      <c r="BB79" s="452" t="s">
        <v>1344</v>
      </c>
      <c r="BC79" s="452" t="s">
        <v>1344</v>
      </c>
      <c r="BD79" s="452" t="s">
        <v>1344</v>
      </c>
      <c r="BE79" s="452" t="s">
        <v>1344</v>
      </c>
      <c r="BF79" s="452" t="s">
        <v>1344</v>
      </c>
      <c r="BG79" s="452" t="s">
        <v>1344</v>
      </c>
      <c r="BH79" s="452" t="s">
        <v>1344</v>
      </c>
      <c r="BI79" s="452" t="s">
        <v>1344</v>
      </c>
      <c r="BJ79" s="452" t="s">
        <v>1344</v>
      </c>
      <c r="BK79" s="452" t="s">
        <v>1344</v>
      </c>
      <c r="BL79" s="452" t="s">
        <v>1344</v>
      </c>
      <c r="BM79" s="452" t="s">
        <v>1344</v>
      </c>
      <c r="BN79" s="452" t="s">
        <v>1344</v>
      </c>
      <c r="BO79" s="452" t="s">
        <v>1344</v>
      </c>
      <c r="BP79" s="452"/>
      <c r="BQ79" s="452" t="s">
        <v>1344</v>
      </c>
      <c r="BR79" s="452" t="s">
        <v>1344</v>
      </c>
      <c r="BS79" s="452" t="s">
        <v>1344</v>
      </c>
      <c r="BT79" s="452" t="s">
        <v>1344</v>
      </c>
      <c r="BU79" s="452" t="s">
        <v>1344</v>
      </c>
      <c r="BV79" s="452" t="s">
        <v>1344</v>
      </c>
      <c r="BW79" s="452" t="s">
        <v>1344</v>
      </c>
      <c r="BX79" s="452" t="s">
        <v>1344</v>
      </c>
      <c r="BY79" s="452" t="s">
        <v>1344</v>
      </c>
      <c r="BZ79" s="452" t="s">
        <v>1344</v>
      </c>
      <c r="CA79" s="452" t="s">
        <v>1344</v>
      </c>
      <c r="CB79" s="452" t="s">
        <v>1344</v>
      </c>
      <c r="CC79" s="452"/>
      <c r="CD79" s="450" t="s">
        <v>1344</v>
      </c>
      <c r="CE79" s="450" t="s">
        <v>1344</v>
      </c>
      <c r="CF79" s="450" t="s">
        <v>1344</v>
      </c>
      <c r="CG79" s="450" t="s">
        <v>1344</v>
      </c>
      <c r="CH79" s="450" t="s">
        <v>1344</v>
      </c>
      <c r="CI79" s="450" t="s">
        <v>1344</v>
      </c>
      <c r="CJ79" s="450" t="s">
        <v>1344</v>
      </c>
      <c r="CK79" s="450" t="s">
        <v>1344</v>
      </c>
      <c r="CL79" s="450" t="s">
        <v>1344</v>
      </c>
      <c r="CM79" s="450" t="s">
        <v>1344</v>
      </c>
      <c r="CN79" s="450" t="s">
        <v>1344</v>
      </c>
      <c r="CO79" s="450" t="s">
        <v>1344</v>
      </c>
    </row>
    <row r="80" spans="1:93">
      <c r="A80" s="447" t="s">
        <v>2176</v>
      </c>
      <c r="B80" s="447"/>
      <c r="C80" s="442" t="s">
        <v>1349</v>
      </c>
      <c r="D80" s="447" t="s">
        <v>3006</v>
      </c>
      <c r="E80" s="436" t="s">
        <v>2177</v>
      </c>
      <c r="F80" s="454">
        <v>2</v>
      </c>
      <c r="G80" s="454">
        <v>1</v>
      </c>
      <c r="H80" s="454">
        <v>1.9801980257034302</v>
      </c>
      <c r="I80" s="454">
        <v>8.7378644943237305</v>
      </c>
      <c r="J80" s="454">
        <v>0</v>
      </c>
      <c r="K80" s="454">
        <v>0</v>
      </c>
      <c r="L80" s="454">
        <v>2.6785714626312256</v>
      </c>
      <c r="M80" s="454">
        <v>1.7391303777694702</v>
      </c>
      <c r="N80" s="454">
        <v>0.85470086336135864</v>
      </c>
      <c r="O80" s="454">
        <v>0.8474576473236084</v>
      </c>
      <c r="P80" s="454">
        <v>0.8403361439704895</v>
      </c>
      <c r="Q80" s="454">
        <v>1.6666666269302368</v>
      </c>
      <c r="R80" s="454">
        <v>1.6393442153930664</v>
      </c>
      <c r="S80" s="454">
        <v>7.2580647468566895</v>
      </c>
      <c r="T80" s="454">
        <v>0</v>
      </c>
      <c r="U80" s="454">
        <v>3.0075187683105469</v>
      </c>
      <c r="V80" s="454">
        <v>1.7561022043228149</v>
      </c>
      <c r="W80" s="454">
        <v>-0.59355843067169189</v>
      </c>
      <c r="X80" s="454">
        <v>2.4373531341552734</v>
      </c>
      <c r="Y80" s="454">
        <v>12.087912559509277</v>
      </c>
      <c r="Z80" s="454">
        <v>15.959079742431641</v>
      </c>
      <c r="AA80" s="454">
        <v>7.4915452003479004</v>
      </c>
      <c r="AB80" s="454">
        <v>9.3085289001464844</v>
      </c>
      <c r="AC80" s="454">
        <v>8.8286819458007813</v>
      </c>
      <c r="AD80" s="454">
        <v>7.9859714508056641</v>
      </c>
      <c r="AE80" s="454">
        <v>13.954850196838379</v>
      </c>
      <c r="AF80" s="454">
        <v>13.208428382873535</v>
      </c>
      <c r="AG80" s="454">
        <v>8.7082128524780273</v>
      </c>
      <c r="AH80" s="454">
        <v>7.2892937660217285</v>
      </c>
      <c r="AI80" s="454">
        <v>4.3878273963928223</v>
      </c>
      <c r="AJ80" s="454">
        <v>4.1999998092651367</v>
      </c>
      <c r="AK80" s="454">
        <v>16.299999237060547</v>
      </c>
      <c r="AL80" s="454">
        <v>30.700000762939453</v>
      </c>
      <c r="AM80" s="454">
        <v>88.800003051757813</v>
      </c>
      <c r="AN80" s="454">
        <v>15</v>
      </c>
      <c r="AO80" s="454">
        <v>19.700000762939453</v>
      </c>
      <c r="AP80" s="454">
        <v>21.746293245469506</v>
      </c>
      <c r="AQ80" s="454">
        <v>25.968753844261293</v>
      </c>
      <c r="AR80" s="454">
        <v>43.662109374999993</v>
      </c>
      <c r="AS80" s="454">
        <v>143.51845557745909</v>
      </c>
      <c r="AT80" s="454">
        <v>368.47923179991062</v>
      </c>
      <c r="AU80" s="454">
        <v>235.55783301951999</v>
      </c>
      <c r="AV80" s="454">
        <v>-0.8</v>
      </c>
      <c r="AW80" s="454">
        <v>7.2</v>
      </c>
      <c r="AX80" s="454">
        <v>18.7</v>
      </c>
      <c r="AY80" s="454">
        <v>99.148936170212764</v>
      </c>
      <c r="AZ80" s="454">
        <v>59.188034188034202</v>
      </c>
      <c r="BA80" s="454">
        <v>38.657718120805363</v>
      </c>
      <c r="BB80" s="454">
        <v>15.48886737657309</v>
      </c>
      <c r="BC80" s="454">
        <v>22.822081282431551</v>
      </c>
      <c r="BD80" s="454">
        <v>9.1479420449446458</v>
      </c>
      <c r="BE80" s="458">
        <f ca="1">0.25*BE163+0.45*BE82+0.3*BD80+BE168-BD168</f>
        <v>6.7925819359583794</v>
      </c>
      <c r="BF80" s="458">
        <f ca="1">0.25*BF163+0.45*BF82+0.3*BE80+BF168-BE168</f>
        <v>5.0020966958018676</v>
      </c>
      <c r="BG80" s="458">
        <f t="shared" ref="BG80:BO80" ca="1" si="50">0.25*BG163+0.45*BG82+0.3*BF80+BG168-BF168</f>
        <v>4.0788726890331155</v>
      </c>
      <c r="BH80" s="458">
        <f t="shared" ca="1" si="50"/>
        <v>3.6187420528253398</v>
      </c>
      <c r="BI80" s="458">
        <f t="shared" ca="1" si="50"/>
        <v>3.3814280811623867</v>
      </c>
      <c r="BJ80" s="458">
        <f t="shared" ca="1" si="50"/>
        <v>3.2563513694147446</v>
      </c>
      <c r="BK80" s="458">
        <f t="shared" ca="1" si="50"/>
        <v>3.1950176917625033</v>
      </c>
      <c r="BL80" s="458">
        <f t="shared" ca="1" si="50"/>
        <v>3.1674680233411987</v>
      </c>
      <c r="BM80" s="458">
        <f t="shared" ca="1" si="50"/>
        <v>3.152147530687726</v>
      </c>
      <c r="BN80" s="458">
        <f t="shared" ca="1" si="50"/>
        <v>3.1423404204225225</v>
      </c>
      <c r="BO80" s="458">
        <f t="shared" ca="1" si="50"/>
        <v>3.1344629013140768</v>
      </c>
      <c r="BP80" s="457"/>
      <c r="BQ80" s="448">
        <f t="shared" ref="BQ80:CB86" si="51">+BD80-CD80</f>
        <v>0</v>
      </c>
      <c r="BR80" s="448">
        <f t="shared" ca="1" si="51"/>
        <v>0</v>
      </c>
      <c r="BS80" s="448">
        <f t="shared" ca="1" si="51"/>
        <v>1.9539925233402755E-14</v>
      </c>
      <c r="BT80" s="448">
        <f t="shared" ca="1" si="51"/>
        <v>4.6540549192286562E-13</v>
      </c>
      <c r="BU80" s="448">
        <f t="shared" ca="1" si="51"/>
        <v>4.9968917892329046E-12</v>
      </c>
      <c r="BV80" s="448">
        <f t="shared" ca="1" si="51"/>
        <v>3.9777958704689809E-11</v>
      </c>
      <c r="BW80" s="448">
        <f t="shared" ca="1" si="51"/>
        <v>2.4992807823309704E-10</v>
      </c>
      <c r="BX80" s="448">
        <f t="shared" ca="1" si="51"/>
        <v>1.2817835681744327E-9</v>
      </c>
      <c r="BY80" s="448">
        <f t="shared" ca="1" si="51"/>
        <v>5.532099223160003E-9</v>
      </c>
      <c r="BZ80" s="448">
        <f t="shared" ca="1" si="51"/>
        <v>2.0607783923765055E-8</v>
      </c>
      <c r="CA80" s="448">
        <f t="shared" ca="1" si="51"/>
        <v>6.7464133834960194E-8</v>
      </c>
      <c r="CB80" s="448">
        <f t="shared" ca="1" si="51"/>
        <v>1.9882920909708446E-7</v>
      </c>
      <c r="CD80" s="439">
        <v>9.1479420449446458</v>
      </c>
      <c r="CE80" s="439">
        <v>6.7925819359583794</v>
      </c>
      <c r="CF80" s="439">
        <v>5.002096695801848</v>
      </c>
      <c r="CG80" s="439">
        <v>4.0788726890326501</v>
      </c>
      <c r="CH80" s="439">
        <v>3.6187420528203429</v>
      </c>
      <c r="CI80" s="439">
        <v>3.3814280811226087</v>
      </c>
      <c r="CJ80" s="439">
        <v>3.2563513691648165</v>
      </c>
      <c r="CK80" s="439">
        <v>3.1950176904807197</v>
      </c>
      <c r="CL80" s="439">
        <v>3.1674680178090995</v>
      </c>
      <c r="CM80" s="439">
        <v>3.1521475100799421</v>
      </c>
      <c r="CN80" s="439">
        <v>3.1423403529583886</v>
      </c>
      <c r="CO80" s="439">
        <v>3.1344627024848677</v>
      </c>
    </row>
    <row r="81" spans="1:93">
      <c r="A81" s="436" t="s">
        <v>2178</v>
      </c>
      <c r="B81" s="436"/>
      <c r="C81" s="442" t="s">
        <v>1349</v>
      </c>
      <c r="D81" s="436" t="s">
        <v>2179</v>
      </c>
      <c r="E81" s="436" t="s">
        <v>2180</v>
      </c>
      <c r="F81" s="454">
        <v>6</v>
      </c>
      <c r="G81" s="454">
        <v>-3.1</v>
      </c>
      <c r="H81" s="454">
        <v>-0.33315089344978333</v>
      </c>
      <c r="I81" s="454">
        <v>15.395469665527344</v>
      </c>
      <c r="J81" s="454">
        <v>8.9151115417480469</v>
      </c>
      <c r="K81" s="454">
        <v>2.8660340309143066</v>
      </c>
      <c r="L81" s="454">
        <v>-2.3736550807952881</v>
      </c>
      <c r="M81" s="454">
        <v>0.38395720720291138</v>
      </c>
      <c r="N81" s="454">
        <v>2.0476639270782471</v>
      </c>
      <c r="O81" s="454">
        <v>-2.0203309059143066</v>
      </c>
      <c r="P81" s="454">
        <v>-2.1691229343414307</v>
      </c>
      <c r="Q81" s="454">
        <v>1.4651679992675781</v>
      </c>
      <c r="R81" s="454">
        <v>11.19773006439209</v>
      </c>
      <c r="S81" s="454">
        <v>3.3849248886108398</v>
      </c>
      <c r="T81" s="454">
        <v>2.6411700248718262</v>
      </c>
      <c r="U81" s="454">
        <v>4.4026660919189453</v>
      </c>
      <c r="V81" s="454">
        <v>6.7484469413757324</v>
      </c>
      <c r="W81" s="454">
        <v>2.8925549983978271</v>
      </c>
      <c r="X81" s="454">
        <v>0.80675822496414185</v>
      </c>
      <c r="Y81" s="454">
        <v>0.67330348491668701</v>
      </c>
      <c r="Z81" s="454">
        <v>44.09906005859375</v>
      </c>
      <c r="AA81" s="454">
        <v>15.848649978637695</v>
      </c>
      <c r="AB81" s="454">
        <v>10.148870468139648</v>
      </c>
      <c r="AC81" s="454">
        <v>11.784150123596191</v>
      </c>
      <c r="AD81" s="454">
        <v>5.7871599197387695</v>
      </c>
      <c r="AE81" s="454">
        <v>7.347567081451416</v>
      </c>
      <c r="AF81" s="454">
        <v>18.65839958190918</v>
      </c>
      <c r="AG81" s="454">
        <v>8.6790685653686523</v>
      </c>
      <c r="AH81" s="454">
        <v>-10.144929885864258</v>
      </c>
      <c r="AI81" s="454">
        <v>-8.703028678894043</v>
      </c>
      <c r="AJ81" s="454">
        <v>4.8706731796264648</v>
      </c>
      <c r="AK81" s="454">
        <v>-21.025569915771484</v>
      </c>
      <c r="AL81" s="454">
        <v>2.4661169052124023</v>
      </c>
      <c r="AM81" s="454">
        <v>2.4000000953674316</v>
      </c>
      <c r="AN81" s="454">
        <v>22.799999237060547</v>
      </c>
      <c r="AO81" s="454">
        <v>39.799999237060547</v>
      </c>
      <c r="AP81" s="454">
        <v>-9.4499999999999993</v>
      </c>
      <c r="AQ81" s="461">
        <f t="shared" ref="AQ81:BB81" si="52">((AQ19/AP19)/(1+AQ84/100)-1)*100</f>
        <v>-19.281134765627648</v>
      </c>
      <c r="AR81" s="461">
        <f t="shared" si="52"/>
        <v>-13.481171844855556</v>
      </c>
      <c r="AS81" s="461">
        <f t="shared" si="52"/>
        <v>2347.7215053474038</v>
      </c>
      <c r="AT81" s="461">
        <f t="shared" si="52"/>
        <v>422.45525759029238</v>
      </c>
      <c r="AU81" s="461">
        <f t="shared" si="52"/>
        <v>170.16081642928847</v>
      </c>
      <c r="AV81" s="461">
        <f t="shared" si="52"/>
        <v>-16.108489242176717</v>
      </c>
      <c r="AW81" s="461">
        <f t="shared" si="52"/>
        <v>-1.6529385085585324</v>
      </c>
      <c r="AX81" s="461">
        <f t="shared" si="52"/>
        <v>-16.223356953351175</v>
      </c>
      <c r="AY81" s="461">
        <f t="shared" si="52"/>
        <v>118.6044538438328</v>
      </c>
      <c r="AZ81" s="461">
        <f t="shared" si="52"/>
        <v>80.744783000388878</v>
      </c>
      <c r="BA81" s="461">
        <f t="shared" si="52"/>
        <v>63.555018933481946</v>
      </c>
      <c r="BB81" s="461">
        <f t="shared" si="52"/>
        <v>-24.245698249351587</v>
      </c>
      <c r="BC81" s="456">
        <f>((BC106/BB106)/(1+BC84/100)-1)*100</f>
        <v>23.025032465507312</v>
      </c>
      <c r="BD81" s="456">
        <f>((BD106/BC106)/(1+BD84/100)-1)*100</f>
        <v>18.864114716856228</v>
      </c>
      <c r="BE81" s="456">
        <f>((BE106/BD106)/(1+BE84/100)-1)*100</f>
        <v>2.9999999999913429</v>
      </c>
      <c r="BF81" s="456">
        <f t="shared" ref="BF81:BO81" si="53">((BF106/BE106)/(1+BF84/100)-1)*100</f>
        <v>2.5000000000081846</v>
      </c>
      <c r="BG81" s="456">
        <f t="shared" si="53"/>
        <v>2.4999999999921529</v>
      </c>
      <c r="BH81" s="456">
        <f t="shared" si="53"/>
        <v>2.5000000000074296</v>
      </c>
      <c r="BI81" s="456">
        <f t="shared" si="53"/>
        <v>2.4999999999929079</v>
      </c>
      <c r="BJ81" s="456">
        <f t="shared" si="53"/>
        <v>2.5000000000067191</v>
      </c>
      <c r="BK81" s="456">
        <f t="shared" si="53"/>
        <v>2.4999999999935962</v>
      </c>
      <c r="BL81" s="456">
        <f t="shared" si="53"/>
        <v>2.5000000000060751</v>
      </c>
      <c r="BM81" s="456">
        <f t="shared" si="53"/>
        <v>2.4999999999941958</v>
      </c>
      <c r="BN81" s="456">
        <f t="shared" si="53"/>
        <v>2.50000000000552</v>
      </c>
      <c r="BO81" s="456">
        <f t="shared" si="53"/>
        <v>2.4999999999947065</v>
      </c>
      <c r="BP81" s="457"/>
      <c r="BQ81" s="448">
        <f t="shared" si="51"/>
        <v>0</v>
      </c>
      <c r="BR81" s="448">
        <f t="shared" si="51"/>
        <v>0</v>
      </c>
      <c r="BS81" s="448">
        <f t="shared" si="51"/>
        <v>0</v>
      </c>
      <c r="BT81" s="448">
        <f t="shared" si="51"/>
        <v>0</v>
      </c>
      <c r="BU81" s="448">
        <f t="shared" si="51"/>
        <v>0</v>
      </c>
      <c r="BV81" s="448">
        <f t="shared" si="51"/>
        <v>0</v>
      </c>
      <c r="BW81" s="448">
        <f t="shared" si="51"/>
        <v>0</v>
      </c>
      <c r="BX81" s="448">
        <f t="shared" si="51"/>
        <v>0</v>
      </c>
      <c r="BY81" s="448">
        <f t="shared" si="51"/>
        <v>0</v>
      </c>
      <c r="BZ81" s="448">
        <f t="shared" si="51"/>
        <v>0</v>
      </c>
      <c r="CA81" s="448">
        <f t="shared" si="51"/>
        <v>0</v>
      </c>
      <c r="CB81" s="448">
        <f t="shared" si="51"/>
        <v>0</v>
      </c>
      <c r="CD81" s="439">
        <v>18.864114716856228</v>
      </c>
      <c r="CE81" s="439">
        <v>2.9999999999913429</v>
      </c>
      <c r="CF81" s="439">
        <v>2.5000000000081846</v>
      </c>
      <c r="CG81" s="439">
        <v>2.4999999999921529</v>
      </c>
      <c r="CH81" s="439">
        <v>2.5000000000074296</v>
      </c>
      <c r="CI81" s="439">
        <v>2.4999999999929079</v>
      </c>
      <c r="CJ81" s="439">
        <v>2.5000000000067191</v>
      </c>
      <c r="CK81" s="439">
        <v>2.4999999999935962</v>
      </c>
      <c r="CL81" s="439">
        <v>2.5000000000060751</v>
      </c>
      <c r="CM81" s="439">
        <v>2.4999999999941958</v>
      </c>
      <c r="CN81" s="439">
        <v>2.50000000000552</v>
      </c>
      <c r="CO81" s="439">
        <v>2.4999999999947065</v>
      </c>
    </row>
    <row r="82" spans="1:93">
      <c r="A82" s="436" t="s">
        <v>2181</v>
      </c>
      <c r="B82" s="436"/>
      <c r="C82" s="442" t="s">
        <v>1349</v>
      </c>
      <c r="D82" s="436"/>
      <c r="E82" s="436" t="s">
        <v>2182</v>
      </c>
      <c r="F82" s="454">
        <v>1.8</v>
      </c>
      <c r="G82" s="454">
        <v>0.5</v>
      </c>
      <c r="H82" s="454">
        <v>3.0221829414367676</v>
      </c>
      <c r="I82" s="454">
        <v>2.2277793884277344</v>
      </c>
      <c r="J82" s="454">
        <v>-1.626257061958313</v>
      </c>
      <c r="K82" s="454">
        <v>-0.89552080631256104</v>
      </c>
      <c r="L82" s="454">
        <v>0.76559323072433472</v>
      </c>
      <c r="M82" s="454">
        <v>1.8154700994491577</v>
      </c>
      <c r="N82" s="454">
        <v>0.49572989344596863</v>
      </c>
      <c r="O82" s="454">
        <v>0.31003996729850769</v>
      </c>
      <c r="P82" s="454">
        <v>2.2613492012023926</v>
      </c>
      <c r="Q82" s="454">
        <v>1.6288275718688965</v>
      </c>
      <c r="R82" s="454">
        <v>1.1620020866394043</v>
      </c>
      <c r="S82" s="454">
        <v>1.3401436805725098</v>
      </c>
      <c r="T82" s="454">
        <v>0.38416191935539246</v>
      </c>
      <c r="U82" s="454">
        <v>2.3576428890228271</v>
      </c>
      <c r="V82" s="454">
        <v>4.3976931571960449</v>
      </c>
      <c r="W82" s="454">
        <v>6.8055276870727539</v>
      </c>
      <c r="X82" s="454">
        <v>1.0620815753936768</v>
      </c>
      <c r="Y82" s="454">
        <v>23.262006759643555</v>
      </c>
      <c r="Z82" s="454">
        <v>51.418785095214844</v>
      </c>
      <c r="AA82" s="454">
        <v>9.6750164031982422</v>
      </c>
      <c r="AB82" s="454">
        <v>2.2336657047271729</v>
      </c>
      <c r="AC82" s="454">
        <v>8.1954889297485352</v>
      </c>
      <c r="AD82" s="454">
        <v>8.4418277740478516</v>
      </c>
      <c r="AE82" s="454">
        <v>21.756065368652344</v>
      </c>
      <c r="AF82" s="454">
        <v>29.74290657043457</v>
      </c>
      <c r="AG82" s="454">
        <v>5.1207904815673828</v>
      </c>
      <c r="AH82" s="454">
        <v>-1.4226530790328979</v>
      </c>
      <c r="AI82" s="454">
        <v>-5.799159049987793</v>
      </c>
      <c r="AJ82" s="454">
        <v>-1.4299999475479126</v>
      </c>
      <c r="AK82" s="454">
        <v>4.3000001907348633</v>
      </c>
      <c r="AL82" s="454">
        <v>2.3299999237060547</v>
      </c>
      <c r="AM82" s="454">
        <v>66.589996337890625</v>
      </c>
      <c r="AN82" s="454">
        <v>12.100000381469727</v>
      </c>
      <c r="AO82" s="454">
        <v>21</v>
      </c>
      <c r="AP82" s="454">
        <v>47</v>
      </c>
      <c r="AQ82" s="454">
        <v>38.306300283925985</v>
      </c>
      <c r="AR82" s="454">
        <v>30.387615455445705</v>
      </c>
      <c r="AS82" s="454">
        <v>449.54631502796258</v>
      </c>
      <c r="AT82" s="454">
        <v>426.50594858796609</v>
      </c>
      <c r="AU82" s="454">
        <v>113.05936131309264</v>
      </c>
      <c r="AV82" s="456">
        <f t="shared" ref="AV82:BD82" si="54">((1+AV85/100)*(AV99/AU99)-1)*100</f>
        <v>-6.4529559691432929</v>
      </c>
      <c r="AW82" s="456">
        <f t="shared" si="54"/>
        <v>2.2298922185533643</v>
      </c>
      <c r="AX82" s="456">
        <f t="shared" si="54"/>
        <v>1.4999999999999902</v>
      </c>
      <c r="AY82" s="456">
        <f t="shared" si="54"/>
        <v>119.15655860349128</v>
      </c>
      <c r="AZ82" s="456">
        <f t="shared" si="54"/>
        <v>59.482986393766701</v>
      </c>
      <c r="BA82" s="456">
        <f t="shared" si="54"/>
        <v>68.853049837894886</v>
      </c>
      <c r="BB82" s="456">
        <f t="shared" si="54"/>
        <v>9.4467753041083355</v>
      </c>
      <c r="BC82" s="456">
        <f t="shared" si="54"/>
        <v>13.699360818152728</v>
      </c>
      <c r="BD82" s="456">
        <f t="shared" si="54"/>
        <v>8.970478290041207</v>
      </c>
      <c r="BE82" s="456">
        <f>((1+BE85/100)*(BE99/BD99)-1)*100</f>
        <v>3.0000000000000027</v>
      </c>
      <c r="BF82" s="456">
        <f t="shared" ref="BF82:BO82" si="55">((1+BF85/100)*(BF99/BE99)-1)*100</f>
        <v>2.4999999999999911</v>
      </c>
      <c r="BG82" s="456">
        <f t="shared" si="55"/>
        <v>2.4999999999999911</v>
      </c>
      <c r="BH82" s="456">
        <f t="shared" si="55"/>
        <v>2.4999999999999911</v>
      </c>
      <c r="BI82" s="456">
        <f t="shared" si="55"/>
        <v>2.4999999999999911</v>
      </c>
      <c r="BJ82" s="456">
        <f t="shared" si="55"/>
        <v>2.4999999999999911</v>
      </c>
      <c r="BK82" s="456">
        <f t="shared" si="55"/>
        <v>2.4999999999999911</v>
      </c>
      <c r="BL82" s="456">
        <f t="shared" si="55"/>
        <v>2.4999999999999911</v>
      </c>
      <c r="BM82" s="456">
        <f t="shared" si="55"/>
        <v>2.4999999999999911</v>
      </c>
      <c r="BN82" s="456">
        <f t="shared" si="55"/>
        <v>2.4999999999999911</v>
      </c>
      <c r="BO82" s="456">
        <f t="shared" si="55"/>
        <v>2.4999999999999911</v>
      </c>
      <c r="BP82" s="457"/>
      <c r="BQ82" s="448">
        <f t="shared" si="51"/>
        <v>0</v>
      </c>
      <c r="BR82" s="448">
        <f t="shared" si="51"/>
        <v>0</v>
      </c>
      <c r="BS82" s="448">
        <f t="shared" si="51"/>
        <v>0</v>
      </c>
      <c r="BT82" s="448">
        <f t="shared" si="51"/>
        <v>0</v>
      </c>
      <c r="BU82" s="448">
        <f t="shared" si="51"/>
        <v>0</v>
      </c>
      <c r="BV82" s="448">
        <f t="shared" si="51"/>
        <v>0</v>
      </c>
      <c r="BW82" s="448">
        <f t="shared" si="51"/>
        <v>0</v>
      </c>
      <c r="BX82" s="448">
        <f t="shared" si="51"/>
        <v>0</v>
      </c>
      <c r="BY82" s="448">
        <f t="shared" si="51"/>
        <v>0</v>
      </c>
      <c r="BZ82" s="448">
        <f t="shared" si="51"/>
        <v>0</v>
      </c>
      <c r="CA82" s="448">
        <f t="shared" si="51"/>
        <v>0</v>
      </c>
      <c r="CB82" s="448">
        <f t="shared" si="51"/>
        <v>0</v>
      </c>
      <c r="CD82" s="439">
        <v>8.970478290041207</v>
      </c>
      <c r="CE82" s="439">
        <v>3</v>
      </c>
      <c r="CF82" s="439">
        <v>2.4999999999999911</v>
      </c>
      <c r="CG82" s="439">
        <v>2.4999999999999911</v>
      </c>
      <c r="CH82" s="439">
        <v>2.4999999999999911</v>
      </c>
      <c r="CI82" s="439">
        <v>2.4999999999999911</v>
      </c>
      <c r="CJ82" s="439">
        <v>2.4999999999999911</v>
      </c>
      <c r="CK82" s="439">
        <v>2.4999999999999911</v>
      </c>
      <c r="CL82" s="439">
        <v>2.4999999999999911</v>
      </c>
      <c r="CM82" s="439">
        <v>2.4999999999999911</v>
      </c>
      <c r="CN82" s="439">
        <v>2.4999999999999911</v>
      </c>
      <c r="CO82" s="439">
        <v>2.4999999999999911</v>
      </c>
    </row>
    <row r="83" spans="1:93">
      <c r="A83" s="436" t="s">
        <v>2183</v>
      </c>
      <c r="B83" s="436"/>
      <c r="C83" s="442" t="s">
        <v>1349</v>
      </c>
      <c r="D83" s="436"/>
      <c r="E83" s="436" t="s">
        <v>2184</v>
      </c>
      <c r="F83" s="454">
        <v>2</v>
      </c>
      <c r="G83" s="454">
        <v>1</v>
      </c>
      <c r="H83" s="454">
        <v>2</v>
      </c>
      <c r="I83" s="454">
        <v>0.62393432855606079</v>
      </c>
      <c r="J83" s="454">
        <v>1.2711864709854126</v>
      </c>
      <c r="K83" s="454">
        <v>-6.6945605278015137</v>
      </c>
      <c r="L83" s="454">
        <v>21.07623291015625</v>
      </c>
      <c r="M83" s="454">
        <v>-5.9259257316589355</v>
      </c>
      <c r="N83" s="454">
        <v>9.4488191604614258</v>
      </c>
      <c r="O83" s="454">
        <v>-6.5951180458068848</v>
      </c>
      <c r="P83" s="454">
        <v>-7.3968186378479004</v>
      </c>
      <c r="Q83" s="454">
        <v>8.2182636260986328</v>
      </c>
      <c r="R83" s="454">
        <v>6.1108083724975586</v>
      </c>
      <c r="S83" s="454">
        <v>12.132053375244141</v>
      </c>
      <c r="T83" s="454">
        <v>21.12646484375</v>
      </c>
      <c r="U83" s="454">
        <v>12.155237197875977</v>
      </c>
      <c r="V83" s="454">
        <v>17.866277694702148</v>
      </c>
      <c r="W83" s="454">
        <v>-4.9536499977111816</v>
      </c>
      <c r="X83" s="454">
        <v>-4.3030695915222168</v>
      </c>
      <c r="Y83" s="454">
        <v>28.502105712890625</v>
      </c>
      <c r="Z83" s="454">
        <v>15.074921607971191</v>
      </c>
      <c r="AA83" s="454">
        <v>25.617427825927734</v>
      </c>
      <c r="AB83" s="454">
        <v>12</v>
      </c>
      <c r="AC83" s="454">
        <v>24.107143402099609</v>
      </c>
      <c r="AD83" s="454">
        <v>9.3525180816650391</v>
      </c>
      <c r="AE83" s="454">
        <v>8.5526313781738281</v>
      </c>
      <c r="AF83" s="454">
        <v>1.8181818723678589</v>
      </c>
      <c r="AG83" s="454">
        <v>0</v>
      </c>
      <c r="AH83" s="454">
        <v>5.3571429252624512</v>
      </c>
      <c r="AI83" s="454">
        <v>-0.50847458839416504</v>
      </c>
      <c r="AJ83" s="454">
        <v>-5.9625210762023926</v>
      </c>
      <c r="AK83" s="454">
        <v>0</v>
      </c>
      <c r="AL83" s="454">
        <v>32.78985595703125</v>
      </c>
      <c r="AM83" s="454">
        <v>29.513410568237305</v>
      </c>
      <c r="AN83" s="454">
        <v>15</v>
      </c>
      <c r="AO83" s="454">
        <v>19.700000762939453</v>
      </c>
      <c r="AP83" s="454">
        <v>21.746293245469506</v>
      </c>
      <c r="AQ83" s="454">
        <v>25.968753844261293</v>
      </c>
      <c r="AR83" s="454">
        <v>43.662109374999993</v>
      </c>
      <c r="AS83" s="454">
        <v>143.51845557745909</v>
      </c>
      <c r="AT83" s="454">
        <v>368.47923179991062</v>
      </c>
      <c r="AU83" s="454">
        <v>235.55783301951999</v>
      </c>
      <c r="AV83" s="454">
        <v>4.7538150511285941</v>
      </c>
      <c r="AW83" s="454">
        <v>15.03068395004575</v>
      </c>
      <c r="AX83" s="454">
        <v>28.480460617672083</v>
      </c>
      <c r="AY83" s="454">
        <v>111.85443496609747</v>
      </c>
      <c r="AZ83" s="454">
        <v>48.228952216213315</v>
      </c>
      <c r="BA83" s="454">
        <v>38.121474103473723</v>
      </c>
      <c r="BB83" s="454">
        <v>-3.012242253007976</v>
      </c>
      <c r="BC83" s="458">
        <f t="shared" ref="BC83:BO83" ca="1" si="56">0.2*BC163+0.6*BC82+0.2*BB80+(BC168-BB168)*0.5</f>
        <v>9.607662726373011</v>
      </c>
      <c r="BD83" s="458">
        <f t="shared" ca="1" si="56"/>
        <v>13.849939979881263</v>
      </c>
      <c r="BE83" s="458">
        <f ca="1">0.2*BE163+0.6*BE82+0.2*BD80+(BE168-BD168)*0.5</f>
        <v>5.7606761985885182</v>
      </c>
      <c r="BF83" s="458">
        <f ca="1">0.2*BF163+0.6*BF82+0.2*BE80+(BF168-BE168)*0.5</f>
        <v>4.3145040193160478</v>
      </c>
      <c r="BG83" s="458">
        <f t="shared" ca="1" si="56"/>
        <v>3.6457448688895253</v>
      </c>
      <c r="BH83" s="458">
        <f t="shared" ca="1" si="56"/>
        <v>3.3141007440232682</v>
      </c>
      <c r="BI83" s="458">
        <f t="shared" ca="1" si="56"/>
        <v>3.1421846588172224</v>
      </c>
      <c r="BJ83" s="458">
        <f t="shared" ca="1" si="56"/>
        <v>3.0517149233600005</v>
      </c>
      <c r="BK83" s="458">
        <f t="shared" ca="1" si="56"/>
        <v>3.0070859766945248</v>
      </c>
      <c r="BL83" s="458">
        <f t="shared" ca="1" si="56"/>
        <v>2.9874648196042064</v>
      </c>
      <c r="BM83" s="458">
        <f t="shared" ca="1" si="56"/>
        <v>2.9764692321019481</v>
      </c>
      <c r="BN83" s="458">
        <f t="shared" ca="1" si="56"/>
        <v>2.9693153791629192</v>
      </c>
      <c r="BO83" s="458">
        <f t="shared" ca="1" si="56"/>
        <v>2.9636122156749085</v>
      </c>
      <c r="BP83" s="457"/>
      <c r="BQ83" s="448">
        <f t="shared" ca="1" si="51"/>
        <v>0</v>
      </c>
      <c r="BR83" s="448">
        <f t="shared" ca="1" si="51"/>
        <v>0</v>
      </c>
      <c r="BS83" s="448">
        <f t="shared" ca="1" si="51"/>
        <v>9.7699626167013776E-15</v>
      </c>
      <c r="BT83" s="448">
        <f t="shared" ca="1" si="51"/>
        <v>2.7977620220553945E-13</v>
      </c>
      <c r="BU83" s="448">
        <f t="shared" ca="1" si="51"/>
        <v>3.0229152514493762E-12</v>
      </c>
      <c r="BV83" s="448">
        <f t="shared" ca="1" si="51"/>
        <v>2.4141577625869104E-11</v>
      </c>
      <c r="BW83" s="448">
        <f t="shared" ca="1" si="51"/>
        <v>1.5223600158265072E-10</v>
      </c>
      <c r="BX83" s="448">
        <f t="shared" ca="1" si="51"/>
        <v>7.8377659917805431E-10</v>
      </c>
      <c r="BY83" s="448">
        <f t="shared" ca="1" si="51"/>
        <v>3.3955194211898743E-9</v>
      </c>
      <c r="BZ83" s="448">
        <f t="shared" ca="1" si="51"/>
        <v>1.2693857520673646E-8</v>
      </c>
      <c r="CA83" s="448">
        <f t="shared" ca="1" si="51"/>
        <v>4.1698754227326162E-8</v>
      </c>
      <c r="CB83" s="448">
        <f t="shared" ca="1" si="51"/>
        <v>1.2323971487759877E-7</v>
      </c>
      <c r="CD83" s="439">
        <v>13.849939979881263</v>
      </c>
      <c r="CE83" s="439">
        <v>5.7606761985885173</v>
      </c>
      <c r="CF83" s="439">
        <v>4.314504019316038</v>
      </c>
      <c r="CG83" s="439">
        <v>3.6457448688892455</v>
      </c>
      <c r="CH83" s="439">
        <v>3.3141007440202452</v>
      </c>
      <c r="CI83" s="439">
        <v>3.1421846587930808</v>
      </c>
      <c r="CJ83" s="439">
        <v>3.0517149232077645</v>
      </c>
      <c r="CK83" s="439">
        <v>3.0070859759107482</v>
      </c>
      <c r="CL83" s="439">
        <v>2.987464816208687</v>
      </c>
      <c r="CM83" s="439">
        <v>2.9764692194080906</v>
      </c>
      <c r="CN83" s="439">
        <v>2.969315337464165</v>
      </c>
      <c r="CO83" s="439">
        <v>2.9636120924351936</v>
      </c>
    </row>
    <row r="84" spans="1:93">
      <c r="A84" s="436" t="s">
        <v>2185</v>
      </c>
      <c r="B84" s="436"/>
      <c r="C84" s="442"/>
      <c r="D84" s="436"/>
      <c r="E84" s="464"/>
      <c r="F84" s="464"/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  <c r="R84" s="464"/>
      <c r="S84" s="464"/>
      <c r="T84" s="464"/>
      <c r="U84" s="464"/>
      <c r="V84" s="464"/>
      <c r="W84" s="464"/>
      <c r="X84" s="464"/>
      <c r="Y84" s="464"/>
      <c r="Z84" s="464"/>
      <c r="AA84" s="464"/>
      <c r="AB84" s="464"/>
      <c r="AC84" s="464"/>
      <c r="AD84" s="464"/>
      <c r="AE84" s="464"/>
      <c r="AF84" s="464"/>
      <c r="AG84" s="464"/>
      <c r="AH84" s="464"/>
      <c r="AI84" s="464"/>
      <c r="AJ84" s="464"/>
      <c r="AK84" s="464"/>
      <c r="AL84" s="464"/>
      <c r="AM84" s="464"/>
      <c r="AN84" s="464"/>
      <c r="AO84" s="464"/>
      <c r="AP84" s="464"/>
      <c r="AQ84" s="464">
        <f t="shared" ref="AQ84:BD84" si="57">+(AQ105/AP106-1)*100</f>
        <v>-6.2505433363148066</v>
      </c>
      <c r="AR84" s="464">
        <f t="shared" si="57"/>
        <v>14.139863357625115</v>
      </c>
      <c r="AS84" s="464">
        <f t="shared" si="57"/>
        <v>-6.4706062399103708</v>
      </c>
      <c r="AT84" s="464">
        <f t="shared" si="57"/>
        <v>-2.5437152729590129</v>
      </c>
      <c r="AU84" s="464">
        <f t="shared" si="57"/>
        <v>12.259341437409677</v>
      </c>
      <c r="AV84" s="464">
        <f t="shared" si="57"/>
        <v>0.42555525568570562</v>
      </c>
      <c r="AW84" s="464">
        <f t="shared" si="57"/>
        <v>2.7451529663351959</v>
      </c>
      <c r="AX84" s="464">
        <f t="shared" si="57"/>
        <v>2.0689769031533745</v>
      </c>
      <c r="AY84" s="464">
        <f t="shared" si="57"/>
        <v>-0.26392722395226498</v>
      </c>
      <c r="AZ84" s="464">
        <f t="shared" si="57"/>
        <v>-2.6206605317248166</v>
      </c>
      <c r="BA84" s="464">
        <f t="shared" si="57"/>
        <v>2.4204785271460194</v>
      </c>
      <c r="BB84" s="464">
        <f t="shared" si="57"/>
        <v>15.624053045715701</v>
      </c>
      <c r="BC84" s="464">
        <f t="shared" si="57"/>
        <v>12.507013403194446</v>
      </c>
      <c r="BD84" s="464">
        <f t="shared" si="57"/>
        <v>25.324923313825074</v>
      </c>
      <c r="BE84" s="464">
        <f>+(BE105/BD106-1)*100</f>
        <v>5.6749126482979806</v>
      </c>
      <c r="BF84" s="464">
        <f t="shared" ref="BF84:BO84" si="58">+(BF105/BE106-1)*100</f>
        <v>2.5000000000001021</v>
      </c>
      <c r="BG84" s="464">
        <f t="shared" si="58"/>
        <v>2.4999999999998801</v>
      </c>
      <c r="BH84" s="464">
        <f t="shared" si="58"/>
        <v>2.5000000000000799</v>
      </c>
      <c r="BI84" s="464">
        <f t="shared" si="58"/>
        <v>2.4999999999999245</v>
      </c>
      <c r="BJ84" s="464">
        <f t="shared" si="58"/>
        <v>2.5000000000000799</v>
      </c>
      <c r="BK84" s="464">
        <f t="shared" si="58"/>
        <v>2.4999999999999023</v>
      </c>
      <c r="BL84" s="464">
        <f t="shared" si="58"/>
        <v>2.5000000000000799</v>
      </c>
      <c r="BM84" s="464">
        <f t="shared" si="58"/>
        <v>2.4999999999999245</v>
      </c>
      <c r="BN84" s="464">
        <f t="shared" si="58"/>
        <v>2.5000000000000577</v>
      </c>
      <c r="BO84" s="464">
        <f t="shared" si="58"/>
        <v>2.4999999999999245</v>
      </c>
      <c r="BP84" s="445"/>
      <c r="BQ84" s="448">
        <f t="shared" si="51"/>
        <v>0</v>
      </c>
      <c r="BR84" s="448">
        <f t="shared" si="51"/>
        <v>0</v>
      </c>
      <c r="BS84" s="448">
        <f t="shared" si="51"/>
        <v>0</v>
      </c>
      <c r="BT84" s="448">
        <f t="shared" si="51"/>
        <v>0</v>
      </c>
      <c r="BU84" s="448">
        <f t="shared" si="51"/>
        <v>0</v>
      </c>
      <c r="BV84" s="448">
        <f t="shared" si="51"/>
        <v>0</v>
      </c>
      <c r="BW84" s="448">
        <f t="shared" si="51"/>
        <v>0</v>
      </c>
      <c r="BX84" s="448">
        <f t="shared" si="51"/>
        <v>0</v>
      </c>
      <c r="BY84" s="448">
        <f t="shared" si="51"/>
        <v>0</v>
      </c>
      <c r="BZ84" s="448">
        <f t="shared" si="51"/>
        <v>0</v>
      </c>
      <c r="CA84" s="448">
        <f t="shared" si="51"/>
        <v>0</v>
      </c>
      <c r="CB84" s="448">
        <f t="shared" si="51"/>
        <v>0</v>
      </c>
      <c r="CD84" s="439">
        <v>25.324923313825074</v>
      </c>
      <c r="CE84" s="439">
        <v>5.6749126482979806</v>
      </c>
      <c r="CF84" s="439">
        <v>2.5000000000001021</v>
      </c>
      <c r="CG84" s="439">
        <v>2.4999999999998801</v>
      </c>
      <c r="CH84" s="439">
        <v>2.5000000000000799</v>
      </c>
      <c r="CI84" s="439">
        <v>2.4999999999999245</v>
      </c>
      <c r="CJ84" s="439">
        <v>2.5000000000000799</v>
      </c>
      <c r="CK84" s="439">
        <v>2.4999999999999023</v>
      </c>
      <c r="CL84" s="439">
        <v>2.5000000000000799</v>
      </c>
      <c r="CM84" s="439">
        <v>2.4999999999999245</v>
      </c>
      <c r="CN84" s="439">
        <v>2.5000000000000577</v>
      </c>
      <c r="CO84" s="439">
        <v>2.4999999999999245</v>
      </c>
    </row>
    <row r="85" spans="1:93">
      <c r="A85" s="448" t="s">
        <v>2186</v>
      </c>
      <c r="C85" s="442" t="s">
        <v>1349</v>
      </c>
      <c r="AU85" s="438"/>
      <c r="AV85" s="441">
        <f>AV86</f>
        <v>2.9</v>
      </c>
      <c r="AW85" s="441">
        <f t="shared" ref="AW85:BO85" si="59">AW86</f>
        <v>2.2999999999999998</v>
      </c>
      <c r="AX85" s="441">
        <f t="shared" si="59"/>
        <v>1.5</v>
      </c>
      <c r="AY85" s="441">
        <f t="shared" si="59"/>
        <v>2.2000000000000002</v>
      </c>
      <c r="AZ85" s="441">
        <f t="shared" si="59"/>
        <v>3.4</v>
      </c>
      <c r="BA85" s="441">
        <f t="shared" si="59"/>
        <v>2.8</v>
      </c>
      <c r="BB85" s="441">
        <f t="shared" si="59"/>
        <v>1.6</v>
      </c>
      <c r="BC85" s="441">
        <f t="shared" si="59"/>
        <v>2.2999999999999998</v>
      </c>
      <c r="BD85" s="441">
        <f t="shared" si="59"/>
        <v>2.7</v>
      </c>
      <c r="BE85" s="441">
        <f t="shared" si="59"/>
        <v>3</v>
      </c>
      <c r="BF85" s="441">
        <f t="shared" si="59"/>
        <v>2.5</v>
      </c>
      <c r="BG85" s="441">
        <f t="shared" si="59"/>
        <v>2.5</v>
      </c>
      <c r="BH85" s="441">
        <f t="shared" si="59"/>
        <v>2.5</v>
      </c>
      <c r="BI85" s="441">
        <f t="shared" si="59"/>
        <v>2.5</v>
      </c>
      <c r="BJ85" s="441">
        <f t="shared" si="59"/>
        <v>2.5</v>
      </c>
      <c r="BK85" s="441">
        <f t="shared" si="59"/>
        <v>2.5</v>
      </c>
      <c r="BL85" s="441">
        <f t="shared" si="59"/>
        <v>2.5</v>
      </c>
      <c r="BM85" s="441">
        <f t="shared" si="59"/>
        <v>2.5</v>
      </c>
      <c r="BN85" s="441">
        <f t="shared" si="59"/>
        <v>2.5</v>
      </c>
      <c r="BO85" s="441">
        <f t="shared" si="59"/>
        <v>2.5</v>
      </c>
      <c r="BP85" s="440"/>
      <c r="BQ85" s="448">
        <f t="shared" si="51"/>
        <v>0</v>
      </c>
      <c r="BR85" s="448">
        <f t="shared" si="51"/>
        <v>0</v>
      </c>
      <c r="BS85" s="448">
        <f t="shared" si="51"/>
        <v>0</v>
      </c>
      <c r="BT85" s="448">
        <f t="shared" si="51"/>
        <v>0</v>
      </c>
      <c r="BU85" s="448">
        <f t="shared" si="51"/>
        <v>0</v>
      </c>
      <c r="BV85" s="448">
        <f t="shared" si="51"/>
        <v>0</v>
      </c>
      <c r="BW85" s="448">
        <f t="shared" si="51"/>
        <v>0</v>
      </c>
      <c r="BX85" s="448">
        <f t="shared" si="51"/>
        <v>0</v>
      </c>
      <c r="BY85" s="448">
        <f t="shared" si="51"/>
        <v>0</v>
      </c>
      <c r="BZ85" s="448">
        <f t="shared" si="51"/>
        <v>0</v>
      </c>
      <c r="CA85" s="448">
        <f t="shared" si="51"/>
        <v>0</v>
      </c>
      <c r="CB85" s="448">
        <f t="shared" si="51"/>
        <v>0</v>
      </c>
      <c r="CD85" s="439">
        <v>2.7</v>
      </c>
      <c r="CE85" s="439">
        <v>3</v>
      </c>
      <c r="CF85" s="439">
        <v>2.5</v>
      </c>
      <c r="CG85" s="439">
        <v>2.5</v>
      </c>
      <c r="CH85" s="439">
        <v>2.5</v>
      </c>
      <c r="CI85" s="439">
        <v>2.5</v>
      </c>
      <c r="CJ85" s="439">
        <v>2.5</v>
      </c>
      <c r="CK85" s="439">
        <v>2.5</v>
      </c>
      <c r="CL85" s="439">
        <v>2.5</v>
      </c>
      <c r="CM85" s="439">
        <v>2.5</v>
      </c>
      <c r="CN85" s="439">
        <v>2.5</v>
      </c>
      <c r="CO85" s="439">
        <v>2.5</v>
      </c>
    </row>
    <row r="86" spans="1:93">
      <c r="A86" s="436" t="s">
        <v>2187</v>
      </c>
      <c r="B86" s="436"/>
      <c r="C86" s="442" t="s">
        <v>1349</v>
      </c>
      <c r="D86" s="436"/>
      <c r="E86" s="436"/>
      <c r="F86" s="469"/>
      <c r="G86" s="469"/>
      <c r="H86" s="469"/>
      <c r="I86" s="469"/>
      <c r="J86" s="469"/>
      <c r="K86" s="469"/>
      <c r="L86" s="469"/>
      <c r="M86" s="469"/>
      <c r="N86" s="469"/>
      <c r="O86" s="469"/>
      <c r="P86" s="469"/>
      <c r="Q86" s="469"/>
      <c r="R86" s="469"/>
      <c r="S86" s="469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70">
        <v>4.2</v>
      </c>
      <c r="AO86" s="470">
        <v>4.9000000000000004</v>
      </c>
      <c r="AP86" s="470">
        <v>5</v>
      </c>
      <c r="AQ86" s="470">
        <v>4</v>
      </c>
      <c r="AR86" s="470">
        <v>3</v>
      </c>
      <c r="AS86" s="470">
        <v>3</v>
      </c>
      <c r="AT86" s="470">
        <v>2.6</v>
      </c>
      <c r="AU86" s="470">
        <v>2.8</v>
      </c>
      <c r="AV86" s="470">
        <v>2.9</v>
      </c>
      <c r="AW86" s="470">
        <v>2.2999999999999998</v>
      </c>
      <c r="AX86" s="470">
        <v>1.5</v>
      </c>
      <c r="AY86" s="470">
        <v>2.2000000000000002</v>
      </c>
      <c r="AZ86" s="470">
        <v>3.4</v>
      </c>
      <c r="BA86" s="470">
        <v>2.8</v>
      </c>
      <c r="BB86" s="470">
        <v>1.6</v>
      </c>
      <c r="BC86" s="470">
        <v>2.2999999999999998</v>
      </c>
      <c r="BD86" s="470">
        <v>2.7</v>
      </c>
      <c r="BE86" s="470">
        <v>3</v>
      </c>
      <c r="BF86" s="470">
        <v>2.5</v>
      </c>
      <c r="BG86" s="470">
        <v>2.5</v>
      </c>
      <c r="BH86" s="470">
        <v>2.5</v>
      </c>
      <c r="BI86" s="470">
        <v>2.5</v>
      </c>
      <c r="BJ86" s="470">
        <v>2.5</v>
      </c>
      <c r="BK86" s="470">
        <v>2.5</v>
      </c>
      <c r="BL86" s="470">
        <v>2.5</v>
      </c>
      <c r="BM86" s="470">
        <v>2.5</v>
      </c>
      <c r="BN86" s="470">
        <v>2.5</v>
      </c>
      <c r="BO86" s="470">
        <v>2.5</v>
      </c>
      <c r="BP86" s="445"/>
      <c r="BQ86" s="448">
        <f t="shared" si="51"/>
        <v>0</v>
      </c>
      <c r="BR86" s="448">
        <f t="shared" si="51"/>
        <v>0</v>
      </c>
      <c r="BS86" s="448">
        <f t="shared" si="51"/>
        <v>0</v>
      </c>
      <c r="BT86" s="448">
        <f t="shared" si="51"/>
        <v>0</v>
      </c>
      <c r="BU86" s="448">
        <f t="shared" si="51"/>
        <v>0</v>
      </c>
      <c r="BV86" s="448">
        <f t="shared" si="51"/>
        <v>0</v>
      </c>
      <c r="BW86" s="448">
        <f t="shared" si="51"/>
        <v>0</v>
      </c>
      <c r="BX86" s="448">
        <f t="shared" si="51"/>
        <v>0</v>
      </c>
      <c r="BY86" s="448">
        <f t="shared" si="51"/>
        <v>0</v>
      </c>
      <c r="BZ86" s="448">
        <f t="shared" si="51"/>
        <v>0</v>
      </c>
      <c r="CA86" s="448">
        <f t="shared" si="51"/>
        <v>0</v>
      </c>
      <c r="CB86" s="448">
        <f t="shared" si="51"/>
        <v>0</v>
      </c>
      <c r="CD86" s="439">
        <v>2.7</v>
      </c>
      <c r="CE86" s="439">
        <v>3</v>
      </c>
      <c r="CF86" s="439">
        <v>2.5</v>
      </c>
      <c r="CG86" s="439">
        <v>2.5</v>
      </c>
      <c r="CH86" s="439">
        <v>2.5</v>
      </c>
      <c r="CI86" s="439">
        <v>2.5</v>
      </c>
      <c r="CJ86" s="439">
        <v>2.5</v>
      </c>
      <c r="CK86" s="439">
        <v>2.5</v>
      </c>
      <c r="CL86" s="439">
        <v>2.5</v>
      </c>
      <c r="CM86" s="439">
        <v>2.5</v>
      </c>
      <c r="CN86" s="439">
        <v>2.5</v>
      </c>
      <c r="CO86" s="439">
        <v>2.5</v>
      </c>
    </row>
    <row r="87" spans="1:93" s="450" customFormat="1">
      <c r="A87" s="452" t="s">
        <v>2188</v>
      </c>
      <c r="B87" s="452"/>
      <c r="C87" s="465"/>
      <c r="D87" s="452"/>
      <c r="E87" s="452"/>
      <c r="F87" s="466" t="s">
        <v>1344</v>
      </c>
      <c r="G87" s="452"/>
      <c r="H87" s="452"/>
      <c r="I87" s="452"/>
      <c r="J87" s="452"/>
      <c r="K87" s="452"/>
      <c r="L87" s="452"/>
      <c r="M87" s="452"/>
      <c r="N87" s="452"/>
      <c r="O87" s="452"/>
      <c r="P87" s="452"/>
      <c r="Q87" s="452"/>
      <c r="R87" s="452"/>
      <c r="S87" s="452"/>
      <c r="T87" s="452"/>
      <c r="U87" s="452"/>
      <c r="V87" s="452"/>
      <c r="W87" s="452"/>
      <c r="X87" s="452"/>
      <c r="Y87" s="452"/>
      <c r="Z87" s="452"/>
      <c r="AA87" s="452"/>
      <c r="AB87" s="452"/>
      <c r="AC87" s="452"/>
      <c r="AD87" s="452"/>
      <c r="AE87" s="452"/>
      <c r="AF87" s="452"/>
      <c r="AG87" s="452"/>
      <c r="AH87" s="452"/>
      <c r="AI87" s="452"/>
      <c r="AJ87" s="452"/>
      <c r="AK87" s="452"/>
      <c r="AL87" s="452"/>
      <c r="AM87" s="452"/>
      <c r="AN87" s="452"/>
      <c r="AO87" s="452"/>
      <c r="AP87" s="452"/>
      <c r="AQ87" s="452"/>
      <c r="AR87" s="452"/>
      <c r="AS87" s="452"/>
      <c r="AT87" s="452"/>
      <c r="AU87" s="452"/>
      <c r="AV87" s="452" t="s">
        <v>1344</v>
      </c>
      <c r="AW87" s="452" t="s">
        <v>1344</v>
      </c>
      <c r="AX87" s="452" t="s">
        <v>1344</v>
      </c>
      <c r="AY87" s="452" t="s">
        <v>1344</v>
      </c>
      <c r="AZ87" s="452" t="s">
        <v>1344</v>
      </c>
      <c r="BA87" s="452" t="s">
        <v>1344</v>
      </c>
      <c r="BB87" s="452" t="s">
        <v>1344</v>
      </c>
      <c r="BC87" s="452" t="s">
        <v>1344</v>
      </c>
      <c r="BD87" s="452" t="s">
        <v>1344</v>
      </c>
      <c r="BE87" s="452" t="s">
        <v>1344</v>
      </c>
      <c r="BF87" s="452" t="s">
        <v>1344</v>
      </c>
      <c r="BG87" s="452" t="s">
        <v>1344</v>
      </c>
      <c r="BH87" s="452" t="s">
        <v>1344</v>
      </c>
      <c r="BI87" s="452" t="s">
        <v>1344</v>
      </c>
      <c r="BJ87" s="452" t="s">
        <v>1344</v>
      </c>
      <c r="BK87" s="452" t="s">
        <v>1344</v>
      </c>
      <c r="BL87" s="452" t="s">
        <v>1344</v>
      </c>
      <c r="BM87" s="452" t="s">
        <v>1344</v>
      </c>
      <c r="BN87" s="452" t="s">
        <v>1344</v>
      </c>
      <c r="BO87" s="452" t="s">
        <v>1344</v>
      </c>
      <c r="BP87" s="452"/>
      <c r="BQ87" s="452" t="s">
        <v>1344</v>
      </c>
      <c r="BR87" s="452" t="s">
        <v>1344</v>
      </c>
      <c r="BS87" s="452" t="s">
        <v>1344</v>
      </c>
      <c r="BT87" s="452" t="s">
        <v>1344</v>
      </c>
      <c r="BU87" s="452" t="s">
        <v>1344</v>
      </c>
      <c r="BV87" s="452" t="s">
        <v>1344</v>
      </c>
      <c r="BW87" s="452" t="s">
        <v>1344</v>
      </c>
      <c r="BX87" s="452" t="s">
        <v>1344</v>
      </c>
      <c r="BY87" s="452" t="s">
        <v>1344</v>
      </c>
      <c r="BZ87" s="452" t="s">
        <v>1344</v>
      </c>
      <c r="CA87" s="452" t="s">
        <v>1344</v>
      </c>
      <c r="CB87" s="452" t="s">
        <v>1344</v>
      </c>
      <c r="CC87" s="452"/>
      <c r="CD87" s="450" t="s">
        <v>1344</v>
      </c>
      <c r="CE87" s="450" t="s">
        <v>1344</v>
      </c>
      <c r="CF87" s="450" t="s">
        <v>1344</v>
      </c>
      <c r="CG87" s="450" t="s">
        <v>1344</v>
      </c>
      <c r="CH87" s="450" t="s">
        <v>1344</v>
      </c>
      <c r="CI87" s="450" t="s">
        <v>1344</v>
      </c>
      <c r="CJ87" s="450" t="s">
        <v>1344</v>
      </c>
      <c r="CK87" s="450" t="s">
        <v>1344</v>
      </c>
      <c r="CL87" s="450" t="s">
        <v>1344</v>
      </c>
      <c r="CM87" s="450" t="s">
        <v>1344</v>
      </c>
      <c r="CN87" s="450" t="s">
        <v>1344</v>
      </c>
      <c r="CO87" s="450" t="s">
        <v>1344</v>
      </c>
    </row>
    <row r="88" spans="1:93">
      <c r="A88" s="447" t="s">
        <v>2189</v>
      </c>
      <c r="B88" s="447"/>
      <c r="C88" s="442" t="s">
        <v>2190</v>
      </c>
      <c r="D88" s="447" t="s">
        <v>3006</v>
      </c>
      <c r="E88" s="438" t="s">
        <v>2191</v>
      </c>
      <c r="F88" s="454">
        <v>48.2</v>
      </c>
      <c r="G88" s="454">
        <v>49.8</v>
      </c>
      <c r="H88" s="454">
        <v>64.740486145019531</v>
      </c>
      <c r="I88" s="454">
        <v>67.589065551757813</v>
      </c>
      <c r="J88" s="454">
        <v>71.374046325683594</v>
      </c>
      <c r="K88" s="454">
        <v>75.534286499023438</v>
      </c>
      <c r="L88" s="454">
        <v>80.084541320800781</v>
      </c>
      <c r="M88" s="454">
        <v>80.96209716796875</v>
      </c>
      <c r="N88" s="454">
        <v>81.579635620117188</v>
      </c>
      <c r="O88" s="454">
        <v>82.099655151367188</v>
      </c>
      <c r="P88" s="454">
        <v>82.635292053222656</v>
      </c>
      <c r="Q88" s="454">
        <v>83.680549621582031</v>
      </c>
      <c r="R88" s="454">
        <v>84.075767517089844</v>
      </c>
      <c r="S88" s="454">
        <v>84.600982666015625</v>
      </c>
      <c r="T88" s="454">
        <v>85.646247863769531</v>
      </c>
      <c r="U88" s="454">
        <v>85.976463317871094</v>
      </c>
      <c r="V88" s="454">
        <v>87.866767883300781</v>
      </c>
      <c r="W88" s="454">
        <v>83.126693725585938</v>
      </c>
      <c r="X88" s="454">
        <v>82.247848510742188</v>
      </c>
      <c r="Y88" s="454">
        <v>79.889511108398438</v>
      </c>
      <c r="Z88" s="454">
        <v>78.849456787109375</v>
      </c>
      <c r="AA88" s="454">
        <v>83.4647216796875</v>
      </c>
      <c r="AB88" s="454">
        <v>81.644615173339844</v>
      </c>
      <c r="AC88" s="454">
        <v>82.814674377441406</v>
      </c>
      <c r="AD88" s="454">
        <v>83.074684143066406</v>
      </c>
      <c r="AE88" s="454">
        <v>81.25457763671875</v>
      </c>
      <c r="AF88" s="454">
        <v>82.099632263183594</v>
      </c>
      <c r="AG88" s="454">
        <v>81.839622497558594</v>
      </c>
      <c r="AH88" s="454">
        <v>81.748611450195313</v>
      </c>
      <c r="AI88" s="454">
        <v>79.954513549804688</v>
      </c>
      <c r="AJ88" s="454">
        <v>76.925338745117188</v>
      </c>
      <c r="AK88" s="454">
        <v>74.128883361816406</v>
      </c>
      <c r="AL88" s="454">
        <v>69.358917236328125</v>
      </c>
      <c r="AM88" s="454">
        <v>65.164642333984375</v>
      </c>
      <c r="AN88" s="454">
        <v>60.876659393310547</v>
      </c>
      <c r="AO88" s="454">
        <v>55.818065643310547</v>
      </c>
      <c r="AP88" s="454">
        <v>53.200000762939453</v>
      </c>
      <c r="AQ88" s="454">
        <v>54.065437558463735</v>
      </c>
      <c r="AR88" s="454">
        <v>54.596764706386153</v>
      </c>
      <c r="AS88" s="454">
        <v>51.791635790062131</v>
      </c>
      <c r="AT88" s="454">
        <v>47.320599047501005</v>
      </c>
      <c r="AU88" s="454">
        <v>44.121035130535873</v>
      </c>
      <c r="AV88" s="454">
        <v>45.718737182349727</v>
      </c>
      <c r="AW88" s="454">
        <v>45.232367637856647</v>
      </c>
      <c r="AX88" s="454">
        <v>45.224754897160231</v>
      </c>
      <c r="AY88" s="454">
        <v>43.610008009443192</v>
      </c>
      <c r="AZ88" s="454">
        <v>43.55841054472306</v>
      </c>
      <c r="BA88" s="454">
        <v>43.043281757599082</v>
      </c>
      <c r="BB88" s="454">
        <v>43.463402520095613</v>
      </c>
      <c r="BC88" s="454">
        <v>44.647379214404019</v>
      </c>
      <c r="BD88" s="458">
        <f t="shared" ref="BD88:BO88" ca="1" si="60">BC88*(1+0.7*(BC152+BD152)/200)</f>
        <v>49.398514364117354</v>
      </c>
      <c r="BE88" s="458">
        <f t="shared" ca="1" si="60"/>
        <v>52.684021218941197</v>
      </c>
      <c r="BF88" s="458">
        <f t="shared" ca="1" si="60"/>
        <v>53.982100176061884</v>
      </c>
      <c r="BG88" s="458">
        <f t="shared" ca="1" si="60"/>
        <v>54.976495944612651</v>
      </c>
      <c r="BH88" s="458">
        <f t="shared" ca="1" si="60"/>
        <v>55.920632515278911</v>
      </c>
      <c r="BI88" s="458">
        <f t="shared" ca="1" si="60"/>
        <v>56.792902196703409</v>
      </c>
      <c r="BJ88" s="458">
        <f t="shared" ca="1" si="60"/>
        <v>57.624083441295845</v>
      </c>
      <c r="BK88" s="458">
        <f t="shared" ca="1" si="60"/>
        <v>58.455540061208062</v>
      </c>
      <c r="BL88" s="458">
        <f t="shared" ca="1" si="60"/>
        <v>59.315991450191035</v>
      </c>
      <c r="BM88" s="458">
        <f t="shared" ca="1" si="60"/>
        <v>60.182641345346795</v>
      </c>
      <c r="BN88" s="458">
        <f t="shared" ca="1" si="60"/>
        <v>61.050594665331154</v>
      </c>
      <c r="BO88" s="458">
        <f t="shared" ca="1" si="60"/>
        <v>61.917262990746373</v>
      </c>
      <c r="BP88" s="457"/>
      <c r="BQ88" s="448">
        <f t="shared" ref="BQ88:CB105" ca="1" si="61">+BD88-CD88</f>
        <v>0</v>
      </c>
      <c r="BR88" s="448">
        <f t="shared" ca="1" si="61"/>
        <v>0</v>
      </c>
      <c r="BS88" s="448">
        <f t="shared" ca="1" si="61"/>
        <v>0</v>
      </c>
      <c r="BT88" s="448">
        <f t="shared" ca="1" si="61"/>
        <v>8.5265128291212022E-14</v>
      </c>
      <c r="BU88" s="448">
        <f t="shared" ca="1" si="61"/>
        <v>9.6633812063373625E-13</v>
      </c>
      <c r="BV88" s="448">
        <f t="shared" ca="1" si="61"/>
        <v>8.1001871876651421E-12</v>
      </c>
      <c r="BW88" s="448">
        <f t="shared" ca="1" si="61"/>
        <v>5.3162807489570696E-11</v>
      </c>
      <c r="BX88" s="448">
        <f t="shared" ca="1" si="61"/>
        <v>2.8561686349348747E-10</v>
      </c>
      <c r="BY88" s="448">
        <f t="shared" ca="1" si="61"/>
        <v>1.2933085713484616E-9</v>
      </c>
      <c r="BZ88" s="448">
        <f t="shared" ca="1" si="61"/>
        <v>5.0600803547240503E-9</v>
      </c>
      <c r="CA88" s="448">
        <f t="shared" ca="1" si="61"/>
        <v>1.7421065479084064E-8</v>
      </c>
      <c r="CB88" s="448">
        <f t="shared" ca="1" si="61"/>
        <v>5.396666580281817E-8</v>
      </c>
      <c r="CD88" s="439">
        <v>49.398514364117354</v>
      </c>
      <c r="CE88" s="439">
        <v>52.684021218941197</v>
      </c>
      <c r="CF88" s="439">
        <v>53.982100176061877</v>
      </c>
      <c r="CG88" s="439">
        <v>54.976495944612566</v>
      </c>
      <c r="CH88" s="439">
        <v>55.920632515277944</v>
      </c>
      <c r="CI88" s="439">
        <v>56.792902196695309</v>
      </c>
      <c r="CJ88" s="439">
        <v>57.624083441242682</v>
      </c>
      <c r="CK88" s="439">
        <v>58.455540060922445</v>
      </c>
      <c r="CL88" s="439">
        <v>59.315991448897726</v>
      </c>
      <c r="CM88" s="439">
        <v>60.182641340286715</v>
      </c>
      <c r="CN88" s="439">
        <v>61.050594647910088</v>
      </c>
      <c r="CO88" s="439">
        <v>61.917262936779707</v>
      </c>
    </row>
    <row r="89" spans="1:93">
      <c r="A89" s="447" t="s">
        <v>2192</v>
      </c>
      <c r="B89" s="447"/>
      <c r="C89" s="442" t="s">
        <v>2190</v>
      </c>
      <c r="D89" s="447" t="s">
        <v>3006</v>
      </c>
      <c r="E89" s="436" t="s">
        <v>2193</v>
      </c>
      <c r="F89" s="454">
        <v>6.6</v>
      </c>
      <c r="G89" s="454">
        <v>7.6</v>
      </c>
      <c r="H89" s="454">
        <v>8.3500003814697266</v>
      </c>
      <c r="I89" s="454">
        <v>9.5</v>
      </c>
      <c r="J89" s="454">
        <v>9.555999755859375</v>
      </c>
      <c r="K89" s="454">
        <v>10.487000465393066</v>
      </c>
      <c r="L89" s="454">
        <v>11.295999526977539</v>
      </c>
      <c r="M89" s="454">
        <v>11.963000297546387</v>
      </c>
      <c r="N89" s="454">
        <v>12.97599983215332</v>
      </c>
      <c r="O89" s="454">
        <v>13.972000122070313</v>
      </c>
      <c r="P89" s="454">
        <v>14.777999877929688</v>
      </c>
      <c r="Q89" s="454">
        <v>15.529999732971191</v>
      </c>
      <c r="R89" s="454">
        <v>16.233999252319336</v>
      </c>
      <c r="S89" s="454">
        <v>18.055999755859375</v>
      </c>
      <c r="T89" s="454">
        <v>18.5</v>
      </c>
      <c r="U89" s="454">
        <v>20.700000762939453</v>
      </c>
      <c r="V89" s="454">
        <v>24.100000381469727</v>
      </c>
      <c r="W89" s="454">
        <v>24.200000762939453</v>
      </c>
      <c r="X89" s="454">
        <v>23.700000762939453</v>
      </c>
      <c r="Y89" s="454">
        <v>25.399999618530273</v>
      </c>
      <c r="Z89" s="454">
        <v>28.399999618530273</v>
      </c>
      <c r="AA89" s="454">
        <v>29.399999618530273</v>
      </c>
      <c r="AB89" s="454">
        <v>32.700000762939453</v>
      </c>
      <c r="AC89" s="454">
        <v>35.900001525878906</v>
      </c>
      <c r="AD89" s="454">
        <v>39</v>
      </c>
      <c r="AE89" s="454">
        <v>39.599998474121094</v>
      </c>
      <c r="AF89" s="454">
        <v>35.200000762939453</v>
      </c>
      <c r="AG89" s="454">
        <v>35.400001525878906</v>
      </c>
      <c r="AH89" s="454">
        <v>35.299999237060547</v>
      </c>
      <c r="AI89" s="454">
        <v>37</v>
      </c>
      <c r="AJ89" s="454">
        <v>37</v>
      </c>
      <c r="AK89" s="454">
        <v>38</v>
      </c>
      <c r="AL89" s="454">
        <v>38.5</v>
      </c>
      <c r="AM89" s="454">
        <v>41.337207794189453</v>
      </c>
      <c r="AN89" s="454">
        <v>43.953487396240234</v>
      </c>
      <c r="AO89" s="454">
        <v>44.47674560546875</v>
      </c>
      <c r="AP89" s="454">
        <v>43.445</v>
      </c>
      <c r="AQ89" s="454">
        <v>42.816000000000003</v>
      </c>
      <c r="AR89" s="454">
        <v>42.697000000000003</v>
      </c>
      <c r="AS89" s="454">
        <v>40.652000000000001</v>
      </c>
      <c r="AT89" s="454">
        <v>38.552</v>
      </c>
      <c r="AU89" s="454">
        <v>37.159999999999997</v>
      </c>
      <c r="AV89" s="454">
        <v>36.662999999999997</v>
      </c>
      <c r="AW89" s="454">
        <v>36.691029816513755</v>
      </c>
      <c r="AX89" s="454">
        <v>37.726999999999997</v>
      </c>
      <c r="AY89" s="454">
        <v>37.889000000000003</v>
      </c>
      <c r="AZ89" s="454">
        <v>38.475000000000001</v>
      </c>
      <c r="BA89" s="454">
        <v>39.226999999999997</v>
      </c>
      <c r="BB89" s="454">
        <v>39.676000000000002</v>
      </c>
      <c r="BC89" s="454">
        <v>40.128999999999998</v>
      </c>
      <c r="BD89" s="454">
        <v>41.456000000000003</v>
      </c>
      <c r="BE89" s="461">
        <f>BD89*BE92/BD92</f>
        <v>41.960867529644865</v>
      </c>
      <c r="BF89" s="461">
        <f t="shared" ref="BF89:BO89" si="62">BE89*BF92/BE92</f>
        <v>42.474371652721878</v>
      </c>
      <c r="BG89" s="461">
        <f t="shared" si="62"/>
        <v>42.996660112434419</v>
      </c>
      <c r="BH89" s="461">
        <f t="shared" si="62"/>
        <v>43.527883179377525</v>
      </c>
      <c r="BI89" s="461">
        <f t="shared" si="62"/>
        <v>44.068193694773086</v>
      </c>
      <c r="BJ89" s="461">
        <f t="shared" si="62"/>
        <v>44.61774711444469</v>
      </c>
      <c r="BK89" s="461">
        <f t="shared" si="62"/>
        <v>45.176701553544675</v>
      </c>
      <c r="BL89" s="461">
        <f t="shared" si="62"/>
        <v>45.745217832046379</v>
      </c>
      <c r="BM89" s="461">
        <f t="shared" si="62"/>
        <v>46.323459521014527</v>
      </c>
      <c r="BN89" s="461">
        <f t="shared" si="62"/>
        <v>46.911592989667241</v>
      </c>
      <c r="BO89" s="461">
        <f t="shared" si="62"/>
        <v>47.509787453243057</v>
      </c>
      <c r="BP89" s="457"/>
      <c r="BQ89" s="448">
        <f t="shared" si="61"/>
        <v>0</v>
      </c>
      <c r="BR89" s="448">
        <f t="shared" si="61"/>
        <v>0</v>
      </c>
      <c r="BS89" s="448">
        <f t="shared" si="61"/>
        <v>0</v>
      </c>
      <c r="BT89" s="448">
        <f t="shared" si="61"/>
        <v>0</v>
      </c>
      <c r="BU89" s="448">
        <f t="shared" si="61"/>
        <v>0</v>
      </c>
      <c r="BV89" s="448">
        <f t="shared" si="61"/>
        <v>0</v>
      </c>
      <c r="BW89" s="448">
        <f t="shared" si="61"/>
        <v>0</v>
      </c>
      <c r="BX89" s="448">
        <f t="shared" si="61"/>
        <v>0</v>
      </c>
      <c r="BY89" s="448">
        <f t="shared" si="61"/>
        <v>0</v>
      </c>
      <c r="BZ89" s="448">
        <f t="shared" si="61"/>
        <v>0</v>
      </c>
      <c r="CA89" s="448">
        <f t="shared" si="61"/>
        <v>0</v>
      </c>
      <c r="CB89" s="448">
        <f t="shared" si="61"/>
        <v>0</v>
      </c>
      <c r="CD89" s="439">
        <v>41.456000000000003</v>
      </c>
      <c r="CE89" s="439">
        <v>41.960867529644865</v>
      </c>
      <c r="CF89" s="439">
        <v>42.474371652721878</v>
      </c>
      <c r="CG89" s="439">
        <v>42.996660112434419</v>
      </c>
      <c r="CH89" s="439">
        <v>43.527883179377525</v>
      </c>
      <c r="CI89" s="439">
        <v>44.068193694773086</v>
      </c>
      <c r="CJ89" s="439">
        <v>44.61774711444469</v>
      </c>
      <c r="CK89" s="439">
        <v>45.176701553544675</v>
      </c>
      <c r="CL89" s="439">
        <v>45.745217832046379</v>
      </c>
      <c r="CM89" s="439">
        <v>46.323459521014527</v>
      </c>
      <c r="CN89" s="439">
        <v>46.911592989667241</v>
      </c>
      <c r="CO89" s="439">
        <v>47.509787453243057</v>
      </c>
    </row>
    <row r="90" spans="1:93">
      <c r="A90" s="447" t="s">
        <v>2194</v>
      </c>
      <c r="B90" s="447"/>
      <c r="C90" s="442" t="s">
        <v>1349</v>
      </c>
      <c r="D90" s="447" t="s">
        <v>3006</v>
      </c>
      <c r="E90" s="436" t="s">
        <v>2195</v>
      </c>
      <c r="F90" s="454">
        <v>6.8</v>
      </c>
      <c r="G90" s="454">
        <v>5</v>
      </c>
      <c r="H90" s="454">
        <v>2.2332546710968018</v>
      </c>
      <c r="I90" s="454">
        <v>1.8155162334442139</v>
      </c>
      <c r="J90" s="454">
        <v>3.1251304149627686</v>
      </c>
      <c r="K90" s="454">
        <v>2.8608658313751221</v>
      </c>
      <c r="L90" s="454">
        <v>2.0745680332183838</v>
      </c>
      <c r="M90" s="454">
        <v>3.02626633644104</v>
      </c>
      <c r="N90" s="454">
        <v>3.9044175148010254</v>
      </c>
      <c r="O90" s="454">
        <v>4.7262697219848633</v>
      </c>
      <c r="P90" s="454">
        <v>5.5056672096252441</v>
      </c>
      <c r="Q90" s="454">
        <v>4.5107326507568359</v>
      </c>
      <c r="R90" s="454">
        <v>4.2866334915161133</v>
      </c>
      <c r="S90" s="454">
        <v>4.1740665435791016</v>
      </c>
      <c r="T90" s="454">
        <v>4.2769827842712402</v>
      </c>
      <c r="U90" s="454">
        <v>5.0960192680358887</v>
      </c>
      <c r="V90" s="454">
        <v>4.4430961608886719</v>
      </c>
      <c r="W90" s="454">
        <v>6.0136995315551758</v>
      </c>
      <c r="X90" s="454">
        <v>7.3302769660949707</v>
      </c>
      <c r="Y90" s="454">
        <v>9.13018798828125</v>
      </c>
      <c r="Z90" s="454">
        <v>9.9718894958496094</v>
      </c>
      <c r="AA90" s="454">
        <v>7.9798069000244141</v>
      </c>
      <c r="AB90" s="454">
        <v>6.6932039260864258</v>
      </c>
      <c r="AC90" s="454">
        <v>5.5827469825744629</v>
      </c>
      <c r="AD90" s="454">
        <v>4.6354036331176758</v>
      </c>
      <c r="AE90" s="454">
        <v>6.7064113616943359</v>
      </c>
      <c r="AF90" s="454">
        <v>9.093388557434082</v>
      </c>
      <c r="AG90" s="454">
        <v>9.2074041366577148</v>
      </c>
      <c r="AH90" s="454">
        <v>9.3345565795898438</v>
      </c>
      <c r="AI90" s="454">
        <v>11.461581230163574</v>
      </c>
      <c r="AJ90" s="454">
        <v>13.025559425354004</v>
      </c>
      <c r="AK90" s="454">
        <v>13.790704727172852</v>
      </c>
      <c r="AL90" s="454">
        <v>15.991020202636719</v>
      </c>
      <c r="AM90" s="454">
        <v>17.700000762939453</v>
      </c>
      <c r="AN90" s="454">
        <v>19.899999618530273</v>
      </c>
      <c r="AO90" s="454">
        <v>17.200000762939453</v>
      </c>
      <c r="AP90" s="454">
        <v>15.5</v>
      </c>
      <c r="AQ90" s="454">
        <v>15.5</v>
      </c>
      <c r="AR90" s="454">
        <v>18.084440231323242</v>
      </c>
      <c r="AS90" s="454">
        <v>15</v>
      </c>
      <c r="AT90" s="454">
        <v>12</v>
      </c>
      <c r="AU90" s="454">
        <v>8</v>
      </c>
      <c r="AV90" s="454">
        <v>11</v>
      </c>
      <c r="AW90" s="461">
        <f t="shared" ref="AW90:BO90" si="63">AV90-0.4*(AW88/AV88-1)*100+0.3*((AW93-AW89)/(AV93-AV89)-1)*100</f>
        <v>14.386470216066495</v>
      </c>
      <c r="AX90" s="461">
        <f t="shared" si="63"/>
        <v>14.771996005877812</v>
      </c>
      <c r="AY90" s="461">
        <f t="shared" si="63"/>
        <v>16.70868121216871</v>
      </c>
      <c r="AZ90" s="461">
        <f t="shared" si="63"/>
        <v>17.094758277287223</v>
      </c>
      <c r="BA90" s="461">
        <f t="shared" si="63"/>
        <v>17.985667263125389</v>
      </c>
      <c r="BB90" s="461">
        <f t="shared" si="63"/>
        <v>17.959614526298466</v>
      </c>
      <c r="BC90" s="461">
        <f t="shared" si="63"/>
        <v>17.332976628931945</v>
      </c>
      <c r="BD90" s="461">
        <f t="shared" ca="1" si="63"/>
        <v>12.947168423345387</v>
      </c>
      <c r="BE90" s="461">
        <f t="shared" ca="1" si="63"/>
        <v>10.652110818397876</v>
      </c>
      <c r="BF90" s="461">
        <f t="shared" ca="1" si="63"/>
        <v>10.03368354847877</v>
      </c>
      <c r="BG90" s="461">
        <f t="shared" ca="1" si="63"/>
        <v>9.6657465048636197</v>
      </c>
      <c r="BH90" s="461">
        <f t="shared" ca="1" si="63"/>
        <v>9.3494576989253719</v>
      </c>
      <c r="BI90" s="461">
        <f t="shared" ca="1" si="63"/>
        <v>9.0979128822833051</v>
      </c>
      <c r="BJ90" s="461">
        <f t="shared" ca="1" si="63"/>
        <v>8.8866165114813818</v>
      </c>
      <c r="BK90" s="461">
        <f t="shared" ca="1" si="63"/>
        <v>8.6852861735115923</v>
      </c>
      <c r="BL90" s="461">
        <f t="shared" ca="1" si="63"/>
        <v>8.474024274491633</v>
      </c>
      <c r="BM90" s="461">
        <f t="shared" ca="1" si="63"/>
        <v>8.2688096185199651</v>
      </c>
      <c r="BN90" s="461">
        <f t="shared" ca="1" si="63"/>
        <v>8.0728171175408416</v>
      </c>
      <c r="BO90" s="461">
        <f t="shared" ca="1" si="63"/>
        <v>7.8875268160892738</v>
      </c>
      <c r="BP90" s="457"/>
      <c r="BQ90" s="448">
        <f t="shared" ca="1" si="61"/>
        <v>0</v>
      </c>
      <c r="BR90" s="448">
        <f t="shared" ca="1" si="61"/>
        <v>0</v>
      </c>
      <c r="BS90" s="448">
        <f t="shared" ca="1" si="61"/>
        <v>0</v>
      </c>
      <c r="BT90" s="448">
        <f t="shared" ca="1" si="61"/>
        <v>-6.2172489379008766E-14</v>
      </c>
      <c r="BU90" s="448">
        <f t="shared" ca="1" si="61"/>
        <v>-7.0166095156309893E-13</v>
      </c>
      <c r="BV90" s="448">
        <f t="shared" ca="1" si="61"/>
        <v>-5.7909232964448165E-12</v>
      </c>
      <c r="BW90" s="448">
        <f t="shared" ca="1" si="61"/>
        <v>-3.744560217455728E-11</v>
      </c>
      <c r="BX90" s="448">
        <f t="shared" ca="1" si="61"/>
        <v>-1.9826806862965896E-10</v>
      </c>
      <c r="BY90" s="448">
        <f t="shared" ca="1" si="61"/>
        <v>-8.8493656846821978E-10</v>
      </c>
      <c r="BZ90" s="448">
        <f t="shared" ca="1" si="61"/>
        <v>-3.4123370795668961E-9</v>
      </c>
      <c r="CA90" s="448">
        <f t="shared" ca="1" si="61"/>
        <v>-1.1579484038293231E-8</v>
      </c>
      <c r="CB90" s="448">
        <f t="shared" ca="1" si="61"/>
        <v>-3.5361917838372392E-8</v>
      </c>
      <c r="CD90" s="439">
        <v>12.947168423345387</v>
      </c>
      <c r="CE90" s="439">
        <v>10.652110818397876</v>
      </c>
      <c r="CF90" s="439">
        <v>10.033683548478779</v>
      </c>
      <c r="CG90" s="439">
        <v>9.6657465048636819</v>
      </c>
      <c r="CH90" s="439">
        <v>9.3494576989260736</v>
      </c>
      <c r="CI90" s="439">
        <v>9.097912882289096</v>
      </c>
      <c r="CJ90" s="439">
        <v>8.8866165115188274</v>
      </c>
      <c r="CK90" s="439">
        <v>8.6852861737098603</v>
      </c>
      <c r="CL90" s="439">
        <v>8.4740242753765695</v>
      </c>
      <c r="CM90" s="439">
        <v>8.2688096219323022</v>
      </c>
      <c r="CN90" s="439">
        <v>8.0728171291203257</v>
      </c>
      <c r="CO90" s="439">
        <v>7.8875268514511916</v>
      </c>
    </row>
    <row r="91" spans="1:93">
      <c r="A91" s="447" t="s">
        <v>2196</v>
      </c>
      <c r="B91" s="447"/>
      <c r="C91" s="442" t="s">
        <v>1329</v>
      </c>
      <c r="D91" s="447"/>
      <c r="E91" s="436" t="s">
        <v>2197</v>
      </c>
      <c r="F91" s="454">
        <v>41.8</v>
      </c>
      <c r="G91" s="454">
        <v>42.6</v>
      </c>
      <c r="H91" s="454">
        <v>43.079360961914063</v>
      </c>
      <c r="I91" s="454">
        <v>44.311740875244141</v>
      </c>
      <c r="J91" s="454">
        <v>45.461948394775391</v>
      </c>
      <c r="K91" s="454">
        <v>46.137088775634766</v>
      </c>
      <c r="L91" s="454">
        <v>47.364089965820313</v>
      </c>
      <c r="M91" s="454">
        <v>48.577590942382813</v>
      </c>
      <c r="N91" s="454">
        <v>49.796638488769531</v>
      </c>
      <c r="O91" s="454">
        <v>51.119228363037109</v>
      </c>
      <c r="P91" s="454">
        <v>67.25250244140625</v>
      </c>
      <c r="Q91" s="454">
        <v>70.553558349609375</v>
      </c>
      <c r="R91" s="454">
        <v>75.458526611328125</v>
      </c>
      <c r="S91" s="454">
        <v>79.640312194824219</v>
      </c>
      <c r="T91" s="454">
        <v>84.039787292480469</v>
      </c>
      <c r="U91" s="454">
        <v>88.573600769042969</v>
      </c>
      <c r="V91" s="454">
        <v>93.07366943359375</v>
      </c>
      <c r="W91" s="454">
        <v>96.194236755371094</v>
      </c>
      <c r="X91" s="454">
        <v>98.315361022949219</v>
      </c>
      <c r="Y91" s="454">
        <v>99.998207092285156</v>
      </c>
      <c r="Z91" s="456">
        <f t="shared" ref="Z91:BO91" si="64">Y91*(1+0.2*(U160+V160+W160+X160+Y160)/100)</f>
        <v>105.15991399973568</v>
      </c>
      <c r="AA91" s="456">
        <f t="shared" si="64"/>
        <v>113.56990241013307</v>
      </c>
      <c r="AB91" s="456">
        <f t="shared" si="64"/>
        <v>122.56242255527765</v>
      </c>
      <c r="AC91" s="456">
        <f t="shared" si="64"/>
        <v>125.87197015915341</v>
      </c>
      <c r="AD91" s="456">
        <f t="shared" si="64"/>
        <v>129.95194625078295</v>
      </c>
      <c r="AE91" s="456">
        <f t="shared" si="64"/>
        <v>133.43533177089361</v>
      </c>
      <c r="AF91" s="456">
        <f t="shared" si="64"/>
        <v>135.51614454736961</v>
      </c>
      <c r="AG91" s="456">
        <f t="shared" si="64"/>
        <v>138.91071965533715</v>
      </c>
      <c r="AH91" s="456">
        <f t="shared" si="64"/>
        <v>144.81897298123539</v>
      </c>
      <c r="AI91" s="456">
        <f t="shared" si="64"/>
        <v>147.97724514847354</v>
      </c>
      <c r="AJ91" s="456">
        <f t="shared" si="64"/>
        <v>147.06619422079845</v>
      </c>
      <c r="AK91" s="456">
        <f t="shared" si="64"/>
        <v>142.98586458297606</v>
      </c>
      <c r="AL91" s="456">
        <f t="shared" si="64"/>
        <v>140.70347106846552</v>
      </c>
      <c r="AM91" s="456">
        <f t="shared" si="64"/>
        <v>131.86540699194961</v>
      </c>
      <c r="AN91" s="456">
        <f t="shared" si="64"/>
        <v>119.86884521827221</v>
      </c>
      <c r="AO91" s="456">
        <f t="shared" si="64"/>
        <v>112.33736873758437</v>
      </c>
      <c r="AP91" s="456">
        <f t="shared" si="64"/>
        <v>107.45331238721387</v>
      </c>
      <c r="AQ91" s="456">
        <f t="shared" si="64"/>
        <v>112.2590482171444</v>
      </c>
      <c r="AR91" s="456">
        <f t="shared" si="64"/>
        <v>124.22632687064342</v>
      </c>
      <c r="AS91" s="456">
        <f t="shared" si="64"/>
        <v>138.68844522107889</v>
      </c>
      <c r="AT91" s="456">
        <f t="shared" si="64"/>
        <v>148.44531212180411</v>
      </c>
      <c r="AU91" s="456">
        <f t="shared" si="64"/>
        <v>157.00427916504941</v>
      </c>
      <c r="AV91" s="456">
        <f t="shared" si="64"/>
        <v>147.0622980758115</v>
      </c>
      <c r="AW91" s="456">
        <f t="shared" si="64"/>
        <v>142.92010083076448</v>
      </c>
      <c r="AX91" s="456">
        <f t="shared" si="64"/>
        <v>146.00693955742443</v>
      </c>
      <c r="AY91" s="456">
        <f t="shared" si="64"/>
        <v>155.27340648976119</v>
      </c>
      <c r="AZ91" s="456">
        <f t="shared" si="64"/>
        <v>162.69043998195585</v>
      </c>
      <c r="BA91" s="456">
        <f t="shared" si="64"/>
        <v>169.56806006200549</v>
      </c>
      <c r="BB91" s="456">
        <f t="shared" si="64"/>
        <v>170.08839895881835</v>
      </c>
      <c r="BC91" s="456">
        <f t="shared" si="64"/>
        <v>187.33995520251608</v>
      </c>
      <c r="BD91" s="456">
        <f t="shared" ca="1" si="64"/>
        <v>206.08638392116404</v>
      </c>
      <c r="BE91" s="456">
        <f t="shared" ca="1" si="64"/>
        <v>229.28773319298358</v>
      </c>
      <c r="BF91" s="456">
        <f t="shared" ca="1" si="64"/>
        <v>259.22613778420936</v>
      </c>
      <c r="BG91" s="456">
        <f t="shared" ca="1" si="64"/>
        <v>288.19959541280775</v>
      </c>
      <c r="BH91" s="456">
        <f t="shared" ca="1" si="64"/>
        <v>284.56812788655964</v>
      </c>
      <c r="BI91" s="456">
        <f t="shared" ca="1" si="64"/>
        <v>278.24654207892678</v>
      </c>
      <c r="BJ91" s="456">
        <f t="shared" ca="1" si="64"/>
        <v>274.07427148527523</v>
      </c>
      <c r="BK91" s="456">
        <f t="shared" ca="1" si="64"/>
        <v>272.4696958850401</v>
      </c>
      <c r="BL91" s="456">
        <f t="shared" ca="1" si="64"/>
        <v>271.5754366825492</v>
      </c>
      <c r="BM91" s="456">
        <f t="shared" ca="1" si="64"/>
        <v>270.74064128728151</v>
      </c>
      <c r="BN91" s="456">
        <f t="shared" ca="1" si="64"/>
        <v>269.99381232851721</v>
      </c>
      <c r="BO91" s="456">
        <f t="shared" ca="1" si="64"/>
        <v>269.2734352458063</v>
      </c>
      <c r="BP91" s="457"/>
      <c r="BQ91" s="448">
        <f t="shared" ca="1" si="61"/>
        <v>0</v>
      </c>
      <c r="BR91" s="448">
        <f t="shared" ca="1" si="61"/>
        <v>0</v>
      </c>
      <c r="BS91" s="448">
        <f t="shared" ca="1" si="61"/>
        <v>0</v>
      </c>
      <c r="BT91" s="448">
        <f t="shared" ca="1" si="61"/>
        <v>0</v>
      </c>
      <c r="BU91" s="448">
        <f t="shared" ca="1" si="61"/>
        <v>-6.8212102632969618E-13</v>
      </c>
      <c r="BV91" s="448">
        <f t="shared" ca="1" si="61"/>
        <v>-8.7538865045644343E-12</v>
      </c>
      <c r="BW91" s="448">
        <f t="shared" ca="1" si="61"/>
        <v>-7.9921846918296069E-11</v>
      </c>
      <c r="BX91" s="448">
        <f t="shared" ca="1" si="61"/>
        <v>-5.8446403272682801E-10</v>
      </c>
      <c r="BY91" s="448">
        <f t="shared" ca="1" si="61"/>
        <v>-3.5459493119560648E-9</v>
      </c>
      <c r="BZ91" s="448">
        <f t="shared" ca="1" si="61"/>
        <v>-1.8196487872046418E-8</v>
      </c>
      <c r="CA91" s="448">
        <f t="shared" ca="1" si="61"/>
        <v>-8.0691904713603435E-8</v>
      </c>
      <c r="CB91" s="448">
        <f t="shared" ca="1" si="61"/>
        <v>-3.1503935815635487E-7</v>
      </c>
      <c r="CD91" s="439">
        <v>206.08638392116404</v>
      </c>
      <c r="CE91" s="439">
        <v>229.28773319298358</v>
      </c>
      <c r="CF91" s="439">
        <v>259.22613778420936</v>
      </c>
      <c r="CG91" s="439">
        <v>288.19959541280775</v>
      </c>
      <c r="CH91" s="439">
        <v>284.56812788656032</v>
      </c>
      <c r="CI91" s="439">
        <v>278.24654207893553</v>
      </c>
      <c r="CJ91" s="439">
        <v>274.07427148535515</v>
      </c>
      <c r="CK91" s="439">
        <v>272.46969588562456</v>
      </c>
      <c r="CL91" s="439">
        <v>271.57543668609514</v>
      </c>
      <c r="CM91" s="439">
        <v>270.74064130547799</v>
      </c>
      <c r="CN91" s="439">
        <v>269.99381240920911</v>
      </c>
      <c r="CO91" s="439">
        <v>269.27343556084566</v>
      </c>
    </row>
    <row r="92" spans="1:93">
      <c r="A92" s="447" t="s">
        <v>2432</v>
      </c>
      <c r="B92" s="447"/>
      <c r="C92" s="442" t="s">
        <v>2190</v>
      </c>
      <c r="D92" s="447" t="s">
        <v>3006</v>
      </c>
      <c r="E92" s="436" t="s">
        <v>2198</v>
      </c>
      <c r="F92" s="454">
        <v>233</v>
      </c>
      <c r="G92" s="454">
        <v>241</v>
      </c>
      <c r="H92" s="454">
        <v>245.33001708984375</v>
      </c>
      <c r="I92" s="454">
        <v>255.14321899414063</v>
      </c>
      <c r="J92" s="454">
        <v>264.9564208984375</v>
      </c>
      <c r="K92" s="454">
        <v>274.76962280273438</v>
      </c>
      <c r="L92" s="454">
        <v>284.58282470703125</v>
      </c>
      <c r="M92" s="454">
        <v>294.39602661132813</v>
      </c>
      <c r="N92" s="454">
        <v>304.209228515625</v>
      </c>
      <c r="O92" s="454">
        <v>314.02243041992188</v>
      </c>
      <c r="P92" s="454">
        <v>324.81692504882813</v>
      </c>
      <c r="Q92" s="454">
        <v>330.70486450195313</v>
      </c>
      <c r="R92" s="454">
        <v>340.51806640625</v>
      </c>
      <c r="S92" s="454">
        <v>350.33126831054688</v>
      </c>
      <c r="T92" s="454">
        <v>358.18182373046875</v>
      </c>
      <c r="U92" s="454">
        <v>367.01370239257813</v>
      </c>
      <c r="V92" s="454">
        <v>368.97634887695313</v>
      </c>
      <c r="W92" s="454">
        <v>370.93896484375</v>
      </c>
      <c r="X92" s="454">
        <v>374.8642578125</v>
      </c>
      <c r="Y92" s="454">
        <v>376.826904296875</v>
      </c>
      <c r="Z92" s="454">
        <v>373.8829345703125</v>
      </c>
      <c r="AA92" s="454">
        <v>358.18182373046875</v>
      </c>
      <c r="AB92" s="454">
        <v>348.36862182617188</v>
      </c>
      <c r="AC92" s="454">
        <v>355.33599853515625</v>
      </c>
      <c r="AD92" s="454">
        <v>360.4388427734375</v>
      </c>
      <c r="AE92" s="454">
        <v>358.18182373046875</v>
      </c>
      <c r="AF92" s="454">
        <v>349.84060668945313</v>
      </c>
      <c r="AG92" s="454">
        <v>348.66299438476563</v>
      </c>
      <c r="AH92" s="454">
        <v>356.21917724609375</v>
      </c>
      <c r="AI92" s="454">
        <v>363.87347412109375</v>
      </c>
      <c r="AJ92" s="454">
        <v>371.33151245117188</v>
      </c>
      <c r="AK92" s="454">
        <v>380.35964965820313</v>
      </c>
      <c r="AL92" s="454">
        <v>389.38778686523438</v>
      </c>
      <c r="AM92" s="454">
        <v>394</v>
      </c>
      <c r="AN92" s="454">
        <v>397</v>
      </c>
      <c r="AO92" s="454">
        <v>401</v>
      </c>
      <c r="AP92" s="454">
        <v>401.66699999999997</v>
      </c>
      <c r="AQ92" s="454">
        <v>402.19600000000003</v>
      </c>
      <c r="AR92" s="454">
        <v>403.30700000000002</v>
      </c>
      <c r="AS92" s="454">
        <v>403.82100000000003</v>
      </c>
      <c r="AT92" s="454">
        <v>405.01299999999998</v>
      </c>
      <c r="AU92" s="454">
        <v>408.86599999999999</v>
      </c>
      <c r="AV92" s="454">
        <v>413.428</v>
      </c>
      <c r="AW92" s="454">
        <v>447.5721323011964</v>
      </c>
      <c r="AX92" s="454">
        <v>454.28571428571433</v>
      </c>
      <c r="AY92" s="454">
        <v>461.1</v>
      </c>
      <c r="AZ92" s="454">
        <v>466.6</v>
      </c>
      <c r="BA92" s="454">
        <v>473.5</v>
      </c>
      <c r="BB92" s="454">
        <v>479.2</v>
      </c>
      <c r="BC92" s="454">
        <v>486.3</v>
      </c>
      <c r="BD92" s="454">
        <v>486.98750000000001</v>
      </c>
      <c r="BE92" s="458">
        <f>BD92*(1+BE94/100)-BE95</f>
        <v>492.91822597676884</v>
      </c>
      <c r="BF92" s="458">
        <f t="shared" ref="BF92:BO92" si="65">BE92*(1+BF94/100)-BF95</f>
        <v>498.95040682241165</v>
      </c>
      <c r="BG92" s="458">
        <f t="shared" si="65"/>
        <v>505.08577809012348</v>
      </c>
      <c r="BH92" s="458">
        <f t="shared" si="65"/>
        <v>511.32610502260502</v>
      </c>
      <c r="BI92" s="458">
        <f t="shared" si="65"/>
        <v>517.67318305995059</v>
      </c>
      <c r="BJ92" s="458">
        <f t="shared" si="65"/>
        <v>524.12883835622438</v>
      </c>
      <c r="BK92" s="458">
        <f t="shared" si="65"/>
        <v>530.69492830487366</v>
      </c>
      <c r="BL92" s="458">
        <f t="shared" si="65"/>
        <v>537.37334207313029</v>
      </c>
      <c r="BM92" s="458">
        <f t="shared" si="65"/>
        <v>544.16600114555354</v>
      </c>
      <c r="BN92" s="458">
        <f t="shared" si="65"/>
        <v>551.07485987687141</v>
      </c>
      <c r="BO92" s="458">
        <f t="shared" si="65"/>
        <v>558.10190605427943</v>
      </c>
      <c r="BP92" s="457"/>
      <c r="BQ92" s="448">
        <f t="shared" si="61"/>
        <v>0</v>
      </c>
      <c r="BR92" s="448">
        <f t="shared" si="61"/>
        <v>0</v>
      </c>
      <c r="BS92" s="448">
        <f t="shared" si="61"/>
        <v>0</v>
      </c>
      <c r="BT92" s="448">
        <f t="shared" si="61"/>
        <v>0</v>
      </c>
      <c r="BU92" s="448">
        <f t="shared" si="61"/>
        <v>0</v>
      </c>
      <c r="BV92" s="448">
        <f t="shared" si="61"/>
        <v>0</v>
      </c>
      <c r="BW92" s="448">
        <f t="shared" si="61"/>
        <v>0</v>
      </c>
      <c r="BX92" s="448">
        <f t="shared" si="61"/>
        <v>0</v>
      </c>
      <c r="BY92" s="448">
        <f t="shared" si="61"/>
        <v>0</v>
      </c>
      <c r="BZ92" s="448">
        <f t="shared" si="61"/>
        <v>0</v>
      </c>
      <c r="CA92" s="448">
        <f t="shared" si="61"/>
        <v>0</v>
      </c>
      <c r="CB92" s="448">
        <f t="shared" si="61"/>
        <v>0</v>
      </c>
      <c r="CD92" s="439">
        <v>486.98750000000001</v>
      </c>
      <c r="CE92" s="439">
        <v>492.91822597676884</v>
      </c>
      <c r="CF92" s="439">
        <v>498.95040682241165</v>
      </c>
      <c r="CG92" s="439">
        <v>505.08577809012348</v>
      </c>
      <c r="CH92" s="439">
        <v>511.32610502260502</v>
      </c>
      <c r="CI92" s="439">
        <v>517.67318305995059</v>
      </c>
      <c r="CJ92" s="439">
        <v>524.12883835622438</v>
      </c>
      <c r="CK92" s="439">
        <v>530.69492830487366</v>
      </c>
      <c r="CL92" s="439">
        <v>537.37334207313029</v>
      </c>
      <c r="CM92" s="439">
        <v>544.16600114555354</v>
      </c>
      <c r="CN92" s="439">
        <v>551.07485987687141</v>
      </c>
      <c r="CO92" s="439">
        <v>558.10190605427943</v>
      </c>
    </row>
    <row r="93" spans="1:93">
      <c r="A93" s="447" t="s">
        <v>2433</v>
      </c>
      <c r="B93" s="447"/>
      <c r="C93" s="442" t="s">
        <v>2190</v>
      </c>
      <c r="D93" s="447" t="s">
        <v>3006</v>
      </c>
      <c r="E93" s="436" t="s">
        <v>2199</v>
      </c>
      <c r="F93" s="454">
        <v>114</v>
      </c>
      <c r="G93" s="454">
        <v>116</v>
      </c>
      <c r="H93" s="454">
        <v>112.28481292724609</v>
      </c>
      <c r="I93" s="454">
        <v>114.18795013427734</v>
      </c>
      <c r="J93" s="454">
        <v>118.94577789306641</v>
      </c>
      <c r="K93" s="454">
        <v>122.56173706054688</v>
      </c>
      <c r="L93" s="454">
        <v>126.93892669677734</v>
      </c>
      <c r="M93" s="454">
        <v>134.17083740234375</v>
      </c>
      <c r="N93" s="454">
        <v>138.64320373535156</v>
      </c>
      <c r="O93" s="454">
        <v>143.68650817871094</v>
      </c>
      <c r="P93" s="454">
        <v>144.96159362792969</v>
      </c>
      <c r="Q93" s="454">
        <v>147.51179504394531</v>
      </c>
      <c r="R93" s="454">
        <v>148.58706665039063</v>
      </c>
      <c r="S93" s="454">
        <v>152.44090270996094</v>
      </c>
      <c r="T93" s="454">
        <v>152.25059509277344</v>
      </c>
      <c r="U93" s="454">
        <v>156.58973693847656</v>
      </c>
      <c r="V93" s="454">
        <v>156.72296142578125</v>
      </c>
      <c r="W93" s="454">
        <v>161.86141967773438</v>
      </c>
      <c r="X93" s="454">
        <v>164.271728515625</v>
      </c>
      <c r="Y93" s="454">
        <v>168.01329040527344</v>
      </c>
      <c r="Z93" s="454">
        <v>171.25813293457031</v>
      </c>
      <c r="AA93" s="454">
        <v>169.10092163085938</v>
      </c>
      <c r="AB93" s="454">
        <v>156.43939208984375</v>
      </c>
      <c r="AC93" s="454">
        <v>165.28704833984375</v>
      </c>
      <c r="AD93" s="454">
        <v>172.70927429199219</v>
      </c>
      <c r="AE93" s="454">
        <v>177.46710205078125</v>
      </c>
      <c r="AF93" s="454">
        <v>175.183349609375</v>
      </c>
      <c r="AG93" s="454">
        <v>178.32350158691406</v>
      </c>
      <c r="AH93" s="454">
        <v>184.79415893554688</v>
      </c>
      <c r="AI93" s="454">
        <v>191.45512390136719</v>
      </c>
      <c r="AJ93" s="454">
        <v>198.02093505859375</v>
      </c>
      <c r="AK93" s="454">
        <v>201.63687133789063</v>
      </c>
      <c r="AL93" s="454">
        <v>205.15768432617188</v>
      </c>
      <c r="AM93" s="454">
        <v>206.2908935546875</v>
      </c>
      <c r="AN93" s="454">
        <v>221.80000305175781</v>
      </c>
      <c r="AO93" s="454">
        <v>226.35981750488281</v>
      </c>
      <c r="AP93" s="454">
        <v>232</v>
      </c>
      <c r="AQ93" s="454">
        <v>215</v>
      </c>
      <c r="AR93" s="454">
        <v>217.418701171875</v>
      </c>
      <c r="AS93" s="454">
        <v>217.69579334335316</v>
      </c>
      <c r="AT93" s="454">
        <v>218.33838841806516</v>
      </c>
      <c r="AU93" s="454">
        <v>220.41550152449585</v>
      </c>
      <c r="AV93" s="454">
        <v>222.87482931882153</v>
      </c>
      <c r="AW93" s="454">
        <v>241.28158372072079</v>
      </c>
      <c r="AX93" s="454">
        <v>244.90080747653158</v>
      </c>
      <c r="AY93" s="454">
        <v>248.57431958867954</v>
      </c>
      <c r="AZ93" s="454">
        <v>251.53931364146146</v>
      </c>
      <c r="BA93" s="454">
        <v>255.2590334531333</v>
      </c>
      <c r="BB93" s="454">
        <v>258.3318454714709</v>
      </c>
      <c r="BC93" s="461">
        <f>BB93*BC92/BB92</f>
        <v>262.15938324869848</v>
      </c>
      <c r="BD93" s="461">
        <f>BC93*BD92/BC92</f>
        <v>262.53000750529623</v>
      </c>
      <c r="BE93" s="461">
        <f>BD93*BE92/BD92</f>
        <v>265.7272015507142</v>
      </c>
      <c r="BF93" s="461">
        <f t="shared" ref="BF93:BO93" si="66">BE93*BF92/BE92</f>
        <v>268.97908888392072</v>
      </c>
      <c r="BG93" s="461">
        <f t="shared" si="66"/>
        <v>272.28660512398886</v>
      </c>
      <c r="BH93" s="461">
        <f t="shared" si="66"/>
        <v>275.65070189530206</v>
      </c>
      <c r="BI93" s="461">
        <f t="shared" si="66"/>
        <v>279.07234710135157</v>
      </c>
      <c r="BJ93" s="461">
        <f t="shared" si="66"/>
        <v>282.55252520321739</v>
      </c>
      <c r="BK93" s="461">
        <f t="shared" si="66"/>
        <v>286.09223750281302</v>
      </c>
      <c r="BL93" s="461">
        <f t="shared" si="66"/>
        <v>289.69250243097628</v>
      </c>
      <c r="BM93" s="461">
        <f t="shared" si="66"/>
        <v>293.35435584048719</v>
      </c>
      <c r="BN93" s="461">
        <f t="shared" si="66"/>
        <v>297.07885130409954</v>
      </c>
      <c r="BO93" s="461">
        <f t="shared" si="66"/>
        <v>300.86706041767019</v>
      </c>
      <c r="BP93" s="457"/>
      <c r="BQ93" s="448">
        <f t="shared" si="61"/>
        <v>0</v>
      </c>
      <c r="BR93" s="448">
        <f t="shared" si="61"/>
        <v>0</v>
      </c>
      <c r="BS93" s="448">
        <f t="shared" si="61"/>
        <v>0</v>
      </c>
      <c r="BT93" s="448">
        <f t="shared" si="61"/>
        <v>0</v>
      </c>
      <c r="BU93" s="448">
        <f t="shared" si="61"/>
        <v>0</v>
      </c>
      <c r="BV93" s="448">
        <f t="shared" si="61"/>
        <v>0</v>
      </c>
      <c r="BW93" s="448">
        <f t="shared" si="61"/>
        <v>0</v>
      </c>
      <c r="BX93" s="448">
        <f t="shared" si="61"/>
        <v>0</v>
      </c>
      <c r="BY93" s="448">
        <f t="shared" si="61"/>
        <v>0</v>
      </c>
      <c r="BZ93" s="448">
        <f t="shared" si="61"/>
        <v>0</v>
      </c>
      <c r="CA93" s="448">
        <f t="shared" si="61"/>
        <v>0</v>
      </c>
      <c r="CB93" s="448">
        <f t="shared" si="61"/>
        <v>0</v>
      </c>
      <c r="CD93" s="439">
        <v>262.53000750529623</v>
      </c>
      <c r="CE93" s="439">
        <v>265.7272015507142</v>
      </c>
      <c r="CF93" s="439">
        <v>268.97908888392072</v>
      </c>
      <c r="CG93" s="439">
        <v>272.28660512398886</v>
      </c>
      <c r="CH93" s="439">
        <v>275.65070189530206</v>
      </c>
      <c r="CI93" s="439">
        <v>279.07234710135157</v>
      </c>
      <c r="CJ93" s="439">
        <v>282.55252520321739</v>
      </c>
      <c r="CK93" s="439">
        <v>286.09223750281302</v>
      </c>
      <c r="CL93" s="439">
        <v>289.69250243097628</v>
      </c>
      <c r="CM93" s="439">
        <v>293.35435584048719</v>
      </c>
      <c r="CN93" s="439">
        <v>297.07885130409954</v>
      </c>
      <c r="CO93" s="439">
        <v>300.86706041767019</v>
      </c>
    </row>
    <row r="94" spans="1:93">
      <c r="A94" s="447" t="s">
        <v>2200</v>
      </c>
      <c r="B94" s="447"/>
      <c r="C94" s="442" t="s">
        <v>1349</v>
      </c>
      <c r="D94" s="447" t="s">
        <v>3006</v>
      </c>
      <c r="E94" s="436" t="s">
        <v>2201</v>
      </c>
      <c r="F94" s="454">
        <v>1</v>
      </c>
      <c r="G94" s="454">
        <v>1.8</v>
      </c>
      <c r="H94" s="454">
        <v>1.7241379022598267</v>
      </c>
      <c r="I94" s="454">
        <v>1.6949152946472168</v>
      </c>
      <c r="J94" s="454">
        <v>4.1666665077209473</v>
      </c>
      <c r="K94" s="454">
        <v>3.0399999618530273</v>
      </c>
      <c r="L94" s="454">
        <v>3.5714285373687744</v>
      </c>
      <c r="M94" s="454">
        <v>5.6971516609191895</v>
      </c>
      <c r="N94" s="454">
        <v>3.3333332538604736</v>
      </c>
      <c r="O94" s="454">
        <v>3.6376116275787354</v>
      </c>
      <c r="P94" s="454">
        <v>0.88741719722747803</v>
      </c>
      <c r="Q94" s="454">
        <v>1.7592227458953857</v>
      </c>
      <c r="R94" s="454">
        <v>0.72893822193145752</v>
      </c>
      <c r="S94" s="454">
        <v>2.5936598777770996</v>
      </c>
      <c r="T94" s="454">
        <v>-0.12484394758939743</v>
      </c>
      <c r="U94" s="454">
        <v>2.8499999046325684</v>
      </c>
      <c r="V94" s="454">
        <v>8.5075356066226959E-2</v>
      </c>
      <c r="W94" s="454">
        <v>3.2786884307861328</v>
      </c>
      <c r="X94" s="454">
        <v>1.489124059677124</v>
      </c>
      <c r="Y94" s="454">
        <v>2.2776641845703125</v>
      </c>
      <c r="Z94" s="454">
        <v>1.9313000440597534</v>
      </c>
      <c r="AA94" s="454">
        <v>-1.2596193552017212</v>
      </c>
      <c r="AB94" s="454">
        <v>-7.4875640869140625</v>
      </c>
      <c r="AC94" s="454">
        <v>5.6556491851806641</v>
      </c>
      <c r="AD94" s="454">
        <v>4.4905009269714355</v>
      </c>
      <c r="AE94" s="454">
        <v>2.7548208236694336</v>
      </c>
      <c r="AF94" s="454">
        <v>-1.2868633270263672</v>
      </c>
      <c r="AG94" s="454">
        <v>1.7925040721893311</v>
      </c>
      <c r="AH94" s="454">
        <v>3.6286020278930664</v>
      </c>
      <c r="AI94" s="454">
        <v>3.6045315265655518</v>
      </c>
      <c r="AJ94" s="454">
        <v>3.4294235706329346</v>
      </c>
      <c r="AK94" s="454">
        <v>1.8260451555252075</v>
      </c>
      <c r="AL94" s="454">
        <v>1.7461066246032715</v>
      </c>
      <c r="AM94" s="454">
        <v>0.55658626556396484</v>
      </c>
      <c r="AN94" s="454">
        <v>2.2999999523162842</v>
      </c>
      <c r="AO94" s="454">
        <v>2.2999999523162842</v>
      </c>
      <c r="AP94" s="454">
        <v>1.7209476309226865</v>
      </c>
      <c r="AQ94" s="454">
        <v>1.6232351674397083</v>
      </c>
      <c r="AR94" s="454">
        <v>1.6245810500353035</v>
      </c>
      <c r="AS94" s="454">
        <v>2.0111230402646152</v>
      </c>
      <c r="AT94" s="454">
        <v>0.92516238630481074</v>
      </c>
      <c r="AU94" s="454">
        <v>0.70442183337325193</v>
      </c>
      <c r="AV94" s="454">
        <v>2.8442081268679744</v>
      </c>
      <c r="AW94" s="454">
        <v>8.5974177610603064</v>
      </c>
      <c r="AX94" s="454">
        <v>2.0809119496855311</v>
      </c>
      <c r="AY94" s="454">
        <v>1.9842767295597423</v>
      </c>
      <c r="AZ94" s="454">
        <v>1.756668835393624</v>
      </c>
      <c r="BA94" s="454">
        <v>2.0360051435919369</v>
      </c>
      <c r="BB94" s="454">
        <v>1.7106652587117188</v>
      </c>
      <c r="BC94" s="461">
        <f t="shared" ref="BC94:BO95" si="67">BB94</f>
        <v>1.7106652587117188</v>
      </c>
      <c r="BD94" s="461">
        <f t="shared" si="67"/>
        <v>1.7106652587117188</v>
      </c>
      <c r="BE94" s="461">
        <f t="shared" si="67"/>
        <v>1.7106652587117188</v>
      </c>
      <c r="BF94" s="461">
        <f t="shared" si="67"/>
        <v>1.7106652587117188</v>
      </c>
      <c r="BG94" s="461">
        <f t="shared" si="67"/>
        <v>1.7106652587117188</v>
      </c>
      <c r="BH94" s="461">
        <f t="shared" si="67"/>
        <v>1.7106652587117188</v>
      </c>
      <c r="BI94" s="461">
        <f t="shared" si="67"/>
        <v>1.7106652587117188</v>
      </c>
      <c r="BJ94" s="461">
        <f t="shared" si="67"/>
        <v>1.7106652587117188</v>
      </c>
      <c r="BK94" s="461">
        <f t="shared" si="67"/>
        <v>1.7106652587117188</v>
      </c>
      <c r="BL94" s="461">
        <f t="shared" si="67"/>
        <v>1.7106652587117188</v>
      </c>
      <c r="BM94" s="461">
        <f t="shared" si="67"/>
        <v>1.7106652587117188</v>
      </c>
      <c r="BN94" s="461">
        <f t="shared" si="67"/>
        <v>1.7106652587117188</v>
      </c>
      <c r="BO94" s="461">
        <f t="shared" si="67"/>
        <v>1.7106652587117188</v>
      </c>
      <c r="BP94" s="457"/>
      <c r="BQ94" s="448">
        <f t="shared" si="61"/>
        <v>0</v>
      </c>
      <c r="BR94" s="448">
        <f t="shared" si="61"/>
        <v>0</v>
      </c>
      <c r="BS94" s="448">
        <f t="shared" si="61"/>
        <v>0</v>
      </c>
      <c r="BT94" s="448">
        <f t="shared" si="61"/>
        <v>0</v>
      </c>
      <c r="BU94" s="448">
        <f t="shared" si="61"/>
        <v>0</v>
      </c>
      <c r="BV94" s="448">
        <f t="shared" si="61"/>
        <v>0</v>
      </c>
      <c r="BW94" s="448">
        <f t="shared" si="61"/>
        <v>0</v>
      </c>
      <c r="BX94" s="448">
        <f t="shared" si="61"/>
        <v>0</v>
      </c>
      <c r="BY94" s="448">
        <f t="shared" si="61"/>
        <v>0</v>
      </c>
      <c r="BZ94" s="448">
        <f t="shared" si="61"/>
        <v>0</v>
      </c>
      <c r="CA94" s="448">
        <f t="shared" si="61"/>
        <v>0</v>
      </c>
      <c r="CB94" s="448">
        <f t="shared" si="61"/>
        <v>0</v>
      </c>
      <c r="CD94" s="439">
        <v>1.7106652587117188</v>
      </c>
      <c r="CE94" s="439">
        <v>1.7106652587117188</v>
      </c>
      <c r="CF94" s="439">
        <v>1.7106652587117188</v>
      </c>
      <c r="CG94" s="439">
        <v>1.7106652587117188</v>
      </c>
      <c r="CH94" s="439">
        <v>1.7106652587117188</v>
      </c>
      <c r="CI94" s="439">
        <v>1.7106652587117188</v>
      </c>
      <c r="CJ94" s="439">
        <v>1.7106652587117188</v>
      </c>
      <c r="CK94" s="439">
        <v>1.7106652587117188</v>
      </c>
      <c r="CL94" s="439">
        <v>1.7106652587117188</v>
      </c>
      <c r="CM94" s="439">
        <v>1.7106652587117188</v>
      </c>
      <c r="CN94" s="439">
        <v>1.7106652587117188</v>
      </c>
      <c r="CO94" s="439">
        <v>1.7106652587117188</v>
      </c>
    </row>
    <row r="95" spans="1:93">
      <c r="A95" s="447" t="s">
        <v>2202</v>
      </c>
      <c r="B95" s="447"/>
      <c r="C95" s="442" t="s">
        <v>2190</v>
      </c>
      <c r="D95" s="447" t="s">
        <v>3006</v>
      </c>
      <c r="E95" s="436" t="s">
        <v>2203</v>
      </c>
      <c r="F95" s="454">
        <v>0</v>
      </c>
      <c r="G95" s="454">
        <v>0</v>
      </c>
      <c r="H95" s="454">
        <v>0.30000001192092896</v>
      </c>
      <c r="I95" s="454">
        <v>0.30000001192092896</v>
      </c>
      <c r="J95" s="454">
        <v>0.30000001192092896</v>
      </c>
      <c r="K95" s="454">
        <v>0.30000001192092896</v>
      </c>
      <c r="L95" s="454">
        <v>0.30000001192092896</v>
      </c>
      <c r="M95" s="454">
        <v>1.2999999523162842</v>
      </c>
      <c r="N95" s="454">
        <v>1.2999999523162842</v>
      </c>
      <c r="O95" s="454">
        <v>1.2999999523162842</v>
      </c>
      <c r="P95" s="454">
        <v>1.2999999523162842</v>
      </c>
      <c r="Q95" s="454">
        <v>1.2999999523162842</v>
      </c>
      <c r="R95" s="454">
        <v>1.0800000429153442</v>
      </c>
      <c r="S95" s="454">
        <v>1.6399999856948853</v>
      </c>
      <c r="T95" s="454">
        <v>2.8299999237060547</v>
      </c>
      <c r="U95" s="454">
        <v>4.5199999809265137</v>
      </c>
      <c r="V95" s="454">
        <v>6.4800000190734863</v>
      </c>
      <c r="W95" s="454">
        <v>7.1999998092651367</v>
      </c>
      <c r="X95" s="454">
        <v>5.875</v>
      </c>
      <c r="Y95" s="454">
        <v>8.6560001373291016</v>
      </c>
      <c r="Z95" s="454">
        <v>14.836000442504883</v>
      </c>
      <c r="AA95" s="454">
        <v>35.740001678466797</v>
      </c>
      <c r="AB95" s="454">
        <v>0.41200000047683716</v>
      </c>
      <c r="AC95" s="454">
        <v>1.3559999465942383</v>
      </c>
      <c r="AD95" s="454">
        <v>4.7069997787475586</v>
      </c>
      <c r="AE95" s="454">
        <v>15.789999961853027</v>
      </c>
      <c r="AF95" s="454">
        <v>16.705999374389648</v>
      </c>
      <c r="AG95" s="454">
        <v>1.093999981880188</v>
      </c>
      <c r="AH95" s="454">
        <v>-0.27500000596046448</v>
      </c>
      <c r="AI95" s="454">
        <v>2.4200000762939453</v>
      </c>
      <c r="AJ95" s="454">
        <v>9.4999998807907104E-2</v>
      </c>
      <c r="AK95" s="454">
        <v>-0.89999997615814209</v>
      </c>
      <c r="AL95" s="454">
        <v>-1.1000000238418579</v>
      </c>
      <c r="AM95" s="454">
        <v>4.8889999389648438</v>
      </c>
      <c r="AN95" s="454">
        <v>2.3919999599456787</v>
      </c>
      <c r="AO95" s="454">
        <v>0</v>
      </c>
      <c r="AP95" s="454">
        <v>6.234</v>
      </c>
      <c r="AQ95" s="454">
        <v>5.9909999999999997</v>
      </c>
      <c r="AR95" s="454">
        <v>5.423</v>
      </c>
      <c r="AS95" s="454">
        <v>7.5970000000000004</v>
      </c>
      <c r="AT95" s="454">
        <v>2.544</v>
      </c>
      <c r="AU95" s="454">
        <v>-1</v>
      </c>
      <c r="AV95" s="454">
        <v>7.0670000000000002</v>
      </c>
      <c r="AW95" s="454">
        <v>1.4</v>
      </c>
      <c r="AX95" s="454">
        <v>2.6</v>
      </c>
      <c r="AY95" s="454">
        <v>2.2000000000000002</v>
      </c>
      <c r="AZ95" s="454">
        <v>2.6</v>
      </c>
      <c r="BA95" s="454">
        <v>2.6</v>
      </c>
      <c r="BB95" s="454">
        <v>2.4</v>
      </c>
      <c r="BC95" s="461">
        <f t="shared" si="67"/>
        <v>2.4</v>
      </c>
      <c r="BD95" s="461">
        <f t="shared" si="67"/>
        <v>2.4</v>
      </c>
      <c r="BE95" s="461">
        <f t="shared" si="67"/>
        <v>2.4</v>
      </c>
      <c r="BF95" s="461">
        <f t="shared" si="67"/>
        <v>2.4</v>
      </c>
      <c r="BG95" s="461">
        <f t="shared" si="67"/>
        <v>2.4</v>
      </c>
      <c r="BH95" s="461">
        <f t="shared" si="67"/>
        <v>2.4</v>
      </c>
      <c r="BI95" s="461">
        <f t="shared" si="67"/>
        <v>2.4</v>
      </c>
      <c r="BJ95" s="461">
        <f t="shared" si="67"/>
        <v>2.4</v>
      </c>
      <c r="BK95" s="461">
        <f t="shared" si="67"/>
        <v>2.4</v>
      </c>
      <c r="BL95" s="461">
        <f t="shared" si="67"/>
        <v>2.4</v>
      </c>
      <c r="BM95" s="461">
        <f t="shared" si="67"/>
        <v>2.4</v>
      </c>
      <c r="BN95" s="461">
        <f t="shared" si="67"/>
        <v>2.4</v>
      </c>
      <c r="BO95" s="461">
        <f t="shared" si="67"/>
        <v>2.4</v>
      </c>
      <c r="BP95" s="457"/>
      <c r="BQ95" s="448">
        <f t="shared" si="61"/>
        <v>0</v>
      </c>
      <c r="BR95" s="448">
        <f t="shared" si="61"/>
        <v>0</v>
      </c>
      <c r="BS95" s="448">
        <f t="shared" si="61"/>
        <v>0</v>
      </c>
      <c r="BT95" s="448">
        <f t="shared" si="61"/>
        <v>0</v>
      </c>
      <c r="BU95" s="448">
        <f t="shared" si="61"/>
        <v>0</v>
      </c>
      <c r="BV95" s="448">
        <f t="shared" si="61"/>
        <v>0</v>
      </c>
      <c r="BW95" s="448">
        <f t="shared" si="61"/>
        <v>0</v>
      </c>
      <c r="BX95" s="448">
        <f t="shared" si="61"/>
        <v>0</v>
      </c>
      <c r="BY95" s="448">
        <f t="shared" si="61"/>
        <v>0</v>
      </c>
      <c r="BZ95" s="448">
        <f t="shared" si="61"/>
        <v>0</v>
      </c>
      <c r="CA95" s="448">
        <f t="shared" si="61"/>
        <v>0</v>
      </c>
      <c r="CB95" s="448">
        <f t="shared" si="61"/>
        <v>0</v>
      </c>
      <c r="CD95" s="439">
        <v>2.4</v>
      </c>
      <c r="CE95" s="439">
        <v>2.4</v>
      </c>
      <c r="CF95" s="439">
        <v>2.4</v>
      </c>
      <c r="CG95" s="439">
        <v>2.4</v>
      </c>
      <c r="CH95" s="439">
        <v>2.4</v>
      </c>
      <c r="CI95" s="439">
        <v>2.4</v>
      </c>
      <c r="CJ95" s="439">
        <v>2.4</v>
      </c>
      <c r="CK95" s="439">
        <v>2.4</v>
      </c>
      <c r="CL95" s="439">
        <v>2.4</v>
      </c>
      <c r="CM95" s="439">
        <v>2.4</v>
      </c>
      <c r="CN95" s="439">
        <v>2.4</v>
      </c>
      <c r="CO95" s="439">
        <v>2.4</v>
      </c>
    </row>
    <row r="96" spans="1:93" s="452" customFormat="1">
      <c r="A96" s="452" t="s">
        <v>2204</v>
      </c>
    </row>
    <row r="97" spans="1:93">
      <c r="A97" s="447" t="s">
        <v>727</v>
      </c>
      <c r="B97" s="447"/>
      <c r="C97" s="442"/>
      <c r="D97" s="447"/>
      <c r="E97" s="436"/>
      <c r="F97" s="454"/>
      <c r="G97" s="454"/>
      <c r="H97" s="454"/>
      <c r="I97" s="454"/>
      <c r="J97" s="454"/>
      <c r="K97" s="454"/>
      <c r="L97" s="454"/>
      <c r="M97" s="454"/>
      <c r="N97" s="454"/>
      <c r="O97" s="454"/>
      <c r="P97" s="454"/>
      <c r="Q97" s="454"/>
      <c r="R97" s="454"/>
      <c r="S97" s="454"/>
      <c r="T97" s="454"/>
      <c r="U97" s="454"/>
      <c r="V97" s="454"/>
      <c r="W97" s="454"/>
      <c r="X97" s="454"/>
      <c r="Y97" s="454"/>
      <c r="Z97" s="454"/>
      <c r="AA97" s="454"/>
      <c r="AB97" s="454"/>
      <c r="AC97" s="454"/>
      <c r="AD97" s="454"/>
      <c r="AE97" s="454"/>
      <c r="AF97" s="454"/>
      <c r="AG97" s="454"/>
      <c r="AH97" s="454"/>
      <c r="AI97" s="454"/>
      <c r="AJ97" s="454"/>
      <c r="AK97" s="712">
        <f>+AK100/AK99</f>
        <v>1.680672268907563</v>
      </c>
      <c r="AL97" s="712">
        <f t="shared" ref="AL97:BO97" si="68">+AL100/AL99</f>
        <v>2.801120448179272</v>
      </c>
      <c r="AM97" s="712">
        <f t="shared" si="68"/>
        <v>5.6862745098039227</v>
      </c>
      <c r="AN97" s="712">
        <f t="shared" si="68"/>
        <v>5.5462184873949587</v>
      </c>
      <c r="AO97" s="712">
        <f t="shared" si="68"/>
        <v>8.3137254901960791</v>
      </c>
      <c r="AP97" s="712">
        <f t="shared" si="68"/>
        <v>9.4341736694677873</v>
      </c>
      <c r="AQ97" s="712">
        <f t="shared" si="68"/>
        <v>10.084033613445378</v>
      </c>
      <c r="AR97" s="712">
        <f t="shared" si="68"/>
        <v>13.467787114845938</v>
      </c>
      <c r="AS97" s="712">
        <f t="shared" si="68"/>
        <v>34.873949579831937</v>
      </c>
      <c r="AT97" s="712">
        <f t="shared" si="68"/>
        <v>131.74789915966386</v>
      </c>
      <c r="AU97" s="712">
        <f t="shared" si="68"/>
        <v>1.1298270256799465</v>
      </c>
      <c r="AV97" s="712">
        <f t="shared" si="68"/>
        <v>1.0340788735904305</v>
      </c>
      <c r="AW97" s="712">
        <f t="shared" si="68"/>
        <v>1.0864089775561097</v>
      </c>
      <c r="AX97" s="712">
        <f t="shared" si="68"/>
        <v>1.3851620947630923</v>
      </c>
      <c r="AY97" s="712">
        <f t="shared" si="68"/>
        <v>1.4551110594255143</v>
      </c>
      <c r="AZ97" s="712">
        <f t="shared" si="68"/>
        <v>1.4638467918268867</v>
      </c>
      <c r="BA97" s="712">
        <f t="shared" si="68"/>
        <v>1.0305141152168922</v>
      </c>
      <c r="BB97" s="712">
        <f t="shared" si="68"/>
        <v>1.1488228400980078</v>
      </c>
      <c r="BC97" s="712">
        <f t="shared" si="68"/>
        <v>1.1411866193808109</v>
      </c>
      <c r="BD97" s="712">
        <f t="shared" si="68"/>
        <v>0.99367660343270092</v>
      </c>
      <c r="BE97" s="712">
        <f t="shared" si="68"/>
        <v>0.99367660343270092</v>
      </c>
      <c r="BF97" s="712">
        <f t="shared" si="68"/>
        <v>0.99367660343270092</v>
      </c>
      <c r="BG97" s="712">
        <f t="shared" si="68"/>
        <v>0.99367660343270092</v>
      </c>
      <c r="BH97" s="712">
        <f t="shared" si="68"/>
        <v>0.99367660343270092</v>
      </c>
      <c r="BI97" s="712">
        <f t="shared" si="68"/>
        <v>0.99367660343270092</v>
      </c>
      <c r="BJ97" s="712">
        <f t="shared" si="68"/>
        <v>0.99367660343270092</v>
      </c>
      <c r="BK97" s="712">
        <f t="shared" si="68"/>
        <v>0.99367660343270092</v>
      </c>
      <c r="BL97" s="712">
        <f t="shared" si="68"/>
        <v>0.99367660343270092</v>
      </c>
      <c r="BM97" s="712">
        <f t="shared" si="68"/>
        <v>0.99367660343270092</v>
      </c>
      <c r="BN97" s="712">
        <f t="shared" si="68"/>
        <v>0.99367660343270092</v>
      </c>
      <c r="BO97" s="712">
        <f t="shared" si="68"/>
        <v>0.99367660343270092</v>
      </c>
      <c r="BP97" s="457"/>
    </row>
    <row r="98" spans="1:93" s="438" customFormat="1">
      <c r="A98" s="436" t="s">
        <v>726</v>
      </c>
      <c r="C98" s="442"/>
      <c r="D98" s="436"/>
      <c r="E98" s="436"/>
      <c r="F98" s="711">
        <f>+F99</f>
        <v>1.885E-3</v>
      </c>
      <c r="G98" s="711">
        <f t="shared" ref="G98:AJ98" si="69">+G99</f>
        <v>1.885E-3</v>
      </c>
      <c r="H98" s="711">
        <f t="shared" si="69"/>
        <v>1.885E-3</v>
      </c>
      <c r="I98" s="711">
        <f t="shared" si="69"/>
        <v>1.885E-3</v>
      </c>
      <c r="J98" s="711">
        <f t="shared" si="69"/>
        <v>1.885E-3</v>
      </c>
      <c r="K98" s="711">
        <f t="shared" si="69"/>
        <v>1.885E-3</v>
      </c>
      <c r="L98" s="711">
        <f t="shared" si="69"/>
        <v>1.885E-3</v>
      </c>
      <c r="M98" s="711">
        <f t="shared" si="69"/>
        <v>1.885E-3</v>
      </c>
      <c r="N98" s="711">
        <f t="shared" si="69"/>
        <v>1.885E-3</v>
      </c>
      <c r="O98" s="711">
        <f t="shared" si="69"/>
        <v>1.885E-3</v>
      </c>
      <c r="P98" s="711">
        <f t="shared" si="69"/>
        <v>1.885E-3</v>
      </c>
      <c r="Q98" s="711">
        <f t="shared" si="69"/>
        <v>1.885E-3</v>
      </c>
      <c r="R98" s="711">
        <f t="shared" si="69"/>
        <v>1.885E-3</v>
      </c>
      <c r="S98" s="711">
        <f t="shared" si="69"/>
        <v>1.885E-3</v>
      </c>
      <c r="T98" s="711">
        <f t="shared" si="69"/>
        <v>1.885E-3</v>
      </c>
      <c r="U98" s="711">
        <f t="shared" si="69"/>
        <v>1.885E-3</v>
      </c>
      <c r="V98" s="711">
        <f t="shared" si="69"/>
        <v>1.885E-3</v>
      </c>
      <c r="W98" s="711">
        <f t="shared" si="69"/>
        <v>1.885E-3</v>
      </c>
      <c r="X98" s="711">
        <f t="shared" si="69"/>
        <v>1.7849999999999999E-3</v>
      </c>
      <c r="Y98" s="711">
        <f t="shared" si="69"/>
        <v>1.7849999999999999E-3</v>
      </c>
      <c r="Z98" s="711">
        <f t="shared" si="69"/>
        <v>1.7849999999999999E-3</v>
      </c>
      <c r="AA98" s="711">
        <f t="shared" si="69"/>
        <v>1.7849999999999999E-3</v>
      </c>
      <c r="AB98" s="711">
        <f t="shared" si="69"/>
        <v>1.7849999999999999E-3</v>
      </c>
      <c r="AC98" s="711">
        <f t="shared" si="69"/>
        <v>1.7849999999999999E-3</v>
      </c>
      <c r="AD98" s="711">
        <f t="shared" si="69"/>
        <v>1.7849999999999999E-3</v>
      </c>
      <c r="AE98" s="711">
        <f t="shared" si="69"/>
        <v>1.7849999999999999E-3</v>
      </c>
      <c r="AF98" s="711">
        <f t="shared" si="69"/>
        <v>1.7849999999999999E-3</v>
      </c>
      <c r="AG98" s="711">
        <f t="shared" si="69"/>
        <v>1.7849999999999999E-3</v>
      </c>
      <c r="AH98" s="711">
        <f t="shared" si="69"/>
        <v>1.7849999999999999E-3</v>
      </c>
      <c r="AI98" s="711">
        <f t="shared" si="69"/>
        <v>1.7849999999999999E-3</v>
      </c>
      <c r="AJ98" s="711">
        <f t="shared" si="69"/>
        <v>1.7849999999999999E-3</v>
      </c>
      <c r="AK98" s="711">
        <f>0.21*AK100+0.79*AK99</f>
        <v>2.0401500000000001E-3</v>
      </c>
      <c r="AL98" s="711">
        <f t="shared" ref="AL98:BO98" si="70">0.21*AL100+0.79*AL99</f>
        <v>2.4601499999999999E-3</v>
      </c>
      <c r="AM98" s="711">
        <f t="shared" si="70"/>
        <v>3.5416500000000004E-3</v>
      </c>
      <c r="AN98" s="711">
        <f t="shared" si="70"/>
        <v>3.4891499999999999E-3</v>
      </c>
      <c r="AO98" s="711">
        <f t="shared" si="70"/>
        <v>4.5265499999999998E-3</v>
      </c>
      <c r="AP98" s="711">
        <f t="shared" si="70"/>
        <v>4.9465500000000001E-3</v>
      </c>
      <c r="AQ98" s="711">
        <f>0.28*AQ100+0.71*AQ99</f>
        <v>6.3073499999999998E-3</v>
      </c>
      <c r="AR98" s="711">
        <f>0.28*AR100+0.71*AR99</f>
        <v>7.9985500000000001E-3</v>
      </c>
      <c r="AS98" s="711">
        <f>0.28*AS100+0.71*AS99</f>
        <v>1.8697350000000001E-2</v>
      </c>
      <c r="AT98" s="711">
        <f>0.28*AT100+0.71*AT99</f>
        <v>6.7114950000000007E-2</v>
      </c>
      <c r="AU98" s="711">
        <f t="shared" si="70"/>
        <v>0.45342905</v>
      </c>
      <c r="AV98" s="711">
        <f t="shared" si="70"/>
        <v>0.40414675</v>
      </c>
      <c r="AW98" s="711">
        <f t="shared" si="70"/>
        <v>0.40827650000000004</v>
      </c>
      <c r="AX98" s="711">
        <f t="shared" si="70"/>
        <v>0.4334345</v>
      </c>
      <c r="AY98" s="711">
        <f t="shared" si="70"/>
        <v>0.94208350000000007</v>
      </c>
      <c r="AZ98" s="711">
        <f t="shared" si="70"/>
        <v>1.4554920000000002</v>
      </c>
      <c r="BA98" s="711">
        <f t="shared" si="70"/>
        <v>2.1924597500000003</v>
      </c>
      <c r="BB98" s="711">
        <f t="shared" si="70"/>
        <v>2.4200925</v>
      </c>
      <c r="BC98" s="711">
        <f t="shared" si="70"/>
        <v>2.6855824999999998</v>
      </c>
      <c r="BD98" s="711">
        <f t="shared" si="70"/>
        <v>2.7638250000000002</v>
      </c>
      <c r="BE98" s="711">
        <f t="shared" si="70"/>
        <v>2.7638250000000002</v>
      </c>
      <c r="BF98" s="711">
        <f t="shared" si="70"/>
        <v>2.7638250000000002</v>
      </c>
      <c r="BG98" s="711">
        <f t="shared" si="70"/>
        <v>2.7638250000000002</v>
      </c>
      <c r="BH98" s="711">
        <f t="shared" si="70"/>
        <v>2.7638250000000002</v>
      </c>
      <c r="BI98" s="711">
        <f t="shared" si="70"/>
        <v>2.7638250000000002</v>
      </c>
      <c r="BJ98" s="711">
        <f t="shared" si="70"/>
        <v>2.7638250000000002</v>
      </c>
      <c r="BK98" s="711">
        <f t="shared" si="70"/>
        <v>2.7638250000000002</v>
      </c>
      <c r="BL98" s="711">
        <f t="shared" si="70"/>
        <v>2.7638250000000002</v>
      </c>
      <c r="BM98" s="711">
        <f t="shared" si="70"/>
        <v>2.7638250000000002</v>
      </c>
      <c r="BN98" s="711">
        <f t="shared" si="70"/>
        <v>2.7638250000000002</v>
      </c>
      <c r="BO98" s="711">
        <f t="shared" si="70"/>
        <v>2.7638250000000002</v>
      </c>
      <c r="BQ98" s="438">
        <f t="shared" si="61"/>
        <v>2.7638250000000002</v>
      </c>
      <c r="BR98" s="438">
        <f t="shared" si="61"/>
        <v>2.7638250000000002</v>
      </c>
      <c r="BS98" s="438">
        <f t="shared" si="61"/>
        <v>2.7638250000000002</v>
      </c>
      <c r="BT98" s="438">
        <f t="shared" si="61"/>
        <v>2.7638250000000002</v>
      </c>
      <c r="BU98" s="438">
        <f t="shared" si="61"/>
        <v>2.7638250000000002</v>
      </c>
      <c r="BV98" s="438">
        <f t="shared" si="61"/>
        <v>2.7638250000000002</v>
      </c>
      <c r="BW98" s="438">
        <f t="shared" si="61"/>
        <v>2.7638250000000002</v>
      </c>
      <c r="BX98" s="438">
        <f t="shared" si="61"/>
        <v>2.7638250000000002</v>
      </c>
      <c r="BY98" s="438">
        <f t="shared" si="61"/>
        <v>2.7638250000000002</v>
      </c>
      <c r="BZ98" s="438">
        <f t="shared" si="61"/>
        <v>2.7638250000000002</v>
      </c>
      <c r="CA98" s="438">
        <f t="shared" si="61"/>
        <v>2.7638250000000002</v>
      </c>
      <c r="CB98" s="438">
        <f t="shared" si="61"/>
        <v>2.7638250000000002</v>
      </c>
    </row>
    <row r="99" spans="1:93">
      <c r="A99" s="447" t="s">
        <v>2205</v>
      </c>
      <c r="B99" s="447"/>
      <c r="C99" s="442" t="s">
        <v>2206</v>
      </c>
      <c r="D99" s="447" t="s">
        <v>2384</v>
      </c>
      <c r="E99" s="436"/>
      <c r="F99" s="471">
        <v>1.885E-3</v>
      </c>
      <c r="G99" s="471">
        <v>1.885E-3</v>
      </c>
      <c r="H99" s="471">
        <v>1.885E-3</v>
      </c>
      <c r="I99" s="471">
        <v>1.885E-3</v>
      </c>
      <c r="J99" s="471">
        <v>1.885E-3</v>
      </c>
      <c r="K99" s="471">
        <v>1.885E-3</v>
      </c>
      <c r="L99" s="471">
        <v>1.885E-3</v>
      </c>
      <c r="M99" s="471">
        <v>1.885E-3</v>
      </c>
      <c r="N99" s="471">
        <v>1.885E-3</v>
      </c>
      <c r="O99" s="471">
        <v>1.885E-3</v>
      </c>
      <c r="P99" s="471">
        <v>1.885E-3</v>
      </c>
      <c r="Q99" s="471">
        <v>1.885E-3</v>
      </c>
      <c r="R99" s="471">
        <v>1.885E-3</v>
      </c>
      <c r="S99" s="471">
        <v>1.885E-3</v>
      </c>
      <c r="T99" s="471">
        <v>1.885E-3</v>
      </c>
      <c r="U99" s="471">
        <v>1.885E-3</v>
      </c>
      <c r="V99" s="471">
        <v>1.885E-3</v>
      </c>
      <c r="W99" s="471">
        <v>1.885E-3</v>
      </c>
      <c r="X99" s="471">
        <v>1.7849999999999999E-3</v>
      </c>
      <c r="Y99" s="471">
        <v>1.7849999999999999E-3</v>
      </c>
      <c r="Z99" s="471">
        <v>1.7849999999999999E-3</v>
      </c>
      <c r="AA99" s="471">
        <v>1.7849999999999999E-3</v>
      </c>
      <c r="AB99" s="471">
        <v>1.7849999999999999E-3</v>
      </c>
      <c r="AC99" s="471">
        <v>1.7849999999999999E-3</v>
      </c>
      <c r="AD99" s="471">
        <v>1.7849999999999999E-3</v>
      </c>
      <c r="AE99" s="471">
        <v>1.7849999999999999E-3</v>
      </c>
      <c r="AF99" s="471">
        <v>1.7849999999999999E-3</v>
      </c>
      <c r="AG99" s="471">
        <v>1.7849999999999999E-3</v>
      </c>
      <c r="AH99" s="471">
        <v>1.7849999999999999E-3</v>
      </c>
      <c r="AI99" s="471">
        <v>1.7849999999999999E-3</v>
      </c>
      <c r="AJ99" s="471">
        <v>1.7849999999999999E-3</v>
      </c>
      <c r="AK99" s="471">
        <v>1.7849999999999999E-3</v>
      </c>
      <c r="AL99" s="471">
        <v>1.7849999999999999E-3</v>
      </c>
      <c r="AM99" s="471">
        <v>1.7849999999999999E-3</v>
      </c>
      <c r="AN99" s="471">
        <v>1.7849999999999999E-3</v>
      </c>
      <c r="AO99" s="471">
        <v>1.7849999999999999E-3</v>
      </c>
      <c r="AP99" s="471">
        <v>1.7849999999999999E-3</v>
      </c>
      <c r="AQ99" s="471">
        <v>1.7849999999999999E-3</v>
      </c>
      <c r="AR99" s="471">
        <v>1.7849999999999999E-3</v>
      </c>
      <c r="AS99" s="471">
        <v>1.7849999999999999E-3</v>
      </c>
      <c r="AT99" s="471">
        <v>1.7849999999999999E-3</v>
      </c>
      <c r="AU99" s="471">
        <v>0.44139499999999998</v>
      </c>
      <c r="AV99" s="471">
        <v>0.40127499999999999</v>
      </c>
      <c r="AW99" s="471">
        <v>0.40100000000000002</v>
      </c>
      <c r="AX99" s="471">
        <v>0.40100000000000002</v>
      </c>
      <c r="AY99" s="471">
        <v>0.85990000000000011</v>
      </c>
      <c r="AZ99" s="471">
        <v>1.3263</v>
      </c>
      <c r="BA99" s="471">
        <v>2.1785000000000001</v>
      </c>
      <c r="BB99" s="471">
        <v>2.3467500000000001</v>
      </c>
      <c r="BC99" s="471">
        <v>2.60825</v>
      </c>
      <c r="BD99" s="471">
        <v>2.7675000000000001</v>
      </c>
      <c r="BE99" s="472">
        <f>BD99+BE100-BD100</f>
        <v>2.7675000000000001</v>
      </c>
      <c r="BF99" s="472">
        <f t="shared" ref="BF99:BO99" si="71">BE99+BF100-BE100</f>
        <v>2.7675000000000001</v>
      </c>
      <c r="BG99" s="472">
        <f t="shared" si="71"/>
        <v>2.7675000000000001</v>
      </c>
      <c r="BH99" s="472">
        <f t="shared" si="71"/>
        <v>2.7675000000000001</v>
      </c>
      <c r="BI99" s="472">
        <f t="shared" si="71"/>
        <v>2.7675000000000001</v>
      </c>
      <c r="BJ99" s="472">
        <f t="shared" si="71"/>
        <v>2.7675000000000001</v>
      </c>
      <c r="BK99" s="472">
        <f t="shared" si="71"/>
        <v>2.7675000000000001</v>
      </c>
      <c r="BL99" s="472">
        <f t="shared" si="71"/>
        <v>2.7675000000000001</v>
      </c>
      <c r="BM99" s="472">
        <f t="shared" si="71"/>
        <v>2.7675000000000001</v>
      </c>
      <c r="BN99" s="472">
        <f t="shared" si="71"/>
        <v>2.7675000000000001</v>
      </c>
      <c r="BO99" s="472">
        <f t="shared" si="71"/>
        <v>2.7675000000000001</v>
      </c>
      <c r="BP99" s="473"/>
      <c r="BQ99" s="474">
        <f t="shared" si="61"/>
        <v>0</v>
      </c>
      <c r="BR99" s="474">
        <f t="shared" si="61"/>
        <v>0</v>
      </c>
      <c r="BS99" s="474">
        <f t="shared" si="61"/>
        <v>0</v>
      </c>
      <c r="BT99" s="474">
        <f t="shared" si="61"/>
        <v>0</v>
      </c>
      <c r="BU99" s="474">
        <f t="shared" si="61"/>
        <v>0</v>
      </c>
      <c r="BV99" s="474">
        <f t="shared" si="61"/>
        <v>0</v>
      </c>
      <c r="BW99" s="474">
        <f t="shared" si="61"/>
        <v>0</v>
      </c>
      <c r="BX99" s="474">
        <f t="shared" si="61"/>
        <v>0</v>
      </c>
      <c r="BY99" s="474">
        <f t="shared" si="61"/>
        <v>0</v>
      </c>
      <c r="BZ99" s="474">
        <f t="shared" si="61"/>
        <v>0</v>
      </c>
      <c r="CA99" s="474">
        <f t="shared" si="61"/>
        <v>0</v>
      </c>
      <c r="CB99" s="474">
        <f t="shared" si="61"/>
        <v>0</v>
      </c>
      <c r="CD99" s="439">
        <v>2.7675000000000001</v>
      </c>
      <c r="CE99" s="439">
        <v>2.7675000000000001</v>
      </c>
      <c r="CF99" s="439">
        <v>2.7675000000000001</v>
      </c>
      <c r="CG99" s="439">
        <v>2.7675000000000001</v>
      </c>
      <c r="CH99" s="439">
        <v>2.7675000000000001</v>
      </c>
      <c r="CI99" s="439">
        <v>2.7675000000000001</v>
      </c>
      <c r="CJ99" s="439">
        <v>2.7675000000000001</v>
      </c>
      <c r="CK99" s="439">
        <v>2.7675000000000001</v>
      </c>
      <c r="CL99" s="439">
        <v>2.7675000000000001</v>
      </c>
      <c r="CM99" s="439">
        <v>2.7675000000000001</v>
      </c>
      <c r="CN99" s="439">
        <v>2.7675000000000001</v>
      </c>
      <c r="CO99" s="439">
        <v>2.7675000000000001</v>
      </c>
    </row>
    <row r="100" spans="1:93">
      <c r="A100" s="448" t="s">
        <v>2207</v>
      </c>
      <c r="C100" s="442" t="s">
        <v>2206</v>
      </c>
      <c r="D100" s="448" t="s">
        <v>2384</v>
      </c>
      <c r="E100" s="436"/>
      <c r="F100" s="471">
        <v>0</v>
      </c>
      <c r="G100" s="471">
        <v>0</v>
      </c>
      <c r="H100" s="471">
        <v>0</v>
      </c>
      <c r="I100" s="471">
        <v>0</v>
      </c>
      <c r="J100" s="471">
        <v>0</v>
      </c>
      <c r="K100" s="471">
        <v>0</v>
      </c>
      <c r="L100" s="471">
        <v>0</v>
      </c>
      <c r="M100" s="471">
        <v>0</v>
      </c>
      <c r="N100" s="471">
        <v>0</v>
      </c>
      <c r="O100" s="471">
        <v>0</v>
      </c>
      <c r="P100" s="471">
        <v>0</v>
      </c>
      <c r="Q100" s="471">
        <v>0</v>
      </c>
      <c r="R100" s="471">
        <v>0</v>
      </c>
      <c r="S100" s="471">
        <v>0</v>
      </c>
      <c r="T100" s="471">
        <v>0</v>
      </c>
      <c r="U100" s="471">
        <v>0</v>
      </c>
      <c r="V100" s="471">
        <v>0</v>
      </c>
      <c r="W100" s="471">
        <v>0</v>
      </c>
      <c r="X100" s="471">
        <v>0</v>
      </c>
      <c r="Y100" s="471">
        <v>0</v>
      </c>
      <c r="Z100" s="471">
        <v>0</v>
      </c>
      <c r="AA100" s="471">
        <v>0</v>
      </c>
      <c r="AB100" s="471">
        <v>0</v>
      </c>
      <c r="AC100" s="471">
        <v>0</v>
      </c>
      <c r="AD100" s="471">
        <v>0</v>
      </c>
      <c r="AE100" s="471">
        <v>0</v>
      </c>
      <c r="AF100" s="471">
        <v>0</v>
      </c>
      <c r="AG100" s="471">
        <v>0</v>
      </c>
      <c r="AH100" s="471">
        <v>0</v>
      </c>
      <c r="AI100" s="471">
        <v>0</v>
      </c>
      <c r="AJ100" s="471">
        <v>0</v>
      </c>
      <c r="AK100" s="708">
        <v>3.0000000000000001E-3</v>
      </c>
      <c r="AL100" s="708">
        <v>5.0000000000000001E-3</v>
      </c>
      <c r="AM100" s="471">
        <v>1.0150000000000001E-2</v>
      </c>
      <c r="AN100" s="471">
        <v>9.9000000000000008E-3</v>
      </c>
      <c r="AO100" s="471">
        <v>1.4839999999999999E-2</v>
      </c>
      <c r="AP100" s="471">
        <v>1.6840000000000001E-2</v>
      </c>
      <c r="AQ100" s="471">
        <v>1.7999999999999999E-2</v>
      </c>
      <c r="AR100" s="471">
        <v>2.4039999999999999E-2</v>
      </c>
      <c r="AS100" s="471">
        <v>6.225E-2</v>
      </c>
      <c r="AT100" s="471">
        <v>0.23516999999999999</v>
      </c>
      <c r="AU100" s="471">
        <v>0.49869999999999998</v>
      </c>
      <c r="AV100" s="471">
        <v>0.41494999999999999</v>
      </c>
      <c r="AW100" s="471">
        <v>0.43564999999999998</v>
      </c>
      <c r="AX100" s="471">
        <v>0.55545</v>
      </c>
      <c r="AY100" s="471">
        <v>1.25125</v>
      </c>
      <c r="AZ100" s="471">
        <v>1.9415</v>
      </c>
      <c r="BA100" s="471">
        <v>2.2449749999999997</v>
      </c>
      <c r="BB100" s="471">
        <v>2.6960000000000002</v>
      </c>
      <c r="BC100" s="471">
        <v>2.9765000000000001</v>
      </c>
      <c r="BD100" s="471">
        <v>2.75</v>
      </c>
      <c r="BE100" s="472">
        <f>BD100</f>
        <v>2.75</v>
      </c>
      <c r="BF100" s="472">
        <f t="shared" ref="BF100:BO100" si="72">BE100</f>
        <v>2.75</v>
      </c>
      <c r="BG100" s="472">
        <f t="shared" si="72"/>
        <v>2.75</v>
      </c>
      <c r="BH100" s="472">
        <f t="shared" si="72"/>
        <v>2.75</v>
      </c>
      <c r="BI100" s="472">
        <f t="shared" si="72"/>
        <v>2.75</v>
      </c>
      <c r="BJ100" s="472">
        <f t="shared" si="72"/>
        <v>2.75</v>
      </c>
      <c r="BK100" s="472">
        <f t="shared" si="72"/>
        <v>2.75</v>
      </c>
      <c r="BL100" s="472">
        <f t="shared" si="72"/>
        <v>2.75</v>
      </c>
      <c r="BM100" s="472">
        <f t="shared" si="72"/>
        <v>2.75</v>
      </c>
      <c r="BN100" s="472">
        <f t="shared" si="72"/>
        <v>2.75</v>
      </c>
      <c r="BO100" s="472">
        <f t="shared" si="72"/>
        <v>2.75</v>
      </c>
      <c r="BP100" s="473"/>
      <c r="BQ100" s="474">
        <f t="shared" si="61"/>
        <v>0</v>
      </c>
      <c r="BR100" s="474">
        <f t="shared" si="61"/>
        <v>0</v>
      </c>
      <c r="BS100" s="474">
        <f t="shared" si="61"/>
        <v>0</v>
      </c>
      <c r="BT100" s="474">
        <f t="shared" si="61"/>
        <v>0</v>
      </c>
      <c r="BU100" s="474">
        <f t="shared" si="61"/>
        <v>0</v>
      </c>
      <c r="BV100" s="474">
        <f t="shared" si="61"/>
        <v>0</v>
      </c>
      <c r="BW100" s="474">
        <f t="shared" si="61"/>
        <v>0</v>
      </c>
      <c r="BX100" s="474">
        <f t="shared" si="61"/>
        <v>0</v>
      </c>
      <c r="BY100" s="474">
        <f t="shared" si="61"/>
        <v>0</v>
      </c>
      <c r="BZ100" s="474">
        <f t="shared" si="61"/>
        <v>0</v>
      </c>
      <c r="CA100" s="474">
        <f t="shared" si="61"/>
        <v>0</v>
      </c>
      <c r="CB100" s="474">
        <f t="shared" si="61"/>
        <v>0</v>
      </c>
      <c r="CD100" s="439">
        <v>2.75</v>
      </c>
      <c r="CE100" s="439">
        <v>2.75</v>
      </c>
      <c r="CF100" s="439">
        <v>2.75</v>
      </c>
      <c r="CG100" s="439">
        <v>2.75</v>
      </c>
      <c r="CH100" s="439">
        <v>2.75</v>
      </c>
      <c r="CI100" s="439">
        <v>2.75</v>
      </c>
      <c r="CJ100" s="439">
        <v>2.75</v>
      </c>
      <c r="CK100" s="439">
        <v>2.75</v>
      </c>
      <c r="CL100" s="439">
        <v>2.75</v>
      </c>
      <c r="CM100" s="439">
        <v>2.75</v>
      </c>
      <c r="CN100" s="439">
        <v>2.75</v>
      </c>
      <c r="CO100" s="439">
        <v>2.75</v>
      </c>
    </row>
    <row r="101" spans="1:93">
      <c r="A101" s="447" t="s">
        <v>2208</v>
      </c>
      <c r="B101" s="447"/>
      <c r="C101" s="442" t="s">
        <v>1349</v>
      </c>
      <c r="D101" s="447" t="s">
        <v>2384</v>
      </c>
      <c r="E101" s="436" t="s">
        <v>2209</v>
      </c>
      <c r="F101" s="454">
        <v>0.9</v>
      </c>
      <c r="G101" s="454">
        <v>1.7</v>
      </c>
      <c r="H101" s="454">
        <v>2.6600000858306885</v>
      </c>
      <c r="I101" s="454">
        <v>3.2599999904632568</v>
      </c>
      <c r="J101" s="454">
        <v>1.8400000333786011</v>
      </c>
      <c r="K101" s="454">
        <v>3.4200000762939453</v>
      </c>
      <c r="L101" s="454">
        <v>2.940000057220459</v>
      </c>
      <c r="M101" s="454">
        <v>2.380000114440918</v>
      </c>
      <c r="N101" s="454">
        <v>2.7799999713897705</v>
      </c>
      <c r="O101" s="454">
        <v>3.1600000858306885</v>
      </c>
      <c r="P101" s="454">
        <v>3.5499999523162842</v>
      </c>
      <c r="Q101" s="454">
        <v>3.9500000476837158</v>
      </c>
      <c r="R101" s="454">
        <v>4.880000114440918</v>
      </c>
      <c r="S101" s="454">
        <v>4.3299999237060547</v>
      </c>
      <c r="T101" s="454">
        <v>5.3499999046325684</v>
      </c>
      <c r="U101" s="454">
        <v>6.690000057220459</v>
      </c>
      <c r="V101" s="454">
        <v>6.440000057220459</v>
      </c>
      <c r="W101" s="454">
        <v>4.3400001525878906</v>
      </c>
      <c r="X101" s="454">
        <v>4.070000171661377</v>
      </c>
      <c r="Y101" s="454">
        <v>7.0300002098083496</v>
      </c>
      <c r="Z101" s="454">
        <v>7.869999885559082</v>
      </c>
      <c r="AA101" s="454">
        <v>5.820000171661377</v>
      </c>
      <c r="AB101" s="454">
        <v>4.9899997711181641</v>
      </c>
      <c r="AC101" s="454">
        <v>5.2699999809265137</v>
      </c>
      <c r="AD101" s="454">
        <v>7.2199997901916504</v>
      </c>
      <c r="AE101" s="454">
        <v>10.039999961853027</v>
      </c>
      <c r="AF101" s="454">
        <v>11.619999885559082</v>
      </c>
      <c r="AG101" s="454">
        <v>11.619999885559082</v>
      </c>
      <c r="AH101" s="454">
        <v>10.720000267028809</v>
      </c>
      <c r="AI101" s="454">
        <v>8.619999885559082</v>
      </c>
      <c r="AJ101" s="454">
        <v>9.5699996948242188</v>
      </c>
      <c r="AK101" s="454">
        <v>7.4899997711181641</v>
      </c>
      <c r="AL101" s="454">
        <v>5.9699997901916504</v>
      </c>
      <c r="AM101" s="454">
        <v>5.8299999237060547</v>
      </c>
      <c r="AN101" s="454">
        <v>6.6999998092651367</v>
      </c>
      <c r="AO101" s="454">
        <v>8.1000003814697266</v>
      </c>
      <c r="AP101" s="454">
        <v>7.5</v>
      </c>
      <c r="AQ101" s="454">
        <v>7.9</v>
      </c>
      <c r="AR101" s="454">
        <v>7</v>
      </c>
      <c r="AS101" s="454">
        <v>5.9</v>
      </c>
      <c r="AT101" s="454">
        <v>7.1</v>
      </c>
      <c r="AU101" s="454">
        <v>6.6</v>
      </c>
      <c r="AV101" s="454">
        <v>6.4</v>
      </c>
      <c r="AW101" s="454">
        <v>6.4</v>
      </c>
      <c r="AX101" s="454">
        <v>5.3</v>
      </c>
      <c r="AY101" s="454">
        <v>5.6</v>
      </c>
      <c r="AZ101" s="454">
        <v>6</v>
      </c>
      <c r="BA101" s="454">
        <v>5</v>
      </c>
      <c r="BB101" s="454">
        <v>4.5999999999999996</v>
      </c>
      <c r="BC101" s="470">
        <v>4</v>
      </c>
      <c r="BD101" s="470">
        <v>4.3</v>
      </c>
      <c r="BE101" s="470">
        <v>4.5</v>
      </c>
      <c r="BF101" s="470">
        <v>4.5</v>
      </c>
      <c r="BG101" s="470">
        <v>4.5</v>
      </c>
      <c r="BH101" s="470">
        <v>4.5</v>
      </c>
      <c r="BI101" s="470">
        <v>4.5</v>
      </c>
      <c r="BJ101" s="470">
        <v>4.5</v>
      </c>
      <c r="BK101" s="470">
        <v>4.5</v>
      </c>
      <c r="BL101" s="470">
        <v>4.5</v>
      </c>
      <c r="BM101" s="470">
        <v>4.5</v>
      </c>
      <c r="BN101" s="470">
        <v>4.5</v>
      </c>
      <c r="BO101" s="470">
        <v>4.5</v>
      </c>
      <c r="BP101" s="457"/>
      <c r="BQ101" s="448">
        <f t="shared" si="61"/>
        <v>0</v>
      </c>
      <c r="BR101" s="448">
        <f t="shared" si="61"/>
        <v>0</v>
      </c>
      <c r="BS101" s="448">
        <f t="shared" si="61"/>
        <v>0</v>
      </c>
      <c r="BT101" s="448">
        <f t="shared" si="61"/>
        <v>0</v>
      </c>
      <c r="BU101" s="448">
        <f t="shared" si="61"/>
        <v>0</v>
      </c>
      <c r="BV101" s="448">
        <f t="shared" si="61"/>
        <v>0</v>
      </c>
      <c r="BW101" s="448">
        <f t="shared" si="61"/>
        <v>0</v>
      </c>
      <c r="BX101" s="448">
        <f t="shared" si="61"/>
        <v>0</v>
      </c>
      <c r="BY101" s="448">
        <f t="shared" si="61"/>
        <v>0</v>
      </c>
      <c r="BZ101" s="448">
        <f t="shared" si="61"/>
        <v>0</v>
      </c>
      <c r="CA101" s="448">
        <f t="shared" si="61"/>
        <v>0</v>
      </c>
      <c r="CB101" s="448">
        <f t="shared" si="61"/>
        <v>0</v>
      </c>
      <c r="CD101" s="439">
        <v>4.3</v>
      </c>
      <c r="CE101" s="439">
        <v>4.5</v>
      </c>
      <c r="CF101" s="439">
        <v>4.5</v>
      </c>
      <c r="CG101" s="439">
        <v>4.5</v>
      </c>
      <c r="CH101" s="439">
        <v>4.5</v>
      </c>
      <c r="CI101" s="439">
        <v>4.5</v>
      </c>
      <c r="CJ101" s="439">
        <v>4.5</v>
      </c>
      <c r="CK101" s="439">
        <v>4.5</v>
      </c>
      <c r="CL101" s="439">
        <v>4.5</v>
      </c>
      <c r="CM101" s="439">
        <v>4.5</v>
      </c>
      <c r="CN101" s="439">
        <v>4.5</v>
      </c>
      <c r="CO101" s="439">
        <v>4.5</v>
      </c>
    </row>
    <row r="102" spans="1:93">
      <c r="A102" s="447" t="s">
        <v>2210</v>
      </c>
      <c r="B102" s="447"/>
      <c r="C102" s="442" t="s">
        <v>1349</v>
      </c>
      <c r="D102" s="447" t="s">
        <v>2384</v>
      </c>
      <c r="E102" s="436" t="s">
        <v>2211</v>
      </c>
      <c r="F102" s="454">
        <v>4</v>
      </c>
      <c r="G102" s="454">
        <v>4</v>
      </c>
      <c r="H102" s="454">
        <v>5</v>
      </c>
      <c r="I102" s="454">
        <v>6</v>
      </c>
      <c r="J102" s="454">
        <v>7</v>
      </c>
      <c r="K102" s="454">
        <v>7</v>
      </c>
      <c r="L102" s="454">
        <v>7</v>
      </c>
      <c r="M102" s="454">
        <v>7</v>
      </c>
      <c r="N102" s="454">
        <v>8</v>
      </c>
      <c r="O102" s="454">
        <v>8</v>
      </c>
      <c r="P102" s="454">
        <v>8</v>
      </c>
      <c r="Q102" s="454">
        <v>8</v>
      </c>
      <c r="R102" s="454">
        <v>8</v>
      </c>
      <c r="S102" s="454">
        <v>8</v>
      </c>
      <c r="T102" s="454">
        <v>8</v>
      </c>
      <c r="U102" s="454">
        <v>8</v>
      </c>
      <c r="V102" s="454">
        <v>8</v>
      </c>
      <c r="W102" s="454">
        <v>8</v>
      </c>
      <c r="X102" s="454">
        <v>8</v>
      </c>
      <c r="Y102" s="454">
        <v>8.5</v>
      </c>
      <c r="Z102" s="454">
        <v>9</v>
      </c>
      <c r="AA102" s="454">
        <v>9</v>
      </c>
      <c r="AB102" s="454">
        <v>9</v>
      </c>
      <c r="AC102" s="454">
        <v>9</v>
      </c>
      <c r="AD102" s="454">
        <v>9.1999998092651367</v>
      </c>
      <c r="AE102" s="454">
        <v>9.3999996185302734</v>
      </c>
      <c r="AF102" s="454">
        <v>9.3000001907348633</v>
      </c>
      <c r="AG102" s="454">
        <v>9.3999996185302734</v>
      </c>
      <c r="AH102" s="454">
        <v>9.6000003814697266</v>
      </c>
      <c r="AI102" s="454">
        <v>9.3999996185302734</v>
      </c>
      <c r="AJ102" s="454">
        <v>9.3999996185302734</v>
      </c>
      <c r="AK102" s="454">
        <v>9.3000001907348633</v>
      </c>
      <c r="AL102" s="454">
        <v>9.3000001907348633</v>
      </c>
      <c r="AM102" s="454">
        <v>9.5</v>
      </c>
      <c r="AN102" s="454">
        <v>8.551666259765625</v>
      </c>
      <c r="AO102" s="454">
        <v>8.7614336013793945</v>
      </c>
      <c r="AP102" s="454">
        <v>8.8000001907348633</v>
      </c>
      <c r="AQ102" s="454">
        <v>9.1999998092651367</v>
      </c>
      <c r="AR102" s="454">
        <v>9</v>
      </c>
      <c r="AS102" s="454">
        <v>9.6999999999999993</v>
      </c>
      <c r="AT102" s="454">
        <v>32.200000000000003</v>
      </c>
      <c r="AU102" s="454">
        <v>39.6</v>
      </c>
      <c r="AV102" s="454">
        <v>34.9</v>
      </c>
      <c r="AW102" s="454">
        <v>28.824999999999999</v>
      </c>
      <c r="AX102" s="454">
        <v>21.5425</v>
      </c>
      <c r="AY102" s="454">
        <v>22.4</v>
      </c>
      <c r="AZ102" s="454">
        <v>22.3125</v>
      </c>
      <c r="BA102" s="454">
        <v>21.297499999999999</v>
      </c>
      <c r="BB102" s="454">
        <v>19.71</v>
      </c>
      <c r="BC102" s="454">
        <v>19.6525</v>
      </c>
      <c r="BD102" s="454">
        <v>19.6525</v>
      </c>
      <c r="BE102" s="461">
        <f>BD102</f>
        <v>19.6525</v>
      </c>
      <c r="BF102" s="461">
        <f t="shared" ref="BF102:BO102" si="73">BE102</f>
        <v>19.6525</v>
      </c>
      <c r="BG102" s="461">
        <f t="shared" si="73"/>
        <v>19.6525</v>
      </c>
      <c r="BH102" s="461">
        <f t="shared" si="73"/>
        <v>19.6525</v>
      </c>
      <c r="BI102" s="461">
        <f t="shared" si="73"/>
        <v>19.6525</v>
      </c>
      <c r="BJ102" s="461">
        <f t="shared" si="73"/>
        <v>19.6525</v>
      </c>
      <c r="BK102" s="461">
        <f t="shared" si="73"/>
        <v>19.6525</v>
      </c>
      <c r="BL102" s="461">
        <f t="shared" si="73"/>
        <v>19.6525</v>
      </c>
      <c r="BM102" s="461">
        <f t="shared" si="73"/>
        <v>19.6525</v>
      </c>
      <c r="BN102" s="461">
        <f t="shared" si="73"/>
        <v>19.6525</v>
      </c>
      <c r="BO102" s="461">
        <f t="shared" si="73"/>
        <v>19.6525</v>
      </c>
      <c r="BP102" s="457"/>
      <c r="BQ102" s="448">
        <f t="shared" si="61"/>
        <v>0</v>
      </c>
      <c r="BR102" s="448">
        <f t="shared" si="61"/>
        <v>0</v>
      </c>
      <c r="BS102" s="448">
        <f t="shared" si="61"/>
        <v>0</v>
      </c>
      <c r="BT102" s="448">
        <f t="shared" si="61"/>
        <v>0</v>
      </c>
      <c r="BU102" s="448">
        <f t="shared" si="61"/>
        <v>0</v>
      </c>
      <c r="BV102" s="448">
        <f t="shared" si="61"/>
        <v>0</v>
      </c>
      <c r="BW102" s="448">
        <f t="shared" si="61"/>
        <v>0</v>
      </c>
      <c r="BX102" s="448">
        <f t="shared" si="61"/>
        <v>0</v>
      </c>
      <c r="BY102" s="448">
        <f t="shared" si="61"/>
        <v>0</v>
      </c>
      <c r="BZ102" s="448">
        <f t="shared" si="61"/>
        <v>0</v>
      </c>
      <c r="CA102" s="448">
        <f t="shared" si="61"/>
        <v>0</v>
      </c>
      <c r="CB102" s="448">
        <f t="shared" si="61"/>
        <v>0</v>
      </c>
      <c r="CD102" s="439">
        <v>19.6525</v>
      </c>
      <c r="CE102" s="439">
        <v>19.6525</v>
      </c>
      <c r="CF102" s="439">
        <v>19.6525</v>
      </c>
      <c r="CG102" s="439">
        <v>19.6525</v>
      </c>
      <c r="CH102" s="439">
        <v>19.6525</v>
      </c>
      <c r="CI102" s="439">
        <v>19.6525</v>
      </c>
      <c r="CJ102" s="439">
        <v>19.6525</v>
      </c>
      <c r="CK102" s="439">
        <v>19.6525</v>
      </c>
      <c r="CL102" s="439">
        <v>19.6525</v>
      </c>
      <c r="CM102" s="439">
        <v>19.6525</v>
      </c>
      <c r="CN102" s="439">
        <v>19.6525</v>
      </c>
      <c r="CO102" s="439">
        <v>19.6525</v>
      </c>
    </row>
    <row r="103" spans="1:93">
      <c r="A103" s="448" t="s">
        <v>2212</v>
      </c>
      <c r="C103" s="442" t="s">
        <v>1455</v>
      </c>
      <c r="D103" s="448" t="s">
        <v>2384</v>
      </c>
      <c r="E103" s="438" t="s">
        <v>1344</v>
      </c>
      <c r="F103" s="454">
        <v>0</v>
      </c>
      <c r="G103" s="454">
        <v>0</v>
      </c>
      <c r="H103" s="454">
        <v>0</v>
      </c>
      <c r="I103" s="454">
        <v>0</v>
      </c>
      <c r="J103" s="454">
        <v>0</v>
      </c>
      <c r="K103" s="454">
        <v>0</v>
      </c>
      <c r="L103" s="454">
        <v>0</v>
      </c>
      <c r="M103" s="454">
        <v>0</v>
      </c>
      <c r="N103" s="454">
        <v>0</v>
      </c>
      <c r="O103" s="454">
        <v>0</v>
      </c>
      <c r="P103" s="454">
        <v>0</v>
      </c>
      <c r="Q103" s="454">
        <v>0</v>
      </c>
      <c r="R103" s="454">
        <v>0</v>
      </c>
      <c r="S103" s="454">
        <v>0</v>
      </c>
      <c r="T103" s="454">
        <v>0</v>
      </c>
      <c r="U103" s="454">
        <v>0</v>
      </c>
      <c r="V103" s="454">
        <v>0</v>
      </c>
      <c r="W103" s="454">
        <v>0</v>
      </c>
      <c r="X103" s="454">
        <v>0</v>
      </c>
      <c r="Y103" s="454">
        <v>0</v>
      </c>
      <c r="Z103" s="454">
        <v>0</v>
      </c>
      <c r="AA103" s="454">
        <v>0</v>
      </c>
      <c r="AB103" s="454">
        <v>0</v>
      </c>
      <c r="AC103" s="454">
        <v>0</v>
      </c>
      <c r="AD103" s="454">
        <v>0</v>
      </c>
      <c r="AE103" s="454">
        <v>0</v>
      </c>
      <c r="AF103" s="454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454">
        <v>0</v>
      </c>
      <c r="AM103" s="454">
        <v>0</v>
      </c>
      <c r="AN103" s="454">
        <v>0</v>
      </c>
      <c r="AO103" s="454">
        <v>0</v>
      </c>
      <c r="AP103" s="454">
        <v>1.9550000000000001</v>
      </c>
      <c r="AQ103" s="454">
        <v>3.2290000000000001</v>
      </c>
      <c r="AR103" s="454">
        <v>4.7640000000000002</v>
      </c>
      <c r="AS103" s="454">
        <v>8.2289999999999992</v>
      </c>
      <c r="AT103" s="454">
        <v>27.521999999999998</v>
      </c>
      <c r="AU103" s="454">
        <v>59.367627499999998</v>
      </c>
      <c r="AV103" s="454">
        <v>53.329447500000001</v>
      </c>
      <c r="AW103" s="454">
        <v>24.982299999999999</v>
      </c>
      <c r="AX103" s="454">
        <v>0</v>
      </c>
      <c r="AY103" s="454">
        <v>0</v>
      </c>
      <c r="AZ103" s="454">
        <v>0</v>
      </c>
      <c r="BA103" s="454">
        <v>0</v>
      </c>
      <c r="BB103" s="454">
        <v>0</v>
      </c>
      <c r="BC103" s="441">
        <f>+BB103*BC100/BB100</f>
        <v>0</v>
      </c>
      <c r="BD103" s="441">
        <f>+BC103*BD100/BC100</f>
        <v>0</v>
      </c>
      <c r="BE103" s="441">
        <f t="shared" ref="BE103:BO103" si="74">+BD103*BE99/BD99</f>
        <v>0</v>
      </c>
      <c r="BF103" s="441">
        <f t="shared" si="74"/>
        <v>0</v>
      </c>
      <c r="BG103" s="441">
        <f t="shared" si="74"/>
        <v>0</v>
      </c>
      <c r="BH103" s="441">
        <f t="shared" si="74"/>
        <v>0</v>
      </c>
      <c r="BI103" s="441">
        <f t="shared" si="74"/>
        <v>0</v>
      </c>
      <c r="BJ103" s="441">
        <f t="shared" si="74"/>
        <v>0</v>
      </c>
      <c r="BK103" s="441">
        <f t="shared" si="74"/>
        <v>0</v>
      </c>
      <c r="BL103" s="441">
        <f t="shared" si="74"/>
        <v>0</v>
      </c>
      <c r="BM103" s="441">
        <f t="shared" si="74"/>
        <v>0</v>
      </c>
      <c r="BN103" s="441">
        <f t="shared" si="74"/>
        <v>0</v>
      </c>
      <c r="BO103" s="441">
        <f t="shared" si="74"/>
        <v>0</v>
      </c>
      <c r="BP103" s="440"/>
      <c r="BQ103" s="448">
        <f t="shared" si="61"/>
        <v>0</v>
      </c>
      <c r="BR103" s="448">
        <f t="shared" si="61"/>
        <v>0</v>
      </c>
      <c r="BS103" s="448">
        <f t="shared" si="61"/>
        <v>0</v>
      </c>
      <c r="BT103" s="448">
        <f t="shared" si="61"/>
        <v>0</v>
      </c>
      <c r="BU103" s="448">
        <f t="shared" si="61"/>
        <v>0</v>
      </c>
      <c r="BV103" s="448">
        <f t="shared" si="61"/>
        <v>0</v>
      </c>
      <c r="BW103" s="448">
        <f t="shared" si="61"/>
        <v>0</v>
      </c>
      <c r="BX103" s="448">
        <f t="shared" si="61"/>
        <v>0</v>
      </c>
      <c r="BY103" s="448">
        <f t="shared" si="61"/>
        <v>0</v>
      </c>
      <c r="BZ103" s="448">
        <f t="shared" si="61"/>
        <v>0</v>
      </c>
      <c r="CA103" s="448">
        <f t="shared" si="61"/>
        <v>0</v>
      </c>
      <c r="CB103" s="448">
        <f t="shared" si="61"/>
        <v>0</v>
      </c>
      <c r="CD103" s="439">
        <v>0</v>
      </c>
      <c r="CE103" s="439">
        <v>0</v>
      </c>
      <c r="CF103" s="439">
        <v>0</v>
      </c>
      <c r="CG103" s="439">
        <v>0</v>
      </c>
      <c r="CH103" s="439">
        <v>0</v>
      </c>
      <c r="CI103" s="439">
        <v>0</v>
      </c>
      <c r="CJ103" s="439">
        <v>0</v>
      </c>
      <c r="CK103" s="439">
        <v>0</v>
      </c>
      <c r="CL103" s="439">
        <v>0</v>
      </c>
      <c r="CM103" s="439">
        <v>0</v>
      </c>
      <c r="CN103" s="439">
        <v>0</v>
      </c>
      <c r="CO103" s="439">
        <v>0</v>
      </c>
    </row>
    <row r="104" spans="1:93" s="450" customFormat="1">
      <c r="A104" s="450" t="s">
        <v>2213</v>
      </c>
      <c r="C104" s="451"/>
    </row>
    <row r="105" spans="1:93">
      <c r="A105" s="436" t="s">
        <v>2214</v>
      </c>
      <c r="B105" s="436"/>
      <c r="C105" s="442" t="s">
        <v>1455</v>
      </c>
      <c r="D105" s="436"/>
      <c r="E105" s="436"/>
      <c r="F105" s="456"/>
      <c r="G105" s="456"/>
      <c r="H105" s="456"/>
      <c r="I105" s="456"/>
      <c r="J105" s="456"/>
      <c r="K105" s="456"/>
      <c r="L105" s="456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>
        <f t="shared" ref="AQ105:AW105" si="75">+AP109*AQ110/AP110+AP111*AQ112/AP112+AP113*AQ114/AP114+AP115*AQ116/AP116+AP117*AQ118/AP118+AP119*AQ120/AP120+AP121*AQ122/AP122+AP123*AQ124/AP124+AP125*AQ126/AP126</f>
        <v>0.78468295227504514</v>
      </c>
      <c r="AR105" s="456">
        <f t="shared" si="75"/>
        <v>0.72866888767507876</v>
      </c>
      <c r="AS105" s="456">
        <f t="shared" si="75"/>
        <v>0.64282752331309612</v>
      </c>
      <c r="AT105" s="456">
        <f t="shared" si="75"/>
        <v>2.0568148891642002</v>
      </c>
      <c r="AU105" s="456">
        <f t="shared" si="75"/>
        <v>66.940133039785948</v>
      </c>
      <c r="AV105" s="456">
        <f t="shared" si="75"/>
        <v>202.84252004825507</v>
      </c>
      <c r="AW105" s="456">
        <f t="shared" si="75"/>
        <v>195.3240904564386</v>
      </c>
      <c r="AX105" s="456">
        <f>+AW109*AX110/AW110+AW111*AX112/AW112+AW113*AX114/AW114+AW115*AX116/AW116+AW117*AX118/AW118+AW119*AX120/AW120+AW121*AX122/AW122+AW123*AX124/AW124+AW125*AX126/AW126</f>
        <v>200.68901541258609</v>
      </c>
      <c r="AY105" s="456">
        <f>+AX109*AY110/AX110+AX111*AY112/AX112+AX113*AY114/AX114+AX115*AY116/AX116+AX117*AY118/AX118+AX119*AY120/AX120+AX121*AY122/AX122+AX123*AY124/AX124+AX125*AY126/AX126</f>
        <v>208.01677208600856</v>
      </c>
      <c r="AZ105" s="456">
        <f>+AY109*AZ110/AY110+AY111*AZ112/AY112+AY113*AZ114/AY114+AY115*AZ116/AY116+AY117*AZ118/AY118+AY119*AZ120/AY120+AY121*AZ122/AY122+AY123*AZ124/AY124+AY125*AZ126/AY126</f>
        <v>393.20070531729857</v>
      </c>
      <c r="BA105" s="456">
        <f>+AZ109*BA110/AZ110+AZ111*BA112/AZ112+AZ113*BA114/AZ114+AZ115*BA116/AZ116+AZ117*BA118/AZ118+AZ119*BA120/AZ120+AZ121*BA122/AZ122+AZ123*BA124/AZ124+AZ125*BA126/AZ126</f>
        <v>618.60847138723875</v>
      </c>
      <c r="BB105" s="456">
        <f>+BA109*BB110/BA110+BA111*BB112/BA112+BA113*BB114/BA114+BA115*BB116/BA116+BA117*BB118/BA118+BA119*BB120/BA120+BA121*BB122/BA122+BA123*BB124/BA124+BA125*BB126/BA126+BA127*BB128/BA128</f>
        <v>1046.1370865730883</v>
      </c>
      <c r="BC105" s="456">
        <f>+BB109*BC110/BB110+BB111*BC112/BB112+BB113*BC114/BB114+BB115*BC116/BB116+BB117*BC118/BB118+BB119*BC120/BB120+BB121*BC122/BB122+BB123*BC124/BB124+BB125*BC126/BB126+BB127*BC128/BB128</f>
        <v>1207.3901375282601</v>
      </c>
      <c r="BD105" s="456">
        <f>+BC109*BD110/BC110+BC111*BD112/BC112+BC113*BD114/BC114+BC115*BD116/BC116+BC117*BD118/BC118+BC119*BD120/BC120+BC121*BD122/BC122+BC123*BD124/BC124+BC125*BD126/BC126+BC127*BD128/BC128</f>
        <v>1861.5665211121618</v>
      </c>
      <c r="BE105" s="456">
        <f>+BD109*BE110/BD110+BD111*BE112/BD112+BD113*BE114/BD114+BD115*BE116/BD116+BD117*BE118/BD118+BD119*BE120/BD120+BD121*BE122/BD122+BD123*BE124/BD124+BD125*BE126/BD126+BD127*BE128/BD128</f>
        <v>2338.305318898314</v>
      </c>
      <c r="BF105" s="456">
        <f t="shared" ref="BF105:BO105" si="76">+BE109*BF110/BE110+BE111*BF112/BE112+BE113*BF114/BE114+BE115*BF116/BE116+BE117*BF118/BE118+BE119*BF120/BE120+BE121*BF122/BE122+BE123*BF124/BE124+BE125*BF126/BE126+BE127*BF128/BE128</f>
        <v>2468.6658404266896</v>
      </c>
      <c r="BG105" s="456">
        <f t="shared" si="76"/>
        <v>2593.642048598495</v>
      </c>
      <c r="BH105" s="456">
        <f t="shared" si="76"/>
        <v>2724.9451773085875</v>
      </c>
      <c r="BI105" s="456">
        <f t="shared" si="76"/>
        <v>2862.8955269100402</v>
      </c>
      <c r="BJ105" s="456">
        <f t="shared" si="76"/>
        <v>3007.8296129596552</v>
      </c>
      <c r="BK105" s="456">
        <f t="shared" si="76"/>
        <v>3160.1009871159417</v>
      </c>
      <c r="BL105" s="456">
        <f t="shared" si="76"/>
        <v>3320.0810995884817</v>
      </c>
      <c r="BM105" s="456">
        <f t="shared" si="76"/>
        <v>3488.1602052553521</v>
      </c>
      <c r="BN105" s="456">
        <f t="shared" si="76"/>
        <v>3664.7483156461985</v>
      </c>
      <c r="BO105" s="456">
        <f t="shared" si="76"/>
        <v>3850.2761991259918</v>
      </c>
      <c r="BP105" s="457"/>
      <c r="BQ105" s="448">
        <f t="shared" si="61"/>
        <v>0</v>
      </c>
      <c r="BR105" s="448">
        <f t="shared" si="61"/>
        <v>0</v>
      </c>
      <c r="BS105" s="448">
        <f t="shared" si="61"/>
        <v>0</v>
      </c>
      <c r="BT105" s="448">
        <f t="shared" si="61"/>
        <v>0</v>
      </c>
      <c r="BU105" s="448">
        <f t="shared" si="61"/>
        <v>0</v>
      </c>
      <c r="BV105" s="448">
        <f t="shared" si="61"/>
        <v>0</v>
      </c>
      <c r="BW105" s="448">
        <f t="shared" si="61"/>
        <v>0</v>
      </c>
      <c r="BX105" s="448">
        <f t="shared" si="61"/>
        <v>0</v>
      </c>
      <c r="BY105" s="448">
        <f t="shared" si="61"/>
        <v>0</v>
      </c>
      <c r="BZ105" s="448">
        <f t="shared" si="61"/>
        <v>0</v>
      </c>
      <c r="CA105" s="448">
        <f t="shared" si="61"/>
        <v>0</v>
      </c>
      <c r="CB105" s="448">
        <f t="shared" si="61"/>
        <v>0</v>
      </c>
      <c r="CD105" s="439">
        <v>1861.5665211121618</v>
      </c>
      <c r="CE105" s="439">
        <v>2338.305318898314</v>
      </c>
      <c r="CF105" s="439">
        <v>2468.6658404266896</v>
      </c>
      <c r="CG105" s="439">
        <v>2593.642048598495</v>
      </c>
      <c r="CH105" s="439">
        <v>2724.9451773085875</v>
      </c>
      <c r="CI105" s="439">
        <v>2862.8955269100402</v>
      </c>
      <c r="CJ105" s="439">
        <v>3007.8296129596552</v>
      </c>
      <c r="CK105" s="439">
        <v>3160.1009871159417</v>
      </c>
      <c r="CL105" s="439">
        <v>3320.0810995884817</v>
      </c>
      <c r="CM105" s="439">
        <v>3488.1602052553521</v>
      </c>
      <c r="CN105" s="439">
        <v>3664.7483156461985</v>
      </c>
      <c r="CO105" s="439">
        <v>3850.2761991259918</v>
      </c>
    </row>
    <row r="106" spans="1:93">
      <c r="A106" s="436" t="s">
        <v>2215</v>
      </c>
      <c r="B106" s="436"/>
      <c r="C106" s="442" t="s">
        <v>1455</v>
      </c>
      <c r="D106" s="436"/>
      <c r="E106" s="436" t="s">
        <v>2216</v>
      </c>
      <c r="F106" s="475">
        <v>5.3600000000000002E-2</v>
      </c>
      <c r="G106" s="475">
        <v>4.8899999999999999E-2</v>
      </c>
      <c r="H106" s="475">
        <v>5.6778358459472655E-2</v>
      </c>
      <c r="I106" s="475">
        <v>6.3629821777343748E-2</v>
      </c>
      <c r="J106" s="475">
        <v>5.9105331420898438E-2</v>
      </c>
      <c r="K106" s="475">
        <v>7.3186058044433594E-2</v>
      </c>
      <c r="L106" s="475">
        <v>7.9779846191406253E-2</v>
      </c>
      <c r="M106" s="475">
        <v>7.7931343078613283E-2</v>
      </c>
      <c r="N106" s="475">
        <v>8.1039573669433596E-2</v>
      </c>
      <c r="O106" s="475">
        <v>8.7579048156738282E-2</v>
      </c>
      <c r="P106" s="475">
        <v>9.1805053710937501E-2</v>
      </c>
      <c r="Q106" s="475">
        <v>0.113345703125</v>
      </c>
      <c r="R106" s="475">
        <v>0.17635470581054688</v>
      </c>
      <c r="S106" s="475">
        <v>0.20586509704589845</v>
      </c>
      <c r="T106" s="475">
        <v>0.22964639282226562</v>
      </c>
      <c r="U106" s="475">
        <v>0.25896191406250002</v>
      </c>
      <c r="V106" s="475">
        <v>0.26666729736328126</v>
      </c>
      <c r="W106" s="475">
        <v>0.30868090820312499</v>
      </c>
      <c r="X106" s="475">
        <v>0.32530419921874998</v>
      </c>
      <c r="Y106" s="475">
        <v>0.341393310546875</v>
      </c>
      <c r="Z106" s="475">
        <v>0.47309979248046874</v>
      </c>
      <c r="AA106" s="475">
        <v>0.4662499084472656</v>
      </c>
      <c r="AB106" s="475">
        <v>0.53354431152343751</v>
      </c>
      <c r="AC106" s="475">
        <v>0.61745019531250001</v>
      </c>
      <c r="AD106" s="475">
        <v>0.69743988037109372</v>
      </c>
      <c r="AE106" s="475">
        <v>0.78891967773437499</v>
      </c>
      <c r="AF106" s="475">
        <v>0.93680621337890624</v>
      </c>
      <c r="AG106" s="475">
        <v>0.87070501708984371</v>
      </c>
      <c r="AH106" s="475">
        <v>0.79048852539062497</v>
      </c>
      <c r="AI106" s="475">
        <v>0.65241802978515628</v>
      </c>
      <c r="AJ106" s="475">
        <v>0.65884271240234371</v>
      </c>
      <c r="AK106" s="475">
        <v>0.58781738281249996</v>
      </c>
      <c r="AL106" s="475">
        <v>0.59243737792968754</v>
      </c>
      <c r="AM106" s="475">
        <v>0.54100000000000004</v>
      </c>
      <c r="AN106" s="475">
        <v>0.71699999999999997</v>
      </c>
      <c r="AO106" s="475">
        <v>0.96099999999999997</v>
      </c>
      <c r="AP106" s="475">
        <v>0.83700000000000008</v>
      </c>
      <c r="AQ106" s="475">
        <v>0.63839999999999997</v>
      </c>
      <c r="AR106" s="456">
        <f t="shared" ref="AR106:AZ106" si="77">+AR109+AR111+AR113+AR115+AR117+AR119+AR121+AR123+AR125</f>
        <v>0.68730000000000013</v>
      </c>
      <c r="AS106" s="456">
        <f t="shared" si="77"/>
        <v>2.1105</v>
      </c>
      <c r="AT106" s="456">
        <f t="shared" si="77"/>
        <v>59.629899999999999</v>
      </c>
      <c r="AU106" s="456">
        <f t="shared" si="77"/>
        <v>201.9829709</v>
      </c>
      <c r="AV106" s="456">
        <f t="shared" si="77"/>
        <v>190.10540625740001</v>
      </c>
      <c r="AW106" s="456">
        <f t="shared" si="77"/>
        <v>196.62097289659999</v>
      </c>
      <c r="AX106" s="456">
        <f t="shared" si="77"/>
        <v>208.56723780682603</v>
      </c>
      <c r="AY106" s="456">
        <f t="shared" si="77"/>
        <v>403.78247322718573</v>
      </c>
      <c r="AZ106" s="456">
        <f t="shared" si="77"/>
        <v>603.98904621723648</v>
      </c>
      <c r="BA106" s="456">
        <f>+BA109+BA111+BA113+BA115+BA117+BA119+BA121+BA123+BA125</f>
        <v>904.77462000009996</v>
      </c>
      <c r="BB106" s="456">
        <f>+BB109+BB111+BB113+BB115+BB117+BB119+BB121+BB123+BB125+BB127</f>
        <v>1073.1687750000999</v>
      </c>
      <c r="BC106" s="456">
        <f>+BC109+BC111+BC113+BC115+BC117+BC119+BC121+BC123+BC125+BC127</f>
        <v>1485.3921086794753</v>
      </c>
      <c r="BD106" s="456">
        <f>+BD109+BD111+BD113+BD115+BD117+BD119+BD121+BD123+BD125+BD127</f>
        <v>2212.7345651853493</v>
      </c>
      <c r="BE106" s="456">
        <f>+BE109+BE111+BE113+BE115+BE117+BE119+BE121+BE123+BE125+BE127</f>
        <v>2408.4544784650607</v>
      </c>
      <c r="BF106" s="456">
        <f t="shared" ref="BF106:BO106" si="78">+BF109+BF111+BF113+BF115+BF117+BF119+BF121+BF123+BF125+BF127</f>
        <v>2530.3824864375592</v>
      </c>
      <c r="BG106" s="456">
        <f t="shared" si="78"/>
        <v>2658.4830998132543</v>
      </c>
      <c r="BH106" s="456">
        <f t="shared" si="78"/>
        <v>2793.0688067415049</v>
      </c>
      <c r="BI106" s="456">
        <f t="shared" si="78"/>
        <v>2934.4679150825882</v>
      </c>
      <c r="BJ106" s="456">
        <f t="shared" si="78"/>
        <v>3083.0253532838487</v>
      </c>
      <c r="BK106" s="456">
        <f t="shared" si="78"/>
        <v>3239.1035117936381</v>
      </c>
      <c r="BL106" s="456">
        <f t="shared" si="78"/>
        <v>3403.0831270783947</v>
      </c>
      <c r="BM106" s="456">
        <f t="shared" si="78"/>
        <v>3575.3642103865332</v>
      </c>
      <c r="BN106" s="456">
        <f t="shared" si="78"/>
        <v>3756.3670235375557</v>
      </c>
      <c r="BO106" s="456">
        <f t="shared" si="78"/>
        <v>3946.5331041039381</v>
      </c>
      <c r="BP106" s="457"/>
      <c r="BQ106" s="448">
        <f t="shared" ref="BQ106:CB127" si="79">+BD106-CD106</f>
        <v>0</v>
      </c>
      <c r="BR106" s="448">
        <f t="shared" si="79"/>
        <v>0</v>
      </c>
      <c r="BS106" s="448">
        <f t="shared" si="79"/>
        <v>0</v>
      </c>
      <c r="BT106" s="448">
        <f t="shared" si="79"/>
        <v>0</v>
      </c>
      <c r="BU106" s="448">
        <f t="shared" si="79"/>
        <v>0</v>
      </c>
      <c r="BV106" s="448">
        <f t="shared" si="79"/>
        <v>0</v>
      </c>
      <c r="BW106" s="448">
        <f t="shared" si="79"/>
        <v>0</v>
      </c>
      <c r="BX106" s="448">
        <f t="shared" si="79"/>
        <v>0</v>
      </c>
      <c r="BY106" s="448">
        <f t="shared" si="79"/>
        <v>0</v>
      </c>
      <c r="BZ106" s="448">
        <f t="shared" si="79"/>
        <v>0</v>
      </c>
      <c r="CA106" s="448">
        <f t="shared" si="79"/>
        <v>0</v>
      </c>
      <c r="CB106" s="448">
        <f t="shared" si="79"/>
        <v>0</v>
      </c>
      <c r="CD106" s="439">
        <v>2212.7345651853493</v>
      </c>
      <c r="CE106" s="439">
        <v>2408.4544784650607</v>
      </c>
      <c r="CF106" s="439">
        <v>2530.3824864375592</v>
      </c>
      <c r="CG106" s="439">
        <v>2658.4830998132543</v>
      </c>
      <c r="CH106" s="439">
        <v>2793.0688067415049</v>
      </c>
      <c r="CI106" s="439">
        <v>2934.4679150825882</v>
      </c>
      <c r="CJ106" s="439">
        <v>3083.0253532838487</v>
      </c>
      <c r="CK106" s="439">
        <v>3239.1035117936381</v>
      </c>
      <c r="CL106" s="439">
        <v>3403.0831270783947</v>
      </c>
      <c r="CM106" s="439">
        <v>3575.3642103865332</v>
      </c>
      <c r="CN106" s="439">
        <v>3756.3670235375557</v>
      </c>
      <c r="CO106" s="439">
        <v>3946.5331041039381</v>
      </c>
    </row>
    <row r="107" spans="1:93">
      <c r="A107" s="447" t="s">
        <v>2217</v>
      </c>
      <c r="B107" s="447"/>
      <c r="C107" s="442" t="s">
        <v>1455</v>
      </c>
      <c r="D107" s="447"/>
      <c r="E107" s="438" t="s">
        <v>2218</v>
      </c>
      <c r="F107" s="454">
        <v>8.8999999999999999E-3</v>
      </c>
      <c r="G107" s="454">
        <v>9.5999999999999992E-3</v>
      </c>
      <c r="H107" s="454">
        <v>1.3255629539489746E-2</v>
      </c>
      <c r="I107" s="454">
        <v>1.387522029876709E-2</v>
      </c>
      <c r="J107" s="454">
        <v>1.4054699897766114E-2</v>
      </c>
      <c r="K107" s="454">
        <v>1.126278018951416E-2</v>
      </c>
      <c r="L107" s="454">
        <v>1.9390970230102538E-2</v>
      </c>
      <c r="M107" s="454">
        <v>2.444445037841797E-2</v>
      </c>
      <c r="N107" s="454">
        <v>3.3010528564453127E-2</v>
      </c>
      <c r="O107" s="454">
        <v>4.3689720153808592E-2</v>
      </c>
      <c r="P107" s="454">
        <v>9.935812377929687E-2</v>
      </c>
      <c r="Q107" s="454">
        <v>9.5074951171875005E-2</v>
      </c>
      <c r="R107" s="454">
        <v>4.6474178314208983E-2</v>
      </c>
      <c r="S107" s="454">
        <v>4.9172359466552733E-2</v>
      </c>
      <c r="T107" s="454">
        <v>4.4927589416503905E-2</v>
      </c>
      <c r="U107" s="454">
        <v>3.2774318695068361E-2</v>
      </c>
      <c r="V107" s="454">
        <v>4.6332359313964844E-2</v>
      </c>
      <c r="W107" s="454">
        <v>4.1842300415039065E-2</v>
      </c>
      <c r="X107" s="454">
        <v>3.9868370056152347E-2</v>
      </c>
      <c r="Y107" s="454">
        <v>6.6984413146972663E-2</v>
      </c>
      <c r="Z107" s="454">
        <v>5.8245449066162108E-2</v>
      </c>
      <c r="AA107" s="454">
        <v>6.7654846191406257E-2</v>
      </c>
      <c r="AB107" s="454">
        <v>6.5942253112792976E-2</v>
      </c>
      <c r="AC107" s="454">
        <v>8.6200843811035155E-2</v>
      </c>
      <c r="AD107" s="454">
        <v>0.13015190124511719</v>
      </c>
      <c r="AE107" s="454">
        <v>0.12555909729003906</v>
      </c>
      <c r="AF107" s="454">
        <v>0.14775999450683594</v>
      </c>
      <c r="AG107" s="454">
        <v>9.8431991577148437E-2</v>
      </c>
      <c r="AH107" s="454">
        <v>0.12597019958496095</v>
      </c>
      <c r="AI107" s="454">
        <v>8.1103126525878907E-2</v>
      </c>
      <c r="AJ107" s="454">
        <v>8.4688919067382809E-2</v>
      </c>
      <c r="AK107" s="454">
        <v>5.7039211273193356E-2</v>
      </c>
      <c r="AL107" s="454">
        <v>3.7095169067382812E-2</v>
      </c>
      <c r="AM107" s="454">
        <v>1.371047019958496E-2</v>
      </c>
      <c r="AN107" s="454">
        <v>5.1514320373535157E-2</v>
      </c>
      <c r="AO107" s="454">
        <v>0.14262535095214843</v>
      </c>
      <c r="AP107" s="454">
        <v>0.183</v>
      </c>
      <c r="AQ107" s="454">
        <v>9.7000000000000003E-2</v>
      </c>
      <c r="AR107" s="454">
        <v>0.10299999999999999</v>
      </c>
      <c r="AS107" s="454">
        <v>0.56799999999999995</v>
      </c>
      <c r="AT107" s="454">
        <v>9.9559999999999995</v>
      </c>
      <c r="AU107" s="454">
        <v>38.023000000000003</v>
      </c>
      <c r="AV107" s="461">
        <f t="shared" ref="AV107:BO107" si="80">AU107*(1+AV83/100)</f>
        <v>39.830543096890629</v>
      </c>
      <c r="AW107" s="461">
        <f t="shared" si="80"/>
        <v>45.817346145371019</v>
      </c>
      <c r="AX107" s="461">
        <f t="shared" si="80"/>
        <v>58.866337370365912</v>
      </c>
      <c r="AY107" s="461">
        <f t="shared" si="80"/>
        <v>124.71094642122539</v>
      </c>
      <c r="AZ107" s="461">
        <f t="shared" si="80"/>
        <v>184.85772917910558</v>
      </c>
      <c r="BA107" s="461">
        <f t="shared" si="80"/>
        <v>255.3282205363879</v>
      </c>
      <c r="BB107" s="461">
        <f t="shared" si="80"/>
        <v>247.63711599353744</v>
      </c>
      <c r="BC107" s="461">
        <f t="shared" ca="1" si="80"/>
        <v>271.42925488351364</v>
      </c>
      <c r="BD107" s="461">
        <f t="shared" ca="1" si="80"/>
        <v>309.0220437727192</v>
      </c>
      <c r="BE107" s="461">
        <f t="shared" ca="1" si="80"/>
        <v>326.82380309672601</v>
      </c>
      <c r="BF107" s="461">
        <f t="shared" ca="1" si="80"/>
        <v>340.92462921741583</v>
      </c>
      <c r="BG107" s="461">
        <f t="shared" ca="1" si="80"/>
        <v>353.35387139389042</v>
      </c>
      <c r="BH107" s="461">
        <f t="shared" ca="1" si="80"/>
        <v>365.06437467479037</v>
      </c>
      <c r="BI107" s="461">
        <f t="shared" ca="1" si="80"/>
        <v>376.53537145062865</v>
      </c>
      <c r="BJ107" s="461">
        <f t="shared" ca="1" si="80"/>
        <v>388.02615757291653</v>
      </c>
      <c r="BK107" s="461">
        <f t="shared" ca="1" si="80"/>
        <v>399.69443774319831</v>
      </c>
      <c r="BL107" s="461">
        <f t="shared" ca="1" si="80"/>
        <v>411.63516845669125</v>
      </c>
      <c r="BM107" s="461">
        <f t="shared" ca="1" si="80"/>
        <v>423.88736259431568</v>
      </c>
      <c r="BN107" s="461">
        <f t="shared" ca="1" si="80"/>
        <v>436.47391524215675</v>
      </c>
      <c r="BO107" s="461">
        <f t="shared" ca="1" si="80"/>
        <v>449.40930951250789</v>
      </c>
      <c r="BP107" s="457"/>
      <c r="BQ107" s="448">
        <f t="shared" ca="1" si="79"/>
        <v>0</v>
      </c>
      <c r="BR107" s="448">
        <f t="shared" ca="1" si="79"/>
        <v>0</v>
      </c>
      <c r="BS107" s="448">
        <f t="shared" ca="1" si="79"/>
        <v>0</v>
      </c>
      <c r="BT107" s="448">
        <f t="shared" ca="1" si="79"/>
        <v>1.0231815394945443E-12</v>
      </c>
      <c r="BU107" s="448">
        <f t="shared" ca="1" si="79"/>
        <v>1.1709744285326451E-11</v>
      </c>
      <c r="BV107" s="448">
        <f t="shared" ca="1" si="79"/>
        <v>1.0021494745160453E-10</v>
      </c>
      <c r="BW107" s="448">
        <f t="shared" ca="1" si="79"/>
        <v>6.7649352786247618E-10</v>
      </c>
      <c r="BX107" s="448">
        <f t="shared" ca="1" si="79"/>
        <v>3.7380800677055959E-9</v>
      </c>
      <c r="BY107" s="448">
        <f t="shared" ca="1" si="79"/>
        <v>1.7421541542717023E-8</v>
      </c>
      <c r="BZ107" s="448">
        <f t="shared" ca="1" si="79"/>
        <v>7.0192470502661308E-8</v>
      </c>
      <c r="CA107" s="448">
        <f t="shared" ca="1" si="79"/>
        <v>2.4903243911467143E-7</v>
      </c>
      <c r="CB107" s="448">
        <f t="shared" ca="1" si="79"/>
        <v>7.9432209076912841E-7</v>
      </c>
      <c r="CD107" s="439">
        <v>309.0220437727192</v>
      </c>
      <c r="CE107" s="439">
        <v>326.82380309672601</v>
      </c>
      <c r="CF107" s="439">
        <v>340.92462921741577</v>
      </c>
      <c r="CG107" s="439">
        <v>353.35387139388939</v>
      </c>
      <c r="CH107" s="439">
        <v>365.06437467477866</v>
      </c>
      <c r="CI107" s="439">
        <v>376.53537145052843</v>
      </c>
      <c r="CJ107" s="439">
        <v>388.02615757224004</v>
      </c>
      <c r="CK107" s="439">
        <v>399.69443773946023</v>
      </c>
      <c r="CL107" s="439">
        <v>411.63516843926971</v>
      </c>
      <c r="CM107" s="439">
        <v>423.8873625241232</v>
      </c>
      <c r="CN107" s="439">
        <v>436.47391499312431</v>
      </c>
      <c r="CO107" s="439">
        <v>449.4093087181858</v>
      </c>
    </row>
    <row r="108" spans="1:93">
      <c r="A108" s="447" t="s">
        <v>2219</v>
      </c>
      <c r="B108" s="447"/>
      <c r="C108" s="442" t="s">
        <v>1455</v>
      </c>
      <c r="D108" s="447"/>
      <c r="E108" s="436" t="s">
        <v>2220</v>
      </c>
      <c r="F108" s="454">
        <v>3.0000000000000001E-3</v>
      </c>
      <c r="G108" s="454">
        <v>2.8E-3</v>
      </c>
      <c r="H108" s="454">
        <v>3.0999999046325685E-3</v>
      </c>
      <c r="I108" s="454">
        <v>3.0999999046325685E-3</v>
      </c>
      <c r="J108" s="454">
        <v>2.5999999046325685E-3</v>
      </c>
      <c r="K108" s="454">
        <v>3.0999999046325685E-3</v>
      </c>
      <c r="L108" s="454">
        <v>3.2000000476837156E-3</v>
      </c>
      <c r="M108" s="454">
        <v>2.9000000953674316E-3</v>
      </c>
      <c r="N108" s="454">
        <v>2.7999999523162841E-3</v>
      </c>
      <c r="O108" s="454">
        <v>2.9000000953674316E-3</v>
      </c>
      <c r="P108" s="454">
        <v>3.2000000476837156E-3</v>
      </c>
      <c r="Q108" s="454">
        <v>3.4000000953674316E-3</v>
      </c>
      <c r="R108" s="454">
        <v>3.9000000953674317E-3</v>
      </c>
      <c r="S108" s="454">
        <v>3.7999999523162841E-3</v>
      </c>
      <c r="T108" s="454">
        <v>3.7000000476837156E-3</v>
      </c>
      <c r="U108" s="454">
        <v>3.7000000476837156E-3</v>
      </c>
      <c r="V108" s="454">
        <v>3.7999999523162841E-3</v>
      </c>
      <c r="W108" s="454">
        <v>4.0000000000000001E-3</v>
      </c>
      <c r="X108" s="454">
        <v>4.0999999046325685E-3</v>
      </c>
      <c r="Y108" s="454">
        <v>4.3000001907348637E-3</v>
      </c>
      <c r="Z108" s="454">
        <v>4.3000001907348637E-3</v>
      </c>
      <c r="AA108" s="454">
        <v>3.0999999046325685E-3</v>
      </c>
      <c r="AB108" s="454">
        <v>2.5999999046325685E-3</v>
      </c>
      <c r="AC108" s="454">
        <v>2.9000000953674316E-3</v>
      </c>
      <c r="AD108" s="454">
        <v>3.0999999046325685E-3</v>
      </c>
      <c r="AE108" s="454">
        <v>2.7000000476837156E-3</v>
      </c>
      <c r="AF108" s="454">
        <v>2.7999999523162841E-3</v>
      </c>
      <c r="AG108" s="454">
        <v>2.299999952316284E-3</v>
      </c>
      <c r="AH108" s="454">
        <v>2.0999999046325685E-3</v>
      </c>
      <c r="AI108" s="454">
        <v>2.0999999046325685E-3</v>
      </c>
      <c r="AJ108" s="454">
        <v>2.5999999046325685E-3</v>
      </c>
      <c r="AK108" s="454">
        <v>2.9000000953674316E-3</v>
      </c>
      <c r="AL108" s="454">
        <v>3.0000000000000001E-3</v>
      </c>
      <c r="AM108" s="454">
        <v>2E-3</v>
      </c>
      <c r="AN108" s="454">
        <v>1.7999999523162843E-3</v>
      </c>
      <c r="AO108" s="454">
        <v>1.5E-3</v>
      </c>
      <c r="AP108" s="454">
        <v>1.6799999999999999E-3</v>
      </c>
      <c r="AQ108" s="454">
        <v>1.83E-3</v>
      </c>
      <c r="AR108" s="454">
        <v>1.6000000000000001E-3</v>
      </c>
      <c r="AS108" s="454">
        <v>4.4599999999999996E-3</v>
      </c>
      <c r="AT108" s="454">
        <v>2.8289999999999999E-2</v>
      </c>
      <c r="AU108" s="454">
        <v>0.5</v>
      </c>
      <c r="AV108" s="454">
        <v>0</v>
      </c>
      <c r="AW108" s="461">
        <f t="shared" ref="AW108:BB108" si="81">AV108</f>
        <v>0</v>
      </c>
      <c r="AX108" s="461">
        <f t="shared" si="81"/>
        <v>0</v>
      </c>
      <c r="AY108" s="461">
        <f t="shared" si="81"/>
        <v>0</v>
      </c>
      <c r="AZ108" s="461">
        <f t="shared" si="81"/>
        <v>0</v>
      </c>
      <c r="BA108" s="461">
        <f t="shared" si="81"/>
        <v>0</v>
      </c>
      <c r="BB108" s="461">
        <f t="shared" si="81"/>
        <v>0</v>
      </c>
      <c r="BC108" s="461">
        <f>BB108</f>
        <v>0</v>
      </c>
      <c r="BD108" s="461">
        <f>BC108</f>
        <v>0</v>
      </c>
      <c r="BE108" s="461">
        <f>BD108</f>
        <v>0</v>
      </c>
      <c r="BF108" s="461">
        <f t="shared" ref="BF108:BO108" si="82">BE108</f>
        <v>0</v>
      </c>
      <c r="BG108" s="461">
        <f t="shared" si="82"/>
        <v>0</v>
      </c>
      <c r="BH108" s="461">
        <f t="shared" si="82"/>
        <v>0</v>
      </c>
      <c r="BI108" s="461">
        <f t="shared" si="82"/>
        <v>0</v>
      </c>
      <c r="BJ108" s="461">
        <f t="shared" si="82"/>
        <v>0</v>
      </c>
      <c r="BK108" s="461">
        <f t="shared" si="82"/>
        <v>0</v>
      </c>
      <c r="BL108" s="461">
        <f t="shared" si="82"/>
        <v>0</v>
      </c>
      <c r="BM108" s="461">
        <f t="shared" si="82"/>
        <v>0</v>
      </c>
      <c r="BN108" s="461">
        <f t="shared" si="82"/>
        <v>0</v>
      </c>
      <c r="BO108" s="461">
        <f t="shared" si="82"/>
        <v>0</v>
      </c>
      <c r="BP108" s="457"/>
      <c r="BQ108" s="448">
        <f t="shared" si="79"/>
        <v>0</v>
      </c>
      <c r="BR108" s="448">
        <f t="shared" si="79"/>
        <v>0</v>
      </c>
      <c r="BS108" s="448">
        <f t="shared" si="79"/>
        <v>0</v>
      </c>
      <c r="BT108" s="448">
        <f t="shared" si="79"/>
        <v>0</v>
      </c>
      <c r="BU108" s="448">
        <f t="shared" si="79"/>
        <v>0</v>
      </c>
      <c r="BV108" s="448">
        <f t="shared" si="79"/>
        <v>0</v>
      </c>
      <c r="BW108" s="448">
        <f t="shared" si="79"/>
        <v>0</v>
      </c>
      <c r="BX108" s="448">
        <f t="shared" si="79"/>
        <v>0</v>
      </c>
      <c r="BY108" s="448">
        <f t="shared" si="79"/>
        <v>0</v>
      </c>
      <c r="BZ108" s="448">
        <f t="shared" si="79"/>
        <v>0</v>
      </c>
      <c r="CA108" s="448">
        <f t="shared" si="79"/>
        <v>0</v>
      </c>
      <c r="CB108" s="448">
        <f t="shared" si="79"/>
        <v>0</v>
      </c>
      <c r="CD108" s="439">
        <v>0</v>
      </c>
      <c r="CE108" s="439">
        <v>0</v>
      </c>
      <c r="CF108" s="439">
        <v>0</v>
      </c>
      <c r="CG108" s="439">
        <v>0</v>
      </c>
      <c r="CH108" s="439">
        <v>0</v>
      </c>
      <c r="CI108" s="439">
        <v>0</v>
      </c>
      <c r="CJ108" s="439">
        <v>0</v>
      </c>
      <c r="CK108" s="439">
        <v>0</v>
      </c>
      <c r="CL108" s="439">
        <v>0</v>
      </c>
      <c r="CM108" s="439">
        <v>0</v>
      </c>
      <c r="CN108" s="439">
        <v>0</v>
      </c>
      <c r="CO108" s="439">
        <v>0</v>
      </c>
    </row>
    <row r="109" spans="1:93">
      <c r="A109" s="436" t="s">
        <v>2221</v>
      </c>
      <c r="B109" s="436"/>
      <c r="C109" s="442" t="s">
        <v>1455</v>
      </c>
      <c r="D109" s="436" t="s">
        <v>2179</v>
      </c>
      <c r="E109" s="436" t="s">
        <v>2222</v>
      </c>
      <c r="F109" s="454">
        <v>0</v>
      </c>
      <c r="G109" s="454">
        <v>0</v>
      </c>
      <c r="H109" s="454">
        <v>0</v>
      </c>
      <c r="I109" s="454">
        <v>0</v>
      </c>
      <c r="J109" s="454">
        <v>0</v>
      </c>
      <c r="K109" s="454">
        <v>0</v>
      </c>
      <c r="L109" s="454">
        <v>0</v>
      </c>
      <c r="M109" s="454">
        <v>0</v>
      </c>
      <c r="N109" s="454">
        <v>0</v>
      </c>
      <c r="O109" s="454">
        <v>0</v>
      </c>
      <c r="P109" s="454">
        <v>0</v>
      </c>
      <c r="Q109" s="454">
        <v>6.1999999999999998E-3</v>
      </c>
      <c r="R109" s="454">
        <v>3.6799999999999999E-2</v>
      </c>
      <c r="S109" s="454">
        <v>7.1900000000000006E-2</v>
      </c>
      <c r="T109" s="454">
        <v>7.6499999999999999E-2</v>
      </c>
      <c r="U109" s="454">
        <v>9.4099999999999989E-2</v>
      </c>
      <c r="V109" s="454">
        <v>0.10629999999999999</v>
      </c>
      <c r="W109" s="454">
        <v>0.13830000000000001</v>
      </c>
      <c r="X109" s="454">
        <v>0.14780000000000001</v>
      </c>
      <c r="Y109" s="454">
        <v>0.14360000000000001</v>
      </c>
      <c r="Z109" s="454">
        <v>0.1794</v>
      </c>
      <c r="AA109" s="454">
        <v>0.22600000000000001</v>
      </c>
      <c r="AB109" s="454">
        <v>0.24990000000000001</v>
      </c>
      <c r="AC109" s="454">
        <v>0.27129999999999999</v>
      </c>
      <c r="AD109" s="454">
        <v>0.31410000000000005</v>
      </c>
      <c r="AE109" s="454">
        <v>0.3584</v>
      </c>
      <c r="AF109" s="454">
        <v>0.49880000000000002</v>
      </c>
      <c r="AG109" s="454">
        <v>0.47240024999999991</v>
      </c>
      <c r="AH109" s="454">
        <v>0.41440559999999999</v>
      </c>
      <c r="AI109" s="454">
        <v>0.38730000000000003</v>
      </c>
      <c r="AJ109" s="454">
        <v>0.35470000000000002</v>
      </c>
      <c r="AK109" s="454">
        <v>0.30989999999999995</v>
      </c>
      <c r="AL109" s="454">
        <v>0.314</v>
      </c>
      <c r="AM109" s="454">
        <v>0.34470000000000001</v>
      </c>
      <c r="AN109" s="454">
        <v>0.5171</v>
      </c>
      <c r="AO109" s="454">
        <v>0.78049999999999997</v>
      </c>
      <c r="AP109" s="454">
        <v>0.62409999999999999</v>
      </c>
      <c r="AQ109" s="454">
        <v>0.45239999999999997</v>
      </c>
      <c r="AR109" s="454">
        <v>0.43219999999999997</v>
      </c>
      <c r="AS109" s="454">
        <v>1.7018</v>
      </c>
      <c r="AT109" s="454">
        <v>42.370100000000001</v>
      </c>
      <c r="AU109" s="454">
        <v>136.83244999999999</v>
      </c>
      <c r="AV109" s="454">
        <v>121.92833664</v>
      </c>
      <c r="AW109" s="454">
        <v>128.44985940000001</v>
      </c>
      <c r="AX109" s="454">
        <v>146.06743200000003</v>
      </c>
      <c r="AY109" s="454">
        <v>290.97023200000012</v>
      </c>
      <c r="AZ109" s="454">
        <v>453.46196999999995</v>
      </c>
      <c r="BA109" s="454">
        <v>719.55855000000008</v>
      </c>
      <c r="BB109" s="454">
        <v>680.32282499999997</v>
      </c>
      <c r="BC109" s="454">
        <v>875.85034999999993</v>
      </c>
      <c r="BD109" s="454">
        <v>1143.8077499999999</v>
      </c>
      <c r="BE109" s="441">
        <f>BD109*(BE110/BD110)*BE$99/BD$99*(1+BE$86/100)</f>
        <v>1279.9349933333331</v>
      </c>
      <c r="BF109" s="441">
        <f t="shared" ref="BF109:BO109" si="83">BE109*(BF110/BE110)*BF$99/BE$99*(1+BF$86/100)</f>
        <v>1344.7317023708329</v>
      </c>
      <c r="BG109" s="441">
        <f t="shared" si="83"/>
        <v>1412.8087448033559</v>
      </c>
      <c r="BH109" s="441">
        <f t="shared" si="83"/>
        <v>1484.3321875090255</v>
      </c>
      <c r="BI109" s="441">
        <f t="shared" si="83"/>
        <v>1559.4765045016695</v>
      </c>
      <c r="BJ109" s="441">
        <f t="shared" si="83"/>
        <v>1638.4250025420663</v>
      </c>
      <c r="BK109" s="441">
        <f t="shared" si="83"/>
        <v>1721.3702682957585</v>
      </c>
      <c r="BL109" s="441">
        <f t="shared" si="83"/>
        <v>1808.5146381282307</v>
      </c>
      <c r="BM109" s="441">
        <f t="shared" si="83"/>
        <v>1900.070691683472</v>
      </c>
      <c r="BN109" s="441">
        <f t="shared" si="83"/>
        <v>1996.2617704499473</v>
      </c>
      <c r="BO109" s="441">
        <f t="shared" si="83"/>
        <v>2097.3225225789752</v>
      </c>
      <c r="BP109" s="440"/>
      <c r="BQ109" s="448">
        <f t="shared" si="79"/>
        <v>0</v>
      </c>
      <c r="BR109" s="448">
        <f t="shared" si="79"/>
        <v>0</v>
      </c>
      <c r="BS109" s="448">
        <f t="shared" si="79"/>
        <v>0</v>
      </c>
      <c r="BT109" s="448">
        <f t="shared" si="79"/>
        <v>0</v>
      </c>
      <c r="BU109" s="448">
        <f t="shared" si="79"/>
        <v>0</v>
      </c>
      <c r="BV109" s="448">
        <f t="shared" si="79"/>
        <v>0</v>
      </c>
      <c r="BW109" s="448">
        <f t="shared" si="79"/>
        <v>0</v>
      </c>
      <c r="BX109" s="448">
        <f t="shared" si="79"/>
        <v>0</v>
      </c>
      <c r="BY109" s="448">
        <f t="shared" si="79"/>
        <v>0</v>
      </c>
      <c r="BZ109" s="448">
        <f t="shared" si="79"/>
        <v>0</v>
      </c>
      <c r="CA109" s="448">
        <f t="shared" si="79"/>
        <v>0</v>
      </c>
      <c r="CB109" s="448">
        <f t="shared" si="79"/>
        <v>0</v>
      </c>
      <c r="CD109" s="439">
        <v>1143.8077499999999</v>
      </c>
      <c r="CE109" s="439">
        <v>1279.9349933333331</v>
      </c>
      <c r="CF109" s="439">
        <v>1344.7317023708329</v>
      </c>
      <c r="CG109" s="439">
        <v>1412.8087448033559</v>
      </c>
      <c r="CH109" s="439">
        <v>1484.3321875090255</v>
      </c>
      <c r="CI109" s="439">
        <v>1559.4765045016695</v>
      </c>
      <c r="CJ109" s="439">
        <v>1638.4250025420663</v>
      </c>
      <c r="CK109" s="439">
        <v>1721.3702682957585</v>
      </c>
      <c r="CL109" s="439">
        <v>1808.5146381282307</v>
      </c>
      <c r="CM109" s="439">
        <v>1900.070691683472</v>
      </c>
      <c r="CN109" s="439">
        <v>1996.2617704499473</v>
      </c>
      <c r="CO109" s="439">
        <v>2097.3225225789752</v>
      </c>
    </row>
    <row r="110" spans="1:93">
      <c r="A110" s="436" t="s">
        <v>2223</v>
      </c>
      <c r="B110" s="436"/>
      <c r="C110" s="442" t="s">
        <v>2224</v>
      </c>
      <c r="D110" s="436" t="s">
        <v>2179</v>
      </c>
      <c r="E110" s="438" t="s">
        <v>2225</v>
      </c>
      <c r="F110" s="454">
        <v>0</v>
      </c>
      <c r="G110" s="454">
        <v>0</v>
      </c>
      <c r="H110" s="454">
        <v>0</v>
      </c>
      <c r="I110" s="454">
        <v>0</v>
      </c>
      <c r="J110" s="454">
        <v>0</v>
      </c>
      <c r="K110" s="454">
        <v>0</v>
      </c>
      <c r="L110" s="454">
        <v>0</v>
      </c>
      <c r="M110" s="454">
        <v>0</v>
      </c>
      <c r="N110" s="454">
        <v>0</v>
      </c>
      <c r="O110" s="454">
        <v>0</v>
      </c>
      <c r="P110" s="454">
        <v>0</v>
      </c>
      <c r="Q110" s="454">
        <v>59</v>
      </c>
      <c r="R110" s="454">
        <v>347</v>
      </c>
      <c r="S110" s="454">
        <v>684</v>
      </c>
      <c r="T110" s="454">
        <v>702</v>
      </c>
      <c r="U110" s="454">
        <v>856</v>
      </c>
      <c r="V110" s="454">
        <v>893</v>
      </c>
      <c r="W110" s="454">
        <v>1149</v>
      </c>
      <c r="X110" s="454">
        <v>1279</v>
      </c>
      <c r="Y110" s="454">
        <v>1209</v>
      </c>
      <c r="Z110" s="454">
        <v>1077</v>
      </c>
      <c r="AA110" s="454">
        <v>1087</v>
      </c>
      <c r="AB110" s="454">
        <v>1071</v>
      </c>
      <c r="AC110" s="454">
        <v>1059</v>
      </c>
      <c r="AD110" s="454">
        <v>1125</v>
      </c>
      <c r="AE110" s="454">
        <v>1185</v>
      </c>
      <c r="AF110" s="454">
        <v>1329</v>
      </c>
      <c r="AG110" s="454">
        <v>1165</v>
      </c>
      <c r="AH110" s="454">
        <v>1055</v>
      </c>
      <c r="AI110" s="454">
        <v>1143</v>
      </c>
      <c r="AJ110" s="454">
        <v>1097</v>
      </c>
      <c r="AK110" s="454">
        <v>1265</v>
      </c>
      <c r="AL110" s="454">
        <v>1343</v>
      </c>
      <c r="AM110" s="454">
        <v>1342.1</v>
      </c>
      <c r="AN110" s="454">
        <v>1630</v>
      </c>
      <c r="AO110" s="454">
        <v>1553</v>
      </c>
      <c r="AP110" s="454">
        <v>1448.2</v>
      </c>
      <c r="AQ110" s="454">
        <v>1393.4</v>
      </c>
      <c r="AR110" s="454">
        <v>1513.6</v>
      </c>
      <c r="AS110" s="454">
        <v>1426.1</v>
      </c>
      <c r="AT110" s="454">
        <v>1385</v>
      </c>
      <c r="AU110" s="454">
        <v>1586</v>
      </c>
      <c r="AV110" s="454">
        <v>1608</v>
      </c>
      <c r="AW110" s="454">
        <v>1647</v>
      </c>
      <c r="AX110" s="454">
        <v>1740</v>
      </c>
      <c r="AY110" s="454">
        <v>1858</v>
      </c>
      <c r="AZ110" s="454">
        <v>1869.3</v>
      </c>
      <c r="BA110" s="454">
        <v>1909</v>
      </c>
      <c r="BB110" s="454">
        <v>1886</v>
      </c>
      <c r="BC110" s="454">
        <v>2014</v>
      </c>
      <c r="BD110" s="454">
        <v>2025</v>
      </c>
      <c r="BE110" s="454">
        <v>2200</v>
      </c>
      <c r="BF110" s="441">
        <f t="shared" ref="BF110:BO110" si="84">BE110*(1+BF$132/100)</f>
        <v>2255</v>
      </c>
      <c r="BG110" s="441">
        <f t="shared" si="84"/>
        <v>2311.375</v>
      </c>
      <c r="BH110" s="441">
        <f t="shared" si="84"/>
        <v>2369.1593749999997</v>
      </c>
      <c r="BI110" s="441">
        <f t="shared" si="84"/>
        <v>2428.3883593749997</v>
      </c>
      <c r="BJ110" s="441">
        <f t="shared" si="84"/>
        <v>2489.0980683593743</v>
      </c>
      <c r="BK110" s="441">
        <f t="shared" si="84"/>
        <v>2551.3255200683584</v>
      </c>
      <c r="BL110" s="441">
        <f t="shared" si="84"/>
        <v>2615.1086580700671</v>
      </c>
      <c r="BM110" s="441">
        <f t="shared" si="84"/>
        <v>2680.4863745218186</v>
      </c>
      <c r="BN110" s="441">
        <f t="shared" si="84"/>
        <v>2747.4985338848637</v>
      </c>
      <c r="BO110" s="441">
        <f t="shared" si="84"/>
        <v>2816.1859972319849</v>
      </c>
      <c r="BP110" s="440"/>
      <c r="BQ110" s="448">
        <f t="shared" si="79"/>
        <v>0</v>
      </c>
      <c r="BR110" s="448">
        <f t="shared" si="79"/>
        <v>0</v>
      </c>
      <c r="BS110" s="448">
        <f t="shared" si="79"/>
        <v>0</v>
      </c>
      <c r="BT110" s="448">
        <f t="shared" si="79"/>
        <v>0</v>
      </c>
      <c r="BU110" s="448">
        <f t="shared" si="79"/>
        <v>0</v>
      </c>
      <c r="BV110" s="448">
        <f t="shared" si="79"/>
        <v>0</v>
      </c>
      <c r="BW110" s="448">
        <f t="shared" si="79"/>
        <v>0</v>
      </c>
      <c r="BX110" s="448">
        <f t="shared" si="79"/>
        <v>0</v>
      </c>
      <c r="BY110" s="448">
        <f t="shared" si="79"/>
        <v>0</v>
      </c>
      <c r="BZ110" s="448">
        <f t="shared" si="79"/>
        <v>0</v>
      </c>
      <c r="CA110" s="448">
        <f t="shared" si="79"/>
        <v>0</v>
      </c>
      <c r="CB110" s="448">
        <f t="shared" si="79"/>
        <v>0</v>
      </c>
      <c r="CD110" s="439">
        <v>2025</v>
      </c>
      <c r="CE110" s="439">
        <v>2200</v>
      </c>
      <c r="CF110" s="439">
        <v>2255</v>
      </c>
      <c r="CG110" s="439">
        <v>2311.375</v>
      </c>
      <c r="CH110" s="439">
        <v>2369.1593749999997</v>
      </c>
      <c r="CI110" s="439">
        <v>2428.3883593749997</v>
      </c>
      <c r="CJ110" s="439">
        <v>2489.0980683593743</v>
      </c>
      <c r="CK110" s="439">
        <v>2551.3255200683584</v>
      </c>
      <c r="CL110" s="439">
        <v>2615.1086580700671</v>
      </c>
      <c r="CM110" s="439">
        <v>2680.4863745218186</v>
      </c>
      <c r="CN110" s="439">
        <v>2747.4985338848637</v>
      </c>
      <c r="CO110" s="439">
        <v>2816.1859972319849</v>
      </c>
    </row>
    <row r="111" spans="1:93">
      <c r="A111" s="436" t="s">
        <v>2226</v>
      </c>
      <c r="B111" s="436"/>
      <c r="C111" s="442" t="s">
        <v>1455</v>
      </c>
      <c r="D111" s="436" t="s">
        <v>2179</v>
      </c>
      <c r="E111" s="438" t="s">
        <v>2227</v>
      </c>
      <c r="F111" s="454">
        <v>0</v>
      </c>
      <c r="G111" s="454">
        <v>0</v>
      </c>
      <c r="H111" s="454">
        <v>0</v>
      </c>
      <c r="I111" s="454">
        <v>0</v>
      </c>
      <c r="J111" s="454">
        <v>0</v>
      </c>
      <c r="K111" s="454">
        <v>0</v>
      </c>
      <c r="L111" s="454">
        <v>0</v>
      </c>
      <c r="M111" s="454">
        <v>0</v>
      </c>
      <c r="N111" s="454">
        <v>0</v>
      </c>
      <c r="O111" s="454">
        <v>0</v>
      </c>
      <c r="P111" s="454">
        <v>0</v>
      </c>
      <c r="Q111" s="454">
        <v>8.9999999999999998E-4</v>
      </c>
      <c r="R111" s="454">
        <v>1.9199999999999998E-2</v>
      </c>
      <c r="S111" s="454">
        <v>2.3800000000000002E-2</v>
      </c>
      <c r="T111" s="454">
        <v>3.4200000000000001E-2</v>
      </c>
      <c r="U111" s="454">
        <v>4.8100000000000004E-2</v>
      </c>
      <c r="V111" s="454">
        <v>4.8600000000000004E-2</v>
      </c>
      <c r="W111" s="454">
        <v>4.5200000000000004E-2</v>
      </c>
      <c r="X111" s="454">
        <v>4.7600000000000003E-2</v>
      </c>
      <c r="Y111" s="454">
        <v>4.4499999999999998E-2</v>
      </c>
      <c r="Z111" s="454">
        <v>6.7900000000000002E-2</v>
      </c>
      <c r="AA111" s="454">
        <v>3.9200000000000006E-2</v>
      </c>
      <c r="AB111" s="454">
        <v>6.9400000000000003E-2</v>
      </c>
      <c r="AC111" s="454">
        <v>0.106</v>
      </c>
      <c r="AD111" s="454">
        <v>0.1085</v>
      </c>
      <c r="AE111" s="454">
        <v>0.1336</v>
      </c>
      <c r="AF111" s="454">
        <v>0.11059999999999999</v>
      </c>
      <c r="AG111" s="454">
        <v>8.7393599999999988E-2</v>
      </c>
      <c r="AH111" s="454">
        <v>0.1243074</v>
      </c>
      <c r="AI111" s="454">
        <v>6.1799999999999994E-2</v>
      </c>
      <c r="AJ111" s="454">
        <v>7.5499999999999998E-2</v>
      </c>
      <c r="AK111" s="454">
        <v>5.4299999999999994E-2</v>
      </c>
      <c r="AL111" s="454">
        <v>6.1899999999999997E-2</v>
      </c>
      <c r="AM111" s="454">
        <v>6.3E-3</v>
      </c>
      <c r="AN111" s="454">
        <v>2.6199999999999998E-2</v>
      </c>
      <c r="AO111" s="454">
        <v>9.1700000000000004E-2</v>
      </c>
      <c r="AP111" s="454">
        <v>6.9099999999999995E-2</v>
      </c>
      <c r="AQ111" s="454">
        <v>5.7299999999999997E-2</v>
      </c>
      <c r="AR111" s="454">
        <v>7.4400000000000008E-2</v>
      </c>
      <c r="AS111" s="454">
        <v>0.25880000000000003</v>
      </c>
      <c r="AT111" s="454">
        <v>5.2782</v>
      </c>
      <c r="AU111" s="454">
        <v>20.127612000000003</v>
      </c>
      <c r="AV111" s="454">
        <v>16.552819800000002</v>
      </c>
      <c r="AW111" s="454">
        <v>18.655000000000001</v>
      </c>
      <c r="AX111" s="454">
        <v>18.521956880000001</v>
      </c>
      <c r="AY111" s="454">
        <v>8.1340117599999981</v>
      </c>
      <c r="AZ111" s="454">
        <v>9.9999999999999991E-11</v>
      </c>
      <c r="BA111" s="454">
        <v>9.9999999999999991E-11</v>
      </c>
      <c r="BB111" s="454">
        <v>9.9999999999999991E-11</v>
      </c>
      <c r="BC111" s="454">
        <v>9.9999999999999991E-11</v>
      </c>
      <c r="BD111" s="454">
        <v>9.9999999999999991E-11</v>
      </c>
      <c r="BE111" s="441">
        <f>-BD111</f>
        <v>-9.9999999999999991E-11</v>
      </c>
      <c r="BF111" s="441">
        <f t="shared" ref="BF111:BO111" si="85">-BE111</f>
        <v>9.9999999999999991E-11</v>
      </c>
      <c r="BG111" s="441">
        <f t="shared" si="85"/>
        <v>-9.9999999999999991E-11</v>
      </c>
      <c r="BH111" s="441">
        <f t="shared" si="85"/>
        <v>9.9999999999999991E-11</v>
      </c>
      <c r="BI111" s="441">
        <f t="shared" si="85"/>
        <v>-9.9999999999999991E-11</v>
      </c>
      <c r="BJ111" s="441">
        <f t="shared" si="85"/>
        <v>9.9999999999999991E-11</v>
      </c>
      <c r="BK111" s="441">
        <f t="shared" si="85"/>
        <v>-9.9999999999999991E-11</v>
      </c>
      <c r="BL111" s="441">
        <f t="shared" si="85"/>
        <v>9.9999999999999991E-11</v>
      </c>
      <c r="BM111" s="441">
        <f t="shared" si="85"/>
        <v>-9.9999999999999991E-11</v>
      </c>
      <c r="BN111" s="441">
        <f t="shared" si="85"/>
        <v>9.9999999999999991E-11</v>
      </c>
      <c r="BO111" s="441">
        <f t="shared" si="85"/>
        <v>-9.9999999999999991E-11</v>
      </c>
      <c r="BP111" s="440"/>
      <c r="BQ111" s="448">
        <f t="shared" si="79"/>
        <v>0</v>
      </c>
      <c r="BR111" s="448">
        <f t="shared" si="79"/>
        <v>0</v>
      </c>
      <c r="BS111" s="448">
        <f t="shared" si="79"/>
        <v>0</v>
      </c>
      <c r="BT111" s="448">
        <f t="shared" si="79"/>
        <v>0</v>
      </c>
      <c r="BU111" s="448">
        <f t="shared" si="79"/>
        <v>0</v>
      </c>
      <c r="BV111" s="448">
        <f t="shared" si="79"/>
        <v>0</v>
      </c>
      <c r="BW111" s="448">
        <f t="shared" si="79"/>
        <v>0</v>
      </c>
      <c r="BX111" s="448">
        <f t="shared" si="79"/>
        <v>0</v>
      </c>
      <c r="BY111" s="448">
        <f t="shared" si="79"/>
        <v>0</v>
      </c>
      <c r="BZ111" s="448">
        <f t="shared" si="79"/>
        <v>0</v>
      </c>
      <c r="CA111" s="448">
        <f t="shared" si="79"/>
        <v>0</v>
      </c>
      <c r="CB111" s="448">
        <f t="shared" si="79"/>
        <v>0</v>
      </c>
      <c r="CD111" s="439">
        <v>9.9999999999999991E-11</v>
      </c>
      <c r="CE111" s="439">
        <v>-9.9999999999999991E-11</v>
      </c>
      <c r="CF111" s="439">
        <v>9.9999999999999991E-11</v>
      </c>
      <c r="CG111" s="439">
        <v>-9.9999999999999991E-11</v>
      </c>
      <c r="CH111" s="439">
        <v>9.9999999999999991E-11</v>
      </c>
      <c r="CI111" s="439">
        <v>-9.9999999999999991E-11</v>
      </c>
      <c r="CJ111" s="439">
        <v>9.9999999999999991E-11</v>
      </c>
      <c r="CK111" s="439">
        <v>-9.9999999999999991E-11</v>
      </c>
      <c r="CL111" s="439">
        <v>9.9999999999999991E-11</v>
      </c>
      <c r="CM111" s="439">
        <v>-9.9999999999999991E-11</v>
      </c>
      <c r="CN111" s="439">
        <v>9.9999999999999991E-11</v>
      </c>
      <c r="CO111" s="439">
        <v>-9.9999999999999991E-11</v>
      </c>
    </row>
    <row r="112" spans="1:93">
      <c r="A112" s="436" t="s">
        <v>2228</v>
      </c>
      <c r="B112" s="436"/>
      <c r="C112" s="442" t="s">
        <v>2224</v>
      </c>
      <c r="D112" s="436" t="s">
        <v>2179</v>
      </c>
      <c r="E112" s="438" t="s">
        <v>2229</v>
      </c>
      <c r="F112" s="454">
        <v>0</v>
      </c>
      <c r="G112" s="454">
        <v>0</v>
      </c>
      <c r="H112" s="454">
        <v>0</v>
      </c>
      <c r="I112" s="454">
        <v>0</v>
      </c>
      <c r="J112" s="454">
        <v>0</v>
      </c>
      <c r="K112" s="454">
        <v>0</v>
      </c>
      <c r="L112" s="454">
        <v>0</v>
      </c>
      <c r="M112" s="454">
        <v>0</v>
      </c>
      <c r="N112" s="454">
        <v>0</v>
      </c>
      <c r="O112" s="454">
        <v>0</v>
      </c>
      <c r="P112" s="454">
        <v>0</v>
      </c>
      <c r="Q112" s="454">
        <v>1.3</v>
      </c>
      <c r="R112" s="454">
        <v>25.5</v>
      </c>
      <c r="S112" s="454">
        <v>30.4</v>
      </c>
      <c r="T112" s="454">
        <v>43.2</v>
      </c>
      <c r="U112" s="454">
        <v>53.1</v>
      </c>
      <c r="V112" s="454">
        <v>52.8</v>
      </c>
      <c r="W112" s="454">
        <v>47.4</v>
      </c>
      <c r="X112" s="454">
        <v>42.6</v>
      </c>
      <c r="Y112" s="454">
        <v>54.2</v>
      </c>
      <c r="Z112" s="454">
        <v>54.1</v>
      </c>
      <c r="AA112" s="454">
        <v>26.4</v>
      </c>
      <c r="AB112" s="454">
        <v>46.3</v>
      </c>
      <c r="AC112" s="454">
        <v>57.7</v>
      </c>
      <c r="AD112" s="454">
        <v>55</v>
      </c>
      <c r="AE112" s="454">
        <v>63.5</v>
      </c>
      <c r="AF112" s="454">
        <v>43.8</v>
      </c>
      <c r="AG112" s="454">
        <v>31.58</v>
      </c>
      <c r="AH112" s="454">
        <v>60.3</v>
      </c>
      <c r="AI112" s="454">
        <v>28.65</v>
      </c>
      <c r="AJ112" s="454">
        <v>29.44</v>
      </c>
      <c r="AK112" s="454">
        <v>28.1</v>
      </c>
      <c r="AL112" s="454">
        <v>29.5</v>
      </c>
      <c r="AM112" s="454">
        <v>3.2</v>
      </c>
      <c r="AN112" s="454">
        <v>8</v>
      </c>
      <c r="AO112" s="454">
        <v>26.1</v>
      </c>
      <c r="AP112" s="454">
        <v>27.4</v>
      </c>
      <c r="AQ112" s="454">
        <v>20.9</v>
      </c>
      <c r="AR112" s="454">
        <v>34.5</v>
      </c>
      <c r="AS112" s="454">
        <v>28.7</v>
      </c>
      <c r="AT112" s="454">
        <v>25</v>
      </c>
      <c r="AU112" s="454">
        <v>26.3</v>
      </c>
      <c r="AV112" s="454">
        <v>27</v>
      </c>
      <c r="AW112" s="454">
        <v>28</v>
      </c>
      <c r="AX112" s="454">
        <v>24.8</v>
      </c>
      <c r="AY112" s="454">
        <v>6.8</v>
      </c>
      <c r="AZ112" s="454">
        <v>9.9999999999999995E-8</v>
      </c>
      <c r="BA112" s="454">
        <v>9.9999999999999995E-8</v>
      </c>
      <c r="BB112" s="454">
        <v>9.9999999999999995E-8</v>
      </c>
      <c r="BC112" s="454">
        <v>9.9999999999999995E-8</v>
      </c>
      <c r="BD112" s="454">
        <v>9.9999999999999995E-8</v>
      </c>
      <c r="BE112" s="441">
        <f>BD112</f>
        <v>9.9999999999999995E-8</v>
      </c>
      <c r="BF112" s="441">
        <f t="shared" ref="BF112:BO112" si="86">BE112</f>
        <v>9.9999999999999995E-8</v>
      </c>
      <c r="BG112" s="441">
        <f t="shared" si="86"/>
        <v>9.9999999999999995E-8</v>
      </c>
      <c r="BH112" s="441">
        <f t="shared" si="86"/>
        <v>9.9999999999999995E-8</v>
      </c>
      <c r="BI112" s="441">
        <f t="shared" si="86"/>
        <v>9.9999999999999995E-8</v>
      </c>
      <c r="BJ112" s="441">
        <f t="shared" si="86"/>
        <v>9.9999999999999995E-8</v>
      </c>
      <c r="BK112" s="441">
        <f t="shared" si="86"/>
        <v>9.9999999999999995E-8</v>
      </c>
      <c r="BL112" s="441">
        <f t="shared" si="86"/>
        <v>9.9999999999999995E-8</v>
      </c>
      <c r="BM112" s="441">
        <f t="shared" si="86"/>
        <v>9.9999999999999995E-8</v>
      </c>
      <c r="BN112" s="441">
        <f t="shared" si="86"/>
        <v>9.9999999999999995E-8</v>
      </c>
      <c r="BO112" s="441">
        <f t="shared" si="86"/>
        <v>9.9999999999999995E-8</v>
      </c>
      <c r="BP112" s="440"/>
      <c r="BQ112" s="448">
        <f t="shared" si="79"/>
        <v>0</v>
      </c>
      <c r="BR112" s="448">
        <f t="shared" si="79"/>
        <v>0</v>
      </c>
      <c r="BS112" s="448">
        <f t="shared" si="79"/>
        <v>0</v>
      </c>
      <c r="BT112" s="448">
        <f t="shared" si="79"/>
        <v>0</v>
      </c>
      <c r="BU112" s="448">
        <f t="shared" si="79"/>
        <v>0</v>
      </c>
      <c r="BV112" s="448">
        <f t="shared" si="79"/>
        <v>0</v>
      </c>
      <c r="BW112" s="448">
        <f t="shared" si="79"/>
        <v>0</v>
      </c>
      <c r="BX112" s="448">
        <f t="shared" si="79"/>
        <v>0</v>
      </c>
      <c r="BY112" s="448">
        <f t="shared" si="79"/>
        <v>0</v>
      </c>
      <c r="BZ112" s="448">
        <f t="shared" si="79"/>
        <v>0</v>
      </c>
      <c r="CA112" s="448">
        <f t="shared" si="79"/>
        <v>0</v>
      </c>
      <c r="CB112" s="448">
        <f t="shared" si="79"/>
        <v>0</v>
      </c>
      <c r="CD112" s="439">
        <v>9.9999999999999995E-8</v>
      </c>
      <c r="CE112" s="439">
        <v>9.9999999999999995E-8</v>
      </c>
      <c r="CF112" s="439">
        <v>9.9999999999999995E-8</v>
      </c>
      <c r="CG112" s="439">
        <v>9.9999999999999995E-8</v>
      </c>
      <c r="CH112" s="439">
        <v>9.9999999999999995E-8</v>
      </c>
      <c r="CI112" s="439">
        <v>9.9999999999999995E-8</v>
      </c>
      <c r="CJ112" s="439">
        <v>9.9999999999999995E-8</v>
      </c>
      <c r="CK112" s="439">
        <v>9.9999999999999995E-8</v>
      </c>
      <c r="CL112" s="439">
        <v>9.9999999999999995E-8</v>
      </c>
      <c r="CM112" s="439">
        <v>9.9999999999999995E-8</v>
      </c>
      <c r="CN112" s="439">
        <v>9.9999999999999995E-8</v>
      </c>
      <c r="CO112" s="439">
        <v>9.9999999999999995E-8</v>
      </c>
    </row>
    <row r="113" spans="1:93">
      <c r="A113" s="436" t="s">
        <v>2230</v>
      </c>
      <c r="B113" s="436"/>
      <c r="C113" s="442" t="s">
        <v>1455</v>
      </c>
      <c r="D113" s="436" t="s">
        <v>2179</v>
      </c>
      <c r="E113" s="438" t="s">
        <v>2231</v>
      </c>
      <c r="F113" s="454">
        <v>1.8640000000000002E-3</v>
      </c>
      <c r="G113" s="454">
        <v>2.7949999999999997E-3</v>
      </c>
      <c r="H113" s="454">
        <v>3.4269999999999999E-3</v>
      </c>
      <c r="I113" s="454">
        <v>0</v>
      </c>
      <c r="J113" s="454">
        <v>2.428E-3</v>
      </c>
      <c r="K113" s="454">
        <v>2.6880000000000003E-3</v>
      </c>
      <c r="L113" s="454">
        <v>3.7360000000000002E-3</v>
      </c>
      <c r="M113" s="454">
        <v>3.4590000000000003E-3</v>
      </c>
      <c r="N113" s="454">
        <v>4.8939999999999999E-3</v>
      </c>
      <c r="O113" s="454">
        <v>5.1240000000000001E-3</v>
      </c>
      <c r="P113" s="454">
        <v>3.3219999999999999E-3</v>
      </c>
      <c r="Q113" s="454">
        <v>4.8600000000000006E-3</v>
      </c>
      <c r="R113" s="454">
        <v>0</v>
      </c>
      <c r="S113" s="454">
        <v>7.1420000000000008E-3</v>
      </c>
      <c r="T113" s="454">
        <v>9.8969999999999995E-3</v>
      </c>
      <c r="U113" s="454">
        <v>7.757E-3</v>
      </c>
      <c r="V113" s="454">
        <v>5.3170000000000005E-3</v>
      </c>
      <c r="W113" s="454">
        <v>0.01</v>
      </c>
      <c r="X113" s="454">
        <v>8.6E-3</v>
      </c>
      <c r="Y113" s="454">
        <v>2.06E-2</v>
      </c>
      <c r="Z113" s="454">
        <v>3.2799999999999996E-2</v>
      </c>
      <c r="AA113" s="454">
        <v>3.2899999999999999E-2</v>
      </c>
      <c r="AB113" s="454">
        <v>2.7399999999999997E-2</v>
      </c>
      <c r="AC113" s="454">
        <v>3.0600000000000002E-2</v>
      </c>
      <c r="AD113" s="454">
        <v>4.1799999999999997E-2</v>
      </c>
      <c r="AE113" s="454">
        <v>6.7799999999999999E-2</v>
      </c>
      <c r="AF113" s="454">
        <v>7.5299999999999992E-2</v>
      </c>
      <c r="AG113" s="454">
        <v>6.3492449999999992E-2</v>
      </c>
      <c r="AH113" s="454">
        <v>7.0293300000000003E-2</v>
      </c>
      <c r="AI113" s="454">
        <v>6.6099999999999992E-2</v>
      </c>
      <c r="AJ113" s="454">
        <v>6.1600000000000002E-2</v>
      </c>
      <c r="AK113" s="454">
        <v>8.2799999999999999E-2</v>
      </c>
      <c r="AL113" s="454">
        <v>6.3799999999999996E-2</v>
      </c>
      <c r="AM113" s="454">
        <v>6.720000000000001E-2</v>
      </c>
      <c r="AN113" s="454">
        <v>7.0999999999999994E-2</v>
      </c>
      <c r="AO113" s="454">
        <v>0.03</v>
      </c>
      <c r="AP113" s="454">
        <v>4.5399999999999996E-2</v>
      </c>
      <c r="AQ113" s="454">
        <v>3.9200000000000006E-2</v>
      </c>
      <c r="AR113" s="454">
        <v>5.7099999999999998E-2</v>
      </c>
      <c r="AS113" s="454">
        <v>4.8799999999999996E-2</v>
      </c>
      <c r="AT113" s="454">
        <v>3.4023000000000003</v>
      </c>
      <c r="AU113" s="454">
        <v>16.296303399999999</v>
      </c>
      <c r="AV113" s="454">
        <v>13.26595644</v>
      </c>
      <c r="AW113" s="454">
        <v>10.12699098</v>
      </c>
      <c r="AX113" s="454">
        <v>8.1829755000000031</v>
      </c>
      <c r="AY113" s="454">
        <v>11.233913460000002</v>
      </c>
      <c r="AZ113" s="454">
        <v>14.854559999999998</v>
      </c>
      <c r="BA113" s="454">
        <v>23.9635</v>
      </c>
      <c r="BB113" s="454">
        <v>33.32385</v>
      </c>
      <c r="BC113" s="454">
        <v>23.735075000000002</v>
      </c>
      <c r="BD113" s="441">
        <f>BC113*(BD114/BC114)*BD$99/BC$99*(1+BD$86/100)</f>
        <v>26.510830368749996</v>
      </c>
      <c r="BE113" s="441">
        <f>BD113*(BE114/BD114)*BE$99/BD$99*(1+BE$86/100)</f>
        <v>27.988809161807811</v>
      </c>
      <c r="BF113" s="441">
        <f t="shared" ref="BF113:BO113" si="87">BE113*(BF114/BE114)*BF$99/BE$99*(1+BF$86/100)</f>
        <v>29.405742625624324</v>
      </c>
      <c r="BG113" s="441">
        <f t="shared" si="87"/>
        <v>30.89440834604655</v>
      </c>
      <c r="BH113" s="441">
        <f t="shared" si="87"/>
        <v>32.458437768565155</v>
      </c>
      <c r="BI113" s="441">
        <f t="shared" si="87"/>
        <v>34.101646180598756</v>
      </c>
      <c r="BJ113" s="441">
        <f t="shared" si="87"/>
        <v>35.828042018491566</v>
      </c>
      <c r="BK113" s="441">
        <f t="shared" si="87"/>
        <v>37.641836645677692</v>
      </c>
      <c r="BL113" s="441">
        <f t="shared" si="87"/>
        <v>39.547454625865115</v>
      </c>
      <c r="BM113" s="441">
        <f t="shared" si="87"/>
        <v>41.549544516299527</v>
      </c>
      <c r="BN113" s="441">
        <f t="shared" si="87"/>
        <v>43.652990207437185</v>
      </c>
      <c r="BO113" s="441">
        <f t="shared" si="87"/>
        <v>45.862922836688682</v>
      </c>
      <c r="BP113" s="440"/>
      <c r="BQ113" s="448">
        <f t="shared" si="79"/>
        <v>0</v>
      </c>
      <c r="BR113" s="448">
        <f t="shared" si="79"/>
        <v>0</v>
      </c>
      <c r="BS113" s="448">
        <f t="shared" si="79"/>
        <v>0</v>
      </c>
      <c r="BT113" s="448">
        <f t="shared" si="79"/>
        <v>0</v>
      </c>
      <c r="BU113" s="448">
        <f t="shared" si="79"/>
        <v>0</v>
      </c>
      <c r="BV113" s="448">
        <f t="shared" si="79"/>
        <v>0</v>
      </c>
      <c r="BW113" s="448">
        <f t="shared" si="79"/>
        <v>0</v>
      </c>
      <c r="BX113" s="448">
        <f t="shared" si="79"/>
        <v>0</v>
      </c>
      <c r="BY113" s="448">
        <f t="shared" si="79"/>
        <v>0</v>
      </c>
      <c r="BZ113" s="448">
        <f t="shared" si="79"/>
        <v>0</v>
      </c>
      <c r="CA113" s="448">
        <f t="shared" si="79"/>
        <v>0</v>
      </c>
      <c r="CB113" s="448">
        <f t="shared" si="79"/>
        <v>0</v>
      </c>
      <c r="CD113" s="439">
        <v>26.510830368749996</v>
      </c>
      <c r="CE113" s="439">
        <v>27.988809161807811</v>
      </c>
      <c r="CF113" s="439">
        <v>29.405742625624324</v>
      </c>
      <c r="CG113" s="439">
        <v>30.89440834604655</v>
      </c>
      <c r="CH113" s="439">
        <v>32.458437768565155</v>
      </c>
      <c r="CI113" s="439">
        <v>34.101646180598756</v>
      </c>
      <c r="CJ113" s="439">
        <v>35.828042018491566</v>
      </c>
      <c r="CK113" s="439">
        <v>37.641836645677692</v>
      </c>
      <c r="CL113" s="439">
        <v>39.547454625865115</v>
      </c>
      <c r="CM113" s="439">
        <v>41.549544516299527</v>
      </c>
      <c r="CN113" s="439">
        <v>43.652990207437185</v>
      </c>
      <c r="CO113" s="439">
        <v>45.862922836688682</v>
      </c>
    </row>
    <row r="114" spans="1:93">
      <c r="A114" s="436" t="s">
        <v>2232</v>
      </c>
      <c r="B114" s="436"/>
      <c r="C114" s="442" t="s">
        <v>2224</v>
      </c>
      <c r="D114" s="436" t="s">
        <v>2179</v>
      </c>
      <c r="E114" s="438" t="s">
        <v>2233</v>
      </c>
      <c r="F114" s="454">
        <v>6.4169999999999998</v>
      </c>
      <c r="G114" s="454">
        <v>11.891</v>
      </c>
      <c r="H114" s="454">
        <v>14.673999999999999</v>
      </c>
      <c r="I114" s="454">
        <v>0</v>
      </c>
      <c r="J114" s="454">
        <v>10.241</v>
      </c>
      <c r="K114" s="454">
        <v>11.831</v>
      </c>
      <c r="L114" s="454">
        <v>17.937000000000001</v>
      </c>
      <c r="M114" s="454">
        <v>19.260000000000002</v>
      </c>
      <c r="N114" s="454">
        <v>20.677</v>
      </c>
      <c r="O114" s="454">
        <v>21.733000000000001</v>
      </c>
      <c r="P114" s="454">
        <v>14.4</v>
      </c>
      <c r="Q114" s="454">
        <v>21.050999999999998</v>
      </c>
      <c r="R114" s="454">
        <v>0</v>
      </c>
      <c r="S114" s="454">
        <v>24.602</v>
      </c>
      <c r="T114" s="454">
        <v>31.858000000000001</v>
      </c>
      <c r="U114" s="454">
        <v>32.808999999999997</v>
      </c>
      <c r="V114" s="454">
        <v>16.119</v>
      </c>
      <c r="W114" s="454">
        <v>32.054000000000002</v>
      </c>
      <c r="X114" s="454">
        <v>30.706</v>
      </c>
      <c r="Y114" s="454">
        <v>44.478999999999999</v>
      </c>
      <c r="Z114" s="454">
        <v>46.253</v>
      </c>
      <c r="AA114" s="454">
        <v>58.8</v>
      </c>
      <c r="AB114" s="454">
        <v>57.5</v>
      </c>
      <c r="AC114" s="454">
        <v>54.7</v>
      </c>
      <c r="AD114" s="454">
        <v>74.7</v>
      </c>
      <c r="AE114" s="454">
        <v>103</v>
      </c>
      <c r="AF114" s="454">
        <v>110.7</v>
      </c>
      <c r="AG114" s="454">
        <v>93.2</v>
      </c>
      <c r="AH114" s="454">
        <v>130.80000000000001</v>
      </c>
      <c r="AI114" s="454">
        <v>127.41</v>
      </c>
      <c r="AJ114" s="454">
        <v>94.7</v>
      </c>
      <c r="AK114" s="454">
        <v>137.69999999999999</v>
      </c>
      <c r="AL114" s="454">
        <v>108.1</v>
      </c>
      <c r="AM114" s="454">
        <v>112.6</v>
      </c>
      <c r="AN114" s="454">
        <v>77.7</v>
      </c>
      <c r="AO114" s="454">
        <v>85.1</v>
      </c>
      <c r="AP114" s="454">
        <v>64.900000000000006</v>
      </c>
      <c r="AQ114" s="454">
        <v>52.7</v>
      </c>
      <c r="AR114" s="454">
        <v>78.099999999999994</v>
      </c>
      <c r="AS114" s="454">
        <v>74.8</v>
      </c>
      <c r="AT114" s="454">
        <v>80.599999999999994</v>
      </c>
      <c r="AU114" s="454">
        <v>87.7</v>
      </c>
      <c r="AV114" s="454">
        <v>82.9</v>
      </c>
      <c r="AW114" s="454">
        <v>72.900000000000006</v>
      </c>
      <c r="AX114" s="454">
        <v>53.1</v>
      </c>
      <c r="AY114" s="454">
        <v>36.299999999999997</v>
      </c>
      <c r="AZ114" s="454">
        <v>47.8</v>
      </c>
      <c r="BA114" s="454">
        <v>52.5</v>
      </c>
      <c r="BB114" s="454">
        <v>71.8</v>
      </c>
      <c r="BC114" s="454">
        <v>41.9</v>
      </c>
      <c r="BD114" s="441">
        <f>BC114*(1+BD$132/100)</f>
        <v>42.947499999999998</v>
      </c>
      <c r="BE114" s="441">
        <f>BD114*(1+BE$132/100)</f>
        <v>44.021187499999996</v>
      </c>
      <c r="BF114" s="441">
        <f t="shared" ref="BF114:BO114" si="88">BE114*(1+BF$132/100)</f>
        <v>45.121717187499989</v>
      </c>
      <c r="BG114" s="441">
        <f t="shared" si="88"/>
        <v>46.249760117187485</v>
      </c>
      <c r="BH114" s="441">
        <f t="shared" si="88"/>
        <v>47.406004120117167</v>
      </c>
      <c r="BI114" s="441">
        <f t="shared" si="88"/>
        <v>48.591154223120093</v>
      </c>
      <c r="BJ114" s="441">
        <f t="shared" si="88"/>
        <v>49.805933078698089</v>
      </c>
      <c r="BK114" s="441">
        <f t="shared" si="88"/>
        <v>51.051081405665535</v>
      </c>
      <c r="BL114" s="441">
        <f t="shared" si="88"/>
        <v>52.327358440807167</v>
      </c>
      <c r="BM114" s="441">
        <f t="shared" si="88"/>
        <v>53.635542401827344</v>
      </c>
      <c r="BN114" s="441">
        <f t="shared" si="88"/>
        <v>54.976430961873021</v>
      </c>
      <c r="BO114" s="441">
        <f t="shared" si="88"/>
        <v>56.350841735919843</v>
      </c>
      <c r="BP114" s="440"/>
      <c r="BQ114" s="448">
        <f t="shared" si="79"/>
        <v>0</v>
      </c>
      <c r="BR114" s="448">
        <f t="shared" si="79"/>
        <v>0</v>
      </c>
      <c r="BS114" s="448">
        <f t="shared" si="79"/>
        <v>0</v>
      </c>
      <c r="BT114" s="448">
        <f t="shared" si="79"/>
        <v>0</v>
      </c>
      <c r="BU114" s="448">
        <f t="shared" si="79"/>
        <v>0</v>
      </c>
      <c r="BV114" s="448">
        <f t="shared" si="79"/>
        <v>0</v>
      </c>
      <c r="BW114" s="448">
        <f t="shared" si="79"/>
        <v>0</v>
      </c>
      <c r="BX114" s="448">
        <f t="shared" si="79"/>
        <v>0</v>
      </c>
      <c r="BY114" s="448">
        <f t="shared" si="79"/>
        <v>0</v>
      </c>
      <c r="BZ114" s="448">
        <f t="shared" si="79"/>
        <v>0</v>
      </c>
      <c r="CA114" s="448">
        <f t="shared" si="79"/>
        <v>0</v>
      </c>
      <c r="CB114" s="448">
        <f t="shared" si="79"/>
        <v>0</v>
      </c>
      <c r="CD114" s="439">
        <v>42.947499999999998</v>
      </c>
      <c r="CE114" s="439">
        <v>44.021187499999996</v>
      </c>
      <c r="CF114" s="439">
        <v>45.121717187499989</v>
      </c>
      <c r="CG114" s="439">
        <v>46.249760117187485</v>
      </c>
      <c r="CH114" s="439">
        <v>47.406004120117167</v>
      </c>
      <c r="CI114" s="439">
        <v>48.591154223120093</v>
      </c>
      <c r="CJ114" s="439">
        <v>49.805933078698089</v>
      </c>
      <c r="CK114" s="439">
        <v>51.051081405665535</v>
      </c>
      <c r="CL114" s="439">
        <v>52.327358440807167</v>
      </c>
      <c r="CM114" s="439">
        <v>53.635542401827344</v>
      </c>
      <c r="CN114" s="439">
        <v>54.976430961873021</v>
      </c>
      <c r="CO114" s="439">
        <v>56.350841735919843</v>
      </c>
    </row>
    <row r="115" spans="1:93">
      <c r="A115" s="436" t="s">
        <v>2234</v>
      </c>
      <c r="B115" s="436"/>
      <c r="C115" s="442" t="s">
        <v>1455</v>
      </c>
      <c r="D115" s="436" t="s">
        <v>2179</v>
      </c>
      <c r="E115" s="438" t="s">
        <v>2235</v>
      </c>
      <c r="F115" s="454">
        <v>0</v>
      </c>
      <c r="G115" s="454">
        <v>0</v>
      </c>
      <c r="H115" s="454">
        <v>0</v>
      </c>
      <c r="I115" s="454">
        <v>0</v>
      </c>
      <c r="J115" s="454">
        <v>0</v>
      </c>
      <c r="K115" s="454">
        <v>0</v>
      </c>
      <c r="L115" s="454">
        <v>0</v>
      </c>
      <c r="M115" s="454">
        <v>0</v>
      </c>
      <c r="N115" s="454">
        <v>1.54E-4</v>
      </c>
      <c r="O115" s="454">
        <v>2.1799999999999999E-4</v>
      </c>
      <c r="P115" s="454">
        <v>2.23E-4</v>
      </c>
      <c r="Q115" s="454">
        <v>1.073E-3</v>
      </c>
      <c r="R115" s="454">
        <v>0</v>
      </c>
      <c r="S115" s="454">
        <v>2.601E-3</v>
      </c>
      <c r="T115" s="454">
        <v>4.6210000000000001E-3</v>
      </c>
      <c r="U115" s="454">
        <v>4.078E-3</v>
      </c>
      <c r="V115" s="454">
        <v>3.0839999999999999E-3</v>
      </c>
      <c r="W115" s="454">
        <v>4.705E-3</v>
      </c>
      <c r="X115" s="454">
        <v>4.5999999999999999E-3</v>
      </c>
      <c r="Y115" s="454">
        <v>3.8E-3</v>
      </c>
      <c r="Z115" s="454">
        <v>4.0000000000000001E-3</v>
      </c>
      <c r="AA115" s="454">
        <v>6.0999999999999995E-3</v>
      </c>
      <c r="AB115" s="454">
        <v>7.4000000000000003E-3</v>
      </c>
      <c r="AC115" s="454">
        <v>5.9000000000000007E-3</v>
      </c>
      <c r="AD115" s="454">
        <v>7.0000000000000001E-3</v>
      </c>
      <c r="AE115" s="454">
        <v>7.4000000000000003E-3</v>
      </c>
      <c r="AF115" s="454">
        <v>1.0500000000000001E-2</v>
      </c>
      <c r="AG115" s="454">
        <v>1.2994799999999999E-2</v>
      </c>
      <c r="AH115" s="454">
        <v>1.3191149999999999E-2</v>
      </c>
      <c r="AI115" s="454">
        <v>1.32E-2</v>
      </c>
      <c r="AJ115" s="454">
        <v>1.6E-2</v>
      </c>
      <c r="AK115" s="454">
        <v>1.83E-2</v>
      </c>
      <c r="AL115" s="454">
        <v>1.9899999999999998E-2</v>
      </c>
      <c r="AM115" s="454">
        <v>1.6899999999999998E-2</v>
      </c>
      <c r="AN115" s="454">
        <v>3.6200000000000003E-2</v>
      </c>
      <c r="AO115" s="454">
        <v>1.04E-2</v>
      </c>
      <c r="AP115" s="454">
        <v>1.84E-2</v>
      </c>
      <c r="AQ115" s="454">
        <v>1.6300000000000002E-2</v>
      </c>
      <c r="AR115" s="454">
        <v>2.3899999999999998E-2</v>
      </c>
      <c r="AS115" s="454">
        <v>1.46E-2</v>
      </c>
      <c r="AT115" s="454">
        <v>1.2743</v>
      </c>
      <c r="AU115" s="454">
        <v>4.173</v>
      </c>
      <c r="AV115" s="454">
        <v>4.8311829719999988</v>
      </c>
      <c r="AW115" s="454">
        <v>5.5350233700000002</v>
      </c>
      <c r="AX115" s="454">
        <v>5.3410274399999995</v>
      </c>
      <c r="AY115" s="454">
        <v>18.424080360000001</v>
      </c>
      <c r="AZ115" s="454">
        <v>18.714092999999998</v>
      </c>
      <c r="BA115" s="454">
        <v>23.527800000000003</v>
      </c>
      <c r="BB115" s="454">
        <v>2.5814250000000003</v>
      </c>
      <c r="BC115" s="441">
        <f>BB115*(BC116/BB116)*BC$99/BB$99*(1+BC$86/100)</f>
        <v>3.0084403181249999</v>
      </c>
      <c r="BD115" s="441">
        <f>BC115*(BD116/BC116)*BD$99/BC$99*(1+BD$86/100)</f>
        <v>3.360269598824531</v>
      </c>
      <c r="BE115" s="441">
        <f>BD115*(BE116/BD116)*BE$99/BD$99*(1+BE$86/100)</f>
        <v>3.5476046289589989</v>
      </c>
      <c r="BF115" s="441">
        <f t="shared" ref="BF115:BO115" si="89">BE115*(BF116/BE116)*BF$99/BE$99*(1+BF$86/100)</f>
        <v>3.7272021133000468</v>
      </c>
      <c r="BG115" s="441">
        <f t="shared" si="89"/>
        <v>3.915891720285861</v>
      </c>
      <c r="BH115" s="441">
        <f t="shared" si="89"/>
        <v>4.1141337386253314</v>
      </c>
      <c r="BI115" s="441">
        <f t="shared" si="89"/>
        <v>4.3224117591432387</v>
      </c>
      <c r="BJ115" s="441">
        <f t="shared" si="89"/>
        <v>4.5412338544498638</v>
      </c>
      <c r="BK115" s="441">
        <f t="shared" si="89"/>
        <v>4.7711338183313874</v>
      </c>
      <c r="BL115" s="441">
        <f t="shared" si="89"/>
        <v>5.0126724678844132</v>
      </c>
      <c r="BM115" s="441">
        <f t="shared" si="89"/>
        <v>5.2664390115710606</v>
      </c>
      <c r="BN115" s="441">
        <f t="shared" si="89"/>
        <v>5.5330524865318447</v>
      </c>
      <c r="BO115" s="441">
        <f t="shared" si="89"/>
        <v>5.8131632686625183</v>
      </c>
      <c r="BP115" s="440"/>
      <c r="BQ115" s="448">
        <f t="shared" si="79"/>
        <v>0</v>
      </c>
      <c r="BR115" s="448">
        <f t="shared" si="79"/>
        <v>0</v>
      </c>
      <c r="BS115" s="448">
        <f t="shared" si="79"/>
        <v>0</v>
      </c>
      <c r="BT115" s="448">
        <f t="shared" si="79"/>
        <v>0</v>
      </c>
      <c r="BU115" s="448">
        <f t="shared" si="79"/>
        <v>0</v>
      </c>
      <c r="BV115" s="448">
        <f t="shared" si="79"/>
        <v>0</v>
      </c>
      <c r="BW115" s="448">
        <f t="shared" si="79"/>
        <v>0</v>
      </c>
      <c r="BX115" s="448">
        <f t="shared" si="79"/>
        <v>0</v>
      </c>
      <c r="BY115" s="448">
        <f t="shared" si="79"/>
        <v>0</v>
      </c>
      <c r="BZ115" s="448">
        <f t="shared" si="79"/>
        <v>0</v>
      </c>
      <c r="CA115" s="448">
        <f t="shared" si="79"/>
        <v>0</v>
      </c>
      <c r="CB115" s="448">
        <f t="shared" si="79"/>
        <v>0</v>
      </c>
      <c r="CD115" s="439">
        <v>3.360269598824531</v>
      </c>
      <c r="CE115" s="439">
        <v>3.5476046289589989</v>
      </c>
      <c r="CF115" s="439">
        <v>3.7272021133000468</v>
      </c>
      <c r="CG115" s="439">
        <v>3.915891720285861</v>
      </c>
      <c r="CH115" s="439">
        <v>4.1141337386253314</v>
      </c>
      <c r="CI115" s="439">
        <v>4.3224117591432387</v>
      </c>
      <c r="CJ115" s="439">
        <v>4.5412338544498638</v>
      </c>
      <c r="CK115" s="439">
        <v>4.7711338183313874</v>
      </c>
      <c r="CL115" s="439">
        <v>5.0126724678844132</v>
      </c>
      <c r="CM115" s="439">
        <v>5.2664390115710606</v>
      </c>
      <c r="CN115" s="439">
        <v>5.5330524865318447</v>
      </c>
      <c r="CO115" s="439">
        <v>5.8131632686625183</v>
      </c>
    </row>
    <row r="116" spans="1:93">
      <c r="A116" s="436" t="s">
        <v>2232</v>
      </c>
      <c r="B116" s="436"/>
      <c r="C116" s="442" t="s">
        <v>2224</v>
      </c>
      <c r="D116" s="436" t="s">
        <v>2179</v>
      </c>
      <c r="E116" s="438" t="s">
        <v>2236</v>
      </c>
      <c r="F116" s="454">
        <v>1.4E-2</v>
      </c>
      <c r="G116" s="454">
        <v>0.22500000000000001</v>
      </c>
      <c r="H116" s="454">
        <v>0.19800000000000001</v>
      </c>
      <c r="I116" s="454">
        <v>0</v>
      </c>
      <c r="J116" s="454">
        <v>9.0999999999999998E-2</v>
      </c>
      <c r="K116" s="454">
        <v>0.10100000000000001</v>
      </c>
      <c r="L116" s="454">
        <v>0.50800000000000001</v>
      </c>
      <c r="M116" s="454">
        <v>1.069</v>
      </c>
      <c r="N116" s="454">
        <v>1.7129999999999999</v>
      </c>
      <c r="O116" s="454">
        <v>2.3240000000000003</v>
      </c>
      <c r="P116" s="454">
        <v>1.9789999999999999</v>
      </c>
      <c r="Q116" s="454">
        <v>10.657</v>
      </c>
      <c r="R116" s="454">
        <v>0</v>
      </c>
      <c r="S116" s="454">
        <v>20.376000000000001</v>
      </c>
      <c r="T116" s="454">
        <v>36.494</v>
      </c>
      <c r="U116" s="454">
        <v>32.129000000000005</v>
      </c>
      <c r="V116" s="454">
        <v>25.091000000000001</v>
      </c>
      <c r="W116" s="454">
        <v>38.106000000000002</v>
      </c>
      <c r="X116" s="454">
        <v>39.668999999999997</v>
      </c>
      <c r="Y116" s="454">
        <v>30.052</v>
      </c>
      <c r="Z116" s="454">
        <v>34.601999999999997</v>
      </c>
      <c r="AA116" s="454">
        <v>38.265000000000001</v>
      </c>
      <c r="AB116" s="454">
        <v>37</v>
      </c>
      <c r="AC116" s="454">
        <v>27.3</v>
      </c>
      <c r="AD116" s="454">
        <v>29</v>
      </c>
      <c r="AE116" s="454">
        <v>27.3</v>
      </c>
      <c r="AF116" s="454">
        <v>34</v>
      </c>
      <c r="AG116" s="454">
        <v>36.5</v>
      </c>
      <c r="AH116" s="454">
        <v>37.5</v>
      </c>
      <c r="AI116" s="454">
        <v>32.159999999999997</v>
      </c>
      <c r="AJ116" s="454">
        <v>34.9</v>
      </c>
      <c r="AK116" s="454">
        <v>37.299999999999997</v>
      </c>
      <c r="AL116" s="454">
        <v>36</v>
      </c>
      <c r="AM116" s="454">
        <v>32.4</v>
      </c>
      <c r="AN116" s="454">
        <v>35.6</v>
      </c>
      <c r="AO116" s="454">
        <v>28.8</v>
      </c>
      <c r="AP116" s="454">
        <v>28.3</v>
      </c>
      <c r="AQ116" s="454">
        <v>28.2</v>
      </c>
      <c r="AR116" s="454">
        <v>29.9</v>
      </c>
      <c r="AS116" s="454">
        <v>28.2</v>
      </c>
      <c r="AT116" s="454">
        <v>33.299999999999997</v>
      </c>
      <c r="AU116" s="454">
        <v>34</v>
      </c>
      <c r="AV116" s="454">
        <v>26.9</v>
      </c>
      <c r="AW116" s="454">
        <v>28.9</v>
      </c>
      <c r="AX116" s="454">
        <v>23.2</v>
      </c>
      <c r="AY116" s="454">
        <v>39.9</v>
      </c>
      <c r="AZ116" s="454">
        <v>35.799999999999997</v>
      </c>
      <c r="BA116" s="454">
        <v>29.1</v>
      </c>
      <c r="BB116" s="454">
        <v>5</v>
      </c>
      <c r="BC116" s="441">
        <f>BB116*(1+BC$132/100)</f>
        <v>5.125</v>
      </c>
      <c r="BD116" s="441">
        <f>BC116*(1+BD$132/100)</f>
        <v>5.2531249999999998</v>
      </c>
      <c r="BE116" s="441">
        <f>BD116*(1+BE$132/100)</f>
        <v>5.3844531249999994</v>
      </c>
      <c r="BF116" s="441">
        <f t="shared" ref="BF116:BO116" si="90">BE116*(1+BF$132/100)</f>
        <v>5.519064453124999</v>
      </c>
      <c r="BG116" s="441">
        <f t="shared" si="90"/>
        <v>5.6570410644531233</v>
      </c>
      <c r="BH116" s="441">
        <f t="shared" si="90"/>
        <v>5.7984670910644507</v>
      </c>
      <c r="BI116" s="441">
        <f t="shared" si="90"/>
        <v>5.9434287683410618</v>
      </c>
      <c r="BJ116" s="441">
        <f t="shared" si="90"/>
        <v>6.0920144875495881</v>
      </c>
      <c r="BK116" s="441">
        <f t="shared" si="90"/>
        <v>6.244314849738327</v>
      </c>
      <c r="BL116" s="441">
        <f t="shared" si="90"/>
        <v>6.4004227209817843</v>
      </c>
      <c r="BM116" s="441">
        <f t="shared" si="90"/>
        <v>6.5604332890063279</v>
      </c>
      <c r="BN116" s="441">
        <f t="shared" si="90"/>
        <v>6.7244441212314854</v>
      </c>
      <c r="BO116" s="441">
        <f t="shared" si="90"/>
        <v>6.8925552242622716</v>
      </c>
      <c r="BP116" s="440"/>
      <c r="BQ116" s="448">
        <f t="shared" si="79"/>
        <v>0</v>
      </c>
      <c r="BR116" s="448">
        <f t="shared" si="79"/>
        <v>0</v>
      </c>
      <c r="BS116" s="448">
        <f t="shared" si="79"/>
        <v>0</v>
      </c>
      <c r="BT116" s="448">
        <f t="shared" si="79"/>
        <v>0</v>
      </c>
      <c r="BU116" s="448">
        <f t="shared" si="79"/>
        <v>0</v>
      </c>
      <c r="BV116" s="448">
        <f t="shared" si="79"/>
        <v>0</v>
      </c>
      <c r="BW116" s="448">
        <f t="shared" si="79"/>
        <v>0</v>
      </c>
      <c r="BX116" s="448">
        <f t="shared" si="79"/>
        <v>0</v>
      </c>
      <c r="BY116" s="448">
        <f t="shared" si="79"/>
        <v>0</v>
      </c>
      <c r="BZ116" s="448">
        <f t="shared" si="79"/>
        <v>0</v>
      </c>
      <c r="CA116" s="448">
        <f t="shared" si="79"/>
        <v>0</v>
      </c>
      <c r="CB116" s="448">
        <f t="shared" si="79"/>
        <v>0</v>
      </c>
      <c r="CD116" s="439">
        <v>5.2531249999999998</v>
      </c>
      <c r="CE116" s="439">
        <v>5.3844531250000003</v>
      </c>
      <c r="CF116" s="439">
        <v>5.519064453124999</v>
      </c>
      <c r="CG116" s="439">
        <v>5.6570410644531233</v>
      </c>
      <c r="CH116" s="439">
        <v>5.7984670910644507</v>
      </c>
      <c r="CI116" s="439">
        <v>5.9434287683410618</v>
      </c>
      <c r="CJ116" s="439">
        <v>6.0920144875495881</v>
      </c>
      <c r="CK116" s="439">
        <v>6.244314849738327</v>
      </c>
      <c r="CL116" s="439">
        <v>6.4004227209817843</v>
      </c>
      <c r="CM116" s="439">
        <v>6.5604332890063279</v>
      </c>
      <c r="CN116" s="439">
        <v>6.7244441212314854</v>
      </c>
      <c r="CO116" s="439">
        <v>6.8925552242622716</v>
      </c>
    </row>
    <row r="117" spans="1:93">
      <c r="A117" s="436" t="s">
        <v>2237</v>
      </c>
      <c r="B117" s="436"/>
      <c r="C117" s="442" t="s">
        <v>1455</v>
      </c>
      <c r="D117" s="436" t="s">
        <v>2179</v>
      </c>
      <c r="E117" s="438" t="s">
        <v>2238</v>
      </c>
      <c r="F117" s="454">
        <v>1.2E-5</v>
      </c>
      <c r="G117" s="454">
        <v>2.5999999999999998E-5</v>
      </c>
      <c r="H117" s="454">
        <v>1.36E-4</v>
      </c>
      <c r="I117" s="454">
        <v>0</v>
      </c>
      <c r="J117" s="454">
        <v>1.54E-4</v>
      </c>
      <c r="K117" s="454">
        <v>5.0799999999999999E-4</v>
      </c>
      <c r="L117" s="454">
        <v>5.0199999999999995E-4</v>
      </c>
      <c r="M117" s="454">
        <v>4.35E-4</v>
      </c>
      <c r="N117" s="454">
        <v>1.176E-3</v>
      </c>
      <c r="O117" s="454">
        <v>1.6040000000000002E-3</v>
      </c>
      <c r="P117" s="454">
        <v>1.6699999999999998E-3</v>
      </c>
      <c r="Q117" s="454">
        <v>2.385E-3</v>
      </c>
      <c r="R117" s="454">
        <v>0</v>
      </c>
      <c r="S117" s="454">
        <v>1.8580000000000001E-3</v>
      </c>
      <c r="T117" s="454">
        <v>1.0529999999999999E-3</v>
      </c>
      <c r="U117" s="454">
        <v>9.8700000000000003E-4</v>
      </c>
      <c r="V117" s="454">
        <v>1.1000000000000001E-3</v>
      </c>
      <c r="W117" s="454">
        <v>1E-3</v>
      </c>
      <c r="X117" s="454">
        <v>1E-3</v>
      </c>
      <c r="Y117" s="454">
        <v>1.6999999999999999E-3</v>
      </c>
      <c r="Z117" s="454">
        <v>1.6199999999999999E-2</v>
      </c>
      <c r="AA117" s="454">
        <v>2.3699999999999999E-2</v>
      </c>
      <c r="AB117" s="454">
        <v>4.7399999999999998E-2</v>
      </c>
      <c r="AC117" s="454">
        <v>5.16E-2</v>
      </c>
      <c r="AD117" s="454">
        <v>5.3200000000000004E-2</v>
      </c>
      <c r="AE117" s="454">
        <v>4.7799999999999995E-2</v>
      </c>
      <c r="AF117" s="454">
        <v>5.5799999999999995E-2</v>
      </c>
      <c r="AG117" s="454">
        <v>7.2203249999999997E-2</v>
      </c>
      <c r="AH117" s="454">
        <v>7.4898599999999996E-2</v>
      </c>
      <c r="AI117" s="454">
        <v>6.0404400000000004E-2</v>
      </c>
      <c r="AJ117" s="454">
        <v>6.4200000000000007E-2</v>
      </c>
      <c r="AK117" s="454">
        <v>4.3799999999999999E-2</v>
      </c>
      <c r="AL117" s="454">
        <v>6.8599999999999994E-2</v>
      </c>
      <c r="AM117" s="454">
        <v>7.4299999999999991E-2</v>
      </c>
      <c r="AN117" s="454">
        <v>5.5E-2</v>
      </c>
      <c r="AO117" s="454">
        <v>4.4700000000000004E-2</v>
      </c>
      <c r="AP117" s="454">
        <v>6.3700000000000007E-2</v>
      </c>
      <c r="AQ117" s="454">
        <v>5.74E-2</v>
      </c>
      <c r="AR117" s="454">
        <v>7.8599999999999989E-2</v>
      </c>
      <c r="AS117" s="454">
        <v>6.2799999999999995E-2</v>
      </c>
      <c r="AT117" s="454">
        <v>5.2573999999999996</v>
      </c>
      <c r="AU117" s="454">
        <v>14.521895499999999</v>
      </c>
      <c r="AV117" s="454">
        <v>19.324800241559998</v>
      </c>
      <c r="AW117" s="454">
        <v>16.973999508000002</v>
      </c>
      <c r="AX117" s="454">
        <v>14.405999979126003</v>
      </c>
      <c r="AY117" s="454">
        <v>31.164001545185606</v>
      </c>
      <c r="AZ117" s="454">
        <v>69.211623217136392</v>
      </c>
      <c r="BA117" s="454">
        <v>74.286850000000001</v>
      </c>
      <c r="BB117" s="454">
        <v>81.197550000000007</v>
      </c>
      <c r="BC117" s="441">
        <f>BB117*(BC118/BB118)*BC$99/BB$99*(1+BC$86/100)</f>
        <v>94.629122733749995</v>
      </c>
      <c r="BD117" s="441">
        <f>BC117*(BD118/BC118)*BD$99/BC$99*(1+BD$86/100)</f>
        <v>105.69575283575341</v>
      </c>
      <c r="BE117" s="441">
        <f>BD117*(BE118/BD118)*BE$99/BD$99*(1+BE$86/100)</f>
        <v>111.58829105634668</v>
      </c>
      <c r="BF117" s="441">
        <f t="shared" ref="BF117:BO117" si="91">BE117*(BF118/BE118)*BF$99/BE$99*(1+BF$86/100)</f>
        <v>117.23744829107422</v>
      </c>
      <c r="BG117" s="441">
        <f t="shared" si="91"/>
        <v>123.17259411080983</v>
      </c>
      <c r="BH117" s="441">
        <f t="shared" si="91"/>
        <v>129.40820668766955</v>
      </c>
      <c r="BI117" s="441">
        <f t="shared" si="91"/>
        <v>135.9594971512328</v>
      </c>
      <c r="BJ117" s="441">
        <f t="shared" si="91"/>
        <v>142.84244669451391</v>
      </c>
      <c r="BK117" s="441">
        <f t="shared" si="91"/>
        <v>150.07384555842367</v>
      </c>
      <c r="BL117" s="441">
        <f t="shared" si="91"/>
        <v>157.67133398981886</v>
      </c>
      <c r="BM117" s="441">
        <f t="shared" si="91"/>
        <v>165.65344527305342</v>
      </c>
      <c r="BN117" s="441">
        <f t="shared" si="91"/>
        <v>174.03965094000171</v>
      </c>
      <c r="BO117" s="441">
        <f t="shared" si="91"/>
        <v>182.85040826883926</v>
      </c>
      <c r="BP117" s="440"/>
      <c r="BQ117" s="448">
        <f t="shared" si="79"/>
        <v>0</v>
      </c>
      <c r="BR117" s="448">
        <f t="shared" si="79"/>
        <v>0</v>
      </c>
      <c r="BS117" s="448">
        <f t="shared" si="79"/>
        <v>0</v>
      </c>
      <c r="BT117" s="448">
        <f t="shared" si="79"/>
        <v>0</v>
      </c>
      <c r="BU117" s="448">
        <f t="shared" si="79"/>
        <v>0</v>
      </c>
      <c r="BV117" s="448">
        <f t="shared" si="79"/>
        <v>0</v>
      </c>
      <c r="BW117" s="448">
        <f t="shared" si="79"/>
        <v>0</v>
      </c>
      <c r="BX117" s="448">
        <f t="shared" si="79"/>
        <v>0</v>
      </c>
      <c r="BY117" s="448">
        <f t="shared" si="79"/>
        <v>0</v>
      </c>
      <c r="BZ117" s="448">
        <f t="shared" si="79"/>
        <v>0</v>
      </c>
      <c r="CA117" s="448">
        <f t="shared" si="79"/>
        <v>0</v>
      </c>
      <c r="CB117" s="448">
        <f t="shared" si="79"/>
        <v>0</v>
      </c>
      <c r="CD117" s="439">
        <v>105.69575283575341</v>
      </c>
      <c r="CE117" s="439">
        <v>111.58829105634668</v>
      </c>
      <c r="CF117" s="439">
        <v>117.23744829107422</v>
      </c>
      <c r="CG117" s="439">
        <v>123.17259411080983</v>
      </c>
      <c r="CH117" s="439">
        <v>129.40820668766955</v>
      </c>
      <c r="CI117" s="439">
        <v>135.9594971512328</v>
      </c>
      <c r="CJ117" s="439">
        <v>142.84244669451391</v>
      </c>
      <c r="CK117" s="439">
        <v>150.07384555842367</v>
      </c>
      <c r="CL117" s="439">
        <v>157.67133398981886</v>
      </c>
      <c r="CM117" s="439">
        <v>165.65344527305342</v>
      </c>
      <c r="CN117" s="439">
        <v>174.03965094000171</v>
      </c>
      <c r="CO117" s="439">
        <v>182.85040826883926</v>
      </c>
    </row>
    <row r="118" spans="1:93">
      <c r="A118" s="438" t="s">
        <v>2239</v>
      </c>
      <c r="B118" s="438"/>
      <c r="C118" s="442" t="s">
        <v>2240</v>
      </c>
      <c r="D118" s="436" t="s">
        <v>2179</v>
      </c>
      <c r="E118" s="438" t="s">
        <v>2241</v>
      </c>
      <c r="F118" s="454">
        <v>14.466666666666667</v>
      </c>
      <c r="G118" s="454">
        <v>24.8</v>
      </c>
      <c r="H118" s="454">
        <v>97.13333333333334</v>
      </c>
      <c r="I118" s="454">
        <v>0</v>
      </c>
      <c r="J118" s="454">
        <v>121.93333333333334</v>
      </c>
      <c r="K118" s="454">
        <v>289.33333333333331</v>
      </c>
      <c r="L118" s="454">
        <v>407.13333333333338</v>
      </c>
      <c r="M118" s="454">
        <v>446.4</v>
      </c>
      <c r="N118" s="454">
        <v>1004.4</v>
      </c>
      <c r="O118" s="454">
        <v>1299.9333333333334</v>
      </c>
      <c r="P118" s="454">
        <v>1605.8</v>
      </c>
      <c r="Q118" s="454">
        <v>2083.1999999999998</v>
      </c>
      <c r="R118" s="454">
        <v>0</v>
      </c>
      <c r="S118" s="454">
        <v>2376.6666666666665</v>
      </c>
      <c r="T118" s="454">
        <v>3221.9333333333338</v>
      </c>
      <c r="U118" s="454">
        <v>2949.1333333333332</v>
      </c>
      <c r="V118" s="454">
        <v>3081</v>
      </c>
      <c r="W118" s="454">
        <v>2629</v>
      </c>
      <c r="X118" s="454">
        <v>2975</v>
      </c>
      <c r="Y118" s="454">
        <v>3253</v>
      </c>
      <c r="Z118" s="454">
        <v>2631</v>
      </c>
      <c r="AA118" s="454">
        <v>3448</v>
      </c>
      <c r="AB118" s="454">
        <v>3615</v>
      </c>
      <c r="AC118" s="454">
        <v>3824</v>
      </c>
      <c r="AD118" s="454">
        <v>3723</v>
      </c>
      <c r="AE118" s="454">
        <v>3295</v>
      </c>
      <c r="AF118" s="454">
        <v>3050</v>
      </c>
      <c r="AG118" s="454">
        <v>3800</v>
      </c>
      <c r="AH118" s="454">
        <v>3300</v>
      </c>
      <c r="AI118" s="454">
        <v>3400</v>
      </c>
      <c r="AJ118" s="454">
        <v>3300</v>
      </c>
      <c r="AK118" s="454">
        <v>2200</v>
      </c>
      <c r="AL118" s="454">
        <v>2700</v>
      </c>
      <c r="AM118" s="454">
        <v>3100</v>
      </c>
      <c r="AN118" s="454">
        <v>2300</v>
      </c>
      <c r="AO118" s="454">
        <v>2000</v>
      </c>
      <c r="AP118" s="454">
        <v>3312.9</v>
      </c>
      <c r="AQ118" s="454">
        <v>3065.4</v>
      </c>
      <c r="AR118" s="454">
        <v>2341</v>
      </c>
      <c r="AS118" s="454">
        <v>2065</v>
      </c>
      <c r="AT118" s="454">
        <v>2391</v>
      </c>
      <c r="AU118" s="454">
        <v>2600</v>
      </c>
      <c r="AV118" s="454">
        <v>2745</v>
      </c>
      <c r="AW118" s="454">
        <v>2692</v>
      </c>
      <c r="AX118" s="454">
        <v>3162</v>
      </c>
      <c r="AY118" s="454">
        <v>3356</v>
      </c>
      <c r="AZ118" s="454">
        <v>4743</v>
      </c>
      <c r="BA118" s="454">
        <v>5571.8737864077666</v>
      </c>
      <c r="BB118" s="454">
        <v>5034.6407766990296</v>
      </c>
      <c r="BC118" s="441">
        <f>BB118*(1+BC$132/100)</f>
        <v>5160.506796116505</v>
      </c>
      <c r="BD118" s="441">
        <f>BC118*(1+BD$132/100)</f>
        <v>5289.5194660194175</v>
      </c>
      <c r="BE118" s="441">
        <f>BD118*(1+BE$132/100)</f>
        <v>5421.7574526699027</v>
      </c>
      <c r="BF118" s="441">
        <f t="shared" ref="BF118:BO118" si="92">BE118*(1+BF$132/100)</f>
        <v>5557.3013889866497</v>
      </c>
      <c r="BG118" s="441">
        <f t="shared" si="92"/>
        <v>5696.2339237113156</v>
      </c>
      <c r="BH118" s="441">
        <f t="shared" si="92"/>
        <v>5838.639771804098</v>
      </c>
      <c r="BI118" s="441">
        <f t="shared" si="92"/>
        <v>5984.6057660992001</v>
      </c>
      <c r="BJ118" s="441">
        <f t="shared" si="92"/>
        <v>6134.2209102516799</v>
      </c>
      <c r="BK118" s="441">
        <f t="shared" si="92"/>
        <v>6287.576433007971</v>
      </c>
      <c r="BL118" s="441">
        <f t="shared" si="92"/>
        <v>6444.76584383317</v>
      </c>
      <c r="BM118" s="441">
        <f t="shared" si="92"/>
        <v>6605.8849899289989</v>
      </c>
      <c r="BN118" s="441">
        <f t="shared" si="92"/>
        <v>6771.032114677223</v>
      </c>
      <c r="BO118" s="441">
        <f t="shared" si="92"/>
        <v>6940.3079175441526</v>
      </c>
      <c r="BP118" s="440"/>
      <c r="BQ118" s="448">
        <f t="shared" si="79"/>
        <v>0</v>
      </c>
      <c r="BR118" s="448">
        <f t="shared" si="79"/>
        <v>0</v>
      </c>
      <c r="BS118" s="448">
        <f t="shared" si="79"/>
        <v>0</v>
      </c>
      <c r="BT118" s="448">
        <f t="shared" si="79"/>
        <v>0</v>
      </c>
      <c r="BU118" s="448">
        <f t="shared" si="79"/>
        <v>0</v>
      </c>
      <c r="BV118" s="448">
        <f t="shared" si="79"/>
        <v>0</v>
      </c>
      <c r="BW118" s="448">
        <f t="shared" si="79"/>
        <v>0</v>
      </c>
      <c r="BX118" s="448">
        <f t="shared" si="79"/>
        <v>0</v>
      </c>
      <c r="BY118" s="448">
        <f t="shared" si="79"/>
        <v>0</v>
      </c>
      <c r="BZ118" s="448">
        <f t="shared" si="79"/>
        <v>0</v>
      </c>
      <c r="CA118" s="448">
        <f t="shared" si="79"/>
        <v>0</v>
      </c>
      <c r="CB118" s="448">
        <f t="shared" si="79"/>
        <v>0</v>
      </c>
      <c r="CD118" s="439">
        <v>5289.5194660194175</v>
      </c>
      <c r="CE118" s="439">
        <v>5421.7574526699027</v>
      </c>
      <c r="CF118" s="439">
        <v>5557.3013889866497</v>
      </c>
      <c r="CG118" s="439">
        <v>5696.2339237113156</v>
      </c>
      <c r="CH118" s="439">
        <v>5838.639771804098</v>
      </c>
      <c r="CI118" s="439">
        <v>5984.6057660992001</v>
      </c>
      <c r="CJ118" s="439">
        <v>6134.2209102516799</v>
      </c>
      <c r="CK118" s="439">
        <v>6287.576433007971</v>
      </c>
      <c r="CL118" s="439">
        <v>6444.76584383317</v>
      </c>
      <c r="CM118" s="439">
        <v>6605.8849899289989</v>
      </c>
      <c r="CN118" s="439">
        <v>6771.032114677223</v>
      </c>
      <c r="CO118" s="439">
        <v>6940.3079175441526</v>
      </c>
    </row>
    <row r="119" spans="1:93">
      <c r="A119" s="436" t="s">
        <v>2242</v>
      </c>
      <c r="B119" s="436"/>
      <c r="C119" s="442" t="s">
        <v>1455</v>
      </c>
      <c r="D119" s="436" t="s">
        <v>2179</v>
      </c>
      <c r="E119" s="438" t="s">
        <v>2243</v>
      </c>
      <c r="F119" s="454">
        <v>0</v>
      </c>
      <c r="G119" s="454">
        <v>0</v>
      </c>
      <c r="H119" s="454">
        <v>0</v>
      </c>
      <c r="I119" s="454">
        <v>0</v>
      </c>
      <c r="J119" s="454">
        <v>0</v>
      </c>
      <c r="K119" s="454">
        <v>0</v>
      </c>
      <c r="L119" s="454">
        <v>0</v>
      </c>
      <c r="M119" s="454">
        <v>0</v>
      </c>
      <c r="N119" s="454">
        <v>0</v>
      </c>
      <c r="O119" s="454">
        <v>0</v>
      </c>
      <c r="P119" s="454">
        <v>0</v>
      </c>
      <c r="Q119" s="454">
        <v>0</v>
      </c>
      <c r="R119" s="454">
        <v>0</v>
      </c>
      <c r="S119" s="454">
        <v>0</v>
      </c>
      <c r="T119" s="454">
        <v>0</v>
      </c>
      <c r="U119" s="454">
        <v>0</v>
      </c>
      <c r="V119" s="454">
        <v>0</v>
      </c>
      <c r="W119" s="454">
        <v>0</v>
      </c>
      <c r="X119" s="454">
        <v>0</v>
      </c>
      <c r="Y119" s="454">
        <v>0</v>
      </c>
      <c r="Z119" s="454">
        <v>0</v>
      </c>
      <c r="AA119" s="454">
        <v>0</v>
      </c>
      <c r="AB119" s="454">
        <v>0</v>
      </c>
      <c r="AC119" s="454">
        <v>0</v>
      </c>
      <c r="AD119" s="454">
        <v>0</v>
      </c>
      <c r="AE119" s="454">
        <v>0</v>
      </c>
      <c r="AF119" s="454">
        <v>0</v>
      </c>
      <c r="AG119" s="454">
        <v>0</v>
      </c>
      <c r="AH119" s="454">
        <v>0</v>
      </c>
      <c r="AI119" s="454">
        <v>0</v>
      </c>
      <c r="AJ119" s="454">
        <v>0</v>
      </c>
      <c r="AK119" s="454">
        <v>0</v>
      </c>
      <c r="AL119" s="454">
        <v>0</v>
      </c>
      <c r="AM119" s="454">
        <v>0</v>
      </c>
      <c r="AN119" s="454">
        <v>0</v>
      </c>
      <c r="AO119" s="454">
        <v>0</v>
      </c>
      <c r="AP119" s="454">
        <v>1.1999999999999999E-3</v>
      </c>
      <c r="AQ119" s="454">
        <v>1.1999999999999999E-3</v>
      </c>
      <c r="AR119" s="454">
        <v>2.8E-3</v>
      </c>
      <c r="AS119" s="454">
        <v>3.5000000000000001E-3</v>
      </c>
      <c r="AT119" s="454">
        <v>0.26119999999999999</v>
      </c>
      <c r="AU119" s="454">
        <v>2.6483699999999999</v>
      </c>
      <c r="AV119" s="454">
        <v>2.5185172319999998</v>
      </c>
      <c r="AW119" s="454">
        <v>3.5179754799999996</v>
      </c>
      <c r="AX119" s="454">
        <v>3.8889815300000001</v>
      </c>
      <c r="AY119" s="454">
        <v>6.7914078400000015</v>
      </c>
      <c r="AZ119" s="454">
        <v>4.3767899999999997</v>
      </c>
      <c r="BA119" s="454">
        <v>7.6683199999999996</v>
      </c>
      <c r="BB119" s="454">
        <v>12.672450000000001</v>
      </c>
      <c r="BC119" s="441">
        <f>BB119*(BC120/BB120)*BC$99/BB$99*(1+BC$86/100)</f>
        <v>14.768707016249998</v>
      </c>
      <c r="BD119" s="441">
        <f>BC119*(BD120/BC120)*BD$99/BC$99*(1+BD$86/100)</f>
        <v>16.495868939684062</v>
      </c>
      <c r="BE119" s="441">
        <f>BD119*(BE120/BD120)*BE$99/BD$99*(1+BE$86/100)</f>
        <v>17.415513633071448</v>
      </c>
      <c r="BF119" s="441">
        <f t="shared" ref="BF119:BO119" si="93">BE119*(BF120/BE120)*BF$99/BE$99*(1+BF$86/100)</f>
        <v>18.297174010745689</v>
      </c>
      <c r="BG119" s="441">
        <f t="shared" si="93"/>
        <v>19.223468445039686</v>
      </c>
      <c r="BH119" s="441">
        <f t="shared" si="93"/>
        <v>20.196656535069817</v>
      </c>
      <c r="BI119" s="441">
        <f t="shared" si="93"/>
        <v>21.219112272157723</v>
      </c>
      <c r="BJ119" s="441">
        <f t="shared" si="93"/>
        <v>22.293329830935704</v>
      </c>
      <c r="BK119" s="441">
        <f t="shared" si="93"/>
        <v>23.421929653626819</v>
      </c>
      <c r="BL119" s="441">
        <f t="shared" si="93"/>
        <v>24.60766484234167</v>
      </c>
      <c r="BM119" s="441">
        <f t="shared" si="93"/>
        <v>25.853427874985208</v>
      </c>
      <c r="BN119" s="441">
        <f t="shared" si="93"/>
        <v>27.162257661156332</v>
      </c>
      <c r="BO119" s="441">
        <f t="shared" si="93"/>
        <v>28.537346955252367</v>
      </c>
      <c r="BP119" s="440"/>
      <c r="BQ119" s="448">
        <f t="shared" si="79"/>
        <v>0</v>
      </c>
      <c r="BR119" s="448">
        <f t="shared" si="79"/>
        <v>0</v>
      </c>
      <c r="BS119" s="448">
        <f t="shared" si="79"/>
        <v>0</v>
      </c>
      <c r="BT119" s="448">
        <f t="shared" si="79"/>
        <v>0</v>
      </c>
      <c r="BU119" s="448">
        <f t="shared" si="79"/>
        <v>0</v>
      </c>
      <c r="BV119" s="448">
        <f t="shared" si="79"/>
        <v>0</v>
      </c>
      <c r="BW119" s="448">
        <f t="shared" si="79"/>
        <v>0</v>
      </c>
      <c r="BX119" s="448">
        <f t="shared" si="79"/>
        <v>0</v>
      </c>
      <c r="BY119" s="448">
        <f t="shared" si="79"/>
        <v>0</v>
      </c>
      <c r="BZ119" s="448">
        <f t="shared" si="79"/>
        <v>0</v>
      </c>
      <c r="CA119" s="448">
        <f t="shared" si="79"/>
        <v>0</v>
      </c>
      <c r="CB119" s="448">
        <f t="shared" si="79"/>
        <v>0</v>
      </c>
      <c r="CD119" s="439">
        <v>16.495868939684062</v>
      </c>
      <c r="CE119" s="439">
        <v>17.415513633071448</v>
      </c>
      <c r="CF119" s="439">
        <v>18.297174010745689</v>
      </c>
      <c r="CG119" s="439">
        <v>19.223468445039686</v>
      </c>
      <c r="CH119" s="439">
        <v>20.196656535069817</v>
      </c>
      <c r="CI119" s="439">
        <v>21.219112272157723</v>
      </c>
      <c r="CJ119" s="439">
        <v>22.293329830935704</v>
      </c>
      <c r="CK119" s="439">
        <v>23.421929653626819</v>
      </c>
      <c r="CL119" s="439">
        <v>24.60766484234167</v>
      </c>
      <c r="CM119" s="439">
        <v>25.853427874985208</v>
      </c>
      <c r="CN119" s="439">
        <v>27.162257661156332</v>
      </c>
      <c r="CO119" s="439">
        <v>28.537346955252367</v>
      </c>
    </row>
    <row r="120" spans="1:93">
      <c r="A120" s="436" t="s">
        <v>2244</v>
      </c>
      <c r="B120" s="436"/>
      <c r="C120" s="442" t="s">
        <v>2245</v>
      </c>
      <c r="D120" s="436" t="s">
        <v>2179</v>
      </c>
      <c r="E120" s="438" t="s">
        <v>2246</v>
      </c>
      <c r="F120" s="454">
        <v>0</v>
      </c>
      <c r="G120" s="454">
        <v>0</v>
      </c>
      <c r="H120" s="454">
        <v>0</v>
      </c>
      <c r="I120" s="454">
        <v>0</v>
      </c>
      <c r="J120" s="454">
        <v>0</v>
      </c>
      <c r="K120" s="454">
        <v>0</v>
      </c>
      <c r="L120" s="454">
        <v>0</v>
      </c>
      <c r="M120" s="454">
        <v>0</v>
      </c>
      <c r="N120" s="454">
        <v>0</v>
      </c>
      <c r="O120" s="454">
        <v>0</v>
      </c>
      <c r="P120" s="454">
        <v>0</v>
      </c>
      <c r="Q120" s="454">
        <v>0</v>
      </c>
      <c r="R120" s="454">
        <v>0</v>
      </c>
      <c r="S120" s="454">
        <v>0</v>
      </c>
      <c r="T120" s="454">
        <v>0</v>
      </c>
      <c r="U120" s="454">
        <v>0</v>
      </c>
      <c r="V120" s="454">
        <v>0</v>
      </c>
      <c r="W120" s="454">
        <v>0</v>
      </c>
      <c r="X120" s="454">
        <v>0</v>
      </c>
      <c r="Y120" s="454">
        <v>0</v>
      </c>
      <c r="Z120" s="454">
        <v>0</v>
      </c>
      <c r="AA120" s="454">
        <v>0</v>
      </c>
      <c r="AB120" s="454">
        <v>0</v>
      </c>
      <c r="AC120" s="454">
        <v>0</v>
      </c>
      <c r="AD120" s="454">
        <v>0</v>
      </c>
      <c r="AE120" s="454">
        <v>0</v>
      </c>
      <c r="AF120" s="454">
        <v>0</v>
      </c>
      <c r="AG120" s="454">
        <v>0</v>
      </c>
      <c r="AH120" s="454">
        <v>0</v>
      </c>
      <c r="AI120" s="454">
        <v>0</v>
      </c>
      <c r="AJ120" s="454">
        <v>0</v>
      </c>
      <c r="AK120" s="454">
        <v>0</v>
      </c>
      <c r="AL120" s="454">
        <v>0</v>
      </c>
      <c r="AM120" s="454">
        <v>0</v>
      </c>
      <c r="AN120" s="454">
        <v>0</v>
      </c>
      <c r="AO120" s="454">
        <v>0</v>
      </c>
      <c r="AP120" s="454">
        <v>2.2000000000000002</v>
      </c>
      <c r="AQ120" s="454">
        <v>2.2000000000000002</v>
      </c>
      <c r="AR120" s="454">
        <v>6.1</v>
      </c>
      <c r="AS120" s="454">
        <v>6</v>
      </c>
      <c r="AT120" s="454">
        <v>13</v>
      </c>
      <c r="AU120" s="454">
        <v>12</v>
      </c>
      <c r="AV120" s="454">
        <v>36</v>
      </c>
      <c r="AW120" s="454">
        <v>42.4</v>
      </c>
      <c r="AX120" s="454">
        <v>30.2</v>
      </c>
      <c r="AY120" s="454">
        <v>23.5</v>
      </c>
      <c r="AZ120" s="454">
        <v>18.21</v>
      </c>
      <c r="BA120" s="454">
        <v>16.55</v>
      </c>
      <c r="BB120" s="454">
        <v>34.4</v>
      </c>
      <c r="BC120" s="441">
        <f>BB120*(1+BC$132/100)</f>
        <v>35.26</v>
      </c>
      <c r="BD120" s="441">
        <f>BC120*(1+BD$132/100)</f>
        <v>36.141499999999994</v>
      </c>
      <c r="BE120" s="441">
        <f>BD120*(1+BE$132/100)</f>
        <v>37.045037499999992</v>
      </c>
      <c r="BF120" s="441">
        <f t="shared" ref="BF120:BO120" si="94">BE120*(1+BF$132/100)</f>
        <v>37.971163437499989</v>
      </c>
      <c r="BG120" s="441">
        <f t="shared" si="94"/>
        <v>38.920442523437487</v>
      </c>
      <c r="BH120" s="441">
        <f t="shared" si="94"/>
        <v>39.893453586523421</v>
      </c>
      <c r="BI120" s="441">
        <f t="shared" si="94"/>
        <v>40.8907899261865</v>
      </c>
      <c r="BJ120" s="441">
        <f t="shared" si="94"/>
        <v>41.913059674341156</v>
      </c>
      <c r="BK120" s="441">
        <f t="shared" si="94"/>
        <v>42.960886166199678</v>
      </c>
      <c r="BL120" s="441">
        <f t="shared" si="94"/>
        <v>44.034908320354667</v>
      </c>
      <c r="BM120" s="441">
        <f t="shared" si="94"/>
        <v>45.135781028363532</v>
      </c>
      <c r="BN120" s="441">
        <f t="shared" si="94"/>
        <v>46.264175554072615</v>
      </c>
      <c r="BO120" s="441">
        <f t="shared" si="94"/>
        <v>47.420779942924426</v>
      </c>
      <c r="BP120" s="440"/>
      <c r="BQ120" s="448">
        <f t="shared" si="79"/>
        <v>0</v>
      </c>
      <c r="BR120" s="448">
        <f t="shared" si="79"/>
        <v>0</v>
      </c>
      <c r="BS120" s="448">
        <f t="shared" si="79"/>
        <v>0</v>
      </c>
      <c r="BT120" s="448">
        <f t="shared" si="79"/>
        <v>0</v>
      </c>
      <c r="BU120" s="448">
        <f t="shared" si="79"/>
        <v>0</v>
      </c>
      <c r="BV120" s="448">
        <f t="shared" si="79"/>
        <v>0</v>
      </c>
      <c r="BW120" s="448">
        <f t="shared" si="79"/>
        <v>0</v>
      </c>
      <c r="BX120" s="448">
        <f t="shared" si="79"/>
        <v>0</v>
      </c>
      <c r="BY120" s="448">
        <f t="shared" si="79"/>
        <v>0</v>
      </c>
      <c r="BZ120" s="448">
        <f t="shared" si="79"/>
        <v>0</v>
      </c>
      <c r="CA120" s="448">
        <f t="shared" si="79"/>
        <v>0</v>
      </c>
      <c r="CB120" s="448">
        <f t="shared" si="79"/>
        <v>0</v>
      </c>
      <c r="CD120" s="439">
        <v>36.141499999999994</v>
      </c>
      <c r="CE120" s="439">
        <v>37.045037499999992</v>
      </c>
      <c r="CF120" s="439">
        <v>37.971163437499989</v>
      </c>
      <c r="CG120" s="439">
        <v>38.920442523437487</v>
      </c>
      <c r="CH120" s="439">
        <v>39.893453586523421</v>
      </c>
      <c r="CI120" s="439">
        <v>40.8907899261865</v>
      </c>
      <c r="CJ120" s="439">
        <v>41.913059674341156</v>
      </c>
      <c r="CK120" s="439">
        <v>42.960886166199678</v>
      </c>
      <c r="CL120" s="439">
        <v>44.034908320354667</v>
      </c>
      <c r="CM120" s="439">
        <v>45.135781028363532</v>
      </c>
      <c r="CN120" s="439">
        <v>46.264175554072615</v>
      </c>
      <c r="CO120" s="439">
        <v>47.420779942924426</v>
      </c>
    </row>
    <row r="121" spans="1:93">
      <c r="A121" s="436" t="s">
        <v>2247</v>
      </c>
      <c r="B121" s="436"/>
      <c r="C121" s="442" t="s">
        <v>1455</v>
      </c>
      <c r="D121" s="436" t="s">
        <v>2179</v>
      </c>
      <c r="E121" s="438" t="s">
        <v>2248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4">
        <v>0</v>
      </c>
      <c r="L121" s="454">
        <v>0</v>
      </c>
      <c r="M121" s="454">
        <v>0</v>
      </c>
      <c r="N121" s="454">
        <v>0</v>
      </c>
      <c r="O121" s="454">
        <v>0</v>
      </c>
      <c r="P121" s="454">
        <v>0</v>
      </c>
      <c r="Q121" s="454">
        <v>0</v>
      </c>
      <c r="R121" s="454">
        <v>0</v>
      </c>
      <c r="S121" s="454">
        <v>0</v>
      </c>
      <c r="T121" s="454">
        <v>0</v>
      </c>
      <c r="U121" s="454">
        <v>0</v>
      </c>
      <c r="V121" s="454">
        <v>0</v>
      </c>
      <c r="W121" s="454">
        <v>0</v>
      </c>
      <c r="X121" s="454">
        <v>0</v>
      </c>
      <c r="Y121" s="454">
        <v>0</v>
      </c>
      <c r="Z121" s="454">
        <v>0</v>
      </c>
      <c r="AA121" s="454">
        <v>0</v>
      </c>
      <c r="AB121" s="454">
        <v>0</v>
      </c>
      <c r="AC121" s="454">
        <v>0</v>
      </c>
      <c r="AD121" s="454">
        <v>0</v>
      </c>
      <c r="AE121" s="454">
        <v>0</v>
      </c>
      <c r="AF121" s="454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454">
        <v>0</v>
      </c>
      <c r="AM121" s="454">
        <v>0</v>
      </c>
      <c r="AN121" s="454">
        <v>0</v>
      </c>
      <c r="AO121" s="454">
        <v>0</v>
      </c>
      <c r="AP121" s="454">
        <v>3.0999999999999999E-3</v>
      </c>
      <c r="AQ121" s="454">
        <v>1.1999999999999999E-3</v>
      </c>
      <c r="AR121" s="454">
        <v>5.9000000000000007E-3</v>
      </c>
      <c r="AS121" s="454">
        <v>6.0999999999999995E-3</v>
      </c>
      <c r="AT121" s="454">
        <v>0.50019999999999998</v>
      </c>
      <c r="AU121" s="454">
        <v>1.3683244999999999</v>
      </c>
      <c r="AV121" s="454">
        <v>1.3860043718399999</v>
      </c>
      <c r="AW121" s="454">
        <v>1.8039989586000005</v>
      </c>
      <c r="AX121" s="454">
        <v>2.1559944777000002</v>
      </c>
      <c r="AY121" s="454">
        <v>5.3899822620000011</v>
      </c>
      <c r="AZ121" s="454">
        <v>5.8357200000000002</v>
      </c>
      <c r="BA121" s="454">
        <v>11.98175</v>
      </c>
      <c r="BB121" s="454">
        <v>12.907125000000001</v>
      </c>
      <c r="BC121" s="441">
        <f>BB121*(BC122/BB122)*BC$99/BB$99*(1+BC$86/100)</f>
        <v>15.042201590624996</v>
      </c>
      <c r="BD121" s="441">
        <f>BC121*(BD122/BC122)*BD$99/BC$99*(1+BD$86/100)</f>
        <v>16.801347994122651</v>
      </c>
      <c r="BE121" s="441">
        <f>BD121*(BE122/BD122)*BE$99/BD$99*(1+BE$86/100)</f>
        <v>17.738023144794987</v>
      </c>
      <c r="BF121" s="441">
        <f t="shared" ref="BF121:BO121" si="95">BE121*(BF122/BE122)*BF$99/BE$99*(1+BF$86/100)</f>
        <v>18.636010566500232</v>
      </c>
      <c r="BG121" s="441">
        <f t="shared" si="95"/>
        <v>19.579458601429302</v>
      </c>
      <c r="BH121" s="441">
        <f t="shared" si="95"/>
        <v>20.570668693126656</v>
      </c>
      <c r="BI121" s="441">
        <f t="shared" si="95"/>
        <v>21.612058795716191</v>
      </c>
      <c r="BJ121" s="441">
        <f t="shared" si="95"/>
        <v>22.706169272249319</v>
      </c>
      <c r="BK121" s="441">
        <f t="shared" si="95"/>
        <v>23.855669091656935</v>
      </c>
      <c r="BL121" s="441">
        <f t="shared" si="95"/>
        <v>25.063362339422063</v>
      </c>
      <c r="BM121" s="441">
        <f t="shared" si="95"/>
        <v>26.332195057855301</v>
      </c>
      <c r="BN121" s="441">
        <f t="shared" si="95"/>
        <v>27.665262432659219</v>
      </c>
      <c r="BO121" s="441">
        <f t="shared" si="95"/>
        <v>29.065816343312587</v>
      </c>
      <c r="BP121" s="440"/>
      <c r="BQ121" s="448">
        <f t="shared" si="79"/>
        <v>0</v>
      </c>
      <c r="BR121" s="448">
        <f t="shared" si="79"/>
        <v>0</v>
      </c>
      <c r="BS121" s="448">
        <f t="shared" si="79"/>
        <v>0</v>
      </c>
      <c r="BT121" s="448">
        <f t="shared" si="79"/>
        <v>0</v>
      </c>
      <c r="BU121" s="448">
        <f t="shared" si="79"/>
        <v>0</v>
      </c>
      <c r="BV121" s="448">
        <f t="shared" si="79"/>
        <v>0</v>
      </c>
      <c r="BW121" s="448">
        <f t="shared" si="79"/>
        <v>0</v>
      </c>
      <c r="BX121" s="448">
        <f t="shared" si="79"/>
        <v>0</v>
      </c>
      <c r="BY121" s="448">
        <f t="shared" si="79"/>
        <v>0</v>
      </c>
      <c r="BZ121" s="448">
        <f t="shared" si="79"/>
        <v>0</v>
      </c>
      <c r="CA121" s="448">
        <f t="shared" si="79"/>
        <v>0</v>
      </c>
      <c r="CB121" s="448">
        <f t="shared" si="79"/>
        <v>0</v>
      </c>
      <c r="CD121" s="439">
        <v>16.801347994122651</v>
      </c>
      <c r="CE121" s="439">
        <v>17.738023144794987</v>
      </c>
      <c r="CF121" s="439">
        <v>18.636010566500232</v>
      </c>
      <c r="CG121" s="439">
        <v>19.579458601429302</v>
      </c>
      <c r="CH121" s="439">
        <v>20.570668693126656</v>
      </c>
      <c r="CI121" s="439">
        <v>21.612058795716191</v>
      </c>
      <c r="CJ121" s="439">
        <v>22.706169272249319</v>
      </c>
      <c r="CK121" s="439">
        <v>23.855669091656935</v>
      </c>
      <c r="CL121" s="439">
        <v>25.063362339422063</v>
      </c>
      <c r="CM121" s="439">
        <v>26.332195057855301</v>
      </c>
      <c r="CN121" s="439">
        <v>27.665262432659219</v>
      </c>
      <c r="CO121" s="439">
        <v>29.065816343312587</v>
      </c>
    </row>
    <row r="122" spans="1:93">
      <c r="A122" s="436" t="s">
        <v>2239</v>
      </c>
      <c r="B122" s="436"/>
      <c r="C122" s="442" t="s">
        <v>2240</v>
      </c>
      <c r="D122" s="436" t="s">
        <v>2179</v>
      </c>
      <c r="E122" s="438" t="s">
        <v>2249</v>
      </c>
      <c r="F122" s="454">
        <v>0</v>
      </c>
      <c r="G122" s="454">
        <v>0</v>
      </c>
      <c r="H122" s="454">
        <v>0</v>
      </c>
      <c r="I122" s="454">
        <v>0</v>
      </c>
      <c r="J122" s="454">
        <v>0</v>
      </c>
      <c r="K122" s="454">
        <v>0</v>
      </c>
      <c r="L122" s="454">
        <v>0</v>
      </c>
      <c r="M122" s="454">
        <v>0</v>
      </c>
      <c r="N122" s="454">
        <v>0</v>
      </c>
      <c r="O122" s="454">
        <v>0</v>
      </c>
      <c r="P122" s="454">
        <v>0</v>
      </c>
      <c r="Q122" s="454">
        <v>0</v>
      </c>
      <c r="R122" s="454">
        <v>0</v>
      </c>
      <c r="S122" s="454">
        <v>0</v>
      </c>
      <c r="T122" s="454">
        <v>0</v>
      </c>
      <c r="U122" s="454">
        <v>0</v>
      </c>
      <c r="V122" s="454">
        <v>0</v>
      </c>
      <c r="W122" s="454">
        <v>0</v>
      </c>
      <c r="X122" s="454">
        <v>0</v>
      </c>
      <c r="Y122" s="454">
        <v>0</v>
      </c>
      <c r="Z122" s="454">
        <v>0</v>
      </c>
      <c r="AA122" s="454">
        <v>0</v>
      </c>
      <c r="AB122" s="454">
        <v>0</v>
      </c>
      <c r="AC122" s="454">
        <v>0</v>
      </c>
      <c r="AD122" s="454">
        <v>0</v>
      </c>
      <c r="AE122" s="454">
        <v>0</v>
      </c>
      <c r="AF122" s="454">
        <v>0</v>
      </c>
      <c r="AG122" s="454">
        <v>0</v>
      </c>
      <c r="AH122" s="454">
        <v>0</v>
      </c>
      <c r="AI122" s="454">
        <v>0</v>
      </c>
      <c r="AJ122" s="454">
        <v>0</v>
      </c>
      <c r="AK122" s="454">
        <v>0</v>
      </c>
      <c r="AL122" s="454">
        <v>0</v>
      </c>
      <c r="AM122" s="454">
        <v>0</v>
      </c>
      <c r="AN122" s="454">
        <v>0</v>
      </c>
      <c r="AO122" s="454">
        <v>0</v>
      </c>
      <c r="AP122" s="454">
        <v>1013.3</v>
      </c>
      <c r="AQ122" s="454">
        <v>692.1</v>
      </c>
      <c r="AR122" s="454">
        <v>3100</v>
      </c>
      <c r="AS122" s="454">
        <v>4900</v>
      </c>
      <c r="AT122" s="454">
        <v>4700</v>
      </c>
      <c r="AU122" s="454">
        <v>4600</v>
      </c>
      <c r="AV122" s="454">
        <v>4112</v>
      </c>
      <c r="AW122" s="454">
        <v>6953</v>
      </c>
      <c r="AX122" s="454">
        <v>7573</v>
      </c>
      <c r="AY122" s="454">
        <v>8063</v>
      </c>
      <c r="AZ122" s="454">
        <v>4710</v>
      </c>
      <c r="BA122" s="454">
        <v>6799</v>
      </c>
      <c r="BB122" s="454">
        <v>5698</v>
      </c>
      <c r="BC122" s="441">
        <f>BB122*(1+BC$132/100)</f>
        <v>5840.45</v>
      </c>
      <c r="BD122" s="441">
        <f>BC122*(1+BD$132/100)</f>
        <v>5986.4612499999994</v>
      </c>
      <c r="BE122" s="441">
        <f>BD122*(1+BE$132/100)</f>
        <v>6136.1227812499992</v>
      </c>
      <c r="BF122" s="441">
        <f t="shared" ref="BF122:BO122" si="96">BE122*(1+BF$132/100)</f>
        <v>6289.5258507812487</v>
      </c>
      <c r="BG122" s="441">
        <f t="shared" si="96"/>
        <v>6446.7639970507789</v>
      </c>
      <c r="BH122" s="441">
        <f t="shared" si="96"/>
        <v>6607.9330969770481</v>
      </c>
      <c r="BI122" s="441">
        <f t="shared" si="96"/>
        <v>6773.1314244014739</v>
      </c>
      <c r="BJ122" s="441">
        <f t="shared" si="96"/>
        <v>6942.4597100115097</v>
      </c>
      <c r="BK122" s="441">
        <f t="shared" si="96"/>
        <v>7116.0212027617972</v>
      </c>
      <c r="BL122" s="441">
        <f t="shared" si="96"/>
        <v>7293.9217328308414</v>
      </c>
      <c r="BM122" s="441">
        <f t="shared" si="96"/>
        <v>7476.2697761516119</v>
      </c>
      <c r="BN122" s="441">
        <f t="shared" si="96"/>
        <v>7663.176520555402</v>
      </c>
      <c r="BO122" s="441">
        <f t="shared" si="96"/>
        <v>7854.7559335692868</v>
      </c>
      <c r="BP122" s="440"/>
      <c r="BQ122" s="448">
        <f t="shared" si="79"/>
        <v>0</v>
      </c>
      <c r="BR122" s="448">
        <f t="shared" si="79"/>
        <v>0</v>
      </c>
      <c r="BS122" s="448">
        <f t="shared" si="79"/>
        <v>0</v>
      </c>
      <c r="BT122" s="448">
        <f t="shared" si="79"/>
        <v>0</v>
      </c>
      <c r="BU122" s="448">
        <f t="shared" si="79"/>
        <v>0</v>
      </c>
      <c r="BV122" s="448">
        <f t="shared" si="79"/>
        <v>0</v>
      </c>
      <c r="BW122" s="448">
        <f t="shared" si="79"/>
        <v>0</v>
      </c>
      <c r="BX122" s="448">
        <f t="shared" si="79"/>
        <v>0</v>
      </c>
      <c r="BY122" s="448">
        <f t="shared" si="79"/>
        <v>0</v>
      </c>
      <c r="BZ122" s="448">
        <f t="shared" si="79"/>
        <v>0</v>
      </c>
      <c r="CA122" s="448">
        <f t="shared" si="79"/>
        <v>0</v>
      </c>
      <c r="CB122" s="448">
        <f t="shared" si="79"/>
        <v>0</v>
      </c>
      <c r="CD122" s="439">
        <v>5986.4612499999994</v>
      </c>
      <c r="CE122" s="439">
        <v>6136.1227812499992</v>
      </c>
      <c r="CF122" s="439">
        <v>6289.5258507812487</v>
      </c>
      <c r="CG122" s="439">
        <v>6446.7639970507789</v>
      </c>
      <c r="CH122" s="439">
        <v>6607.9330969770481</v>
      </c>
      <c r="CI122" s="439">
        <v>6773.1314244014739</v>
      </c>
      <c r="CJ122" s="439">
        <v>6942.4597100115097</v>
      </c>
      <c r="CK122" s="439">
        <v>7116.0212027617972</v>
      </c>
      <c r="CL122" s="439">
        <v>7293.9217328308414</v>
      </c>
      <c r="CM122" s="439">
        <v>7476.2697761516119</v>
      </c>
      <c r="CN122" s="439">
        <v>7663.176520555402</v>
      </c>
      <c r="CO122" s="439">
        <v>7854.7559335692868</v>
      </c>
    </row>
    <row r="123" spans="1:93">
      <c r="A123" s="438" t="s">
        <v>2250</v>
      </c>
      <c r="B123" s="438"/>
      <c r="C123" s="442" t="s">
        <v>1455</v>
      </c>
      <c r="D123" s="436" t="s">
        <v>2179</v>
      </c>
      <c r="E123" s="438" t="s">
        <v>2251</v>
      </c>
      <c r="F123" s="454">
        <v>0</v>
      </c>
      <c r="G123" s="454">
        <v>0</v>
      </c>
      <c r="H123" s="454">
        <v>0</v>
      </c>
      <c r="I123" s="454">
        <v>0</v>
      </c>
      <c r="J123" s="454">
        <v>0</v>
      </c>
      <c r="K123" s="454">
        <v>0</v>
      </c>
      <c r="L123" s="454">
        <v>0</v>
      </c>
      <c r="M123" s="454">
        <v>0</v>
      </c>
      <c r="N123" s="454">
        <v>0</v>
      </c>
      <c r="O123" s="454">
        <v>0</v>
      </c>
      <c r="P123" s="454">
        <v>0</v>
      </c>
      <c r="Q123" s="454">
        <v>0</v>
      </c>
      <c r="R123" s="454">
        <v>0</v>
      </c>
      <c r="S123" s="454">
        <v>0</v>
      </c>
      <c r="T123" s="454">
        <v>0</v>
      </c>
      <c r="U123" s="454">
        <v>0</v>
      </c>
      <c r="V123" s="454">
        <v>0</v>
      </c>
      <c r="W123" s="454">
        <v>0</v>
      </c>
      <c r="X123" s="454">
        <v>0</v>
      </c>
      <c r="Y123" s="454">
        <v>0</v>
      </c>
      <c r="Z123" s="454">
        <v>0</v>
      </c>
      <c r="AA123" s="454">
        <v>0</v>
      </c>
      <c r="AB123" s="454">
        <v>0</v>
      </c>
      <c r="AC123" s="454">
        <v>0</v>
      </c>
      <c r="AD123" s="454">
        <v>0</v>
      </c>
      <c r="AE123" s="454">
        <v>0</v>
      </c>
      <c r="AF123" s="454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0</v>
      </c>
      <c r="AL123" s="454">
        <v>0</v>
      </c>
      <c r="AM123" s="454">
        <v>0</v>
      </c>
      <c r="AN123" s="454">
        <v>0</v>
      </c>
      <c r="AO123" s="454">
        <v>0</v>
      </c>
      <c r="AP123" s="454">
        <v>1.0500000000000001E-2</v>
      </c>
      <c r="AQ123" s="454">
        <v>1.0999999999999999E-2</v>
      </c>
      <c r="AR123" s="454">
        <v>1.06E-2</v>
      </c>
      <c r="AS123" s="454">
        <v>1.04E-2</v>
      </c>
      <c r="AT123" s="454">
        <v>1.0768</v>
      </c>
      <c r="AU123" s="454">
        <v>5.6939954999999998</v>
      </c>
      <c r="AV123" s="454">
        <v>9.97676856</v>
      </c>
      <c r="AW123" s="454">
        <v>11.3175252</v>
      </c>
      <c r="AX123" s="454">
        <v>9.7622700000000009</v>
      </c>
      <c r="AY123" s="454">
        <v>31.158903999999996</v>
      </c>
      <c r="AZ123" s="454">
        <v>36.738509999999998</v>
      </c>
      <c r="BA123" s="454">
        <v>42.262899999999995</v>
      </c>
      <c r="BB123" s="454">
        <v>84.248324999999994</v>
      </c>
      <c r="BC123" s="454">
        <v>90.506275000000002</v>
      </c>
      <c r="BD123" s="441">
        <f>BC123*(BD124/BC124)*BD$99/BC$99*(1+BD$86/100)</f>
        <v>101.09074876874999</v>
      </c>
      <c r="BE123" s="441">
        <f>BD123*(BE124/BD124)*BE$99/BD$99*(1+BE$86/100)</f>
        <v>106.7265580126078</v>
      </c>
      <c r="BF123" s="441">
        <f t="shared" ref="BF123:BO123" si="97">BE123*(BF124/BE124)*BF$99/BE$99*(1+BF$86/100)</f>
        <v>112.12959001199606</v>
      </c>
      <c r="BG123" s="441">
        <f t="shared" si="97"/>
        <v>117.80615050635335</v>
      </c>
      <c r="BH123" s="441">
        <f t="shared" si="97"/>
        <v>123.77008687573746</v>
      </c>
      <c r="BI123" s="441">
        <f t="shared" si="97"/>
        <v>130.03594752382168</v>
      </c>
      <c r="BJ123" s="441">
        <f t="shared" si="97"/>
        <v>136.61901736721512</v>
      </c>
      <c r="BK123" s="441">
        <f t="shared" si="97"/>
        <v>143.53535512143037</v>
      </c>
      <c r="BL123" s="441">
        <f t="shared" si="97"/>
        <v>150.80183247445277</v>
      </c>
      <c r="BM123" s="441">
        <f t="shared" si="97"/>
        <v>158.43617524347192</v>
      </c>
      <c r="BN123" s="441">
        <f t="shared" si="97"/>
        <v>166.45700661517265</v>
      </c>
      <c r="BO123" s="441">
        <f t="shared" si="97"/>
        <v>174.88389257506574</v>
      </c>
      <c r="BP123" s="440"/>
      <c r="BQ123" s="448">
        <f t="shared" si="79"/>
        <v>0</v>
      </c>
      <c r="BR123" s="448">
        <f t="shared" si="79"/>
        <v>0</v>
      </c>
      <c r="BS123" s="448">
        <f t="shared" si="79"/>
        <v>0</v>
      </c>
      <c r="BT123" s="448">
        <f t="shared" si="79"/>
        <v>0</v>
      </c>
      <c r="BU123" s="448">
        <f t="shared" si="79"/>
        <v>0</v>
      </c>
      <c r="BV123" s="448">
        <f t="shared" si="79"/>
        <v>0</v>
      </c>
      <c r="BW123" s="448">
        <f t="shared" si="79"/>
        <v>0</v>
      </c>
      <c r="BX123" s="448">
        <f t="shared" si="79"/>
        <v>0</v>
      </c>
      <c r="BY123" s="448">
        <f t="shared" si="79"/>
        <v>0</v>
      </c>
      <c r="BZ123" s="448">
        <f t="shared" si="79"/>
        <v>0</v>
      </c>
      <c r="CA123" s="448">
        <f t="shared" si="79"/>
        <v>0</v>
      </c>
      <c r="CB123" s="448">
        <f t="shared" si="79"/>
        <v>0</v>
      </c>
      <c r="CD123" s="439">
        <v>101.09074876874999</v>
      </c>
      <c r="CE123" s="439">
        <v>106.7265580126078</v>
      </c>
      <c r="CF123" s="439">
        <v>112.12959001199606</v>
      </c>
      <c r="CG123" s="439">
        <v>117.80615050635335</v>
      </c>
      <c r="CH123" s="439">
        <v>123.77008687573746</v>
      </c>
      <c r="CI123" s="439">
        <v>130.03594752382168</v>
      </c>
      <c r="CJ123" s="439">
        <v>136.61901736721512</v>
      </c>
      <c r="CK123" s="439">
        <v>143.53535512143037</v>
      </c>
      <c r="CL123" s="439">
        <v>150.80183247445277</v>
      </c>
      <c r="CM123" s="439">
        <v>158.43617524347192</v>
      </c>
      <c r="CN123" s="439">
        <v>166.45700661517265</v>
      </c>
      <c r="CO123" s="439">
        <v>174.88389257506574</v>
      </c>
    </row>
    <row r="124" spans="1:93">
      <c r="A124" s="436" t="s">
        <v>2252</v>
      </c>
      <c r="B124" s="436"/>
      <c r="C124" s="442" t="s">
        <v>2253</v>
      </c>
      <c r="D124" s="436" t="s">
        <v>2179</v>
      </c>
      <c r="E124" s="438" t="s">
        <v>2254</v>
      </c>
      <c r="F124" s="454">
        <v>0</v>
      </c>
      <c r="G124" s="454">
        <v>0</v>
      </c>
      <c r="H124" s="454">
        <v>0</v>
      </c>
      <c r="I124" s="454">
        <v>0</v>
      </c>
      <c r="J124" s="454">
        <v>0</v>
      </c>
      <c r="K124" s="454">
        <v>0</v>
      </c>
      <c r="L124" s="454">
        <v>0</v>
      </c>
      <c r="M124" s="454">
        <v>0</v>
      </c>
      <c r="N124" s="454">
        <v>0</v>
      </c>
      <c r="O124" s="454">
        <v>0</v>
      </c>
      <c r="P124" s="454">
        <v>0</v>
      </c>
      <c r="Q124" s="454">
        <v>0</v>
      </c>
      <c r="R124" s="454">
        <v>0</v>
      </c>
      <c r="S124" s="454">
        <v>0</v>
      </c>
      <c r="T124" s="454">
        <v>0</v>
      </c>
      <c r="U124" s="454">
        <v>0</v>
      </c>
      <c r="V124" s="454">
        <v>0</v>
      </c>
      <c r="W124" s="454">
        <v>0</v>
      </c>
      <c r="X124" s="454">
        <v>0</v>
      </c>
      <c r="Y124" s="454">
        <v>0</v>
      </c>
      <c r="Z124" s="454">
        <v>0</v>
      </c>
      <c r="AA124" s="454">
        <v>0</v>
      </c>
      <c r="AB124" s="454">
        <v>0</v>
      </c>
      <c r="AC124" s="454">
        <v>0</v>
      </c>
      <c r="AD124" s="454">
        <v>0</v>
      </c>
      <c r="AE124" s="454">
        <v>0</v>
      </c>
      <c r="AF124" s="454">
        <v>0</v>
      </c>
      <c r="AG124" s="454">
        <v>0</v>
      </c>
      <c r="AH124" s="454">
        <v>0</v>
      </c>
      <c r="AI124" s="454">
        <v>0</v>
      </c>
      <c r="AJ124" s="454">
        <v>0</v>
      </c>
      <c r="AK124" s="454">
        <v>0</v>
      </c>
      <c r="AL124" s="454">
        <v>0</v>
      </c>
      <c r="AM124" s="454">
        <v>0</v>
      </c>
      <c r="AN124" s="454">
        <v>0</v>
      </c>
      <c r="AO124" s="454">
        <v>0</v>
      </c>
      <c r="AP124" s="469">
        <v>58197.5</v>
      </c>
      <c r="AQ124" s="469">
        <v>65002.400000000001</v>
      </c>
      <c r="AR124" s="469">
        <v>74774.600000000006</v>
      </c>
      <c r="AS124" s="469">
        <v>76876.399999999994</v>
      </c>
      <c r="AT124" s="476">
        <v>152289.5</v>
      </c>
      <c r="AU124" s="476">
        <v>170878.02799552074</v>
      </c>
      <c r="AV124" s="469">
        <v>1382</v>
      </c>
      <c r="AW124" s="454">
        <v>1647</v>
      </c>
      <c r="AX124" s="454">
        <v>1740</v>
      </c>
      <c r="AY124" s="454">
        <v>2020</v>
      </c>
      <c r="AZ124" s="454">
        <v>1048.0399692544197</v>
      </c>
      <c r="BA124" s="454">
        <v>835.94773251345123</v>
      </c>
      <c r="BB124" s="454">
        <v>1392.0299769408148</v>
      </c>
      <c r="BC124" s="454">
        <v>1115.1921598770177</v>
      </c>
      <c r="BD124" s="441">
        <f>BC124*(1+BD$132/100)</f>
        <v>1143.0719638739431</v>
      </c>
      <c r="BE124" s="441">
        <f>BD124*(1+BE$132/100)</f>
        <v>1171.6487629707915</v>
      </c>
      <c r="BF124" s="441">
        <f t="shared" ref="BF124:BO124" si="98">BE124*(1+BF$132/100)</f>
        <v>1200.9399820450612</v>
      </c>
      <c r="BG124" s="441">
        <f t="shared" si="98"/>
        <v>1230.9634815961876</v>
      </c>
      <c r="BH124" s="441">
        <f t="shared" si="98"/>
        <v>1261.7375686360922</v>
      </c>
      <c r="BI124" s="441">
        <f t="shared" si="98"/>
        <v>1293.2810078519944</v>
      </c>
      <c r="BJ124" s="441">
        <f t="shared" si="98"/>
        <v>1325.6130330482943</v>
      </c>
      <c r="BK124" s="441">
        <f t="shared" si="98"/>
        <v>1358.7533588745016</v>
      </c>
      <c r="BL124" s="441">
        <f t="shared" si="98"/>
        <v>1392.7221928463641</v>
      </c>
      <c r="BM124" s="441">
        <f t="shared" si="98"/>
        <v>1427.5402476675231</v>
      </c>
      <c r="BN124" s="441">
        <f t="shared" si="98"/>
        <v>1463.2287538592111</v>
      </c>
      <c r="BO124" s="441">
        <f t="shared" si="98"/>
        <v>1499.8094727056912</v>
      </c>
      <c r="BP124" s="440"/>
      <c r="BQ124" s="448">
        <f t="shared" si="79"/>
        <v>0</v>
      </c>
      <c r="BR124" s="448">
        <f t="shared" si="79"/>
        <v>0</v>
      </c>
      <c r="BS124" s="448">
        <f t="shared" si="79"/>
        <v>0</v>
      </c>
      <c r="BT124" s="448">
        <f t="shared" si="79"/>
        <v>0</v>
      </c>
      <c r="BU124" s="448">
        <f t="shared" si="79"/>
        <v>0</v>
      </c>
      <c r="BV124" s="448">
        <f t="shared" si="79"/>
        <v>0</v>
      </c>
      <c r="BW124" s="448">
        <f t="shared" si="79"/>
        <v>0</v>
      </c>
      <c r="BX124" s="448">
        <f t="shared" si="79"/>
        <v>0</v>
      </c>
      <c r="BY124" s="448">
        <f t="shared" si="79"/>
        <v>0</v>
      </c>
      <c r="BZ124" s="448">
        <f t="shared" si="79"/>
        <v>0</v>
      </c>
      <c r="CA124" s="448">
        <f t="shared" si="79"/>
        <v>0</v>
      </c>
      <c r="CB124" s="448">
        <f t="shared" si="79"/>
        <v>0</v>
      </c>
      <c r="CD124" s="439">
        <v>1143.0719638739431</v>
      </c>
      <c r="CE124" s="439">
        <v>1171.6487629707915</v>
      </c>
      <c r="CF124" s="439">
        <v>1200.9399820450612</v>
      </c>
      <c r="CG124" s="439">
        <v>1230.9634815961876</v>
      </c>
      <c r="CH124" s="439">
        <v>1261.7375686360922</v>
      </c>
      <c r="CI124" s="439">
        <v>1293.2810078519944</v>
      </c>
      <c r="CJ124" s="439">
        <v>1325.6130330482943</v>
      </c>
      <c r="CK124" s="439">
        <v>1358.7533588745016</v>
      </c>
      <c r="CL124" s="439">
        <v>1392.7221928463641</v>
      </c>
      <c r="CM124" s="439">
        <v>1427.5402476675231</v>
      </c>
      <c r="CN124" s="439">
        <v>1463.2287538592111</v>
      </c>
      <c r="CO124" s="439">
        <v>1499.8094727056912</v>
      </c>
    </row>
    <row r="125" spans="1:93">
      <c r="A125" s="436" t="s">
        <v>98</v>
      </c>
      <c r="B125" s="436"/>
      <c r="C125" s="442" t="s">
        <v>1455</v>
      </c>
      <c r="D125" s="454">
        <v>0</v>
      </c>
      <c r="E125" s="454">
        <v>0</v>
      </c>
      <c r="F125" s="454">
        <v>0</v>
      </c>
      <c r="G125" s="454">
        <v>0</v>
      </c>
      <c r="H125" s="454">
        <v>0</v>
      </c>
      <c r="I125" s="454">
        <v>0</v>
      </c>
      <c r="J125" s="454">
        <v>0</v>
      </c>
      <c r="K125" s="454">
        <v>0</v>
      </c>
      <c r="L125" s="454">
        <v>0</v>
      </c>
      <c r="M125" s="454">
        <v>0</v>
      </c>
      <c r="N125" s="454">
        <v>0</v>
      </c>
      <c r="O125" s="454">
        <v>0</v>
      </c>
      <c r="P125" s="454">
        <v>0</v>
      </c>
      <c r="Q125" s="454">
        <v>0</v>
      </c>
      <c r="R125" s="454">
        <v>0</v>
      </c>
      <c r="S125" s="454">
        <v>0</v>
      </c>
      <c r="T125" s="454">
        <v>0</v>
      </c>
      <c r="U125" s="454">
        <v>0</v>
      </c>
      <c r="V125" s="454">
        <v>0</v>
      </c>
      <c r="W125" s="454">
        <v>0</v>
      </c>
      <c r="X125" s="454">
        <v>0</v>
      </c>
      <c r="Y125" s="454">
        <v>0</v>
      </c>
      <c r="Z125" s="454">
        <v>0</v>
      </c>
      <c r="AA125" s="454">
        <v>0</v>
      </c>
      <c r="AB125" s="454">
        <v>0</v>
      </c>
      <c r="AC125" s="454">
        <v>0</v>
      </c>
      <c r="AD125" s="454">
        <v>0</v>
      </c>
      <c r="AE125" s="454">
        <v>0</v>
      </c>
      <c r="AF125" s="454">
        <v>0</v>
      </c>
      <c r="AG125" s="454">
        <v>0</v>
      </c>
      <c r="AH125" s="454">
        <v>0</v>
      </c>
      <c r="AI125" s="454">
        <v>0</v>
      </c>
      <c r="AJ125" s="454">
        <v>0</v>
      </c>
      <c r="AK125" s="454">
        <v>0</v>
      </c>
      <c r="AL125" s="454">
        <v>0</v>
      </c>
      <c r="AM125" s="454">
        <v>0</v>
      </c>
      <c r="AN125" s="454">
        <v>0</v>
      </c>
      <c r="AO125" s="454">
        <v>0</v>
      </c>
      <c r="AP125" s="454">
        <v>1.5E-3</v>
      </c>
      <c r="AQ125" s="454">
        <v>2.3999999999999998E-3</v>
      </c>
      <c r="AR125" s="454">
        <v>1.8E-3</v>
      </c>
      <c r="AS125" s="454">
        <v>3.7000000000000002E-3</v>
      </c>
      <c r="AT125" s="454">
        <v>0.2094</v>
      </c>
      <c r="AU125" s="454">
        <v>0.32101999999999997</v>
      </c>
      <c r="AV125" s="454">
        <v>0.32101999999999997</v>
      </c>
      <c r="AW125" s="454">
        <v>0.24059999999999998</v>
      </c>
      <c r="AX125" s="454">
        <v>0.24059999999999998</v>
      </c>
      <c r="AY125" s="454">
        <v>0.51594000000000007</v>
      </c>
      <c r="AZ125" s="454">
        <v>0.79577999999999993</v>
      </c>
      <c r="BA125" s="454">
        <v>1.5249499999999998</v>
      </c>
      <c r="BB125" s="454">
        <v>1.642725</v>
      </c>
      <c r="BC125" s="441">
        <f>BB125*(BC126/BB126)*BC$99/BB$99*(1+BC$86/100)</f>
        <v>1.9144620206249996</v>
      </c>
      <c r="BD125" s="441">
        <f>BC125*(BD126/BC126)*BD$99/BC$99*(1+BD$86/100)</f>
        <v>2.1383533810701554</v>
      </c>
      <c r="BE125" s="441">
        <f>BD125*(BE126/BD126)*BE$99/BD$99*(1+BE$86/100)</f>
        <v>2.2575665820648161</v>
      </c>
      <c r="BF125" s="441">
        <f t="shared" ref="BF125:BO125" si="99">BE125*(BF126/BE126)*BF$99/BE$99*(1+BF$86/100)</f>
        <v>2.371855890281847</v>
      </c>
      <c r="BG125" s="441">
        <f t="shared" si="99"/>
        <v>2.4919310947273652</v>
      </c>
      <c r="BH125" s="441">
        <f t="shared" si="99"/>
        <v>2.6180851063979373</v>
      </c>
      <c r="BI125" s="441">
        <f t="shared" si="99"/>
        <v>2.7506256649093324</v>
      </c>
      <c r="BJ125" s="441">
        <f t="shared" si="99"/>
        <v>2.8898760891953668</v>
      </c>
      <c r="BK125" s="441">
        <f t="shared" si="99"/>
        <v>3.0361760662108823</v>
      </c>
      <c r="BL125" s="441">
        <f t="shared" si="99"/>
        <v>3.1898824795628076</v>
      </c>
      <c r="BM125" s="441">
        <f t="shared" si="99"/>
        <v>3.3513702800906748</v>
      </c>
      <c r="BN125" s="441">
        <f t="shared" si="99"/>
        <v>3.5210334005202646</v>
      </c>
      <c r="BO125" s="441">
        <f t="shared" si="99"/>
        <v>3.6992857164216018</v>
      </c>
      <c r="BP125" s="440"/>
      <c r="BQ125" s="448">
        <f t="shared" si="79"/>
        <v>0</v>
      </c>
      <c r="BR125" s="448">
        <f t="shared" si="79"/>
        <v>0</v>
      </c>
      <c r="BS125" s="448">
        <f t="shared" si="79"/>
        <v>0</v>
      </c>
      <c r="BT125" s="448">
        <f t="shared" si="79"/>
        <v>0</v>
      </c>
      <c r="BU125" s="448">
        <f t="shared" si="79"/>
        <v>0</v>
      </c>
      <c r="BV125" s="448">
        <f t="shared" si="79"/>
        <v>0</v>
      </c>
      <c r="BW125" s="448">
        <f t="shared" si="79"/>
        <v>0</v>
      </c>
      <c r="BX125" s="448">
        <f t="shared" si="79"/>
        <v>0</v>
      </c>
      <c r="BY125" s="448">
        <f t="shared" si="79"/>
        <v>0</v>
      </c>
      <c r="BZ125" s="448">
        <f t="shared" si="79"/>
        <v>0</v>
      </c>
      <c r="CA125" s="448">
        <f t="shared" si="79"/>
        <v>0</v>
      </c>
      <c r="CB125" s="448">
        <f t="shared" si="79"/>
        <v>0</v>
      </c>
      <c r="CD125" s="439">
        <v>2.1383533810701554</v>
      </c>
      <c r="CE125" s="439">
        <v>2.2575665820648161</v>
      </c>
      <c r="CF125" s="439">
        <v>2.371855890281847</v>
      </c>
      <c r="CG125" s="439">
        <v>2.4919310947273652</v>
      </c>
      <c r="CH125" s="439">
        <v>2.6180851063979373</v>
      </c>
      <c r="CI125" s="439">
        <v>2.7506256649093324</v>
      </c>
      <c r="CJ125" s="439">
        <v>2.8898760891953668</v>
      </c>
      <c r="CK125" s="439">
        <v>3.0361760662108823</v>
      </c>
      <c r="CL125" s="439">
        <v>3.1898824795628076</v>
      </c>
      <c r="CM125" s="439">
        <v>3.3513702800906748</v>
      </c>
      <c r="CN125" s="439">
        <v>3.5210334005202646</v>
      </c>
      <c r="CO125" s="439">
        <v>3.6992857164216018</v>
      </c>
    </row>
    <row r="126" spans="1:93">
      <c r="A126" s="436" t="s">
        <v>2239</v>
      </c>
      <c r="B126" s="436"/>
      <c r="C126" s="442" t="s">
        <v>2240</v>
      </c>
      <c r="D126" s="454">
        <v>0</v>
      </c>
      <c r="E126" s="454">
        <v>0</v>
      </c>
      <c r="F126" s="454">
        <v>0</v>
      </c>
      <c r="G126" s="454">
        <v>0</v>
      </c>
      <c r="H126" s="454">
        <v>0</v>
      </c>
      <c r="I126" s="454">
        <v>0</v>
      </c>
      <c r="J126" s="454">
        <v>0</v>
      </c>
      <c r="K126" s="454">
        <v>0</v>
      </c>
      <c r="L126" s="454">
        <v>0</v>
      </c>
      <c r="M126" s="454">
        <v>0</v>
      </c>
      <c r="N126" s="454">
        <v>0</v>
      </c>
      <c r="O126" s="454">
        <v>0</v>
      </c>
      <c r="P126" s="454">
        <v>0</v>
      </c>
      <c r="Q126" s="454">
        <v>0</v>
      </c>
      <c r="R126" s="454">
        <v>0</v>
      </c>
      <c r="S126" s="454">
        <v>0</v>
      </c>
      <c r="T126" s="454">
        <v>0</v>
      </c>
      <c r="U126" s="454">
        <v>0</v>
      </c>
      <c r="V126" s="454">
        <v>0</v>
      </c>
      <c r="W126" s="454">
        <v>0</v>
      </c>
      <c r="X126" s="454">
        <v>0</v>
      </c>
      <c r="Y126" s="454">
        <v>0</v>
      </c>
      <c r="Z126" s="454">
        <v>0</v>
      </c>
      <c r="AA126" s="454">
        <v>0</v>
      </c>
      <c r="AB126" s="454">
        <v>0</v>
      </c>
      <c r="AC126" s="454">
        <v>0</v>
      </c>
      <c r="AD126" s="454">
        <v>0</v>
      </c>
      <c r="AE126" s="454">
        <v>0</v>
      </c>
      <c r="AF126" s="454">
        <v>0</v>
      </c>
      <c r="AG126" s="454">
        <v>0</v>
      </c>
      <c r="AH126" s="454">
        <v>0</v>
      </c>
      <c r="AI126" s="454">
        <v>0</v>
      </c>
      <c r="AJ126" s="454">
        <v>0</v>
      </c>
      <c r="AK126" s="454">
        <v>0</v>
      </c>
      <c r="AL126" s="454">
        <v>0</v>
      </c>
      <c r="AM126" s="454">
        <v>0</v>
      </c>
      <c r="AN126" s="454">
        <v>0</v>
      </c>
      <c r="AO126" s="454">
        <v>0</v>
      </c>
      <c r="AP126" s="454">
        <v>2181.1999999999998</v>
      </c>
      <c r="AQ126" s="454">
        <v>3351</v>
      </c>
      <c r="AR126" s="454">
        <v>2917.6</v>
      </c>
      <c r="AS126" s="454">
        <v>6776.9</v>
      </c>
      <c r="AT126" s="454">
        <v>3754.8</v>
      </c>
      <c r="AU126" s="454">
        <v>3754.8</v>
      </c>
      <c r="AV126" s="454">
        <v>2300</v>
      </c>
      <c r="AW126" s="454">
        <v>1900</v>
      </c>
      <c r="AX126" s="454">
        <v>2200</v>
      </c>
      <c r="AY126" s="454">
        <v>2200</v>
      </c>
      <c r="AZ126" s="454">
        <v>2200</v>
      </c>
      <c r="BA126" s="454">
        <v>2700</v>
      </c>
      <c r="BB126" s="454">
        <v>2400</v>
      </c>
      <c r="BC126" s="441">
        <f>BB126*(1+BC$132/100)</f>
        <v>2460</v>
      </c>
      <c r="BD126" s="441">
        <f>BC126*(1+BD$132/100)</f>
        <v>2521.5</v>
      </c>
      <c r="BE126" s="441">
        <f>BD126*(1+BE$132/100)</f>
        <v>2584.5374999999999</v>
      </c>
      <c r="BF126" s="441">
        <f t="shared" ref="BF126:BO126" si="100">BE126*(1+BF$132/100)</f>
        <v>2649.1509374999996</v>
      </c>
      <c r="BG126" s="441">
        <f t="shared" si="100"/>
        <v>2715.3797109374996</v>
      </c>
      <c r="BH126" s="441">
        <f t="shared" si="100"/>
        <v>2783.2642037109367</v>
      </c>
      <c r="BI126" s="441">
        <f t="shared" si="100"/>
        <v>2852.84580880371</v>
      </c>
      <c r="BJ126" s="441">
        <f t="shared" si="100"/>
        <v>2924.1669540238026</v>
      </c>
      <c r="BK126" s="441">
        <f t="shared" si="100"/>
        <v>2997.2711278743973</v>
      </c>
      <c r="BL126" s="441">
        <f t="shared" si="100"/>
        <v>3072.2029060712571</v>
      </c>
      <c r="BM126" s="441">
        <f t="shared" si="100"/>
        <v>3149.0079787230384</v>
      </c>
      <c r="BN126" s="441">
        <f t="shared" si="100"/>
        <v>3227.7331781911139</v>
      </c>
      <c r="BO126" s="441">
        <f t="shared" si="100"/>
        <v>3308.4265076458914</v>
      </c>
      <c r="BP126" s="440"/>
      <c r="BQ126" s="448">
        <f t="shared" si="79"/>
        <v>0</v>
      </c>
      <c r="BR126" s="448">
        <f t="shared" si="79"/>
        <v>0</v>
      </c>
      <c r="BS126" s="448">
        <f t="shared" si="79"/>
        <v>0</v>
      </c>
      <c r="BT126" s="448">
        <f t="shared" si="79"/>
        <v>0</v>
      </c>
      <c r="BU126" s="448">
        <f t="shared" si="79"/>
        <v>0</v>
      </c>
      <c r="BV126" s="448">
        <f t="shared" si="79"/>
        <v>0</v>
      </c>
      <c r="BW126" s="448">
        <f t="shared" si="79"/>
        <v>0</v>
      </c>
      <c r="BX126" s="448">
        <f t="shared" si="79"/>
        <v>0</v>
      </c>
      <c r="BY126" s="448">
        <f t="shared" si="79"/>
        <v>0</v>
      </c>
      <c r="BZ126" s="448">
        <f t="shared" si="79"/>
        <v>0</v>
      </c>
      <c r="CA126" s="448">
        <f t="shared" si="79"/>
        <v>0</v>
      </c>
      <c r="CB126" s="448">
        <f t="shared" si="79"/>
        <v>0</v>
      </c>
      <c r="CD126" s="439">
        <v>2521.5</v>
      </c>
      <c r="CE126" s="439">
        <v>2584.5374999999999</v>
      </c>
      <c r="CF126" s="439">
        <v>2649.1509374999996</v>
      </c>
      <c r="CG126" s="439">
        <v>2715.3797109374996</v>
      </c>
      <c r="CH126" s="439">
        <v>2783.2642037109367</v>
      </c>
      <c r="CI126" s="439">
        <v>2852.84580880371</v>
      </c>
      <c r="CJ126" s="439">
        <v>2924.1669540238026</v>
      </c>
      <c r="CK126" s="439">
        <v>2997.2711278743973</v>
      </c>
      <c r="CL126" s="439">
        <v>3072.2029060712571</v>
      </c>
      <c r="CM126" s="439">
        <v>3149.0079787230384</v>
      </c>
      <c r="CN126" s="439">
        <v>3227.7331781911139</v>
      </c>
      <c r="CO126" s="439">
        <v>3308.4265076458914</v>
      </c>
    </row>
    <row r="127" spans="1:93" s="438" customFormat="1">
      <c r="A127" s="436" t="s">
        <v>99</v>
      </c>
      <c r="B127" s="436"/>
      <c r="C127" s="442" t="s">
        <v>1455</v>
      </c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  <c r="N127" s="436"/>
      <c r="O127" s="436"/>
      <c r="P127" s="436"/>
      <c r="Q127" s="436"/>
      <c r="R127" s="436"/>
      <c r="S127" s="436"/>
      <c r="T127" s="436"/>
      <c r="U127" s="436"/>
      <c r="V127" s="436"/>
      <c r="W127" s="436"/>
      <c r="X127" s="436"/>
      <c r="Y127" s="436"/>
      <c r="Z127" s="436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36"/>
      <c r="AM127" s="436"/>
      <c r="AN127" s="436"/>
      <c r="AO127" s="436"/>
      <c r="AP127" s="436"/>
      <c r="AQ127" s="436"/>
      <c r="AR127" s="436"/>
      <c r="AS127" s="436"/>
      <c r="AT127" s="436"/>
      <c r="AU127" s="436"/>
      <c r="AV127" s="436"/>
      <c r="AW127" s="436"/>
      <c r="AX127" s="436"/>
      <c r="AY127" s="454">
        <v>51.594000000000008</v>
      </c>
      <c r="AZ127" s="454">
        <v>79.578000000000003</v>
      </c>
      <c r="BA127" s="454">
        <v>76.247500000000002</v>
      </c>
      <c r="BB127" s="454">
        <v>164.27250000000001</v>
      </c>
      <c r="BC127" s="454">
        <v>365.93747500000006</v>
      </c>
      <c r="BD127" s="441">
        <f>BC127*(BD128/BC128)*BD$99/BC$99*(1+BD$86/100)</f>
        <v>796.83364329829487</v>
      </c>
      <c r="BE127" s="441">
        <f>BD127*(BE128/BD128)*BE$99/BD$99*(1+BE$86/100)</f>
        <v>841.25711891217475</v>
      </c>
      <c r="BF127" s="441">
        <f t="shared" ref="BF127:BO127" si="101">BE127*(BF128/BE128)*BF$99/BE$99*(1+BF$86/100)</f>
        <v>883.8457605571034</v>
      </c>
      <c r="BG127" s="441">
        <f t="shared" si="101"/>
        <v>928.59045218530662</v>
      </c>
      <c r="BH127" s="441">
        <f t="shared" si="101"/>
        <v>975.60034382718766</v>
      </c>
      <c r="BI127" s="441">
        <f t="shared" si="101"/>
        <v>1024.9901112334389</v>
      </c>
      <c r="BJ127" s="441">
        <f t="shared" si="101"/>
        <v>1076.8802356146316</v>
      </c>
      <c r="BK127" s="441">
        <f t="shared" si="101"/>
        <v>1131.397297542622</v>
      </c>
      <c r="BL127" s="441">
        <f t="shared" si="101"/>
        <v>1188.674285730717</v>
      </c>
      <c r="BM127" s="441">
        <f t="shared" si="101"/>
        <v>1248.8509214458343</v>
      </c>
      <c r="BN127" s="441">
        <f t="shared" si="101"/>
        <v>1312.0739993440293</v>
      </c>
      <c r="BO127" s="441">
        <f t="shared" si="101"/>
        <v>1378.4977455608205</v>
      </c>
      <c r="BP127" s="440"/>
      <c r="BQ127" s="448">
        <f t="shared" si="79"/>
        <v>0</v>
      </c>
      <c r="BR127" s="448">
        <f t="shared" si="79"/>
        <v>0</v>
      </c>
      <c r="BS127" s="448">
        <f t="shared" si="79"/>
        <v>0</v>
      </c>
      <c r="BT127" s="448">
        <f t="shared" ref="BS127:CB128" si="102">+BG127-CG127</f>
        <v>0</v>
      </c>
      <c r="BU127" s="448">
        <f t="shared" si="102"/>
        <v>0</v>
      </c>
      <c r="BV127" s="448">
        <f t="shared" si="102"/>
        <v>0</v>
      </c>
      <c r="BW127" s="448">
        <f t="shared" si="102"/>
        <v>0</v>
      </c>
      <c r="BX127" s="448">
        <f t="shared" si="102"/>
        <v>0</v>
      </c>
      <c r="BY127" s="448">
        <f t="shared" si="102"/>
        <v>0</v>
      </c>
      <c r="BZ127" s="448">
        <f t="shared" si="102"/>
        <v>0</v>
      </c>
      <c r="CA127" s="448">
        <f t="shared" si="102"/>
        <v>0</v>
      </c>
      <c r="CB127" s="448">
        <f t="shared" si="102"/>
        <v>0</v>
      </c>
      <c r="CD127" s="439">
        <v>796.83364329829487</v>
      </c>
      <c r="CE127" s="439">
        <v>841.25711891217475</v>
      </c>
      <c r="CF127" s="439">
        <v>883.8457605571034</v>
      </c>
      <c r="CG127" s="439">
        <v>928.59045218530662</v>
      </c>
      <c r="CH127" s="439">
        <v>975.60034382718766</v>
      </c>
      <c r="CI127" s="439">
        <v>1024.9901112334389</v>
      </c>
      <c r="CJ127" s="439">
        <v>1076.8802356146316</v>
      </c>
      <c r="CK127" s="439">
        <v>1131.397297542622</v>
      </c>
      <c r="CL127" s="439">
        <v>1188.674285730717</v>
      </c>
      <c r="CM127" s="439">
        <v>1248.8509214458343</v>
      </c>
      <c r="CN127" s="439">
        <v>1312.0739993440293</v>
      </c>
      <c r="CO127" s="439">
        <v>1378.4977455608205</v>
      </c>
    </row>
    <row r="128" spans="1:93" s="438" customFormat="1">
      <c r="A128" s="436" t="s">
        <v>100</v>
      </c>
      <c r="B128" s="436"/>
      <c r="C128" s="436" t="s">
        <v>2240</v>
      </c>
      <c r="D128" s="436"/>
      <c r="E128" s="436"/>
      <c r="F128" s="436"/>
      <c r="G128" s="436"/>
      <c r="H128" s="436"/>
      <c r="I128" s="436"/>
      <c r="J128" s="436"/>
      <c r="K128" s="436"/>
      <c r="L128" s="436"/>
      <c r="M128" s="436"/>
      <c r="N128" s="436"/>
      <c r="O128" s="436"/>
      <c r="P128" s="436"/>
      <c r="Q128" s="436"/>
      <c r="R128" s="436"/>
      <c r="S128" s="436"/>
      <c r="T128" s="436"/>
      <c r="U128" s="436"/>
      <c r="V128" s="436"/>
      <c r="W128" s="436"/>
      <c r="X128" s="436"/>
      <c r="Y128" s="436"/>
      <c r="Z128" s="436"/>
      <c r="AA128" s="436"/>
      <c r="AB128" s="436"/>
      <c r="AC128" s="436"/>
      <c r="AD128" s="436"/>
      <c r="AE128" s="436"/>
      <c r="AF128" s="436"/>
      <c r="AG128" s="436"/>
      <c r="AH128" s="436"/>
      <c r="AI128" s="436"/>
      <c r="AJ128" s="436"/>
      <c r="AK128" s="436"/>
      <c r="AL128" s="436"/>
      <c r="AM128" s="436"/>
      <c r="AN128" s="436"/>
      <c r="AO128" s="436"/>
      <c r="AP128" s="436"/>
      <c r="AQ128" s="436"/>
      <c r="AR128" s="436"/>
      <c r="AS128" s="436"/>
      <c r="AT128" s="436"/>
      <c r="AU128" s="436"/>
      <c r="AV128" s="436"/>
      <c r="AW128" s="436"/>
      <c r="AX128" s="436"/>
      <c r="AY128" s="436"/>
      <c r="AZ128" s="464"/>
      <c r="BA128" s="454">
        <v>3.6148000000000002</v>
      </c>
      <c r="BB128" s="454">
        <v>6.3336000000000006</v>
      </c>
      <c r="BC128" s="454">
        <v>10.8024</v>
      </c>
      <c r="BD128" s="454">
        <v>21.585999999999999</v>
      </c>
      <c r="BE128" s="441">
        <f>BD128*(1+BE$132/100)</f>
        <v>22.125649999999997</v>
      </c>
      <c r="BF128" s="441">
        <f t="shared" ref="BF128:BO128" si="103">BE128*(1+BF$132/100)</f>
        <v>22.678791249999996</v>
      </c>
      <c r="BG128" s="441">
        <f t="shared" si="103"/>
        <v>23.245761031249994</v>
      </c>
      <c r="BH128" s="441">
        <f t="shared" si="103"/>
        <v>23.826905057031244</v>
      </c>
      <c r="BI128" s="441">
        <f t="shared" si="103"/>
        <v>24.422577683457021</v>
      </c>
      <c r="BJ128" s="441">
        <f t="shared" si="103"/>
        <v>25.033142125543446</v>
      </c>
      <c r="BK128" s="441">
        <f t="shared" si="103"/>
        <v>25.658970678682028</v>
      </c>
      <c r="BL128" s="441">
        <f t="shared" si="103"/>
        <v>26.300444945649076</v>
      </c>
      <c r="BM128" s="441">
        <f t="shared" si="103"/>
        <v>26.957956069290301</v>
      </c>
      <c r="BN128" s="441">
        <f t="shared" si="103"/>
        <v>27.631904971022557</v>
      </c>
      <c r="BO128" s="441">
        <f t="shared" si="103"/>
        <v>28.322702595298118</v>
      </c>
      <c r="BP128" s="440"/>
      <c r="BQ128" s="448">
        <f>+BD128-CD128</f>
        <v>0</v>
      </c>
      <c r="BR128" s="448">
        <f>+BE128-CE128</f>
        <v>0</v>
      </c>
      <c r="BS128" s="448">
        <f t="shared" si="102"/>
        <v>0</v>
      </c>
      <c r="BT128" s="448">
        <f t="shared" si="102"/>
        <v>0</v>
      </c>
      <c r="BU128" s="448">
        <f t="shared" si="102"/>
        <v>0</v>
      </c>
      <c r="BV128" s="448">
        <f t="shared" si="102"/>
        <v>0</v>
      </c>
      <c r="BW128" s="448">
        <f t="shared" si="102"/>
        <v>0</v>
      </c>
      <c r="BX128" s="448">
        <f t="shared" si="102"/>
        <v>0</v>
      </c>
      <c r="BY128" s="448">
        <f t="shared" si="102"/>
        <v>0</v>
      </c>
      <c r="BZ128" s="448">
        <f t="shared" si="102"/>
        <v>0</v>
      </c>
      <c r="CA128" s="448">
        <f t="shared" si="102"/>
        <v>0</v>
      </c>
      <c r="CB128" s="448">
        <f t="shared" si="102"/>
        <v>0</v>
      </c>
      <c r="CD128" s="439">
        <v>21.585999999999999</v>
      </c>
      <c r="CE128" s="439">
        <v>22.125649999999997</v>
      </c>
      <c r="CF128" s="439">
        <v>22.678791249999996</v>
      </c>
      <c r="CG128" s="439">
        <v>23.245761031249994</v>
      </c>
      <c r="CH128" s="439">
        <v>23.826905057031244</v>
      </c>
      <c r="CI128" s="439">
        <v>24.422577683457021</v>
      </c>
      <c r="CJ128" s="439">
        <v>25.033142125543446</v>
      </c>
      <c r="CK128" s="439">
        <v>25.658970678682028</v>
      </c>
      <c r="CL128" s="439">
        <v>26.300444945649076</v>
      </c>
      <c r="CM128" s="439">
        <v>26.957956069290301</v>
      </c>
      <c r="CN128" s="439">
        <v>27.631904971022557</v>
      </c>
      <c r="CO128" s="439">
        <v>28.322702595298118</v>
      </c>
    </row>
    <row r="129" spans="1:93" s="450" customFormat="1">
      <c r="A129" s="452" t="s">
        <v>2255</v>
      </c>
      <c r="B129" s="452"/>
      <c r="C129" s="465"/>
      <c r="D129" s="452"/>
      <c r="E129" s="452" t="s">
        <v>1344</v>
      </c>
      <c r="F129" s="452"/>
      <c r="G129" s="452"/>
      <c r="H129" s="452"/>
      <c r="I129" s="452"/>
      <c r="J129" s="452"/>
      <c r="K129" s="452"/>
      <c r="L129" s="452"/>
      <c r="M129" s="452"/>
      <c r="N129" s="452"/>
      <c r="O129" s="452"/>
      <c r="P129" s="452"/>
      <c r="Q129" s="452"/>
      <c r="R129" s="452"/>
      <c r="S129" s="452"/>
      <c r="T129" s="452"/>
      <c r="U129" s="452"/>
      <c r="V129" s="452"/>
      <c r="W129" s="452"/>
      <c r="X129" s="452"/>
      <c r="Y129" s="452"/>
      <c r="Z129" s="452"/>
      <c r="AA129" s="452"/>
      <c r="AB129" s="452"/>
      <c r="AC129" s="452"/>
      <c r="AD129" s="452"/>
      <c r="AE129" s="452"/>
      <c r="AF129" s="452"/>
      <c r="AG129" s="452"/>
      <c r="AH129" s="452"/>
      <c r="AI129" s="452"/>
      <c r="AJ129" s="452"/>
      <c r="AK129" s="452"/>
      <c r="AL129" s="452"/>
      <c r="AM129" s="452"/>
      <c r="AN129" s="452"/>
      <c r="AO129" s="452"/>
    </row>
    <row r="130" spans="1:93">
      <c r="A130" s="436" t="s">
        <v>2256</v>
      </c>
      <c r="B130" s="436"/>
      <c r="C130" s="442" t="s">
        <v>1455</v>
      </c>
      <c r="D130" s="436"/>
      <c r="E130" s="436" t="s">
        <v>2257</v>
      </c>
      <c r="F130" s="477">
        <f t="shared" ref="F130:AY130" si="104">F49+F26+F52-F36-F37-F50</f>
        <v>1.3600000000000001E-2</v>
      </c>
      <c r="G130" s="477">
        <f t="shared" si="104"/>
        <v>1.7100000000000001E-2</v>
      </c>
      <c r="H130" s="477">
        <f t="shared" si="104"/>
        <v>1.333993124961853E-2</v>
      </c>
      <c r="I130" s="477">
        <f t="shared" si="104"/>
        <v>1.4605133056640627E-2</v>
      </c>
      <c r="J130" s="477">
        <f t="shared" si="104"/>
        <v>1.903260505199432E-2</v>
      </c>
      <c r="K130" s="477">
        <f t="shared" si="104"/>
        <v>1.5983154654502875E-2</v>
      </c>
      <c r="L130" s="477">
        <f t="shared" si="104"/>
        <v>1.9204035997390744E-2</v>
      </c>
      <c r="M130" s="477">
        <f t="shared" si="104"/>
        <v>1.8786452531814584E-2</v>
      </c>
      <c r="N130" s="477">
        <f t="shared" si="104"/>
        <v>2.3984620809555053E-2</v>
      </c>
      <c r="O130" s="477">
        <f t="shared" si="104"/>
        <v>2.300879406929017E-2</v>
      </c>
      <c r="P130" s="477">
        <f t="shared" si="104"/>
        <v>2.1834070682525637E-2</v>
      </c>
      <c r="Q130" s="477">
        <f t="shared" si="104"/>
        <v>2.0399998545646669E-2</v>
      </c>
      <c r="R130" s="477">
        <f t="shared" si="104"/>
        <v>2.0600000381469731E-2</v>
      </c>
      <c r="S130" s="477">
        <f t="shared" si="104"/>
        <v>2.9699998378753666E-2</v>
      </c>
      <c r="T130" s="477">
        <f t="shared" si="104"/>
        <v>3.6800003767013548E-2</v>
      </c>
      <c r="U130" s="477">
        <f t="shared" si="104"/>
        <v>3.2099999189376831E-2</v>
      </c>
      <c r="V130" s="477">
        <f t="shared" si="104"/>
        <v>2.5700000047683719E-2</v>
      </c>
      <c r="W130" s="477">
        <f t="shared" si="104"/>
        <v>4.4799998760223392E-2</v>
      </c>
      <c r="X130" s="477">
        <f t="shared" si="104"/>
        <v>2.2960001707077037E-2</v>
      </c>
      <c r="Y130" s="477">
        <f t="shared" si="104"/>
        <v>2.7599998593330378E-2</v>
      </c>
      <c r="Z130" s="477">
        <f t="shared" si="104"/>
        <v>5.0999997854232787E-2</v>
      </c>
      <c r="AA130" s="477">
        <f t="shared" si="104"/>
        <v>6.7089993000030546E-2</v>
      </c>
      <c r="AB130" s="477">
        <f t="shared" si="104"/>
        <v>8.1440001368522655E-2</v>
      </c>
      <c r="AC130" s="477">
        <f t="shared" si="104"/>
        <v>0.15088999962806698</v>
      </c>
      <c r="AD130" s="477">
        <f t="shared" si="104"/>
        <v>0.13545000028610235</v>
      </c>
      <c r="AE130" s="477">
        <f t="shared" si="104"/>
        <v>0.10888999056816104</v>
      </c>
      <c r="AF130" s="477">
        <f t="shared" si="104"/>
        <v>0.1365716905593872</v>
      </c>
      <c r="AG130" s="477">
        <f t="shared" si="104"/>
        <v>0.19938100433349612</v>
      </c>
      <c r="AH130" s="477">
        <f t="shared" si="104"/>
        <v>0.20409029364585879</v>
      </c>
      <c r="AI130" s="477">
        <f t="shared" si="104"/>
        <v>0.22377960467338562</v>
      </c>
      <c r="AJ130" s="477">
        <f t="shared" si="104"/>
        <v>0.19444490003585813</v>
      </c>
      <c r="AK130" s="477">
        <f t="shared" si="104"/>
        <v>0.25720030689239504</v>
      </c>
      <c r="AL130" s="477">
        <f t="shared" si="104"/>
        <v>0.31967608690261839</v>
      </c>
      <c r="AM130" s="477">
        <f t="shared" si="104"/>
        <v>0.26889999866485598</v>
      </c>
      <c r="AN130" s="477">
        <f t="shared" si="104"/>
        <v>0.31470000028610223</v>
      </c>
      <c r="AO130" s="477">
        <f t="shared" si="104"/>
        <v>0.22290000104904167</v>
      </c>
      <c r="AP130" s="477">
        <f t="shared" si="104"/>
        <v>0.24992999999999993</v>
      </c>
      <c r="AQ130" s="477">
        <f t="shared" si="104"/>
        <v>0.40747</v>
      </c>
      <c r="AR130" s="477">
        <f t="shared" si="104"/>
        <v>0.39603000000000005</v>
      </c>
      <c r="AS130" s="477">
        <f t="shared" si="104"/>
        <v>0.75357000000000007</v>
      </c>
      <c r="AT130" s="477">
        <f t="shared" si="104"/>
        <v>3.3686999999999978</v>
      </c>
      <c r="AU130" s="477">
        <f t="shared" si="104"/>
        <v>32.268219999999999</v>
      </c>
      <c r="AV130" s="477">
        <f t="shared" si="104"/>
        <v>32.268219999999992</v>
      </c>
      <c r="AW130" s="477">
        <f t="shared" si="104"/>
        <v>32.268220000000007</v>
      </c>
      <c r="AX130" s="477">
        <f t="shared" si="104"/>
        <v>73.463999999999999</v>
      </c>
      <c r="AY130" s="477">
        <f t="shared" si="104"/>
        <v>104.01199999999997</v>
      </c>
      <c r="AZ130" s="477">
        <f>AZ49+AZ26+AZ52-AZ36-AZ37-AZ50</f>
        <v>279.12387500000006</v>
      </c>
      <c r="BA130" s="477">
        <f>BA49+BA26+BA52-BA36-BA37-BA50</f>
        <v>317.69900000000001</v>
      </c>
      <c r="BB130" s="477">
        <f>BB49+BB26+BB52-BB36-BB37-BB50</f>
        <v>351.77300000000002</v>
      </c>
      <c r="BC130" s="477">
        <f ca="1">BC49+BC26+BC52-BC36-BC37-BC50</f>
        <v>388.27188636840526</v>
      </c>
      <c r="BD130" s="461">
        <f t="shared" ref="BD130:BO130" ca="1" si="105">BC130*(1+BD80/100)*BD92/BC92</f>
        <v>424.38990194283093</v>
      </c>
      <c r="BE130" s="461">
        <f t="shared" ca="1" si="105"/>
        <v>458.73638845293544</v>
      </c>
      <c r="BF130" s="461">
        <f t="shared" ca="1" si="105"/>
        <v>487.57751167897572</v>
      </c>
      <c r="BG130" s="461">
        <f t="shared" ca="1" si="105"/>
        <v>513.70525125863298</v>
      </c>
      <c r="BH130" s="461">
        <f t="shared" ca="1" si="105"/>
        <v>538.87141466136632</v>
      </c>
      <c r="BI130" s="461">
        <f t="shared" ca="1" si="105"/>
        <v>564.00814490087612</v>
      </c>
      <c r="BJ130" s="461">
        <f t="shared" ca="1" si="105"/>
        <v>589.63674305936854</v>
      </c>
      <c r="BK130" s="461">
        <f t="shared" ca="1" si="105"/>
        <v>616.0984977020903</v>
      </c>
      <c r="BL130" s="461">
        <f t="shared" ca="1" si="105"/>
        <v>643.61195558355132</v>
      </c>
      <c r="BM130" s="461">
        <f t="shared" ca="1" si="105"/>
        <v>672.2915655637604</v>
      </c>
      <c r="BN130" s="461">
        <f t="shared" ca="1" si="105"/>
        <v>702.2210427065296</v>
      </c>
      <c r="BO130" s="461">
        <f t="shared" ca="1" si="105"/>
        <v>733.46696370501786</v>
      </c>
      <c r="BP130" s="457"/>
      <c r="BQ130" s="448">
        <f t="shared" ref="BQ130:CB131" ca="1" si="106">+BD130-CD130</f>
        <v>0</v>
      </c>
      <c r="BR130" s="448">
        <f t="shared" ca="1" si="106"/>
        <v>0</v>
      </c>
      <c r="BS130" s="448">
        <f t="shared" ca="1" si="106"/>
        <v>0</v>
      </c>
      <c r="BT130" s="448">
        <f t="shared" ca="1" si="106"/>
        <v>2.5011104298755527E-12</v>
      </c>
      <c r="BU130" s="448">
        <f t="shared" ca="1" si="106"/>
        <v>2.8762769943568856E-11</v>
      </c>
      <c r="BV130" s="448">
        <f t="shared" ca="1" si="106"/>
        <v>2.4726887204451486E-10</v>
      </c>
      <c r="BW130" s="448">
        <f t="shared" ca="1" si="106"/>
        <v>1.6856347428984009E-9</v>
      </c>
      <c r="BX130" s="448">
        <f t="shared" ca="1" si="106"/>
        <v>9.413952284376137E-9</v>
      </c>
      <c r="BY130" s="448">
        <f t="shared" ca="1" si="106"/>
        <v>4.4346620597934816E-8</v>
      </c>
      <c r="BZ130" s="448">
        <f t="shared" ca="1" si="106"/>
        <v>1.8063337847706862E-7</v>
      </c>
      <c r="CA130" s="448">
        <f t="shared" ca="1" si="106"/>
        <v>6.4798894072737312E-7</v>
      </c>
      <c r="CB130" s="448">
        <f t="shared" ca="1" si="106"/>
        <v>2.0908461237922893E-6</v>
      </c>
      <c r="CD130" s="439">
        <v>424.38990194283093</v>
      </c>
      <c r="CE130" s="439">
        <v>458.73638845293544</v>
      </c>
      <c r="CF130" s="439">
        <v>487.57751167897561</v>
      </c>
      <c r="CG130" s="439">
        <v>513.70525125863048</v>
      </c>
      <c r="CH130" s="439">
        <v>538.87141466133755</v>
      </c>
      <c r="CI130" s="439">
        <v>564.00814490062885</v>
      </c>
      <c r="CJ130" s="439">
        <v>589.63674305768291</v>
      </c>
      <c r="CK130" s="439">
        <v>616.09849769267635</v>
      </c>
      <c r="CL130" s="439">
        <v>643.6119555392047</v>
      </c>
      <c r="CM130" s="439">
        <v>672.29156538312702</v>
      </c>
      <c r="CN130" s="439">
        <v>702.22104205854066</v>
      </c>
      <c r="CO130" s="439">
        <v>733.46696161417174</v>
      </c>
    </row>
    <row r="131" spans="1:93">
      <c r="A131" s="436" t="s">
        <v>2258</v>
      </c>
      <c r="B131" s="436"/>
      <c r="C131" s="442" t="s">
        <v>1455</v>
      </c>
      <c r="D131" s="436"/>
      <c r="E131" s="436" t="s">
        <v>2259</v>
      </c>
      <c r="F131" s="477">
        <f t="shared" ref="F131:AY131" si="107">F11+F25+F27+F36+F37-F12-F19-F49</f>
        <v>6.320000000000002E-2</v>
      </c>
      <c r="G131" s="477">
        <f t="shared" si="107"/>
        <v>6.6399999999999987E-2</v>
      </c>
      <c r="H131" s="477">
        <f t="shared" si="107"/>
        <v>7.347316622734068E-2</v>
      </c>
      <c r="I131" s="477">
        <f t="shared" si="107"/>
        <v>7.9076516509056075E-2</v>
      </c>
      <c r="J131" s="477">
        <f t="shared" si="107"/>
        <v>8.4930567383766198E-2</v>
      </c>
      <c r="K131" s="477">
        <f t="shared" si="107"/>
        <v>9.8535581231117247E-2</v>
      </c>
      <c r="L131" s="477">
        <f t="shared" si="107"/>
        <v>0.105682914018631</v>
      </c>
      <c r="M131" s="477">
        <f t="shared" si="107"/>
        <v>0.11133677220344543</v>
      </c>
      <c r="N131" s="477">
        <f t="shared" si="107"/>
        <v>0.11450231361389154</v>
      </c>
      <c r="O131" s="477">
        <f t="shared" si="107"/>
        <v>0.12319960761070245</v>
      </c>
      <c r="P131" s="477">
        <f t="shared" si="107"/>
        <v>0.12681210708618162</v>
      </c>
      <c r="Q131" s="477">
        <f t="shared" si="107"/>
        <v>0.15610899448394774</v>
      </c>
      <c r="R131" s="477">
        <f t="shared" si="107"/>
        <v>0.1866090180873872</v>
      </c>
      <c r="S131" s="477">
        <f t="shared" si="107"/>
        <v>0.24527998828887934</v>
      </c>
      <c r="T131" s="477">
        <f t="shared" si="107"/>
        <v>0.25526500082015996</v>
      </c>
      <c r="U131" s="477">
        <f t="shared" si="107"/>
        <v>0.26886197495460518</v>
      </c>
      <c r="V131" s="477">
        <f t="shared" si="107"/>
        <v>0.28780801582336429</v>
      </c>
      <c r="W131" s="477">
        <f t="shared" si="107"/>
        <v>0.28690098381042478</v>
      </c>
      <c r="X131" s="477">
        <f t="shared" si="107"/>
        <v>0.30573999619483949</v>
      </c>
      <c r="Y131" s="477">
        <f t="shared" si="107"/>
        <v>0.35840003716945645</v>
      </c>
      <c r="Z131" s="477">
        <f t="shared" si="107"/>
        <v>0.37659999537467959</v>
      </c>
      <c r="AA131" s="477">
        <f t="shared" si="107"/>
        <v>0.43589997720718393</v>
      </c>
      <c r="AB131" s="477">
        <f t="shared" si="107"/>
        <v>0.52913000786304454</v>
      </c>
      <c r="AC131" s="477">
        <f t="shared" si="107"/>
        <v>0.72725991225242637</v>
      </c>
      <c r="AD131" s="477">
        <f t="shared" si="107"/>
        <v>0.8436400513648985</v>
      </c>
      <c r="AE131" s="477">
        <f t="shared" si="107"/>
        <v>0.90986002659797649</v>
      </c>
      <c r="AF131" s="477">
        <f t="shared" si="107"/>
        <v>0.92933834743499744</v>
      </c>
      <c r="AG131" s="477">
        <f t="shared" si="107"/>
        <v>1.0132190418243407</v>
      </c>
      <c r="AH131" s="477">
        <f t="shared" si="107"/>
        <v>1.0859096720218657</v>
      </c>
      <c r="AI131" s="477">
        <f t="shared" si="107"/>
        <v>1.1542603752613061</v>
      </c>
      <c r="AJ131" s="477">
        <f t="shared" si="107"/>
        <v>1.1185551018714905</v>
      </c>
      <c r="AK131" s="477">
        <f t="shared" si="107"/>
        <v>1.0204397344589233</v>
      </c>
      <c r="AL131" s="477">
        <f t="shared" si="107"/>
        <v>1.0854439101219182</v>
      </c>
      <c r="AM131" s="477">
        <f t="shared" si="107"/>
        <v>1.4763999881744381</v>
      </c>
      <c r="AN131" s="477">
        <f t="shared" si="107"/>
        <v>1.9135499386787413</v>
      </c>
      <c r="AO131" s="477">
        <f t="shared" si="107"/>
        <v>2.8060999932289112</v>
      </c>
      <c r="AP131" s="477">
        <f t="shared" si="107"/>
        <v>4.0392499999999991</v>
      </c>
      <c r="AQ131" s="477">
        <f t="shared" si="107"/>
        <v>5.6509899999999993</v>
      </c>
      <c r="AR131" s="477">
        <f t="shared" si="107"/>
        <v>7.8324900000000008</v>
      </c>
      <c r="AS131" s="477">
        <f t="shared" si="107"/>
        <v>12.892839999999998</v>
      </c>
      <c r="AT131" s="477">
        <f t="shared" si="107"/>
        <v>29.586820000000017</v>
      </c>
      <c r="AU131" s="477">
        <f t="shared" si="107"/>
        <v>99.112497500000089</v>
      </c>
      <c r="AV131" s="477">
        <f t="shared" si="107"/>
        <v>148.77779750000002</v>
      </c>
      <c r="AW131" s="477">
        <f t="shared" si="107"/>
        <v>199.40875</v>
      </c>
      <c r="AX131" s="477">
        <f t="shared" si="107"/>
        <v>289.45107000000007</v>
      </c>
      <c r="AY131" s="477">
        <f t="shared" si="107"/>
        <v>504.6158999999999</v>
      </c>
      <c r="AZ131" s="477">
        <f>AZ11+AZ25+AZ27+AZ36+AZ37-AZ12-AZ19-AZ49</f>
        <v>590.95582500000023</v>
      </c>
      <c r="BA131" s="477">
        <f>BA11+BA25+BA27+BA36+BA37-BA12-BA19-BA49</f>
        <v>683.69099999999935</v>
      </c>
      <c r="BB131" s="477">
        <f>BB11+BB25+BB27+BB36+BB37-BB12-BB19-BB49</f>
        <v>1546.9893000000002</v>
      </c>
      <c r="BC131" s="477">
        <f ca="1">BC11+BC25+BC27+BC36+BC37-BC12-BC19-BC49</f>
        <v>2215.74863540142</v>
      </c>
      <c r="BD131" s="477">
        <f ca="1">BD11+BD25+BD27+BD36+BD37-BD12-BD19-BD49</f>
        <v>2628.2537538797778</v>
      </c>
      <c r="BE131" s="458">
        <f t="shared" ref="BE131:BO131" ca="1" si="108">BD131*(0.96*0.9*BE165+0.96*0.1*BD165+0.59*0.75*BE175+0.59*0.25*BD175)*BE167/((0.96*0.9*BD165+0.96*0.1*BC165+0.59*0.75*BD175+0.59*0.25*BC175)*BD167)*1.005</f>
        <v>2918.3970180538522</v>
      </c>
      <c r="BF131" s="458">
        <f t="shared" ca="1" si="108"/>
        <v>3165.4495123530437</v>
      </c>
      <c r="BG131" s="458">
        <f t="shared" ca="1" si="108"/>
        <v>3405.1949905822603</v>
      </c>
      <c r="BH131" s="458">
        <f t="shared" ca="1" si="108"/>
        <v>3623.0759371964136</v>
      </c>
      <c r="BI131" s="458">
        <f t="shared" ca="1" si="108"/>
        <v>3836.2371195619967</v>
      </c>
      <c r="BJ131" s="458">
        <f t="shared" ca="1" si="108"/>
        <v>4045.705172838098</v>
      </c>
      <c r="BK131" s="458">
        <f t="shared" ca="1" si="108"/>
        <v>4271.858687984587</v>
      </c>
      <c r="BL131" s="458">
        <f t="shared" ca="1" si="108"/>
        <v>4509.2447722570278</v>
      </c>
      <c r="BM131" s="458">
        <f t="shared" ca="1" si="108"/>
        <v>4754.383989787907</v>
      </c>
      <c r="BN131" s="458">
        <f t="shared" ca="1" si="108"/>
        <v>5010.418653606469</v>
      </c>
      <c r="BO131" s="458">
        <f t="shared" ca="1" si="108"/>
        <v>5273.4850270614779</v>
      </c>
      <c r="BP131" s="457"/>
      <c r="BQ131" s="448">
        <f t="shared" ca="1" si="106"/>
        <v>0</v>
      </c>
      <c r="BR131" s="448">
        <f t="shared" ca="1" si="106"/>
        <v>0</v>
      </c>
      <c r="BS131" s="448">
        <f t="shared" ca="1" si="106"/>
        <v>3.637978807091713E-12</v>
      </c>
      <c r="BT131" s="448">
        <f t="shared" ca="1" si="106"/>
        <v>5.5024429457262158E-11</v>
      </c>
      <c r="BU131" s="448">
        <f t="shared" ca="1" si="106"/>
        <v>6.070877134334296E-10</v>
      </c>
      <c r="BV131" s="448">
        <f t="shared" ca="1" si="106"/>
        <v>5.2405084716156125E-9</v>
      </c>
      <c r="BW131" s="448">
        <f t="shared" ca="1" si="106"/>
        <v>3.5726316127693281E-8</v>
      </c>
      <c r="BX131" s="448">
        <f t="shared" ca="1" si="106"/>
        <v>1.9946401152992621E-7</v>
      </c>
      <c r="BY131" s="448">
        <f t="shared" ca="1" si="106"/>
        <v>9.3910603027325124E-7</v>
      </c>
      <c r="BZ131" s="448">
        <f t="shared" ca="1" si="106"/>
        <v>3.8213656807783991E-6</v>
      </c>
      <c r="CA131" s="448">
        <f t="shared" ca="1" si="106"/>
        <v>1.3689342267753091E-5</v>
      </c>
      <c r="CB131" s="448">
        <f t="shared" ca="1" si="106"/>
        <v>4.413634269440081E-5</v>
      </c>
      <c r="CD131" s="439">
        <v>2628.2537538797778</v>
      </c>
      <c r="CE131" s="439">
        <v>2918.3970180538522</v>
      </c>
      <c r="CF131" s="439">
        <v>3165.4495123530401</v>
      </c>
      <c r="CG131" s="439">
        <v>3405.1949905822053</v>
      </c>
      <c r="CH131" s="439">
        <v>3623.0759371958065</v>
      </c>
      <c r="CI131" s="439">
        <v>3836.2371195567562</v>
      </c>
      <c r="CJ131" s="439">
        <v>4045.7051728023716</v>
      </c>
      <c r="CK131" s="439">
        <v>4271.858687785123</v>
      </c>
      <c r="CL131" s="439">
        <v>4509.2447713179217</v>
      </c>
      <c r="CM131" s="439">
        <v>4754.3839859665413</v>
      </c>
      <c r="CN131" s="439">
        <v>5010.4186399171267</v>
      </c>
      <c r="CO131" s="439">
        <v>5273.4849829251352</v>
      </c>
    </row>
    <row r="132" spans="1:93">
      <c r="A132" s="448" t="s">
        <v>2260</v>
      </c>
      <c r="E132" s="436"/>
      <c r="AV132" s="448"/>
      <c r="AZ132" s="448"/>
      <c r="BA132" s="448"/>
      <c r="BB132" s="448">
        <v>2.5</v>
      </c>
      <c r="BC132" s="437">
        <f>BB132</f>
        <v>2.5</v>
      </c>
      <c r="BD132" s="437">
        <f>BC132</f>
        <v>2.5</v>
      </c>
      <c r="BE132" s="437">
        <f>BD132</f>
        <v>2.5</v>
      </c>
      <c r="BF132" s="437">
        <f t="shared" ref="BF132:BO132" si="109">BE132</f>
        <v>2.5</v>
      </c>
      <c r="BG132" s="437">
        <f t="shared" si="109"/>
        <v>2.5</v>
      </c>
      <c r="BH132" s="437">
        <f t="shared" si="109"/>
        <v>2.5</v>
      </c>
      <c r="BI132" s="437">
        <f t="shared" si="109"/>
        <v>2.5</v>
      </c>
      <c r="BJ132" s="437">
        <f t="shared" si="109"/>
        <v>2.5</v>
      </c>
      <c r="BK132" s="437">
        <f t="shared" si="109"/>
        <v>2.5</v>
      </c>
      <c r="BL132" s="437">
        <f t="shared" si="109"/>
        <v>2.5</v>
      </c>
      <c r="BM132" s="437">
        <f t="shared" si="109"/>
        <v>2.5</v>
      </c>
      <c r="BN132" s="437">
        <f t="shared" si="109"/>
        <v>2.5</v>
      </c>
      <c r="BO132" s="437">
        <f t="shared" si="109"/>
        <v>2.5</v>
      </c>
      <c r="BP132" s="440"/>
      <c r="CD132" s="439">
        <v>2.5</v>
      </c>
      <c r="CE132" s="439">
        <v>2.5</v>
      </c>
      <c r="CF132" s="439">
        <v>2.5</v>
      </c>
      <c r="CG132" s="439">
        <v>2.5</v>
      </c>
      <c r="CH132" s="439">
        <v>2.5</v>
      </c>
      <c r="CI132" s="439">
        <v>2.5</v>
      </c>
      <c r="CJ132" s="439">
        <v>2.5</v>
      </c>
      <c r="CK132" s="439">
        <v>2.5</v>
      </c>
      <c r="CL132" s="439">
        <v>2.5</v>
      </c>
      <c r="CM132" s="439">
        <v>2.5</v>
      </c>
      <c r="CN132" s="439">
        <v>2.5</v>
      </c>
      <c r="CO132" s="439">
        <v>2.5</v>
      </c>
    </row>
    <row r="133" spans="1:93" s="450" customFormat="1">
      <c r="A133" s="452" t="s">
        <v>2261</v>
      </c>
      <c r="B133" s="452"/>
      <c r="C133" s="465"/>
      <c r="D133" s="452"/>
      <c r="E133" s="452"/>
      <c r="F133" s="452"/>
      <c r="G133" s="452"/>
      <c r="H133" s="452"/>
      <c r="I133" s="452"/>
      <c r="J133" s="452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52"/>
      <c r="AJ133" s="452"/>
      <c r="AK133" s="452"/>
      <c r="AL133" s="452"/>
      <c r="AM133" s="452"/>
      <c r="AN133" s="452"/>
      <c r="AO133" s="452"/>
      <c r="AU133" s="450" t="s">
        <v>1344</v>
      </c>
    </row>
    <row r="134" spans="1:93">
      <c r="A134" s="447" t="s">
        <v>2262</v>
      </c>
      <c r="B134" s="447"/>
      <c r="C134" s="442"/>
      <c r="D134" s="447"/>
      <c r="E134" s="436"/>
      <c r="F134" s="447"/>
      <c r="G134" s="447"/>
      <c r="H134" s="447"/>
      <c r="I134" s="447"/>
      <c r="J134" s="447"/>
      <c r="K134" s="447"/>
      <c r="L134" s="447"/>
      <c r="M134" s="447"/>
      <c r="N134" s="447"/>
      <c r="O134" s="447"/>
      <c r="P134" s="447"/>
      <c r="Q134" s="447"/>
      <c r="R134" s="447"/>
      <c r="S134" s="447"/>
      <c r="T134" s="447"/>
      <c r="U134" s="447"/>
      <c r="V134" s="447"/>
      <c r="W134" s="447"/>
      <c r="X134" s="447"/>
      <c r="Y134" s="447"/>
      <c r="Z134" s="447"/>
      <c r="AA134" s="447"/>
      <c r="AB134" s="447"/>
      <c r="AC134" s="447"/>
      <c r="AD134" s="447"/>
      <c r="AE134" s="447"/>
      <c r="AF134" s="447"/>
      <c r="AG134" s="447"/>
      <c r="AH134" s="447"/>
      <c r="AI134" s="447"/>
      <c r="AJ134" s="447"/>
      <c r="AK134" s="447"/>
      <c r="AL134" s="447"/>
      <c r="AM134" s="447"/>
      <c r="AN134" s="447"/>
      <c r="AO134" s="447"/>
      <c r="AV134" s="438"/>
      <c r="AW134" s="438"/>
      <c r="AX134" s="438"/>
      <c r="AY134" s="438"/>
      <c r="AZ134" s="438"/>
      <c r="BE134" s="438"/>
      <c r="BF134" s="438"/>
      <c r="BG134" s="438"/>
      <c r="BH134" s="438"/>
      <c r="BI134" s="438"/>
      <c r="BJ134" s="438"/>
      <c r="BK134" s="438"/>
      <c r="BL134" s="438"/>
      <c r="BM134" s="438"/>
      <c r="BN134" s="438"/>
      <c r="BO134" s="438"/>
    </row>
    <row r="135" spans="1:93">
      <c r="A135" s="447" t="s">
        <v>2263</v>
      </c>
      <c r="B135" s="447"/>
      <c r="C135" s="442" t="s">
        <v>1329</v>
      </c>
      <c r="D135" s="447"/>
      <c r="E135" s="436" t="s">
        <v>2264</v>
      </c>
      <c r="F135" s="477">
        <f t="shared" ref="F135:AO135" si="110">G135/(1+F80/100)</f>
        <v>74.980188307797533</v>
      </c>
      <c r="G135" s="477">
        <f t="shared" si="110"/>
        <v>76.47979207395349</v>
      </c>
      <c r="H135" s="477">
        <f t="shared" si="110"/>
        <v>77.24458999469303</v>
      </c>
      <c r="I135" s="477">
        <f t="shared" si="110"/>
        <v>78.774185840730652</v>
      </c>
      <c r="J135" s="477">
        <f t="shared" si="110"/>
        <v>85.657367456000443</v>
      </c>
      <c r="K135" s="477">
        <f t="shared" si="110"/>
        <v>85.657367456000443</v>
      </c>
      <c r="L135" s="477">
        <f t="shared" si="110"/>
        <v>85.657367456000443</v>
      </c>
      <c r="M135" s="477">
        <f t="shared" si="110"/>
        <v>87.951761256318036</v>
      </c>
      <c r="N135" s="477">
        <f t="shared" si="110"/>
        <v>89.481357054109949</v>
      </c>
      <c r="O135" s="477">
        <f t="shared" si="110"/>
        <v>90.246154985398903</v>
      </c>
      <c r="P135" s="477">
        <f t="shared" si="110"/>
        <v>91.010952927238179</v>
      </c>
      <c r="Q135" s="477">
        <f t="shared" si="110"/>
        <v>91.775750859657734</v>
      </c>
      <c r="R135" s="477">
        <f t="shared" si="110"/>
        <v>93.305346670850298</v>
      </c>
      <c r="S135" s="477">
        <f t="shared" si="110"/>
        <v>94.834942474151333</v>
      </c>
      <c r="T135" s="477">
        <f t="shared" si="110"/>
        <v>101.71812400156952</v>
      </c>
      <c r="U135" s="477">
        <f t="shared" si="110"/>
        <v>101.71812400156952</v>
      </c>
      <c r="V135" s="477">
        <f t="shared" si="110"/>
        <v>104.77731567169013</v>
      </c>
      <c r="W135" s="477">
        <f t="shared" si="110"/>
        <v>106.61731242183095</v>
      </c>
      <c r="X135" s="477">
        <f t="shared" si="110"/>
        <v>105.98447637539559</v>
      </c>
      <c r="Y135" s="477">
        <f t="shared" si="110"/>
        <v>108.56769233204935</v>
      </c>
      <c r="Z135" s="477">
        <f t="shared" si="110"/>
        <v>121.69126004902452</v>
      </c>
      <c r="AA135" s="477">
        <f t="shared" si="110"/>
        <v>141.11206527981821</v>
      </c>
      <c r="AB135" s="477">
        <f t="shared" si="110"/>
        <v>151.68353943340023</v>
      </c>
      <c r="AC135" s="477">
        <f t="shared" si="110"/>
        <v>165.80304553832337</v>
      </c>
      <c r="AD135" s="477">
        <f t="shared" si="110"/>
        <v>180.44126908535318</v>
      </c>
      <c r="AE135" s="477">
        <f t="shared" si="110"/>
        <v>194.8512573199809</v>
      </c>
      <c r="AF135" s="477">
        <f t="shared" si="110"/>
        <v>222.04245838564032</v>
      </c>
      <c r="AG135" s="477">
        <f t="shared" si="110"/>
        <v>251.37077748107936</v>
      </c>
      <c r="AH135" s="477">
        <f t="shared" si="110"/>
        <v>273.26067983306064</v>
      </c>
      <c r="AI135" s="477">
        <f t="shared" si="110"/>
        <v>293.17945353312052</v>
      </c>
      <c r="AJ135" s="477">
        <f t="shared" si="110"/>
        <v>306.0436619158416</v>
      </c>
      <c r="AK135" s="477">
        <f t="shared" si="110"/>
        <v>318.89749513257499</v>
      </c>
      <c r="AL135" s="477">
        <f t="shared" si="110"/>
        <v>370.8777844061899</v>
      </c>
      <c r="AM135" s="477">
        <f t="shared" si="110"/>
        <v>484.7372670484632</v>
      </c>
      <c r="AN135" s="477">
        <f t="shared" si="110"/>
        <v>915.18397498050592</v>
      </c>
      <c r="AO135" s="477">
        <f t="shared" si="110"/>
        <v>1052.4615712275818</v>
      </c>
      <c r="AP135" s="475">
        <v>1259.79650878906</v>
      </c>
      <c r="AQ135" s="477">
        <f t="shared" ref="AQ135:BO135" si="111">AP135*(1+AQ80/100)</f>
        <v>1586.9499630950886</v>
      </c>
      <c r="AR135" s="478">
        <f t="shared" si="111"/>
        <v>2279.8457917081882</v>
      </c>
      <c r="AS135" s="478">
        <f t="shared" si="111"/>
        <v>5551.8452615154756</v>
      </c>
      <c r="AT135" s="478">
        <f t="shared" si="111"/>
        <v>26009.242031867438</v>
      </c>
      <c r="AU135" s="478">
        <f t="shared" si="111"/>
        <v>87276.048946936542</v>
      </c>
      <c r="AV135" s="479">
        <f t="shared" si="111"/>
        <v>86577.84055536105</v>
      </c>
      <c r="AW135" s="479">
        <f t="shared" si="111"/>
        <v>92811.445075347045</v>
      </c>
      <c r="AX135" s="479">
        <f t="shared" si="111"/>
        <v>110167.18530443695</v>
      </c>
      <c r="AY135" s="479">
        <f t="shared" si="111"/>
        <v>219396.77754245314</v>
      </c>
      <c r="AZ135" s="479">
        <f t="shared" si="111"/>
        <v>349253.41724172566</v>
      </c>
      <c r="BA135" s="479">
        <f t="shared" si="111"/>
        <v>484266.81880631222</v>
      </c>
      <c r="BB135" s="479">
        <f t="shared" si="111"/>
        <v>559274.26411997143</v>
      </c>
      <c r="BC135" s="479">
        <f t="shared" si="111"/>
        <v>686912.29126915219</v>
      </c>
      <c r="BD135" s="479">
        <f t="shared" si="111"/>
        <v>749750.62957405555</v>
      </c>
      <c r="BE135" s="479">
        <f t="shared" ca="1" si="111"/>
        <v>800678.055403237</v>
      </c>
      <c r="BF135" s="479">
        <f t="shared" ca="1" si="111"/>
        <v>840728.74595657305</v>
      </c>
      <c r="BG135" s="479">
        <f t="shared" ca="1" si="111"/>
        <v>875021.00116424623</v>
      </c>
      <c r="BH135" s="479">
        <f t="shared" ca="1" si="111"/>
        <v>906685.75410443009</v>
      </c>
      <c r="BI135" s="479">
        <f t="shared" ca="1" si="111"/>
        <v>937344.68080161628</v>
      </c>
      <c r="BJ135" s="480">
        <f t="shared" ca="1" si="111"/>
        <v>967867.91715103586</v>
      </c>
      <c r="BK135" s="480">
        <f t="shared" ca="1" si="111"/>
        <v>998791.46833690477</v>
      </c>
      <c r="BL135" s="480">
        <f t="shared" ca="1" si="111"/>
        <v>1030427.8687163363</v>
      </c>
      <c r="BM135" s="480">
        <f t="shared" ca="1" si="111"/>
        <v>1062908.4753355966</v>
      </c>
      <c r="BN135" s="480">
        <f t="shared" ca="1" si="111"/>
        <v>1096308.6779881637</v>
      </c>
      <c r="BO135" s="480">
        <f t="shared" ca="1" si="111"/>
        <v>1130672.0667835893</v>
      </c>
      <c r="BP135" s="457"/>
      <c r="BQ135" s="448">
        <f t="shared" ref="BQ135:CB139" si="112">+BD135-CD135</f>
        <v>0</v>
      </c>
      <c r="BR135" s="448">
        <f t="shared" ca="1" si="112"/>
        <v>0</v>
      </c>
      <c r="BS135" s="448">
        <f t="shared" ca="1" si="112"/>
        <v>0</v>
      </c>
      <c r="BT135" s="448">
        <f t="shared" ca="1" si="112"/>
        <v>4.1909515857696533E-9</v>
      </c>
      <c r="BU135" s="448">
        <f t="shared" ca="1" si="112"/>
        <v>4.8079527914524078E-8</v>
      </c>
      <c r="BV135" s="448">
        <f t="shared" ca="1" si="112"/>
        <v>4.1048042476177216E-7</v>
      </c>
      <c r="BW135" s="448">
        <f t="shared" ca="1" si="112"/>
        <v>2.766377292573452E-6</v>
      </c>
      <c r="BX135" s="448">
        <f t="shared" ca="1" si="112"/>
        <v>1.5260884538292885E-5</v>
      </c>
      <c r="BY135" s="448">
        <f t="shared" ca="1" si="112"/>
        <v>7.0998561568558216E-5</v>
      </c>
      <c r="BZ135" s="448">
        <f t="shared" ca="1" si="112"/>
        <v>2.855849452316761E-4</v>
      </c>
      <c r="CA135" s="448">
        <f t="shared" ca="1" si="112"/>
        <v>1.011640764772892E-3</v>
      </c>
      <c r="CB135" s="448">
        <f t="shared" ca="1" si="112"/>
        <v>3.2231318764388561E-3</v>
      </c>
      <c r="CD135" s="439">
        <v>749750.62957405555</v>
      </c>
      <c r="CE135" s="439">
        <v>800678.055403237</v>
      </c>
      <c r="CF135" s="439">
        <v>840728.74595657282</v>
      </c>
      <c r="CG135" s="439">
        <v>875021.00116424204</v>
      </c>
      <c r="CH135" s="439">
        <v>906685.75410438201</v>
      </c>
      <c r="CI135" s="439">
        <v>937344.6808012058</v>
      </c>
      <c r="CJ135" s="439">
        <v>967867.91714826948</v>
      </c>
      <c r="CK135" s="439">
        <v>998791.46832164389</v>
      </c>
      <c r="CL135" s="439">
        <v>1030427.8686453378</v>
      </c>
      <c r="CM135" s="439">
        <v>1062908.4750500116</v>
      </c>
      <c r="CN135" s="439">
        <v>1096308.6769765229</v>
      </c>
      <c r="CO135" s="439">
        <v>1130672.0635604574</v>
      </c>
    </row>
    <row r="136" spans="1:93">
      <c r="A136" s="447" t="s">
        <v>2265</v>
      </c>
      <c r="B136" s="447"/>
      <c r="C136" s="442" t="s">
        <v>1329</v>
      </c>
      <c r="D136" s="447"/>
      <c r="E136" s="436" t="s">
        <v>2266</v>
      </c>
      <c r="F136" s="477">
        <f t="shared" ref="F136:AO136" si="113">G136/(1+F81/100)</f>
        <v>48.402857184031397</v>
      </c>
      <c r="G136" s="477">
        <f t="shared" si="113"/>
        <v>51.307028615073285</v>
      </c>
      <c r="H136" s="477">
        <f t="shared" si="113"/>
        <v>49.716510728006014</v>
      </c>
      <c r="I136" s="477">
        <f t="shared" si="113"/>
        <v>49.550879728323601</v>
      </c>
      <c r="J136" s="477">
        <f t="shared" si="113"/>
        <v>57.179470385899599</v>
      </c>
      <c r="K136" s="477">
        <f t="shared" si="113"/>
        <v>62.277083949783339</v>
      </c>
      <c r="L136" s="477">
        <f t="shared" si="113"/>
        <v>64.061966369245198</v>
      </c>
      <c r="M136" s="477">
        <f t="shared" si="113"/>
        <v>62.541356249664233</v>
      </c>
      <c r="N136" s="477">
        <f t="shared" si="113"/>
        <v>62.781488294467259</v>
      </c>
      <c r="O136" s="477">
        <f t="shared" si="113"/>
        <v>64.06704218315592</v>
      </c>
      <c r="P136" s="477">
        <f t="shared" si="113"/>
        <v>62.772675929424466</v>
      </c>
      <c r="Q136" s="477">
        <f t="shared" si="113"/>
        <v>61.411059419339502</v>
      </c>
      <c r="R136" s="477">
        <f t="shared" si="113"/>
        <v>62.310834609962853</v>
      </c>
      <c r="S136" s="477">
        <f t="shared" si="113"/>
        <v>69.288233670456293</v>
      </c>
      <c r="T136" s="477">
        <f t="shared" si="113"/>
        <v>71.633588336846401</v>
      </c>
      <c r="U136" s="477">
        <f t="shared" si="113"/>
        <v>73.525553199739278</v>
      </c>
      <c r="V136" s="477">
        <f t="shared" si="113"/>
        <v>76.762637799360022</v>
      </c>
      <c r="W136" s="477">
        <f t="shared" si="113"/>
        <v>81.942923682050264</v>
      </c>
      <c r="X136" s="477">
        <f t="shared" si="113"/>
        <v>84.313167816848718</v>
      </c>
      <c r="Y136" s="477">
        <f t="shared" si="113"/>
        <v>84.993371232938969</v>
      </c>
      <c r="Z136" s="477">
        <f t="shared" si="113"/>
        <v>85.565634563398518</v>
      </c>
      <c r="AA136" s="477">
        <f t="shared" si="113"/>
        <v>123.29927513902848</v>
      </c>
      <c r="AB136" s="477">
        <f t="shared" si="113"/>
        <v>142.84054568201057</v>
      </c>
      <c r="AC136" s="477">
        <f t="shared" si="113"/>
        <v>157.33724763926168</v>
      </c>
      <c r="AD136" s="477">
        <f t="shared" si="113"/>
        <v>175.87810510140659</v>
      </c>
      <c r="AE136" s="477">
        <f t="shared" si="113"/>
        <v>186.05645230743121</v>
      </c>
      <c r="AF136" s="477">
        <f t="shared" si="113"/>
        <v>199.72707495008837</v>
      </c>
      <c r="AG136" s="477">
        <f t="shared" si="113"/>
        <v>236.9929506675351</v>
      </c>
      <c r="AH136" s="477">
        <f t="shared" si="113"/>
        <v>257.56173135106076</v>
      </c>
      <c r="AI136" s="477">
        <f t="shared" si="113"/>
        <v>231.43227429267756</v>
      </c>
      <c r="AJ136" s="477">
        <f t="shared" si="113"/>
        <v>211.29065708876911</v>
      </c>
      <c r="AK136" s="477">
        <f t="shared" si="113"/>
        <v>221.58193445464829</v>
      </c>
      <c r="AL136" s="477">
        <f t="shared" si="113"/>
        <v>174.99306990516729</v>
      </c>
      <c r="AM136" s="477">
        <f t="shared" si="113"/>
        <v>179.30860358504879</v>
      </c>
      <c r="AN136" s="477">
        <f t="shared" si="113"/>
        <v>183.61201024209197</v>
      </c>
      <c r="AO136" s="477">
        <f t="shared" si="113"/>
        <v>225.47554717644047</v>
      </c>
      <c r="AP136" s="475">
        <v>315.21481323242188</v>
      </c>
      <c r="AQ136" s="477">
        <f t="shared" ref="AQ136:BO136" si="114">AP136*(1+AQ81/100)</f>
        <v>254.43782029185712</v>
      </c>
      <c r="AR136" s="478">
        <f t="shared" si="114"/>
        <v>220.1366205000071</v>
      </c>
      <c r="AS136" s="478">
        <f t="shared" si="114"/>
        <v>5388.3314011236753</v>
      </c>
      <c r="AT136" s="478">
        <f t="shared" si="114"/>
        <v>28151.620701559306</v>
      </c>
      <c r="AU136" s="478">
        <f t="shared" si="114"/>
        <v>76054.648325409202</v>
      </c>
      <c r="AV136" s="479">
        <f t="shared" si="114"/>
        <v>63803.393481735329</v>
      </c>
      <c r="AW136" s="479">
        <f t="shared" si="114"/>
        <v>62748.762621108603</v>
      </c>
      <c r="AX136" s="479">
        <f t="shared" si="114"/>
        <v>52568.806877275158</v>
      </c>
      <c r="AY136" s="479">
        <f t="shared" si="114"/>
        <v>114917.75316628658</v>
      </c>
      <c r="AZ136" s="479">
        <f t="shared" si="114"/>
        <v>207707.84358932718</v>
      </c>
      <c r="BA136" s="479">
        <f t="shared" si="114"/>
        <v>339716.60290885111</v>
      </c>
      <c r="BB136" s="479">
        <f t="shared" si="114"/>
        <v>257349.9404646231</v>
      </c>
      <c r="BC136" s="479">
        <f t="shared" si="114"/>
        <v>316604.84780656628</v>
      </c>
      <c r="BD136" s="479">
        <f t="shared" si="114"/>
        <v>376329.54949592502</v>
      </c>
      <c r="BE136" s="479">
        <f t="shared" si="114"/>
        <v>387619.43598077021</v>
      </c>
      <c r="BF136" s="479">
        <f t="shared" si="114"/>
        <v>397309.92188032117</v>
      </c>
      <c r="BG136" s="479">
        <f t="shared" si="114"/>
        <v>407242.66992729803</v>
      </c>
      <c r="BH136" s="479">
        <f t="shared" si="114"/>
        <v>417423.73667551077</v>
      </c>
      <c r="BI136" s="479">
        <f t="shared" si="114"/>
        <v>427859.33009236894</v>
      </c>
      <c r="BJ136" s="480">
        <f t="shared" si="114"/>
        <v>438555.8133447069</v>
      </c>
      <c r="BK136" s="480">
        <f t="shared" si="114"/>
        <v>449519.70867829648</v>
      </c>
      <c r="BL136" s="480">
        <f t="shared" si="114"/>
        <v>460757.70139528118</v>
      </c>
      <c r="BM136" s="480">
        <f t="shared" si="114"/>
        <v>472276.64393013646</v>
      </c>
      <c r="BN136" s="480">
        <f t="shared" si="114"/>
        <v>484083.56002841593</v>
      </c>
      <c r="BO136" s="480">
        <f t="shared" si="114"/>
        <v>496185.64902910072</v>
      </c>
      <c r="BP136" s="457"/>
      <c r="BQ136" s="448">
        <f t="shared" si="112"/>
        <v>0</v>
      </c>
      <c r="BR136" s="448">
        <f t="shared" si="112"/>
        <v>0</v>
      </c>
      <c r="BS136" s="448">
        <f t="shared" si="112"/>
        <v>0</v>
      </c>
      <c r="BT136" s="448">
        <f t="shared" si="112"/>
        <v>0</v>
      </c>
      <c r="BU136" s="448">
        <f t="shared" si="112"/>
        <v>0</v>
      </c>
      <c r="BV136" s="448">
        <f t="shared" si="112"/>
        <v>0</v>
      </c>
      <c r="BW136" s="448">
        <f t="shared" si="112"/>
        <v>0</v>
      </c>
      <c r="BX136" s="448">
        <f t="shared" si="112"/>
        <v>0</v>
      </c>
      <c r="BY136" s="448">
        <f t="shared" si="112"/>
        <v>0</v>
      </c>
      <c r="BZ136" s="448">
        <f t="shared" si="112"/>
        <v>0</v>
      </c>
      <c r="CA136" s="448">
        <f t="shared" si="112"/>
        <v>0</v>
      </c>
      <c r="CB136" s="448">
        <f t="shared" si="112"/>
        <v>0</v>
      </c>
      <c r="CD136" s="439">
        <v>376329.54949592502</v>
      </c>
      <c r="CE136" s="439">
        <v>387619.43598077021</v>
      </c>
      <c r="CF136" s="439">
        <v>397309.92188032117</v>
      </c>
      <c r="CG136" s="439">
        <v>407242.66992729803</v>
      </c>
      <c r="CH136" s="439">
        <v>417423.73667551077</v>
      </c>
      <c r="CI136" s="439">
        <v>427859.33009236894</v>
      </c>
      <c r="CJ136" s="439">
        <v>438555.8133447069</v>
      </c>
      <c r="CK136" s="439">
        <v>449519.70867829648</v>
      </c>
      <c r="CL136" s="439">
        <v>460757.70139528118</v>
      </c>
      <c r="CM136" s="439">
        <v>472276.64393013646</v>
      </c>
      <c r="CN136" s="439">
        <v>484083.56002841593</v>
      </c>
      <c r="CO136" s="439">
        <v>496185.64902910072</v>
      </c>
    </row>
    <row r="137" spans="1:93">
      <c r="A137" s="447" t="s">
        <v>2267</v>
      </c>
      <c r="B137" s="447"/>
      <c r="C137" s="442" t="s">
        <v>1329</v>
      </c>
      <c r="D137" s="447"/>
      <c r="E137" s="438" t="s">
        <v>2268</v>
      </c>
      <c r="F137" s="477">
        <f t="shared" ref="F137:AO137" si="115">G137/(1+F82/100)</f>
        <v>76.87888443801252</v>
      </c>
      <c r="G137" s="477">
        <f t="shared" si="115"/>
        <v>78.262704357896752</v>
      </c>
      <c r="H137" s="477">
        <f t="shared" si="115"/>
        <v>78.654017879686222</v>
      </c>
      <c r="I137" s="477">
        <f t="shared" si="115"/>
        <v>81.031086190800721</v>
      </c>
      <c r="J137" s="477">
        <f t="shared" si="115"/>
        <v>82.836280027178489</v>
      </c>
      <c r="K137" s="477">
        <f t="shared" si="115"/>
        <v>81.489149173372937</v>
      </c>
      <c r="L137" s="477">
        <f t="shared" si="115"/>
        <v>80.759396887638303</v>
      </c>
      <c r="M137" s="477">
        <f t="shared" si="115"/>
        <v>81.377685363383861</v>
      </c>
      <c r="N137" s="477">
        <f t="shared" si="115"/>
        <v>82.855072908779903</v>
      </c>
      <c r="O137" s="477">
        <f t="shared" si="115"/>
        <v>83.265810273425174</v>
      </c>
      <c r="P137" s="477">
        <f t="shared" si="115"/>
        <v>83.523967564367737</v>
      </c>
      <c r="Q137" s="477">
        <f t="shared" si="115"/>
        <v>85.412736137697124</v>
      </c>
      <c r="R137" s="477">
        <f t="shared" si="115"/>
        <v>86.803962333795567</v>
      </c>
      <c r="S137" s="477">
        <f t="shared" si="115"/>
        <v>87.812626187399957</v>
      </c>
      <c r="T137" s="477">
        <f t="shared" si="115"/>
        <v>88.989441547995156</v>
      </c>
      <c r="U137" s="477">
        <f t="shared" si="115"/>
        <v>89.331305094669588</v>
      </c>
      <c r="V137" s="477">
        <f t="shared" si="115"/>
        <v>91.437418256905346</v>
      </c>
      <c r="W137" s="477">
        <f t="shared" si="115"/>
        <v>95.458555342706006</v>
      </c>
      <c r="X137" s="477">
        <f t="shared" si="115"/>
        <v>101.95501375623353</v>
      </c>
      <c r="Y137" s="477">
        <f t="shared" si="115"/>
        <v>103.03785917252857</v>
      </c>
      <c r="Z137" s="477">
        <f t="shared" si="115"/>
        <v>127.00653293823419</v>
      </c>
      <c r="AA137" s="477">
        <f t="shared" si="115"/>
        <v>192.31174916662809</v>
      </c>
      <c r="AB137" s="477">
        <f t="shared" si="115"/>
        <v>210.91794244377681</v>
      </c>
      <c r="AC137" s="477">
        <f t="shared" si="115"/>
        <v>215.62914418925968</v>
      </c>
      <c r="AD137" s="477">
        <f t="shared" si="115"/>
        <v>233.30100683060195</v>
      </c>
      <c r="AE137" s="477">
        <f t="shared" si="115"/>
        <v>252.99587602236099</v>
      </c>
      <c r="AF137" s="477">
        <f t="shared" si="115"/>
        <v>308.03782418978045</v>
      </c>
      <c r="AG137" s="477">
        <f t="shared" si="115"/>
        <v>399.65722644014636</v>
      </c>
      <c r="AH137" s="477">
        <f t="shared" si="115"/>
        <v>420.12283565058954</v>
      </c>
      <c r="AI137" s="477">
        <f t="shared" si="115"/>
        <v>414.14594519348611</v>
      </c>
      <c r="AJ137" s="477">
        <f t="shared" si="115"/>
        <v>390.12896313264059</v>
      </c>
      <c r="AK137" s="477">
        <f t="shared" si="115"/>
        <v>384.55011916447461</v>
      </c>
      <c r="AL137" s="477">
        <f t="shared" si="115"/>
        <v>401.08577502201814</v>
      </c>
      <c r="AM137" s="477">
        <f t="shared" si="115"/>
        <v>410.43107327402703</v>
      </c>
      <c r="AN137" s="477">
        <f t="shared" si="115"/>
        <v>683.73710993676684</v>
      </c>
      <c r="AO137" s="477">
        <f t="shared" si="115"/>
        <v>766.46930284736573</v>
      </c>
      <c r="AP137" s="475">
        <v>927.4278564453125</v>
      </c>
      <c r="AQ137" s="477">
        <f t="shared" ref="AQ137:BO137" si="116">AP137*(1+AQ82/100)</f>
        <v>1282.6911560520318</v>
      </c>
      <c r="AR137" s="478">
        <f t="shared" si="116"/>
        <v>1672.4704120341341</v>
      </c>
      <c r="AS137" s="478">
        <f t="shared" si="116"/>
        <v>9190.9995192665665</v>
      </c>
      <c r="AT137" s="478">
        <f t="shared" si="116"/>
        <v>48391.159203629839</v>
      </c>
      <c r="AU137" s="478">
        <f t="shared" si="116"/>
        <v>103101.8947312556</v>
      </c>
      <c r="AV137" s="479">
        <f t="shared" si="116"/>
        <v>96448.77486089521</v>
      </c>
      <c r="AW137" s="479">
        <f t="shared" si="116"/>
        <v>98599.478586408368</v>
      </c>
      <c r="AX137" s="479">
        <f t="shared" si="116"/>
        <v>100078.47076520449</v>
      </c>
      <c r="AY137" s="479">
        <f t="shared" si="116"/>
        <v>219328.53243202326</v>
      </c>
      <c r="AZ137" s="479">
        <f t="shared" si="116"/>
        <v>349791.69353621185</v>
      </c>
      <c r="BA137" s="479">
        <f t="shared" si="116"/>
        <v>590633.94261551637</v>
      </c>
      <c r="BB137" s="479">
        <f t="shared" si="116"/>
        <v>646429.80404420034</v>
      </c>
      <c r="BC137" s="479">
        <f t="shared" si="116"/>
        <v>734986.55533629295</v>
      </c>
      <c r="BD137" s="479">
        <f t="shared" si="116"/>
        <v>800918.36471745686</v>
      </c>
      <c r="BE137" s="479">
        <f t="shared" si="116"/>
        <v>824945.91565898061</v>
      </c>
      <c r="BF137" s="479">
        <f t="shared" si="116"/>
        <v>845569.56355045503</v>
      </c>
      <c r="BG137" s="479">
        <f t="shared" si="116"/>
        <v>866708.8026392163</v>
      </c>
      <c r="BH137" s="479">
        <f t="shared" si="116"/>
        <v>888376.52270519664</v>
      </c>
      <c r="BI137" s="479">
        <f t="shared" si="116"/>
        <v>910585.93577282643</v>
      </c>
      <c r="BJ137" s="480">
        <f t="shared" si="116"/>
        <v>933350.58416714706</v>
      </c>
      <c r="BK137" s="480">
        <f t="shared" si="116"/>
        <v>956684.34877132566</v>
      </c>
      <c r="BL137" s="480">
        <f t="shared" si="116"/>
        <v>980601.45749060868</v>
      </c>
      <c r="BM137" s="480">
        <f t="shared" si="116"/>
        <v>1005116.4939278738</v>
      </c>
      <c r="BN137" s="480">
        <f t="shared" si="116"/>
        <v>1030244.4062760705</v>
      </c>
      <c r="BO137" s="480">
        <f t="shared" si="116"/>
        <v>1056000.5164329722</v>
      </c>
      <c r="BP137" s="457"/>
      <c r="BQ137" s="448">
        <f t="shared" si="112"/>
        <v>0</v>
      </c>
      <c r="BR137" s="448">
        <f t="shared" si="112"/>
        <v>0</v>
      </c>
      <c r="BS137" s="448">
        <f t="shared" si="112"/>
        <v>0</v>
      </c>
      <c r="BT137" s="448">
        <f t="shared" si="112"/>
        <v>0</v>
      </c>
      <c r="BU137" s="448">
        <f t="shared" si="112"/>
        <v>0</v>
      </c>
      <c r="BV137" s="448">
        <f t="shared" si="112"/>
        <v>0</v>
      </c>
      <c r="BW137" s="448">
        <f t="shared" si="112"/>
        <v>0</v>
      </c>
      <c r="BX137" s="448">
        <f t="shared" si="112"/>
        <v>0</v>
      </c>
      <c r="BY137" s="448">
        <f t="shared" si="112"/>
        <v>0</v>
      </c>
      <c r="BZ137" s="448">
        <f t="shared" si="112"/>
        <v>0</v>
      </c>
      <c r="CA137" s="448">
        <f t="shared" si="112"/>
        <v>0</v>
      </c>
      <c r="CB137" s="448">
        <f t="shared" si="112"/>
        <v>0</v>
      </c>
      <c r="CD137" s="439">
        <v>800918.36471745686</v>
      </c>
      <c r="CE137" s="439">
        <v>824945.91565898061</v>
      </c>
      <c r="CF137" s="439">
        <v>845569.56355045503</v>
      </c>
      <c r="CG137" s="439">
        <v>866708.8026392163</v>
      </c>
      <c r="CH137" s="439">
        <v>888376.52270519664</v>
      </c>
      <c r="CI137" s="439">
        <v>910585.93577282643</v>
      </c>
      <c r="CJ137" s="439">
        <v>933350.58416714706</v>
      </c>
      <c r="CK137" s="439">
        <v>956684.34877132566</v>
      </c>
      <c r="CL137" s="439">
        <v>980601.45749060868</v>
      </c>
      <c r="CM137" s="439">
        <v>1005116.4939278738</v>
      </c>
      <c r="CN137" s="439">
        <v>1030244.4062760705</v>
      </c>
      <c r="CO137" s="439">
        <v>1056000.5164329722</v>
      </c>
    </row>
    <row r="138" spans="1:93">
      <c r="A138" s="447" t="s">
        <v>2269</v>
      </c>
      <c r="B138" s="447"/>
      <c r="C138" s="442" t="s">
        <v>1329</v>
      </c>
      <c r="D138" s="447"/>
      <c r="E138" s="436" t="s">
        <v>2270</v>
      </c>
      <c r="F138" s="477">
        <f t="shared" ref="F138:AO138" si="117">G138/(1+F83/100)</f>
        <v>46.912020237702606</v>
      </c>
      <c r="G138" s="477">
        <f t="shared" si="117"/>
        <v>47.850260642456661</v>
      </c>
      <c r="H138" s="477">
        <f t="shared" si="117"/>
        <v>48.328763248881231</v>
      </c>
      <c r="I138" s="477">
        <f t="shared" si="117"/>
        <v>49.295338513858859</v>
      </c>
      <c r="J138" s="477">
        <f t="shared" si="117"/>
        <v>49.602909053224735</v>
      </c>
      <c r="K138" s="477">
        <f t="shared" si="117"/>
        <v>50.233454522324521</v>
      </c>
      <c r="L138" s="477">
        <f t="shared" si="117"/>
        <v>46.870545504121864</v>
      </c>
      <c r="M138" s="477">
        <f t="shared" si="117"/>
        <v>56.749090840831357</v>
      </c>
      <c r="N138" s="477">
        <f t="shared" si="117"/>
        <v>53.386181864212027</v>
      </c>
      <c r="O138" s="477">
        <f t="shared" si="117"/>
        <v>58.430545645236478</v>
      </c>
      <c r="P138" s="477">
        <f t="shared" si="117"/>
        <v>54.576982185124059</v>
      </c>
      <c r="Q138" s="477">
        <f t="shared" si="117"/>
        <v>50.540021794879877</v>
      </c>
      <c r="R138" s="477">
        <f t="shared" si="117"/>
        <v>54.693534022670811</v>
      </c>
      <c r="S138" s="477">
        <f t="shared" si="117"/>
        <v>58.03575107894298</v>
      </c>
      <c r="T138" s="477">
        <f t="shared" si="117"/>
        <v>65.076679376564172</v>
      </c>
      <c r="U138" s="477">
        <f t="shared" si="117"/>
        <v>78.825081166533906</v>
      </c>
      <c r="V138" s="477">
        <f t="shared" si="117"/>
        <v>88.406456753744351</v>
      </c>
      <c r="W138" s="477">
        <f t="shared" si="117"/>
        <v>104.20139981741508</v>
      </c>
      <c r="X138" s="477">
        <f t="shared" si="117"/>
        <v>99.039627177744677</v>
      </c>
      <c r="Y138" s="477">
        <f t="shared" si="117"/>
        <v>94.777883097102176</v>
      </c>
      <c r="Z138" s="477">
        <f t="shared" si="117"/>
        <v>121.79157552987813</v>
      </c>
      <c r="AA138" s="477">
        <f t="shared" si="117"/>
        <v>140.15156006612028</v>
      </c>
      <c r="AB138" s="477">
        <f t="shared" si="117"/>
        <v>176.05478481297038</v>
      </c>
      <c r="AC138" s="477">
        <f t="shared" si="117"/>
        <v>197.18135899052686</v>
      </c>
      <c r="AD138" s="477">
        <f t="shared" si="117"/>
        <v>244.716151964582</v>
      </c>
      <c r="AE138" s="477">
        <f t="shared" si="117"/>
        <v>267.60327432582443</v>
      </c>
      <c r="AF138" s="477">
        <f t="shared" si="117"/>
        <v>290.49039593483548</v>
      </c>
      <c r="AG138" s="477">
        <f t="shared" si="117"/>
        <v>295.77203965469226</v>
      </c>
      <c r="AH138" s="477">
        <f t="shared" si="117"/>
        <v>295.77203965469226</v>
      </c>
      <c r="AI138" s="477">
        <f t="shared" si="117"/>
        <v>311.6169705519581</v>
      </c>
      <c r="AJ138" s="477">
        <f t="shared" si="117"/>
        <v>310.03247744357765</v>
      </c>
      <c r="AK138" s="477">
        <f t="shared" si="117"/>
        <v>291.5467256329319</v>
      </c>
      <c r="AL138" s="477">
        <f t="shared" si="117"/>
        <v>291.5467256329319</v>
      </c>
      <c r="AM138" s="477">
        <f t="shared" si="117"/>
        <v>387.14447701541138</v>
      </c>
      <c r="AN138" s="477">
        <f t="shared" si="117"/>
        <v>501.40401600922485</v>
      </c>
      <c r="AO138" s="477">
        <f t="shared" si="117"/>
        <v>576.6146184106085</v>
      </c>
      <c r="AP138" s="475">
        <v>690.20770263671875</v>
      </c>
      <c r="AQ138" s="477">
        <f t="shared" ref="AQ138:BO138" si="118">AP138*(1+AQ83/100)</f>
        <v>869.44604194857925</v>
      </c>
      <c r="AR138" s="478">
        <f t="shared" si="118"/>
        <v>1249.0645237407762</v>
      </c>
      <c r="AS138" s="478">
        <f t="shared" si="118"/>
        <v>3041.7026373794833</v>
      </c>
      <c r="AT138" s="479">
        <f t="shared" si="118"/>
        <v>14249.745149233024</v>
      </c>
      <c r="AU138" s="479">
        <f t="shared" si="118"/>
        <v>47816.136033570503</v>
      </c>
      <c r="AV138" s="479">
        <f t="shared" si="118"/>
        <v>50089.226705202498</v>
      </c>
      <c r="AW138" s="479">
        <f t="shared" si="118"/>
        <v>57617.980064283394</v>
      </c>
      <c r="AX138" s="479">
        <f t="shared" si="118"/>
        <v>74027.846185189788</v>
      </c>
      <c r="AY138" s="479">
        <f t="shared" si="118"/>
        <v>156831.27525320559</v>
      </c>
      <c r="AZ138" s="479">
        <f t="shared" si="118"/>
        <v>232469.35605515211</v>
      </c>
      <c r="BA138" s="479">
        <f t="shared" si="118"/>
        <v>321090.10142222908</v>
      </c>
      <c r="BB138" s="479">
        <f t="shared" si="118"/>
        <v>311418.08971696254</v>
      </c>
      <c r="BC138" s="479">
        <f t="shared" ca="1" si="118"/>
        <v>341338.08944588201</v>
      </c>
      <c r="BD138" s="479">
        <f t="shared" ca="1" si="118"/>
        <v>388613.2099626101</v>
      </c>
      <c r="BE138" s="479">
        <f t="shared" ca="1" si="118"/>
        <v>410999.95865349699</v>
      </c>
      <c r="BF138" s="479">
        <f t="shared" ca="1" si="118"/>
        <v>428732.56838898943</v>
      </c>
      <c r="BG138" s="479">
        <f t="shared" ca="1" si="118"/>
        <v>444363.06400228932</v>
      </c>
      <c r="BH138" s="479">
        <f t="shared" ca="1" si="118"/>
        <v>459089.70361255383</v>
      </c>
      <c r="BI138" s="479">
        <f t="shared" ca="1" si="118"/>
        <v>473515.14984967693</v>
      </c>
      <c r="BJ138" s="480">
        <f t="shared" ca="1" si="118"/>
        <v>487965.48234201001</v>
      </c>
      <c r="BK138" s="480">
        <f t="shared" ca="1" si="118"/>
        <v>502639.02393262641</v>
      </c>
      <c r="BL138" s="480">
        <f t="shared" ca="1" si="118"/>
        <v>517655.18794221565</v>
      </c>
      <c r="BM138" s="480">
        <f t="shared" ca="1" si="118"/>
        <v>533063.03533969529</v>
      </c>
      <c r="BN138" s="480">
        <f t="shared" ca="1" si="118"/>
        <v>548891.35802866949</v>
      </c>
      <c r="BO138" s="480">
        <f t="shared" ca="1" si="118"/>
        <v>565158.36936599109</v>
      </c>
      <c r="BP138" s="457"/>
      <c r="BQ138" s="448">
        <f t="shared" ca="1" si="112"/>
        <v>0</v>
      </c>
      <c r="BR138" s="448">
        <f t="shared" ca="1" si="112"/>
        <v>0</v>
      </c>
      <c r="BS138" s="448">
        <f t="shared" ca="1" si="112"/>
        <v>0</v>
      </c>
      <c r="BT138" s="448">
        <f t="shared" ca="1" si="112"/>
        <v>1.280568540096283E-9</v>
      </c>
      <c r="BU138" s="448">
        <f t="shared" ca="1" si="112"/>
        <v>1.4784745872020721E-8</v>
      </c>
      <c r="BV138" s="448">
        <f t="shared" ca="1" si="112"/>
        <v>1.260777935385704E-7</v>
      </c>
      <c r="BW138" s="448">
        <f t="shared" ca="1" si="112"/>
        <v>8.5076317191123962E-7</v>
      </c>
      <c r="BX138" s="448">
        <f t="shared" ca="1" si="112"/>
        <v>4.7009089030325413E-6</v>
      </c>
      <c r="BY138" s="448">
        <f t="shared" ca="1" si="112"/>
        <v>2.1908606868237257E-5</v>
      </c>
      <c r="BZ138" s="448">
        <f t="shared" ca="1" si="112"/>
        <v>8.8271219283342361E-5</v>
      </c>
      <c r="CA138" s="448">
        <f t="shared" ca="1" si="112"/>
        <v>3.1317293178290129E-4</v>
      </c>
      <c r="CB138" s="448">
        <f t="shared" ca="1" si="112"/>
        <v>9.9890644196420908E-4</v>
      </c>
      <c r="CD138" s="439">
        <v>388613.2099626101</v>
      </c>
      <c r="CE138" s="439">
        <v>410999.95865349699</v>
      </c>
      <c r="CF138" s="439">
        <v>428732.56838898937</v>
      </c>
      <c r="CG138" s="439">
        <v>444363.06400228804</v>
      </c>
      <c r="CH138" s="439">
        <v>459089.70361253904</v>
      </c>
      <c r="CI138" s="439">
        <v>473515.14984955086</v>
      </c>
      <c r="CJ138" s="439">
        <v>487965.48234115925</v>
      </c>
      <c r="CK138" s="439">
        <v>502639.0239279255</v>
      </c>
      <c r="CL138" s="439">
        <v>517655.18792030704</v>
      </c>
      <c r="CM138" s="439">
        <v>533063.03525142407</v>
      </c>
      <c r="CN138" s="439">
        <v>548891.35771549656</v>
      </c>
      <c r="CO138" s="439">
        <v>565158.36836708465</v>
      </c>
    </row>
    <row r="139" spans="1:93">
      <c r="A139" s="447" t="s">
        <v>2271</v>
      </c>
      <c r="B139" s="447"/>
      <c r="C139" s="442" t="s">
        <v>1329</v>
      </c>
      <c r="D139" s="447"/>
      <c r="E139" s="436" t="s">
        <v>2272</v>
      </c>
      <c r="F139" s="477" t="s">
        <v>1344</v>
      </c>
      <c r="G139" s="477">
        <f t="shared" ref="G139:AO139" si="119">H139/(1+G162/100)</f>
        <v>69.438079810703272</v>
      </c>
      <c r="H139" s="477">
        <f t="shared" si="119"/>
        <v>69.602862533189409</v>
      </c>
      <c r="I139" s="477">
        <f t="shared" si="119"/>
        <v>69.06864527982043</v>
      </c>
      <c r="J139" s="477">
        <f t="shared" si="119"/>
        <v>77.890432645245468</v>
      </c>
      <c r="K139" s="477">
        <f t="shared" si="119"/>
        <v>83.38123471613892</v>
      </c>
      <c r="L139" s="477">
        <f t="shared" si="119"/>
        <v>83.177798066436509</v>
      </c>
      <c r="M139" s="477">
        <f t="shared" si="119"/>
        <v>88.050858821804638</v>
      </c>
      <c r="N139" s="477">
        <f t="shared" si="119"/>
        <v>86.010296728199336</v>
      </c>
      <c r="O139" s="477">
        <f t="shared" si="119"/>
        <v>90.553630274181288</v>
      </c>
      <c r="P139" s="477">
        <f t="shared" si="119"/>
        <v>87.263521810851429</v>
      </c>
      <c r="Q139" s="477">
        <f t="shared" si="119"/>
        <v>80.6687541689098</v>
      </c>
      <c r="R139" s="477">
        <f t="shared" si="119"/>
        <v>76.665375468321997</v>
      </c>
      <c r="S139" s="477">
        <f t="shared" si="119"/>
        <v>75.171663653255607</v>
      </c>
      <c r="T139" s="477">
        <f t="shared" si="119"/>
        <v>76.958546794012236</v>
      </c>
      <c r="U139" s="477">
        <f t="shared" si="119"/>
        <v>82.805046089151816</v>
      </c>
      <c r="V139" s="477">
        <f t="shared" si="119"/>
        <v>92.804645661843509</v>
      </c>
      <c r="W139" s="477">
        <f t="shared" si="119"/>
        <v>107.13033531650454</v>
      </c>
      <c r="X139" s="477">
        <f t="shared" si="119"/>
        <v>100.63172355270841</v>
      </c>
      <c r="Y139" s="477">
        <f t="shared" si="119"/>
        <v>107.26643294567302</v>
      </c>
      <c r="Z139" s="477">
        <f t="shared" si="119"/>
        <v>111.94649594137746</v>
      </c>
      <c r="AA139" s="477">
        <f t="shared" si="119"/>
        <v>116.04633224314256</v>
      </c>
      <c r="AB139" s="477">
        <f t="shared" si="119"/>
        <v>145.93689757813789</v>
      </c>
      <c r="AC139" s="477">
        <f t="shared" si="119"/>
        <v>186.8478568384354</v>
      </c>
      <c r="AD139" s="477">
        <f t="shared" si="119"/>
        <v>220.32939997689516</v>
      </c>
      <c r="AE139" s="477">
        <f t="shared" si="119"/>
        <v>243.89227027109803</v>
      </c>
      <c r="AF139" s="477">
        <f t="shared" si="119"/>
        <v>243.84728800916616</v>
      </c>
      <c r="AG139" s="477">
        <f t="shared" si="119"/>
        <v>289.49295533655533</v>
      </c>
      <c r="AH139" s="477">
        <f t="shared" si="119"/>
        <v>327.71217559936781</v>
      </c>
      <c r="AI139" s="477">
        <f t="shared" si="119"/>
        <v>375.58494119693773</v>
      </c>
      <c r="AJ139" s="477">
        <f t="shared" si="119"/>
        <v>438.31213848578619</v>
      </c>
      <c r="AK139" s="477">
        <f t="shared" si="119"/>
        <v>498.94628763814728</v>
      </c>
      <c r="AL139" s="477">
        <f t="shared" si="119"/>
        <v>507.57339087268872</v>
      </c>
      <c r="AM139" s="477">
        <f t="shared" si="119"/>
        <v>635.63648711975304</v>
      </c>
      <c r="AN139" s="477">
        <f t="shared" si="119"/>
        <v>717.39930801213097</v>
      </c>
      <c r="AO139" s="477">
        <f t="shared" si="119"/>
        <v>754.04495564819945</v>
      </c>
      <c r="AP139" s="475">
        <v>855.65728759765625</v>
      </c>
      <c r="AQ139" s="477">
        <f t="shared" ref="AQ139:BO139" si="120">AP139*(1+AQ162/100)</f>
        <v>899.10662707254949</v>
      </c>
      <c r="AR139" s="478">
        <f t="shared" si="120"/>
        <v>1323.7205807110799</v>
      </c>
      <c r="AS139" s="478">
        <f t="shared" si="120"/>
        <v>2953.7012469015881</v>
      </c>
      <c r="AT139" s="478">
        <f t="shared" si="120"/>
        <v>20410.063895040279</v>
      </c>
      <c r="AU139" s="478">
        <f t="shared" si="120"/>
        <v>105768.36651123319</v>
      </c>
      <c r="AV139" s="479">
        <f t="shared" si="120"/>
        <v>122896.69081324611</v>
      </c>
      <c r="AW139" s="479">
        <f t="shared" si="120"/>
        <v>146248.51970553308</v>
      </c>
      <c r="AX139" s="479">
        <f t="shared" si="120"/>
        <v>165883.02935071092</v>
      </c>
      <c r="AY139" s="479">
        <f t="shared" si="120"/>
        <v>343819.00580451248</v>
      </c>
      <c r="AZ139" s="479">
        <f t="shared" si="120"/>
        <v>544303.82270342566</v>
      </c>
      <c r="BA139" s="479">
        <f t="shared" si="120"/>
        <v>831228.29995229607</v>
      </c>
      <c r="BB139" s="479">
        <f t="shared" si="120"/>
        <v>611489.06824554375</v>
      </c>
      <c r="BC139" s="479">
        <f t="shared" ca="1" si="120"/>
        <v>538942.21065297374</v>
      </c>
      <c r="BD139" s="479">
        <f t="shared" ca="1" si="120"/>
        <v>687646.19101633015</v>
      </c>
      <c r="BE139" s="479">
        <f t="shared" ca="1" si="120"/>
        <v>798650.27990411886</v>
      </c>
      <c r="BF139" s="479">
        <f t="shared" ca="1" si="120"/>
        <v>868586.41075473966</v>
      </c>
      <c r="BG139" s="479">
        <f t="shared" ca="1" si="120"/>
        <v>920117.33549887664</v>
      </c>
      <c r="BH139" s="479">
        <f t="shared" ca="1" si="120"/>
        <v>968930.92508282058</v>
      </c>
      <c r="BI139" s="480">
        <f t="shared" ca="1" si="120"/>
        <v>1015314.656547729</v>
      </c>
      <c r="BJ139" s="480">
        <f t="shared" ca="1" si="120"/>
        <v>1061956.6007932911</v>
      </c>
      <c r="BK139" s="480">
        <f t="shared" ca="1" si="120"/>
        <v>1107853.5262477817</v>
      </c>
      <c r="BL139" s="480">
        <f t="shared" ca="1" si="120"/>
        <v>1155740.746724176</v>
      </c>
      <c r="BM139" s="480">
        <f t="shared" ca="1" si="120"/>
        <v>1206048.695624168</v>
      </c>
      <c r="BN139" s="480">
        <f t="shared" ca="1" si="120"/>
        <v>1258373.6778203663</v>
      </c>
      <c r="BO139" s="480">
        <f t="shared" ca="1" si="120"/>
        <v>1313493.687745807</v>
      </c>
      <c r="BP139" s="457"/>
      <c r="BQ139" s="448">
        <f t="shared" ca="1" si="112"/>
        <v>0</v>
      </c>
      <c r="BR139" s="448">
        <f t="shared" ca="1" si="112"/>
        <v>0</v>
      </c>
      <c r="BS139" s="448">
        <f t="shared" ca="1" si="112"/>
        <v>0</v>
      </c>
      <c r="BT139" s="448">
        <f t="shared" ca="1" si="112"/>
        <v>3.2596290111541748E-9</v>
      </c>
      <c r="BU139" s="448">
        <f t="shared" ca="1" si="112"/>
        <v>4.9243681132793427E-8</v>
      </c>
      <c r="BV139" s="448">
        <f t="shared" ca="1" si="112"/>
        <v>5.3504481911659241E-7</v>
      </c>
      <c r="BW139" s="448">
        <f t="shared" ca="1" si="112"/>
        <v>4.5876950025558472E-6</v>
      </c>
      <c r="BX139" s="448">
        <f t="shared" ca="1" si="112"/>
        <v>3.1349016353487968E-5</v>
      </c>
      <c r="BY139" s="448">
        <f t="shared" ca="1" si="112"/>
        <v>1.7692823894321918E-4</v>
      </c>
      <c r="BZ139" s="448">
        <f t="shared" ca="1" si="112"/>
        <v>8.4837269969284534E-4</v>
      </c>
      <c r="CA139" s="448">
        <f t="shared" ca="1" si="112"/>
        <v>3.5322948824614286E-3</v>
      </c>
      <c r="CB139" s="448">
        <f t="shared" ca="1" si="112"/>
        <v>1.3027752283960581E-2</v>
      </c>
      <c r="CD139" s="439">
        <v>687646.19101633015</v>
      </c>
      <c r="CE139" s="439">
        <v>798650.27990411886</v>
      </c>
      <c r="CF139" s="439">
        <v>868586.41075473966</v>
      </c>
      <c r="CG139" s="439">
        <v>920117.33549887338</v>
      </c>
      <c r="CH139" s="439">
        <v>968930.92508277134</v>
      </c>
      <c r="CI139" s="439">
        <v>1015314.656547194</v>
      </c>
      <c r="CJ139" s="439">
        <v>1061956.6007887034</v>
      </c>
      <c r="CK139" s="439">
        <v>1107853.5262164327</v>
      </c>
      <c r="CL139" s="439">
        <v>1155740.7465472477</v>
      </c>
      <c r="CM139" s="439">
        <v>1206048.6947757953</v>
      </c>
      <c r="CN139" s="439">
        <v>1258373.6742880715</v>
      </c>
      <c r="CO139" s="439">
        <v>1313493.6747180547</v>
      </c>
    </row>
    <row r="140" spans="1:93">
      <c r="A140" s="447" t="s">
        <v>1344</v>
      </c>
      <c r="B140" s="447"/>
      <c r="C140" s="449" t="s">
        <v>2848</v>
      </c>
      <c r="E140" s="436"/>
      <c r="F140" s="608">
        <f>+F143/F144</f>
        <v>5.6986704921922895</v>
      </c>
      <c r="G140" s="608">
        <f t="shared" ref="G140:BO140" si="121">+G143/G144</f>
        <v>5.9460155488049367</v>
      </c>
      <c r="H140" s="608">
        <f t="shared" si="121"/>
        <v>6.0176505583401037</v>
      </c>
      <c r="I140" s="608">
        <f t="shared" si="121"/>
        <v>5.536149714802546</v>
      </c>
      <c r="J140" s="608">
        <f t="shared" si="121"/>
        <v>5.3761765264588233</v>
      </c>
      <c r="K140" s="608">
        <f t="shared" si="121"/>
        <v>5.3848159062128387</v>
      </c>
      <c r="L140" s="608">
        <f t="shared" si="121"/>
        <v>4.8966992736668553</v>
      </c>
      <c r="M140" s="608">
        <f t="shared" si="121"/>
        <v>4.4982470490744833</v>
      </c>
      <c r="N140" s="608">
        <f t="shared" si="121"/>
        <v>4.3219942965254541</v>
      </c>
      <c r="O140" s="608">
        <f t="shared" si="121"/>
        <v>4.2787171884928101</v>
      </c>
      <c r="P140" s="608">
        <f t="shared" si="121"/>
        <v>3.7753264736960079</v>
      </c>
      <c r="Q140" s="608">
        <f t="shared" si="121"/>
        <v>3.5684416010965228</v>
      </c>
      <c r="R140" s="608">
        <f t="shared" si="121"/>
        <v>3.1116501763800346</v>
      </c>
      <c r="S140" s="608">
        <f t="shared" si="121"/>
        <v>2.8112427791760495</v>
      </c>
      <c r="T140" s="608">
        <f t="shared" si="121"/>
        <v>2.5409536181037007</v>
      </c>
      <c r="U140" s="608">
        <f t="shared" si="121"/>
        <v>2.2511566955224565</v>
      </c>
      <c r="V140" s="608">
        <f t="shared" si="121"/>
        <v>2.0149405556930793</v>
      </c>
      <c r="W140" s="608">
        <f t="shared" si="121"/>
        <v>1.854085824636587</v>
      </c>
      <c r="X140" s="608">
        <f t="shared" si="121"/>
        <v>1.6727012810685982</v>
      </c>
      <c r="Y140" s="608">
        <f t="shared" si="121"/>
        <v>1.7383450334782942</v>
      </c>
      <c r="Z140" s="608">
        <f t="shared" si="121"/>
        <v>1.6043858415464531</v>
      </c>
      <c r="AA140" s="608">
        <f t="shared" si="121"/>
        <v>1.6449922312951659</v>
      </c>
      <c r="AB140" s="608">
        <f t="shared" si="121"/>
        <v>1.8003830680424127</v>
      </c>
      <c r="AC140" s="608">
        <f t="shared" si="121"/>
        <v>1.6790248750766121</v>
      </c>
      <c r="AD140" s="608">
        <f t="shared" si="121"/>
        <v>1.2697097908675332</v>
      </c>
      <c r="AE140" s="608">
        <f t="shared" si="121"/>
        <v>1.1813635735148813</v>
      </c>
      <c r="AF140" s="608">
        <f t="shared" si="121"/>
        <v>1.23411644963119</v>
      </c>
      <c r="AG140" s="608">
        <f t="shared" si="121"/>
        <v>0.95714207753826297</v>
      </c>
      <c r="AH140" s="608">
        <f t="shared" si="121"/>
        <v>0.69866933573002044</v>
      </c>
      <c r="AI140" s="608">
        <f t="shared" si="121"/>
        <v>0.61449960985799112</v>
      </c>
      <c r="AJ140" s="608">
        <f t="shared" si="121"/>
        <v>0.27674794249134615</v>
      </c>
      <c r="AK140" s="608">
        <f t="shared" si="121"/>
        <v>0.13449044759336271</v>
      </c>
      <c r="AL140" s="608">
        <f t="shared" si="121"/>
        <v>0.10596755689258908</v>
      </c>
      <c r="AM140" s="608">
        <f t="shared" si="121"/>
        <v>4.7055213809057937E-2</v>
      </c>
      <c r="AN140" s="608">
        <f t="shared" si="121"/>
        <v>6.7128779385726478E-2</v>
      </c>
      <c r="AO140" s="608">
        <f t="shared" si="121"/>
        <v>0.16254041493248089</v>
      </c>
      <c r="AP140" s="608">
        <f t="shared" si="121"/>
        <v>1.4313489626492822E-2</v>
      </c>
      <c r="AQ140" s="608">
        <f t="shared" si="121"/>
        <v>-1.4469453857221773E-2</v>
      </c>
      <c r="AR140" s="608">
        <f t="shared" si="121"/>
        <v>-1.4590697016824543E-2</v>
      </c>
      <c r="AS140" s="608">
        <f t="shared" si="121"/>
        <v>0.34553627807679593</v>
      </c>
      <c r="AT140" s="608">
        <f t="shared" si="121"/>
        <v>1.0546376090091329</v>
      </c>
      <c r="AU140" s="608">
        <f t="shared" si="121"/>
        <v>1.1947461921542359</v>
      </c>
      <c r="AV140" s="608">
        <f t="shared" si="121"/>
        <v>0.89791923162217346</v>
      </c>
      <c r="AW140" s="608">
        <f t="shared" si="121"/>
        <v>0.79531472598242547</v>
      </c>
      <c r="AX140" s="608">
        <f t="shared" si="121"/>
        <v>0.76612445414847175</v>
      </c>
      <c r="AY140" s="608">
        <f t="shared" si="121"/>
        <v>0.84330547162737357</v>
      </c>
      <c r="AZ140" s="608">
        <f t="shared" si="121"/>
        <v>0.84371845121444278</v>
      </c>
      <c r="BA140" s="608">
        <f t="shared" si="121"/>
        <v>1.2591629406178133</v>
      </c>
      <c r="BB140" s="608">
        <f t="shared" si="121"/>
        <v>1.1832740213523132</v>
      </c>
      <c r="BC140" s="608">
        <f t="shared" si="121"/>
        <v>1.5088317944600562</v>
      </c>
      <c r="BD140" s="608">
        <f t="shared" si="121"/>
        <v>1.6080450522928398</v>
      </c>
      <c r="BE140" s="608">
        <f t="shared" ca="1" si="121"/>
        <v>1.2668632467829577</v>
      </c>
      <c r="BF140" s="608">
        <f t="shared" ca="1" si="121"/>
        <v>1.098055190955856</v>
      </c>
      <c r="BG140" s="608">
        <f t="shared" ca="1" si="121"/>
        <v>0.98285917900484554</v>
      </c>
      <c r="BH140" s="608">
        <f t="shared" ca="1" si="121"/>
        <v>0.89342884935043254</v>
      </c>
      <c r="BI140" s="608">
        <f t="shared" ca="1" si="121"/>
        <v>0.81439477500680135</v>
      </c>
      <c r="BJ140" s="608">
        <f t="shared" ca="1" si="121"/>
        <v>0.73984718621710033</v>
      </c>
      <c r="BK140" s="608">
        <f t="shared" ca="1" si="121"/>
        <v>0.6626038995022967</v>
      </c>
      <c r="BL140" s="608">
        <f t="shared" ca="1" si="121"/>
        <v>0.57886101356114217</v>
      </c>
      <c r="BM140" s="608">
        <f t="shared" ca="1" si="121"/>
        <v>0.48466040375628355</v>
      </c>
      <c r="BN140" s="608">
        <f t="shared" ca="1" si="121"/>
        <v>0.37497106559724125</v>
      </c>
      <c r="BO140" s="608">
        <f t="shared" ca="1" si="121"/>
        <v>0.24160086404871081</v>
      </c>
      <c r="BQ140" s="438"/>
      <c r="BR140" s="438"/>
      <c r="BS140" s="438"/>
      <c r="BT140" s="438"/>
      <c r="BU140" s="438"/>
      <c r="BV140" s="438"/>
      <c r="BW140" s="438"/>
      <c r="BX140" s="438"/>
      <c r="BY140" s="438"/>
      <c r="BZ140" s="438"/>
      <c r="CA140" s="438"/>
      <c r="CB140" s="438"/>
      <c r="CC140" s="438"/>
    </row>
    <row r="141" spans="1:93" s="450" customFormat="1">
      <c r="A141" s="481" t="s">
        <v>2273</v>
      </c>
      <c r="B141" s="481"/>
      <c r="C141" s="465" t="s">
        <v>1328</v>
      </c>
      <c r="D141" s="452"/>
      <c r="E141" s="452"/>
      <c r="F141" s="450">
        <f t="shared" ref="F141:BC141" si="122">100*F144/F235</f>
        <v>44.987364496216578</v>
      </c>
      <c r="G141" s="450">
        <f t="shared" si="122"/>
        <v>41.727200691694179</v>
      </c>
      <c r="H141" s="450">
        <f t="shared" si="122"/>
        <v>38.430514146273545</v>
      </c>
      <c r="I141" s="450">
        <f t="shared" si="122"/>
        <v>36.253976674425054</v>
      </c>
      <c r="J141" s="450">
        <f t="shared" si="122"/>
        <v>35.507376311841711</v>
      </c>
      <c r="K141" s="450">
        <f t="shared" si="122"/>
        <v>32.354498170228212</v>
      </c>
      <c r="L141" s="450">
        <f t="shared" si="122"/>
        <v>33.619157065261383</v>
      </c>
      <c r="M141" s="450">
        <f t="shared" si="122"/>
        <v>34.160221953759503</v>
      </c>
      <c r="N141" s="450">
        <f t="shared" si="122"/>
        <v>33.565470619246049</v>
      </c>
      <c r="O141" s="450">
        <f t="shared" si="122"/>
        <v>32.100909859840129</v>
      </c>
      <c r="P141" s="450">
        <f t="shared" si="122"/>
        <v>33.831792692922591</v>
      </c>
      <c r="Q141" s="450">
        <f t="shared" si="122"/>
        <v>31.113300565888068</v>
      </c>
      <c r="R141" s="450">
        <f t="shared" si="122"/>
        <v>27.809673325464747</v>
      </c>
      <c r="S141" s="450">
        <f t="shared" si="122"/>
        <v>26.358278298180391</v>
      </c>
      <c r="T141" s="450">
        <f t="shared" si="122"/>
        <v>25.747864805521253</v>
      </c>
      <c r="U141" s="450">
        <f t="shared" si="122"/>
        <v>27.580502944540797</v>
      </c>
      <c r="V141" s="450">
        <f t="shared" si="122"/>
        <v>28.374333039986261</v>
      </c>
      <c r="W141" s="450">
        <f t="shared" si="122"/>
        <v>28.432138081380593</v>
      </c>
      <c r="X141" s="450">
        <f t="shared" si="122"/>
        <v>28.389940209204127</v>
      </c>
      <c r="Y141" s="450">
        <f t="shared" si="122"/>
        <v>26.963637590069737</v>
      </c>
      <c r="Z141" s="450">
        <f t="shared" si="122"/>
        <v>26.302577390259479</v>
      </c>
      <c r="AA141" s="450">
        <f t="shared" si="122"/>
        <v>22.766585567618787</v>
      </c>
      <c r="AB141" s="450">
        <f t="shared" si="122"/>
        <v>24.232297818745664</v>
      </c>
      <c r="AC141" s="450">
        <f t="shared" si="122"/>
        <v>21.914370315306723</v>
      </c>
      <c r="AD141" s="450">
        <f t="shared" si="122"/>
        <v>20.86364136305345</v>
      </c>
      <c r="AE141" s="450">
        <f t="shared" si="122"/>
        <v>21.548309509988673</v>
      </c>
      <c r="AF141" s="450">
        <f t="shared" si="122"/>
        <v>22.89152120263568</v>
      </c>
      <c r="AG141" s="450">
        <f t="shared" si="122"/>
        <v>30.006783663780894</v>
      </c>
      <c r="AH141" s="450">
        <f t="shared" si="122"/>
        <v>43.336686924837586</v>
      </c>
      <c r="AI141" s="450">
        <f t="shared" si="122"/>
        <v>47.373870865818986</v>
      </c>
      <c r="AJ141" s="450">
        <f t="shared" si="122"/>
        <v>59.887207499350666</v>
      </c>
      <c r="AK141" s="450">
        <f t="shared" si="122"/>
        <v>81.837288344837589</v>
      </c>
      <c r="AL141" s="450">
        <f t="shared" si="122"/>
        <v>103.11875034025174</v>
      </c>
      <c r="AM141" s="450">
        <f t="shared" si="122"/>
        <v>108.51635810296729</v>
      </c>
      <c r="AN141" s="450">
        <f t="shared" si="122"/>
        <v>102.14122440581168</v>
      </c>
      <c r="AO141" s="450">
        <f t="shared" si="122"/>
        <v>59.484667029577217</v>
      </c>
      <c r="AP141" s="450">
        <f t="shared" si="122"/>
        <v>68.174575195656772</v>
      </c>
      <c r="AQ141" s="450">
        <f t="shared" si="122"/>
        <v>75.54547922630303</v>
      </c>
      <c r="AR141" s="450">
        <f t="shared" si="122"/>
        <v>64.856944268692814</v>
      </c>
      <c r="AS141" s="450">
        <f t="shared" si="122"/>
        <v>54.146549148612799</v>
      </c>
      <c r="AT141" s="450">
        <f t="shared" si="122"/>
        <v>48.20839546244229</v>
      </c>
      <c r="AU141" s="450">
        <f t="shared" si="122"/>
        <v>26.627306117905182</v>
      </c>
      <c r="AV141" s="450">
        <f t="shared" si="122"/>
        <v>25.8090818584602</v>
      </c>
      <c r="AW141" s="450">
        <f t="shared" si="122"/>
        <v>24.55184466323492</v>
      </c>
      <c r="AX141" s="450">
        <f t="shared" si="122"/>
        <v>19.464613895052622</v>
      </c>
      <c r="AY141" s="450">
        <f t="shared" si="122"/>
        <v>17.242863261682114</v>
      </c>
      <c r="AZ141" s="450">
        <f t="shared" si="122"/>
        <v>23.074373540316177</v>
      </c>
      <c r="BA141" s="450">
        <f t="shared" si="122"/>
        <v>22.976229621031283</v>
      </c>
      <c r="BB141" s="450">
        <f t="shared" si="122"/>
        <v>19.590823686072738</v>
      </c>
      <c r="BC141" s="450">
        <f t="shared" si="122"/>
        <v>14.699434623512131</v>
      </c>
      <c r="BD141" s="450">
        <f>100*BD144/BD235</f>
        <v>15.131532336072429</v>
      </c>
    </row>
    <row r="142" spans="1:93">
      <c r="A142" s="448" t="s">
        <v>101</v>
      </c>
      <c r="C142" s="442" t="s">
        <v>1455</v>
      </c>
      <c r="D142" s="447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  <c r="P142" s="447"/>
      <c r="Q142" s="447"/>
      <c r="R142" s="447"/>
      <c r="S142" s="447"/>
      <c r="T142" s="447"/>
      <c r="U142" s="447"/>
      <c r="V142" s="447"/>
      <c r="W142" s="447"/>
      <c r="X142" s="447"/>
      <c r="Y142" s="447"/>
      <c r="Z142" s="447"/>
      <c r="AA142" s="447"/>
      <c r="AB142" s="447"/>
      <c r="AC142" s="447"/>
      <c r="AD142" s="447"/>
      <c r="AE142" s="447"/>
      <c r="AF142" s="447"/>
      <c r="AG142" s="447"/>
      <c r="AH142" s="447"/>
      <c r="AI142" s="447"/>
      <c r="AJ142" s="447"/>
      <c r="AK142" s="447"/>
      <c r="AL142" s="447"/>
      <c r="AM142" s="447"/>
      <c r="AN142" s="447"/>
      <c r="AO142" s="447"/>
      <c r="AP142" s="477" t="s">
        <v>1344</v>
      </c>
      <c r="AQ142" s="477" t="s">
        <v>1344</v>
      </c>
      <c r="AR142" s="477" t="s">
        <v>1344</v>
      </c>
      <c r="AS142" s="477" t="s">
        <v>1344</v>
      </c>
      <c r="AT142" s="477" t="s">
        <v>1344</v>
      </c>
      <c r="AU142" s="477" t="s">
        <v>1344</v>
      </c>
      <c r="AV142" s="456" t="s">
        <v>1344</v>
      </c>
      <c r="AW142" s="456" t="s">
        <v>1344</v>
      </c>
      <c r="AX142" s="456" t="s">
        <v>1344</v>
      </c>
      <c r="AY142" s="456" t="s">
        <v>1344</v>
      </c>
      <c r="AZ142" s="437">
        <v>27.5</v>
      </c>
      <c r="BA142" s="437">
        <v>216.8</v>
      </c>
      <c r="BB142" s="437">
        <v>254.6</v>
      </c>
      <c r="BC142" s="437">
        <v>264.2</v>
      </c>
      <c r="BD142" s="437">
        <v>359.8</v>
      </c>
      <c r="BE142" s="461">
        <f t="shared" ref="BE142:BO142" ca="1" si="123">BD142*BE143/BD143</f>
        <v>463.64520729502624</v>
      </c>
      <c r="BF142" s="461">
        <f t="shared" ca="1" si="123"/>
        <v>542.79997436065742</v>
      </c>
      <c r="BG142" s="461">
        <f t="shared" ca="1" si="123"/>
        <v>600.08717736917083</v>
      </c>
      <c r="BH142" s="461">
        <f t="shared" ca="1" si="123"/>
        <v>636.98472761470282</v>
      </c>
      <c r="BI142" s="461">
        <f t="shared" ca="1" si="123"/>
        <v>654.28268286974446</v>
      </c>
      <c r="BJ142" s="461">
        <f t="shared" ca="1" si="123"/>
        <v>651.8642034436632</v>
      </c>
      <c r="BK142" s="461">
        <f t="shared" ca="1" si="123"/>
        <v>627.42092284300509</v>
      </c>
      <c r="BL142" s="461">
        <f t="shared" ca="1" si="123"/>
        <v>578.12087076990258</v>
      </c>
      <c r="BM142" s="461">
        <f t="shared" ca="1" si="123"/>
        <v>501.69878651035225</v>
      </c>
      <c r="BN142" s="461">
        <f t="shared" ca="1" si="123"/>
        <v>395.69139990299453</v>
      </c>
      <c r="BO142" s="461">
        <f t="shared" ca="1" si="123"/>
        <v>255.16446124600947</v>
      </c>
      <c r="BP142" s="457"/>
      <c r="BQ142" s="456" t="s">
        <v>1344</v>
      </c>
      <c r="BR142" s="456" t="s">
        <v>1344</v>
      </c>
      <c r="BS142" s="456" t="s">
        <v>1344</v>
      </c>
      <c r="BT142" s="456" t="s">
        <v>1344</v>
      </c>
      <c r="BU142" s="456" t="s">
        <v>1344</v>
      </c>
      <c r="BV142" s="456" t="s">
        <v>1344</v>
      </c>
      <c r="BW142" s="456" t="s">
        <v>1344</v>
      </c>
      <c r="BX142" s="456" t="s">
        <v>1344</v>
      </c>
      <c r="BY142" s="456" t="s">
        <v>1344</v>
      </c>
      <c r="BZ142" s="456" t="s">
        <v>1344</v>
      </c>
      <c r="CA142" s="456" t="s">
        <v>1344</v>
      </c>
      <c r="CB142" s="456" t="s">
        <v>1344</v>
      </c>
      <c r="CC142" s="456"/>
      <c r="CD142" s="439">
        <v>359.8</v>
      </c>
      <c r="CE142" s="439">
        <v>463.64520729502624</v>
      </c>
      <c r="CF142" s="439">
        <v>542.79997436065787</v>
      </c>
      <c r="CG142" s="439">
        <v>600.08717736917777</v>
      </c>
      <c r="CH142" s="439">
        <v>636.98472761478467</v>
      </c>
      <c r="CI142" s="439">
        <v>654.28268287046239</v>
      </c>
      <c r="CJ142" s="439">
        <v>651.86420344864825</v>
      </c>
      <c r="CK142" s="439">
        <v>627.42092287148398</v>
      </c>
      <c r="CL142" s="439">
        <v>578.12087090767079</v>
      </c>
      <c r="CM142" s="439">
        <v>501.6987870887761</v>
      </c>
      <c r="CN142" s="439">
        <v>395.6914020485263</v>
      </c>
      <c r="CO142" s="439">
        <v>255.16446838825723</v>
      </c>
    </row>
    <row r="143" spans="1:93">
      <c r="A143" s="447" t="s">
        <v>2274</v>
      </c>
      <c r="B143" s="447"/>
      <c r="C143" s="442" t="s">
        <v>1455</v>
      </c>
      <c r="D143" s="447" t="s">
        <v>2384</v>
      </c>
      <c r="E143" s="436" t="s">
        <v>2275</v>
      </c>
      <c r="F143" s="702">
        <f t="shared" ref="F143:AE143" si="124">G143-(F67+F68+F19+F20+F21+F22+F44-F25-F26-F27-F28-F29+F58)</f>
        <v>0.30430901372581703</v>
      </c>
      <c r="G143" s="456">
        <f t="shared" si="124"/>
        <v>0.30740901372581703</v>
      </c>
      <c r="H143" s="456">
        <f t="shared" si="124"/>
        <v>0.30990901372581703</v>
      </c>
      <c r="I143" s="456">
        <f t="shared" si="124"/>
        <v>0.31057800764590487</v>
      </c>
      <c r="J143" s="456">
        <f t="shared" si="124"/>
        <v>0.31396871728450043</v>
      </c>
      <c r="K143" s="456">
        <f t="shared" si="124"/>
        <v>0.31608870191127048</v>
      </c>
      <c r="L143" s="456">
        <f t="shared" si="124"/>
        <v>0.32416149938851579</v>
      </c>
      <c r="M143" s="456">
        <f t="shared" si="124"/>
        <v>0.31622677398473009</v>
      </c>
      <c r="N143" s="456">
        <f t="shared" si="124"/>
        <v>0.31420899195224034</v>
      </c>
      <c r="O143" s="456">
        <f t="shared" si="124"/>
        <v>0.31748082191497073</v>
      </c>
      <c r="P143" s="456">
        <f t="shared" si="124"/>
        <v>0.32467808321863401</v>
      </c>
      <c r="Q143" s="456">
        <f t="shared" si="124"/>
        <v>0.32330081484466777</v>
      </c>
      <c r="R143" s="456">
        <f t="shared" si="124"/>
        <v>0.31832181749492872</v>
      </c>
      <c r="S143" s="456">
        <f t="shared" si="124"/>
        <v>0.31626481614261853</v>
      </c>
      <c r="T143" s="456">
        <f t="shared" si="124"/>
        <v>0.30593081901222458</v>
      </c>
      <c r="U143" s="456">
        <f t="shared" si="124"/>
        <v>0.30323081032186733</v>
      </c>
      <c r="V143" s="456">
        <f t="shared" si="124"/>
        <v>0.29397982976585613</v>
      </c>
      <c r="W143" s="456">
        <f t="shared" si="124"/>
        <v>0.29442883072048404</v>
      </c>
      <c r="X143" s="456">
        <f t="shared" si="124"/>
        <v>0.27917384604364615</v>
      </c>
      <c r="Y143" s="456">
        <f t="shared" si="124"/>
        <v>0.29847384490072709</v>
      </c>
      <c r="Z143" s="456">
        <f t="shared" si="124"/>
        <v>0.3269738345071671</v>
      </c>
      <c r="AA143" s="456">
        <f t="shared" si="124"/>
        <v>0.34857385443896038</v>
      </c>
      <c r="AB143" s="456">
        <f t="shared" si="124"/>
        <v>0.44127389203757028</v>
      </c>
      <c r="AC143" s="456">
        <f t="shared" si="124"/>
        <v>0.47197389430552716</v>
      </c>
      <c r="AD143" s="456">
        <f t="shared" si="124"/>
        <v>0.38967393530160183</v>
      </c>
      <c r="AE143" s="456">
        <f t="shared" si="124"/>
        <v>0.39847393334656955</v>
      </c>
      <c r="AF143" s="475">
        <v>0.45267391372472049</v>
      </c>
      <c r="AG143" s="475">
        <v>0.51647386503964665</v>
      </c>
      <c r="AH143" s="475">
        <v>0.55977387178689242</v>
      </c>
      <c r="AI143" s="475">
        <v>0.52017391974478955</v>
      </c>
      <c r="AJ143" s="475">
        <v>0.28917392510920764</v>
      </c>
      <c r="AK143" s="475">
        <v>0.19164888782054185</v>
      </c>
      <c r="AL143" s="475">
        <v>0.19564790029078721</v>
      </c>
      <c r="AM143" s="475">
        <v>0.10066992442309856</v>
      </c>
      <c r="AN143" s="475">
        <v>0.16026996078342198</v>
      </c>
      <c r="AO143" s="475">
        <v>0.26641999411582945</v>
      </c>
      <c r="AP143" s="475">
        <v>3.4599998474121096E-2</v>
      </c>
      <c r="AQ143" s="475">
        <v>-4.5900001525878906E-2</v>
      </c>
      <c r="AR143" s="475">
        <v>-5.16E-2</v>
      </c>
      <c r="AS143" s="475">
        <v>2.2983000000000002</v>
      </c>
      <c r="AT143" s="475">
        <v>24.573900000000002</v>
      </c>
      <c r="AU143" s="475">
        <v>73.843199999999996</v>
      </c>
      <c r="AV143" s="475">
        <v>70.451999999999998</v>
      </c>
      <c r="AW143" s="475">
        <v>72.0715</v>
      </c>
      <c r="AX143" s="475">
        <v>70.177000000000007</v>
      </c>
      <c r="AY143" s="475">
        <v>114.714</v>
      </c>
      <c r="AZ143" s="475">
        <v>227.31800000000001</v>
      </c>
      <c r="BA143" s="475">
        <v>481.27600000000001</v>
      </c>
      <c r="BB143" s="475">
        <v>598.5</v>
      </c>
      <c r="BC143" s="475">
        <v>751.7</v>
      </c>
      <c r="BD143" s="475">
        <v>999.4</v>
      </c>
      <c r="BE143" s="458">
        <f t="shared" ref="BE143:BO143" ca="1" si="125">BD143+BE67+BE68+BE19+BE20+BE21+BE22+BE44-BE25-BE26-BE27-BE28-BE29-BE58+BE170</f>
        <v>1287.8460816304869</v>
      </c>
      <c r="BF143" s="458">
        <f t="shared" ca="1" si="125"/>
        <v>1507.7106569650944</v>
      </c>
      <c r="BG143" s="458">
        <f t="shared" ca="1" si="125"/>
        <v>1666.834700007641</v>
      </c>
      <c r="BH143" s="458">
        <f t="shared" ca="1" si="125"/>
        <v>1769.3233373488993</v>
      </c>
      <c r="BI143" s="458">
        <f t="shared" ca="1" si="125"/>
        <v>1817.3710763202403</v>
      </c>
      <c r="BJ143" s="458">
        <f t="shared" ca="1" si="125"/>
        <v>1810.6533766581356</v>
      </c>
      <c r="BK143" s="458">
        <f t="shared" ca="1" si="125"/>
        <v>1742.7583943560303</v>
      </c>
      <c r="BL143" s="458">
        <f t="shared" ca="1" si="125"/>
        <v>1605.8198950734879</v>
      </c>
      <c r="BM143" s="458">
        <f t="shared" ca="1" si="125"/>
        <v>1393.5457677555487</v>
      </c>
      <c r="BN143" s="458">
        <f t="shared" ca="1" si="125"/>
        <v>1099.0938995637937</v>
      </c>
      <c r="BO143" s="458">
        <f t="shared" ca="1" si="125"/>
        <v>708.75865083174483</v>
      </c>
      <c r="BP143" s="457"/>
      <c r="BQ143" s="448">
        <f t="shared" ref="BQ143:CB155" si="126">+BD143-CD143</f>
        <v>0</v>
      </c>
      <c r="BR143" s="448">
        <f t="shared" ca="1" si="126"/>
        <v>0</v>
      </c>
      <c r="BS143" s="448">
        <f t="shared" ca="1" si="126"/>
        <v>0</v>
      </c>
      <c r="BT143" s="448">
        <f t="shared" ca="1" si="126"/>
        <v>1.5234036254696548E-11</v>
      </c>
      <c r="BU143" s="448">
        <f t="shared" ca="1" si="126"/>
        <v>1.7280399333685637E-10</v>
      </c>
      <c r="BV143" s="448">
        <f t="shared" ca="1" si="126"/>
        <v>1.5270416042767465E-9</v>
      </c>
      <c r="BW143" s="448">
        <f t="shared" ca="1" si="126"/>
        <v>1.0720668797148392E-8</v>
      </c>
      <c r="BX143" s="448">
        <f t="shared" ca="1" si="126"/>
        <v>6.1899754655314609E-8</v>
      </c>
      <c r="BY143" s="448">
        <f t="shared" ca="1" si="126"/>
        <v>3.0255500860221218E-7</v>
      </c>
      <c r="BZ143" s="448">
        <f t="shared" ca="1" si="126"/>
        <v>1.2832811080443207E-6</v>
      </c>
      <c r="CA143" s="448">
        <f t="shared" ca="1" si="126"/>
        <v>4.8078866257128539E-6</v>
      </c>
      <c r="CB143" s="448">
        <f t="shared" ca="1" si="126"/>
        <v>1.6163140799108078E-5</v>
      </c>
      <c r="CD143" s="439">
        <v>999.4</v>
      </c>
      <c r="CE143" s="439">
        <v>1287.8460816304869</v>
      </c>
      <c r="CF143" s="439">
        <v>1507.7106569650937</v>
      </c>
      <c r="CG143" s="439">
        <v>1666.8347000076258</v>
      </c>
      <c r="CH143" s="439">
        <v>1769.3233373487265</v>
      </c>
      <c r="CI143" s="439">
        <v>1817.3710763187132</v>
      </c>
      <c r="CJ143" s="439">
        <v>1810.6533766474149</v>
      </c>
      <c r="CK143" s="439">
        <v>1742.7583942941305</v>
      </c>
      <c r="CL143" s="439">
        <v>1605.8198947709329</v>
      </c>
      <c r="CM143" s="439">
        <v>1393.5457664722676</v>
      </c>
      <c r="CN143" s="439">
        <v>1099.0938947559071</v>
      </c>
      <c r="CO143" s="439">
        <v>708.75863466860403</v>
      </c>
    </row>
    <row r="144" spans="1:93">
      <c r="A144" s="447" t="s">
        <v>2276</v>
      </c>
      <c r="B144" s="447"/>
      <c r="C144" s="442" t="s">
        <v>1455</v>
      </c>
      <c r="D144" s="447" t="s">
        <v>2384</v>
      </c>
      <c r="E144" s="436" t="s">
        <v>2277</v>
      </c>
      <c r="F144" s="456">
        <f t="shared" ref="F144:AE144" si="127">G144-F76</f>
        <v>5.3400001657009089E-2</v>
      </c>
      <c r="G144" s="456">
        <f t="shared" si="127"/>
        <v>5.1700001657009088E-2</v>
      </c>
      <c r="H144" s="456">
        <f t="shared" si="127"/>
        <v>5.150000165700909E-2</v>
      </c>
      <c r="I144" s="456">
        <f t="shared" si="127"/>
        <v>5.610000156164166E-2</v>
      </c>
      <c r="J144" s="456">
        <f t="shared" si="127"/>
        <v>5.8400001513957946E-2</v>
      </c>
      <c r="K144" s="456">
        <f t="shared" si="127"/>
        <v>5.8700001525878877E-2</v>
      </c>
      <c r="L144" s="456">
        <f t="shared" si="127"/>
        <v>6.6200001525878877E-2</v>
      </c>
      <c r="M144" s="456">
        <f t="shared" si="127"/>
        <v>7.0300001430511447E-2</v>
      </c>
      <c r="N144" s="456">
        <f t="shared" si="127"/>
        <v>7.2700001525878882E-2</v>
      </c>
      <c r="O144" s="456">
        <f t="shared" si="127"/>
        <v>7.4200001525878884E-2</v>
      </c>
      <c r="P144" s="456">
        <f t="shared" si="127"/>
        <v>8.6000001716613747E-2</v>
      </c>
      <c r="Q144" s="456">
        <f t="shared" si="127"/>
        <v>9.0600001621246318E-2</v>
      </c>
      <c r="R144" s="456">
        <f t="shared" si="127"/>
        <v>0.10230000143051145</v>
      </c>
      <c r="S144" s="456">
        <f t="shared" si="127"/>
        <v>0.11250000123977659</v>
      </c>
      <c r="T144" s="456">
        <f t="shared" si="127"/>
        <v>0.12040000133514402</v>
      </c>
      <c r="U144" s="456">
        <f t="shared" si="127"/>
        <v>0.13470000152587888</v>
      </c>
      <c r="V144" s="456">
        <f t="shared" si="127"/>
        <v>0.14590000133514403</v>
      </c>
      <c r="W144" s="456">
        <f t="shared" si="127"/>
        <v>0.1588000009536743</v>
      </c>
      <c r="X144" s="456">
        <f t="shared" si="127"/>
        <v>0.16690000133514402</v>
      </c>
      <c r="Y144" s="456">
        <f t="shared" si="127"/>
        <v>0.17170000152587889</v>
      </c>
      <c r="Z144" s="456">
        <f t="shared" si="127"/>
        <v>0.20379999999999998</v>
      </c>
      <c r="AA144" s="456">
        <f t="shared" si="127"/>
        <v>0.21190000038146972</v>
      </c>
      <c r="AB144" s="456">
        <f t="shared" si="127"/>
        <v>0.24510000114440919</v>
      </c>
      <c r="AC144" s="456">
        <f t="shared" si="127"/>
        <v>0.2811000011444092</v>
      </c>
      <c r="AD144" s="456">
        <f t="shared" si="127"/>
        <v>0.30690000038146975</v>
      </c>
      <c r="AE144" s="456">
        <f t="shared" si="127"/>
        <v>0.33730000000000004</v>
      </c>
      <c r="AF144" s="475">
        <v>0.36680000000000001</v>
      </c>
      <c r="AG144" s="475">
        <v>0.53959999999999997</v>
      </c>
      <c r="AH144" s="475">
        <v>0.80120000000000002</v>
      </c>
      <c r="AI144" s="475">
        <v>0.84650000000000003</v>
      </c>
      <c r="AJ144" s="475">
        <v>1.0449000000000002</v>
      </c>
      <c r="AK144" s="475">
        <v>1.425</v>
      </c>
      <c r="AL144" s="475">
        <v>1.8463000000000001</v>
      </c>
      <c r="AM144" s="475">
        <v>2.1394000000000002</v>
      </c>
      <c r="AN144" s="475">
        <v>2.3875000000000002</v>
      </c>
      <c r="AO144" s="475">
        <v>1.6391</v>
      </c>
      <c r="AP144" s="475">
        <v>2.4173</v>
      </c>
      <c r="AQ144" s="475">
        <v>3.1721999999999997</v>
      </c>
      <c r="AR144" s="475">
        <v>3.5365000000000002</v>
      </c>
      <c r="AS144" s="475">
        <v>6.6513999999999998</v>
      </c>
      <c r="AT144" s="475">
        <v>23.300799999999999</v>
      </c>
      <c r="AU144" s="475">
        <v>61.806599999999996</v>
      </c>
      <c r="AV144" s="475">
        <v>78.461399999999998</v>
      </c>
      <c r="AW144" s="475">
        <v>90.620100000000008</v>
      </c>
      <c r="AX144" s="475">
        <v>91.6</v>
      </c>
      <c r="AY144" s="475">
        <v>136.029</v>
      </c>
      <c r="AZ144" s="475">
        <v>269.42399999999998</v>
      </c>
      <c r="BA144" s="475">
        <v>382.21899999999999</v>
      </c>
      <c r="BB144" s="475">
        <v>505.8</v>
      </c>
      <c r="BC144" s="475">
        <v>498.2</v>
      </c>
      <c r="BD144" s="475">
        <v>621.5</v>
      </c>
      <c r="BE144" s="456">
        <f t="shared" ref="BE144:BO144" ca="1" si="128">BD144+BE76</f>
        <v>1016.5628254673994</v>
      </c>
      <c r="BF144" s="456">
        <f t="shared" ca="1" si="128"/>
        <v>1373.0736573019008</v>
      </c>
      <c r="BG144" s="456">
        <f t="shared" ca="1" si="128"/>
        <v>1695.9038849241122</v>
      </c>
      <c r="BH144" s="456">
        <f t="shared" ca="1" si="128"/>
        <v>1980.374081982337</v>
      </c>
      <c r="BI144" s="456">
        <f t="shared" ca="1" si="128"/>
        <v>2231.5603342433806</v>
      </c>
      <c r="BJ144" s="456">
        <f t="shared" ca="1" si="128"/>
        <v>2447.3342744143629</v>
      </c>
      <c r="BK144" s="456">
        <f t="shared" ca="1" si="128"/>
        <v>2630.1662209731512</v>
      </c>
      <c r="BL144" s="456">
        <f t="shared" ca="1" si="128"/>
        <v>2774.1026903755583</v>
      </c>
      <c r="BM144" s="456">
        <f t="shared" ca="1" si="128"/>
        <v>2875.3035258401396</v>
      </c>
      <c r="BN144" s="456">
        <f t="shared" ca="1" si="128"/>
        <v>2931.1432278466436</v>
      </c>
      <c r="BO144" s="456">
        <f t="shared" ca="1" si="128"/>
        <v>2933.593195630493</v>
      </c>
      <c r="BP144" s="457"/>
      <c r="BQ144" s="448">
        <f t="shared" si="126"/>
        <v>0</v>
      </c>
      <c r="BR144" s="448">
        <f t="shared" ca="1" si="126"/>
        <v>0</v>
      </c>
      <c r="BS144" s="448">
        <f t="shared" ca="1" si="126"/>
        <v>0</v>
      </c>
      <c r="BT144" s="448">
        <f t="shared" ca="1" si="126"/>
        <v>-1.546140993013978E-11</v>
      </c>
      <c r="BU144" s="448">
        <f t="shared" ca="1" si="126"/>
        <v>-1.8030732462648302E-10</v>
      </c>
      <c r="BV144" s="448">
        <f t="shared" ca="1" si="126"/>
        <v>-1.5324985724873841E-9</v>
      </c>
      <c r="BW144" s="448">
        <f t="shared" ca="1" si="126"/>
        <v>-1.0282747098244727E-8</v>
      </c>
      <c r="BX144" s="448">
        <f t="shared" ca="1" si="126"/>
        <v>-5.6710632634349167E-8</v>
      </c>
      <c r="BY144" s="448">
        <f t="shared" ca="1" si="126"/>
        <v>-2.6472253011888824E-7</v>
      </c>
      <c r="BZ144" s="448">
        <f t="shared" ca="1" si="126"/>
        <v>-1.0733147064456716E-6</v>
      </c>
      <c r="CA144" s="448">
        <f t="shared" ca="1" si="126"/>
        <v>-3.8484681681438815E-6</v>
      </c>
      <c r="CB144" s="448">
        <f t="shared" ca="1" si="126"/>
        <v>-1.2385029549477622E-5</v>
      </c>
      <c r="CD144" s="439">
        <v>621.5</v>
      </c>
      <c r="CE144" s="439">
        <v>1016.5628254673994</v>
      </c>
      <c r="CF144" s="439">
        <v>1373.0736573019017</v>
      </c>
      <c r="CG144" s="439">
        <v>1695.9038849241276</v>
      </c>
      <c r="CH144" s="439">
        <v>1980.3740819825173</v>
      </c>
      <c r="CI144" s="439">
        <v>2231.5603342449131</v>
      </c>
      <c r="CJ144" s="439">
        <v>2447.3342744246456</v>
      </c>
      <c r="CK144" s="439">
        <v>2630.1662210298618</v>
      </c>
      <c r="CL144" s="439">
        <v>2774.1026906402808</v>
      </c>
      <c r="CM144" s="439">
        <v>2875.3035269134543</v>
      </c>
      <c r="CN144" s="439">
        <v>2931.1432316951118</v>
      </c>
      <c r="CO144" s="439">
        <v>2933.5932080155226</v>
      </c>
    </row>
    <row r="145" spans="1:93">
      <c r="A145" s="447" t="s">
        <v>2278</v>
      </c>
      <c r="B145" s="447"/>
      <c r="C145" s="442" t="s">
        <v>1455</v>
      </c>
      <c r="D145" s="447" t="s">
        <v>2279</v>
      </c>
      <c r="E145" s="438" t="s">
        <v>2280</v>
      </c>
      <c r="F145" s="456"/>
      <c r="G145" s="456"/>
      <c r="H145" s="456"/>
      <c r="I145" s="456"/>
      <c r="J145" s="456"/>
      <c r="K145" s="456"/>
      <c r="L145" s="456"/>
      <c r="M145" s="456"/>
      <c r="N145" s="456"/>
      <c r="O145" s="456"/>
      <c r="P145" s="456"/>
      <c r="Q145" s="456"/>
      <c r="R145" s="456"/>
      <c r="S145" s="456"/>
      <c r="T145" s="456"/>
      <c r="U145" s="456"/>
      <c r="V145" s="456"/>
      <c r="W145" s="456"/>
      <c r="X145" s="456"/>
      <c r="Y145" s="456"/>
      <c r="Z145" s="456"/>
      <c r="AA145" s="456"/>
      <c r="AB145" s="456"/>
      <c r="AC145" s="456"/>
      <c r="AD145" s="456"/>
      <c r="AE145" s="456"/>
      <c r="AF145" s="456"/>
      <c r="AG145" s="456"/>
      <c r="AH145" s="456"/>
      <c r="AI145" s="456"/>
      <c r="AJ145" s="456"/>
      <c r="AK145" s="456"/>
      <c r="AL145" s="456"/>
      <c r="AM145" s="456"/>
      <c r="AN145" s="456"/>
      <c r="AO145" s="456">
        <f>AP145-AO73-AO177</f>
        <v>2.8063999063968659</v>
      </c>
      <c r="AP145" s="475">
        <v>3.1438999023437502</v>
      </c>
      <c r="AQ145" s="475">
        <v>3.7893999023437499</v>
      </c>
      <c r="AR145" s="475">
        <v>4.2008000000000001</v>
      </c>
      <c r="AS145" s="475">
        <v>5.9749999999999996</v>
      </c>
      <c r="AT145" s="475">
        <v>5.9420000000000002</v>
      </c>
      <c r="AU145" s="475">
        <v>5.1470000000000002</v>
      </c>
      <c r="AV145" s="475">
        <v>5.9366000000000003</v>
      </c>
      <c r="AW145" s="475">
        <v>11.197090740607553</v>
      </c>
      <c r="AX145" s="475">
        <v>24.619</v>
      </c>
      <c r="AY145" s="475">
        <v>97.587000000000003</v>
      </c>
      <c r="AZ145" s="475">
        <v>237.61</v>
      </c>
      <c r="BA145" s="475">
        <v>126.11</v>
      </c>
      <c r="BB145" s="475">
        <v>356.35599999999999</v>
      </c>
      <c r="BC145" s="475">
        <v>408.69099999999997</v>
      </c>
      <c r="BD145" s="475">
        <v>511.923</v>
      </c>
      <c r="BE145" s="456">
        <f t="shared" ref="BE145:BO145" ca="1" si="129">BD145+BE73+BE177</f>
        <v>631.86572657900251</v>
      </c>
      <c r="BF145" s="456">
        <f t="shared" ca="1" si="129"/>
        <v>781.83796582098637</v>
      </c>
      <c r="BG145" s="456">
        <f t="shared" ca="1" si="129"/>
        <v>958.87013314274122</v>
      </c>
      <c r="BH145" s="456">
        <f t="shared" ca="1" si="129"/>
        <v>1154.1776756017978</v>
      </c>
      <c r="BI145" s="456">
        <f t="shared" ca="1" si="129"/>
        <v>1370.6421716335901</v>
      </c>
      <c r="BJ145" s="456">
        <f t="shared" ca="1" si="129"/>
        <v>1606.4597942087682</v>
      </c>
      <c r="BK145" s="456">
        <f t="shared" ca="1" si="129"/>
        <v>1870.5127058117525</v>
      </c>
      <c r="BL145" s="456">
        <f t="shared" ca="1" si="129"/>
        <v>2164.7136572387917</v>
      </c>
      <c r="BM145" s="456">
        <f t="shared" ca="1" si="129"/>
        <v>2491.5146027634023</v>
      </c>
      <c r="BN145" s="456">
        <f t="shared" ca="1" si="129"/>
        <v>2855.1321557037513</v>
      </c>
      <c r="BO145" s="456">
        <f t="shared" ca="1" si="129"/>
        <v>3261.2433549617385</v>
      </c>
      <c r="BP145" s="457"/>
      <c r="BQ145" s="448">
        <f t="shared" si="126"/>
        <v>0</v>
      </c>
      <c r="BR145" s="448">
        <f t="shared" ca="1" si="126"/>
        <v>0</v>
      </c>
      <c r="BS145" s="448">
        <f t="shared" ca="1" si="126"/>
        <v>0</v>
      </c>
      <c r="BT145" s="448">
        <f t="shared" ca="1" si="126"/>
        <v>3.637978807091713E-12</v>
      </c>
      <c r="BU145" s="448">
        <f t="shared" ca="1" si="126"/>
        <v>4.6611603465862572E-11</v>
      </c>
      <c r="BV145" s="448">
        <f t="shared" ca="1" si="126"/>
        <v>4.6111381379887462E-10</v>
      </c>
      <c r="BW145" s="448">
        <f t="shared" ca="1" si="126"/>
        <v>3.5636276152217761E-9</v>
      </c>
      <c r="BX145" s="448">
        <f t="shared" ca="1" si="126"/>
        <v>2.2393123799702153E-8</v>
      </c>
      <c r="BY145" s="448">
        <f t="shared" ca="1" si="126"/>
        <v>1.1794918464147486E-7</v>
      </c>
      <c r="BZ145" s="448">
        <f t="shared" ca="1" si="126"/>
        <v>5.3334588301368058E-7</v>
      </c>
      <c r="CA145" s="448">
        <f t="shared" ca="1" si="126"/>
        <v>2.1110768102516886E-6</v>
      </c>
      <c r="CB145" s="448">
        <f t="shared" ca="1" si="126"/>
        <v>7.4536646934575401E-6</v>
      </c>
      <c r="CD145" s="439">
        <v>511.923</v>
      </c>
      <c r="CE145" s="439">
        <v>631.86572657900251</v>
      </c>
      <c r="CF145" s="439">
        <v>781.83796582098614</v>
      </c>
      <c r="CG145" s="439">
        <v>958.87013314273759</v>
      </c>
      <c r="CH145" s="439">
        <v>1154.1776756017512</v>
      </c>
      <c r="CI145" s="439">
        <v>1370.642171633129</v>
      </c>
      <c r="CJ145" s="439">
        <v>1606.4597942052046</v>
      </c>
      <c r="CK145" s="439">
        <v>1870.5127057893594</v>
      </c>
      <c r="CL145" s="439">
        <v>2164.7136571208425</v>
      </c>
      <c r="CM145" s="439">
        <v>2491.5146022300564</v>
      </c>
      <c r="CN145" s="439">
        <v>2855.1321535926745</v>
      </c>
      <c r="CO145" s="439">
        <v>3261.2433475080738</v>
      </c>
    </row>
    <row r="146" spans="1:93">
      <c r="A146" s="447" t="s">
        <v>2281</v>
      </c>
      <c r="B146" s="447"/>
      <c r="C146" s="442" t="s">
        <v>1455</v>
      </c>
      <c r="D146" s="447" t="s">
        <v>2279</v>
      </c>
      <c r="E146" s="436" t="s">
        <v>2282</v>
      </c>
      <c r="F146" s="456"/>
      <c r="G146" s="456"/>
      <c r="H146" s="456"/>
      <c r="I146" s="456"/>
      <c r="J146" s="456"/>
      <c r="K146" s="456"/>
      <c r="L146" s="456"/>
      <c r="M146" s="456"/>
      <c r="N146" s="456"/>
      <c r="O146" s="456"/>
      <c r="P146" s="456"/>
      <c r="Q146" s="456"/>
      <c r="R146" s="456"/>
      <c r="S146" s="456"/>
      <c r="T146" s="456"/>
      <c r="U146" s="456"/>
      <c r="V146" s="456"/>
      <c r="W146" s="456"/>
      <c r="X146" s="456"/>
      <c r="Y146" s="456"/>
      <c r="Z146" s="456"/>
      <c r="AA146" s="456"/>
      <c r="AB146" s="456"/>
      <c r="AC146" s="456"/>
      <c r="AD146" s="456"/>
      <c r="AE146" s="456"/>
      <c r="AF146" s="456"/>
      <c r="AG146" s="456"/>
      <c r="AH146" s="456"/>
      <c r="AI146" s="456"/>
      <c r="AJ146" s="456"/>
      <c r="AK146" s="456"/>
      <c r="AL146" s="456"/>
      <c r="AM146" s="456"/>
      <c r="AN146" s="456"/>
      <c r="AO146" s="456">
        <f>AP146-(AO74+AO71+AO72-AO73)</f>
        <v>0.15680000638961794</v>
      </c>
      <c r="AP146" s="475">
        <v>0.19160000610351563</v>
      </c>
      <c r="AQ146" s="475">
        <v>0.19160000610351563</v>
      </c>
      <c r="AR146" s="475">
        <v>0.19160000610351563</v>
      </c>
      <c r="AS146" s="475">
        <v>0.15369999999999998</v>
      </c>
      <c r="AT146" s="475">
        <v>0.158</v>
      </c>
      <c r="AU146" s="475">
        <v>70.400000000000006</v>
      </c>
      <c r="AV146" s="475">
        <v>60.632652499999999</v>
      </c>
      <c r="AW146" s="475">
        <v>63.65734440685624</v>
      </c>
      <c r="AX146" s="475">
        <v>85.012</v>
      </c>
      <c r="AY146" s="475">
        <v>221.76820999999998</v>
      </c>
      <c r="AZ146" s="475">
        <v>259.57017300000001</v>
      </c>
      <c r="BA146" s="475">
        <v>588.08607499999994</v>
      </c>
      <c r="BB146" s="475">
        <v>657.16040249999992</v>
      </c>
      <c r="BC146" s="475">
        <v>705.4533775000001</v>
      </c>
      <c r="BD146" s="475">
        <v>652.07835</v>
      </c>
      <c r="BE146" s="456">
        <f>BD146+BE74+BE71+BE72-BE73</f>
        <v>660.94595059923063</v>
      </c>
      <c r="BF146" s="456">
        <f t="shared" ref="BF146:BO146" si="130">BE146+BF74+BF71+BF72-BF73</f>
        <v>669.81355119846125</v>
      </c>
      <c r="BG146" s="456">
        <f t="shared" si="130"/>
        <v>678.68115179769188</v>
      </c>
      <c r="BH146" s="456">
        <f t="shared" si="130"/>
        <v>687.54875239692251</v>
      </c>
      <c r="BI146" s="456">
        <f t="shared" si="130"/>
        <v>696.41635299615314</v>
      </c>
      <c r="BJ146" s="456">
        <f t="shared" si="130"/>
        <v>705.28395359538376</v>
      </c>
      <c r="BK146" s="456">
        <f t="shared" si="130"/>
        <v>714.15155419461439</v>
      </c>
      <c r="BL146" s="456">
        <f t="shared" si="130"/>
        <v>723.01915479384502</v>
      </c>
      <c r="BM146" s="456">
        <f t="shared" si="130"/>
        <v>731.88675539307565</v>
      </c>
      <c r="BN146" s="456">
        <f t="shared" si="130"/>
        <v>740.75435599230627</v>
      </c>
      <c r="BO146" s="456">
        <f t="shared" si="130"/>
        <v>749.6219565915369</v>
      </c>
      <c r="BP146" s="457"/>
      <c r="BQ146" s="448">
        <f t="shared" si="126"/>
        <v>0</v>
      </c>
      <c r="BR146" s="448">
        <f t="shared" si="126"/>
        <v>0</v>
      </c>
      <c r="BS146" s="448">
        <f t="shared" si="126"/>
        <v>0</v>
      </c>
      <c r="BT146" s="448">
        <f t="shared" si="126"/>
        <v>0</v>
      </c>
      <c r="BU146" s="448">
        <f t="shared" si="126"/>
        <v>0</v>
      </c>
      <c r="BV146" s="448">
        <f t="shared" si="126"/>
        <v>0</v>
      </c>
      <c r="BW146" s="448">
        <f t="shared" si="126"/>
        <v>0</v>
      </c>
      <c r="BX146" s="448">
        <f t="shared" si="126"/>
        <v>0</v>
      </c>
      <c r="BY146" s="448">
        <f t="shared" si="126"/>
        <v>0</v>
      </c>
      <c r="BZ146" s="448">
        <f t="shared" si="126"/>
        <v>0</v>
      </c>
      <c r="CA146" s="448">
        <f t="shared" si="126"/>
        <v>0</v>
      </c>
      <c r="CB146" s="448">
        <f t="shared" si="126"/>
        <v>0</v>
      </c>
      <c r="CD146" s="439">
        <v>652.07835</v>
      </c>
      <c r="CE146" s="439">
        <v>660.94595059923063</v>
      </c>
      <c r="CF146" s="439">
        <v>669.81355119846125</v>
      </c>
      <c r="CG146" s="439">
        <v>678.68115179769188</v>
      </c>
      <c r="CH146" s="439">
        <v>687.54875239692251</v>
      </c>
      <c r="CI146" s="439">
        <v>696.41635299615314</v>
      </c>
      <c r="CJ146" s="439">
        <v>705.28395359538376</v>
      </c>
      <c r="CK146" s="439">
        <v>714.15155419461439</v>
      </c>
      <c r="CL146" s="439">
        <v>723.01915479384502</v>
      </c>
      <c r="CM146" s="439">
        <v>731.88675539307565</v>
      </c>
      <c r="CN146" s="439">
        <v>740.75435599230627</v>
      </c>
      <c r="CO146" s="439">
        <v>749.6219565915369</v>
      </c>
    </row>
    <row r="147" spans="1:93">
      <c r="A147" s="447" t="s">
        <v>2283</v>
      </c>
      <c r="B147" s="447"/>
      <c r="C147" s="442" t="s">
        <v>1455</v>
      </c>
      <c r="D147" s="447"/>
      <c r="E147" s="436" t="s">
        <v>2284</v>
      </c>
      <c r="F147" s="475">
        <v>0.27098869152069088</v>
      </c>
      <c r="G147" s="475">
        <v>0.2864886915206909</v>
      </c>
      <c r="H147" s="475">
        <v>0.30228869152069093</v>
      </c>
      <c r="I147" s="475">
        <v>0.31968869209289552</v>
      </c>
      <c r="J147" s="475">
        <v>0.34578869056701661</v>
      </c>
      <c r="K147" s="475">
        <v>0.37258869171142578</v>
      </c>
      <c r="L147" s="475">
        <v>0.39968869018554687</v>
      </c>
      <c r="M147" s="475">
        <v>0.43028868865966796</v>
      </c>
      <c r="N147" s="475">
        <v>0.45938868713378905</v>
      </c>
      <c r="O147" s="475">
        <v>0.4945886878967285</v>
      </c>
      <c r="P147" s="475">
        <v>0.53628868865966794</v>
      </c>
      <c r="Q147" s="475">
        <v>0.63278868675231936</v>
      </c>
      <c r="R147" s="475">
        <v>0.73218869018554689</v>
      </c>
      <c r="S147" s="475">
        <v>0.79395243072509769</v>
      </c>
      <c r="T147" s="475">
        <v>0.831503345489502</v>
      </c>
      <c r="U147" s="475">
        <v>0.86962042617797852</v>
      </c>
      <c r="V147" s="475">
        <v>0.89097875976562502</v>
      </c>
      <c r="W147" s="475">
        <v>0.90897659301757816</v>
      </c>
      <c r="X147" s="475">
        <v>0.93038323211669927</v>
      </c>
      <c r="Y147" s="475">
        <v>0.96098323059082036</v>
      </c>
      <c r="Z147" s="475">
        <v>1.0069832305908204</v>
      </c>
      <c r="AA147" s="475">
        <v>1.1239832305908204</v>
      </c>
      <c r="AB147" s="475">
        <v>1.3082232437133789</v>
      </c>
      <c r="AC147" s="475">
        <v>1.3567532348632811</v>
      </c>
      <c r="AD147" s="475">
        <v>1.4617532348632813</v>
      </c>
      <c r="AE147" s="475">
        <v>1.535033233642578</v>
      </c>
      <c r="AF147" s="475">
        <v>1.5661732330322267</v>
      </c>
      <c r="AG147" s="475">
        <v>1.6866832275390624</v>
      </c>
      <c r="AH147" s="475">
        <v>1.8797132263183594</v>
      </c>
      <c r="AI147" s="475">
        <v>2.0197432098388672</v>
      </c>
      <c r="AJ147" s="475">
        <v>1.9934532012939452</v>
      </c>
      <c r="AK147" s="475">
        <v>1.9392931976318359</v>
      </c>
      <c r="AL147" s="475">
        <v>1.9107431945800781</v>
      </c>
      <c r="AM147" s="475">
        <v>1.9029931945800782</v>
      </c>
      <c r="AN147" s="475">
        <v>1.8879931945800781</v>
      </c>
      <c r="AO147" s="475">
        <v>1.9219931945800781</v>
      </c>
      <c r="AP147" s="475">
        <v>1.8573931884765624</v>
      </c>
      <c r="AQ147" s="482">
        <f>AP147*(1+AQ83/100)-AQ14+AQ12</f>
        <v>2.583415053512117</v>
      </c>
      <c r="AR147" s="482">
        <f t="shared" ref="AR147:BO147" si="131">AQ147*(1+AR83/100)-AR14+AR12</f>
        <v>4.1222785597867926</v>
      </c>
      <c r="AS147" s="482">
        <f t="shared" si="131"/>
        <v>10.845359083393523</v>
      </c>
      <c r="AT147" s="482">
        <f t="shared" si="131"/>
        <v>64.367974919823808</v>
      </c>
      <c r="AU147" s="482">
        <f t="shared" si="131"/>
        <v>226.76408179950889</v>
      </c>
      <c r="AV147" s="482">
        <f t="shared" si="131"/>
        <v>295.86433685064753</v>
      </c>
      <c r="AW147" s="482">
        <f t="shared" si="131"/>
        <v>358.36723024356712</v>
      </c>
      <c r="AX147" s="482">
        <f t="shared" si="131"/>
        <v>405.10979811972851</v>
      </c>
      <c r="AY147" s="482">
        <f t="shared" si="131"/>
        <v>771.21815379884902</v>
      </c>
      <c r="AZ147" s="482">
        <f t="shared" si="131"/>
        <v>999.15552867725842</v>
      </c>
      <c r="BA147" s="482">
        <f t="shared" ca="1" si="131"/>
        <v>1434.5412163743192</v>
      </c>
      <c r="BB147" s="482">
        <f t="shared" ca="1" si="131"/>
        <v>1481.7097320613209</v>
      </c>
      <c r="BC147" s="482">
        <f t="shared" ca="1" si="131"/>
        <v>1809.7672485839512</v>
      </c>
      <c r="BD147" s="482">
        <f t="shared" ca="1" si="131"/>
        <v>2276.1440712091771</v>
      </c>
      <c r="BE147" s="482">
        <f t="shared" ca="1" si="131"/>
        <v>2620.7529183642273</v>
      </c>
      <c r="BF147" s="482">
        <f t="shared" ca="1" si="131"/>
        <v>2927.7937327809077</v>
      </c>
      <c r="BG147" s="482">
        <f t="shared" ca="1" si="131"/>
        <v>3207.4290292440255</v>
      </c>
      <c r="BH147" s="482">
        <f t="shared" ca="1" si="131"/>
        <v>3466.7492667868069</v>
      </c>
      <c r="BI147" s="482">
        <f t="shared" ca="1" si="131"/>
        <v>3710.1395958590119</v>
      </c>
      <c r="BJ147" s="482">
        <f t="shared" ca="1" si="131"/>
        <v>3941.3747760113097</v>
      </c>
      <c r="BK147" s="482">
        <f t="shared" ca="1" si="131"/>
        <v>4164.306284217806</v>
      </c>
      <c r="BL147" s="482">
        <f t="shared" ca="1" si="131"/>
        <v>4382.6215500030949</v>
      </c>
      <c r="BM147" s="482">
        <f t="shared" ca="1" si="131"/>
        <v>4598.5052176231266</v>
      </c>
      <c r="BN147" s="482">
        <f t="shared" ca="1" si="131"/>
        <v>4813.5608256567011</v>
      </c>
      <c r="BO147" s="482">
        <f t="shared" ca="1" si="131"/>
        <v>5028.9917275594644</v>
      </c>
      <c r="BP147" s="445"/>
      <c r="BQ147" s="448">
        <f ca="1">+BD147-CD147</f>
        <v>0</v>
      </c>
      <c r="BR147" s="448">
        <f t="shared" ca="1" si="126"/>
        <v>0</v>
      </c>
      <c r="BS147" s="448">
        <f t="shared" ca="1" si="126"/>
        <v>0</v>
      </c>
      <c r="BT147" s="448">
        <f t="shared" ca="1" si="126"/>
        <v>4.5474735088646412E-12</v>
      </c>
      <c r="BU147" s="448">
        <f t="shared" ca="1" si="126"/>
        <v>6.5938365878537297E-11</v>
      </c>
      <c r="BV147" s="448">
        <f t="shared" ca="1" si="126"/>
        <v>6.0390448197722435E-10</v>
      </c>
      <c r="BW147" s="448">
        <f t="shared" ca="1" si="126"/>
        <v>4.2405190470162779E-9</v>
      </c>
      <c r="BX147" s="448">
        <f t="shared" ca="1" si="126"/>
        <v>2.3851498553995043E-8</v>
      </c>
      <c r="BY147" s="448">
        <f t="shared" ca="1" si="126"/>
        <v>1.113094185711816E-7</v>
      </c>
      <c r="BZ147" s="448">
        <f t="shared" ca="1" si="126"/>
        <v>4.428584361448884E-7</v>
      </c>
      <c r="CA147" s="448">
        <f t="shared" ca="1" si="126"/>
        <v>1.5298437574529089E-6</v>
      </c>
      <c r="CB147" s="448">
        <f t="shared" ca="1" si="126"/>
        <v>4.691693902714178E-6</v>
      </c>
      <c r="CD147" s="439">
        <v>2276.1440712091771</v>
      </c>
      <c r="CE147" s="439">
        <v>2620.7529183642273</v>
      </c>
      <c r="CF147" s="439">
        <v>2927.7937327809077</v>
      </c>
      <c r="CG147" s="439">
        <v>3207.429029244021</v>
      </c>
      <c r="CH147" s="439">
        <v>3466.7492667867409</v>
      </c>
      <c r="CI147" s="439">
        <v>3710.139595858408</v>
      </c>
      <c r="CJ147" s="439">
        <v>3941.3747760070692</v>
      </c>
      <c r="CK147" s="439">
        <v>4164.3062841939545</v>
      </c>
      <c r="CL147" s="439">
        <v>4382.6215498917854</v>
      </c>
      <c r="CM147" s="439">
        <v>4598.5052171802681</v>
      </c>
      <c r="CN147" s="439">
        <v>4813.5608241268574</v>
      </c>
      <c r="CO147" s="439">
        <v>5028.9917228677705</v>
      </c>
    </row>
    <row r="148" spans="1:93">
      <c r="A148" s="447" t="s">
        <v>2285</v>
      </c>
      <c r="B148" s="447"/>
      <c r="C148" s="442" t="s">
        <v>1455</v>
      </c>
      <c r="D148" s="447"/>
      <c r="E148" s="436" t="s">
        <v>2286</v>
      </c>
      <c r="F148" s="456">
        <f t="shared" ref="F148:AN148" si="132">G148-(F67-F71-F47-F72+F73)</f>
        <v>0.60372302999496419</v>
      </c>
      <c r="G148" s="456">
        <f t="shared" si="132"/>
        <v>0.6026230299949642</v>
      </c>
      <c r="H148" s="456">
        <f t="shared" si="132"/>
        <v>0.60232302999496423</v>
      </c>
      <c r="I148" s="456">
        <f t="shared" si="132"/>
        <v>0.60352303013205488</v>
      </c>
      <c r="J148" s="456">
        <f t="shared" si="132"/>
        <v>0.60692303022742233</v>
      </c>
      <c r="K148" s="456">
        <f t="shared" si="132"/>
        <v>0.61172303060442168</v>
      </c>
      <c r="L148" s="456">
        <f t="shared" si="132"/>
        <v>0.63322302917391016</v>
      </c>
      <c r="M148" s="456">
        <f t="shared" si="132"/>
        <v>0.65282302812486837</v>
      </c>
      <c r="N148" s="456">
        <f t="shared" si="132"/>
        <v>0.67792302659898951</v>
      </c>
      <c r="O148" s="456">
        <f t="shared" si="132"/>
        <v>0.7137230263128872</v>
      </c>
      <c r="P148" s="456">
        <f t="shared" si="132"/>
        <v>0.74652302610874133</v>
      </c>
      <c r="Q148" s="456">
        <f t="shared" si="132"/>
        <v>0.81472302355617243</v>
      </c>
      <c r="R148" s="456">
        <f t="shared" si="132"/>
        <v>0.8831230231747027</v>
      </c>
      <c r="S148" s="456">
        <f t="shared" si="132"/>
        <v>0.89692302354425146</v>
      </c>
      <c r="T148" s="456">
        <f t="shared" si="132"/>
        <v>0.89762302421778395</v>
      </c>
      <c r="U148" s="456">
        <f t="shared" si="132"/>
        <v>0.91722302412241652</v>
      </c>
      <c r="V148" s="456">
        <f t="shared" si="132"/>
        <v>0.91272302594035815</v>
      </c>
      <c r="W148" s="456">
        <f t="shared" si="132"/>
        <v>0.90472302498668378</v>
      </c>
      <c r="X148" s="456">
        <f t="shared" si="132"/>
        <v>0.88712302388995834</v>
      </c>
      <c r="Y148" s="456">
        <f t="shared" si="132"/>
        <v>0.88442302265018169</v>
      </c>
      <c r="Z148" s="456">
        <f t="shared" si="132"/>
        <v>0.92552302613109294</v>
      </c>
      <c r="AA148" s="456">
        <f t="shared" si="132"/>
        <v>0.93072302346676528</v>
      </c>
      <c r="AB148" s="456">
        <f t="shared" si="132"/>
        <v>1.0173230232521886</v>
      </c>
      <c r="AC148" s="456">
        <f t="shared" si="132"/>
        <v>0.96632302496582212</v>
      </c>
      <c r="AD148" s="456">
        <f t="shared" si="132"/>
        <v>0.94532303259521666</v>
      </c>
      <c r="AE148" s="456">
        <f t="shared" si="132"/>
        <v>0.93732302949577517</v>
      </c>
      <c r="AF148" s="456">
        <f t="shared" si="132"/>
        <v>0.90682302645593826</v>
      </c>
      <c r="AG148" s="456">
        <f t="shared" si="132"/>
        <v>0.939768521972</v>
      </c>
      <c r="AH148" s="456">
        <f t="shared" si="132"/>
        <v>1.0111290139183395</v>
      </c>
      <c r="AI148" s="456">
        <f t="shared" si="132"/>
        <v>1.0447625068649642</v>
      </c>
      <c r="AJ148" s="456">
        <f t="shared" si="132"/>
        <v>1.1076000088676803</v>
      </c>
      <c r="AK148" s="456">
        <f t="shared" si="132"/>
        <v>1.1110000090599053</v>
      </c>
      <c r="AL148" s="456">
        <f t="shared" si="132"/>
        <v>1.1386000080108636</v>
      </c>
      <c r="AM148" s="456">
        <f t="shared" si="132"/>
        <v>1.078600009441375</v>
      </c>
      <c r="AN148" s="456">
        <f t="shared" si="132"/>
        <v>0.94860000753402629</v>
      </c>
      <c r="AO148" s="456">
        <f>AP148-(AO67-AO71-AO47-AO72+AO73)</f>
        <v>0.76350000429153364</v>
      </c>
      <c r="AP148" s="475">
        <f>420.700004577636/1000</f>
        <v>0.42070000457763596</v>
      </c>
      <c r="AQ148" s="477">
        <f>AP148+AQ67-AQ71-AQ47-AQ72+AQ73</f>
        <v>0.457100004577636</v>
      </c>
      <c r="AR148" s="477">
        <f>AQ148+AR67-AR71-AR47-AR72+AR73</f>
        <v>0.42820000457763602</v>
      </c>
      <c r="AS148" s="477">
        <f>AR148+AS67-AS71-AS47-AS72+AS73</f>
        <v>-1.6154999954223639</v>
      </c>
      <c r="AT148" s="477">
        <f>AS148+AT67-AT71-AT47-AT72+AT73</f>
        <v>-4.7310999954223636</v>
      </c>
      <c r="AU148" s="477">
        <f>AT148+AU67-AU71-AU47-AU72+AU73</f>
        <v>-7.0101999954223633</v>
      </c>
      <c r="AV148" s="461">
        <f>0.33*AU147</f>
        <v>74.832146993837938</v>
      </c>
      <c r="AW148" s="456">
        <f t="shared" ref="AW148:BC148" si="133">AV148+AW67-AW71-AW47-AW72+AW73+AW170</f>
        <v>74.855928845435955</v>
      </c>
      <c r="AX148" s="456">
        <f t="shared" si="133"/>
        <v>97.380728845435939</v>
      </c>
      <c r="AY148" s="456">
        <f t="shared" si="133"/>
        <v>73.976500067381096</v>
      </c>
      <c r="AZ148" s="456">
        <f t="shared" si="133"/>
        <v>190.43225848929058</v>
      </c>
      <c r="BA148" s="456">
        <f t="shared" si="133"/>
        <v>427.78778822615243</v>
      </c>
      <c r="BB148" s="456">
        <f t="shared" si="133"/>
        <v>911.78123575312065</v>
      </c>
      <c r="BC148" s="456">
        <f t="shared" ca="1" si="133"/>
        <v>1529.1536492881523</v>
      </c>
      <c r="BD148" s="461">
        <f ca="1">0.5*BC147</f>
        <v>904.88362429197559</v>
      </c>
      <c r="BE148" s="456">
        <f t="shared" ref="BE148:BO148" ca="1" si="134">BD148+BE67-BE71-BE47-BE72+BE73</f>
        <v>808.02112429197564</v>
      </c>
      <c r="BF148" s="456">
        <f t="shared" ca="1" si="134"/>
        <v>711.15862429197568</v>
      </c>
      <c r="BG148" s="456">
        <f t="shared" ca="1" si="134"/>
        <v>614.29612429197573</v>
      </c>
      <c r="BH148" s="456">
        <f t="shared" ca="1" si="134"/>
        <v>517.43362429197578</v>
      </c>
      <c r="BI148" s="456">
        <f t="shared" ca="1" si="134"/>
        <v>420.57112429197571</v>
      </c>
      <c r="BJ148" s="456">
        <f t="shared" ca="1" si="134"/>
        <v>323.70862429197564</v>
      </c>
      <c r="BK148" s="456">
        <f t="shared" ca="1" si="134"/>
        <v>226.8461242919756</v>
      </c>
      <c r="BL148" s="456">
        <f t="shared" ca="1" si="134"/>
        <v>129.98362429197559</v>
      </c>
      <c r="BM148" s="456">
        <f t="shared" ca="1" si="134"/>
        <v>33.121124291975576</v>
      </c>
      <c r="BN148" s="456">
        <f t="shared" ca="1" si="134"/>
        <v>-63.741375708024428</v>
      </c>
      <c r="BO148" s="456">
        <f t="shared" ca="1" si="134"/>
        <v>-160.60387570802445</v>
      </c>
      <c r="BP148" s="457"/>
      <c r="BQ148" s="448">
        <f ca="1">+BD148-CD148</f>
        <v>0</v>
      </c>
      <c r="BR148" s="448">
        <f t="shared" ca="1" si="126"/>
        <v>0</v>
      </c>
      <c r="BS148" s="448">
        <f t="shared" ca="1" si="126"/>
        <v>0</v>
      </c>
      <c r="BT148" s="448">
        <f t="shared" ca="1" si="126"/>
        <v>0</v>
      </c>
      <c r="BU148" s="448">
        <f t="shared" ca="1" si="126"/>
        <v>0</v>
      </c>
      <c r="BV148" s="448">
        <f t="shared" ca="1" si="126"/>
        <v>0</v>
      </c>
      <c r="BW148" s="448">
        <f t="shared" ca="1" si="126"/>
        <v>0</v>
      </c>
      <c r="BX148" s="448">
        <f t="shared" ca="1" si="126"/>
        <v>0</v>
      </c>
      <c r="BY148" s="448">
        <f t="shared" ca="1" si="126"/>
        <v>0</v>
      </c>
      <c r="BZ148" s="448">
        <f t="shared" ca="1" si="126"/>
        <v>0</v>
      </c>
      <c r="CA148" s="448">
        <f t="shared" ca="1" si="126"/>
        <v>0</v>
      </c>
      <c r="CB148" s="448">
        <f t="shared" ca="1" si="126"/>
        <v>0</v>
      </c>
      <c r="CD148" s="439">
        <v>904.88362429197559</v>
      </c>
      <c r="CE148" s="439">
        <v>808.02112429197564</v>
      </c>
      <c r="CF148" s="439">
        <v>711.15862429197568</v>
      </c>
      <c r="CG148" s="439">
        <v>614.29612429197573</v>
      </c>
      <c r="CH148" s="439">
        <v>517.43362429197578</v>
      </c>
      <c r="CI148" s="439">
        <v>420.57112429197571</v>
      </c>
      <c r="CJ148" s="439">
        <v>323.70862429197564</v>
      </c>
      <c r="CK148" s="439">
        <v>226.8461242919756</v>
      </c>
      <c r="CL148" s="439">
        <v>129.98362429197559</v>
      </c>
      <c r="CM148" s="439">
        <v>33.121124291975576</v>
      </c>
      <c r="CN148" s="439">
        <v>-63.741375708024428</v>
      </c>
      <c r="CO148" s="439">
        <v>-160.60387570802445</v>
      </c>
    </row>
    <row r="149" spans="1:93">
      <c r="A149" s="447" t="s">
        <v>2287</v>
      </c>
      <c r="B149" s="447"/>
      <c r="C149" s="442" t="s">
        <v>2190</v>
      </c>
      <c r="D149" s="447"/>
      <c r="E149" s="438" t="s">
        <v>2288</v>
      </c>
      <c r="F149" s="456">
        <f t="shared" ref="F149:AN149" si="135">G149-F95</f>
        <v>-0.44899755716323853</v>
      </c>
      <c r="G149" s="456">
        <f t="shared" si="135"/>
        <v>-0.44899755716323853</v>
      </c>
      <c r="H149" s="456">
        <f t="shared" si="135"/>
        <v>-0.44899755716323853</v>
      </c>
      <c r="I149" s="456">
        <f t="shared" si="135"/>
        <v>-0.14899754524230957</v>
      </c>
      <c r="J149" s="456">
        <f t="shared" si="135"/>
        <v>0.15100246667861938</v>
      </c>
      <c r="K149" s="456">
        <f t="shared" si="135"/>
        <v>0.45100247859954834</v>
      </c>
      <c r="L149" s="456">
        <f t="shared" si="135"/>
        <v>0.75100249052047729</v>
      </c>
      <c r="M149" s="456">
        <f t="shared" si="135"/>
        <v>1.0510025024414063</v>
      </c>
      <c r="N149" s="456">
        <f t="shared" si="135"/>
        <v>2.3510024547576904</v>
      </c>
      <c r="O149" s="456">
        <f t="shared" si="135"/>
        <v>3.6510024070739746</v>
      </c>
      <c r="P149" s="456">
        <f t="shared" si="135"/>
        <v>4.9510023593902588</v>
      </c>
      <c r="Q149" s="456">
        <f t="shared" si="135"/>
        <v>6.251002311706543</v>
      </c>
      <c r="R149" s="456">
        <f t="shared" si="135"/>
        <v>7.5510022640228271</v>
      </c>
      <c r="S149" s="456">
        <f t="shared" si="135"/>
        <v>8.6310023069381714</v>
      </c>
      <c r="T149" s="456">
        <f t="shared" si="135"/>
        <v>10.271002292633057</v>
      </c>
      <c r="U149" s="456">
        <f t="shared" si="135"/>
        <v>13.101002216339111</v>
      </c>
      <c r="V149" s="456">
        <f t="shared" si="135"/>
        <v>17.621002197265625</v>
      </c>
      <c r="W149" s="456">
        <f t="shared" si="135"/>
        <v>24.101002216339111</v>
      </c>
      <c r="X149" s="456">
        <f t="shared" si="135"/>
        <v>31.301002025604248</v>
      </c>
      <c r="Y149" s="456">
        <f t="shared" si="135"/>
        <v>37.176002025604248</v>
      </c>
      <c r="Z149" s="456">
        <f t="shared" si="135"/>
        <v>45.83200216293335</v>
      </c>
      <c r="AA149" s="456">
        <f t="shared" si="135"/>
        <v>60.668002605438232</v>
      </c>
      <c r="AB149" s="456">
        <f t="shared" si="135"/>
        <v>96.408004283905029</v>
      </c>
      <c r="AC149" s="456">
        <f t="shared" si="135"/>
        <v>96.820004284381866</v>
      </c>
      <c r="AD149" s="456">
        <f t="shared" si="135"/>
        <v>98.176004230976105</v>
      </c>
      <c r="AE149" s="456">
        <f t="shared" si="135"/>
        <v>102.88300400972366</v>
      </c>
      <c r="AF149" s="456">
        <f t="shared" si="135"/>
        <v>118.67300397157669</v>
      </c>
      <c r="AG149" s="456">
        <f t="shared" si="135"/>
        <v>135.37900334596634</v>
      </c>
      <c r="AH149" s="456">
        <f t="shared" si="135"/>
        <v>136.47300332784653</v>
      </c>
      <c r="AI149" s="456">
        <f t="shared" si="135"/>
        <v>136.19800332188606</v>
      </c>
      <c r="AJ149" s="456">
        <f t="shared" si="135"/>
        <v>138.61800339818001</v>
      </c>
      <c r="AK149" s="456">
        <f t="shared" si="135"/>
        <v>138.71300339698792</v>
      </c>
      <c r="AL149" s="456">
        <f t="shared" si="135"/>
        <v>137.81300342082977</v>
      </c>
      <c r="AM149" s="456">
        <f t="shared" si="135"/>
        <v>136.71300339698792</v>
      </c>
      <c r="AN149" s="456">
        <f t="shared" si="135"/>
        <v>141.60200333595276</v>
      </c>
      <c r="AO149" s="456">
        <f>AP149-AO95</f>
        <v>143.99400329589844</v>
      </c>
      <c r="AP149" s="483">
        <v>143.99400329589844</v>
      </c>
      <c r="AQ149" s="477">
        <f t="shared" ref="AQ149:BB149" si="136">AP149+AQ95</f>
        <v>149.98500329589842</v>
      </c>
      <c r="AR149" s="477">
        <f t="shared" si="136"/>
        <v>155.40800329589842</v>
      </c>
      <c r="AS149" s="477">
        <f t="shared" si="136"/>
        <v>163.00500329589843</v>
      </c>
      <c r="AT149" s="477">
        <f t="shared" si="136"/>
        <v>165.54900329589844</v>
      </c>
      <c r="AU149" s="477">
        <f t="shared" si="136"/>
        <v>164.54900329589844</v>
      </c>
      <c r="AV149" s="456">
        <f t="shared" si="136"/>
        <v>171.61600329589845</v>
      </c>
      <c r="AW149" s="456">
        <f t="shared" si="136"/>
        <v>173.01600329589846</v>
      </c>
      <c r="AX149" s="456">
        <f t="shared" si="136"/>
        <v>175.61600329589845</v>
      </c>
      <c r="AY149" s="456">
        <f t="shared" si="136"/>
        <v>177.81600329589844</v>
      </c>
      <c r="AZ149" s="456">
        <f t="shared" si="136"/>
        <v>180.41600329589843</v>
      </c>
      <c r="BA149" s="456">
        <f t="shared" si="136"/>
        <v>183.01600329589843</v>
      </c>
      <c r="BB149" s="456">
        <f t="shared" si="136"/>
        <v>185.41600329589843</v>
      </c>
      <c r="BC149" s="456">
        <f>BB149+BC95</f>
        <v>187.81600329589844</v>
      </c>
      <c r="BD149" s="456">
        <f>BC149+BD95</f>
        <v>190.21600329589845</v>
      </c>
      <c r="BE149" s="456">
        <f>BD149+BE95</f>
        <v>192.61600329589845</v>
      </c>
      <c r="BF149" s="456">
        <f t="shared" ref="BF149:BO149" si="137">BE149+BF95</f>
        <v>195.01600329589846</v>
      </c>
      <c r="BG149" s="456">
        <f t="shared" si="137"/>
        <v>197.41600329589846</v>
      </c>
      <c r="BH149" s="456">
        <f t="shared" si="137"/>
        <v>199.81600329589847</v>
      </c>
      <c r="BI149" s="456">
        <f t="shared" si="137"/>
        <v>202.21600329589847</v>
      </c>
      <c r="BJ149" s="456">
        <f t="shared" si="137"/>
        <v>204.61600329589848</v>
      </c>
      <c r="BK149" s="456">
        <f t="shared" si="137"/>
        <v>207.01600329589849</v>
      </c>
      <c r="BL149" s="456">
        <f t="shared" si="137"/>
        <v>209.41600329589849</v>
      </c>
      <c r="BM149" s="456">
        <f t="shared" si="137"/>
        <v>211.8160032958985</v>
      </c>
      <c r="BN149" s="456">
        <f t="shared" si="137"/>
        <v>214.2160032958985</v>
      </c>
      <c r="BO149" s="456">
        <f t="shared" si="137"/>
        <v>216.61600329589851</v>
      </c>
      <c r="BP149" s="457"/>
      <c r="BQ149" s="448">
        <f t="shared" si="126"/>
        <v>0</v>
      </c>
      <c r="BR149" s="448">
        <f t="shared" si="126"/>
        <v>0</v>
      </c>
      <c r="BS149" s="448">
        <f t="shared" si="126"/>
        <v>0</v>
      </c>
      <c r="BT149" s="448">
        <f t="shared" si="126"/>
        <v>0</v>
      </c>
      <c r="BU149" s="448">
        <f t="shared" si="126"/>
        <v>0</v>
      </c>
      <c r="BV149" s="448">
        <f t="shared" si="126"/>
        <v>0</v>
      </c>
      <c r="BW149" s="448">
        <f t="shared" si="126"/>
        <v>0</v>
      </c>
      <c r="BX149" s="448">
        <f t="shared" si="126"/>
        <v>0</v>
      </c>
      <c r="BY149" s="448">
        <f t="shared" si="126"/>
        <v>0</v>
      </c>
      <c r="BZ149" s="448">
        <f t="shared" si="126"/>
        <v>0</v>
      </c>
      <c r="CA149" s="448">
        <f t="shared" si="126"/>
        <v>0</v>
      </c>
      <c r="CB149" s="448">
        <f t="shared" si="126"/>
        <v>0</v>
      </c>
      <c r="CD149" s="439">
        <v>190.21600329589845</v>
      </c>
      <c r="CE149" s="439">
        <v>192.61600329589845</v>
      </c>
      <c r="CF149" s="439">
        <v>195.01600329589846</v>
      </c>
      <c r="CG149" s="439">
        <v>197.41600329589846</v>
      </c>
      <c r="CH149" s="439">
        <v>199.81600329589847</v>
      </c>
      <c r="CI149" s="439">
        <v>202.21600329589847</v>
      </c>
      <c r="CJ149" s="439">
        <v>204.61600329589848</v>
      </c>
      <c r="CK149" s="439">
        <v>207.01600329589849</v>
      </c>
      <c r="CL149" s="439">
        <v>209.41600329589849</v>
      </c>
      <c r="CM149" s="439">
        <v>211.8160032958985</v>
      </c>
      <c r="CN149" s="439">
        <v>214.2160032958985</v>
      </c>
      <c r="CO149" s="439">
        <v>216.61600329589851</v>
      </c>
    </row>
    <row r="150" spans="1:93" s="438" customFormat="1">
      <c r="A150" s="436"/>
      <c r="B150" s="436"/>
      <c r="C150" s="442"/>
      <c r="D150" s="436"/>
      <c r="E150" s="436"/>
    </row>
    <row r="151" spans="1:93" s="450" customFormat="1">
      <c r="A151" s="452" t="s">
        <v>2289</v>
      </c>
      <c r="B151" s="452"/>
      <c r="C151" s="465"/>
      <c r="D151" s="452"/>
      <c r="E151" s="452" t="s">
        <v>1344</v>
      </c>
      <c r="F151" s="452"/>
      <c r="G151" s="452"/>
      <c r="H151" s="452"/>
      <c r="I151" s="452"/>
      <c r="J151" s="452"/>
      <c r="K151" s="452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2"/>
      <c r="W151" s="452"/>
      <c r="X151" s="452"/>
      <c r="Y151" s="452"/>
      <c r="Z151" s="452"/>
      <c r="AA151" s="452"/>
      <c r="AB151" s="452"/>
      <c r="AC151" s="452"/>
      <c r="AD151" s="452"/>
      <c r="AE151" s="452"/>
      <c r="AF151" s="452"/>
      <c r="AG151" s="452"/>
      <c r="AH151" s="452"/>
      <c r="AI151" s="452"/>
      <c r="AJ151" s="452"/>
      <c r="AK151" s="452"/>
      <c r="AL151" s="452"/>
      <c r="AM151" s="452"/>
      <c r="AN151" s="452"/>
      <c r="AO151" s="452"/>
      <c r="BQ151" s="450">
        <f t="shared" si="126"/>
        <v>0</v>
      </c>
      <c r="BR151" s="450">
        <f t="shared" si="126"/>
        <v>0</v>
      </c>
      <c r="BS151" s="450">
        <f t="shared" si="126"/>
        <v>0</v>
      </c>
      <c r="BT151" s="450">
        <f t="shared" si="126"/>
        <v>0</v>
      </c>
      <c r="BU151" s="450">
        <f t="shared" si="126"/>
        <v>0</v>
      </c>
      <c r="BV151" s="450">
        <f t="shared" si="126"/>
        <v>0</v>
      </c>
      <c r="BW151" s="450">
        <f t="shared" si="126"/>
        <v>0</v>
      </c>
      <c r="BX151" s="450">
        <f t="shared" si="126"/>
        <v>0</v>
      </c>
      <c r="BY151" s="450">
        <f t="shared" si="126"/>
        <v>0</v>
      </c>
      <c r="BZ151" s="450">
        <f t="shared" si="126"/>
        <v>0</v>
      </c>
      <c r="CA151" s="450">
        <f t="shared" si="126"/>
        <v>0</v>
      </c>
      <c r="CB151" s="450">
        <f t="shared" si="126"/>
        <v>0</v>
      </c>
    </row>
    <row r="152" spans="1:93">
      <c r="A152" s="447" t="s">
        <v>2290</v>
      </c>
      <c r="B152" s="447"/>
      <c r="C152" s="442" t="s">
        <v>1349</v>
      </c>
      <c r="D152" s="447"/>
      <c r="E152" s="436" t="s">
        <v>2291</v>
      </c>
      <c r="F152" s="477" t="s">
        <v>1344</v>
      </c>
      <c r="G152" s="461">
        <f t="shared" ref="G152:BO152" si="138">(G153/F153-1)*100</f>
        <v>-0.70949950259820982</v>
      </c>
      <c r="H152" s="461">
        <f t="shared" si="138"/>
        <v>14.027008312947252</v>
      </c>
      <c r="I152" s="461">
        <f t="shared" si="138"/>
        <v>13.409588416260011</v>
      </c>
      <c r="J152" s="461">
        <f t="shared" si="138"/>
        <v>-4.15141177906394</v>
      </c>
      <c r="K152" s="461">
        <f t="shared" si="138"/>
        <v>11.523841817687419</v>
      </c>
      <c r="L152" s="461">
        <f t="shared" si="138"/>
        <v>14.484567613104904</v>
      </c>
      <c r="M152" s="461">
        <f t="shared" si="138"/>
        <v>-5.1237020470681234</v>
      </c>
      <c r="N152" s="461">
        <f t="shared" si="138"/>
        <v>4.6430904019467256</v>
      </c>
      <c r="O152" s="461">
        <f t="shared" si="138"/>
        <v>3.5593302170729091</v>
      </c>
      <c r="P152" s="461">
        <f t="shared" si="138"/>
        <v>21.468602028438234</v>
      </c>
      <c r="Q152" s="461">
        <f t="shared" si="138"/>
        <v>18.43054650364282</v>
      </c>
      <c r="R152" s="461">
        <f t="shared" si="138"/>
        <v>10.022498546413106</v>
      </c>
      <c r="S152" s="461">
        <f t="shared" si="138"/>
        <v>9.7019332721821172</v>
      </c>
      <c r="T152" s="461">
        <f t="shared" si="138"/>
        <v>-1.5952534561772369</v>
      </c>
      <c r="U152" s="461">
        <f t="shared" si="138"/>
        <v>1.7046066256215298</v>
      </c>
      <c r="V152" s="461">
        <f t="shared" si="138"/>
        <v>0.57684932435826397</v>
      </c>
      <c r="W152" s="461">
        <f t="shared" si="138"/>
        <v>3.4299153583436937</v>
      </c>
      <c r="X152" s="461">
        <f t="shared" si="138"/>
        <v>5.0196962510239418</v>
      </c>
      <c r="Y152" s="461">
        <f t="shared" si="138"/>
        <v>9.4613896567867108</v>
      </c>
      <c r="Z152" s="461">
        <f t="shared" si="138"/>
        <v>18.671433660945347</v>
      </c>
      <c r="AA152" s="461">
        <f t="shared" si="138"/>
        <v>-6.4120308245307562</v>
      </c>
      <c r="AB152" s="461">
        <f t="shared" si="138"/>
        <v>-2.2866147702018891</v>
      </c>
      <c r="AC152" s="461">
        <f t="shared" si="138"/>
        <v>20.516389864028572</v>
      </c>
      <c r="AD152" s="461">
        <f t="shared" si="138"/>
        <v>-1.2256352434420803</v>
      </c>
      <c r="AE152" s="461">
        <f t="shared" si="138"/>
        <v>-2.027300852688374</v>
      </c>
      <c r="AF152" s="461">
        <f t="shared" si="138"/>
        <v>-0.36927362613047299</v>
      </c>
      <c r="AG152" s="461">
        <f t="shared" si="138"/>
        <v>-3.8296582603876694</v>
      </c>
      <c r="AH152" s="461">
        <f t="shared" si="138"/>
        <v>-6.9136435262254547</v>
      </c>
      <c r="AI152" s="461">
        <f t="shared" si="138"/>
        <v>-8.7245753649170528</v>
      </c>
      <c r="AJ152" s="461">
        <f t="shared" si="138"/>
        <v>-6.1740668576882873</v>
      </c>
      <c r="AK152" s="461">
        <f t="shared" si="138"/>
        <v>-8.8974122507801567</v>
      </c>
      <c r="AL152" s="461">
        <f t="shared" si="138"/>
        <v>2.1374244050207158</v>
      </c>
      <c r="AM152" s="461">
        <f t="shared" si="138"/>
        <v>-3.0768424427138008</v>
      </c>
      <c r="AN152" s="461">
        <f t="shared" si="138"/>
        <v>-17.099168575612644</v>
      </c>
      <c r="AO152" s="461">
        <f t="shared" si="138"/>
        <v>12.416177079374989</v>
      </c>
      <c r="AP152" s="461">
        <f t="shared" si="138"/>
        <v>-3.0895295813747614</v>
      </c>
      <c r="AQ152" s="461">
        <f t="shared" si="138"/>
        <v>5.7255284970643361</v>
      </c>
      <c r="AR152" s="461">
        <f t="shared" si="138"/>
        <v>-0.65625180002730765</v>
      </c>
      <c r="AS152" s="461">
        <f t="shared" si="138"/>
        <v>-22.005365222474925</v>
      </c>
      <c r="AT152" s="461">
        <f t="shared" si="138"/>
        <v>-10.194659658159622</v>
      </c>
      <c r="AU152" s="461">
        <f t="shared" si="138"/>
        <v>30.868069404135625</v>
      </c>
      <c r="AV152" s="461">
        <f t="shared" si="138"/>
        <v>17.461058674283226</v>
      </c>
      <c r="AW152" s="461">
        <f t="shared" si="138"/>
        <v>-1.5147923731897328</v>
      </c>
      <c r="AX152" s="461">
        <f t="shared" si="138"/>
        <v>-1.4072936575961759</v>
      </c>
      <c r="AY152" s="461">
        <f t="shared" si="138"/>
        <v>-15.701344507165761</v>
      </c>
      <c r="AZ152" s="461">
        <f t="shared" si="138"/>
        <v>-9.4248502644462384</v>
      </c>
      <c r="BA152" s="461">
        <f t="shared" si="138"/>
        <v>2.397636684273885</v>
      </c>
      <c r="BB152" s="461">
        <f t="shared" si="138"/>
        <v>37.945785225697804</v>
      </c>
      <c r="BC152" s="461">
        <f t="shared" ca="1" si="138"/>
        <v>15.785738646781589</v>
      </c>
      <c r="BD152" s="461">
        <f t="shared" ca="1" si="138"/>
        <v>14.618446537607444</v>
      </c>
      <c r="BE152" s="461">
        <f t="shared" ca="1" si="138"/>
        <v>4.3844780709362263</v>
      </c>
      <c r="BF152" s="461">
        <f t="shared" ca="1" si="138"/>
        <v>2.6552218884347667</v>
      </c>
      <c r="BG152" s="461">
        <f t="shared" ca="1" si="138"/>
        <v>2.6078759866415835</v>
      </c>
      <c r="BH152" s="461">
        <f t="shared" ca="1" si="138"/>
        <v>2.2988264371800016</v>
      </c>
      <c r="BI152" s="461">
        <f t="shared" ca="1" si="138"/>
        <v>2.1578454166359506</v>
      </c>
      <c r="BJ152" s="461">
        <f t="shared" ca="1" si="138"/>
        <v>2.0236692870028827</v>
      </c>
      <c r="BK152" s="461">
        <f t="shared" ca="1" si="138"/>
        <v>2.0988957947071452</v>
      </c>
      <c r="BL152" s="461">
        <f t="shared" ca="1" si="138"/>
        <v>2.106749277388964</v>
      </c>
      <c r="BM152" s="461">
        <f t="shared" ca="1" si="138"/>
        <v>2.0677448127370601</v>
      </c>
      <c r="BN152" s="461">
        <f t="shared" ca="1" si="138"/>
        <v>2.0528231335857017</v>
      </c>
      <c r="BO152" s="461">
        <f t="shared" ca="1" si="138"/>
        <v>2.0031491776524524</v>
      </c>
      <c r="BP152" s="457"/>
      <c r="BQ152" s="448">
        <f ca="1">+BD152-CD152</f>
        <v>0</v>
      </c>
      <c r="BR152" s="448">
        <f t="shared" ca="1" si="126"/>
        <v>0</v>
      </c>
      <c r="BS152" s="448">
        <f t="shared" ca="1" si="126"/>
        <v>-2.2204460492503131E-14</v>
      </c>
      <c r="BT152" s="448">
        <f t="shared" ca="1" si="126"/>
        <v>-3.1086244689504383E-13</v>
      </c>
      <c r="BU152" s="448">
        <f t="shared" ca="1" si="126"/>
        <v>-3.1752378504279477E-12</v>
      </c>
      <c r="BV152" s="448">
        <f t="shared" ca="1" si="126"/>
        <v>-2.4713564528155985E-11</v>
      </c>
      <c r="BW152" s="448">
        <f t="shared" ca="1" si="126"/>
        <v>-1.5083490012557377E-10</v>
      </c>
      <c r="BX152" s="448">
        <f t="shared" ca="1" si="126"/>
        <v>-7.5126571630335093E-10</v>
      </c>
      <c r="BY152" s="448">
        <f t="shared" ca="1" si="126"/>
        <v>-3.1443070369618908E-9</v>
      </c>
      <c r="BZ152" s="448">
        <f t="shared" ca="1" si="126"/>
        <v>-1.1356982021482054E-8</v>
      </c>
      <c r="CA152" s="448">
        <f t="shared" ca="1" si="126"/>
        <v>-3.6032288264209456E-8</v>
      </c>
      <c r="CB152" s="448">
        <f t="shared" ca="1" si="126"/>
        <v>-1.0349343604332262E-7</v>
      </c>
      <c r="CD152" s="439">
        <v>14.618446537607444</v>
      </c>
      <c r="CE152" s="439">
        <v>4.3844780709362263</v>
      </c>
      <c r="CF152" s="439">
        <v>2.6552218884347889</v>
      </c>
      <c r="CG152" s="439">
        <v>2.6078759866418944</v>
      </c>
      <c r="CH152" s="439">
        <v>2.2988264371831768</v>
      </c>
      <c r="CI152" s="439">
        <v>2.1578454166606642</v>
      </c>
      <c r="CJ152" s="439">
        <v>2.0236692871537176</v>
      </c>
      <c r="CK152" s="439">
        <v>2.0988957954584109</v>
      </c>
      <c r="CL152" s="439">
        <v>2.106749280533271</v>
      </c>
      <c r="CM152" s="439">
        <v>2.0677448240940421</v>
      </c>
      <c r="CN152" s="439">
        <v>2.0528231696179899</v>
      </c>
      <c r="CO152" s="439">
        <v>2.0031492811458884</v>
      </c>
    </row>
    <row r="153" spans="1:93">
      <c r="A153" s="447" t="s">
        <v>2290</v>
      </c>
      <c r="B153" s="447"/>
      <c r="C153" s="442" t="s">
        <v>2190</v>
      </c>
      <c r="D153" s="447"/>
      <c r="E153" s="436" t="s">
        <v>2292</v>
      </c>
      <c r="F153" s="461">
        <f t="shared" ref="F153:AY153" si="139">F19*44/(F136/100)+((F26-F36-F37-F50+F49+F52)*83+F131*79)/(F135/100)+(F50*77+F12*45)/(F138/100)</f>
        <v>16.583815253299996</v>
      </c>
      <c r="G153" s="461">
        <f t="shared" si="139"/>
        <v>16.466153166566027</v>
      </c>
      <c r="H153" s="461">
        <f t="shared" si="139"/>
        <v>18.77586184006287</v>
      </c>
      <c r="I153" s="461">
        <f t="shared" si="139"/>
        <v>21.293627634420925</v>
      </c>
      <c r="J153" s="461">
        <f t="shared" si="139"/>
        <v>20.409641468615561</v>
      </c>
      <c r="K153" s="461">
        <f t="shared" si="139"/>
        <v>22.761616267015953</v>
      </c>
      <c r="L153" s="461">
        <f t="shared" si="139"/>
        <v>26.058537965047364</v>
      </c>
      <c r="M153" s="461">
        <f t="shared" si="139"/>
        <v>24.723376121896209</v>
      </c>
      <c r="N153" s="461">
        <f t="shared" si="139"/>
        <v>25.871304825649162</v>
      </c>
      <c r="O153" s="461">
        <f t="shared" si="139"/>
        <v>26.792149995859532</v>
      </c>
      <c r="P153" s="461">
        <f t="shared" si="139"/>
        <v>32.544050053332846</v>
      </c>
      <c r="Q153" s="461">
        <f t="shared" si="139"/>
        <v>38.542096332581153</v>
      </c>
      <c r="R153" s="461">
        <f t="shared" si="139"/>
        <v>42.404977377271237</v>
      </c>
      <c r="S153" s="461">
        <f t="shared" si="139"/>
        <v>46.519079986498014</v>
      </c>
      <c r="T153" s="461">
        <f t="shared" si="139"/>
        <v>45.77698275523155</v>
      </c>
      <c r="U153" s="461">
        <f t="shared" si="139"/>
        <v>46.557300236286849</v>
      </c>
      <c r="V153" s="461">
        <f t="shared" si="139"/>
        <v>46.825865708139318</v>
      </c>
      <c r="W153" s="461">
        <f t="shared" si="139"/>
        <v>48.431953267740184</v>
      </c>
      <c r="X153" s="461">
        <f t="shared" si="139"/>
        <v>50.863090210218608</v>
      </c>
      <c r="Y153" s="461">
        <f t="shared" si="139"/>
        <v>55.675445366490329</v>
      </c>
      <c r="Z153" s="461">
        <f t="shared" si="139"/>
        <v>66.070849213530437</v>
      </c>
      <c r="AA153" s="461">
        <f t="shared" si="139"/>
        <v>61.83436599592963</v>
      </c>
      <c r="AB153" s="461">
        <f t="shared" si="139"/>
        <v>60.420452250006008</v>
      </c>
      <c r="AC153" s="461">
        <f t="shared" si="139"/>
        <v>72.816547791226469</v>
      </c>
      <c r="AD153" s="461">
        <f t="shared" si="139"/>
        <v>71.924082518439349</v>
      </c>
      <c r="AE153" s="461">
        <f t="shared" si="139"/>
        <v>70.465964980254739</v>
      </c>
      <c r="AF153" s="461">
        <f t="shared" si="139"/>
        <v>70.205752756184324</v>
      </c>
      <c r="AG153" s="461">
        <f t="shared" si="139"/>
        <v>67.517112346489768</v>
      </c>
      <c r="AH153" s="461">
        <f t="shared" si="139"/>
        <v>62.84921987965231</v>
      </c>
      <c r="AI153" s="461">
        <f t="shared" si="139"/>
        <v>57.365892324989616</v>
      </c>
      <c r="AJ153" s="461">
        <f t="shared" si="139"/>
        <v>53.824083779335282</v>
      </c>
      <c r="AK153" s="461">
        <f t="shared" si="139"/>
        <v>49.03513315528253</v>
      </c>
      <c r="AL153" s="461">
        <f t="shared" si="139"/>
        <v>50.083222058377942</v>
      </c>
      <c r="AM153" s="461">
        <f t="shared" si="139"/>
        <v>48.54224022540717</v>
      </c>
      <c r="AN153" s="461">
        <f t="shared" si="139"/>
        <v>40.241920738885945</v>
      </c>
      <c r="AO153" s="461">
        <f t="shared" si="139"/>
        <v>45.238428877967756</v>
      </c>
      <c r="AP153" s="461">
        <f t="shared" si="139"/>
        <v>43.840774235633759</v>
      </c>
      <c r="AQ153" s="461">
        <f t="shared" si="139"/>
        <v>46.35089025782861</v>
      </c>
      <c r="AR153" s="461">
        <f t="shared" si="139"/>
        <v>46.046711706182926</v>
      </c>
      <c r="AS153" s="461">
        <f t="shared" si="139"/>
        <v>35.913964622297257</v>
      </c>
      <c r="AT153" s="461">
        <f t="shared" si="139"/>
        <v>32.2526581593022</v>
      </c>
      <c r="AU153" s="461">
        <f t="shared" si="139"/>
        <v>42.208431064594215</v>
      </c>
      <c r="AV153" s="461">
        <f t="shared" si="139"/>
        <v>49.578469978277397</v>
      </c>
      <c r="AW153" s="461">
        <f t="shared" si="139"/>
        <v>48.827459096302292</v>
      </c>
      <c r="AX153" s="461">
        <f t="shared" si="139"/>
        <v>48.140313361274664</v>
      </c>
      <c r="AY153" s="461">
        <f t="shared" si="139"/>
        <v>40.58163691359178</v>
      </c>
      <c r="AZ153" s="461">
        <f>AZ19*44/(AZ136/100)+((AZ26-AZ36-AZ37-AZ50+AZ49+AZ52)*83+AZ131*79)/(AZ135/100)+(AZ50*77+AZ12*45)/(AZ138/100)</f>
        <v>36.756878399624512</v>
      </c>
      <c r="BA153" s="461">
        <f>BA19*44/(BA136/100)+((BA26-BA36-BA37-BA50+BA49+BA52)*83+BA131*79)/(BA135/100)+(BA50*77+BA12*45)/(BA138/100)</f>
        <v>37.638174800127857</v>
      </c>
      <c r="BB153" s="461">
        <f>BB19*44/(BB136/100)+((BB26-BB36-BB37-BB50+BB49+BB52)*83+BB131*79)/(BB135/100)+(BB50*77+BB12*45)/(BB138/100)</f>
        <v>51.920275772657085</v>
      </c>
      <c r="BC153" s="461">
        <f t="shared" ref="BC153:BO153" ca="1" si="140">BC19*44/(BC136/100)+((BC26-BC36-BC37-BC50+BC49+BC52)*83+BC131*79)/(BC135/100)+(BC50*77+BC12*45)/(BC138/100)</f>
        <v>60.116274810816989</v>
      </c>
      <c r="BD153" s="461">
        <f t="shared" ca="1" si="140"/>
        <v>68.90434030443744</v>
      </c>
      <c r="BE153" s="461">
        <f t="shared" ca="1" si="140"/>
        <v>71.925435995008769</v>
      </c>
      <c r="BF153" s="461">
        <f t="shared" ca="1" si="140"/>
        <v>73.835215914900388</v>
      </c>
      <c r="BG153" s="461">
        <f t="shared" ca="1" si="140"/>
        <v>75.76074678043004</v>
      </c>
      <c r="BH153" s="461">
        <f t="shared" ca="1" si="140"/>
        <v>77.502354856423551</v>
      </c>
      <c r="BI153" s="461">
        <f t="shared" ca="1" si="140"/>
        <v>79.174735868477811</v>
      </c>
      <c r="BJ153" s="461">
        <f t="shared" ca="1" si="140"/>
        <v>80.77697068131387</v>
      </c>
      <c r="BK153" s="461">
        <f t="shared" ca="1" si="140"/>
        <v>82.472395122035806</v>
      </c>
      <c r="BL153" s="461">
        <f t="shared" ca="1" si="140"/>
        <v>84.209881710314662</v>
      </c>
      <c r="BM153" s="461">
        <f t="shared" ca="1" si="140"/>
        <v>85.951127171191729</v>
      </c>
      <c r="BN153" s="461">
        <f t="shared" ca="1" si="140"/>
        <v>87.7155517933396</v>
      </c>
      <c r="BO153" s="461">
        <f t="shared" ca="1" si="140"/>
        <v>89.472625147761207</v>
      </c>
      <c r="BP153" s="457"/>
      <c r="BQ153" s="448">
        <f ca="1">+BD153-CD153</f>
        <v>0</v>
      </c>
      <c r="BR153" s="448">
        <f t="shared" ca="1" si="126"/>
        <v>0</v>
      </c>
      <c r="BS153" s="448">
        <f t="shared" ca="1" si="126"/>
        <v>0</v>
      </c>
      <c r="BT153" s="448">
        <f t="shared" ca="1" si="126"/>
        <v>1.9895196601282805E-13</v>
      </c>
      <c r="BU153" s="448">
        <f t="shared" ca="1" si="126"/>
        <v>2.0321522242738865E-12</v>
      </c>
      <c r="BV153" s="448">
        <f t="shared" ca="1" si="126"/>
        <v>1.6797230273368768E-11</v>
      </c>
      <c r="BW153" s="448">
        <f t="shared" ca="1" si="126"/>
        <v>1.099493829315179E-10</v>
      </c>
      <c r="BX153" s="448">
        <f t="shared" ca="1" si="126"/>
        <v>5.8949467529600952E-10</v>
      </c>
      <c r="BY153" s="448">
        <f t="shared" ca="1" si="126"/>
        <v>2.6647484219211037E-9</v>
      </c>
      <c r="BZ153" s="448">
        <f t="shared" ca="1" si="126"/>
        <v>1.0415703854960157E-8</v>
      </c>
      <c r="CA153" s="448">
        <f t="shared" ca="1" si="126"/>
        <v>3.5836194456351222E-8</v>
      </c>
      <c r="CB153" s="448">
        <f t="shared" ca="1" si="126"/>
        <v>1.1126356014301564E-7</v>
      </c>
      <c r="CD153" s="439">
        <v>68.90434030443744</v>
      </c>
      <c r="CE153" s="439">
        <v>71.925435995008769</v>
      </c>
      <c r="CF153" s="439">
        <v>73.835215914900374</v>
      </c>
      <c r="CG153" s="439">
        <v>75.760746780429841</v>
      </c>
      <c r="CH153" s="439">
        <v>77.502354856421519</v>
      </c>
      <c r="CI153" s="439">
        <v>79.174735868461013</v>
      </c>
      <c r="CJ153" s="439">
        <v>80.77697068120392</v>
      </c>
      <c r="CK153" s="439">
        <v>82.472395121446311</v>
      </c>
      <c r="CL153" s="439">
        <v>84.209881707649913</v>
      </c>
      <c r="CM153" s="439">
        <v>85.951127160776025</v>
      </c>
      <c r="CN153" s="439">
        <v>87.715551757503405</v>
      </c>
      <c r="CO153" s="439">
        <v>89.472625036497647</v>
      </c>
    </row>
    <row r="154" spans="1:93">
      <c r="A154" s="447" t="s">
        <v>2293</v>
      </c>
      <c r="B154" s="447"/>
      <c r="C154" s="442" t="s">
        <v>1455</v>
      </c>
      <c r="D154" s="447"/>
      <c r="E154" s="436" t="s">
        <v>2294</v>
      </c>
      <c r="F154" s="461">
        <f t="shared" ref="F154:AY154" si="141">F19*0.29/(F136/100)+0.55*(F26-F36-F37-F50+F49+F52+F131)/(F135/100)+(F50*0.42+F12*0.55)/(F138/100)</f>
        <v>0.12401588370380297</v>
      </c>
      <c r="G154" s="461">
        <f t="shared" si="141"/>
        <v>0.12397198865402592</v>
      </c>
      <c r="H154" s="461">
        <f t="shared" si="141"/>
        <v>0.14018126417308757</v>
      </c>
      <c r="I154" s="461">
        <f t="shared" si="141"/>
        <v>0.16162302981166238</v>
      </c>
      <c r="J154" s="461">
        <f t="shared" si="141"/>
        <v>0.15606134881474759</v>
      </c>
      <c r="K154" s="461">
        <f t="shared" si="141"/>
        <v>0.17181195897921481</v>
      </c>
      <c r="L154" s="461">
        <f t="shared" si="141"/>
        <v>0.19629721760113036</v>
      </c>
      <c r="M154" s="461">
        <f t="shared" si="141"/>
        <v>0.18590469982596175</v>
      </c>
      <c r="N154" s="461">
        <f t="shared" si="141"/>
        <v>0.19832694306153881</v>
      </c>
      <c r="O154" s="461">
        <f t="shared" si="141"/>
        <v>0.20607692213417722</v>
      </c>
      <c r="P154" s="461">
        <f t="shared" si="141"/>
        <v>0.27240271684552209</v>
      </c>
      <c r="Q154" s="461">
        <f t="shared" si="141"/>
        <v>0.3201212845986367</v>
      </c>
      <c r="R154" s="461">
        <f t="shared" si="141"/>
        <v>0.32640779831627997</v>
      </c>
      <c r="S154" s="461">
        <f t="shared" si="141"/>
        <v>0.34451169884685379</v>
      </c>
      <c r="T154" s="461">
        <f t="shared" si="141"/>
        <v>0.33854045394216647</v>
      </c>
      <c r="U154" s="461">
        <f t="shared" si="141"/>
        <v>0.33421460624852511</v>
      </c>
      <c r="V154" s="461">
        <f t="shared" si="141"/>
        <v>0.33343995672107962</v>
      </c>
      <c r="W154" s="461">
        <f t="shared" si="141"/>
        <v>0.34356505289406464</v>
      </c>
      <c r="X154" s="461">
        <f t="shared" si="141"/>
        <v>0.36317012727848264</v>
      </c>
      <c r="Y154" s="461">
        <f t="shared" si="141"/>
        <v>0.40363096280441219</v>
      </c>
      <c r="Z154" s="461">
        <f t="shared" si="141"/>
        <v>0.48358278573995939</v>
      </c>
      <c r="AA154" s="461">
        <f t="shared" si="141"/>
        <v>0.46191759921609732</v>
      </c>
      <c r="AB154" s="461">
        <f t="shared" si="141"/>
        <v>0.42579422866879568</v>
      </c>
      <c r="AC154" s="461">
        <f t="shared" si="141"/>
        <v>0.5176731056127386</v>
      </c>
      <c r="AD154" s="461">
        <f t="shared" si="141"/>
        <v>0.50566655896180346</v>
      </c>
      <c r="AE154" s="461">
        <f t="shared" si="141"/>
        <v>0.49274445135448897</v>
      </c>
      <c r="AF154" s="461">
        <f t="shared" si="141"/>
        <v>0.49678245676680421</v>
      </c>
      <c r="AG154" s="461">
        <f t="shared" si="141"/>
        <v>0.48436637728241799</v>
      </c>
      <c r="AH154" s="461">
        <f t="shared" si="141"/>
        <v>0.4482526018920383</v>
      </c>
      <c r="AI154" s="461">
        <f t="shared" si="141"/>
        <v>0.39920818250587115</v>
      </c>
      <c r="AJ154" s="461">
        <f t="shared" si="141"/>
        <v>0.37296215103308594</v>
      </c>
      <c r="AK154" s="461">
        <f t="shared" si="141"/>
        <v>0.34381868326918263</v>
      </c>
      <c r="AL154" s="461">
        <f t="shared" si="141"/>
        <v>0.35274040762382941</v>
      </c>
      <c r="AM154" s="461">
        <f t="shared" si="141"/>
        <v>0.33938306520159578</v>
      </c>
      <c r="AN154" s="461">
        <f t="shared" si="141"/>
        <v>0.28211015124714278</v>
      </c>
      <c r="AO154" s="461">
        <f t="shared" si="141"/>
        <v>0.31461061964698167</v>
      </c>
      <c r="AP154" s="461">
        <f t="shared" si="141"/>
        <v>0.31801553847116215</v>
      </c>
      <c r="AQ154" s="461">
        <f t="shared" si="141"/>
        <v>0.33555441052353591</v>
      </c>
      <c r="AR154" s="461">
        <f t="shared" si="141"/>
        <v>0.33403693886962549</v>
      </c>
      <c r="AS154" s="461">
        <f t="shared" si="141"/>
        <v>0.2609653254733682</v>
      </c>
      <c r="AT154" s="461">
        <f t="shared" si="141"/>
        <v>0.24806448589227226</v>
      </c>
      <c r="AU154" s="461">
        <f t="shared" si="141"/>
        <v>0.28330822640712228</v>
      </c>
      <c r="AV154" s="461">
        <f t="shared" si="141"/>
        <v>0.39172704690974725</v>
      </c>
      <c r="AW154" s="461">
        <f t="shared" si="141"/>
        <v>0.36568714683925485</v>
      </c>
      <c r="AX154" s="461">
        <f t="shared" si="141"/>
        <v>0.33491062478340294</v>
      </c>
      <c r="AY154" s="461">
        <f t="shared" si="141"/>
        <v>0.28545978421929047</v>
      </c>
      <c r="AZ154" s="461">
        <f>AZ19*0.29/(AZ136/100)+0.55*(AZ26-AZ36-AZ37-AZ50+AZ49+AZ52+AZ131)/(AZ135/100)+(AZ50*0.42+AZ12*0.55)/(AZ138/100)</f>
        <v>0.25918535926759873</v>
      </c>
      <c r="BA154" s="461">
        <f>BA19*0.29/(BA136/100)+0.55*(BA26-BA36-BA37-BA50+BA49+BA52+BA131)/(BA135/100)+(BA50*0.42+BA12*0.55)/(BA138/100)</f>
        <v>0.28620361064780186</v>
      </c>
      <c r="BB154" s="461">
        <f>BB19*0.29/(BB136/100)+0.55*(BB26-BB36-BB37-BB50+BB49+BB52+BB131)/(BB135/100)+(BB50*0.42+BB12*0.55)/(BB138/100)</f>
        <v>0.38849651572052252</v>
      </c>
      <c r="BC154" s="461">
        <f t="shared" ref="BC154:BO154" ca="1" si="142">BC19*0.29/(BC136/100)+0.55*(BC26-BC36-BC37-BC50+BC49+BC52+BC131)/(BC135/100)+(BC50*0.42+BC12*0.55)/(BC138/100)</f>
        <v>0.45468577052589121</v>
      </c>
      <c r="BD154" s="461">
        <f t="shared" ca="1" si="142"/>
        <v>0.51651747834040063</v>
      </c>
      <c r="BE154" s="461">
        <f t="shared" ca="1" si="142"/>
        <v>0.53951705559290519</v>
      </c>
      <c r="BF154" s="461">
        <f t="shared" ca="1" si="142"/>
        <v>0.5538623757268637</v>
      </c>
      <c r="BG154" s="461">
        <f t="shared" ca="1" si="142"/>
        <v>0.56797862261581755</v>
      </c>
      <c r="BH154" s="461">
        <f t="shared" ca="1" si="142"/>
        <v>0.58062156013696609</v>
      </c>
      <c r="BI154" s="461">
        <f t="shared" ca="1" si="142"/>
        <v>0.59260551744377021</v>
      </c>
      <c r="BJ154" s="461">
        <f t="shared" ca="1" si="142"/>
        <v>0.60399124463176257</v>
      </c>
      <c r="BK154" s="461">
        <f t="shared" ca="1" si="142"/>
        <v>0.61598505784375412</v>
      </c>
      <c r="BL154" s="461">
        <f t="shared" ca="1" si="142"/>
        <v>0.62827651441404009</v>
      </c>
      <c r="BM154" s="461">
        <f t="shared" ca="1" si="142"/>
        <v>0.64056971786210026</v>
      </c>
      <c r="BN154" s="461">
        <f t="shared" ca="1" si="142"/>
        <v>0.6529942342158358</v>
      </c>
      <c r="BO154" s="461">
        <f t="shared" ca="1" si="142"/>
        <v>0.66533427411342361</v>
      </c>
      <c r="BP154" s="457"/>
      <c r="BQ154" s="448">
        <f ca="1">+BD154-CD154</f>
        <v>0</v>
      </c>
      <c r="BR154" s="448">
        <f t="shared" ca="1" si="126"/>
        <v>0</v>
      </c>
      <c r="BS154" s="448">
        <f t="shared" ca="1" si="126"/>
        <v>0</v>
      </c>
      <c r="BT154" s="448">
        <f t="shared" ca="1" si="126"/>
        <v>9.9920072216264089E-16</v>
      </c>
      <c r="BU154" s="448">
        <f t="shared" ca="1" si="126"/>
        <v>9.5479180117763462E-15</v>
      </c>
      <c r="BV154" s="448">
        <f t="shared" ca="1" si="126"/>
        <v>7.9047879353311146E-14</v>
      </c>
      <c r="BW154" s="448">
        <f t="shared" ca="1" si="126"/>
        <v>5.1436632730883503E-13</v>
      </c>
      <c r="BX154" s="448">
        <f t="shared" ca="1" si="126"/>
        <v>2.7419178039167491E-12</v>
      </c>
      <c r="BY154" s="448">
        <f t="shared" ca="1" si="126"/>
        <v>1.2319700815055512E-11</v>
      </c>
      <c r="BZ154" s="448">
        <f t="shared" ca="1" si="126"/>
        <v>4.7874704200978613E-11</v>
      </c>
      <c r="CA154" s="448">
        <f t="shared" ca="1" si="126"/>
        <v>1.6375201195018008E-10</v>
      </c>
      <c r="CB154" s="448">
        <f t="shared" ca="1" si="126"/>
        <v>5.0656900896228763E-10</v>
      </c>
      <c r="CD154" s="439">
        <v>0.51651747834040063</v>
      </c>
      <c r="CE154" s="439">
        <v>0.53951705559290519</v>
      </c>
      <c r="CF154" s="439">
        <v>0.5538623757268637</v>
      </c>
      <c r="CG154" s="439">
        <v>0.56797862261581655</v>
      </c>
      <c r="CH154" s="439">
        <v>0.58062156013695654</v>
      </c>
      <c r="CI154" s="439">
        <v>0.59260551744369117</v>
      </c>
      <c r="CJ154" s="439">
        <v>0.6039912446312482</v>
      </c>
      <c r="CK154" s="439">
        <v>0.61598505784101221</v>
      </c>
      <c r="CL154" s="439">
        <v>0.62827651440172039</v>
      </c>
      <c r="CM154" s="439">
        <v>0.64056971781422556</v>
      </c>
      <c r="CN154" s="439">
        <v>0.65299423405208379</v>
      </c>
      <c r="CO154" s="439">
        <v>0.6653342736068546</v>
      </c>
    </row>
    <row r="155" spans="1:93">
      <c r="A155" s="447" t="s">
        <v>2293</v>
      </c>
      <c r="B155" s="447"/>
      <c r="C155" s="442" t="s">
        <v>1349</v>
      </c>
      <c r="D155" s="447"/>
      <c r="E155" s="436" t="s">
        <v>2295</v>
      </c>
      <c r="F155" s="477" t="s">
        <v>1344</v>
      </c>
      <c r="G155" s="456">
        <f t="shared" ref="G155:AY155" si="143">((G154/F154)-1)*100</f>
        <v>-3.5394699828839027E-2</v>
      </c>
      <c r="H155" s="456">
        <f t="shared" si="143"/>
        <v>13.074949990757666</v>
      </c>
      <c r="I155" s="456">
        <f t="shared" si="143"/>
        <v>15.295742812034984</v>
      </c>
      <c r="J155" s="456">
        <f t="shared" si="143"/>
        <v>-3.4411438786884241</v>
      </c>
      <c r="K155" s="456">
        <f t="shared" si="143"/>
        <v>10.092575954321624</v>
      </c>
      <c r="L155" s="456">
        <f t="shared" si="143"/>
        <v>14.251195765061798</v>
      </c>
      <c r="M155" s="456">
        <f t="shared" si="143"/>
        <v>-5.2942766597363971</v>
      </c>
      <c r="N155" s="456">
        <f t="shared" si="143"/>
        <v>6.6820490537390365</v>
      </c>
      <c r="O155" s="456">
        <f t="shared" si="143"/>
        <v>3.9076783784408375</v>
      </c>
      <c r="P155" s="456">
        <f t="shared" si="143"/>
        <v>32.184969585366765</v>
      </c>
      <c r="Q155" s="456">
        <f t="shared" si="143"/>
        <v>17.517654855173692</v>
      </c>
      <c r="R155" s="456">
        <f t="shared" si="143"/>
        <v>1.9637912316655903</v>
      </c>
      <c r="S155" s="456">
        <f t="shared" si="143"/>
        <v>5.5464056385784222</v>
      </c>
      <c r="T155" s="456">
        <f t="shared" si="143"/>
        <v>-1.7332488053886763</v>
      </c>
      <c r="U155" s="456">
        <f t="shared" si="143"/>
        <v>-1.2777934345123643</v>
      </c>
      <c r="V155" s="456">
        <f t="shared" si="143"/>
        <v>-0.23178206845617666</v>
      </c>
      <c r="W155" s="456">
        <f t="shared" si="143"/>
        <v>3.0365575477370177</v>
      </c>
      <c r="X155" s="456">
        <f t="shared" si="143"/>
        <v>5.7063645499657589</v>
      </c>
      <c r="Y155" s="456">
        <f t="shared" si="143"/>
        <v>11.14101422083753</v>
      </c>
      <c r="Z155" s="456">
        <f t="shared" si="143"/>
        <v>19.808149102349603</v>
      </c>
      <c r="AA155" s="456">
        <f t="shared" si="143"/>
        <v>-4.4801401461615047</v>
      </c>
      <c r="AB155" s="456">
        <f t="shared" si="143"/>
        <v>-7.820306177683034</v>
      </c>
      <c r="AC155" s="456">
        <f t="shared" si="143"/>
        <v>21.578234451695909</v>
      </c>
      <c r="AD155" s="456">
        <f t="shared" si="143"/>
        <v>-2.31932980886147</v>
      </c>
      <c r="AE155" s="456">
        <f t="shared" si="143"/>
        <v>-2.5554601897830098</v>
      </c>
      <c r="AF155" s="456">
        <f t="shared" si="143"/>
        <v>0.81949282254023537</v>
      </c>
      <c r="AG155" s="456">
        <f t="shared" si="143"/>
        <v>-2.499299102708552</v>
      </c>
      <c r="AH155" s="456">
        <f t="shared" si="143"/>
        <v>-7.4558799050007067</v>
      </c>
      <c r="AI155" s="456">
        <f t="shared" si="143"/>
        <v>-10.941245891078955</v>
      </c>
      <c r="AJ155" s="456">
        <f t="shared" si="143"/>
        <v>-6.5745224228712313</v>
      </c>
      <c r="AK155" s="456">
        <f t="shared" si="143"/>
        <v>-7.814055041021561</v>
      </c>
      <c r="AL155" s="456">
        <f t="shared" si="143"/>
        <v>2.5948922466385582</v>
      </c>
      <c r="AM155" s="456">
        <f t="shared" si="143"/>
        <v>-3.786734418155524</v>
      </c>
      <c r="AN155" s="456">
        <f t="shared" si="143"/>
        <v>-16.875595699046599</v>
      </c>
      <c r="AO155" s="456">
        <f t="shared" si="143"/>
        <v>11.520488807709306</v>
      </c>
      <c r="AP155" s="456">
        <f t="shared" si="143"/>
        <v>1.0822644283276395</v>
      </c>
      <c r="AQ155" s="456">
        <f t="shared" si="143"/>
        <v>5.5150990849977655</v>
      </c>
      <c r="AR155" s="456">
        <f t="shared" si="143"/>
        <v>-0.45222819498716982</v>
      </c>
      <c r="AS155" s="456">
        <f t="shared" si="143"/>
        <v>-21.875309252782106</v>
      </c>
      <c r="AT155" s="456">
        <f t="shared" si="143"/>
        <v>-4.9435071719566404</v>
      </c>
      <c r="AU155" s="456">
        <f t="shared" si="143"/>
        <v>14.207491406148097</v>
      </c>
      <c r="AV155" s="456">
        <f t="shared" si="143"/>
        <v>38.268857165772488</v>
      </c>
      <c r="AW155" s="456">
        <f t="shared" si="143"/>
        <v>-6.6474603364551239</v>
      </c>
      <c r="AX155" s="456">
        <f t="shared" si="143"/>
        <v>-8.4160797889296202</v>
      </c>
      <c r="AY155" s="456">
        <f t="shared" si="143"/>
        <v>-14.765384226342137</v>
      </c>
      <c r="AZ155" s="456">
        <f>((AZ154/AY154)-1)*100</f>
        <v>-9.2042474646823464</v>
      </c>
      <c r="BA155" s="456">
        <f>((BA154/AZ154)-1)*100</f>
        <v>10.424296903401808</v>
      </c>
      <c r="BB155" s="456">
        <f>((BB154/BA154)-1)*100</f>
        <v>35.741304884724492</v>
      </c>
      <c r="BC155" s="456">
        <f t="shared" ref="BC155:BO155" ca="1" si="144">((BC154/BB154)-1)*100</f>
        <v>17.037284023670395</v>
      </c>
      <c r="BD155" s="456">
        <f t="shared" ca="1" si="144"/>
        <v>13.598777842331566</v>
      </c>
      <c r="BE155" s="456">
        <f t="shared" ca="1" si="144"/>
        <v>4.4528168391132716</v>
      </c>
      <c r="BF155" s="456">
        <f t="shared" ca="1" si="144"/>
        <v>2.6589187469140629</v>
      </c>
      <c r="BG155" s="456">
        <f t="shared" ca="1" si="144"/>
        <v>2.5486921494582981</v>
      </c>
      <c r="BH155" s="456">
        <f t="shared" ca="1" si="144"/>
        <v>2.2259530583953469</v>
      </c>
      <c r="BI155" s="456">
        <f t="shared" ca="1" si="144"/>
        <v>2.0639876521252765</v>
      </c>
      <c r="BJ155" s="456">
        <f t="shared" ca="1" si="144"/>
        <v>1.9212995581116443</v>
      </c>
      <c r="BK155" s="456">
        <f t="shared" ca="1" si="144"/>
        <v>1.9857594490966246</v>
      </c>
      <c r="BL155" s="456">
        <f t="shared" ca="1" si="144"/>
        <v>1.9954147286156632</v>
      </c>
      <c r="BM155" s="456">
        <f t="shared" ca="1" si="144"/>
        <v>1.9566549387136423</v>
      </c>
      <c r="BN155" s="456">
        <f t="shared" ca="1" si="144"/>
        <v>1.9396040754474431</v>
      </c>
      <c r="BO155" s="456">
        <f t="shared" ca="1" si="144"/>
        <v>1.8897624589911732</v>
      </c>
      <c r="BP155" s="457"/>
      <c r="BQ155" s="448">
        <f ca="1">+BD155-CD155</f>
        <v>0</v>
      </c>
      <c r="BR155" s="448">
        <f t="shared" ca="1" si="126"/>
        <v>0</v>
      </c>
      <c r="BS155" s="448">
        <f t="shared" ca="1" si="126"/>
        <v>0</v>
      </c>
      <c r="BT155" s="448">
        <f t="shared" ca="1" si="126"/>
        <v>1.7763568394002505E-13</v>
      </c>
      <c r="BU155" s="448">
        <f t="shared" ca="1" si="126"/>
        <v>1.5099033134902129E-12</v>
      </c>
      <c r="BV155" s="448">
        <f t="shared" ca="1" si="126"/>
        <v>1.1923795284474181E-11</v>
      </c>
      <c r="BW155" s="448">
        <f t="shared" ca="1" si="126"/>
        <v>7.3208106243782822E-11</v>
      </c>
      <c r="BX155" s="448">
        <f t="shared" ca="1" si="126"/>
        <v>3.6710634532255426E-10</v>
      </c>
      <c r="BY155" s="448">
        <f t="shared" ca="1" si="126"/>
        <v>1.5459855617905305E-9</v>
      </c>
      <c r="BZ155" s="448">
        <f t="shared" ca="1" si="126"/>
        <v>5.620770515690765E-9</v>
      </c>
      <c r="CA155" s="448">
        <f t="shared" ca="1" si="126"/>
        <v>1.794475679162133E-8</v>
      </c>
      <c r="CB155" s="448">
        <f t="shared" ca="1" si="126"/>
        <v>5.2025339591921238E-8</v>
      </c>
      <c r="CD155" s="439">
        <v>13.598777842331566</v>
      </c>
      <c r="CE155" s="439">
        <v>4.4528168391132716</v>
      </c>
      <c r="CF155" s="439">
        <v>2.6589187469140629</v>
      </c>
      <c r="CG155" s="439">
        <v>2.5486921494581205</v>
      </c>
      <c r="CH155" s="439">
        <v>2.2259530583938369</v>
      </c>
      <c r="CI155" s="439">
        <v>2.0639876521133527</v>
      </c>
      <c r="CJ155" s="439">
        <v>1.9212995580384362</v>
      </c>
      <c r="CK155" s="439">
        <v>1.9857594487295183</v>
      </c>
      <c r="CL155" s="439">
        <v>1.9954147270696776</v>
      </c>
      <c r="CM155" s="439">
        <v>1.9566549330928718</v>
      </c>
      <c r="CN155" s="439">
        <v>1.9396040575026863</v>
      </c>
      <c r="CO155" s="439">
        <v>1.8897624069658336</v>
      </c>
    </row>
    <row r="156" spans="1:93">
      <c r="E156" s="436"/>
      <c r="AV156" s="438"/>
      <c r="AW156" s="438"/>
      <c r="AX156" s="438"/>
      <c r="AY156" s="438"/>
      <c r="AZ156" s="438"/>
      <c r="BE156" s="438"/>
      <c r="BF156" s="438"/>
      <c r="BG156" s="438"/>
      <c r="BH156" s="438"/>
      <c r="BI156" s="438"/>
      <c r="BJ156" s="438"/>
      <c r="BK156" s="438"/>
      <c r="BL156" s="438"/>
      <c r="BM156" s="438"/>
      <c r="BN156" s="438"/>
      <c r="BO156" s="438"/>
    </row>
    <row r="157" spans="1:93" s="450" customFormat="1">
      <c r="A157" s="452" t="s">
        <v>2785</v>
      </c>
      <c r="B157" s="452"/>
      <c r="C157" s="465"/>
      <c r="D157" s="452"/>
      <c r="E157" s="452"/>
      <c r="F157" s="452"/>
      <c r="G157" s="452"/>
      <c r="H157" s="452"/>
      <c r="I157" s="452"/>
      <c r="J157" s="452"/>
      <c r="K157" s="452"/>
      <c r="L157" s="452"/>
      <c r="M157" s="452"/>
      <c r="N157" s="452"/>
      <c r="O157" s="452"/>
      <c r="P157" s="452"/>
      <c r="Q157" s="452"/>
      <c r="R157" s="452"/>
      <c r="S157" s="452"/>
      <c r="T157" s="452"/>
      <c r="U157" s="452"/>
      <c r="V157" s="452"/>
      <c r="W157" s="452"/>
      <c r="X157" s="452"/>
      <c r="Y157" s="452"/>
      <c r="Z157" s="452"/>
      <c r="AA157" s="452"/>
      <c r="AB157" s="452"/>
      <c r="AC157" s="452"/>
      <c r="AD157" s="452"/>
      <c r="AE157" s="452"/>
      <c r="AF157" s="452"/>
      <c r="AG157" s="452"/>
      <c r="AH157" s="452"/>
      <c r="AI157" s="452"/>
      <c r="AJ157" s="452"/>
      <c r="AK157" s="452"/>
      <c r="AL157" s="452"/>
      <c r="AM157" s="452"/>
      <c r="AN157" s="452"/>
      <c r="AO157" s="452"/>
      <c r="AP157" s="453"/>
      <c r="AQ157" s="453"/>
      <c r="AR157" s="453"/>
      <c r="AS157" s="453"/>
      <c r="AT157" s="453"/>
      <c r="AU157" s="453"/>
      <c r="AV157" s="453"/>
      <c r="AW157" s="453"/>
      <c r="AX157" s="453"/>
      <c r="AY157" s="453"/>
      <c r="AZ157" s="453"/>
      <c r="BA157" s="453"/>
      <c r="BB157" s="453"/>
      <c r="BC157" s="453"/>
      <c r="BD157" s="453"/>
      <c r="BE157" s="453"/>
      <c r="BF157" s="453"/>
      <c r="BG157" s="453"/>
      <c r="BH157" s="453"/>
      <c r="BI157" s="453"/>
      <c r="BJ157" s="453"/>
      <c r="BK157" s="453"/>
      <c r="BL157" s="453"/>
      <c r="BM157" s="453"/>
      <c r="BN157" s="453"/>
      <c r="BO157" s="453"/>
      <c r="BP157" s="453"/>
    </row>
    <row r="158" spans="1:93">
      <c r="A158" s="459" t="s">
        <v>2786</v>
      </c>
      <c r="B158" s="459"/>
      <c r="C158" s="484"/>
      <c r="D158" s="459"/>
      <c r="E158" s="436"/>
      <c r="F158" s="447"/>
      <c r="G158" s="447"/>
      <c r="H158" s="447"/>
      <c r="I158" s="447"/>
      <c r="J158" s="447"/>
      <c r="K158" s="447"/>
      <c r="L158" s="447"/>
      <c r="M158" s="447"/>
      <c r="N158" s="447"/>
      <c r="O158" s="447"/>
      <c r="P158" s="447"/>
      <c r="Q158" s="447"/>
      <c r="R158" s="447"/>
      <c r="S158" s="447"/>
      <c r="T158" s="447"/>
      <c r="U158" s="447"/>
      <c r="V158" s="447"/>
      <c r="W158" s="447"/>
      <c r="X158" s="447"/>
      <c r="Y158" s="447"/>
      <c r="Z158" s="447"/>
      <c r="AA158" s="447"/>
      <c r="AB158" s="447"/>
      <c r="AC158" s="447"/>
      <c r="AD158" s="447"/>
      <c r="AE158" s="447"/>
      <c r="AF158" s="447"/>
      <c r="AG158" s="447"/>
      <c r="AH158" s="447"/>
      <c r="AI158" s="447"/>
      <c r="AJ158" s="447"/>
      <c r="AK158" s="447"/>
      <c r="AL158" s="447"/>
      <c r="AM158" s="447"/>
      <c r="AN158" s="447"/>
      <c r="AO158" s="447"/>
      <c r="AV158" s="438"/>
      <c r="AW158" s="438"/>
      <c r="AX158" s="438"/>
      <c r="AY158" s="438"/>
      <c r="AZ158" s="438"/>
      <c r="BE158" s="438"/>
      <c r="BF158" s="438"/>
      <c r="BG158" s="438"/>
      <c r="BH158" s="438"/>
      <c r="BI158" s="438"/>
      <c r="BJ158" s="438"/>
      <c r="BK158" s="438"/>
      <c r="BL158" s="438"/>
      <c r="BM158" s="438"/>
      <c r="BN158" s="438"/>
      <c r="BO158" s="438"/>
    </row>
    <row r="159" spans="1:93">
      <c r="A159" s="436" t="s">
        <v>2787</v>
      </c>
      <c r="B159" s="436"/>
      <c r="C159" s="442" t="s">
        <v>1349</v>
      </c>
      <c r="D159" s="447"/>
      <c r="E159" s="436" t="s">
        <v>2788</v>
      </c>
      <c r="F159" s="477" t="s">
        <v>1344</v>
      </c>
      <c r="G159" s="477">
        <f t="shared" ref="G159:AY159" si="145">(((G26-G36-G37-G50+G49+G52+G131)/(1+G80/100)+(G12+G50)/(1+G83/100)+G19/(1+G81/100)-(G25+G26+G27)/(1+G82/100))/F11-1)*100</f>
        <v>4.3307271833640915</v>
      </c>
      <c r="H159" s="456">
        <f t="shared" si="145"/>
        <v>7.832241260188133</v>
      </c>
      <c r="I159" s="456">
        <f t="shared" si="145"/>
        <v>8.6795159023900226E-2</v>
      </c>
      <c r="J159" s="456">
        <f t="shared" si="145"/>
        <v>0.77152453839510748</v>
      </c>
      <c r="K159" s="456">
        <f t="shared" si="145"/>
        <v>10.535850062070494</v>
      </c>
      <c r="L159" s="456">
        <f t="shared" si="145"/>
        <v>0.98050528343229804</v>
      </c>
      <c r="M159" s="456">
        <f t="shared" si="145"/>
        <v>3.032930521009547</v>
      </c>
      <c r="N159" s="456">
        <f t="shared" si="145"/>
        <v>0.76691753447382105</v>
      </c>
      <c r="O159" s="456">
        <f t="shared" si="145"/>
        <v>10.980939122806577</v>
      </c>
      <c r="P159" s="456">
        <f t="shared" si="145"/>
        <v>17.159154353189045</v>
      </c>
      <c r="Q159" s="456">
        <f t="shared" si="145"/>
        <v>9.8874352181537173</v>
      </c>
      <c r="R159" s="456">
        <f t="shared" si="145"/>
        <v>16.570871681437293</v>
      </c>
      <c r="S159" s="456">
        <f t="shared" si="145"/>
        <v>6.9142353644648047</v>
      </c>
      <c r="T159" s="456">
        <f t="shared" si="145"/>
        <v>4.0507520652038886</v>
      </c>
      <c r="U159" s="456">
        <f t="shared" si="145"/>
        <v>-3.0849040529012162</v>
      </c>
      <c r="V159" s="456">
        <f t="shared" si="145"/>
        <v>-2.9141371875930799</v>
      </c>
      <c r="W159" s="456">
        <f t="shared" si="145"/>
        <v>13.319814157151889</v>
      </c>
      <c r="X159" s="456">
        <f t="shared" si="145"/>
        <v>3.5180477085283712</v>
      </c>
      <c r="Y159" s="456">
        <f t="shared" si="145"/>
        <v>6.7129970166387887</v>
      </c>
      <c r="Z159" s="456">
        <f t="shared" si="145"/>
        <v>9.2791021330063792</v>
      </c>
      <c r="AA159" s="456">
        <f t="shared" si="145"/>
        <v>0.13803626210036057</v>
      </c>
      <c r="AB159" s="456">
        <f t="shared" si="145"/>
        <v>-8.3503458834807471</v>
      </c>
      <c r="AC159" s="456">
        <f t="shared" si="145"/>
        <v>8.8676967641729156</v>
      </c>
      <c r="AD159" s="456">
        <f t="shared" si="145"/>
        <v>7.3950333109968236</v>
      </c>
      <c r="AE159" s="456">
        <f t="shared" si="145"/>
        <v>2.8120329198716654</v>
      </c>
      <c r="AF159" s="456">
        <f t="shared" si="145"/>
        <v>0.36135900245077845</v>
      </c>
      <c r="AG159" s="456">
        <f t="shared" si="145"/>
        <v>2.1101469708364684</v>
      </c>
      <c r="AH159" s="456">
        <f t="shared" si="145"/>
        <v>-3.1404525997356769</v>
      </c>
      <c r="AI159" s="456">
        <f t="shared" si="145"/>
        <v>-8.9663526549874639</v>
      </c>
      <c r="AJ159" s="456">
        <f t="shared" si="145"/>
        <v>-9.2525148182797672</v>
      </c>
      <c r="AK159" s="456">
        <f t="shared" si="145"/>
        <v>1.39454381326789</v>
      </c>
      <c r="AL159" s="456">
        <f t="shared" si="145"/>
        <v>-26.074948320625747</v>
      </c>
      <c r="AM159" s="456">
        <f t="shared" si="145"/>
        <v>-22.126115505073653</v>
      </c>
      <c r="AN159" s="456">
        <f t="shared" si="145"/>
        <v>9.8130767915916017E-2</v>
      </c>
      <c r="AO159" s="456">
        <f t="shared" si="145"/>
        <v>-4.6437077856370852</v>
      </c>
      <c r="AP159" s="456">
        <f t="shared" si="145"/>
        <v>42.316257812464151</v>
      </c>
      <c r="AQ159" s="456">
        <f t="shared" si="145"/>
        <v>11.737746100188273</v>
      </c>
      <c r="AR159" s="456">
        <f t="shared" si="145"/>
        <v>-11.344354007469725</v>
      </c>
      <c r="AS159" s="456">
        <f t="shared" si="145"/>
        <v>-20.206271589095024</v>
      </c>
      <c r="AT159" s="456">
        <f t="shared" si="145"/>
        <v>-10.778684458047449</v>
      </c>
      <c r="AU159" s="456">
        <f t="shared" si="145"/>
        <v>-17.176481474093251</v>
      </c>
      <c r="AV159" s="456">
        <f t="shared" si="145"/>
        <v>32.145495909407941</v>
      </c>
      <c r="AW159" s="456">
        <f t="shared" si="145"/>
        <v>11.476505232051393</v>
      </c>
      <c r="AX159" s="456">
        <f t="shared" si="145"/>
        <v>5.0316125444713533</v>
      </c>
      <c r="AY159" s="456">
        <f t="shared" si="145"/>
        <v>-13.404263352412848</v>
      </c>
      <c r="AZ159" s="456">
        <f>(((AZ26-AZ36-AZ37-AZ50+AZ49+AZ52+AZ131)/(1+AZ80/100)+(AZ12+AZ50)/(1+AZ83/100)+AZ19/(1+AZ81/100)-(AZ25+AZ26+AZ27)/(1+AZ82/100))/AY11-1)*100</f>
        <v>-14.018794307310101</v>
      </c>
      <c r="BA159" s="456">
        <f>(((BA26-BA36-BA37-BA50+BA49+BA52+BA131)/(1+BA80/100)+(BA12+BA50)/(1+BA83/100)+BA19/(1+BA81/100)-(BA25+BA26+BA27)/(1+BA82/100))/AZ11-1)*100</f>
        <v>6.6483317715148926</v>
      </c>
      <c r="BB159" s="456">
        <f>(((BB26-BB36-BB37-BB50+BB49+BB52+BB131)/(1+BB80/100)+(BB12+BB50)/(1+BB83/100)+BB19/(1+BB81/100)-(BB25+BB26+BB27)/(1+BB82/100))/BA11-1)*100</f>
        <v>63.434138600308152</v>
      </c>
      <c r="BC159" s="456">
        <f t="shared" ref="BC159:BO159" ca="1" si="146">(((BC26-BC36-BC37-BC50+BC49+BC52+BC131)/(1+BC80/100)+(BC12+BC50)/(1+BC83/100)+BC19/(1+BC81/100)-(BC25+BC26+BC27)/(1+BC82/100))/BB11-1)*100</f>
        <v>7.212067176572301</v>
      </c>
      <c r="BD159" s="456">
        <f t="shared" ca="1" si="146"/>
        <v>6.281396145804341</v>
      </c>
      <c r="BE159" s="456">
        <f t="shared" ca="1" si="146"/>
        <v>1.402056255258266</v>
      </c>
      <c r="BF159" s="456">
        <f t="shared" ca="1" si="146"/>
        <v>0.95103877979694218</v>
      </c>
      <c r="BG159" s="456">
        <f t="shared" ca="1" si="146"/>
        <v>1.5055818780574937</v>
      </c>
      <c r="BH159" s="456">
        <f t="shared" ca="1" si="146"/>
        <v>1.2717298385541476</v>
      </c>
      <c r="BI159" s="456">
        <f t="shared" ca="1" si="146"/>
        <v>1.2238544482419345</v>
      </c>
      <c r="BJ159" s="456">
        <f t="shared" ca="1" si="146"/>
        <v>1.1069283505965588</v>
      </c>
      <c r="BK159" s="456">
        <f t="shared" ca="1" si="146"/>
        <v>1.2499146020387375</v>
      </c>
      <c r="BL159" s="456">
        <f t="shared" ca="1" si="146"/>
        <v>1.2423039563055571</v>
      </c>
      <c r="BM159" s="456">
        <f t="shared" ca="1" si="146"/>
        <v>1.1766001635034939</v>
      </c>
      <c r="BN159" s="456">
        <f t="shared" ca="1" si="146"/>
        <v>1.152429687260792</v>
      </c>
      <c r="BO159" s="456">
        <f t="shared" ca="1" si="146"/>
        <v>1.0729678879312754</v>
      </c>
      <c r="BP159" s="457"/>
      <c r="BQ159" s="448">
        <f t="shared" ref="BQ159:CB160" ca="1" si="147">+BD159-CD159</f>
        <v>0</v>
      </c>
      <c r="BR159" s="448">
        <f t="shared" ca="1" si="147"/>
        <v>0</v>
      </c>
      <c r="BS159" s="448">
        <f t="shared" ca="1" si="147"/>
        <v>6.6613381477509392E-14</v>
      </c>
      <c r="BT159" s="448">
        <f t="shared" ca="1" si="147"/>
        <v>1.1324274851176597E-12</v>
      </c>
      <c r="BU159" s="448">
        <f t="shared" ca="1" si="147"/>
        <v>1.1479706074624119E-11</v>
      </c>
      <c r="BV159" s="448">
        <f t="shared" ca="1" si="147"/>
        <v>1.0111911308285926E-10</v>
      </c>
      <c r="BW159" s="448">
        <f t="shared" ca="1" si="147"/>
        <v>7.0048411515699627E-10</v>
      </c>
      <c r="BX159" s="448">
        <f t="shared" ca="1" si="147"/>
        <v>3.9774183946406083E-9</v>
      </c>
      <c r="BY159" s="448">
        <f t="shared" ca="1" si="147"/>
        <v>1.8963275394412449E-8</v>
      </c>
      <c r="BZ159" s="448">
        <f t="shared" ca="1" si="147"/>
        <v>7.7877393422909336E-8</v>
      </c>
      <c r="CA159" s="448">
        <f t="shared" ca="1" si="147"/>
        <v>2.8089517378759865E-7</v>
      </c>
      <c r="CB159" s="448">
        <f t="shared" ca="1" si="147"/>
        <v>9.065966644072887E-7</v>
      </c>
      <c r="CD159" s="439">
        <v>6.281396145804341</v>
      </c>
      <c r="CE159" s="439">
        <v>1.402056255258266</v>
      </c>
      <c r="CF159" s="439">
        <v>0.95103877979687557</v>
      </c>
      <c r="CG159" s="439">
        <v>1.5055818780563612</v>
      </c>
      <c r="CH159" s="439">
        <v>1.2717298385426679</v>
      </c>
      <c r="CI159" s="439">
        <v>1.2238544481408153</v>
      </c>
      <c r="CJ159" s="439">
        <v>1.1069283498960747</v>
      </c>
      <c r="CK159" s="439">
        <v>1.2499145980613191</v>
      </c>
      <c r="CL159" s="439">
        <v>1.2423039373422817</v>
      </c>
      <c r="CM159" s="439">
        <v>1.1766000856261005</v>
      </c>
      <c r="CN159" s="439">
        <v>1.1524294063656182</v>
      </c>
      <c r="CO159" s="439">
        <v>1.072966981334611</v>
      </c>
    </row>
    <row r="160" spans="1:93">
      <c r="A160" s="438" t="s">
        <v>2789</v>
      </c>
      <c r="B160" s="438"/>
      <c r="C160" s="442" t="s">
        <v>1349</v>
      </c>
      <c r="E160" s="436"/>
      <c r="G160" s="438">
        <f t="shared" ref="G160:BO160" si="148">((1+G159/100)/(G88/F88)-1)*100</f>
        <v>0.9787359485572189</v>
      </c>
      <c r="H160" s="438">
        <f t="shared" si="148"/>
        <v>-17.052744974321065</v>
      </c>
      <c r="I160" s="438">
        <f t="shared" si="148"/>
        <v>-4.1314194478654809</v>
      </c>
      <c r="J160" s="438">
        <f t="shared" si="148"/>
        <v>-4.5724107234027649</v>
      </c>
      <c r="K160" s="438">
        <f t="shared" si="148"/>
        <v>4.4478110358669332</v>
      </c>
      <c r="L160" s="438">
        <f t="shared" si="148"/>
        <v>-4.7570193810450689</v>
      </c>
      <c r="M160" s="438">
        <f t="shared" si="148"/>
        <v>1.9161468186064567</v>
      </c>
      <c r="N160" s="438">
        <f t="shared" si="148"/>
        <v>4.1359185841027823E-3</v>
      </c>
      <c r="O160" s="438">
        <f t="shared" si="148"/>
        <v>10.277985427886405</v>
      </c>
      <c r="P160" s="438">
        <f t="shared" si="148"/>
        <v>16.399735890417343</v>
      </c>
      <c r="Q160" s="438">
        <f t="shared" si="148"/>
        <v>8.5148262445177139</v>
      </c>
      <c r="R160" s="438">
        <f t="shared" si="148"/>
        <v>16.022902915358706</v>
      </c>
      <c r="S160" s="438">
        <f t="shared" si="148"/>
        <v>6.250496312273035</v>
      </c>
      <c r="T160" s="438">
        <f t="shared" si="148"/>
        <v>2.7808700488092475</v>
      </c>
      <c r="U160" s="438">
        <f t="shared" si="148"/>
        <v>-3.4571322323640907</v>
      </c>
      <c r="V160" s="438">
        <f t="shared" si="148"/>
        <v>-5.0027749528596459</v>
      </c>
      <c r="W160" s="438">
        <f t="shared" si="148"/>
        <v>19.781569082910888</v>
      </c>
      <c r="X160" s="438">
        <f t="shared" si="148"/>
        <v>4.6241719722740049</v>
      </c>
      <c r="Y160" s="438">
        <f t="shared" si="148"/>
        <v>9.8631633987945388</v>
      </c>
      <c r="Z160" s="438">
        <f t="shared" si="148"/>
        <v>10.720535048731961</v>
      </c>
      <c r="AA160" s="438">
        <f t="shared" si="148"/>
        <v>-5.3991961622265494</v>
      </c>
      <c r="AB160" s="438">
        <f t="shared" si="148"/>
        <v>-6.3071966640517729</v>
      </c>
      <c r="AC160" s="438">
        <f t="shared" si="148"/>
        <v>7.3295436338750797</v>
      </c>
      <c r="AD160" s="438">
        <f t="shared" si="148"/>
        <v>7.0589049497695733</v>
      </c>
      <c r="AE160" s="438">
        <f t="shared" si="148"/>
        <v>5.1150274771127657</v>
      </c>
      <c r="AF160" s="438">
        <f t="shared" si="148"/>
        <v>-0.67166426946162483</v>
      </c>
      <c r="AG160" s="438">
        <f t="shared" si="148"/>
        <v>2.4345575017209908</v>
      </c>
      <c r="AH160" s="438">
        <f t="shared" si="148"/>
        <v>-3.0326184885544505</v>
      </c>
      <c r="AI160" s="438">
        <f t="shared" si="148"/>
        <v>-6.9236502694010493</v>
      </c>
      <c r="AJ160" s="438">
        <f t="shared" si="148"/>
        <v>-5.679049947204784</v>
      </c>
      <c r="AK160" s="438">
        <f t="shared" si="148"/>
        <v>5.2195753667580558</v>
      </c>
      <c r="AL160" s="438">
        <f t="shared" si="148"/>
        <v>-20.99095903148941</v>
      </c>
      <c r="AM160" s="438">
        <f t="shared" si="148"/>
        <v>-17.113819456381218</v>
      </c>
      <c r="AN160" s="438">
        <f t="shared" si="148"/>
        <v>7.1487653034457477</v>
      </c>
      <c r="AO160" s="438">
        <f t="shared" si="148"/>
        <v>3.9980955133376739</v>
      </c>
      <c r="AP160" s="438">
        <f t="shared" si="148"/>
        <v>49.319889224894673</v>
      </c>
      <c r="AQ160" s="438">
        <f t="shared" si="148"/>
        <v>9.9491365690162592</v>
      </c>
      <c r="AR160" s="438">
        <f t="shared" si="148"/>
        <v>-12.207136844250554</v>
      </c>
      <c r="AS160" s="438">
        <f t="shared" si="148"/>
        <v>-15.88449855581916</v>
      </c>
      <c r="AT160" s="438">
        <f t="shared" si="148"/>
        <v>-2.3487028424876488</v>
      </c>
      <c r="AU160" s="438">
        <f t="shared" si="148"/>
        <v>-11.170295522934993</v>
      </c>
      <c r="AV160" s="438">
        <f t="shared" si="148"/>
        <v>27.527495873441744</v>
      </c>
      <c r="AW160" s="438">
        <f t="shared" si="148"/>
        <v>12.675177331320754</v>
      </c>
      <c r="AX160" s="438">
        <f t="shared" si="148"/>
        <v>5.0492926498261648</v>
      </c>
      <c r="AY160" s="438">
        <f t="shared" si="148"/>
        <v>-10.197884756679109</v>
      </c>
      <c r="AZ160" s="438">
        <f t="shared" si="148"/>
        <v>-13.916944580200152</v>
      </c>
      <c r="BA160" s="438">
        <f t="shared" si="148"/>
        <v>7.9246662783408528</v>
      </c>
      <c r="BB160" s="438">
        <f t="shared" si="148"/>
        <v>61.854371003995844</v>
      </c>
      <c r="BC160" s="438">
        <f t="shared" ca="1" si="148"/>
        <v>4.3689755747983616</v>
      </c>
      <c r="BD160" s="438">
        <f t="shared" ca="1" si="148"/>
        <v>-3.9407184964881159</v>
      </c>
      <c r="BE160" s="438">
        <f t="shared" ca="1" si="148"/>
        <v>-4.9216286725753289</v>
      </c>
      <c r="BF160" s="438">
        <f t="shared" ca="1" si="148"/>
        <v>-1.4764773544797105</v>
      </c>
      <c r="BG160" s="438">
        <f t="shared" ca="1" si="148"/>
        <v>-0.33041584004943614</v>
      </c>
      <c r="BH160" s="438">
        <f t="shared" ca="1" si="148"/>
        <v>-0.43809244732733177</v>
      </c>
      <c r="BI160" s="438">
        <f t="shared" ca="1" si="148"/>
        <v>-0.33082044698208302</v>
      </c>
      <c r="BJ160" s="438">
        <f t="shared" ca="1" si="148"/>
        <v>-0.3514581004257944</v>
      </c>
      <c r="BK160" s="438">
        <f t="shared" ca="1" si="148"/>
        <v>-0.19023823331719703</v>
      </c>
      <c r="BL160" s="438">
        <f t="shared" ca="1" si="148"/>
        <v>-0.22634014679758785</v>
      </c>
      <c r="BM160" s="438">
        <f t="shared" ca="1" si="148"/>
        <v>-0.2803762663071363</v>
      </c>
      <c r="BN160" s="438">
        <f t="shared" ca="1" si="148"/>
        <v>-0.28564946090841037</v>
      </c>
      <c r="BO160" s="438">
        <f t="shared" ca="1" si="148"/>
        <v>-0.34177067758430768</v>
      </c>
      <c r="BP160" s="440"/>
      <c r="BQ160" s="448">
        <f t="shared" ca="1" si="147"/>
        <v>0</v>
      </c>
      <c r="BR160" s="448">
        <f t="shared" ca="1" si="147"/>
        <v>0</v>
      </c>
      <c r="BS160" s="448">
        <f t="shared" ca="1" si="147"/>
        <v>4.4408920985006262E-14</v>
      </c>
      <c r="BT160" s="448">
        <f t="shared" ca="1" si="147"/>
        <v>9.7699626167013776E-13</v>
      </c>
      <c r="BU160" s="448">
        <f t="shared" ca="1" si="147"/>
        <v>9.7255536957163713E-12</v>
      </c>
      <c r="BV160" s="448">
        <f t="shared" ca="1" si="147"/>
        <v>8.7074791821351027E-11</v>
      </c>
      <c r="BW160" s="448">
        <f t="shared" ca="1" si="147"/>
        <v>6.1266547390914639E-10</v>
      </c>
      <c r="BX160" s="448">
        <f t="shared" ca="1" si="147"/>
        <v>3.5252689656317671E-9</v>
      </c>
      <c r="BY160" s="448">
        <f t="shared" ca="1" si="147"/>
        <v>1.7000256757881971E-8</v>
      </c>
      <c r="BZ160" s="448">
        <f t="shared" ca="1" si="147"/>
        <v>7.0545880248573667E-8</v>
      </c>
      <c r="CA160" s="448">
        <f t="shared" ca="1" si="147"/>
        <v>2.5683161153366996E-7</v>
      </c>
      <c r="CB160" s="448">
        <f t="shared" ca="1" si="147"/>
        <v>8.3548334917082911E-7</v>
      </c>
      <c r="CD160" s="439">
        <v>-3.9407184964881159</v>
      </c>
      <c r="CE160" s="439">
        <v>-4.9216286725753289</v>
      </c>
      <c r="CF160" s="439">
        <v>-1.4764773544797549</v>
      </c>
      <c r="CG160" s="439">
        <v>-0.33041584005041313</v>
      </c>
      <c r="CH160" s="439">
        <v>-0.43809244733705732</v>
      </c>
      <c r="CI160" s="439">
        <v>-0.33082044706915781</v>
      </c>
      <c r="CJ160" s="439">
        <v>-0.35145810103845987</v>
      </c>
      <c r="CK160" s="439">
        <v>-0.19023823684246599</v>
      </c>
      <c r="CL160" s="439">
        <v>-0.22634016379784461</v>
      </c>
      <c r="CM160" s="439">
        <v>-0.28037633685301655</v>
      </c>
      <c r="CN160" s="439">
        <v>-0.2856497177400219</v>
      </c>
      <c r="CO160" s="439">
        <v>-0.34177151306765685</v>
      </c>
    </row>
    <row r="161" spans="1:93">
      <c r="A161" s="436" t="s">
        <v>2790</v>
      </c>
      <c r="B161" s="436"/>
      <c r="C161" s="442"/>
      <c r="D161" s="447"/>
      <c r="H161" s="438"/>
      <c r="I161" s="438"/>
      <c r="J161" s="438"/>
      <c r="K161" s="438"/>
      <c r="L161" s="438"/>
      <c r="M161" s="438"/>
      <c r="N161" s="438"/>
      <c r="O161" s="438"/>
      <c r="P161" s="438"/>
      <c r="Q161" s="438"/>
      <c r="R161" s="438"/>
      <c r="S161" s="438"/>
      <c r="T161" s="438"/>
      <c r="U161" s="438"/>
      <c r="V161" s="438"/>
      <c r="W161" s="438"/>
      <c r="X161" s="438"/>
      <c r="Y161" s="438"/>
      <c r="Z161" s="438"/>
      <c r="AA161" s="438"/>
      <c r="AB161" s="438"/>
      <c r="AC161" s="438"/>
      <c r="AD161" s="438"/>
      <c r="AE161" s="438"/>
      <c r="AF161" s="438"/>
      <c r="AG161" s="438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38"/>
      <c r="AU161" s="438"/>
      <c r="AV161" s="438"/>
      <c r="AW161" s="438"/>
      <c r="AX161" s="438"/>
      <c r="AY161" s="438"/>
      <c r="AZ161" s="438"/>
      <c r="BE161" s="438"/>
      <c r="BF161" s="438"/>
      <c r="BG161" s="438"/>
      <c r="BH161" s="438"/>
      <c r="BI161" s="438"/>
      <c r="BJ161" s="438"/>
      <c r="BK161" s="438"/>
      <c r="BL161" s="438"/>
      <c r="BM161" s="438"/>
      <c r="BN161" s="438"/>
      <c r="BO161" s="438"/>
    </row>
    <row r="162" spans="1:93">
      <c r="A162" s="436" t="s">
        <v>2791</v>
      </c>
      <c r="B162" s="436"/>
      <c r="C162" s="442" t="s">
        <v>1349</v>
      </c>
      <c r="D162" s="447"/>
      <c r="E162" s="436" t="s">
        <v>2792</v>
      </c>
      <c r="F162" s="477" t="s">
        <v>1344</v>
      </c>
      <c r="G162" s="477">
        <f t="shared" ref="G162:BO162" si="149">((1+G163/100)*(G88/F88)/(1+G159/100)-1)*100</f>
        <v>0.23730886991022437</v>
      </c>
      <c r="H162" s="456">
        <f t="shared" si="149"/>
        <v>-0.7675219580433823</v>
      </c>
      <c r="I162" s="456">
        <f t="shared" si="149"/>
        <v>12.772492249826239</v>
      </c>
      <c r="J162" s="456">
        <f t="shared" si="149"/>
        <v>7.0493921838918228</v>
      </c>
      <c r="K162" s="456">
        <f t="shared" si="149"/>
        <v>-0.24398373374415749</v>
      </c>
      <c r="L162" s="456">
        <f t="shared" si="149"/>
        <v>5.8586075475042909</v>
      </c>
      <c r="M162" s="456">
        <f t="shared" si="149"/>
        <v>-2.3174811931533146</v>
      </c>
      <c r="N162" s="456">
        <f t="shared" si="149"/>
        <v>5.2823135354820527</v>
      </c>
      <c r="O162" s="456">
        <f t="shared" si="149"/>
        <v>-3.6333258571389804</v>
      </c>
      <c r="P162" s="456">
        <f t="shared" si="149"/>
        <v>-7.5573017282481008</v>
      </c>
      <c r="Q162" s="456">
        <f t="shared" si="149"/>
        <v>-4.9627377313962828</v>
      </c>
      <c r="R162" s="456">
        <f t="shared" si="149"/>
        <v>-1.9483525723859474</v>
      </c>
      <c r="S162" s="456">
        <f t="shared" si="149"/>
        <v>2.3770701005088712</v>
      </c>
      <c r="T162" s="456">
        <f t="shared" si="149"/>
        <v>7.5969460686262202</v>
      </c>
      <c r="U162" s="456">
        <f t="shared" si="149"/>
        <v>12.076075124607332</v>
      </c>
      <c r="V162" s="456">
        <f t="shared" si="149"/>
        <v>15.436392814709077</v>
      </c>
      <c r="W162" s="456">
        <f t="shared" si="149"/>
        <v>-6.0660799246046508</v>
      </c>
      <c r="X162" s="456">
        <f t="shared" si="149"/>
        <v>6.5930594833641276</v>
      </c>
      <c r="Y162" s="456">
        <f t="shared" si="149"/>
        <v>4.3630265938597423</v>
      </c>
      <c r="Z162" s="456">
        <f t="shared" si="149"/>
        <v>3.6623176699626558</v>
      </c>
      <c r="AA162" s="456">
        <f t="shared" si="149"/>
        <v>25.757440805942956</v>
      </c>
      <c r="AB162" s="456">
        <f t="shared" si="149"/>
        <v>28.033321208841567</v>
      </c>
      <c r="AC162" s="456">
        <f t="shared" si="149"/>
        <v>17.919147537994373</v>
      </c>
      <c r="AD162" s="456">
        <f t="shared" si="149"/>
        <v>10.694383181125078</v>
      </c>
      <c r="AE162" s="456">
        <f t="shared" si="149"/>
        <v>-1.8443496336262299E-2</v>
      </c>
      <c r="AF162" s="456">
        <f t="shared" si="149"/>
        <v>18.718956318953751</v>
      </c>
      <c r="AG162" s="456">
        <f t="shared" si="149"/>
        <v>13.202124458738563</v>
      </c>
      <c r="AH162" s="456">
        <f t="shared" si="149"/>
        <v>14.608174233994585</v>
      </c>
      <c r="AI162" s="456">
        <f t="shared" si="149"/>
        <v>16.701201355130337</v>
      </c>
      <c r="AJ162" s="456">
        <f t="shared" si="149"/>
        <v>13.833554635705658</v>
      </c>
      <c r="AK162" s="456">
        <f t="shared" si="149"/>
        <v>1.7290645202270971</v>
      </c>
      <c r="AL162" s="456">
        <f t="shared" si="149"/>
        <v>25.2304589936996</v>
      </c>
      <c r="AM162" s="456">
        <f t="shared" si="149"/>
        <v>12.863141520221433</v>
      </c>
      <c r="AN162" s="456">
        <f t="shared" si="149"/>
        <v>5.1081241962180446</v>
      </c>
      <c r="AO162" s="456">
        <f t="shared" si="149"/>
        <v>13.475633142072784</v>
      </c>
      <c r="AP162" s="456">
        <f t="shared" si="149"/>
        <v>-20.926144824122993</v>
      </c>
      <c r="AQ162" s="456">
        <f t="shared" si="149"/>
        <v>5.0778904246677525</v>
      </c>
      <c r="AR162" s="456">
        <f t="shared" si="149"/>
        <v>47.226206642593027</v>
      </c>
      <c r="AS162" s="456">
        <f t="shared" si="149"/>
        <v>123.13630912310138</v>
      </c>
      <c r="AT162" s="456">
        <f t="shared" si="149"/>
        <v>590.99960317416298</v>
      </c>
      <c r="AU162" s="456">
        <f t="shared" si="149"/>
        <v>418.21673393651304</v>
      </c>
      <c r="AV162" s="456">
        <f t="shared" si="149"/>
        <v>16.194184392735032</v>
      </c>
      <c r="AW162" s="456">
        <f t="shared" si="149"/>
        <v>19.001186067550368</v>
      </c>
      <c r="AX162" s="456">
        <f t="shared" si="149"/>
        <v>13.425441628203361</v>
      </c>
      <c r="AY162" s="456">
        <f t="shared" si="149"/>
        <v>107.26593139169664</v>
      </c>
      <c r="AZ162" s="456">
        <f t="shared" si="149"/>
        <v>58.311150202355087</v>
      </c>
      <c r="BA162" s="456">
        <f t="shared" si="149"/>
        <v>52.714029422719435</v>
      </c>
      <c r="BB162" s="456">
        <f t="shared" si="149"/>
        <v>-26.435484898596819</v>
      </c>
      <c r="BC162" s="456">
        <f t="shared" ca="1" si="149"/>
        <v>-11.863966399386028</v>
      </c>
      <c r="BD162" s="456">
        <f t="shared" ca="1" si="149"/>
        <v>27.591822912365505</v>
      </c>
      <c r="BE162" s="456">
        <f t="shared" ca="1" si="149"/>
        <v>16.142616702889967</v>
      </c>
      <c r="BF162" s="456">
        <f t="shared" ca="1" si="149"/>
        <v>8.756790376260426</v>
      </c>
      <c r="BG162" s="456">
        <f t="shared" ca="1" si="149"/>
        <v>5.9327343953447631</v>
      </c>
      <c r="BH162" s="456">
        <f t="shared" ca="1" si="149"/>
        <v>5.3051483436596936</v>
      </c>
      <c r="BI162" s="456">
        <f t="shared" ca="1" si="149"/>
        <v>4.7871040405634391</v>
      </c>
      <c r="BJ162" s="456">
        <f t="shared" ca="1" si="149"/>
        <v>4.5938413224678065</v>
      </c>
      <c r="BK162" s="456">
        <f t="shared" ca="1" si="149"/>
        <v>4.3219210107272144</v>
      </c>
      <c r="BL162" s="456">
        <f t="shared" ca="1" si="149"/>
        <v>4.3225227290276447</v>
      </c>
      <c r="BM162" s="456">
        <f t="shared" ca="1" si="149"/>
        <v>4.3528749023156621</v>
      </c>
      <c r="BN162" s="456">
        <f t="shared" ca="1" si="149"/>
        <v>4.3385463941916891</v>
      </c>
      <c r="BO162" s="456">
        <f t="shared" ca="1" si="149"/>
        <v>4.3802577006309962</v>
      </c>
      <c r="BP162" s="457"/>
      <c r="BQ162" s="448">
        <f t="shared" ref="BQ162:CB164" ca="1" si="150">+BD162-CD162</f>
        <v>0</v>
      </c>
      <c r="BR162" s="448">
        <f t="shared" ca="1" si="150"/>
        <v>0</v>
      </c>
      <c r="BS162" s="448">
        <f t="shared" ca="1" si="150"/>
        <v>-4.4408920985006262E-14</v>
      </c>
      <c r="BT162" s="448">
        <f t="shared" ca="1" si="150"/>
        <v>-3.9968028886505635E-13</v>
      </c>
      <c r="BU162" s="448">
        <f t="shared" ca="1" si="150"/>
        <v>-3.5527136788005009E-12</v>
      </c>
      <c r="BV162" s="448">
        <f t="shared" ca="1" si="150"/>
        <v>-3.7991831902672857E-11</v>
      </c>
      <c r="BW162" s="448">
        <f t="shared" ca="1" si="150"/>
        <v>-3.0477842472009797E-10</v>
      </c>
      <c r="BX162" s="448">
        <f t="shared" ca="1" si="150"/>
        <v>-1.9428236797125464E-9</v>
      </c>
      <c r="BY162" s="448">
        <f t="shared" ca="1" si="150"/>
        <v>-1.0219802781818998E-8</v>
      </c>
      <c r="BZ162" s="448">
        <f t="shared" ca="1" si="150"/>
        <v>-4.556626187479651E-8</v>
      </c>
      <c r="CA162" s="448">
        <f t="shared" ca="1" si="150"/>
        <v>-1.7599310897509213E-7</v>
      </c>
      <c r="CB162" s="448">
        <f t="shared" ca="1" si="150"/>
        <v>-6.0144318414501186E-7</v>
      </c>
      <c r="CD162" s="439">
        <v>27.591822912365505</v>
      </c>
      <c r="CE162" s="439">
        <v>16.142616702889967</v>
      </c>
      <c r="CF162" s="439">
        <v>8.7567903762604704</v>
      </c>
      <c r="CG162" s="439">
        <v>5.9327343953451628</v>
      </c>
      <c r="CH162" s="439">
        <v>5.3051483436632463</v>
      </c>
      <c r="CI162" s="439">
        <v>4.7871040406014309</v>
      </c>
      <c r="CJ162" s="439">
        <v>4.5938413227725849</v>
      </c>
      <c r="CK162" s="439">
        <v>4.321921012670038</v>
      </c>
      <c r="CL162" s="439">
        <v>4.3225227392474475</v>
      </c>
      <c r="CM162" s="439">
        <v>4.352874947881924</v>
      </c>
      <c r="CN162" s="439">
        <v>4.3385465701847981</v>
      </c>
      <c r="CO162" s="439">
        <v>4.3802583020741803</v>
      </c>
    </row>
    <row r="163" spans="1:93">
      <c r="A163" s="436" t="s">
        <v>2793</v>
      </c>
      <c r="B163" s="436"/>
      <c r="C163" s="442" t="s">
        <v>1349</v>
      </c>
      <c r="D163" s="447"/>
      <c r="E163" s="436" t="s">
        <v>2794</v>
      </c>
      <c r="F163" s="477" t="s">
        <v>1344</v>
      </c>
      <c r="G163" s="477">
        <f t="shared" ref="G163:AY163" si="151">((G13/F13)/(G88/F88)-1)*100</f>
        <v>1.2183674456863747</v>
      </c>
      <c r="H163" s="456">
        <f t="shared" si="151"/>
        <v>-17.689383370237387</v>
      </c>
      <c r="I163" s="456">
        <f t="shared" si="151"/>
        <v>8.1133875731743252</v>
      </c>
      <c r="J163" s="456">
        <f t="shared" si="151"/>
        <v>2.1546542963380766</v>
      </c>
      <c r="K163" s="456">
        <f t="shared" si="151"/>
        <v>4.192975366687568</v>
      </c>
      <c r="L163" s="456">
        <f t="shared" si="151"/>
        <v>0.82289306996508049</v>
      </c>
      <c r="M163" s="456">
        <f t="shared" si="151"/>
        <v>-0.44574071670127058</v>
      </c>
      <c r="N163" s="456">
        <f t="shared" si="151"/>
        <v>5.2866679262533411</v>
      </c>
      <c r="O163" s="456">
        <f t="shared" si="151"/>
        <v>6.2712268686030415</v>
      </c>
      <c r="P163" s="456">
        <f t="shared" si="151"/>
        <v>7.6030566382945919</v>
      </c>
      <c r="Q163" s="456">
        <f t="shared" si="151"/>
        <v>3.1295200183219185</v>
      </c>
      <c r="R163" s="456">
        <f t="shared" si="151"/>
        <v>13.762367701850465</v>
      </c>
      <c r="S163" s="456">
        <f t="shared" si="151"/>
        <v>8.7761450917543726</v>
      </c>
      <c r="T163" s="456">
        <f t="shared" si="151"/>
        <v>10.589077315282115</v>
      </c>
      <c r="U163" s="456">
        <f t="shared" si="151"/>
        <v>8.201457006705958</v>
      </c>
      <c r="V163" s="456">
        <f t="shared" si="151"/>
        <v>9.661369868490155</v>
      </c>
      <c r="W163" s="456">
        <f t="shared" si="151"/>
        <v>12.515523367395964</v>
      </c>
      <c r="X163" s="456">
        <f t="shared" si="151"/>
        <v>11.522105864383203</v>
      </c>
      <c r="Y163" s="456">
        <f t="shared" si="151"/>
        <v>14.656522434739539</v>
      </c>
      <c r="Z163" s="456">
        <f t="shared" si="151"/>
        <v>14.775472768098874</v>
      </c>
      <c r="AA163" s="456">
        <f t="shared" si="151"/>
        <v>18.967549888234171</v>
      </c>
      <c r="AB163" s="456">
        <f t="shared" si="151"/>
        <v>19.958007844682825</v>
      </c>
      <c r="AC163" s="456">
        <f t="shared" si="151"/>
        <v>26.562082909485184</v>
      </c>
      <c r="AD163" s="456">
        <f t="shared" si="151"/>
        <v>18.508194474614402</v>
      </c>
      <c r="AE163" s="456">
        <f t="shared" si="151"/>
        <v>5.0956405908711755</v>
      </c>
      <c r="AF163" s="456">
        <f t="shared" si="151"/>
        <v>17.921563508281579</v>
      </c>
      <c r="AG163" s="456">
        <f t="shared" si="151"/>
        <v>15.958095271856321</v>
      </c>
      <c r="AH163" s="456">
        <f t="shared" si="151"/>
        <v>11.13254555277976</v>
      </c>
      <c r="AI163" s="456">
        <f t="shared" si="151"/>
        <v>8.6212183131116014</v>
      </c>
      <c r="AJ163" s="456">
        <f t="shared" si="151"/>
        <v>7.3688902112652999</v>
      </c>
      <c r="AK163" s="456">
        <f t="shared" si="151"/>
        <v>7.0388897127582783</v>
      </c>
      <c r="AL163" s="456">
        <f t="shared" si="151"/>
        <v>-1.0566153486140317</v>
      </c>
      <c r="AM163" s="456">
        <f t="shared" si="151"/>
        <v>-6.4520527523492905</v>
      </c>
      <c r="AN163" s="456">
        <f t="shared" si="151"/>
        <v>12.622057309859947</v>
      </c>
      <c r="AO163" s="456">
        <f t="shared" si="151"/>
        <v>18.012497339457511</v>
      </c>
      <c r="AP163" s="456">
        <f t="shared" si="151"/>
        <v>18.0729929544732</v>
      </c>
      <c r="AQ163" s="456">
        <f t="shared" si="151"/>
        <v>15.532233246859217</v>
      </c>
      <c r="AR163" s="456">
        <f t="shared" si="151"/>
        <v>29.254102127132597</v>
      </c>
      <c r="AS163" s="456">
        <f t="shared" si="151"/>
        <v>87.692225322934164</v>
      </c>
      <c r="AT163" s="456">
        <f t="shared" si="151"/>
        <v>574.77007585283297</v>
      </c>
      <c r="AU163" s="456">
        <f t="shared" si="151"/>
        <v>360.33039330650274</v>
      </c>
      <c r="AV163" s="456">
        <f t="shared" si="151"/>
        <v>48.179533706624447</v>
      </c>
      <c r="AW163" s="456">
        <f t="shared" si="151"/>
        <v>34.084797427987354</v>
      </c>
      <c r="AX163" s="456">
        <f t="shared" si="151"/>
        <v>19.152624115369111</v>
      </c>
      <c r="AY163" s="456">
        <f t="shared" si="151"/>
        <v>86.129190568513849</v>
      </c>
      <c r="AZ163" s="456">
        <f>((AZ13/AY13)/(AZ88/AY88)-1)*100</f>
        <v>36.279075164415907</v>
      </c>
      <c r="BA163" s="456">
        <f>((BA13/AZ13)/(BA88/AZ88)-1)*100</f>
        <v>64.81610661467721</v>
      </c>
      <c r="BB163" s="456">
        <f>((BB13/BA13)/(BB88/BA88)-1)*100</f>
        <v>19.067383199515643</v>
      </c>
      <c r="BC163" s="456">
        <f>((BC13/BB13)/(BC88/BB88)-1)*100</f>
        <v>-8.0133246187791265</v>
      </c>
      <c r="BD163" s="456">
        <f t="shared" ref="BD163:BO163" ca="1" si="152">((BD13/BC13)/(BD88/BC88)-1)*100</f>
        <v>22.563788346851553</v>
      </c>
      <c r="BE163" s="456">
        <f t="shared" ca="1" si="152"/>
        <v>10.426508378161259</v>
      </c>
      <c r="BF163" s="456">
        <f t="shared" ca="1" si="152"/>
        <v>7.1510209948959735</v>
      </c>
      <c r="BG163" s="456">
        <f t="shared" ca="1" si="152"/>
        <v>5.5827158611050365</v>
      </c>
      <c r="BH163" s="456">
        <f t="shared" ca="1" si="152"/>
        <v>4.8438144421192542</v>
      </c>
      <c r="BI163" s="456">
        <f t="shared" ca="1" si="152"/>
        <v>4.4404468745968817</v>
      </c>
      <c r="BJ163" s="456">
        <f t="shared" ca="1" si="152"/>
        <v>4.2262377945935237</v>
      </c>
      <c r="BK163" s="456">
        <f t="shared" ca="1" si="152"/>
        <v>4.1234608312338938</v>
      </c>
      <c r="BL163" s="456">
        <f t="shared" ca="1" si="152"/>
        <v>4.0863989779398535</v>
      </c>
      <c r="BM163" s="456">
        <f t="shared" ca="1" si="152"/>
        <v>4.0602942078804105</v>
      </c>
      <c r="BN163" s="456">
        <f t="shared" ca="1" si="152"/>
        <v>4.0405038988970077</v>
      </c>
      <c r="BO163" s="456">
        <f t="shared" ca="1" si="152"/>
        <v>4.0235165866232991</v>
      </c>
      <c r="BP163" s="457"/>
      <c r="BQ163" s="448">
        <f t="shared" ca="1" si="150"/>
        <v>0</v>
      </c>
      <c r="BR163" s="448">
        <f t="shared" ca="1" si="150"/>
        <v>0</v>
      </c>
      <c r="BS163" s="448">
        <f t="shared" ca="1" si="150"/>
        <v>-2.2204460492503131E-14</v>
      </c>
      <c r="BT163" s="448">
        <f t="shared" ca="1" si="150"/>
        <v>-4.4408920985006262E-13</v>
      </c>
      <c r="BU163" s="448">
        <f t="shared" ca="1" si="150"/>
        <v>-5.0626169922907138E-12</v>
      </c>
      <c r="BV163" s="448">
        <f t="shared" ca="1" si="150"/>
        <v>-4.0900616227190767E-11</v>
      </c>
      <c r="BW163" s="448">
        <f t="shared" ca="1" si="150"/>
        <v>-2.6145752229922437E-10</v>
      </c>
      <c r="BX163" s="448">
        <f t="shared" ca="1" si="150"/>
        <v>-1.3635093054631398E-9</v>
      </c>
      <c r="BY163" s="448">
        <f t="shared" ca="1" si="150"/>
        <v>-5.9786620099089305E-9</v>
      </c>
      <c r="BZ163" s="448">
        <f t="shared" ca="1" si="150"/>
        <v>-2.2597435034299451E-8</v>
      </c>
      <c r="CA163" s="448">
        <f t="shared" ca="1" si="150"/>
        <v>-7.4989636722477826E-8</v>
      </c>
      <c r="CB163" s="448">
        <f t="shared" ca="1" si="150"/>
        <v>-2.235267304584454E-7</v>
      </c>
      <c r="CD163" s="439">
        <v>22.563788346851553</v>
      </c>
      <c r="CE163" s="439">
        <v>10.426508378161259</v>
      </c>
      <c r="CF163" s="439">
        <v>7.1510209948959957</v>
      </c>
      <c r="CG163" s="439">
        <v>5.5827158611054806</v>
      </c>
      <c r="CH163" s="439">
        <v>4.8438144421243168</v>
      </c>
      <c r="CI163" s="439">
        <v>4.4404468746377823</v>
      </c>
      <c r="CJ163" s="439">
        <v>4.2262377948549812</v>
      </c>
      <c r="CK163" s="439">
        <v>4.1234608325974031</v>
      </c>
      <c r="CL163" s="439">
        <v>4.0863989839185155</v>
      </c>
      <c r="CM163" s="439">
        <v>4.0602942304778455</v>
      </c>
      <c r="CN163" s="439">
        <v>4.0405039738866444</v>
      </c>
      <c r="CO163" s="439">
        <v>4.0235168101500296</v>
      </c>
    </row>
    <row r="164" spans="1:93">
      <c r="A164" s="436" t="s">
        <v>2795</v>
      </c>
      <c r="B164" s="436"/>
      <c r="C164" s="442" t="s">
        <v>1349</v>
      </c>
      <c r="D164" s="447"/>
      <c r="E164" s="436" t="s">
        <v>2796</v>
      </c>
      <c r="F164" s="477" t="s">
        <v>1344</v>
      </c>
      <c r="G164" s="477">
        <f t="shared" ref="G164:AO164" si="153">((G53/F53)/(G89/F89)-1)*100</f>
        <v>0.13426423200857407</v>
      </c>
      <c r="H164" s="477">
        <f t="shared" si="153"/>
        <v>0.64330961995711089</v>
      </c>
      <c r="I164" s="477">
        <f t="shared" si="153"/>
        <v>17.192987810101435</v>
      </c>
      <c r="J164" s="477">
        <f t="shared" si="153"/>
        <v>3.8876158334320898</v>
      </c>
      <c r="K164" s="477">
        <f t="shared" si="153"/>
        <v>1.5861385222345259</v>
      </c>
      <c r="L164" s="477">
        <f t="shared" si="153"/>
        <v>4.3931522997048278</v>
      </c>
      <c r="M164" s="477">
        <f t="shared" si="153"/>
        <v>25.77915432898148</v>
      </c>
      <c r="N164" s="477">
        <f t="shared" si="153"/>
        <v>-5.1650745966717038</v>
      </c>
      <c r="O164" s="477">
        <f t="shared" si="153"/>
        <v>-4.5415955731358597</v>
      </c>
      <c r="P164" s="477">
        <f t="shared" si="153"/>
        <v>8.1257183163178759</v>
      </c>
      <c r="Q164" s="477">
        <f t="shared" si="153"/>
        <v>2.8244966851925346</v>
      </c>
      <c r="R164" s="477">
        <f t="shared" si="153"/>
        <v>13.705220094571224</v>
      </c>
      <c r="S164" s="477">
        <f t="shared" si="153"/>
        <v>-4.9484287419580664</v>
      </c>
      <c r="T164" s="477">
        <f t="shared" si="153"/>
        <v>2.5396126546449738</v>
      </c>
      <c r="U164" s="477">
        <f t="shared" si="153"/>
        <v>4.6632011859273792</v>
      </c>
      <c r="V164" s="477">
        <f t="shared" si="153"/>
        <v>0.75571474982853992</v>
      </c>
      <c r="W164" s="477">
        <f t="shared" si="153"/>
        <v>1.5134870247910159</v>
      </c>
      <c r="X164" s="477">
        <f t="shared" si="153"/>
        <v>17.61390521705659</v>
      </c>
      <c r="Y164" s="477">
        <f t="shared" si="153"/>
        <v>-4.3866587633935028</v>
      </c>
      <c r="Z164" s="477">
        <f t="shared" si="153"/>
        <v>1.5712349790351521</v>
      </c>
      <c r="AA164" s="477">
        <f t="shared" si="153"/>
        <v>21.455121098067622</v>
      </c>
      <c r="AB164" s="477">
        <f t="shared" si="153"/>
        <v>7.7455677182690641</v>
      </c>
      <c r="AC164" s="477">
        <f t="shared" si="153"/>
        <v>17.051380495856062</v>
      </c>
      <c r="AD164" s="477">
        <f t="shared" si="153"/>
        <v>6.536261775255392</v>
      </c>
      <c r="AE164" s="477">
        <f t="shared" si="153"/>
        <v>3.4431752066989674</v>
      </c>
      <c r="AF164" s="477">
        <f t="shared" si="153"/>
        <v>14.678301303855212</v>
      </c>
      <c r="AG164" s="477">
        <f t="shared" si="153"/>
        <v>21.554196390516033</v>
      </c>
      <c r="AH164" s="477">
        <f t="shared" si="153"/>
        <v>25.778184298035157</v>
      </c>
      <c r="AI164" s="477">
        <f t="shared" si="153"/>
        <v>3.0096245628503882</v>
      </c>
      <c r="AJ164" s="477">
        <f t="shared" si="153"/>
        <v>5.081909674891083E-2</v>
      </c>
      <c r="AK164" s="477">
        <f t="shared" si="153"/>
        <v>-9.1108580106102899E-2</v>
      </c>
      <c r="AL164" s="477">
        <f t="shared" si="153"/>
        <v>5.0965880605468028</v>
      </c>
      <c r="AM164" s="477">
        <f t="shared" si="153"/>
        <v>7.1057529875214298</v>
      </c>
      <c r="AN164" s="477">
        <f t="shared" si="153"/>
        <v>4.6529873604832739</v>
      </c>
      <c r="AO164" s="477">
        <f t="shared" si="153"/>
        <v>6.3817285811676561</v>
      </c>
      <c r="AP164" s="483">
        <v>-1.0574579238891602</v>
      </c>
      <c r="AQ164" s="477">
        <v>23.870920181274414</v>
      </c>
      <c r="AR164" s="477">
        <v>2.2791769504547119</v>
      </c>
      <c r="AS164" s="477">
        <f>((AS53/AR53)/(AS89/AR89)-1)*100</f>
        <v>24.354660559321808</v>
      </c>
      <c r="AT164" s="477">
        <f>((AT53/AS53)/(AT89/AS89)-1)*100</f>
        <v>261.22542718969305</v>
      </c>
      <c r="AU164" s="475">
        <v>150</v>
      </c>
      <c r="AV164" s="456">
        <f t="shared" ref="AV164:BO164" si="154">((AV53/AU53)/(AV89/AU89)-1)*100</f>
        <v>97.66632065664578</v>
      </c>
      <c r="AW164" s="456">
        <f t="shared" si="154"/>
        <v>22.079511020313468</v>
      </c>
      <c r="AX164" s="456">
        <f t="shared" si="154"/>
        <v>128.08178909928967</v>
      </c>
      <c r="AY164" s="456">
        <f t="shared" si="154"/>
        <v>37.736644350239558</v>
      </c>
      <c r="AZ164" s="456">
        <f t="shared" si="154"/>
        <v>57.383992791910153</v>
      </c>
      <c r="BA164" s="456">
        <f t="shared" si="154"/>
        <v>28.71464077882213</v>
      </c>
      <c r="BB164" s="456">
        <f t="shared" si="154"/>
        <v>75.407484381321837</v>
      </c>
      <c r="BC164" s="456">
        <f t="shared" si="154"/>
        <v>11.778542077398125</v>
      </c>
      <c r="BD164" s="456">
        <f t="shared" si="154"/>
        <v>2.9617540270722831</v>
      </c>
      <c r="BE164" s="456">
        <f t="shared" ca="1" si="154"/>
        <v>10.426508378161259</v>
      </c>
      <c r="BF164" s="456">
        <f t="shared" ca="1" si="154"/>
        <v>7.1510209948959957</v>
      </c>
      <c r="BG164" s="456">
        <f t="shared" ca="1" si="154"/>
        <v>5.5827158611050365</v>
      </c>
      <c r="BH164" s="456">
        <f t="shared" ca="1" si="154"/>
        <v>4.8438144421192764</v>
      </c>
      <c r="BI164" s="456">
        <f t="shared" ca="1" si="154"/>
        <v>4.4404468745969039</v>
      </c>
      <c r="BJ164" s="456">
        <f t="shared" ca="1" si="154"/>
        <v>4.2262377945935015</v>
      </c>
      <c r="BK164" s="456">
        <f t="shared" ca="1" si="154"/>
        <v>4.1234608312338494</v>
      </c>
      <c r="BL164" s="456">
        <f t="shared" ca="1" si="154"/>
        <v>4.0863989779398091</v>
      </c>
      <c r="BM164" s="456">
        <f t="shared" ca="1" si="154"/>
        <v>4.0602942078803883</v>
      </c>
      <c r="BN164" s="456">
        <f t="shared" ca="1" si="154"/>
        <v>4.0405038988970077</v>
      </c>
      <c r="BO164" s="456">
        <f t="shared" ca="1" si="154"/>
        <v>4.0235165866232769</v>
      </c>
      <c r="BP164" s="457"/>
      <c r="BQ164" s="448">
        <f>+BD164-CD164</f>
        <v>0</v>
      </c>
      <c r="BR164" s="448">
        <f t="shared" ca="1" si="150"/>
        <v>0</v>
      </c>
      <c r="BS164" s="448">
        <f t="shared" ca="1" si="150"/>
        <v>0</v>
      </c>
      <c r="BT164" s="448">
        <f t="shared" ca="1" si="150"/>
        <v>6.4392935428259079E-13</v>
      </c>
      <c r="BU164" s="448">
        <f t="shared" ca="1" si="150"/>
        <v>6.6835426082434424E-12</v>
      </c>
      <c r="BV164" s="448">
        <f t="shared" ca="1" si="150"/>
        <v>5.3423931944962533E-11</v>
      </c>
      <c r="BW164" s="448">
        <f t="shared" ca="1" si="150"/>
        <v>3.3710811919718253E-10</v>
      </c>
      <c r="BX164" s="448">
        <f t="shared" ca="1" si="150"/>
        <v>1.7384982342605326E-9</v>
      </c>
      <c r="BY164" s="448">
        <f t="shared" ca="1" si="150"/>
        <v>7.5384143372048129E-9</v>
      </c>
      <c r="BZ164" s="448">
        <f t="shared" ca="1" si="150"/>
        <v>2.8178126498801248E-8</v>
      </c>
      <c r="CA164" s="448">
        <f t="shared" ca="1" si="150"/>
        <v>9.248397603300873E-8</v>
      </c>
      <c r="CB164" s="448">
        <f t="shared" ca="1" si="150"/>
        <v>2.7269202451662977E-7</v>
      </c>
      <c r="CD164" s="439">
        <v>2.9617540270722831</v>
      </c>
      <c r="CE164" s="439">
        <v>10.426508378161259</v>
      </c>
      <c r="CF164" s="439">
        <v>7.1510209948959957</v>
      </c>
      <c r="CG164" s="439">
        <v>5.5827158611043926</v>
      </c>
      <c r="CH164" s="439">
        <v>4.8438144421125928</v>
      </c>
      <c r="CI164" s="439">
        <v>4.44044687454348</v>
      </c>
      <c r="CJ164" s="439">
        <v>4.2262377942563933</v>
      </c>
      <c r="CK164" s="439">
        <v>4.1234608294953512</v>
      </c>
      <c r="CL164" s="439">
        <v>4.0863989704013948</v>
      </c>
      <c r="CM164" s="439">
        <v>4.0602941797022618</v>
      </c>
      <c r="CN164" s="439">
        <v>4.0405038064130316</v>
      </c>
      <c r="CO164" s="439">
        <v>4.0235163139312524</v>
      </c>
    </row>
    <row r="165" spans="1:93">
      <c r="A165" s="436" t="s">
        <v>2797</v>
      </c>
      <c r="B165" s="436"/>
      <c r="C165" s="442" t="s">
        <v>1349</v>
      </c>
      <c r="D165" s="447"/>
      <c r="E165" s="438" t="s">
        <v>2798</v>
      </c>
      <c r="F165" s="477">
        <f t="shared" ref="F165:AY165" si="155">F13+F53+F20-F28+F22-F30-F43+F57</f>
        <v>5.6200000000000007E-2</v>
      </c>
      <c r="G165" s="477">
        <f t="shared" si="155"/>
        <v>6.0299999999999999E-2</v>
      </c>
      <c r="H165" s="456">
        <f t="shared" si="155"/>
        <v>6.3645887896418576E-2</v>
      </c>
      <c r="I165" s="456">
        <f t="shared" si="155"/>
        <v>7.451445780694485E-2</v>
      </c>
      <c r="J165" s="456">
        <f t="shared" si="155"/>
        <v>7.9215362071990966E-2</v>
      </c>
      <c r="K165" s="456">
        <f t="shared" si="155"/>
        <v>8.6479397177696232E-2</v>
      </c>
      <c r="L165" s="456">
        <f t="shared" si="155"/>
        <v>9.4136398673057578E-2</v>
      </c>
      <c r="M165" s="456">
        <f t="shared" si="155"/>
        <v>0.10259263062477111</v>
      </c>
      <c r="N165" s="456">
        <f t="shared" si="155"/>
        <v>0.10509499716758726</v>
      </c>
      <c r="O165" s="456">
        <f t="shared" si="155"/>
        <v>0.11160344058275222</v>
      </c>
      <c r="P165" s="456">
        <f t="shared" si="155"/>
        <v>0.1227585493326187</v>
      </c>
      <c r="Q165" s="456">
        <f t="shared" si="155"/>
        <v>0.13163299691677094</v>
      </c>
      <c r="R165" s="456">
        <f t="shared" si="155"/>
        <v>0.15352100488543508</v>
      </c>
      <c r="S165" s="456">
        <f t="shared" si="155"/>
        <v>0.16859899747371676</v>
      </c>
      <c r="T165" s="456">
        <f t="shared" si="155"/>
        <v>0.18357199567556384</v>
      </c>
      <c r="U165" s="456">
        <f t="shared" si="155"/>
        <v>0.20528400385379791</v>
      </c>
      <c r="V165" s="456">
        <f t="shared" si="155"/>
        <v>0.23326400542259218</v>
      </c>
      <c r="W165" s="456">
        <f t="shared" si="155"/>
        <v>0.24247800660133359</v>
      </c>
      <c r="X165" s="456">
        <f t="shared" si="155"/>
        <v>0.27209999465942381</v>
      </c>
      <c r="Y165" s="456">
        <f t="shared" si="155"/>
        <v>0.29389999890327451</v>
      </c>
      <c r="Z165" s="456">
        <f t="shared" si="155"/>
        <v>0.32969999742507927</v>
      </c>
      <c r="AA165" s="456">
        <f t="shared" si="155"/>
        <v>0.40234999346733097</v>
      </c>
      <c r="AB165" s="456">
        <f t="shared" si="155"/>
        <v>0.46902999615669255</v>
      </c>
      <c r="AC165" s="456">
        <f t="shared" si="155"/>
        <v>0.61746000075340268</v>
      </c>
      <c r="AD165" s="456">
        <f t="shared" si="155"/>
        <v>0.74104000306129458</v>
      </c>
      <c r="AE165" s="456">
        <f t="shared" si="155"/>
        <v>0.76116000962257391</v>
      </c>
      <c r="AF165" s="456">
        <f t="shared" si="155"/>
        <v>0.86099402356147769</v>
      </c>
      <c r="AG165" s="456">
        <f t="shared" si="155"/>
        <v>0.99729514777660366</v>
      </c>
      <c r="AH165" s="456">
        <f t="shared" si="155"/>
        <v>1.1237319285273553</v>
      </c>
      <c r="AI165" s="456">
        <f t="shared" si="155"/>
        <v>1.1927127434015277</v>
      </c>
      <c r="AJ165" s="456">
        <f t="shared" si="155"/>
        <v>1.2484114398956303</v>
      </c>
      <c r="AK165" s="456">
        <f t="shared" si="155"/>
        <v>1.3651240823268889</v>
      </c>
      <c r="AL165" s="456">
        <f t="shared" si="155"/>
        <v>1.4600416004434229</v>
      </c>
      <c r="AM165" s="456">
        <f t="shared" si="155"/>
        <v>1.8205000240579245</v>
      </c>
      <c r="AN165" s="456">
        <f t="shared" si="155"/>
        <v>2.2386500230804089</v>
      </c>
      <c r="AO165" s="456">
        <f t="shared" si="155"/>
        <v>2.5827799930572506</v>
      </c>
      <c r="AP165" s="456">
        <f t="shared" si="155"/>
        <v>3.44021</v>
      </c>
      <c r="AQ165" s="456">
        <f t="shared" si="155"/>
        <v>5.1112900000000003</v>
      </c>
      <c r="AR165" s="456">
        <f t="shared" si="155"/>
        <v>7.1214700000000004</v>
      </c>
      <c r="AS165" s="456">
        <f t="shared" si="155"/>
        <v>11.57222</v>
      </c>
      <c r="AT165" s="456">
        <f t="shared" si="155"/>
        <v>46.68674</v>
      </c>
      <c r="AU165" s="456">
        <f t="shared" si="155"/>
        <v>139.83517961180127</v>
      </c>
      <c r="AV165" s="456">
        <f t="shared" si="155"/>
        <v>187.17607749999999</v>
      </c>
      <c r="AW165" s="456">
        <f t="shared" si="155"/>
        <v>199.39982999999995</v>
      </c>
      <c r="AX165" s="456">
        <f t="shared" si="155"/>
        <v>248.59037000000001</v>
      </c>
      <c r="AY165" s="456">
        <f t="shared" si="155"/>
        <v>399.15947999999997</v>
      </c>
      <c r="AZ165" s="456">
        <f>AZ13+AZ53+AZ20-AZ28+AZ22-AZ30-AZ43+AZ57</f>
        <v>552.31299999999999</v>
      </c>
      <c r="BA165" s="456">
        <f>BA13+BA53+BA20-BA28+BA22-BA30-BA43+BA57</f>
        <v>887.23270000000002</v>
      </c>
      <c r="BB165" s="456">
        <f>BB13+BB53+BB20-BB28+BB22-BB30-BB43+BB57</f>
        <v>1244.645</v>
      </c>
      <c r="BC165" s="456">
        <f>BC13+BC53+BC20-BC28+BC22-BC30-BC43+BC57</f>
        <v>1261.4636000000003</v>
      </c>
      <c r="BD165" s="456">
        <f t="shared" ref="BD165:BO165" ca="1" si="156">BD13+BD53+BD20-BD28+BD22-BD30-BD43+BD57</f>
        <v>1673.2204693060567</v>
      </c>
      <c r="BE165" s="456">
        <f t="shared" ca="1" si="156"/>
        <v>1855.7074604633904</v>
      </c>
      <c r="BF165" s="456">
        <f t="shared" ca="1" si="156"/>
        <v>2020.3087743103008</v>
      </c>
      <c r="BG165" s="456">
        <f t="shared" ca="1" si="156"/>
        <v>2169.6847889172845</v>
      </c>
      <c r="BH165" s="456">
        <f t="shared" ca="1" si="156"/>
        <v>2300.0794593173182</v>
      </c>
      <c r="BI165" s="456">
        <f t="shared" ca="1" si="156"/>
        <v>2426.6931927143055</v>
      </c>
      <c r="BJ165" s="456">
        <f t="shared" ca="1" si="156"/>
        <v>2548.6812149247899</v>
      </c>
      <c r="BK165" s="456">
        <f t="shared" ca="1" si="156"/>
        <v>2683.4744233780366</v>
      </c>
      <c r="BL165" s="456">
        <f t="shared" ca="1" si="156"/>
        <v>2824.9029779757425</v>
      </c>
      <c r="BM165" s="456">
        <f t="shared" ca="1" si="156"/>
        <v>2970.9773586994647</v>
      </c>
      <c r="BN165" s="456">
        <f t="shared" ca="1" si="156"/>
        <v>3124.0468167307054</v>
      </c>
      <c r="BO165" s="456">
        <f t="shared" ca="1" si="156"/>
        <v>3284.5780098642017</v>
      </c>
      <c r="BP165" s="457"/>
      <c r="BQ165" s="448">
        <f t="shared" ref="BQ165:CB165" ca="1" si="157">+BD165-CD165</f>
        <v>0</v>
      </c>
      <c r="BR165" s="448">
        <f t="shared" ca="1" si="157"/>
        <v>0</v>
      </c>
      <c r="BS165" s="448">
        <f t="shared" ca="1" si="157"/>
        <v>0</v>
      </c>
      <c r="BT165" s="448">
        <f t="shared" ca="1" si="157"/>
        <v>0</v>
      </c>
      <c r="BU165" s="448">
        <f t="shared" ca="1" si="157"/>
        <v>-1.4097167877480388E-11</v>
      </c>
      <c r="BV165" s="448">
        <f t="shared" ca="1" si="157"/>
        <v>-1.4142642612569034E-10</v>
      </c>
      <c r="BW165" s="448">
        <f t="shared" ca="1" si="157"/>
        <v>-1.0786607163026929E-9</v>
      </c>
      <c r="BX165" s="448">
        <f t="shared" ca="1" si="157"/>
        <v>-6.5824679040815681E-9</v>
      </c>
      <c r="BY165" s="448">
        <f t="shared" ca="1" si="157"/>
        <v>-3.3653122955001891E-8</v>
      </c>
      <c r="BZ165" s="448">
        <f t="shared" ca="1" si="157"/>
        <v>-1.4775878298678435E-7</v>
      </c>
      <c r="CA165" s="448">
        <f t="shared" ca="1" si="157"/>
        <v>-5.6783346735755913E-7</v>
      </c>
      <c r="CB165" s="448">
        <f t="shared" ca="1" si="157"/>
        <v>-1.945543317560805E-6</v>
      </c>
      <c r="CD165" s="439">
        <v>1673.2204693060567</v>
      </c>
      <c r="CE165" s="439">
        <v>1855.7074604633904</v>
      </c>
      <c r="CF165" s="439">
        <v>2020.3087743103008</v>
      </c>
      <c r="CG165" s="439">
        <v>2169.684788917285</v>
      </c>
      <c r="CH165" s="439">
        <v>2300.0794593173323</v>
      </c>
      <c r="CI165" s="439">
        <v>2426.6931927144469</v>
      </c>
      <c r="CJ165" s="439">
        <v>2548.6812149258685</v>
      </c>
      <c r="CK165" s="439">
        <v>2683.4744233846191</v>
      </c>
      <c r="CL165" s="439">
        <v>2824.9029780093956</v>
      </c>
      <c r="CM165" s="439">
        <v>2970.9773588472235</v>
      </c>
      <c r="CN165" s="439">
        <v>3124.0468172985388</v>
      </c>
      <c r="CO165" s="439">
        <v>3284.578011809745</v>
      </c>
    </row>
    <row r="166" spans="1:93">
      <c r="A166" s="460" t="s">
        <v>2799</v>
      </c>
      <c r="B166" s="460"/>
      <c r="C166" s="442"/>
      <c r="D166" s="447"/>
      <c r="E166" s="436"/>
      <c r="AV166" s="438"/>
      <c r="AW166" s="438"/>
      <c r="AX166" s="438"/>
      <c r="AY166" s="438"/>
      <c r="AZ166" s="438"/>
      <c r="BE166" s="438"/>
      <c r="BF166" s="438"/>
      <c r="BG166" s="438"/>
      <c r="BH166" s="438"/>
      <c r="BI166" s="438"/>
      <c r="BJ166" s="438"/>
      <c r="BK166" s="438"/>
      <c r="BL166" s="438"/>
      <c r="BM166" s="438"/>
      <c r="BN166" s="438"/>
      <c r="BO166" s="438"/>
    </row>
    <row r="167" spans="1:93">
      <c r="A167" s="436" t="s">
        <v>2800</v>
      </c>
      <c r="B167" s="436"/>
      <c r="C167" s="442" t="s">
        <v>2206</v>
      </c>
      <c r="D167" s="447"/>
      <c r="E167" s="436" t="s">
        <v>2801</v>
      </c>
      <c r="F167" s="485">
        <f t="shared" ref="F167:BO167" si="158">(F175+F165-F42)/(F175+F165)</f>
        <v>0.96004206098843325</v>
      </c>
      <c r="G167" s="485">
        <f t="shared" si="158"/>
        <v>0.96061479346781942</v>
      </c>
      <c r="H167" s="485">
        <f t="shared" si="158"/>
        <v>0.9546664614858652</v>
      </c>
      <c r="I167" s="485">
        <f t="shared" si="158"/>
        <v>0.95452625310515182</v>
      </c>
      <c r="J167" s="485">
        <f t="shared" si="158"/>
        <v>0.95492784518688745</v>
      </c>
      <c r="K167" s="485">
        <f t="shared" si="158"/>
        <v>0.95242932103975908</v>
      </c>
      <c r="L167" s="485">
        <f t="shared" si="158"/>
        <v>0.95449698436121899</v>
      </c>
      <c r="M167" s="485">
        <f t="shared" si="158"/>
        <v>0.96033775516659536</v>
      </c>
      <c r="N167" s="485">
        <f t="shared" si="158"/>
        <v>0.95552277824331744</v>
      </c>
      <c r="O167" s="485">
        <f t="shared" si="158"/>
        <v>0.96124379783869351</v>
      </c>
      <c r="P167" s="485">
        <f t="shared" si="158"/>
        <v>0.95905647595306243</v>
      </c>
      <c r="Q167" s="485">
        <f t="shared" si="158"/>
        <v>0.96127335157863703</v>
      </c>
      <c r="R167" s="485">
        <f t="shared" si="158"/>
        <v>0.95204884825409297</v>
      </c>
      <c r="S167" s="485">
        <f t="shared" si="158"/>
        <v>0.95358595475756014</v>
      </c>
      <c r="T167" s="485">
        <f t="shared" si="158"/>
        <v>0.95775292615827146</v>
      </c>
      <c r="U167" s="485">
        <f t="shared" si="158"/>
        <v>0.95164815717021345</v>
      </c>
      <c r="V167" s="485">
        <f t="shared" si="158"/>
        <v>0.95242149703845524</v>
      </c>
      <c r="W167" s="485">
        <f t="shared" si="158"/>
        <v>0.94809346045148246</v>
      </c>
      <c r="X167" s="485">
        <f t="shared" si="158"/>
        <v>0.96690540951744275</v>
      </c>
      <c r="Y167" s="485">
        <f t="shared" si="158"/>
        <v>0.97108329966187712</v>
      </c>
      <c r="Z167" s="485">
        <f t="shared" si="158"/>
        <v>0.97589151300761257</v>
      </c>
      <c r="AA167" s="485">
        <f t="shared" si="158"/>
        <v>0.97020597449643864</v>
      </c>
      <c r="AB167" s="485">
        <f t="shared" si="158"/>
        <v>0.96736865333553224</v>
      </c>
      <c r="AC167" s="485">
        <f t="shared" si="158"/>
        <v>0.97187399410032993</v>
      </c>
      <c r="AD167" s="485">
        <f t="shared" si="158"/>
        <v>0.96207465778679557</v>
      </c>
      <c r="AE167" s="485">
        <f t="shared" si="158"/>
        <v>0.95706294192816399</v>
      </c>
      <c r="AF167" s="485">
        <f t="shared" si="158"/>
        <v>0.94234539393670247</v>
      </c>
      <c r="AG167" s="485">
        <f t="shared" si="158"/>
        <v>0.95311715297848132</v>
      </c>
      <c r="AH167" s="485">
        <f t="shared" si="158"/>
        <v>0.94084391093978137</v>
      </c>
      <c r="AI167" s="485">
        <f t="shared" si="158"/>
        <v>0.93850128294106228</v>
      </c>
      <c r="AJ167" s="485">
        <f t="shared" si="158"/>
        <v>0.91185104061628752</v>
      </c>
      <c r="AK167" s="485">
        <f t="shared" si="158"/>
        <v>0.91133451262831322</v>
      </c>
      <c r="AL167" s="485">
        <f t="shared" si="158"/>
        <v>0.91743088719067301</v>
      </c>
      <c r="AM167" s="485">
        <f t="shared" si="158"/>
        <v>0.93941996774252534</v>
      </c>
      <c r="AN167" s="485">
        <f t="shared" si="158"/>
        <v>0.9462228316395378</v>
      </c>
      <c r="AO167" s="485">
        <f t="shared" si="158"/>
        <v>0.94582578109680071</v>
      </c>
      <c r="AP167" s="485">
        <f t="shared" si="158"/>
        <v>0.96077810518759998</v>
      </c>
      <c r="AQ167" s="485">
        <f t="shared" si="158"/>
        <v>0.96067111980552278</v>
      </c>
      <c r="AR167" s="485">
        <f t="shared" si="158"/>
        <v>0.97031891690790995</v>
      </c>
      <c r="AS167" s="485">
        <f t="shared" si="158"/>
        <v>0.97602035650072527</v>
      </c>
      <c r="AT167" s="485">
        <f t="shared" si="158"/>
        <v>0.97933261211408906</v>
      </c>
      <c r="AU167" s="485">
        <f t="shared" si="158"/>
        <v>0.96056491718445558</v>
      </c>
      <c r="AV167" s="485">
        <f t="shared" si="158"/>
        <v>0.97513416855840118</v>
      </c>
      <c r="AW167" s="485">
        <f t="shared" si="158"/>
        <v>0.95883533121634168</v>
      </c>
      <c r="AX167" s="485">
        <f t="shared" si="158"/>
        <v>0.92056253118951081</v>
      </c>
      <c r="AY167" s="485">
        <f t="shared" si="158"/>
        <v>0.95093886038520548</v>
      </c>
      <c r="AZ167" s="485">
        <f t="shared" si="158"/>
        <v>0.94154402159714357</v>
      </c>
      <c r="BA167" s="485">
        <f t="shared" si="158"/>
        <v>0.94119229734404419</v>
      </c>
      <c r="BB167" s="485">
        <f t="shared" si="158"/>
        <v>0.9455210995751675</v>
      </c>
      <c r="BC167" s="485">
        <f t="shared" si="158"/>
        <v>0.93756322587525465</v>
      </c>
      <c r="BD167" s="485">
        <f t="shared" ca="1" si="158"/>
        <v>0.95006805108984194</v>
      </c>
      <c r="BE167" s="485">
        <f t="shared" ca="1" si="158"/>
        <v>0.94963252770564388</v>
      </c>
      <c r="BF167" s="485">
        <f t="shared" ca="1" si="158"/>
        <v>0.949435279157409</v>
      </c>
      <c r="BG167" s="485">
        <f t="shared" ca="1" si="158"/>
        <v>0.94934013010806928</v>
      </c>
      <c r="BH167" s="485">
        <f t="shared" ca="1" si="158"/>
        <v>0.94927407850790424</v>
      </c>
      <c r="BI167" s="485">
        <f t="shared" ca="1" si="158"/>
        <v>0.94923200342393621</v>
      </c>
      <c r="BJ167" s="485">
        <f t="shared" ca="1" si="158"/>
        <v>0.9491992571810407</v>
      </c>
      <c r="BK167" s="485">
        <f t="shared" ca="1" si="158"/>
        <v>0.94915690880114922</v>
      </c>
      <c r="BL167" s="485">
        <f t="shared" ca="1" si="158"/>
        <v>0.94910148842503772</v>
      </c>
      <c r="BM167" s="485">
        <f t="shared" ca="1" si="158"/>
        <v>0.94904048537660668</v>
      </c>
      <c r="BN167" s="485">
        <f t="shared" ca="1" si="158"/>
        <v>0.948975048028603</v>
      </c>
      <c r="BO167" s="485">
        <f t="shared" ca="1" si="158"/>
        <v>0.94887588950091395</v>
      </c>
      <c r="BP167" s="457"/>
      <c r="BQ167" s="448">
        <f t="shared" ref="BQ167:CB168" ca="1" si="159">+BD167-CD167</f>
        <v>0</v>
      </c>
      <c r="BR167" s="448">
        <f t="shared" ca="1" si="159"/>
        <v>0</v>
      </c>
      <c r="BS167" s="448">
        <f t="shared" ca="1" si="159"/>
        <v>0</v>
      </c>
      <c r="BT167" s="448">
        <f t="shared" ca="1" si="159"/>
        <v>0</v>
      </c>
      <c r="BU167" s="448">
        <f t="shared" ca="1" si="159"/>
        <v>4.5519144009631418E-15</v>
      </c>
      <c r="BV167" s="448">
        <f t="shared" ca="1" si="159"/>
        <v>3.6193270602780103E-14</v>
      </c>
      <c r="BW167" s="448">
        <f t="shared" ca="1" si="159"/>
        <v>2.2715163083830703E-13</v>
      </c>
      <c r="BX167" s="448">
        <f t="shared" ca="1" si="159"/>
        <v>1.1693979118376774E-12</v>
      </c>
      <c r="BY167" s="448">
        <f t="shared" ca="1" si="159"/>
        <v>5.0837112297585918E-12</v>
      </c>
      <c r="BZ167" s="448">
        <f t="shared" ca="1" si="159"/>
        <v>1.9121038086211684E-11</v>
      </c>
      <c r="CA167" s="448">
        <f t="shared" ca="1" si="159"/>
        <v>6.3341332179334131E-11</v>
      </c>
      <c r="CB167" s="448">
        <f t="shared" ca="1" si="159"/>
        <v>1.9008949969645528E-10</v>
      </c>
      <c r="CD167" s="439">
        <v>0.95006805108984194</v>
      </c>
      <c r="CE167" s="439">
        <v>0.94963252770564388</v>
      </c>
      <c r="CF167" s="439">
        <v>0.94943527915740888</v>
      </c>
      <c r="CG167" s="439">
        <v>0.94934013010806884</v>
      </c>
      <c r="CH167" s="439">
        <v>0.94927407850789969</v>
      </c>
      <c r="CI167" s="439">
        <v>0.94923200342390002</v>
      </c>
      <c r="CJ167" s="439">
        <v>0.94919925718081355</v>
      </c>
      <c r="CK167" s="439">
        <v>0.94915690879997983</v>
      </c>
      <c r="CL167" s="439">
        <v>0.94910148841995401</v>
      </c>
      <c r="CM167" s="439">
        <v>0.94904048535748564</v>
      </c>
      <c r="CN167" s="439">
        <v>0.94897504796526166</v>
      </c>
      <c r="CO167" s="439">
        <v>0.94887588931082445</v>
      </c>
    </row>
    <row r="168" spans="1:93">
      <c r="A168" s="436" t="s">
        <v>2802</v>
      </c>
      <c r="B168" s="436"/>
      <c r="C168" s="442" t="s">
        <v>2206</v>
      </c>
      <c r="D168" s="447"/>
      <c r="E168" s="438" t="s">
        <v>2803</v>
      </c>
      <c r="F168" s="477">
        <f t="shared" ref="F168:AY168" si="160">100*(F39-F56-F108)/(F130+F131+F50+F12)</f>
        <v>8.9941972920696305</v>
      </c>
      <c r="G168" s="477">
        <f t="shared" si="160"/>
        <v>7.8026905829596407</v>
      </c>
      <c r="H168" s="477">
        <f t="shared" si="160"/>
        <v>8.3580509783770101</v>
      </c>
      <c r="I168" s="477">
        <f t="shared" si="160"/>
        <v>9.182822237038037</v>
      </c>
      <c r="J168" s="477">
        <f t="shared" si="160"/>
        <v>8.3436384481305019</v>
      </c>
      <c r="K168" s="477">
        <f t="shared" si="160"/>
        <v>8.2041215765417199</v>
      </c>
      <c r="L168" s="477">
        <f t="shared" si="160"/>
        <v>8.6739197660446852</v>
      </c>
      <c r="M168" s="477">
        <f t="shared" si="160"/>
        <v>8.8334601582774805</v>
      </c>
      <c r="N168" s="477">
        <f t="shared" si="160"/>
        <v>8.6223661861932541</v>
      </c>
      <c r="O168" s="477">
        <f t="shared" si="160"/>
        <v>9.0182743455888605</v>
      </c>
      <c r="P168" s="477">
        <f t="shared" si="160"/>
        <v>8.3143298604669802</v>
      </c>
      <c r="Q168" s="477">
        <f t="shared" si="160"/>
        <v>8.1926418115982695</v>
      </c>
      <c r="R168" s="477">
        <f t="shared" si="160"/>
        <v>9.0486716872661059</v>
      </c>
      <c r="S168" s="477">
        <f t="shared" si="160"/>
        <v>9.1150117634649863</v>
      </c>
      <c r="T168" s="477">
        <f t="shared" si="160"/>
        <v>9.411480482729651</v>
      </c>
      <c r="U168" s="477">
        <f t="shared" si="160"/>
        <v>10.336189034677261</v>
      </c>
      <c r="V168" s="477">
        <f t="shared" si="160"/>
        <v>10.82036506018852</v>
      </c>
      <c r="W168" s="477">
        <f t="shared" si="160"/>
        <v>11.507866989795062</v>
      </c>
      <c r="X168" s="477">
        <f t="shared" si="160"/>
        <v>11.183638395715702</v>
      </c>
      <c r="Y168" s="477">
        <f t="shared" si="160"/>
        <v>10.803833960027628</v>
      </c>
      <c r="Z168" s="477">
        <f t="shared" si="160"/>
        <v>12.839946162115075</v>
      </c>
      <c r="AA168" s="477">
        <f t="shared" si="160"/>
        <v>22.627994655127946</v>
      </c>
      <c r="AB168" s="477">
        <f t="shared" si="160"/>
        <v>17.494085124190629</v>
      </c>
      <c r="AC168" s="477">
        <f t="shared" si="160"/>
        <v>14.159815187001161</v>
      </c>
      <c r="AD168" s="477">
        <f t="shared" si="160"/>
        <v>17.335506166447797</v>
      </c>
      <c r="AE168" s="477">
        <f t="shared" si="160"/>
        <v>16.514519877866409</v>
      </c>
      <c r="AF168" s="477">
        <f t="shared" si="160"/>
        <v>16.475050683013098</v>
      </c>
      <c r="AG168" s="477">
        <f t="shared" si="160"/>
        <v>15.122456650426848</v>
      </c>
      <c r="AH168" s="477">
        <f t="shared" si="160"/>
        <v>13.520280478887003</v>
      </c>
      <c r="AI168" s="477">
        <f t="shared" si="160"/>
        <v>13.563771320416071</v>
      </c>
      <c r="AJ168" s="477">
        <f t="shared" si="160"/>
        <v>13.942817764359987</v>
      </c>
      <c r="AK168" s="477">
        <f t="shared" si="160"/>
        <v>12.172784258874277</v>
      </c>
      <c r="AL168" s="477">
        <f t="shared" si="160"/>
        <v>8.8637149929715129</v>
      </c>
      <c r="AM168" s="477">
        <f t="shared" si="160"/>
        <v>6.5925663549373423</v>
      </c>
      <c r="AN168" s="477">
        <f t="shared" si="160"/>
        <v>7.0295932689613077</v>
      </c>
      <c r="AO168" s="477">
        <f t="shared" si="160"/>
        <v>5.8980669941619857</v>
      </c>
      <c r="AP168" s="477">
        <f t="shared" si="160"/>
        <v>5.7293118845288182</v>
      </c>
      <c r="AQ168" s="477">
        <f t="shared" si="160"/>
        <v>4.8099582266736576</v>
      </c>
      <c r="AR168" s="477">
        <f t="shared" si="160"/>
        <v>4.2148637137989775</v>
      </c>
      <c r="AS168" s="477">
        <f t="shared" si="160"/>
        <v>1.488541292211643</v>
      </c>
      <c r="AT168" s="477">
        <f t="shared" si="160"/>
        <v>5.8838382381663044</v>
      </c>
      <c r="AU168" s="477">
        <f t="shared" si="160"/>
        <v>9.433768623055979</v>
      </c>
      <c r="AV168" s="456">
        <f t="shared" si="160"/>
        <v>9.8339828150583557</v>
      </c>
      <c r="AW168" s="456">
        <f t="shared" si="160"/>
        <v>6.5199422576492152</v>
      </c>
      <c r="AX168" s="456">
        <f t="shared" si="160"/>
        <v>11.893074179748991</v>
      </c>
      <c r="AY168" s="456">
        <f t="shared" si="160"/>
        <v>11.988127676006309</v>
      </c>
      <c r="AZ168" s="456">
        <f>100*(AZ39-AZ56-AZ108)/(AZ130+AZ131+AZ50+AZ12)</f>
        <v>11.17619387917115</v>
      </c>
      <c r="BA168" s="456">
        <f>100*(BA39-BA56-BA108)/(BA130+BA131+BA50+BA12)</f>
        <v>16.931922204900548</v>
      </c>
      <c r="BB168" s="456">
        <f>100*(BB39-BB56-BB108)/(BB130+BB131+BB50+BB12)</f>
        <v>12.547019273043688</v>
      </c>
      <c r="BC168" s="456">
        <f t="shared" ref="BC168:BO168" ca="1" si="161">100*(BC39-BC56-BC108)/(BC130+BC131+BC50+BC12)</f>
        <v>12.332894640888854</v>
      </c>
      <c r="BD168" s="456">
        <f t="shared" ca="1" si="161"/>
        <v>11.113852800888688</v>
      </c>
      <c r="BE168" s="456">
        <f t="shared" ca="1" si="161"/>
        <v>11.20542502882336</v>
      </c>
      <c r="BF168" s="456">
        <f t="shared" ca="1" si="161"/>
        <v>11.256991895113725</v>
      </c>
      <c r="BG168" s="456">
        <f t="shared" ca="1" si="161"/>
        <v>11.314556610130024</v>
      </c>
      <c r="BH168" s="456">
        <f t="shared" ca="1" si="161"/>
        <v>11.373683245715617</v>
      </c>
      <c r="BI168" s="456">
        <f t="shared" ca="1" si="161"/>
        <v>11.434376992381187</v>
      </c>
      <c r="BJ168" s="456">
        <f t="shared" ca="1" si="161"/>
        <v>11.494740488798843</v>
      </c>
      <c r="BK168" s="456">
        <f t="shared" ca="1" si="161"/>
        <v>11.556987561928471</v>
      </c>
      <c r="BL168" s="456">
        <f t="shared" ca="1" si="161"/>
        <v>11.619350533255975</v>
      </c>
      <c r="BM168" s="456">
        <f t="shared" ca="1" si="161"/>
        <v>11.681184104971235</v>
      </c>
      <c r="BN168" s="456">
        <f t="shared" ca="1" si="161"/>
        <v>11.742754291463193</v>
      </c>
      <c r="BO168" s="456">
        <f t="shared" ca="1" si="161"/>
        <v>11.803635919994688</v>
      </c>
      <c r="BP168" s="457"/>
      <c r="BQ168" s="448">
        <f t="shared" ca="1" si="159"/>
        <v>0</v>
      </c>
      <c r="BR168" s="448">
        <f t="shared" ca="1" si="159"/>
        <v>0</v>
      </c>
      <c r="BS168" s="448">
        <f t="shared" ca="1" si="159"/>
        <v>-2.1316282072803006E-14</v>
      </c>
      <c r="BT168" s="448">
        <f t="shared" ca="1" si="159"/>
        <v>-2.4691360067663481E-13</v>
      </c>
      <c r="BU168" s="448">
        <f t="shared" ca="1" si="159"/>
        <v>-2.6680879727791762E-12</v>
      </c>
      <c r="BV168" s="448">
        <f t="shared" ca="1" si="159"/>
        <v>-2.1817214701513876E-11</v>
      </c>
      <c r="BW168" s="448">
        <f t="shared" ca="1" si="159"/>
        <v>-1.4123635594387451E-10</v>
      </c>
      <c r="BX168" s="448">
        <f t="shared" ca="1" si="159"/>
        <v>-7.4799189064833627E-10</v>
      </c>
      <c r="BY168" s="448">
        <f t="shared" ca="1" si="159"/>
        <v>-3.3412224098583465E-9</v>
      </c>
      <c r="BZ168" s="448">
        <f t="shared" ca="1" si="159"/>
        <v>-1.2909298519048207E-8</v>
      </c>
      <c r="CA168" s="448">
        <f t="shared" ca="1" si="159"/>
        <v>-4.3928581661134558E-8</v>
      </c>
      <c r="CB168" s="448">
        <f t="shared" ca="1" si="159"/>
        <v>-1.3467289328161769E-7</v>
      </c>
      <c r="CD168" s="439">
        <v>11.113852800888688</v>
      </c>
      <c r="CE168" s="439">
        <v>11.20542502882336</v>
      </c>
      <c r="CF168" s="439">
        <v>11.256991895113746</v>
      </c>
      <c r="CG168" s="439">
        <v>11.314556610130271</v>
      </c>
      <c r="CH168" s="439">
        <v>11.373683245718285</v>
      </c>
      <c r="CI168" s="439">
        <v>11.434376992403005</v>
      </c>
      <c r="CJ168" s="439">
        <v>11.49474048894008</v>
      </c>
      <c r="CK168" s="439">
        <v>11.556987562676463</v>
      </c>
      <c r="CL168" s="439">
        <v>11.619350536597198</v>
      </c>
      <c r="CM168" s="439">
        <v>11.681184117880534</v>
      </c>
      <c r="CN168" s="439">
        <v>11.742754335391774</v>
      </c>
      <c r="CO168" s="439">
        <v>11.803636054667582</v>
      </c>
    </row>
    <row r="169" spans="1:93">
      <c r="A169" s="460" t="s">
        <v>2804</v>
      </c>
      <c r="B169" s="460"/>
      <c r="E169" s="460"/>
      <c r="AV169" s="438"/>
      <c r="AW169" s="438"/>
      <c r="AX169" s="438"/>
      <c r="AY169" s="438"/>
      <c r="AZ169" s="438"/>
      <c r="BE169" s="438"/>
      <c r="BF169" s="438"/>
      <c r="BG169" s="438"/>
      <c r="BH169" s="438"/>
      <c r="BI169" s="438"/>
      <c r="BJ169" s="438"/>
      <c r="BK169" s="438"/>
      <c r="BL169" s="438"/>
      <c r="BM169" s="438"/>
      <c r="BN169" s="438"/>
      <c r="BO169" s="438"/>
    </row>
    <row r="170" spans="1:93">
      <c r="A170" s="436" t="s">
        <v>2805</v>
      </c>
      <c r="B170" s="436"/>
      <c r="C170" s="442" t="s">
        <v>2806</v>
      </c>
      <c r="D170" s="447"/>
      <c r="E170" s="436" t="s">
        <v>2807</v>
      </c>
      <c r="F170" s="456" t="s">
        <v>1344</v>
      </c>
      <c r="G170" s="456">
        <f t="shared" ref="G170:BD170" si="162">+G143-F143-G179</f>
        <v>1.699999999999991E-3</v>
      </c>
      <c r="H170" s="456">
        <f t="shared" si="162"/>
        <v>4.1493360102176644E-3</v>
      </c>
      <c r="I170" s="456">
        <f t="shared" si="162"/>
        <v>2.8326600790056335E-5</v>
      </c>
      <c r="J170" s="456">
        <f t="shared" si="162"/>
        <v>4.3027181029319534E-3</v>
      </c>
      <c r="K170" s="456">
        <f t="shared" si="162"/>
        <v>-2.6141102910041498E-3</v>
      </c>
      <c r="L170" s="456">
        <f t="shared" si="162"/>
        <v>1.9904945671558361E-2</v>
      </c>
      <c r="M170" s="456">
        <f t="shared" si="162"/>
        <v>-1.0419958233833281E-3</v>
      </c>
      <c r="N170" s="456">
        <f t="shared" si="162"/>
        <v>9.7517371177805595E-6</v>
      </c>
      <c r="O170" s="456">
        <f t="shared" si="162"/>
        <v>1.478703320026099E-4</v>
      </c>
      <c r="P170" s="456">
        <f t="shared" si="162"/>
        <v>1.2776594787836106E-2</v>
      </c>
      <c r="Q170" s="456">
        <f t="shared" si="162"/>
        <v>7.156728804111466E-3</v>
      </c>
      <c r="R170" s="456">
        <f t="shared" si="162"/>
        <v>5.3300392627718927E-4</v>
      </c>
      <c r="S170" s="456">
        <f t="shared" si="162"/>
        <v>1.1776995778083776E-2</v>
      </c>
      <c r="T170" s="456">
        <f t="shared" si="162"/>
        <v>-4.158988416194863E-3</v>
      </c>
      <c r="U170" s="456">
        <f t="shared" si="162"/>
        <v>1.0440971851348863E-2</v>
      </c>
      <c r="V170" s="456">
        <f t="shared" si="162"/>
        <v>-5.5399814248084378E-3</v>
      </c>
      <c r="W170" s="456">
        <f t="shared" si="162"/>
        <v>2.0098985731601595E-2</v>
      </c>
      <c r="X170" s="456">
        <f t="shared" si="162"/>
        <v>-2.3454983912408304E-2</v>
      </c>
      <c r="Y170" s="456">
        <f t="shared" si="162"/>
        <v>1.2000090628862883E-3</v>
      </c>
      <c r="Z170" s="456">
        <f t="shared" si="162"/>
        <v>1.9399969674646734E-2</v>
      </c>
      <c r="AA170" s="456">
        <f t="shared" si="162"/>
        <v>-5.3500017523765445E-2</v>
      </c>
      <c r="AB170" s="456">
        <f t="shared" si="162"/>
        <v>7.4900035664439021E-2</v>
      </c>
      <c r="AC170" s="456">
        <f t="shared" si="162"/>
        <v>0.13029996122419851</v>
      </c>
      <c r="AD170" s="456">
        <f t="shared" si="162"/>
        <v>-6.5999957621097644E-2</v>
      </c>
      <c r="AE170" s="456">
        <f t="shared" si="162"/>
        <v>-2.8699982762336686E-2</v>
      </c>
      <c r="AF170" s="456">
        <f t="shared" si="162"/>
        <v>1.5000029444694502E-2</v>
      </c>
      <c r="AG170" s="456">
        <f t="shared" si="162"/>
        <v>4.2699945330620125E-2</v>
      </c>
      <c r="AH170" s="456">
        <f t="shared" si="162"/>
        <v>0.11019995802640939</v>
      </c>
      <c r="AI170" s="456">
        <f t="shared" si="162"/>
        <v>0.22520004183053977</v>
      </c>
      <c r="AJ170" s="456">
        <f t="shared" si="162"/>
        <v>-0.10667495810985564</v>
      </c>
      <c r="AK170" s="456">
        <f t="shared" si="162"/>
        <v>-8.3824049949645998E-2</v>
      </c>
      <c r="AL170" s="456">
        <f t="shared" si="162"/>
        <v>0.11357698871940387</v>
      </c>
      <c r="AM170" s="456">
        <f t="shared" si="162"/>
        <v>-0.14017801260948176</v>
      </c>
      <c r="AN170" s="456">
        <f t="shared" si="162"/>
        <v>-2.9749996781349375E-2</v>
      </c>
      <c r="AO170" s="456">
        <f t="shared" si="162"/>
        <v>0.35507002935558551</v>
      </c>
      <c r="AP170" s="456">
        <f t="shared" si="162"/>
        <v>-0.24201999564170854</v>
      </c>
      <c r="AQ170" s="456">
        <f t="shared" si="162"/>
        <v>-2.000000000000321E-3</v>
      </c>
      <c r="AR170" s="456">
        <f t="shared" si="162"/>
        <v>2.9000015258784546E-3</v>
      </c>
      <c r="AS170" s="456">
        <f t="shared" si="162"/>
        <v>-0.39260000000000117</v>
      </c>
      <c r="AT170" s="456">
        <f t="shared" si="162"/>
        <v>8.6523000000000199</v>
      </c>
      <c r="AU170" s="456">
        <f t="shared" si="162"/>
        <v>4.2494000000000156</v>
      </c>
      <c r="AV170" s="456">
        <f t="shared" si="162"/>
        <v>-6.377099999999972</v>
      </c>
      <c r="AW170" s="456">
        <f t="shared" si="162"/>
        <v>12.072181851598014</v>
      </c>
      <c r="AX170" s="456">
        <f t="shared" si="162"/>
        <v>46.223899999999993</v>
      </c>
      <c r="AY170" s="456">
        <f t="shared" si="162"/>
        <v>-2.6742787780548412</v>
      </c>
      <c r="AZ170" s="456">
        <f t="shared" si="162"/>
        <v>220.7884684219095</v>
      </c>
      <c r="BA170" s="456">
        <f t="shared" si="162"/>
        <v>145.26642973686185</v>
      </c>
      <c r="BB170" s="456">
        <f t="shared" si="162"/>
        <v>543.56049752696822</v>
      </c>
      <c r="BC170" s="456">
        <f t="shared" ca="1" si="162"/>
        <v>653.24199660203931</v>
      </c>
      <c r="BD170" s="456">
        <f t="shared" ca="1" si="162"/>
        <v>703.91390424977192</v>
      </c>
      <c r="BE170" s="458">
        <f t="shared" ref="BE170:BO170" ca="1" si="163">BD170*BE99/BD99</f>
        <v>703.91390424977192</v>
      </c>
      <c r="BF170" s="458">
        <f t="shared" ca="1" si="163"/>
        <v>703.91390424977192</v>
      </c>
      <c r="BG170" s="458">
        <f t="shared" ca="1" si="163"/>
        <v>703.91390424977192</v>
      </c>
      <c r="BH170" s="458">
        <f t="shared" ca="1" si="163"/>
        <v>703.91390424977192</v>
      </c>
      <c r="BI170" s="458">
        <f t="shared" ca="1" si="163"/>
        <v>703.91390424977192</v>
      </c>
      <c r="BJ170" s="458">
        <f t="shared" ca="1" si="163"/>
        <v>703.91390424977192</v>
      </c>
      <c r="BK170" s="458">
        <f t="shared" ca="1" si="163"/>
        <v>703.91390424977192</v>
      </c>
      <c r="BL170" s="458">
        <f t="shared" ca="1" si="163"/>
        <v>703.91390424977192</v>
      </c>
      <c r="BM170" s="458">
        <f t="shared" ca="1" si="163"/>
        <v>703.91390424977192</v>
      </c>
      <c r="BN170" s="458">
        <f t="shared" ca="1" si="163"/>
        <v>703.91390424977192</v>
      </c>
      <c r="BO170" s="458">
        <f t="shared" ca="1" si="163"/>
        <v>703.91390424977192</v>
      </c>
      <c r="BP170" s="457"/>
      <c r="BQ170" s="448">
        <f t="shared" ref="BQ170:CB179" ca="1" si="164">+BD170-CD170</f>
        <v>0</v>
      </c>
      <c r="BR170" s="448">
        <f t="shared" ca="1" si="164"/>
        <v>0</v>
      </c>
      <c r="BS170" s="448">
        <f t="shared" ca="1" si="164"/>
        <v>0</v>
      </c>
      <c r="BT170" s="448">
        <f t="shared" ca="1" si="164"/>
        <v>0</v>
      </c>
      <c r="BU170" s="448">
        <f t="shared" ca="1" si="164"/>
        <v>0</v>
      </c>
      <c r="BV170" s="448">
        <f t="shared" ca="1" si="164"/>
        <v>0</v>
      </c>
      <c r="BW170" s="448">
        <f t="shared" ca="1" si="164"/>
        <v>0</v>
      </c>
      <c r="BX170" s="448">
        <f t="shared" ca="1" si="164"/>
        <v>0</v>
      </c>
      <c r="BY170" s="448">
        <f t="shared" ca="1" si="164"/>
        <v>0</v>
      </c>
      <c r="BZ170" s="448">
        <f t="shared" ca="1" si="164"/>
        <v>0</v>
      </c>
      <c r="CA170" s="448">
        <f t="shared" ca="1" si="164"/>
        <v>0</v>
      </c>
      <c r="CB170" s="448">
        <f t="shared" ca="1" si="164"/>
        <v>0</v>
      </c>
      <c r="CD170" s="439">
        <v>703.91390424977192</v>
      </c>
      <c r="CE170" s="439">
        <v>703.91390424977192</v>
      </c>
      <c r="CF170" s="439">
        <v>703.91390424977192</v>
      </c>
      <c r="CG170" s="439">
        <v>703.91390424977192</v>
      </c>
      <c r="CH170" s="439">
        <v>703.91390424977192</v>
      </c>
      <c r="CI170" s="439">
        <v>703.91390424977192</v>
      </c>
      <c r="CJ170" s="439">
        <v>703.91390424977192</v>
      </c>
      <c r="CK170" s="439">
        <v>703.91390424977192</v>
      </c>
      <c r="CL170" s="439">
        <v>703.91390424977192</v>
      </c>
      <c r="CM170" s="439">
        <v>703.91390424977192</v>
      </c>
      <c r="CN170" s="439">
        <v>703.91390424977192</v>
      </c>
      <c r="CO170" s="439">
        <v>703.91390424977192</v>
      </c>
    </row>
    <row r="171" spans="1:93">
      <c r="A171" s="436" t="s">
        <v>2808</v>
      </c>
      <c r="B171" s="436"/>
      <c r="C171" s="442" t="s">
        <v>2806</v>
      </c>
      <c r="D171" s="447"/>
      <c r="E171" s="436" t="s">
        <v>2809</v>
      </c>
      <c r="F171" s="483"/>
      <c r="G171" s="483"/>
      <c r="H171" s="483"/>
      <c r="I171" s="483"/>
      <c r="J171" s="483"/>
      <c r="K171" s="483"/>
      <c r="L171" s="483"/>
      <c r="M171" s="483"/>
      <c r="N171" s="483"/>
      <c r="O171" s="483"/>
      <c r="P171" s="483"/>
      <c r="Q171" s="483"/>
      <c r="R171" s="483"/>
      <c r="S171" s="483"/>
      <c r="T171" s="483"/>
      <c r="U171" s="483"/>
      <c r="V171" s="483"/>
      <c r="W171" s="483"/>
      <c r="X171" s="483"/>
      <c r="Y171" s="483"/>
      <c r="Z171" s="483"/>
      <c r="AA171" s="483"/>
      <c r="AB171" s="483"/>
      <c r="AC171" s="483"/>
      <c r="AD171" s="483"/>
      <c r="AE171" s="483"/>
      <c r="AF171" s="483"/>
      <c r="AG171" s="483"/>
      <c r="AH171" s="483"/>
      <c r="AI171" s="483"/>
      <c r="AJ171" s="483"/>
      <c r="AK171" s="483"/>
      <c r="AL171" s="483"/>
      <c r="AM171" s="483"/>
      <c r="AN171" s="483"/>
      <c r="AO171" s="483"/>
      <c r="AP171" s="483"/>
      <c r="AQ171" s="483"/>
      <c r="AR171" s="483"/>
      <c r="AS171" s="483"/>
      <c r="AT171" s="483"/>
      <c r="AU171" s="483"/>
      <c r="AV171" s="456"/>
      <c r="AW171" s="456"/>
      <c r="AX171" s="475">
        <v>25.37</v>
      </c>
      <c r="AY171" s="475">
        <v>28.478999999999999</v>
      </c>
      <c r="AZ171" s="475">
        <v>57.912875</v>
      </c>
      <c r="BA171" s="475">
        <v>119.83499999999999</v>
      </c>
      <c r="BB171" s="475">
        <v>185.5</v>
      </c>
      <c r="BC171" s="475">
        <v>212.77500000000001</v>
      </c>
      <c r="BD171" s="458">
        <f>BC171</f>
        <v>212.77500000000001</v>
      </c>
      <c r="BE171" s="458">
        <f>BD171</f>
        <v>212.77500000000001</v>
      </c>
      <c r="BF171" s="458">
        <f t="shared" ref="BF171:BO171" si="165">BE171</f>
        <v>212.77500000000001</v>
      </c>
      <c r="BG171" s="458">
        <f t="shared" si="165"/>
        <v>212.77500000000001</v>
      </c>
      <c r="BH171" s="458">
        <f t="shared" si="165"/>
        <v>212.77500000000001</v>
      </c>
      <c r="BI171" s="458">
        <f t="shared" si="165"/>
        <v>212.77500000000001</v>
      </c>
      <c r="BJ171" s="458">
        <f t="shared" si="165"/>
        <v>212.77500000000001</v>
      </c>
      <c r="BK171" s="458">
        <f t="shared" si="165"/>
        <v>212.77500000000001</v>
      </c>
      <c r="BL171" s="458">
        <f t="shared" si="165"/>
        <v>212.77500000000001</v>
      </c>
      <c r="BM171" s="458">
        <f t="shared" si="165"/>
        <v>212.77500000000001</v>
      </c>
      <c r="BN171" s="458">
        <f t="shared" si="165"/>
        <v>212.77500000000001</v>
      </c>
      <c r="BO171" s="458">
        <f t="shared" si="165"/>
        <v>212.77500000000001</v>
      </c>
      <c r="BP171" s="457"/>
      <c r="BQ171" s="448">
        <f t="shared" si="164"/>
        <v>0</v>
      </c>
      <c r="BR171" s="448">
        <f t="shared" si="164"/>
        <v>0</v>
      </c>
      <c r="BS171" s="448">
        <f t="shared" si="164"/>
        <v>0</v>
      </c>
      <c r="BT171" s="448">
        <f t="shared" si="164"/>
        <v>0</v>
      </c>
      <c r="BU171" s="448">
        <f t="shared" si="164"/>
        <v>0</v>
      </c>
      <c r="BV171" s="448">
        <f t="shared" si="164"/>
        <v>0</v>
      </c>
      <c r="BW171" s="448">
        <f t="shared" si="164"/>
        <v>0</v>
      </c>
      <c r="BX171" s="448">
        <f t="shared" si="164"/>
        <v>0</v>
      </c>
      <c r="BY171" s="448">
        <f t="shared" si="164"/>
        <v>0</v>
      </c>
      <c r="BZ171" s="448">
        <f t="shared" si="164"/>
        <v>0</v>
      </c>
      <c r="CA171" s="448">
        <f t="shared" si="164"/>
        <v>0</v>
      </c>
      <c r="CB171" s="448">
        <f t="shared" si="164"/>
        <v>0</v>
      </c>
      <c r="CD171" s="439">
        <v>212.77500000000001</v>
      </c>
      <c r="CE171" s="439">
        <v>212.77500000000001</v>
      </c>
      <c r="CF171" s="439">
        <v>212.77500000000001</v>
      </c>
      <c r="CG171" s="439">
        <v>212.77500000000001</v>
      </c>
      <c r="CH171" s="439">
        <v>212.77500000000001</v>
      </c>
      <c r="CI171" s="439">
        <v>212.77500000000001</v>
      </c>
      <c r="CJ171" s="439">
        <v>212.77500000000001</v>
      </c>
      <c r="CK171" s="439">
        <v>212.77500000000001</v>
      </c>
      <c r="CL171" s="439">
        <v>212.77500000000001</v>
      </c>
      <c r="CM171" s="439">
        <v>212.77500000000001</v>
      </c>
      <c r="CN171" s="439">
        <v>212.77500000000001</v>
      </c>
      <c r="CO171" s="439">
        <v>212.77500000000001</v>
      </c>
    </row>
    <row r="172" spans="1:93">
      <c r="A172" s="436" t="s">
        <v>2810</v>
      </c>
      <c r="B172" s="436"/>
      <c r="C172" s="442" t="s">
        <v>2806</v>
      </c>
      <c r="D172" s="447"/>
      <c r="E172" s="436" t="s">
        <v>2811</v>
      </c>
      <c r="F172" s="477">
        <f t="shared" ref="F172:AY172" si="166">F26-F36-F37-F50+F49+F52+F131+F12+F50+F19+F53</f>
        <v>0.17550000000000002</v>
      </c>
      <c r="G172" s="477">
        <f t="shared" si="166"/>
        <v>0.18029999999999999</v>
      </c>
      <c r="H172" s="477">
        <f t="shared" si="166"/>
        <v>0.20360809803009033</v>
      </c>
      <c r="I172" s="477">
        <f t="shared" si="166"/>
        <v>0.23574164807796477</v>
      </c>
      <c r="J172" s="477">
        <f t="shared" si="166"/>
        <v>0.24387287187576298</v>
      </c>
      <c r="K172" s="477">
        <f t="shared" si="166"/>
        <v>0.27862763404846191</v>
      </c>
      <c r="L172" s="477">
        <f t="shared" si="166"/>
        <v>0.31071154642105103</v>
      </c>
      <c r="M172" s="477">
        <f t="shared" si="166"/>
        <v>0.32049492311477662</v>
      </c>
      <c r="N172" s="477">
        <f t="shared" si="166"/>
        <v>0.33439163756370538</v>
      </c>
      <c r="O172" s="477">
        <f t="shared" si="166"/>
        <v>0.35874610233306881</v>
      </c>
      <c r="P172" s="477">
        <f t="shared" si="166"/>
        <v>0.42719877862930294</v>
      </c>
      <c r="Q172" s="477">
        <f t="shared" si="166"/>
        <v>0.49009379184246066</v>
      </c>
      <c r="R172" s="477">
        <f t="shared" si="166"/>
        <v>0.56565761923789992</v>
      </c>
      <c r="S172" s="477">
        <f t="shared" si="166"/>
        <v>0.64871088647842412</v>
      </c>
      <c r="T172" s="477">
        <f t="shared" si="166"/>
        <v>0.68811160111427316</v>
      </c>
      <c r="U172" s="477">
        <f t="shared" si="166"/>
        <v>0.73278848552703857</v>
      </c>
      <c r="V172" s="477">
        <f t="shared" si="166"/>
        <v>0.7765971195697785</v>
      </c>
      <c r="W172" s="477">
        <f t="shared" si="166"/>
        <v>0.84742288923263553</v>
      </c>
      <c r="X172" s="477">
        <f t="shared" si="166"/>
        <v>0.90468431186676024</v>
      </c>
      <c r="Y172" s="477">
        <f t="shared" si="166"/>
        <v>0.9857835364341736</v>
      </c>
      <c r="Z172" s="477">
        <f t="shared" si="166"/>
        <v>1.31042901468277</v>
      </c>
      <c r="AA172" s="477">
        <f t="shared" si="166"/>
        <v>1.5476499967575075</v>
      </c>
      <c r="AB172" s="477">
        <f t="shared" si="166"/>
        <v>1.6514600315093995</v>
      </c>
      <c r="AC172" s="477">
        <f t="shared" si="166"/>
        <v>2.1444199314117434</v>
      </c>
      <c r="AD172" s="477">
        <f t="shared" si="166"/>
        <v>2.3616800174713131</v>
      </c>
      <c r="AE172" s="477">
        <f t="shared" si="166"/>
        <v>2.4922200336456295</v>
      </c>
      <c r="AF172" s="477">
        <f t="shared" si="166"/>
        <v>2.8065399971008302</v>
      </c>
      <c r="AG172" s="477">
        <f t="shared" si="166"/>
        <v>3.05346001625061</v>
      </c>
      <c r="AH172" s="477">
        <f t="shared" si="166"/>
        <v>3.0530799522399903</v>
      </c>
      <c r="AI172" s="477">
        <f t="shared" si="166"/>
        <v>2.8018499622344963</v>
      </c>
      <c r="AJ172" s="477">
        <f t="shared" si="166"/>
        <v>2.6515799808502196</v>
      </c>
      <c r="AK172" s="477">
        <f t="shared" si="166"/>
        <v>2.5347600517272948</v>
      </c>
      <c r="AL172" s="477">
        <f t="shared" si="166"/>
        <v>2.6663600215911876</v>
      </c>
      <c r="AM172" s="477">
        <f t="shared" si="166"/>
        <v>3.1244999990463249</v>
      </c>
      <c r="AN172" s="477">
        <f t="shared" si="166"/>
        <v>3.7694499511718753</v>
      </c>
      <c r="AO172" s="477">
        <f t="shared" si="166"/>
        <v>4.8996000003814686</v>
      </c>
      <c r="AP172" s="477">
        <f t="shared" si="166"/>
        <v>6.3451499999999994</v>
      </c>
      <c r="AQ172" s="477">
        <f t="shared" si="166"/>
        <v>8.2219599999999993</v>
      </c>
      <c r="AR172" s="477">
        <f t="shared" si="166"/>
        <v>10.884370000000002</v>
      </c>
      <c r="AS172" s="477">
        <f t="shared" si="166"/>
        <v>32.132170000000002</v>
      </c>
      <c r="AT172" s="477">
        <f t="shared" si="166"/>
        <v>139.75589000000002</v>
      </c>
      <c r="AU172" s="477">
        <f t="shared" si="166"/>
        <v>492.50448750000004</v>
      </c>
      <c r="AV172" s="456">
        <f t="shared" si="166"/>
        <v>583.42188749999991</v>
      </c>
      <c r="AW172" s="456">
        <f t="shared" si="166"/>
        <v>615.68211000000008</v>
      </c>
      <c r="AX172" s="456">
        <f t="shared" si="166"/>
        <v>697.8286700000001</v>
      </c>
      <c r="AY172" s="456">
        <f t="shared" si="166"/>
        <v>1201.4277</v>
      </c>
      <c r="AZ172" s="456">
        <f>AZ26-AZ36-AZ37-AZ50+AZ49+AZ52+AZ131+AZ12+AZ50+AZ19+AZ53</f>
        <v>1817.8930000000005</v>
      </c>
      <c r="BA172" s="456">
        <f>BA26-BA36-BA37-BA50+BA49+BA52+BA131+BA12+BA50+BA19+BA53</f>
        <v>2769.0809999999997</v>
      </c>
      <c r="BB172" s="456">
        <f>BB26-BB36-BB37-BB50+BB49+BB52+BB131+BB12+BB50+BB19+BB53</f>
        <v>3775.3753000000002</v>
      </c>
      <c r="BC172" s="456">
        <f t="shared" ref="BC172:BO172" ca="1" si="167">BC26-BC36-BC37-BC50+BC49+BC52+BC131+BC12+BC50+BC19+BC53</f>
        <v>5190.4415217698252</v>
      </c>
      <c r="BD172" s="456">
        <f t="shared" ca="1" si="167"/>
        <v>6569.4736477319921</v>
      </c>
      <c r="BE172" s="456">
        <f t="shared" ca="1" si="167"/>
        <v>7231.3797217400797</v>
      </c>
      <c r="BF172" s="456">
        <f t="shared" ca="1" si="167"/>
        <v>7735.3310659096915</v>
      </c>
      <c r="BG172" s="456">
        <f t="shared" ca="1" si="167"/>
        <v>8221.1985131100737</v>
      </c>
      <c r="BH172" s="456">
        <f t="shared" ca="1" si="167"/>
        <v>8684.5964944113184</v>
      </c>
      <c r="BI172" s="456">
        <f t="shared" ca="1" si="167"/>
        <v>9146.7564292455427</v>
      </c>
      <c r="BJ172" s="456">
        <f t="shared" ca="1" si="167"/>
        <v>9612.4015977538438</v>
      </c>
      <c r="BK172" s="456">
        <f t="shared" ca="1" si="167"/>
        <v>10105.084377513323</v>
      </c>
      <c r="BL172" s="456">
        <f t="shared" ca="1" si="167"/>
        <v>10621.714229415064</v>
      </c>
      <c r="BM172" s="456">
        <f t="shared" ca="1" si="167"/>
        <v>11159.026722206057</v>
      </c>
      <c r="BN172" s="456">
        <f t="shared" ca="1" si="167"/>
        <v>11720.776075848609</v>
      </c>
      <c r="BO172" s="456">
        <f t="shared" ca="1" si="167"/>
        <v>12303.716734618054</v>
      </c>
      <c r="BP172" s="457"/>
      <c r="BQ172" s="448">
        <f t="shared" ca="1" si="164"/>
        <v>0</v>
      </c>
      <c r="BR172" s="448">
        <f t="shared" ca="1" si="164"/>
        <v>0</v>
      </c>
      <c r="BS172" s="448">
        <f t="shared" ca="1" si="164"/>
        <v>0</v>
      </c>
      <c r="BT172" s="448">
        <f t="shared" ca="1" si="164"/>
        <v>4.9112713895738125E-11</v>
      </c>
      <c r="BU172" s="448">
        <f t="shared" ca="1" si="164"/>
        <v>5.5661075748503208E-10</v>
      </c>
      <c r="BV172" s="448">
        <f t="shared" ca="1" si="164"/>
        <v>4.8185029299929738E-9</v>
      </c>
      <c r="BW172" s="448">
        <f t="shared" ca="1" si="164"/>
        <v>3.2903699320740998E-8</v>
      </c>
      <c r="BX172" s="448">
        <f t="shared" ca="1" si="164"/>
        <v>1.8403625290375203E-7</v>
      </c>
      <c r="BY172" s="448">
        <f t="shared" ca="1" si="164"/>
        <v>8.6793079390190542E-7</v>
      </c>
      <c r="BZ172" s="448">
        <f t="shared" ca="1" si="164"/>
        <v>3.5375796869629994E-6</v>
      </c>
      <c r="CA172" s="448">
        <f t="shared" ca="1" si="164"/>
        <v>1.2693097232840955E-5</v>
      </c>
      <c r="CB172" s="448">
        <f t="shared" ca="1" si="164"/>
        <v>4.099110810784623E-5</v>
      </c>
      <c r="CD172" s="439">
        <v>6569.4736477319921</v>
      </c>
      <c r="CE172" s="439">
        <v>7231.3797217400797</v>
      </c>
      <c r="CF172" s="439">
        <v>7735.3310659096896</v>
      </c>
      <c r="CG172" s="439">
        <v>8221.1985131100246</v>
      </c>
      <c r="CH172" s="439">
        <v>8684.5964944107618</v>
      </c>
      <c r="CI172" s="439">
        <v>9146.7564292407242</v>
      </c>
      <c r="CJ172" s="439">
        <v>9612.4015977209401</v>
      </c>
      <c r="CK172" s="439">
        <v>10105.084377329287</v>
      </c>
      <c r="CL172" s="439">
        <v>10621.714228547133</v>
      </c>
      <c r="CM172" s="439">
        <v>11159.026718668478</v>
      </c>
      <c r="CN172" s="439">
        <v>11720.776063155512</v>
      </c>
      <c r="CO172" s="439">
        <v>12303.716693626946</v>
      </c>
    </row>
    <row r="173" spans="1:93">
      <c r="A173" s="436" t="s">
        <v>2812</v>
      </c>
      <c r="B173" s="436"/>
      <c r="C173" s="442" t="s">
        <v>2806</v>
      </c>
      <c r="D173" s="447"/>
      <c r="E173" s="436"/>
      <c r="F173" s="456">
        <f t="shared" ref="F173:BO173" si="168">F12+F130+F131+F50+F19</f>
        <v>0.16570000000000001</v>
      </c>
      <c r="G173" s="456">
        <f t="shared" si="168"/>
        <v>0.16899999999999998</v>
      </c>
      <c r="H173" s="456">
        <f t="shared" si="168"/>
        <v>0.19111309814453126</v>
      </c>
      <c r="I173" s="456">
        <f t="shared" si="168"/>
        <v>0.21908164823055265</v>
      </c>
      <c r="J173" s="456">
        <f t="shared" si="168"/>
        <v>0.22646317148208622</v>
      </c>
      <c r="K173" s="456">
        <f t="shared" si="168"/>
        <v>0.25921873474121093</v>
      </c>
      <c r="L173" s="456">
        <f t="shared" si="168"/>
        <v>0.28888694620132449</v>
      </c>
      <c r="M173" s="456">
        <f t="shared" si="168"/>
        <v>0.29142322397232057</v>
      </c>
      <c r="N173" s="456">
        <f t="shared" si="168"/>
        <v>0.30448693823814388</v>
      </c>
      <c r="O173" s="456">
        <f t="shared" si="168"/>
        <v>0.3280084028244018</v>
      </c>
      <c r="P173" s="456">
        <f t="shared" si="168"/>
        <v>0.39204617929458613</v>
      </c>
      <c r="Q173" s="456">
        <f t="shared" si="168"/>
        <v>0.4521089934110642</v>
      </c>
      <c r="R173" s="456">
        <f t="shared" si="168"/>
        <v>0.52050901770591751</v>
      </c>
      <c r="S173" s="456">
        <f t="shared" si="168"/>
        <v>0.60097998666763297</v>
      </c>
      <c r="T173" s="456">
        <f t="shared" si="168"/>
        <v>0.63796500229835518</v>
      </c>
      <c r="U173" s="456">
        <f t="shared" si="168"/>
        <v>0.67406198406219486</v>
      </c>
      <c r="V173" s="456">
        <f t="shared" si="168"/>
        <v>0.70770802044868475</v>
      </c>
      <c r="W173" s="456">
        <f t="shared" si="168"/>
        <v>0.77720098829269413</v>
      </c>
      <c r="X173" s="456">
        <f t="shared" si="168"/>
        <v>0.82380001163482675</v>
      </c>
      <c r="Y173" s="456">
        <f t="shared" si="168"/>
        <v>0.90290003728866575</v>
      </c>
      <c r="Z173" s="456">
        <f t="shared" si="168"/>
        <v>1.2163000168800355</v>
      </c>
      <c r="AA173" s="456">
        <f t="shared" si="168"/>
        <v>1.4292999982833865</v>
      </c>
      <c r="AB173" s="456">
        <f t="shared" si="168"/>
        <v>1.5096300296783447</v>
      </c>
      <c r="AC173" s="456">
        <f t="shared" si="168"/>
        <v>1.9621599369049074</v>
      </c>
      <c r="AD173" s="456">
        <f t="shared" si="168"/>
        <v>2.150740015029907</v>
      </c>
      <c r="AE173" s="456">
        <f t="shared" si="168"/>
        <v>2.2706600360870359</v>
      </c>
      <c r="AF173" s="456">
        <f t="shared" si="168"/>
        <v>2.5806899909973144</v>
      </c>
      <c r="AG173" s="456">
        <f t="shared" si="168"/>
        <v>2.7773700199127198</v>
      </c>
      <c r="AH173" s="456">
        <f t="shared" si="168"/>
        <v>2.7067999534606932</v>
      </c>
      <c r="AI173" s="456">
        <f t="shared" si="168"/>
        <v>2.4279699573516837</v>
      </c>
      <c r="AJ173" s="456">
        <f t="shared" si="168"/>
        <v>2.2775099735260009</v>
      </c>
      <c r="AK173" s="456">
        <f t="shared" si="168"/>
        <v>2.1509300651550296</v>
      </c>
      <c r="AL173" s="456">
        <f t="shared" si="168"/>
        <v>2.2576600093841557</v>
      </c>
      <c r="AM173" s="456">
        <f t="shared" si="168"/>
        <v>2.6544999990463252</v>
      </c>
      <c r="AN173" s="456">
        <f t="shared" si="168"/>
        <v>3.2464499511718747</v>
      </c>
      <c r="AO173" s="456">
        <f t="shared" si="168"/>
        <v>4.336600000381468</v>
      </c>
      <c r="AP173" s="456">
        <f t="shared" si="168"/>
        <v>5.8180599999999991</v>
      </c>
      <c r="AQ173" s="456">
        <f t="shared" si="168"/>
        <v>7.5444699999999996</v>
      </c>
      <c r="AR173" s="456">
        <f t="shared" si="168"/>
        <v>10.041100000000002</v>
      </c>
      <c r="AS173" s="456">
        <f t="shared" si="168"/>
        <v>31.133749999999999</v>
      </c>
      <c r="AT173" s="456">
        <f t="shared" si="168"/>
        <v>136.33565000000002</v>
      </c>
      <c r="AU173" s="456">
        <f t="shared" si="168"/>
        <v>479.37289750000002</v>
      </c>
      <c r="AV173" s="456">
        <f t="shared" si="168"/>
        <v>557.81231749999995</v>
      </c>
      <c r="AW173" s="456">
        <f t="shared" si="168"/>
        <v>584.39417000000003</v>
      </c>
      <c r="AX173" s="456">
        <f t="shared" si="168"/>
        <v>624.45167000000015</v>
      </c>
      <c r="AY173" s="456">
        <f t="shared" si="168"/>
        <v>1099.9267</v>
      </c>
      <c r="AZ173" s="456">
        <f t="shared" si="168"/>
        <v>1655.6760000000004</v>
      </c>
      <c r="BA173" s="456">
        <f t="shared" si="168"/>
        <v>2556.2029999999995</v>
      </c>
      <c r="BB173" s="456">
        <f t="shared" si="168"/>
        <v>3397.6973000000003</v>
      </c>
      <c r="BC173" s="456">
        <f t="shared" ca="1" si="168"/>
        <v>4763.458521769825</v>
      </c>
      <c r="BD173" s="456">
        <f t="shared" ca="1" si="168"/>
        <v>6115.3066477319917</v>
      </c>
      <c r="BE173" s="456">
        <f t="shared" ca="1" si="168"/>
        <v>6723.7512436775487</v>
      </c>
      <c r="BF173" s="456">
        <f t="shared" ca="1" si="168"/>
        <v>7184.7455326902236</v>
      </c>
      <c r="BG173" s="456">
        <f t="shared" ca="1" si="168"/>
        <v>7632.7270816274531</v>
      </c>
      <c r="BH173" s="456">
        <f t="shared" ca="1" si="168"/>
        <v>8059.9978711479098</v>
      </c>
      <c r="BI173" s="456">
        <f t="shared" ca="1" si="168"/>
        <v>8486.3254355058107</v>
      </c>
      <c r="BJ173" s="456">
        <f t="shared" ca="1" si="168"/>
        <v>8915.4752303452969</v>
      </c>
      <c r="BK173" s="456">
        <f t="shared" ca="1" si="168"/>
        <v>9370.3296791256071</v>
      </c>
      <c r="BL173" s="456">
        <f t="shared" ca="1" si="168"/>
        <v>9847.3103202901675</v>
      </c>
      <c r="BM173" s="456">
        <f t="shared" ca="1" si="168"/>
        <v>10342.993440168038</v>
      </c>
      <c r="BN173" s="456">
        <f t="shared" ca="1" si="168"/>
        <v>10860.99176956687</v>
      </c>
      <c r="BO173" s="456">
        <f t="shared" ca="1" si="168"/>
        <v>11397.934180239205</v>
      </c>
      <c r="BP173" s="457"/>
      <c r="BQ173" s="448">
        <f t="shared" ca="1" si="164"/>
        <v>0</v>
      </c>
      <c r="BR173" s="448">
        <f t="shared" ca="1" si="164"/>
        <v>0</v>
      </c>
      <c r="BS173" s="448">
        <f t="shared" ca="1" si="164"/>
        <v>0</v>
      </c>
      <c r="BT173" s="448">
        <f t="shared" ca="1" si="164"/>
        <v>5.2750692702829838E-11</v>
      </c>
      <c r="BU173" s="448">
        <f t="shared" ca="1" si="164"/>
        <v>5.7389115681871772E-10</v>
      </c>
      <c r="BV173" s="448">
        <f t="shared" ca="1" si="164"/>
        <v>4.9531081458553672E-9</v>
      </c>
      <c r="BW173" s="448">
        <f t="shared" ca="1" si="164"/>
        <v>3.3751348382793367E-8</v>
      </c>
      <c r="BX173" s="448">
        <f t="shared" ca="1" si="164"/>
        <v>1.8838727555703372E-7</v>
      </c>
      <c r="BY173" s="448">
        <f t="shared" ca="1" si="164"/>
        <v>8.8671731646172702E-7</v>
      </c>
      <c r="BZ173" s="448">
        <f t="shared" ca="1" si="164"/>
        <v>3.6074652598472312E-6</v>
      </c>
      <c r="CA173" s="448">
        <f t="shared" ca="1" si="164"/>
        <v>1.2921009329147637E-5</v>
      </c>
      <c r="CB173" s="448">
        <f t="shared" ca="1" si="164"/>
        <v>4.1659232010715641E-5</v>
      </c>
      <c r="CD173" s="439">
        <v>6115.3066477319917</v>
      </c>
      <c r="CE173" s="439">
        <v>6723.7512436775487</v>
      </c>
      <c r="CF173" s="439">
        <v>7184.74553269022</v>
      </c>
      <c r="CG173" s="439">
        <v>7632.7270816274004</v>
      </c>
      <c r="CH173" s="439">
        <v>8059.9978711473359</v>
      </c>
      <c r="CI173" s="439">
        <v>8486.3254355008576</v>
      </c>
      <c r="CJ173" s="439">
        <v>8915.4752303115456</v>
      </c>
      <c r="CK173" s="439">
        <v>9370.3296789372198</v>
      </c>
      <c r="CL173" s="439">
        <v>9847.3103194034502</v>
      </c>
      <c r="CM173" s="439">
        <v>10342.993436560573</v>
      </c>
      <c r="CN173" s="439">
        <v>10860.991756645861</v>
      </c>
      <c r="CO173" s="439">
        <v>11397.934138579973</v>
      </c>
    </row>
    <row r="174" spans="1:93">
      <c r="A174" s="436" t="s">
        <v>2813</v>
      </c>
      <c r="B174" s="436"/>
      <c r="C174" s="442" t="s">
        <v>2806</v>
      </c>
      <c r="D174" s="447"/>
      <c r="E174" s="436" t="s">
        <v>2814</v>
      </c>
      <c r="F174" s="477">
        <f t="shared" ref="F174:BO174" si="169">F172-F53-F19</f>
        <v>0.10340000000000002</v>
      </c>
      <c r="G174" s="477">
        <f t="shared" si="169"/>
        <v>0.11149999999999999</v>
      </c>
      <c r="H174" s="477">
        <f t="shared" si="169"/>
        <v>0.12161309814453125</v>
      </c>
      <c r="I174" s="477">
        <f t="shared" si="169"/>
        <v>0.14108164823055264</v>
      </c>
      <c r="J174" s="477">
        <f t="shared" si="169"/>
        <v>0.15336317300796515</v>
      </c>
      <c r="K174" s="477">
        <f t="shared" si="169"/>
        <v>0.16921873474121094</v>
      </c>
      <c r="L174" s="477">
        <f t="shared" si="169"/>
        <v>0.19078694772720339</v>
      </c>
      <c r="M174" s="477">
        <f t="shared" si="169"/>
        <v>0.19702322244644166</v>
      </c>
      <c r="N174" s="477">
        <f t="shared" si="169"/>
        <v>0.20918693518638606</v>
      </c>
      <c r="O174" s="477">
        <f t="shared" si="169"/>
        <v>0.22350840282440182</v>
      </c>
      <c r="P174" s="477">
        <f t="shared" si="169"/>
        <v>0.28324617624282833</v>
      </c>
      <c r="Q174" s="477">
        <f t="shared" si="169"/>
        <v>0.319908996462822</v>
      </c>
      <c r="R174" s="477">
        <f t="shared" si="169"/>
        <v>0.3250090177059175</v>
      </c>
      <c r="S174" s="477">
        <f t="shared" si="169"/>
        <v>0.37717998361587524</v>
      </c>
      <c r="T174" s="477">
        <f t="shared" si="169"/>
        <v>0.39276500535011299</v>
      </c>
      <c r="U174" s="477">
        <f t="shared" si="169"/>
        <v>0.39436197185516364</v>
      </c>
      <c r="V174" s="477">
        <f t="shared" si="169"/>
        <v>0.41410801434516914</v>
      </c>
      <c r="W174" s="477">
        <f t="shared" si="169"/>
        <v>0.43710098218917848</v>
      </c>
      <c r="X174" s="477">
        <f t="shared" si="169"/>
        <v>0.45959999942779539</v>
      </c>
      <c r="Y174" s="477">
        <f t="shared" si="169"/>
        <v>0.5424000372886657</v>
      </c>
      <c r="Z174" s="477">
        <f t="shared" si="169"/>
        <v>0.67289999246597298</v>
      </c>
      <c r="AA174" s="477">
        <f t="shared" si="169"/>
        <v>0.85159998607635523</v>
      </c>
      <c r="AB174" s="477">
        <f t="shared" si="169"/>
        <v>0.89173000526428214</v>
      </c>
      <c r="AC174" s="477">
        <f t="shared" si="169"/>
        <v>1.2549599246978762</v>
      </c>
      <c r="AD174" s="477">
        <f t="shared" si="169"/>
        <v>1.3371400394439694</v>
      </c>
      <c r="AE174" s="477">
        <f t="shared" si="169"/>
        <v>1.3539600238800047</v>
      </c>
      <c r="AF174" s="477">
        <f t="shared" si="169"/>
        <v>1.4864900398254395</v>
      </c>
      <c r="AG174" s="477">
        <f t="shared" si="169"/>
        <v>1.7675700321197507</v>
      </c>
      <c r="AH174" s="477">
        <f t="shared" si="169"/>
        <v>1.7972999534606933</v>
      </c>
      <c r="AI174" s="477">
        <f t="shared" si="169"/>
        <v>1.6536699695587149</v>
      </c>
      <c r="AJ174" s="477">
        <f t="shared" si="169"/>
        <v>1.5169099979400635</v>
      </c>
      <c r="AK174" s="477">
        <f t="shared" si="169"/>
        <v>1.4795300407409666</v>
      </c>
      <c r="AL174" s="477">
        <f t="shared" si="169"/>
        <v>1.6189599971771249</v>
      </c>
      <c r="AM174" s="477">
        <f t="shared" si="169"/>
        <v>1.961299986839294</v>
      </c>
      <c r="AN174" s="477">
        <f t="shared" si="169"/>
        <v>2.4752499389648439</v>
      </c>
      <c r="AO174" s="477">
        <f t="shared" si="169"/>
        <v>3.331600000381469</v>
      </c>
      <c r="AP174" s="477">
        <f t="shared" si="169"/>
        <v>4.9494599999999993</v>
      </c>
      <c r="AQ174" s="477">
        <f t="shared" si="169"/>
        <v>6.8871699999999993</v>
      </c>
      <c r="AR174" s="477">
        <f t="shared" si="169"/>
        <v>9.3920000000000012</v>
      </c>
      <c r="AS174" s="477">
        <f t="shared" si="169"/>
        <v>16.273650000000004</v>
      </c>
      <c r="AT174" s="477">
        <f t="shared" si="169"/>
        <v>60.673150000000021</v>
      </c>
      <c r="AU174" s="456">
        <f t="shared" si="169"/>
        <v>249.90309750000003</v>
      </c>
      <c r="AV174" s="456">
        <f t="shared" si="169"/>
        <v>364.48741749999999</v>
      </c>
      <c r="AW174" s="456">
        <f t="shared" si="169"/>
        <v>389.04547000000002</v>
      </c>
      <c r="AX174" s="456">
        <f t="shared" si="169"/>
        <v>457.40907000000016</v>
      </c>
      <c r="AY174" s="456">
        <f t="shared" si="169"/>
        <v>735.72789999999998</v>
      </c>
      <c r="AZ174" s="456">
        <f t="shared" si="169"/>
        <v>1014.6567000000003</v>
      </c>
      <c r="BA174" s="456">
        <f t="shared" si="169"/>
        <v>1482.4069999999995</v>
      </c>
      <c r="BB174" s="456">
        <f t="shared" si="169"/>
        <v>2457.1573000000003</v>
      </c>
      <c r="BC174" s="456">
        <f t="shared" ca="1" si="169"/>
        <v>3326.0245217698248</v>
      </c>
      <c r="BD174" s="456">
        <f t="shared" ca="1" si="169"/>
        <v>3981.1306477319918</v>
      </c>
      <c r="BE174" s="456">
        <f t="shared" ca="1" si="169"/>
        <v>4400.8039612039756</v>
      </c>
      <c r="BF174" s="456">
        <f t="shared" ca="1" si="169"/>
        <v>4744.1990440412283</v>
      </c>
      <c r="BG174" s="456">
        <f t="shared" ca="1" si="169"/>
        <v>5068.6279269908009</v>
      </c>
      <c r="BH174" s="456">
        <f t="shared" ca="1" si="169"/>
        <v>5366.0911968075798</v>
      </c>
      <c r="BI174" s="456">
        <f t="shared" ca="1" si="169"/>
        <v>5656.0397357771999</v>
      </c>
      <c r="BJ174" s="456">
        <f t="shared" ca="1" si="169"/>
        <v>5941.9063170677291</v>
      </c>
      <c r="BK174" s="456">
        <f t="shared" ca="1" si="169"/>
        <v>6246.2238396135599</v>
      </c>
      <c r="BL174" s="456">
        <f t="shared" ca="1" si="169"/>
        <v>6565.0466226526269</v>
      </c>
      <c r="BM174" s="456">
        <f t="shared" ca="1" si="169"/>
        <v>6894.5651428377969</v>
      </c>
      <c r="BN174" s="456">
        <f t="shared" ca="1" si="169"/>
        <v>7237.986789684086</v>
      </c>
      <c r="BO174" s="456">
        <f t="shared" ca="1" si="169"/>
        <v>7591.5145732500532</v>
      </c>
      <c r="BP174" s="457"/>
      <c r="BQ174" s="448">
        <f t="shared" ca="1" si="164"/>
        <v>0</v>
      </c>
      <c r="BR174" s="448">
        <f t="shared" ca="1" si="164"/>
        <v>0</v>
      </c>
      <c r="BS174" s="448">
        <f t="shared" ca="1" si="164"/>
        <v>0</v>
      </c>
      <c r="BT174" s="448">
        <f t="shared" ca="1" si="164"/>
        <v>4.5474735088646412E-11</v>
      </c>
      <c r="BU174" s="448">
        <f t="shared" ca="1" si="164"/>
        <v>5.1295501179993153E-10</v>
      </c>
      <c r="BV174" s="448">
        <f t="shared" ca="1" si="164"/>
        <v>4.4346961658447981E-9</v>
      </c>
      <c r="BW174" s="448">
        <f t="shared" ca="1" si="164"/>
        <v>3.0246155802160501E-8</v>
      </c>
      <c r="BX174" s="448">
        <f t="shared" ca="1" si="164"/>
        <v>1.6896410670597106E-7</v>
      </c>
      <c r="BY174" s="448">
        <f t="shared" ca="1" si="164"/>
        <v>7.9596065916121006E-7</v>
      </c>
      <c r="BZ174" s="448">
        <f t="shared" ca="1" si="164"/>
        <v>3.2407697290182114E-6</v>
      </c>
      <c r="CA174" s="448">
        <f t="shared" ca="1" si="164"/>
        <v>1.1616091796895489E-5</v>
      </c>
      <c r="CB174" s="448">
        <f t="shared" ca="1" si="164"/>
        <v>3.7482022889889777E-5</v>
      </c>
      <c r="CD174" s="439">
        <v>3981.1306477319918</v>
      </c>
      <c r="CE174" s="439">
        <v>4400.8039612039756</v>
      </c>
      <c r="CF174" s="439">
        <v>4744.1990440412264</v>
      </c>
      <c r="CG174" s="439">
        <v>5068.6279269907554</v>
      </c>
      <c r="CH174" s="439">
        <v>5366.0911968070668</v>
      </c>
      <c r="CI174" s="439">
        <v>5656.0397357727652</v>
      </c>
      <c r="CJ174" s="439">
        <v>5941.9063170374829</v>
      </c>
      <c r="CK174" s="439">
        <v>6246.2238394445958</v>
      </c>
      <c r="CL174" s="439">
        <v>6565.0466218566662</v>
      </c>
      <c r="CM174" s="439">
        <v>6894.5651395970272</v>
      </c>
      <c r="CN174" s="439">
        <v>7237.9867780679942</v>
      </c>
      <c r="CO174" s="439">
        <v>7591.5145357680303</v>
      </c>
    </row>
    <row r="175" spans="1:93">
      <c r="A175" s="436" t="s">
        <v>2815</v>
      </c>
      <c r="B175" s="436"/>
      <c r="C175" s="442" t="s">
        <v>2806</v>
      </c>
      <c r="D175" s="447"/>
      <c r="E175" s="436" t="s">
        <v>2816</v>
      </c>
      <c r="F175" s="477">
        <f t="shared" ref="F175:AY175" si="170">F11-F39+F56+F21-F29-F38-F41+F54+F55-F13</f>
        <v>3.8899999999999997E-2</v>
      </c>
      <c r="G175" s="477">
        <f t="shared" si="170"/>
        <v>4.3799999999999971E-2</v>
      </c>
      <c r="H175" s="477">
        <f t="shared" si="170"/>
        <v>4.0603636562824244E-2</v>
      </c>
      <c r="I175" s="477">
        <f t="shared" si="170"/>
        <v>4.661037296056747E-2</v>
      </c>
      <c r="J175" s="477">
        <f t="shared" si="170"/>
        <v>4.7514764696359638E-2</v>
      </c>
      <c r="K175" s="477">
        <f t="shared" si="170"/>
        <v>4.0741827704012384E-2</v>
      </c>
      <c r="L175" s="477">
        <f t="shared" si="170"/>
        <v>3.8865776255726792E-2</v>
      </c>
      <c r="M175" s="477">
        <f t="shared" si="170"/>
        <v>4.6566851250827324E-2</v>
      </c>
      <c r="N175" s="477">
        <f t="shared" si="170"/>
        <v>4.2441191889345642E-2</v>
      </c>
      <c r="O175" s="477">
        <f t="shared" si="170"/>
        <v>5.5079559244215481E-2</v>
      </c>
      <c r="P175" s="477">
        <f t="shared" si="170"/>
        <v>5.4949652202427368E-2</v>
      </c>
      <c r="Q175" s="477">
        <f t="shared" si="170"/>
        <v>8.9610002130270011E-2</v>
      </c>
      <c r="R175" s="477">
        <f t="shared" si="170"/>
        <v>0.13081001383066171</v>
      </c>
      <c r="S175" s="477">
        <f t="shared" si="170"/>
        <v>0.15884498795866964</v>
      </c>
      <c r="T175" s="477">
        <f t="shared" si="170"/>
        <v>0.15282999861240382</v>
      </c>
      <c r="U175" s="477">
        <f t="shared" si="170"/>
        <v>0.13646098870038983</v>
      </c>
      <c r="V175" s="477">
        <f t="shared" si="170"/>
        <v>0.13904700899124137</v>
      </c>
      <c r="W175" s="477">
        <f t="shared" si="170"/>
        <v>0.14857099246978769</v>
      </c>
      <c r="X175" s="477">
        <f t="shared" si="170"/>
        <v>0.13280000329017641</v>
      </c>
      <c r="Y175" s="477">
        <f t="shared" si="170"/>
        <v>0.16950002467632291</v>
      </c>
      <c r="Z175" s="477">
        <f t="shared" si="170"/>
        <v>0.26760001659393307</v>
      </c>
      <c r="AA175" s="477">
        <f t="shared" si="170"/>
        <v>0.25550003015995021</v>
      </c>
      <c r="AB175" s="477">
        <f t="shared" si="170"/>
        <v>0.26033001101017</v>
      </c>
      <c r="AC175" s="477">
        <f t="shared" si="170"/>
        <v>0.3780599497109654</v>
      </c>
      <c r="AD175" s="477">
        <f t="shared" si="170"/>
        <v>0.39804004848003399</v>
      </c>
      <c r="AE175" s="477">
        <f t="shared" si="170"/>
        <v>0.46155999863147745</v>
      </c>
      <c r="AF175" s="477">
        <f t="shared" si="170"/>
        <v>0.41586265325546257</v>
      </c>
      <c r="AG175" s="477">
        <f t="shared" si="170"/>
        <v>0.50289821386337252</v>
      </c>
      <c r="AH175" s="477">
        <f t="shared" si="170"/>
        <v>0.38329808211326555</v>
      </c>
      <c r="AI175" s="477">
        <f t="shared" si="170"/>
        <v>0.25230388379096969</v>
      </c>
      <c r="AJ175" s="477">
        <f t="shared" si="170"/>
        <v>0.24432686543464632</v>
      </c>
      <c r="AK175" s="477">
        <f t="shared" si="170"/>
        <v>0.24993495804071408</v>
      </c>
      <c r="AL175" s="477">
        <f t="shared" si="170"/>
        <v>0.40264043426513718</v>
      </c>
      <c r="AM175" s="477">
        <f t="shared" si="170"/>
        <v>0.62419999647140512</v>
      </c>
      <c r="AN175" s="477">
        <f t="shared" si="170"/>
        <v>0.81654994487762467</v>
      </c>
      <c r="AO175" s="477">
        <f t="shared" si="170"/>
        <v>1.0924000120162964</v>
      </c>
      <c r="AP175" s="477">
        <f t="shared" si="170"/>
        <v>1.6181890101814269</v>
      </c>
      <c r="AQ175" s="477">
        <f t="shared" si="170"/>
        <v>1.9725630038452144</v>
      </c>
      <c r="AR175" s="477">
        <f t="shared" si="170"/>
        <v>2.7116144934082032</v>
      </c>
      <c r="AS175" s="477">
        <f t="shared" si="170"/>
        <v>8.2779500000000006</v>
      </c>
      <c r="AT175" s="477">
        <f t="shared" si="170"/>
        <v>22.649550000000005</v>
      </c>
      <c r="AU175" s="456">
        <f t="shared" si="170"/>
        <v>105.35259000000001</v>
      </c>
      <c r="AV175" s="456">
        <f t="shared" si="170"/>
        <v>101.69421492800004</v>
      </c>
      <c r="AW175" s="456">
        <f t="shared" si="170"/>
        <v>134.16291702861159</v>
      </c>
      <c r="AX175" s="456">
        <f t="shared" si="170"/>
        <v>151.72449999999998</v>
      </c>
      <c r="AY175" s="456">
        <f t="shared" si="170"/>
        <v>289.77681999999999</v>
      </c>
      <c r="AZ175" s="456">
        <f>AZ11-AZ39+AZ56+AZ21-AZ29-AZ38-AZ41+AZ54+AZ55-AZ13</f>
        <v>366.32700000000006</v>
      </c>
      <c r="BA175" s="456">
        <f>BA11-BA39+BA56+BA21-BA29-BA38-BA41+BA54+BA55-BA13</f>
        <v>153.44730000000004</v>
      </c>
      <c r="BB175" s="456">
        <f>BB11-BB39+BB56+BB21-BB29-BB38-BB41+BB54+BB55-BB13</f>
        <v>891.96199999999965</v>
      </c>
      <c r="BC175" s="456">
        <f>BC11-BC39+BC56+BC21-BC29-BC38-BC41+BC54+BC55-BC13</f>
        <v>1486.9167000000002</v>
      </c>
      <c r="BD175" s="456">
        <f t="shared" ref="BD175:BO175" ca="1" si="171">BD11-BD39+BD56+BD21-BD29-BD38-BD41+BD54+BD55-BD13</f>
        <v>1694.1025306939437</v>
      </c>
      <c r="BE175" s="456">
        <f t="shared" ca="1" si="171"/>
        <v>1783.2501991515417</v>
      </c>
      <c r="BF175" s="456">
        <f t="shared" ca="1" si="171"/>
        <v>1896.0122349099313</v>
      </c>
      <c r="BG175" s="456">
        <f t="shared" ca="1" si="171"/>
        <v>2013.0699291750891</v>
      </c>
      <c r="BH175" s="456">
        <f t="shared" ca="1" si="171"/>
        <v>2117.1899813186474</v>
      </c>
      <c r="BI175" s="456">
        <f t="shared" ca="1" si="171"/>
        <v>2222.4738449075326</v>
      </c>
      <c r="BJ175" s="456">
        <f t="shared" ca="1" si="171"/>
        <v>2325.0295837545646</v>
      </c>
      <c r="BK175" s="456">
        <f t="shared" ca="1" si="171"/>
        <v>2435.5669321690111</v>
      </c>
      <c r="BL175" s="456">
        <f t="shared" ca="1" si="171"/>
        <v>2546.9045734835618</v>
      </c>
      <c r="BM175" s="456">
        <f t="shared" ca="1" si="171"/>
        <v>2659.0247641182623</v>
      </c>
      <c r="BN175" s="456">
        <f t="shared" ca="1" si="171"/>
        <v>2774.0956867338327</v>
      </c>
      <c r="BO175" s="456">
        <f t="shared" ca="1" si="171"/>
        <v>2882.0354481102877</v>
      </c>
      <c r="BP175" s="457"/>
      <c r="BQ175" s="448">
        <f t="shared" ca="1" si="164"/>
        <v>0</v>
      </c>
      <c r="BR175" s="448">
        <f t="shared" ca="1" si="164"/>
        <v>0</v>
      </c>
      <c r="BS175" s="448">
        <f t="shared" ca="1" si="164"/>
        <v>-7.2759576141834259E-12</v>
      </c>
      <c r="BT175" s="448">
        <f t="shared" ca="1" si="164"/>
        <v>-8.4810380940325558E-11</v>
      </c>
      <c r="BU175" s="448">
        <f t="shared" ca="1" si="164"/>
        <v>-9.6406438387930393E-10</v>
      </c>
      <c r="BV175" s="448">
        <f t="shared" ca="1" si="164"/>
        <v>-8.2495716924313456E-9</v>
      </c>
      <c r="BW175" s="448">
        <f t="shared" ca="1" si="164"/>
        <v>-5.5786586017347872E-8</v>
      </c>
      <c r="BX175" s="448">
        <f t="shared" ca="1" si="164"/>
        <v>-3.086370270466432E-7</v>
      </c>
      <c r="BY175" s="448">
        <f t="shared" ca="1" si="164"/>
        <v>-1.4396405276784208E-6</v>
      </c>
      <c r="BZ175" s="448">
        <f t="shared" ca="1" si="164"/>
        <v>-5.8040645853907336E-6</v>
      </c>
      <c r="CA175" s="448">
        <f t="shared" ca="1" si="164"/>
        <v>-2.0600435163942166E-5</v>
      </c>
      <c r="CB175" s="448">
        <f t="shared" ca="1" si="164"/>
        <v>-6.5889715642697411E-5</v>
      </c>
      <c r="CD175" s="439">
        <v>1694.1025306939437</v>
      </c>
      <c r="CE175" s="439">
        <v>1783.2501991515417</v>
      </c>
      <c r="CF175" s="439">
        <v>1896.0122349099386</v>
      </c>
      <c r="CG175" s="439">
        <v>2013.0699291751739</v>
      </c>
      <c r="CH175" s="439">
        <v>2117.1899813196114</v>
      </c>
      <c r="CI175" s="439">
        <v>2222.4738449157821</v>
      </c>
      <c r="CJ175" s="439">
        <v>2325.0295838103511</v>
      </c>
      <c r="CK175" s="439">
        <v>2435.5669324776482</v>
      </c>
      <c r="CL175" s="439">
        <v>2546.9045749232023</v>
      </c>
      <c r="CM175" s="439">
        <v>2659.0247699223269</v>
      </c>
      <c r="CN175" s="439">
        <v>2774.0957073342679</v>
      </c>
      <c r="CO175" s="439">
        <v>2882.0355140000033</v>
      </c>
    </row>
    <row r="176" spans="1:93">
      <c r="A176" s="436" t="s">
        <v>2817</v>
      </c>
      <c r="B176" s="436"/>
      <c r="C176" s="442" t="s">
        <v>2806</v>
      </c>
      <c r="D176" s="447"/>
      <c r="E176" s="436" t="s">
        <v>2818</v>
      </c>
      <c r="F176" s="477">
        <f t="shared" ref="F176:AY176" si="172">F38+F39-F56+F42+F41+F43+F44-F130-F50-F53-F54-F55-F57-F58</f>
        <v>-5.4000000000000038E-3</v>
      </c>
      <c r="G176" s="477">
        <f t="shared" si="172"/>
        <v>-9.9000000000000043E-3</v>
      </c>
      <c r="H176" s="477">
        <f t="shared" si="172"/>
        <v>-8.2996938377618793E-3</v>
      </c>
      <c r="I176" s="477">
        <f t="shared" si="172"/>
        <v>-1.1599648758769034E-2</v>
      </c>
      <c r="J176" s="477">
        <f t="shared" si="172"/>
        <v>-1.1799567192792883E-2</v>
      </c>
      <c r="K176" s="477">
        <f t="shared" si="172"/>
        <v>-1.1899548687040809E-2</v>
      </c>
      <c r="L176" s="477">
        <f t="shared" si="172"/>
        <v>-1.9799409821629522E-2</v>
      </c>
      <c r="M176" s="477">
        <f t="shared" si="172"/>
        <v>-3.1299439363181594E-2</v>
      </c>
      <c r="N176" s="477">
        <f t="shared" si="172"/>
        <v>-2.3299408651888374E-2</v>
      </c>
      <c r="O176" s="477">
        <f t="shared" si="172"/>
        <v>-2.8999431021511556E-2</v>
      </c>
      <c r="P176" s="477">
        <f t="shared" si="172"/>
        <v>-1.9799426384270194E-2</v>
      </c>
      <c r="Q176" s="477">
        <f t="shared" si="172"/>
        <v>-2.8799998849630352E-2</v>
      </c>
      <c r="R176" s="477">
        <f t="shared" si="172"/>
        <v>-2.4700002461671814E-2</v>
      </c>
      <c r="S176" s="477">
        <f t="shared" si="172"/>
        <v>-2.6799998134374628E-2</v>
      </c>
      <c r="T176" s="477">
        <f t="shared" si="172"/>
        <v>-3.3200000762939455E-2</v>
      </c>
      <c r="U176" s="477">
        <f t="shared" si="172"/>
        <v>-3.3300001025199873E-2</v>
      </c>
      <c r="V176" s="477">
        <f t="shared" si="172"/>
        <v>-4.1499997019767768E-2</v>
      </c>
      <c r="W176" s="477">
        <f t="shared" si="172"/>
        <v>-4.1399999320507065E-2</v>
      </c>
      <c r="X176" s="477">
        <f t="shared" si="172"/>
        <v>-2.6560002900660032E-2</v>
      </c>
      <c r="Y176" s="477">
        <f t="shared" si="172"/>
        <v>-3.180000004917382E-2</v>
      </c>
      <c r="Z176" s="477">
        <f t="shared" si="172"/>
        <v>-5.5799997568130491E-2</v>
      </c>
      <c r="AA176" s="477">
        <f t="shared" si="172"/>
        <v>-1.5549996376037625E-2</v>
      </c>
      <c r="AB176" s="477">
        <f t="shared" si="172"/>
        <v>-0.10103000271320342</v>
      </c>
      <c r="AC176" s="477">
        <f t="shared" si="172"/>
        <v>-0.21295999260246751</v>
      </c>
      <c r="AD176" s="477">
        <f t="shared" si="172"/>
        <v>-0.15654000461101536</v>
      </c>
      <c r="AE176" s="477">
        <f t="shared" si="172"/>
        <v>-0.12845999789237983</v>
      </c>
      <c r="AF176" s="477">
        <f t="shared" si="172"/>
        <v>-0.10801171350479116</v>
      </c>
      <c r="AG176" s="477">
        <f t="shared" si="172"/>
        <v>-0.25011098241806029</v>
      </c>
      <c r="AH176" s="477">
        <f t="shared" si="172"/>
        <v>-0.2951103034019471</v>
      </c>
      <c r="AI176" s="477">
        <f t="shared" si="172"/>
        <v>-0.31960958671569828</v>
      </c>
      <c r="AJ176" s="477">
        <f t="shared" si="172"/>
        <v>-0.25861491417884819</v>
      </c>
      <c r="AK176" s="477">
        <f t="shared" si="172"/>
        <v>-0.34932029515504842</v>
      </c>
      <c r="AL176" s="477">
        <f t="shared" si="172"/>
        <v>-0.45461610007286068</v>
      </c>
      <c r="AM176" s="477">
        <f t="shared" si="172"/>
        <v>-0.47329998874664309</v>
      </c>
      <c r="AN176" s="477">
        <f t="shared" si="172"/>
        <v>-0.49769999003410342</v>
      </c>
      <c r="AO176" s="477">
        <f t="shared" si="172"/>
        <v>-0.41529999566078185</v>
      </c>
      <c r="AP176" s="477">
        <f t="shared" si="172"/>
        <v>-0.25762901628494261</v>
      </c>
      <c r="AQ176" s="477">
        <f t="shared" si="172"/>
        <v>-0.61281299774169906</v>
      </c>
      <c r="AR176" s="477">
        <f t="shared" si="172"/>
        <v>-0.70660789550781256</v>
      </c>
      <c r="AS176" s="477">
        <f t="shared" si="172"/>
        <v>-1.3672300000000004</v>
      </c>
      <c r="AT176" s="477">
        <f t="shared" si="172"/>
        <v>-7.0774999999999988</v>
      </c>
      <c r="AU176" s="456">
        <f t="shared" si="172"/>
        <v>-76.636182111801233</v>
      </c>
      <c r="AV176" s="456">
        <f t="shared" si="172"/>
        <v>-29.201944927999982</v>
      </c>
      <c r="AW176" s="456">
        <f t="shared" si="172"/>
        <v>-43.70511702861166</v>
      </c>
      <c r="AX176" s="456">
        <f t="shared" si="172"/>
        <v>-94.969999999999985</v>
      </c>
      <c r="AY176" s="456">
        <f t="shared" si="172"/>
        <v>-116.32599999999999</v>
      </c>
      <c r="AZ176" s="456">
        <f>AZ38+AZ39-AZ56+AZ42+AZ41+AZ43+AZ44-AZ130-AZ50-AZ53-AZ54-AZ55-AZ57-AZ58</f>
        <v>-232.08287500000003</v>
      </c>
      <c r="BA176" s="456">
        <f>BA38+BA39-BA56+BA42+BA41+BA43+BA44-BA130-BA50-BA53-BA54-BA55-BA57-BA58</f>
        <v>-119.64600000000003</v>
      </c>
      <c r="BB176" s="456">
        <f>BB38+BB39-BB56+BB42+BB41+BB43+BB44-BB130-BB50-BB53-BB54-BB55-BB57-BB58</f>
        <v>-358.27900000000011</v>
      </c>
      <c r="BC176" s="456">
        <f t="shared" ref="BC176:BO176" ca="1" si="173">BC38+BC39-BC56+BC42+BC41+BC43+BC44-BC130-BC50-BC53-BC54-BC55-BC57-BC58</f>
        <v>-193.43818636840535</v>
      </c>
      <c r="BD176" s="456">
        <f t="shared" ca="1" si="173"/>
        <v>-206.50384970493667</v>
      </c>
      <c r="BE176" s="456">
        <f t="shared" ca="1" si="173"/>
        <v>-184.35532717823327</v>
      </c>
      <c r="BF176" s="456">
        <f t="shared" ca="1" si="173"/>
        <v>-214.38483984121459</v>
      </c>
      <c r="BG176" s="456">
        <f t="shared" ca="1" si="173"/>
        <v>-241.44476792098558</v>
      </c>
      <c r="BH176" s="456">
        <f t="shared" ca="1" si="173"/>
        <v>-259.72014305828725</v>
      </c>
      <c r="BI176" s="456">
        <f t="shared" ca="1" si="173"/>
        <v>-280.87709663102271</v>
      </c>
      <c r="BJ176" s="456">
        <f t="shared" ca="1" si="173"/>
        <v>-300.23022317440865</v>
      </c>
      <c r="BK176" s="456">
        <f t="shared" ca="1" si="173"/>
        <v>-328.46551220221454</v>
      </c>
      <c r="BL176" s="456">
        <f t="shared" ca="1" si="173"/>
        <v>-358.61355202626999</v>
      </c>
      <c r="BM176" s="456">
        <f t="shared" ca="1" si="173"/>
        <v>-391.21354612384084</v>
      </c>
      <c r="BN176" s="456">
        <f t="shared" ca="1" si="173"/>
        <v>-428.0301535395779</v>
      </c>
      <c r="BO176" s="456">
        <f t="shared" ca="1" si="173"/>
        <v>-470.52379985721598</v>
      </c>
      <c r="BP176" s="457"/>
      <c r="BQ176" s="448">
        <f t="shared" ca="1" si="164"/>
        <v>0</v>
      </c>
      <c r="BR176" s="448">
        <f t="shared" ca="1" si="164"/>
        <v>0</v>
      </c>
      <c r="BS176" s="448">
        <f t="shared" ca="1" si="164"/>
        <v>2.5579538487363607E-13</v>
      </c>
      <c r="BT176" s="448">
        <f t="shared" ca="1" si="164"/>
        <v>3.1548097467748448E-12</v>
      </c>
      <c r="BU176" s="448">
        <f t="shared" ca="1" si="164"/>
        <v>3.3708147384459153E-11</v>
      </c>
      <c r="BV176" s="448">
        <f t="shared" ca="1" si="164"/>
        <v>3.1764102459419519E-10</v>
      </c>
      <c r="BW176" s="448">
        <f t="shared" ca="1" si="164"/>
        <v>2.3920847525005229E-9</v>
      </c>
      <c r="BX176" s="448">
        <f t="shared" ca="1" si="164"/>
        <v>1.466293042540201E-8</v>
      </c>
      <c r="BY176" s="448">
        <f t="shared" ca="1" si="164"/>
        <v>7.5180651037953794E-8</v>
      </c>
      <c r="BZ176" s="448">
        <f t="shared" ca="1" si="164"/>
        <v>3.3022195111698238E-7</v>
      </c>
      <c r="CA176" s="448">
        <f t="shared" ca="1" si="164"/>
        <v>1.2672461480178754E-6</v>
      </c>
      <c r="CB176" s="448">
        <f t="shared" ca="1" si="164"/>
        <v>4.3353229557396844E-6</v>
      </c>
      <c r="CD176" s="439">
        <v>-206.50384970493667</v>
      </c>
      <c r="CE176" s="439">
        <v>-184.35532717823327</v>
      </c>
      <c r="CF176" s="439">
        <v>-214.38483984121484</v>
      </c>
      <c r="CG176" s="439">
        <v>-241.44476792098874</v>
      </c>
      <c r="CH176" s="439">
        <v>-259.72014305832096</v>
      </c>
      <c r="CI176" s="439">
        <v>-280.87709663134035</v>
      </c>
      <c r="CJ176" s="439">
        <v>-300.23022317680073</v>
      </c>
      <c r="CK176" s="439">
        <v>-328.46551221687747</v>
      </c>
      <c r="CL176" s="439">
        <v>-358.61355210145064</v>
      </c>
      <c r="CM176" s="439">
        <v>-391.21354645406279</v>
      </c>
      <c r="CN176" s="439">
        <v>-428.03015480682404</v>
      </c>
      <c r="CO176" s="439">
        <v>-470.52380419253893</v>
      </c>
    </row>
    <row r="177" spans="1:93">
      <c r="A177" s="436" t="s">
        <v>2819</v>
      </c>
      <c r="B177" s="436"/>
      <c r="C177" s="442" t="s">
        <v>2806</v>
      </c>
      <c r="D177" s="447"/>
      <c r="E177" s="436" t="s">
        <v>2820</v>
      </c>
      <c r="F177" s="477">
        <f t="shared" ref="F177:BO177" si="174">-F176-F47-F71-F72</f>
        <v>1.4000000000000037E-3</v>
      </c>
      <c r="G177" s="477">
        <f t="shared" si="174"/>
        <v>6.7000000000000037E-3</v>
      </c>
      <c r="H177" s="477">
        <f t="shared" si="174"/>
        <v>6.9969378411769909E-4</v>
      </c>
      <c r="I177" s="477">
        <f t="shared" si="174"/>
        <v>6.9964866340160251E-4</v>
      </c>
      <c r="J177" s="477">
        <f t="shared" si="174"/>
        <v>2.4995675757527257E-3</v>
      </c>
      <c r="K177" s="477">
        <f t="shared" si="174"/>
        <v>-2.7004512175917584E-3</v>
      </c>
      <c r="L177" s="477">
        <f t="shared" si="174"/>
        <v>5.6994095593690848E-3</v>
      </c>
      <c r="M177" s="477">
        <f t="shared" si="174"/>
        <v>1.249943941086531E-2</v>
      </c>
      <c r="N177" s="477">
        <f t="shared" si="174"/>
        <v>7.09940836578608E-3</v>
      </c>
      <c r="O177" s="477">
        <f t="shared" si="174"/>
        <v>3.3994308188557655E-3</v>
      </c>
      <c r="P177" s="477">
        <f t="shared" si="174"/>
        <v>-3.1005731150507898E-3</v>
      </c>
      <c r="Q177" s="477">
        <f t="shared" si="174"/>
        <v>6.299998469650743E-3</v>
      </c>
      <c r="R177" s="477">
        <f t="shared" si="174"/>
        <v>5.9000024497508846E-3</v>
      </c>
      <c r="S177" s="477">
        <f t="shared" si="174"/>
        <v>3.3999980390071963E-3</v>
      </c>
      <c r="T177" s="477">
        <f t="shared" si="174"/>
        <v>8.7000007629394541E-3</v>
      </c>
      <c r="U177" s="477">
        <f t="shared" si="174"/>
        <v>-4.4999986886978338E-3</v>
      </c>
      <c r="V177" s="477">
        <f t="shared" si="174"/>
        <v>-5.6000024080276427E-3</v>
      </c>
      <c r="W177" s="477">
        <f t="shared" si="174"/>
        <v>5.6999985575676114E-3</v>
      </c>
      <c r="X177" s="477">
        <f t="shared" si="174"/>
        <v>-1.823999824374915E-2</v>
      </c>
      <c r="Y177" s="477">
        <f t="shared" si="174"/>
        <v>-2.1999994739890232E-3</v>
      </c>
      <c r="Z177" s="477">
        <f t="shared" si="174"/>
        <v>-3.5762786889867448E-9</v>
      </c>
      <c r="AA177" s="477">
        <f t="shared" si="174"/>
        <v>-6.2750003814697239E-2</v>
      </c>
      <c r="AB177" s="477">
        <f t="shared" si="174"/>
        <v>-5.2869994044303904E-2</v>
      </c>
      <c r="AC177" s="477">
        <f t="shared" si="174"/>
        <v>7.5059998705983122E-2</v>
      </c>
      <c r="AD177" s="477">
        <f t="shared" si="174"/>
        <v>2.4740002989769017E-2</v>
      </c>
      <c r="AE177" s="477">
        <f t="shared" si="174"/>
        <v>-1.554000210762016E-2</v>
      </c>
      <c r="AF177" s="477">
        <f t="shared" si="174"/>
        <v>-1.9942790985107525E-2</v>
      </c>
      <c r="AG177" s="477">
        <f t="shared" si="174"/>
        <v>8.12714774161577E-2</v>
      </c>
      <c r="AH177" s="477">
        <f t="shared" si="174"/>
        <v>0.12674379634857186</v>
      </c>
      <c r="AI177" s="477">
        <f t="shared" si="174"/>
        <v>0.3237470870018006</v>
      </c>
      <c r="AJ177" s="477">
        <f t="shared" si="174"/>
        <v>0.25651491427421563</v>
      </c>
      <c r="AK177" s="477">
        <f t="shared" si="174"/>
        <v>0.34742029505968097</v>
      </c>
      <c r="AL177" s="477">
        <f t="shared" si="174"/>
        <v>0.45471609997749324</v>
      </c>
      <c r="AM177" s="477">
        <f t="shared" si="174"/>
        <v>0.48019998836517341</v>
      </c>
      <c r="AN177" s="477">
        <f t="shared" si="174"/>
        <v>0.44789998984336854</v>
      </c>
      <c r="AO177" s="477">
        <f t="shared" si="174"/>
        <v>0.33509999585151673</v>
      </c>
      <c r="AP177" s="477">
        <f t="shared" si="174"/>
        <v>0.19942901628494261</v>
      </c>
      <c r="AQ177" s="477">
        <f t="shared" si="174"/>
        <v>0.56831299774169908</v>
      </c>
      <c r="AR177" s="477">
        <f t="shared" si="174"/>
        <v>0.63080789550781258</v>
      </c>
      <c r="AS177" s="477">
        <f t="shared" si="174"/>
        <v>0.73373000000000033</v>
      </c>
      <c r="AT177" s="477">
        <f t="shared" si="174"/>
        <v>4.9265999999999988</v>
      </c>
      <c r="AU177" s="456">
        <f t="shared" si="174"/>
        <v>70.155582111801237</v>
      </c>
      <c r="AV177" s="456">
        <f t="shared" si="174"/>
        <v>-13.362455072000021</v>
      </c>
      <c r="AW177" s="456">
        <f t="shared" si="174"/>
        <v>7.1618170286116589</v>
      </c>
      <c r="AX177" s="456">
        <f t="shared" si="174"/>
        <v>43.51809999999999</v>
      </c>
      <c r="AY177" s="456">
        <f t="shared" si="174"/>
        <v>76.471959999999982</v>
      </c>
      <c r="AZ177" s="456">
        <f t="shared" si="174"/>
        <v>181.27850500000005</v>
      </c>
      <c r="BA177" s="456">
        <f t="shared" si="174"/>
        <v>-47.871699999999976</v>
      </c>
      <c r="BB177" s="456">
        <f t="shared" si="174"/>
        <v>375.41507500000012</v>
      </c>
      <c r="BC177" s="456">
        <f t="shared" ca="1" si="174"/>
        <v>204.99918636840536</v>
      </c>
      <c r="BD177" s="456">
        <f t="shared" ca="1" si="174"/>
        <v>132.63976636361585</v>
      </c>
      <c r="BE177" s="456">
        <f t="shared" ca="1" si="174"/>
        <v>106.61674383691245</v>
      </c>
      <c r="BF177" s="456">
        <f t="shared" ca="1" si="174"/>
        <v>136.64625649989378</v>
      </c>
      <c r="BG177" s="456">
        <f t="shared" ca="1" si="174"/>
        <v>163.70618457966478</v>
      </c>
      <c r="BH177" s="456">
        <f t="shared" ca="1" si="174"/>
        <v>181.98155971696642</v>
      </c>
      <c r="BI177" s="456">
        <f t="shared" ca="1" si="174"/>
        <v>203.13851328970188</v>
      </c>
      <c r="BJ177" s="456">
        <f t="shared" ca="1" si="174"/>
        <v>222.49163983308782</v>
      </c>
      <c r="BK177" s="456">
        <f t="shared" ca="1" si="174"/>
        <v>250.72692886089368</v>
      </c>
      <c r="BL177" s="456">
        <f t="shared" ca="1" si="174"/>
        <v>280.87496868494912</v>
      </c>
      <c r="BM177" s="456">
        <f t="shared" ca="1" si="174"/>
        <v>313.47496278251998</v>
      </c>
      <c r="BN177" s="456">
        <f t="shared" ca="1" si="174"/>
        <v>350.29157019825703</v>
      </c>
      <c r="BO177" s="456">
        <f t="shared" ca="1" si="174"/>
        <v>392.78521651589512</v>
      </c>
      <c r="BP177" s="457"/>
      <c r="BQ177" s="448">
        <f t="shared" ca="1" si="164"/>
        <v>0</v>
      </c>
      <c r="BR177" s="448">
        <f t="shared" ca="1" si="164"/>
        <v>0</v>
      </c>
      <c r="BS177" s="448">
        <f t="shared" ca="1" si="164"/>
        <v>-2.2737367544323206E-13</v>
      </c>
      <c r="BT177" s="448">
        <f t="shared" ca="1" si="164"/>
        <v>-3.1263880373444408E-12</v>
      </c>
      <c r="BU177" s="448">
        <f t="shared" ca="1" si="164"/>
        <v>-3.3708147384459153E-11</v>
      </c>
      <c r="BV177" s="448">
        <f t="shared" ca="1" si="164"/>
        <v>-3.1764102459419519E-10</v>
      </c>
      <c r="BW177" s="448">
        <f t="shared" ca="1" si="164"/>
        <v>-2.3920847525005229E-9</v>
      </c>
      <c r="BX177" s="448">
        <f t="shared" ca="1" si="164"/>
        <v>-1.466293042540201E-8</v>
      </c>
      <c r="BY177" s="448">
        <f t="shared" ca="1" si="164"/>
        <v>-7.5180651037953794E-8</v>
      </c>
      <c r="BZ177" s="448">
        <f t="shared" ca="1" si="164"/>
        <v>-3.3022195111698238E-7</v>
      </c>
      <c r="CA177" s="448">
        <f t="shared" ca="1" si="164"/>
        <v>-1.2672461480178754E-6</v>
      </c>
      <c r="CB177" s="448">
        <f t="shared" ca="1" si="164"/>
        <v>-4.3353229557396844E-6</v>
      </c>
      <c r="CD177" s="439">
        <v>132.63976636361585</v>
      </c>
      <c r="CE177" s="439">
        <v>106.61674383691245</v>
      </c>
      <c r="CF177" s="439">
        <v>136.64625649989401</v>
      </c>
      <c r="CG177" s="439">
        <v>163.70618457966791</v>
      </c>
      <c r="CH177" s="439">
        <v>181.98155971700012</v>
      </c>
      <c r="CI177" s="439">
        <v>203.13851329001952</v>
      </c>
      <c r="CJ177" s="439">
        <v>222.4916398354799</v>
      </c>
      <c r="CK177" s="439">
        <v>250.72692887555661</v>
      </c>
      <c r="CL177" s="439">
        <v>280.87496876012978</v>
      </c>
      <c r="CM177" s="439">
        <v>313.47496311274193</v>
      </c>
      <c r="CN177" s="439">
        <v>350.29157146550318</v>
      </c>
      <c r="CO177" s="439">
        <v>392.78522085121807</v>
      </c>
    </row>
    <row r="178" spans="1:93">
      <c r="A178" s="438" t="s">
        <v>2821</v>
      </c>
      <c r="B178" s="438"/>
      <c r="C178" s="442" t="s">
        <v>2806</v>
      </c>
      <c r="E178" s="436"/>
      <c r="F178" s="438">
        <f t="shared" ref="F178:BO178" si="175">F176+F46+F47</f>
        <v>-3.4000000000000037E-3</v>
      </c>
      <c r="G178" s="438">
        <f t="shared" si="175"/>
        <v>-8.3000000000000036E-3</v>
      </c>
      <c r="H178" s="438">
        <f t="shared" si="175"/>
        <v>-3.3996937423944476E-3</v>
      </c>
      <c r="I178" s="438">
        <f t="shared" si="175"/>
        <v>-4.799648568034171E-3</v>
      </c>
      <c r="J178" s="438">
        <f t="shared" si="175"/>
        <v>-7.0995673835277462E-3</v>
      </c>
      <c r="K178" s="438">
        <f t="shared" si="175"/>
        <v>-6.3995486870408094E-3</v>
      </c>
      <c r="L178" s="438">
        <f t="shared" si="175"/>
        <v>-1.3499409630894658E-2</v>
      </c>
      <c r="M178" s="438">
        <f t="shared" si="175"/>
        <v>-2.2999439172446731E-2</v>
      </c>
      <c r="N178" s="438">
        <f t="shared" si="175"/>
        <v>-1.5999408461153511E-2</v>
      </c>
      <c r="O178" s="438">
        <f t="shared" si="175"/>
        <v>-1.5999431021511558E-2</v>
      </c>
      <c r="P178" s="438">
        <f t="shared" si="175"/>
        <v>-1.3699426479637625E-2</v>
      </c>
      <c r="Q178" s="438">
        <f t="shared" si="175"/>
        <v>-2.2799998849630354E-2</v>
      </c>
      <c r="R178" s="438">
        <f t="shared" si="175"/>
        <v>-1.2200002461671813E-2</v>
      </c>
      <c r="S178" s="438">
        <f t="shared" si="175"/>
        <v>-1.3799998134374629E-2</v>
      </c>
      <c r="T178" s="438">
        <f t="shared" si="175"/>
        <v>-2.0800001144409181E-2</v>
      </c>
      <c r="U178" s="438">
        <f t="shared" si="175"/>
        <v>-1.2900001406669599E-2</v>
      </c>
      <c r="V178" s="438">
        <f t="shared" si="175"/>
        <v>-1.7599997401237494E-2</v>
      </c>
      <c r="W178" s="438">
        <f t="shared" si="175"/>
        <v>-1.7199998557567611E-2</v>
      </c>
      <c r="X178" s="438">
        <f t="shared" si="175"/>
        <v>-3.660003282129759E-3</v>
      </c>
      <c r="Y178" s="438">
        <f t="shared" si="175"/>
        <v>-7.5000008121132722E-3</v>
      </c>
      <c r="Z178" s="438">
        <f t="shared" si="175"/>
        <v>-1.5099996805191036E-2</v>
      </c>
      <c r="AA178" s="438">
        <f t="shared" si="175"/>
        <v>4.045000362396238E-2</v>
      </c>
      <c r="AB178" s="438">
        <f t="shared" si="175"/>
        <v>5.8169994235038769E-2</v>
      </c>
      <c r="AC178" s="438">
        <f t="shared" si="175"/>
        <v>-7.4559998705983122E-2</v>
      </c>
      <c r="AD178" s="438">
        <f t="shared" si="175"/>
        <v>-5.7640003085136449E-2</v>
      </c>
      <c r="AE178" s="438">
        <f t="shared" si="175"/>
        <v>1.554000210762016E-2</v>
      </c>
      <c r="AF178" s="438">
        <f t="shared" si="175"/>
        <v>2.3542790889740095E-2</v>
      </c>
      <c r="AG178" s="438">
        <f t="shared" si="175"/>
        <v>-8.1071477413177467E-2</v>
      </c>
      <c r="AH178" s="438">
        <f t="shared" si="175"/>
        <v>-0.1221437964439393</v>
      </c>
      <c r="AI178" s="438">
        <f t="shared" si="175"/>
        <v>-0.31514708662033086</v>
      </c>
      <c r="AJ178" s="438">
        <f t="shared" si="175"/>
        <v>-0.25501491427421563</v>
      </c>
      <c r="AK178" s="438">
        <f t="shared" si="175"/>
        <v>-0.34532029515504842</v>
      </c>
      <c r="AL178" s="438">
        <f t="shared" si="175"/>
        <v>-0.45261610007286068</v>
      </c>
      <c r="AM178" s="438">
        <f t="shared" si="175"/>
        <v>-0.46509998893737797</v>
      </c>
      <c r="AN178" s="438">
        <f t="shared" si="175"/>
        <v>-0.47869999003410341</v>
      </c>
      <c r="AO178" s="438">
        <f t="shared" si="175"/>
        <v>-0.37229999566078187</v>
      </c>
      <c r="AP178" s="438">
        <f t="shared" si="175"/>
        <v>-0.1962290162849426</v>
      </c>
      <c r="AQ178" s="438">
        <f t="shared" si="175"/>
        <v>-0.57841299774169908</v>
      </c>
      <c r="AR178" s="438">
        <f t="shared" si="175"/>
        <v>-0.64700789550781257</v>
      </c>
      <c r="AS178" s="438">
        <f t="shared" si="175"/>
        <v>-0.94023000000000034</v>
      </c>
      <c r="AT178" s="438">
        <f t="shared" si="175"/>
        <v>-5.6736299999999993</v>
      </c>
      <c r="AU178" s="438">
        <f t="shared" si="175"/>
        <v>-67.295582111801238</v>
      </c>
      <c r="AV178" s="438">
        <f t="shared" si="175"/>
        <v>14.077055072000022</v>
      </c>
      <c r="AW178" s="438">
        <f t="shared" si="175"/>
        <v>-15.062117028611659</v>
      </c>
      <c r="AX178" s="438">
        <f t="shared" si="175"/>
        <v>-68.503999999999991</v>
      </c>
      <c r="AY178" s="438">
        <f t="shared" si="175"/>
        <v>-96.025999999999996</v>
      </c>
      <c r="AZ178" s="438">
        <f t="shared" si="175"/>
        <v>-209.58287500000003</v>
      </c>
      <c r="BA178" s="438">
        <f t="shared" si="175"/>
        <v>-97.146000000000029</v>
      </c>
      <c r="BB178" s="438">
        <f t="shared" si="175"/>
        <v>-328.28100000000012</v>
      </c>
      <c r="BC178" s="438">
        <f t="shared" ca="1" si="175"/>
        <v>-182.09708636840534</v>
      </c>
      <c r="BD178" s="438">
        <f t="shared" ca="1" si="175"/>
        <v>-150.95884970493665</v>
      </c>
      <c r="BE178" s="438">
        <f t="shared" ca="1" si="175"/>
        <v>-128.81032717823325</v>
      </c>
      <c r="BF178" s="438">
        <f t="shared" ca="1" si="175"/>
        <v>-158.8398398412146</v>
      </c>
      <c r="BG178" s="438">
        <f t="shared" ca="1" si="175"/>
        <v>-185.8997679209856</v>
      </c>
      <c r="BH178" s="438">
        <f t="shared" ca="1" si="175"/>
        <v>-204.17514305828723</v>
      </c>
      <c r="BI178" s="438">
        <f t="shared" ca="1" si="175"/>
        <v>-225.33209663102269</v>
      </c>
      <c r="BJ178" s="438">
        <f t="shared" ca="1" si="175"/>
        <v>-244.68522317440863</v>
      </c>
      <c r="BK178" s="438">
        <f t="shared" ca="1" si="175"/>
        <v>-272.92051220221452</v>
      </c>
      <c r="BL178" s="438">
        <f t="shared" ca="1" si="175"/>
        <v>-303.06855202626997</v>
      </c>
      <c r="BM178" s="438">
        <f t="shared" ca="1" si="175"/>
        <v>-335.66854612384083</v>
      </c>
      <c r="BN178" s="438">
        <f t="shared" ca="1" si="175"/>
        <v>-372.48515353957788</v>
      </c>
      <c r="BO178" s="438">
        <f t="shared" ca="1" si="175"/>
        <v>-414.97879985721596</v>
      </c>
      <c r="BP178" s="440"/>
      <c r="BQ178" s="448">
        <f t="shared" ca="1" si="164"/>
        <v>0</v>
      </c>
      <c r="BR178" s="448">
        <f t="shared" ca="1" si="164"/>
        <v>0</v>
      </c>
      <c r="BS178" s="448">
        <f t="shared" ca="1" si="164"/>
        <v>2.2737367544323206E-13</v>
      </c>
      <c r="BT178" s="448">
        <f t="shared" ca="1" si="164"/>
        <v>3.1263880373444408E-12</v>
      </c>
      <c r="BU178" s="448">
        <f t="shared" ca="1" si="164"/>
        <v>3.3708147384459153E-11</v>
      </c>
      <c r="BV178" s="448">
        <f t="shared" ca="1" si="164"/>
        <v>3.1764102459419519E-10</v>
      </c>
      <c r="BW178" s="448">
        <f t="shared" ca="1" si="164"/>
        <v>2.3920847525005229E-9</v>
      </c>
      <c r="BX178" s="448">
        <f t="shared" ca="1" si="164"/>
        <v>1.466293042540201E-8</v>
      </c>
      <c r="BY178" s="448">
        <f t="shared" ca="1" si="164"/>
        <v>7.5180651037953794E-8</v>
      </c>
      <c r="BZ178" s="448">
        <f t="shared" ca="1" si="164"/>
        <v>3.3022195111698238E-7</v>
      </c>
      <c r="CA178" s="448">
        <f t="shared" ca="1" si="164"/>
        <v>1.2672461480178754E-6</v>
      </c>
      <c r="CB178" s="448">
        <f t="shared" ca="1" si="164"/>
        <v>4.3353229557396844E-6</v>
      </c>
      <c r="CD178" s="439">
        <v>-150.95884970493665</v>
      </c>
      <c r="CE178" s="439">
        <v>-128.81032717823325</v>
      </c>
      <c r="CF178" s="439">
        <v>-158.83983984121483</v>
      </c>
      <c r="CG178" s="439">
        <v>-185.89976792098872</v>
      </c>
      <c r="CH178" s="439">
        <v>-204.17514305832094</v>
      </c>
      <c r="CI178" s="439">
        <v>-225.33209663134033</v>
      </c>
      <c r="CJ178" s="439">
        <v>-244.68522317680072</v>
      </c>
      <c r="CK178" s="439">
        <v>-272.92051221687746</v>
      </c>
      <c r="CL178" s="439">
        <v>-303.06855210145062</v>
      </c>
      <c r="CM178" s="439">
        <v>-335.66854645406278</v>
      </c>
      <c r="CN178" s="439">
        <v>-372.48515480682403</v>
      </c>
      <c r="CO178" s="439">
        <v>-414.97880419253892</v>
      </c>
    </row>
    <row r="179" spans="1:93">
      <c r="A179" s="447" t="s">
        <v>2822</v>
      </c>
      <c r="B179" s="447"/>
      <c r="C179" s="442" t="s">
        <v>2806</v>
      </c>
      <c r="D179" s="447"/>
      <c r="E179" s="436" t="s">
        <v>2823</v>
      </c>
      <c r="F179" s="456" t="s">
        <v>1344</v>
      </c>
      <c r="G179" s="456">
        <f t="shared" ref="G179:BO179" si="176">G67+G68+G19+G20+G21+G22+G44-G25-G26-G27-G28-G29-G30-G58</f>
        <v>1.4000000000000006E-3</v>
      </c>
      <c r="H179" s="456">
        <f t="shared" si="176"/>
        <v>-1.6493360102176622E-3</v>
      </c>
      <c r="I179" s="456">
        <f t="shared" si="176"/>
        <v>6.4066731929778953E-4</v>
      </c>
      <c r="J179" s="456">
        <f t="shared" si="176"/>
        <v>-9.1200846433639612E-4</v>
      </c>
      <c r="K179" s="456">
        <f t="shared" si="176"/>
        <v>4.7340949177741938E-3</v>
      </c>
      <c r="L179" s="456">
        <f t="shared" si="176"/>
        <v>-1.1832148194313042E-2</v>
      </c>
      <c r="M179" s="456">
        <f t="shared" si="176"/>
        <v>-6.8927295804023748E-3</v>
      </c>
      <c r="N179" s="456">
        <f t="shared" si="176"/>
        <v>-2.0275337696075372E-3</v>
      </c>
      <c r="O179" s="456">
        <f t="shared" si="176"/>
        <v>3.1239596307277894E-3</v>
      </c>
      <c r="P179" s="456">
        <f t="shared" si="176"/>
        <v>-5.5793334841728343E-3</v>
      </c>
      <c r="Q179" s="456">
        <f t="shared" si="176"/>
        <v>-8.5339971780776999E-3</v>
      </c>
      <c r="R179" s="456">
        <f t="shared" si="176"/>
        <v>-5.5120012760162453E-3</v>
      </c>
      <c r="S179" s="456">
        <f t="shared" si="176"/>
        <v>-1.383399713039396E-2</v>
      </c>
      <c r="T179" s="456">
        <f t="shared" si="176"/>
        <v>-6.175008714199094E-3</v>
      </c>
      <c r="U179" s="456">
        <f t="shared" si="176"/>
        <v>-1.3140980541706111E-2</v>
      </c>
      <c r="V179" s="456">
        <f t="shared" si="176"/>
        <v>-3.710999131202763E-3</v>
      </c>
      <c r="W179" s="456">
        <f t="shared" si="176"/>
        <v>-1.9649984776973686E-2</v>
      </c>
      <c r="X179" s="456">
        <f t="shared" si="176"/>
        <v>8.1999992355704134E-3</v>
      </c>
      <c r="Y179" s="456">
        <f t="shared" si="176"/>
        <v>1.8099989794194658E-2</v>
      </c>
      <c r="Z179" s="456">
        <f t="shared" si="176"/>
        <v>9.1000199317932788E-3</v>
      </c>
      <c r="AA179" s="456">
        <f t="shared" si="176"/>
        <v>7.5100037455558724E-2</v>
      </c>
      <c r="AB179" s="456">
        <f t="shared" si="176"/>
        <v>1.7800001934170872E-2</v>
      </c>
      <c r="AC179" s="456">
        <f t="shared" si="176"/>
        <v>-9.959995895624163E-2</v>
      </c>
      <c r="AD179" s="456">
        <f t="shared" si="176"/>
        <v>-1.6300001382827702E-2</v>
      </c>
      <c r="AE179" s="456">
        <f t="shared" si="176"/>
        <v>3.7499980807304413E-2</v>
      </c>
      <c r="AF179" s="456">
        <f t="shared" si="176"/>
        <v>3.9199950933456434E-2</v>
      </c>
      <c r="AG179" s="456">
        <f t="shared" si="176"/>
        <v>2.1100005984306038E-2</v>
      </c>
      <c r="AH179" s="456">
        <f t="shared" si="176"/>
        <v>-6.6899951279163622E-2</v>
      </c>
      <c r="AI179" s="456">
        <f t="shared" si="176"/>
        <v>-0.26479999387264264</v>
      </c>
      <c r="AJ179" s="456">
        <f t="shared" si="176"/>
        <v>-0.12432503652572627</v>
      </c>
      <c r="AK179" s="456">
        <f t="shared" si="176"/>
        <v>-1.3700987339019798E-2</v>
      </c>
      <c r="AL179" s="456">
        <f t="shared" si="176"/>
        <v>-0.10957797624915851</v>
      </c>
      <c r="AM179" s="456">
        <f t="shared" si="176"/>
        <v>4.5200036741793126E-2</v>
      </c>
      <c r="AN179" s="456">
        <f t="shared" si="176"/>
        <v>8.9350033141672794E-2</v>
      </c>
      <c r="AO179" s="456">
        <f t="shared" si="176"/>
        <v>-0.24891999602317802</v>
      </c>
      <c r="AP179" s="456">
        <f t="shared" si="176"/>
        <v>1.0200000000000171E-2</v>
      </c>
      <c r="AQ179" s="456">
        <f t="shared" si="176"/>
        <v>-7.8499999999999681E-2</v>
      </c>
      <c r="AR179" s="456">
        <f t="shared" si="176"/>
        <v>-8.599999999999549E-3</v>
      </c>
      <c r="AS179" s="456">
        <f t="shared" si="176"/>
        <v>2.7425000000000015</v>
      </c>
      <c r="AT179" s="456">
        <f t="shared" si="176"/>
        <v>13.623299999999981</v>
      </c>
      <c r="AU179" s="456">
        <f t="shared" si="176"/>
        <v>45.019899999999978</v>
      </c>
      <c r="AV179" s="456">
        <f t="shared" si="176"/>
        <v>2.9858999999999742</v>
      </c>
      <c r="AW179" s="456">
        <f t="shared" si="176"/>
        <v>-10.452681851598012</v>
      </c>
      <c r="AX179" s="456">
        <f t="shared" si="176"/>
        <v>-48.118399999999987</v>
      </c>
      <c r="AY179" s="456">
        <f t="shared" si="176"/>
        <v>47.211278778054833</v>
      </c>
      <c r="AZ179" s="456">
        <f t="shared" si="176"/>
        <v>-108.1844684219095</v>
      </c>
      <c r="BA179" s="456">
        <f t="shared" si="176"/>
        <v>108.69157026313815</v>
      </c>
      <c r="BB179" s="456">
        <f t="shared" si="176"/>
        <v>-426.33649752696817</v>
      </c>
      <c r="BC179" s="456">
        <f t="shared" ca="1" si="176"/>
        <v>-500.04199660203926</v>
      </c>
      <c r="BD179" s="456">
        <f t="shared" ca="1" si="176"/>
        <v>-456.21390424977199</v>
      </c>
      <c r="BE179" s="456">
        <f t="shared" ca="1" si="176"/>
        <v>-600.6205294765723</v>
      </c>
      <c r="BF179" s="456">
        <f t="shared" ca="1" si="176"/>
        <v>-678.4635532043477</v>
      </c>
      <c r="BG179" s="456">
        <f t="shared" ca="1" si="176"/>
        <v>-747.13399419453594</v>
      </c>
      <c r="BH179" s="456">
        <f t="shared" ca="1" si="176"/>
        <v>-811.09171212766137</v>
      </c>
      <c r="BI179" s="456">
        <f t="shared" ca="1" si="176"/>
        <v>-872.62233055299282</v>
      </c>
      <c r="BJ179" s="456">
        <f t="shared" ca="1" si="176"/>
        <v>-934.44611154264817</v>
      </c>
      <c r="BK179" s="456">
        <f t="shared" ca="1" si="176"/>
        <v>-1002.774307298183</v>
      </c>
      <c r="BL179" s="456">
        <f t="shared" ca="1" si="176"/>
        <v>-1079.1335801257351</v>
      </c>
      <c r="BM179" s="456">
        <f t="shared" ca="1" si="176"/>
        <v>-1161.9801823852144</v>
      </c>
      <c r="BN179" s="456">
        <f t="shared" ca="1" si="176"/>
        <v>-1251.8815493643947</v>
      </c>
      <c r="BO179" s="456">
        <f t="shared" ca="1" si="176"/>
        <v>-1355.7112878813139</v>
      </c>
      <c r="BP179" s="457"/>
      <c r="BQ179" s="448">
        <f t="shared" ca="1" si="164"/>
        <v>0</v>
      </c>
      <c r="BR179" s="448">
        <f t="shared" ca="1" si="164"/>
        <v>0</v>
      </c>
      <c r="BS179" s="448">
        <f t="shared" ca="1" si="164"/>
        <v>0</v>
      </c>
      <c r="BT179" s="448">
        <f t="shared" ca="1" si="164"/>
        <v>1.602984411874786E-11</v>
      </c>
      <c r="BU179" s="448">
        <f t="shared" ca="1" si="164"/>
        <v>1.7178081179736182E-10</v>
      </c>
      <c r="BV179" s="448">
        <f t="shared" ca="1" si="164"/>
        <v>1.47804257721873E-9</v>
      </c>
      <c r="BW179" s="448">
        <f t="shared" ca="1" si="164"/>
        <v>1.001990312943235E-8</v>
      </c>
      <c r="BX179" s="448">
        <f t="shared" ca="1" si="164"/>
        <v>5.5684949984424748E-8</v>
      </c>
      <c r="BY179" s="448">
        <f t="shared" ca="1" si="164"/>
        <v>2.6139605324715376E-7</v>
      </c>
      <c r="BZ179" s="448">
        <f t="shared" ca="1" si="164"/>
        <v>1.0632807061483618E-6</v>
      </c>
      <c r="CA179" s="448">
        <f t="shared" ca="1" si="164"/>
        <v>3.814010369751486E-6</v>
      </c>
      <c r="CB179" s="448">
        <f t="shared" ca="1" si="164"/>
        <v>1.2267904594409629E-5</v>
      </c>
      <c r="CD179" s="439">
        <v>-456.21390424977199</v>
      </c>
      <c r="CE179" s="439">
        <v>-600.6205294765723</v>
      </c>
      <c r="CF179" s="439">
        <v>-678.46355320434827</v>
      </c>
      <c r="CG179" s="439">
        <v>-747.13399419455197</v>
      </c>
      <c r="CH179" s="439">
        <v>-811.09171212783315</v>
      </c>
      <c r="CI179" s="439">
        <v>-872.62233055447086</v>
      </c>
      <c r="CJ179" s="439">
        <v>-934.44611155266807</v>
      </c>
      <c r="CK179" s="439">
        <v>-1002.7743073538679</v>
      </c>
      <c r="CL179" s="439">
        <v>-1079.1335803871311</v>
      </c>
      <c r="CM179" s="439">
        <v>-1161.9801834484952</v>
      </c>
      <c r="CN179" s="439">
        <v>-1251.8815531784051</v>
      </c>
      <c r="CO179" s="439">
        <v>-1355.7113001492185</v>
      </c>
    </row>
    <row r="180" spans="1:93">
      <c r="A180" s="460" t="s">
        <v>2824</v>
      </c>
      <c r="B180" s="460"/>
      <c r="C180" s="442"/>
      <c r="D180" s="447"/>
      <c r="E180" s="436"/>
      <c r="AU180" s="438"/>
      <c r="AV180" s="438"/>
      <c r="AW180" s="438"/>
      <c r="AX180" s="438"/>
      <c r="AY180" s="438"/>
      <c r="AZ180" s="438"/>
      <c r="BE180" s="438"/>
      <c r="BF180" s="438"/>
      <c r="BG180" s="438"/>
      <c r="BH180" s="438"/>
      <c r="BI180" s="438"/>
      <c r="BJ180" s="438"/>
      <c r="BK180" s="438"/>
      <c r="BL180" s="438"/>
      <c r="BM180" s="438"/>
      <c r="BN180" s="438"/>
      <c r="BO180" s="438"/>
    </row>
    <row r="181" spans="1:93">
      <c r="A181" s="436" t="s">
        <v>2825</v>
      </c>
      <c r="B181" s="436"/>
      <c r="C181" s="442" t="s">
        <v>1349</v>
      </c>
      <c r="D181" s="447"/>
      <c r="E181" s="436" t="s">
        <v>2826</v>
      </c>
      <c r="F181" s="477" t="s">
        <v>1344</v>
      </c>
      <c r="G181" s="477">
        <f t="shared" ref="G181:AY181" si="177">(G172/F172-1)*100</f>
        <v>2.7350427350427253</v>
      </c>
      <c r="H181" s="477">
        <f t="shared" si="177"/>
        <v>12.927397687238141</v>
      </c>
      <c r="I181" s="477">
        <f t="shared" si="177"/>
        <v>15.782058944986343</v>
      </c>
      <c r="J181" s="477">
        <f t="shared" si="177"/>
        <v>3.4492097022707835</v>
      </c>
      <c r="K181" s="477">
        <f t="shared" si="177"/>
        <v>14.251180094522443</v>
      </c>
      <c r="L181" s="477">
        <f t="shared" si="177"/>
        <v>11.514978577827906</v>
      </c>
      <c r="M181" s="477">
        <f t="shared" si="177"/>
        <v>3.1487007182114723</v>
      </c>
      <c r="N181" s="477">
        <f t="shared" si="177"/>
        <v>4.3360170307446655</v>
      </c>
      <c r="O181" s="477">
        <f t="shared" si="177"/>
        <v>7.2832158563545413</v>
      </c>
      <c r="P181" s="477">
        <f t="shared" si="177"/>
        <v>19.081092686738366</v>
      </c>
      <c r="Q181" s="477">
        <f t="shared" si="177"/>
        <v>14.722657544799333</v>
      </c>
      <c r="R181" s="477">
        <f t="shared" si="177"/>
        <v>15.41823802977882</v>
      </c>
      <c r="S181" s="477">
        <f t="shared" si="177"/>
        <v>14.68260382533526</v>
      </c>
      <c r="T181" s="477">
        <f t="shared" si="177"/>
        <v>6.0736940688229879</v>
      </c>
      <c r="U181" s="477">
        <f t="shared" si="177"/>
        <v>6.4926800159188058</v>
      </c>
      <c r="V181" s="477">
        <f t="shared" si="177"/>
        <v>5.9783463998116293</v>
      </c>
      <c r="W181" s="477">
        <f t="shared" si="177"/>
        <v>9.1200144680028359</v>
      </c>
      <c r="X181" s="477">
        <f t="shared" si="177"/>
        <v>6.7571248501414161</v>
      </c>
      <c r="Y181" s="477">
        <f t="shared" si="177"/>
        <v>8.9643672940531225</v>
      </c>
      <c r="Z181" s="477">
        <f t="shared" si="177"/>
        <v>32.932734849977365</v>
      </c>
      <c r="AA181" s="477">
        <f t="shared" si="177"/>
        <v>18.10254347368554</v>
      </c>
      <c r="AB181" s="477">
        <f t="shared" si="177"/>
        <v>6.7075911846596448</v>
      </c>
      <c r="AC181" s="477">
        <f t="shared" si="177"/>
        <v>29.849944321800457</v>
      </c>
      <c r="AD181" s="477">
        <f t="shared" si="177"/>
        <v>10.131415161606894</v>
      </c>
      <c r="AE181" s="477">
        <f t="shared" si="177"/>
        <v>5.5274218017937748</v>
      </c>
      <c r="AF181" s="477">
        <f t="shared" si="177"/>
        <v>12.612047058919273</v>
      </c>
      <c r="AG181" s="477">
        <f t="shared" si="177"/>
        <v>8.798022454867894</v>
      </c>
      <c r="AH181" s="477">
        <f t="shared" si="177"/>
        <v>-1.2446994838544168E-2</v>
      </c>
      <c r="AI181" s="477">
        <f t="shared" si="177"/>
        <v>-8.2287393037699825</v>
      </c>
      <c r="AJ181" s="477">
        <f t="shared" si="177"/>
        <v>-5.3632415514653475</v>
      </c>
      <c r="AK181" s="477">
        <f t="shared" si="177"/>
        <v>-4.4056724657223771</v>
      </c>
      <c r="AL181" s="477">
        <f t="shared" si="177"/>
        <v>5.1918117367446559</v>
      </c>
      <c r="AM181" s="477">
        <f t="shared" si="177"/>
        <v>17.182224971320114</v>
      </c>
      <c r="AN181" s="477">
        <f t="shared" si="177"/>
        <v>20.641701146500413</v>
      </c>
      <c r="AO181" s="477">
        <f t="shared" si="177"/>
        <v>29.981829281437822</v>
      </c>
      <c r="AP181" s="477">
        <f t="shared" si="177"/>
        <v>29.503428841252031</v>
      </c>
      <c r="AQ181" s="477">
        <f t="shared" si="177"/>
        <v>29.578654562933892</v>
      </c>
      <c r="AR181" s="477">
        <f t="shared" si="177"/>
        <v>32.381694875674462</v>
      </c>
      <c r="AS181" s="477">
        <f t="shared" si="177"/>
        <v>195.21387089928029</v>
      </c>
      <c r="AT181" s="477">
        <f t="shared" si="177"/>
        <v>334.94071517734415</v>
      </c>
      <c r="AU181" s="456">
        <f t="shared" si="177"/>
        <v>252.40338528844828</v>
      </c>
      <c r="AV181" s="456">
        <f t="shared" si="177"/>
        <v>18.460217583296611</v>
      </c>
      <c r="AW181" s="456">
        <f t="shared" si="177"/>
        <v>5.5294844419082834</v>
      </c>
      <c r="AX181" s="456">
        <f t="shared" si="177"/>
        <v>13.342365916722843</v>
      </c>
      <c r="AY181" s="456">
        <f t="shared" si="177"/>
        <v>72.166572061305502</v>
      </c>
      <c r="AZ181" s="456">
        <f>(AZ172/AY172-1)*100</f>
        <v>51.311060998510392</v>
      </c>
      <c r="BA181" s="456">
        <f>(BA172/AZ172-1)*100</f>
        <v>52.323651612058519</v>
      </c>
      <c r="BB181" s="456">
        <f>(BB172/BA172-1)*100</f>
        <v>36.340370686159076</v>
      </c>
      <c r="BC181" s="456">
        <f t="shared" ref="BC181:BO181" ca="1" si="178">(BC172/BB172-1)*100</f>
        <v>37.481471624021708</v>
      </c>
      <c r="BD181" s="456">
        <f t="shared" ca="1" si="178"/>
        <v>26.568686308827694</v>
      </c>
      <c r="BE181" s="456">
        <f t="shared" ca="1" si="178"/>
        <v>10.075481073534709</v>
      </c>
      <c r="BF181" s="456">
        <f t="shared" ca="1" si="178"/>
        <v>6.9689514803731978</v>
      </c>
      <c r="BG181" s="456">
        <f t="shared" ca="1" si="178"/>
        <v>6.2811461210968034</v>
      </c>
      <c r="BH181" s="456">
        <f t="shared" ca="1" si="178"/>
        <v>5.6366231828884672</v>
      </c>
      <c r="BI181" s="456">
        <f t="shared" ca="1" si="178"/>
        <v>5.3216051561132627</v>
      </c>
      <c r="BJ181" s="456">
        <f t="shared" ca="1" si="178"/>
        <v>5.0908228737726269</v>
      </c>
      <c r="BK181" s="456">
        <f t="shared" ca="1" si="178"/>
        <v>5.1254910102237705</v>
      </c>
      <c r="BL181" s="456">
        <f t="shared" ca="1" si="178"/>
        <v>5.1125733601135259</v>
      </c>
      <c r="BM181" s="456">
        <f t="shared" ca="1" si="178"/>
        <v>5.0586231298051398</v>
      </c>
      <c r="BN181" s="456">
        <f t="shared" ca="1" si="178"/>
        <v>5.0340353834325891</v>
      </c>
      <c r="BO181" s="456">
        <f t="shared" ca="1" si="178"/>
        <v>4.9735670658415776</v>
      </c>
      <c r="BP181" s="457"/>
      <c r="BQ181" s="448">
        <f t="shared" ref="BQ181:CB182" ca="1" si="179">+BD181-CD181</f>
        <v>0</v>
      </c>
      <c r="BR181" s="448">
        <f t="shared" ca="1" si="179"/>
        <v>0</v>
      </c>
      <c r="BS181" s="448">
        <f t="shared" ca="1" si="179"/>
        <v>4.4408920985006262E-14</v>
      </c>
      <c r="BT181" s="448">
        <f t="shared" ca="1" si="179"/>
        <v>6.2172489379008766E-13</v>
      </c>
      <c r="BU181" s="448">
        <f t="shared" ca="1" si="179"/>
        <v>6.1284310959308641E-12</v>
      </c>
      <c r="BV181" s="448">
        <f t="shared" ca="1" si="179"/>
        <v>4.8738790781044372E-11</v>
      </c>
      <c r="BW181" s="448">
        <f t="shared" ca="1" si="179"/>
        <v>3.0435653997074041E-10</v>
      </c>
      <c r="BX181" s="448">
        <f t="shared" ca="1" si="179"/>
        <v>1.5547119147640842E-9</v>
      </c>
      <c r="BY181" s="448">
        <f t="shared" ca="1" si="179"/>
        <v>6.6747052329674261E-9</v>
      </c>
      <c r="BZ181" s="448">
        <f t="shared" ca="1" si="179"/>
        <v>2.4720536728750631E-8</v>
      </c>
      <c r="CA181" s="448">
        <f t="shared" ca="1" si="179"/>
        <v>8.0449957806649763E-8</v>
      </c>
      <c r="CB181" s="448">
        <f t="shared" ca="1" si="179"/>
        <v>2.360484696595222E-7</v>
      </c>
      <c r="CD181" s="439">
        <v>26.568686308827694</v>
      </c>
      <c r="CE181" s="439">
        <v>10.075481073534709</v>
      </c>
      <c r="CF181" s="439">
        <v>6.9689514803731534</v>
      </c>
      <c r="CG181" s="439">
        <v>6.2811461210961816</v>
      </c>
      <c r="CH181" s="439">
        <v>5.6366231828823388</v>
      </c>
      <c r="CI181" s="439">
        <v>5.3216051560645239</v>
      </c>
      <c r="CJ181" s="439">
        <v>5.0908228734682703</v>
      </c>
      <c r="CK181" s="439">
        <v>5.1254910086690586</v>
      </c>
      <c r="CL181" s="439">
        <v>5.1125733534388207</v>
      </c>
      <c r="CM181" s="439">
        <v>5.0586231050846031</v>
      </c>
      <c r="CN181" s="439">
        <v>5.0340353029826312</v>
      </c>
      <c r="CO181" s="439">
        <v>4.9735668297931079</v>
      </c>
    </row>
    <row r="182" spans="1:93">
      <c r="A182" s="436" t="s">
        <v>26</v>
      </c>
      <c r="B182" s="436"/>
      <c r="C182" s="442" t="s">
        <v>1349</v>
      </c>
      <c r="D182" s="447"/>
      <c r="E182" s="436" t="s">
        <v>27</v>
      </c>
      <c r="F182" s="477" t="s">
        <v>1344</v>
      </c>
      <c r="G182" s="477">
        <f t="shared" ref="G182:BO182" si="180">(F172*G181-F53*(G53/F53-1)*100-F19*(G106/F106-1)*100)/F174</f>
        <v>8.4747322382285688</v>
      </c>
      <c r="H182" s="477">
        <f t="shared" si="180"/>
        <v>11.523927991561479</v>
      </c>
      <c r="I182" s="477">
        <f t="shared" si="180"/>
        <v>16.101852817957571</v>
      </c>
      <c r="J182" s="477">
        <f t="shared" si="180"/>
        <v>9.163364649205306</v>
      </c>
      <c r="K182" s="477">
        <f t="shared" si="180"/>
        <v>10.002969919615678</v>
      </c>
      <c r="L182" s="477">
        <f t="shared" si="180"/>
        <v>12.740640397740799</v>
      </c>
      <c r="M182" s="477">
        <f t="shared" si="180"/>
        <v>2.520748827727564</v>
      </c>
      <c r="N182" s="477">
        <f t="shared" si="180"/>
        <v>4.7195675788589559</v>
      </c>
      <c r="O182" s="477">
        <f t="shared" si="180"/>
        <v>7.5679904118089141</v>
      </c>
      <c r="P182" s="477">
        <f t="shared" si="180"/>
        <v>26.395103314921776</v>
      </c>
      <c r="Q182" s="477">
        <f t="shared" si="180"/>
        <v>12.192418855454552</v>
      </c>
      <c r="R182" s="477">
        <f t="shared" si="180"/>
        <v>-1.5911091577673471</v>
      </c>
      <c r="S182" s="477">
        <f t="shared" si="180"/>
        <v>14.694020477075354</v>
      </c>
      <c r="T182" s="477">
        <f t="shared" si="180"/>
        <v>2.9513497336174241</v>
      </c>
      <c r="U182" s="477">
        <f t="shared" si="180"/>
        <v>1.2210773314742922</v>
      </c>
      <c r="V182" s="477">
        <f t="shared" si="180"/>
        <v>6.4214085183684251</v>
      </c>
      <c r="W182" s="477">
        <f t="shared" si="180"/>
        <v>5.6111183424399069</v>
      </c>
      <c r="X182" s="477">
        <f t="shared" si="180"/>
        <v>6.4707541678266356</v>
      </c>
      <c r="Y182" s="477">
        <f t="shared" si="180"/>
        <v>13.291379335800046</v>
      </c>
      <c r="Z182" s="477">
        <f t="shared" si="180"/>
        <v>32.13906636954956</v>
      </c>
      <c r="AA182" s="477">
        <f t="shared" si="180"/>
        <v>32.823261401095323</v>
      </c>
      <c r="AB182" s="477">
        <f t="shared" si="180"/>
        <v>-0.35816082456372106</v>
      </c>
      <c r="AC182" s="477">
        <f t="shared" si="180"/>
        <v>39.850417773331145</v>
      </c>
      <c r="AD182" s="477">
        <f t="shared" si="180"/>
        <v>7.7264178682966129</v>
      </c>
      <c r="AE182" s="477">
        <f t="shared" si="180"/>
        <v>0.9874858666523012</v>
      </c>
      <c r="AF182" s="477">
        <f t="shared" si="180"/>
        <v>10.206388625190346</v>
      </c>
      <c r="AG182" s="477">
        <f t="shared" si="180"/>
        <v>18.425078216845698</v>
      </c>
      <c r="AH182" s="477">
        <f t="shared" si="180"/>
        <v>1.2707273282831715</v>
      </c>
      <c r="AI182" s="477">
        <f t="shared" si="180"/>
        <v>-6.6751456017921669</v>
      </c>
      <c r="AJ182" s="477">
        <f t="shared" si="180"/>
        <v>-9.5596401458594595</v>
      </c>
      <c r="AK182" s="477">
        <f t="shared" si="180"/>
        <v>-2.9391871512211085</v>
      </c>
      <c r="AL182" s="477">
        <f t="shared" si="180"/>
        <v>6.8571115309419719</v>
      </c>
      <c r="AM182" s="477">
        <f t="shared" si="180"/>
        <v>27.937320484465129</v>
      </c>
      <c r="AN182" s="477">
        <f t="shared" si="180"/>
        <v>18.683307893292149</v>
      </c>
      <c r="AO182" s="477">
        <f t="shared" si="180"/>
        <v>33.439266137186237</v>
      </c>
      <c r="AP182" s="477">
        <f t="shared" si="180"/>
        <v>48.359269383746359</v>
      </c>
      <c r="AQ182" s="477">
        <f t="shared" si="180"/>
        <v>39.044823498865604</v>
      </c>
      <c r="AR182" s="477">
        <f t="shared" si="180"/>
        <v>35.519412220572214</v>
      </c>
      <c r="AS182" s="477">
        <f t="shared" si="180"/>
        <v>210.26992311035625</v>
      </c>
      <c r="AT182" s="477">
        <f t="shared" si="180"/>
        <v>-1842.2055872376541</v>
      </c>
      <c r="AU182" s="456">
        <f t="shared" si="180"/>
        <v>267.68005975919596</v>
      </c>
      <c r="AV182" s="456">
        <f t="shared" si="180"/>
        <v>36.787595898195718</v>
      </c>
      <c r="AW182" s="456">
        <f t="shared" si="180"/>
        <v>5.475070405781068</v>
      </c>
      <c r="AX182" s="456">
        <f t="shared" si="180"/>
        <v>7.2455632598219637</v>
      </c>
      <c r="AY182" s="456">
        <f t="shared" si="180"/>
        <v>69.768209686399459</v>
      </c>
      <c r="AZ182" s="456">
        <f t="shared" si="180"/>
        <v>50.992957095677674</v>
      </c>
      <c r="BA182" s="456">
        <f t="shared" si="180"/>
        <v>57.290354400570003</v>
      </c>
      <c r="BB182" s="456">
        <f t="shared" si="180"/>
        <v>43.283818294938534</v>
      </c>
      <c r="BC182" s="456">
        <f t="shared" ca="1" si="180"/>
        <v>40.879880759433568</v>
      </c>
      <c r="BD182" s="456">
        <f t="shared" ca="1" si="180"/>
        <v>19.482388228225133</v>
      </c>
      <c r="BE182" s="456">
        <f t="shared" ca="1" si="180"/>
        <v>10.541560943524102</v>
      </c>
      <c r="BF182" s="456">
        <f t="shared" ca="1" si="180"/>
        <v>7.803007947286674</v>
      </c>
      <c r="BG182" s="456">
        <f t="shared" ca="1" si="180"/>
        <v>6.8384332094383664</v>
      </c>
      <c r="BH182" s="456">
        <f t="shared" ca="1" si="180"/>
        <v>5.8687138630311786</v>
      </c>
      <c r="BI182" s="456">
        <f t="shared" ca="1" si="180"/>
        <v>5.4033472100160802</v>
      </c>
      <c r="BJ182" s="456">
        <f t="shared" ca="1" si="180"/>
        <v>5.0541826904482585</v>
      </c>
      <c r="BK182" s="456">
        <f t="shared" ca="1" si="180"/>
        <v>5.1215469633322988</v>
      </c>
      <c r="BL182" s="456">
        <f t="shared" ca="1" si="180"/>
        <v>5.1042484423483261</v>
      </c>
      <c r="BM182" s="456">
        <f t="shared" ca="1" si="180"/>
        <v>5.0192868249887352</v>
      </c>
      <c r="BN182" s="456">
        <f t="shared" ca="1" si="180"/>
        <v>4.9810486917081374</v>
      </c>
      <c r="BO182" s="456">
        <f t="shared" ca="1" si="180"/>
        <v>4.8843386129114288</v>
      </c>
      <c r="BP182" s="457"/>
      <c r="BQ182" s="448">
        <f t="shared" ca="1" si="179"/>
        <v>0</v>
      </c>
      <c r="BR182" s="448">
        <f t="shared" ca="1" si="179"/>
        <v>0</v>
      </c>
      <c r="BS182" s="448">
        <f t="shared" ca="1" si="179"/>
        <v>7.1942451995710144E-14</v>
      </c>
      <c r="BT182" s="448">
        <f t="shared" ca="1" si="179"/>
        <v>9.3702823278363212E-13</v>
      </c>
      <c r="BU182" s="448">
        <f t="shared" ca="1" si="179"/>
        <v>9.1526786150097905E-12</v>
      </c>
      <c r="BV182" s="448">
        <f t="shared" ca="1" si="179"/>
        <v>7.2574835030536633E-11</v>
      </c>
      <c r="BW182" s="448">
        <f t="shared" ca="1" si="179"/>
        <v>4.5234127554749648E-10</v>
      </c>
      <c r="BX182" s="448">
        <f t="shared" ca="1" si="179"/>
        <v>2.3085249267751351E-9</v>
      </c>
      <c r="BY182" s="448">
        <f t="shared" ca="1" si="179"/>
        <v>9.8999040076819256E-9</v>
      </c>
      <c r="BZ182" s="448">
        <f t="shared" ca="1" si="179"/>
        <v>3.6631250921459468E-8</v>
      </c>
      <c r="CA182" s="448">
        <f t="shared" ca="1" si="179"/>
        <v>1.191358078855842E-7</v>
      </c>
      <c r="CB182" s="448">
        <f t="shared" ca="1" si="179"/>
        <v>3.4952486416273132E-7</v>
      </c>
      <c r="CD182" s="439">
        <v>19.482388228225133</v>
      </c>
      <c r="CE182" s="439">
        <v>10.541560943524102</v>
      </c>
      <c r="CF182" s="439">
        <v>7.8030079472866021</v>
      </c>
      <c r="CG182" s="439">
        <v>6.8384332094374294</v>
      </c>
      <c r="CH182" s="439">
        <v>5.8687138630220259</v>
      </c>
      <c r="CI182" s="439">
        <v>5.4033472099435054</v>
      </c>
      <c r="CJ182" s="439">
        <v>5.0541826899959172</v>
      </c>
      <c r="CK182" s="439">
        <v>5.1215469610237738</v>
      </c>
      <c r="CL182" s="439">
        <v>5.1042484324484221</v>
      </c>
      <c r="CM182" s="439">
        <v>5.0192867883574843</v>
      </c>
      <c r="CN182" s="439">
        <v>4.9810485725723295</v>
      </c>
      <c r="CO182" s="439">
        <v>4.8843382633865646</v>
      </c>
    </row>
    <row r="183" spans="1:93">
      <c r="A183" s="436"/>
      <c r="B183" s="436"/>
      <c r="C183" s="442"/>
      <c r="D183" s="447"/>
      <c r="E183" s="436"/>
      <c r="F183" s="477"/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77"/>
      <c r="R183" s="477"/>
      <c r="S183" s="477"/>
      <c r="T183" s="477"/>
      <c r="U183" s="477"/>
      <c r="V183" s="477"/>
      <c r="W183" s="477"/>
      <c r="X183" s="477"/>
      <c r="Y183" s="477"/>
      <c r="Z183" s="477"/>
      <c r="AA183" s="477"/>
      <c r="AB183" s="477"/>
      <c r="AC183" s="477"/>
      <c r="AD183" s="477"/>
      <c r="AE183" s="477"/>
      <c r="AF183" s="477"/>
      <c r="AG183" s="477"/>
      <c r="AH183" s="477"/>
      <c r="AI183" s="477"/>
      <c r="AJ183" s="477"/>
      <c r="AK183" s="477"/>
      <c r="AL183" s="477"/>
      <c r="AM183" s="477"/>
      <c r="AN183" s="477"/>
      <c r="AO183" s="477"/>
      <c r="AP183" s="477"/>
      <c r="AQ183" s="477"/>
      <c r="AR183" s="477"/>
      <c r="AS183" s="477"/>
      <c r="AT183" s="477"/>
      <c r="AU183" s="456"/>
      <c r="AV183" s="456"/>
      <c r="AW183" s="456"/>
      <c r="AX183" s="456"/>
      <c r="AY183" s="456"/>
      <c r="AZ183" s="456"/>
      <c r="BA183" s="456"/>
      <c r="BB183" s="456"/>
      <c r="BC183" s="456"/>
      <c r="BD183" s="456"/>
      <c r="BE183" s="456"/>
      <c r="BF183" s="456"/>
      <c r="BG183" s="456"/>
      <c r="BH183" s="456"/>
      <c r="BI183" s="456"/>
      <c r="BJ183" s="456"/>
      <c r="BK183" s="456"/>
      <c r="BL183" s="456"/>
      <c r="BM183" s="456"/>
      <c r="BN183" s="456"/>
      <c r="BO183" s="456"/>
      <c r="BP183" s="457"/>
    </row>
    <row r="184" spans="1:93">
      <c r="A184" s="448" t="s">
        <v>28</v>
      </c>
      <c r="E184" s="436"/>
      <c r="AV184" s="438"/>
      <c r="AW184" s="438"/>
      <c r="AX184" s="438"/>
      <c r="AY184" s="438"/>
      <c r="AZ184" s="438"/>
      <c r="BE184" s="438"/>
      <c r="BF184" s="438"/>
      <c r="BG184" s="438"/>
      <c r="BH184" s="438"/>
      <c r="BI184" s="438"/>
      <c r="BJ184" s="438"/>
      <c r="BK184" s="438"/>
      <c r="BL184" s="438"/>
      <c r="BM184" s="438"/>
      <c r="BN184" s="438"/>
      <c r="BO184" s="438"/>
    </row>
    <row r="185" spans="1:93" s="489" customFormat="1" ht="15.75">
      <c r="A185" s="486" t="s">
        <v>29</v>
      </c>
      <c r="B185" s="486"/>
      <c r="C185" s="487"/>
      <c r="D185" s="486"/>
      <c r="E185" s="486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  <c r="AA185" s="488"/>
      <c r="AB185" s="488"/>
      <c r="AC185" s="488"/>
      <c r="AD185" s="488"/>
      <c r="AE185" s="488"/>
      <c r="AF185" s="488"/>
      <c r="AG185" s="488"/>
      <c r="AH185" s="488"/>
      <c r="AI185" s="488"/>
      <c r="AJ185" s="488"/>
      <c r="AK185" s="488"/>
      <c r="AL185" s="488"/>
      <c r="AM185" s="488"/>
      <c r="AN185" s="488"/>
      <c r="AO185" s="488"/>
      <c r="AP185" s="488"/>
      <c r="AQ185" s="488"/>
      <c r="AR185" s="488"/>
      <c r="AS185" s="488"/>
      <c r="AT185" s="488"/>
      <c r="AU185" s="488"/>
      <c r="AV185" s="488"/>
      <c r="AW185" s="488"/>
      <c r="AX185" s="488"/>
      <c r="AY185" s="488"/>
      <c r="AZ185" s="488"/>
      <c r="BA185" s="488"/>
      <c r="BB185" s="488"/>
      <c r="BC185" s="488"/>
      <c r="BD185" s="488"/>
      <c r="BE185" s="488"/>
      <c r="BF185" s="488"/>
      <c r="BG185" s="488"/>
      <c r="BH185" s="488"/>
      <c r="BI185" s="488"/>
      <c r="BJ185" s="488"/>
      <c r="BK185" s="488"/>
      <c r="BL185" s="488"/>
      <c r="BM185" s="488"/>
      <c r="BN185" s="488"/>
      <c r="BO185" s="488"/>
      <c r="BP185" s="488"/>
    </row>
    <row r="186" spans="1:93" s="493" customFormat="1" ht="15.75">
      <c r="A186" s="490" t="s">
        <v>30</v>
      </c>
      <c r="B186" s="490"/>
      <c r="C186" s="491"/>
      <c r="D186" s="492"/>
      <c r="E186" s="492"/>
      <c r="BP186" s="494"/>
      <c r="BR186" s="495">
        <f>BR2</f>
        <v>2005</v>
      </c>
      <c r="BS186" s="495">
        <f>BS2</f>
        <v>2006</v>
      </c>
      <c r="BT186" s="495">
        <f>BT2</f>
        <v>2007</v>
      </c>
      <c r="CD186" s="496"/>
      <c r="CE186" s="496"/>
      <c r="CF186" s="496"/>
      <c r="CG186" s="496"/>
      <c r="CH186" s="496"/>
      <c r="CI186" s="496"/>
      <c r="CJ186" s="496"/>
      <c r="CK186" s="496"/>
      <c r="CL186" s="496"/>
      <c r="CM186" s="496"/>
      <c r="CN186" s="496"/>
      <c r="CO186" s="496"/>
    </row>
    <row r="187" spans="1:93" s="493" customFormat="1" ht="15.75">
      <c r="A187" s="492" t="s">
        <v>31</v>
      </c>
      <c r="B187" s="492"/>
      <c r="C187" s="491" t="s">
        <v>1349</v>
      </c>
      <c r="D187" s="492"/>
      <c r="E187" s="492"/>
      <c r="F187" s="497">
        <f>mamiabc!F81</f>
        <v>6</v>
      </c>
      <c r="G187" s="497">
        <f>mamiabc!G81</f>
        <v>-3.1</v>
      </c>
      <c r="H187" s="497">
        <f>mamiabc!H81</f>
        <v>-0.33315089344978333</v>
      </c>
      <c r="I187" s="497">
        <f>mamiabc!I81</f>
        <v>15.395469665527344</v>
      </c>
      <c r="J187" s="497">
        <f>mamiabc!J81</f>
        <v>8.9151115417480469</v>
      </c>
      <c r="K187" s="497">
        <f>mamiabc!K81</f>
        <v>2.8660340309143066</v>
      </c>
      <c r="L187" s="497">
        <f>mamiabc!L81</f>
        <v>-2.3736550807952881</v>
      </c>
      <c r="M187" s="497">
        <f>mamiabc!M81</f>
        <v>0.38395720720291138</v>
      </c>
      <c r="N187" s="497">
        <f>mamiabc!N81</f>
        <v>2.0476639270782471</v>
      </c>
      <c r="O187" s="497">
        <f>mamiabc!O81</f>
        <v>-2.0203309059143066</v>
      </c>
      <c r="P187" s="497">
        <f>mamiabc!P81</f>
        <v>-2.1691229343414307</v>
      </c>
      <c r="Q187" s="497">
        <f>mamiabc!Q81</f>
        <v>1.4651679992675781</v>
      </c>
      <c r="R187" s="497">
        <f>mamiabc!R81</f>
        <v>11.19773006439209</v>
      </c>
      <c r="S187" s="497">
        <f>mamiabc!S81</f>
        <v>3.3849248886108398</v>
      </c>
      <c r="T187" s="497">
        <f>mamiabc!T81</f>
        <v>2.6411700248718262</v>
      </c>
      <c r="U187" s="497">
        <f>mamiabc!U81</f>
        <v>4.4026660919189453</v>
      </c>
      <c r="V187" s="497">
        <f>mamiabc!V81</f>
        <v>6.7484469413757324</v>
      </c>
      <c r="W187" s="497">
        <f>mamiabc!W81</f>
        <v>2.8925549983978271</v>
      </c>
      <c r="X187" s="497">
        <f>mamiabc!X81</f>
        <v>0.80675822496414185</v>
      </c>
      <c r="Y187" s="497">
        <f>mamiabc!Y81</f>
        <v>0.67330348491668701</v>
      </c>
      <c r="Z187" s="497">
        <f>mamiabc!Z81</f>
        <v>44.09906005859375</v>
      </c>
      <c r="AA187" s="497">
        <f>mamiabc!AA81</f>
        <v>15.848649978637695</v>
      </c>
      <c r="AB187" s="497">
        <f>mamiabc!AB81</f>
        <v>10.148870468139648</v>
      </c>
      <c r="AC187" s="497">
        <f>mamiabc!AC81</f>
        <v>11.784150123596191</v>
      </c>
      <c r="AD187" s="497">
        <f>mamiabc!AD81</f>
        <v>5.7871599197387695</v>
      </c>
      <c r="AE187" s="497">
        <f>mamiabc!AE81</f>
        <v>7.347567081451416</v>
      </c>
      <c r="AF187" s="497">
        <f>mamiabc!AF81</f>
        <v>18.65839958190918</v>
      </c>
      <c r="AG187" s="497">
        <f>mamiabc!AG81</f>
        <v>8.6790685653686523</v>
      </c>
      <c r="AH187" s="497">
        <f>mamiabc!AH81</f>
        <v>-10.144929885864258</v>
      </c>
      <c r="AI187" s="497">
        <f>mamiabc!AI81</f>
        <v>-8.703028678894043</v>
      </c>
      <c r="AJ187" s="497">
        <f>mamiabc!AJ81</f>
        <v>4.8706731796264648</v>
      </c>
      <c r="AK187" s="497">
        <f>mamiabc!AK81</f>
        <v>-21.025569915771484</v>
      </c>
      <c r="AL187" s="497">
        <f>mamiabc!AL81</f>
        <v>2.4661169052124023</v>
      </c>
      <c r="AM187" s="497">
        <f>mamiabc!AM81</f>
        <v>2.4000000953674316</v>
      </c>
      <c r="AN187" s="497">
        <f>mamiabc!AN81</f>
        <v>22.799999237060547</v>
      </c>
      <c r="AO187" s="497">
        <f>mamiabc!AO81</f>
        <v>39.799999237060547</v>
      </c>
      <c r="AP187" s="497">
        <f>mamiabc!AP81</f>
        <v>-9.4499999999999993</v>
      </c>
      <c r="AQ187" s="497">
        <f>mamiabc!AQ81</f>
        <v>-19.281134765627648</v>
      </c>
      <c r="AR187" s="497">
        <f>mamiabc!AR81</f>
        <v>-13.481171844855556</v>
      </c>
      <c r="AS187" s="497">
        <f>mamiabc!AS81</f>
        <v>2347.7215053474038</v>
      </c>
      <c r="AT187" s="497">
        <f>mamiabc!AT81</f>
        <v>422.45525759029238</v>
      </c>
      <c r="AU187" s="497">
        <f>mamiabc!AU81</f>
        <v>170.16081642928847</v>
      </c>
      <c r="AV187" s="497">
        <f>mamiabc!AV81</f>
        <v>-16.108489242176717</v>
      </c>
      <c r="AW187" s="497">
        <f>mamiabc!AW81</f>
        <v>-1.6529385085585324</v>
      </c>
      <c r="AX187" s="497">
        <f>mamiabc!AX81</f>
        <v>-16.223356953351175</v>
      </c>
      <c r="AY187" s="497">
        <f>mamiabc!AY81</f>
        <v>118.6044538438328</v>
      </c>
      <c r="AZ187" s="497">
        <f>mamiabc!AZ81</f>
        <v>80.744783000388878</v>
      </c>
      <c r="BA187" s="497">
        <f>mamiabc!BA81</f>
        <v>63.555018933481946</v>
      </c>
      <c r="BB187" s="497">
        <f>mamiabc!BB81</f>
        <v>-24.245698249351587</v>
      </c>
      <c r="BC187" s="497">
        <f>BC81</f>
        <v>23.025032465507312</v>
      </c>
      <c r="BD187" s="497">
        <f>BD81</f>
        <v>18.864114716856228</v>
      </c>
      <c r="BE187" s="497">
        <f>BE81</f>
        <v>2.9999999999913429</v>
      </c>
      <c r="BF187" s="497">
        <f t="shared" ref="BF187:BO187" si="181">BF81</f>
        <v>2.5000000000081846</v>
      </c>
      <c r="BG187" s="497">
        <f t="shared" si="181"/>
        <v>2.4999999999921529</v>
      </c>
      <c r="BH187" s="497">
        <f t="shared" si="181"/>
        <v>2.5000000000074296</v>
      </c>
      <c r="BI187" s="497">
        <f t="shared" si="181"/>
        <v>2.4999999999929079</v>
      </c>
      <c r="BJ187" s="497">
        <f t="shared" si="181"/>
        <v>2.5000000000067191</v>
      </c>
      <c r="BK187" s="497">
        <f t="shared" si="181"/>
        <v>2.4999999999935962</v>
      </c>
      <c r="BL187" s="497">
        <f t="shared" si="181"/>
        <v>2.5000000000060751</v>
      </c>
      <c r="BM187" s="497">
        <f t="shared" si="181"/>
        <v>2.4999999999941958</v>
      </c>
      <c r="BN187" s="497">
        <f t="shared" si="181"/>
        <v>2.50000000000552</v>
      </c>
      <c r="BO187" s="497">
        <f t="shared" si="181"/>
        <v>2.4999999999947065</v>
      </c>
      <c r="BP187" s="498"/>
      <c r="BQ187" s="493">
        <f t="shared" ref="BQ187:CB196" si="182">+BD187-CD187</f>
        <v>0</v>
      </c>
      <c r="BR187" s="493">
        <f t="shared" si="182"/>
        <v>0</v>
      </c>
      <c r="BS187" s="493">
        <f t="shared" si="182"/>
        <v>0</v>
      </c>
      <c r="BT187" s="493">
        <f t="shared" si="182"/>
        <v>0</v>
      </c>
      <c r="BU187" s="493">
        <f t="shared" si="182"/>
        <v>0</v>
      </c>
      <c r="BV187" s="493">
        <f t="shared" si="182"/>
        <v>0</v>
      </c>
      <c r="BW187" s="493">
        <f t="shared" si="182"/>
        <v>0</v>
      </c>
      <c r="BX187" s="493">
        <f t="shared" si="182"/>
        <v>0</v>
      </c>
      <c r="BY187" s="493">
        <f t="shared" si="182"/>
        <v>0</v>
      </c>
      <c r="BZ187" s="493">
        <f t="shared" si="182"/>
        <v>0</v>
      </c>
      <c r="CA187" s="493">
        <f t="shared" si="182"/>
        <v>0</v>
      </c>
      <c r="CB187" s="493">
        <f t="shared" si="182"/>
        <v>0</v>
      </c>
      <c r="CD187" s="496">
        <v>18.864114716856228</v>
      </c>
      <c r="CE187" s="496">
        <v>2.9999999999913429</v>
      </c>
      <c r="CF187" s="496">
        <v>2.5000000000081846</v>
      </c>
      <c r="CG187" s="496">
        <v>2.4999999999921529</v>
      </c>
      <c r="CH187" s="496">
        <v>2.5000000000074296</v>
      </c>
      <c r="CI187" s="496">
        <v>2.4999999999929079</v>
      </c>
      <c r="CJ187" s="496">
        <v>2.5000000000067191</v>
      </c>
      <c r="CK187" s="496">
        <v>2.4999999999935962</v>
      </c>
      <c r="CL187" s="496">
        <v>2.5000000000060751</v>
      </c>
      <c r="CM187" s="496">
        <v>2.4999999999941958</v>
      </c>
      <c r="CN187" s="496">
        <v>2.50000000000552</v>
      </c>
      <c r="CO187" s="496">
        <v>2.4999999999947065</v>
      </c>
    </row>
    <row r="188" spans="1:93" s="493" customFormat="1" ht="15.75">
      <c r="A188" s="492" t="s">
        <v>32</v>
      </c>
      <c r="B188" s="492"/>
      <c r="C188" s="491" t="s">
        <v>1349</v>
      </c>
      <c r="D188" s="492"/>
      <c r="E188" s="492"/>
      <c r="F188" s="497">
        <f>mamiabc!F80</f>
        <v>2</v>
      </c>
      <c r="G188" s="497">
        <f>mamiabc!G80</f>
        <v>1</v>
      </c>
      <c r="H188" s="497">
        <f>mamiabc!H80</f>
        <v>1.9801980257034302</v>
      </c>
      <c r="I188" s="497">
        <f>mamiabc!I80</f>
        <v>8.7378644943237305</v>
      </c>
      <c r="J188" s="497">
        <f>mamiabc!J80</f>
        <v>0</v>
      </c>
      <c r="K188" s="497">
        <f>mamiabc!K80</f>
        <v>0</v>
      </c>
      <c r="L188" s="497">
        <f>mamiabc!L80</f>
        <v>2.6785714626312256</v>
      </c>
      <c r="M188" s="497">
        <f>mamiabc!M80</f>
        <v>1.7391303777694702</v>
      </c>
      <c r="N188" s="497">
        <f>mamiabc!N80</f>
        <v>0.85470086336135864</v>
      </c>
      <c r="O188" s="497">
        <f>mamiabc!O80</f>
        <v>0.8474576473236084</v>
      </c>
      <c r="P188" s="497">
        <f>mamiabc!P80</f>
        <v>0.8403361439704895</v>
      </c>
      <c r="Q188" s="497">
        <f>mamiabc!Q80</f>
        <v>1.6666666269302368</v>
      </c>
      <c r="R188" s="497">
        <f>mamiabc!R80</f>
        <v>1.6393442153930664</v>
      </c>
      <c r="S188" s="497">
        <f>mamiabc!S80</f>
        <v>7.2580647468566895</v>
      </c>
      <c r="T188" s="497">
        <f>mamiabc!T80</f>
        <v>0</v>
      </c>
      <c r="U188" s="497">
        <f>mamiabc!U80</f>
        <v>3.0075187683105469</v>
      </c>
      <c r="V188" s="497">
        <f>mamiabc!V80</f>
        <v>1.7561022043228149</v>
      </c>
      <c r="W188" s="497">
        <f>mamiabc!W80</f>
        <v>-0.59355843067169189</v>
      </c>
      <c r="X188" s="497">
        <f>mamiabc!X80</f>
        <v>2.4373531341552734</v>
      </c>
      <c r="Y188" s="497">
        <f>mamiabc!Y80</f>
        <v>12.087912559509277</v>
      </c>
      <c r="Z188" s="497">
        <f>mamiabc!Z80</f>
        <v>15.959079742431641</v>
      </c>
      <c r="AA188" s="497">
        <f>mamiabc!AA80</f>
        <v>7.4915452003479004</v>
      </c>
      <c r="AB188" s="497">
        <f>mamiabc!AB80</f>
        <v>9.3085289001464844</v>
      </c>
      <c r="AC188" s="497">
        <f>mamiabc!AC80</f>
        <v>8.8286819458007813</v>
      </c>
      <c r="AD188" s="497">
        <f>mamiabc!AD80</f>
        <v>7.9859714508056641</v>
      </c>
      <c r="AE188" s="497">
        <f>mamiabc!AE80</f>
        <v>13.954850196838379</v>
      </c>
      <c r="AF188" s="497">
        <f>mamiabc!AF80</f>
        <v>13.208428382873535</v>
      </c>
      <c r="AG188" s="497">
        <f>mamiabc!AG80</f>
        <v>8.7082128524780273</v>
      </c>
      <c r="AH188" s="497">
        <f>mamiabc!AH80</f>
        <v>7.2892937660217285</v>
      </c>
      <c r="AI188" s="497">
        <f>mamiabc!AI80</f>
        <v>4.3878273963928223</v>
      </c>
      <c r="AJ188" s="497">
        <f>mamiabc!AJ80</f>
        <v>4.1999998092651367</v>
      </c>
      <c r="AK188" s="497">
        <f>mamiabc!AK80</f>
        <v>16.299999237060547</v>
      </c>
      <c r="AL188" s="497">
        <f>mamiabc!AL80</f>
        <v>30.700000762939453</v>
      </c>
      <c r="AM188" s="497">
        <f>mamiabc!AM80</f>
        <v>88.800003051757813</v>
      </c>
      <c r="AN188" s="497">
        <f>mamiabc!AN80</f>
        <v>15</v>
      </c>
      <c r="AO188" s="497">
        <f>mamiabc!AO80</f>
        <v>19.700000762939453</v>
      </c>
      <c r="AP188" s="497">
        <f>mamiabc!AP80</f>
        <v>21.746293245469506</v>
      </c>
      <c r="AQ188" s="497">
        <f>mamiabc!AQ80</f>
        <v>25.968753844261293</v>
      </c>
      <c r="AR188" s="497">
        <f>mamiabc!AR80</f>
        <v>43.662109374999993</v>
      </c>
      <c r="AS188" s="497">
        <f>mamiabc!AS80</f>
        <v>143.51845557745909</v>
      </c>
      <c r="AT188" s="497">
        <f>mamiabc!AT80</f>
        <v>368.47923179991062</v>
      </c>
      <c r="AU188" s="497">
        <f>mamiabc!AU80</f>
        <v>235.55783301951999</v>
      </c>
      <c r="AV188" s="497">
        <f>mamiabc!AV80</f>
        <v>-0.8</v>
      </c>
      <c r="AW188" s="497">
        <f>mamiabc!AW80</f>
        <v>7.2</v>
      </c>
      <c r="AX188" s="497">
        <f>mamiabc!AX80</f>
        <v>18.7</v>
      </c>
      <c r="AY188" s="497">
        <f>mamiabc!AY80</f>
        <v>99.148936170212764</v>
      </c>
      <c r="AZ188" s="497">
        <f>mamiabc!AZ80</f>
        <v>59.188034188034202</v>
      </c>
      <c r="BA188" s="497">
        <f>mamiabc!BA80</f>
        <v>38.657718120805363</v>
      </c>
      <c r="BB188" s="497">
        <f>mamiabc!BB80</f>
        <v>15.48886737657309</v>
      </c>
      <c r="BC188" s="497">
        <f t="shared" ref="BC188:BO188" si="183">BC80</f>
        <v>22.822081282431551</v>
      </c>
      <c r="BD188" s="497">
        <f t="shared" si="183"/>
        <v>9.1479420449446458</v>
      </c>
      <c r="BE188" s="497">
        <f t="shared" ca="1" si="183"/>
        <v>6.7925819359583794</v>
      </c>
      <c r="BF188" s="497">
        <f t="shared" ca="1" si="183"/>
        <v>5.0020966958018676</v>
      </c>
      <c r="BG188" s="497">
        <f t="shared" ca="1" si="183"/>
        <v>4.0788726890331155</v>
      </c>
      <c r="BH188" s="497">
        <f t="shared" ca="1" si="183"/>
        <v>3.6187420528253398</v>
      </c>
      <c r="BI188" s="497">
        <f t="shared" ca="1" si="183"/>
        <v>3.3814280811623867</v>
      </c>
      <c r="BJ188" s="497">
        <f t="shared" ca="1" si="183"/>
        <v>3.2563513694147446</v>
      </c>
      <c r="BK188" s="497">
        <f t="shared" ca="1" si="183"/>
        <v>3.1950176917625033</v>
      </c>
      <c r="BL188" s="497">
        <f t="shared" ca="1" si="183"/>
        <v>3.1674680233411987</v>
      </c>
      <c r="BM188" s="497">
        <f t="shared" ca="1" si="183"/>
        <v>3.152147530687726</v>
      </c>
      <c r="BN188" s="497">
        <f t="shared" ca="1" si="183"/>
        <v>3.1423404204225225</v>
      </c>
      <c r="BO188" s="497">
        <f t="shared" ca="1" si="183"/>
        <v>3.1344629013140768</v>
      </c>
      <c r="BP188" s="498"/>
      <c r="BQ188" s="493">
        <f t="shared" si="182"/>
        <v>0</v>
      </c>
      <c r="BR188" s="493">
        <f t="shared" ca="1" si="182"/>
        <v>0</v>
      </c>
      <c r="BS188" s="493">
        <f t="shared" ca="1" si="182"/>
        <v>1.9539925233402755E-14</v>
      </c>
      <c r="BT188" s="493">
        <f t="shared" ca="1" si="182"/>
        <v>4.6540549192286562E-13</v>
      </c>
      <c r="BU188" s="493">
        <f t="shared" ca="1" si="182"/>
        <v>4.9968917892329046E-12</v>
      </c>
      <c r="BV188" s="493">
        <f t="shared" ca="1" si="182"/>
        <v>3.9777958704689809E-11</v>
      </c>
      <c r="BW188" s="493">
        <f t="shared" ca="1" si="182"/>
        <v>2.4992807823309704E-10</v>
      </c>
      <c r="BX188" s="493">
        <f t="shared" ca="1" si="182"/>
        <v>1.2817835681744327E-9</v>
      </c>
      <c r="BY188" s="493">
        <f t="shared" ca="1" si="182"/>
        <v>5.532099223160003E-9</v>
      </c>
      <c r="BZ188" s="493">
        <f t="shared" ca="1" si="182"/>
        <v>2.0607783923765055E-8</v>
      </c>
      <c r="CA188" s="493">
        <f t="shared" ca="1" si="182"/>
        <v>6.7464133834960194E-8</v>
      </c>
      <c r="CB188" s="493">
        <f t="shared" ca="1" si="182"/>
        <v>1.9882920909708446E-7</v>
      </c>
      <c r="CD188" s="496">
        <v>9.1479420449446458</v>
      </c>
      <c r="CE188" s="496">
        <v>6.7925819359583794</v>
      </c>
      <c r="CF188" s="496">
        <v>5.002096695801848</v>
      </c>
      <c r="CG188" s="496">
        <v>4.0788726890326501</v>
      </c>
      <c r="CH188" s="496">
        <v>3.6187420528203429</v>
      </c>
      <c r="CI188" s="496">
        <v>3.3814280811226087</v>
      </c>
      <c r="CJ188" s="496">
        <v>3.2563513691648165</v>
      </c>
      <c r="CK188" s="496">
        <v>3.1950176904807197</v>
      </c>
      <c r="CL188" s="496">
        <v>3.1674680178090995</v>
      </c>
      <c r="CM188" s="496">
        <v>3.1521475100799421</v>
      </c>
      <c r="CN188" s="496">
        <v>3.1423403529583886</v>
      </c>
      <c r="CO188" s="496">
        <v>3.1344627024848677</v>
      </c>
    </row>
    <row r="189" spans="1:93" s="493" customFormat="1" ht="15.75">
      <c r="A189" s="492" t="s">
        <v>33</v>
      </c>
      <c r="B189" s="492"/>
      <c r="C189" s="491" t="s">
        <v>1349</v>
      </c>
      <c r="D189" s="492"/>
      <c r="E189" s="492"/>
      <c r="F189" s="497">
        <f>mamiabc!F82</f>
        <v>1.8</v>
      </c>
      <c r="G189" s="497">
        <f>mamiabc!G82</f>
        <v>0.5</v>
      </c>
      <c r="H189" s="497">
        <f>mamiabc!H82</f>
        <v>3.0221829414367676</v>
      </c>
      <c r="I189" s="497">
        <f>mamiabc!I82</f>
        <v>2.2277793884277344</v>
      </c>
      <c r="J189" s="497">
        <f>mamiabc!J82</f>
        <v>-1.626257061958313</v>
      </c>
      <c r="K189" s="497">
        <f>mamiabc!K82</f>
        <v>-0.89552080631256104</v>
      </c>
      <c r="L189" s="497">
        <f>mamiabc!L82</f>
        <v>0.76559323072433472</v>
      </c>
      <c r="M189" s="497">
        <f>mamiabc!M82</f>
        <v>1.8154700994491577</v>
      </c>
      <c r="N189" s="497">
        <f>mamiabc!N82</f>
        <v>0.49572989344596863</v>
      </c>
      <c r="O189" s="497">
        <f>mamiabc!O82</f>
        <v>0.31003996729850769</v>
      </c>
      <c r="P189" s="497">
        <f>mamiabc!P82</f>
        <v>2.2613492012023926</v>
      </c>
      <c r="Q189" s="497">
        <f>mamiabc!Q82</f>
        <v>1.6288275718688965</v>
      </c>
      <c r="R189" s="497">
        <f>mamiabc!R82</f>
        <v>1.1620020866394043</v>
      </c>
      <c r="S189" s="497">
        <f>mamiabc!S82</f>
        <v>1.3401436805725098</v>
      </c>
      <c r="T189" s="497">
        <f>mamiabc!T82</f>
        <v>0.38416191935539246</v>
      </c>
      <c r="U189" s="497">
        <f>mamiabc!U82</f>
        <v>2.3576428890228271</v>
      </c>
      <c r="V189" s="497">
        <f>mamiabc!V82</f>
        <v>4.3976931571960449</v>
      </c>
      <c r="W189" s="497">
        <f>mamiabc!W82</f>
        <v>6.8055276870727539</v>
      </c>
      <c r="X189" s="497">
        <f>mamiabc!X82</f>
        <v>1.0620815753936768</v>
      </c>
      <c r="Y189" s="497">
        <f>mamiabc!Y82</f>
        <v>23.262006759643555</v>
      </c>
      <c r="Z189" s="497">
        <f>mamiabc!Z82</f>
        <v>51.418785095214844</v>
      </c>
      <c r="AA189" s="497">
        <f>mamiabc!AA82</f>
        <v>9.6750164031982422</v>
      </c>
      <c r="AB189" s="497">
        <f>mamiabc!AB82</f>
        <v>2.2336657047271729</v>
      </c>
      <c r="AC189" s="497">
        <f>mamiabc!AC82</f>
        <v>8.1954889297485352</v>
      </c>
      <c r="AD189" s="497">
        <f>mamiabc!AD82</f>
        <v>8.4418277740478516</v>
      </c>
      <c r="AE189" s="497">
        <f>mamiabc!AE82</f>
        <v>21.756065368652344</v>
      </c>
      <c r="AF189" s="497">
        <f>mamiabc!AF82</f>
        <v>29.74290657043457</v>
      </c>
      <c r="AG189" s="497">
        <f>mamiabc!AG82</f>
        <v>5.1207904815673828</v>
      </c>
      <c r="AH189" s="497">
        <f>mamiabc!AH82</f>
        <v>-1.4226530790328979</v>
      </c>
      <c r="AI189" s="497">
        <f>mamiabc!AI82</f>
        <v>-5.799159049987793</v>
      </c>
      <c r="AJ189" s="497">
        <f>mamiabc!AJ82</f>
        <v>-1.4299999475479126</v>
      </c>
      <c r="AK189" s="497">
        <f>mamiabc!AK82</f>
        <v>4.3000001907348633</v>
      </c>
      <c r="AL189" s="497">
        <f>mamiabc!AL82</f>
        <v>2.3299999237060547</v>
      </c>
      <c r="AM189" s="497">
        <f>mamiabc!AM82</f>
        <v>66.589996337890625</v>
      </c>
      <c r="AN189" s="497">
        <f>mamiabc!AN82</f>
        <v>12.100000381469727</v>
      </c>
      <c r="AO189" s="497">
        <f>mamiabc!AO82</f>
        <v>21</v>
      </c>
      <c r="AP189" s="497">
        <f>mamiabc!AP82</f>
        <v>47</v>
      </c>
      <c r="AQ189" s="497">
        <f>mamiabc!AQ82</f>
        <v>38.306300283925985</v>
      </c>
      <c r="AR189" s="497">
        <f>mamiabc!AR82</f>
        <v>30.387615455445705</v>
      </c>
      <c r="AS189" s="497">
        <f>mamiabc!AS82</f>
        <v>449.54631502796258</v>
      </c>
      <c r="AT189" s="497">
        <f>mamiabc!AT82</f>
        <v>426.50594858796609</v>
      </c>
      <c r="AU189" s="497">
        <f>mamiabc!AU82</f>
        <v>113.05936131309264</v>
      </c>
      <c r="AV189" s="497">
        <f>mamiabc!AV82</f>
        <v>-6.4529559691432929</v>
      </c>
      <c r="AW189" s="497">
        <f>mamiabc!AW82</f>
        <v>2.2298922185533643</v>
      </c>
      <c r="AX189" s="497">
        <f>mamiabc!AX82</f>
        <v>1.4999999999999902</v>
      </c>
      <c r="AY189" s="497">
        <f>mamiabc!AY82</f>
        <v>119.15655860349128</v>
      </c>
      <c r="AZ189" s="497">
        <f>mamiabc!AZ82</f>
        <v>59.482986393766701</v>
      </c>
      <c r="BA189" s="497">
        <f>mamiabc!BA82</f>
        <v>68.853049837894886</v>
      </c>
      <c r="BB189" s="497">
        <f>mamiabc!BB82</f>
        <v>9.4467753041083355</v>
      </c>
      <c r="BC189" s="497">
        <f>BC82</f>
        <v>13.699360818152728</v>
      </c>
      <c r="BD189" s="497">
        <f>BD82</f>
        <v>8.970478290041207</v>
      </c>
      <c r="BE189" s="497">
        <f>BE82</f>
        <v>3.0000000000000027</v>
      </c>
      <c r="BF189" s="497">
        <f t="shared" ref="BF189:BO189" si="184">BF82</f>
        <v>2.4999999999999911</v>
      </c>
      <c r="BG189" s="497">
        <f t="shared" si="184"/>
        <v>2.4999999999999911</v>
      </c>
      <c r="BH189" s="497">
        <f t="shared" si="184"/>
        <v>2.4999999999999911</v>
      </c>
      <c r="BI189" s="497">
        <f t="shared" si="184"/>
        <v>2.4999999999999911</v>
      </c>
      <c r="BJ189" s="497">
        <f t="shared" si="184"/>
        <v>2.4999999999999911</v>
      </c>
      <c r="BK189" s="497">
        <f t="shared" si="184"/>
        <v>2.4999999999999911</v>
      </c>
      <c r="BL189" s="497">
        <f t="shared" si="184"/>
        <v>2.4999999999999911</v>
      </c>
      <c r="BM189" s="497">
        <f t="shared" si="184"/>
        <v>2.4999999999999911</v>
      </c>
      <c r="BN189" s="497">
        <f t="shared" si="184"/>
        <v>2.4999999999999911</v>
      </c>
      <c r="BO189" s="497">
        <f t="shared" si="184"/>
        <v>2.4999999999999911</v>
      </c>
      <c r="BP189" s="498"/>
      <c r="BQ189" s="493">
        <f t="shared" si="182"/>
        <v>0</v>
      </c>
      <c r="BR189" s="493">
        <f t="shared" si="182"/>
        <v>0</v>
      </c>
      <c r="BS189" s="493">
        <f t="shared" si="182"/>
        <v>0</v>
      </c>
      <c r="BT189" s="493">
        <f t="shared" si="182"/>
        <v>0</v>
      </c>
      <c r="BU189" s="493">
        <f t="shared" si="182"/>
        <v>0</v>
      </c>
      <c r="BV189" s="493">
        <f t="shared" si="182"/>
        <v>0</v>
      </c>
      <c r="BW189" s="493">
        <f t="shared" si="182"/>
        <v>0</v>
      </c>
      <c r="BX189" s="493">
        <f t="shared" si="182"/>
        <v>0</v>
      </c>
      <c r="BY189" s="493">
        <f t="shared" si="182"/>
        <v>0</v>
      </c>
      <c r="BZ189" s="493">
        <f t="shared" si="182"/>
        <v>0</v>
      </c>
      <c r="CA189" s="493">
        <f t="shared" si="182"/>
        <v>0</v>
      </c>
      <c r="CB189" s="493">
        <f t="shared" si="182"/>
        <v>0</v>
      </c>
      <c r="CD189" s="496">
        <v>8.970478290041207</v>
      </c>
      <c r="CE189" s="496">
        <v>3</v>
      </c>
      <c r="CF189" s="496">
        <v>2.4999999999999911</v>
      </c>
      <c r="CG189" s="496">
        <v>2.4999999999999911</v>
      </c>
      <c r="CH189" s="496">
        <v>2.4999999999999911</v>
      </c>
      <c r="CI189" s="496">
        <v>2.4999999999999911</v>
      </c>
      <c r="CJ189" s="496">
        <v>2.4999999999999911</v>
      </c>
      <c r="CK189" s="496">
        <v>2.4999999999999911</v>
      </c>
      <c r="CL189" s="496">
        <v>2.4999999999999911</v>
      </c>
      <c r="CM189" s="496">
        <v>2.4999999999999911</v>
      </c>
      <c r="CN189" s="496">
        <v>2.4999999999999911</v>
      </c>
      <c r="CO189" s="496">
        <v>2.4999999999999911</v>
      </c>
    </row>
    <row r="190" spans="1:93" s="493" customFormat="1" ht="15.75">
      <c r="A190" s="492" t="s">
        <v>2793</v>
      </c>
      <c r="B190" s="492"/>
      <c r="C190" s="491" t="s">
        <v>1349</v>
      </c>
      <c r="D190" s="492"/>
      <c r="E190" s="492"/>
      <c r="F190" s="497" t="str">
        <f>mamiabc!F163</f>
        <v xml:space="preserve"> </v>
      </c>
      <c r="G190" s="497">
        <f>mamiabc!G163</f>
        <v>1.2183674456863747</v>
      </c>
      <c r="H190" s="497">
        <f>mamiabc!H163</f>
        <v>-17.689383370237387</v>
      </c>
      <c r="I190" s="497">
        <f>mamiabc!I163</f>
        <v>8.1133875731743252</v>
      </c>
      <c r="J190" s="497">
        <f>mamiabc!J163</f>
        <v>2.1546542963380766</v>
      </c>
      <c r="K190" s="497">
        <f>mamiabc!K163</f>
        <v>4.192975366687568</v>
      </c>
      <c r="L190" s="497">
        <f>mamiabc!L163</f>
        <v>0.82289306996508049</v>
      </c>
      <c r="M190" s="497">
        <f>mamiabc!M163</f>
        <v>-0.44574071670127058</v>
      </c>
      <c r="N190" s="497">
        <f>mamiabc!N163</f>
        <v>5.2866679262533411</v>
      </c>
      <c r="O190" s="497">
        <f>mamiabc!O163</f>
        <v>6.2712268686030415</v>
      </c>
      <c r="P190" s="497">
        <f>mamiabc!P163</f>
        <v>7.6030566382945919</v>
      </c>
      <c r="Q190" s="497">
        <f>mamiabc!Q163</f>
        <v>3.1295200183219185</v>
      </c>
      <c r="R190" s="497">
        <f>mamiabc!R163</f>
        <v>13.762367701850465</v>
      </c>
      <c r="S190" s="497">
        <f>mamiabc!S163</f>
        <v>8.7761450917543726</v>
      </c>
      <c r="T190" s="497">
        <f>mamiabc!T163</f>
        <v>10.589077315282115</v>
      </c>
      <c r="U190" s="497">
        <f>mamiabc!U163</f>
        <v>8.201457006705958</v>
      </c>
      <c r="V190" s="497">
        <f>mamiabc!V163</f>
        <v>9.661369868490155</v>
      </c>
      <c r="W190" s="497">
        <f>mamiabc!W163</f>
        <v>12.515523367395964</v>
      </c>
      <c r="X190" s="497">
        <f>mamiabc!X163</f>
        <v>11.522105864383203</v>
      </c>
      <c r="Y190" s="497">
        <f>mamiabc!Y163</f>
        <v>14.656522434739539</v>
      </c>
      <c r="Z190" s="497">
        <f>mamiabc!Z163</f>
        <v>14.775472768098874</v>
      </c>
      <c r="AA190" s="497">
        <f>mamiabc!AA163</f>
        <v>18.967549888234171</v>
      </c>
      <c r="AB190" s="497">
        <f>mamiabc!AB163</f>
        <v>19.958007844682825</v>
      </c>
      <c r="AC190" s="497">
        <f>mamiabc!AC163</f>
        <v>26.562082909485184</v>
      </c>
      <c r="AD190" s="497">
        <f>mamiabc!AD163</f>
        <v>18.508194474614402</v>
      </c>
      <c r="AE190" s="497">
        <f>mamiabc!AE163</f>
        <v>5.0956405908711755</v>
      </c>
      <c r="AF190" s="497">
        <f>mamiabc!AF163</f>
        <v>17.921563508281579</v>
      </c>
      <c r="AG190" s="497">
        <f>mamiabc!AG163</f>
        <v>15.958095271856321</v>
      </c>
      <c r="AH190" s="497">
        <f>mamiabc!AH163</f>
        <v>11.13254555277976</v>
      </c>
      <c r="AI190" s="497">
        <f>mamiabc!AI163</f>
        <v>8.6212183131116014</v>
      </c>
      <c r="AJ190" s="497">
        <f>mamiabc!AJ163</f>
        <v>7.3688902112652999</v>
      </c>
      <c r="AK190" s="497">
        <f>mamiabc!AK163</f>
        <v>7.0388897127582783</v>
      </c>
      <c r="AL190" s="497">
        <f>mamiabc!AL163</f>
        <v>-1.0566153486140317</v>
      </c>
      <c r="AM190" s="497">
        <f>mamiabc!AM163</f>
        <v>-6.4520527523492905</v>
      </c>
      <c r="AN190" s="497">
        <f>mamiabc!AN163</f>
        <v>12.622057309859947</v>
      </c>
      <c r="AO190" s="497">
        <f>mamiabc!AO163</f>
        <v>18.012497339457511</v>
      </c>
      <c r="AP190" s="497">
        <f>mamiabc!AP163</f>
        <v>18.0729929544732</v>
      </c>
      <c r="AQ190" s="497">
        <f>mamiabc!AQ163</f>
        <v>15.532233246859217</v>
      </c>
      <c r="AR190" s="497">
        <f>mamiabc!AR163</f>
        <v>29.254102127132597</v>
      </c>
      <c r="AS190" s="497">
        <f>mamiabc!AS163</f>
        <v>87.692225322934164</v>
      </c>
      <c r="AT190" s="497">
        <f>mamiabc!AT163</f>
        <v>574.77007585283297</v>
      </c>
      <c r="AU190" s="497">
        <f>mamiabc!AU163</f>
        <v>360.33039330650274</v>
      </c>
      <c r="AV190" s="497">
        <f>mamiabc!AV163</f>
        <v>48.179533706624447</v>
      </c>
      <c r="AW190" s="497">
        <f>mamiabc!AW163</f>
        <v>34.084797427987354</v>
      </c>
      <c r="AX190" s="497">
        <f>mamiabc!AX163</f>
        <v>19.152624115369111</v>
      </c>
      <c r="AY190" s="497">
        <f>mamiabc!AY163</f>
        <v>86.129190568513849</v>
      </c>
      <c r="AZ190" s="497">
        <f>mamiabc!AZ163</f>
        <v>36.279075164415907</v>
      </c>
      <c r="BA190" s="497">
        <f>mamiabc!BA163</f>
        <v>64.81610661467721</v>
      </c>
      <c r="BB190" s="497">
        <f>mamiabc!BB163</f>
        <v>19.067383199515643</v>
      </c>
      <c r="BC190" s="497">
        <f t="shared" ref="BC190:BO190" si="185">BC163</f>
        <v>-8.0133246187791265</v>
      </c>
      <c r="BD190" s="497">
        <f t="shared" ca="1" si="185"/>
        <v>22.563788346851553</v>
      </c>
      <c r="BE190" s="497">
        <f t="shared" ca="1" si="185"/>
        <v>10.426508378161259</v>
      </c>
      <c r="BF190" s="497">
        <f t="shared" ca="1" si="185"/>
        <v>7.1510209948959735</v>
      </c>
      <c r="BG190" s="497">
        <f t="shared" ca="1" si="185"/>
        <v>5.5827158611050365</v>
      </c>
      <c r="BH190" s="497">
        <f t="shared" ca="1" si="185"/>
        <v>4.8438144421192542</v>
      </c>
      <c r="BI190" s="497">
        <f t="shared" ca="1" si="185"/>
        <v>4.4404468745968817</v>
      </c>
      <c r="BJ190" s="497">
        <f t="shared" ca="1" si="185"/>
        <v>4.2262377945935237</v>
      </c>
      <c r="BK190" s="497">
        <f t="shared" ca="1" si="185"/>
        <v>4.1234608312338938</v>
      </c>
      <c r="BL190" s="497">
        <f t="shared" ca="1" si="185"/>
        <v>4.0863989779398535</v>
      </c>
      <c r="BM190" s="497">
        <f t="shared" ca="1" si="185"/>
        <v>4.0602942078804105</v>
      </c>
      <c r="BN190" s="497">
        <f t="shared" ca="1" si="185"/>
        <v>4.0405038988970077</v>
      </c>
      <c r="BO190" s="497">
        <f t="shared" ca="1" si="185"/>
        <v>4.0235165866232991</v>
      </c>
      <c r="BP190" s="498"/>
      <c r="BQ190" s="493">
        <f t="shared" ca="1" si="182"/>
        <v>0</v>
      </c>
      <c r="BR190" s="493">
        <f t="shared" ca="1" si="182"/>
        <v>0</v>
      </c>
      <c r="BS190" s="493">
        <f t="shared" ca="1" si="182"/>
        <v>-2.2204460492503131E-14</v>
      </c>
      <c r="BT190" s="493">
        <f t="shared" ca="1" si="182"/>
        <v>-4.4408920985006262E-13</v>
      </c>
      <c r="BU190" s="493">
        <f t="shared" ca="1" si="182"/>
        <v>-5.0626169922907138E-12</v>
      </c>
      <c r="BV190" s="493">
        <f t="shared" ca="1" si="182"/>
        <v>-4.0900616227190767E-11</v>
      </c>
      <c r="BW190" s="493">
        <f t="shared" ca="1" si="182"/>
        <v>-2.6145752229922437E-10</v>
      </c>
      <c r="BX190" s="493">
        <f t="shared" ca="1" si="182"/>
        <v>-1.3635093054631398E-9</v>
      </c>
      <c r="BY190" s="493">
        <f t="shared" ca="1" si="182"/>
        <v>-5.9786620099089305E-9</v>
      </c>
      <c r="BZ190" s="493">
        <f t="shared" ca="1" si="182"/>
        <v>-2.2597435034299451E-8</v>
      </c>
      <c r="CA190" s="493">
        <f t="shared" ca="1" si="182"/>
        <v>-7.4989636722477826E-8</v>
      </c>
      <c r="CB190" s="493">
        <f t="shared" ca="1" si="182"/>
        <v>-2.235267304584454E-7</v>
      </c>
      <c r="CD190" s="496">
        <v>22.563788346851553</v>
      </c>
      <c r="CE190" s="496">
        <v>10.426508378161259</v>
      </c>
      <c r="CF190" s="496">
        <v>7.1510209948959957</v>
      </c>
      <c r="CG190" s="496">
        <v>5.5827158611054806</v>
      </c>
      <c r="CH190" s="496">
        <v>4.8438144421243168</v>
      </c>
      <c r="CI190" s="496">
        <v>4.4404468746377823</v>
      </c>
      <c r="CJ190" s="496">
        <v>4.2262377948549812</v>
      </c>
      <c r="CK190" s="496">
        <v>4.1234608325974031</v>
      </c>
      <c r="CL190" s="496">
        <v>4.0863989839185155</v>
      </c>
      <c r="CM190" s="496">
        <v>4.0602942304778455</v>
      </c>
      <c r="CN190" s="496">
        <v>4.0405039738866444</v>
      </c>
      <c r="CO190" s="496">
        <v>4.0235168101500296</v>
      </c>
    </row>
    <row r="191" spans="1:93" s="493" customFormat="1" ht="15.75">
      <c r="A191" s="492" t="s">
        <v>34</v>
      </c>
      <c r="B191" s="492"/>
      <c r="C191" s="491" t="s">
        <v>1349</v>
      </c>
      <c r="D191" s="492"/>
      <c r="E191" s="492"/>
      <c r="F191" s="497" t="s">
        <v>1344</v>
      </c>
      <c r="G191" s="497">
        <f>((((mamiabc!G26-mamiabc!G36-mamiabc!G37-mamiabc!G50+mamiabc!G52+mamiabc!G49)/(1+mamiabc!G80/100)+mamiabc!G53/(1+mamiabc!G164/100)+mamiabc!G131/(1+mamiabc!G80/100)+(mamiabc!G12+mamiabc!G50)/(1+mamiabc!G83/100)+mamiabc!G19/(1+mamiabc!G81/100)-(mamiabc!G25+mamiabc!G26+mamiabc!G27)/(1+mamiabc!G82/100))/(mamiabc!F11+mamiabc!F52+mamiabc!F53))-1)*100</f>
        <v>5.2241031065981325</v>
      </c>
      <c r="H191" s="497">
        <f>((((mamiabc!H26-mamiabc!H36-mamiabc!H37-mamiabc!H50+mamiabc!H52+mamiabc!H49)/(1+mamiabc!H80/100)+mamiabc!H53/(1+mamiabc!H164/100)+mamiabc!H131/(1+mamiabc!H80/100)+(mamiabc!H12+mamiabc!H50)/(1+mamiabc!H83/100)+mamiabc!H19/(1+mamiabc!H81/100)-(mamiabc!H25+mamiabc!H26+mamiabc!H27)/(1+mamiabc!H82/100))/(mamiabc!G11+mamiabc!G52+mamiabc!G53))-1)*100</f>
        <v>8.0179465739342213</v>
      </c>
      <c r="I191" s="497">
        <f>((((mamiabc!I26-mamiabc!I36-mamiabc!I37-mamiabc!I50+mamiabc!I52+mamiabc!I49)/(1+mamiabc!I80/100)+mamiabc!I53/(1+mamiabc!I164/100)+mamiabc!I131/(1+mamiabc!I80/100)+(mamiabc!I12+mamiabc!I50)/(1+mamiabc!I83/100)+mamiabc!I19/(1+mamiabc!I81/100)-(mamiabc!I25+mamiabc!I26+mamiabc!I27)/(1+mamiabc!I82/100))/(mamiabc!H11+mamiabc!H52+mamiabc!H53))-1)*100</f>
        <v>1.3628542546347377</v>
      </c>
      <c r="J191" s="497">
        <f>((((mamiabc!J26-mamiabc!J36-mamiabc!J37-mamiabc!J50+mamiabc!J52+mamiabc!J49)/(1+mamiabc!J80/100)+mamiabc!J53/(1+mamiabc!J164/100)+mamiabc!J131/(1+mamiabc!J80/100)+(mamiabc!J12+mamiabc!J50)/(1+mamiabc!J83/100)+mamiabc!J19/(1+mamiabc!J81/100)-(mamiabc!J25+mamiabc!J26+mamiabc!J27)/(1+mamiabc!J82/100))/(mamiabc!I11+mamiabc!I52+mamiabc!I53))-1)*100</f>
        <v>0.75192406221569197</v>
      </c>
      <c r="K191" s="497">
        <f>((((mamiabc!K26-mamiabc!K36-mamiabc!K37-mamiabc!K50+mamiabc!K52+mamiabc!K49)/(1+mamiabc!K80/100)+mamiabc!K53/(1+mamiabc!K164/100)+mamiabc!K131/(1+mamiabc!K80/100)+(mamiabc!K12+mamiabc!K50)/(1+mamiabc!K83/100)+mamiabc!K19/(1+mamiabc!K81/100)-(mamiabc!K25+mamiabc!K26+mamiabc!K27)/(1+mamiabc!K82/100))/(mamiabc!J11+mamiabc!J52+mamiabc!J53))-1)*100</f>
        <v>10.451881000843199</v>
      </c>
      <c r="L191" s="497">
        <f>((((mamiabc!L26-mamiabc!L36-mamiabc!L37-mamiabc!L50+mamiabc!L52+mamiabc!L49)/(1+mamiabc!L80/100)+mamiabc!L53/(1+mamiabc!L164/100)+mamiabc!L131/(1+mamiabc!L80/100)+(mamiabc!L12+mamiabc!L50)/(1+mamiabc!L83/100)+mamiabc!L19/(1+mamiabc!L81/100)-(mamiabc!L25+mamiabc!L26+mamiabc!L27)/(1+mamiabc!L82/100))/(mamiabc!K11+mamiabc!K52+mamiabc!K53))-1)*100</f>
        <v>1.7008785236614754</v>
      </c>
      <c r="M191" s="497">
        <f>((((mamiabc!M26-mamiabc!M36-mamiabc!M37-mamiabc!M50+mamiabc!M52+mamiabc!M49)/(1+mamiabc!M80/100)+mamiabc!M53/(1+mamiabc!M164/100)+mamiabc!M131/(1+mamiabc!M80/100)+(mamiabc!M12+mamiabc!M50)/(1+mamiabc!M83/100)+mamiabc!M19/(1+mamiabc!M81/100)-(mamiabc!M25+mamiabc!M26+mamiabc!M27)/(1+mamiabc!M82/100))/(mamiabc!L11+mamiabc!L52+mamiabc!L53))-1)*100</f>
        <v>3.3512275420175319</v>
      </c>
      <c r="N191" s="497">
        <f>((((mamiabc!N26-mamiabc!N36-mamiabc!N37-mamiabc!N50+mamiabc!N52+mamiabc!N49)/(1+mamiabc!N80/100)+mamiabc!N53/(1+mamiabc!N164/100)+mamiabc!N131/(1+mamiabc!N80/100)+(mamiabc!N12+mamiabc!N50)/(1+mamiabc!N83/100)+mamiabc!N19/(1+mamiabc!N81/100)-(mamiabc!N25+mamiabc!N26+mamiabc!N27)/(1+mamiabc!N82/100))/(mamiabc!M11+mamiabc!M52+mamiabc!M53))-1)*100</f>
        <v>1.8547816607775935</v>
      </c>
      <c r="O191" s="497">
        <f>((((mamiabc!O26-mamiabc!O36-mamiabc!O37-mamiabc!O50+mamiabc!O52+mamiabc!O49)/(1+mamiabc!O80/100)+mamiabc!O53/(1+mamiabc!O164/100)+mamiabc!O131/(1+mamiabc!O80/100)+(mamiabc!O12+mamiabc!O50)/(1+mamiabc!O83/100)+mamiabc!O19/(1+mamiabc!O81/100)-(mamiabc!O25+mamiabc!O26+mamiabc!O27)/(1+mamiabc!O82/100))/(mamiabc!N11+mamiabc!N52+mamiabc!N53))-1)*100</f>
        <v>10.524587965396947</v>
      </c>
      <c r="P191" s="497">
        <f>((((mamiabc!P26-mamiabc!P36-mamiabc!P37-mamiabc!P50+mamiabc!P52+mamiabc!P49)/(1+mamiabc!P80/100)+mamiabc!P53/(1+mamiabc!P164/100)+mamiabc!P131/(1+mamiabc!P80/100)+(mamiabc!P12+mamiabc!P50)/(1+mamiabc!P83/100)+mamiabc!P19/(1+mamiabc!P81/100)-(mamiabc!P25+mamiabc!P26+mamiabc!P27)/(1+mamiabc!P82/100))/(mamiabc!O11+mamiabc!O52+mamiabc!O53))-1)*100</f>
        <v>15.644454234999806</v>
      </c>
      <c r="Q191" s="497">
        <f>((((mamiabc!Q26-mamiabc!Q36-mamiabc!Q37-mamiabc!Q50+mamiabc!Q52+mamiabc!Q49)/(1+mamiabc!Q80/100)+mamiabc!Q53/(1+mamiabc!Q164/100)+mamiabc!Q131/(1+mamiabc!Q80/100)+(mamiabc!Q12+mamiabc!Q50)/(1+mamiabc!Q83/100)+mamiabc!Q19/(1+mamiabc!Q81/100)-(mamiabc!Q25+mamiabc!Q26+mamiabc!Q27)/(1+mamiabc!Q82/100))/(mamiabc!P11+mamiabc!P52+mamiabc!P53))-1)*100</f>
        <v>9.2238207905374292</v>
      </c>
      <c r="R191" s="497">
        <f>((((mamiabc!R26-mamiabc!R36-mamiabc!R37-mamiabc!R50+mamiabc!R52+mamiabc!R49)/(1+mamiabc!R80/100)+mamiabc!R53/(1+mamiabc!R164/100)+mamiabc!R131/(1+mamiabc!R80/100)+(mamiabc!R12+mamiabc!R50)/(1+mamiabc!R83/100)+mamiabc!R19/(1+mamiabc!R81/100)-(mamiabc!R25+mamiabc!R26+mamiabc!R27)/(1+mamiabc!R82/100))/(mamiabc!Q11+mamiabc!Q52+mamiabc!Q53))-1)*100</f>
        <v>15.000611230157057</v>
      </c>
      <c r="S191" s="497">
        <f>((((mamiabc!S26-mamiabc!S36-mamiabc!S37-mamiabc!S50+mamiabc!S52+mamiabc!S49)/(1+mamiabc!S80/100)+mamiabc!S53/(1+mamiabc!S164/100)+mamiabc!S131/(1+mamiabc!S80/100)+(mamiabc!S12+mamiabc!S50)/(1+mamiabc!S83/100)+mamiabc!S19/(1+mamiabc!S81/100)-(mamiabc!S25+mamiabc!S26+mamiabc!S27)/(1+mamiabc!S82/100))/(mamiabc!R11+mamiabc!R52+mamiabc!R53))-1)*100</f>
        <v>7.4431113013391226</v>
      </c>
      <c r="T191" s="497">
        <f>((((mamiabc!T26-mamiabc!T36-mamiabc!T37-mamiabc!T50+mamiabc!T52+mamiabc!T49)/(1+mamiabc!T80/100)+mamiabc!T53/(1+mamiabc!T164/100)+mamiabc!T131/(1+mamiabc!T80/100)+(mamiabc!T12+mamiabc!T50)/(1+mamiabc!T83/100)+mamiabc!T19/(1+mamiabc!T81/100)-(mamiabc!T25+mamiabc!T26+mamiabc!T27)/(1+mamiabc!T82/100))/(mamiabc!S11+mamiabc!S52+mamiabc!S53))-1)*100</f>
        <v>3.8727460391801971</v>
      </c>
      <c r="U191" s="497">
        <f>((((mamiabc!U26-mamiabc!U36-mamiabc!U37-mamiabc!U50+mamiabc!U52+mamiabc!U49)/(1+mamiabc!U80/100)+mamiabc!U53/(1+mamiabc!U164/100)+mamiabc!U131/(1+mamiabc!U80/100)+(mamiabc!U12+mamiabc!U50)/(1+mamiabc!U83/100)+mamiabc!U19/(1+mamiabc!U81/100)-(mamiabc!U25+mamiabc!U26+mamiabc!U27)/(1+mamiabc!U82/100))/(mamiabc!T11+mamiabc!T52+mamiabc!T53))-1)*100</f>
        <v>-1.4787942122143183</v>
      </c>
      <c r="V191" s="497">
        <f>((((mamiabc!V26-mamiabc!V36-mamiabc!V37-mamiabc!V50+mamiabc!V52+mamiabc!V49)/(1+mamiabc!V80/100)+mamiabc!V53/(1+mamiabc!V164/100)+mamiabc!V131/(1+mamiabc!V80/100)+(mamiabc!V12+mamiabc!V50)/(1+mamiabc!V83/100)+mamiabc!V19/(1+mamiabc!V81/100)-(mamiabc!V25+mamiabc!V26+mamiabc!V27)/(1+mamiabc!V82/100))/(mamiabc!U11+mamiabc!U52+mamiabc!U53))-1)*100</f>
        <v>-0.58867939469112729</v>
      </c>
      <c r="W191" s="497">
        <f>((((mamiabc!W26-mamiabc!W36-mamiabc!W37-mamiabc!W50+mamiabc!W52+mamiabc!W49)/(1+mamiabc!W80/100)+mamiabc!W53/(1+mamiabc!W164/100)+mamiabc!W131/(1+mamiabc!W80/100)+(mamiabc!W12+mamiabc!W50)/(1+mamiabc!W83/100)+mamiabc!W19/(1+mamiabc!W81/100)-(mamiabc!W25+mamiabc!W26+mamiabc!W27)/(1+mamiabc!W82/100))/(mamiabc!V11+mamiabc!V52+mamiabc!V53))-1)*100</f>
        <v>11.590895074984742</v>
      </c>
      <c r="X191" s="497">
        <f>((((mamiabc!X26-mamiabc!X36-mamiabc!X37-mamiabc!X50+mamiabc!X52+mamiabc!X49)/(1+mamiabc!X80/100)+mamiabc!X53/(1+mamiabc!X164/100)+mamiabc!X131/(1+mamiabc!X80/100)+(mamiabc!X12+mamiabc!X50)/(1+mamiabc!X83/100)+mamiabc!X19/(1+mamiabc!X81/100)-(mamiabc!X25+mamiabc!X26+mamiabc!X27)/(1+mamiabc!X82/100))/(mamiabc!W11+mamiabc!W52+mamiabc!W53))-1)*100</f>
        <v>2.8159626763017531</v>
      </c>
      <c r="Y191" s="497">
        <f>((((mamiabc!Y26-mamiabc!Y36-mamiabc!Y37-mamiabc!Y50+mamiabc!Y52+mamiabc!Y49)/(1+mamiabc!Y80/100)+mamiabc!Y53/(1+mamiabc!Y164/100)+mamiabc!Y131/(1+mamiabc!Y80/100)+(mamiabc!Y12+mamiabc!Y50)/(1+mamiabc!Y83/100)+mamiabc!Y19/(1+mamiabc!Y81/100)-(mamiabc!Y25+mamiabc!Y26+mamiabc!Y27)/(1+mamiabc!Y82/100))/(mamiabc!X11+mamiabc!X52+mamiabc!X53))-1)*100</f>
        <v>6.7762854372849013</v>
      </c>
      <c r="Z191" s="497">
        <f>((((mamiabc!Z26-mamiabc!Z36-mamiabc!Z37-mamiabc!Z50+mamiabc!Z52+mamiabc!Z49)/(1+mamiabc!Z80/100)+mamiabc!Z53/(1+mamiabc!Z164/100)+mamiabc!Z131/(1+mamiabc!Z80/100)+(mamiabc!Z12+mamiabc!Z50)/(1+mamiabc!Z83/100)+mamiabc!Z19/(1+mamiabc!Z81/100)-(mamiabc!Z25+mamiabc!Z26+mamiabc!Z27)/(1+mamiabc!Z82/100))/(mamiabc!Y11+mamiabc!Y52+mamiabc!Y53))-1)*100</f>
        <v>9.6086560858199341</v>
      </c>
      <c r="AA191" s="497">
        <f>((((mamiabc!AA26-mamiabc!AA36-mamiabc!AA37-mamiabc!AA50+mamiabc!AA52+mamiabc!AA49)/(1+mamiabc!AA80/100)+mamiabc!AA53/(1+mamiabc!AA164/100)+mamiabc!AA131/(1+mamiabc!AA80/100)+(mamiabc!AA12+mamiabc!AA50)/(1+mamiabc!AA83/100)+mamiabc!AA19/(1+mamiabc!AA81/100)-(mamiabc!AA25+mamiabc!AA26+mamiabc!AA27)/(1+mamiabc!AA82/100))/(mamiabc!Z11+mamiabc!Z52+mamiabc!Z53))-1)*100</f>
        <v>0.5490261946329511</v>
      </c>
      <c r="AB191" s="497">
        <f>((((mamiabc!AB26-mamiabc!AB36-mamiabc!AB37-mamiabc!AB50+mamiabc!AB52+mamiabc!AB49)/(1+mamiabc!AB80/100)+mamiabc!AB53/(1+mamiabc!AB164/100)+mamiabc!AB131/(1+mamiabc!AB80/100)+(mamiabc!AB12+mamiabc!AB50)/(1+mamiabc!AB83/100)+mamiabc!AB19/(1+mamiabc!AB81/100)-(mamiabc!AB25+mamiabc!AB26+mamiabc!AB27)/(1+mamiabc!AB82/100))/(mamiabc!AA11+mamiabc!AA52+mamiabc!AA53))-1)*100</f>
        <v>-5.8612970586214725</v>
      </c>
      <c r="AC191" s="497">
        <f>((((mamiabc!AC26-mamiabc!AC36-mamiabc!AC37-mamiabc!AC50+mamiabc!AC52+mamiabc!AC49)/(1+mamiabc!AC80/100)+mamiabc!AC53/(1+mamiabc!AC164/100)+mamiabc!AC131/(1+mamiabc!AC80/100)+(mamiabc!AC12+mamiabc!AC50)/(1+mamiabc!AC83/100)+mamiabc!AC19/(1+mamiabc!AC81/100)-(mamiabc!AC25+mamiabc!AC26+mamiabc!AC27)/(1+mamiabc!AC82/100))/(mamiabc!AB11+mamiabc!AB52+mamiabc!AB53))-1)*100</f>
        <v>8.9964549011258619</v>
      </c>
      <c r="AD191" s="497">
        <f>((((mamiabc!AD26-mamiabc!AD36-mamiabc!AD37-mamiabc!AD50+mamiabc!AD52+mamiabc!AD49)/(1+mamiabc!AD80/100)+mamiabc!AD53/(1+mamiabc!AD164/100)+mamiabc!AD131/(1+mamiabc!AD80/100)+(mamiabc!AD12+mamiabc!AD50)/(1+mamiabc!AD83/100)+mamiabc!AD19/(1+mamiabc!AD81/100)-(mamiabc!AD25+mamiabc!AD26+mamiabc!AD27)/(1+mamiabc!AD82/100))/(mamiabc!AC11+mamiabc!AC52+mamiabc!AC53))-1)*100</f>
        <v>7.5712317465816303</v>
      </c>
      <c r="AE191" s="497">
        <f>((((mamiabc!AE26-mamiabc!AE36-mamiabc!AE37-mamiabc!AE50+mamiabc!AE52+mamiabc!AE49)/(1+mamiabc!AE80/100)+mamiabc!AE53/(1+mamiabc!AE164/100)+mamiabc!AE131/(1+mamiabc!AE80/100)+(mamiabc!AE12+mamiabc!AE50)/(1+mamiabc!AE83/100)+mamiabc!AE19/(1+mamiabc!AE81/100)-(mamiabc!AE25+mamiabc!AE26+mamiabc!AE27)/(1+mamiabc!AE82/100))/(mamiabc!AD11+mamiabc!AD52+mamiabc!AD53))-1)*100</f>
        <v>2.6294009547675357</v>
      </c>
      <c r="AF191" s="497">
        <f>((((mamiabc!AF26-mamiabc!AF36-mamiabc!AF37-mamiabc!AF50+mamiabc!AF52+mamiabc!AF49)/(1+mamiabc!AF80/100)+mamiabc!AF53/(1+mamiabc!AF164/100)+mamiabc!AF131/(1+mamiabc!AF80/100)+(mamiabc!AF12+mamiabc!AF50)/(1+mamiabc!AF83/100)+mamiabc!AF19/(1+mamiabc!AF81/100)-(mamiabc!AF25+mamiabc!AF26+mamiabc!AF27)/(1+mamiabc!AF82/100))/(mamiabc!AE11+mamiabc!AE52+mamiabc!AE53))-1)*100</f>
        <v>-1.2624874013094867</v>
      </c>
      <c r="AG191" s="497">
        <f>((((mamiabc!AG26-mamiabc!AG36-mamiabc!AG37-mamiabc!AG50+mamiabc!AG52+mamiabc!AG49)/(1+mamiabc!AG80/100)+mamiabc!AG53/(1+mamiabc!AG164/100)+mamiabc!AG131/(1+mamiabc!AG80/100)+(mamiabc!AG12+mamiabc!AG50)/(1+mamiabc!AG83/100)+mamiabc!AG19/(1+mamiabc!AG81/100)-(mamiabc!AG25+mamiabc!AG26+mamiabc!AG27)/(1+mamiabc!AG82/100))/(mamiabc!AF11+mamiabc!AF52+mamiabc!AF53))-1)*100</f>
        <v>1.892807109634087</v>
      </c>
      <c r="AH191" s="497">
        <f>((((mamiabc!AH26-mamiabc!AH36-mamiabc!AH37-mamiabc!AH50+mamiabc!AH52+mamiabc!AH49)/(1+mamiabc!AH80/100)+mamiabc!AH53/(1+mamiabc!AH164/100)+mamiabc!AH131/(1+mamiabc!AH80/100)+(mamiabc!AH12+mamiabc!AH50)/(1+mamiabc!AH83/100)+mamiabc!AH19/(1+mamiabc!AH81/100)-(mamiabc!AH25+mamiabc!AH26+mamiabc!AH27)/(1+mamiabc!AH82/100))/(mamiabc!AG11+mamiabc!AG52+mamiabc!AG53))-1)*100</f>
        <v>-2.7016649811639204</v>
      </c>
      <c r="AI191" s="497">
        <f>((((mamiabc!AI26-mamiabc!AI36-mamiabc!AI37-mamiabc!AI50+mamiabc!AI52+mamiabc!AI49)/(1+mamiabc!AI80/100)+mamiabc!AI53/(1+mamiabc!AI164/100)+mamiabc!AI131/(1+mamiabc!AI80/100)+(mamiabc!AI12+mamiabc!AI50)/(1+mamiabc!AI83/100)+mamiabc!AI19/(1+mamiabc!AI81/100)-(mamiabc!AI25+mamiabc!AI26+mamiabc!AI27)/(1+mamiabc!AI82/100))/(mamiabc!AH11+mamiabc!AH52+mamiabc!AH53))-1)*100</f>
        <v>-6.3849169179489129</v>
      </c>
      <c r="AJ191" s="497">
        <f>((((mamiabc!AJ26-mamiabc!AJ36-mamiabc!AJ37-mamiabc!AJ50+mamiabc!AJ52+mamiabc!AJ49)/(1+mamiabc!AJ80/100)+mamiabc!AJ53/(1+mamiabc!AJ164/100)+mamiabc!AJ131/(1+mamiabc!AJ80/100)+(mamiabc!AJ12+mamiabc!AJ50)/(1+mamiabc!AJ83/100)+mamiabc!AJ19/(1+mamiabc!AJ81/100)-(mamiabc!AJ25+mamiabc!AJ26+mamiabc!AJ27)/(1+mamiabc!AJ82/100))/(mamiabc!AI11+mamiabc!AI52+mamiabc!AI53))-1)*100</f>
        <v>-7.316521123956143</v>
      </c>
      <c r="AK191" s="497">
        <f>((((mamiabc!AK26-mamiabc!AK36-mamiabc!AK37-mamiabc!AK50+mamiabc!AK52+mamiabc!AK49)/(1+mamiabc!AK80/100)+mamiabc!AK53/(1+mamiabc!AK164/100)+mamiabc!AK131/(1+mamiabc!AK80/100)+(mamiabc!AK12+mamiabc!AK50)/(1+mamiabc!AK83/100)+mamiabc!AK19/(1+mamiabc!AK81/100)-(mamiabc!AK25+mamiabc!AK26+mamiabc!AK27)/(1+mamiabc!AK82/100))/(mamiabc!AJ11+mamiabc!AJ52+mamiabc!AJ53))-1)*100</f>
        <v>1.6750049684012058</v>
      </c>
      <c r="AL191" s="497">
        <f>((((mamiabc!AL26-mamiabc!AL36-mamiabc!AL37-mamiabc!AL50+mamiabc!AL52+mamiabc!AL49)/(1+mamiabc!AL80/100)+mamiabc!AL53/(1+mamiabc!AL164/100)+mamiabc!AL131/(1+mamiabc!AL80/100)+(mamiabc!AL12+mamiabc!AL50)/(1+mamiabc!AL83/100)+mamiabc!AL19/(1+mamiabc!AL81/100)-(mamiabc!AL25+mamiabc!AL26+mamiabc!AL27)/(1+mamiabc!AL82/100))/(mamiabc!AK11+mamiabc!AK52+mamiabc!AK53))-1)*100</f>
        <v>-20.037144502372108</v>
      </c>
      <c r="AM191" s="497">
        <f>((((mamiabc!AM26-mamiabc!AM36-mamiabc!AM37-mamiabc!AM50+mamiabc!AM52+mamiabc!AM49)/(1+mamiabc!AM80/100)+mamiabc!AM53/(1+mamiabc!AM164/100)+mamiabc!AM131/(1+mamiabc!AM80/100)+(mamiabc!AM12+mamiabc!AM50)/(1+mamiabc!AM83/100)+mamiabc!AM19/(1+mamiabc!AM81/100)-(mamiabc!AM25+mamiabc!AM26+mamiabc!AM27)/(1+mamiabc!AM82/100))/(mamiabc!AL11+mamiabc!AL52+mamiabc!AL53))-1)*100</f>
        <v>-15.39331750712023</v>
      </c>
      <c r="AN191" s="497">
        <f>((((mamiabc!AN26-mamiabc!AN36-mamiabc!AN37-mamiabc!AN50+mamiabc!AN52+mamiabc!AN49)/(1+mamiabc!AN80/100)+mamiabc!AN53/(1+mamiabc!AN164/100)+mamiabc!AN131/(1+mamiabc!AN80/100)+(mamiabc!AN12+mamiabc!AN50)/(1+mamiabc!AN83/100)+mamiabc!AN19/(1+mamiabc!AN81/100)-(mamiabc!AN25+mamiabc!AN26+mamiabc!AN27)/(1+mamiabc!AN82/100))/(mamiabc!AM11+mamiabc!AM52+mamiabc!AM53))-1)*100</f>
        <v>1.5835798153984504</v>
      </c>
      <c r="AO191" s="497">
        <f>((((mamiabc!AO26-mamiabc!AO36-mamiabc!AO37-mamiabc!AO50+mamiabc!AO52+mamiabc!AO49)/(1+mamiabc!AO80/100)+mamiabc!AO53/(1+mamiabc!AO164/100)+mamiabc!AO131/(1+mamiabc!AO80/100)+(mamiabc!AO12+mamiabc!AO50)/(1+mamiabc!AO83/100)+mamiabc!AO19/(1+mamiabc!AO81/100)-(mamiabc!AO25+mamiabc!AO26+mamiabc!AO27)/(1+mamiabc!AO82/100))/(mamiabc!AN11+mamiabc!AN52+mamiabc!AN53))-1)*100</f>
        <v>-3.338318944295382</v>
      </c>
      <c r="AP191" s="497">
        <f>((((mamiabc!AP26-mamiabc!AP36-mamiabc!AP37-mamiabc!AP50+mamiabc!AP52+mamiabc!AP49)/(1+mamiabc!AP80/100)+mamiabc!AP53/(1+mamiabc!AP164/100)+mamiabc!AP131/(1+mamiabc!AP80/100)+(mamiabc!AP12+mamiabc!AP50)/(1+mamiabc!AP83/100)+mamiabc!AP19/(1+mamiabc!AP81/100)-(mamiabc!AP25+mamiabc!AP26+mamiabc!AP27)/(1+mamiabc!AP82/100))/(mamiabc!AO11+mamiabc!AO52+mamiabc!AO53))-1)*100</f>
        <v>32.571485303974981</v>
      </c>
      <c r="AQ191" s="497">
        <f>((((mamiabc!AQ26-mamiabc!AQ36-mamiabc!AQ37-mamiabc!AQ50+mamiabc!AQ52+mamiabc!AQ49)/(1+mamiabc!AQ80/100)+mamiabc!AQ53/(1+mamiabc!AQ164/100)+mamiabc!AQ131/(1+mamiabc!AQ80/100)+(mamiabc!AQ12+mamiabc!AQ50)/(1+mamiabc!AQ83/100)+mamiabc!AQ19/(1+mamiabc!AQ81/100)-(mamiabc!AQ25+mamiabc!AQ26+mamiabc!AQ27)/(1+mamiabc!AQ82/100))/(mamiabc!AP11+mamiabc!AP52+mamiabc!AP53))-1)*100</f>
        <v>10.552489252608233</v>
      </c>
      <c r="AR191" s="497">
        <f>((((mamiabc!AR26-mamiabc!AR36-mamiabc!AR37-mamiabc!AR50+mamiabc!AR52+mamiabc!AR49)/(1+mamiabc!AR80/100)+mamiabc!AR53/(1+mamiabc!AR164/100)+mamiabc!AR131/(1+mamiabc!AR80/100)+(mamiabc!AR12+mamiabc!AR50)/(1+mamiabc!AR83/100)+mamiabc!AR19/(1+mamiabc!AR81/100)-(mamiabc!AR25+mamiabc!AR26+mamiabc!AR27)/(1+mamiabc!AR82/100))/(mamiabc!AQ11+mamiabc!AQ52+mamiabc!AQ53))-1)*100</f>
        <v>-6.0135052911306826</v>
      </c>
      <c r="AS191" s="497">
        <f>((((mamiabc!AS26-mamiabc!AS36-mamiabc!AS37-mamiabc!AS50+mamiabc!AS52+mamiabc!AS49)/(1+mamiabc!AS80/100)+mamiabc!AS53/(1+mamiabc!AS164/100)+mamiabc!AS131/(1+mamiabc!AS80/100)+(mamiabc!AS12+mamiabc!AS50)/(1+mamiabc!AS83/100)+mamiabc!AS19/(1+mamiabc!AS81/100)-(mamiabc!AS25+mamiabc!AS26+mamiabc!AS27)/(1+mamiabc!AS82/100))/(mamiabc!AR11+mamiabc!AR52+mamiabc!AR53))-1)*100</f>
        <v>-17.82208019879419</v>
      </c>
      <c r="AT191" s="497">
        <f>((((mamiabc!AT26-mamiabc!AT36-mamiabc!AT37-mamiabc!AT50+mamiabc!AT52+mamiabc!AT49)/(1+mamiabc!AT80/100)+mamiabc!AT53/(1+mamiabc!AT164/100)+mamiabc!AT131/(1+mamiabc!AT80/100)+(mamiabc!AT12+mamiabc!AT50)/(1+mamiabc!AT83/100)+mamiabc!AT19/(1+mamiabc!AT81/100)-(mamiabc!AT25+mamiabc!AT26+mamiabc!AT27)/(1+mamiabc!AT82/100))/(mamiabc!AS11+mamiabc!AS52+mamiabc!AS53))-1)*100</f>
        <v>-10.322482352725903</v>
      </c>
      <c r="AU191" s="497">
        <f>((((mamiabc!AU26-mamiabc!AU36-mamiabc!AU37-mamiabc!AU50+mamiabc!AU52+mamiabc!AU49)/(1+mamiabc!AU80/100)+mamiabc!AU53/(1+mamiabc!AU164/100)+mamiabc!AU131/(1+mamiabc!AU80/100)+(mamiabc!AU12+mamiabc!AU50)/(1+mamiabc!AU83/100)+mamiabc!AU19/(1+mamiabc!AU81/100)-(mamiabc!AU25+mamiabc!AU26+mamiabc!AU27)/(1+mamiabc!AU82/100))/(mamiabc!AT11+mamiabc!AT52+mamiabc!AT53))-1)*100</f>
        <v>-12.16986413698492</v>
      </c>
      <c r="AV191" s="497">
        <f>((((mamiabc!AV26-mamiabc!AV36-mamiabc!AV37-mamiabc!AV50+mamiabc!AV52+mamiabc!AV49)/(1+mamiabc!AV80/100)+mamiabc!AV53/(1+mamiabc!AV164/100)+mamiabc!AV131/(1+mamiabc!AV80/100)+(mamiabc!AV12+mamiabc!AV50)/(1+mamiabc!AV83/100)+mamiabc!AV19/(1+mamiabc!AV81/100)-(mamiabc!AV25+mamiabc!AV26+mamiabc!AV27)/(1+mamiabc!AV82/100))/(mamiabc!AU11+mamiabc!AU52+mamiabc!AU53))-1)*100</f>
        <v>30.251262560448346</v>
      </c>
      <c r="AW191" s="497">
        <f>((((mamiabc!AW26-mamiabc!AW36-mamiabc!AW37-mamiabc!AW50+mamiabc!AW52+mamiabc!AW49)/(1+mamiabc!AW80/100)+mamiabc!AW53/(1+mamiabc!AW164/100)+mamiabc!AW131/(1+mamiabc!AW80/100)+(mamiabc!AW12+mamiabc!AW50)/(1+mamiabc!AW83/100)+mamiabc!AW19/(1+mamiabc!AW81/100)-(mamiabc!AW25+mamiabc!AW26+mamiabc!AW27)/(1+mamiabc!AW82/100))/(mamiabc!AV11+mamiabc!AV52+mamiabc!AV53))-1)*100</f>
        <v>10.516163846753157</v>
      </c>
      <c r="AX191" s="497">
        <f>((((mamiabc!AX26-mamiabc!AX36-mamiabc!AX37-mamiabc!AX50+mamiabc!AX52+mamiabc!AX49)/(1+mamiabc!AX80/100)+mamiabc!AX53/(1+mamiabc!AX164/100)+mamiabc!AX131/(1+mamiabc!AX80/100)+(mamiabc!AX12+mamiabc!AX50)/(1+mamiabc!AX83/100)+mamiabc!AX19/(1+mamiabc!AX81/100)-(mamiabc!AX25+mamiabc!AX26+mamiabc!AX27)/(1+mamiabc!AX82/100))/(mamiabc!AW11+mamiabc!AW52+mamiabc!AW53))-1)*100</f>
        <v>4.8444330262840785</v>
      </c>
      <c r="AY191" s="497">
        <f>((((mamiabc!AY26-mamiabc!AY36-mamiabc!AY37-mamiabc!AY50+mamiabc!AY52+mamiabc!AY49)/(1+mamiabc!AY80/100)+mamiabc!AY53/(1+mamiabc!AY164/100)+mamiabc!AY131/(1+mamiabc!AY80/100)+(mamiabc!AY12+mamiabc!AY50)/(1+mamiabc!AY83/100)+mamiabc!AY19/(1+mamiabc!AY81/100)-(mamiabc!AY25+mamiabc!AY26+mamiabc!AY27)/(1+mamiabc!AY82/100))/(mamiabc!AX11+mamiabc!AX52+mamiabc!AX53))-1)*100</f>
        <v>-11.247276509561955</v>
      </c>
      <c r="AZ191" s="497">
        <f>((((mamiabc!AZ26-mamiabc!AZ36-mamiabc!AZ37-mamiabc!AZ50+mamiabc!AZ52+mamiabc!AZ49)/(1+mamiabc!AZ80/100)+mamiabc!AZ53/(1+mamiabc!AZ164/100)+mamiabc!AZ131/(1+mamiabc!AZ80/100)+(mamiabc!AZ12+mamiabc!AZ50)/(1+mamiabc!AZ83/100)+mamiabc!AZ19/(1+mamiabc!AZ81/100)-(mamiabc!AZ25+mamiabc!AZ26+mamiabc!AZ27)/(1+mamiabc!AZ82/100))/(mamiabc!AY11+mamiabc!AY52+mamiabc!AY53))-1)*100</f>
        <v>-12.01612625762365</v>
      </c>
      <c r="BA191" s="497">
        <f>((((mamiabc!BA26-mamiabc!BA36-mamiabc!BA37-mamiabc!BA50+mamiabc!BA52+mamiabc!BA49)/(1+mamiabc!BA80/100)+mamiabc!BA53/(1+mamiabc!BA164/100)+mamiabc!BA131/(1+mamiabc!BA80/100)+(mamiabc!BA12+mamiabc!BA50)/(1+mamiabc!BA83/100)+mamiabc!BA19/(1+mamiabc!BA81/100)-(mamiabc!BA25+mamiabc!BA26+mamiabc!BA27)/(1+mamiabc!BA82/100))/(mamiabc!AZ11+mamiabc!AZ52+mamiabc!AZ53))-1)*100</f>
        <v>5.9962289908655375</v>
      </c>
      <c r="BB191" s="497">
        <f>((((mamiabc!BB26-mamiabc!BB36-mamiabc!BB37-mamiabc!BB50+mamiabc!BB52+mamiabc!BB49)/(1+mamiabc!BB80/100)+mamiabc!BB53/(1+mamiabc!BB164/100)+mamiabc!BB131/(1+mamiabc!BB80/100)+(mamiabc!BB12+mamiabc!BB50)/(1+mamiabc!BB83/100)+mamiabc!BB19/(1+mamiabc!BB81/100)-(mamiabc!BB25+mamiabc!BB26+mamiabc!BB27)/(1+mamiabc!BB82/100))/(mamiabc!BA11+mamiabc!BA52+mamiabc!BA53))-1)*100</f>
        <v>55.463148893395719</v>
      </c>
      <c r="BC191" s="497">
        <f t="shared" ref="BC191:BO191" ca="1" si="186">((((BC26-BC36-BC37-BC50+BC52+BC49)/(1+BC80/100)+BC53/(1+BC164/100)+BC131/(1+BC80/100)+(BC12+BC50)/(1+BC83/100)+BC19/(1+BC81/100)-(BC25+BC26+BC27)/(1+BC82/100))/(BB11+BB52+BB53))-1)*100</f>
        <v>6.3240792233004051</v>
      </c>
      <c r="BD191" s="497">
        <f t="shared" ca="1" si="186"/>
        <v>5.9066559094326676</v>
      </c>
      <c r="BE191" s="497">
        <f t="shared" ca="1" si="186"/>
        <v>1.3816864649917937</v>
      </c>
      <c r="BF191" s="497">
        <f t="shared" ca="1" si="186"/>
        <v>0.9820124642381467</v>
      </c>
      <c r="BG191" s="497">
        <f t="shared" ca="1" si="186"/>
        <v>1.473641847147511</v>
      </c>
      <c r="BH191" s="497">
        <f t="shared" ca="1" si="186"/>
        <v>1.2674965508223224</v>
      </c>
      <c r="BI191" s="497">
        <f t="shared" ca="1" si="186"/>
        <v>1.2259115325040648</v>
      </c>
      <c r="BJ191" s="497">
        <f t="shared" ca="1" si="186"/>
        <v>1.1235940853843829</v>
      </c>
      <c r="BK191" s="497">
        <f t="shared" ca="1" si="186"/>
        <v>1.250256336452904</v>
      </c>
      <c r="BL191" s="497">
        <f t="shared" ca="1" si="186"/>
        <v>1.2442528998027447</v>
      </c>
      <c r="BM191" s="497">
        <f t="shared" ca="1" si="186"/>
        <v>1.1872477924993019</v>
      </c>
      <c r="BN191" s="497">
        <f t="shared" ca="1" si="186"/>
        <v>1.1668110302859747</v>
      </c>
      <c r="BO191" s="497">
        <f t="shared" ca="1" si="186"/>
        <v>1.0979769345988544</v>
      </c>
      <c r="BP191" s="498"/>
      <c r="BQ191" s="493">
        <f t="shared" ca="1" si="182"/>
        <v>0</v>
      </c>
      <c r="BR191" s="493">
        <f t="shared" ca="1" si="182"/>
        <v>0</v>
      </c>
      <c r="BS191" s="493">
        <f t="shared" ca="1" si="182"/>
        <v>6.6613381477509392E-14</v>
      </c>
      <c r="BT191" s="493">
        <f t="shared" ca="1" si="182"/>
        <v>9.9920072216264089E-13</v>
      </c>
      <c r="BU191" s="493">
        <f t="shared" ca="1" si="182"/>
        <v>1.0191847366058937E-11</v>
      </c>
      <c r="BV191" s="493">
        <f t="shared" ca="1" si="182"/>
        <v>8.921752225887758E-11</v>
      </c>
      <c r="BW191" s="493">
        <f t="shared" ca="1" si="182"/>
        <v>6.1721738831010953E-10</v>
      </c>
      <c r="BX191" s="493">
        <f t="shared" ca="1" si="182"/>
        <v>3.500111311893761E-9</v>
      </c>
      <c r="BY191" s="493">
        <f t="shared" ca="1" si="182"/>
        <v>1.6671286573455291E-8</v>
      </c>
      <c r="BZ191" s="493">
        <f t="shared" ca="1" si="182"/>
        <v>6.8398420260962212E-8</v>
      </c>
      <c r="CA191" s="493">
        <f t="shared" ca="1" si="182"/>
        <v>2.4644237761606291E-7</v>
      </c>
      <c r="CB191" s="493">
        <f t="shared" ca="1" si="182"/>
        <v>7.9455702017838803E-7</v>
      </c>
      <c r="CD191" s="496">
        <v>5.9066559094326676</v>
      </c>
      <c r="CE191" s="496">
        <v>1.3816864649917937</v>
      </c>
      <c r="CF191" s="496">
        <v>0.98201246423808009</v>
      </c>
      <c r="CG191" s="496">
        <v>1.4736418471465118</v>
      </c>
      <c r="CH191" s="496">
        <v>1.2674965508121305</v>
      </c>
      <c r="CI191" s="496">
        <v>1.2259115324148473</v>
      </c>
      <c r="CJ191" s="496">
        <v>1.1235940847671655</v>
      </c>
      <c r="CK191" s="496">
        <v>1.2502563329527927</v>
      </c>
      <c r="CL191" s="496">
        <v>1.2442528831314581</v>
      </c>
      <c r="CM191" s="496">
        <v>1.1872477241008816</v>
      </c>
      <c r="CN191" s="496">
        <v>1.166810783843597</v>
      </c>
      <c r="CO191" s="496">
        <v>1.0979761400418342</v>
      </c>
    </row>
    <row r="192" spans="1:93" s="493" customFormat="1" ht="15.75">
      <c r="A192" s="492" t="s">
        <v>35</v>
      </c>
      <c r="B192" s="492"/>
      <c r="C192" s="491" t="s">
        <v>1349</v>
      </c>
      <c r="D192" s="492"/>
      <c r="E192" s="492"/>
      <c r="F192" s="497" t="s">
        <v>1344</v>
      </c>
      <c r="G192" s="497">
        <f>+(mamiabc!G88/mamiabc!F88-1)*100</f>
        <v>3.3195020746887849</v>
      </c>
      <c r="H192" s="497">
        <f>+(mamiabc!H88/mamiabc!G88-1)*100</f>
        <v>30.000976194818342</v>
      </c>
      <c r="I192" s="497">
        <f>+(mamiabc!I88/mamiabc!H88-1)*100</f>
        <v>4.3999969360091429</v>
      </c>
      <c r="J192" s="497">
        <f>+(mamiabc!J88/mamiabc!I88-1)*100</f>
        <v>5.5999897957271561</v>
      </c>
      <c r="K192" s="497">
        <f>+(mamiabc!K88/mamiabc!J88-1)*100</f>
        <v>5.8287856546011874</v>
      </c>
      <c r="L192" s="497">
        <f>+(mamiabc!L88/mamiabc!K88-1)*100</f>
        <v>6.0240918828778245</v>
      </c>
      <c r="M192" s="497">
        <f>+(mamiabc!M88/mamiabc!L88-1)*100</f>
        <v>1.0957868181484365</v>
      </c>
      <c r="N192" s="497">
        <f>+(mamiabc!N88/mamiabc!M88-1)*100</f>
        <v>0.76275006916786126</v>
      </c>
      <c r="O192" s="497">
        <f>+(mamiabc!O88/mamiabc!N88-1)*100</f>
        <v>0.63743791854073972</v>
      </c>
      <c r="P192" s="497">
        <f>+(mamiabc!P88/mamiabc!O88-1)*100</f>
        <v>0.65242284010562646</v>
      </c>
      <c r="Q192" s="497">
        <f>+(mamiabc!Q88/mamiabc!P88-1)*100</f>
        <v>1.2649045491194721</v>
      </c>
      <c r="R192" s="497">
        <f>+(mamiabc!R88/mamiabc!Q88-1)*100</f>
        <v>0.472293618164632</v>
      </c>
      <c r="S192" s="497">
        <f>+(mamiabc!S88/mamiabc!R88-1)*100</f>
        <v>0.62469266048510441</v>
      </c>
      <c r="T192" s="497">
        <f>+(mamiabc!T88/mamiabc!S88-1)*100</f>
        <v>1.2355237076623116</v>
      </c>
      <c r="U192" s="497">
        <f>+(mamiabc!U88/mamiabc!T88-1)*100</f>
        <v>0.38555740892094459</v>
      </c>
      <c r="V192" s="497">
        <f>+(mamiabc!V88/mamiabc!U88-1)*100</f>
        <v>2.1986302907586186</v>
      </c>
      <c r="W192" s="497">
        <f>+(mamiabc!W88/mamiabc!V88-1)*100</f>
        <v>-5.3946153613050996</v>
      </c>
      <c r="X192" s="497">
        <f>+(mamiabc!X88/mamiabc!W88-1)*100</f>
        <v>-1.0572358594520215</v>
      </c>
      <c r="Y192" s="497">
        <f>+(mamiabc!Y88/mamiabc!X88-1)*100</f>
        <v>-2.8673545205692874</v>
      </c>
      <c r="Z192" s="497">
        <f>+(mamiabc!Z88/mamiabc!Y88-1)*100</f>
        <v>-1.3018659231471053</v>
      </c>
      <c r="AA192" s="497">
        <f>+(mamiabc!AA88/mamiabc!Z88-1)*100</f>
        <v>5.8532614942917949</v>
      </c>
      <c r="AB192" s="497">
        <f>+(mamiabc!AB88/mamiabc!AA88-1)*100</f>
        <v>-2.1806896012098065</v>
      </c>
      <c r="AC192" s="497">
        <f>+(mamiabc!AC88/mamiabc!AB88-1)*100</f>
        <v>1.4331125226292096</v>
      </c>
      <c r="AD192" s="497">
        <f>+(mamiabc!AD88/mamiabc!AC88-1)*100</f>
        <v>0.31396581291855963</v>
      </c>
      <c r="AE192" s="497">
        <f>+(mamiabc!AE88/mamiabc!AD88-1)*100</f>
        <v>-2.1909279886194621</v>
      </c>
      <c r="AF192" s="497">
        <f>+(mamiabc!AF88/mamiabc!AE88-1)*100</f>
        <v>1.0400086383354212</v>
      </c>
      <c r="AG192" s="497">
        <f>+(mamiabc!AG88/mamiabc!AF88-1)*100</f>
        <v>-0.31670028044887832</v>
      </c>
      <c r="AH192" s="497">
        <f>+(mamiabc!AH88/mamiabc!AG88-1)*100</f>
        <v>-0.11120658256457139</v>
      </c>
      <c r="AI192" s="497">
        <f>+(mamiabc!AI88/mamiabc!AH88-1)*100</f>
        <v>-2.194652445544798</v>
      </c>
      <c r="AJ192" s="497">
        <f>+(mamiabc!AJ88/mamiabc!AI88-1)*100</f>
        <v>-3.7886226432990444</v>
      </c>
      <c r="AK192" s="497">
        <f>+(mamiabc!AK88/mamiabc!AJ88-1)*100</f>
        <v>-3.6352851075072912</v>
      </c>
      <c r="AL192" s="497">
        <f>+(mamiabc!AL88/mamiabc!AK88-1)*100</f>
        <v>-6.4346930766601584</v>
      </c>
      <c r="AM192" s="497">
        <f>+(mamiabc!AM88/mamiabc!AL88-1)*100</f>
        <v>-6.0472035456558659</v>
      </c>
      <c r="AN192" s="497">
        <f>+(mamiabc!AN88/mamiabc!AM88-1)*100</f>
        <v>-6.5802293806768608</v>
      </c>
      <c r="AO192" s="497">
        <f>+(mamiabc!AO88/mamiabc!AN88-1)*100</f>
        <v>-8.3095784171032694</v>
      </c>
      <c r="AP192" s="497">
        <f>+(mamiabc!AP88/mamiabc!AO88-1)*100</f>
        <v>-4.69035401029676</v>
      </c>
      <c r="AQ192" s="497">
        <f>+(mamiabc!AQ88/mamiabc!AP88-1)*100</f>
        <v>1.6267608705133219</v>
      </c>
      <c r="AR192" s="497">
        <f>+(mamiabc!AR88/mamiabc!AQ88-1)*100</f>
        <v>0.98274826195177134</v>
      </c>
      <c r="AS192" s="497">
        <f>+(mamiabc!AS88/mamiabc!AR88-1)*100</f>
        <v>-5.1379031915345541</v>
      </c>
      <c r="AT192" s="497">
        <f>+(mamiabc!AT88/mamiabc!AS88-1)*100</f>
        <v>-8.6327390018815287</v>
      </c>
      <c r="AU192" s="497">
        <f>+(mamiabc!AU88/mamiabc!AT88-1)*100</f>
        <v>-6.7614611424368753</v>
      </c>
      <c r="AV192" s="497">
        <f>+(mamiabc!AV88/mamiabc!AU88-1)*100</f>
        <v>3.6211798909225879</v>
      </c>
      <c r="AW192" s="497">
        <f>+(mamiabc!AW88/mamiabc!AV88-1)*100</f>
        <v>-1.0638297872340385</v>
      </c>
      <c r="AX192" s="497">
        <f>+(mamiabc!AX88/mamiabc!AW88-1)*100</f>
        <v>-1.6830294530156831E-2</v>
      </c>
      <c r="AY192" s="497">
        <f>+(mamiabc!AY88/mamiabc!AX88-1)*100</f>
        <v>-3.5704933976733022</v>
      </c>
      <c r="AZ192" s="497">
        <f>+(mamiabc!AZ88/mamiabc!AY88-1)*100</f>
        <v>-0.11831565063908922</v>
      </c>
      <c r="BA192" s="497">
        <f>+(mamiabc!BA88/mamiabc!AZ88-1)*100</f>
        <v>-1.1826161255243162</v>
      </c>
      <c r="BB192" s="497">
        <f>+(mamiabc!BB88/mamiabc!BA88-1)*100</f>
        <v>0.97604259094943302</v>
      </c>
      <c r="BC192" s="497">
        <f t="shared" ref="BC192:BO192" si="187">+(BC88/BB88-1)*100</f>
        <v>2.7240773286467457</v>
      </c>
      <c r="BD192" s="497">
        <f t="shared" ca="1" si="187"/>
        <v>10.64146481453616</v>
      </c>
      <c r="BE192" s="497">
        <f t="shared" ca="1" si="187"/>
        <v>6.6510236129902811</v>
      </c>
      <c r="BF192" s="497">
        <f t="shared" ca="1" si="187"/>
        <v>2.4638949857798575</v>
      </c>
      <c r="BG192" s="497">
        <f t="shared" ca="1" si="187"/>
        <v>1.8420842562767215</v>
      </c>
      <c r="BH192" s="497">
        <f t="shared" ca="1" si="187"/>
        <v>1.717345848337537</v>
      </c>
      <c r="BI192" s="497">
        <f t="shared" ca="1" si="187"/>
        <v>1.5598351488355755</v>
      </c>
      <c r="BJ192" s="497">
        <f t="shared" ca="1" si="187"/>
        <v>1.4635301462736061</v>
      </c>
      <c r="BK192" s="497">
        <f t="shared" ca="1" si="187"/>
        <v>1.4428977785985175</v>
      </c>
      <c r="BL192" s="497">
        <f t="shared" ca="1" si="187"/>
        <v>1.471975775233636</v>
      </c>
      <c r="BM192" s="497">
        <f t="shared" ca="1" si="187"/>
        <v>1.4610729315441162</v>
      </c>
      <c r="BN192" s="497">
        <f t="shared" ca="1" si="187"/>
        <v>1.4421987812129666</v>
      </c>
      <c r="BO192" s="497">
        <f t="shared" ca="1" si="187"/>
        <v>1.4195903089333495</v>
      </c>
      <c r="BP192" s="498"/>
      <c r="BQ192" s="493">
        <f t="shared" ca="1" si="182"/>
        <v>0</v>
      </c>
      <c r="BR192" s="493">
        <f t="shared" ca="1" si="182"/>
        <v>0</v>
      </c>
      <c r="BS192" s="493">
        <f t="shared" ca="1" si="182"/>
        <v>2.2204460492503131E-14</v>
      </c>
      <c r="BT192" s="493">
        <f t="shared" ca="1" si="182"/>
        <v>1.3322676295501878E-13</v>
      </c>
      <c r="BU192" s="493">
        <f t="shared" ca="1" si="182"/>
        <v>1.5987211554602254E-12</v>
      </c>
      <c r="BV192" s="493">
        <f t="shared" ca="1" si="182"/>
        <v>1.2723155862204294E-11</v>
      </c>
      <c r="BW192" s="493">
        <f t="shared" ca="1" si="182"/>
        <v>7.9136697195281158E-11</v>
      </c>
      <c r="BX192" s="493">
        <f t="shared" ca="1" si="182"/>
        <v>4.0205616613775419E-10</v>
      </c>
      <c r="BY192" s="493">
        <f t="shared" ca="1" si="182"/>
        <v>1.716671249596402E-9</v>
      </c>
      <c r="BZ192" s="493">
        <f t="shared" ca="1" si="182"/>
        <v>6.3185012777466909E-9</v>
      </c>
      <c r="CA192" s="493">
        <f t="shared" ca="1" si="182"/>
        <v>2.0417867396815836E-8</v>
      </c>
      <c r="CB192" s="493">
        <f t="shared" ca="1" si="182"/>
        <v>5.9456084500197903E-8</v>
      </c>
      <c r="CD192" s="496">
        <v>10.64146481453616</v>
      </c>
      <c r="CE192" s="496">
        <v>6.6510236129902811</v>
      </c>
      <c r="CF192" s="496">
        <v>2.4638949857798353</v>
      </c>
      <c r="CG192" s="496">
        <v>1.8420842562765882</v>
      </c>
      <c r="CH192" s="496">
        <v>1.7173458483359383</v>
      </c>
      <c r="CI192" s="496">
        <v>1.5598351488228523</v>
      </c>
      <c r="CJ192" s="496">
        <v>1.4635301461944694</v>
      </c>
      <c r="CK192" s="496">
        <v>1.4428977781964614</v>
      </c>
      <c r="CL192" s="496">
        <v>1.4719757735169647</v>
      </c>
      <c r="CM192" s="496">
        <v>1.4610729252256149</v>
      </c>
      <c r="CN192" s="496">
        <v>1.4421987607950992</v>
      </c>
      <c r="CO192" s="496">
        <v>1.419590249477265</v>
      </c>
    </row>
    <row r="193" spans="1:93" s="493" customFormat="1" ht="15.75">
      <c r="A193" s="492" t="s">
        <v>36</v>
      </c>
      <c r="B193" s="492"/>
      <c r="C193" s="491" t="s">
        <v>37</v>
      </c>
      <c r="D193" s="492"/>
      <c r="E193" s="492"/>
      <c r="F193" s="497">
        <f t="shared" ref="F193:BO193" si="188">100*(-F176+F47)/F235</f>
        <v>6.2342038753159255</v>
      </c>
      <c r="G193" s="497">
        <f t="shared" si="188"/>
        <v>9.2816787732042023</v>
      </c>
      <c r="H193" s="497">
        <f t="shared" si="188"/>
        <v>9.8499224874212814</v>
      </c>
      <c r="I193" s="497">
        <f t="shared" si="188"/>
        <v>11.890560165136</v>
      </c>
      <c r="J193" s="497">
        <f t="shared" si="188"/>
        <v>10.031786290013999</v>
      </c>
      <c r="K193" s="497">
        <f t="shared" si="188"/>
        <v>9.590351814717943</v>
      </c>
      <c r="L193" s="497">
        <f t="shared" si="188"/>
        <v>13.254382844286271</v>
      </c>
      <c r="M193" s="497">
        <f t="shared" si="188"/>
        <v>19.242185161879135</v>
      </c>
      <c r="N193" s="497">
        <f t="shared" si="188"/>
        <v>14.12769651879249</v>
      </c>
      <c r="O193" s="497">
        <f t="shared" si="188"/>
        <v>18.170079806748987</v>
      </c>
      <c r="P193" s="497">
        <f t="shared" si="188"/>
        <v>10.18865120443964</v>
      </c>
      <c r="Q193" s="497">
        <f t="shared" si="188"/>
        <v>11.950803581963706</v>
      </c>
      <c r="R193" s="497">
        <f t="shared" si="188"/>
        <v>10.112609009769059</v>
      </c>
      <c r="S193" s="497">
        <f t="shared" si="188"/>
        <v>9.3249725825068808</v>
      </c>
      <c r="T193" s="497">
        <f t="shared" si="188"/>
        <v>9.7516829894842108</v>
      </c>
      <c r="U193" s="497">
        <f t="shared" si="188"/>
        <v>10.995345279129005</v>
      </c>
      <c r="V193" s="497">
        <f t="shared" si="188"/>
        <v>12.718857220339578</v>
      </c>
      <c r="W193" s="497">
        <f t="shared" si="188"/>
        <v>11.745266053589241</v>
      </c>
      <c r="X193" s="497">
        <f t="shared" si="188"/>
        <v>8.4132205094909356</v>
      </c>
      <c r="Y193" s="497">
        <f t="shared" si="188"/>
        <v>8.8099012004330355</v>
      </c>
      <c r="Z193" s="497">
        <f t="shared" si="188"/>
        <v>12.454360521407647</v>
      </c>
      <c r="AA193" s="497">
        <f t="shared" si="188"/>
        <v>7.687348333767738</v>
      </c>
      <c r="AB193" s="497">
        <f t="shared" si="188"/>
        <v>25.728155135555674</v>
      </c>
      <c r="AC193" s="497">
        <f t="shared" si="188"/>
        <v>27.391792339992115</v>
      </c>
      <c r="AD193" s="497">
        <f t="shared" si="188"/>
        <v>17.365293812942323</v>
      </c>
      <c r="AE193" s="497">
        <f t="shared" si="188"/>
        <v>17.406025388899678</v>
      </c>
      <c r="AF193" s="497">
        <f t="shared" si="188"/>
        <v>14.951022782108993</v>
      </c>
      <c r="AG193" s="497">
        <f t="shared" si="188"/>
        <v>23.308669382261993</v>
      </c>
      <c r="AH193" s="497">
        <f t="shared" si="188"/>
        <v>25.318145515908565</v>
      </c>
      <c r="AI193" s="497">
        <f t="shared" si="188"/>
        <v>18.136502293920735</v>
      </c>
      <c r="AJ193" s="497">
        <f t="shared" si="188"/>
        <v>15.028537629573947</v>
      </c>
      <c r="AK193" s="497">
        <f t="shared" si="188"/>
        <v>20.291070086096013</v>
      </c>
      <c r="AL193" s="497">
        <f t="shared" si="188"/>
        <v>25.502725247658958</v>
      </c>
      <c r="AM193" s="497">
        <f t="shared" si="188"/>
        <v>24.423027570677565</v>
      </c>
      <c r="AN193" s="497">
        <f t="shared" si="188"/>
        <v>22.105285709970264</v>
      </c>
      <c r="AO193" s="497">
        <f t="shared" si="188"/>
        <v>16.632190007649498</v>
      </c>
      <c r="AP193" s="497">
        <f t="shared" si="188"/>
        <v>8.9975045134299556</v>
      </c>
      <c r="AQ193" s="497">
        <f t="shared" si="188"/>
        <v>15.413282919074726</v>
      </c>
      <c r="AR193" s="497">
        <f t="shared" si="188"/>
        <v>14.051718585376106</v>
      </c>
      <c r="AS193" s="497">
        <f t="shared" si="188"/>
        <v>14.606152521110676</v>
      </c>
      <c r="AT193" s="497">
        <f t="shared" si="188"/>
        <v>17.547460363404337</v>
      </c>
      <c r="AU193" s="497">
        <f t="shared" si="188"/>
        <v>37.04022056420132</v>
      </c>
      <c r="AV193" s="497">
        <f t="shared" si="188"/>
        <v>23.841871809900123</v>
      </c>
      <c r="AW193" s="497">
        <f t="shared" si="188"/>
        <v>19.601387892575868</v>
      </c>
      <c r="AX193" s="497">
        <f t="shared" si="188"/>
        <v>25.804638132746835</v>
      </c>
      <c r="AY193" s="497">
        <f t="shared" si="188"/>
        <v>17.318538223397812</v>
      </c>
      <c r="AZ193" s="497">
        <f t="shared" si="188"/>
        <v>21.803329899035056</v>
      </c>
      <c r="BA193" s="497">
        <f t="shared" si="188"/>
        <v>8.5447848895819227</v>
      </c>
      <c r="BB193" s="497">
        <f t="shared" si="188"/>
        <v>15.038881471643469</v>
      </c>
      <c r="BC193" s="497">
        <f t="shared" ca="1" si="188"/>
        <v>6.0420307752345321</v>
      </c>
      <c r="BD193" s="497">
        <f t="shared" ca="1" si="188"/>
        <v>6.3800493048122826</v>
      </c>
      <c r="BE193" s="497">
        <f t="shared" ca="1" si="188"/>
        <v>5.3671574887328495</v>
      </c>
      <c r="BF193" s="497">
        <f t="shared" ca="1" si="188"/>
        <v>5.6750312787456973</v>
      </c>
      <c r="BG193" s="497">
        <f t="shared" ca="1" si="188"/>
        <v>5.896697490623537</v>
      </c>
      <c r="BH193" s="497">
        <f t="shared" ca="1" si="188"/>
        <v>5.9525785565338918</v>
      </c>
      <c r="BI193" s="497">
        <f t="shared" ca="1" si="188"/>
        <v>6.0585568490916666</v>
      </c>
      <c r="BJ193" s="497">
        <f t="shared" ca="1" si="188"/>
        <v>6.1254946607404364</v>
      </c>
      <c r="BK193" s="497">
        <f t="shared" ca="1" si="188"/>
        <v>6.3172058557499229</v>
      </c>
      <c r="BL193" s="497">
        <f t="shared" ca="1" si="188"/>
        <v>6.5117993040272433</v>
      </c>
      <c r="BM193" s="497">
        <f t="shared" ca="1" si="188"/>
        <v>6.7183130123348116</v>
      </c>
      <c r="BN193" s="497">
        <f t="shared" ca="1" si="188"/>
        <v>6.9570157445111009</v>
      </c>
      <c r="BO193" s="497">
        <f t="shared" ca="1" si="188"/>
        <v>7.2458739017928817</v>
      </c>
      <c r="BP193" s="498"/>
      <c r="BQ193" s="493">
        <f t="shared" ca="1" si="182"/>
        <v>0</v>
      </c>
      <c r="BR193" s="493">
        <f t="shared" ca="1" si="182"/>
        <v>0</v>
      </c>
      <c r="BS193" s="493">
        <f t="shared" ca="1" si="182"/>
        <v>-1.3322676295501878E-14</v>
      </c>
      <c r="BT193" s="493">
        <f t="shared" ca="1" si="182"/>
        <v>-1.9451107391432743E-13</v>
      </c>
      <c r="BU193" s="493">
        <f t="shared" ca="1" si="182"/>
        <v>-2.0108359422010835E-12</v>
      </c>
      <c r="BV193" s="493">
        <f t="shared" ca="1" si="182"/>
        <v>-1.6976642314148194E-11</v>
      </c>
      <c r="BW193" s="493">
        <f t="shared" ca="1" si="182"/>
        <v>-1.1355538731550041E-10</v>
      </c>
      <c r="BX193" s="493">
        <f t="shared" ca="1" si="182"/>
        <v>-6.2972294045948729E-10</v>
      </c>
      <c r="BY193" s="493">
        <f t="shared" ca="1" si="182"/>
        <v>-2.940882204427453E-9</v>
      </c>
      <c r="BZ193" s="493">
        <f t="shared" ca="1" si="182"/>
        <v>-1.1861910564903155E-8</v>
      </c>
      <c r="CA193" s="493">
        <f t="shared" ca="1" si="182"/>
        <v>-4.2140646527855097E-8</v>
      </c>
      <c r="CB193" s="493">
        <f t="shared" ca="1" si="182"/>
        <v>-1.3487654548782757E-7</v>
      </c>
      <c r="CD193" s="496">
        <v>6.3800493048122826</v>
      </c>
      <c r="CE193" s="496">
        <v>5.3671574887328495</v>
      </c>
      <c r="CF193" s="496">
        <v>5.6750312787457107</v>
      </c>
      <c r="CG193" s="496">
        <v>5.8966974906237315</v>
      </c>
      <c r="CH193" s="496">
        <v>5.9525785565359026</v>
      </c>
      <c r="CI193" s="496">
        <v>6.0585568491086432</v>
      </c>
      <c r="CJ193" s="496">
        <v>6.1254946608539917</v>
      </c>
      <c r="CK193" s="496">
        <v>6.3172058563796458</v>
      </c>
      <c r="CL193" s="496">
        <v>6.5117993069681255</v>
      </c>
      <c r="CM193" s="496">
        <v>6.7183130241967222</v>
      </c>
      <c r="CN193" s="496">
        <v>6.9570157866517475</v>
      </c>
      <c r="CO193" s="496">
        <v>7.2458740366694272</v>
      </c>
    </row>
    <row r="194" spans="1:93">
      <c r="A194" s="448" t="s">
        <v>38</v>
      </c>
      <c r="C194" s="442" t="s">
        <v>39</v>
      </c>
      <c r="D194" s="447"/>
      <c r="F194" s="456">
        <f t="shared" ref="F194:BO194" si="189">F143/F99</f>
        <v>161.43714256011515</v>
      </c>
      <c r="G194" s="456">
        <f t="shared" si="189"/>
        <v>163.08170489433263</v>
      </c>
      <c r="H194" s="456">
        <f t="shared" si="189"/>
        <v>164.40796484128225</v>
      </c>
      <c r="I194" s="456">
        <f t="shared" si="189"/>
        <v>164.76286877766836</v>
      </c>
      <c r="J194" s="456">
        <f t="shared" si="189"/>
        <v>166.56165373183046</v>
      </c>
      <c r="K194" s="456">
        <f t="shared" si="189"/>
        <v>167.68631401128408</v>
      </c>
      <c r="L194" s="456">
        <f t="shared" si="189"/>
        <v>171.96896519284658</v>
      </c>
      <c r="M194" s="456">
        <f t="shared" si="189"/>
        <v>167.7595617956128</v>
      </c>
      <c r="N194" s="456">
        <f t="shared" si="189"/>
        <v>166.6891203990665</v>
      </c>
      <c r="O194" s="456">
        <f t="shared" si="189"/>
        <v>168.42483921218607</v>
      </c>
      <c r="P194" s="456">
        <f t="shared" si="189"/>
        <v>172.24301497009762</v>
      </c>
      <c r="Q194" s="456">
        <f t="shared" si="189"/>
        <v>171.51236861786089</v>
      </c>
      <c r="R194" s="456">
        <f t="shared" si="189"/>
        <v>168.87099071349004</v>
      </c>
      <c r="S194" s="456">
        <f t="shared" si="189"/>
        <v>167.77974331173397</v>
      </c>
      <c r="T194" s="456">
        <f t="shared" si="189"/>
        <v>162.29751671736051</v>
      </c>
      <c r="U194" s="456">
        <f t="shared" si="189"/>
        <v>160.86515136438587</v>
      </c>
      <c r="V194" s="456">
        <f t="shared" si="189"/>
        <v>155.95746937180698</v>
      </c>
      <c r="W194" s="456">
        <f t="shared" si="189"/>
        <v>156.19566616471303</v>
      </c>
      <c r="X194" s="456">
        <f t="shared" si="189"/>
        <v>156.39991374994182</v>
      </c>
      <c r="Y194" s="456">
        <f t="shared" si="189"/>
        <v>167.21223803962303</v>
      </c>
      <c r="Z194" s="456">
        <f t="shared" si="189"/>
        <v>183.1786187715222</v>
      </c>
      <c r="AA194" s="456">
        <f t="shared" si="189"/>
        <v>195.27947027392739</v>
      </c>
      <c r="AB194" s="456">
        <f t="shared" si="189"/>
        <v>247.2122644468181</v>
      </c>
      <c r="AC194" s="456">
        <f t="shared" si="189"/>
        <v>264.4111452692029</v>
      </c>
      <c r="AD194" s="456">
        <f t="shared" si="189"/>
        <v>218.30472565916071</v>
      </c>
      <c r="AE194" s="456">
        <f t="shared" si="189"/>
        <v>223.23469655270003</v>
      </c>
      <c r="AF194" s="456">
        <f t="shared" si="189"/>
        <v>253.59883121833082</v>
      </c>
      <c r="AG194" s="456">
        <f t="shared" si="189"/>
        <v>289.34110086254714</v>
      </c>
      <c r="AH194" s="456">
        <f t="shared" si="189"/>
        <v>313.59880772374925</v>
      </c>
      <c r="AI194" s="456">
        <f t="shared" si="189"/>
        <v>291.41396064133869</v>
      </c>
      <c r="AJ194" s="456">
        <f t="shared" si="189"/>
        <v>162.00219894073257</v>
      </c>
      <c r="AK194" s="456">
        <f t="shared" si="189"/>
        <v>107.36632370898704</v>
      </c>
      <c r="AL194" s="456">
        <f t="shared" si="189"/>
        <v>109.60666682957267</v>
      </c>
      <c r="AM194" s="456">
        <f t="shared" si="189"/>
        <v>56.397716763640652</v>
      </c>
      <c r="AN194" s="456">
        <f t="shared" si="189"/>
        <v>89.787092875866662</v>
      </c>
      <c r="AO194" s="456">
        <f t="shared" si="189"/>
        <v>149.25489866433023</v>
      </c>
      <c r="AP194" s="456">
        <f t="shared" si="189"/>
        <v>19.383752646566442</v>
      </c>
      <c r="AQ194" s="456">
        <f t="shared" si="189"/>
        <v>-25.714286569119835</v>
      </c>
      <c r="AR194" s="456">
        <f t="shared" si="189"/>
        <v>-28.907563025210084</v>
      </c>
      <c r="AS194" s="456">
        <f t="shared" si="189"/>
        <v>1287.5630252100843</v>
      </c>
      <c r="AT194" s="456">
        <f t="shared" si="189"/>
        <v>13766.890756302522</v>
      </c>
      <c r="AU194" s="456">
        <f t="shared" si="189"/>
        <v>167.29505318365636</v>
      </c>
      <c r="AV194" s="456">
        <f t="shared" si="189"/>
        <v>175.57036944738644</v>
      </c>
      <c r="AW194" s="456">
        <f t="shared" si="189"/>
        <v>179.72942643391519</v>
      </c>
      <c r="AX194" s="456">
        <f t="shared" si="189"/>
        <v>175.00498753117208</v>
      </c>
      <c r="AY194" s="456">
        <f t="shared" si="189"/>
        <v>133.40388417257819</v>
      </c>
      <c r="AZ194" s="456">
        <f t="shared" si="189"/>
        <v>171.39259594360252</v>
      </c>
      <c r="BA194" s="456">
        <f t="shared" si="189"/>
        <v>220.92081707596969</v>
      </c>
      <c r="BB194" s="456">
        <f t="shared" si="189"/>
        <v>255.03355704697987</v>
      </c>
      <c r="BC194" s="456">
        <f t="shared" si="189"/>
        <v>288.200900987252</v>
      </c>
      <c r="BD194" s="456">
        <f t="shared" si="189"/>
        <v>361.12014453477866</v>
      </c>
      <c r="BE194" s="456">
        <f t="shared" ca="1" si="189"/>
        <v>465.34637095952553</v>
      </c>
      <c r="BF194" s="456">
        <f t="shared" ca="1" si="189"/>
        <v>544.79156529904037</v>
      </c>
      <c r="BG194" s="456">
        <f t="shared" ca="1" si="189"/>
        <v>602.28896115903922</v>
      </c>
      <c r="BH194" s="456">
        <f t="shared" ca="1" si="189"/>
        <v>639.32189244766005</v>
      </c>
      <c r="BI194" s="456">
        <f t="shared" ca="1" si="189"/>
        <v>656.68331574353761</v>
      </c>
      <c r="BJ194" s="456">
        <f t="shared" ca="1" si="189"/>
        <v>654.25596265876618</v>
      </c>
      <c r="BK194" s="456">
        <f t="shared" ca="1" si="189"/>
        <v>629.72299705728278</v>
      </c>
      <c r="BL194" s="456">
        <f t="shared" ca="1" si="189"/>
        <v>580.24205784046535</v>
      </c>
      <c r="BM194" s="456">
        <f t="shared" ca="1" si="189"/>
        <v>503.53957281139969</v>
      </c>
      <c r="BN194" s="456">
        <f t="shared" ca="1" si="189"/>
        <v>397.14323380805553</v>
      </c>
      <c r="BO194" s="456">
        <f t="shared" ca="1" si="189"/>
        <v>256.10068684073889</v>
      </c>
      <c r="BP194" s="457"/>
      <c r="BQ194" s="448">
        <f t="shared" si="182"/>
        <v>0</v>
      </c>
      <c r="BR194" s="448">
        <f t="shared" ca="1" si="182"/>
        <v>0</v>
      </c>
      <c r="BS194" s="448">
        <f t="shared" ca="1" si="182"/>
        <v>0</v>
      </c>
      <c r="BT194" s="448">
        <f t="shared" ca="1" si="182"/>
        <v>5.5706550483591855E-12</v>
      </c>
      <c r="BU194" s="448">
        <f t="shared" ca="1" si="182"/>
        <v>6.24140739091672E-11</v>
      </c>
      <c r="BV194" s="448">
        <f t="shared" ca="1" si="182"/>
        <v>5.5183591030072421E-10</v>
      </c>
      <c r="BW194" s="448">
        <f t="shared" ca="1" si="182"/>
        <v>3.8737653085263446E-9</v>
      </c>
      <c r="BX194" s="448">
        <f t="shared" ca="1" si="182"/>
        <v>2.2366634766513016E-8</v>
      </c>
      <c r="BY194" s="448">
        <f t="shared" ca="1" si="182"/>
        <v>1.0932433269772446E-7</v>
      </c>
      <c r="BZ194" s="448">
        <f t="shared" ca="1" si="182"/>
        <v>4.6369689243874745E-7</v>
      </c>
      <c r="CA194" s="448">
        <f t="shared" ca="1" si="182"/>
        <v>1.7372670981785632E-6</v>
      </c>
      <c r="CB194" s="448">
        <f t="shared" ca="1" si="182"/>
        <v>5.8403399521012034E-6</v>
      </c>
      <c r="CD194" s="439">
        <v>361.12014453477866</v>
      </c>
      <c r="CE194" s="439">
        <v>465.34637095952553</v>
      </c>
      <c r="CF194" s="439">
        <v>544.79156529904014</v>
      </c>
      <c r="CG194" s="439">
        <v>602.28896115903365</v>
      </c>
      <c r="CH194" s="439">
        <v>639.32189244759763</v>
      </c>
      <c r="CI194" s="439">
        <v>656.68331574298577</v>
      </c>
      <c r="CJ194" s="439">
        <v>654.25596265489241</v>
      </c>
      <c r="CK194" s="439">
        <v>629.72299703491615</v>
      </c>
      <c r="CL194" s="439">
        <v>580.24205773114102</v>
      </c>
      <c r="CM194" s="439">
        <v>503.5395723477028</v>
      </c>
      <c r="CN194" s="439">
        <v>397.14323207078843</v>
      </c>
      <c r="CO194" s="439">
        <v>256.10068100039894</v>
      </c>
    </row>
    <row r="195" spans="1:93" s="493" customFormat="1" ht="15.75">
      <c r="A195" s="492" t="s">
        <v>40</v>
      </c>
      <c r="B195" s="492"/>
      <c r="C195" s="491" t="s">
        <v>41</v>
      </c>
      <c r="D195" s="492"/>
      <c r="E195" s="492"/>
      <c r="F195" s="497"/>
      <c r="G195" s="497"/>
      <c r="H195" s="497"/>
      <c r="I195" s="497"/>
      <c r="J195" s="497"/>
      <c r="K195" s="497"/>
      <c r="L195" s="497"/>
      <c r="M195" s="497"/>
      <c r="N195" s="497"/>
      <c r="O195" s="497"/>
      <c r="P195" s="497"/>
      <c r="Q195" s="497"/>
      <c r="R195" s="497"/>
      <c r="S195" s="497"/>
      <c r="T195" s="497"/>
      <c r="U195" s="497"/>
      <c r="V195" s="497"/>
      <c r="W195" s="497"/>
      <c r="X195" s="497"/>
      <c r="Y195" s="497"/>
      <c r="Z195" s="497"/>
      <c r="AA195" s="497"/>
      <c r="AB195" s="497"/>
      <c r="AC195" s="497"/>
      <c r="AD195" s="497"/>
      <c r="AE195" s="497"/>
      <c r="AF195" s="497"/>
      <c r="AG195" s="497"/>
      <c r="AH195" s="497"/>
      <c r="AI195" s="497"/>
      <c r="AJ195" s="497"/>
      <c r="AK195" s="497"/>
      <c r="AL195" s="497"/>
      <c r="AM195" s="497"/>
      <c r="AN195" s="497"/>
      <c r="AO195" s="497"/>
      <c r="AP195" s="497"/>
      <c r="AQ195" s="497"/>
      <c r="AR195" s="497"/>
      <c r="AS195" s="497"/>
      <c r="AT195" s="497"/>
      <c r="AU195" s="497"/>
      <c r="AV195" s="497"/>
      <c r="AW195" s="497"/>
      <c r="AX195" s="497"/>
      <c r="AY195" s="497"/>
      <c r="AZ195" s="497">
        <f>12*AZ142/AZ25</f>
        <v>0.57140185653657749</v>
      </c>
      <c r="BA195" s="497">
        <f>12*BA142/BA25</f>
        <v>2.5193483161735659</v>
      </c>
      <c r="BB195" s="497">
        <f>12*BB142/BB25</f>
        <v>2.6843066639371411</v>
      </c>
      <c r="BC195" s="497">
        <f>12*BC142/BC25</f>
        <v>1.8483624525433053</v>
      </c>
      <c r="BD195" s="497">
        <f>12*BD142/BD25</f>
        <v>1.8162712257979843</v>
      </c>
      <c r="BE195" s="497">
        <f t="shared" ref="BE195:BO195" ca="1" si="190">12*BE142/BE25</f>
        <v>2.0881265493776082</v>
      </c>
      <c r="BF195" s="497">
        <f t="shared" ca="1" si="190"/>
        <v>2.2619584436235805</v>
      </c>
      <c r="BG195" s="497">
        <f t="shared" ca="1" si="190"/>
        <v>2.338915741440597</v>
      </c>
      <c r="BH195" s="497">
        <f t="shared" ca="1" si="190"/>
        <v>2.3313046865127398</v>
      </c>
      <c r="BI195" s="497">
        <f t="shared" ca="1" si="190"/>
        <v>2.2565626460771915</v>
      </c>
      <c r="BJ195" s="497">
        <f t="shared" ca="1" si="190"/>
        <v>2.1224952284854619</v>
      </c>
      <c r="BK195" s="497">
        <f t="shared" ca="1" si="190"/>
        <v>1.9293033414931178</v>
      </c>
      <c r="BL195" s="497">
        <f t="shared" ca="1" si="190"/>
        <v>1.6785935668101581</v>
      </c>
      <c r="BM195" s="497">
        <f t="shared" ca="1" si="190"/>
        <v>1.3759902313775263</v>
      </c>
      <c r="BN195" s="497">
        <f t="shared" ca="1" si="190"/>
        <v>1.0253914912906223</v>
      </c>
      <c r="BO195" s="497">
        <f t="shared" ca="1" si="190"/>
        <v>0.62504168863367593</v>
      </c>
      <c r="BP195" s="498"/>
      <c r="BQ195" s="493">
        <f t="shared" si="182"/>
        <v>0</v>
      </c>
      <c r="BR195" s="493">
        <f t="shared" ca="1" si="182"/>
        <v>0</v>
      </c>
      <c r="BS195" s="493">
        <f t="shared" ca="1" si="182"/>
        <v>0</v>
      </c>
      <c r="BT195" s="493">
        <f t="shared" ca="1" si="182"/>
        <v>-1.6431300764452317E-14</v>
      </c>
      <c r="BU195" s="493">
        <f t="shared" ca="1" si="182"/>
        <v>-1.9406698470447736E-13</v>
      </c>
      <c r="BV195" s="493">
        <f t="shared" ca="1" si="182"/>
        <v>-1.6431300764452317E-12</v>
      </c>
      <c r="BW195" s="493">
        <f t="shared" ca="1" si="182"/>
        <v>-1.1194156712690528E-11</v>
      </c>
      <c r="BX195" s="493">
        <f t="shared" ca="1" si="182"/>
        <v>-6.3484106860300926E-11</v>
      </c>
      <c r="BY195" s="493">
        <f t="shared" ca="1" si="182"/>
        <v>-3.0704083719967912E-10</v>
      </c>
      <c r="BZ195" s="493">
        <f t="shared" ca="1" si="182"/>
        <v>-1.2937881876950996E-9</v>
      </c>
      <c r="CA195" s="493">
        <f t="shared" ca="1" si="182"/>
        <v>-4.8221946435944574E-9</v>
      </c>
      <c r="CB195" s="493">
        <f t="shared" ca="1" si="182"/>
        <v>-1.6124129254002639E-8</v>
      </c>
      <c r="CD195" s="499">
        <v>1.8162712257979843</v>
      </c>
      <c r="CE195" s="499">
        <v>2.0881265493776082</v>
      </c>
      <c r="CF195" s="499">
        <v>2.2619584436235813</v>
      </c>
      <c r="CG195" s="499">
        <v>2.3389157414406134</v>
      </c>
      <c r="CH195" s="499">
        <v>2.3313046865129339</v>
      </c>
      <c r="CI195" s="499">
        <v>2.2565626460788346</v>
      </c>
      <c r="CJ195" s="499">
        <v>2.1224952284966561</v>
      </c>
      <c r="CK195" s="499">
        <v>1.9293033415566019</v>
      </c>
      <c r="CL195" s="499">
        <v>1.678593567117199</v>
      </c>
      <c r="CM195" s="499">
        <v>1.3759902326713145</v>
      </c>
      <c r="CN195" s="499">
        <v>1.025391496112817</v>
      </c>
      <c r="CO195" s="496">
        <v>0.62504170475780518</v>
      </c>
    </row>
    <row r="196" spans="1:93" s="493" customFormat="1" ht="15.75">
      <c r="A196" s="492" t="s">
        <v>42</v>
      </c>
      <c r="B196" s="492"/>
      <c r="C196" s="491" t="s">
        <v>43</v>
      </c>
      <c r="D196" s="492"/>
      <c r="E196" s="492"/>
      <c r="F196" s="497">
        <f t="shared" ref="F196:BO196" si="191">100*F175/F11</f>
        <v>35.720844811753899</v>
      </c>
      <c r="G196" s="497">
        <f t="shared" si="191"/>
        <v>38.898756660745981</v>
      </c>
      <c r="H196" s="497">
        <f t="shared" si="191"/>
        <v>33.415028233957315</v>
      </c>
      <c r="I196" s="497">
        <f t="shared" si="191"/>
        <v>33.755660534718139</v>
      </c>
      <c r="J196" s="497">
        <f t="shared" si="191"/>
        <v>32.309084761550771</v>
      </c>
      <c r="K196" s="497">
        <f t="shared" si="191"/>
        <v>25.146367796096044</v>
      </c>
      <c r="L196" s="497">
        <f t="shared" si="191"/>
        <v>22.197986462634887</v>
      </c>
      <c r="M196" s="497">
        <f t="shared" si="191"/>
        <v>26.350159890356817</v>
      </c>
      <c r="N196" s="497">
        <f t="shared" si="191"/>
        <v>22.733884292851581</v>
      </c>
      <c r="O196" s="497">
        <f t="shared" si="191"/>
        <v>27.483657788252867</v>
      </c>
      <c r="P196" s="497">
        <f t="shared" si="191"/>
        <v>25.085876382062789</v>
      </c>
      <c r="Q196" s="497">
        <f t="shared" si="191"/>
        <v>35.389738224103844</v>
      </c>
      <c r="R196" s="497">
        <f t="shared" si="191"/>
        <v>40.534973550151719</v>
      </c>
      <c r="S196" s="497">
        <f t="shared" si="191"/>
        <v>41.902762895763786</v>
      </c>
      <c r="T196" s="497">
        <f t="shared" si="191"/>
        <v>36.609057035456274</v>
      </c>
      <c r="U196" s="497">
        <f t="shared" si="191"/>
        <v>31.760079488628541</v>
      </c>
      <c r="V196" s="497">
        <f t="shared" si="191"/>
        <v>31.224906052884425</v>
      </c>
      <c r="W196" s="497">
        <f t="shared" si="191"/>
        <v>30.426108902033793</v>
      </c>
      <c r="X196" s="497">
        <f t="shared" si="191"/>
        <v>26.193294534551558</v>
      </c>
      <c r="Y196" s="497">
        <f t="shared" si="191"/>
        <v>30.601194657037034</v>
      </c>
      <c r="Z196" s="497">
        <f t="shared" si="191"/>
        <v>39.312474187607911</v>
      </c>
      <c r="AA196" s="497">
        <f t="shared" si="191"/>
        <v>31.450027385736199</v>
      </c>
      <c r="AB196" s="497">
        <f t="shared" si="191"/>
        <v>29.93572088686739</v>
      </c>
      <c r="AC196" s="497">
        <f t="shared" si="191"/>
        <v>34.354721037636828</v>
      </c>
      <c r="AD196" s="497">
        <f t="shared" si="191"/>
        <v>31.589476218246634</v>
      </c>
      <c r="AE196" s="497">
        <f t="shared" si="191"/>
        <v>34.348395195357952</v>
      </c>
      <c r="AF196" s="497">
        <f t="shared" si="191"/>
        <v>30.211818190167413</v>
      </c>
      <c r="AG196" s="497">
        <f t="shared" si="191"/>
        <v>33.038241414862604</v>
      </c>
      <c r="AH196" s="497">
        <f t="shared" si="191"/>
        <v>25.510687661448625</v>
      </c>
      <c r="AI196" s="497">
        <f t="shared" si="191"/>
        <v>17.85628067278866</v>
      </c>
      <c r="AJ196" s="497">
        <f t="shared" si="191"/>
        <v>17.82484058608128</v>
      </c>
      <c r="AK196" s="497">
        <f t="shared" si="191"/>
        <v>18.412363668937694</v>
      </c>
      <c r="AL196" s="497">
        <f t="shared" si="191"/>
        <v>29.139679207638473</v>
      </c>
      <c r="AM196" s="497">
        <f t="shared" si="191"/>
        <v>41.571761336756914</v>
      </c>
      <c r="AN196" s="497">
        <f t="shared" si="191"/>
        <v>45.002616046270674</v>
      </c>
      <c r="AO196" s="497">
        <f t="shared" si="191"/>
        <v>49.824401916364721</v>
      </c>
      <c r="AP196" s="497">
        <f t="shared" si="191"/>
        <v>53.606203089497562</v>
      </c>
      <c r="AQ196" s="497">
        <f t="shared" si="191"/>
        <v>56.013738299826912</v>
      </c>
      <c r="AR196" s="497">
        <f t="shared" si="191"/>
        <v>58.826651337633216</v>
      </c>
      <c r="AS196" s="497">
        <f t="shared" si="191"/>
        <v>73.349341863339731</v>
      </c>
      <c r="AT196" s="497">
        <f t="shared" si="191"/>
        <v>50.429550299744513</v>
      </c>
      <c r="AU196" s="497">
        <f t="shared" si="191"/>
        <v>48.109331487612181</v>
      </c>
      <c r="AV196" s="497">
        <f t="shared" si="191"/>
        <v>36.528439520818758</v>
      </c>
      <c r="AW196" s="497">
        <f t="shared" si="191"/>
        <v>39.71561709229082</v>
      </c>
      <c r="AX196" s="497">
        <f t="shared" si="191"/>
        <v>38.196536498600757</v>
      </c>
      <c r="AY196" s="497">
        <f t="shared" si="191"/>
        <v>42.155530271852179</v>
      </c>
      <c r="AZ196" s="497">
        <f t="shared" si="191"/>
        <v>36.435366057432944</v>
      </c>
      <c r="BA196" s="497">
        <f t="shared" si="191"/>
        <v>10.577735835269806</v>
      </c>
      <c r="BB196" s="497">
        <f t="shared" si="191"/>
        <v>40.467519575635507</v>
      </c>
      <c r="BC196" s="497">
        <f t="shared" si="191"/>
        <v>50.195296636389145</v>
      </c>
      <c r="BD196" s="497">
        <f t="shared" ca="1" si="191"/>
        <v>46.373746785484954</v>
      </c>
      <c r="BE196" s="497">
        <f t="shared" ca="1" si="191"/>
        <v>45.007076397300999</v>
      </c>
      <c r="BF196" s="497">
        <f t="shared" ca="1" si="191"/>
        <v>45.080237909786895</v>
      </c>
      <c r="BG196" s="497">
        <f t="shared" ca="1" si="191"/>
        <v>45.25712801397794</v>
      </c>
      <c r="BH196" s="497">
        <f t="shared" ca="1" si="191"/>
        <v>45.319670885900216</v>
      </c>
      <c r="BI196" s="497">
        <f t="shared" ca="1" si="191"/>
        <v>45.426964070936769</v>
      </c>
      <c r="BJ196" s="497">
        <f t="shared" ca="1" si="191"/>
        <v>45.489099366431873</v>
      </c>
      <c r="BK196" s="497">
        <f t="shared" ca="1" si="191"/>
        <v>45.575314817642763</v>
      </c>
      <c r="BL196" s="497">
        <f t="shared" ca="1" si="191"/>
        <v>45.596704459662185</v>
      </c>
      <c r="BM196" s="497">
        <f t="shared" ca="1" si="191"/>
        <v>45.579410685304275</v>
      </c>
      <c r="BN196" s="497">
        <f t="shared" ca="1" si="191"/>
        <v>45.543315522460965</v>
      </c>
      <c r="BO196" s="497">
        <f t="shared" ca="1" si="191"/>
        <v>45.354452928452751</v>
      </c>
      <c r="BP196" s="498"/>
      <c r="BQ196" s="448">
        <f t="shared" ca="1" si="182"/>
        <v>0</v>
      </c>
      <c r="BR196" s="448">
        <f t="shared" ca="1" si="182"/>
        <v>0</v>
      </c>
      <c r="BS196" s="448">
        <f t="shared" ca="1" si="182"/>
        <v>-9.2370555648813024E-14</v>
      </c>
      <c r="BT196" s="448">
        <f t="shared" ca="1" si="182"/>
        <v>-1.0587086762825493E-12</v>
      </c>
      <c r="BU196" s="448">
        <f t="shared" ca="1" si="182"/>
        <v>-1.1226575225009583E-11</v>
      </c>
      <c r="BV196" s="448">
        <f t="shared" ca="1" si="182"/>
        <v>-9.1660012913052924E-11</v>
      </c>
      <c r="BW196" s="448">
        <f t="shared" ca="1" si="182"/>
        <v>-5.9414873021523817E-10</v>
      </c>
      <c r="BX196" s="448">
        <f t="shared" ca="1" si="182"/>
        <v>-3.1467450867239677E-9</v>
      </c>
      <c r="BY196" s="448">
        <f t="shared" ca="1" si="182"/>
        <v>-1.4069698295315902E-8</v>
      </c>
      <c r="BZ196" s="448">
        <f t="shared" ca="1" si="182"/>
        <v>-5.44375069466696E-8</v>
      </c>
      <c r="CA196" s="448">
        <f t="shared" ca="1" si="182"/>
        <v>-1.8550191072108646E-7</v>
      </c>
      <c r="CB196" s="448">
        <f t="shared" ca="1" si="182"/>
        <v>-5.7197737390879411E-7</v>
      </c>
      <c r="CD196" s="496">
        <v>46.373746785484954</v>
      </c>
      <c r="CE196" s="496">
        <v>45.007076397300999</v>
      </c>
      <c r="CF196" s="496">
        <v>45.080237909786987</v>
      </c>
      <c r="CG196" s="496">
        <v>45.257128013978999</v>
      </c>
      <c r="CH196" s="496">
        <v>45.319670885911442</v>
      </c>
      <c r="CI196" s="496">
        <v>45.426964071028429</v>
      </c>
      <c r="CJ196" s="496">
        <v>45.489099367026022</v>
      </c>
      <c r="CK196" s="496">
        <v>45.575314820789508</v>
      </c>
      <c r="CL196" s="496">
        <v>45.596704473731883</v>
      </c>
      <c r="CM196" s="496">
        <v>45.579410739741782</v>
      </c>
      <c r="CN196" s="496">
        <v>45.543315707962876</v>
      </c>
      <c r="CO196" s="496">
        <v>45.354453500430125</v>
      </c>
    </row>
    <row r="197" spans="1:93" s="489" customFormat="1" ht="15.75">
      <c r="A197" s="486" t="s">
        <v>44</v>
      </c>
      <c r="B197" s="486"/>
      <c r="C197" s="487"/>
      <c r="D197" s="486"/>
      <c r="E197" s="486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88"/>
      <c r="Y197" s="488"/>
      <c r="Z197" s="488"/>
      <c r="AA197" s="488"/>
      <c r="AB197" s="488"/>
      <c r="AC197" s="488"/>
      <c r="AD197" s="488"/>
      <c r="AE197" s="488"/>
      <c r="AF197" s="488"/>
      <c r="AG197" s="488"/>
      <c r="AH197" s="488"/>
      <c r="AI197" s="488"/>
      <c r="AJ197" s="488"/>
      <c r="AK197" s="488"/>
      <c r="AL197" s="488"/>
      <c r="AM197" s="488"/>
      <c r="AN197" s="488"/>
      <c r="AO197" s="488"/>
      <c r="AP197" s="488"/>
      <c r="AQ197" s="488"/>
      <c r="AR197" s="488"/>
      <c r="AS197" s="488"/>
      <c r="AT197" s="488"/>
      <c r="AU197" s="488"/>
      <c r="AV197" s="488"/>
      <c r="AW197" s="488"/>
      <c r="AX197" s="488"/>
      <c r="AY197" s="488"/>
      <c r="AZ197" s="488"/>
      <c r="BA197" s="488"/>
      <c r="BB197" s="488"/>
      <c r="BC197" s="488"/>
      <c r="BD197" s="488"/>
      <c r="BE197" s="488"/>
      <c r="BF197" s="488"/>
      <c r="BG197" s="488"/>
      <c r="BH197" s="488"/>
      <c r="BI197" s="488"/>
      <c r="BJ197" s="488"/>
      <c r="BK197" s="488"/>
      <c r="BL197" s="488"/>
      <c r="BM197" s="488"/>
      <c r="BN197" s="488"/>
      <c r="BO197" s="488"/>
      <c r="BP197" s="500"/>
      <c r="BQ197" s="450"/>
      <c r="BR197" s="450"/>
      <c r="BS197" s="450"/>
      <c r="BT197" s="450"/>
      <c r="BU197" s="450"/>
      <c r="BV197" s="450"/>
      <c r="BW197" s="450"/>
      <c r="BX197" s="450"/>
      <c r="BY197" s="450"/>
      <c r="BZ197" s="450"/>
      <c r="CA197" s="450"/>
      <c r="CB197" s="450"/>
    </row>
    <row r="198" spans="1:93" s="493" customFormat="1" ht="15.75">
      <c r="A198" s="459" t="s">
        <v>2786</v>
      </c>
      <c r="B198" s="459"/>
      <c r="C198" s="491"/>
      <c r="D198" s="492"/>
      <c r="E198" s="492"/>
      <c r="F198" s="497"/>
      <c r="G198" s="497"/>
      <c r="H198" s="497"/>
      <c r="I198" s="497"/>
      <c r="J198" s="497"/>
      <c r="K198" s="497"/>
      <c r="L198" s="497"/>
      <c r="M198" s="497"/>
      <c r="N198" s="497"/>
      <c r="O198" s="497"/>
      <c r="P198" s="497"/>
      <c r="Q198" s="497"/>
      <c r="R198" s="497"/>
      <c r="S198" s="497"/>
      <c r="T198" s="497"/>
      <c r="U198" s="497"/>
      <c r="V198" s="497"/>
      <c r="W198" s="497"/>
      <c r="X198" s="497"/>
      <c r="Y198" s="497"/>
      <c r="Z198" s="497"/>
      <c r="AA198" s="497"/>
      <c r="AB198" s="497"/>
      <c r="AC198" s="497"/>
      <c r="AD198" s="497"/>
      <c r="AE198" s="497"/>
      <c r="AF198" s="497"/>
      <c r="AG198" s="497"/>
      <c r="AH198" s="497"/>
      <c r="AI198" s="497"/>
      <c r="AJ198" s="497"/>
      <c r="AK198" s="497"/>
      <c r="AL198" s="497"/>
      <c r="AM198" s="497"/>
      <c r="AN198" s="497"/>
      <c r="AO198" s="497"/>
      <c r="AP198" s="497"/>
      <c r="AQ198" s="497"/>
      <c r="AR198" s="497"/>
      <c r="AS198" s="497"/>
      <c r="AT198" s="497"/>
      <c r="AU198" s="497"/>
      <c r="AV198" s="497"/>
      <c r="AW198" s="497"/>
      <c r="AX198" s="497"/>
      <c r="AY198" s="497"/>
      <c r="AZ198" s="497"/>
      <c r="BA198" s="497"/>
      <c r="BB198" s="497"/>
      <c r="BC198" s="497"/>
      <c r="BD198" s="497"/>
      <c r="BE198" s="497"/>
      <c r="BF198" s="497"/>
      <c r="BG198" s="497"/>
      <c r="BH198" s="497"/>
      <c r="BI198" s="497"/>
      <c r="BJ198" s="497"/>
      <c r="BK198" s="497"/>
      <c r="BL198" s="497"/>
      <c r="BM198" s="497"/>
      <c r="BN198" s="497"/>
      <c r="BO198" s="497"/>
      <c r="BP198" s="498"/>
      <c r="BQ198" s="448"/>
      <c r="BR198" s="448"/>
      <c r="BS198" s="448"/>
      <c r="BT198" s="448"/>
      <c r="BU198" s="448"/>
      <c r="BV198" s="448"/>
      <c r="BW198" s="448"/>
      <c r="BX198" s="448"/>
      <c r="BY198" s="448"/>
      <c r="BZ198" s="448"/>
      <c r="CA198" s="448"/>
      <c r="CB198" s="448"/>
      <c r="CD198" s="496"/>
      <c r="CE198" s="496"/>
      <c r="CF198" s="496"/>
      <c r="CG198" s="496"/>
      <c r="CH198" s="496"/>
      <c r="CI198" s="496"/>
      <c r="CJ198" s="496"/>
      <c r="CK198" s="496"/>
      <c r="CL198" s="496"/>
      <c r="CM198" s="496"/>
      <c r="CN198" s="496"/>
      <c r="CO198" s="496"/>
    </row>
    <row r="199" spans="1:93">
      <c r="A199" s="447" t="s">
        <v>45</v>
      </c>
      <c r="B199" s="447"/>
      <c r="C199" s="442" t="s">
        <v>1349</v>
      </c>
      <c r="D199" s="447"/>
      <c r="E199" s="436" t="s">
        <v>46</v>
      </c>
      <c r="F199" s="477" t="s">
        <v>1344</v>
      </c>
      <c r="G199" s="477">
        <f t="shared" ref="G199:BO199" si="192">+((G131/F131)/(1+G80/100)-1)*100</f>
        <v>4.0230605339014236</v>
      </c>
      <c r="H199" s="477">
        <f t="shared" si="192"/>
        <v>8.5037692790381758</v>
      </c>
      <c r="I199" s="477">
        <f t="shared" si="192"/>
        <v>-1.0221594757134911</v>
      </c>
      <c r="J199" s="477">
        <f t="shared" si="192"/>
        <v>7.4030206857173653</v>
      </c>
      <c r="K199" s="477">
        <f t="shared" si="192"/>
        <v>16.018983819895617</v>
      </c>
      <c r="L199" s="477">
        <f t="shared" si="192"/>
        <v>4.4556363451892844</v>
      </c>
      <c r="M199" s="477">
        <f t="shared" si="192"/>
        <v>3.5489800728240928</v>
      </c>
      <c r="N199" s="477">
        <f t="shared" si="192"/>
        <v>1.9716601867507899</v>
      </c>
      <c r="O199" s="477">
        <f t="shared" si="192"/>
        <v>6.6915705982272033</v>
      </c>
      <c r="P199" s="477">
        <f t="shared" si="192"/>
        <v>2.0744643218632897</v>
      </c>
      <c r="Q199" s="477">
        <f t="shared" si="192"/>
        <v>21.084519631560859</v>
      </c>
      <c r="R199" s="477">
        <f t="shared" si="192"/>
        <v>17.609620064916754</v>
      </c>
      <c r="S199" s="477">
        <f t="shared" si="192"/>
        <v>22.546110684479959</v>
      </c>
      <c r="T199" s="477">
        <f t="shared" si="192"/>
        <v>4.0708630985095917</v>
      </c>
      <c r="U199" s="477">
        <f t="shared" si="192"/>
        <v>2.2513817085970667</v>
      </c>
      <c r="V199" s="477">
        <f t="shared" si="192"/>
        <v>5.1993455623449369</v>
      </c>
      <c r="W199" s="477">
        <f t="shared" si="192"/>
        <v>0.28006904910997665</v>
      </c>
      <c r="X199" s="477">
        <f t="shared" si="192"/>
        <v>4.0307836757236482</v>
      </c>
      <c r="Y199" s="477">
        <f t="shared" si="192"/>
        <v>4.5820158968517211</v>
      </c>
      <c r="Z199" s="477">
        <f t="shared" si="192"/>
        <v>-9.3834540207956678</v>
      </c>
      <c r="AA199" s="477">
        <f t="shared" si="192"/>
        <v>7.6793015809703657</v>
      </c>
      <c r="AB199" s="477">
        <f t="shared" si="192"/>
        <v>11.05075000522293</v>
      </c>
      <c r="AC199" s="477">
        <f t="shared" si="192"/>
        <v>26.294340112320146</v>
      </c>
      <c r="AD199" s="477">
        <f t="shared" si="192"/>
        <v>7.4237232344666504</v>
      </c>
      <c r="AE199" s="477">
        <f t="shared" si="192"/>
        <v>-5.3578535577173962</v>
      </c>
      <c r="AF199" s="477">
        <f t="shared" si="192"/>
        <v>-9.7763253423868495</v>
      </c>
      <c r="AG199" s="477">
        <f t="shared" si="192"/>
        <v>0.29219331691041628</v>
      </c>
      <c r="AH199" s="477">
        <f t="shared" si="192"/>
        <v>-0.1072494225204057</v>
      </c>
      <c r="AI199" s="477">
        <f t="shared" si="192"/>
        <v>1.8263617763253137</v>
      </c>
      <c r="AJ199" s="477">
        <f t="shared" si="192"/>
        <v>-6.9993727095987834</v>
      </c>
      <c r="AK199" s="477">
        <f t="shared" si="192"/>
        <v>-21.557709559402237</v>
      </c>
      <c r="AL199" s="477">
        <f t="shared" si="192"/>
        <v>-18.614987374782821</v>
      </c>
      <c r="AM199" s="477">
        <f t="shared" si="192"/>
        <v>-27.956525507405804</v>
      </c>
      <c r="AN199" s="477">
        <f t="shared" si="192"/>
        <v>12.703635989171991</v>
      </c>
      <c r="AO199" s="477">
        <f t="shared" si="192"/>
        <v>22.509336813384383</v>
      </c>
      <c r="AP199" s="477">
        <f t="shared" si="192"/>
        <v>18.233853278768251</v>
      </c>
      <c r="AQ199" s="477">
        <f t="shared" si="192"/>
        <v>11.060844636806033</v>
      </c>
      <c r="AR199" s="477">
        <f t="shared" si="192"/>
        <v>-3.5209382232549769</v>
      </c>
      <c r="AS199" s="477">
        <f t="shared" si="192"/>
        <v>-32.404643436213654</v>
      </c>
      <c r="AT199" s="477">
        <f t="shared" si="192"/>
        <v>-51.015423963340645</v>
      </c>
      <c r="AU199" s="477">
        <f t="shared" si="192"/>
        <v>-0.1696142610188911</v>
      </c>
      <c r="AV199" s="477">
        <f t="shared" si="192"/>
        <v>51.320592488934636</v>
      </c>
      <c r="AW199" s="477">
        <f t="shared" si="192"/>
        <v>25.029156316149901</v>
      </c>
      <c r="AX199" s="477">
        <f t="shared" si="192"/>
        <v>22.286982670109111</v>
      </c>
      <c r="AY199" s="477">
        <f t="shared" si="192"/>
        <v>-12.459750415652637</v>
      </c>
      <c r="AZ199" s="477">
        <f t="shared" si="192"/>
        <v>-26.432894761868887</v>
      </c>
      <c r="BA199" s="477">
        <f t="shared" si="192"/>
        <v>-16.562593500118219</v>
      </c>
      <c r="BB199" s="477">
        <f t="shared" si="192"/>
        <v>95.923858317474185</v>
      </c>
      <c r="BC199" s="477">
        <f t="shared" ca="1" si="192"/>
        <v>16.615620703765277</v>
      </c>
      <c r="BD199" s="477">
        <f t="shared" ca="1" si="192"/>
        <v>8.6754009722685765</v>
      </c>
      <c r="BE199" s="477">
        <f t="shared" ca="1" si="192"/>
        <v>3.9766911807541661</v>
      </c>
      <c r="BF199" s="477">
        <f t="shared" ca="1" si="192"/>
        <v>3.2982697156563656</v>
      </c>
      <c r="BG199" s="477">
        <f t="shared" ca="1" si="192"/>
        <v>3.3579805079941405</v>
      </c>
      <c r="BH199" s="477">
        <f t="shared" ca="1" si="192"/>
        <v>2.6826658327732789</v>
      </c>
      <c r="BI199" s="477">
        <f t="shared" ca="1" si="192"/>
        <v>2.4201669759456923</v>
      </c>
      <c r="BJ199" s="477">
        <f t="shared" ca="1" si="192"/>
        <v>2.134393100805454</v>
      </c>
      <c r="BK199" s="477">
        <f t="shared" ca="1" si="192"/>
        <v>2.3207977070640373</v>
      </c>
      <c r="BL199" s="477">
        <f t="shared" ca="1" si="192"/>
        <v>2.316143065112497</v>
      </c>
      <c r="BM199" s="477">
        <f t="shared" ca="1" si="192"/>
        <v>2.2144203944397978</v>
      </c>
      <c r="BN199" s="477">
        <f t="shared" ca="1" si="192"/>
        <v>2.1745606547600715</v>
      </c>
      <c r="BO199" s="477">
        <f t="shared" ca="1" si="192"/>
        <v>2.0516170011582791</v>
      </c>
      <c r="BP199" s="457"/>
      <c r="BQ199" s="448">
        <f t="shared" ref="BQ199:CB205" ca="1" si="193">+BD199-CD199</f>
        <v>0</v>
      </c>
      <c r="BR199" s="448">
        <f t="shared" ca="1" si="193"/>
        <v>0</v>
      </c>
      <c r="BS199" s="448">
        <f t="shared" ca="1" si="193"/>
        <v>1.1102230246251565E-13</v>
      </c>
      <c r="BT199" s="448">
        <f t="shared" ca="1" si="193"/>
        <v>1.1102230246251565E-12</v>
      </c>
      <c r="BU199" s="448">
        <f t="shared" ca="1" si="193"/>
        <v>1.0591527654923993E-11</v>
      </c>
      <c r="BV199" s="448">
        <f t="shared" ca="1" si="193"/>
        <v>8.3311135767871747E-11</v>
      </c>
      <c r="BW199" s="448">
        <f t="shared" ca="1" si="193"/>
        <v>5.1518789234705764E-10</v>
      </c>
      <c r="BX199" s="448">
        <f t="shared" ca="1" si="193"/>
        <v>2.603117721378112E-9</v>
      </c>
      <c r="BY199" s="448">
        <f t="shared" ca="1" si="193"/>
        <v>1.1044765102496967E-8</v>
      </c>
      <c r="BZ199" s="448">
        <f t="shared" ca="1" si="193"/>
        <v>4.0447623028683211E-8</v>
      </c>
      <c r="CA199" s="448">
        <f t="shared" ca="1" si="193"/>
        <v>1.3020426958831877E-7</v>
      </c>
      <c r="CB199" s="448">
        <f t="shared" ca="1" si="193"/>
        <v>3.7855474310788395E-7</v>
      </c>
      <c r="CD199" s="439">
        <v>8.6754009722685765</v>
      </c>
      <c r="CE199" s="439">
        <v>3.9766911807541661</v>
      </c>
      <c r="CF199" s="439">
        <v>3.2982697156562546</v>
      </c>
      <c r="CG199" s="439">
        <v>3.3579805079930303</v>
      </c>
      <c r="CH199" s="439">
        <v>2.6826658327626873</v>
      </c>
      <c r="CI199" s="439">
        <v>2.4201669758623812</v>
      </c>
      <c r="CJ199" s="439">
        <v>2.1343931002902661</v>
      </c>
      <c r="CK199" s="439">
        <v>2.3207977044609196</v>
      </c>
      <c r="CL199" s="439">
        <v>2.3161430540677319</v>
      </c>
      <c r="CM199" s="439">
        <v>2.2144203539921747</v>
      </c>
      <c r="CN199" s="439">
        <v>2.174560524555802</v>
      </c>
      <c r="CO199" s="439">
        <v>2.0516166226035359</v>
      </c>
    </row>
    <row r="200" spans="1:93">
      <c r="A200" s="447" t="s">
        <v>47</v>
      </c>
      <c r="B200" s="447"/>
      <c r="C200" s="442" t="s">
        <v>1349</v>
      </c>
      <c r="D200" s="447"/>
      <c r="E200" s="436" t="s">
        <v>48</v>
      </c>
      <c r="F200" s="477" t="s">
        <v>1344</v>
      </c>
      <c r="G200" s="477">
        <f t="shared" ref="G200:BO200" si="194">((((G26-G36-G37-G50+G52+G49)/(F26-F36-F37-F50+F49+F52))/(1+G80/100))-1)*100</f>
        <v>24.490390215492109</v>
      </c>
      <c r="H200" s="477">
        <f t="shared" si="194"/>
        <v>-23.503488552006846</v>
      </c>
      <c r="I200" s="477">
        <f t="shared" si="194"/>
        <v>0.68647274384414647</v>
      </c>
      <c r="J200" s="477">
        <f t="shared" si="194"/>
        <v>30.31449270734732</v>
      </c>
      <c r="K200" s="477">
        <f t="shared" si="194"/>
        <v>-16.022243876551812</v>
      </c>
      <c r="L200" s="477">
        <f t="shared" si="194"/>
        <v>17.017331955877179</v>
      </c>
      <c r="M200" s="477">
        <f t="shared" si="194"/>
        <v>-3.8466882484682885</v>
      </c>
      <c r="N200" s="477">
        <f t="shared" si="194"/>
        <v>26.587823160617873</v>
      </c>
      <c r="O200" s="477">
        <f t="shared" si="194"/>
        <v>-4.8746985194634718</v>
      </c>
      <c r="P200" s="477">
        <f t="shared" si="194"/>
        <v>-5.8963280463261043</v>
      </c>
      <c r="Q200" s="477">
        <f t="shared" si="194"/>
        <v>-8.0997188312578512</v>
      </c>
      <c r="R200" s="477">
        <f t="shared" si="194"/>
        <v>-0.64831487706831226</v>
      </c>
      <c r="S200" s="477">
        <f t="shared" si="194"/>
        <v>34.418560582718591</v>
      </c>
      <c r="T200" s="477">
        <f t="shared" si="194"/>
        <v>23.905743352965914</v>
      </c>
      <c r="U200" s="477">
        <f t="shared" si="194"/>
        <v>-15.318560450032038</v>
      </c>
      <c r="V200" s="477">
        <f t="shared" si="194"/>
        <v>-21.319404210714289</v>
      </c>
      <c r="W200" s="477">
        <f t="shared" si="194"/>
        <v>75.359924616978844</v>
      </c>
      <c r="X200" s="477">
        <f t="shared" si="194"/>
        <v>-49.969416759926908</v>
      </c>
      <c r="Y200" s="477">
        <f t="shared" si="194"/>
        <v>7.2453232684397184</v>
      </c>
      <c r="Z200" s="477">
        <f t="shared" si="194"/>
        <v>59.351566733072382</v>
      </c>
      <c r="AA200" s="477">
        <f t="shared" si="194"/>
        <v>22.38079857536799</v>
      </c>
      <c r="AB200" s="477">
        <f t="shared" si="194"/>
        <v>11.05189562221951</v>
      </c>
      <c r="AC200" s="477">
        <f t="shared" si="194"/>
        <v>70.246940446962242</v>
      </c>
      <c r="AD200" s="477">
        <f t="shared" si="194"/>
        <v>-16.871257057196409</v>
      </c>
      <c r="AE200" s="477">
        <f t="shared" si="194"/>
        <v>-29.453392263461652</v>
      </c>
      <c r="AF200" s="477">
        <f t="shared" si="194"/>
        <v>10.788316707563151</v>
      </c>
      <c r="AG200" s="477">
        <f t="shared" si="194"/>
        <v>34.295276550911069</v>
      </c>
      <c r="AH200" s="477">
        <f t="shared" si="194"/>
        <v>-4.5925727887505037</v>
      </c>
      <c r="AI200" s="477">
        <f t="shared" si="194"/>
        <v>5.0384472170450723</v>
      </c>
      <c r="AJ200" s="477">
        <f t="shared" si="194"/>
        <v>-16.611082460500025</v>
      </c>
      <c r="AK200" s="477">
        <f t="shared" si="194"/>
        <v>13.735283309200174</v>
      </c>
      <c r="AL200" s="477">
        <f t="shared" si="194"/>
        <v>-4.9038186538840289</v>
      </c>
      <c r="AM200" s="477">
        <f t="shared" si="194"/>
        <v>-55.446825620187013</v>
      </c>
      <c r="AN200" s="477">
        <f t="shared" si="194"/>
        <v>1.7672649760385406</v>
      </c>
      <c r="AO200" s="477">
        <f t="shared" si="194"/>
        <v>-40.827601408540559</v>
      </c>
      <c r="AP200" s="477">
        <f t="shared" si="194"/>
        <v>-7.9014969448645278</v>
      </c>
      <c r="AQ200" s="477">
        <f t="shared" si="194"/>
        <v>29.423880483410358</v>
      </c>
      <c r="AR200" s="477">
        <f t="shared" si="194"/>
        <v>-32.346509620753039</v>
      </c>
      <c r="AS200" s="456">
        <f t="shared" si="194"/>
        <v>-21.861758336144575</v>
      </c>
      <c r="AT200" s="456">
        <f t="shared" si="194"/>
        <v>-4.5780267873109075</v>
      </c>
      <c r="AU200" s="456">
        <f t="shared" si="194"/>
        <v>185.46001978458798</v>
      </c>
      <c r="AV200" s="456">
        <f t="shared" si="194"/>
        <v>0.80645161290322509</v>
      </c>
      <c r="AW200" s="456">
        <f t="shared" si="194"/>
        <v>-6.7164179104477473</v>
      </c>
      <c r="AX200" s="456">
        <f t="shared" si="194"/>
        <v>91.800106117382256</v>
      </c>
      <c r="AY200" s="456">
        <f t="shared" si="194"/>
        <v>-28.906337984253682</v>
      </c>
      <c r="AZ200" s="456">
        <f t="shared" si="194"/>
        <v>68.578862351194928</v>
      </c>
      <c r="BA200" s="456">
        <f t="shared" si="194"/>
        <v>-17.912918835788627</v>
      </c>
      <c r="BB200" s="456">
        <f t="shared" si="194"/>
        <v>-4.1247448876727262</v>
      </c>
      <c r="BC200" s="456">
        <f t="shared" ca="1" si="194"/>
        <v>-10.133673196521364</v>
      </c>
      <c r="BD200" s="456">
        <f t="shared" ca="1" si="194"/>
        <v>0.14137363767225963</v>
      </c>
      <c r="BE200" s="456">
        <f t="shared" ca="1" si="194"/>
        <v>1.2178394674953186</v>
      </c>
      <c r="BF200" s="456">
        <f t="shared" ca="1" si="194"/>
        <v>1.2237690813095004</v>
      </c>
      <c r="BG200" s="456">
        <f t="shared" ca="1" si="194"/>
        <v>1.2296555296517742</v>
      </c>
      <c r="BH200" s="456">
        <f t="shared" ca="1" si="194"/>
        <v>1.2354984446558914</v>
      </c>
      <c r="BI200" s="456">
        <f t="shared" ca="1" si="194"/>
        <v>1.2412974763072349</v>
      </c>
      <c r="BJ200" s="456">
        <f t="shared" ca="1" si="194"/>
        <v>1.2470522923584415</v>
      </c>
      <c r="BK200" s="456">
        <f t="shared" ca="1" si="194"/>
        <v>1.2527625782320584</v>
      </c>
      <c r="BL200" s="456">
        <f t="shared" ca="1" si="194"/>
        <v>1.2584280369116518</v>
      </c>
      <c r="BM200" s="456">
        <f t="shared" ca="1" si="194"/>
        <v>1.2640483888199272</v>
      </c>
      <c r="BN200" s="456">
        <f t="shared" ca="1" si="194"/>
        <v>1.2696233716868788</v>
      </c>
      <c r="BO200" s="456">
        <f t="shared" ca="1" si="194"/>
        <v>1.2751527404059493</v>
      </c>
      <c r="BP200" s="457"/>
      <c r="BQ200" s="448">
        <f t="shared" ca="1" si="193"/>
        <v>0</v>
      </c>
      <c r="BR200" s="448">
        <f t="shared" ca="1" si="193"/>
        <v>0</v>
      </c>
      <c r="BS200" s="448">
        <f t="shared" ca="1" si="193"/>
        <v>-2.2204460492503131E-14</v>
      </c>
      <c r="BT200" s="448">
        <f t="shared" ca="1" si="193"/>
        <v>-9.5479180117763462E-13</v>
      </c>
      <c r="BU200" s="448">
        <f t="shared" ca="1" si="193"/>
        <v>-1.0302869668521453E-11</v>
      </c>
      <c r="BV200" s="448">
        <f t="shared" ca="1" si="193"/>
        <v>-8.1556983388963999E-11</v>
      </c>
      <c r="BW200" s="448">
        <f t="shared" ca="1" si="193"/>
        <v>-5.0894843894866426E-10</v>
      </c>
      <c r="BX200" s="448">
        <f t="shared" ca="1" si="193"/>
        <v>-2.5899948852270427E-9</v>
      </c>
      <c r="BY200" s="448">
        <f t="shared" ca="1" si="193"/>
        <v>-1.1086465079301888E-8</v>
      </c>
      <c r="BZ200" s="448">
        <f t="shared" ca="1" si="193"/>
        <v>-4.095430661266164E-8</v>
      </c>
      <c r="CA200" s="448">
        <f t="shared" ca="1" si="193"/>
        <v>-1.3294971790145382E-7</v>
      </c>
      <c r="CB200" s="448">
        <f t="shared" ca="1" si="193"/>
        <v>-3.8858105622097128E-7</v>
      </c>
      <c r="CD200" s="439">
        <v>0.14137363767225963</v>
      </c>
      <c r="CE200" s="439">
        <v>1.2178394674953186</v>
      </c>
      <c r="CF200" s="439">
        <v>1.2237690813095226</v>
      </c>
      <c r="CG200" s="439">
        <v>1.229655529652729</v>
      </c>
      <c r="CH200" s="439">
        <v>1.2354984446661943</v>
      </c>
      <c r="CI200" s="439">
        <v>1.2412974763887918</v>
      </c>
      <c r="CJ200" s="439">
        <v>1.2470522928673899</v>
      </c>
      <c r="CK200" s="439">
        <v>1.2527625808220533</v>
      </c>
      <c r="CL200" s="439">
        <v>1.2584280479981169</v>
      </c>
      <c r="CM200" s="439">
        <v>1.2640484297742338</v>
      </c>
      <c r="CN200" s="439">
        <v>1.2696235046365967</v>
      </c>
      <c r="CO200" s="439">
        <v>1.2751531289870055</v>
      </c>
    </row>
    <row r="201" spans="1:93">
      <c r="A201" s="447" t="s">
        <v>49</v>
      </c>
      <c r="B201" s="447"/>
      <c r="C201" s="442" t="s">
        <v>1349</v>
      </c>
      <c r="D201" s="447"/>
      <c r="E201" s="436" t="s">
        <v>50</v>
      </c>
      <c r="F201" s="477" t="s">
        <v>1344</v>
      </c>
      <c r="G201" s="477">
        <f t="shared" ref="G201:BO201" si="195">(((G19/F19)/(1+G81/100))-1)*100</f>
        <v>-4.7519658366007356</v>
      </c>
      <c r="H201" s="456">
        <f t="shared" si="195"/>
        <v>21.273589263541439</v>
      </c>
      <c r="I201" s="456">
        <f t="shared" si="195"/>
        <v>-2.7429619614736001</v>
      </c>
      <c r="J201" s="456">
        <f t="shared" si="195"/>
        <v>-13.953219681760265</v>
      </c>
      <c r="K201" s="456">
        <f t="shared" si="195"/>
        <v>19.688698779664616</v>
      </c>
      <c r="L201" s="456">
        <f t="shared" si="195"/>
        <v>11.650188680921225</v>
      </c>
      <c r="M201" s="456">
        <f t="shared" si="195"/>
        <v>-4.13972096781694</v>
      </c>
      <c r="N201" s="456">
        <f t="shared" si="195"/>
        <v>-1.0723150863749087</v>
      </c>
      <c r="O201" s="456">
        <f t="shared" si="195"/>
        <v>11.914770259125017</v>
      </c>
      <c r="P201" s="456">
        <f t="shared" si="195"/>
        <v>6.4232873904948917</v>
      </c>
      <c r="Q201" s="456">
        <f t="shared" si="195"/>
        <v>19.752767500409441</v>
      </c>
      <c r="R201" s="456">
        <f t="shared" si="195"/>
        <v>32.990125160301091</v>
      </c>
      <c r="S201" s="456">
        <f t="shared" si="195"/>
        <v>10.72765686984658</v>
      </c>
      <c r="T201" s="456">
        <f t="shared" si="195"/>
        <v>6.7428461130738748</v>
      </c>
      <c r="U201" s="456">
        <f t="shared" si="195"/>
        <v>9.2598086686857872</v>
      </c>
      <c r="V201" s="456">
        <f t="shared" si="195"/>
        <v>-1.6663840033768862</v>
      </c>
      <c r="W201" s="456">
        <f t="shared" si="195"/>
        <v>12.581395546021801</v>
      </c>
      <c r="X201" s="456">
        <f t="shared" si="195"/>
        <v>6.2291404714121867</v>
      </c>
      <c r="Y201" s="456">
        <f t="shared" si="195"/>
        <v>-1.6779345267213475</v>
      </c>
      <c r="Z201" s="456">
        <f t="shared" si="195"/>
        <v>4.6051909454176254</v>
      </c>
      <c r="AA201" s="456">
        <f t="shared" si="195"/>
        <v>-8.2318987460950677</v>
      </c>
      <c r="AB201" s="456">
        <f t="shared" si="195"/>
        <v>-2.8962979305751868</v>
      </c>
      <c r="AC201" s="456">
        <f t="shared" si="195"/>
        <v>2.3867641830146002</v>
      </c>
      <c r="AD201" s="456">
        <f t="shared" si="195"/>
        <v>8.7516136344378168</v>
      </c>
      <c r="AE201" s="456">
        <f t="shared" si="195"/>
        <v>4.9600681918388512</v>
      </c>
      <c r="AF201" s="456">
        <f t="shared" si="195"/>
        <v>0.59374284635675956</v>
      </c>
      <c r="AG201" s="456">
        <f t="shared" si="195"/>
        <v>-15.083367658017599</v>
      </c>
      <c r="AH201" s="456">
        <f t="shared" si="195"/>
        <v>0.23623713355236386</v>
      </c>
      <c r="AI201" s="456">
        <f t="shared" si="195"/>
        <v>-6.7497127060514366</v>
      </c>
      <c r="AJ201" s="456">
        <f t="shared" si="195"/>
        <v>-6.3316222083829254</v>
      </c>
      <c r="AK201" s="456">
        <f t="shared" si="195"/>
        <v>11.773421425621233</v>
      </c>
      <c r="AL201" s="456">
        <f t="shared" si="195"/>
        <v>-7.1599654458608946</v>
      </c>
      <c r="AM201" s="456">
        <f t="shared" si="195"/>
        <v>5.989216119043439</v>
      </c>
      <c r="AN201" s="456">
        <f t="shared" si="195"/>
        <v>-9.4037749424135892</v>
      </c>
      <c r="AO201" s="456">
        <f t="shared" si="195"/>
        <v>-6.7836990772895618</v>
      </c>
      <c r="AP201" s="456">
        <f t="shared" si="195"/>
        <v>-4.5523349569106308</v>
      </c>
      <c r="AQ201" s="456">
        <f t="shared" si="195"/>
        <v>-6.2505433363148066</v>
      </c>
      <c r="AR201" s="456">
        <f t="shared" si="195"/>
        <v>14.139863357625115</v>
      </c>
      <c r="AS201" s="456">
        <f t="shared" si="195"/>
        <v>-6.4706062399103708</v>
      </c>
      <c r="AT201" s="456">
        <f t="shared" si="195"/>
        <v>-2.543715272959024</v>
      </c>
      <c r="AU201" s="456">
        <f t="shared" si="195"/>
        <v>12.259341437409699</v>
      </c>
      <c r="AV201" s="456">
        <f t="shared" si="195"/>
        <v>0.42555525568570562</v>
      </c>
      <c r="AW201" s="456">
        <f t="shared" si="195"/>
        <v>2.7451529663351959</v>
      </c>
      <c r="AX201" s="456">
        <f t="shared" si="195"/>
        <v>2.0689769031533745</v>
      </c>
      <c r="AY201" s="456">
        <f t="shared" si="195"/>
        <v>-0.26392722395226498</v>
      </c>
      <c r="AZ201" s="456">
        <f t="shared" si="195"/>
        <v>-2.6206605317248166</v>
      </c>
      <c r="BA201" s="456">
        <f t="shared" si="195"/>
        <v>2.4204785271460194</v>
      </c>
      <c r="BB201" s="456">
        <f t="shared" si="195"/>
        <v>15.624053045715701</v>
      </c>
      <c r="BC201" s="456">
        <f t="shared" si="195"/>
        <v>24.227330981095065</v>
      </c>
      <c r="BD201" s="456">
        <f t="shared" si="195"/>
        <v>24.90837500552945</v>
      </c>
      <c r="BE201" s="456">
        <f t="shared" si="195"/>
        <v>5.6749126482979806</v>
      </c>
      <c r="BF201" s="456">
        <f t="shared" si="195"/>
        <v>2.5000000000001243</v>
      </c>
      <c r="BG201" s="456">
        <f t="shared" si="195"/>
        <v>2.4999999999998801</v>
      </c>
      <c r="BH201" s="456">
        <f t="shared" si="195"/>
        <v>2.5000000000000799</v>
      </c>
      <c r="BI201" s="456">
        <f t="shared" si="195"/>
        <v>2.4999999999999245</v>
      </c>
      <c r="BJ201" s="456">
        <f t="shared" si="195"/>
        <v>2.5000000000000799</v>
      </c>
      <c r="BK201" s="456">
        <f t="shared" si="195"/>
        <v>2.4999999999999023</v>
      </c>
      <c r="BL201" s="456">
        <f t="shared" si="195"/>
        <v>2.5000000000000799</v>
      </c>
      <c r="BM201" s="456">
        <f t="shared" si="195"/>
        <v>2.4999999999999245</v>
      </c>
      <c r="BN201" s="456">
        <f t="shared" si="195"/>
        <v>2.5000000000000577</v>
      </c>
      <c r="BO201" s="456">
        <f t="shared" si="195"/>
        <v>2.4999999999999245</v>
      </c>
      <c r="BP201" s="457"/>
      <c r="BQ201" s="448">
        <f t="shared" si="193"/>
        <v>0</v>
      </c>
      <c r="BR201" s="448">
        <f t="shared" si="193"/>
        <v>0</v>
      </c>
      <c r="BS201" s="448">
        <f t="shared" si="193"/>
        <v>0</v>
      </c>
      <c r="BT201" s="448">
        <f t="shared" si="193"/>
        <v>0</v>
      </c>
      <c r="BU201" s="448">
        <f t="shared" si="193"/>
        <v>0</v>
      </c>
      <c r="BV201" s="448">
        <f t="shared" si="193"/>
        <v>0</v>
      </c>
      <c r="BW201" s="448">
        <f t="shared" si="193"/>
        <v>0</v>
      </c>
      <c r="BX201" s="448">
        <f t="shared" si="193"/>
        <v>0</v>
      </c>
      <c r="BY201" s="448">
        <f t="shared" si="193"/>
        <v>0</v>
      </c>
      <c r="BZ201" s="448">
        <f t="shared" si="193"/>
        <v>0</v>
      </c>
      <c r="CA201" s="448">
        <f t="shared" si="193"/>
        <v>0</v>
      </c>
      <c r="CB201" s="448">
        <f t="shared" si="193"/>
        <v>0</v>
      </c>
      <c r="CD201" s="439">
        <v>24.90837500552945</v>
      </c>
      <c r="CE201" s="439">
        <v>5.6749126482979806</v>
      </c>
      <c r="CF201" s="439">
        <v>2.5000000000001243</v>
      </c>
      <c r="CG201" s="439">
        <v>2.4999999999998801</v>
      </c>
      <c r="CH201" s="439">
        <v>2.5000000000000799</v>
      </c>
      <c r="CI201" s="439">
        <v>2.4999999999999245</v>
      </c>
      <c r="CJ201" s="439">
        <v>2.5000000000000799</v>
      </c>
      <c r="CK201" s="439">
        <v>2.4999999999999023</v>
      </c>
      <c r="CL201" s="439">
        <v>2.5000000000000799</v>
      </c>
      <c r="CM201" s="439">
        <v>2.4999999999999245</v>
      </c>
      <c r="CN201" s="439">
        <v>2.5000000000000577</v>
      </c>
      <c r="CO201" s="439">
        <v>2.4999999999999245</v>
      </c>
    </row>
    <row r="202" spans="1:93">
      <c r="A202" s="447" t="s">
        <v>51</v>
      </c>
      <c r="B202" s="447"/>
      <c r="C202" s="442" t="s">
        <v>1349</v>
      </c>
      <c r="D202" s="447"/>
      <c r="E202" s="436" t="s">
        <v>52</v>
      </c>
      <c r="F202" s="477" t="s">
        <v>1344</v>
      </c>
      <c r="G202" s="477">
        <f t="shared" ref="G202:BO202" si="196">((((G25+G26+G27)/(F25+F26+F27))/(1+G82/100))-1)*100</f>
        <v>-1.1982341812066477</v>
      </c>
      <c r="H202" s="456">
        <f t="shared" si="196"/>
        <v>19.784156276167607</v>
      </c>
      <c r="I202" s="456">
        <f t="shared" si="196"/>
        <v>13.843136734357021</v>
      </c>
      <c r="J202" s="456">
        <f t="shared" si="196"/>
        <v>-0.35481987002977666</v>
      </c>
      <c r="K202" s="456">
        <f t="shared" si="196"/>
        <v>23.524317998119738</v>
      </c>
      <c r="L202" s="456">
        <f t="shared" si="196"/>
        <v>16.18866211222727</v>
      </c>
      <c r="M202" s="456">
        <f t="shared" si="196"/>
        <v>-1.0063378472279672</v>
      </c>
      <c r="N202" s="456">
        <f t="shared" si="196"/>
        <v>2.1960857903439823</v>
      </c>
      <c r="O202" s="456">
        <f t="shared" si="196"/>
        <v>7.9843888420531917</v>
      </c>
      <c r="P202" s="456">
        <f t="shared" si="196"/>
        <v>32.581803195979788</v>
      </c>
      <c r="Q202" s="456">
        <f t="shared" si="196"/>
        <v>13.128423594213</v>
      </c>
      <c r="R202" s="456">
        <f t="shared" si="196"/>
        <v>-1.6953394111025699</v>
      </c>
      <c r="S202" s="456">
        <f t="shared" si="196"/>
        <v>10.700477269055231</v>
      </c>
      <c r="T202" s="456">
        <f t="shared" si="196"/>
        <v>-1.0111894974746405</v>
      </c>
      <c r="U202" s="456">
        <f t="shared" si="196"/>
        <v>8.286000607765498</v>
      </c>
      <c r="V202" s="456">
        <f t="shared" si="196"/>
        <v>2.8422911469769163</v>
      </c>
      <c r="W202" s="456">
        <f t="shared" si="196"/>
        <v>3.083690986167742</v>
      </c>
      <c r="X202" s="456">
        <f t="shared" si="196"/>
        <v>8.504916668916751</v>
      </c>
      <c r="Y202" s="456">
        <f t="shared" si="196"/>
        <v>-10.626036093171908</v>
      </c>
      <c r="Z202" s="456">
        <f t="shared" si="196"/>
        <v>1.3527114827082132</v>
      </c>
      <c r="AA202" s="456">
        <f t="shared" si="196"/>
        <v>5.0186597924674059</v>
      </c>
      <c r="AB202" s="456">
        <f t="shared" si="196"/>
        <v>1.4778613245921335</v>
      </c>
      <c r="AC202" s="456">
        <f t="shared" si="196"/>
        <v>24.441986778160185</v>
      </c>
      <c r="AD202" s="456">
        <f t="shared" si="196"/>
        <v>-4.6812077736913871</v>
      </c>
      <c r="AE202" s="456">
        <f t="shared" si="196"/>
        <v>-14.530561905596906</v>
      </c>
      <c r="AF202" s="456">
        <f t="shared" si="196"/>
        <v>0.13412464663851154</v>
      </c>
      <c r="AG202" s="456">
        <f t="shared" si="196"/>
        <v>-0.84247431774844284</v>
      </c>
      <c r="AH202" s="456">
        <f t="shared" si="196"/>
        <v>-2.6704709858604292</v>
      </c>
      <c r="AI202" s="456">
        <f t="shared" si="196"/>
        <v>-10.530175156025312</v>
      </c>
      <c r="AJ202" s="456">
        <f t="shared" si="196"/>
        <v>-9.3640013739200398</v>
      </c>
      <c r="AK202" s="456">
        <f t="shared" si="196"/>
        <v>-16.10209608605706</v>
      </c>
      <c r="AL202" s="456">
        <f t="shared" si="196"/>
        <v>7.8709776928608477</v>
      </c>
      <c r="AM202" s="456">
        <f t="shared" si="196"/>
        <v>-20.982031122743695</v>
      </c>
      <c r="AN202" s="456">
        <f t="shared" si="196"/>
        <v>10.791922116948104</v>
      </c>
      <c r="AO202" s="456">
        <f t="shared" si="196"/>
        <v>23.741862527209801</v>
      </c>
      <c r="AP202" s="456">
        <f t="shared" si="196"/>
        <v>-11.181673375412348</v>
      </c>
      <c r="AQ202" s="456">
        <f t="shared" si="196"/>
        <v>3.9040114613180688</v>
      </c>
      <c r="AR202" s="456">
        <f t="shared" si="196"/>
        <v>3.5504998276456146</v>
      </c>
      <c r="AS202" s="456">
        <f t="shared" si="196"/>
        <v>-33.505326231691072</v>
      </c>
      <c r="AT202" s="456">
        <f t="shared" si="196"/>
        <v>-12.515644555694605</v>
      </c>
      <c r="AU202" s="456">
        <f t="shared" si="196"/>
        <v>33.67994916481554</v>
      </c>
      <c r="AV202" s="456">
        <f t="shared" si="196"/>
        <v>14.709676704041996</v>
      </c>
      <c r="AW202" s="456">
        <f t="shared" si="196"/>
        <v>-13.674427233137864</v>
      </c>
      <c r="AX202" s="456">
        <f t="shared" si="196"/>
        <v>-9.210688668213507</v>
      </c>
      <c r="AY202" s="456">
        <f t="shared" si="196"/>
        <v>-17.161818475602018</v>
      </c>
      <c r="AZ202" s="456">
        <f t="shared" si="196"/>
        <v>-1.1629258383566099</v>
      </c>
      <c r="BA202" s="456">
        <f t="shared" si="196"/>
        <v>0.68818481984171953</v>
      </c>
      <c r="BB202" s="456">
        <f t="shared" si="196"/>
        <v>-1.3573454500797499</v>
      </c>
      <c r="BC202" s="456">
        <f t="shared" ca="1" si="196"/>
        <v>32.727420317000998</v>
      </c>
      <c r="BD202" s="456">
        <f t="shared" ca="1" si="196"/>
        <v>25.442865077330556</v>
      </c>
      <c r="BE202" s="456">
        <f t="shared" ca="1" si="196"/>
        <v>8.8948280461957019</v>
      </c>
      <c r="BF202" s="456">
        <f t="shared" ca="1" si="196"/>
        <v>5.237280472300232</v>
      </c>
      <c r="BG202" s="456">
        <f t="shared" ca="1" si="196"/>
        <v>4.3001202751123513</v>
      </c>
      <c r="BH202" s="456">
        <f t="shared" ca="1" si="196"/>
        <v>3.8001477159119945</v>
      </c>
      <c r="BI202" s="456">
        <f t="shared" ca="1" si="196"/>
        <v>3.4807816333240371</v>
      </c>
      <c r="BJ202" s="456">
        <f t="shared" ca="1" si="196"/>
        <v>3.2720198005557144</v>
      </c>
      <c r="BK202" s="456">
        <f t="shared" ca="1" si="196"/>
        <v>3.2537849208206238</v>
      </c>
      <c r="BL202" s="456">
        <f t="shared" ca="1" si="196"/>
        <v>3.2627430849145433</v>
      </c>
      <c r="BM202" s="456">
        <f t="shared" ca="1" si="196"/>
        <v>3.2287359477295441</v>
      </c>
      <c r="BN202" s="456">
        <f t="shared" ca="1" si="196"/>
        <v>3.2017836704594904</v>
      </c>
      <c r="BO202" s="456">
        <f t="shared" ca="1" si="196"/>
        <v>3.1567957755416876</v>
      </c>
      <c r="BP202" s="457"/>
      <c r="BQ202" s="448">
        <f t="shared" ca="1" si="193"/>
        <v>0</v>
      </c>
      <c r="BR202" s="448">
        <f t="shared" ca="1" si="193"/>
        <v>0</v>
      </c>
      <c r="BS202" s="448">
        <f t="shared" ca="1" si="193"/>
        <v>-4.4408920985006262E-14</v>
      </c>
      <c r="BT202" s="448">
        <f t="shared" ca="1" si="193"/>
        <v>-4.4408920985006262E-13</v>
      </c>
      <c r="BU202" s="448">
        <f t="shared" ca="1" si="193"/>
        <v>-4.5297099404706387E-12</v>
      </c>
      <c r="BV202" s="448">
        <f t="shared" ca="1" si="193"/>
        <v>-3.5615954629975022E-11</v>
      </c>
      <c r="BW202" s="448">
        <f t="shared" ca="1" si="193"/>
        <v>-2.1940227412642344E-10</v>
      </c>
      <c r="BX202" s="448">
        <f t="shared" ca="1" si="193"/>
        <v>-1.1040057756872557E-9</v>
      </c>
      <c r="BY202" s="448">
        <f t="shared" ca="1" si="193"/>
        <v>-4.6720849411485688E-9</v>
      </c>
      <c r="BZ202" s="448">
        <f t="shared" ca="1" si="193"/>
        <v>-1.7080070691122273E-8</v>
      </c>
      <c r="CA202" s="448">
        <f t="shared" ca="1" si="193"/>
        <v>-5.4885562761342044E-8</v>
      </c>
      <c r="CB202" s="448">
        <f t="shared" ca="1" si="193"/>
        <v>-1.5925507579339637E-7</v>
      </c>
      <c r="CD202" s="439">
        <v>25.442865077330556</v>
      </c>
      <c r="CE202" s="439">
        <v>8.8948280461957019</v>
      </c>
      <c r="CF202" s="439">
        <v>5.2372804723002764</v>
      </c>
      <c r="CG202" s="439">
        <v>4.3001202751127954</v>
      </c>
      <c r="CH202" s="439">
        <v>3.8001477159165242</v>
      </c>
      <c r="CI202" s="439">
        <v>3.4807816333596531</v>
      </c>
      <c r="CJ202" s="439">
        <v>3.2720198007751167</v>
      </c>
      <c r="CK202" s="439">
        <v>3.2537849219246295</v>
      </c>
      <c r="CL202" s="439">
        <v>3.2627430895866283</v>
      </c>
      <c r="CM202" s="439">
        <v>3.2287359648096148</v>
      </c>
      <c r="CN202" s="439">
        <v>3.2017837253450532</v>
      </c>
      <c r="CO202" s="439">
        <v>3.1567959347967633</v>
      </c>
    </row>
    <row r="203" spans="1:93">
      <c r="A203" s="447" t="s">
        <v>53</v>
      </c>
      <c r="B203" s="447"/>
      <c r="C203" s="442" t="s">
        <v>1349</v>
      </c>
      <c r="D203" s="447"/>
      <c r="E203" s="436" t="s">
        <v>54</v>
      </c>
      <c r="F203" s="477"/>
      <c r="G203" s="456">
        <f t="shared" ref="G203:BO203" si="197">(((G12+G50)/(F12+F50))/(1+G83/100)-1)*100</f>
        <v>4.2209484106305206</v>
      </c>
      <c r="H203" s="456">
        <f t="shared" si="197"/>
        <v>21.848741833235351</v>
      </c>
      <c r="I203" s="456">
        <f t="shared" si="197"/>
        <v>35.362318131480805</v>
      </c>
      <c r="J203" s="456">
        <f t="shared" si="197"/>
        <v>2.9112199207349976</v>
      </c>
      <c r="K203" s="456">
        <f t="shared" si="197"/>
        <v>18.673404215694855</v>
      </c>
      <c r="L203" s="456">
        <f t="shared" si="197"/>
        <v>-0.49631098739955082</v>
      </c>
      <c r="M203" s="456">
        <f t="shared" si="197"/>
        <v>7.9122505590472958</v>
      </c>
      <c r="N203" s="456">
        <f t="shared" si="197"/>
        <v>-3.4433398659779346</v>
      </c>
      <c r="O203" s="456">
        <f t="shared" si="197"/>
        <v>17.055144642922816</v>
      </c>
      <c r="P203" s="456">
        <f t="shared" si="197"/>
        <v>88.035412683184617</v>
      </c>
      <c r="Q203" s="456">
        <f t="shared" si="197"/>
        <v>-1.5527599194189889</v>
      </c>
      <c r="R203" s="456">
        <f t="shared" si="197"/>
        <v>-22.582970598414843</v>
      </c>
      <c r="S203" s="456">
        <f t="shared" si="197"/>
        <v>-22.629425771212517</v>
      </c>
      <c r="T203" s="456">
        <f t="shared" si="197"/>
        <v>-18.653373196321731</v>
      </c>
      <c r="U203" s="456">
        <f t="shared" si="197"/>
        <v>-17.301461680979735</v>
      </c>
      <c r="V203" s="456">
        <f t="shared" si="197"/>
        <v>-8.6178145643979516</v>
      </c>
      <c r="W203" s="456">
        <f t="shared" si="197"/>
        <v>10.231874213807801</v>
      </c>
      <c r="X203" s="456">
        <f t="shared" si="197"/>
        <v>29.777987396433602</v>
      </c>
      <c r="Y203" s="456">
        <f t="shared" si="197"/>
        <v>-7.0205748064618989</v>
      </c>
      <c r="Z203" s="456">
        <f t="shared" si="197"/>
        <v>36.295057181425918</v>
      </c>
      <c r="AA203" s="456">
        <f t="shared" si="197"/>
        <v>13.13381110486327</v>
      </c>
      <c r="AB203" s="456">
        <f t="shared" si="197"/>
        <v>-27.98953004329978</v>
      </c>
      <c r="AC203" s="456">
        <f t="shared" si="197"/>
        <v>7.9871617321558785</v>
      </c>
      <c r="AD203" s="456">
        <f t="shared" si="197"/>
        <v>-13.105469588556961</v>
      </c>
      <c r="AE203" s="456">
        <f t="shared" si="197"/>
        <v>-13.755192728534627</v>
      </c>
      <c r="AF203" s="456">
        <f t="shared" si="197"/>
        <v>23.227122150999556</v>
      </c>
      <c r="AG203" s="456">
        <f t="shared" si="197"/>
        <v>31.953488883392801</v>
      </c>
      <c r="AH203" s="456">
        <f t="shared" si="197"/>
        <v>-13.237637164552751</v>
      </c>
      <c r="AI203" s="456">
        <f t="shared" si="197"/>
        <v>-45.389578655508998</v>
      </c>
      <c r="AJ203" s="456">
        <f t="shared" si="197"/>
        <v>-21.329652241386398</v>
      </c>
      <c r="AK203" s="456">
        <f t="shared" si="197"/>
        <v>-0.99063149544781348</v>
      </c>
      <c r="AL203" s="456">
        <f t="shared" si="197"/>
        <v>-20.235574871506412</v>
      </c>
      <c r="AM203" s="456">
        <f t="shared" si="197"/>
        <v>-22.007998635164896</v>
      </c>
      <c r="AN203" s="456">
        <f t="shared" si="197"/>
        <v>-0.56360708534619608</v>
      </c>
      <c r="AO203" s="456">
        <f t="shared" si="197"/>
        <v>2.3476383857128802</v>
      </c>
      <c r="AP203" s="456">
        <f t="shared" si="197"/>
        <v>79.227011330744389</v>
      </c>
      <c r="AQ203" s="456">
        <f t="shared" si="197"/>
        <v>-0.36507372464142929</v>
      </c>
      <c r="AR203" s="456">
        <f t="shared" si="197"/>
        <v>-2.2731042282784664</v>
      </c>
      <c r="AS203" s="456">
        <f t="shared" si="197"/>
        <v>-7.2724159573765768</v>
      </c>
      <c r="AT203" s="456">
        <f t="shared" si="197"/>
        <v>125.19876399015102</v>
      </c>
      <c r="AU203" s="456">
        <f t="shared" si="197"/>
        <v>27.431527674370248</v>
      </c>
      <c r="AV203" s="456">
        <f t="shared" si="197"/>
        <v>47.749882384567258</v>
      </c>
      <c r="AW203" s="456">
        <f t="shared" si="197"/>
        <v>-25.422684388587413</v>
      </c>
      <c r="AX203" s="456">
        <f t="shared" si="197"/>
        <v>-53.264236364967644</v>
      </c>
      <c r="AY203" s="456">
        <f t="shared" si="197"/>
        <v>-36.510229499950654</v>
      </c>
      <c r="AZ203" s="456">
        <f t="shared" si="197"/>
        <v>-23.260207681543644</v>
      </c>
      <c r="BA203" s="456">
        <f t="shared" si="197"/>
        <v>140.87959475028038</v>
      </c>
      <c r="BB203" s="456">
        <f t="shared" si="197"/>
        <v>19.691738878910648</v>
      </c>
      <c r="BC203" s="456">
        <f t="shared" ca="1" si="197"/>
        <v>17.966084812458718</v>
      </c>
      <c r="BD203" s="456">
        <f t="shared" ca="1" si="197"/>
        <v>12.954467893247411</v>
      </c>
      <c r="BE203" s="456">
        <f t="shared" ca="1" si="197"/>
        <v>4.2461845728593905</v>
      </c>
      <c r="BF203" s="456">
        <f t="shared" ca="1" si="197"/>
        <v>2.185273698363166</v>
      </c>
      <c r="BG203" s="456">
        <f t="shared" ca="1" si="197"/>
        <v>1.6600434414604237</v>
      </c>
      <c r="BH203" s="456">
        <f t="shared" ca="1" si="197"/>
        <v>1.3733459152845962</v>
      </c>
      <c r="BI203" s="456">
        <f t="shared" ca="1" si="197"/>
        <v>1.1122723567402737</v>
      </c>
      <c r="BJ203" s="456">
        <f t="shared" ca="1" si="197"/>
        <v>0.96178749404598474</v>
      </c>
      <c r="BK203" s="456">
        <f t="shared" ca="1" si="197"/>
        <v>0.92229459114976375</v>
      </c>
      <c r="BL203" s="456">
        <f t="shared" ca="1" si="197"/>
        <v>0.9540376696281605</v>
      </c>
      <c r="BM203" s="456">
        <f t="shared" ca="1" si="197"/>
        <v>0.93976592359281685</v>
      </c>
      <c r="BN203" s="456">
        <f t="shared" ca="1" si="197"/>
        <v>0.91772783099650646</v>
      </c>
      <c r="BO203" s="456">
        <f t="shared" ca="1" si="197"/>
        <v>0.89205019403926222</v>
      </c>
      <c r="BP203" s="457"/>
      <c r="BQ203" s="448">
        <f t="shared" ca="1" si="193"/>
        <v>0</v>
      </c>
      <c r="BR203" s="448">
        <f t="shared" ca="1" si="193"/>
        <v>0</v>
      </c>
      <c r="BS203" s="448">
        <f t="shared" ca="1" si="193"/>
        <v>-8.8817841970012523E-14</v>
      </c>
      <c r="BT203" s="448">
        <f t="shared" ca="1" si="193"/>
        <v>-7.3274719625260332E-13</v>
      </c>
      <c r="BU203" s="448">
        <f t="shared" ca="1" si="193"/>
        <v>-7.6827433304060833E-12</v>
      </c>
      <c r="BV203" s="448">
        <f t="shared" ca="1" si="193"/>
        <v>-6.1572968945711182E-11</v>
      </c>
      <c r="BW203" s="448">
        <f t="shared" ca="1" si="193"/>
        <v>-3.8891112552619234E-10</v>
      </c>
      <c r="BX203" s="448">
        <f t="shared" ca="1" si="193"/>
        <v>-2.0077939311136106E-9</v>
      </c>
      <c r="BY203" s="448">
        <f t="shared" ca="1" si="193"/>
        <v>-8.7207352450491271E-9</v>
      </c>
      <c r="BZ203" s="448">
        <f t="shared" ca="1" si="193"/>
        <v>-3.2658697968201977E-8</v>
      </c>
      <c r="CA203" s="448">
        <f t="shared" ca="1" si="193"/>
        <v>-1.0744822809272137E-7</v>
      </c>
      <c r="CB203" s="448">
        <f t="shared" ca="1" si="193"/>
        <v>-3.1792972698951871E-7</v>
      </c>
      <c r="CD203" s="439">
        <v>12.954467893247411</v>
      </c>
      <c r="CE203" s="439">
        <v>4.2461845728593905</v>
      </c>
      <c r="CF203" s="439">
        <v>2.1852736983632548</v>
      </c>
      <c r="CG203" s="439">
        <v>1.6600434414611565</v>
      </c>
      <c r="CH203" s="439">
        <v>1.3733459152922789</v>
      </c>
      <c r="CI203" s="439">
        <v>1.1122723568018467</v>
      </c>
      <c r="CJ203" s="439">
        <v>0.96178749443489586</v>
      </c>
      <c r="CK203" s="439">
        <v>0.92229459315755769</v>
      </c>
      <c r="CL203" s="439">
        <v>0.95403767834889575</v>
      </c>
      <c r="CM203" s="439">
        <v>0.93976595625151482</v>
      </c>
      <c r="CN203" s="439">
        <v>0.91772793844473455</v>
      </c>
      <c r="CO203" s="439">
        <v>0.89205051196898921</v>
      </c>
    </row>
    <row r="204" spans="1:93">
      <c r="A204" s="447" t="s">
        <v>55</v>
      </c>
      <c r="B204" s="447"/>
      <c r="C204" s="442" t="s">
        <v>1349</v>
      </c>
      <c r="D204" s="447"/>
      <c r="E204" s="436" t="s">
        <v>56</v>
      </c>
      <c r="F204" s="477" t="s">
        <v>1344</v>
      </c>
      <c r="G204" s="477">
        <f t="shared" ref="G204:BO204" si="198">((G12/F12)/(1+G83/100)-1)*100</f>
        <v>5.7224366504446955</v>
      </c>
      <c r="H204" s="456">
        <f t="shared" si="198"/>
        <v>9.7105538551955028</v>
      </c>
      <c r="I204" s="456">
        <f t="shared" si="198"/>
        <v>36.030681391408905</v>
      </c>
      <c r="J204" s="456">
        <f t="shared" si="198"/>
        <v>1.5587459364294398</v>
      </c>
      <c r="K204" s="456">
        <f t="shared" si="198"/>
        <v>10.954348551685467</v>
      </c>
      <c r="L204" s="456">
        <f t="shared" si="198"/>
        <v>-8.3644222740997911</v>
      </c>
      <c r="M204" s="456">
        <f t="shared" si="198"/>
        <v>14.458143426626258</v>
      </c>
      <c r="N204" s="456">
        <f t="shared" si="198"/>
        <v>3.648409496722671</v>
      </c>
      <c r="O204" s="456">
        <f t="shared" si="198"/>
        <v>21.860930873855743</v>
      </c>
      <c r="P204" s="456">
        <f t="shared" si="198"/>
        <v>105.41498726752492</v>
      </c>
      <c r="Q204" s="456">
        <f t="shared" si="198"/>
        <v>-2.4604942967234256</v>
      </c>
      <c r="R204" s="456">
        <f t="shared" si="198"/>
        <v>-28.930510496641094</v>
      </c>
      <c r="S204" s="456">
        <f t="shared" si="198"/>
        <v>-27.819482133059282</v>
      </c>
      <c r="T204" s="456">
        <f t="shared" si="198"/>
        <v>-12.979040835457523</v>
      </c>
      <c r="U204" s="456">
        <f t="shared" si="198"/>
        <v>-24.772856761643279</v>
      </c>
      <c r="V204" s="456">
        <f t="shared" si="198"/>
        <v>-15.15809105381225</v>
      </c>
      <c r="W204" s="456">
        <f t="shared" si="198"/>
        <v>17.240387117295452</v>
      </c>
      <c r="X204" s="456">
        <f t="shared" si="198"/>
        <v>22.138835994223506</v>
      </c>
      <c r="Y204" s="456">
        <f t="shared" si="198"/>
        <v>-0.5636700901471503</v>
      </c>
      <c r="Z204" s="456">
        <f t="shared" si="198"/>
        <v>52.641575991198543</v>
      </c>
      <c r="AA204" s="456">
        <f t="shared" si="198"/>
        <v>8.4544017206354951</v>
      </c>
      <c r="AB204" s="456">
        <f t="shared" si="198"/>
        <v>-47.79770986053893</v>
      </c>
      <c r="AC204" s="456">
        <f t="shared" si="198"/>
        <v>19.73656089996112</v>
      </c>
      <c r="AD204" s="456">
        <f t="shared" si="198"/>
        <v>-16.278428019076905</v>
      </c>
      <c r="AE204" s="456">
        <f t="shared" si="198"/>
        <v>-16.043022546341202</v>
      </c>
      <c r="AF204" s="456">
        <f t="shared" si="198"/>
        <v>43.796543054372265</v>
      </c>
      <c r="AG204" s="456">
        <f t="shared" si="198"/>
        <v>29.901741734713649</v>
      </c>
      <c r="AH204" s="456">
        <f t="shared" si="198"/>
        <v>-19.36093472733441</v>
      </c>
      <c r="AI204" s="456">
        <f t="shared" si="198"/>
        <v>-51.303451421207114</v>
      </c>
      <c r="AJ204" s="456">
        <f t="shared" si="198"/>
        <v>-19.10408132358452</v>
      </c>
      <c r="AK204" s="456">
        <f t="shared" si="198"/>
        <v>22.885281542066259</v>
      </c>
      <c r="AL204" s="456">
        <f t="shared" si="198"/>
        <v>-10.766413721185097</v>
      </c>
      <c r="AM204" s="456">
        <f t="shared" si="198"/>
        <v>-22.787918593717716</v>
      </c>
      <c r="AN204" s="456">
        <f t="shared" si="198"/>
        <v>10.580547876350854</v>
      </c>
      <c r="AO204" s="456">
        <f t="shared" si="198"/>
        <v>-15.470492638901822</v>
      </c>
      <c r="AP204" s="456">
        <f t="shared" si="198"/>
        <v>109.0054738578591</v>
      </c>
      <c r="AQ204" s="456">
        <f t="shared" si="198"/>
        <v>-0.33106868716012983</v>
      </c>
      <c r="AR204" s="456">
        <f t="shared" si="198"/>
        <v>2.4741186031544293</v>
      </c>
      <c r="AS204" s="456">
        <f t="shared" si="198"/>
        <v>-12.617055651521136</v>
      </c>
      <c r="AT204" s="456">
        <f t="shared" si="198"/>
        <v>96.792203710165722</v>
      </c>
      <c r="AU204" s="456">
        <f t="shared" si="198"/>
        <v>-52.446240840195927</v>
      </c>
      <c r="AV204" s="456">
        <f t="shared" si="198"/>
        <v>293.11532816018149</v>
      </c>
      <c r="AW204" s="456">
        <f t="shared" si="198"/>
        <v>-33.193418609842084</v>
      </c>
      <c r="AX204" s="456">
        <f t="shared" si="198"/>
        <v>-65.956485653636193</v>
      </c>
      <c r="AY204" s="456">
        <f t="shared" si="198"/>
        <v>-12.892573765336746</v>
      </c>
      <c r="AZ204" s="456">
        <f t="shared" si="198"/>
        <v>-5.6536963641728661</v>
      </c>
      <c r="BA204" s="456">
        <f t="shared" si="198"/>
        <v>173.21944082292552</v>
      </c>
      <c r="BB204" s="456">
        <f t="shared" si="198"/>
        <v>14.452780392055885</v>
      </c>
      <c r="BC204" s="456">
        <f t="shared" ca="1" si="198"/>
        <v>25.443573653964393</v>
      </c>
      <c r="BD204" s="456">
        <f t="shared" ca="1" si="198"/>
        <v>8.1476026016890088</v>
      </c>
      <c r="BE204" s="456">
        <f t="shared" ca="1" si="198"/>
        <v>4.8942193093538311</v>
      </c>
      <c r="BF204" s="456">
        <f t="shared" ca="1" si="198"/>
        <v>2.4605031301706104</v>
      </c>
      <c r="BG204" s="456">
        <f t="shared" ca="1" si="198"/>
        <v>1.8167293202599577</v>
      </c>
      <c r="BH204" s="456">
        <f t="shared" ca="1" si="198"/>
        <v>1.4640054929835999</v>
      </c>
      <c r="BI204" s="456">
        <f t="shared" ca="1" si="198"/>
        <v>1.1512366748020586</v>
      </c>
      <c r="BJ204" s="456">
        <f t="shared" ca="1" si="198"/>
        <v>0.96626077141936939</v>
      </c>
      <c r="BK204" s="456">
        <f t="shared" ca="1" si="198"/>
        <v>0.90667816090115316</v>
      </c>
      <c r="BL204" s="456">
        <f t="shared" ca="1" si="198"/>
        <v>0.92715921964805492</v>
      </c>
      <c r="BM204" s="456">
        <f t="shared" ca="1" si="198"/>
        <v>0.89724539205338072</v>
      </c>
      <c r="BN204" s="456">
        <f t="shared" ca="1" si="198"/>
        <v>0.85890769370597919</v>
      </c>
      <c r="BO204" s="456">
        <f t="shared" ca="1" si="198"/>
        <v>0.81653608885026152</v>
      </c>
      <c r="BP204" s="457"/>
      <c r="BQ204" s="448">
        <f t="shared" ca="1" si="193"/>
        <v>0</v>
      </c>
      <c r="BR204" s="448">
        <f t="shared" ca="1" si="193"/>
        <v>0</v>
      </c>
      <c r="BS204" s="448">
        <f t="shared" ca="1" si="193"/>
        <v>-8.8817841970012523E-14</v>
      </c>
      <c r="BT204" s="448">
        <f t="shared" ca="1" si="193"/>
        <v>-7.3274719625260332E-13</v>
      </c>
      <c r="BU204" s="448">
        <f t="shared" ca="1" si="193"/>
        <v>-7.971401316808624E-12</v>
      </c>
      <c r="BV204" s="448">
        <f t="shared" ca="1" si="193"/>
        <v>-6.3837823915946501E-11</v>
      </c>
      <c r="BW204" s="448">
        <f t="shared" ca="1" si="193"/>
        <v>-4.0287773117597681E-10</v>
      </c>
      <c r="BX204" s="448">
        <f t="shared" ca="1" si="193"/>
        <v>-2.0788926136106056E-9</v>
      </c>
      <c r="BY204" s="448">
        <f t="shared" ca="1" si="193"/>
        <v>-9.0254248519272551E-9</v>
      </c>
      <c r="BZ204" s="448">
        <f t="shared" ca="1" si="193"/>
        <v>-3.3785507724815034E-8</v>
      </c>
      <c r="CA204" s="448">
        <f t="shared" ca="1" si="193"/>
        <v>-1.1111698228205569E-7</v>
      </c>
      <c r="CB204" s="448">
        <f t="shared" ca="1" si="193"/>
        <v>-3.2869025279325115E-7</v>
      </c>
      <c r="CD204" s="439">
        <v>8.1476026016890088</v>
      </c>
      <c r="CE204" s="439">
        <v>4.8942193093538311</v>
      </c>
      <c r="CF204" s="439">
        <v>2.4605031301706992</v>
      </c>
      <c r="CG204" s="439">
        <v>1.8167293202606905</v>
      </c>
      <c r="CH204" s="439">
        <v>1.4640054929915713</v>
      </c>
      <c r="CI204" s="439">
        <v>1.1512366748658964</v>
      </c>
      <c r="CJ204" s="439">
        <v>0.96626077182224712</v>
      </c>
      <c r="CK204" s="439">
        <v>0.90667816298004578</v>
      </c>
      <c r="CL204" s="439">
        <v>0.92715922867347977</v>
      </c>
      <c r="CM204" s="439">
        <v>0.89724542583888844</v>
      </c>
      <c r="CN204" s="439">
        <v>0.85890780482296147</v>
      </c>
      <c r="CO204" s="439">
        <v>0.81653641754051431</v>
      </c>
    </row>
    <row r="205" spans="1:93">
      <c r="A205" s="447" t="s">
        <v>57</v>
      </c>
      <c r="B205" s="447"/>
      <c r="C205" s="442" t="s">
        <v>1349</v>
      </c>
      <c r="D205" s="447"/>
      <c r="E205" s="436" t="s">
        <v>58</v>
      </c>
      <c r="F205" s="477" t="s">
        <v>1344</v>
      </c>
      <c r="G205" s="477">
        <f t="shared" ref="G205:BO205" si="199">((G50/F50)/(1+G83/100)-1)*100</f>
        <v>-7.5907590759075934</v>
      </c>
      <c r="H205" s="456">
        <f t="shared" si="199"/>
        <v>131.09243363559412</v>
      </c>
      <c r="I205" s="456">
        <f t="shared" si="199"/>
        <v>32.506584084172196</v>
      </c>
      <c r="J205" s="456">
        <f t="shared" si="199"/>
        <v>8.8436622615258429</v>
      </c>
      <c r="K205" s="456">
        <f t="shared" si="199"/>
        <v>50.265829141068274</v>
      </c>
      <c r="L205" s="456">
        <f t="shared" si="199"/>
        <v>23.281582601354</v>
      </c>
      <c r="M205" s="456">
        <f t="shared" si="199"/>
        <v>-6.7918241203458791</v>
      </c>
      <c r="N205" s="456">
        <f t="shared" si="199"/>
        <v>-23.005412776771472</v>
      </c>
      <c r="O205" s="456">
        <f t="shared" si="199"/>
        <v>-0.79034180570989321</v>
      </c>
      <c r="P205" s="456">
        <f t="shared" si="199"/>
        <v>8.7645432295343717</v>
      </c>
      <c r="Q205" s="456">
        <f t="shared" si="199"/>
        <v>6.2667232604253442</v>
      </c>
      <c r="R205" s="456">
        <f t="shared" si="199"/>
        <v>27.605962896603554</v>
      </c>
      <c r="S205" s="456">
        <f t="shared" si="199"/>
        <v>0.22586909917718945</v>
      </c>
      <c r="T205" s="456">
        <f t="shared" si="199"/>
        <v>-36.649112262544612</v>
      </c>
      <c r="U205" s="456">
        <f t="shared" si="199"/>
        <v>15.246798603017098</v>
      </c>
      <c r="V205" s="456">
        <f t="shared" si="199"/>
        <v>9.9802557906662592</v>
      </c>
      <c r="W205" s="456">
        <f t="shared" si="199"/>
        <v>-5.1423553397431432</v>
      </c>
      <c r="X205" s="456">
        <f t="shared" si="199"/>
        <v>50.489771405979276</v>
      </c>
      <c r="Y205" s="456">
        <f t="shared" si="199"/>
        <v>-21.228922062894874</v>
      </c>
      <c r="Z205" s="456">
        <f t="shared" si="199"/>
        <v>-9.1119378388223033</v>
      </c>
      <c r="AA205" s="456">
        <f t="shared" si="199"/>
        <v>34.963850649182127</v>
      </c>
      <c r="AB205" s="456">
        <f t="shared" si="199"/>
        <v>46.26753378405062</v>
      </c>
      <c r="AC205" s="456">
        <f t="shared" si="199"/>
        <v>-7.7327636029999258</v>
      </c>
      <c r="AD205" s="456">
        <f t="shared" si="199"/>
        <v>-7.5963973126413116</v>
      </c>
      <c r="AE205" s="456">
        <f t="shared" si="199"/>
        <v>-10.15615604063791</v>
      </c>
      <c r="AF205" s="456">
        <f t="shared" si="199"/>
        <v>-7.0108799653435749</v>
      </c>
      <c r="AG205" s="456">
        <f t="shared" si="199"/>
        <v>36.617624547826736</v>
      </c>
      <c r="AH205" s="456">
        <f t="shared" si="199"/>
        <v>-2.1191159063516096E-3</v>
      </c>
      <c r="AI205" s="456">
        <f t="shared" si="199"/>
        <v>-35.081392687330258</v>
      </c>
      <c r="AJ205" s="456">
        <f t="shared" si="199"/>
        <v>-24.239569851449993</v>
      </c>
      <c r="AK205" s="456">
        <f t="shared" si="199"/>
        <v>-34.324323863948628</v>
      </c>
      <c r="AL205" s="456">
        <f t="shared" si="199"/>
        <v>-44.971619656702252</v>
      </c>
      <c r="AM205" s="456">
        <f t="shared" si="199"/>
        <v>-18.704224092424404</v>
      </c>
      <c r="AN205" s="456">
        <f t="shared" si="199"/>
        <v>-45.399393326592509</v>
      </c>
      <c r="AO205" s="456">
        <f t="shared" si="199"/>
        <v>147.5324096973884</v>
      </c>
      <c r="AP205" s="456">
        <f t="shared" si="199"/>
        <v>-3.6315629228687363</v>
      </c>
      <c r="AQ205" s="456">
        <f t="shared" si="199"/>
        <v>-0.57028503222885663</v>
      </c>
      <c r="AR205" s="456">
        <f t="shared" si="199"/>
        <v>-30.990248806140876</v>
      </c>
      <c r="AS205" s="456">
        <f t="shared" si="199"/>
        <v>40.73671003997039</v>
      </c>
      <c r="AT205" s="456">
        <f t="shared" si="199"/>
        <v>283.6309064689994</v>
      </c>
      <c r="AU205" s="456">
        <f t="shared" si="199"/>
        <v>255.96239687002478</v>
      </c>
      <c r="AV205" s="456">
        <f t="shared" si="199"/>
        <v>-46.030733636131927</v>
      </c>
      <c r="AW205" s="456">
        <f t="shared" si="199"/>
        <v>-3.788765462582766</v>
      </c>
      <c r="AX205" s="456">
        <f t="shared" si="199"/>
        <v>-28.728155322066772</v>
      </c>
      <c r="AY205" s="456">
        <f t="shared" si="199"/>
        <v>-58.318427354593737</v>
      </c>
      <c r="AZ205" s="456">
        <f t="shared" si="199"/>
        <v>-57.235827347226717</v>
      </c>
      <c r="BA205" s="456">
        <f t="shared" si="199"/>
        <v>3.1976980722051351</v>
      </c>
      <c r="BB205" s="456">
        <f t="shared" si="199"/>
        <v>78.742491460769088</v>
      </c>
      <c r="BC205" s="456">
        <f t="shared" ca="1" si="199"/>
        <v>-36.001725032665455</v>
      </c>
      <c r="BD205" s="456">
        <f t="shared" ca="1" si="199"/>
        <v>80.956379490654882</v>
      </c>
      <c r="BE205" s="456">
        <f t="shared" ca="1" si="199"/>
        <v>-1.2328047449352342</v>
      </c>
      <c r="BF205" s="456">
        <f t="shared" ca="1" si="199"/>
        <v>-0.28608551724692566</v>
      </c>
      <c r="BG205" s="456">
        <f t="shared" ca="1" si="199"/>
        <v>0.21436542205417464</v>
      </c>
      <c r="BH205" s="456">
        <f t="shared" ca="1" si="199"/>
        <v>0.52349142555232486</v>
      </c>
      <c r="BI205" s="456">
        <f t="shared" ca="1" si="199"/>
        <v>0.74359845106000133</v>
      </c>
      <c r="BJ205" s="456">
        <f t="shared" ca="1" si="199"/>
        <v>0.91929082548800611</v>
      </c>
      <c r="BK205" s="456">
        <f t="shared" ca="1" si="199"/>
        <v>1.0707215899129485</v>
      </c>
      <c r="BL205" s="456">
        <f t="shared" ca="1" si="199"/>
        <v>1.2090903569028644</v>
      </c>
      <c r="BM205" s="456">
        <f t="shared" ca="1" si="199"/>
        <v>1.3421241602154188</v>
      </c>
      <c r="BN205" s="456">
        <f t="shared" ca="1" si="199"/>
        <v>1.471880656271729</v>
      </c>
      <c r="BO205" s="456">
        <f t="shared" ca="1" si="199"/>
        <v>1.5991816378670087</v>
      </c>
      <c r="BP205" s="457"/>
      <c r="BQ205" s="448">
        <f t="shared" ca="1" si="193"/>
        <v>0</v>
      </c>
      <c r="BR205" s="448">
        <f t="shared" ca="1" si="193"/>
        <v>0</v>
      </c>
      <c r="BS205" s="448">
        <f t="shared" ca="1" si="193"/>
        <v>-1.1102230246251565E-14</v>
      </c>
      <c r="BT205" s="448">
        <f t="shared" ca="1" si="193"/>
        <v>-4.6629367034256575E-13</v>
      </c>
      <c r="BU205" s="448">
        <f t="shared" ca="1" si="193"/>
        <v>-4.9515946898281982E-12</v>
      </c>
      <c r="BV205" s="448">
        <f t="shared" ca="1" si="193"/>
        <v>-4.0101255649460654E-11</v>
      </c>
      <c r="BW205" s="448">
        <f t="shared" ca="1" si="193"/>
        <v>-2.560174294785611E-10</v>
      </c>
      <c r="BX205" s="448">
        <f t="shared" ca="1" si="193"/>
        <v>-1.3325562875365904E-9</v>
      </c>
      <c r="BY205" s="448">
        <f t="shared" ca="1" si="193"/>
        <v>-5.8318905260534848E-9</v>
      </c>
      <c r="BZ205" s="448">
        <f t="shared" ca="1" si="193"/>
        <v>-2.2012258682480024E-8</v>
      </c>
      <c r="CA205" s="448">
        <f t="shared" ca="1" si="193"/>
        <v>-7.2972539122417857E-8</v>
      </c>
      <c r="CB205" s="448">
        <f t="shared" ca="1" si="193"/>
        <v>-2.1754860135558829E-7</v>
      </c>
      <c r="CD205" s="439">
        <v>80.956379490654882</v>
      </c>
      <c r="CE205" s="439">
        <v>-1.2328047449352342</v>
      </c>
      <c r="CF205" s="439">
        <v>-0.28608551724691456</v>
      </c>
      <c r="CG205" s="439">
        <v>0.21436542205464093</v>
      </c>
      <c r="CH205" s="439">
        <v>0.52349142555727646</v>
      </c>
      <c r="CI205" s="439">
        <v>0.74359845110010259</v>
      </c>
      <c r="CJ205" s="439">
        <v>0.91929082574402354</v>
      </c>
      <c r="CK205" s="439">
        <v>1.0707215912455048</v>
      </c>
      <c r="CL205" s="439">
        <v>1.2090903627347549</v>
      </c>
      <c r="CM205" s="439">
        <v>1.3421241822276775</v>
      </c>
      <c r="CN205" s="439">
        <v>1.4718807292442682</v>
      </c>
      <c r="CO205" s="439">
        <v>1.5991818554156101</v>
      </c>
    </row>
    <row r="206" spans="1:93" ht="15.75">
      <c r="A206" s="492" t="s">
        <v>59</v>
      </c>
      <c r="B206" s="492"/>
      <c r="C206" s="442" t="s">
        <v>1349</v>
      </c>
      <c r="E206" s="436"/>
      <c r="G206" s="438"/>
      <c r="H206" s="438"/>
      <c r="I206" s="438"/>
      <c r="J206" s="438"/>
      <c r="K206" s="438"/>
      <c r="L206" s="438"/>
      <c r="M206" s="438"/>
      <c r="N206" s="438"/>
      <c r="O206" s="438"/>
      <c r="P206" s="438"/>
      <c r="Q206" s="438"/>
      <c r="R206" s="438"/>
      <c r="S206" s="438"/>
      <c r="T206" s="438"/>
      <c r="U206" s="438"/>
      <c r="V206" s="438"/>
      <c r="W206" s="438"/>
      <c r="X206" s="438"/>
      <c r="Y206" s="438"/>
      <c r="Z206" s="438"/>
      <c r="AA206" s="438"/>
      <c r="AB206" s="438"/>
      <c r="AC206" s="438"/>
      <c r="AD206" s="438"/>
      <c r="AE206" s="438"/>
      <c r="AF206" s="438"/>
      <c r="AG206" s="438"/>
      <c r="AH206" s="438"/>
      <c r="AI206" s="438"/>
      <c r="AJ206" s="438"/>
      <c r="AK206" s="438"/>
      <c r="AL206" s="438"/>
      <c r="AM206" s="438"/>
      <c r="AN206" s="438"/>
      <c r="AO206" s="438"/>
      <c r="AP206" s="438"/>
      <c r="AQ206" s="438"/>
      <c r="AR206" s="438"/>
      <c r="AS206" s="438"/>
      <c r="AT206" s="438"/>
      <c r="AU206" s="438"/>
      <c r="AV206" s="438"/>
      <c r="AW206" s="438"/>
      <c r="AX206" s="437">
        <v>0</v>
      </c>
      <c r="AY206" s="437">
        <v>0.13386880856760541</v>
      </c>
      <c r="AZ206" s="437">
        <v>-1.4171122994652396</v>
      </c>
      <c r="BA206" s="437">
        <v>4.8548955790615578</v>
      </c>
      <c r="BB206" s="437">
        <v>3.336782203828248</v>
      </c>
      <c r="BC206" s="437">
        <v>2.177722152690853</v>
      </c>
      <c r="BE206" s="438"/>
      <c r="BF206" s="438"/>
      <c r="BG206" s="438"/>
      <c r="BH206" s="438"/>
      <c r="BI206" s="438"/>
      <c r="BJ206" s="438"/>
      <c r="BK206" s="438"/>
      <c r="BL206" s="438"/>
      <c r="BM206" s="438"/>
      <c r="BN206" s="438"/>
      <c r="BO206" s="438"/>
    </row>
    <row r="207" spans="1:93" ht="15.75">
      <c r="A207" s="493" t="s">
        <v>60</v>
      </c>
      <c r="B207" s="493"/>
      <c r="C207" s="442" t="s">
        <v>1349</v>
      </c>
      <c r="E207" s="436"/>
      <c r="G207" s="438"/>
      <c r="H207" s="438"/>
      <c r="I207" s="438"/>
      <c r="J207" s="438"/>
      <c r="K207" s="438"/>
      <c r="L207" s="438"/>
      <c r="M207" s="438"/>
      <c r="N207" s="438"/>
      <c r="O207" s="438"/>
      <c r="P207" s="438"/>
      <c r="Q207" s="438"/>
      <c r="R207" s="438"/>
      <c r="S207" s="438"/>
      <c r="T207" s="438"/>
      <c r="U207" s="438"/>
      <c r="V207" s="438"/>
      <c r="W207" s="438"/>
      <c r="X207" s="438"/>
      <c r="Y207" s="438"/>
      <c r="Z207" s="438"/>
      <c r="AA207" s="438"/>
      <c r="AB207" s="438"/>
      <c r="AC207" s="438"/>
      <c r="AD207" s="438"/>
      <c r="AE207" s="438"/>
      <c r="AF207" s="438"/>
      <c r="AG207" s="438"/>
      <c r="AH207" s="438"/>
      <c r="AI207" s="438"/>
      <c r="AJ207" s="438"/>
      <c r="AK207" s="438"/>
      <c r="AL207" s="438"/>
      <c r="AM207" s="438"/>
      <c r="AN207" s="438"/>
      <c r="AO207" s="438"/>
      <c r="AP207" s="438"/>
      <c r="AQ207" s="438"/>
      <c r="AR207" s="438"/>
      <c r="AS207" s="438"/>
      <c r="AT207" s="438"/>
      <c r="AU207" s="438"/>
      <c r="AV207" s="438"/>
      <c r="AW207" s="438"/>
      <c r="AX207" s="438">
        <f t="shared" ref="AX207:BC207" si="200">AX159-AX206</f>
        <v>5.0316125444713533</v>
      </c>
      <c r="AY207" s="438">
        <f t="shared" si="200"/>
        <v>-13.538132160980453</v>
      </c>
      <c r="AZ207" s="438">
        <f t="shared" si="200"/>
        <v>-12.601682007844861</v>
      </c>
      <c r="BA207" s="438">
        <f t="shared" si="200"/>
        <v>1.7934361924533349</v>
      </c>
      <c r="BB207" s="438">
        <f t="shared" si="200"/>
        <v>60.097356396479903</v>
      </c>
      <c r="BC207" s="438">
        <f t="shared" ca="1" si="200"/>
        <v>5.034345023881448</v>
      </c>
      <c r="BE207" s="438"/>
      <c r="BF207" s="438"/>
      <c r="BG207" s="438"/>
      <c r="BH207" s="438"/>
      <c r="BI207" s="438"/>
      <c r="BJ207" s="438"/>
      <c r="BK207" s="438"/>
      <c r="BL207" s="438"/>
      <c r="BM207" s="438"/>
      <c r="BN207" s="438"/>
      <c r="BO207" s="438"/>
    </row>
    <row r="208" spans="1:93" s="493" customFormat="1" ht="15.75">
      <c r="A208" s="492" t="s">
        <v>61</v>
      </c>
      <c r="B208" s="492"/>
      <c r="C208" s="491" t="s">
        <v>1349</v>
      </c>
      <c r="D208" s="492"/>
      <c r="E208" s="492"/>
      <c r="F208" s="497"/>
      <c r="G208" s="497">
        <f>+(mamiabc!G89/mamiabc!F89-1)*100</f>
        <v>15.151515151515159</v>
      </c>
      <c r="H208" s="497">
        <f>+(mamiabc!H89/mamiabc!G89-1)*100</f>
        <v>9.8684260719700934</v>
      </c>
      <c r="I208" s="497">
        <f>+(mamiabc!I89/mamiabc!H89-1)*100</f>
        <v>13.772449892126314</v>
      </c>
      <c r="J208" s="497">
        <f>+(mamiabc!J89/mamiabc!I89-1)*100</f>
        <v>0.58947111430920351</v>
      </c>
      <c r="K208" s="497">
        <f>+(mamiabc!K89/mamiabc!J89-1)*100</f>
        <v>9.7425777869326158</v>
      </c>
      <c r="L208" s="497">
        <f>+(mamiabc!L89/mamiabc!K89-1)*100</f>
        <v>7.7143036681857291</v>
      </c>
      <c r="M208" s="497">
        <f>+(mamiabc!M89/mamiabc!L89-1)*100</f>
        <v>5.9047521113637647</v>
      </c>
      <c r="N208" s="497">
        <f>+(mamiabc!N89/mamiabc!M89-1)*100</f>
        <v>8.4677715406786369</v>
      </c>
      <c r="O208" s="497">
        <f>+(mamiabc!O89/mamiabc!N89-1)*100</f>
        <v>7.6757113347751149</v>
      </c>
      <c r="P208" s="497">
        <f>+(mamiabc!P89/mamiabc!O89-1)*100</f>
        <v>5.7686784198220042</v>
      </c>
      <c r="Q208" s="497">
        <f>+(mamiabc!Q89/mamiabc!P89-1)*100</f>
        <v>5.0886443446557683</v>
      </c>
      <c r="R208" s="497">
        <f>+(mamiabc!R89/mamiabc!Q89-1)*100</f>
        <v>4.533158605621268</v>
      </c>
      <c r="S208" s="497">
        <f>+(mamiabc!S89/mamiabc!R89-1)*100</f>
        <v>11.223362002309646</v>
      </c>
      <c r="T208" s="497">
        <f>+(mamiabc!T89/mamiabc!S89-1)*100</f>
        <v>2.4590177788219147</v>
      </c>
      <c r="U208" s="497">
        <f>+(mamiabc!U89/mamiabc!T89-1)*100</f>
        <v>11.891896015888936</v>
      </c>
      <c r="V208" s="497">
        <f>+(mamiabc!V89/mamiabc!U89-1)*100</f>
        <v>16.425118324717715</v>
      </c>
      <c r="W208" s="497">
        <f>+(mamiabc!W89/mamiabc!V89-1)*100</f>
        <v>0.41493933563012675</v>
      </c>
      <c r="X208" s="497">
        <f>+(mamiabc!X89/mamiabc!W89-1)*100</f>
        <v>-2.066115637342103</v>
      </c>
      <c r="Y208" s="497">
        <f>+(mamiabc!Y89/mamiabc!X89-1)*100</f>
        <v>7.1729907209503896</v>
      </c>
      <c r="Z208" s="497">
        <f>+(mamiabc!Z89/mamiabc!Y89-1)*100</f>
        <v>11.81102379943102</v>
      </c>
      <c r="AA208" s="497">
        <f>+(mamiabc!AA89/mamiabc!Z89-1)*100</f>
        <v>3.5211268078592761</v>
      </c>
      <c r="AB208" s="497">
        <f>+(mamiabc!AB89/mamiabc!AA89-1)*100</f>
        <v>11.224493834106219</v>
      </c>
      <c r="AC208" s="497">
        <f>+(mamiabc!AC89/mamiabc!AB89-1)*100</f>
        <v>9.7859348265403554</v>
      </c>
      <c r="AD208" s="497">
        <f>+(mamiabc!AD89/mamiabc!AC89-1)*100</f>
        <v>8.6350928756546921</v>
      </c>
      <c r="AE208" s="497">
        <f>+(mamiabc!AE89/mamiabc!AD89-1)*100</f>
        <v>1.5384576259515281</v>
      </c>
      <c r="AF208" s="497">
        <f>+(mamiabc!AF89/mamiabc!AE89-1)*100</f>
        <v>-11.111105759403184</v>
      </c>
      <c r="AG208" s="497">
        <f>+(mamiabc!AG89/mamiabc!AF89-1)*100</f>
        <v>0.56818397330840043</v>
      </c>
      <c r="AH208" s="497">
        <f>+(mamiabc!AH89/mamiabc!AG89-1)*100</f>
        <v>-0.28249232911827793</v>
      </c>
      <c r="AI208" s="497">
        <f>+(mamiabc!AI89/mamiabc!AH89-1)*100</f>
        <v>4.8158662880498415</v>
      </c>
      <c r="AJ208" s="497">
        <f>+(mamiabc!AJ89/mamiabc!AI89-1)*100</f>
        <v>0</v>
      </c>
      <c r="AK208" s="497">
        <f>+(mamiabc!AK89/mamiabc!AJ89-1)*100</f>
        <v>2.7027027027026973</v>
      </c>
      <c r="AL208" s="497">
        <f>+(mamiabc!AL89/mamiabc!AK89-1)*100</f>
        <v>1.3157894736842035</v>
      </c>
      <c r="AM208" s="497">
        <f>+(mamiabc!AM89/mamiabc!AL89-1)*100</f>
        <v>7.3693708939985836</v>
      </c>
      <c r="AN208" s="497">
        <f>+(mamiabc!AN89/mamiabc!AM89-1)*100</f>
        <v>6.3291154426219798</v>
      </c>
      <c r="AO208" s="497">
        <f>+(mamiabc!AO89/mamiabc!AN89-1)*100</f>
        <v>1.1904816664747075</v>
      </c>
      <c r="AP208" s="497">
        <f>+(mamiabc!AP89/mamiabc!AO89-1)*100</f>
        <v>-2.3197416794404346</v>
      </c>
      <c r="AQ208" s="497">
        <f>+(mamiabc!AQ89/mamiabc!AP89-1)*100</f>
        <v>-1.4478075727931805</v>
      </c>
      <c r="AR208" s="497">
        <f>+(mamiabc!AR89/mamiabc!AQ89-1)*100</f>
        <v>-0.2779334828101665</v>
      </c>
      <c r="AS208" s="497">
        <f>+(mamiabc!AS89/mamiabc!AR89-1)*100</f>
        <v>-4.7895636695786674</v>
      </c>
      <c r="AT208" s="497">
        <f>+(mamiabc!AT89/mamiabc!AS89-1)*100</f>
        <v>-5.1657975007379786</v>
      </c>
      <c r="AU208" s="497">
        <f>+(mamiabc!AU89/mamiabc!AT89-1)*100</f>
        <v>-3.6107076156879137</v>
      </c>
      <c r="AV208" s="497">
        <f>+(mamiabc!AV89/mamiabc!AU89-1)*100</f>
        <v>-1.3374596340150702</v>
      </c>
      <c r="AW208" s="497">
        <f>+(mamiabc!AW89/mamiabc!AV89-1)*100</f>
        <v>7.6452599388376896E-2</v>
      </c>
      <c r="AX208" s="497">
        <f>+(mamiabc!AX89/mamiabc!AW89-1)*100</f>
        <v>2.8234971562994371</v>
      </c>
      <c r="AY208" s="497">
        <f>+(mamiabc!AY89/mamiabc!AX89-1)*100</f>
        <v>0.42940069446286699</v>
      </c>
      <c r="AZ208" s="497">
        <f>+(mamiabc!AZ89/mamiabc!AY89-1)*100</f>
        <v>1.5466230304309825</v>
      </c>
      <c r="BA208" s="497">
        <f>+(mamiabc!BA89/mamiabc!AZ89-1)*100</f>
        <v>1.9545159194281903</v>
      </c>
      <c r="BB208" s="497">
        <f>+(mamiabc!BB89/mamiabc!BA89-1)*100</f>
        <v>1.144619777194289</v>
      </c>
      <c r="BC208" s="497">
        <f>+(mamiabc!BC89/mamiabc!BB89-1)*100</f>
        <v>1.1417481600967783</v>
      </c>
      <c r="BD208" s="497">
        <f>+(mamiabc!BD89/mamiabc!BC89-1)*100</f>
        <v>3.3068354556555324</v>
      </c>
      <c r="BE208" s="497">
        <f>+(mamiabc!BE89/mamiabc!BD89-1)*100</f>
        <v>1.2178394674953186</v>
      </c>
      <c r="BF208" s="497">
        <f>+(mamiabc!BF89/mamiabc!BE89-1)*100</f>
        <v>1.2237690813094559</v>
      </c>
      <c r="BG208" s="497">
        <f>+(mamiabc!BG89/mamiabc!BF89-1)*100</f>
        <v>1.2296555296517742</v>
      </c>
      <c r="BH208" s="497">
        <f>+(mamiabc!BH89/mamiabc!BG89-1)*100</f>
        <v>1.2354984446558914</v>
      </c>
      <c r="BI208" s="497">
        <f>+(mamiabc!BI89/mamiabc!BH89-1)*100</f>
        <v>1.2412974763072127</v>
      </c>
      <c r="BJ208" s="497">
        <f>+(mamiabc!BJ89/mamiabc!BI89-1)*100</f>
        <v>1.2470522923583971</v>
      </c>
      <c r="BK208" s="497">
        <f>+(mamiabc!BK89/mamiabc!BJ89-1)*100</f>
        <v>1.2527625782320806</v>
      </c>
      <c r="BL208" s="497">
        <f>+(mamiabc!BL89/mamiabc!BK89-1)*100</f>
        <v>1.2584280369116518</v>
      </c>
      <c r="BM208" s="497">
        <f>+(mamiabc!BM89/mamiabc!BL89-1)*100</f>
        <v>1.2640483888199272</v>
      </c>
      <c r="BN208" s="497">
        <f>+(mamiabc!BN89/mamiabc!BM89-1)*100</f>
        <v>1.2696233716868788</v>
      </c>
      <c r="BO208" s="497">
        <f>+(mamiabc!BO89/mamiabc!BN89-1)*100</f>
        <v>1.2751527404059271</v>
      </c>
      <c r="BP208" s="498"/>
      <c r="BQ208" s="493">
        <f t="shared" ref="BQ208:CB212" si="201">+BD208-CD208</f>
        <v>0</v>
      </c>
      <c r="BR208" s="493">
        <f t="shared" si="201"/>
        <v>0</v>
      </c>
      <c r="BS208" s="493">
        <f t="shared" si="201"/>
        <v>0</v>
      </c>
      <c r="BT208" s="493">
        <f t="shared" si="201"/>
        <v>0</v>
      </c>
      <c r="BU208" s="493">
        <f t="shared" si="201"/>
        <v>0</v>
      </c>
      <c r="BV208" s="493">
        <f t="shared" si="201"/>
        <v>0</v>
      </c>
      <c r="BW208" s="493">
        <f t="shared" si="201"/>
        <v>0</v>
      </c>
      <c r="BX208" s="493">
        <f t="shared" si="201"/>
        <v>0</v>
      </c>
      <c r="BY208" s="493">
        <f t="shared" si="201"/>
        <v>0</v>
      </c>
      <c r="BZ208" s="493">
        <f t="shared" si="201"/>
        <v>0</v>
      </c>
      <c r="CA208" s="493">
        <f t="shared" si="201"/>
        <v>0</v>
      </c>
      <c r="CB208" s="493">
        <f t="shared" si="201"/>
        <v>0</v>
      </c>
      <c r="CD208" s="496">
        <v>3.3068354556555324</v>
      </c>
      <c r="CE208" s="496">
        <v>1.2178394674953186</v>
      </c>
      <c r="CF208" s="496">
        <v>1.2237690813094559</v>
      </c>
      <c r="CG208" s="496">
        <v>1.2296555296517742</v>
      </c>
      <c r="CH208" s="496">
        <v>1.2354984446558914</v>
      </c>
      <c r="CI208" s="496">
        <v>1.2412974763072127</v>
      </c>
      <c r="CJ208" s="496">
        <v>1.2470522923583971</v>
      </c>
      <c r="CK208" s="496">
        <v>1.2527625782320806</v>
      </c>
      <c r="CL208" s="496">
        <v>1.2584280369116518</v>
      </c>
      <c r="CM208" s="496">
        <v>1.2640483888199272</v>
      </c>
      <c r="CN208" s="496">
        <v>1.2696233716868788</v>
      </c>
      <c r="CO208" s="496">
        <v>1.2751527404059271</v>
      </c>
    </row>
    <row r="209" spans="1:93" s="493" customFormat="1" ht="15.75">
      <c r="A209" s="492" t="s">
        <v>62</v>
      </c>
      <c r="B209" s="492"/>
      <c r="C209" s="491" t="s">
        <v>1349</v>
      </c>
      <c r="D209" s="492"/>
      <c r="E209" s="492"/>
      <c r="F209" s="497"/>
      <c r="G209" s="497">
        <f t="shared" ref="G209:BO209" si="202">+(((G88+G89)/(F88+F89))-1)*100</f>
        <v>4.7445255474452441</v>
      </c>
      <c r="H209" s="497">
        <f t="shared" si="202"/>
        <v>27.335342380643301</v>
      </c>
      <c r="I209" s="497">
        <f t="shared" si="202"/>
        <v>5.4707243244569215</v>
      </c>
      <c r="J209" s="497">
        <f t="shared" si="202"/>
        <v>4.9825231403360482</v>
      </c>
      <c r="K209" s="497">
        <f t="shared" si="202"/>
        <v>6.2909155862134858</v>
      </c>
      <c r="L209" s="497">
        <f t="shared" si="202"/>
        <v>6.2301484579958988</v>
      </c>
      <c r="M209" s="497">
        <f t="shared" si="202"/>
        <v>1.6902467455404357</v>
      </c>
      <c r="N209" s="497">
        <f t="shared" si="202"/>
        <v>1.7546798779096928</v>
      </c>
      <c r="O209" s="497">
        <f t="shared" si="202"/>
        <v>1.603309854474233</v>
      </c>
      <c r="P209" s="497">
        <f t="shared" si="202"/>
        <v>1.3964958279279127</v>
      </c>
      <c r="Q209" s="497">
        <f t="shared" si="202"/>
        <v>1.844981714272742</v>
      </c>
      <c r="R209" s="497">
        <f t="shared" si="202"/>
        <v>1.1079642457453076</v>
      </c>
      <c r="S209" s="497">
        <f t="shared" si="202"/>
        <v>2.3399672116291237</v>
      </c>
      <c r="T209" s="497">
        <f t="shared" si="202"/>
        <v>1.4507200647826402</v>
      </c>
      <c r="U209" s="497">
        <f t="shared" si="202"/>
        <v>2.4294837970069816</v>
      </c>
      <c r="V209" s="497">
        <f t="shared" si="202"/>
        <v>4.9592046657568334</v>
      </c>
      <c r="W209" s="497">
        <f t="shared" si="202"/>
        <v>-4.1441526339963897</v>
      </c>
      <c r="X209" s="497">
        <f t="shared" si="202"/>
        <v>-1.2847178620517097</v>
      </c>
      <c r="Y209" s="497">
        <f t="shared" si="202"/>
        <v>-0.62137981211145554</v>
      </c>
      <c r="Z209" s="497">
        <f t="shared" si="202"/>
        <v>1.8614823691166293</v>
      </c>
      <c r="AA209" s="497">
        <f t="shared" si="202"/>
        <v>5.2357047585770866</v>
      </c>
      <c r="AB209" s="497">
        <f t="shared" si="202"/>
        <v>1.3112109975899955</v>
      </c>
      <c r="AC209" s="497">
        <f t="shared" si="202"/>
        <v>3.8218327389164752</v>
      </c>
      <c r="AD209" s="497">
        <f t="shared" si="202"/>
        <v>2.8303225478899074</v>
      </c>
      <c r="AE209" s="497">
        <f t="shared" si="202"/>
        <v>-0.99947670624045415</v>
      </c>
      <c r="AF209" s="497">
        <f t="shared" si="202"/>
        <v>-2.9415047399251493</v>
      </c>
      <c r="AG209" s="497">
        <f t="shared" si="202"/>
        <v>-5.1158730114853057E-2</v>
      </c>
      <c r="AH209" s="497">
        <f t="shared" si="202"/>
        <v>-0.16292557893520243</v>
      </c>
      <c r="AI209" s="497">
        <f t="shared" si="202"/>
        <v>-8.0391503067556158E-2</v>
      </c>
      <c r="AJ209" s="497">
        <f t="shared" si="202"/>
        <v>-2.5900452344642</v>
      </c>
      <c r="AK209" s="497">
        <f t="shared" si="202"/>
        <v>-1.5768707849269203</v>
      </c>
      <c r="AL209" s="497">
        <f t="shared" si="202"/>
        <v>-3.8080876197705393</v>
      </c>
      <c r="AM209" s="497">
        <f t="shared" si="202"/>
        <v>-1.2581872161583463</v>
      </c>
      <c r="AN209" s="497">
        <f t="shared" si="202"/>
        <v>-1.5696472282980767</v>
      </c>
      <c r="AO209" s="497">
        <f t="shared" si="202"/>
        <v>-4.3263657255734671</v>
      </c>
      <c r="AP209" s="497">
        <f t="shared" si="202"/>
        <v>-3.6390820625670894</v>
      </c>
      <c r="AQ209" s="497">
        <f t="shared" si="202"/>
        <v>0.24464462068167769</v>
      </c>
      <c r="AR209" s="497">
        <f t="shared" si="202"/>
        <v>0.42559974161571201</v>
      </c>
      <c r="AS209" s="497">
        <f t="shared" si="202"/>
        <v>-4.9850357121659084</v>
      </c>
      <c r="AT209" s="497">
        <f t="shared" si="202"/>
        <v>-7.1081548084973907</v>
      </c>
      <c r="AU209" s="497">
        <f t="shared" si="202"/>
        <v>-5.3469488147497302</v>
      </c>
      <c r="AV209" s="497">
        <f t="shared" si="202"/>
        <v>1.3541929553999354</v>
      </c>
      <c r="AW209" s="497">
        <f t="shared" si="202"/>
        <v>-0.55636084362338245</v>
      </c>
      <c r="AX209" s="497">
        <f t="shared" si="202"/>
        <v>1.2552670845500602</v>
      </c>
      <c r="AY209" s="497">
        <f t="shared" si="202"/>
        <v>-1.7513154357229443</v>
      </c>
      <c r="AZ209" s="497">
        <f t="shared" si="202"/>
        <v>0.65571661340706466</v>
      </c>
      <c r="BA209" s="497">
        <f t="shared" si="202"/>
        <v>0.2887496829683478</v>
      </c>
      <c r="BB209" s="497">
        <f t="shared" si="202"/>
        <v>1.0564212786547955</v>
      </c>
      <c r="BC209" s="497">
        <f t="shared" si="202"/>
        <v>1.9689541236632468</v>
      </c>
      <c r="BD209" s="497">
        <f t="shared" ca="1" si="202"/>
        <v>7.1696092780058729</v>
      </c>
      <c r="BE209" s="497">
        <f t="shared" ca="1" si="202"/>
        <v>4.1719163995286079</v>
      </c>
      <c r="BF209" s="497">
        <f t="shared" ca="1" si="202"/>
        <v>1.9140844309194271</v>
      </c>
      <c r="BG209" s="497">
        <f t="shared" ca="1" si="202"/>
        <v>1.5724027631401682</v>
      </c>
      <c r="BH209" s="497">
        <f t="shared" ca="1" si="202"/>
        <v>1.5058815056955943</v>
      </c>
      <c r="BI209" s="497">
        <f t="shared" ca="1" si="202"/>
        <v>1.4204135546449059</v>
      </c>
      <c r="BJ209" s="497">
        <f t="shared" ca="1" si="202"/>
        <v>1.3689467202990357</v>
      </c>
      <c r="BK209" s="497">
        <f t="shared" ca="1" si="202"/>
        <v>1.3599238701562211</v>
      </c>
      <c r="BL209" s="497">
        <f t="shared" ca="1" si="202"/>
        <v>1.3788832946379781</v>
      </c>
      <c r="BM209" s="497">
        <f t="shared" ca="1" si="202"/>
        <v>1.3752855064159242</v>
      </c>
      <c r="BN209" s="497">
        <f t="shared" ca="1" si="202"/>
        <v>1.3671393251585506</v>
      </c>
      <c r="BO209" s="497">
        <f t="shared" ca="1" si="202"/>
        <v>1.3568294796620028</v>
      </c>
      <c r="BP209" s="498"/>
      <c r="BQ209" s="493">
        <f t="shared" ca="1" si="201"/>
        <v>0</v>
      </c>
      <c r="BR209" s="493">
        <f t="shared" ca="1" si="201"/>
        <v>0</v>
      </c>
      <c r="BS209" s="493">
        <f t="shared" ca="1" si="201"/>
        <v>0</v>
      </c>
      <c r="BT209" s="493">
        <f t="shared" ca="1" si="201"/>
        <v>6.6613381477509392E-14</v>
      </c>
      <c r="BU209" s="493">
        <f t="shared" ca="1" si="201"/>
        <v>8.8817841970012523E-13</v>
      </c>
      <c r="BV209" s="493">
        <f t="shared" ca="1" si="201"/>
        <v>7.1720407390785113E-12</v>
      </c>
      <c r="BW209" s="493">
        <f t="shared" ca="1" si="201"/>
        <v>4.4564352208453784E-11</v>
      </c>
      <c r="BX209" s="493">
        <f t="shared" ca="1" si="201"/>
        <v>2.2664092824697946E-10</v>
      </c>
      <c r="BY209" s="493">
        <f t="shared" ca="1" si="201"/>
        <v>9.6860297560397157E-10</v>
      </c>
      <c r="BZ209" s="493">
        <f t="shared" ca="1" si="201"/>
        <v>3.5683900279082081E-9</v>
      </c>
      <c r="CA209" s="493">
        <f t="shared" ca="1" si="201"/>
        <v>1.154092377220195E-8</v>
      </c>
      <c r="CB209" s="493">
        <f t="shared" ca="1" si="201"/>
        <v>3.3631408768997062E-8</v>
      </c>
      <c r="CD209" s="496">
        <v>7.1696092780058729</v>
      </c>
      <c r="CE209" s="496">
        <v>4.1719163995286079</v>
      </c>
      <c r="CF209" s="496">
        <v>1.9140844309194271</v>
      </c>
      <c r="CG209" s="496">
        <v>1.5724027631401016</v>
      </c>
      <c r="CH209" s="496">
        <v>1.5058815056947061</v>
      </c>
      <c r="CI209" s="496">
        <v>1.4204135546377339</v>
      </c>
      <c r="CJ209" s="496">
        <v>1.3689467202544714</v>
      </c>
      <c r="CK209" s="496">
        <v>1.3599238699295801</v>
      </c>
      <c r="CL209" s="496">
        <v>1.3788832936693751</v>
      </c>
      <c r="CM209" s="496">
        <v>1.3752855028475341</v>
      </c>
      <c r="CN209" s="496">
        <v>1.3671393136176269</v>
      </c>
      <c r="CO209" s="496">
        <v>1.3568294460305941</v>
      </c>
    </row>
    <row r="210" spans="1:93" s="493" customFormat="1" ht="15.75">
      <c r="A210" s="492" t="s">
        <v>63</v>
      </c>
      <c r="B210" s="492"/>
      <c r="C210" s="491" t="s">
        <v>1349</v>
      </c>
      <c r="D210" s="492"/>
      <c r="E210" s="492"/>
      <c r="F210" s="497"/>
      <c r="G210" s="497">
        <f>(G92/F92-1)*100</f>
        <v>3.4334763948497882</v>
      </c>
      <c r="H210" s="497">
        <f t="shared" ref="H210:BD210" si="203">(H92/G92-1)*100</f>
        <v>1.7966875891467948</v>
      </c>
      <c r="I210" s="497">
        <f t="shared" si="203"/>
        <v>4.0000004975759396</v>
      </c>
      <c r="J210" s="497">
        <f t="shared" si="203"/>
        <v>3.8461543061907744</v>
      </c>
      <c r="K210" s="497">
        <f t="shared" si="203"/>
        <v>3.7037041302948603</v>
      </c>
      <c r="L210" s="497">
        <f t="shared" si="203"/>
        <v>3.57142896809306</v>
      </c>
      <c r="M210" s="497">
        <f t="shared" si="203"/>
        <v>3.4482762318489346</v>
      </c>
      <c r="N210" s="497">
        <f t="shared" si="203"/>
        <v>3.3333336788721635</v>
      </c>
      <c r="O210" s="497">
        <f t="shared" si="203"/>
        <v>3.2258067752184649</v>
      </c>
      <c r="P210" s="497">
        <f t="shared" si="203"/>
        <v>3.4374915876141277</v>
      </c>
      <c r="Q210" s="497">
        <f t="shared" si="203"/>
        <v>1.8126947825270801</v>
      </c>
      <c r="R210" s="497">
        <f t="shared" si="203"/>
        <v>2.9673594064229203</v>
      </c>
      <c r="S210" s="497">
        <f t="shared" si="203"/>
        <v>2.8818447161594651</v>
      </c>
      <c r="T210" s="497">
        <f t="shared" si="203"/>
        <v>2.2408948700984421</v>
      </c>
      <c r="U210" s="497">
        <f t="shared" si="203"/>
        <v>2.4657528877722656</v>
      </c>
      <c r="V210" s="497">
        <f t="shared" si="203"/>
        <v>0.53476109245524928</v>
      </c>
      <c r="W210" s="497">
        <f t="shared" si="203"/>
        <v>0.53190833850744745</v>
      </c>
      <c r="X210" s="497">
        <f t="shared" si="203"/>
        <v>1.0582045405781004</v>
      </c>
      <c r="Y210" s="497">
        <f t="shared" si="203"/>
        <v>0.52356191433877708</v>
      </c>
      <c r="Z210" s="497">
        <f t="shared" si="203"/>
        <v>-0.78125253080209012</v>
      </c>
      <c r="AA210" s="497">
        <f t="shared" si="203"/>
        <v>-4.1994724519556765</v>
      </c>
      <c r="AB210" s="497">
        <f t="shared" si="203"/>
        <v>-2.7397263775398306</v>
      </c>
      <c r="AC210" s="497">
        <f t="shared" si="203"/>
        <v>2.0000012264195677</v>
      </c>
      <c r="AD210" s="497">
        <f t="shared" si="203"/>
        <v>1.436061716042647</v>
      </c>
      <c r="AE210" s="497">
        <f t="shared" si="203"/>
        <v>-0.62618640810236936</v>
      </c>
      <c r="AF210" s="497">
        <f t="shared" si="203"/>
        <v>-2.3287661428884721</v>
      </c>
      <c r="AG210" s="497">
        <f t="shared" si="203"/>
        <v>-0.33661395566148</v>
      </c>
      <c r="AH210" s="497">
        <f t="shared" si="203"/>
        <v>2.1671880821942047</v>
      </c>
      <c r="AI210" s="497">
        <f t="shared" si="203"/>
        <v>2.148760472183131</v>
      </c>
      <c r="AJ210" s="497">
        <f t="shared" si="203"/>
        <v>2.0496240755368156</v>
      </c>
      <c r="AK210" s="497">
        <f t="shared" si="203"/>
        <v>2.4312876511439097</v>
      </c>
      <c r="AL210" s="497">
        <f t="shared" si="203"/>
        <v>2.3735791152253105</v>
      </c>
      <c r="AM210" s="497">
        <f t="shared" si="203"/>
        <v>1.1844781193309117</v>
      </c>
      <c r="AN210" s="497">
        <f t="shared" si="203"/>
        <v>0.76142131979695105</v>
      </c>
      <c r="AO210" s="497">
        <f t="shared" si="203"/>
        <v>1.0075566750629816</v>
      </c>
      <c r="AP210" s="497">
        <f t="shared" si="203"/>
        <v>0.16633416458853301</v>
      </c>
      <c r="AQ210" s="497">
        <f t="shared" si="203"/>
        <v>0.13170113551774776</v>
      </c>
      <c r="AR210" s="497">
        <f t="shared" si="203"/>
        <v>0.27623347820464605</v>
      </c>
      <c r="AS210" s="497">
        <f t="shared" si="203"/>
        <v>0.12744633740551237</v>
      </c>
      <c r="AT210" s="497">
        <f t="shared" si="203"/>
        <v>0.29518029027710835</v>
      </c>
      <c r="AU210" s="497">
        <f t="shared" si="203"/>
        <v>0.95132748825346169</v>
      </c>
      <c r="AV210" s="497">
        <f t="shared" si="203"/>
        <v>1.1157689805461946</v>
      </c>
      <c r="AW210" s="497">
        <f t="shared" si="203"/>
        <v>8.2587856413199887</v>
      </c>
      <c r="AX210" s="497">
        <f t="shared" si="203"/>
        <v>1.4999999999999902</v>
      </c>
      <c r="AY210" s="497">
        <f t="shared" si="203"/>
        <v>1.4999999999999902</v>
      </c>
      <c r="AZ210" s="497">
        <f t="shared" si="203"/>
        <v>1.1927998265018447</v>
      </c>
      <c r="BA210" s="497">
        <f t="shared" si="203"/>
        <v>1.4787826832404649</v>
      </c>
      <c r="BB210" s="497">
        <f t="shared" si="203"/>
        <v>1.203801478352684</v>
      </c>
      <c r="BC210" s="497">
        <f t="shared" si="203"/>
        <v>1.4816360601001666</v>
      </c>
      <c r="BD210" s="497">
        <f t="shared" si="203"/>
        <v>0.14137363767221522</v>
      </c>
      <c r="BE210" s="497">
        <f>(BE92/BD92-1)*100</f>
        <v>1.2178394674953408</v>
      </c>
      <c r="BF210" s="497">
        <f t="shared" ref="BF210:BO210" si="204">(BF92/BE92-1)*100</f>
        <v>1.2237690813094559</v>
      </c>
      <c r="BG210" s="497">
        <f t="shared" si="204"/>
        <v>1.2296555296517742</v>
      </c>
      <c r="BH210" s="497">
        <f t="shared" si="204"/>
        <v>1.2354984446558914</v>
      </c>
      <c r="BI210" s="497">
        <f t="shared" si="204"/>
        <v>1.2412974763072127</v>
      </c>
      <c r="BJ210" s="497">
        <f t="shared" si="204"/>
        <v>1.2470522923583971</v>
      </c>
      <c r="BK210" s="497">
        <f t="shared" si="204"/>
        <v>1.2527625782320806</v>
      </c>
      <c r="BL210" s="497">
        <f t="shared" si="204"/>
        <v>1.2584280369116296</v>
      </c>
      <c r="BM210" s="497">
        <f t="shared" si="204"/>
        <v>1.2640483888199272</v>
      </c>
      <c r="BN210" s="497">
        <f t="shared" si="204"/>
        <v>1.2696233716868788</v>
      </c>
      <c r="BO210" s="497">
        <f t="shared" si="204"/>
        <v>1.2751527404059271</v>
      </c>
      <c r="BP210" s="498"/>
      <c r="BQ210" s="493">
        <f t="shared" si="201"/>
        <v>0</v>
      </c>
      <c r="BR210" s="493">
        <f t="shared" si="201"/>
        <v>0</v>
      </c>
      <c r="BS210" s="493">
        <f t="shared" si="201"/>
        <v>0</v>
      </c>
      <c r="BT210" s="493">
        <f t="shared" si="201"/>
        <v>0</v>
      </c>
      <c r="BU210" s="493">
        <f t="shared" si="201"/>
        <v>0</v>
      </c>
      <c r="BV210" s="493">
        <f t="shared" si="201"/>
        <v>0</v>
      </c>
      <c r="BW210" s="493">
        <f t="shared" si="201"/>
        <v>0</v>
      </c>
      <c r="BX210" s="493">
        <f t="shared" si="201"/>
        <v>0</v>
      </c>
      <c r="BY210" s="493">
        <f t="shared" si="201"/>
        <v>0</v>
      </c>
      <c r="BZ210" s="493">
        <f t="shared" si="201"/>
        <v>0</v>
      </c>
      <c r="CA210" s="493">
        <f t="shared" si="201"/>
        <v>0</v>
      </c>
      <c r="CB210" s="493">
        <f t="shared" si="201"/>
        <v>0</v>
      </c>
      <c r="CD210" s="496">
        <v>0.14137363767221522</v>
      </c>
      <c r="CE210" s="496">
        <v>1.2178394674953408</v>
      </c>
      <c r="CF210" s="496">
        <v>1.2237690813094559</v>
      </c>
      <c r="CG210" s="496">
        <v>1.2296555296517742</v>
      </c>
      <c r="CH210" s="496">
        <v>1.2354984446558914</v>
      </c>
      <c r="CI210" s="496">
        <v>1.2412974763072127</v>
      </c>
      <c r="CJ210" s="496">
        <v>1.2470522923583971</v>
      </c>
      <c r="CK210" s="496">
        <v>1.2527625782320806</v>
      </c>
      <c r="CL210" s="496">
        <v>1.2584280369116296</v>
      </c>
      <c r="CM210" s="496">
        <v>1.2640483888199272</v>
      </c>
      <c r="CN210" s="496">
        <v>1.2696233716868788</v>
      </c>
      <c r="CO210" s="496">
        <v>1.2751527404059271</v>
      </c>
    </row>
    <row r="211" spans="1:93" s="493" customFormat="1" ht="15.75">
      <c r="A211" s="492" t="s">
        <v>64</v>
      </c>
      <c r="B211" s="492"/>
      <c r="C211" s="491" t="s">
        <v>1349</v>
      </c>
      <c r="D211" s="492"/>
      <c r="E211" s="492"/>
      <c r="F211" s="497"/>
      <c r="G211" s="497">
        <f t="shared" ref="G211:BO211" si="205">((1+G191/100)/(G92/F92)-1)*100</f>
        <v>1.7311868209019199</v>
      </c>
      <c r="H211" s="497">
        <f t="shared" si="205"/>
        <v>6.111455227203999</v>
      </c>
      <c r="I211" s="497">
        <f t="shared" si="205"/>
        <v>-2.535717529157766</v>
      </c>
      <c r="J211" s="497">
        <f t="shared" si="205"/>
        <v>-2.9796291106281458</v>
      </c>
      <c r="K211" s="497">
        <f t="shared" si="205"/>
        <v>6.5071705269754254</v>
      </c>
      <c r="L211" s="497">
        <f t="shared" si="205"/>
        <v>-1.80604869805151</v>
      </c>
      <c r="M211" s="497">
        <f t="shared" si="205"/>
        <v>-9.3813733168346403E-2</v>
      </c>
      <c r="N211" s="497">
        <f t="shared" si="205"/>
        <v>-1.4308567869197431</v>
      </c>
      <c r="O211" s="497">
        <f t="shared" si="205"/>
        <v>7.0706942558192765</v>
      </c>
      <c r="P211" s="497">
        <f t="shared" si="205"/>
        <v>11.801294153625207</v>
      </c>
      <c r="Q211" s="497">
        <f t="shared" si="205"/>
        <v>7.279176750837002</v>
      </c>
      <c r="R211" s="497">
        <f t="shared" si="205"/>
        <v>11.68647219186969</v>
      </c>
      <c r="S211" s="497">
        <f t="shared" si="205"/>
        <v>4.4334999996974434</v>
      </c>
      <c r="T211" s="497">
        <f t="shared" si="205"/>
        <v>1.5960845913517208</v>
      </c>
      <c r="U211" s="497">
        <f t="shared" si="205"/>
        <v>-3.8496248637405084</v>
      </c>
      <c r="V211" s="497">
        <f t="shared" si="205"/>
        <v>-1.1174647205987043</v>
      </c>
      <c r="W211" s="497">
        <f t="shared" si="205"/>
        <v>11.000474296419283</v>
      </c>
      <c r="X211" s="497">
        <f t="shared" si="205"/>
        <v>1.7393522314339771</v>
      </c>
      <c r="Y211" s="497">
        <f t="shared" si="205"/>
        <v>6.2201571491014018</v>
      </c>
      <c r="Z211" s="497">
        <f t="shared" si="205"/>
        <v>10.47171918779517</v>
      </c>
      <c r="AA211" s="497">
        <f t="shared" si="205"/>
        <v>4.956651876689544</v>
      </c>
      <c r="AB211" s="497">
        <f t="shared" si="205"/>
        <v>-3.209502261117203</v>
      </c>
      <c r="AC211" s="497">
        <f t="shared" si="205"/>
        <v>6.8592682260616433</v>
      </c>
      <c r="AD211" s="497">
        <f t="shared" si="205"/>
        <v>6.0483125298314677</v>
      </c>
      <c r="AE211" s="497">
        <f t="shared" si="205"/>
        <v>3.2761018674796416</v>
      </c>
      <c r="AF211" s="497">
        <f t="shared" si="205"/>
        <v>1.0917019264227834</v>
      </c>
      <c r="AG211" s="497">
        <f t="shared" si="205"/>
        <v>2.2369509543893384</v>
      </c>
      <c r="AH211" s="497">
        <f t="shared" si="205"/>
        <v>-4.7655741092150876</v>
      </c>
      <c r="AI211" s="497">
        <f t="shared" si="205"/>
        <v>-8.3541663654899789</v>
      </c>
      <c r="AJ211" s="497">
        <f t="shared" si="205"/>
        <v>-9.1780300852065562</v>
      </c>
      <c r="AK211" s="497">
        <f t="shared" si="205"/>
        <v>-0.73833171493306038</v>
      </c>
      <c r="AL211" s="497">
        <f t="shared" si="205"/>
        <v>-21.891120552084342</v>
      </c>
      <c r="AM211" s="497">
        <f t="shared" si="205"/>
        <v>-16.383733883472008</v>
      </c>
      <c r="AN211" s="497">
        <f t="shared" si="205"/>
        <v>0.81594571099996571</v>
      </c>
      <c r="AO211" s="497">
        <f t="shared" si="205"/>
        <v>-4.3025252391153845</v>
      </c>
      <c r="AP211" s="497">
        <f t="shared" si="205"/>
        <v>32.351339808582644</v>
      </c>
      <c r="AQ211" s="497">
        <f t="shared" si="205"/>
        <v>10.407081872090673</v>
      </c>
      <c r="AR211" s="497">
        <f t="shared" si="205"/>
        <v>-6.2724122667635163</v>
      </c>
      <c r="AS211" s="497">
        <f t="shared" si="205"/>
        <v>-17.926679639580634</v>
      </c>
      <c r="AT211" s="497">
        <f t="shared" si="205"/>
        <v>-10.586413636500858</v>
      </c>
      <c r="AU211" s="497">
        <f t="shared" si="205"/>
        <v>-12.997542431292096</v>
      </c>
      <c r="AV211" s="497">
        <f t="shared" si="205"/>
        <v>28.813995951024786</v>
      </c>
      <c r="AW211" s="497">
        <f t="shared" si="205"/>
        <v>2.0851686004609737</v>
      </c>
      <c r="AX211" s="497">
        <f t="shared" si="205"/>
        <v>3.2950079076690564</v>
      </c>
      <c r="AY211" s="497">
        <f t="shared" si="205"/>
        <v>-12.558893112868908</v>
      </c>
      <c r="AZ211" s="497">
        <f t="shared" si="205"/>
        <v>-13.053227212580943</v>
      </c>
      <c r="BA211" s="497">
        <f t="shared" si="205"/>
        <v>4.451616572624828</v>
      </c>
      <c r="BB211" s="497">
        <f t="shared" si="205"/>
        <v>53.613941988778954</v>
      </c>
      <c r="BC211" s="497">
        <f t="shared" ca="1" si="205"/>
        <v>4.7717432938629623</v>
      </c>
      <c r="BD211" s="497">
        <f t="shared" ca="1" si="205"/>
        <v>5.7571431890081515</v>
      </c>
      <c r="BE211" s="497">
        <f t="shared" ca="1" si="205"/>
        <v>0.16187561240039727</v>
      </c>
      <c r="BF211" s="497">
        <f t="shared" ca="1" si="205"/>
        <v>-0.2388338423528924</v>
      </c>
      <c r="BG211" s="497">
        <f t="shared" ca="1" si="205"/>
        <v>0.24102257013436379</v>
      </c>
      <c r="BH211" s="497">
        <f t="shared" ca="1" si="205"/>
        <v>3.1607594823990226E-2</v>
      </c>
      <c r="BI211" s="497">
        <f t="shared" ca="1" si="205"/>
        <v>-1.519730010053344E-2</v>
      </c>
      <c r="BJ211" s="497">
        <f t="shared" ca="1" si="205"/>
        <v>-0.12193758156782142</v>
      </c>
      <c r="BK211" s="497">
        <f t="shared" ca="1" si="205"/>
        <v>-2.4752329865984635E-3</v>
      </c>
      <c r="BL211" s="497">
        <f t="shared" ca="1" si="205"/>
        <v>-1.3998970143713763E-2</v>
      </c>
      <c r="BM211" s="497">
        <f t="shared" ca="1" si="205"/>
        <v>-7.5841917780861134E-2</v>
      </c>
      <c r="BN211" s="497">
        <f t="shared" ca="1" si="205"/>
        <v>-0.1015233768803081</v>
      </c>
      <c r="BO211" s="497">
        <f t="shared" ca="1" si="205"/>
        <v>-0.17494498997322472</v>
      </c>
      <c r="BP211" s="498"/>
      <c r="BQ211" s="493">
        <f t="shared" ca="1" si="201"/>
        <v>0</v>
      </c>
      <c r="BR211" s="493">
        <f t="shared" ca="1" si="201"/>
        <v>0</v>
      </c>
      <c r="BS211" s="493">
        <f t="shared" ca="1" si="201"/>
        <v>6.6613381477509392E-14</v>
      </c>
      <c r="BT211" s="493">
        <f t="shared" ca="1" si="201"/>
        <v>9.7699626167013776E-13</v>
      </c>
      <c r="BU211" s="493">
        <f t="shared" ca="1" si="201"/>
        <v>1.0080825063596421E-11</v>
      </c>
      <c r="BV211" s="493">
        <f t="shared" ca="1" si="201"/>
        <v>8.8118401464498675E-11</v>
      </c>
      <c r="BW211" s="493">
        <f t="shared" ca="1" si="201"/>
        <v>6.0962346282167346E-10</v>
      </c>
      <c r="BX211" s="493">
        <f t="shared" ca="1" si="201"/>
        <v>3.4568015117031337E-9</v>
      </c>
      <c r="BY211" s="493">
        <f t="shared" ca="1" si="201"/>
        <v>1.6464096752599744E-8</v>
      </c>
      <c r="BZ211" s="493">
        <f t="shared" ca="1" si="201"/>
        <v>6.7544625448334727E-8</v>
      </c>
      <c r="CA211" s="493">
        <f t="shared" ca="1" si="201"/>
        <v>2.4335271575637307E-7</v>
      </c>
      <c r="CB211" s="493">
        <f t="shared" ca="1" si="201"/>
        <v>7.8455277829903025E-7</v>
      </c>
      <c r="CD211" s="496">
        <v>5.7571431890081515</v>
      </c>
      <c r="CE211" s="496">
        <v>0.16187561240039727</v>
      </c>
      <c r="CF211" s="496">
        <v>-0.23883384235295901</v>
      </c>
      <c r="CG211" s="496">
        <v>0.24102257013338679</v>
      </c>
      <c r="CH211" s="496">
        <v>3.1607594813909401E-2</v>
      </c>
      <c r="CI211" s="496">
        <v>-1.5197300188651841E-2</v>
      </c>
      <c r="CJ211" s="496">
        <v>-0.12193758217744488</v>
      </c>
      <c r="CK211" s="496">
        <v>-2.4752364433999752E-3</v>
      </c>
      <c r="CL211" s="496">
        <v>-1.3998986607810515E-2</v>
      </c>
      <c r="CM211" s="496">
        <v>-7.5841985325486583E-2</v>
      </c>
      <c r="CN211" s="496">
        <v>-0.10152362023302386</v>
      </c>
      <c r="CO211" s="496">
        <v>-0.17494577452600302</v>
      </c>
    </row>
    <row r="212" spans="1:93" s="493" customFormat="1" ht="15.75">
      <c r="A212" s="492" t="s">
        <v>65</v>
      </c>
      <c r="B212" s="492"/>
      <c r="C212" s="491" t="s">
        <v>1349</v>
      </c>
      <c r="D212" s="492"/>
      <c r="E212" s="492"/>
      <c r="F212" s="497" t="s">
        <v>1344</v>
      </c>
      <c r="G212" s="497">
        <f>100*((mamiabc!G167*(mamiabc!G165-mamiabc!G22)/(mamiabc!F167*(mamiabc!F165-mamiabc!F22)))/(1+mamiabc!G80/100)-1)</f>
        <v>6.2964187004498351</v>
      </c>
      <c r="H212" s="497">
        <f>100*((mamiabc!H167*(mamiabc!H165-mamiabc!H22)/(mamiabc!G167*(mamiabc!G165-mamiabc!G22)))/(1+mamiabc!H80/100)-1)</f>
        <v>2.8583566796754445</v>
      </c>
      <c r="I212" s="497">
        <f>100*((mamiabc!I167*(mamiabc!I165-mamiabc!I22)/(mamiabc!H167*(mamiabc!H165-mamiabc!H22)))/(1+mamiabc!I80/100)-1)</f>
        <v>7.652869043450572</v>
      </c>
      <c r="J212" s="497">
        <f>100*((mamiabc!J167*(mamiabc!J165-mamiabc!J22)/(mamiabc!I167*(mamiabc!I165-mamiabc!I22)))/(1+mamiabc!J80/100)-1)</f>
        <v>6.3534409382855372</v>
      </c>
      <c r="K212" s="497">
        <f>100*((mamiabc!K167*(mamiabc!K165-mamiabc!K22)/(mamiabc!J167*(mamiabc!J165-mamiabc!J22)))/(1+mamiabc!K80/100)-1)</f>
        <v>8.8843446703967146</v>
      </c>
      <c r="L212" s="497">
        <f>100*((mamiabc!L167*(mamiabc!L165-mamiabc!L22)/(mamiabc!K167*(mamiabc!K165-mamiabc!K22)))/(1+mamiabc!L80/100)-1)</f>
        <v>6.2446112976963786</v>
      </c>
      <c r="M212" s="497">
        <f>100*((mamiabc!M167*(mamiabc!M165-mamiabc!M22)/(mamiabc!L167*(mamiabc!L165-mamiabc!L22)))/(1+mamiabc!M80/100)-1)</f>
        <v>7.7754904047499407</v>
      </c>
      <c r="N212" s="497">
        <f>100*((mamiabc!N167*(mamiabc!N165-mamiabc!N22)/(mamiabc!M167*(mamiabc!M165-mamiabc!M22)))/(1+mamiabc!N80/100)-1)</f>
        <v>1.0617402822391764</v>
      </c>
      <c r="O212" s="497">
        <f>100*((mamiabc!O167*(mamiabc!O165-mamiabc!O22)/(mamiabc!N167*(mamiabc!N165-mamiabc!N22)))/(1+mamiabc!O80/100)-1)</f>
        <v>5.9310050342863629</v>
      </c>
      <c r="P212" s="497">
        <f>100*((mamiabc!P167*(mamiabc!P165-mamiabc!P22)/(mamiabc!O167*(mamiabc!O165-mamiabc!O22)))/(1+mamiabc!P80/100)-1)</f>
        <v>8.8304715641035472</v>
      </c>
      <c r="Q212" s="497">
        <f>100*((mamiabc!Q167*(mamiabc!Q165-mamiabc!Q22)/(mamiabc!P167*(mamiabc!P165-mamiabc!P22)))/(1+mamiabc!Q80/100)-1)</f>
        <v>5.7151323262322196</v>
      </c>
      <c r="R212" s="497">
        <f>100*((mamiabc!R167*(mamiabc!R165-mamiabc!R22)/(mamiabc!Q167*(mamiabc!Q165-mamiabc!Q22)))/(1+mamiabc!R80/100)-1)</f>
        <v>13.645831381884443</v>
      </c>
      <c r="S212" s="497">
        <f>100*((mamiabc!S167*(mamiabc!S165-mamiabc!S22)/(mamiabc!R167*(mamiabc!R165-mamiabc!R22)))/(1+mamiabc!S80/100)-1)</f>
        <v>2.5552365053144177</v>
      </c>
      <c r="T212" s="497">
        <f>100*((mamiabc!T167*(mamiabc!T165-mamiabc!T22)/(mamiabc!S167*(mamiabc!S165-mamiabc!S22)))/(1+mamiabc!T80/100)-1)</f>
        <v>9.356621158945444</v>
      </c>
      <c r="U212" s="497">
        <f>100*((mamiabc!U167*(mamiabc!U165-mamiabc!U22)/(mamiabc!T167*(mamiabc!T165-mamiabc!T22)))/(1+mamiabc!U80/100)-1)</f>
        <v>7.8704964844233061</v>
      </c>
      <c r="V212" s="497">
        <f>100*((mamiabc!V167*(mamiabc!V165-mamiabc!V22)/(mamiabc!U167*(mamiabc!U165-mamiabc!U22)))/(1+mamiabc!V80/100)-1)</f>
        <v>11.759624674720204</v>
      </c>
      <c r="W212" s="497">
        <f>100*((mamiabc!W167*(mamiabc!W165-mamiabc!W22)/(mamiabc!V167*(mamiabc!V165-mamiabc!V22)))/(1+mamiabc!W80/100)-1)</f>
        <v>4.0955246365928843</v>
      </c>
      <c r="X212" s="497">
        <f>100*((mamiabc!X167*(mamiabc!X165-mamiabc!X22)/(mamiabc!W167*(mamiabc!W165-mamiabc!W22)))/(1+mamiabc!X80/100)-1)</f>
        <v>9.0100790257094729</v>
      </c>
      <c r="Y212" s="497">
        <f>100*((mamiabc!Y167*(mamiabc!Y165-mamiabc!Y22)/(mamiabc!X167*(mamiabc!X165-mamiabc!X22)))/(1+mamiabc!Y80/100)-1)</f>
        <v>-3.0417380698638419</v>
      </c>
      <c r="Z212" s="497">
        <f>100*((mamiabc!Z167*(mamiabc!Z165-mamiabc!Z22)/(mamiabc!Y167*(mamiabc!Y165-mamiabc!Y22)))/(1+mamiabc!Z80/100)-1)</f>
        <v>-2.2650988204861555</v>
      </c>
      <c r="AA212" s="497">
        <f>100*((mamiabc!AA167*(mamiabc!AA165-mamiabc!AA22)/(mamiabc!Z167*(mamiabc!Z165-mamiabc!Z22)))/(1+mamiabc!AA80/100)-1)</f>
        <v>11.542935468037197</v>
      </c>
      <c r="AB212" s="497">
        <f>100*((mamiabc!AB167*(mamiabc!AB165-mamiabc!AB22)/(mamiabc!AA167*(mamiabc!AA165-mamiabc!AA22)))/(1+mamiabc!AB80/100)-1)</f>
        <v>6.6656799187977622</v>
      </c>
      <c r="AC212" s="497">
        <f>100*((mamiabc!AC167*(mamiabc!AC165-mamiabc!AC22)/(mamiabc!AB167*(mamiabc!AB165-mamiabc!AB22)))/(1+mamiabc!AC80/100)-1)</f>
        <v>20.868986158654423</v>
      </c>
      <c r="AD212" s="497">
        <f>100*((mamiabc!AD167*(mamiabc!AD165-mamiabc!AD22)/(mamiabc!AC167*(mamiabc!AC165-mamiabc!AC22)))/(1+mamiabc!AD80/100)-1)</f>
        <v>10.040011466692288</v>
      </c>
      <c r="AE212" s="497">
        <f>100*((mamiabc!AE167*(mamiabc!AE165-mamiabc!AE22)/(mamiabc!AD167*(mamiabc!AD165-mamiabc!AD22)))/(1+mamiabc!AE80/100)-1)</f>
        <v>-10.913721743174342</v>
      </c>
      <c r="AF212" s="497">
        <f>100*((mamiabc!AF167*(mamiabc!AF165-mamiabc!AF22)/(mamiabc!AE167*(mamiabc!AE165-mamiabc!AE22)))/(1+mamiabc!AF80/100)-1)</f>
        <v>-1.8896953313967346</v>
      </c>
      <c r="AG212" s="497">
        <f>100*((mamiabc!AG167*(mamiabc!AG165-mamiabc!AG22)/(mamiabc!AF167*(mamiabc!AF165-mamiabc!AF22)))/(1+mamiabc!AG80/100)-1)</f>
        <v>9.2250840647198693</v>
      </c>
      <c r="AH212" s="497">
        <f>100*((mamiabc!AH167*(mamiabc!AH165-mamiabc!AH22)/(mamiabc!AG167*(mamiabc!AG165-mamiabc!AG22)))/(1+mamiabc!AH80/100)-1)</f>
        <v>4.5800854680236203</v>
      </c>
      <c r="AI212" s="497">
        <f>100*((mamiabc!AI167*(mamiabc!AI165-mamiabc!AI22)/(mamiabc!AH167*(mamiabc!AH165-mamiabc!AH22)))/(1+mamiabc!AI80/100)-1)</f>
        <v>1.8020376286104645</v>
      </c>
      <c r="AJ212" s="497">
        <f>100*((mamiabc!AJ167*(mamiabc!AJ165-mamiabc!AJ22)/(mamiabc!AI167*(mamiabc!AI165-mamiabc!AI22)))/(1+mamiabc!AJ80/100)-1)</f>
        <v>-3.5168650012372682</v>
      </c>
      <c r="AK212" s="497">
        <f>100*((mamiabc!AK167*(mamiabc!AK165-mamiabc!AK22)/(mamiabc!AJ167*(mamiabc!AJ165-mamiabc!AJ22)))/(1+mamiabc!AK80/100)-1)</f>
        <v>-10.171136190406461</v>
      </c>
      <c r="AL212" s="497">
        <f>100*((mamiabc!AL167*(mamiabc!AL165-mamiabc!AL22)/(mamiabc!AK167*(mamiabc!AK165-mamiabc!AK22)))/(1+mamiabc!AL80/100)-1)</f>
        <v>-26.625193806048042</v>
      </c>
      <c r="AM212" s="497">
        <f>100*((mamiabc!AM167*(mamiabc!AM165-mamiabc!AM22)/(mamiabc!AL167*(mamiabc!AL165-mamiabc!AL22)))/(1+mamiabc!AM80/100)-1)</f>
        <v>-47.771816388536479</v>
      </c>
      <c r="AN212" s="497">
        <f>100*((mamiabc!AN167*(mamiabc!AN165-mamiabc!AN22)/(mamiabc!AM167*(mamiabc!AM165-mamiabc!AM22)))/(1+mamiabc!AN80/100)-1)</f>
        <v>-3.2578214736508904</v>
      </c>
      <c r="AO212" s="497">
        <f>100*((mamiabc!AO167*(mamiabc!AO165-mamiabc!AO22)/(mamiabc!AN167*(mamiabc!AN165-mamiabc!AN22)))/(1+mamiabc!AO80/100)-1)</f>
        <v>-10.177965336689198</v>
      </c>
      <c r="AP212" s="497">
        <f>100*((mamiabc!AP167*(mamiabc!AP165-mamiabc!AP22)/(mamiabc!AO167*(mamiabc!AO165-mamiabc!AO22)))/(1+mamiabc!AP80/100)-1)</f>
        <v>-10.769171895571017</v>
      </c>
      <c r="AQ212" s="497">
        <f>100*((mamiabc!AQ167*(mamiabc!AQ165-mamiabc!AQ22)/(mamiabc!AP167*(mamiabc!AP165-mamiabc!AP22)))/(1+mamiabc!AQ80/100)-1)</f>
        <v>0.50983783250302395</v>
      </c>
      <c r="AR212" s="497">
        <f>100*((mamiabc!AR167*(mamiabc!AR165-mamiabc!AR22)/(mamiabc!AQ167*(mamiabc!AQ165-mamiabc!AQ22)))/(1+mamiabc!AR80/100)-1)</f>
        <v>-12.129296204892482</v>
      </c>
      <c r="AS212" s="497">
        <f>100*((mamiabc!AS167*(mamiabc!AS165-mamiabc!AS22)/(mamiabc!AR167*(mamiabc!AR165-mamiabc!AR22)))/(1+mamiabc!AS80/100)-1)</f>
        <v>-42.838599881526463</v>
      </c>
      <c r="AT212" s="497">
        <f>100*((mamiabc!AT167*(mamiabc!AT165-mamiabc!AT22)/(mamiabc!AS167*(mamiabc!AS165-mamiabc!AS22)))/(1+mamiabc!AT80/100)-1)</f>
        <v>25.618959621071859</v>
      </c>
      <c r="AU212" s="497">
        <f>100*((mamiabc!AU167*(mamiabc!AU165-mamiabc!AU22)/(mamiabc!AT167*(mamiabc!AT165-mamiabc!AT22)))/(1+mamiabc!AU80/100)-1)</f>
        <v>22.326609396124319</v>
      </c>
      <c r="AV212" s="497">
        <f>100*((mamiabc!AV167*(mamiabc!AV165-mamiabc!AV22)/(mamiabc!AU167*(mamiabc!AU165-mamiabc!AU22)))/(1+mamiabc!AV80/100)-1)</f>
        <v>70.105007059458529</v>
      </c>
      <c r="AW212" s="497">
        <f>100*((mamiabc!AW167*(mamiabc!AW165-mamiabc!AW22)/(mamiabc!AV167*(mamiabc!AV165-mamiabc!AV22)))/(1+mamiabc!AW80/100)-1)</f>
        <v>19.737782117120052</v>
      </c>
      <c r="AX212" s="497">
        <f>100*((mamiabc!AX167*(mamiabc!AX165-mamiabc!AX22)/(mamiabc!AW167*(mamiabc!AW165-mamiabc!AW22)))/(1+mamiabc!AX80/100)-1)</f>
        <v>16.083189337455472</v>
      </c>
      <c r="AY212" s="497">
        <f>100*((mamiabc!AY167*(mamiabc!AY165-mamiabc!AY22)/(mamiabc!AX167*(mamiabc!AX165-mamiabc!AX22)))/(1+mamiabc!AY80/100)-1)</f>
        <v>-16.898308402372407</v>
      </c>
      <c r="AZ212" s="497">
        <f>100*((mamiabc!AZ167*(mamiabc!AZ165-mamiabc!AZ22)/(mamiabc!AY167*(mamiabc!AY165-mamiabc!AY22)))/(1+mamiabc!AZ80/100)-1)</f>
        <v>-13.778106951197911</v>
      </c>
      <c r="BA212" s="497">
        <f>100*((mamiabc!BA167*(mamiabc!BA165-mamiabc!BA22)/(mamiabc!AZ167*(mamiabc!AZ165-mamiabc!AZ22)))/(1+mamiabc!BA80/100)-1)</f>
        <v>15.5011256026804</v>
      </c>
      <c r="BB212" s="497">
        <f>100*((mamiabc!BB167*(mamiabc!BB165-mamiabc!BB22)/(mamiabc!BA167*(mamiabc!BA165-mamiabc!BA22)))/(1+mamiabc!BB80/100)-1)</f>
        <v>19.670677871162368</v>
      </c>
      <c r="BC212" s="497">
        <f t="shared" ref="BC212:BO212" si="206">100*((BC167*(BC165-BC22)/(BB167*(BB165-BB22)))/(1+BC80/100)-1)</f>
        <v>-23.75593407505988</v>
      </c>
      <c r="BD212" s="497">
        <f t="shared" ca="1" si="206"/>
        <v>18.590266633999608</v>
      </c>
      <c r="BE212" s="497">
        <f t="shared" ca="1" si="206"/>
        <v>5.2583801124186813</v>
      </c>
      <c r="BF212" s="497">
        <f t="shared" ca="1" si="206"/>
        <v>4.7317386293259434</v>
      </c>
      <c r="BG212" s="497">
        <f t="shared" ca="1" si="206"/>
        <v>3.9924750641891826</v>
      </c>
      <c r="BH212" s="497">
        <f t="shared" ca="1" si="206"/>
        <v>2.9173812379553077</v>
      </c>
      <c r="BI212" s="497">
        <f t="shared" ca="1" si="206"/>
        <v>2.5804103607246276</v>
      </c>
      <c r="BJ212" s="497">
        <f t="shared" ca="1" si="206"/>
        <v>2.1690615874668806</v>
      </c>
      <c r="BK212" s="497">
        <f t="shared" ca="1" si="206"/>
        <v>2.4811879650225466</v>
      </c>
      <c r="BL212" s="497">
        <f t="shared" ca="1" si="206"/>
        <v>2.4629265885937057</v>
      </c>
      <c r="BM212" s="497">
        <f t="shared" ca="1" si="206"/>
        <v>2.3502243071179318</v>
      </c>
      <c r="BN212" s="497">
        <f t="shared" ca="1" si="206"/>
        <v>2.3187453972838279</v>
      </c>
      <c r="BO212" s="497">
        <f t="shared" ca="1" si="206"/>
        <v>2.2889982309691748</v>
      </c>
      <c r="BP212" s="498"/>
      <c r="BQ212" s="493">
        <f t="shared" ca="1" si="201"/>
        <v>0</v>
      </c>
      <c r="BR212" s="493">
        <f t="shared" ca="1" si="201"/>
        <v>0</v>
      </c>
      <c r="BS212" s="493">
        <f t="shared" ca="1" si="201"/>
        <v>-2.2204460492503131E-14</v>
      </c>
      <c r="BT212" s="493">
        <f t="shared" ca="1" si="201"/>
        <v>-4.6629367034256575E-13</v>
      </c>
      <c r="BU212" s="493">
        <f t="shared" ca="1" si="201"/>
        <v>-5.1958437552457326E-12</v>
      </c>
      <c r="BV212" s="493">
        <f t="shared" ca="1" si="201"/>
        <v>-4.1899816949353408E-11</v>
      </c>
      <c r="BW212" s="493">
        <f t="shared" ca="1" si="201"/>
        <v>-2.6731949986924519E-10</v>
      </c>
      <c r="BX212" s="493">
        <f t="shared" ca="1" si="201"/>
        <v>-1.3965495426759844E-9</v>
      </c>
      <c r="BY212" s="493">
        <f t="shared" ca="1" si="201"/>
        <v>-6.1171956389216575E-9</v>
      </c>
      <c r="BZ212" s="493">
        <f t="shared" ca="1" si="201"/>
        <v>-2.3091839551625526E-8</v>
      </c>
      <c r="CA212" s="493">
        <f t="shared" ca="1" si="201"/>
        <v>-7.6612782784479805E-8</v>
      </c>
      <c r="CB212" s="493">
        <f t="shared" ca="1" si="201"/>
        <v>-2.2830990431543796E-7</v>
      </c>
      <c r="CD212" s="496">
        <v>18.590266633999608</v>
      </c>
      <c r="CE212" s="496">
        <v>5.2583801124186813</v>
      </c>
      <c r="CF212" s="496">
        <v>4.7317386293259656</v>
      </c>
      <c r="CG212" s="496">
        <v>3.9924750641896489</v>
      </c>
      <c r="CH212" s="496">
        <v>2.9173812379605035</v>
      </c>
      <c r="CI212" s="496">
        <v>2.5804103607665274</v>
      </c>
      <c r="CJ212" s="496">
        <v>2.1690615877342001</v>
      </c>
      <c r="CK212" s="496">
        <v>2.4811879664190961</v>
      </c>
      <c r="CL212" s="496">
        <v>2.4629265947109014</v>
      </c>
      <c r="CM212" s="496">
        <v>2.3502243302097714</v>
      </c>
      <c r="CN212" s="496">
        <v>2.3187454738966107</v>
      </c>
      <c r="CO212" s="496">
        <v>2.2889984592790791</v>
      </c>
    </row>
    <row r="213" spans="1:93" s="493" customFormat="1" ht="15.75">
      <c r="A213" s="492" t="s">
        <v>66</v>
      </c>
      <c r="B213" s="492"/>
      <c r="C213" s="491"/>
      <c r="D213" s="492"/>
      <c r="E213" s="492"/>
      <c r="BP213" s="494"/>
      <c r="CD213" s="496"/>
      <c r="CE213" s="496"/>
      <c r="CF213" s="496"/>
      <c r="CG213" s="496"/>
      <c r="CH213" s="496"/>
      <c r="CI213" s="496"/>
      <c r="CJ213" s="496"/>
      <c r="CK213" s="496"/>
      <c r="CL213" s="496"/>
      <c r="CM213" s="496"/>
      <c r="CN213" s="496"/>
      <c r="CO213" s="496"/>
    </row>
    <row r="214" spans="1:93" s="493" customFormat="1" ht="15.75">
      <c r="A214" s="492" t="s">
        <v>67</v>
      </c>
      <c r="B214" s="492"/>
      <c r="C214" s="491" t="s">
        <v>1349</v>
      </c>
      <c r="D214" s="492"/>
      <c r="E214" s="492"/>
      <c r="F214" s="497">
        <f>mamiabc!F90</f>
        <v>6.8</v>
      </c>
      <c r="G214" s="497">
        <f>mamiabc!G90</f>
        <v>5</v>
      </c>
      <c r="H214" s="497">
        <f>mamiabc!H90</f>
        <v>2.2332546710968018</v>
      </c>
      <c r="I214" s="497">
        <f>mamiabc!I90</f>
        <v>1.8155162334442139</v>
      </c>
      <c r="J214" s="497">
        <f>mamiabc!J90</f>
        <v>3.1251304149627686</v>
      </c>
      <c r="K214" s="497">
        <f>mamiabc!K90</f>
        <v>2.8608658313751221</v>
      </c>
      <c r="L214" s="497">
        <f>mamiabc!L90</f>
        <v>2.0745680332183838</v>
      </c>
      <c r="M214" s="497">
        <f>mamiabc!M90</f>
        <v>3.02626633644104</v>
      </c>
      <c r="N214" s="497">
        <f>mamiabc!N90</f>
        <v>3.9044175148010254</v>
      </c>
      <c r="O214" s="497">
        <f>mamiabc!O90</f>
        <v>4.7262697219848633</v>
      </c>
      <c r="P214" s="497">
        <f>mamiabc!P90</f>
        <v>5.5056672096252441</v>
      </c>
      <c r="Q214" s="497">
        <f>mamiabc!Q90</f>
        <v>4.5107326507568359</v>
      </c>
      <c r="R214" s="497">
        <f>mamiabc!R90</f>
        <v>4.2866334915161133</v>
      </c>
      <c r="S214" s="497">
        <f>mamiabc!S90</f>
        <v>4.1740665435791016</v>
      </c>
      <c r="T214" s="497">
        <f>mamiabc!T90</f>
        <v>4.2769827842712402</v>
      </c>
      <c r="U214" s="497">
        <f>mamiabc!U90</f>
        <v>5.0960192680358887</v>
      </c>
      <c r="V214" s="497">
        <f>mamiabc!V90</f>
        <v>4.4430961608886719</v>
      </c>
      <c r="W214" s="497">
        <f>mamiabc!W90</f>
        <v>6.0136995315551758</v>
      </c>
      <c r="X214" s="497">
        <f>mamiabc!X90</f>
        <v>7.3302769660949707</v>
      </c>
      <c r="Y214" s="497">
        <f>mamiabc!Y90</f>
        <v>9.13018798828125</v>
      </c>
      <c r="Z214" s="497">
        <f>mamiabc!Z90</f>
        <v>9.9718894958496094</v>
      </c>
      <c r="AA214" s="497">
        <f>mamiabc!AA90</f>
        <v>7.9798069000244141</v>
      </c>
      <c r="AB214" s="497">
        <f>mamiabc!AB90</f>
        <v>6.6932039260864258</v>
      </c>
      <c r="AC214" s="497">
        <f>mamiabc!AC90</f>
        <v>5.5827469825744629</v>
      </c>
      <c r="AD214" s="497">
        <f>mamiabc!AD90</f>
        <v>4.6354036331176758</v>
      </c>
      <c r="AE214" s="497">
        <f>mamiabc!AE90</f>
        <v>6.7064113616943359</v>
      </c>
      <c r="AF214" s="497">
        <f>mamiabc!AF90</f>
        <v>9.093388557434082</v>
      </c>
      <c r="AG214" s="497">
        <f>mamiabc!AG90</f>
        <v>9.2074041366577148</v>
      </c>
      <c r="AH214" s="497">
        <f>mamiabc!AH90</f>
        <v>9.3345565795898438</v>
      </c>
      <c r="AI214" s="497">
        <f>mamiabc!AI90</f>
        <v>11.461581230163574</v>
      </c>
      <c r="AJ214" s="497">
        <f>mamiabc!AJ90</f>
        <v>13.025559425354004</v>
      </c>
      <c r="AK214" s="497">
        <f>mamiabc!AK90</f>
        <v>13.790704727172852</v>
      </c>
      <c r="AL214" s="497">
        <f>mamiabc!AL90</f>
        <v>15.991020202636719</v>
      </c>
      <c r="AM214" s="497">
        <f>mamiabc!AM90</f>
        <v>17.700000762939453</v>
      </c>
      <c r="AN214" s="497">
        <f>mamiabc!AN90</f>
        <v>19.899999618530273</v>
      </c>
      <c r="AO214" s="497">
        <f>mamiabc!AO90</f>
        <v>17.200000762939453</v>
      </c>
      <c r="AP214" s="497">
        <f>mamiabc!AP90</f>
        <v>15.5</v>
      </c>
      <c r="AQ214" s="497">
        <f>mamiabc!AQ90</f>
        <v>15.5</v>
      </c>
      <c r="AR214" s="497">
        <f>mamiabc!AR90</f>
        <v>18.084440231323242</v>
      </c>
      <c r="AS214" s="497">
        <f>mamiabc!AS90</f>
        <v>15</v>
      </c>
      <c r="AT214" s="497">
        <f>mamiabc!AT90</f>
        <v>12</v>
      </c>
      <c r="AU214" s="497">
        <f>mamiabc!AU90</f>
        <v>8</v>
      </c>
      <c r="AV214" s="497">
        <f>mamiabc!AV90</f>
        <v>11</v>
      </c>
      <c r="AW214" s="497">
        <f>mamiabc!AW90</f>
        <v>14.386470216066495</v>
      </c>
      <c r="AX214" s="497">
        <f>mamiabc!AX90</f>
        <v>14.771996005877812</v>
      </c>
      <c r="AY214" s="497">
        <f>mamiabc!AY90</f>
        <v>16.70868121216871</v>
      </c>
      <c r="AZ214" s="497">
        <f>mamiabc!AZ90</f>
        <v>17.094758277287223</v>
      </c>
      <c r="BA214" s="497">
        <f>mamiabc!BA90</f>
        <v>17.985667263125389</v>
      </c>
      <c r="BB214" s="497">
        <f>mamiabc!BB90</f>
        <v>17.959614526298466</v>
      </c>
      <c r="BC214" s="497">
        <f t="shared" ref="BC214:BO214" si="207">BC90</f>
        <v>17.332976628931945</v>
      </c>
      <c r="BD214" s="497">
        <f t="shared" ca="1" si="207"/>
        <v>12.947168423345387</v>
      </c>
      <c r="BE214" s="497">
        <f t="shared" ca="1" si="207"/>
        <v>10.652110818397876</v>
      </c>
      <c r="BF214" s="497">
        <f t="shared" ca="1" si="207"/>
        <v>10.03368354847877</v>
      </c>
      <c r="BG214" s="497">
        <f t="shared" ca="1" si="207"/>
        <v>9.6657465048636197</v>
      </c>
      <c r="BH214" s="497">
        <f t="shared" ca="1" si="207"/>
        <v>9.3494576989253719</v>
      </c>
      <c r="BI214" s="497">
        <f t="shared" ca="1" si="207"/>
        <v>9.0979128822833051</v>
      </c>
      <c r="BJ214" s="497">
        <f t="shared" ca="1" si="207"/>
        <v>8.8866165114813818</v>
      </c>
      <c r="BK214" s="497">
        <f t="shared" ca="1" si="207"/>
        <v>8.6852861735115923</v>
      </c>
      <c r="BL214" s="497">
        <f t="shared" ca="1" si="207"/>
        <v>8.474024274491633</v>
      </c>
      <c r="BM214" s="497">
        <f t="shared" ca="1" si="207"/>
        <v>8.2688096185199651</v>
      </c>
      <c r="BN214" s="497">
        <f t="shared" ca="1" si="207"/>
        <v>8.0728171175408416</v>
      </c>
      <c r="BO214" s="497">
        <f t="shared" ca="1" si="207"/>
        <v>7.8875268160892738</v>
      </c>
      <c r="BP214" s="498"/>
      <c r="BQ214" s="493">
        <f t="shared" ref="BQ214:CB215" ca="1" si="208">+BD214-CD214</f>
        <v>0</v>
      </c>
      <c r="BR214" s="493">
        <f t="shared" ca="1" si="208"/>
        <v>0</v>
      </c>
      <c r="BS214" s="493">
        <f t="shared" ca="1" si="208"/>
        <v>0</v>
      </c>
      <c r="BT214" s="493">
        <f t="shared" ca="1" si="208"/>
        <v>-6.2172489379008766E-14</v>
      </c>
      <c r="BU214" s="493">
        <f t="shared" ca="1" si="208"/>
        <v>-7.0166095156309893E-13</v>
      </c>
      <c r="BV214" s="493">
        <f t="shared" ca="1" si="208"/>
        <v>-5.7909232964448165E-12</v>
      </c>
      <c r="BW214" s="493">
        <f t="shared" ca="1" si="208"/>
        <v>-3.744560217455728E-11</v>
      </c>
      <c r="BX214" s="493">
        <f t="shared" ca="1" si="208"/>
        <v>-1.9826806862965896E-10</v>
      </c>
      <c r="BY214" s="493">
        <f t="shared" ca="1" si="208"/>
        <v>-8.8493656846821978E-10</v>
      </c>
      <c r="BZ214" s="493">
        <f t="shared" ca="1" si="208"/>
        <v>-3.4123370795668961E-9</v>
      </c>
      <c r="CA214" s="493">
        <f t="shared" ca="1" si="208"/>
        <v>-1.1579484038293231E-8</v>
      </c>
      <c r="CB214" s="493">
        <f t="shared" ca="1" si="208"/>
        <v>-3.5361917838372392E-8</v>
      </c>
      <c r="CD214" s="496">
        <v>12.947168423345387</v>
      </c>
      <c r="CE214" s="496">
        <v>10.652110818397876</v>
      </c>
      <c r="CF214" s="496">
        <v>10.033683548478779</v>
      </c>
      <c r="CG214" s="496">
        <v>9.6657465048636819</v>
      </c>
      <c r="CH214" s="496">
        <v>9.3494576989260736</v>
      </c>
      <c r="CI214" s="496">
        <v>9.097912882289096</v>
      </c>
      <c r="CJ214" s="496">
        <v>8.8866165115188274</v>
      </c>
      <c r="CK214" s="496">
        <v>8.6852861737098603</v>
      </c>
      <c r="CL214" s="496">
        <v>8.4740242753765695</v>
      </c>
      <c r="CM214" s="496">
        <v>8.2688096219323022</v>
      </c>
      <c r="CN214" s="496">
        <v>8.0728171291203257</v>
      </c>
      <c r="CO214" s="496">
        <v>7.8875268514511916</v>
      </c>
    </row>
    <row r="215" spans="1:93" s="493" customFormat="1" ht="15.75">
      <c r="A215" s="492" t="s">
        <v>68</v>
      </c>
      <c r="B215" s="492"/>
      <c r="C215" s="491" t="s">
        <v>2206</v>
      </c>
      <c r="D215" s="492"/>
      <c r="E215" s="492"/>
      <c r="F215" s="497">
        <f t="shared" ref="F215:BD215" si="209">F99</f>
        <v>1.885E-3</v>
      </c>
      <c r="G215" s="497">
        <f t="shared" si="209"/>
        <v>1.885E-3</v>
      </c>
      <c r="H215" s="497">
        <f t="shared" si="209"/>
        <v>1.885E-3</v>
      </c>
      <c r="I215" s="497">
        <f t="shared" si="209"/>
        <v>1.885E-3</v>
      </c>
      <c r="J215" s="497">
        <f t="shared" si="209"/>
        <v>1.885E-3</v>
      </c>
      <c r="K215" s="497">
        <f t="shared" si="209"/>
        <v>1.885E-3</v>
      </c>
      <c r="L215" s="497">
        <f t="shared" si="209"/>
        <v>1.885E-3</v>
      </c>
      <c r="M215" s="497">
        <f t="shared" si="209"/>
        <v>1.885E-3</v>
      </c>
      <c r="N215" s="497">
        <f t="shared" si="209"/>
        <v>1.885E-3</v>
      </c>
      <c r="O215" s="497">
        <f t="shared" si="209"/>
        <v>1.885E-3</v>
      </c>
      <c r="P215" s="497">
        <f t="shared" si="209"/>
        <v>1.885E-3</v>
      </c>
      <c r="Q215" s="497">
        <f t="shared" si="209"/>
        <v>1.885E-3</v>
      </c>
      <c r="R215" s="497">
        <f t="shared" si="209"/>
        <v>1.885E-3</v>
      </c>
      <c r="S215" s="497">
        <f t="shared" si="209"/>
        <v>1.885E-3</v>
      </c>
      <c r="T215" s="497">
        <f t="shared" si="209"/>
        <v>1.885E-3</v>
      </c>
      <c r="U215" s="497">
        <f t="shared" si="209"/>
        <v>1.885E-3</v>
      </c>
      <c r="V215" s="497">
        <f t="shared" si="209"/>
        <v>1.885E-3</v>
      </c>
      <c r="W215" s="497">
        <f t="shared" si="209"/>
        <v>1.885E-3</v>
      </c>
      <c r="X215" s="497">
        <f t="shared" si="209"/>
        <v>1.7849999999999999E-3</v>
      </c>
      <c r="Y215" s="497">
        <f t="shared" si="209"/>
        <v>1.7849999999999999E-3</v>
      </c>
      <c r="Z215" s="497">
        <f t="shared" si="209"/>
        <v>1.7849999999999999E-3</v>
      </c>
      <c r="AA215" s="497">
        <f t="shared" si="209"/>
        <v>1.7849999999999999E-3</v>
      </c>
      <c r="AB215" s="497">
        <f t="shared" si="209"/>
        <v>1.7849999999999999E-3</v>
      </c>
      <c r="AC215" s="497">
        <f t="shared" si="209"/>
        <v>1.7849999999999999E-3</v>
      </c>
      <c r="AD215" s="497">
        <f t="shared" si="209"/>
        <v>1.7849999999999999E-3</v>
      </c>
      <c r="AE215" s="497">
        <f t="shared" si="209"/>
        <v>1.7849999999999999E-3</v>
      </c>
      <c r="AF215" s="497">
        <f t="shared" si="209"/>
        <v>1.7849999999999999E-3</v>
      </c>
      <c r="AG215" s="497">
        <f t="shared" si="209"/>
        <v>1.7849999999999999E-3</v>
      </c>
      <c r="AH215" s="497">
        <f t="shared" si="209"/>
        <v>1.7849999999999999E-3</v>
      </c>
      <c r="AI215" s="497">
        <f t="shared" si="209"/>
        <v>1.7849999999999999E-3</v>
      </c>
      <c r="AJ215" s="497">
        <f t="shared" si="209"/>
        <v>1.7849999999999999E-3</v>
      </c>
      <c r="AK215" s="497">
        <f t="shared" si="209"/>
        <v>1.7849999999999999E-3</v>
      </c>
      <c r="AL215" s="497">
        <f t="shared" si="209"/>
        <v>1.7849999999999999E-3</v>
      </c>
      <c r="AM215" s="497">
        <f t="shared" si="209"/>
        <v>1.7849999999999999E-3</v>
      </c>
      <c r="AN215" s="497">
        <f t="shared" si="209"/>
        <v>1.7849999999999999E-3</v>
      </c>
      <c r="AO215" s="497">
        <f t="shared" si="209"/>
        <v>1.7849999999999999E-3</v>
      </c>
      <c r="AP215" s="497">
        <f t="shared" si="209"/>
        <v>1.7849999999999999E-3</v>
      </c>
      <c r="AQ215" s="497">
        <f t="shared" si="209"/>
        <v>1.7849999999999999E-3</v>
      </c>
      <c r="AR215" s="497">
        <f t="shared" si="209"/>
        <v>1.7849999999999999E-3</v>
      </c>
      <c r="AS215" s="497">
        <f t="shared" si="209"/>
        <v>1.7849999999999999E-3</v>
      </c>
      <c r="AT215" s="497">
        <f t="shared" si="209"/>
        <v>1.7849999999999999E-3</v>
      </c>
      <c r="AU215" s="497">
        <f t="shared" si="209"/>
        <v>0.44139499999999998</v>
      </c>
      <c r="AV215" s="497">
        <f t="shared" si="209"/>
        <v>0.40127499999999999</v>
      </c>
      <c r="AW215" s="497">
        <f t="shared" si="209"/>
        <v>0.40100000000000002</v>
      </c>
      <c r="AX215" s="497">
        <f t="shared" si="209"/>
        <v>0.40100000000000002</v>
      </c>
      <c r="AY215" s="497">
        <f t="shared" si="209"/>
        <v>0.85990000000000011</v>
      </c>
      <c r="AZ215" s="497">
        <f t="shared" si="209"/>
        <v>1.3263</v>
      </c>
      <c r="BA215" s="497">
        <f t="shared" si="209"/>
        <v>2.1785000000000001</v>
      </c>
      <c r="BB215" s="497">
        <f t="shared" si="209"/>
        <v>2.3467500000000001</v>
      </c>
      <c r="BC215" s="497">
        <f t="shared" si="209"/>
        <v>2.60825</v>
      </c>
      <c r="BD215" s="497">
        <f t="shared" si="209"/>
        <v>2.7675000000000001</v>
      </c>
      <c r="BE215" s="497">
        <f>BE99</f>
        <v>2.7675000000000001</v>
      </c>
      <c r="BF215" s="497">
        <f t="shared" ref="BF215:BO215" si="210">BF99</f>
        <v>2.7675000000000001</v>
      </c>
      <c r="BG215" s="497">
        <f t="shared" si="210"/>
        <v>2.7675000000000001</v>
      </c>
      <c r="BH215" s="497">
        <f t="shared" si="210"/>
        <v>2.7675000000000001</v>
      </c>
      <c r="BI215" s="497">
        <f t="shared" si="210"/>
        <v>2.7675000000000001</v>
      </c>
      <c r="BJ215" s="497">
        <f t="shared" si="210"/>
        <v>2.7675000000000001</v>
      </c>
      <c r="BK215" s="497">
        <f t="shared" si="210"/>
        <v>2.7675000000000001</v>
      </c>
      <c r="BL215" s="497">
        <f t="shared" si="210"/>
        <v>2.7675000000000001</v>
      </c>
      <c r="BM215" s="497">
        <f t="shared" si="210"/>
        <v>2.7675000000000001</v>
      </c>
      <c r="BN215" s="497">
        <f t="shared" si="210"/>
        <v>2.7675000000000001</v>
      </c>
      <c r="BO215" s="497">
        <f t="shared" si="210"/>
        <v>2.7675000000000001</v>
      </c>
      <c r="BP215" s="498"/>
      <c r="BQ215" s="493">
        <f t="shared" si="208"/>
        <v>0</v>
      </c>
      <c r="BR215" s="493">
        <f t="shared" si="208"/>
        <v>0</v>
      </c>
      <c r="BS215" s="493">
        <f t="shared" si="208"/>
        <v>0</v>
      </c>
      <c r="BT215" s="493">
        <f t="shared" si="208"/>
        <v>0</v>
      </c>
      <c r="BU215" s="493">
        <f t="shared" si="208"/>
        <v>0</v>
      </c>
      <c r="BV215" s="493">
        <f t="shared" si="208"/>
        <v>0</v>
      </c>
      <c r="BW215" s="493">
        <f t="shared" si="208"/>
        <v>0</v>
      </c>
      <c r="BX215" s="493">
        <f t="shared" si="208"/>
        <v>0</v>
      </c>
      <c r="BY215" s="493">
        <f t="shared" si="208"/>
        <v>0</v>
      </c>
      <c r="BZ215" s="493">
        <f t="shared" si="208"/>
        <v>0</v>
      </c>
      <c r="CA215" s="493">
        <f t="shared" si="208"/>
        <v>0</v>
      </c>
      <c r="CB215" s="493">
        <f t="shared" si="208"/>
        <v>0</v>
      </c>
      <c r="CD215" s="496">
        <v>2.7675000000000001</v>
      </c>
      <c r="CE215" s="496">
        <v>2.7675000000000001</v>
      </c>
      <c r="CF215" s="496">
        <v>2.7675000000000001</v>
      </c>
      <c r="CG215" s="496">
        <v>2.7675000000000001</v>
      </c>
      <c r="CH215" s="496">
        <v>2.7675000000000001</v>
      </c>
      <c r="CI215" s="496">
        <v>2.7675000000000001</v>
      </c>
      <c r="CJ215" s="496">
        <v>2.7675000000000001</v>
      </c>
      <c r="CK215" s="496">
        <v>2.7675000000000001</v>
      </c>
      <c r="CL215" s="496">
        <v>2.7675000000000001</v>
      </c>
      <c r="CM215" s="496">
        <v>2.7675000000000001</v>
      </c>
      <c r="CN215" s="496">
        <v>2.7675000000000001</v>
      </c>
      <c r="CO215" s="496">
        <v>2.7675000000000001</v>
      </c>
    </row>
    <row r="216" spans="1:93" s="493" customFormat="1" ht="15.75">
      <c r="A216" s="490" t="s">
        <v>69</v>
      </c>
      <c r="B216" s="490"/>
      <c r="C216" s="491"/>
      <c r="D216" s="492"/>
      <c r="E216" s="492"/>
      <c r="BP216" s="494"/>
      <c r="CD216" s="496"/>
      <c r="CE216" s="496"/>
      <c r="CF216" s="496"/>
      <c r="CG216" s="496"/>
      <c r="CH216" s="496"/>
      <c r="CI216" s="496"/>
      <c r="CJ216" s="496"/>
      <c r="CK216" s="496"/>
      <c r="CL216" s="496"/>
      <c r="CM216" s="496"/>
      <c r="CN216" s="496"/>
      <c r="CO216" s="496"/>
    </row>
    <row r="217" spans="1:93" s="493" customFormat="1" ht="15.75">
      <c r="A217" s="492" t="s">
        <v>70</v>
      </c>
      <c r="B217" s="492"/>
      <c r="C217" s="491" t="s">
        <v>1349</v>
      </c>
      <c r="D217" s="492"/>
      <c r="E217" s="492"/>
      <c r="F217" s="497">
        <f t="shared" ref="F217:BO217" si="211">100*(F175)/F235</f>
        <v>32.771693344566124</v>
      </c>
      <c r="G217" s="497">
        <f t="shared" si="211"/>
        <v>35.351089588377704</v>
      </c>
      <c r="H217" s="497">
        <f t="shared" si="211"/>
        <v>30.2993898856583</v>
      </c>
      <c r="I217" s="497">
        <f t="shared" si="211"/>
        <v>30.121414029586639</v>
      </c>
      <c r="J217" s="497">
        <f t="shared" si="211"/>
        <v>28.889119635365425</v>
      </c>
      <c r="K217" s="497">
        <f t="shared" si="211"/>
        <v>22.45624115222688</v>
      </c>
      <c r="L217" s="497">
        <f t="shared" si="211"/>
        <v>19.737682874430092</v>
      </c>
      <c r="M217" s="497">
        <f t="shared" si="211"/>
        <v>22.627794339212603</v>
      </c>
      <c r="N217" s="497">
        <f t="shared" si="211"/>
        <v>19.595028191306398</v>
      </c>
      <c r="O217" s="497">
        <f t="shared" si="211"/>
        <v>23.828893936095412</v>
      </c>
      <c r="P217" s="497">
        <f t="shared" si="211"/>
        <v>21.616804706430418</v>
      </c>
      <c r="Q217" s="497">
        <f t="shared" si="211"/>
        <v>30.773320972382198</v>
      </c>
      <c r="R217" s="497">
        <f t="shared" si="211"/>
        <v>35.559957981048882</v>
      </c>
      <c r="S217" s="497">
        <f t="shared" si="211"/>
        <v>37.216714246625038</v>
      </c>
      <c r="T217" s="497">
        <f t="shared" si="211"/>
        <v>32.683107133417934</v>
      </c>
      <c r="U217" s="497">
        <f t="shared" si="211"/>
        <v>27.941073927478513</v>
      </c>
      <c r="V217" s="497">
        <f t="shared" si="211"/>
        <v>27.041577143434179</v>
      </c>
      <c r="W217" s="497">
        <f t="shared" si="211"/>
        <v>26.600698661337262</v>
      </c>
      <c r="X217" s="497">
        <f t="shared" si="211"/>
        <v>22.58947946692637</v>
      </c>
      <c r="Y217" s="497">
        <f t="shared" si="211"/>
        <v>26.618154899616588</v>
      </c>
      <c r="Z217" s="497">
        <f t="shared" si="211"/>
        <v>34.536654298805921</v>
      </c>
      <c r="AA217" s="497">
        <f t="shared" si="211"/>
        <v>27.450982957498667</v>
      </c>
      <c r="AB217" s="497">
        <f t="shared" si="211"/>
        <v>25.738042955940124</v>
      </c>
      <c r="AC217" s="497">
        <f t="shared" si="211"/>
        <v>29.473303826477455</v>
      </c>
      <c r="AD217" s="497">
        <f t="shared" si="211"/>
        <v>27.059513878453735</v>
      </c>
      <c r="AE217" s="497">
        <f t="shared" si="211"/>
        <v>29.486622318236062</v>
      </c>
      <c r="AF217" s="497">
        <f t="shared" si="211"/>
        <v>25.953458954148722</v>
      </c>
      <c r="AG217" s="497">
        <f t="shared" si="211"/>
        <v>27.965822661786579</v>
      </c>
      <c r="AH217" s="497">
        <f t="shared" si="211"/>
        <v>20.732487498044534</v>
      </c>
      <c r="AI217" s="497">
        <f t="shared" si="211"/>
        <v>14.120037341592434</v>
      </c>
      <c r="AJ217" s="497">
        <f t="shared" si="211"/>
        <v>14.003305280840838</v>
      </c>
      <c r="AK217" s="497">
        <f t="shared" si="211"/>
        <v>14.353683669216002</v>
      </c>
      <c r="AL217" s="497">
        <f t="shared" si="211"/>
        <v>22.488099668459743</v>
      </c>
      <c r="AM217" s="497">
        <f t="shared" si="211"/>
        <v>31.661171517697444</v>
      </c>
      <c r="AN217" s="497">
        <f t="shared" si="211"/>
        <v>34.933365930177423</v>
      </c>
      <c r="AO217" s="497">
        <f t="shared" si="211"/>
        <v>39.64434810438383</v>
      </c>
      <c r="AP217" s="497">
        <f t="shared" si="211"/>
        <v>45.637425373515534</v>
      </c>
      <c r="AQ217" s="497">
        <f t="shared" si="211"/>
        <v>46.976299549070859</v>
      </c>
      <c r="AR217" s="497">
        <f t="shared" si="211"/>
        <v>49.72911920745242</v>
      </c>
      <c r="AS217" s="497">
        <f t="shared" si="211"/>
        <v>67.387681769967131</v>
      </c>
      <c r="AT217" s="497">
        <f t="shared" si="211"/>
        <v>46.860986036803887</v>
      </c>
      <c r="AU217" s="497">
        <f t="shared" si="211"/>
        <v>45.387639252833132</v>
      </c>
      <c r="AV217" s="497">
        <f t="shared" si="211"/>
        <v>33.451280726683422</v>
      </c>
      <c r="AW217" s="497">
        <f t="shared" si="211"/>
        <v>36.348967816775158</v>
      </c>
      <c r="AX217" s="497">
        <f t="shared" si="211"/>
        <v>32.24081671309947</v>
      </c>
      <c r="AY217" s="497">
        <f t="shared" si="211"/>
        <v>36.731741640863866</v>
      </c>
      <c r="AZ217" s="497">
        <f t="shared" si="211"/>
        <v>31.37347094506579</v>
      </c>
      <c r="BA217" s="497">
        <f t="shared" si="211"/>
        <v>9.2241369464293363</v>
      </c>
      <c r="BB217" s="497">
        <f t="shared" si="211"/>
        <v>34.547786233050225</v>
      </c>
      <c r="BC217" s="497">
        <f t="shared" si="211"/>
        <v>43.871607431269375</v>
      </c>
      <c r="BD217" s="497">
        <f t="shared" ca="1" si="211"/>
        <v>41.245964961894678</v>
      </c>
      <c r="BE217" s="497">
        <f t="shared" ca="1" si="211"/>
        <v>39.895671561755755</v>
      </c>
      <c r="BF217" s="497">
        <f t="shared" ca="1" si="211"/>
        <v>39.8619461424787</v>
      </c>
      <c r="BG217" s="497">
        <f t="shared" ca="1" si="211"/>
        <v>39.969270601183133</v>
      </c>
      <c r="BH217" s="497">
        <f t="shared" ca="1" si="211"/>
        <v>39.975049447746066</v>
      </c>
      <c r="BI217" s="497">
        <f t="shared" ca="1" si="211"/>
        <v>40.024077698319552</v>
      </c>
      <c r="BJ217" s="497">
        <f t="shared" ca="1" si="211"/>
        <v>40.030770479962371</v>
      </c>
      <c r="BK217" s="497">
        <f t="shared" ca="1" si="211"/>
        <v>40.066553380879611</v>
      </c>
      <c r="BL217" s="497">
        <f t="shared" ca="1" si="211"/>
        <v>40.044884616995866</v>
      </c>
      <c r="BM217" s="497">
        <f t="shared" ca="1" si="211"/>
        <v>39.986164401081886</v>
      </c>
      <c r="BN217" s="497">
        <f t="shared" ca="1" si="211"/>
        <v>39.909882110616053</v>
      </c>
      <c r="BO217" s="497">
        <f t="shared" ca="1" si="211"/>
        <v>39.696072915124887</v>
      </c>
      <c r="BP217" s="498"/>
      <c r="BQ217" s="493">
        <f t="shared" ref="BQ217:CB222" ca="1" si="212">+BD217-CD217</f>
        <v>0</v>
      </c>
      <c r="BR217" s="493">
        <f t="shared" ca="1" si="212"/>
        <v>0</v>
      </c>
      <c r="BS217" s="493">
        <f t="shared" ca="1" si="212"/>
        <v>-2.0605739337042905E-13</v>
      </c>
      <c r="BT217" s="493">
        <f t="shared" ca="1" si="212"/>
        <v>-2.5721647034515627E-12</v>
      </c>
      <c r="BU217" s="493">
        <f t="shared" ca="1" si="212"/>
        <v>-2.7434055027697468E-11</v>
      </c>
      <c r="BV217" s="493">
        <f t="shared" ca="1" si="212"/>
        <v>-2.2292567791737383E-10</v>
      </c>
      <c r="BW217" s="493">
        <f t="shared" ca="1" si="212"/>
        <v>-1.4334489151224261E-9</v>
      </c>
      <c r="BX217" s="493">
        <f t="shared" ca="1" si="212"/>
        <v>-7.5413666422718961E-9</v>
      </c>
      <c r="BY217" s="493">
        <f t="shared" ca="1" si="212"/>
        <v>-3.3451428294029029E-8</v>
      </c>
      <c r="BZ217" s="493">
        <f t="shared" ca="1" si="212"/>
        <v>-1.2832507678695038E-7</v>
      </c>
      <c r="CA217" s="493">
        <f t="shared" ca="1" si="212"/>
        <v>-4.335294931934186E-7</v>
      </c>
      <c r="CB217" s="493">
        <f t="shared" ca="1" si="212"/>
        <v>-1.3193184358328836E-6</v>
      </c>
      <c r="CD217" s="496">
        <v>41.245964961894678</v>
      </c>
      <c r="CE217" s="496">
        <v>39.895671561755755</v>
      </c>
      <c r="CF217" s="496">
        <v>39.861946142478907</v>
      </c>
      <c r="CG217" s="496">
        <v>39.969270601185706</v>
      </c>
      <c r="CH217" s="496">
        <v>39.9750494477735</v>
      </c>
      <c r="CI217" s="496">
        <v>40.024077698542477</v>
      </c>
      <c r="CJ217" s="496">
        <v>40.03077048139582</v>
      </c>
      <c r="CK217" s="496">
        <v>40.066553388420978</v>
      </c>
      <c r="CL217" s="496">
        <v>40.044884650447294</v>
      </c>
      <c r="CM217" s="496">
        <v>39.986164529406963</v>
      </c>
      <c r="CN217" s="496">
        <v>39.909882544145546</v>
      </c>
      <c r="CO217" s="496">
        <v>39.696074234443323</v>
      </c>
    </row>
    <row r="218" spans="1:93" s="493" customFormat="1" ht="15.75">
      <c r="A218" s="492" t="s">
        <v>71</v>
      </c>
      <c r="B218" s="492"/>
      <c r="C218" s="491" t="s">
        <v>1349</v>
      </c>
      <c r="D218" s="492"/>
      <c r="E218" s="492"/>
      <c r="F218" s="497">
        <f t="shared" ref="F218:BO218" si="213">100*F143/F235</f>
        <v>256.36816657608847</v>
      </c>
      <c r="G218" s="497">
        <f t="shared" si="213"/>
        <v>248.11058412091771</v>
      </c>
      <c r="H218" s="497">
        <f t="shared" si="213"/>
        <v>231.26140490962027</v>
      </c>
      <c r="I218" s="497">
        <f t="shared" si="213"/>
        <v>200.70744262657644</v>
      </c>
      <c r="J218" s="497">
        <f t="shared" si="213"/>
        <v>190.89392304386345</v>
      </c>
      <c r="K218" s="497">
        <f t="shared" si="213"/>
        <v>174.22301638457907</v>
      </c>
      <c r="L218" s="497">
        <f t="shared" si="213"/>
        <v>164.62290198275736</v>
      </c>
      <c r="M218" s="497">
        <f t="shared" si="213"/>
        <v>153.66111759922808</v>
      </c>
      <c r="N218" s="497">
        <f t="shared" si="213"/>
        <v>145.06977257657411</v>
      </c>
      <c r="O218" s="497">
        <f t="shared" si="213"/>
        <v>137.3507147835563</v>
      </c>
      <c r="P218" s="497">
        <f t="shared" si="213"/>
        <v>127.72606260618583</v>
      </c>
      <c r="Q218" s="497">
        <f t="shared" si="213"/>
        <v>111.02599608673495</v>
      </c>
      <c r="R218" s="497">
        <f t="shared" si="213"/>
        <v>86.533974908253526</v>
      </c>
      <c r="S218" s="497">
        <f t="shared" si="213"/>
        <v>74.099519537272386</v>
      </c>
      <c r="T218" s="497">
        <f t="shared" si="213"/>
        <v>65.424130236034159</v>
      </c>
      <c r="U218" s="497">
        <f t="shared" si="213"/>
        <v>62.088033869479837</v>
      </c>
      <c r="V218" s="497">
        <f t="shared" si="213"/>
        <v>57.17259438301042</v>
      </c>
      <c r="W218" s="497">
        <f t="shared" si="213"/>
        <v>52.715624180797846</v>
      </c>
      <c r="X218" s="497">
        <f t="shared" si="213"/>
        <v>47.487889357396647</v>
      </c>
      <c r="Y218" s="497">
        <f t="shared" si="213"/>
        <v>46.872105489206369</v>
      </c>
      <c r="Z218" s="497">
        <f t="shared" si="213"/>
        <v>42.199482761112165</v>
      </c>
      <c r="AA218" s="497">
        <f t="shared" si="213"/>
        <v>37.450856391849541</v>
      </c>
      <c r="AB218" s="497">
        <f t="shared" si="213"/>
        <v>43.627418692630776</v>
      </c>
      <c r="AC218" s="497">
        <f t="shared" si="213"/>
        <v>36.794772881040487</v>
      </c>
      <c r="AD218" s="497">
        <f t="shared" si="213"/>
        <v>26.490769711817805</v>
      </c>
      <c r="AE218" s="497">
        <f t="shared" si="213"/>
        <v>25.456387925924922</v>
      </c>
      <c r="AF218" s="497">
        <f t="shared" si="213"/>
        <v>28.250802873253853</v>
      </c>
      <c r="AG218" s="497">
        <f t="shared" si="213"/>
        <v>28.720755256192458</v>
      </c>
      <c r="AH218" s="497">
        <f t="shared" si="213"/>
        <v>30.278014266516141</v>
      </c>
      <c r="AI218" s="497">
        <f t="shared" si="213"/>
        <v>29.111225164508618</v>
      </c>
      <c r="AJ218" s="497">
        <f t="shared" si="213"/>
        <v>16.573661456997613</v>
      </c>
      <c r="AK218" s="497">
        <f t="shared" si="213"/>
        <v>11.006333539324292</v>
      </c>
      <c r="AL218" s="497">
        <f t="shared" si="213"/>
        <v>10.927242043373317</v>
      </c>
      <c r="AM218" s="497">
        <f t="shared" si="213"/>
        <v>5.1062604323154233</v>
      </c>
      <c r="AN218" s="497">
        <f t="shared" si="213"/>
        <v>6.8566157193257125</v>
      </c>
      <c r="AO218" s="497">
        <f t="shared" si="213"/>
        <v>9.6686624611079477</v>
      </c>
      <c r="AP218" s="497">
        <f t="shared" si="213"/>
        <v>0.97581607485358801</v>
      </c>
      <c r="AQ218" s="497">
        <f t="shared" si="213"/>
        <v>-1.0931018257866978</v>
      </c>
      <c r="AR218" s="497">
        <f t="shared" si="213"/>
        <v>-0.94630802326157182</v>
      </c>
      <c r="AS218" s="497">
        <f t="shared" si="213"/>
        <v>18.709597063513968</v>
      </c>
      <c r="AT218" s="497">
        <f t="shared" si="213"/>
        <v>50.842386924676866</v>
      </c>
      <c r="AU218" s="497">
        <f t="shared" si="213"/>
        <v>31.812872591692404</v>
      </c>
      <c r="AV218" s="497">
        <f t="shared" si="213"/>
        <v>23.174470951222361</v>
      </c>
      <c r="AW218" s="497">
        <f t="shared" si="213"/>
        <v>19.526443610703755</v>
      </c>
      <c r="AX218" s="497">
        <f t="shared" si="213"/>
        <v>14.912316695557948</v>
      </c>
      <c r="AY218" s="497">
        <f t="shared" si="213"/>
        <v>14.541000935099149</v>
      </c>
      <c r="AZ218" s="497">
        <f t="shared" si="213"/>
        <v>19.468274706179084</v>
      </c>
      <c r="BA218" s="497">
        <f t="shared" si="213"/>
        <v>28.930816853927855</v>
      </c>
      <c r="BB218" s="497">
        <f t="shared" si="213"/>
        <v>23.181312724623435</v>
      </c>
      <c r="BC218" s="497">
        <f t="shared" si="213"/>
        <v>22.178974320542089</v>
      </c>
      <c r="BD218" s="497">
        <f t="shared" si="213"/>
        <v>24.332185706630387</v>
      </c>
      <c r="BE218" s="497">
        <f t="shared" ca="1" si="213"/>
        <v>28.812268922930727</v>
      </c>
      <c r="BF218" s="497">
        <f t="shared" ca="1" si="213"/>
        <v>31.698255897192976</v>
      </c>
      <c r="BG218" s="497">
        <f t="shared" ca="1" si="213"/>
        <v>33.094810173508264</v>
      </c>
      <c r="BH218" s="497">
        <f t="shared" ca="1" si="213"/>
        <v>33.406916017768708</v>
      </c>
      <c r="BI218" s="497">
        <f t="shared" ca="1" si="213"/>
        <v>32.728664650875238</v>
      </c>
      <c r="BJ218" s="497">
        <f t="shared" ca="1" si="213"/>
        <v>31.174592463775738</v>
      </c>
      <c r="BK218" s="497">
        <f t="shared" ca="1" si="213"/>
        <v>28.669432695597333</v>
      </c>
      <c r="BL218" s="497">
        <f t="shared" ca="1" si="213"/>
        <v>25.248245687485813</v>
      </c>
      <c r="BM218" s="497">
        <f t="shared" ca="1" si="213"/>
        <v>20.956010234219441</v>
      </c>
      <c r="BN218" s="497">
        <f t="shared" ca="1" si="213"/>
        <v>15.812254843932134</v>
      </c>
      <c r="BO218" s="497">
        <f t="shared" ca="1" si="213"/>
        <v>9.7621752366336061</v>
      </c>
      <c r="BP218" s="498"/>
      <c r="BQ218" s="493">
        <f t="shared" si="212"/>
        <v>0</v>
      </c>
      <c r="BR218" s="493">
        <f t="shared" ca="1" si="212"/>
        <v>0</v>
      </c>
      <c r="BS218" s="493">
        <f t="shared" ca="1" si="212"/>
        <v>-3.1974423109204508E-14</v>
      </c>
      <c r="BT218" s="493">
        <f t="shared" ca="1" si="212"/>
        <v>-4.4053649617126212E-13</v>
      </c>
      <c r="BU218" s="493">
        <f t="shared" ca="1" si="212"/>
        <v>-4.4408920985006262E-12</v>
      </c>
      <c r="BV218" s="493">
        <f t="shared" ca="1" si="212"/>
        <v>-3.3303138025075896E-11</v>
      </c>
      <c r="BW218" s="493">
        <f t="shared" ca="1" si="212"/>
        <v>-1.8373924604020431E-10</v>
      </c>
      <c r="BX218" s="493">
        <f t="shared" ca="1" si="212"/>
        <v>-7.4488326617938583E-10</v>
      </c>
      <c r="BY218" s="493">
        <f t="shared" ca="1" si="212"/>
        <v>-2.0624213448172668E-9</v>
      </c>
      <c r="BZ218" s="493">
        <f t="shared" ca="1" si="212"/>
        <v>-2.2125981047338428E-9</v>
      </c>
      <c r="CA218" s="493">
        <f t="shared" ca="1" si="212"/>
        <v>1.4827136851636169E-8</v>
      </c>
      <c r="CB218" s="493">
        <f t="shared" ca="1" si="212"/>
        <v>1.2135930838041986E-7</v>
      </c>
      <c r="CD218" s="496">
        <v>24.332185706630387</v>
      </c>
      <c r="CE218" s="496">
        <v>28.812268922930727</v>
      </c>
      <c r="CF218" s="496">
        <v>31.698255897193008</v>
      </c>
      <c r="CG218" s="496">
        <v>33.094810173508705</v>
      </c>
      <c r="CH218" s="496">
        <v>33.406916017773149</v>
      </c>
      <c r="CI218" s="496">
        <v>32.728664650908541</v>
      </c>
      <c r="CJ218" s="496">
        <v>31.174592463959478</v>
      </c>
      <c r="CK218" s="496">
        <v>28.669432696342216</v>
      </c>
      <c r="CL218" s="496">
        <v>25.248245689548234</v>
      </c>
      <c r="CM218" s="496">
        <v>20.956010236432039</v>
      </c>
      <c r="CN218" s="496">
        <v>15.812254829104997</v>
      </c>
      <c r="CO218" s="496">
        <v>9.7621751152742977</v>
      </c>
    </row>
    <row r="219" spans="1:93" s="493" customFormat="1" ht="15.75">
      <c r="A219" s="492" t="s">
        <v>72</v>
      </c>
      <c r="B219" s="492"/>
      <c r="C219" s="491" t="s">
        <v>1349</v>
      </c>
      <c r="D219" s="492"/>
      <c r="E219" s="492"/>
      <c r="F219" s="497">
        <f t="shared" ref="F219:BO219" si="214">100*F144/F235</f>
        <v>44.987364496216578</v>
      </c>
      <c r="G219" s="497">
        <f t="shared" si="214"/>
        <v>41.727200691694179</v>
      </c>
      <c r="H219" s="497">
        <f t="shared" si="214"/>
        <v>38.430514146273545</v>
      </c>
      <c r="I219" s="497">
        <f t="shared" si="214"/>
        <v>36.253976674425054</v>
      </c>
      <c r="J219" s="497">
        <f t="shared" si="214"/>
        <v>35.507376311841711</v>
      </c>
      <c r="K219" s="497">
        <f t="shared" si="214"/>
        <v>32.354498170228212</v>
      </c>
      <c r="L219" s="497">
        <f t="shared" si="214"/>
        <v>33.619157065261383</v>
      </c>
      <c r="M219" s="497">
        <f t="shared" si="214"/>
        <v>34.160221953759503</v>
      </c>
      <c r="N219" s="497">
        <f t="shared" si="214"/>
        <v>33.565470619246049</v>
      </c>
      <c r="O219" s="497">
        <f t="shared" si="214"/>
        <v>32.100909859840129</v>
      </c>
      <c r="P219" s="497">
        <f t="shared" si="214"/>
        <v>33.831792692922591</v>
      </c>
      <c r="Q219" s="497">
        <f t="shared" si="214"/>
        <v>31.113300565888068</v>
      </c>
      <c r="R219" s="497">
        <f t="shared" si="214"/>
        <v>27.809673325464747</v>
      </c>
      <c r="S219" s="497">
        <f t="shared" si="214"/>
        <v>26.358278298180391</v>
      </c>
      <c r="T219" s="497">
        <f t="shared" si="214"/>
        <v>25.747864805521253</v>
      </c>
      <c r="U219" s="497">
        <f t="shared" si="214"/>
        <v>27.580502944540797</v>
      </c>
      <c r="V219" s="497">
        <f t="shared" si="214"/>
        <v>28.374333039986261</v>
      </c>
      <c r="W219" s="497">
        <f t="shared" si="214"/>
        <v>28.432138081380593</v>
      </c>
      <c r="X219" s="497">
        <f t="shared" si="214"/>
        <v>28.389940209204127</v>
      </c>
      <c r="Y219" s="497">
        <f t="shared" si="214"/>
        <v>26.963637590069737</v>
      </c>
      <c r="Z219" s="497">
        <f t="shared" si="214"/>
        <v>26.302577390259479</v>
      </c>
      <c r="AA219" s="497">
        <f t="shared" si="214"/>
        <v>22.766585567618787</v>
      </c>
      <c r="AB219" s="497">
        <f t="shared" si="214"/>
        <v>24.232297818745664</v>
      </c>
      <c r="AC219" s="497">
        <f t="shared" si="214"/>
        <v>21.914370315306723</v>
      </c>
      <c r="AD219" s="497">
        <f t="shared" si="214"/>
        <v>20.86364136305345</v>
      </c>
      <c r="AE219" s="497">
        <f t="shared" si="214"/>
        <v>21.548309509988673</v>
      </c>
      <c r="AF219" s="497">
        <f t="shared" si="214"/>
        <v>22.89152120263568</v>
      </c>
      <c r="AG219" s="497">
        <f t="shared" si="214"/>
        <v>30.006783663780894</v>
      </c>
      <c r="AH219" s="497">
        <f t="shared" si="214"/>
        <v>43.336686924837586</v>
      </c>
      <c r="AI219" s="497">
        <f t="shared" si="214"/>
        <v>47.373870865818986</v>
      </c>
      <c r="AJ219" s="497">
        <f t="shared" si="214"/>
        <v>59.887207499350666</v>
      </c>
      <c r="AK219" s="497">
        <f t="shared" si="214"/>
        <v>81.837288344837589</v>
      </c>
      <c r="AL219" s="497">
        <f t="shared" si="214"/>
        <v>103.11875034025174</v>
      </c>
      <c r="AM219" s="497">
        <f t="shared" si="214"/>
        <v>108.51635810296729</v>
      </c>
      <c r="AN219" s="497">
        <f t="shared" si="214"/>
        <v>102.14122440581168</v>
      </c>
      <c r="AO219" s="497">
        <f t="shared" si="214"/>
        <v>59.484667029577217</v>
      </c>
      <c r="AP219" s="497">
        <f t="shared" si="214"/>
        <v>68.174575195656772</v>
      </c>
      <c r="AQ219" s="497">
        <f t="shared" si="214"/>
        <v>75.54547922630303</v>
      </c>
      <c r="AR219" s="497">
        <f t="shared" si="214"/>
        <v>64.856944268692814</v>
      </c>
      <c r="AS219" s="497">
        <f t="shared" si="214"/>
        <v>54.146549148612799</v>
      </c>
      <c r="AT219" s="497">
        <f t="shared" si="214"/>
        <v>48.20839546244229</v>
      </c>
      <c r="AU219" s="497">
        <f t="shared" si="214"/>
        <v>26.627306117905182</v>
      </c>
      <c r="AV219" s="497">
        <f t="shared" si="214"/>
        <v>25.8090818584602</v>
      </c>
      <c r="AW219" s="497">
        <f t="shared" si="214"/>
        <v>24.55184466323492</v>
      </c>
      <c r="AX219" s="497">
        <f t="shared" si="214"/>
        <v>19.464613895052622</v>
      </c>
      <c r="AY219" s="497">
        <f t="shared" si="214"/>
        <v>17.242863261682114</v>
      </c>
      <c r="AZ219" s="497">
        <f t="shared" si="214"/>
        <v>23.074373540316177</v>
      </c>
      <c r="BA219" s="497">
        <f t="shared" si="214"/>
        <v>22.976229621031283</v>
      </c>
      <c r="BB219" s="497">
        <f t="shared" si="214"/>
        <v>19.590823686072738</v>
      </c>
      <c r="BC219" s="497">
        <f t="shared" si="214"/>
        <v>14.699434623512131</v>
      </c>
      <c r="BD219" s="497">
        <f t="shared" si="214"/>
        <v>15.131532336072429</v>
      </c>
      <c r="BE219" s="497">
        <f t="shared" ca="1" si="214"/>
        <v>22.742998501295158</v>
      </c>
      <c r="BF219" s="497">
        <f t="shared" ca="1" si="214"/>
        <v>28.86763448529365</v>
      </c>
      <c r="BG219" s="497">
        <f t="shared" ca="1" si="214"/>
        <v>33.671975477725184</v>
      </c>
      <c r="BH219" s="497">
        <f t="shared" ca="1" si="214"/>
        <v>37.391803546591525</v>
      </c>
      <c r="BI219" s="497">
        <f t="shared" ca="1" si="214"/>
        <v>40.187714429530693</v>
      </c>
      <c r="BJ219" s="497">
        <f t="shared" ca="1" si="214"/>
        <v>42.13652906240543</v>
      </c>
      <c r="BK219" s="497">
        <f t="shared" ca="1" si="214"/>
        <v>43.267829720187073</v>
      </c>
      <c r="BL219" s="497">
        <f t="shared" ca="1" si="214"/>
        <v>43.617112045876198</v>
      </c>
      <c r="BM219" s="497">
        <f t="shared" ca="1" si="214"/>
        <v>43.238544085308391</v>
      </c>
      <c r="BN219" s="497">
        <f t="shared" ca="1" si="214"/>
        <v>42.169266630604952</v>
      </c>
      <c r="BO219" s="497">
        <f t="shared" ca="1" si="214"/>
        <v>40.406209949089423</v>
      </c>
      <c r="BP219" s="498"/>
      <c r="BQ219" s="493">
        <f t="shared" si="212"/>
        <v>0</v>
      </c>
      <c r="BR219" s="493">
        <f t="shared" ca="1" si="212"/>
        <v>0</v>
      </c>
      <c r="BS219" s="493">
        <f t="shared" ca="1" si="212"/>
        <v>-5.6843418860808015E-14</v>
      </c>
      <c r="BT219" s="493">
        <f t="shared" ca="1" si="212"/>
        <v>-1.0516032489249483E-12</v>
      </c>
      <c r="BU219" s="493">
        <f t="shared" ca="1" si="212"/>
        <v>-1.2036593943776097E-11</v>
      </c>
      <c r="BV219" s="493">
        <f t="shared" ca="1" si="212"/>
        <v>-1.0226131053059362E-10</v>
      </c>
      <c r="BW219" s="493">
        <f t="shared" ca="1" si="212"/>
        <v>-6.7487349042494316E-10</v>
      </c>
      <c r="BX219" s="493">
        <f t="shared" ca="1" si="212"/>
        <v>-3.5938967357651563E-9</v>
      </c>
      <c r="BY219" s="493">
        <f t="shared" ca="1" si="212"/>
        <v>-1.5943086850711552E-8</v>
      </c>
      <c r="BZ219" s="493">
        <f t="shared" ca="1" si="212"/>
        <v>-6.0522935996232263E-8</v>
      </c>
      <c r="CA219" s="493">
        <f t="shared" ca="1" si="212"/>
        <v>-2.0029003167110204E-7</v>
      </c>
      <c r="CB219" s="493">
        <f t="shared" ca="1" si="212"/>
        <v>-5.8973143524099214E-7</v>
      </c>
      <c r="CD219" s="496">
        <v>15.131532336072429</v>
      </c>
      <c r="CE219" s="496">
        <v>22.742998501295158</v>
      </c>
      <c r="CF219" s="496">
        <v>28.867634485293706</v>
      </c>
      <c r="CG219" s="496">
        <v>33.671975477726235</v>
      </c>
      <c r="CH219" s="496">
        <v>37.391803546603562</v>
      </c>
      <c r="CI219" s="496">
        <v>40.187714429632955</v>
      </c>
      <c r="CJ219" s="496">
        <v>42.136529063080303</v>
      </c>
      <c r="CK219" s="496">
        <v>43.26782972378097</v>
      </c>
      <c r="CL219" s="496">
        <v>43.617112061819284</v>
      </c>
      <c r="CM219" s="496">
        <v>43.238544145831327</v>
      </c>
      <c r="CN219" s="496">
        <v>42.169266830894983</v>
      </c>
      <c r="CO219" s="496">
        <v>40.406210538820858</v>
      </c>
    </row>
    <row r="220" spans="1:93" s="493" customFormat="1" ht="15.75">
      <c r="A220" s="492" t="s">
        <v>73</v>
      </c>
      <c r="B220" s="492"/>
      <c r="C220" s="491" t="s">
        <v>1349</v>
      </c>
      <c r="D220" s="492"/>
      <c r="E220" s="492"/>
      <c r="F220" s="497">
        <f t="shared" ref="F220:BO220" si="215">100*F77/F235</f>
        <v>3.2855939342881206</v>
      </c>
      <c r="G220" s="497">
        <f t="shared" si="215"/>
        <v>2.5827280064568203</v>
      </c>
      <c r="H220" s="497">
        <f t="shared" si="215"/>
        <v>5.3728095718519455</v>
      </c>
      <c r="I220" s="497">
        <f t="shared" si="215"/>
        <v>6.7208796242141702</v>
      </c>
      <c r="J220" s="497">
        <f t="shared" si="215"/>
        <v>5.7152282307996041</v>
      </c>
      <c r="K220" s="497">
        <f t="shared" si="215"/>
        <v>5.6220761968947262</v>
      </c>
      <c r="L220" s="497">
        <f t="shared" si="215"/>
        <v>6.4495964484519126</v>
      </c>
      <c r="M220" s="497">
        <f t="shared" si="215"/>
        <v>8.017690622583693</v>
      </c>
      <c r="N220" s="497">
        <f t="shared" si="215"/>
        <v>6.7869657186634003</v>
      </c>
      <c r="O220" s="497">
        <f t="shared" si="215"/>
        <v>10.72914485380943</v>
      </c>
      <c r="P220" s="497">
        <f t="shared" si="215"/>
        <v>8.4579480044047202</v>
      </c>
      <c r="Q220" s="497">
        <f t="shared" si="215"/>
        <v>7.7611543069131068</v>
      </c>
      <c r="R220" s="497">
        <f t="shared" si="215"/>
        <v>5.0291197392657327</v>
      </c>
      <c r="S220" s="497">
        <f t="shared" si="215"/>
        <v>4.0767469985251843</v>
      </c>
      <c r="T220" s="497">
        <f t="shared" si="215"/>
        <v>4.1059717506972131</v>
      </c>
      <c r="U220" s="497">
        <f t="shared" si="215"/>
        <v>5.5898123374653839</v>
      </c>
      <c r="V220" s="497">
        <f t="shared" si="215"/>
        <v>7.6429834014186175</v>
      </c>
      <c r="W220" s="497">
        <f t="shared" si="215"/>
        <v>5.621971853865368</v>
      </c>
      <c r="X220" s="497">
        <f t="shared" si="215"/>
        <v>9.4916635769973166</v>
      </c>
      <c r="Y220" s="497">
        <f t="shared" si="215"/>
        <v>5.5905969113331908</v>
      </c>
      <c r="Z220" s="497">
        <f t="shared" si="215"/>
        <v>7.6016771751044327</v>
      </c>
      <c r="AA220" s="497">
        <f t="shared" si="215"/>
        <v>6.3346819157549596</v>
      </c>
      <c r="AB220" s="497">
        <f t="shared" si="215"/>
        <v>17.635074289260618</v>
      </c>
      <c r="AC220" s="497">
        <f t="shared" si="215"/>
        <v>10.444035702238478</v>
      </c>
      <c r="AD220" s="497">
        <f t="shared" si="215"/>
        <v>7.4730108092950491</v>
      </c>
      <c r="AE220" s="497">
        <f t="shared" si="215"/>
        <v>10.152567446140672</v>
      </c>
      <c r="AF220" s="497">
        <f t="shared" si="215"/>
        <v>8.4089563532041236</v>
      </c>
      <c r="AG220" s="497">
        <f t="shared" si="215"/>
        <v>9.2259495783441618</v>
      </c>
      <c r="AH220" s="497">
        <f t="shared" si="215"/>
        <v>9.3944944804618036</v>
      </c>
      <c r="AI220" s="497">
        <f t="shared" si="215"/>
        <v>0.34164514784430489</v>
      </c>
      <c r="AJ220" s="497">
        <f t="shared" si="215"/>
        <v>0</v>
      </c>
      <c r="AK220" s="497">
        <f t="shared" si="215"/>
        <v>0</v>
      </c>
      <c r="AL220" s="497">
        <f t="shared" si="215"/>
        <v>0</v>
      </c>
      <c r="AM220" s="497">
        <f t="shared" si="215"/>
        <v>0</v>
      </c>
      <c r="AN220" s="497">
        <f t="shared" si="215"/>
        <v>0.24147831328454758</v>
      </c>
      <c r="AO220" s="497">
        <f t="shared" si="215"/>
        <v>2.519092104435146</v>
      </c>
      <c r="AP220" s="497">
        <f t="shared" si="215"/>
        <v>1.8343680150083019</v>
      </c>
      <c r="AQ220" s="497">
        <f t="shared" si="215"/>
        <v>0.78358594424422812</v>
      </c>
      <c r="AR220" s="497">
        <f t="shared" si="215"/>
        <v>1.7216334819432699</v>
      </c>
      <c r="AS220" s="497">
        <f t="shared" si="215"/>
        <v>0.91351383054079327</v>
      </c>
      <c r="AT220" s="497">
        <f t="shared" si="215"/>
        <v>11.807125417291857</v>
      </c>
      <c r="AU220" s="497">
        <f t="shared" si="215"/>
        <v>10.552357787371186</v>
      </c>
      <c r="AV220" s="497">
        <f t="shared" si="215"/>
        <v>11.746983089262582</v>
      </c>
      <c r="AW220" s="497">
        <f t="shared" si="215"/>
        <v>6.4614749843159309</v>
      </c>
      <c r="AX220" s="497">
        <f t="shared" si="215"/>
        <v>2.8434821429423627</v>
      </c>
      <c r="AY220" s="497">
        <f t="shared" si="215"/>
        <v>2.2235772570433752</v>
      </c>
      <c r="AZ220" s="497">
        <f t="shared" si="215"/>
        <v>1.6258240667401938</v>
      </c>
      <c r="BA220" s="497">
        <f t="shared" si="215"/>
        <v>1.6500404859273081</v>
      </c>
      <c r="BB220" s="497">
        <f t="shared" si="215"/>
        <v>1.127099826053007</v>
      </c>
      <c r="BC220" s="497">
        <f t="shared" si="215"/>
        <v>1.5006545703675684</v>
      </c>
      <c r="BD220" s="497">
        <f t="shared" si="215"/>
        <v>6.0647848111351346</v>
      </c>
      <c r="BE220" s="497">
        <f t="shared" ca="1" si="215"/>
        <v>5.5729752895711391</v>
      </c>
      <c r="BF220" s="497">
        <f t="shared" ca="1" si="215"/>
        <v>5.2371013816954166</v>
      </c>
      <c r="BG220" s="497">
        <f t="shared" ca="1" si="215"/>
        <v>4.9458504480269907</v>
      </c>
      <c r="BH220" s="497">
        <f t="shared" ca="1" si="215"/>
        <v>4.7033012669162</v>
      </c>
      <c r="BI220" s="497">
        <f t="shared" ca="1" si="215"/>
        <v>4.4859899154447307</v>
      </c>
      <c r="BJ220" s="497">
        <f t="shared" ca="1" si="215"/>
        <v>4.288832493469398</v>
      </c>
      <c r="BK220" s="497">
        <f t="shared" ca="1" si="215"/>
        <v>4.0978450699280016</v>
      </c>
      <c r="BL220" s="497">
        <f t="shared" ca="1" si="215"/>
        <v>3.9165889297902901</v>
      </c>
      <c r="BM220" s="497">
        <f t="shared" ca="1" si="215"/>
        <v>3.7459414406481337</v>
      </c>
      <c r="BN220" s="497">
        <f t="shared" ca="1" si="215"/>
        <v>3.5837080852582828</v>
      </c>
      <c r="BO220" s="497">
        <f t="shared" ca="1" si="215"/>
        <v>3.4310089041635252</v>
      </c>
      <c r="BP220" s="498"/>
      <c r="BQ220" s="493">
        <f t="shared" si="212"/>
        <v>0</v>
      </c>
      <c r="BR220" s="493">
        <f t="shared" ca="1" si="212"/>
        <v>0</v>
      </c>
      <c r="BS220" s="493">
        <f t="shared" ca="1" si="212"/>
        <v>-7.1054273576010019E-15</v>
      </c>
      <c r="BT220" s="493">
        <f t="shared" ca="1" si="212"/>
        <v>-1.1013412404281553E-13</v>
      </c>
      <c r="BU220" s="493">
        <f t="shared" ca="1" si="212"/>
        <v>-1.0862422072932532E-12</v>
      </c>
      <c r="BV220" s="493">
        <f t="shared" ca="1" si="212"/>
        <v>-8.3346662904659752E-12</v>
      </c>
      <c r="BW220" s="493">
        <f t="shared" ca="1" si="212"/>
        <v>-5.0671467022311845E-11</v>
      </c>
      <c r="BX220" s="493">
        <f t="shared" ca="1" si="212"/>
        <v>-2.5201707387623173E-10</v>
      </c>
      <c r="BY220" s="493">
        <f t="shared" ca="1" si="212"/>
        <v>-1.0578600218025258E-9</v>
      </c>
      <c r="BZ220" s="493">
        <f t="shared" ca="1" si="212"/>
        <v>-3.8450500561282297E-9</v>
      </c>
      <c r="CA220" s="493">
        <f t="shared" ca="1" si="212"/>
        <v>-1.2316166753123525E-8</v>
      </c>
      <c r="CB220" s="493">
        <f t="shared" ca="1" si="212"/>
        <v>-3.5590796088058596E-8</v>
      </c>
      <c r="CD220" s="496">
        <v>6.0647848111351346</v>
      </c>
      <c r="CE220" s="496">
        <v>5.5729752895711391</v>
      </c>
      <c r="CF220" s="496">
        <v>5.2371013816954237</v>
      </c>
      <c r="CG220" s="496">
        <v>4.9458504480271008</v>
      </c>
      <c r="CH220" s="496">
        <v>4.7033012669172862</v>
      </c>
      <c r="CI220" s="496">
        <v>4.4859899154530654</v>
      </c>
      <c r="CJ220" s="496">
        <v>4.2888324935200695</v>
      </c>
      <c r="CK220" s="496">
        <v>4.0978450701800186</v>
      </c>
      <c r="CL220" s="496">
        <v>3.9165889308481501</v>
      </c>
      <c r="CM220" s="496">
        <v>3.7459414444931838</v>
      </c>
      <c r="CN220" s="496">
        <v>3.5837080975744495</v>
      </c>
      <c r="CO220" s="496">
        <v>3.4310089397543213</v>
      </c>
    </row>
    <row r="221" spans="1:93" s="493" customFormat="1" ht="15.75">
      <c r="A221" s="492" t="s">
        <v>74</v>
      </c>
      <c r="B221" s="492"/>
      <c r="C221" s="491" t="s">
        <v>1349</v>
      </c>
      <c r="D221" s="492"/>
      <c r="E221" s="492"/>
      <c r="F221" s="497">
        <f t="shared" ref="F221:BO221" si="216">100*F53/F235</f>
        <v>8.2561078348778434</v>
      </c>
      <c r="G221" s="497">
        <f t="shared" si="216"/>
        <v>9.1202582728006476</v>
      </c>
      <c r="H221" s="497">
        <f t="shared" si="216"/>
        <v>9.3240631924195565</v>
      </c>
      <c r="I221" s="497">
        <f t="shared" si="216"/>
        <v>10.766332068642619</v>
      </c>
      <c r="J221" s="497">
        <f t="shared" si="216"/>
        <v>10.585150125500466</v>
      </c>
      <c r="K221" s="497">
        <f t="shared" si="216"/>
        <v>10.697873608159046</v>
      </c>
      <c r="L221" s="497">
        <f t="shared" si="216"/>
        <v>11.08345386346703</v>
      </c>
      <c r="M221" s="497">
        <f t="shared" si="216"/>
        <v>14.126538763457228</v>
      </c>
      <c r="N221" s="497">
        <f t="shared" si="216"/>
        <v>13.806950282280447</v>
      </c>
      <c r="O221" s="497">
        <f t="shared" si="216"/>
        <v>13.297952842796578</v>
      </c>
      <c r="P221" s="497">
        <f t="shared" si="216"/>
        <v>13.828784064777052</v>
      </c>
      <c r="Q221" s="497">
        <f t="shared" si="216"/>
        <v>13.044508050577832</v>
      </c>
      <c r="R221" s="497">
        <f t="shared" si="216"/>
        <v>12.273390441337076</v>
      </c>
      <c r="S221" s="497">
        <f t="shared" si="216"/>
        <v>11.183149571295898</v>
      </c>
      <c r="T221" s="497">
        <f t="shared" si="216"/>
        <v>10.723985319359661</v>
      </c>
      <c r="U221" s="497">
        <f t="shared" si="216"/>
        <v>12.024546608951008</v>
      </c>
      <c r="V221" s="497">
        <f t="shared" si="216"/>
        <v>13.397410715552201</v>
      </c>
      <c r="W221" s="497">
        <f t="shared" si="216"/>
        <v>12.572788235964097</v>
      </c>
      <c r="X221" s="497">
        <f t="shared" si="216"/>
        <v>13.758540617605014</v>
      </c>
      <c r="Y221" s="497">
        <f t="shared" si="216"/>
        <v>13.015961638296718</v>
      </c>
      <c r="Z221" s="497">
        <f t="shared" si="216"/>
        <v>12.148357455220733</v>
      </c>
      <c r="AA221" s="497">
        <f t="shared" si="216"/>
        <v>12.715551497583919</v>
      </c>
      <c r="AB221" s="497">
        <f t="shared" si="216"/>
        <v>14.022304479625074</v>
      </c>
      <c r="AC221" s="497">
        <f t="shared" si="216"/>
        <v>14.208868719415909</v>
      </c>
      <c r="AD221" s="497">
        <f t="shared" si="216"/>
        <v>14.340099558777467</v>
      </c>
      <c r="AE221" s="497">
        <f t="shared" si="216"/>
        <v>14.154294107396717</v>
      </c>
      <c r="AF221" s="497">
        <f t="shared" si="216"/>
        <v>14.095011459471172</v>
      </c>
      <c r="AG221" s="497">
        <f t="shared" si="216"/>
        <v>15.353174188000636</v>
      </c>
      <c r="AH221" s="497">
        <f t="shared" si="216"/>
        <v>18.730189584912047</v>
      </c>
      <c r="AI221" s="497">
        <f t="shared" si="216"/>
        <v>20.923972912734943</v>
      </c>
      <c r="AJ221" s="497">
        <f t="shared" si="216"/>
        <v>21.439379986514606</v>
      </c>
      <c r="AK221" s="497">
        <f t="shared" si="216"/>
        <v>22.043231780006767</v>
      </c>
      <c r="AL221" s="497">
        <f t="shared" si="216"/>
        <v>22.826536599054702</v>
      </c>
      <c r="AM221" s="497">
        <f t="shared" si="216"/>
        <v>23.839715952320567</v>
      </c>
      <c r="AN221" s="497">
        <f t="shared" si="216"/>
        <v>22.374810623765239</v>
      </c>
      <c r="AO221" s="497">
        <f t="shared" si="216"/>
        <v>20.431863545636002</v>
      </c>
      <c r="AP221" s="497">
        <f t="shared" si="216"/>
        <v>14.865402242120849</v>
      </c>
      <c r="AQ221" s="497">
        <f t="shared" si="216"/>
        <v>16.134325301376979</v>
      </c>
      <c r="AR221" s="497">
        <f t="shared" si="216"/>
        <v>15.464983852243908</v>
      </c>
      <c r="AS221" s="497">
        <f t="shared" si="216"/>
        <v>8.1277622156174623</v>
      </c>
      <c r="AT221" s="497">
        <f t="shared" si="216"/>
        <v>7.0763356836015765</v>
      </c>
      <c r="AU221" s="497">
        <f t="shared" si="216"/>
        <v>5.6573062867852713</v>
      </c>
      <c r="AV221" s="497">
        <f t="shared" si="216"/>
        <v>8.4240083466515578</v>
      </c>
      <c r="AW221" s="497">
        <f t="shared" si="216"/>
        <v>8.4768902562744284</v>
      </c>
      <c r="AX221" s="497">
        <f t="shared" si="216"/>
        <v>15.592303207175506</v>
      </c>
      <c r="AY221" s="497">
        <f t="shared" si="216"/>
        <v>12.866137837696348</v>
      </c>
      <c r="AZ221" s="497">
        <f t="shared" si="216"/>
        <v>13.89280707208515</v>
      </c>
      <c r="BA221" s="497">
        <f t="shared" si="216"/>
        <v>12.796678891593293</v>
      </c>
      <c r="BB221" s="497">
        <f t="shared" si="216"/>
        <v>14.628357271863543</v>
      </c>
      <c r="BC221" s="497">
        <f t="shared" si="216"/>
        <v>12.598170802591492</v>
      </c>
      <c r="BD221" s="497">
        <f t="shared" si="216"/>
        <v>11.057510291998401</v>
      </c>
      <c r="BE221" s="497">
        <f t="shared" ca="1" si="216"/>
        <v>11.356891503958622</v>
      </c>
      <c r="BF221" s="497">
        <f t="shared" ca="1" si="216"/>
        <v>11.575563948333357</v>
      </c>
      <c r="BG221" s="497">
        <f t="shared" ca="1" si="216"/>
        <v>11.68403220628942</v>
      </c>
      <c r="BH221" s="497">
        <f t="shared" ca="1" si="216"/>
        <v>11.793160306945095</v>
      </c>
      <c r="BI221" s="497">
        <f t="shared" ca="1" si="216"/>
        <v>11.893566922456712</v>
      </c>
      <c r="BJ221" s="497">
        <f t="shared" ca="1" si="216"/>
        <v>11.999201924180989</v>
      </c>
      <c r="BK221" s="497">
        <f t="shared" ca="1" si="216"/>
        <v>12.087160470103088</v>
      </c>
      <c r="BL221" s="497">
        <f t="shared" ca="1" si="216"/>
        <v>12.175923476175418</v>
      </c>
      <c r="BM221" s="497">
        <f t="shared" ca="1" si="216"/>
        <v>12.271431771770938</v>
      </c>
      <c r="BN221" s="497">
        <f t="shared" ca="1" si="216"/>
        <v>12.369396797794872</v>
      </c>
      <c r="BO221" s="497">
        <f t="shared" ca="1" si="216"/>
        <v>12.47590842348826</v>
      </c>
      <c r="BP221" s="498"/>
      <c r="BQ221" s="493">
        <f t="shared" si="212"/>
        <v>0</v>
      </c>
      <c r="BR221" s="493">
        <f t="shared" ca="1" si="212"/>
        <v>0</v>
      </c>
      <c r="BS221" s="493">
        <f t="shared" ca="1" si="212"/>
        <v>-1.4210854715202004E-14</v>
      </c>
      <c r="BT221" s="493">
        <f t="shared" ca="1" si="212"/>
        <v>-1.8829382497642655E-13</v>
      </c>
      <c r="BU221" s="493">
        <f t="shared" ca="1" si="212"/>
        <v>-1.900701818158268E-12</v>
      </c>
      <c r="BV221" s="493">
        <f t="shared" ca="1" si="212"/>
        <v>-1.5186074620032741E-11</v>
      </c>
      <c r="BW221" s="493">
        <f t="shared" ca="1" si="212"/>
        <v>-9.5987218173831934E-11</v>
      </c>
      <c r="BX221" s="493">
        <f t="shared" ca="1" si="212"/>
        <v>-4.9543302793608746E-10</v>
      </c>
      <c r="BY221" s="493">
        <f t="shared" ca="1" si="212"/>
        <v>-2.1570976116436213E-9</v>
      </c>
      <c r="BZ221" s="493">
        <f t="shared" ca="1" si="212"/>
        <v>-8.1326998468966849E-9</v>
      </c>
      <c r="CA221" s="493">
        <f t="shared" ca="1" si="212"/>
        <v>-2.7015556014475806E-8</v>
      </c>
      <c r="CB221" s="493">
        <f t="shared" ca="1" si="212"/>
        <v>-8.1083200598186522E-8</v>
      </c>
      <c r="CD221" s="496">
        <v>11.057510291998401</v>
      </c>
      <c r="CE221" s="496">
        <v>11.356891503958622</v>
      </c>
      <c r="CF221" s="496">
        <v>11.575563948333372</v>
      </c>
      <c r="CG221" s="496">
        <v>11.684032206289608</v>
      </c>
      <c r="CH221" s="496">
        <v>11.793160306946996</v>
      </c>
      <c r="CI221" s="496">
        <v>11.893566922471898</v>
      </c>
      <c r="CJ221" s="496">
        <v>11.999201924276976</v>
      </c>
      <c r="CK221" s="496">
        <v>12.087160470598521</v>
      </c>
      <c r="CL221" s="496">
        <v>12.175923478332516</v>
      </c>
      <c r="CM221" s="496">
        <v>12.271431779903638</v>
      </c>
      <c r="CN221" s="496">
        <v>12.369396824810428</v>
      </c>
      <c r="CO221" s="496">
        <v>12.475908504571461</v>
      </c>
    </row>
    <row r="222" spans="1:93" s="493" customFormat="1" ht="15.75">
      <c r="A222" s="492" t="s">
        <v>75</v>
      </c>
      <c r="B222" s="492"/>
      <c r="C222" s="491" t="s">
        <v>1349</v>
      </c>
      <c r="D222" s="492"/>
      <c r="E222" s="492"/>
      <c r="F222" s="497">
        <f>100*F89/F92</f>
        <v>2.8326180257510729</v>
      </c>
      <c r="G222" s="497">
        <f t="shared" ref="G222:BD222" si="217">100*G89/G92</f>
        <v>3.1535269709543567</v>
      </c>
      <c r="H222" s="497">
        <f t="shared" si="217"/>
        <v>3.4035787713705754</v>
      </c>
      <c r="I222" s="497">
        <f t="shared" si="217"/>
        <v>3.7233989746825951</v>
      </c>
      <c r="J222" s="497">
        <f t="shared" si="217"/>
        <v>3.6066307521274825</v>
      </c>
      <c r="K222" s="497">
        <f t="shared" si="217"/>
        <v>3.8166520587037414</v>
      </c>
      <c r="L222" s="497">
        <f t="shared" si="217"/>
        <v>3.969318787458942</v>
      </c>
      <c r="M222" s="497">
        <f t="shared" si="217"/>
        <v>4.0635739670971702</v>
      </c>
      <c r="N222" s="497">
        <f t="shared" si="217"/>
        <v>4.2654852699469759</v>
      </c>
      <c r="O222" s="497">
        <f t="shared" si="217"/>
        <v>4.4493637296502868</v>
      </c>
      <c r="P222" s="497">
        <f t="shared" si="217"/>
        <v>4.5496397318914905</v>
      </c>
      <c r="Q222" s="497">
        <f t="shared" si="217"/>
        <v>4.6960300255515204</v>
      </c>
      <c r="R222" s="497">
        <f t="shared" si="217"/>
        <v>4.7674413941231553</v>
      </c>
      <c r="S222" s="497">
        <f t="shared" si="217"/>
        <v>5.1539789305514843</v>
      </c>
      <c r="T222" s="497">
        <f t="shared" si="217"/>
        <v>5.1649745392779121</v>
      </c>
      <c r="U222" s="497">
        <f t="shared" si="217"/>
        <v>5.6401166027304317</v>
      </c>
      <c r="V222" s="497">
        <f t="shared" si="217"/>
        <v>6.5315840581171329</v>
      </c>
      <c r="W222" s="497">
        <f t="shared" si="217"/>
        <v>6.52398455178015</v>
      </c>
      <c r="X222" s="497">
        <f t="shared" si="217"/>
        <v>6.322288740260146</v>
      </c>
      <c r="Y222" s="497">
        <f t="shared" si="217"/>
        <v>6.7404952589370923</v>
      </c>
      <c r="Z222" s="497">
        <f t="shared" si="217"/>
        <v>7.5959603909627935</v>
      </c>
      <c r="AA222" s="497">
        <f t="shared" si="217"/>
        <v>8.2081215937561716</v>
      </c>
      <c r="AB222" s="497">
        <f t="shared" si="217"/>
        <v>9.3866091014523168</v>
      </c>
      <c r="AC222" s="497">
        <f t="shared" si="217"/>
        <v>10.103114143760763</v>
      </c>
      <c r="AD222" s="497">
        <f t="shared" si="217"/>
        <v>10.820143495054552</v>
      </c>
      <c r="AE222" s="497">
        <f t="shared" si="217"/>
        <v>11.055836966177276</v>
      </c>
      <c r="AF222" s="497">
        <f t="shared" si="217"/>
        <v>10.061725279988959</v>
      </c>
      <c r="AG222" s="497">
        <f t="shared" si="217"/>
        <v>10.153071044532297</v>
      </c>
      <c r="AH222" s="497">
        <f t="shared" si="217"/>
        <v>9.9096290968842382</v>
      </c>
      <c r="AI222" s="497">
        <f t="shared" si="217"/>
        <v>10.168369675577599</v>
      </c>
      <c r="AJ222" s="497">
        <f t="shared" si="217"/>
        <v>9.9641422177616299</v>
      </c>
      <c r="AK222" s="497">
        <f t="shared" si="217"/>
        <v>9.9905444844497495</v>
      </c>
      <c r="AL222" s="497">
        <f t="shared" si="217"/>
        <v>9.8873157553153312</v>
      </c>
      <c r="AM222" s="497">
        <f t="shared" si="217"/>
        <v>10.491677105124227</v>
      </c>
      <c r="AN222" s="497">
        <f t="shared" si="217"/>
        <v>11.071407404594517</v>
      </c>
      <c r="AO222" s="497">
        <f t="shared" si="217"/>
        <v>11.091457756974751</v>
      </c>
      <c r="AP222" s="497">
        <f t="shared" si="217"/>
        <v>10.816173596536435</v>
      </c>
      <c r="AQ222" s="497">
        <f t="shared" si="217"/>
        <v>10.645555898119325</v>
      </c>
      <c r="AR222" s="497">
        <f t="shared" si="217"/>
        <v>10.586724257203571</v>
      </c>
      <c r="AS222" s="497">
        <f t="shared" si="217"/>
        <v>10.06683654391426</v>
      </c>
      <c r="AT222" s="497">
        <f t="shared" si="217"/>
        <v>9.5187068069419993</v>
      </c>
      <c r="AU222" s="497">
        <f t="shared" si="217"/>
        <v>9.088552239609065</v>
      </c>
      <c r="AV222" s="497">
        <f t="shared" si="217"/>
        <v>8.8680495757423294</v>
      </c>
      <c r="AW222" s="497">
        <f t="shared" si="217"/>
        <v>8.1977914102619565</v>
      </c>
      <c r="AX222" s="497">
        <f t="shared" si="217"/>
        <v>8.3046855345911936</v>
      </c>
      <c r="AY222" s="497">
        <f t="shared" si="217"/>
        <v>8.2170895684233347</v>
      </c>
      <c r="AZ222" s="497">
        <f t="shared" si="217"/>
        <v>8.2458208315473627</v>
      </c>
      <c r="BA222" s="497">
        <f t="shared" si="217"/>
        <v>8.2844772967265037</v>
      </c>
      <c r="BB222" s="497">
        <f t="shared" si="217"/>
        <v>8.2796327212020042</v>
      </c>
      <c r="BC222" s="497">
        <f t="shared" si="217"/>
        <v>8.2519021180341348</v>
      </c>
      <c r="BD222" s="497">
        <f t="shared" si="217"/>
        <v>8.5127441669447368</v>
      </c>
      <c r="BE222" s="497">
        <f>100*BE89/BE92</f>
        <v>8.5127441669447368</v>
      </c>
      <c r="BF222" s="497">
        <f t="shared" ref="BF222:BO222" si="218">100*BF89/BF92</f>
        <v>8.512744166944735</v>
      </c>
      <c r="BG222" s="497">
        <f t="shared" si="218"/>
        <v>8.512744166944735</v>
      </c>
      <c r="BH222" s="497">
        <f t="shared" si="218"/>
        <v>8.512744166944735</v>
      </c>
      <c r="BI222" s="497">
        <f t="shared" si="218"/>
        <v>8.5127441669447368</v>
      </c>
      <c r="BJ222" s="497">
        <f t="shared" si="218"/>
        <v>8.512744166944735</v>
      </c>
      <c r="BK222" s="497">
        <f t="shared" si="218"/>
        <v>8.512744166944735</v>
      </c>
      <c r="BL222" s="497">
        <f t="shared" si="218"/>
        <v>8.5127441669447368</v>
      </c>
      <c r="BM222" s="497">
        <f t="shared" si="218"/>
        <v>8.512744166944735</v>
      </c>
      <c r="BN222" s="497">
        <f t="shared" si="218"/>
        <v>8.512744166944735</v>
      </c>
      <c r="BO222" s="497">
        <f t="shared" si="218"/>
        <v>8.512744166944735</v>
      </c>
      <c r="BP222" s="498"/>
      <c r="BQ222" s="493">
        <f t="shared" si="212"/>
        <v>0</v>
      </c>
      <c r="BR222" s="493">
        <f t="shared" si="212"/>
        <v>0</v>
      </c>
      <c r="BS222" s="493">
        <f t="shared" si="212"/>
        <v>0</v>
      </c>
      <c r="BT222" s="493">
        <f t="shared" si="212"/>
        <v>0</v>
      </c>
      <c r="BU222" s="493">
        <f t="shared" si="212"/>
        <v>0</v>
      </c>
      <c r="BV222" s="493">
        <f t="shared" si="212"/>
        <v>0</v>
      </c>
      <c r="BW222" s="493">
        <f t="shared" si="212"/>
        <v>0</v>
      </c>
      <c r="BX222" s="493">
        <f t="shared" si="212"/>
        <v>0</v>
      </c>
      <c r="BY222" s="493">
        <f t="shared" si="212"/>
        <v>0</v>
      </c>
      <c r="BZ222" s="493">
        <f t="shared" si="212"/>
        <v>0</v>
      </c>
      <c r="CA222" s="493">
        <f t="shared" si="212"/>
        <v>0</v>
      </c>
      <c r="CB222" s="493">
        <f t="shared" si="212"/>
        <v>0</v>
      </c>
      <c r="CD222" s="496">
        <v>8.5127441669447368</v>
      </c>
      <c r="CE222" s="496">
        <v>8.5127441669447368</v>
      </c>
      <c r="CF222" s="496">
        <v>8.512744166944735</v>
      </c>
      <c r="CG222" s="496">
        <v>8.512744166944735</v>
      </c>
      <c r="CH222" s="496">
        <v>8.512744166944735</v>
      </c>
      <c r="CI222" s="496">
        <v>8.5127441669447368</v>
      </c>
      <c r="CJ222" s="496">
        <v>8.512744166944735</v>
      </c>
      <c r="CK222" s="496">
        <v>8.512744166944735</v>
      </c>
      <c r="CL222" s="496">
        <v>8.5127441669447368</v>
      </c>
      <c r="CM222" s="496">
        <v>8.512744166944735</v>
      </c>
      <c r="CN222" s="496">
        <v>8.512744166944735</v>
      </c>
      <c r="CO222" s="496">
        <v>8.512744166944735</v>
      </c>
    </row>
    <row r="223" spans="1:93" s="493" customFormat="1" ht="15.75">
      <c r="A223" s="490" t="s">
        <v>76</v>
      </c>
      <c r="B223" s="490"/>
      <c r="C223" s="491" t="s">
        <v>1344</v>
      </c>
      <c r="D223" s="492"/>
      <c r="E223" s="492"/>
      <c r="F223" s="497"/>
      <c r="G223" s="497"/>
      <c r="H223" s="497"/>
      <c r="I223" s="497"/>
      <c r="J223" s="497"/>
      <c r="K223" s="497"/>
      <c r="L223" s="497"/>
      <c r="M223" s="497"/>
      <c r="N223" s="497"/>
      <c r="O223" s="497"/>
      <c r="P223" s="497"/>
      <c r="Q223" s="497"/>
      <c r="R223" s="497"/>
      <c r="S223" s="497"/>
      <c r="T223" s="497"/>
      <c r="U223" s="497"/>
      <c r="V223" s="497"/>
      <c r="W223" s="497"/>
      <c r="X223" s="497"/>
      <c r="Y223" s="497"/>
      <c r="Z223" s="497"/>
      <c r="AA223" s="497"/>
      <c r="AB223" s="497"/>
      <c r="AC223" s="497"/>
      <c r="AD223" s="497"/>
      <c r="AE223" s="497"/>
      <c r="AF223" s="497"/>
      <c r="AG223" s="497"/>
      <c r="AH223" s="497"/>
      <c r="AI223" s="497"/>
      <c r="AJ223" s="497"/>
      <c r="AK223" s="497"/>
      <c r="AL223" s="497"/>
      <c r="AM223" s="497"/>
      <c r="AN223" s="497"/>
      <c r="AO223" s="497"/>
      <c r="AP223" s="497"/>
      <c r="AQ223" s="497"/>
      <c r="AR223" s="497"/>
      <c r="AS223" s="497"/>
      <c r="AT223" s="497"/>
      <c r="AU223" s="497"/>
      <c r="AV223" s="497"/>
      <c r="AW223" s="497"/>
      <c r="AX223" s="497"/>
      <c r="AY223" s="497"/>
      <c r="AZ223" s="497"/>
      <c r="BA223" s="497"/>
      <c r="BB223" s="497"/>
      <c r="BC223" s="497"/>
      <c r="BD223" s="497"/>
      <c r="BE223" s="497"/>
      <c r="BF223" s="497"/>
      <c r="BG223" s="497"/>
      <c r="BH223" s="497"/>
      <c r="BI223" s="497"/>
      <c r="BJ223" s="497"/>
      <c r="BK223" s="497"/>
      <c r="BL223" s="497"/>
      <c r="BM223" s="497"/>
      <c r="BN223" s="497"/>
      <c r="BO223" s="497"/>
      <c r="BP223" s="501"/>
      <c r="CD223" s="496"/>
      <c r="CE223" s="496"/>
      <c r="CF223" s="496"/>
      <c r="CG223" s="496"/>
      <c r="CH223" s="496"/>
      <c r="CI223" s="496"/>
      <c r="CJ223" s="496"/>
      <c r="CK223" s="496"/>
      <c r="CL223" s="496"/>
      <c r="CM223" s="496"/>
      <c r="CN223" s="496"/>
      <c r="CO223" s="496"/>
    </row>
    <row r="224" spans="1:93" s="493" customFormat="1" ht="15.75">
      <c r="A224" s="492" t="s">
        <v>77</v>
      </c>
      <c r="B224" s="492"/>
      <c r="C224" s="491" t="s">
        <v>1349</v>
      </c>
      <c r="D224" s="492"/>
      <c r="E224" s="492"/>
      <c r="F224" s="497">
        <f t="shared" ref="F224:BO224" si="219">100*F131/F235</f>
        <v>53.243470935130595</v>
      </c>
      <c r="G224" s="497">
        <f t="shared" si="219"/>
        <v>53.591606133979006</v>
      </c>
      <c r="H224" s="497">
        <f t="shared" si="219"/>
        <v>54.82740705285071</v>
      </c>
      <c r="I224" s="497">
        <f t="shared" si="219"/>
        <v>51.102283515341384</v>
      </c>
      <c r="J224" s="497">
        <f t="shared" si="219"/>
        <v>51.638040039311555</v>
      </c>
      <c r="K224" s="497">
        <f t="shared" si="219"/>
        <v>54.311229979083443</v>
      </c>
      <c r="L224" s="497">
        <f t="shared" si="219"/>
        <v>53.670247788709553</v>
      </c>
      <c r="M224" s="497">
        <f t="shared" si="219"/>
        <v>54.100836026927347</v>
      </c>
      <c r="N224" s="497">
        <f t="shared" si="219"/>
        <v>52.865529061573298</v>
      </c>
      <c r="O224" s="497">
        <f t="shared" si="219"/>
        <v>53.29945306402054</v>
      </c>
      <c r="P224" s="497">
        <f t="shared" si="219"/>
        <v>49.88698642157803</v>
      </c>
      <c r="Q224" s="497">
        <f t="shared" si="219"/>
        <v>53.609999773759526</v>
      </c>
      <c r="R224" s="497">
        <f t="shared" si="219"/>
        <v>50.728599804771633</v>
      </c>
      <c r="S224" s="497">
        <f t="shared" si="219"/>
        <v>57.468072187067897</v>
      </c>
      <c r="T224" s="497">
        <f t="shared" si="219"/>
        <v>54.589108453608212</v>
      </c>
      <c r="U224" s="497">
        <f t="shared" si="219"/>
        <v>55.050841929544362</v>
      </c>
      <c r="V224" s="497">
        <f t="shared" si="219"/>
        <v>55.972312664966935</v>
      </c>
      <c r="W224" s="497">
        <f t="shared" si="219"/>
        <v>51.367810695174903</v>
      </c>
      <c r="X224" s="497">
        <f t="shared" si="219"/>
        <v>52.006831288778791</v>
      </c>
      <c r="Y224" s="497">
        <f t="shared" si="219"/>
        <v>56.282869124192807</v>
      </c>
      <c r="Z224" s="497">
        <f t="shared" si="219"/>
        <v>48.604271459832546</v>
      </c>
      <c r="AA224" s="497">
        <f t="shared" si="219"/>
        <v>46.833195432491671</v>
      </c>
      <c r="AB224" s="497">
        <f t="shared" si="219"/>
        <v>52.31348786415542</v>
      </c>
      <c r="AC224" s="497">
        <f t="shared" si="219"/>
        <v>56.696702126264377</v>
      </c>
      <c r="AD224" s="497">
        <f t="shared" si="219"/>
        <v>57.352243236582225</v>
      </c>
      <c r="AE224" s="497">
        <f t="shared" si="219"/>
        <v>58.126135380669197</v>
      </c>
      <c r="AF224" s="497">
        <f t="shared" si="219"/>
        <v>57.99882356796796</v>
      </c>
      <c r="AG224" s="497">
        <f t="shared" si="219"/>
        <v>56.344411771768648</v>
      </c>
      <c r="AH224" s="497">
        <f t="shared" si="219"/>
        <v>58.736554524544012</v>
      </c>
      <c r="AI224" s="497">
        <f t="shared" si="219"/>
        <v>64.597497889144563</v>
      </c>
      <c r="AJ224" s="497">
        <f t="shared" si="219"/>
        <v>64.108662537310039</v>
      </c>
      <c r="AK224" s="497">
        <f t="shared" si="219"/>
        <v>58.603523359610115</v>
      </c>
      <c r="AL224" s="497">
        <f t="shared" si="219"/>
        <v>60.623744557335613</v>
      </c>
      <c r="AM224" s="497">
        <f t="shared" si="219"/>
        <v>74.887141170400099</v>
      </c>
      <c r="AN224" s="497">
        <f t="shared" si="219"/>
        <v>81.864851810811501</v>
      </c>
      <c r="AO224" s="497">
        <f t="shared" si="219"/>
        <v>101.83632709957944</v>
      </c>
      <c r="AP224" s="497">
        <f t="shared" si="219"/>
        <v>113.91807092998657</v>
      </c>
      <c r="AQ224" s="497">
        <f t="shared" si="219"/>
        <v>134.57750067872334</v>
      </c>
      <c r="AR224" s="497">
        <f t="shared" si="219"/>
        <v>143.64240560302383</v>
      </c>
      <c r="AS224" s="497">
        <f t="shared" si="219"/>
        <v>104.95576791731078</v>
      </c>
      <c r="AT224" s="497">
        <f t="shared" si="219"/>
        <v>61.213911927319984</v>
      </c>
      <c r="AU224" s="497">
        <f t="shared" si="219"/>
        <v>42.699304136493744</v>
      </c>
      <c r="AV224" s="497">
        <f t="shared" si="219"/>
        <v>48.938947742442984</v>
      </c>
      <c r="AW224" s="497">
        <f t="shared" si="219"/>
        <v>54.026122841288476</v>
      </c>
      <c r="AX224" s="497">
        <f t="shared" si="219"/>
        <v>61.507132304146843</v>
      </c>
      <c r="AY224" s="497">
        <f t="shared" si="219"/>
        <v>63.9644705420951</v>
      </c>
      <c r="AZ224" s="497">
        <f t="shared" si="219"/>
        <v>50.611435699402143</v>
      </c>
      <c r="BA224" s="497">
        <f t="shared" si="219"/>
        <v>41.098536194779648</v>
      </c>
      <c r="BB224" s="497">
        <f t="shared" si="219"/>
        <v>59.918534243853479</v>
      </c>
      <c r="BC224" s="497">
        <f t="shared" ca="1" si="219"/>
        <v>65.375857503451201</v>
      </c>
      <c r="BD224" s="497">
        <f t="shared" ca="1" si="219"/>
        <v>63.989552154844098</v>
      </c>
      <c r="BE224" s="497">
        <f t="shared" ca="1" si="219"/>
        <v>65.291684237288266</v>
      </c>
      <c r="BF224" s="497">
        <f t="shared" ca="1" si="219"/>
        <v>66.550719270093012</v>
      </c>
      <c r="BG224" s="497">
        <f t="shared" ca="1" si="219"/>
        <v>67.609752674686078</v>
      </c>
      <c r="BH224" s="497">
        <f t="shared" ca="1" si="219"/>
        <v>68.407956310165233</v>
      </c>
      <c r="BI224" s="497">
        <f t="shared" ca="1" si="219"/>
        <v>69.086011020712434</v>
      </c>
      <c r="BJ224" s="497">
        <f t="shared" ca="1" si="219"/>
        <v>69.656186886856617</v>
      </c>
      <c r="BK224" s="497">
        <f t="shared" ca="1" si="219"/>
        <v>70.274666607204381</v>
      </c>
      <c r="BL224" s="497">
        <f t="shared" ca="1" si="219"/>
        <v>70.898685602438775</v>
      </c>
      <c r="BM224" s="497">
        <f t="shared" ca="1" si="219"/>
        <v>71.495979430854064</v>
      </c>
      <c r="BN224" s="497">
        <f t="shared" ca="1" si="219"/>
        <v>72.083028262698832</v>
      </c>
      <c r="BO224" s="497">
        <f t="shared" ca="1" si="219"/>
        <v>72.635000477982004</v>
      </c>
      <c r="BP224" s="498"/>
      <c r="BQ224" s="493">
        <f t="shared" ref="BQ224:CB230" ca="1" si="220">+BD224-CD224</f>
        <v>0</v>
      </c>
      <c r="BR224" s="493">
        <f t="shared" ca="1" si="220"/>
        <v>0</v>
      </c>
      <c r="BS224" s="493">
        <f t="shared" ca="1" si="220"/>
        <v>0</v>
      </c>
      <c r="BT224" s="493">
        <f t="shared" ca="1" si="220"/>
        <v>-4.1211478674085811E-13</v>
      </c>
      <c r="BU224" s="493">
        <f t="shared" ca="1" si="220"/>
        <v>-4.3343106881366111E-12</v>
      </c>
      <c r="BV224" s="493">
        <f t="shared" ca="1" si="220"/>
        <v>-3.3978153624047991E-11</v>
      </c>
      <c r="BW224" s="493">
        <f t="shared" ca="1" si="220"/>
        <v>-2.0786217191925971E-10</v>
      </c>
      <c r="BX224" s="493">
        <f t="shared" ca="1" si="220"/>
        <v>-1.0405898365206667E-9</v>
      </c>
      <c r="BY224" s="493">
        <f t="shared" ca="1" si="220"/>
        <v>-4.3840202579303877E-9</v>
      </c>
      <c r="BZ224" s="493">
        <f t="shared" ca="1" si="220"/>
        <v>-1.5922253737699066E-8</v>
      </c>
      <c r="CA224" s="493">
        <f t="shared" ca="1" si="220"/>
        <v>-5.0785004646058951E-8</v>
      </c>
      <c r="CB224" s="493">
        <f t="shared" ca="1" si="220"/>
        <v>-1.4554535709976335E-7</v>
      </c>
      <c r="CD224" s="496">
        <v>63.989552154844098</v>
      </c>
      <c r="CE224" s="496">
        <v>65.291684237288266</v>
      </c>
      <c r="CF224" s="496">
        <v>66.550719270093026</v>
      </c>
      <c r="CG224" s="496">
        <v>67.60975267468649</v>
      </c>
      <c r="CH224" s="496">
        <v>68.407956310169567</v>
      </c>
      <c r="CI224" s="496">
        <v>69.086011020746412</v>
      </c>
      <c r="CJ224" s="496">
        <v>69.656186887064479</v>
      </c>
      <c r="CK224" s="496">
        <v>70.274666608244971</v>
      </c>
      <c r="CL224" s="496">
        <v>70.898685606822795</v>
      </c>
      <c r="CM224" s="496">
        <v>71.495979446776317</v>
      </c>
      <c r="CN224" s="496">
        <v>72.083028313483837</v>
      </c>
      <c r="CO224" s="496">
        <v>72.635000623527361</v>
      </c>
    </row>
    <row r="225" spans="1:93" s="493" customFormat="1" ht="15.75">
      <c r="A225" s="492" t="s">
        <v>78</v>
      </c>
      <c r="B225" s="492"/>
      <c r="C225" s="491" t="s">
        <v>1349</v>
      </c>
      <c r="D225" s="492"/>
      <c r="E225" s="492"/>
      <c r="F225" s="497">
        <f t="shared" ref="F225:BO225" si="221">100*(F130+F53)/F235</f>
        <v>19.713563605728726</v>
      </c>
      <c r="G225" s="497">
        <f t="shared" si="221"/>
        <v>22.921711057304282</v>
      </c>
      <c r="H225" s="497">
        <f t="shared" si="221"/>
        <v>19.27863406822474</v>
      </c>
      <c r="I225" s="497">
        <f t="shared" si="221"/>
        <v>20.204730257999618</v>
      </c>
      <c r="J225" s="497">
        <f t="shared" si="221"/>
        <v>22.15703115728952</v>
      </c>
      <c r="K225" s="497">
        <f t="shared" si="221"/>
        <v>19.507531778195101</v>
      </c>
      <c r="L225" s="497">
        <f t="shared" si="221"/>
        <v>20.836074522105928</v>
      </c>
      <c r="M225" s="497">
        <f t="shared" si="221"/>
        <v>23.255263872302287</v>
      </c>
      <c r="N225" s="497">
        <f t="shared" si="221"/>
        <v>24.880610092456699</v>
      </c>
      <c r="O225" s="497">
        <f t="shared" si="221"/>
        <v>23.252173991219383</v>
      </c>
      <c r="P225" s="497">
        <f t="shared" si="221"/>
        <v>22.418153113953764</v>
      </c>
      <c r="Q225" s="497">
        <f t="shared" si="221"/>
        <v>20.050151261797602</v>
      </c>
      <c r="R225" s="497">
        <f t="shared" si="221"/>
        <v>17.873383335787405</v>
      </c>
      <c r="S225" s="497">
        <f t="shared" si="221"/>
        <v>18.14173458547905</v>
      </c>
      <c r="T225" s="497">
        <f t="shared" si="221"/>
        <v>18.593765313781986</v>
      </c>
      <c r="U225" s="497">
        <f t="shared" si="221"/>
        <v>18.597182927683878</v>
      </c>
      <c r="V225" s="497">
        <f t="shared" si="221"/>
        <v>18.395494017865289</v>
      </c>
      <c r="W225" s="497">
        <f t="shared" si="221"/>
        <v>20.593945308676812</v>
      </c>
      <c r="X225" s="497">
        <f t="shared" si="221"/>
        <v>17.664071297369517</v>
      </c>
      <c r="Y225" s="497">
        <f t="shared" si="221"/>
        <v>17.350244416068435</v>
      </c>
      <c r="Z225" s="497">
        <f t="shared" si="221"/>
        <v>18.730454562502505</v>
      </c>
      <c r="AA225" s="497">
        <f t="shared" si="221"/>
        <v>19.923716026212727</v>
      </c>
      <c r="AB225" s="497">
        <f t="shared" si="221"/>
        <v>22.074031767697797</v>
      </c>
      <c r="AC225" s="497">
        <f t="shared" si="221"/>
        <v>25.972153369945762</v>
      </c>
      <c r="AD225" s="497">
        <f t="shared" si="221"/>
        <v>23.548246268070713</v>
      </c>
      <c r="AE225" s="497">
        <f t="shared" si="221"/>
        <v>21.110698552408518</v>
      </c>
      <c r="AF225" s="497">
        <f t="shared" si="221"/>
        <v>22.618276863287996</v>
      </c>
      <c r="AG225" s="497">
        <f t="shared" si="221"/>
        <v>26.440614261578435</v>
      </c>
      <c r="AH225" s="497">
        <f t="shared" si="221"/>
        <v>29.769377253569999</v>
      </c>
      <c r="AI225" s="497">
        <f t="shared" si="221"/>
        <v>33.447665876941663</v>
      </c>
      <c r="AJ225" s="497">
        <f t="shared" si="221"/>
        <v>32.583759425348873</v>
      </c>
      <c r="AK225" s="497">
        <f t="shared" si="221"/>
        <v>36.814162080030385</v>
      </c>
      <c r="AL225" s="497">
        <f t="shared" si="221"/>
        <v>40.680947363859836</v>
      </c>
      <c r="AM225" s="497">
        <f t="shared" si="221"/>
        <v>37.479076777319598</v>
      </c>
      <c r="AN225" s="497">
        <f t="shared" si="221"/>
        <v>35.83820050846964</v>
      </c>
      <c r="AO225" s="497">
        <f t="shared" si="221"/>
        <v>28.521139577174441</v>
      </c>
      <c r="AP225" s="497">
        <f t="shared" si="221"/>
        <v>21.914122541070295</v>
      </c>
      <c r="AQ225" s="497">
        <f t="shared" si="221"/>
        <v>25.838163779512563</v>
      </c>
      <c r="AR225" s="497">
        <f t="shared" si="221"/>
        <v>22.727897930776471</v>
      </c>
      <c r="AS225" s="497">
        <f t="shared" si="221"/>
        <v>14.262292546362893</v>
      </c>
      <c r="AT225" s="497">
        <f t="shared" si="221"/>
        <v>14.046037230086213</v>
      </c>
      <c r="AU225" s="497">
        <f t="shared" si="221"/>
        <v>19.558989469809578</v>
      </c>
      <c r="AV225" s="497">
        <f t="shared" si="221"/>
        <v>19.038312085901715</v>
      </c>
      <c r="AW225" s="497">
        <f t="shared" si="221"/>
        <v>17.219369297889816</v>
      </c>
      <c r="AX225" s="497">
        <f t="shared" si="221"/>
        <v>31.203093547635614</v>
      </c>
      <c r="AY225" s="497">
        <f t="shared" si="221"/>
        <v>26.050566846026044</v>
      </c>
      <c r="AZ225" s="497">
        <f t="shared" si="221"/>
        <v>37.797910387938686</v>
      </c>
      <c r="BA225" s="497">
        <f t="shared" si="221"/>
        <v>31.894434823067179</v>
      </c>
      <c r="BB225" s="497">
        <f t="shared" si="221"/>
        <v>28.253352962889373</v>
      </c>
      <c r="BC225" s="497">
        <f t="shared" ca="1" si="221"/>
        <v>24.054166807850631</v>
      </c>
      <c r="BD225" s="497">
        <f t="shared" ca="1" si="221"/>
        <v>21.390043718145712</v>
      </c>
      <c r="BE225" s="497">
        <f t="shared" ca="1" si="221"/>
        <v>21.619947297168174</v>
      </c>
      <c r="BF225" s="497">
        <f t="shared" ca="1" si="221"/>
        <v>21.826441106704848</v>
      </c>
      <c r="BG225" s="497">
        <f t="shared" ca="1" si="221"/>
        <v>21.883590552093533</v>
      </c>
      <c r="BH225" s="497">
        <f t="shared" ca="1" si="221"/>
        <v>21.967689582607164</v>
      </c>
      <c r="BI225" s="497">
        <f t="shared" ca="1" si="221"/>
        <v>22.050674447354009</v>
      </c>
      <c r="BJ225" s="497">
        <f t="shared" ca="1" si="221"/>
        <v>22.151164416566107</v>
      </c>
      <c r="BK225" s="497">
        <f t="shared" ca="1" si="221"/>
        <v>22.222354465398954</v>
      </c>
      <c r="BL225" s="497">
        <f t="shared" ca="1" si="221"/>
        <v>22.295409996320348</v>
      </c>
      <c r="BM225" s="497">
        <f t="shared" ca="1" si="221"/>
        <v>22.381289125810099</v>
      </c>
      <c r="BN225" s="497">
        <f t="shared" ca="1" si="221"/>
        <v>22.471989568489178</v>
      </c>
      <c r="BO225" s="497">
        <f t="shared" ca="1" si="221"/>
        <v>22.578406673869068</v>
      </c>
      <c r="BP225" s="498"/>
      <c r="BQ225" s="493">
        <f t="shared" ca="1" si="220"/>
        <v>0</v>
      </c>
      <c r="BR225" s="493">
        <f t="shared" ca="1" si="220"/>
        <v>0</v>
      </c>
      <c r="BS225" s="493">
        <f t="shared" ca="1" si="220"/>
        <v>-3.1974423109204508E-14</v>
      </c>
      <c r="BT225" s="493">
        <f t="shared" ca="1" si="220"/>
        <v>-3.6237679523765109E-13</v>
      </c>
      <c r="BU225" s="493">
        <f t="shared" ca="1" si="220"/>
        <v>-3.701927653310122E-12</v>
      </c>
      <c r="BV225" s="493">
        <f t="shared" ca="1" si="220"/>
        <v>-2.9611868512802175E-11</v>
      </c>
      <c r="BW225" s="493">
        <f t="shared" ca="1" si="220"/>
        <v>-1.8690826664169435E-10</v>
      </c>
      <c r="BX225" s="493">
        <f t="shared" ca="1" si="220"/>
        <v>-9.6388319548168511E-10</v>
      </c>
      <c r="BY225" s="493">
        <f t="shared" ca="1" si="220"/>
        <v>-4.1930867666906124E-9</v>
      </c>
      <c r="BZ225" s="493">
        <f t="shared" ca="1" si="220"/>
        <v>-1.5793684582376954E-8</v>
      </c>
      <c r="CA225" s="493">
        <f t="shared" ca="1" si="220"/>
        <v>-5.2412865159112698E-8</v>
      </c>
      <c r="CB225" s="493">
        <f t="shared" ca="1" si="220"/>
        <v>-1.5708065959074702E-7</v>
      </c>
      <c r="CD225" s="496">
        <v>21.390043718145712</v>
      </c>
      <c r="CE225" s="496">
        <v>21.619947297168174</v>
      </c>
      <c r="CF225" s="496">
        <v>21.82644110670488</v>
      </c>
      <c r="CG225" s="496">
        <v>21.883590552093896</v>
      </c>
      <c r="CH225" s="496">
        <v>21.967689582610866</v>
      </c>
      <c r="CI225" s="496">
        <v>22.050674447383621</v>
      </c>
      <c r="CJ225" s="496">
        <v>22.151164416753016</v>
      </c>
      <c r="CK225" s="496">
        <v>22.222354466362837</v>
      </c>
      <c r="CL225" s="496">
        <v>22.295410000513435</v>
      </c>
      <c r="CM225" s="496">
        <v>22.381289141603784</v>
      </c>
      <c r="CN225" s="496">
        <v>22.471989620902043</v>
      </c>
      <c r="CO225" s="496">
        <v>22.578406830949728</v>
      </c>
    </row>
    <row r="226" spans="1:93" s="493" customFormat="1" ht="15.75">
      <c r="A226" s="492" t="s">
        <v>79</v>
      </c>
      <c r="B226" s="492"/>
      <c r="C226" s="491" t="s">
        <v>1349</v>
      </c>
      <c r="D226" s="492"/>
      <c r="E226" s="492"/>
      <c r="F226" s="497">
        <f t="shared" ref="F226:BO226" si="222">100*F12/F235</f>
        <v>19.882055602358889</v>
      </c>
      <c r="G226" s="497">
        <f t="shared" si="222"/>
        <v>20.338983050847457</v>
      </c>
      <c r="H226" s="497">
        <f t="shared" si="222"/>
        <v>21.04350472574351</v>
      </c>
      <c r="I226" s="497">
        <f t="shared" si="222"/>
        <v>24.944802234559472</v>
      </c>
      <c r="J226" s="497">
        <f t="shared" si="222"/>
        <v>24.137719693948661</v>
      </c>
      <c r="K226" s="497">
        <f t="shared" si="222"/>
        <v>22.65365912880057</v>
      </c>
      <c r="L226" s="497">
        <f t="shared" si="222"/>
        <v>23.157605370716851</v>
      </c>
      <c r="M226" s="497">
        <f t="shared" si="222"/>
        <v>23.85870286877784</v>
      </c>
      <c r="N226" s="497">
        <f t="shared" si="222"/>
        <v>25.716598347455466</v>
      </c>
      <c r="O226" s="497">
        <f t="shared" si="222"/>
        <v>27.428540326729586</v>
      </c>
      <c r="P226" s="497">
        <f t="shared" si="222"/>
        <v>47.443186810483951</v>
      </c>
      <c r="Q226" s="497">
        <f t="shared" si="222"/>
        <v>43.71659145819477</v>
      </c>
      <c r="R226" s="497">
        <f t="shared" si="222"/>
        <v>26.097053782135696</v>
      </c>
      <c r="S226" s="497">
        <f t="shared" si="222"/>
        <v>18.204783295641516</v>
      </c>
      <c r="T226" s="497">
        <f t="shared" si="222"/>
        <v>17.514536075381116</v>
      </c>
      <c r="U226" s="497">
        <f t="shared" si="222"/>
        <v>14.148572307307008</v>
      </c>
      <c r="V226" s="497">
        <f t="shared" si="222"/>
        <v>13.438425989205076</v>
      </c>
      <c r="W226" s="497">
        <f t="shared" si="222"/>
        <v>13.786364100243102</v>
      </c>
      <c r="X226" s="497">
        <f t="shared" si="222"/>
        <v>15.309134801608577</v>
      </c>
      <c r="Y226" s="497">
        <f t="shared" si="222"/>
        <v>18.059512494475193</v>
      </c>
      <c r="Z226" s="497">
        <f t="shared" si="222"/>
        <v>26.070268070816564</v>
      </c>
      <c r="AA226" s="497">
        <f t="shared" si="222"/>
        <v>29.567553633043818</v>
      </c>
      <c r="AB226" s="497">
        <f t="shared" si="222"/>
        <v>15.907697074373944</v>
      </c>
      <c r="AC226" s="497">
        <f t="shared" si="222"/>
        <v>18.640078458956463</v>
      </c>
      <c r="AD226" s="497">
        <f t="shared" si="222"/>
        <v>14.881234804021172</v>
      </c>
      <c r="AE226" s="497">
        <f t="shared" si="222"/>
        <v>12.744997768285621</v>
      </c>
      <c r="AF226" s="497">
        <f t="shared" si="222"/>
        <v>18.228964951599242</v>
      </c>
      <c r="AG226" s="497">
        <f t="shared" si="222"/>
        <v>21.099840077413155</v>
      </c>
      <c r="AH226" s="497">
        <f t="shared" si="222"/>
        <v>17.436362658856584</v>
      </c>
      <c r="AI226" s="497">
        <f t="shared" si="222"/>
        <v>8.7405207381535917</v>
      </c>
      <c r="AJ226" s="497">
        <f t="shared" si="222"/>
        <v>6.8094544710391895</v>
      </c>
      <c r="AK226" s="497">
        <f t="shared" si="222"/>
        <v>8.3847327005938865</v>
      </c>
      <c r="AL226" s="497">
        <f t="shared" si="222"/>
        <v>9.6623212960318199</v>
      </c>
      <c r="AM226" s="497">
        <f t="shared" si="222"/>
        <v>8.7750443824499094</v>
      </c>
      <c r="AN226" s="497">
        <f t="shared" si="222"/>
        <v>9.4119662279700798</v>
      </c>
      <c r="AO226" s="497">
        <f t="shared" si="222"/>
        <v>8.0783888986940902</v>
      </c>
      <c r="AP226" s="497">
        <f t="shared" si="222"/>
        <v>15.974617499823731</v>
      </c>
      <c r="AQ226" s="497">
        <f t="shared" si="222"/>
        <v>16.935933280305598</v>
      </c>
      <c r="AR226" s="497">
        <f t="shared" si="222"/>
        <v>19.199966255682895</v>
      </c>
      <c r="AS226" s="497">
        <f t="shared" si="222"/>
        <v>18.135683043160775</v>
      </c>
      <c r="AT226" s="497">
        <f t="shared" si="222"/>
        <v>42.493869157803417</v>
      </c>
      <c r="AU226" s="497">
        <f t="shared" si="222"/>
        <v>14.119491105706182</v>
      </c>
      <c r="AV226" s="497">
        <f t="shared" si="222"/>
        <v>44.394891116630433</v>
      </c>
      <c r="AW226" s="497">
        <f t="shared" si="222"/>
        <v>28.10017564221819</v>
      </c>
      <c r="AX226" s="497">
        <f t="shared" si="222"/>
        <v>9.6398712811033</v>
      </c>
      <c r="AY226" s="497">
        <f t="shared" si="222"/>
        <v>10.611860586185607</v>
      </c>
      <c r="AZ226" s="497">
        <f t="shared" si="222"/>
        <v>10.026866318440812</v>
      </c>
      <c r="BA226" s="497">
        <f t="shared" si="222"/>
        <v>26.558948652302529</v>
      </c>
      <c r="BB226" s="497">
        <f t="shared" si="222"/>
        <v>18.995972222706378</v>
      </c>
      <c r="BC226" s="497">
        <f t="shared" si="222"/>
        <v>19.896372231463872</v>
      </c>
      <c r="BD226" s="497">
        <f t="shared" ca="1" si="222"/>
        <v>20.214754404086108</v>
      </c>
      <c r="BE226" s="497">
        <f t="shared" ca="1" si="222"/>
        <v>20.607056633114865</v>
      </c>
      <c r="BF226" s="497">
        <f t="shared" ca="1" si="222"/>
        <v>20.697648635210257</v>
      </c>
      <c r="BG226" s="497">
        <f t="shared" ca="1" si="222"/>
        <v>20.62726404607254</v>
      </c>
      <c r="BH226" s="497">
        <f t="shared" ca="1" si="222"/>
        <v>20.562458975021233</v>
      </c>
      <c r="BI226" s="497">
        <f t="shared" ca="1" si="222"/>
        <v>20.461528197796067</v>
      </c>
      <c r="BJ226" s="497">
        <f t="shared" ca="1" si="222"/>
        <v>20.354027373228966</v>
      </c>
      <c r="BK226" s="497">
        <f t="shared" ca="1" si="222"/>
        <v>20.214072322519076</v>
      </c>
      <c r="BL226" s="497">
        <f t="shared" ca="1" si="222"/>
        <v>20.081617443199619</v>
      </c>
      <c r="BM226" s="497">
        <f t="shared" ca="1" si="222"/>
        <v>19.955792890407096</v>
      </c>
      <c r="BN226" s="497">
        <f t="shared" ca="1" si="222"/>
        <v>19.82726066812436</v>
      </c>
      <c r="BO226" s="497">
        <f t="shared" ca="1" si="222"/>
        <v>19.704593358492701</v>
      </c>
      <c r="BP226" s="498"/>
      <c r="BQ226" s="493">
        <f t="shared" ca="1" si="220"/>
        <v>0</v>
      </c>
      <c r="BR226" s="493">
        <f t="shared" ca="1" si="220"/>
        <v>0</v>
      </c>
      <c r="BS226" s="493">
        <f t="shared" ca="1" si="220"/>
        <v>-4.2632564145606011E-14</v>
      </c>
      <c r="BT226" s="493">
        <f t="shared" ca="1" si="220"/>
        <v>-5.6488147492927965E-13</v>
      </c>
      <c r="BU226" s="493">
        <f t="shared" ca="1" si="220"/>
        <v>-5.8690829973784275E-12</v>
      </c>
      <c r="BV226" s="493">
        <f t="shared" ca="1" si="220"/>
        <v>-4.7258197355404263E-11</v>
      </c>
      <c r="BW226" s="493">
        <f t="shared" ca="1" si="220"/>
        <v>-3.0082247803875362E-10</v>
      </c>
      <c r="BX226" s="493">
        <f t="shared" ca="1" si="220"/>
        <v>-1.5657448670935992E-9</v>
      </c>
      <c r="BY226" s="493">
        <f t="shared" ca="1" si="220"/>
        <v>-6.8781602635681338E-9</v>
      </c>
      <c r="BZ226" s="493">
        <f t="shared" ca="1" si="220"/>
        <v>-2.6151106169436389E-8</v>
      </c>
      <c r="CA226" s="493">
        <f t="shared" ca="1" si="220"/>
        <v>-8.7585899422037983E-8</v>
      </c>
      <c r="CB226" s="493">
        <f t="shared" ca="1" si="220"/>
        <v>-2.643837824223283E-7</v>
      </c>
      <c r="CD226" s="496">
        <v>20.214754404086108</v>
      </c>
      <c r="CE226" s="496">
        <v>20.607056633114865</v>
      </c>
      <c r="CF226" s="496">
        <v>20.6976486352103</v>
      </c>
      <c r="CG226" s="496">
        <v>20.627264046073105</v>
      </c>
      <c r="CH226" s="496">
        <v>20.562458975027102</v>
      </c>
      <c r="CI226" s="496">
        <v>20.461528197843325</v>
      </c>
      <c r="CJ226" s="496">
        <v>20.354027373529789</v>
      </c>
      <c r="CK226" s="496">
        <v>20.214072324084821</v>
      </c>
      <c r="CL226" s="496">
        <v>20.081617450077779</v>
      </c>
      <c r="CM226" s="496">
        <v>19.955792916558202</v>
      </c>
      <c r="CN226" s="496">
        <v>19.82726075571026</v>
      </c>
      <c r="CO226" s="496">
        <v>19.704593622876484</v>
      </c>
    </row>
    <row r="227" spans="1:93" s="493" customFormat="1" ht="15.75">
      <c r="A227" s="492" t="s">
        <v>80</v>
      </c>
      <c r="B227" s="492"/>
      <c r="C227" s="491" t="s">
        <v>1349</v>
      </c>
      <c r="D227" s="492"/>
      <c r="E227" s="492"/>
      <c r="F227" s="497">
        <f t="shared" ref="F227:BO227" si="223">100*F50/F235</f>
        <v>2.5273799494524005</v>
      </c>
      <c r="G227" s="497">
        <f t="shared" si="223"/>
        <v>2.2598870056497176</v>
      </c>
      <c r="H227" s="497">
        <f t="shared" si="223"/>
        <v>4.9250753696988605</v>
      </c>
      <c r="I227" s="497">
        <f t="shared" si="223"/>
        <v>5.6868982668260335</v>
      </c>
      <c r="J227" s="497">
        <f t="shared" si="223"/>
        <v>5.8976290158152</v>
      </c>
      <c r="K227" s="497">
        <f t="shared" si="223"/>
        <v>7.496101806119623</v>
      </c>
      <c r="L227" s="497">
        <f t="shared" si="223"/>
        <v>10.309197085269469</v>
      </c>
      <c r="M227" s="497">
        <f t="shared" si="223"/>
        <v>8.6493870887864972</v>
      </c>
      <c r="N227" s="497">
        <f t="shared" si="223"/>
        <v>6.9254752231259191</v>
      </c>
      <c r="O227" s="497">
        <f t="shared" si="223"/>
        <v>6.0135124748027078</v>
      </c>
      <c r="P227" s="497">
        <f t="shared" si="223"/>
        <v>5.5075010261240047</v>
      </c>
      <c r="Q227" s="497">
        <f t="shared" si="223"/>
        <v>5.528964039909134</v>
      </c>
      <c r="R227" s="497">
        <f t="shared" si="223"/>
        <v>5.9262057556258974</v>
      </c>
      <c r="S227" s="497">
        <f t="shared" si="223"/>
        <v>5.7402472105670714</v>
      </c>
      <c r="T227" s="497">
        <f t="shared" si="223"/>
        <v>4.0204305094010291</v>
      </c>
      <c r="U227" s="497">
        <f t="shared" si="223"/>
        <v>4.9755470892205302</v>
      </c>
      <c r="V227" s="497">
        <f t="shared" si="223"/>
        <v>6.1260553980836256</v>
      </c>
      <c r="W227" s="497">
        <f t="shared" si="223"/>
        <v>5.0848407167249814</v>
      </c>
      <c r="X227" s="497">
        <f t="shared" si="223"/>
        <v>6.9571515193964073</v>
      </c>
      <c r="Y227" s="497">
        <f t="shared" si="223"/>
        <v>6.5014247376339318</v>
      </c>
      <c r="Z227" s="497">
        <f t="shared" si="223"/>
        <v>5.5883296414669363</v>
      </c>
      <c r="AA227" s="497">
        <f t="shared" si="223"/>
        <v>7.887187951316176</v>
      </c>
      <c r="AB227" s="497">
        <f t="shared" si="223"/>
        <v>11.889743671323517</v>
      </c>
      <c r="AC227" s="497">
        <f t="shared" si="223"/>
        <v>10.735781113358</v>
      </c>
      <c r="AD227" s="497">
        <f t="shared" si="223"/>
        <v>9.4596792594289489</v>
      </c>
      <c r="AE227" s="497">
        <f t="shared" si="223"/>
        <v>8.6697931463772626</v>
      </c>
      <c r="AF227" s="497">
        <f t="shared" si="223"/>
        <v>8.0188977237555612</v>
      </c>
      <c r="AG227" s="497">
        <f t="shared" si="223"/>
        <v>9.7616579000714214</v>
      </c>
      <c r="AH227" s="497">
        <f t="shared" si="223"/>
        <v>10.003353701550076</v>
      </c>
      <c r="AI227" s="497">
        <f t="shared" si="223"/>
        <v>6.6849482933827487</v>
      </c>
      <c r="AJ227" s="497">
        <f t="shared" si="223"/>
        <v>4.8774057486975932</v>
      </c>
      <c r="AK227" s="497">
        <f t="shared" si="223"/>
        <v>3.2097445583462845</v>
      </c>
      <c r="AL227" s="497">
        <f t="shared" si="223"/>
        <v>2.2809780532040045</v>
      </c>
      <c r="AM227" s="497">
        <f t="shared" si="223"/>
        <v>2.1810803956378391</v>
      </c>
      <c r="AN227" s="497">
        <f t="shared" si="223"/>
        <v>1.1551049461599645</v>
      </c>
      <c r="AO227" s="497">
        <f t="shared" si="223"/>
        <v>2.9032843404100892</v>
      </c>
      <c r="AP227" s="497">
        <f t="shared" si="223"/>
        <v>2.6471127406049493</v>
      </c>
      <c r="AQ227" s="497">
        <f t="shared" si="223"/>
        <v>2.7996742128000083</v>
      </c>
      <c r="AR227" s="497">
        <f t="shared" si="223"/>
        <v>2.1374457385879104</v>
      </c>
      <c r="AS227" s="497">
        <f t="shared" si="223"/>
        <v>3.2516910112039414</v>
      </c>
      <c r="AT227" s="497">
        <f t="shared" si="223"/>
        <v>14.852765649656169</v>
      </c>
      <c r="AU227" s="497">
        <f t="shared" si="223"/>
        <v>36.941911626084313</v>
      </c>
      <c r="AV227" s="497">
        <f t="shared" si="223"/>
        <v>15.946297147032233</v>
      </c>
      <c r="AW227" s="497">
        <f t="shared" si="223"/>
        <v>14.535916868011709</v>
      </c>
      <c r="AX227" s="497">
        <f t="shared" si="223"/>
        <v>10.439705415393453</v>
      </c>
      <c r="AY227" s="497">
        <f t="shared" si="223"/>
        <v>5.4991739767369845</v>
      </c>
      <c r="AZ227" s="497">
        <f t="shared" si="223"/>
        <v>2.3551920851843002</v>
      </c>
      <c r="BA227" s="497">
        <f t="shared" si="223"/>
        <v>2.3562990031505087</v>
      </c>
      <c r="BB227" s="497">
        <f t="shared" si="223"/>
        <v>2.6319795214308042</v>
      </c>
      <c r="BC227" s="497">
        <f t="shared" si="223"/>
        <v>1.4064190088296924</v>
      </c>
      <c r="BD227" s="497">
        <f t="shared" ca="1" si="223"/>
        <v>2.3909269180369095</v>
      </c>
      <c r="BE227" s="497">
        <f t="shared" ca="1" si="223"/>
        <v>2.2949591676240315</v>
      </c>
      <c r="BF227" s="497">
        <f t="shared" ca="1" si="223"/>
        <v>2.2432583341232215</v>
      </c>
      <c r="BG227" s="497">
        <f t="shared" ca="1" si="223"/>
        <v>2.2004461588379205</v>
      </c>
      <c r="BH227" s="497">
        <f t="shared" ca="1" si="223"/>
        <v>2.1732001622315527</v>
      </c>
      <c r="BI227" s="497">
        <f t="shared" ca="1" si="223"/>
        <v>2.1538180336894746</v>
      </c>
      <c r="BJ227" s="497">
        <f t="shared" ca="1" si="223"/>
        <v>2.1415055980441688</v>
      </c>
      <c r="BK227" s="497">
        <f t="shared" ca="1" si="223"/>
        <v>2.1302380210957144</v>
      </c>
      <c r="BL227" s="497">
        <f t="shared" ca="1" si="223"/>
        <v>2.1221910480182773</v>
      </c>
      <c r="BM227" s="497">
        <f t="shared" ca="1" si="223"/>
        <v>2.118192715108715</v>
      </c>
      <c r="BN227" s="497">
        <f t="shared" ca="1" si="223"/>
        <v>2.1173402212147066</v>
      </c>
      <c r="BO227" s="497">
        <f t="shared" ca="1" si="223"/>
        <v>2.1205760210474507</v>
      </c>
      <c r="BP227" s="498"/>
      <c r="BQ227" s="493">
        <f t="shared" ca="1" si="220"/>
        <v>0</v>
      </c>
      <c r="BR227" s="493">
        <f t="shared" ca="1" si="220"/>
        <v>0</v>
      </c>
      <c r="BS227" s="493">
        <f t="shared" ca="1" si="220"/>
        <v>0</v>
      </c>
      <c r="BT227" s="493">
        <f t="shared" ca="1" si="220"/>
        <v>-5.2846615972157451E-14</v>
      </c>
      <c r="BU227" s="493">
        <f t="shared" ca="1" si="220"/>
        <v>-5.4978244179437752E-13</v>
      </c>
      <c r="BV227" s="493">
        <f t="shared" ca="1" si="220"/>
        <v>-4.4022563372436707E-12</v>
      </c>
      <c r="BW227" s="493">
        <f t="shared" ca="1" si="220"/>
        <v>-2.7968738436356944E-11</v>
      </c>
      <c r="BX227" s="493">
        <f t="shared" ca="1" si="220"/>
        <v>-1.4554002447653147E-10</v>
      </c>
      <c r="BY227" s="493">
        <f t="shared" ca="1" si="220"/>
        <v>-6.3998939481280104E-10</v>
      </c>
      <c r="BZ227" s="493">
        <f t="shared" ca="1" si="220"/>
        <v>-2.4398789655322162E-9</v>
      </c>
      <c r="CA227" s="493">
        <f t="shared" ca="1" si="220"/>
        <v>-8.2074418372712898E-9</v>
      </c>
      <c r="CB227" s="493">
        <f t="shared" ca="1" si="220"/>
        <v>-2.4931995135091256E-8</v>
      </c>
      <c r="CD227" s="496">
        <v>2.3909269180369095</v>
      </c>
      <c r="CE227" s="496">
        <v>2.2949591676240315</v>
      </c>
      <c r="CF227" s="496">
        <v>2.2432583341232246</v>
      </c>
      <c r="CG227" s="496">
        <v>2.2004461588379733</v>
      </c>
      <c r="CH227" s="496">
        <v>2.1732001622321024</v>
      </c>
      <c r="CI227" s="496">
        <v>2.1538180336938768</v>
      </c>
      <c r="CJ227" s="496">
        <v>2.1415055980721376</v>
      </c>
      <c r="CK227" s="496">
        <v>2.1302380212412544</v>
      </c>
      <c r="CL227" s="496">
        <v>2.1221910486582667</v>
      </c>
      <c r="CM227" s="496">
        <v>2.118192717548594</v>
      </c>
      <c r="CN227" s="496">
        <v>2.1173402294221484</v>
      </c>
      <c r="CO227" s="496">
        <v>2.1205760459794458</v>
      </c>
    </row>
    <row r="228" spans="1:93" s="493" customFormat="1" ht="15.75">
      <c r="A228" s="492" t="s">
        <v>81</v>
      </c>
      <c r="B228" s="492"/>
      <c r="C228" s="491" t="s">
        <v>1349</v>
      </c>
      <c r="D228" s="492"/>
      <c r="E228" s="492"/>
      <c r="F228" s="497">
        <f>F226+F227</f>
        <v>22.409435551811288</v>
      </c>
      <c r="G228" s="497">
        <f t="shared" ref="G228:BO228" si="224">G226+G227</f>
        <v>22.598870056497173</v>
      </c>
      <c r="H228" s="497">
        <f t="shared" si="224"/>
        <v>25.96858009544237</v>
      </c>
      <c r="I228" s="497">
        <f t="shared" si="224"/>
        <v>30.631700501385506</v>
      </c>
      <c r="J228" s="497">
        <f t="shared" si="224"/>
        <v>30.035348709763859</v>
      </c>
      <c r="K228" s="497">
        <f t="shared" si="224"/>
        <v>30.149760934920192</v>
      </c>
      <c r="L228" s="497">
        <f t="shared" si="224"/>
        <v>33.466802455986318</v>
      </c>
      <c r="M228" s="497">
        <f t="shared" si="224"/>
        <v>32.508089957564337</v>
      </c>
      <c r="N228" s="497">
        <f t="shared" si="224"/>
        <v>32.642073570581388</v>
      </c>
      <c r="O228" s="497">
        <f t="shared" si="224"/>
        <v>33.442052801532292</v>
      </c>
      <c r="P228" s="497">
        <f t="shared" si="224"/>
        <v>52.950687836607955</v>
      </c>
      <c r="Q228" s="497">
        <f t="shared" si="224"/>
        <v>49.245555498103904</v>
      </c>
      <c r="R228" s="497">
        <f t="shared" si="224"/>
        <v>32.023259537761589</v>
      </c>
      <c r="S228" s="497">
        <f t="shared" si="224"/>
        <v>23.945030506208589</v>
      </c>
      <c r="T228" s="497">
        <f t="shared" si="224"/>
        <v>21.534966584782147</v>
      </c>
      <c r="U228" s="497">
        <f t="shared" si="224"/>
        <v>19.12411939652754</v>
      </c>
      <c r="V228" s="497">
        <f t="shared" si="224"/>
        <v>19.564481387288701</v>
      </c>
      <c r="W228" s="497">
        <f t="shared" si="224"/>
        <v>18.871204816968081</v>
      </c>
      <c r="X228" s="497">
        <f t="shared" si="224"/>
        <v>22.266286321004984</v>
      </c>
      <c r="Y228" s="497">
        <f t="shared" si="224"/>
        <v>24.560937232109126</v>
      </c>
      <c r="Z228" s="497">
        <f t="shared" si="224"/>
        <v>31.658597712283502</v>
      </c>
      <c r="AA228" s="497">
        <f t="shared" si="224"/>
        <v>37.454741584359994</v>
      </c>
      <c r="AB228" s="497">
        <f t="shared" si="224"/>
        <v>27.797440745697461</v>
      </c>
      <c r="AC228" s="497">
        <f t="shared" si="224"/>
        <v>29.375859572314461</v>
      </c>
      <c r="AD228" s="497">
        <f t="shared" si="224"/>
        <v>24.340914063450121</v>
      </c>
      <c r="AE228" s="497">
        <f t="shared" si="224"/>
        <v>21.414790914662884</v>
      </c>
      <c r="AF228" s="497">
        <f t="shared" si="224"/>
        <v>26.247862675354803</v>
      </c>
      <c r="AG228" s="497">
        <f t="shared" si="224"/>
        <v>30.861497977484575</v>
      </c>
      <c r="AH228" s="497">
        <f t="shared" si="224"/>
        <v>27.43971636040666</v>
      </c>
      <c r="AI228" s="497">
        <f t="shared" si="224"/>
        <v>15.425469031536341</v>
      </c>
      <c r="AJ228" s="497">
        <f t="shared" si="224"/>
        <v>11.686860219736783</v>
      </c>
      <c r="AK228" s="497">
        <f t="shared" si="224"/>
        <v>11.59447725894017</v>
      </c>
      <c r="AL228" s="497">
        <f t="shared" si="224"/>
        <v>11.943299349235824</v>
      </c>
      <c r="AM228" s="497">
        <f t="shared" si="224"/>
        <v>10.956124778087748</v>
      </c>
      <c r="AN228" s="497">
        <f t="shared" si="224"/>
        <v>10.567071174130044</v>
      </c>
      <c r="AO228" s="497">
        <f t="shared" si="224"/>
        <v>10.981673239104179</v>
      </c>
      <c r="AP228" s="497">
        <f t="shared" si="224"/>
        <v>18.621730240428679</v>
      </c>
      <c r="AQ228" s="497">
        <f t="shared" si="224"/>
        <v>19.735607493105604</v>
      </c>
      <c r="AR228" s="497">
        <f t="shared" si="224"/>
        <v>21.337411994270806</v>
      </c>
      <c r="AS228" s="497">
        <f t="shared" si="224"/>
        <v>21.387374054364717</v>
      </c>
      <c r="AT228" s="497">
        <f t="shared" si="224"/>
        <v>57.346634807459587</v>
      </c>
      <c r="AU228" s="497">
        <f t="shared" si="224"/>
        <v>51.061402731790494</v>
      </c>
      <c r="AV228" s="497">
        <f t="shared" si="224"/>
        <v>60.341188263662666</v>
      </c>
      <c r="AW228" s="497">
        <f t="shared" si="224"/>
        <v>42.636092510229901</v>
      </c>
      <c r="AX228" s="497">
        <f t="shared" si="224"/>
        <v>20.079576696496751</v>
      </c>
      <c r="AY228" s="497">
        <f t="shared" si="224"/>
        <v>16.11103456292259</v>
      </c>
      <c r="AZ228" s="497">
        <f t="shared" si="224"/>
        <v>12.382058403625113</v>
      </c>
      <c r="BA228" s="497">
        <f t="shared" si="224"/>
        <v>28.915247655453037</v>
      </c>
      <c r="BB228" s="497">
        <f t="shared" si="224"/>
        <v>21.627951744137182</v>
      </c>
      <c r="BC228" s="497">
        <f t="shared" si="224"/>
        <v>21.302791240293566</v>
      </c>
      <c r="BD228" s="497">
        <f t="shared" ca="1" si="224"/>
        <v>22.605681322123019</v>
      </c>
      <c r="BE228" s="497">
        <f t="shared" ca="1" si="224"/>
        <v>22.902015800738898</v>
      </c>
      <c r="BF228" s="497">
        <f t="shared" ca="1" si="224"/>
        <v>22.940906969333479</v>
      </c>
      <c r="BG228" s="497">
        <f t="shared" ca="1" si="224"/>
        <v>22.82771020491046</v>
      </c>
      <c r="BH228" s="497">
        <f t="shared" ca="1" si="224"/>
        <v>22.735659137252785</v>
      </c>
      <c r="BI228" s="497">
        <f t="shared" ca="1" si="224"/>
        <v>22.615346231485542</v>
      </c>
      <c r="BJ228" s="497">
        <f t="shared" ca="1" si="224"/>
        <v>22.495532971273136</v>
      </c>
      <c r="BK228" s="497">
        <f t="shared" ca="1" si="224"/>
        <v>22.34431034361479</v>
      </c>
      <c r="BL228" s="497">
        <f t="shared" ca="1" si="224"/>
        <v>22.203808491217895</v>
      </c>
      <c r="BM228" s="497">
        <f t="shared" ca="1" si="224"/>
        <v>22.073985605515812</v>
      </c>
      <c r="BN228" s="497">
        <f t="shared" ca="1" si="224"/>
        <v>21.944600889339068</v>
      </c>
      <c r="BO228" s="497">
        <f t="shared" ca="1" si="224"/>
        <v>21.825169379540153</v>
      </c>
      <c r="BP228" s="498"/>
      <c r="BQ228" s="493">
        <f t="shared" ca="1" si="220"/>
        <v>0</v>
      </c>
      <c r="BR228" s="493">
        <f t="shared" ca="1" si="220"/>
        <v>0</v>
      </c>
      <c r="BS228" s="493">
        <f t="shared" ca="1" si="220"/>
        <v>-4.6185277824406512E-14</v>
      </c>
      <c r="BT228" s="493">
        <f t="shared" ca="1" si="220"/>
        <v>-6.1817218011128716E-13</v>
      </c>
      <c r="BU228" s="493">
        <f t="shared" ca="1" si="220"/>
        <v>-6.4197536175925052E-12</v>
      </c>
      <c r="BV228" s="493">
        <f t="shared" ca="1" si="220"/>
        <v>-5.1660009603438084E-11</v>
      </c>
      <c r="BW228" s="493">
        <f t="shared" ca="1" si="220"/>
        <v>-3.2878944011827116E-10</v>
      </c>
      <c r="BX228" s="493">
        <f t="shared" ca="1" si="220"/>
        <v>-1.7112853356593405E-9</v>
      </c>
      <c r="BY228" s="493">
        <f t="shared" ca="1" si="220"/>
        <v>-7.5181496583809349E-9</v>
      </c>
      <c r="BZ228" s="493">
        <f t="shared" ca="1" si="220"/>
        <v>-2.8590985579057815E-8</v>
      </c>
      <c r="CA228" s="493">
        <f t="shared" ca="1" si="220"/>
        <v>-9.5793339482952433E-8</v>
      </c>
      <c r="CB228" s="493">
        <f t="shared" ca="1" si="220"/>
        <v>-2.8931577489288429E-7</v>
      </c>
      <c r="CD228" s="496">
        <v>22.605681322123019</v>
      </c>
      <c r="CE228" s="496">
        <v>22.902015800738898</v>
      </c>
      <c r="CF228" s="496">
        <v>22.940906969333525</v>
      </c>
      <c r="CG228" s="496">
        <v>22.827710204911078</v>
      </c>
      <c r="CH228" s="496">
        <v>22.735659137259205</v>
      </c>
      <c r="CI228" s="496">
        <v>22.615346231537202</v>
      </c>
      <c r="CJ228" s="496">
        <v>22.495532971601925</v>
      </c>
      <c r="CK228" s="496">
        <v>22.344310345326075</v>
      </c>
      <c r="CL228" s="496">
        <v>22.203808498736045</v>
      </c>
      <c r="CM228" s="496">
        <v>22.073985634106798</v>
      </c>
      <c r="CN228" s="496">
        <v>21.944600985132407</v>
      </c>
      <c r="CO228" s="496">
        <v>21.825169668855928</v>
      </c>
    </row>
    <row r="229" spans="1:93" s="493" customFormat="1" ht="15.75">
      <c r="A229" s="492" t="s">
        <v>82</v>
      </c>
      <c r="B229" s="492"/>
      <c r="C229" s="491" t="s">
        <v>1349</v>
      </c>
      <c r="D229" s="492"/>
      <c r="E229" s="492"/>
      <c r="F229" s="497">
        <f t="shared" ref="F229:BO229" si="225">100*F19/F235</f>
        <v>52.485256950294854</v>
      </c>
      <c r="G229" s="497">
        <f t="shared" si="225"/>
        <v>46.408393866020987</v>
      </c>
      <c r="H229" s="497">
        <f t="shared" si="225"/>
        <v>51.862536839404207</v>
      </c>
      <c r="I229" s="497">
        <f t="shared" si="225"/>
        <v>50.406597181606273</v>
      </c>
      <c r="J229" s="497">
        <f t="shared" si="225"/>
        <v>44.445018611777108</v>
      </c>
      <c r="K229" s="497">
        <f t="shared" si="225"/>
        <v>49.606554678482887</v>
      </c>
      <c r="L229" s="497">
        <f t="shared" si="225"/>
        <v>49.819322972584999</v>
      </c>
      <c r="M229" s="497">
        <f t="shared" si="225"/>
        <v>45.87090951551064</v>
      </c>
      <c r="N229" s="497">
        <f t="shared" si="225"/>
        <v>43.999853993251541</v>
      </c>
      <c r="O229" s="497">
        <f t="shared" si="225"/>
        <v>45.209501500930863</v>
      </c>
      <c r="P229" s="497">
        <f t="shared" si="225"/>
        <v>42.801152032132208</v>
      </c>
      <c r="Q229" s="497">
        <f t="shared" si="225"/>
        <v>45.399317508351743</v>
      </c>
      <c r="R229" s="497">
        <f t="shared" si="225"/>
        <v>53.145562650078425</v>
      </c>
      <c r="S229" s="497">
        <f t="shared" si="225"/>
        <v>52.435401765010397</v>
      </c>
      <c r="T229" s="497">
        <f t="shared" si="225"/>
        <v>52.436680246902355</v>
      </c>
      <c r="U229" s="497">
        <f t="shared" si="225"/>
        <v>57.269984579636684</v>
      </c>
      <c r="V229" s="497">
        <f t="shared" si="225"/>
        <v>57.098727056121504</v>
      </c>
      <c r="W229" s="497">
        <f t="shared" si="225"/>
        <v>60.892759930363226</v>
      </c>
      <c r="X229" s="497">
        <f t="shared" si="225"/>
        <v>61.950967573610342</v>
      </c>
      <c r="Y229" s="497">
        <f t="shared" si="225"/>
        <v>56.612645689202672</v>
      </c>
      <c r="Z229" s="497">
        <f t="shared" si="225"/>
        <v>70.131605476053835</v>
      </c>
      <c r="AA229" s="497">
        <f t="shared" si="225"/>
        <v>62.06822433529328</v>
      </c>
      <c r="AB229" s="497">
        <f t="shared" si="225"/>
        <v>61.089911643818539</v>
      </c>
      <c r="AC229" s="497">
        <f t="shared" si="225"/>
        <v>55.132845575950846</v>
      </c>
      <c r="AD229" s="497">
        <f t="shared" si="225"/>
        <v>55.310062178282593</v>
      </c>
      <c r="AE229" s="497">
        <f t="shared" si="225"/>
        <v>58.563105813363485</v>
      </c>
      <c r="AF229" s="497">
        <f t="shared" si="225"/>
        <v>68.287626450855782</v>
      </c>
      <c r="AG229" s="497">
        <f t="shared" si="225"/>
        <v>56.154280536308747</v>
      </c>
      <c r="AH229" s="497">
        <f t="shared" si="225"/>
        <v>49.194604041612315</v>
      </c>
      <c r="AI229" s="497">
        <f t="shared" si="225"/>
        <v>43.333239968233087</v>
      </c>
      <c r="AJ229" s="497">
        <f t="shared" si="225"/>
        <v>43.592887895412083</v>
      </c>
      <c r="AK229" s="497">
        <f t="shared" si="225"/>
        <v>38.558285889617288</v>
      </c>
      <c r="AL229" s="497">
        <f t="shared" si="225"/>
        <v>35.672397281640357</v>
      </c>
      <c r="AM229" s="497">
        <f t="shared" si="225"/>
        <v>35.161045508852709</v>
      </c>
      <c r="AN229" s="497">
        <f t="shared" si="225"/>
        <v>32.993220317739514</v>
      </c>
      <c r="AO229" s="497">
        <f t="shared" si="225"/>
        <v>36.472509526401744</v>
      </c>
      <c r="AP229" s="497">
        <f t="shared" si="225"/>
        <v>24.496932947895367</v>
      </c>
      <c r="AQ229" s="497">
        <f t="shared" si="225"/>
        <v>15.653503403142611</v>
      </c>
      <c r="AR229" s="497">
        <f t="shared" si="225"/>
        <v>11.904041432152834</v>
      </c>
      <c r="AS229" s="497">
        <f t="shared" si="225"/>
        <v>120.97049267872944</v>
      </c>
      <c r="AT229" s="497">
        <f t="shared" si="225"/>
        <v>156.54259603434386</v>
      </c>
      <c r="AU229" s="497">
        <f t="shared" si="225"/>
        <v>98.859387337508906</v>
      </c>
      <c r="AV229" s="497">
        <f t="shared" si="225"/>
        <v>63.592265360784182</v>
      </c>
      <c r="AW229" s="497">
        <f t="shared" si="225"/>
        <v>52.926127178902689</v>
      </c>
      <c r="AX229" s="497">
        <f t="shared" si="225"/>
        <v>35.49584839547726</v>
      </c>
      <c r="AY229" s="497">
        <f t="shared" si="225"/>
        <v>46.165377297993167</v>
      </c>
      <c r="AZ229" s="497">
        <f t="shared" si="225"/>
        <v>54.899039338559298</v>
      </c>
      <c r="BA229" s="497">
        <f t="shared" si="225"/>
        <v>64.548814847364753</v>
      </c>
      <c r="BB229" s="497">
        <f t="shared" si="225"/>
        <v>36.429326432777486</v>
      </c>
      <c r="BC229" s="497">
        <f t="shared" si="225"/>
        <v>42.411616034952907</v>
      </c>
      <c r="BD229" s="497">
        <f t="shared" si="225"/>
        <v>51.960342968414665</v>
      </c>
      <c r="BE229" s="497">
        <f t="shared" ca="1" si="225"/>
        <v>51.970016255112782</v>
      </c>
      <c r="BF229" s="497">
        <f t="shared" ca="1" si="225"/>
        <v>51.310287400842213</v>
      </c>
      <c r="BG229" s="497">
        <f t="shared" ca="1" si="225"/>
        <v>50.909892137693078</v>
      </c>
      <c r="BH229" s="497">
        <f t="shared" ca="1" si="225"/>
        <v>50.864142313433746</v>
      </c>
      <c r="BI229" s="497">
        <f t="shared" ca="1" si="225"/>
        <v>50.970037291527127</v>
      </c>
      <c r="BJ229" s="497">
        <f t="shared" ca="1" si="225"/>
        <v>51.196877452863838</v>
      </c>
      <c r="BK229" s="497">
        <f t="shared" ca="1" si="225"/>
        <v>51.393436055093019</v>
      </c>
      <c r="BL229" s="497">
        <f t="shared" ca="1" si="225"/>
        <v>51.606908410656963</v>
      </c>
      <c r="BM229" s="497">
        <f t="shared" ca="1" si="225"/>
        <v>51.857140513738088</v>
      </c>
      <c r="BN229" s="497">
        <f t="shared" ca="1" si="225"/>
        <v>52.122824142212139</v>
      </c>
      <c r="BO229" s="497">
        <f t="shared" ca="1" si="225"/>
        <v>52.428192846717607</v>
      </c>
      <c r="BP229" s="498"/>
      <c r="BQ229" s="493">
        <f t="shared" si="220"/>
        <v>0</v>
      </c>
      <c r="BR229" s="493">
        <f t="shared" ca="1" si="220"/>
        <v>0</v>
      </c>
      <c r="BS229" s="493">
        <f t="shared" ca="1" si="220"/>
        <v>-6.3948846218409017E-14</v>
      </c>
      <c r="BT229" s="493">
        <f t="shared" ca="1" si="220"/>
        <v>-1.1297629498585593E-12</v>
      </c>
      <c r="BU229" s="493">
        <f t="shared" ca="1" si="220"/>
        <v>-1.1738165994756855E-11</v>
      </c>
      <c r="BV229" s="493">
        <f t="shared" ca="1" si="220"/>
        <v>-9.4701135822106153E-11</v>
      </c>
      <c r="BW229" s="493">
        <f t="shared" ca="1" si="220"/>
        <v>-6.0487792552521569E-10</v>
      </c>
      <c r="BX229" s="493">
        <f t="shared" ca="1" si="220"/>
        <v>-3.1607001460542961E-9</v>
      </c>
      <c r="BY229" s="493">
        <f t="shared" ca="1" si="220"/>
        <v>-1.3938894483089825E-8</v>
      </c>
      <c r="BZ229" s="493">
        <f t="shared" ca="1" si="220"/>
        <v>-5.3229157970235974E-8</v>
      </c>
      <c r="CA229" s="493">
        <f t="shared" ca="1" si="220"/>
        <v>-1.7913104954914161E-7</v>
      </c>
      <c r="CB229" s="493">
        <f t="shared" ca="1" si="220"/>
        <v>-5.4385201764262092E-7</v>
      </c>
      <c r="CD229" s="496">
        <v>51.960342968414665</v>
      </c>
      <c r="CE229" s="496">
        <v>51.970016255112782</v>
      </c>
      <c r="CF229" s="496">
        <v>51.310287400842277</v>
      </c>
      <c r="CG229" s="496">
        <v>50.909892137694207</v>
      </c>
      <c r="CH229" s="496">
        <v>50.864142313445484</v>
      </c>
      <c r="CI229" s="496">
        <v>50.970037291621829</v>
      </c>
      <c r="CJ229" s="496">
        <v>51.196877453468716</v>
      </c>
      <c r="CK229" s="496">
        <v>51.39343605825372</v>
      </c>
      <c r="CL229" s="496">
        <v>51.606908424595858</v>
      </c>
      <c r="CM229" s="496">
        <v>51.857140566967246</v>
      </c>
      <c r="CN229" s="496">
        <v>52.122824321343188</v>
      </c>
      <c r="CO229" s="496">
        <v>52.428193390569625</v>
      </c>
    </row>
    <row r="230" spans="1:93" s="493" customFormat="1" ht="15.75">
      <c r="A230" s="492" t="s">
        <v>83</v>
      </c>
      <c r="B230" s="492"/>
      <c r="C230" s="491" t="s">
        <v>1349</v>
      </c>
      <c r="D230" s="492"/>
      <c r="E230" s="492"/>
      <c r="F230" s="497">
        <f t="shared" ref="F230:BO230" si="226">100*(F25+F26+F27)/F235</f>
        <v>47.85172704296545</v>
      </c>
      <c r="G230" s="497">
        <f t="shared" si="226"/>
        <v>45.520581113801441</v>
      </c>
      <c r="H230" s="497">
        <f t="shared" si="226"/>
        <v>51.93715805592204</v>
      </c>
      <c r="I230" s="497">
        <f t="shared" si="226"/>
        <v>52.345311456332794</v>
      </c>
      <c r="J230" s="497">
        <f t="shared" si="226"/>
        <v>48.275438518142046</v>
      </c>
      <c r="K230" s="497">
        <f t="shared" si="226"/>
        <v>53.575077370681619</v>
      </c>
      <c r="L230" s="497">
        <f t="shared" si="226"/>
        <v>57.792447739386795</v>
      </c>
      <c r="M230" s="497">
        <f t="shared" si="226"/>
        <v>55.73509937230461</v>
      </c>
      <c r="N230" s="497">
        <f t="shared" si="226"/>
        <v>54.388066717862955</v>
      </c>
      <c r="O230" s="497">
        <f t="shared" si="226"/>
        <v>55.203181357703116</v>
      </c>
      <c r="P230" s="497">
        <f t="shared" si="226"/>
        <v>68.056979404271956</v>
      </c>
      <c r="Q230" s="497">
        <f t="shared" si="226"/>
        <v>68.305024042012761</v>
      </c>
      <c r="R230" s="497">
        <f t="shared" si="226"/>
        <v>53.770805328399021</v>
      </c>
      <c r="S230" s="497">
        <f t="shared" si="226"/>
        <v>51.990239043765946</v>
      </c>
      <c r="T230" s="497">
        <f t="shared" si="226"/>
        <v>47.154520599074701</v>
      </c>
      <c r="U230" s="497">
        <f t="shared" si="226"/>
        <v>50.042128833392468</v>
      </c>
      <c r="V230" s="497">
        <f t="shared" si="226"/>
        <v>51.031015126242423</v>
      </c>
      <c r="W230" s="497">
        <f t="shared" si="226"/>
        <v>51.725720751183026</v>
      </c>
      <c r="X230" s="497">
        <f t="shared" si="226"/>
        <v>53.888156480763627</v>
      </c>
      <c r="Y230" s="497">
        <f t="shared" si="226"/>
        <v>54.806696461573054</v>
      </c>
      <c r="Z230" s="497">
        <f t="shared" si="226"/>
        <v>69.124929210672391</v>
      </c>
      <c r="AA230" s="497">
        <f t="shared" si="226"/>
        <v>66.279877378357639</v>
      </c>
      <c r="AB230" s="497">
        <f t="shared" si="226"/>
        <v>63.274872021369234</v>
      </c>
      <c r="AC230" s="497">
        <f t="shared" si="226"/>
        <v>67.177560644475449</v>
      </c>
      <c r="AD230" s="497">
        <f t="shared" si="226"/>
        <v>60.551465746385645</v>
      </c>
      <c r="AE230" s="497">
        <f t="shared" si="226"/>
        <v>59.214730661104099</v>
      </c>
      <c r="AF230" s="497">
        <f t="shared" si="226"/>
        <v>75.152589557466527</v>
      </c>
      <c r="AG230" s="497">
        <f t="shared" si="226"/>
        <v>69.800804547140416</v>
      </c>
      <c r="AH230" s="497">
        <f t="shared" si="226"/>
        <v>65.140252180132975</v>
      </c>
      <c r="AI230" s="497">
        <f t="shared" si="226"/>
        <v>56.803872765855694</v>
      </c>
      <c r="AJ230" s="497">
        <f t="shared" si="226"/>
        <v>51.972170077807775</v>
      </c>
      <c r="AK230" s="497">
        <f t="shared" si="226"/>
        <v>45.570448588197941</v>
      </c>
      <c r="AL230" s="497">
        <f t="shared" si="226"/>
        <v>48.920388552071614</v>
      </c>
      <c r="AM230" s="497">
        <f t="shared" si="226"/>
        <v>58.48338823466019</v>
      </c>
      <c r="AN230" s="497">
        <f t="shared" si="226"/>
        <v>61.26334381115069</v>
      </c>
      <c r="AO230" s="497">
        <f t="shared" si="226"/>
        <v>77.811649442259835</v>
      </c>
      <c r="AP230" s="497">
        <f t="shared" si="226"/>
        <v>78.950856659380946</v>
      </c>
      <c r="AQ230" s="497">
        <f t="shared" si="226"/>
        <v>95.804775354484107</v>
      </c>
      <c r="AR230" s="497">
        <f t="shared" si="226"/>
        <v>99.611756960223914</v>
      </c>
      <c r="AS230" s="497">
        <f t="shared" si="226"/>
        <v>161.57592719676785</v>
      </c>
      <c r="AT230" s="497">
        <f t="shared" si="226"/>
        <v>189.14917999920962</v>
      </c>
      <c r="AU230" s="497">
        <f t="shared" si="226"/>
        <v>112.17908367560273</v>
      </c>
      <c r="AV230" s="497">
        <f t="shared" si="226"/>
        <v>91.910713452791569</v>
      </c>
      <c r="AW230" s="497">
        <f t="shared" si="226"/>
        <v>66.807711828310886</v>
      </c>
      <c r="AX230" s="497">
        <f t="shared" si="226"/>
        <v>48.285650943756465</v>
      </c>
      <c r="AY230" s="497">
        <f t="shared" si="226"/>
        <v>52.291449249036923</v>
      </c>
      <c r="AZ230" s="497">
        <f t="shared" si="226"/>
        <v>55.690443829525201</v>
      </c>
      <c r="BA230" s="497">
        <f t="shared" si="226"/>
        <v>66.457033520664652</v>
      </c>
      <c r="BB230" s="497">
        <f t="shared" si="226"/>
        <v>46.229165383657509</v>
      </c>
      <c r="BC230" s="497">
        <f t="shared" ca="1" si="226"/>
        <v>53.144431586548279</v>
      </c>
      <c r="BD230" s="497">
        <f t="shared" ca="1" si="226"/>
        <v>59.945620163527487</v>
      </c>
      <c r="BE230" s="497">
        <f t="shared" ca="1" si="226"/>
        <v>61.783663590308102</v>
      </c>
      <c r="BF230" s="497">
        <f t="shared" ca="1" si="226"/>
        <v>62.628354746973528</v>
      </c>
      <c r="BG230" s="497">
        <f t="shared" ca="1" si="226"/>
        <v>63.230945569383174</v>
      </c>
      <c r="BH230" s="497">
        <f t="shared" ca="1" si="226"/>
        <v>63.975447343458939</v>
      </c>
      <c r="BI230" s="497">
        <f t="shared" ca="1" si="226"/>
        <v>64.722068991079155</v>
      </c>
      <c r="BJ230" s="497">
        <f t="shared" ca="1" si="226"/>
        <v>65.499761727559743</v>
      </c>
      <c r="BK230" s="497">
        <f t="shared" ca="1" si="226"/>
        <v>66.234767471311173</v>
      </c>
      <c r="BL230" s="497">
        <f t="shared" ca="1" si="226"/>
        <v>67.004812500634046</v>
      </c>
      <c r="BM230" s="497">
        <f t="shared" ca="1" si="226"/>
        <v>67.80839467591808</v>
      </c>
      <c r="BN230" s="497">
        <f t="shared" ca="1" si="226"/>
        <v>68.622442862739263</v>
      </c>
      <c r="BO230" s="497">
        <f t="shared" ca="1" si="226"/>
        <v>69.466769378108836</v>
      </c>
      <c r="BP230" s="498"/>
      <c r="BQ230" s="493">
        <f t="shared" ca="1" si="220"/>
        <v>0</v>
      </c>
      <c r="BR230" s="493">
        <f t="shared" ca="1" si="220"/>
        <v>0</v>
      </c>
      <c r="BS230" s="493">
        <f t="shared" ca="1" si="220"/>
        <v>-9.2370555648813024E-14</v>
      </c>
      <c r="BT230" s="493">
        <f t="shared" ca="1" si="220"/>
        <v>-1.7053025658242404E-12</v>
      </c>
      <c r="BU230" s="493">
        <f t="shared" ca="1" si="220"/>
        <v>-1.7855938949651318E-11</v>
      </c>
      <c r="BV230" s="493">
        <f t="shared" ca="1" si="220"/>
        <v>-1.4566126083082054E-10</v>
      </c>
      <c r="BW230" s="493">
        <f t="shared" ca="1" si="220"/>
        <v>-9.3874064077681396E-10</v>
      </c>
      <c r="BX230" s="493">
        <f t="shared" ca="1" si="220"/>
        <v>-4.9483617203804897E-9</v>
      </c>
      <c r="BY230" s="493">
        <f t="shared" ca="1" si="220"/>
        <v>-2.2014503997525026E-8</v>
      </c>
      <c r="BZ230" s="493">
        <f t="shared" ca="1" si="220"/>
        <v>-8.4785611420556961E-8</v>
      </c>
      <c r="CA230" s="493">
        <f t="shared" ca="1" si="220"/>
        <v>-2.8769618154456111E-7</v>
      </c>
      <c r="CB230" s="493">
        <f t="shared" ca="1" si="220"/>
        <v>-8.80340550679648E-7</v>
      </c>
      <c r="CD230" s="496">
        <v>59.945620163527487</v>
      </c>
      <c r="CE230" s="496">
        <v>61.783663590308102</v>
      </c>
      <c r="CF230" s="496">
        <v>62.628354746973621</v>
      </c>
      <c r="CG230" s="496">
        <v>63.230945569384879</v>
      </c>
      <c r="CH230" s="496">
        <v>63.975447343476795</v>
      </c>
      <c r="CI230" s="496">
        <v>64.722068991224816</v>
      </c>
      <c r="CJ230" s="496">
        <v>65.499761728498484</v>
      </c>
      <c r="CK230" s="496">
        <v>66.234767476259535</v>
      </c>
      <c r="CL230" s="496">
        <v>67.00481252264855</v>
      </c>
      <c r="CM230" s="496">
        <v>67.808394760703692</v>
      </c>
      <c r="CN230" s="496">
        <v>68.622443150435444</v>
      </c>
      <c r="CO230" s="496">
        <v>69.466770258449387</v>
      </c>
    </row>
    <row r="231" spans="1:93" s="493" customFormat="1" ht="15.75">
      <c r="A231" s="492"/>
      <c r="B231" s="492"/>
      <c r="C231" s="491"/>
      <c r="D231" s="492"/>
      <c r="E231" s="492"/>
      <c r="F231" s="497"/>
      <c r="G231" s="497"/>
      <c r="H231" s="497"/>
      <c r="I231" s="497"/>
      <c r="J231" s="497"/>
      <c r="K231" s="497"/>
      <c r="L231" s="497"/>
      <c r="M231" s="497"/>
      <c r="N231" s="497"/>
      <c r="O231" s="497"/>
      <c r="P231" s="497"/>
      <c r="Q231" s="497"/>
      <c r="R231" s="497"/>
      <c r="S231" s="497"/>
      <c r="T231" s="497"/>
      <c r="U231" s="497"/>
      <c r="V231" s="497"/>
      <c r="W231" s="497"/>
      <c r="X231" s="497"/>
      <c r="Y231" s="497"/>
      <c r="Z231" s="497"/>
      <c r="AA231" s="497"/>
      <c r="AB231" s="497"/>
      <c r="AC231" s="497"/>
      <c r="AD231" s="497"/>
      <c r="AE231" s="497"/>
      <c r="AF231" s="497"/>
      <c r="AG231" s="497"/>
      <c r="AH231" s="497"/>
      <c r="AI231" s="497"/>
      <c r="AJ231" s="497"/>
      <c r="AK231" s="497"/>
      <c r="AL231" s="497"/>
      <c r="AM231" s="497"/>
      <c r="AN231" s="497"/>
      <c r="AO231" s="497"/>
      <c r="AP231" s="497"/>
      <c r="AQ231" s="497"/>
      <c r="AR231" s="497"/>
      <c r="AS231" s="497"/>
      <c r="AT231" s="497"/>
      <c r="AU231" s="497"/>
      <c r="AV231" s="497"/>
      <c r="AW231" s="497"/>
      <c r="AX231" s="497"/>
      <c r="AY231" s="497"/>
      <c r="AZ231" s="497"/>
      <c r="BA231" s="497"/>
      <c r="BB231" s="497"/>
      <c r="BC231" s="497"/>
      <c r="BD231" s="497"/>
      <c r="BE231" s="497"/>
      <c r="BF231" s="497"/>
      <c r="BG231" s="497"/>
      <c r="BH231" s="497"/>
      <c r="BI231" s="497"/>
      <c r="BJ231" s="497"/>
      <c r="BK231" s="497"/>
      <c r="BL231" s="497"/>
      <c r="BM231" s="497"/>
      <c r="BN231" s="497"/>
      <c r="BO231" s="497"/>
      <c r="BP231" s="501"/>
      <c r="CD231" s="496"/>
      <c r="CE231" s="496"/>
      <c r="CF231" s="496"/>
      <c r="CG231" s="496"/>
      <c r="CH231" s="496"/>
      <c r="CI231" s="496"/>
      <c r="CJ231" s="496"/>
      <c r="CK231" s="496"/>
      <c r="CL231" s="496"/>
      <c r="CM231" s="496"/>
      <c r="CN231" s="496"/>
      <c r="CO231" s="496"/>
    </row>
    <row r="232" spans="1:93" s="493" customFormat="1" ht="15.75">
      <c r="A232" s="490" t="s">
        <v>84</v>
      </c>
      <c r="B232" s="490"/>
      <c r="C232" s="502"/>
      <c r="E232" s="494"/>
      <c r="AV232" s="494"/>
      <c r="AW232" s="494"/>
      <c r="AZ232" s="494"/>
      <c r="BA232" s="494"/>
      <c r="BB232" s="494"/>
      <c r="BC232" s="494"/>
      <c r="BD232" s="494"/>
      <c r="BE232" s="494"/>
      <c r="BF232" s="494"/>
      <c r="BG232" s="494"/>
      <c r="BH232" s="494"/>
      <c r="BI232" s="494"/>
      <c r="BJ232" s="494"/>
      <c r="BK232" s="494"/>
      <c r="BL232" s="494"/>
      <c r="BM232" s="494"/>
      <c r="BN232" s="494"/>
      <c r="BO232" s="494"/>
      <c r="BP232" s="494"/>
      <c r="CD232" s="496"/>
      <c r="CE232" s="496"/>
      <c r="CF232" s="496"/>
      <c r="CG232" s="496"/>
      <c r="CH232" s="496"/>
      <c r="CI232" s="496"/>
      <c r="CJ232" s="496"/>
      <c r="CK232" s="496"/>
      <c r="CL232" s="496"/>
      <c r="CM232" s="496"/>
      <c r="CN232" s="496"/>
      <c r="CO232" s="496"/>
    </row>
    <row r="233" spans="1:93">
      <c r="A233" s="447" t="s">
        <v>85</v>
      </c>
      <c r="B233" s="447"/>
      <c r="C233" s="442" t="s">
        <v>2806</v>
      </c>
      <c r="D233" s="447"/>
      <c r="E233" s="436"/>
      <c r="AV233" s="438"/>
      <c r="AW233" s="438"/>
      <c r="AX233" s="438">
        <f t="shared" ref="AX233:BO233" si="227">AX178+AX171</f>
        <v>-43.133999999999986</v>
      </c>
      <c r="AY233" s="438">
        <f t="shared" si="227"/>
        <v>-67.546999999999997</v>
      </c>
      <c r="AZ233" s="438">
        <f t="shared" si="227"/>
        <v>-151.67000000000002</v>
      </c>
      <c r="BA233" s="438">
        <f t="shared" si="227"/>
        <v>22.688999999999965</v>
      </c>
      <c r="BB233" s="438">
        <f t="shared" si="227"/>
        <v>-142.78100000000012</v>
      </c>
      <c r="BC233" s="438">
        <f t="shared" ca="1" si="227"/>
        <v>30.677913631594663</v>
      </c>
      <c r="BD233" s="438">
        <f t="shared" ca="1" si="227"/>
        <v>61.816150295063352</v>
      </c>
      <c r="BE233" s="438">
        <f t="shared" ca="1" si="227"/>
        <v>83.964672821766754</v>
      </c>
      <c r="BF233" s="438">
        <f t="shared" ca="1" si="227"/>
        <v>53.935160158785408</v>
      </c>
      <c r="BG233" s="438">
        <f t="shared" ca="1" si="227"/>
        <v>26.87523207901441</v>
      </c>
      <c r="BH233" s="438">
        <f t="shared" ca="1" si="227"/>
        <v>8.5998569417127726</v>
      </c>
      <c r="BI233" s="438">
        <f t="shared" ca="1" si="227"/>
        <v>-12.557096631022688</v>
      </c>
      <c r="BJ233" s="438">
        <f t="shared" ca="1" si="227"/>
        <v>-31.910223174408628</v>
      </c>
      <c r="BK233" s="438">
        <f t="shared" ca="1" si="227"/>
        <v>-60.145512202214519</v>
      </c>
      <c r="BL233" s="438">
        <f t="shared" ca="1" si="227"/>
        <v>-90.293552026269964</v>
      </c>
      <c r="BM233" s="438">
        <f t="shared" ca="1" si="227"/>
        <v>-122.89354612384082</v>
      </c>
      <c r="BN233" s="438">
        <f t="shared" ca="1" si="227"/>
        <v>-159.71015353957787</v>
      </c>
      <c r="BO233" s="438">
        <f t="shared" ca="1" si="227"/>
        <v>-202.20379985721596</v>
      </c>
      <c r="BP233" s="440"/>
      <c r="BQ233" s="448">
        <f t="shared" ref="BQ233:CB235" ca="1" si="228">+BD233-CD233</f>
        <v>0</v>
      </c>
      <c r="BR233" s="448">
        <f t="shared" ca="1" si="228"/>
        <v>0</v>
      </c>
      <c r="BS233" s="448">
        <f t="shared" ca="1" si="228"/>
        <v>-2.2737367544323206E-13</v>
      </c>
      <c r="BT233" s="448">
        <f t="shared" ca="1" si="228"/>
        <v>-3.4674485505092889E-12</v>
      </c>
      <c r="BU233" s="448">
        <f t="shared" ca="1" si="228"/>
        <v>-4.2916781239910051E-11</v>
      </c>
      <c r="BV233" s="448">
        <f t="shared" ca="1" si="228"/>
        <v>-4.1427483665756881E-10</v>
      </c>
      <c r="BW233" s="448">
        <f t="shared" ca="1" si="228"/>
        <v>-3.102343271166319E-9</v>
      </c>
      <c r="BX233" s="448">
        <f t="shared" ca="1" si="228"/>
        <v>-1.8829155123967212E-8</v>
      </c>
      <c r="BY233" s="448">
        <f t="shared" ca="1" si="228"/>
        <v>-9.5556117685191566E-8</v>
      </c>
      <c r="BZ233" s="448">
        <f t="shared" ca="1" si="228"/>
        <v>-4.1539624362485483E-7</v>
      </c>
      <c r="CA233" s="448">
        <f t="shared" ca="1" si="228"/>
        <v>-1.5777289377183479E-6</v>
      </c>
      <c r="CB233" s="448">
        <f t="shared" ca="1" si="228"/>
        <v>-5.3425861779032857E-6</v>
      </c>
      <c r="CD233" s="439">
        <v>61.816150295063352</v>
      </c>
      <c r="CE233" s="439">
        <v>83.964672821766754</v>
      </c>
      <c r="CF233" s="439">
        <v>53.935160158785635</v>
      </c>
      <c r="CG233" s="439">
        <v>26.875232079017877</v>
      </c>
      <c r="CH233" s="439">
        <v>8.5998569417556894</v>
      </c>
      <c r="CI233" s="439">
        <v>-12.557096630608413</v>
      </c>
      <c r="CJ233" s="439">
        <v>-31.910223171306285</v>
      </c>
      <c r="CK233" s="439">
        <v>-60.145512183385364</v>
      </c>
      <c r="CL233" s="439">
        <v>-90.293551930713846</v>
      </c>
      <c r="CM233" s="439">
        <v>-122.89354570844458</v>
      </c>
      <c r="CN233" s="439">
        <v>-159.71015196184894</v>
      </c>
      <c r="CO233" s="439">
        <v>-202.20379451462978</v>
      </c>
    </row>
    <row r="234" spans="1:93">
      <c r="A234" s="448" t="s">
        <v>86</v>
      </c>
      <c r="C234" s="442" t="s">
        <v>2806</v>
      </c>
      <c r="D234" s="447"/>
      <c r="E234" s="438" t="s">
        <v>87</v>
      </c>
      <c r="F234" s="477"/>
      <c r="G234" s="456">
        <f t="shared" ref="G234:BO234" si="229">G19+G20+G21+G22+G44-G25-G26-G27-G28-G29-G30-G58</f>
        <v>-1.4999999999999927E-3</v>
      </c>
      <c r="H234" s="456">
        <f t="shared" si="229"/>
        <v>-1.0449336200952522E-2</v>
      </c>
      <c r="I234" s="456">
        <f t="shared" si="229"/>
        <v>-1.3659332871437073E-2</v>
      </c>
      <c r="J234" s="456">
        <f t="shared" si="229"/>
        <v>-1.5412008464336392E-2</v>
      </c>
      <c r="K234" s="456">
        <f t="shared" si="229"/>
        <v>-3.0365903556346892E-2</v>
      </c>
      <c r="L234" s="456">
        <f t="shared" si="229"/>
        <v>-4.4132147431373593E-2</v>
      </c>
      <c r="M234" s="456">
        <f t="shared" si="229"/>
        <v>-4.8492728054523461E-2</v>
      </c>
      <c r="N234" s="456">
        <f t="shared" si="229"/>
        <v>-5.2527533769607539E-2</v>
      </c>
      <c r="O234" s="456">
        <f t="shared" si="229"/>
        <v>-5.5376040369272239E-2</v>
      </c>
      <c r="P234" s="456">
        <f t="shared" si="229"/>
        <v>-9.6779330432415017E-2</v>
      </c>
      <c r="Q234" s="456">
        <f t="shared" si="229"/>
        <v>-9.9533997178077691E-2</v>
      </c>
      <c r="R234" s="456">
        <f t="shared" si="229"/>
        <v>-3.6612001657485981E-2</v>
      </c>
      <c r="S234" s="456">
        <f t="shared" si="229"/>
        <v>-3.7533997893333448E-2</v>
      </c>
      <c r="T234" s="456">
        <f t="shared" si="229"/>
        <v>-4.817500871419908E-2</v>
      </c>
      <c r="U234" s="456">
        <f t="shared" si="229"/>
        <v>-4.6040982067585029E-2</v>
      </c>
      <c r="V234" s="456">
        <f t="shared" si="229"/>
        <v>-4.3810997605323851E-2</v>
      </c>
      <c r="W234" s="456">
        <f t="shared" si="229"/>
        <v>-3.4549984395503969E-2</v>
      </c>
      <c r="X234" s="456">
        <f t="shared" si="229"/>
        <v>-3.0800000764429566E-2</v>
      </c>
      <c r="Y234" s="456">
        <f t="shared" si="229"/>
        <v>-5.5200013257563185E-2</v>
      </c>
      <c r="Z234" s="456">
        <f t="shared" si="229"/>
        <v>-5.1499978542327837E-2</v>
      </c>
      <c r="AA234" s="456">
        <f t="shared" si="229"/>
        <v>-8.8399962544441241E-2</v>
      </c>
      <c r="AB234" s="456">
        <f t="shared" si="229"/>
        <v>-8.5499996542930487E-2</v>
      </c>
      <c r="AC234" s="456">
        <f t="shared" si="229"/>
        <v>-0.21179996049404151</v>
      </c>
      <c r="AD234" s="456">
        <f t="shared" si="229"/>
        <v>-0.12319999909400935</v>
      </c>
      <c r="AE234" s="456">
        <f t="shared" si="229"/>
        <v>-6.760001623630521E-2</v>
      </c>
      <c r="AF234" s="456">
        <f t="shared" si="229"/>
        <v>-0.12620004916191102</v>
      </c>
      <c r="AG234" s="456">
        <f t="shared" si="229"/>
        <v>-0.21289999115467098</v>
      </c>
      <c r="AH234" s="456">
        <f t="shared" si="229"/>
        <v>-0.28549995166063319</v>
      </c>
      <c r="AI234" s="456">
        <f t="shared" si="229"/>
        <v>-0.27389999616146099</v>
      </c>
      <c r="AJ234" s="456">
        <f t="shared" si="229"/>
        <v>-0.13482503652572622</v>
      </c>
      <c r="AK234" s="456">
        <f t="shared" si="229"/>
        <v>-4.3900986194610567E-2</v>
      </c>
      <c r="AL234" s="456">
        <f t="shared" si="229"/>
        <v>-4.1779785379768147E-3</v>
      </c>
      <c r="AM234" s="456">
        <f t="shared" si="229"/>
        <v>0.17390003750473265</v>
      </c>
      <c r="AN234" s="456">
        <f t="shared" si="229"/>
        <v>0.25965003619343063</v>
      </c>
      <c r="AO234" s="456">
        <f t="shared" si="229"/>
        <v>3.2080003976822154E-2</v>
      </c>
      <c r="AP234" s="456">
        <f t="shared" si="229"/>
        <v>-3.2999999999998829E-3</v>
      </c>
      <c r="AQ234" s="456">
        <f t="shared" si="229"/>
        <v>-0.16969999999999941</v>
      </c>
      <c r="AR234" s="456">
        <f t="shared" si="229"/>
        <v>-4.4799999999999555E-2</v>
      </c>
      <c r="AS234" s="456">
        <f t="shared" si="229"/>
        <v>2.8863000000000039</v>
      </c>
      <c r="AT234" s="456">
        <f t="shared" si="229"/>
        <v>10.700199999999976</v>
      </c>
      <c r="AU234" s="456">
        <f t="shared" si="229"/>
        <v>26.996299999999991</v>
      </c>
      <c r="AV234" s="456">
        <f t="shared" si="229"/>
        <v>-31.256000000000011</v>
      </c>
      <c r="AW234" s="456">
        <f t="shared" si="229"/>
        <v>-26.998999999999995</v>
      </c>
      <c r="AX234" s="456">
        <f t="shared" si="229"/>
        <v>-61.2712</v>
      </c>
      <c r="AY234" s="456">
        <f t="shared" si="229"/>
        <v>-49.52260000000004</v>
      </c>
      <c r="AZ234" s="456">
        <f t="shared" si="229"/>
        <v>-75.175699999999992</v>
      </c>
      <c r="BA234" s="456">
        <f t="shared" si="229"/>
        <v>-265.67599999999999</v>
      </c>
      <c r="BB234" s="456">
        <f t="shared" si="229"/>
        <v>-375.50330000000008</v>
      </c>
      <c r="BC234" s="456">
        <f t="shared" ca="1" si="229"/>
        <v>-506.74352176982438</v>
      </c>
      <c r="BD234" s="456">
        <f t="shared" ca="1" si="229"/>
        <v>-465.85564773199212</v>
      </c>
      <c r="BE234" s="456">
        <f t="shared" ca="1" si="229"/>
        <v>-568.17063007580282</v>
      </c>
      <c r="BF234" s="456">
        <f t="shared" ca="1" si="229"/>
        <v>-646.01365380357822</v>
      </c>
      <c r="BG234" s="456">
        <f t="shared" ca="1" si="229"/>
        <v>-714.68409479376646</v>
      </c>
      <c r="BH234" s="456">
        <f t="shared" ca="1" si="229"/>
        <v>-778.64181272689189</v>
      </c>
      <c r="BI234" s="456">
        <f t="shared" ca="1" si="229"/>
        <v>-840.17243115222334</v>
      </c>
      <c r="BJ234" s="456">
        <f t="shared" ca="1" si="229"/>
        <v>-901.99621214187869</v>
      </c>
      <c r="BK234" s="456">
        <f t="shared" ca="1" si="229"/>
        <v>-970.32440789741349</v>
      </c>
      <c r="BL234" s="456">
        <f t="shared" ca="1" si="229"/>
        <v>-1046.6836807249656</v>
      </c>
      <c r="BM234" s="456">
        <f t="shared" ca="1" si="229"/>
        <v>-1129.530282984445</v>
      </c>
      <c r="BN234" s="456">
        <f t="shared" ca="1" si="229"/>
        <v>-1219.4316499636252</v>
      </c>
      <c r="BO234" s="456">
        <f t="shared" ca="1" si="229"/>
        <v>-1323.2613884805442</v>
      </c>
      <c r="BP234" s="457"/>
      <c r="BQ234" s="448">
        <f t="shared" ca="1" si="228"/>
        <v>0</v>
      </c>
      <c r="BR234" s="448">
        <f t="shared" ca="1" si="228"/>
        <v>0</v>
      </c>
      <c r="BS234" s="448">
        <f t="shared" ca="1" si="228"/>
        <v>0</v>
      </c>
      <c r="BT234" s="448">
        <f t="shared" ca="1" si="228"/>
        <v>1.602984411874786E-11</v>
      </c>
      <c r="BU234" s="448">
        <f t="shared" ca="1" si="228"/>
        <v>1.7178081179736182E-10</v>
      </c>
      <c r="BV234" s="448">
        <f t="shared" ca="1" si="228"/>
        <v>1.47804257721873E-9</v>
      </c>
      <c r="BW234" s="448">
        <f t="shared" ca="1" si="228"/>
        <v>1.001990312943235E-8</v>
      </c>
      <c r="BX234" s="448">
        <f t="shared" ca="1" si="228"/>
        <v>5.5684949984424748E-8</v>
      </c>
      <c r="BY234" s="448">
        <f t="shared" ca="1" si="228"/>
        <v>2.6139605324715376E-7</v>
      </c>
      <c r="BZ234" s="448">
        <f t="shared" ca="1" si="228"/>
        <v>1.0632807061483618E-6</v>
      </c>
      <c r="CA234" s="448">
        <f t="shared" ca="1" si="228"/>
        <v>3.814010369751486E-6</v>
      </c>
      <c r="CB234" s="448">
        <f t="shared" ca="1" si="228"/>
        <v>1.2267904821783304E-5</v>
      </c>
      <c r="CD234" s="439">
        <v>-465.85564773199212</v>
      </c>
      <c r="CE234" s="439">
        <v>-568.17063007580282</v>
      </c>
      <c r="CF234" s="439">
        <v>-646.01365380357879</v>
      </c>
      <c r="CG234" s="439">
        <v>-714.68409479378249</v>
      </c>
      <c r="CH234" s="439">
        <v>-778.64181272706367</v>
      </c>
      <c r="CI234" s="439">
        <v>-840.17243115370138</v>
      </c>
      <c r="CJ234" s="439">
        <v>-901.99621215189859</v>
      </c>
      <c r="CK234" s="439">
        <v>-970.32440795309844</v>
      </c>
      <c r="CL234" s="439">
        <v>-1046.6836809863617</v>
      </c>
      <c r="CM234" s="439">
        <v>-1129.5302840477257</v>
      </c>
      <c r="CN234" s="439">
        <v>-1219.4316537776356</v>
      </c>
      <c r="CO234" s="439">
        <v>-1323.261400748449</v>
      </c>
    </row>
    <row r="235" spans="1:93" s="493" customFormat="1" ht="15.75">
      <c r="A235" s="493" t="s">
        <v>2368</v>
      </c>
      <c r="C235" s="442" t="s">
        <v>2806</v>
      </c>
      <c r="E235" s="494"/>
      <c r="F235" s="494">
        <f t="shared" ref="F235:BO235" si="230">F11+F53+F52</f>
        <v>0.11870000000000001</v>
      </c>
      <c r="G235" s="494">
        <f t="shared" si="230"/>
        <v>0.1239</v>
      </c>
      <c r="H235" s="494">
        <f t="shared" si="230"/>
        <v>0.13400809955596923</v>
      </c>
      <c r="I235" s="494">
        <f t="shared" si="230"/>
        <v>0.15474164962768555</v>
      </c>
      <c r="J235" s="494">
        <f t="shared" si="230"/>
        <v>0.16447287178039552</v>
      </c>
      <c r="K235" s="494">
        <f t="shared" si="230"/>
        <v>0.18142763710021972</v>
      </c>
      <c r="L235" s="494">
        <f t="shared" si="230"/>
        <v>0.19691154479980469</v>
      </c>
      <c r="M235" s="494">
        <f t="shared" si="230"/>
        <v>0.20579491996765137</v>
      </c>
      <c r="N235" s="494">
        <f t="shared" si="230"/>
        <v>0.21659163475036622</v>
      </c>
      <c r="O235" s="494">
        <f t="shared" si="230"/>
        <v>0.23114610099792482</v>
      </c>
      <c r="P235" s="494">
        <f t="shared" si="230"/>
        <v>0.25419877243041994</v>
      </c>
      <c r="Q235" s="494">
        <f t="shared" si="230"/>
        <v>0.29119379806518553</v>
      </c>
      <c r="R235" s="494">
        <f t="shared" si="230"/>
        <v>0.36785761642456055</v>
      </c>
      <c r="S235" s="494">
        <f t="shared" si="230"/>
        <v>0.42681088638305664</v>
      </c>
      <c r="T235" s="494">
        <f t="shared" si="230"/>
        <v>0.46761159515380862</v>
      </c>
      <c r="U235" s="494">
        <f t="shared" si="230"/>
        <v>0.48838848876953128</v>
      </c>
      <c r="V235" s="494">
        <f t="shared" si="230"/>
        <v>0.51419711303710935</v>
      </c>
      <c r="W235" s="494">
        <f t="shared" si="230"/>
        <v>0.55852289581298831</v>
      </c>
      <c r="X235" s="494">
        <f t="shared" si="230"/>
        <v>0.58788430023193361</v>
      </c>
      <c r="Y235" s="494">
        <f t="shared" si="230"/>
        <v>0.63678352355957035</v>
      </c>
      <c r="Z235" s="494">
        <f t="shared" si="230"/>
        <v>0.77482901000976567</v>
      </c>
      <c r="AA235" s="494">
        <f t="shared" si="230"/>
        <v>0.93075002288818354</v>
      </c>
      <c r="AB235" s="494">
        <f t="shared" si="230"/>
        <v>1.0114600067138673</v>
      </c>
      <c r="AC235" s="494">
        <f t="shared" si="230"/>
        <v>1.282719955444336</v>
      </c>
      <c r="AD235" s="494">
        <f t="shared" si="230"/>
        <v>1.4709800415039063</v>
      </c>
      <c r="AE235" s="494">
        <f t="shared" si="230"/>
        <v>1.5653200073242188</v>
      </c>
      <c r="AF235" s="494">
        <f t="shared" si="230"/>
        <v>1.6023399963378906</v>
      </c>
      <c r="AG235" s="494">
        <f t="shared" si="230"/>
        <v>1.7982600402832032</v>
      </c>
      <c r="AH235" s="494">
        <f t="shared" si="230"/>
        <v>1.8487799987792968</v>
      </c>
      <c r="AI235" s="494">
        <f t="shared" si="230"/>
        <v>1.7868499755859375</v>
      </c>
      <c r="AJ235" s="494">
        <f t="shared" si="230"/>
        <v>1.7447799682617187</v>
      </c>
      <c r="AK235" s="494">
        <f t="shared" si="230"/>
        <v>1.741260040283203</v>
      </c>
      <c r="AL235" s="494">
        <f t="shared" si="230"/>
        <v>1.7904600219726563</v>
      </c>
      <c r="AM235" s="494">
        <f t="shared" si="230"/>
        <v>1.9715</v>
      </c>
      <c r="AN235" s="494">
        <f t="shared" si="230"/>
        <v>2.3374499511718749</v>
      </c>
      <c r="AO235" s="494">
        <f t="shared" si="230"/>
        <v>2.7554999999999996</v>
      </c>
      <c r="AP235" s="494">
        <f t="shared" si="230"/>
        <v>3.54575</v>
      </c>
      <c r="AQ235" s="494">
        <f t="shared" si="230"/>
        <v>4.1990599999999993</v>
      </c>
      <c r="AR235" s="494">
        <f t="shared" si="230"/>
        <v>5.4527699999999992</v>
      </c>
      <c r="AS235" s="494">
        <f t="shared" si="230"/>
        <v>12.28407</v>
      </c>
      <c r="AT235" s="494">
        <f t="shared" si="230"/>
        <v>48.333490000000005</v>
      </c>
      <c r="AU235" s="494">
        <f t="shared" si="230"/>
        <v>232.11736000000002</v>
      </c>
      <c r="AV235" s="494">
        <f t="shared" si="230"/>
        <v>304.00694000000004</v>
      </c>
      <c r="AW235" s="494">
        <f t="shared" si="230"/>
        <v>369.09691000000004</v>
      </c>
      <c r="AX235" s="494">
        <f t="shared" si="230"/>
        <v>470.59757000000002</v>
      </c>
      <c r="AY235" s="494">
        <f t="shared" si="230"/>
        <v>788.90030000000002</v>
      </c>
      <c r="AZ235" s="494">
        <f t="shared" si="230"/>
        <v>1167.633</v>
      </c>
      <c r="BA235" s="494">
        <f t="shared" si="230"/>
        <v>1663.5409999999999</v>
      </c>
      <c r="BB235" s="494">
        <f t="shared" si="230"/>
        <v>2581.8209999999999</v>
      </c>
      <c r="BC235" s="494">
        <f t="shared" si="230"/>
        <v>3389.2460000000001</v>
      </c>
      <c r="BD235" s="494">
        <f t="shared" si="230"/>
        <v>4107.317</v>
      </c>
      <c r="BE235" s="494">
        <f t="shared" ca="1" si="230"/>
        <v>4469.7836365310786</v>
      </c>
      <c r="BF235" s="494">
        <f t="shared" ca="1" si="230"/>
        <v>4756.4467327636439</v>
      </c>
      <c r="BG235" s="494">
        <f t="shared" ca="1" si="230"/>
        <v>5036.5440722240755</v>
      </c>
      <c r="BH235" s="494">
        <f t="shared" ca="1" si="230"/>
        <v>5296.2785801832733</v>
      </c>
      <c r="BI235" s="494">
        <f t="shared" ca="1" si="230"/>
        <v>5552.842120833795</v>
      </c>
      <c r="BJ235" s="494">
        <f t="shared" ca="1" si="230"/>
        <v>5808.106004150909</v>
      </c>
      <c r="BK235" s="494">
        <f t="shared" ca="1" si="230"/>
        <v>6078.8032077930166</v>
      </c>
      <c r="BL235" s="494">
        <f t="shared" ca="1" si="230"/>
        <v>6360.1246397463819</v>
      </c>
      <c r="BM235" s="494">
        <f t="shared" ca="1" si="230"/>
        <v>6649.8620308936615</v>
      </c>
      <c r="BN235" s="494">
        <f t="shared" ca="1" si="230"/>
        <v>6950.8992260238247</v>
      </c>
      <c r="BO235" s="494">
        <f t="shared" ca="1" si="230"/>
        <v>7260.2533108814951</v>
      </c>
      <c r="BP235" s="503"/>
      <c r="BQ235" s="493">
        <f t="shared" si="228"/>
        <v>0</v>
      </c>
      <c r="BR235" s="493">
        <f t="shared" ca="1" si="228"/>
        <v>0</v>
      </c>
      <c r="BS235" s="493">
        <f t="shared" ca="1" si="228"/>
        <v>-7.2759576141834259E-12</v>
      </c>
      <c r="BT235" s="493">
        <f t="shared" ca="1" si="228"/>
        <v>-8.0035533756017685E-11</v>
      </c>
      <c r="BU235" s="493">
        <f t="shared" ca="1" si="228"/>
        <v>-9.2677510110661387E-10</v>
      </c>
      <c r="BV235" s="493">
        <f t="shared" ca="1" si="228"/>
        <v>-7.9044184531085193E-9</v>
      </c>
      <c r="BW235" s="493">
        <f t="shared" ca="1" si="228"/>
        <v>-5.3219082474242896E-8</v>
      </c>
      <c r="BX235" s="493">
        <f t="shared" ca="1" si="228"/>
        <v>-2.9315197025425732E-7</v>
      </c>
      <c r="BY235" s="493">
        <f t="shared" ca="1" si="228"/>
        <v>-1.3617873264593072E-6</v>
      </c>
      <c r="BZ235" s="493">
        <f t="shared" ca="1" si="228"/>
        <v>-5.4695510698365979E-6</v>
      </c>
      <c r="CA235" s="493">
        <f t="shared" ca="1" si="228"/>
        <v>-1.9345970940776169E-5</v>
      </c>
      <c r="CB235" s="493">
        <f t="shared" ca="1" si="228"/>
        <v>-6.1630231357412413E-5</v>
      </c>
      <c r="CD235" s="496">
        <v>4107.317</v>
      </c>
      <c r="CE235" s="496">
        <v>4469.7836365310786</v>
      </c>
      <c r="CF235" s="496">
        <v>4756.4467327636512</v>
      </c>
      <c r="CG235" s="496">
        <v>5036.5440722241556</v>
      </c>
      <c r="CH235" s="496">
        <v>5296.2785801842001</v>
      </c>
      <c r="CI235" s="496">
        <v>5552.8421208416994</v>
      </c>
      <c r="CJ235" s="496">
        <v>5808.1060042041281</v>
      </c>
      <c r="CK235" s="496">
        <v>6078.8032080861685</v>
      </c>
      <c r="CL235" s="496">
        <v>6360.1246411081693</v>
      </c>
      <c r="CM235" s="496">
        <v>6649.8620363632126</v>
      </c>
      <c r="CN235" s="496">
        <v>6950.8992453697956</v>
      </c>
      <c r="CO235" s="496">
        <v>7260.2533725117264</v>
      </c>
    </row>
    <row r="236" spans="1:93" s="493" customFormat="1" ht="15.75">
      <c r="C236" s="502"/>
      <c r="BP236" s="494"/>
      <c r="CD236" s="496"/>
      <c r="CE236" s="496"/>
      <c r="CF236" s="496"/>
      <c r="CG236" s="496"/>
      <c r="CH236" s="496"/>
      <c r="CI236" s="496"/>
      <c r="CJ236" s="496"/>
      <c r="CK236" s="496"/>
      <c r="CL236" s="496"/>
      <c r="CM236" s="496"/>
      <c r="CN236" s="496"/>
      <c r="CO236" s="496"/>
    </row>
    <row r="237" spans="1:93" s="493" customFormat="1" ht="15.75">
      <c r="A237" s="493" t="s">
        <v>88</v>
      </c>
      <c r="C237" s="502" t="s">
        <v>1980</v>
      </c>
      <c r="E237" s="494"/>
      <c r="F237" s="494">
        <f t="shared" ref="F237:AY237" si="231">G237/(1+G211/100)</f>
        <v>1701.4514744678156</v>
      </c>
      <c r="G237" s="494">
        <f t="shared" si="231"/>
        <v>1730.9067781578437</v>
      </c>
      <c r="H237" s="494">
        <f t="shared" si="231"/>
        <v>1836.6903709295996</v>
      </c>
      <c r="I237" s="494">
        <f t="shared" si="231"/>
        <v>1790.1170912375849</v>
      </c>
      <c r="J237" s="494">
        <f t="shared" si="231"/>
        <v>1736.7782412727399</v>
      </c>
      <c r="K237" s="494">
        <f t="shared" si="231"/>
        <v>1849.7933631077617</v>
      </c>
      <c r="L237" s="494">
        <f t="shared" si="231"/>
        <v>1816.3851941567107</v>
      </c>
      <c r="M237" s="494">
        <f t="shared" si="231"/>
        <v>1814.6811753973552</v>
      </c>
      <c r="N237" s="494">
        <f t="shared" si="231"/>
        <v>1788.7156866382272</v>
      </c>
      <c r="O237" s="494">
        <f t="shared" si="231"/>
        <v>1915.1903039462948</v>
      </c>
      <c r="P237" s="494">
        <f t="shared" si="231"/>
        <v>2141.2075453167058</v>
      </c>
      <c r="Q237" s="494">
        <f t="shared" si="231"/>
        <v>2297.0698271425672</v>
      </c>
      <c r="R237" s="494">
        <f t="shared" si="231"/>
        <v>2565.5162537194124</v>
      </c>
      <c r="S237" s="494">
        <f t="shared" si="231"/>
        <v>2679.2584168203002</v>
      </c>
      <c r="T237" s="494">
        <f t="shared" si="231"/>
        <v>2722.0216475736629</v>
      </c>
      <c r="U237" s="494">
        <f t="shared" si="231"/>
        <v>2617.234025432268</v>
      </c>
      <c r="V237" s="494">
        <f t="shared" si="231"/>
        <v>2587.9873585425571</v>
      </c>
      <c r="W237" s="494">
        <f t="shared" si="231"/>
        <v>2872.6782427136113</v>
      </c>
      <c r="X237" s="494">
        <f t="shared" si="231"/>
        <v>2922.6442358301688</v>
      </c>
      <c r="Y237" s="494">
        <f t="shared" si="231"/>
        <v>3104.4373002079592</v>
      </c>
      <c r="Z237" s="494">
        <f t="shared" si="231"/>
        <v>3429.5252566469062</v>
      </c>
      <c r="AA237" s="494">
        <f t="shared" si="231"/>
        <v>3599.514884642037</v>
      </c>
      <c r="AB237" s="494">
        <f t="shared" si="231"/>
        <v>3483.9883730302004</v>
      </c>
      <c r="AC237" s="494">
        <f t="shared" si="231"/>
        <v>3722.964480501143</v>
      </c>
      <c r="AD237" s="494">
        <f t="shared" si="231"/>
        <v>3948.1410076564689</v>
      </c>
      <c r="AE237" s="494">
        <f t="shared" si="231"/>
        <v>4077.4861289390319</v>
      </c>
      <c r="AF237" s="494">
        <f t="shared" si="231"/>
        <v>4122.0001235582813</v>
      </c>
      <c r="AG237" s="494">
        <f t="shared" si="231"/>
        <v>4214.2072446621478</v>
      </c>
      <c r="AH237" s="494">
        <f t="shared" si="231"/>
        <v>4013.3760753018623</v>
      </c>
      <c r="AI237" s="494">
        <f t="shared" si="231"/>
        <v>3678.0919610983724</v>
      </c>
      <c r="AJ237" s="494">
        <f t="shared" si="231"/>
        <v>3340.5155743472001</v>
      </c>
      <c r="AK237" s="494">
        <f t="shared" si="231"/>
        <v>3315.8514884195165</v>
      </c>
      <c r="AL237" s="494">
        <f t="shared" si="231"/>
        <v>2589.974441761517</v>
      </c>
      <c r="AM237" s="494">
        <f t="shared" si="231"/>
        <v>2165.6399215733704</v>
      </c>
      <c r="AN237" s="494">
        <f t="shared" si="231"/>
        <v>2183.3103676291512</v>
      </c>
      <c r="AO237" s="494">
        <f t="shared" si="231"/>
        <v>2089.3728880136841</v>
      </c>
      <c r="AP237" s="494">
        <f t="shared" si="231"/>
        <v>2765.313010883388</v>
      </c>
      <c r="AQ237" s="494">
        <f t="shared" si="231"/>
        <v>3053.1013999455977</v>
      </c>
      <c r="AR237" s="494">
        <f t="shared" si="231"/>
        <v>2861.5982932186812</v>
      </c>
      <c r="AS237" s="494">
        <f t="shared" si="231"/>
        <v>2348.6087346216609</v>
      </c>
      <c r="AT237" s="494">
        <f t="shared" si="231"/>
        <v>2099.975299271623</v>
      </c>
      <c r="AU237" s="494">
        <f t="shared" si="231"/>
        <v>1827.0301187021405</v>
      </c>
      <c r="AV237" s="494">
        <f t="shared" si="231"/>
        <v>2353.4705031289786</v>
      </c>
      <c r="AW237" s="494">
        <f t="shared" si="231"/>
        <v>2402.5443310813348</v>
      </c>
      <c r="AX237" s="494">
        <f t="shared" si="231"/>
        <v>2481.7083567757195</v>
      </c>
      <c r="AY237" s="494">
        <f t="shared" si="231"/>
        <v>2170.0332568751214</v>
      </c>
      <c r="AZ237" s="504">
        <f>((1000*AZ235/AZ92)/$AZ99)/(AZ135/$AZ135)</f>
        <v>1886.7738852666416</v>
      </c>
      <c r="BA237" s="494">
        <f t="shared" ref="BA237:BO237" si="232">AZ237*(1+BA211/100)</f>
        <v>1970.7658242311288</v>
      </c>
      <c r="BB237" s="494">
        <f t="shared" si="232"/>
        <v>3027.3710699690878</v>
      </c>
      <c r="BC237" s="494">
        <f t="shared" ca="1" si="232"/>
        <v>3171.8294459806853</v>
      </c>
      <c r="BD237" s="494">
        <f t="shared" ca="1" si="232"/>
        <v>3354.4362088969174</v>
      </c>
      <c r="BE237" s="494">
        <f t="shared" ca="1" si="232"/>
        <v>3359.8662230526497</v>
      </c>
      <c r="BF237" s="494">
        <f t="shared" ca="1" si="232"/>
        <v>3351.841725454216</v>
      </c>
      <c r="BG237" s="494">
        <f t="shared" ca="1" si="232"/>
        <v>3359.920420527742</v>
      </c>
      <c r="BH237" s="494">
        <f t="shared" ca="1" si="232"/>
        <v>3360.9824105606708</v>
      </c>
      <c r="BI237" s="494">
        <f t="shared" ca="1" si="232"/>
        <v>3360.4716319774116</v>
      </c>
      <c r="BJ237" s="494">
        <f t="shared" ca="1" si="232"/>
        <v>3356.3739541401055</v>
      </c>
      <c r="BK237" s="494">
        <f t="shared" ca="1" si="232"/>
        <v>3356.2908760648393</v>
      </c>
      <c r="BL237" s="494">
        <f t="shared" ca="1" si="232"/>
        <v>3355.8210299071629</v>
      </c>
      <c r="BM237" s="494">
        <f t="shared" ca="1" si="232"/>
        <v>3353.2759108807877</v>
      </c>
      <c r="BN237" s="494">
        <f t="shared" ca="1" si="232"/>
        <v>3349.8715519399475</v>
      </c>
      <c r="BO237" s="494">
        <f t="shared" ca="1" si="232"/>
        <v>3344.0111194892902</v>
      </c>
      <c r="BP237" s="503"/>
      <c r="BQ237" s="493">
        <f t="shared" ref="BQ237:CB237" ca="1" si="233">+BD237-CD237</f>
        <v>0</v>
      </c>
      <c r="BR237" s="493">
        <f t="shared" ca="1" si="233"/>
        <v>0</v>
      </c>
      <c r="BS237" s="493">
        <f t="shared" ca="1" si="233"/>
        <v>0</v>
      </c>
      <c r="BT237" s="493">
        <f t="shared" ca="1" si="233"/>
        <v>3.5470293369144201E-11</v>
      </c>
      <c r="BU237" s="493">
        <f t="shared" ca="1" si="233"/>
        <v>3.7425706977955997E-10</v>
      </c>
      <c r="BV237" s="493">
        <f t="shared" ca="1" si="233"/>
        <v>3.3355718187522143E-9</v>
      </c>
      <c r="BW237" s="493">
        <f t="shared" ca="1" si="233"/>
        <v>2.3817847250029445E-8</v>
      </c>
      <c r="BX237" s="493">
        <f t="shared" ca="1" si="233"/>
        <v>1.3984072211314924E-7</v>
      </c>
      <c r="BY237" s="493">
        <f t="shared" ca="1" si="233"/>
        <v>6.9240422817529179E-7</v>
      </c>
      <c r="BZ237" s="493">
        <f t="shared" ca="1" si="233"/>
        <v>2.9585557967948262E-6</v>
      </c>
      <c r="CA237" s="493">
        <f t="shared" ca="1" si="233"/>
        <v>1.1115840152342571E-5</v>
      </c>
      <c r="CB237" s="493">
        <f t="shared" ca="1" si="233"/>
        <v>3.7377903936430812E-5</v>
      </c>
      <c r="CD237" s="496">
        <v>3354.4362088969174</v>
      </c>
      <c r="CE237" s="496">
        <v>3359.8662230526497</v>
      </c>
      <c r="CF237" s="496">
        <v>3351.8417254542137</v>
      </c>
      <c r="CG237" s="496">
        <v>3359.9204205277065</v>
      </c>
      <c r="CH237" s="496">
        <v>3360.9824105602966</v>
      </c>
      <c r="CI237" s="496">
        <v>3360.471631974076</v>
      </c>
      <c r="CJ237" s="496">
        <v>3356.3739541162877</v>
      </c>
      <c r="CK237" s="496">
        <v>3356.2908759249985</v>
      </c>
      <c r="CL237" s="496">
        <v>3355.8210292147587</v>
      </c>
      <c r="CM237" s="496">
        <v>3353.2759079222319</v>
      </c>
      <c r="CN237" s="496">
        <v>3349.8715408241073</v>
      </c>
      <c r="CO237" s="496">
        <v>3344.0110821113863</v>
      </c>
    </row>
    <row r="238" spans="1:93" s="493" customFormat="1" ht="15.75">
      <c r="C238" s="502"/>
      <c r="BA238" s="494"/>
      <c r="BB238" s="494"/>
      <c r="BC238" s="494"/>
      <c r="BD238" s="494"/>
      <c r="BE238" s="494"/>
      <c r="BF238" s="494"/>
      <c r="BG238" s="494"/>
      <c r="BH238" s="494"/>
      <c r="BI238" s="494"/>
      <c r="BJ238" s="494"/>
      <c r="BK238" s="494"/>
      <c r="BL238" s="494"/>
      <c r="BM238" s="494"/>
      <c r="BN238" s="494"/>
      <c r="BO238" s="494"/>
      <c r="BP238" s="494"/>
      <c r="CD238" s="496"/>
      <c r="CE238" s="496"/>
      <c r="CF238" s="496"/>
      <c r="CG238" s="496"/>
      <c r="CH238" s="496"/>
      <c r="CI238" s="496"/>
      <c r="CJ238" s="496"/>
      <c r="CK238" s="496"/>
      <c r="CL238" s="496"/>
      <c r="CM238" s="496"/>
      <c r="CN238" s="496"/>
      <c r="CO238" s="496"/>
    </row>
    <row r="239" spans="1:93" s="493" customFormat="1" ht="15.75">
      <c r="A239" s="493" t="s">
        <v>89</v>
      </c>
      <c r="C239" s="502"/>
      <c r="BA239" s="494"/>
      <c r="BB239" s="494"/>
      <c r="BC239" s="494"/>
      <c r="BD239" s="494"/>
      <c r="BE239" s="494"/>
      <c r="BF239" s="494"/>
      <c r="BG239" s="494"/>
      <c r="BH239" s="494"/>
      <c r="BI239" s="494"/>
      <c r="BJ239" s="494"/>
      <c r="BK239" s="494"/>
      <c r="BL239" s="494"/>
      <c r="BM239" s="494"/>
      <c r="BN239" s="494"/>
      <c r="BO239" s="494"/>
      <c r="BP239" s="494"/>
      <c r="CD239" s="496"/>
      <c r="CE239" s="496"/>
      <c r="CF239" s="496"/>
      <c r="CG239" s="496"/>
      <c r="CH239" s="496"/>
      <c r="CI239" s="496"/>
      <c r="CJ239" s="496"/>
      <c r="CK239" s="496"/>
      <c r="CL239" s="496"/>
      <c r="CM239" s="496"/>
      <c r="CN239" s="496"/>
      <c r="CO239" s="496"/>
    </row>
    <row r="240" spans="1:93" s="493" customFormat="1" ht="15.75">
      <c r="A240" s="459" t="s">
        <v>889</v>
      </c>
      <c r="B240" s="459"/>
      <c r="C240" s="442" t="s">
        <v>1344</v>
      </c>
      <c r="E240" s="494"/>
      <c r="AV240" s="494"/>
      <c r="AW240" s="494"/>
      <c r="AZ240" s="494"/>
      <c r="BA240" s="494"/>
      <c r="BB240" s="494"/>
      <c r="BC240" s="494"/>
      <c r="BD240" s="494"/>
      <c r="BE240" s="494"/>
      <c r="BF240" s="494"/>
      <c r="BG240" s="494"/>
      <c r="BH240" s="494"/>
      <c r="BI240" s="494"/>
      <c r="BJ240" s="494"/>
      <c r="BK240" s="494"/>
      <c r="BL240" s="494"/>
      <c r="BM240" s="494"/>
      <c r="BN240" s="494"/>
      <c r="BO240" s="494"/>
      <c r="BP240" s="494"/>
      <c r="CD240" s="496"/>
      <c r="CE240" s="496"/>
      <c r="CF240" s="496"/>
      <c r="CG240" s="496"/>
      <c r="CH240" s="496"/>
      <c r="CI240" s="496"/>
      <c r="CJ240" s="496"/>
      <c r="CK240" s="496"/>
      <c r="CL240" s="496"/>
      <c r="CM240" s="496"/>
      <c r="CN240" s="496"/>
      <c r="CO240" s="496"/>
    </row>
    <row r="241" spans="1:93" s="493" customFormat="1" ht="15.75">
      <c r="A241" s="447" t="s">
        <v>890</v>
      </c>
      <c r="B241" s="447"/>
      <c r="C241" s="442" t="s">
        <v>39</v>
      </c>
      <c r="E241" s="494"/>
      <c r="F241" s="494">
        <f t="shared" ref="F241:AK241" si="234">F19/F$99</f>
        <v>33.050397877984082</v>
      </c>
      <c r="G241" s="494">
        <f t="shared" si="234"/>
        <v>30.50397877984085</v>
      </c>
      <c r="H241" s="494">
        <f t="shared" si="234"/>
        <v>36.870026525198945</v>
      </c>
      <c r="I241" s="494">
        <f t="shared" si="234"/>
        <v>41.379310344827587</v>
      </c>
      <c r="J241" s="494">
        <f t="shared" si="234"/>
        <v>38.779840039321535</v>
      </c>
      <c r="K241" s="494">
        <f t="shared" si="234"/>
        <v>47.745358090185675</v>
      </c>
      <c r="L241" s="494">
        <f t="shared" si="234"/>
        <v>52.042439508817559</v>
      </c>
      <c r="M241" s="494">
        <f t="shared" si="234"/>
        <v>50.079576406301811</v>
      </c>
      <c r="N241" s="494">
        <f t="shared" si="234"/>
        <v>50.557030796688494</v>
      </c>
      <c r="O241" s="494">
        <f t="shared" si="234"/>
        <v>55.437665782493369</v>
      </c>
      <c r="P241" s="494">
        <f t="shared" si="234"/>
        <v>57.718834510216347</v>
      </c>
      <c r="Q241" s="494">
        <f t="shared" si="234"/>
        <v>70.1326243757253</v>
      </c>
      <c r="R241" s="494">
        <f t="shared" si="234"/>
        <v>103.71352785145889</v>
      </c>
      <c r="S241" s="494">
        <f t="shared" si="234"/>
        <v>118.72679206989805</v>
      </c>
      <c r="T241" s="494">
        <f t="shared" si="234"/>
        <v>130.0795739778473</v>
      </c>
      <c r="U241" s="494">
        <f t="shared" si="234"/>
        <v>148.38196934060011</v>
      </c>
      <c r="V241" s="494">
        <f t="shared" si="234"/>
        <v>155.7559714077006</v>
      </c>
      <c r="W241" s="494">
        <f t="shared" si="234"/>
        <v>180.42440642096321</v>
      </c>
      <c r="X241" s="494">
        <f t="shared" si="234"/>
        <v>204.03362028405112</v>
      </c>
      <c r="Y241" s="494">
        <f t="shared" si="234"/>
        <v>201.9607843137255</v>
      </c>
      <c r="Z241" s="494">
        <f t="shared" si="234"/>
        <v>304.42578398546925</v>
      </c>
      <c r="AA241" s="494">
        <f t="shared" si="234"/>
        <v>323.64146342130607</v>
      </c>
      <c r="AB241" s="494">
        <f t="shared" si="234"/>
        <v>346.16247866334038</v>
      </c>
      <c r="AC241" s="494">
        <f t="shared" si="234"/>
        <v>396.19048302914916</v>
      </c>
      <c r="AD241" s="494">
        <f t="shared" si="234"/>
        <v>455.7983056503852</v>
      </c>
      <c r="AE241" s="494">
        <f t="shared" si="234"/>
        <v>513.55742980786067</v>
      </c>
      <c r="AF241" s="494">
        <f t="shared" si="234"/>
        <v>612.99717152485994</v>
      </c>
      <c r="AG241" s="494">
        <f t="shared" si="234"/>
        <v>565.71427887561276</v>
      </c>
      <c r="AH241" s="494">
        <f t="shared" si="234"/>
        <v>509.52380952380952</v>
      </c>
      <c r="AI241" s="494">
        <f t="shared" si="234"/>
        <v>433.78150576636904</v>
      </c>
      <c r="AJ241" s="494">
        <f t="shared" si="234"/>
        <v>426.10642889968489</v>
      </c>
      <c r="AK241" s="494">
        <f t="shared" si="234"/>
        <v>376.13446745885858</v>
      </c>
      <c r="AL241" s="494">
        <f t="shared" ref="AL241:BO241" si="235">AL19/AL$99</f>
        <v>357.81513288909315</v>
      </c>
      <c r="AM241" s="494">
        <f t="shared" si="235"/>
        <v>388.34734577424717</v>
      </c>
      <c r="AN241" s="494">
        <f t="shared" si="235"/>
        <v>432.04482476584388</v>
      </c>
      <c r="AO241" s="494">
        <f t="shared" si="235"/>
        <v>563.02521008403357</v>
      </c>
      <c r="AP241" s="494">
        <f t="shared" si="235"/>
        <v>486.61064425770314</v>
      </c>
      <c r="AQ241" s="494">
        <f t="shared" si="235"/>
        <v>368.23529411764707</v>
      </c>
      <c r="AR241" s="494">
        <f t="shared" si="235"/>
        <v>363.64145658263305</v>
      </c>
      <c r="AS241" s="494">
        <f t="shared" si="235"/>
        <v>8324.9859943977608</v>
      </c>
      <c r="AT241" s="494">
        <f t="shared" si="235"/>
        <v>42387.95518207283</v>
      </c>
      <c r="AU241" s="494">
        <f t="shared" si="235"/>
        <v>519.87403572763628</v>
      </c>
      <c r="AV241" s="494">
        <f t="shared" si="235"/>
        <v>481.77658712852781</v>
      </c>
      <c r="AW241" s="494">
        <f t="shared" si="235"/>
        <v>487.15386533665833</v>
      </c>
      <c r="AX241" s="494">
        <f t="shared" si="235"/>
        <v>416.56508728179546</v>
      </c>
      <c r="AY241" s="494">
        <f t="shared" si="235"/>
        <v>423.53622514245836</v>
      </c>
      <c r="AZ241" s="494">
        <f t="shared" si="235"/>
        <v>483.31395611852525</v>
      </c>
      <c r="BA241" s="494">
        <f t="shared" si="235"/>
        <v>492.90612806977276</v>
      </c>
      <c r="BB241" s="494">
        <f t="shared" si="235"/>
        <v>400.78406306594223</v>
      </c>
      <c r="BC241" s="494">
        <f t="shared" si="235"/>
        <v>551.11051471293013</v>
      </c>
      <c r="BD241" s="494">
        <f t="shared" si="235"/>
        <v>771.1566395663956</v>
      </c>
      <c r="BE241" s="494">
        <f t="shared" si="235"/>
        <v>839.36667840056828</v>
      </c>
      <c r="BF241" s="494">
        <f t="shared" si="235"/>
        <v>881.85961649466844</v>
      </c>
      <c r="BG241" s="494">
        <f t="shared" si="235"/>
        <v>926.50375957963911</v>
      </c>
      <c r="BH241" s="494">
        <f t="shared" si="235"/>
        <v>973.40801240842961</v>
      </c>
      <c r="BI241" s="494">
        <f t="shared" si="235"/>
        <v>1022.6867930365348</v>
      </c>
      <c r="BJ241" s="494">
        <f t="shared" si="235"/>
        <v>1074.4603119340807</v>
      </c>
      <c r="BK241" s="494">
        <f t="shared" si="235"/>
        <v>1128.8548652256718</v>
      </c>
      <c r="BL241" s="494">
        <f t="shared" si="235"/>
        <v>1186.0031427777924</v>
      </c>
      <c r="BM241" s="494">
        <f t="shared" si="235"/>
        <v>1246.0445518808467</v>
      </c>
      <c r="BN241" s="494">
        <f t="shared" si="235"/>
        <v>1309.1255573198857</v>
      </c>
      <c r="BO241" s="494">
        <f t="shared" si="235"/>
        <v>1375.4000386591331</v>
      </c>
      <c r="BP241" s="503"/>
      <c r="BQ241" s="493">
        <f t="shared" ref="BQ241:CB255" si="236">+BD241-CD241</f>
        <v>0</v>
      </c>
      <c r="BR241" s="493">
        <f t="shared" si="236"/>
        <v>0</v>
      </c>
      <c r="BS241" s="493">
        <f t="shared" si="236"/>
        <v>0</v>
      </c>
      <c r="BT241" s="493">
        <f t="shared" si="236"/>
        <v>0</v>
      </c>
      <c r="BU241" s="493">
        <f t="shared" si="236"/>
        <v>0</v>
      </c>
      <c r="BV241" s="493">
        <f t="shared" si="236"/>
        <v>0</v>
      </c>
      <c r="BW241" s="493">
        <f t="shared" si="236"/>
        <v>0</v>
      </c>
      <c r="BX241" s="493">
        <f t="shared" si="236"/>
        <v>0</v>
      </c>
      <c r="BY241" s="493">
        <f t="shared" si="236"/>
        <v>0</v>
      </c>
      <c r="BZ241" s="493">
        <f t="shared" si="236"/>
        <v>0</v>
      </c>
      <c r="CA241" s="493">
        <f t="shared" si="236"/>
        <v>0</v>
      </c>
      <c r="CB241" s="493">
        <f t="shared" si="236"/>
        <v>0</v>
      </c>
      <c r="CD241" s="496">
        <v>771.1566395663956</v>
      </c>
      <c r="CE241" s="496">
        <v>839.36667840056828</v>
      </c>
      <c r="CF241" s="496">
        <v>881.85961649466844</v>
      </c>
      <c r="CG241" s="496">
        <v>926.50375957963911</v>
      </c>
      <c r="CH241" s="496">
        <v>973.40801240842961</v>
      </c>
      <c r="CI241" s="496">
        <v>1022.6867930365348</v>
      </c>
      <c r="CJ241" s="496">
        <v>1074.4603119340807</v>
      </c>
      <c r="CK241" s="496">
        <v>1128.8548652256718</v>
      </c>
      <c r="CL241" s="496">
        <v>1186.0031427777924</v>
      </c>
      <c r="CM241" s="496">
        <v>1246.0445518808467</v>
      </c>
      <c r="CN241" s="496">
        <v>1309.1255573198857</v>
      </c>
      <c r="CO241" s="496">
        <v>1375.4000386591331</v>
      </c>
    </row>
    <row r="242" spans="1:93" s="493" customFormat="1" ht="15.75">
      <c r="A242" s="447" t="s">
        <v>892</v>
      </c>
      <c r="B242" s="447"/>
      <c r="C242" s="442" t="s">
        <v>39</v>
      </c>
      <c r="E242" s="494"/>
      <c r="F242" s="494">
        <f t="shared" ref="F242:AK242" si="237">F20/F$99</f>
        <v>1.0610079575596818</v>
      </c>
      <c r="G242" s="494">
        <f t="shared" si="237"/>
        <v>1.1671087533156499</v>
      </c>
      <c r="H242" s="494">
        <f t="shared" si="237"/>
        <v>1.3262599469496021</v>
      </c>
      <c r="I242" s="494">
        <f t="shared" si="237"/>
        <v>1.3793102942347844</v>
      </c>
      <c r="J242" s="494">
        <f t="shared" si="237"/>
        <v>1.5915119363395227</v>
      </c>
      <c r="K242" s="494">
        <f t="shared" si="237"/>
        <v>1.3793102942347844</v>
      </c>
      <c r="L242" s="494">
        <f t="shared" si="237"/>
        <v>1.8037135784442608</v>
      </c>
      <c r="M242" s="494">
        <f t="shared" si="237"/>
        <v>1.9098142730146253</v>
      </c>
      <c r="N242" s="494">
        <f t="shared" si="237"/>
        <v>1.6445622836247049</v>
      </c>
      <c r="O242" s="494">
        <f t="shared" si="237"/>
        <v>1.6976127573918915</v>
      </c>
      <c r="P242" s="494">
        <f t="shared" si="237"/>
        <v>1.9098142730146253</v>
      </c>
      <c r="Q242" s="494">
        <f t="shared" si="237"/>
        <v>2.3342175572241013</v>
      </c>
      <c r="R242" s="494">
        <f t="shared" si="237"/>
        <v>2.7055702411843865</v>
      </c>
      <c r="S242" s="494">
        <f t="shared" si="237"/>
        <v>4.5623344198778399</v>
      </c>
      <c r="T242" s="494">
        <f t="shared" si="237"/>
        <v>3.872679146278442</v>
      </c>
      <c r="U242" s="494">
        <f t="shared" si="237"/>
        <v>3.9787798408488064</v>
      </c>
      <c r="V242" s="494">
        <f t="shared" si="237"/>
        <v>2.28116720993892</v>
      </c>
      <c r="W242" s="494">
        <f t="shared" si="237"/>
        <v>2.1220159151193636</v>
      </c>
      <c r="X242" s="494">
        <f t="shared" si="237"/>
        <v>2.7450980926428188</v>
      </c>
      <c r="Y242" s="494">
        <f t="shared" si="237"/>
        <v>3.473389248888032</v>
      </c>
      <c r="Z242" s="494">
        <f t="shared" si="237"/>
        <v>2.9691877819242936</v>
      </c>
      <c r="AA242" s="494">
        <f t="shared" si="237"/>
        <v>1.5126050687303729</v>
      </c>
      <c r="AB242" s="494">
        <f t="shared" si="237"/>
        <v>2.5770307588977972</v>
      </c>
      <c r="AC242" s="494">
        <f t="shared" si="237"/>
        <v>0.56022408963585435</v>
      </c>
      <c r="AD242" s="494">
        <f t="shared" si="237"/>
        <v>0.72829128981304447</v>
      </c>
      <c r="AE242" s="494">
        <f t="shared" si="237"/>
        <v>0.72829128981304447</v>
      </c>
      <c r="AF242" s="494">
        <f t="shared" si="237"/>
        <v>0.67226893427659151</v>
      </c>
      <c r="AG242" s="494">
        <f t="shared" si="237"/>
        <v>1.0644257569513402</v>
      </c>
      <c r="AH242" s="494">
        <f t="shared" si="237"/>
        <v>0.39215685606670647</v>
      </c>
      <c r="AI242" s="494">
        <f t="shared" si="237"/>
        <v>0.78431371213341294</v>
      </c>
      <c r="AJ242" s="494">
        <f t="shared" si="237"/>
        <v>0.67226893427659151</v>
      </c>
      <c r="AK242" s="494">
        <f t="shared" si="237"/>
        <v>0.56022408963585435</v>
      </c>
      <c r="AL242" s="494">
        <f t="shared" ref="AL242:BO242" si="238">AL20/AL$99</f>
        <v>5.6022409798384382E-2</v>
      </c>
      <c r="AM242" s="494">
        <f t="shared" si="238"/>
        <v>5.6022409798384382E-2</v>
      </c>
      <c r="AN242" s="494">
        <f t="shared" si="238"/>
        <v>5.6022409798384382E-2</v>
      </c>
      <c r="AO242" s="494">
        <f t="shared" si="238"/>
        <v>0</v>
      </c>
      <c r="AP242" s="494">
        <f t="shared" si="238"/>
        <v>0</v>
      </c>
      <c r="AQ242" s="494">
        <f t="shared" si="238"/>
        <v>0</v>
      </c>
      <c r="AR242" s="494">
        <f t="shared" si="238"/>
        <v>5.6022408963585436E-2</v>
      </c>
      <c r="AS242" s="494">
        <f t="shared" si="238"/>
        <v>0.11204481792717087</v>
      </c>
      <c r="AT242" s="494">
        <f t="shared" si="238"/>
        <v>0</v>
      </c>
      <c r="AU242" s="494">
        <f t="shared" si="238"/>
        <v>0</v>
      </c>
      <c r="AV242" s="494">
        <f t="shared" si="238"/>
        <v>0</v>
      </c>
      <c r="AW242" s="494">
        <f t="shared" si="238"/>
        <v>0</v>
      </c>
      <c r="AX242" s="494">
        <f t="shared" si="238"/>
        <v>0</v>
      </c>
      <c r="AY242" s="494">
        <f t="shared" si="238"/>
        <v>2.4299337132224674</v>
      </c>
      <c r="AZ242" s="494">
        <f t="shared" si="238"/>
        <v>0</v>
      </c>
      <c r="BA242" s="494">
        <f t="shared" si="238"/>
        <v>1.0098691760385586E-2</v>
      </c>
      <c r="BB242" s="494">
        <f t="shared" si="238"/>
        <v>1.5988068605518269</v>
      </c>
      <c r="BC242" s="494">
        <f t="shared" si="238"/>
        <v>2.4184798236365377</v>
      </c>
      <c r="BD242" s="494">
        <f t="shared" si="238"/>
        <v>1.9887985546522129</v>
      </c>
      <c r="BE242" s="494">
        <f t="shared" si="238"/>
        <v>0</v>
      </c>
      <c r="BF242" s="494">
        <f t="shared" si="238"/>
        <v>0</v>
      </c>
      <c r="BG242" s="494">
        <f t="shared" si="238"/>
        <v>0</v>
      </c>
      <c r="BH242" s="494">
        <f t="shared" si="238"/>
        <v>0</v>
      </c>
      <c r="BI242" s="494">
        <f t="shared" si="238"/>
        <v>0</v>
      </c>
      <c r="BJ242" s="494">
        <f t="shared" si="238"/>
        <v>0</v>
      </c>
      <c r="BK242" s="494">
        <f t="shared" si="238"/>
        <v>0</v>
      </c>
      <c r="BL242" s="494">
        <f t="shared" si="238"/>
        <v>0</v>
      </c>
      <c r="BM242" s="494">
        <f t="shared" si="238"/>
        <v>0</v>
      </c>
      <c r="BN242" s="494">
        <f t="shared" si="238"/>
        <v>0</v>
      </c>
      <c r="BO242" s="494">
        <f t="shared" si="238"/>
        <v>0</v>
      </c>
      <c r="BP242" s="503"/>
      <c r="BQ242" s="493">
        <f t="shared" si="236"/>
        <v>0</v>
      </c>
      <c r="BR242" s="493">
        <f t="shared" si="236"/>
        <v>0</v>
      </c>
      <c r="BS242" s="493">
        <f t="shared" si="236"/>
        <v>0</v>
      </c>
      <c r="BT242" s="493">
        <f t="shared" si="236"/>
        <v>0</v>
      </c>
      <c r="BU242" s="493">
        <f t="shared" si="236"/>
        <v>0</v>
      </c>
      <c r="BV242" s="493">
        <f t="shared" si="236"/>
        <v>0</v>
      </c>
      <c r="BW242" s="493">
        <f t="shared" si="236"/>
        <v>0</v>
      </c>
      <c r="BX242" s="493">
        <f t="shared" si="236"/>
        <v>0</v>
      </c>
      <c r="BY242" s="493">
        <f t="shared" si="236"/>
        <v>0</v>
      </c>
      <c r="BZ242" s="493">
        <f t="shared" si="236"/>
        <v>0</v>
      </c>
      <c r="CA242" s="493">
        <f t="shared" si="236"/>
        <v>0</v>
      </c>
      <c r="CB242" s="493">
        <f t="shared" si="236"/>
        <v>0</v>
      </c>
      <c r="CD242" s="496">
        <v>1.9887985546522129</v>
      </c>
      <c r="CE242" s="496">
        <v>0</v>
      </c>
      <c r="CF242" s="496">
        <v>0</v>
      </c>
      <c r="CG242" s="496">
        <v>0</v>
      </c>
      <c r="CH242" s="496">
        <v>0</v>
      </c>
      <c r="CI242" s="496">
        <v>0</v>
      </c>
      <c r="CJ242" s="496">
        <v>0</v>
      </c>
      <c r="CK242" s="496">
        <v>0</v>
      </c>
      <c r="CL242" s="496">
        <v>0</v>
      </c>
      <c r="CM242" s="496">
        <v>0</v>
      </c>
      <c r="CN242" s="496">
        <v>0</v>
      </c>
      <c r="CO242" s="496">
        <v>0</v>
      </c>
    </row>
    <row r="243" spans="1:93" s="493" customFormat="1" ht="15.75">
      <c r="A243" s="447" t="s">
        <v>894</v>
      </c>
      <c r="B243" s="447"/>
      <c r="C243" s="442" t="s">
        <v>39</v>
      </c>
      <c r="E243" s="494"/>
      <c r="F243" s="494">
        <f t="shared" ref="F243:AK243" si="239">F21/F$99</f>
        <v>0.21220159151193635</v>
      </c>
      <c r="G243" s="494">
        <f t="shared" si="239"/>
        <v>0.15915119363395225</v>
      </c>
      <c r="H243" s="494">
        <f t="shared" si="239"/>
        <v>0.15915119995805249</v>
      </c>
      <c r="I243" s="494">
        <f t="shared" si="239"/>
        <v>0.37135277882178835</v>
      </c>
      <c r="J243" s="494">
        <f t="shared" si="239"/>
        <v>0.21220159467398644</v>
      </c>
      <c r="K243" s="494">
        <f t="shared" si="239"/>
        <v>0.31830239991610498</v>
      </c>
      <c r="L243" s="494">
        <f t="shared" si="239"/>
        <v>0.26525198938992045</v>
      </c>
      <c r="M243" s="494">
        <f t="shared" si="239"/>
        <v>0.15915119995805249</v>
      </c>
      <c r="N243" s="494">
        <f t="shared" si="239"/>
        <v>0.15915119995805249</v>
      </c>
      <c r="O243" s="494">
        <f t="shared" si="239"/>
        <v>0.21220159467398644</v>
      </c>
      <c r="P243" s="494">
        <f t="shared" si="239"/>
        <v>0.5305039787798409</v>
      </c>
      <c r="Q243" s="494">
        <f t="shared" si="239"/>
        <v>0.79575596816976135</v>
      </c>
      <c r="R243" s="494">
        <f t="shared" si="239"/>
        <v>0.95490713650731263</v>
      </c>
      <c r="S243" s="494">
        <f t="shared" si="239"/>
        <v>1.114058304844864</v>
      </c>
      <c r="T243" s="494">
        <f t="shared" si="239"/>
        <v>0.31830239991610498</v>
      </c>
      <c r="U243" s="494">
        <f t="shared" si="239"/>
        <v>0.95490713650731263</v>
      </c>
      <c r="V243" s="494">
        <f t="shared" si="239"/>
        <v>2.7586205884695687</v>
      </c>
      <c r="W243" s="494">
        <f t="shared" si="239"/>
        <v>2.3872679045092835</v>
      </c>
      <c r="X243" s="494">
        <f t="shared" si="239"/>
        <v>2.9131651592521779</v>
      </c>
      <c r="Y243" s="494">
        <f t="shared" si="239"/>
        <v>2.8571428037157247</v>
      </c>
      <c r="Z243" s="494">
        <f t="shared" si="239"/>
        <v>7.0588237431202963</v>
      </c>
      <c r="AA243" s="494">
        <f t="shared" si="239"/>
        <v>10.140056236117493</v>
      </c>
      <c r="AB243" s="494">
        <f t="shared" si="239"/>
        <v>9.6358547691537559</v>
      </c>
      <c r="AC243" s="494">
        <f t="shared" si="239"/>
        <v>6.666666452958137</v>
      </c>
      <c r="AD243" s="494">
        <f t="shared" si="239"/>
        <v>7.6190478327561495</v>
      </c>
      <c r="AE243" s="494">
        <f t="shared" si="239"/>
        <v>13.389355528588389</v>
      </c>
      <c r="AF243" s="494">
        <f t="shared" si="239"/>
        <v>24.929971988795518</v>
      </c>
      <c r="AG243" s="494">
        <f t="shared" si="239"/>
        <v>35.182072401714592</v>
      </c>
      <c r="AH243" s="494">
        <f t="shared" si="239"/>
        <v>35.40616289240306</v>
      </c>
      <c r="AI243" s="494">
        <f t="shared" si="239"/>
        <v>15.742297132476038</v>
      </c>
      <c r="AJ243" s="494">
        <f t="shared" si="239"/>
        <v>4.3137253833418132</v>
      </c>
      <c r="AK243" s="494">
        <f t="shared" si="239"/>
        <v>2.1848740030069647</v>
      </c>
      <c r="AL243" s="494">
        <f t="shared" ref="AL243:BO243" si="240">AL21/AL$99</f>
        <v>1.5686274242668259</v>
      </c>
      <c r="AM243" s="494">
        <f t="shared" si="240"/>
        <v>1.1764705348081617</v>
      </c>
      <c r="AN243" s="494">
        <f t="shared" si="240"/>
        <v>1.2885153794488986</v>
      </c>
      <c r="AO243" s="494">
        <f t="shared" si="240"/>
        <v>0.95238097909451869</v>
      </c>
      <c r="AP243" s="494">
        <f t="shared" si="240"/>
        <v>2.2408963585434174</v>
      </c>
      <c r="AQ243" s="494">
        <f t="shared" si="240"/>
        <v>1.400560224089636</v>
      </c>
      <c r="AR243" s="494">
        <f t="shared" si="240"/>
        <v>0.67226890756302515</v>
      </c>
      <c r="AS243" s="494">
        <f t="shared" si="240"/>
        <v>7.507002801120449</v>
      </c>
      <c r="AT243" s="494">
        <f t="shared" si="240"/>
        <v>149.07563025210084</v>
      </c>
      <c r="AU243" s="494">
        <f t="shared" si="240"/>
        <v>2.7684953386422593</v>
      </c>
      <c r="AV243" s="494">
        <f t="shared" si="240"/>
        <v>6.9294124976636962</v>
      </c>
      <c r="AW243" s="494">
        <f t="shared" si="240"/>
        <v>7.0291770573566072</v>
      </c>
      <c r="AX243" s="494">
        <f t="shared" si="240"/>
        <v>6.4351620947630916</v>
      </c>
      <c r="AY243" s="494">
        <f t="shared" si="240"/>
        <v>6.7112454936620525</v>
      </c>
      <c r="AZ243" s="494">
        <f t="shared" si="240"/>
        <v>16.709643368770262</v>
      </c>
      <c r="BA243" s="494">
        <f t="shared" si="240"/>
        <v>5.2448932751893507</v>
      </c>
      <c r="BB243" s="494">
        <f t="shared" si="240"/>
        <v>5.4492383082987113</v>
      </c>
      <c r="BC243" s="494">
        <f t="shared" si="240"/>
        <v>9.1701332310936454</v>
      </c>
      <c r="BD243" s="494">
        <f t="shared" si="240"/>
        <v>13.523757904245709</v>
      </c>
      <c r="BE243" s="494">
        <f t="shared" ca="1" si="240"/>
        <v>9.7729665457201467</v>
      </c>
      <c r="BF243" s="494">
        <f t="shared" ca="1" si="240"/>
        <v>12.500456961199754</v>
      </c>
      <c r="BG243" s="494">
        <f t="shared" ca="1" si="240"/>
        <v>14.195121514918736</v>
      </c>
      <c r="BH243" s="494">
        <f t="shared" ca="1" si="240"/>
        <v>15.364934313382905</v>
      </c>
      <c r="BI243" s="494">
        <f t="shared" ca="1" si="240"/>
        <v>16.038064451366072</v>
      </c>
      <c r="BJ243" s="494">
        <f t="shared" ca="1" si="240"/>
        <v>16.222873570228511</v>
      </c>
      <c r="BK243" s="494">
        <f t="shared" ca="1" si="240"/>
        <v>15.889239626486102</v>
      </c>
      <c r="BL243" s="494">
        <f t="shared" ca="1" si="240"/>
        <v>14.973317554359626</v>
      </c>
      <c r="BM243" s="494">
        <f t="shared" ca="1" si="240"/>
        <v>13.411797679316823</v>
      </c>
      <c r="BN243" s="494">
        <f t="shared" ca="1" si="240"/>
        <v>11.145949731915751</v>
      </c>
      <c r="BO243" s="494">
        <f t="shared" ca="1" si="240"/>
        <v>8.0838935180288285</v>
      </c>
      <c r="BP243" s="503"/>
      <c r="BQ243" s="493">
        <f t="shared" si="236"/>
        <v>0</v>
      </c>
      <c r="BR243" s="493">
        <f t="shared" ca="1" si="236"/>
        <v>0</v>
      </c>
      <c r="BS243" s="493">
        <f t="shared" ca="1" si="236"/>
        <v>0</v>
      </c>
      <c r="BT243" s="493">
        <f t="shared" ca="1" si="236"/>
        <v>-9.2370555648813024E-14</v>
      </c>
      <c r="BU243" s="493">
        <f t="shared" ca="1" si="236"/>
        <v>-1.0977885267493548E-12</v>
      </c>
      <c r="BV243" s="493">
        <f t="shared" ca="1" si="236"/>
        <v>-9.9298347322474001E-12</v>
      </c>
      <c r="BW243" s="493">
        <f t="shared" ca="1" si="236"/>
        <v>-7.0826899900566787E-11</v>
      </c>
      <c r="BX243" s="493">
        <f t="shared" ca="1" si="236"/>
        <v>-4.156284205691918E-10</v>
      </c>
      <c r="BY243" s="493">
        <f t="shared" ca="1" si="236"/>
        <v>-2.0648514009735663E-9</v>
      </c>
      <c r="BZ243" s="493">
        <f t="shared" ca="1" si="236"/>
        <v>-8.8953910903910582E-9</v>
      </c>
      <c r="CA243" s="493">
        <f t="shared" ca="1" si="236"/>
        <v>-3.3832629142693804E-8</v>
      </c>
      <c r="CB243" s="493">
        <f t="shared" ca="1" si="236"/>
        <v>-1.1535798449813228E-7</v>
      </c>
      <c r="CD243" s="496">
        <v>13.523757904245709</v>
      </c>
      <c r="CE243" s="496">
        <v>9.7729665457201467</v>
      </c>
      <c r="CF243" s="496">
        <v>12.500456961199758</v>
      </c>
      <c r="CG243" s="496">
        <v>14.195121514918828</v>
      </c>
      <c r="CH243" s="496">
        <v>15.364934313384003</v>
      </c>
      <c r="CI243" s="496">
        <v>16.038064451376002</v>
      </c>
      <c r="CJ243" s="496">
        <v>16.222873570299338</v>
      </c>
      <c r="CK243" s="496">
        <v>15.88923962690173</v>
      </c>
      <c r="CL243" s="496">
        <v>14.973317556424478</v>
      </c>
      <c r="CM243" s="496">
        <v>13.411797688212214</v>
      </c>
      <c r="CN243" s="496">
        <v>11.14594976574838</v>
      </c>
      <c r="CO243" s="496">
        <v>8.083893633386813</v>
      </c>
    </row>
    <row r="244" spans="1:93" s="493" customFormat="1" ht="15.75">
      <c r="A244" s="447" t="s">
        <v>896</v>
      </c>
      <c r="B244" s="447"/>
      <c r="C244" s="442" t="s">
        <v>39</v>
      </c>
      <c r="E244" s="494"/>
      <c r="F244" s="494">
        <f t="shared" ref="F244:AK244" si="241">F22/F$99</f>
        <v>0</v>
      </c>
      <c r="G244" s="494">
        <f t="shared" si="241"/>
        <v>0</v>
      </c>
      <c r="H244" s="494">
        <f t="shared" si="241"/>
        <v>0</v>
      </c>
      <c r="I244" s="494">
        <f t="shared" si="241"/>
        <v>0</v>
      </c>
      <c r="J244" s="494">
        <f t="shared" si="241"/>
        <v>0</v>
      </c>
      <c r="K244" s="494">
        <f t="shared" si="241"/>
        <v>0</v>
      </c>
      <c r="L244" s="494">
        <f t="shared" si="241"/>
        <v>0</v>
      </c>
      <c r="M244" s="494">
        <f t="shared" si="241"/>
        <v>0</v>
      </c>
      <c r="N244" s="494">
        <f t="shared" si="241"/>
        <v>0</v>
      </c>
      <c r="O244" s="494">
        <f t="shared" si="241"/>
        <v>0</v>
      </c>
      <c r="P244" s="494">
        <f t="shared" si="241"/>
        <v>0</v>
      </c>
      <c r="Q244" s="494">
        <f t="shared" si="241"/>
        <v>0</v>
      </c>
      <c r="R244" s="494">
        <f t="shared" si="241"/>
        <v>0</v>
      </c>
      <c r="S244" s="494">
        <f t="shared" si="241"/>
        <v>0</v>
      </c>
      <c r="T244" s="494">
        <f t="shared" si="241"/>
        <v>0</v>
      </c>
      <c r="U244" s="494">
        <f t="shared" si="241"/>
        <v>0</v>
      </c>
      <c r="V244" s="494">
        <f t="shared" si="241"/>
        <v>0</v>
      </c>
      <c r="W244" s="494">
        <f t="shared" si="241"/>
        <v>0</v>
      </c>
      <c r="X244" s="494">
        <f t="shared" si="241"/>
        <v>3.6974789381695063</v>
      </c>
      <c r="Y244" s="494">
        <f t="shared" si="241"/>
        <v>3.6974789381695063</v>
      </c>
      <c r="Z244" s="494">
        <f t="shared" si="241"/>
        <v>3.1932772040701045</v>
      </c>
      <c r="AA244" s="494">
        <f t="shared" si="241"/>
        <v>6.4985996534844412</v>
      </c>
      <c r="AB244" s="494">
        <f t="shared" si="241"/>
        <v>6.7787116983023683</v>
      </c>
      <c r="AC244" s="494">
        <f t="shared" si="241"/>
        <v>10.756302948425464</v>
      </c>
      <c r="AD244" s="494">
        <f t="shared" si="241"/>
        <v>12.829131438952535</v>
      </c>
      <c r="AE244" s="494">
        <f t="shared" si="241"/>
        <v>15.854341309277618</v>
      </c>
      <c r="AF244" s="494">
        <f t="shared" si="241"/>
        <v>19.215685847092747</v>
      </c>
      <c r="AG244" s="494">
        <f t="shared" si="241"/>
        <v>15.014005174823836</v>
      </c>
      <c r="AH244" s="494">
        <f t="shared" si="241"/>
        <v>11.540616460207131</v>
      </c>
      <c r="AI244" s="494">
        <f t="shared" si="241"/>
        <v>9.8039215686274517</v>
      </c>
      <c r="AJ244" s="494">
        <f t="shared" si="241"/>
        <v>18.137254901960787</v>
      </c>
      <c r="AK244" s="494">
        <f t="shared" si="241"/>
        <v>52.66050450942096</v>
      </c>
      <c r="AL244" s="494">
        <f t="shared" ref="AL244:BO244" si="242">AL22/AL$99</f>
        <v>139.56415085565476</v>
      </c>
      <c r="AM244" s="494">
        <f t="shared" si="242"/>
        <v>366.61065793504906</v>
      </c>
      <c r="AN244" s="494">
        <f t="shared" si="242"/>
        <v>532.57704448967093</v>
      </c>
      <c r="AO244" s="494">
        <f t="shared" si="242"/>
        <v>670.80112318364854</v>
      </c>
      <c r="AP244" s="494">
        <f t="shared" si="242"/>
        <v>1097.2549019607845</v>
      </c>
      <c r="AQ244" s="494">
        <f t="shared" si="242"/>
        <v>1812.4369747899161</v>
      </c>
      <c r="AR244" s="494">
        <f t="shared" si="242"/>
        <v>2676.0224089635853</v>
      </c>
      <c r="AS244" s="494">
        <f t="shared" si="242"/>
        <v>4665.2100840336134</v>
      </c>
      <c r="AT244" s="494">
        <f t="shared" si="242"/>
        <v>15493.333333333334</v>
      </c>
      <c r="AU244" s="494">
        <f t="shared" si="242"/>
        <v>136.36431654187291</v>
      </c>
      <c r="AV244" s="494">
        <f t="shared" si="242"/>
        <v>136.53566132951218</v>
      </c>
      <c r="AW244" s="494">
        <f t="shared" si="242"/>
        <v>66.283790523690769</v>
      </c>
      <c r="AX244" s="494">
        <f t="shared" si="242"/>
        <v>1.3965087281795512</v>
      </c>
      <c r="AY244" s="494">
        <f t="shared" si="242"/>
        <v>2.0828003256192575</v>
      </c>
      <c r="AZ244" s="494">
        <f t="shared" si="242"/>
        <v>1.1030686873256428</v>
      </c>
      <c r="BA244" s="494">
        <f t="shared" si="242"/>
        <v>2.162038099609823</v>
      </c>
      <c r="BB244" s="494">
        <f t="shared" si="242"/>
        <v>13.008202833706189</v>
      </c>
      <c r="BC244" s="494">
        <f t="shared" si="242"/>
        <v>44.036422888910188</v>
      </c>
      <c r="BD244" s="494">
        <f t="shared" si="242"/>
        <v>75.37560975609756</v>
      </c>
      <c r="BE244" s="494">
        <f t="shared" si="242"/>
        <v>75.37560975609756</v>
      </c>
      <c r="BF244" s="494">
        <f t="shared" si="242"/>
        <v>75.37560975609756</v>
      </c>
      <c r="BG244" s="494">
        <f t="shared" si="242"/>
        <v>75.37560975609756</v>
      </c>
      <c r="BH244" s="494">
        <f t="shared" si="242"/>
        <v>75.37560975609756</v>
      </c>
      <c r="BI244" s="494">
        <f t="shared" si="242"/>
        <v>75.37560975609756</v>
      </c>
      <c r="BJ244" s="494">
        <f t="shared" si="242"/>
        <v>75.37560975609756</v>
      </c>
      <c r="BK244" s="494">
        <f t="shared" si="242"/>
        <v>75.37560975609756</v>
      </c>
      <c r="BL244" s="494">
        <f t="shared" si="242"/>
        <v>75.37560975609756</v>
      </c>
      <c r="BM244" s="494">
        <f t="shared" si="242"/>
        <v>75.37560975609756</v>
      </c>
      <c r="BN244" s="494">
        <f t="shared" si="242"/>
        <v>75.37560975609756</v>
      </c>
      <c r="BO244" s="494">
        <f t="shared" si="242"/>
        <v>75.37560975609756</v>
      </c>
      <c r="BP244" s="503"/>
      <c r="BQ244" s="493">
        <f t="shared" si="236"/>
        <v>0</v>
      </c>
      <c r="BR244" s="493">
        <f t="shared" si="236"/>
        <v>0</v>
      </c>
      <c r="BS244" s="493">
        <f t="shared" si="236"/>
        <v>0</v>
      </c>
      <c r="BT244" s="493">
        <f t="shared" si="236"/>
        <v>0</v>
      </c>
      <c r="BU244" s="493">
        <f t="shared" si="236"/>
        <v>0</v>
      </c>
      <c r="BV244" s="493">
        <f t="shared" si="236"/>
        <v>0</v>
      </c>
      <c r="BW244" s="493">
        <f t="shared" si="236"/>
        <v>0</v>
      </c>
      <c r="BX244" s="493">
        <f t="shared" si="236"/>
        <v>0</v>
      </c>
      <c r="BY244" s="493">
        <f t="shared" si="236"/>
        <v>0</v>
      </c>
      <c r="BZ244" s="493">
        <f t="shared" si="236"/>
        <v>0</v>
      </c>
      <c r="CA244" s="493">
        <f t="shared" si="236"/>
        <v>0</v>
      </c>
      <c r="CB244" s="493">
        <f t="shared" si="236"/>
        <v>0</v>
      </c>
      <c r="CD244" s="496">
        <v>75.37560975609756</v>
      </c>
      <c r="CE244" s="496">
        <v>75.37560975609756</v>
      </c>
      <c r="CF244" s="496">
        <v>75.37560975609756</v>
      </c>
      <c r="CG244" s="496">
        <v>75.37560975609756</v>
      </c>
      <c r="CH244" s="496">
        <v>75.37560975609756</v>
      </c>
      <c r="CI244" s="496">
        <v>75.37560975609756</v>
      </c>
      <c r="CJ244" s="496">
        <v>75.37560975609756</v>
      </c>
      <c r="CK244" s="496">
        <v>75.37560975609756</v>
      </c>
      <c r="CL244" s="496">
        <v>75.37560975609756</v>
      </c>
      <c r="CM244" s="496">
        <v>75.37560975609756</v>
      </c>
      <c r="CN244" s="496">
        <v>75.37560975609756</v>
      </c>
      <c r="CO244" s="496">
        <v>75.37560975609756</v>
      </c>
    </row>
    <row r="245" spans="1:93" s="493" customFormat="1" ht="15.75">
      <c r="A245" s="447" t="s">
        <v>898</v>
      </c>
      <c r="B245" s="447"/>
      <c r="C245" s="442" t="s">
        <v>1344</v>
      </c>
      <c r="E245" s="494"/>
      <c r="F245" s="494"/>
      <c r="G245" s="494"/>
      <c r="H245" s="494"/>
      <c r="I245" s="494"/>
      <c r="J245" s="494"/>
      <c r="K245" s="494"/>
      <c r="L245" s="494"/>
      <c r="M245" s="494"/>
      <c r="N245" s="494"/>
      <c r="O245" s="494"/>
      <c r="P245" s="494"/>
      <c r="Q245" s="494"/>
      <c r="R245" s="494"/>
      <c r="S245" s="494"/>
      <c r="T245" s="494"/>
      <c r="U245" s="494"/>
      <c r="V245" s="494"/>
      <c r="W245" s="494"/>
      <c r="X245" s="494"/>
      <c r="Y245" s="494"/>
      <c r="Z245" s="494"/>
      <c r="AA245" s="494"/>
      <c r="AB245" s="494"/>
      <c r="AC245" s="494"/>
      <c r="AD245" s="494"/>
      <c r="AE245" s="494"/>
      <c r="AF245" s="494"/>
      <c r="AG245" s="494"/>
      <c r="AH245" s="494"/>
      <c r="AI245" s="494"/>
      <c r="AJ245" s="494"/>
      <c r="AK245" s="494"/>
      <c r="AL245" s="494"/>
      <c r="AM245" s="494"/>
      <c r="AN245" s="494"/>
      <c r="AO245" s="494"/>
      <c r="AP245" s="494"/>
      <c r="AQ245" s="494"/>
      <c r="AR245" s="494"/>
      <c r="AS245" s="494"/>
      <c r="AT245" s="494"/>
      <c r="AU245" s="494"/>
      <c r="AV245" s="494"/>
      <c r="AW245" s="494"/>
      <c r="AX245" s="494"/>
      <c r="AY245" s="494"/>
      <c r="AZ245" s="494"/>
      <c r="BA245" s="494"/>
      <c r="BB245" s="494"/>
      <c r="BC245" s="494"/>
      <c r="BD245" s="494"/>
      <c r="BE245" s="494"/>
      <c r="BF245" s="494"/>
      <c r="BG245" s="494"/>
      <c r="BH245" s="494"/>
      <c r="BI245" s="494"/>
      <c r="BJ245" s="494"/>
      <c r="BK245" s="494"/>
      <c r="BL245" s="494"/>
      <c r="BM245" s="494"/>
      <c r="BN245" s="494"/>
      <c r="BO245" s="494"/>
      <c r="BP245" s="494"/>
      <c r="BQ245" s="493">
        <f t="shared" si="236"/>
        <v>0</v>
      </c>
      <c r="BR245" s="493">
        <f t="shared" si="236"/>
        <v>0</v>
      </c>
      <c r="BS245" s="493">
        <f t="shared" si="236"/>
        <v>0</v>
      </c>
      <c r="BT245" s="493">
        <f t="shared" si="236"/>
        <v>0</v>
      </c>
      <c r="BU245" s="493">
        <f t="shared" si="236"/>
        <v>0</v>
      </c>
      <c r="BV245" s="493">
        <f t="shared" si="236"/>
        <v>0</v>
      </c>
      <c r="BW245" s="493">
        <f t="shared" si="236"/>
        <v>0</v>
      </c>
      <c r="BX245" s="493">
        <f t="shared" si="236"/>
        <v>0</v>
      </c>
      <c r="BY245" s="493">
        <f t="shared" si="236"/>
        <v>0</v>
      </c>
      <c r="BZ245" s="493">
        <f t="shared" si="236"/>
        <v>0</v>
      </c>
      <c r="CA245" s="493">
        <f t="shared" si="236"/>
        <v>0</v>
      </c>
      <c r="CB245" s="493">
        <f t="shared" si="236"/>
        <v>0</v>
      </c>
      <c r="CD245" s="496"/>
      <c r="CE245" s="496"/>
      <c r="CF245" s="496"/>
      <c r="CG245" s="496"/>
      <c r="CH245" s="496"/>
      <c r="CI245" s="496"/>
      <c r="CJ245" s="496"/>
      <c r="CK245" s="496"/>
      <c r="CL245" s="496"/>
      <c r="CM245" s="496"/>
      <c r="CN245" s="496"/>
      <c r="CO245" s="496"/>
    </row>
    <row r="246" spans="1:93" s="493" customFormat="1" ht="15.75">
      <c r="A246" s="459" t="s">
        <v>899</v>
      </c>
      <c r="B246" s="459"/>
      <c r="C246" s="442" t="s">
        <v>1344</v>
      </c>
      <c r="E246" s="494"/>
      <c r="F246" s="494"/>
      <c r="G246" s="494"/>
      <c r="H246" s="494"/>
      <c r="I246" s="494"/>
      <c r="J246" s="494"/>
      <c r="K246" s="494"/>
      <c r="L246" s="494"/>
      <c r="M246" s="494"/>
      <c r="N246" s="494"/>
      <c r="O246" s="494"/>
      <c r="P246" s="494"/>
      <c r="Q246" s="494"/>
      <c r="R246" s="494"/>
      <c r="S246" s="494"/>
      <c r="T246" s="494"/>
      <c r="U246" s="494"/>
      <c r="V246" s="494"/>
      <c r="W246" s="494"/>
      <c r="X246" s="494"/>
      <c r="Y246" s="494"/>
      <c r="Z246" s="494"/>
      <c r="AA246" s="494"/>
      <c r="AB246" s="494"/>
      <c r="AC246" s="494"/>
      <c r="AD246" s="494"/>
      <c r="AE246" s="494"/>
      <c r="AF246" s="494"/>
      <c r="AG246" s="494"/>
      <c r="AH246" s="494"/>
      <c r="AI246" s="494"/>
      <c r="AJ246" s="494"/>
      <c r="AK246" s="494"/>
      <c r="AL246" s="494"/>
      <c r="AM246" s="494"/>
      <c r="AN246" s="494"/>
      <c r="AO246" s="494"/>
      <c r="AP246" s="494"/>
      <c r="AQ246" s="494"/>
      <c r="AR246" s="494"/>
      <c r="AS246" s="494"/>
      <c r="AT246" s="494"/>
      <c r="AU246" s="494"/>
      <c r="AV246" s="494"/>
      <c r="AW246" s="494"/>
      <c r="AX246" s="494"/>
      <c r="AY246" s="494"/>
      <c r="AZ246" s="494"/>
      <c r="BA246" s="494"/>
      <c r="BB246" s="494"/>
      <c r="BC246" s="494"/>
      <c r="BD246" s="494"/>
      <c r="BE246" s="494"/>
      <c r="BF246" s="494"/>
      <c r="BG246" s="494"/>
      <c r="BH246" s="494"/>
      <c r="BI246" s="494"/>
      <c r="BJ246" s="494"/>
      <c r="BK246" s="494"/>
      <c r="BL246" s="494"/>
      <c r="BM246" s="494"/>
      <c r="BN246" s="494"/>
      <c r="BO246" s="494"/>
      <c r="BP246" s="494"/>
      <c r="CD246" s="496"/>
      <c r="CE246" s="496"/>
      <c r="CF246" s="496"/>
      <c r="CG246" s="496"/>
      <c r="CH246" s="496"/>
      <c r="CI246" s="496"/>
      <c r="CJ246" s="496"/>
      <c r="CK246" s="496"/>
      <c r="CL246" s="496"/>
      <c r="CM246" s="496"/>
      <c r="CN246" s="496"/>
      <c r="CO246" s="496"/>
    </row>
    <row r="247" spans="1:93" s="493" customFormat="1" ht="15.75">
      <c r="A247" s="447" t="s">
        <v>900</v>
      </c>
      <c r="B247" s="447"/>
      <c r="C247" s="442" t="s">
        <v>39</v>
      </c>
      <c r="E247" s="494"/>
      <c r="F247" s="494">
        <f t="shared" ref="F247:AK247" si="243">F25/F$99</f>
        <v>29.442970822281168</v>
      </c>
      <c r="G247" s="494">
        <f t="shared" si="243"/>
        <v>29.124668435013263</v>
      </c>
      <c r="H247" s="494">
        <f t="shared" si="243"/>
        <v>35.59681616664249</v>
      </c>
      <c r="I247" s="494">
        <f t="shared" si="243"/>
        <v>41.432359933220738</v>
      </c>
      <c r="J247" s="494">
        <f t="shared" si="243"/>
        <v>40.053050397877982</v>
      </c>
      <c r="K247" s="494">
        <f t="shared" si="243"/>
        <v>49.70822119270143</v>
      </c>
      <c r="L247" s="494">
        <f t="shared" si="243"/>
        <v>58.037136087999421</v>
      </c>
      <c r="M247" s="494">
        <f t="shared" si="243"/>
        <v>58.249338488996187</v>
      </c>
      <c r="N247" s="494">
        <f t="shared" si="243"/>
        <v>59.310346446555869</v>
      </c>
      <c r="O247" s="494">
        <f t="shared" si="243"/>
        <v>64.403183833357517</v>
      </c>
      <c r="P247" s="494">
        <f t="shared" si="243"/>
        <v>88.381966102660812</v>
      </c>
      <c r="Q247" s="494">
        <f t="shared" si="243"/>
        <v>101.80371028991213</v>
      </c>
      <c r="R247" s="494">
        <f t="shared" si="243"/>
        <v>100.42440480199353</v>
      </c>
      <c r="S247" s="494">
        <f t="shared" si="243"/>
        <v>112.46684350132625</v>
      </c>
      <c r="T247" s="494">
        <f t="shared" si="243"/>
        <v>110.66313321141412</v>
      </c>
      <c r="U247" s="494">
        <f t="shared" si="243"/>
        <v>121.59151031736987</v>
      </c>
      <c r="V247" s="494">
        <f t="shared" si="243"/>
        <v>128.7002684899287</v>
      </c>
      <c r="W247" s="494">
        <f t="shared" si="243"/>
        <v>141.85676068779014</v>
      </c>
      <c r="X247" s="494">
        <f t="shared" si="243"/>
        <v>162.29692560617997</v>
      </c>
      <c r="Y247" s="494">
        <f t="shared" si="243"/>
        <v>176.58263989189427</v>
      </c>
      <c r="Z247" s="494">
        <f t="shared" si="243"/>
        <v>269.80392498796397</v>
      </c>
      <c r="AA247" s="494">
        <f t="shared" si="243"/>
        <v>305.37813758315826</v>
      </c>
      <c r="AB247" s="494">
        <f t="shared" si="243"/>
        <v>332.43698846726193</v>
      </c>
      <c r="AC247" s="494">
        <f t="shared" si="243"/>
        <v>447.95516839548321</v>
      </c>
      <c r="AD247" s="494">
        <f t="shared" si="243"/>
        <v>467.28289948792019</v>
      </c>
      <c r="AE247" s="494">
        <f t="shared" si="243"/>
        <v>476.97480359331234</v>
      </c>
      <c r="AF247" s="494">
        <f t="shared" si="243"/>
        <v>626.05042016806726</v>
      </c>
      <c r="AG247" s="494">
        <f t="shared" si="243"/>
        <v>661.40054654674373</v>
      </c>
      <c r="AH247" s="494">
        <f t="shared" si="243"/>
        <v>623.9215412727591</v>
      </c>
      <c r="AI247" s="494">
        <f t="shared" si="243"/>
        <v>520.89635170474446</v>
      </c>
      <c r="AJ247" s="494">
        <f t="shared" si="243"/>
        <v>482.46499283307077</v>
      </c>
      <c r="AK247" s="494">
        <f t="shared" si="243"/>
        <v>420.84034297312678</v>
      </c>
      <c r="AL247" s="494">
        <f t="shared" ref="AL247:BO247" si="244">AL25/AL$99</f>
        <v>469.74789915966392</v>
      </c>
      <c r="AM247" s="494">
        <f t="shared" si="244"/>
        <v>626.89075630252103</v>
      </c>
      <c r="AN247" s="494">
        <f t="shared" si="244"/>
        <v>782.07282913165261</v>
      </c>
      <c r="AO247" s="494">
        <f t="shared" si="244"/>
        <v>1176.7507002801119</v>
      </c>
      <c r="AP247" s="494">
        <f t="shared" si="244"/>
        <v>1541.5126050420167</v>
      </c>
      <c r="AQ247" s="494">
        <f t="shared" si="244"/>
        <v>2222.3529411764707</v>
      </c>
      <c r="AR247" s="494">
        <f t="shared" si="244"/>
        <v>3018.9355742296921</v>
      </c>
      <c r="AS247" s="494">
        <f t="shared" si="244"/>
        <v>10885.938375350139</v>
      </c>
      <c r="AT247" s="494">
        <f t="shared" si="244"/>
        <v>49105.546218487398</v>
      </c>
      <c r="AU247" s="494">
        <f t="shared" si="244"/>
        <v>570.67462816751436</v>
      </c>
      <c r="AV247" s="494">
        <f t="shared" si="244"/>
        <v>663.22508877951532</v>
      </c>
      <c r="AW247" s="494">
        <f t="shared" si="244"/>
        <v>584.63092269326683</v>
      </c>
      <c r="AX247" s="494">
        <f t="shared" si="244"/>
        <v>533.49526184538649</v>
      </c>
      <c r="AY247" s="494">
        <f t="shared" si="244"/>
        <v>447.33969066170482</v>
      </c>
      <c r="AZ247" s="494">
        <f t="shared" si="244"/>
        <v>435.44220764532912</v>
      </c>
      <c r="BA247" s="494">
        <f t="shared" si="244"/>
        <v>474.01790222630245</v>
      </c>
      <c r="BB247" s="494">
        <f t="shared" si="244"/>
        <v>484.99882816661341</v>
      </c>
      <c r="BC247" s="494">
        <f t="shared" si="244"/>
        <v>657.62407744656377</v>
      </c>
      <c r="BD247" s="494">
        <f t="shared" si="244"/>
        <v>858.96224028906954</v>
      </c>
      <c r="BE247" s="494">
        <f t="shared" ca="1" si="244"/>
        <v>962.77005973976088</v>
      </c>
      <c r="BF247" s="494">
        <f t="shared" ca="1" si="244"/>
        <v>1040.5161206673918</v>
      </c>
      <c r="BG247" s="494">
        <f t="shared" ca="1" si="244"/>
        <v>1112.4830086911536</v>
      </c>
      <c r="BH247" s="494">
        <f t="shared" ca="1" si="244"/>
        <v>1184.7414946876129</v>
      </c>
      <c r="BI247" s="494">
        <f t="shared" ca="1" si="244"/>
        <v>1257.2210604637448</v>
      </c>
      <c r="BJ247" s="494">
        <f t="shared" ca="1" si="244"/>
        <v>1331.6927234098591</v>
      </c>
      <c r="BK247" s="494">
        <f t="shared" ca="1" si="244"/>
        <v>1410.1070931567874</v>
      </c>
      <c r="BL247" s="494">
        <f t="shared" ca="1" si="244"/>
        <v>1493.3675505462209</v>
      </c>
      <c r="BM247" s="494">
        <f t="shared" ca="1" si="244"/>
        <v>1580.9615813972698</v>
      </c>
      <c r="BN247" s="494">
        <f t="shared" ca="1" si="244"/>
        <v>1673.2487853693083</v>
      </c>
      <c r="BO247" s="494">
        <f t="shared" ca="1" si="244"/>
        <v>1770.1285980187117</v>
      </c>
      <c r="BP247" s="503"/>
      <c r="BQ247" s="493">
        <f t="shared" si="236"/>
        <v>0</v>
      </c>
      <c r="BR247" s="493">
        <f t="shared" ca="1" si="236"/>
        <v>0</v>
      </c>
      <c r="BS247" s="493">
        <f t="shared" ca="1" si="236"/>
        <v>0</v>
      </c>
      <c r="BT247" s="493">
        <f t="shared" ca="1" si="236"/>
        <v>-5.0022208597511053E-12</v>
      </c>
      <c r="BU247" s="493">
        <f t="shared" ca="1" si="236"/>
        <v>-5.3432813729159534E-11</v>
      </c>
      <c r="BV247" s="493">
        <f t="shared" ca="1" si="236"/>
        <v>-4.6406967157963663E-10</v>
      </c>
      <c r="BW247" s="493">
        <f t="shared" ca="1" si="236"/>
        <v>-3.1604940886609256E-9</v>
      </c>
      <c r="BX247" s="493">
        <f t="shared" ca="1" si="236"/>
        <v>-1.7605316315894015E-8</v>
      </c>
      <c r="BY247" s="493">
        <f t="shared" ca="1" si="236"/>
        <v>-8.2714223026414402E-8</v>
      </c>
      <c r="BZ247" s="493">
        <f t="shared" ca="1" si="236"/>
        <v>-3.3622450246184599E-7</v>
      </c>
      <c r="CA247" s="493">
        <f t="shared" ca="1" si="236"/>
        <v>-1.2038208296871744E-6</v>
      </c>
      <c r="CB247" s="493">
        <f t="shared" ca="1" si="236"/>
        <v>-3.8834430142742349E-6</v>
      </c>
      <c r="CD247" s="496">
        <v>858.96224028906954</v>
      </c>
      <c r="CE247" s="496">
        <v>962.77005973976088</v>
      </c>
      <c r="CF247" s="496">
        <v>1040.5161206673922</v>
      </c>
      <c r="CG247" s="496">
        <v>1112.4830086911586</v>
      </c>
      <c r="CH247" s="496">
        <v>1184.7414946876663</v>
      </c>
      <c r="CI247" s="496">
        <v>1257.2210604642089</v>
      </c>
      <c r="CJ247" s="496">
        <v>1331.6927234130196</v>
      </c>
      <c r="CK247" s="496">
        <v>1410.1070931743927</v>
      </c>
      <c r="CL247" s="496">
        <v>1493.3675506289351</v>
      </c>
      <c r="CM247" s="496">
        <v>1580.9615817334943</v>
      </c>
      <c r="CN247" s="496">
        <v>1673.2487865731291</v>
      </c>
      <c r="CO247" s="496">
        <v>1770.1286019021547</v>
      </c>
    </row>
    <row r="248" spans="1:93" s="493" customFormat="1" ht="15.75">
      <c r="A248" s="447" t="s">
        <v>902</v>
      </c>
      <c r="B248" s="447"/>
      <c r="C248" s="442" t="s">
        <v>39</v>
      </c>
      <c r="E248" s="494"/>
      <c r="F248" s="494">
        <f t="shared" ref="F248:AK248" si="245">F26/F$99</f>
        <v>0.21220159151193635</v>
      </c>
      <c r="G248" s="494">
        <f t="shared" si="245"/>
        <v>0.21220159151193635</v>
      </c>
      <c r="H248" s="494">
        <f t="shared" si="245"/>
        <v>0.5305039787798409</v>
      </c>
      <c r="I248" s="494">
        <f t="shared" si="245"/>
        <v>0.58355438930602532</v>
      </c>
      <c r="J248" s="494">
        <f t="shared" si="245"/>
        <v>0.5305039787798409</v>
      </c>
      <c r="K248" s="494">
        <f t="shared" si="245"/>
        <v>0.5305039787798409</v>
      </c>
      <c r="L248" s="494">
        <f t="shared" si="245"/>
        <v>0.79575596816976135</v>
      </c>
      <c r="M248" s="494">
        <f t="shared" si="245"/>
        <v>0.90185678922213042</v>
      </c>
      <c r="N248" s="494">
        <f t="shared" si="245"/>
        <v>0.95490713650731263</v>
      </c>
      <c r="O248" s="494">
        <f t="shared" si="245"/>
        <v>1.0610079575596818</v>
      </c>
      <c r="P248" s="494">
        <f t="shared" si="245"/>
        <v>0.79575596816976135</v>
      </c>
      <c r="Q248" s="494">
        <f t="shared" si="245"/>
        <v>0.74270555764357671</v>
      </c>
      <c r="R248" s="494">
        <f t="shared" si="245"/>
        <v>0.95490713650731263</v>
      </c>
      <c r="S248" s="494">
        <f t="shared" si="245"/>
        <v>1.3262599469496021</v>
      </c>
      <c r="T248" s="494">
        <f t="shared" si="245"/>
        <v>1.6976127573918915</v>
      </c>
      <c r="U248" s="494">
        <f t="shared" si="245"/>
        <v>2.228116609689728</v>
      </c>
      <c r="V248" s="494">
        <f t="shared" si="245"/>
        <v>1.9628647467818121</v>
      </c>
      <c r="W248" s="494">
        <f t="shared" si="245"/>
        <v>2.1750662624045458</v>
      </c>
      <c r="X248" s="494">
        <f t="shared" si="245"/>
        <v>2.9691877819242936</v>
      </c>
      <c r="Y248" s="494">
        <f t="shared" si="245"/>
        <v>2.5770307588977972</v>
      </c>
      <c r="Z248" s="494">
        <f t="shared" si="245"/>
        <v>3.0252101374607459</v>
      </c>
      <c r="AA248" s="494">
        <f t="shared" si="245"/>
        <v>5.9943976522493774</v>
      </c>
      <c r="AB248" s="494">
        <f t="shared" si="245"/>
        <v>9.8599441912995669</v>
      </c>
      <c r="AC248" s="494">
        <f t="shared" si="245"/>
        <v>15.742297132476038</v>
      </c>
      <c r="AD248" s="494">
        <f t="shared" si="245"/>
        <v>8.7394960120278586</v>
      </c>
      <c r="AE248" s="494">
        <f t="shared" si="245"/>
        <v>10.420168280935421</v>
      </c>
      <c r="AF248" s="494">
        <f t="shared" si="245"/>
        <v>15.014005174823836</v>
      </c>
      <c r="AG248" s="494">
        <f t="shared" si="245"/>
        <v>12.941176684296765</v>
      </c>
      <c r="AH248" s="494">
        <f t="shared" si="245"/>
        <v>15.238095665512299</v>
      </c>
      <c r="AI248" s="494">
        <f t="shared" si="245"/>
        <v>13.221288729114693</v>
      </c>
      <c r="AJ248" s="494">
        <f t="shared" si="245"/>
        <v>8.9075628115015544</v>
      </c>
      <c r="AK248" s="494">
        <f t="shared" si="245"/>
        <v>10.252100412919074</v>
      </c>
      <c r="AL248" s="494">
        <f t="shared" ref="AL248:BO248" si="246">AL26/AL$99</f>
        <v>9.1316522336473653</v>
      </c>
      <c r="AM248" s="494">
        <f t="shared" si="246"/>
        <v>10.812324502554928</v>
      </c>
      <c r="AN248" s="494">
        <f t="shared" si="246"/>
        <v>10.644257703081232</v>
      </c>
      <c r="AO248" s="494">
        <f t="shared" si="246"/>
        <v>14.397759531058517</v>
      </c>
      <c r="AP248" s="494">
        <f t="shared" si="246"/>
        <v>14.509803921568627</v>
      </c>
      <c r="AQ248" s="494">
        <f t="shared" si="246"/>
        <v>15.126050420168069</v>
      </c>
      <c r="AR248" s="494">
        <f t="shared" si="246"/>
        <v>12.492997198879552</v>
      </c>
      <c r="AS248" s="494">
        <f t="shared" si="246"/>
        <v>168.73949579831933</v>
      </c>
      <c r="AT248" s="494">
        <f t="shared" si="246"/>
        <v>1758.7675070028013</v>
      </c>
      <c r="AU248" s="494">
        <f t="shared" si="246"/>
        <v>15.799227449336762</v>
      </c>
      <c r="AV248" s="494">
        <f t="shared" si="246"/>
        <v>25.516416422652796</v>
      </c>
      <c r="AW248" s="494">
        <f t="shared" si="246"/>
        <v>19.305486284289277</v>
      </c>
      <c r="AX248" s="494">
        <f t="shared" si="246"/>
        <v>22.473566084788025</v>
      </c>
      <c r="AY248" s="494">
        <f t="shared" si="246"/>
        <v>17.47238050936155</v>
      </c>
      <c r="AZ248" s="494">
        <f t="shared" si="246"/>
        <v>32.787453818894669</v>
      </c>
      <c r="BA248" s="494">
        <f t="shared" si="246"/>
        <v>10.437915997245812</v>
      </c>
      <c r="BB248" s="494">
        <f t="shared" si="246"/>
        <v>13.7</v>
      </c>
      <c r="BC248" s="494">
        <f t="shared" ca="1" si="246"/>
        <v>12.802592300740049</v>
      </c>
      <c r="BD248" s="494">
        <f t="shared" ca="1" si="246"/>
        <v>14.46429780558508</v>
      </c>
      <c r="BE248" s="494">
        <f t="shared" ca="1" si="246"/>
        <v>15.536077858935965</v>
      </c>
      <c r="BF248" s="494">
        <f t="shared" ca="1" si="246"/>
        <v>16.448365217858274</v>
      </c>
      <c r="BG248" s="494">
        <f t="shared" ca="1" si="246"/>
        <v>17.285755794045429</v>
      </c>
      <c r="BH248" s="494">
        <f t="shared" ca="1" si="246"/>
        <v>18.100551895457347</v>
      </c>
      <c r="BI248" s="494">
        <f t="shared" ca="1" si="246"/>
        <v>18.920818626343479</v>
      </c>
      <c r="BJ248" s="494">
        <f t="shared" ca="1" si="246"/>
        <v>19.762543734801095</v>
      </c>
      <c r="BK248" s="494">
        <f t="shared" ca="1" si="246"/>
        <v>20.636442193573117</v>
      </c>
      <c r="BL248" s="494">
        <f t="shared" ca="1" si="246"/>
        <v>21.549661603015899</v>
      </c>
      <c r="BM248" s="494">
        <f t="shared" ca="1" si="246"/>
        <v>22.506280889514176</v>
      </c>
      <c r="BN248" s="494">
        <f t="shared" ca="1" si="246"/>
        <v>23.50951708549259</v>
      </c>
      <c r="BO248" s="494">
        <f t="shared" ca="1" si="246"/>
        <v>24.562135104130938</v>
      </c>
      <c r="BP248" s="503"/>
      <c r="BQ248" s="493">
        <f ca="1">+BD248-CD248</f>
        <v>0</v>
      </c>
      <c r="BR248" s="493">
        <f t="shared" ca="1" si="236"/>
        <v>0</v>
      </c>
      <c r="BS248" s="493">
        <f t="shared" ca="1" si="236"/>
        <v>0</v>
      </c>
      <c r="BT248" s="493">
        <f t="shared" ca="1" si="236"/>
        <v>-8.1712414612411521E-14</v>
      </c>
      <c r="BU248" s="493">
        <f t="shared" ca="1" si="236"/>
        <v>-9.4146912488213275E-13</v>
      </c>
      <c r="BV248" s="493">
        <f t="shared" ca="1" si="236"/>
        <v>-8.1001871876651421E-12</v>
      </c>
      <c r="BW248" s="493">
        <f t="shared" ca="1" si="236"/>
        <v>-5.4640736379951704E-11</v>
      </c>
      <c r="BX248" s="493">
        <f t="shared" ca="1" si="236"/>
        <v>-3.014442029325437E-10</v>
      </c>
      <c r="BY248" s="493">
        <f t="shared" ca="1" si="236"/>
        <v>-1.4020997696206905E-9</v>
      </c>
      <c r="BZ248" s="493">
        <f t="shared" ca="1" si="236"/>
        <v>-5.6387570168681123E-9</v>
      </c>
      <c r="CA248" s="493">
        <f t="shared" ca="1" si="236"/>
        <v>-1.9973061426981076E-8</v>
      </c>
      <c r="CB248" s="493">
        <f t="shared" ca="1" si="236"/>
        <v>-6.3643422976156216E-8</v>
      </c>
      <c r="CD248" s="496">
        <v>14.46429780558508</v>
      </c>
      <c r="CE248" s="496">
        <v>15.536077858935965</v>
      </c>
      <c r="CF248" s="496">
        <v>16.448365217858274</v>
      </c>
      <c r="CG248" s="496">
        <v>17.28575579404551</v>
      </c>
      <c r="CH248" s="496">
        <v>18.100551895458288</v>
      </c>
      <c r="CI248" s="496">
        <v>18.920818626351579</v>
      </c>
      <c r="CJ248" s="496">
        <v>19.762543734855736</v>
      </c>
      <c r="CK248" s="496">
        <v>20.636442193874561</v>
      </c>
      <c r="CL248" s="496">
        <v>21.549661604417999</v>
      </c>
      <c r="CM248" s="496">
        <v>22.506280895152933</v>
      </c>
      <c r="CN248" s="496">
        <v>23.509517105465651</v>
      </c>
      <c r="CO248" s="496">
        <v>24.562135167774361</v>
      </c>
    </row>
    <row r="249" spans="1:93" s="493" customFormat="1" ht="15.75">
      <c r="A249" s="447" t="s">
        <v>904</v>
      </c>
      <c r="B249" s="447"/>
      <c r="C249" s="442" t="s">
        <v>39</v>
      </c>
      <c r="E249" s="494"/>
      <c r="F249" s="494">
        <f t="shared" ref="F249:AK249" si="247">F27/F$99</f>
        <v>0.47745358090185674</v>
      </c>
      <c r="G249" s="494">
        <f t="shared" si="247"/>
        <v>0.58355437665782495</v>
      </c>
      <c r="H249" s="494">
        <f t="shared" si="247"/>
        <v>0.79575596816976135</v>
      </c>
      <c r="I249" s="494">
        <f t="shared" si="247"/>
        <v>0.95490713650731263</v>
      </c>
      <c r="J249" s="494">
        <f t="shared" si="247"/>
        <v>1.5384615890543405</v>
      </c>
      <c r="K249" s="494">
        <f t="shared" si="247"/>
        <v>1.3262599469496021</v>
      </c>
      <c r="L249" s="494">
        <f t="shared" si="247"/>
        <v>1.5384615890543405</v>
      </c>
      <c r="M249" s="494">
        <f t="shared" si="247"/>
        <v>1.6976127573918915</v>
      </c>
      <c r="N249" s="494">
        <f t="shared" si="247"/>
        <v>2.228116609689728</v>
      </c>
      <c r="O249" s="494">
        <f t="shared" si="247"/>
        <v>2.228116609689728</v>
      </c>
      <c r="P249" s="494">
        <f t="shared" si="247"/>
        <v>2.5994695466140221</v>
      </c>
      <c r="Q249" s="494">
        <f t="shared" si="247"/>
        <v>2.9708222305743068</v>
      </c>
      <c r="R249" s="494">
        <f t="shared" si="247"/>
        <v>3.5543765566393297</v>
      </c>
      <c r="S249" s="494">
        <f t="shared" si="247"/>
        <v>3.9257294935636242</v>
      </c>
      <c r="T249" s="494">
        <f t="shared" si="247"/>
        <v>4.615384514199012</v>
      </c>
      <c r="U249" s="494">
        <f t="shared" si="247"/>
        <v>5.8355437665782492</v>
      </c>
      <c r="V249" s="494">
        <f t="shared" si="247"/>
        <v>8.5411142607266459</v>
      </c>
      <c r="W249" s="494">
        <f t="shared" si="247"/>
        <v>9.2307690283980239</v>
      </c>
      <c r="X249" s="494">
        <f t="shared" si="247"/>
        <v>12.212884726644564</v>
      </c>
      <c r="Y249" s="494">
        <f t="shared" si="247"/>
        <v>16.358543844784005</v>
      </c>
      <c r="Z249" s="494">
        <f t="shared" si="247"/>
        <v>27.2268899014684</v>
      </c>
      <c r="AA249" s="494">
        <f t="shared" si="247"/>
        <v>34.22969102191658</v>
      </c>
      <c r="AB249" s="494">
        <f t="shared" si="247"/>
        <v>16.246498599439779</v>
      </c>
      <c r="AC249" s="494">
        <f t="shared" si="247"/>
        <v>19.047619047619051</v>
      </c>
      <c r="AD249" s="494">
        <f t="shared" si="247"/>
        <v>22.969187675070032</v>
      </c>
      <c r="AE249" s="494">
        <f t="shared" si="247"/>
        <v>31.876751555114236</v>
      </c>
      <c r="AF249" s="494">
        <f t="shared" si="247"/>
        <v>33.557423824021797</v>
      </c>
      <c r="AG249" s="494">
        <f t="shared" si="247"/>
        <v>28.851540616246499</v>
      </c>
      <c r="AH249" s="494">
        <f t="shared" si="247"/>
        <v>35.518208137747287</v>
      </c>
      <c r="AI249" s="494">
        <f t="shared" si="247"/>
        <v>34.509803066734506</v>
      </c>
      <c r="AJ249" s="494">
        <f t="shared" si="247"/>
        <v>16.638655889601935</v>
      </c>
      <c r="AK249" s="494">
        <f t="shared" si="247"/>
        <v>13.445378151260504</v>
      </c>
      <c r="AL249" s="494">
        <f t="shared" ref="AL249:BO249" si="248">AL27/AL$99</f>
        <v>11.820728505025059</v>
      </c>
      <c r="AM249" s="494">
        <f t="shared" si="248"/>
        <v>8.2352940107927939</v>
      </c>
      <c r="AN249" s="494">
        <f t="shared" si="248"/>
        <v>9.5238095238095255</v>
      </c>
      <c r="AO249" s="494">
        <f t="shared" si="248"/>
        <v>10.028010990773263</v>
      </c>
      <c r="AP249" s="494">
        <f t="shared" si="248"/>
        <v>12.268907563025211</v>
      </c>
      <c r="AQ249" s="494">
        <f t="shared" si="248"/>
        <v>16.246498599439779</v>
      </c>
      <c r="AR249" s="494">
        <f t="shared" si="248"/>
        <v>11.484593837535016</v>
      </c>
      <c r="AS249" s="494">
        <f t="shared" si="248"/>
        <v>64.705882352941188</v>
      </c>
      <c r="AT249" s="494">
        <f t="shared" si="248"/>
        <v>352.71708683473395</v>
      </c>
      <c r="AU249" s="494">
        <f t="shared" si="248"/>
        <v>3.4447603620340059</v>
      </c>
      <c r="AV249" s="494">
        <f t="shared" si="248"/>
        <v>7.5763503831536978</v>
      </c>
      <c r="AW249" s="494">
        <f t="shared" si="248"/>
        <v>10.989276807980049</v>
      </c>
      <c r="AX249" s="494">
        <f t="shared" si="248"/>
        <v>10.692269326683292</v>
      </c>
      <c r="AY249" s="494">
        <f t="shared" si="248"/>
        <v>14.926735666938013</v>
      </c>
      <c r="AZ249" s="494">
        <f t="shared" si="248"/>
        <v>22.051572042524317</v>
      </c>
      <c r="BA249" s="494">
        <f t="shared" si="248"/>
        <v>23.02180399357356</v>
      </c>
      <c r="BB249" s="494">
        <f t="shared" si="248"/>
        <v>9.9</v>
      </c>
      <c r="BC249" s="494">
        <f t="shared" ca="1" si="248"/>
        <v>20.149587041663516</v>
      </c>
      <c r="BD249" s="494">
        <f t="shared" ca="1" si="248"/>
        <v>16.241627300825773</v>
      </c>
      <c r="BE249" s="494">
        <f t="shared" ca="1" si="248"/>
        <v>19.560559857130073</v>
      </c>
      <c r="BF249" s="494">
        <f t="shared" ca="1" si="248"/>
        <v>19.416483634549905</v>
      </c>
      <c r="BG249" s="494">
        <f t="shared" ca="1" si="248"/>
        <v>20.9645474880619</v>
      </c>
      <c r="BH249" s="494">
        <f t="shared" ca="1" si="248"/>
        <v>21.48240300249261</v>
      </c>
      <c r="BI249" s="494">
        <f t="shared" ca="1" si="248"/>
        <v>22.472143822919815</v>
      </c>
      <c r="BJ249" s="494">
        <f t="shared" ca="1" si="248"/>
        <v>23.177287002742528</v>
      </c>
      <c r="BK249" s="494">
        <f t="shared" ca="1" si="248"/>
        <v>24.100609083355103</v>
      </c>
      <c r="BL249" s="494">
        <f t="shared" ca="1" si="248"/>
        <v>24.952558282086603</v>
      </c>
      <c r="BM249" s="494">
        <f t="shared" ca="1" si="248"/>
        <v>25.859939452112435</v>
      </c>
      <c r="BN249" s="494">
        <f t="shared" ca="1" si="248"/>
        <v>26.774434609258876</v>
      </c>
      <c r="BO249" s="494">
        <f t="shared" ca="1" si="248"/>
        <v>27.698941217377499</v>
      </c>
      <c r="BP249" s="503"/>
      <c r="BQ249" s="493">
        <f ca="1">+BD249-CD249</f>
        <v>0</v>
      </c>
      <c r="BR249" s="493">
        <f t="shared" ca="1" si="236"/>
        <v>0</v>
      </c>
      <c r="BS249" s="493">
        <f t="shared" ca="1" si="236"/>
        <v>-2.8421709430404007E-14</v>
      </c>
      <c r="BT249" s="493">
        <f t="shared" ca="1" si="236"/>
        <v>-4.0856207306205761E-13</v>
      </c>
      <c r="BU249" s="493">
        <f t="shared" ca="1" si="236"/>
        <v>-4.5190517994342372E-12</v>
      </c>
      <c r="BV249" s="493">
        <f t="shared" ca="1" si="236"/>
        <v>-3.765876499528531E-11</v>
      </c>
      <c r="BW249" s="493">
        <f t="shared" ca="1" si="236"/>
        <v>-2.4498802986272494E-10</v>
      </c>
      <c r="BX249" s="493">
        <f t="shared" ca="1" si="236"/>
        <v>-1.3107772645071236E-9</v>
      </c>
      <c r="BY249" s="493">
        <f t="shared" ca="1" si="236"/>
        <v>-5.8954050530246604E-9</v>
      </c>
      <c r="BZ249" s="493">
        <f t="shared" ca="1" si="236"/>
        <v>-2.2963753565363731E-8</v>
      </c>
      <c r="CA249" s="493">
        <f t="shared" ca="1" si="236"/>
        <v>-7.8749412324441437E-8</v>
      </c>
      <c r="CB249" s="493">
        <f t="shared" ca="1" si="236"/>
        <v>-2.4360050687732837E-7</v>
      </c>
      <c r="CD249" s="496">
        <v>16.241627300825773</v>
      </c>
      <c r="CE249" s="496">
        <v>19.560559857130073</v>
      </c>
      <c r="CF249" s="496">
        <v>19.416483634549934</v>
      </c>
      <c r="CG249" s="496">
        <v>20.964547488062308</v>
      </c>
      <c r="CH249" s="496">
        <v>21.482403002497129</v>
      </c>
      <c r="CI249" s="496">
        <v>22.472143822957474</v>
      </c>
      <c r="CJ249" s="496">
        <v>23.177287002987516</v>
      </c>
      <c r="CK249" s="496">
        <v>24.10060908466588</v>
      </c>
      <c r="CL249" s="496">
        <v>24.952558287982008</v>
      </c>
      <c r="CM249" s="496">
        <v>25.859939475076189</v>
      </c>
      <c r="CN249" s="496">
        <v>26.774434688008288</v>
      </c>
      <c r="CO249" s="496">
        <v>27.698941460978006</v>
      </c>
    </row>
    <row r="250" spans="1:93" s="493" customFormat="1" ht="15.75">
      <c r="A250" s="447" t="s">
        <v>906</v>
      </c>
      <c r="B250" s="447"/>
      <c r="C250" s="442" t="s">
        <v>39</v>
      </c>
      <c r="E250" s="494"/>
      <c r="F250" s="494">
        <f t="shared" ref="F250:AK250" si="249">F28/F$99</f>
        <v>0.10610079575596817</v>
      </c>
      <c r="G250" s="494">
        <f t="shared" si="249"/>
        <v>0.10610079575596817</v>
      </c>
      <c r="H250" s="494">
        <f t="shared" si="249"/>
        <v>0.21220159467398644</v>
      </c>
      <c r="I250" s="494">
        <f t="shared" si="249"/>
        <v>0.26525198938992045</v>
      </c>
      <c r="J250" s="494">
        <f t="shared" si="249"/>
        <v>0.47745356825365631</v>
      </c>
      <c r="K250" s="494">
        <f t="shared" si="249"/>
        <v>0.63660479983220997</v>
      </c>
      <c r="L250" s="494">
        <f t="shared" si="249"/>
        <v>0.95490713650731263</v>
      </c>
      <c r="M250" s="494">
        <f t="shared" si="249"/>
        <v>1.114058304844864</v>
      </c>
      <c r="N250" s="494">
        <f t="shared" si="249"/>
        <v>1.5915119363395227</v>
      </c>
      <c r="O250" s="494">
        <f t="shared" si="249"/>
        <v>2.3872679045092835</v>
      </c>
      <c r="P250" s="494">
        <f t="shared" si="249"/>
        <v>2.3872679045092835</v>
      </c>
      <c r="Q250" s="494">
        <f t="shared" si="249"/>
        <v>3.2891245672494098</v>
      </c>
      <c r="R250" s="494">
        <f t="shared" si="249"/>
        <v>3.1830238726790454</v>
      </c>
      <c r="S250" s="494">
        <f t="shared" si="249"/>
        <v>3.1830238726790454</v>
      </c>
      <c r="T250" s="494">
        <f t="shared" si="249"/>
        <v>3.2360742199642276</v>
      </c>
      <c r="U250" s="494">
        <f t="shared" si="249"/>
        <v>3.076923178108681</v>
      </c>
      <c r="V250" s="494">
        <f t="shared" si="249"/>
        <v>1.5384615890543405</v>
      </c>
      <c r="W250" s="494">
        <f t="shared" si="249"/>
        <v>1.6976127573918915</v>
      </c>
      <c r="X250" s="494">
        <f t="shared" si="249"/>
        <v>2.2408963585434174</v>
      </c>
      <c r="Y250" s="494">
        <f t="shared" si="249"/>
        <v>2.9691877819242936</v>
      </c>
      <c r="Z250" s="494">
        <f t="shared" si="249"/>
        <v>3.8095239163780747</v>
      </c>
      <c r="AA250" s="494">
        <f t="shared" si="249"/>
        <v>3.9215686274509807</v>
      </c>
      <c r="AB250" s="494">
        <f t="shared" si="249"/>
        <v>3.9775909829874334</v>
      </c>
      <c r="AC250" s="494">
        <f t="shared" si="249"/>
        <v>3.5294118715601481</v>
      </c>
      <c r="AD250" s="494">
        <f t="shared" si="249"/>
        <v>3.7535012937059591</v>
      </c>
      <c r="AE250" s="494">
        <f t="shared" si="249"/>
        <v>4.5938374281597412</v>
      </c>
      <c r="AF250" s="494">
        <f t="shared" si="249"/>
        <v>4.2016806722689077</v>
      </c>
      <c r="AG250" s="494">
        <f t="shared" si="249"/>
        <v>3.6974789381695063</v>
      </c>
      <c r="AH250" s="494">
        <f t="shared" si="249"/>
        <v>3.0252101374607459</v>
      </c>
      <c r="AI250" s="494">
        <f t="shared" si="249"/>
        <v>1.5686274242668259</v>
      </c>
      <c r="AJ250" s="494">
        <f t="shared" si="249"/>
        <v>1.2324930239124459</v>
      </c>
      <c r="AK250" s="494">
        <f t="shared" si="249"/>
        <v>0.95238097909451869</v>
      </c>
      <c r="AL250" s="494">
        <f t="shared" ref="AL250:BO250" si="250">AL28/AL$99</f>
        <v>0.78431371213341294</v>
      </c>
      <c r="AM250" s="494">
        <f t="shared" si="250"/>
        <v>1.0644257569513402</v>
      </c>
      <c r="AN250" s="494">
        <f t="shared" si="250"/>
        <v>1.680672268907563</v>
      </c>
      <c r="AO250" s="494">
        <f t="shared" si="250"/>
        <v>0.84033613445378152</v>
      </c>
      <c r="AP250" s="494">
        <f t="shared" si="250"/>
        <v>1.2324929971988796</v>
      </c>
      <c r="AQ250" s="494">
        <f t="shared" si="250"/>
        <v>1.7366946778711485</v>
      </c>
      <c r="AR250" s="494">
        <f t="shared" si="250"/>
        <v>1.6246498599439776</v>
      </c>
      <c r="AS250" s="494">
        <f t="shared" si="250"/>
        <v>47.002801120448183</v>
      </c>
      <c r="AT250" s="494">
        <f t="shared" si="250"/>
        <v>117.75910364145659</v>
      </c>
      <c r="AU250" s="494">
        <f t="shared" si="250"/>
        <v>1.1284676989997622</v>
      </c>
      <c r="AV250" s="494">
        <f t="shared" si="250"/>
        <v>1.3305090025543578</v>
      </c>
      <c r="AW250" s="494">
        <f t="shared" si="250"/>
        <v>1.1880299251870323</v>
      </c>
      <c r="AX250" s="494">
        <f t="shared" si="250"/>
        <v>0.7920199501246884</v>
      </c>
      <c r="AY250" s="494">
        <f t="shared" si="250"/>
        <v>1.1571112920106987</v>
      </c>
      <c r="AZ250" s="494">
        <f t="shared" si="250"/>
        <v>1.1618789112568799</v>
      </c>
      <c r="BA250" s="494">
        <f t="shared" si="250"/>
        <v>1.146660546247418</v>
      </c>
      <c r="BB250" s="494">
        <f t="shared" si="250"/>
        <v>1.1266645360605092</v>
      </c>
      <c r="BC250" s="494">
        <f t="shared" si="250"/>
        <v>4.9377935397297037</v>
      </c>
      <c r="BD250" s="494">
        <f t="shared" si="250"/>
        <v>5.2704607046070464</v>
      </c>
      <c r="BE250" s="494">
        <f t="shared" ca="1" si="250"/>
        <v>5.6284610663699688</v>
      </c>
      <c r="BF250" s="494">
        <f t="shared" ca="1" si="250"/>
        <v>5.9100021313953555</v>
      </c>
      <c r="BG250" s="494">
        <f t="shared" ca="1" si="250"/>
        <v>6.1510635942541159</v>
      </c>
      <c r="BH250" s="494">
        <f t="shared" ca="1" si="250"/>
        <v>6.373654719235418</v>
      </c>
      <c r="BI250" s="494">
        <f t="shared" ca="1" si="250"/>
        <v>6.5891752697079768</v>
      </c>
      <c r="BJ250" s="494">
        <f t="shared" ca="1" si="250"/>
        <v>6.8037419688362508</v>
      </c>
      <c r="BK250" s="494">
        <f t="shared" ca="1" si="250"/>
        <v>7.0211227284424416</v>
      </c>
      <c r="BL250" s="494">
        <f t="shared" ca="1" si="250"/>
        <v>7.2435145457453975</v>
      </c>
      <c r="BM250" s="494">
        <f t="shared" ca="1" si="250"/>
        <v>7.4718408106341183</v>
      </c>
      <c r="BN250" s="494">
        <f t="shared" ca="1" si="250"/>
        <v>7.7066314845762998</v>
      </c>
      <c r="BO250" s="494">
        <f t="shared" ca="1" si="250"/>
        <v>7.948192989401333</v>
      </c>
      <c r="BP250" s="503"/>
      <c r="BQ250" s="493">
        <f t="shared" si="236"/>
        <v>0</v>
      </c>
      <c r="BR250" s="493">
        <f t="shared" ca="1" si="236"/>
        <v>0</v>
      </c>
      <c r="BS250" s="493">
        <f t="shared" ca="1" si="236"/>
        <v>0</v>
      </c>
      <c r="BT250" s="493">
        <f t="shared" ca="1" si="236"/>
        <v>-3.907985046680551E-14</v>
      </c>
      <c r="BU250" s="493">
        <f t="shared" ca="1" si="236"/>
        <v>-4.4408920985006262E-13</v>
      </c>
      <c r="BV250" s="493">
        <f t="shared" ca="1" si="236"/>
        <v>-3.7614356074300304E-12</v>
      </c>
      <c r="BW250" s="493">
        <f t="shared" ca="1" si="236"/>
        <v>-2.5094593070207338E-11</v>
      </c>
      <c r="BX250" s="493">
        <f t="shared" ca="1" si="236"/>
        <v>-1.3697221135089421E-10</v>
      </c>
      <c r="BY250" s="493">
        <f t="shared" ca="1" si="236"/>
        <v>-6.305151956098598E-10</v>
      </c>
      <c r="BZ250" s="493">
        <f t="shared" ca="1" si="236"/>
        <v>-2.5095729938584554E-9</v>
      </c>
      <c r="CA250" s="493">
        <f t="shared" ca="1" si="236"/>
        <v>-8.7976141927015306E-9</v>
      </c>
      <c r="CB250" s="493">
        <f t="shared" ca="1" si="236"/>
        <v>-2.7743690012016486E-8</v>
      </c>
      <c r="CD250" s="496">
        <v>5.2704607046070464</v>
      </c>
      <c r="CE250" s="496">
        <v>5.6284610663699688</v>
      </c>
      <c r="CF250" s="496">
        <v>5.9100021313953581</v>
      </c>
      <c r="CG250" s="496">
        <v>6.1510635942541549</v>
      </c>
      <c r="CH250" s="496">
        <v>6.3736547192358621</v>
      </c>
      <c r="CI250" s="496">
        <v>6.5891752697117383</v>
      </c>
      <c r="CJ250" s="496">
        <v>6.8037419688613454</v>
      </c>
      <c r="CK250" s="496">
        <v>7.0211227285794138</v>
      </c>
      <c r="CL250" s="496">
        <v>7.2435145463759127</v>
      </c>
      <c r="CM250" s="496">
        <v>7.4718408131436913</v>
      </c>
      <c r="CN250" s="496">
        <v>7.706631493373914</v>
      </c>
      <c r="CO250" s="496">
        <v>7.948193017145023</v>
      </c>
    </row>
    <row r="251" spans="1:93" s="493" customFormat="1" ht="15.75">
      <c r="A251" s="447" t="s">
        <v>2715</v>
      </c>
      <c r="B251" s="447"/>
      <c r="C251" s="442" t="s">
        <v>39</v>
      </c>
      <c r="E251" s="494"/>
      <c r="F251" s="494">
        <f t="shared" ref="F251:AK251" si="251">F29/F$99</f>
        <v>4.1379310344827589</v>
      </c>
      <c r="G251" s="494">
        <f t="shared" si="251"/>
        <v>2.1750663129973473</v>
      </c>
      <c r="H251" s="494">
        <f t="shared" si="251"/>
        <v>5.6917666124095971</v>
      </c>
      <c r="I251" s="494">
        <f t="shared" si="251"/>
        <v>5.8615383482105852</v>
      </c>
      <c r="J251" s="494">
        <f t="shared" si="251"/>
        <v>4.7736549883369426</v>
      </c>
      <c r="K251" s="494">
        <f t="shared" si="251"/>
        <v>11.810610338610743</v>
      </c>
      <c r="L251" s="494">
        <f t="shared" si="251"/>
        <v>14.432074346972398</v>
      </c>
      <c r="M251" s="494">
        <f t="shared" si="251"/>
        <v>13.611883067325826</v>
      </c>
      <c r="N251" s="494">
        <f t="shared" si="251"/>
        <v>13.633357688033612</v>
      </c>
      <c r="O251" s="494">
        <f t="shared" si="251"/>
        <v>14.773071855701883</v>
      </c>
      <c r="P251" s="494">
        <f t="shared" si="251"/>
        <v>15.400795974529075</v>
      </c>
      <c r="Q251" s="494">
        <f t="shared" si="251"/>
        <v>15.720955319999067</v>
      </c>
      <c r="R251" s="494">
        <f t="shared" si="251"/>
        <v>17.194694296434641</v>
      </c>
      <c r="S251" s="494">
        <f t="shared" si="251"/>
        <v>21.874801676216428</v>
      </c>
      <c r="T251" s="494">
        <f t="shared" si="251"/>
        <v>38.129973474801062</v>
      </c>
      <c r="U251" s="494">
        <f t="shared" si="251"/>
        <v>43.363924304749673</v>
      </c>
      <c r="V251" s="494">
        <f t="shared" si="251"/>
        <v>41.544295495637854</v>
      </c>
      <c r="W251" s="494">
        <f t="shared" si="251"/>
        <v>46.392571325327417</v>
      </c>
      <c r="X251" s="494">
        <f t="shared" si="251"/>
        <v>44.761905616738886</v>
      </c>
      <c r="Y251" s="494">
        <f t="shared" si="251"/>
        <v>38.655462184873954</v>
      </c>
      <c r="Z251" s="494">
        <f t="shared" si="251"/>
        <v>35.910363290824144</v>
      </c>
      <c r="AA251" s="494">
        <f t="shared" si="251"/>
        <v>32.717087689568011</v>
      </c>
      <c r="AB251" s="494">
        <f t="shared" si="251"/>
        <v>44.369746189491423</v>
      </c>
      <c r="AC251" s="494">
        <f t="shared" si="251"/>
        <v>37.927169158679099</v>
      </c>
      <c r="AD251" s="494">
        <f t="shared" si="251"/>
        <v>34.341736267260814</v>
      </c>
      <c r="AE251" s="494">
        <f t="shared" si="251"/>
        <v>48.68347424418986</v>
      </c>
      <c r="AF251" s="494">
        <f t="shared" si="251"/>
        <v>37.030811470095855</v>
      </c>
      <c r="AG251" s="494">
        <f t="shared" si="251"/>
        <v>18.039216113691573</v>
      </c>
      <c r="AH251" s="494">
        <f t="shared" si="251"/>
        <v>24.929971988795518</v>
      </c>
      <c r="AI251" s="494">
        <f t="shared" si="251"/>
        <v>25.546217632560836</v>
      </c>
      <c r="AJ251" s="494">
        <f t="shared" si="251"/>
        <v>1.6246499133711103</v>
      </c>
      <c r="AK251" s="494">
        <f t="shared" si="251"/>
        <v>1.8487394690847532</v>
      </c>
      <c r="AL251" s="494">
        <f t="shared" ref="AL251:BO251" si="252">AL29/AL$99</f>
        <v>2.801120448179272</v>
      </c>
      <c r="AM251" s="494">
        <f t="shared" si="252"/>
        <v>4.817927384576878</v>
      </c>
      <c r="AN251" s="494">
        <f t="shared" si="252"/>
        <v>8.2913166334649091</v>
      </c>
      <c r="AO251" s="494">
        <f t="shared" si="252"/>
        <v>6.3305323197394197</v>
      </c>
      <c r="AP251" s="494">
        <f t="shared" si="252"/>
        <v>9.5238095238095255</v>
      </c>
      <c r="AQ251" s="494">
        <f t="shared" si="252"/>
        <v>10.868347338935573</v>
      </c>
      <c r="AR251" s="494">
        <f t="shared" si="252"/>
        <v>6.5546218487394956</v>
      </c>
      <c r="AS251" s="494">
        <f t="shared" si="252"/>
        <v>103.02521008403362</v>
      </c>
      <c r="AT251" s="494">
        <f t="shared" si="252"/>
        <v>444.53781512605042</v>
      </c>
      <c r="AU251" s="494">
        <f t="shared" si="252"/>
        <v>4.5014103014306919</v>
      </c>
      <c r="AV251" s="494">
        <f t="shared" si="252"/>
        <v>3.042302660270388</v>
      </c>
      <c r="AW251" s="494">
        <f t="shared" si="252"/>
        <v>8.7122194513715705</v>
      </c>
      <c r="AX251" s="494">
        <f t="shared" si="252"/>
        <v>6.1755610972568578</v>
      </c>
      <c r="AY251" s="494">
        <f t="shared" si="252"/>
        <v>7.6369345272706122</v>
      </c>
      <c r="AZ251" s="494">
        <f t="shared" si="252"/>
        <v>63.303928221367705</v>
      </c>
      <c r="BA251" s="494">
        <f t="shared" si="252"/>
        <v>110.6968097314666</v>
      </c>
      <c r="BB251" s="494">
        <f t="shared" si="252"/>
        <v>49.326515393629485</v>
      </c>
      <c r="BC251" s="494">
        <f t="shared" si="252"/>
        <v>55.725869836097004</v>
      </c>
      <c r="BD251" s="494">
        <f t="shared" si="252"/>
        <v>72.78988256549232</v>
      </c>
      <c r="BE251" s="494">
        <f t="shared" ca="1" si="252"/>
        <v>59.418623088415039</v>
      </c>
      <c r="BF251" s="494">
        <f t="shared" ca="1" si="252"/>
        <v>50.624270554228161</v>
      </c>
      <c r="BG251" s="494">
        <f t="shared" ca="1" si="252"/>
        <v>44.317472756114419</v>
      </c>
      <c r="BH251" s="494">
        <f t="shared" ca="1" si="252"/>
        <v>39.04227421746414</v>
      </c>
      <c r="BI251" s="494">
        <f t="shared" ca="1" si="252"/>
        <v>34.160599098377524</v>
      </c>
      <c r="BJ251" s="494">
        <f t="shared" ca="1" si="252"/>
        <v>29.674605561911989</v>
      </c>
      <c r="BK251" s="494">
        <f t="shared" ca="1" si="252"/>
        <v>25.412166380553721</v>
      </c>
      <c r="BL251" s="494">
        <f t="shared" ca="1" si="252"/>
        <v>21.344477660971222</v>
      </c>
      <c r="BM251" s="494">
        <f t="shared" ca="1" si="252"/>
        <v>17.359555128769081</v>
      </c>
      <c r="BN251" s="494">
        <f t="shared" ca="1" si="252"/>
        <v>13.428840595580052</v>
      </c>
      <c r="BO251" s="494">
        <f t="shared" ca="1" si="252"/>
        <v>12.188974903927429</v>
      </c>
      <c r="BP251" s="503"/>
      <c r="BQ251" s="493">
        <f t="shared" si="236"/>
        <v>0</v>
      </c>
      <c r="BR251" s="493">
        <f t="shared" ca="1" si="236"/>
        <v>0</v>
      </c>
      <c r="BS251" s="493">
        <f t="shared" ca="1" si="236"/>
        <v>0</v>
      </c>
      <c r="BT251" s="493">
        <f t="shared" ca="1" si="236"/>
        <v>1.4921397450962104E-13</v>
      </c>
      <c r="BU251" s="493">
        <f t="shared" ca="1" si="236"/>
        <v>1.6626700016786344E-12</v>
      </c>
      <c r="BV251" s="493">
        <f t="shared" ca="1" si="236"/>
        <v>1.4281908988778014E-11</v>
      </c>
      <c r="BW251" s="493">
        <f t="shared" ca="1" si="236"/>
        <v>9.205436413139978E-11</v>
      </c>
      <c r="BX251" s="493">
        <f t="shared" ca="1" si="236"/>
        <v>4.4615688921112451E-10</v>
      </c>
      <c r="BY251" s="493">
        <f t="shared" ca="1" si="236"/>
        <v>1.619955725118416E-9</v>
      </c>
      <c r="BZ251" s="493">
        <f t="shared" ca="1" si="236"/>
        <v>4.0686849445137341E-9</v>
      </c>
      <c r="CA251" s="493">
        <f t="shared" ca="1" si="236"/>
        <v>3.9378384997235116E-9</v>
      </c>
      <c r="CB251" s="493">
        <f t="shared" ca="1" si="236"/>
        <v>0</v>
      </c>
      <c r="CD251" s="496">
        <v>72.78988256549232</v>
      </c>
      <c r="CE251" s="496">
        <v>59.418623088415039</v>
      </c>
      <c r="CF251" s="496">
        <v>50.624270554228161</v>
      </c>
      <c r="CG251" s="496">
        <v>44.31747275611427</v>
      </c>
      <c r="CH251" s="496">
        <v>39.042274217462477</v>
      </c>
      <c r="CI251" s="496">
        <v>34.160599098363242</v>
      </c>
      <c r="CJ251" s="496">
        <v>29.674605561819934</v>
      </c>
      <c r="CK251" s="496">
        <v>25.412166380107564</v>
      </c>
      <c r="CL251" s="496">
        <v>21.344477659351266</v>
      </c>
      <c r="CM251" s="496">
        <v>17.359555124700396</v>
      </c>
      <c r="CN251" s="496">
        <v>13.428840591642214</v>
      </c>
      <c r="CO251" s="496">
        <v>12.188974903927429</v>
      </c>
    </row>
    <row r="252" spans="1:93" ht="15.75">
      <c r="A252" s="447" t="s">
        <v>2717</v>
      </c>
      <c r="B252" s="447"/>
      <c r="C252" s="442" t="s">
        <v>39</v>
      </c>
      <c r="F252" s="494">
        <f t="shared" ref="F252:AK252" si="253">F30/F$99</f>
        <v>0.26525198938992045</v>
      </c>
      <c r="G252" s="494">
        <f t="shared" si="253"/>
        <v>0.26525198938992045</v>
      </c>
      <c r="H252" s="494">
        <f t="shared" si="253"/>
        <v>0.91373231113747511</v>
      </c>
      <c r="I252" s="494">
        <f t="shared" si="253"/>
        <v>1.0984757218500032</v>
      </c>
      <c r="J252" s="494">
        <f t="shared" si="253"/>
        <v>1.1646373202377036</v>
      </c>
      <c r="K252" s="494">
        <f t="shared" si="253"/>
        <v>1.3088113749375079</v>
      </c>
      <c r="L252" s="494">
        <f t="shared" si="253"/>
        <v>1.4631012074194789</v>
      </c>
      <c r="M252" s="494">
        <f t="shared" si="253"/>
        <v>2.0125762221035339</v>
      </c>
      <c r="N252" s="494">
        <f t="shared" si="253"/>
        <v>2.2058067018220529</v>
      </c>
      <c r="O252" s="494">
        <f t="shared" si="253"/>
        <v>1.5831806931634798</v>
      </c>
      <c r="P252" s="494">
        <f t="shared" si="253"/>
        <v>1.6422219870893646</v>
      </c>
      <c r="Q252" s="494">
        <f t="shared" si="253"/>
        <v>1.1909813716493804</v>
      </c>
      <c r="R252" s="494">
        <f t="shared" si="253"/>
        <v>1.1379310243641982</v>
      </c>
      <c r="S252" s="494">
        <f t="shared" si="253"/>
        <v>1.2201591258972329</v>
      </c>
      <c r="T252" s="494">
        <f t="shared" si="253"/>
        <v>1.1273209549071619</v>
      </c>
      <c r="U252" s="494">
        <f t="shared" si="253"/>
        <v>1.2254641606257513</v>
      </c>
      <c r="V252" s="494">
        <f t="shared" si="253"/>
        <v>1.2944297385784929</v>
      </c>
      <c r="W252" s="494">
        <f t="shared" si="253"/>
        <v>1.4880636958924149</v>
      </c>
      <c r="X252" s="494">
        <f t="shared" si="253"/>
        <v>6.106442363322282</v>
      </c>
      <c r="Y252" s="494">
        <f t="shared" si="253"/>
        <v>5.7142856074314494</v>
      </c>
      <c r="Z252" s="494">
        <f t="shared" si="253"/>
        <v>6.4425770308123251</v>
      </c>
      <c r="AA252" s="494">
        <f t="shared" si="253"/>
        <v>8.2913166334649091</v>
      </c>
      <c r="AB252" s="494">
        <f t="shared" si="253"/>
        <v>5.098039429394805</v>
      </c>
      <c r="AC252" s="494">
        <f t="shared" si="253"/>
        <v>7.5630252100840343</v>
      </c>
      <c r="AD252" s="494">
        <f t="shared" si="253"/>
        <v>3.7535012937059591</v>
      </c>
      <c r="AE252" s="494">
        <f t="shared" si="253"/>
        <v>8.3473387218657003</v>
      </c>
      <c r="AF252" s="494">
        <f t="shared" si="253"/>
        <v>11.540616460207131</v>
      </c>
      <c r="AG252" s="494">
        <f t="shared" si="253"/>
        <v>10.19607885878961</v>
      </c>
      <c r="AH252" s="494">
        <f t="shared" si="253"/>
        <v>13.053220861098346</v>
      </c>
      <c r="AI252" s="494">
        <f t="shared" si="253"/>
        <v>16.694677443731401</v>
      </c>
      <c r="AJ252" s="494">
        <f t="shared" si="253"/>
        <v>12.773108816280418</v>
      </c>
      <c r="AK252" s="494">
        <f t="shared" si="253"/>
        <v>7.6750699211569398</v>
      </c>
      <c r="AL252" s="494">
        <f t="shared" ref="AL252:BO252" si="254">AL30/AL$99</f>
        <v>5.9383755638485871</v>
      </c>
      <c r="AM252" s="494">
        <f t="shared" si="254"/>
        <v>5.8263303185043558</v>
      </c>
      <c r="AN252" s="494">
        <f t="shared" si="254"/>
        <v>7.1708684541932008</v>
      </c>
      <c r="AO252" s="494">
        <f t="shared" si="254"/>
        <v>7.3389357879382224</v>
      </c>
      <c r="AP252" s="494">
        <f t="shared" si="254"/>
        <v>8.9075630252100844</v>
      </c>
      <c r="AQ252" s="494">
        <f t="shared" si="254"/>
        <v>10.812324929971989</v>
      </c>
      <c r="AR252" s="494">
        <f t="shared" si="254"/>
        <v>14.397759103641457</v>
      </c>
      <c r="AS252" s="494">
        <f t="shared" si="254"/>
        <v>111.42857142857143</v>
      </c>
      <c r="AT252" s="494">
        <f t="shared" si="254"/>
        <v>256.52661064425769</v>
      </c>
      <c r="AU252" s="494">
        <f t="shared" si="254"/>
        <v>2.2970355350649645</v>
      </c>
      <c r="AV252" s="494">
        <f t="shared" si="254"/>
        <v>2.4427138496043863</v>
      </c>
      <c r="AW252" s="494">
        <f t="shared" si="254"/>
        <v>2.9700748129675811</v>
      </c>
      <c r="AX252" s="494">
        <f t="shared" si="254"/>
        <v>3.5640897755610972</v>
      </c>
      <c r="AY252" s="494">
        <f t="shared" si="254"/>
        <v>3.8184672636353061</v>
      </c>
      <c r="AZ252" s="494">
        <f t="shared" si="254"/>
        <v>3.0603935761140013</v>
      </c>
      <c r="BA252" s="494">
        <f t="shared" si="254"/>
        <v>2.9557034656873995</v>
      </c>
      <c r="BB252" s="494">
        <f t="shared" si="254"/>
        <v>21.798231596889316</v>
      </c>
      <c r="BC252" s="494">
        <f t="shared" si="254"/>
        <v>49.780504169462283</v>
      </c>
      <c r="BD252" s="494">
        <f t="shared" si="254"/>
        <v>62.647154471544717</v>
      </c>
      <c r="BE252" s="494">
        <f t="shared" ca="1" si="254"/>
        <v>66.902513769570803</v>
      </c>
      <c r="BF252" s="494">
        <f t="shared" ca="1" si="254"/>
        <v>70.249042200246905</v>
      </c>
      <c r="BG252" s="494">
        <f t="shared" ca="1" si="254"/>
        <v>73.114411196860104</v>
      </c>
      <c r="BH252" s="494">
        <f t="shared" ca="1" si="254"/>
        <v>75.760233141516522</v>
      </c>
      <c r="BI252" s="494">
        <f t="shared" ca="1" si="254"/>
        <v>78.322010939317849</v>
      </c>
      <c r="BJ252" s="494">
        <f t="shared" ca="1" si="254"/>
        <v>80.872450815093501</v>
      </c>
      <c r="BK252" s="494">
        <f t="shared" ca="1" si="254"/>
        <v>83.456339926397689</v>
      </c>
      <c r="BL252" s="494">
        <f t="shared" ca="1" si="254"/>
        <v>86.099792807017295</v>
      </c>
      <c r="BM252" s="494">
        <f t="shared" ca="1" si="254"/>
        <v>88.813785299910947</v>
      </c>
      <c r="BN252" s="494">
        <f t="shared" ca="1" si="254"/>
        <v>91.604616774297327</v>
      </c>
      <c r="BO252" s="494">
        <f t="shared" ca="1" si="254"/>
        <v>94.475929502978587</v>
      </c>
      <c r="BP252" s="503"/>
      <c r="BQ252" s="493">
        <f t="shared" si="236"/>
        <v>0</v>
      </c>
      <c r="BR252" s="493">
        <f t="shared" ca="1" si="236"/>
        <v>0</v>
      </c>
      <c r="BS252" s="493">
        <f t="shared" ca="1" si="236"/>
        <v>0</v>
      </c>
      <c r="BT252" s="493">
        <f t="shared" ca="1" si="236"/>
        <v>-4.8316906031686813E-13</v>
      </c>
      <c r="BU252" s="493">
        <f t="shared" ca="1" si="236"/>
        <v>-5.2722270993399434E-12</v>
      </c>
      <c r="BV252" s="493">
        <f t="shared" ca="1" si="236"/>
        <v>-4.4707348934025504E-11</v>
      </c>
      <c r="BW252" s="493">
        <f t="shared" ca="1" si="236"/>
        <v>-2.9828584047209006E-10</v>
      </c>
      <c r="BX252" s="493">
        <f t="shared" ca="1" si="236"/>
        <v>-1.6281092030112632E-9</v>
      </c>
      <c r="BY252" s="493">
        <f t="shared" ca="1" si="236"/>
        <v>-7.4945916139768087E-9</v>
      </c>
      <c r="BZ252" s="493">
        <f t="shared" ca="1" si="236"/>
        <v>-2.9829948289261665E-8</v>
      </c>
      <c r="CA252" s="493">
        <f t="shared" ca="1" si="236"/>
        <v>-1.0457252130890993E-7</v>
      </c>
      <c r="CB252" s="493">
        <f t="shared" ca="1" si="236"/>
        <v>-3.2977442288029124E-7</v>
      </c>
      <c r="CD252" s="439">
        <v>62.647154471544717</v>
      </c>
      <c r="CE252" s="439">
        <v>66.902513769570803</v>
      </c>
      <c r="CF252" s="439">
        <v>70.249042200246933</v>
      </c>
      <c r="CG252" s="439">
        <v>73.114411196860587</v>
      </c>
      <c r="CH252" s="439">
        <v>75.760233141521795</v>
      </c>
      <c r="CI252" s="439">
        <v>78.322010939362556</v>
      </c>
      <c r="CJ252" s="439">
        <v>80.872450815391787</v>
      </c>
      <c r="CK252" s="439">
        <v>83.456339928025798</v>
      </c>
      <c r="CL252" s="439">
        <v>86.099792814511886</v>
      </c>
      <c r="CM252" s="439">
        <v>88.813785329740895</v>
      </c>
      <c r="CN252" s="439">
        <v>91.604616878869848</v>
      </c>
      <c r="CO252" s="439">
        <v>94.47592983275301</v>
      </c>
    </row>
    <row r="253" spans="1:93" ht="15.75">
      <c r="A253" s="447" t="s">
        <v>2719</v>
      </c>
      <c r="B253" s="447"/>
      <c r="C253" s="442" t="s">
        <v>1344</v>
      </c>
      <c r="F253" s="494"/>
      <c r="G253" s="494"/>
      <c r="H253" s="494"/>
      <c r="I253" s="494"/>
      <c r="J253" s="494"/>
      <c r="K253" s="494"/>
      <c r="L253" s="494"/>
      <c r="M253" s="494"/>
      <c r="N253" s="494"/>
      <c r="O253" s="494"/>
      <c r="P253" s="494"/>
      <c r="Q253" s="494"/>
      <c r="R253" s="494"/>
      <c r="S253" s="494"/>
      <c r="T253" s="494"/>
      <c r="U253" s="494"/>
      <c r="V253" s="494"/>
      <c r="W253" s="494"/>
      <c r="X253" s="494"/>
      <c r="Y253" s="494"/>
      <c r="Z253" s="494"/>
      <c r="AA253" s="494"/>
      <c r="AB253" s="494"/>
      <c r="AC253" s="494"/>
      <c r="AD253" s="494"/>
      <c r="AE253" s="494"/>
      <c r="AF253" s="494"/>
      <c r="AG253" s="494"/>
      <c r="AH253" s="494"/>
      <c r="AI253" s="494"/>
      <c r="AJ253" s="494"/>
      <c r="AK253" s="494"/>
      <c r="AL253" s="494"/>
      <c r="AM253" s="494"/>
      <c r="AN253" s="494"/>
      <c r="AO253" s="494"/>
      <c r="AP253" s="494"/>
      <c r="AQ253" s="494"/>
      <c r="AR253" s="494"/>
      <c r="AS253" s="494"/>
      <c r="AT253" s="494"/>
      <c r="AU253" s="494"/>
      <c r="AV253" s="494"/>
      <c r="AW253" s="494"/>
      <c r="AX253" s="494"/>
      <c r="AY253" s="494"/>
      <c r="AZ253" s="494"/>
      <c r="BA253" s="494"/>
      <c r="BB253" s="494"/>
      <c r="BC253" s="494"/>
      <c r="BD253" s="494"/>
      <c r="BE253" s="494"/>
      <c r="BF253" s="494"/>
      <c r="BG253" s="494"/>
      <c r="BH253" s="494"/>
      <c r="BI253" s="494"/>
      <c r="BJ253" s="494"/>
      <c r="BK253" s="494"/>
      <c r="BL253" s="494"/>
      <c r="BM253" s="494"/>
      <c r="BN253" s="494"/>
      <c r="BO253" s="494"/>
      <c r="BP253" s="494"/>
      <c r="BQ253" s="493">
        <f t="shared" si="236"/>
        <v>0</v>
      </c>
      <c r="BR253" s="493">
        <f t="shared" si="236"/>
        <v>0</v>
      </c>
      <c r="BS253" s="493">
        <f t="shared" si="236"/>
        <v>0</v>
      </c>
      <c r="BT253" s="493">
        <f t="shared" si="236"/>
        <v>0</v>
      </c>
      <c r="BU253" s="493">
        <f t="shared" si="236"/>
        <v>0</v>
      </c>
      <c r="BV253" s="493">
        <f t="shared" si="236"/>
        <v>0</v>
      </c>
      <c r="BW253" s="493">
        <f t="shared" si="236"/>
        <v>0</v>
      </c>
      <c r="BX253" s="493">
        <f t="shared" si="236"/>
        <v>0</v>
      </c>
      <c r="BY253" s="493">
        <f t="shared" si="236"/>
        <v>0</v>
      </c>
      <c r="BZ253" s="493">
        <f t="shared" si="236"/>
        <v>0</v>
      </c>
      <c r="CA253" s="493">
        <f t="shared" si="236"/>
        <v>0</v>
      </c>
      <c r="CB253" s="493">
        <f t="shared" si="236"/>
        <v>0</v>
      </c>
    </row>
    <row r="254" spans="1:93" ht="15.75">
      <c r="A254" s="448" t="s">
        <v>90</v>
      </c>
      <c r="C254" s="442" t="s">
        <v>39</v>
      </c>
      <c r="F254" s="438">
        <f t="shared" ref="F254:BO254" si="255">F241+F242+F243+F244-F247-F248-F249-F251-F250-F252</f>
        <v>-0.31830238726791116</v>
      </c>
      <c r="G254" s="438">
        <f t="shared" si="255"/>
        <v>-0.6366047745358081</v>
      </c>
      <c r="H254" s="438">
        <f t="shared" si="255"/>
        <v>-5.3853389597065489</v>
      </c>
      <c r="I254" s="438">
        <f t="shared" si="255"/>
        <v>-7.0661141006004256</v>
      </c>
      <c r="J254" s="438">
        <f t="shared" si="255"/>
        <v>-7.9542082722054239</v>
      </c>
      <c r="K254" s="438">
        <f t="shared" si="255"/>
        <v>-15.878040847474766</v>
      </c>
      <c r="L254" s="438">
        <f t="shared" si="255"/>
        <v>-23.110031259470972</v>
      </c>
      <c r="M254" s="438">
        <f t="shared" si="255"/>
        <v>-25.438783750609943</v>
      </c>
      <c r="N254" s="438">
        <f t="shared" si="255"/>
        <v>-27.56330223867684</v>
      </c>
      <c r="O254" s="438">
        <f t="shared" si="255"/>
        <v>-29.088348719422324</v>
      </c>
      <c r="P254" s="438">
        <f t="shared" si="255"/>
        <v>-51.048324721561507</v>
      </c>
      <c r="Q254" s="438">
        <f t="shared" si="255"/>
        <v>-52.455701435908708</v>
      </c>
      <c r="R254" s="438">
        <f t="shared" si="255"/>
        <v>-19.075332459467461</v>
      </c>
      <c r="S254" s="438">
        <f t="shared" si="255"/>
        <v>-19.593632822011429</v>
      </c>
      <c r="T254" s="438">
        <f t="shared" si="255"/>
        <v>-25.198943608635634</v>
      </c>
      <c r="U254" s="438">
        <f t="shared" si="255"/>
        <v>-24.005826019165738</v>
      </c>
      <c r="V254" s="438">
        <f t="shared" si="255"/>
        <v>-22.78567511459875</v>
      </c>
      <c r="W254" s="438">
        <f t="shared" si="255"/>
        <v>-17.907153516612578</v>
      </c>
      <c r="X254" s="438">
        <f t="shared" si="255"/>
        <v>-17.198879979237788</v>
      </c>
      <c r="Y254" s="438">
        <f t="shared" si="255"/>
        <v>-30.868354765307025</v>
      </c>
      <c r="Z254" s="438">
        <f t="shared" si="255"/>
        <v>-28.571416550323718</v>
      </c>
      <c r="AA254" s="438">
        <f t="shared" si="255"/>
        <v>-48.739474828169719</v>
      </c>
      <c r="AB254" s="438">
        <f t="shared" si="255"/>
        <v>-46.834731970180641</v>
      </c>
      <c r="AC254" s="438">
        <f t="shared" si="255"/>
        <v>-117.59101429573296</v>
      </c>
      <c r="AD254" s="438">
        <f t="shared" si="255"/>
        <v>-63.865545817783868</v>
      </c>
      <c r="AE254" s="438">
        <f t="shared" si="255"/>
        <v>-37.366955888037666</v>
      </c>
      <c r="AF254" s="438">
        <f t="shared" si="255"/>
        <v>-69.579859474459909</v>
      </c>
      <c r="AG254" s="438">
        <f t="shared" si="255"/>
        <v>-118.15125554883518</v>
      </c>
      <c r="AH254" s="438">
        <f t="shared" si="255"/>
        <v>-158.82350233088681</v>
      </c>
      <c r="AI254" s="438">
        <f t="shared" si="255"/>
        <v>-152.32492782154674</v>
      </c>
      <c r="AJ254" s="438">
        <f t="shared" si="255"/>
        <v>-74.411785168474168</v>
      </c>
      <c r="AK254" s="438">
        <f t="shared" si="255"/>
        <v>-23.473941845720226</v>
      </c>
      <c r="AL254" s="438">
        <f t="shared" si="255"/>
        <v>-1.2201560436844803</v>
      </c>
      <c r="AM254" s="438">
        <f t="shared" si="255"/>
        <v>98.543438378001426</v>
      </c>
      <c r="AN254" s="438">
        <f t="shared" si="255"/>
        <v>146.58265332965303</v>
      </c>
      <c r="AO254" s="438">
        <f t="shared" si="255"/>
        <v>19.092439202701527</v>
      </c>
      <c r="AP254" s="438">
        <f t="shared" si="255"/>
        <v>-1.8487394957980792</v>
      </c>
      <c r="AQ254" s="438">
        <f t="shared" si="255"/>
        <v>-95.070028011204556</v>
      </c>
      <c r="AR254" s="438">
        <f t="shared" si="255"/>
        <v>-25.098039215686367</v>
      </c>
      <c r="AS254" s="438">
        <f t="shared" si="255"/>
        <v>1616.9747899159677</v>
      </c>
      <c r="AT254" s="438">
        <f t="shared" si="255"/>
        <v>5994.5098039215718</v>
      </c>
      <c r="AU254" s="438">
        <f t="shared" si="255"/>
        <v>61.161318093770923</v>
      </c>
      <c r="AV254" s="438">
        <f t="shared" si="255"/>
        <v>-77.891720142047291</v>
      </c>
      <c r="AW254" s="438">
        <f t="shared" si="255"/>
        <v>-67.329177057356645</v>
      </c>
      <c r="AX254" s="438">
        <f t="shared" si="255"/>
        <v>-152.79600997506236</v>
      </c>
      <c r="AY254" s="438">
        <f t="shared" si="255"/>
        <v>-57.591115245958903</v>
      </c>
      <c r="AZ254" s="438">
        <f t="shared" si="255"/>
        <v>-56.680766040865528</v>
      </c>
      <c r="BA254" s="438">
        <f t="shared" si="255"/>
        <v>-121.95363782419091</v>
      </c>
      <c r="BB254" s="438">
        <f t="shared" si="255"/>
        <v>-160.00992862469374</v>
      </c>
      <c r="BC254" s="438">
        <f t="shared" ca="1" si="255"/>
        <v>-194.28487367768574</v>
      </c>
      <c r="BD254" s="438">
        <f t="shared" ca="1" si="255"/>
        <v>-168.33085735573337</v>
      </c>
      <c r="BE254" s="438">
        <f t="shared" ca="1" si="255"/>
        <v>-205.30104067779678</v>
      </c>
      <c r="BF254" s="438">
        <f t="shared" ca="1" si="255"/>
        <v>-233.42860119370454</v>
      </c>
      <c r="BG254" s="438">
        <f t="shared" ca="1" si="255"/>
        <v>-258.24176866983419</v>
      </c>
      <c r="BH254" s="438">
        <f t="shared" ca="1" si="255"/>
        <v>-281.35205518586895</v>
      </c>
      <c r="BI254" s="438">
        <f t="shared" ca="1" si="255"/>
        <v>-303.58534097641291</v>
      </c>
      <c r="BJ254" s="438">
        <f t="shared" ca="1" si="255"/>
        <v>-325.92455723283757</v>
      </c>
      <c r="BK254" s="438">
        <f t="shared" ca="1" si="255"/>
        <v>-350.61405886085402</v>
      </c>
      <c r="BL254" s="438">
        <f t="shared" ca="1" si="255"/>
        <v>-378.20548535680769</v>
      </c>
      <c r="BM254" s="438">
        <f t="shared" ca="1" si="255"/>
        <v>-408.14102366194959</v>
      </c>
      <c r="BN254" s="438">
        <f t="shared" ca="1" si="255"/>
        <v>-440.62570911061414</v>
      </c>
      <c r="BO254" s="438">
        <f t="shared" ca="1" si="255"/>
        <v>-478.14322980326796</v>
      </c>
      <c r="BP254" s="440"/>
      <c r="BQ254" s="493">
        <f t="shared" ca="1" si="236"/>
        <v>0</v>
      </c>
      <c r="BR254" s="493">
        <f t="shared" ca="1" si="236"/>
        <v>0</v>
      </c>
      <c r="BS254" s="493">
        <f t="shared" ca="1" si="236"/>
        <v>5.1159076974727213E-13</v>
      </c>
      <c r="BT254" s="493">
        <f t="shared" ca="1" si="236"/>
        <v>5.7980287238024175E-12</v>
      </c>
      <c r="BU254" s="493">
        <f t="shared" ca="1" si="236"/>
        <v>6.1788796301698312E-11</v>
      </c>
      <c r="BV254" s="493">
        <f t="shared" ca="1" si="236"/>
        <v>5.340439201972913E-10</v>
      </c>
      <c r="BW254" s="493">
        <f t="shared" ca="1" si="236"/>
        <v>3.6209826248523314E-9</v>
      </c>
      <c r="BX254" s="493">
        <f t="shared" ca="1" si="236"/>
        <v>2.0120864974160213E-8</v>
      </c>
      <c r="BY254" s="493">
        <f t="shared" ca="1" si="236"/>
        <v>9.445187743040151E-8</v>
      </c>
      <c r="BZ254" s="493">
        <f t="shared" ca="1" si="236"/>
        <v>3.8420256487370352E-7</v>
      </c>
      <c r="CA254" s="493">
        <f t="shared" ca="1" si="236"/>
        <v>1.3781433381154784E-6</v>
      </c>
      <c r="CB254" s="493">
        <f t="shared" ca="1" si="236"/>
        <v>4.4328469925858371E-6</v>
      </c>
      <c r="CD254" s="439">
        <v>-168.33085735573337</v>
      </c>
      <c r="CE254" s="439">
        <v>-205.30104067779678</v>
      </c>
      <c r="CF254" s="439">
        <v>-233.42860119370505</v>
      </c>
      <c r="CG254" s="439">
        <v>-258.24176866983998</v>
      </c>
      <c r="CH254" s="439">
        <v>-281.35205518593074</v>
      </c>
      <c r="CI254" s="439">
        <v>-303.58534097694695</v>
      </c>
      <c r="CJ254" s="439">
        <v>-325.92455723645855</v>
      </c>
      <c r="CK254" s="439">
        <v>-350.61405888097488</v>
      </c>
      <c r="CL254" s="439">
        <v>-378.20548545125956</v>
      </c>
      <c r="CM254" s="439">
        <v>-408.14102404615215</v>
      </c>
      <c r="CN254" s="439">
        <v>-440.62571048875748</v>
      </c>
      <c r="CO254" s="439">
        <v>-478.14323423611495</v>
      </c>
    </row>
    <row r="255" spans="1:93">
      <c r="A255" s="448" t="s">
        <v>91</v>
      </c>
      <c r="C255" s="442" t="s">
        <v>39</v>
      </c>
      <c r="D255" s="447"/>
      <c r="F255" s="456">
        <f t="shared" ref="F255:BD255" si="256">F67/F99</f>
        <v>1.5384615384615383</v>
      </c>
      <c r="G255" s="456">
        <f t="shared" si="256"/>
        <v>1.5384615384615383</v>
      </c>
      <c r="H255" s="456">
        <f t="shared" si="256"/>
        <v>4.6684351144482026</v>
      </c>
      <c r="I255" s="456">
        <f t="shared" si="256"/>
        <v>7.5862069977373281</v>
      </c>
      <c r="J255" s="456">
        <f t="shared" si="256"/>
        <v>7.6923076923076925</v>
      </c>
      <c r="K255" s="456">
        <f t="shared" si="256"/>
        <v>18.620688845687585</v>
      </c>
      <c r="L255" s="456">
        <f t="shared" si="256"/>
        <v>17.135278109846446</v>
      </c>
      <c r="M255" s="456">
        <f t="shared" si="256"/>
        <v>22.06896470775655</v>
      </c>
      <c r="N255" s="456">
        <f t="shared" si="256"/>
        <v>26.790450928381965</v>
      </c>
      <c r="O255" s="456">
        <f t="shared" si="256"/>
        <v>31.03448275862069</v>
      </c>
      <c r="P255" s="456">
        <f t="shared" si="256"/>
        <v>48.381961245751825</v>
      </c>
      <c r="Q255" s="456">
        <f t="shared" si="256"/>
        <v>48.275862068965516</v>
      </c>
      <c r="R255" s="456">
        <f t="shared" si="256"/>
        <v>16.498673942424258</v>
      </c>
      <c r="S255" s="456">
        <f t="shared" si="256"/>
        <v>12.572944701824644</v>
      </c>
      <c r="T255" s="456">
        <f t="shared" si="256"/>
        <v>22.281167108753319</v>
      </c>
      <c r="U255" s="456">
        <f t="shared" si="256"/>
        <v>17.453581711341595</v>
      </c>
      <c r="V255" s="456">
        <f t="shared" si="256"/>
        <v>21.273208739586789</v>
      </c>
      <c r="W255" s="456">
        <f t="shared" si="256"/>
        <v>7.9045090814484205</v>
      </c>
      <c r="X255" s="456">
        <f t="shared" si="256"/>
        <v>21.84873949579832</v>
      </c>
      <c r="Y255" s="456">
        <f t="shared" si="256"/>
        <v>41.064427479976366</v>
      </c>
      <c r="Z255" s="456">
        <f t="shared" si="256"/>
        <v>33.949578977098653</v>
      </c>
      <c r="AA255" s="456">
        <f t="shared" si="256"/>
        <v>91.596638655462186</v>
      </c>
      <c r="AB255" s="456">
        <f t="shared" si="256"/>
        <v>57.759102786622464</v>
      </c>
      <c r="AC255" s="456">
        <f t="shared" si="256"/>
        <v>63.249300574722085</v>
      </c>
      <c r="AD255" s="456">
        <f t="shared" si="256"/>
        <v>71.484592982700903</v>
      </c>
      <c r="AE255" s="456">
        <f t="shared" si="256"/>
        <v>63.137253192292548</v>
      </c>
      <c r="AF255" s="456">
        <f t="shared" si="256"/>
        <v>89.915966386554629</v>
      </c>
      <c r="AG255" s="456">
        <f t="shared" si="256"/>
        <v>134.8459366656819</v>
      </c>
      <c r="AH255" s="456">
        <f t="shared" si="256"/>
        <v>115.96638655462185</v>
      </c>
      <c r="AI255" s="456">
        <f t="shared" si="256"/>
        <v>36.918768361836925</v>
      </c>
      <c r="AJ255" s="456">
        <f t="shared" si="256"/>
        <v>3.0252101374607459</v>
      </c>
      <c r="AK255" s="456">
        <f t="shared" si="256"/>
        <v>22.296918340089945</v>
      </c>
      <c r="AL255" s="456">
        <f t="shared" si="256"/>
        <v>-32.268906708191089</v>
      </c>
      <c r="AM255" s="456">
        <f t="shared" si="256"/>
        <v>-62.689076485086225</v>
      </c>
      <c r="AN255" s="456">
        <f t="shared" si="256"/>
        <v>-77.478993306306904</v>
      </c>
      <c r="AO255" s="456">
        <f t="shared" si="256"/>
        <v>-148.45938375350141</v>
      </c>
      <c r="AP255" s="456">
        <f t="shared" si="256"/>
        <v>8.6834733893557434</v>
      </c>
      <c r="AQ255" s="456">
        <f t="shared" si="256"/>
        <v>52.044817927170875</v>
      </c>
      <c r="AR255" s="456">
        <f t="shared" si="256"/>
        <v>21.792717086834735</v>
      </c>
      <c r="AS255" s="456">
        <f t="shared" si="256"/>
        <v>-905.99439775910366</v>
      </c>
      <c r="AT255" s="456">
        <f t="shared" si="256"/>
        <v>-806.55462184873954</v>
      </c>
      <c r="AU255" s="456">
        <f t="shared" si="256"/>
        <v>15.998142253537081</v>
      </c>
      <c r="AV255" s="456">
        <f t="shared" si="256"/>
        <v>69.130646065665701</v>
      </c>
      <c r="AW255" s="456">
        <f t="shared" si="256"/>
        <v>41.383042394014957</v>
      </c>
      <c r="AX255" s="456">
        <f t="shared" si="256"/>
        <v>32.799999999999997</v>
      </c>
      <c r="AY255" s="456">
        <f t="shared" si="256"/>
        <v>19.099999999999998</v>
      </c>
      <c r="AZ255" s="456">
        <f t="shared" si="256"/>
        <v>-71.8</v>
      </c>
      <c r="BA255" s="456">
        <f t="shared" si="256"/>
        <v>104.8</v>
      </c>
      <c r="BB255" s="456">
        <f t="shared" si="256"/>
        <v>-37.5</v>
      </c>
      <c r="BC255" s="456">
        <f t="shared" si="256"/>
        <v>-23</v>
      </c>
      <c r="BD255" s="456">
        <f t="shared" si="256"/>
        <v>-13.100000000000001</v>
      </c>
      <c r="BE255" s="456">
        <f>BE67/BE99</f>
        <v>-11.725347570287019</v>
      </c>
      <c r="BF255" s="456">
        <f t="shared" ref="BF255:BO255" si="257">BF67/BF99</f>
        <v>-11.725347570287019</v>
      </c>
      <c r="BG255" s="456">
        <f t="shared" si="257"/>
        <v>-11.725347570287019</v>
      </c>
      <c r="BH255" s="456">
        <f t="shared" si="257"/>
        <v>-11.725347570287019</v>
      </c>
      <c r="BI255" s="456">
        <f t="shared" si="257"/>
        <v>-11.725347570287019</v>
      </c>
      <c r="BJ255" s="456">
        <f t="shared" si="257"/>
        <v>-11.725347570287019</v>
      </c>
      <c r="BK255" s="456">
        <f t="shared" si="257"/>
        <v>-11.725347570287019</v>
      </c>
      <c r="BL255" s="456">
        <f t="shared" si="257"/>
        <v>-11.725347570287019</v>
      </c>
      <c r="BM255" s="456">
        <f t="shared" si="257"/>
        <v>-11.725347570287019</v>
      </c>
      <c r="BN255" s="456">
        <f t="shared" si="257"/>
        <v>-11.725347570287019</v>
      </c>
      <c r="BO255" s="456">
        <f t="shared" si="257"/>
        <v>-11.725347570287019</v>
      </c>
      <c r="BP255" s="457"/>
      <c r="BQ255" s="448">
        <f t="shared" si="236"/>
        <v>0</v>
      </c>
      <c r="BR255" s="448">
        <f t="shared" si="236"/>
        <v>0</v>
      </c>
      <c r="BS255" s="448">
        <f t="shared" si="236"/>
        <v>0</v>
      </c>
      <c r="BT255" s="448">
        <f t="shared" si="236"/>
        <v>0</v>
      </c>
      <c r="BU255" s="448">
        <f t="shared" si="236"/>
        <v>0</v>
      </c>
      <c r="BV255" s="448">
        <f t="shared" si="236"/>
        <v>0</v>
      </c>
      <c r="BW255" s="448">
        <f t="shared" si="236"/>
        <v>0</v>
      </c>
      <c r="BX255" s="448">
        <f t="shared" si="236"/>
        <v>0</v>
      </c>
      <c r="BY255" s="448">
        <f t="shared" si="236"/>
        <v>0</v>
      </c>
      <c r="BZ255" s="448">
        <f t="shared" si="236"/>
        <v>0</v>
      </c>
      <c r="CA255" s="448">
        <f t="shared" si="236"/>
        <v>0</v>
      </c>
      <c r="CB255" s="448">
        <f t="shared" si="236"/>
        <v>0</v>
      </c>
      <c r="CD255" s="439">
        <v>-13.1</v>
      </c>
      <c r="CE255" s="439">
        <v>-11.725347570287019</v>
      </c>
      <c r="CF255" s="439">
        <v>-11.725347570287019</v>
      </c>
      <c r="CG255" s="439">
        <v>-11.725347570287019</v>
      </c>
      <c r="CH255" s="439">
        <v>-11.725347570287019</v>
      </c>
      <c r="CI255" s="439">
        <v>-11.725347570287019</v>
      </c>
      <c r="CJ255" s="439">
        <v>-11.725347570287019</v>
      </c>
      <c r="CK255" s="439">
        <v>-11.725347570287019</v>
      </c>
      <c r="CL255" s="439">
        <v>-11.725347570287019</v>
      </c>
      <c r="CM255" s="439">
        <v>-11.725347570287019</v>
      </c>
      <c r="CN255" s="439">
        <v>-11.725347570287019</v>
      </c>
      <c r="CO255" s="439">
        <v>-11.725347570287019</v>
      </c>
    </row>
    <row r="256" spans="1:93">
      <c r="AV256" s="448"/>
      <c r="AZ256" s="448"/>
      <c r="BE256" s="438"/>
      <c r="BF256" s="438"/>
      <c r="BG256" s="438"/>
      <c r="BH256" s="438"/>
      <c r="BI256" s="438"/>
      <c r="BJ256" s="438"/>
      <c r="BK256" s="438"/>
      <c r="BL256" s="438"/>
      <c r="BM256" s="438"/>
      <c r="BN256" s="438"/>
      <c r="BO256" s="438"/>
    </row>
    <row r="257" spans="1:93">
      <c r="A257" s="448" t="s">
        <v>92</v>
      </c>
      <c r="AV257" s="438"/>
      <c r="AW257" s="438"/>
      <c r="AZ257" s="438"/>
      <c r="BE257" s="438"/>
      <c r="BF257" s="438"/>
      <c r="BG257" s="438"/>
      <c r="BH257" s="438"/>
      <c r="BI257" s="438"/>
      <c r="BJ257" s="438"/>
      <c r="BK257" s="438"/>
      <c r="BL257" s="438"/>
      <c r="BM257" s="438"/>
      <c r="BN257" s="438"/>
      <c r="BO257" s="438"/>
    </row>
    <row r="258" spans="1:93">
      <c r="A258" s="448" t="s">
        <v>93</v>
      </c>
      <c r="C258" s="449" t="s">
        <v>94</v>
      </c>
      <c r="F258" s="462">
        <f t="shared" ref="F258:BO258" si="258">(F25+F26+F27)/F173</f>
        <v>0.34278817139408563</v>
      </c>
      <c r="G258" s="462">
        <f t="shared" si="258"/>
        <v>0.33372781065088758</v>
      </c>
      <c r="H258" s="462">
        <f t="shared" si="258"/>
        <v>0.36418225202694049</v>
      </c>
      <c r="I258" s="462">
        <f t="shared" si="258"/>
        <v>0.36972516458812704</v>
      </c>
      <c r="J258" s="462">
        <f t="shared" si="258"/>
        <v>0.35060888521402767</v>
      </c>
      <c r="K258" s="462">
        <f t="shared" si="258"/>
        <v>0.37497288552573593</v>
      </c>
      <c r="L258" s="462">
        <f t="shared" si="258"/>
        <v>0.39392573156261429</v>
      </c>
      <c r="M258" s="462">
        <f t="shared" si="258"/>
        <v>0.3935856641199586</v>
      </c>
      <c r="N258" s="462">
        <f t="shared" si="258"/>
        <v>0.38688031576975579</v>
      </c>
      <c r="O258" s="462">
        <f t="shared" si="258"/>
        <v>0.38901442840003791</v>
      </c>
      <c r="P258" s="462">
        <f t="shared" si="258"/>
        <v>0.44127456237467805</v>
      </c>
      <c r="Q258" s="462">
        <f t="shared" si="258"/>
        <v>0.4399381491542953</v>
      </c>
      <c r="R258" s="462">
        <f t="shared" si="258"/>
        <v>0.380012633950358</v>
      </c>
      <c r="S258" s="462">
        <f t="shared" si="258"/>
        <v>0.36923026559632738</v>
      </c>
      <c r="T258" s="462">
        <f t="shared" si="258"/>
        <v>0.34563025427113303</v>
      </c>
      <c r="U258" s="462">
        <f t="shared" si="258"/>
        <v>0.36257792686162948</v>
      </c>
      <c r="V258" s="462">
        <f t="shared" si="258"/>
        <v>0.37077438569412891</v>
      </c>
      <c r="W258" s="462">
        <f t="shared" si="258"/>
        <v>0.37171851010416807</v>
      </c>
      <c r="X258" s="462">
        <f t="shared" si="258"/>
        <v>0.38455936775982641</v>
      </c>
      <c r="Y258" s="462">
        <f t="shared" si="258"/>
        <v>0.38653228315575383</v>
      </c>
      <c r="Z258" s="462">
        <f t="shared" si="258"/>
        <v>0.44035188460071423</v>
      </c>
      <c r="AA258" s="462">
        <f t="shared" si="258"/>
        <v>0.43160986119795075</v>
      </c>
      <c r="AB258" s="462">
        <f t="shared" si="258"/>
        <v>0.42394494824132262</v>
      </c>
      <c r="AC258" s="462">
        <f t="shared" si="258"/>
        <v>0.43915888799903069</v>
      </c>
      <c r="AD258" s="462">
        <f t="shared" si="258"/>
        <v>0.414136515684357</v>
      </c>
      <c r="AE258" s="462">
        <f t="shared" si="258"/>
        <v>0.40820731046938741</v>
      </c>
      <c r="AF258" s="462">
        <f t="shared" si="258"/>
        <v>0.46661939441148176</v>
      </c>
      <c r="AG258" s="462">
        <f t="shared" si="258"/>
        <v>0.45193833265574479</v>
      </c>
      <c r="AH258" s="462">
        <f t="shared" si="258"/>
        <v>0.44491649703221464</v>
      </c>
      <c r="AI258" s="462">
        <f t="shared" si="258"/>
        <v>0.4180447058561112</v>
      </c>
      <c r="AJ258" s="462">
        <f t="shared" si="258"/>
        <v>0.39815413461597671</v>
      </c>
      <c r="AK258" s="462">
        <f t="shared" si="258"/>
        <v>0.36891018648107454</v>
      </c>
      <c r="AL258" s="462">
        <f t="shared" si="258"/>
        <v>0.38796807135608441</v>
      </c>
      <c r="AM258" s="462">
        <f t="shared" si="258"/>
        <v>0.43435675248090444</v>
      </c>
      <c r="AN258" s="462">
        <f t="shared" si="258"/>
        <v>0.44109720511264588</v>
      </c>
      <c r="AO258" s="462">
        <f t="shared" si="258"/>
        <v>0.49441959142942954</v>
      </c>
      <c r="AP258" s="462">
        <f t="shared" si="258"/>
        <v>0.4811569492236244</v>
      </c>
      <c r="AQ258" s="462">
        <f t="shared" si="258"/>
        <v>0.53322499791237821</v>
      </c>
      <c r="AR258" s="462">
        <f t="shared" si="258"/>
        <v>0.54093674995767393</v>
      </c>
      <c r="AS258" s="462">
        <f t="shared" si="258"/>
        <v>0.63751073995262375</v>
      </c>
      <c r="AT258" s="462">
        <f t="shared" si="258"/>
        <v>0.67056855635338219</v>
      </c>
      <c r="AU258" s="462">
        <f t="shared" si="258"/>
        <v>0.54318283085664021</v>
      </c>
      <c r="AV258" s="462">
        <f t="shared" si="258"/>
        <v>0.50091211458413176</v>
      </c>
      <c r="AW258" s="462">
        <f t="shared" si="258"/>
        <v>0.42195013684000304</v>
      </c>
      <c r="AX258" s="462">
        <f t="shared" si="258"/>
        <v>0.36388901001738044</v>
      </c>
      <c r="AY258" s="462">
        <f t="shared" si="258"/>
        <v>0.37504990105249747</v>
      </c>
      <c r="AZ258" s="462">
        <f t="shared" si="258"/>
        <v>0.39274592371937495</v>
      </c>
      <c r="BA258" s="462">
        <f t="shared" si="258"/>
        <v>0.43249303752479756</v>
      </c>
      <c r="BB258" s="462">
        <f t="shared" si="258"/>
        <v>0.35128329412982134</v>
      </c>
      <c r="BC258" s="462">
        <f t="shared" ca="1" si="258"/>
        <v>0.37812768045277412</v>
      </c>
      <c r="BD258" s="462">
        <f t="shared" ca="1" si="258"/>
        <v>0.40262194352022262</v>
      </c>
      <c r="BE258" s="462">
        <f t="shared" ca="1" si="258"/>
        <v>0.41072252454398489</v>
      </c>
      <c r="BF258" s="462">
        <f t="shared" ca="1" si="258"/>
        <v>0.41461236443131849</v>
      </c>
      <c r="BG258" s="462">
        <f t="shared" ca="1" si="258"/>
        <v>0.41723677616506194</v>
      </c>
      <c r="BH258" s="462">
        <f t="shared" ca="1" si="258"/>
        <v>0.42038694902849633</v>
      </c>
      <c r="BI258" s="462">
        <f t="shared" ca="1" si="258"/>
        <v>0.42349475467617892</v>
      </c>
      <c r="BJ258" s="462">
        <f t="shared" ca="1" si="258"/>
        <v>0.42670698928694084</v>
      </c>
      <c r="BK258" s="462">
        <f t="shared" ca="1" si="258"/>
        <v>0.42968404608961647</v>
      </c>
      <c r="BL258" s="462">
        <f t="shared" ca="1" si="258"/>
        <v>0.43276686232663714</v>
      </c>
      <c r="BM258" s="462">
        <f t="shared" ca="1" si="258"/>
        <v>0.43596321678022232</v>
      </c>
      <c r="BN258" s="462">
        <f t="shared" ca="1" si="258"/>
        <v>0.43917507268445388</v>
      </c>
      <c r="BO258" s="462">
        <f t="shared" ca="1" si="258"/>
        <v>0.44248925673570738</v>
      </c>
      <c r="BQ258" s="448">
        <f t="shared" ref="BQ258:CB261" ca="1" si="259">+BD258-CD258</f>
        <v>0</v>
      </c>
      <c r="BR258" s="448">
        <f t="shared" ca="1" si="259"/>
        <v>0</v>
      </c>
      <c r="BS258" s="448">
        <f t="shared" ca="1" si="259"/>
        <v>0</v>
      </c>
      <c r="BT258" s="448">
        <f t="shared" ca="1" si="259"/>
        <v>-4.829470157119431E-15</v>
      </c>
      <c r="BU258" s="448">
        <f t="shared" ca="1" si="259"/>
        <v>-5.0237591864288333E-14</v>
      </c>
      <c r="BV258" s="448">
        <f t="shared" ca="1" si="259"/>
        <v>-4.134470543704083E-13</v>
      </c>
      <c r="BW258" s="448">
        <f t="shared" ca="1" si="259"/>
        <v>-2.6894597660032105E-12</v>
      </c>
      <c r="BX258" s="448">
        <f t="shared" ca="1" si="259"/>
        <v>-1.4314494034550762E-11</v>
      </c>
      <c r="BY258" s="448">
        <f t="shared" ca="1" si="259"/>
        <v>-6.4266147958846886E-11</v>
      </c>
      <c r="BZ258" s="448">
        <f t="shared" ca="1" si="259"/>
        <v>-2.4967444778312142E-10</v>
      </c>
      <c r="CA258" s="448">
        <f t="shared" ca="1" si="259"/>
        <v>-8.543761809143291E-10</v>
      </c>
      <c r="CB258" s="448">
        <f t="shared" ca="1" si="259"/>
        <v>-2.6348185300228977E-9</v>
      </c>
      <c r="CD258" s="439">
        <v>0.40262194352022262</v>
      </c>
      <c r="CE258" s="439">
        <v>0.41072252454398489</v>
      </c>
      <c r="CF258" s="439">
        <v>0.41461236443131883</v>
      </c>
      <c r="CG258" s="439">
        <v>0.41723677616506677</v>
      </c>
      <c r="CH258" s="439">
        <v>0.42038694902854656</v>
      </c>
      <c r="CI258" s="439">
        <v>0.42349475467659237</v>
      </c>
      <c r="CJ258" s="439">
        <v>0.4267069892896303</v>
      </c>
      <c r="CK258" s="439">
        <v>0.42968404610393096</v>
      </c>
      <c r="CL258" s="439">
        <v>0.43276686239090328</v>
      </c>
      <c r="CM258" s="439">
        <v>0.43596321702989677</v>
      </c>
      <c r="CN258" s="439">
        <v>0.43917507353883006</v>
      </c>
      <c r="CO258" s="439">
        <v>0.44248925937052591</v>
      </c>
    </row>
    <row r="259" spans="1:93">
      <c r="A259" s="448" t="s">
        <v>95</v>
      </c>
      <c r="C259" s="449" t="s">
        <v>94</v>
      </c>
      <c r="F259" s="462">
        <f t="shared" ref="F259:BO259" si="260">F11/F173</f>
        <v>0.65721182860591432</v>
      </c>
      <c r="G259" s="462">
        <f t="shared" si="260"/>
        <v>0.66627218934911248</v>
      </c>
      <c r="H259" s="462">
        <f t="shared" si="260"/>
        <v>0.63581774797305946</v>
      </c>
      <c r="I259" s="462">
        <f t="shared" si="260"/>
        <v>0.63027483541187301</v>
      </c>
      <c r="J259" s="462">
        <f t="shared" si="260"/>
        <v>0.64939111478597222</v>
      </c>
      <c r="K259" s="462">
        <f t="shared" si="260"/>
        <v>0.62502711447426407</v>
      </c>
      <c r="L259" s="462">
        <f t="shared" si="260"/>
        <v>0.60607426843738565</v>
      </c>
      <c r="M259" s="462">
        <f t="shared" si="260"/>
        <v>0.60641433588004134</v>
      </c>
      <c r="N259" s="462">
        <f t="shared" si="260"/>
        <v>0.61311968423024432</v>
      </c>
      <c r="O259" s="462">
        <f t="shared" si="260"/>
        <v>0.61098557159996225</v>
      </c>
      <c r="P259" s="462">
        <f t="shared" si="260"/>
        <v>0.55872543762532212</v>
      </c>
      <c r="Q259" s="462">
        <f t="shared" si="260"/>
        <v>0.56006185084570459</v>
      </c>
      <c r="R259" s="462">
        <f t="shared" si="260"/>
        <v>0.61998736604964177</v>
      </c>
      <c r="S259" s="462">
        <f t="shared" si="260"/>
        <v>0.63076973440367268</v>
      </c>
      <c r="T259" s="462">
        <f t="shared" si="260"/>
        <v>0.65436974572886686</v>
      </c>
      <c r="U259" s="462">
        <f t="shared" si="260"/>
        <v>0.63742207313837052</v>
      </c>
      <c r="V259" s="462">
        <f t="shared" si="260"/>
        <v>0.62922561430587098</v>
      </c>
      <c r="W259" s="462">
        <f t="shared" si="260"/>
        <v>0.62828148989583199</v>
      </c>
      <c r="X259" s="462">
        <f t="shared" si="260"/>
        <v>0.61544063224017342</v>
      </c>
      <c r="Y259" s="462">
        <f t="shared" si="260"/>
        <v>0.61346771684424617</v>
      </c>
      <c r="Z259" s="462">
        <f t="shared" si="260"/>
        <v>0.55964811539928572</v>
      </c>
      <c r="AA259" s="462">
        <f t="shared" si="260"/>
        <v>0.56839013880204903</v>
      </c>
      <c r="AB259" s="462">
        <f t="shared" si="260"/>
        <v>0.57605505175867733</v>
      </c>
      <c r="AC259" s="462">
        <f t="shared" si="260"/>
        <v>0.56084111200096931</v>
      </c>
      <c r="AD259" s="462">
        <f t="shared" si="260"/>
        <v>0.58586348431564317</v>
      </c>
      <c r="AE259" s="462">
        <f t="shared" si="260"/>
        <v>0.5917926895306127</v>
      </c>
      <c r="AF259" s="462">
        <f t="shared" si="260"/>
        <v>0.53338060558851819</v>
      </c>
      <c r="AG259" s="462">
        <f t="shared" si="260"/>
        <v>0.54806166734425521</v>
      </c>
      <c r="AH259" s="462">
        <f t="shared" si="260"/>
        <v>0.5550835029677853</v>
      </c>
      <c r="AI259" s="462">
        <f t="shared" si="260"/>
        <v>0.58195529414388902</v>
      </c>
      <c r="AJ259" s="462">
        <f t="shared" si="260"/>
        <v>0.60184586538402329</v>
      </c>
      <c r="AK259" s="462">
        <f t="shared" si="260"/>
        <v>0.63108981351892524</v>
      </c>
      <c r="AL259" s="462">
        <f t="shared" si="260"/>
        <v>0.61203192864391542</v>
      </c>
      <c r="AM259" s="462">
        <f t="shared" si="260"/>
        <v>0.56564324751909578</v>
      </c>
      <c r="AN259" s="462">
        <f t="shared" si="260"/>
        <v>0.55890279488735406</v>
      </c>
      <c r="AO259" s="462">
        <f t="shared" si="260"/>
        <v>0.50558040857057074</v>
      </c>
      <c r="AP259" s="462">
        <f t="shared" si="260"/>
        <v>0.5188430507763756</v>
      </c>
      <c r="AQ259" s="462">
        <f t="shared" si="260"/>
        <v>0.46677500208762179</v>
      </c>
      <c r="AR259" s="462">
        <f t="shared" si="260"/>
        <v>0.4590632500423259</v>
      </c>
      <c r="AS259" s="462">
        <f t="shared" si="260"/>
        <v>0.36248926004737625</v>
      </c>
      <c r="AT259" s="462">
        <f t="shared" si="260"/>
        <v>0.32943144364661775</v>
      </c>
      <c r="AU259" s="462">
        <f t="shared" si="260"/>
        <v>0.4568171691433599</v>
      </c>
      <c r="AV259" s="462">
        <f t="shared" si="260"/>
        <v>0.49908788541586846</v>
      </c>
      <c r="AW259" s="462">
        <f t="shared" si="260"/>
        <v>0.57804986315999696</v>
      </c>
      <c r="AX259" s="462">
        <f t="shared" si="260"/>
        <v>0.63611098998261928</v>
      </c>
      <c r="AY259" s="462">
        <f t="shared" si="260"/>
        <v>0.62495009894750264</v>
      </c>
      <c r="AZ259" s="462">
        <f t="shared" si="260"/>
        <v>0.60725407628062489</v>
      </c>
      <c r="BA259" s="462">
        <f t="shared" si="260"/>
        <v>0.5675069624752026</v>
      </c>
      <c r="BB259" s="462">
        <f t="shared" si="260"/>
        <v>0.6487167058701786</v>
      </c>
      <c r="BC259" s="462">
        <f t="shared" ca="1" si="260"/>
        <v>0.62187231954722566</v>
      </c>
      <c r="BD259" s="462">
        <f t="shared" ca="1" si="260"/>
        <v>0.59737805647977738</v>
      </c>
      <c r="BE259" s="462">
        <f t="shared" ca="1" si="260"/>
        <v>0.58927747545601505</v>
      </c>
      <c r="BF259" s="462">
        <f t="shared" ca="1" si="260"/>
        <v>0.58538763556868134</v>
      </c>
      <c r="BG259" s="462">
        <f t="shared" ca="1" si="260"/>
        <v>0.58276322383493817</v>
      </c>
      <c r="BH259" s="462">
        <f t="shared" ca="1" si="260"/>
        <v>0.57961305097150362</v>
      </c>
      <c r="BI259" s="462">
        <f t="shared" ca="1" si="260"/>
        <v>0.57650524532382141</v>
      </c>
      <c r="BJ259" s="462">
        <f t="shared" ca="1" si="260"/>
        <v>0.57329301071305927</v>
      </c>
      <c r="BK259" s="462">
        <f t="shared" ca="1" si="260"/>
        <v>0.5703159539103837</v>
      </c>
      <c r="BL259" s="462">
        <f t="shared" ca="1" si="260"/>
        <v>0.56723313767336347</v>
      </c>
      <c r="BM259" s="462">
        <f t="shared" ca="1" si="260"/>
        <v>0.5640367832197779</v>
      </c>
      <c r="BN259" s="462">
        <f t="shared" ca="1" si="260"/>
        <v>0.56082492731554612</v>
      </c>
      <c r="BO259" s="462">
        <f t="shared" ca="1" si="260"/>
        <v>0.55751074326429262</v>
      </c>
      <c r="BQ259" s="448">
        <f t="shared" ca="1" si="259"/>
        <v>0</v>
      </c>
      <c r="BR259" s="448">
        <f t="shared" ca="1" si="259"/>
        <v>0</v>
      </c>
      <c r="BS259" s="448">
        <f t="shared" ca="1" si="259"/>
        <v>-1.3322676295501878E-15</v>
      </c>
      <c r="BT259" s="448">
        <f t="shared" ca="1" si="259"/>
        <v>-1.4988010832439613E-14</v>
      </c>
      <c r="BU259" s="448">
        <f t="shared" ca="1" si="259"/>
        <v>-1.6164847238542279E-13</v>
      </c>
      <c r="BV259" s="448">
        <f t="shared" ca="1" si="259"/>
        <v>-1.3131717935266352E-12</v>
      </c>
      <c r="BW259" s="448">
        <f t="shared" ca="1" si="259"/>
        <v>-8.4379170317561147E-12</v>
      </c>
      <c r="BX259" s="448">
        <f t="shared" ca="1" si="259"/>
        <v>-4.4359516060410442E-11</v>
      </c>
      <c r="BY259" s="448">
        <f t="shared" ca="1" si="259"/>
        <v>-1.9667623085695141E-10</v>
      </c>
      <c r="BZ259" s="448">
        <f t="shared" ca="1" si="259"/>
        <v>-7.5424044787553157E-10</v>
      </c>
      <c r="CA259" s="448">
        <f t="shared" ca="1" si="259"/>
        <v>-2.5475942466712809E-9</v>
      </c>
      <c r="CB259" s="448">
        <f t="shared" ca="1" si="259"/>
        <v>-7.7527019248790907E-9</v>
      </c>
      <c r="CD259" s="439">
        <v>0.59737805647977738</v>
      </c>
      <c r="CE259" s="439">
        <v>0.58927747545601505</v>
      </c>
      <c r="CF259" s="439">
        <v>0.58538763556868267</v>
      </c>
      <c r="CG259" s="439">
        <v>0.58276322383495316</v>
      </c>
      <c r="CH259" s="439">
        <v>0.57961305097166527</v>
      </c>
      <c r="CI259" s="439">
        <v>0.57650524532513459</v>
      </c>
      <c r="CJ259" s="439">
        <v>0.57329301072149719</v>
      </c>
      <c r="CK259" s="439">
        <v>0.57031595395474322</v>
      </c>
      <c r="CL259" s="439">
        <v>0.56723313787003971</v>
      </c>
      <c r="CM259" s="439">
        <v>0.56403678397401835</v>
      </c>
      <c r="CN259" s="439">
        <v>0.56082492986314036</v>
      </c>
      <c r="CO259" s="439">
        <v>0.55751075101699454</v>
      </c>
    </row>
    <row r="260" spans="1:93">
      <c r="A260" s="448" t="s">
        <v>96</v>
      </c>
      <c r="C260" s="449" t="s">
        <v>94</v>
      </c>
      <c r="F260" s="462">
        <f t="shared" ref="F260:BO260" si="261">+F13/F173</f>
        <v>0.25045262522631262</v>
      </c>
      <c r="G260" s="462">
        <f t="shared" si="261"/>
        <v>0.25680473372781071</v>
      </c>
      <c r="H260" s="462">
        <f t="shared" si="261"/>
        <v>0.24299746630441968</v>
      </c>
      <c r="I260" s="462">
        <f t="shared" si="261"/>
        <v>0.23925783031234549</v>
      </c>
      <c r="J260" s="462">
        <f t="shared" si="261"/>
        <v>0.24968738978124821</v>
      </c>
      <c r="K260" s="462">
        <f t="shared" si="261"/>
        <v>0.24053044829636927</v>
      </c>
      <c r="L260" s="462">
        <f t="shared" si="261"/>
        <v>0.23071309521694591</v>
      </c>
      <c r="M260" s="462">
        <f t="shared" si="261"/>
        <v>0.23018070048331479</v>
      </c>
      <c r="N260" s="462">
        <f t="shared" si="261"/>
        <v>0.23372103029217006</v>
      </c>
      <c r="O260" s="462">
        <f t="shared" si="261"/>
        <v>0.23203674038526625</v>
      </c>
      <c r="P260" s="462">
        <f t="shared" si="261"/>
        <v>0.21025839329483728</v>
      </c>
      <c r="Q260" s="462">
        <f t="shared" si="261"/>
        <v>0.19040983433144312</v>
      </c>
      <c r="R260" s="462">
        <f t="shared" si="261"/>
        <v>0.18903803848934911</v>
      </c>
      <c r="S260" s="462">
        <f t="shared" si="261"/>
        <v>0.17920729364953841</v>
      </c>
      <c r="T260" s="462">
        <f t="shared" si="261"/>
        <v>0.18900095767719932</v>
      </c>
      <c r="U260" s="462">
        <f t="shared" si="261"/>
        <v>0.19429667510703538</v>
      </c>
      <c r="V260" s="462">
        <f t="shared" si="261"/>
        <v>0.2074005136538517</v>
      </c>
      <c r="W260" s="462">
        <f t="shared" si="261"/>
        <v>0.20102908751619344</v>
      </c>
      <c r="X260" s="462">
        <f t="shared" si="261"/>
        <v>0.20927408528965363</v>
      </c>
      <c r="Y260" s="462">
        <f t="shared" si="261"/>
        <v>0.21264812500901001</v>
      </c>
      <c r="Z260" s="462">
        <f t="shared" si="261"/>
        <v>0.17882101207061987</v>
      </c>
      <c r="AA260" s="462">
        <f t="shared" si="261"/>
        <v>0.1916322635034233</v>
      </c>
      <c r="AB260" s="462">
        <f t="shared" si="261"/>
        <v>0.21289984140350252</v>
      </c>
      <c r="AC260" s="462">
        <f t="shared" si="261"/>
        <v>0.21027847849872369</v>
      </c>
      <c r="AD260" s="462">
        <f t="shared" si="261"/>
        <v>0.22806103786243981</v>
      </c>
      <c r="AE260" s="462">
        <f t="shared" si="261"/>
        <v>0.22204997850576735</v>
      </c>
      <c r="AF260" s="462">
        <f t="shared" si="261"/>
        <v>0.23278426337544264</v>
      </c>
      <c r="AG260" s="462">
        <f t="shared" si="261"/>
        <v>0.25002255601110346</v>
      </c>
      <c r="AH260" s="462">
        <f t="shared" si="261"/>
        <v>0.28478348676095894</v>
      </c>
      <c r="AI260" s="462">
        <f t="shared" si="261"/>
        <v>0.33729113359831936</v>
      </c>
      <c r="AJ260" s="462">
        <f t="shared" si="261"/>
        <v>0.37144356797452444</v>
      </c>
      <c r="AK260" s="462">
        <f t="shared" si="261"/>
        <v>0.40568268904202825</v>
      </c>
      <c r="AL260" s="462">
        <f t="shared" si="261"/>
        <v>0.35781276929225586</v>
      </c>
      <c r="AM260" s="462">
        <f t="shared" si="261"/>
        <v>0.26747033349221311</v>
      </c>
      <c r="AN260" s="462">
        <f t="shared" si="261"/>
        <v>0.23009749456644313</v>
      </c>
      <c r="AO260" s="462">
        <f t="shared" si="261"/>
        <v>0.18639025681913637</v>
      </c>
      <c r="AP260" s="462">
        <f t="shared" si="261"/>
        <v>0.15634421095691692</v>
      </c>
      <c r="AQ260" s="462">
        <f t="shared" si="261"/>
        <v>0.14156063977986527</v>
      </c>
      <c r="AR260" s="462">
        <f t="shared" si="261"/>
        <v>0.13882941112029554</v>
      </c>
      <c r="AS260" s="462">
        <f t="shared" si="261"/>
        <v>7.9720560485004227E-2</v>
      </c>
      <c r="AT260" s="462">
        <f t="shared" si="261"/>
        <v>0.11223770158428846</v>
      </c>
      <c r="AU260" s="462">
        <f t="shared" si="261"/>
        <v>0.1370060767776301</v>
      </c>
      <c r="AV260" s="462">
        <f t="shared" si="261"/>
        <v>0.1807848210522888</v>
      </c>
      <c r="AW260" s="462">
        <f t="shared" si="261"/>
        <v>0.22891741031571206</v>
      </c>
      <c r="AX260" s="462">
        <f t="shared" si="261"/>
        <v>0.25522098451590336</v>
      </c>
      <c r="AY260" s="462">
        <f t="shared" si="261"/>
        <v>0.26006140227344238</v>
      </c>
      <c r="AZ260" s="462">
        <f t="shared" si="261"/>
        <v>0.23516859578806476</v>
      </c>
      <c r="BA260" s="462">
        <f t="shared" si="261"/>
        <v>0.24808033634261445</v>
      </c>
      <c r="BB260" s="462">
        <f t="shared" si="261"/>
        <v>0.2243955045671667</v>
      </c>
      <c r="BC260" s="462">
        <f t="shared" ca="1" si="261"/>
        <v>0.15124242117517744</v>
      </c>
      <c r="BD260" s="462">
        <f t="shared" ca="1" si="261"/>
        <v>0.15975625190739784</v>
      </c>
      <c r="BE260" s="462">
        <f t="shared" ca="1" si="261"/>
        <v>0.17112081219108149</v>
      </c>
      <c r="BF260" s="462">
        <f t="shared" ca="1" si="261"/>
        <v>0.17582080083262211</v>
      </c>
      <c r="BG260" s="462">
        <f t="shared" ca="1" si="261"/>
        <v>0.17795984499854861</v>
      </c>
      <c r="BH260" s="462">
        <f t="shared" ca="1" si="261"/>
        <v>0.17972341331775571</v>
      </c>
      <c r="BI260" s="462">
        <f t="shared" ca="1" si="261"/>
        <v>0.18105503708809623</v>
      </c>
      <c r="BJ260" s="462">
        <f t="shared" ca="1" si="261"/>
        <v>0.18225221952598411</v>
      </c>
      <c r="BK260" s="462">
        <f t="shared" ca="1" si="261"/>
        <v>0.18316086840450907</v>
      </c>
      <c r="BL260" s="462">
        <f t="shared" ca="1" si="261"/>
        <v>0.18408145622413657</v>
      </c>
      <c r="BM260" s="462">
        <f t="shared" ca="1" si="261"/>
        <v>0.18504012630293379</v>
      </c>
      <c r="BN260" s="462">
        <f t="shared" ca="1" si="261"/>
        <v>0.18597894589760539</v>
      </c>
      <c r="BO260" s="462">
        <f t="shared" ca="1" si="261"/>
        <v>0.18696508223942471</v>
      </c>
      <c r="BQ260" s="448">
        <f t="shared" ca="1" si="259"/>
        <v>0</v>
      </c>
      <c r="BR260" s="448">
        <f t="shared" ca="1" si="259"/>
        <v>0</v>
      </c>
      <c r="BS260" s="448">
        <f t="shared" ca="1" si="259"/>
        <v>0</v>
      </c>
      <c r="BT260" s="448">
        <f t="shared" ca="1" si="259"/>
        <v>-1.7486012637846216E-15</v>
      </c>
      <c r="BU260" s="448">
        <f t="shared" ca="1" si="259"/>
        <v>-1.915134717478395E-14</v>
      </c>
      <c r="BV260" s="448">
        <f t="shared" ca="1" si="259"/>
        <v>-1.6028844918025698E-13</v>
      </c>
      <c r="BW260" s="448">
        <f t="shared" ca="1" si="259"/>
        <v>-1.0600131883364838E-12</v>
      </c>
      <c r="BX260" s="448">
        <f t="shared" ca="1" si="259"/>
        <v>-5.7268911834995606E-12</v>
      </c>
      <c r="BY260" s="448">
        <f t="shared" ca="1" si="259"/>
        <v>-2.6090019034086254E-11</v>
      </c>
      <c r="BZ260" s="448">
        <f t="shared" ca="1" si="259"/>
        <v>-1.0276193784797272E-10</v>
      </c>
      <c r="CA260" s="448">
        <f t="shared" ca="1" si="259"/>
        <v>-3.5628636152473803E-10</v>
      </c>
      <c r="CB260" s="448">
        <f t="shared" ca="1" si="259"/>
        <v>-1.111248593144154E-9</v>
      </c>
      <c r="CD260" s="439">
        <v>0.15975625190739784</v>
      </c>
      <c r="CE260" s="439">
        <v>0.17112081219108149</v>
      </c>
      <c r="CF260" s="439">
        <v>0.17582080083262219</v>
      </c>
      <c r="CG260" s="439">
        <v>0.17795984499855036</v>
      </c>
      <c r="CH260" s="439">
        <v>0.17972341331777486</v>
      </c>
      <c r="CI260" s="439">
        <v>0.18105503708825652</v>
      </c>
      <c r="CJ260" s="439">
        <v>0.18225221952704412</v>
      </c>
      <c r="CK260" s="439">
        <v>0.18316086841023596</v>
      </c>
      <c r="CL260" s="439">
        <v>0.18408145625022659</v>
      </c>
      <c r="CM260" s="439">
        <v>0.18504012640569573</v>
      </c>
      <c r="CN260" s="439">
        <v>0.18597894625389175</v>
      </c>
      <c r="CO260" s="439">
        <v>0.1869650833506733</v>
      </c>
    </row>
    <row r="261" spans="1:93">
      <c r="A261" s="448" t="s">
        <v>97</v>
      </c>
      <c r="C261" s="449" t="s">
        <v>94</v>
      </c>
      <c r="F261" s="462">
        <f t="shared" ref="F261:BO261" si="262">(F11-F13)/F173</f>
        <v>0.40675920337960175</v>
      </c>
      <c r="G261" s="462">
        <f t="shared" si="262"/>
        <v>0.40946745562130171</v>
      </c>
      <c r="H261" s="462">
        <f t="shared" si="262"/>
        <v>0.3928202816686398</v>
      </c>
      <c r="I261" s="462">
        <f t="shared" si="262"/>
        <v>0.39101700509952753</v>
      </c>
      <c r="J261" s="462">
        <f t="shared" si="262"/>
        <v>0.39970372500472401</v>
      </c>
      <c r="K261" s="462">
        <f t="shared" si="262"/>
        <v>0.38449666617789485</v>
      </c>
      <c r="L261" s="462">
        <f t="shared" si="262"/>
        <v>0.37536117322043971</v>
      </c>
      <c r="M261" s="462">
        <f t="shared" si="262"/>
        <v>0.37623363539672655</v>
      </c>
      <c r="N261" s="462">
        <f t="shared" si="262"/>
        <v>0.37939865393807432</v>
      </c>
      <c r="O261" s="462">
        <f t="shared" si="262"/>
        <v>0.37894883121469602</v>
      </c>
      <c r="P261" s="462">
        <f t="shared" si="262"/>
        <v>0.34846704433048481</v>
      </c>
      <c r="Q261" s="462">
        <f t="shared" si="262"/>
        <v>0.36965201651426144</v>
      </c>
      <c r="R261" s="462">
        <f t="shared" si="262"/>
        <v>0.43094932756029264</v>
      </c>
      <c r="S261" s="462">
        <f t="shared" si="262"/>
        <v>0.45156244075413432</v>
      </c>
      <c r="T261" s="462">
        <f t="shared" si="262"/>
        <v>0.46536878805166754</v>
      </c>
      <c r="U261" s="462">
        <f t="shared" si="262"/>
        <v>0.44312539803133516</v>
      </c>
      <c r="V261" s="462">
        <f t="shared" si="262"/>
        <v>0.42182510065201928</v>
      </c>
      <c r="W261" s="462">
        <f t="shared" si="262"/>
        <v>0.42725240237963846</v>
      </c>
      <c r="X261" s="462">
        <f t="shared" si="262"/>
        <v>0.40616654695051979</v>
      </c>
      <c r="Y261" s="462">
        <f t="shared" si="262"/>
        <v>0.40081959183523613</v>
      </c>
      <c r="Z261" s="462">
        <f t="shared" si="262"/>
        <v>0.38082710332866576</v>
      </c>
      <c r="AA261" s="462">
        <f t="shared" si="262"/>
        <v>0.37675787529862564</v>
      </c>
      <c r="AB261" s="462">
        <f t="shared" si="262"/>
        <v>0.36315521035517484</v>
      </c>
      <c r="AC261" s="462">
        <f t="shared" si="262"/>
        <v>0.35056263350224565</v>
      </c>
      <c r="AD261" s="462">
        <f t="shared" si="262"/>
        <v>0.3578024464532033</v>
      </c>
      <c r="AE261" s="462">
        <f t="shared" si="262"/>
        <v>0.36974271102484535</v>
      </c>
      <c r="AF261" s="462">
        <f t="shared" si="262"/>
        <v>0.30059634221307552</v>
      </c>
      <c r="AG261" s="462">
        <f t="shared" si="262"/>
        <v>0.29803911133315175</v>
      </c>
      <c r="AH261" s="462">
        <f t="shared" si="262"/>
        <v>0.27030001620682642</v>
      </c>
      <c r="AI261" s="462">
        <f t="shared" si="262"/>
        <v>0.24466416054556972</v>
      </c>
      <c r="AJ261" s="462">
        <f t="shared" si="262"/>
        <v>0.23040229740949883</v>
      </c>
      <c r="AK261" s="462">
        <f t="shared" si="262"/>
        <v>0.22540712447689698</v>
      </c>
      <c r="AL261" s="462">
        <f t="shared" si="262"/>
        <v>0.25421915935165962</v>
      </c>
      <c r="AM261" s="462">
        <f t="shared" si="262"/>
        <v>0.29817291402688267</v>
      </c>
      <c r="AN261" s="462">
        <f t="shared" si="262"/>
        <v>0.32880530032091093</v>
      </c>
      <c r="AO261" s="462">
        <f t="shared" si="262"/>
        <v>0.31919015175143439</v>
      </c>
      <c r="AP261" s="462">
        <f t="shared" si="262"/>
        <v>0.36249883981945874</v>
      </c>
      <c r="AQ261" s="462">
        <f t="shared" si="262"/>
        <v>0.32521436230775652</v>
      </c>
      <c r="AR261" s="462">
        <f t="shared" si="262"/>
        <v>0.32023383892203033</v>
      </c>
      <c r="AS261" s="462">
        <f t="shared" si="262"/>
        <v>0.28276869956237205</v>
      </c>
      <c r="AT261" s="462">
        <f t="shared" si="262"/>
        <v>0.21719374206232928</v>
      </c>
      <c r="AU261" s="462">
        <f t="shared" si="262"/>
        <v>0.3198110923657298</v>
      </c>
      <c r="AV261" s="462">
        <f t="shared" si="262"/>
        <v>0.31830306436357969</v>
      </c>
      <c r="AW261" s="462">
        <f t="shared" si="262"/>
        <v>0.34913245284428496</v>
      </c>
      <c r="AX261" s="462">
        <f t="shared" si="262"/>
        <v>0.38089000546671598</v>
      </c>
      <c r="AY261" s="462">
        <f t="shared" si="262"/>
        <v>0.36488869667406026</v>
      </c>
      <c r="AZ261" s="462">
        <f t="shared" si="262"/>
        <v>0.37208548049256013</v>
      </c>
      <c r="BA261" s="462">
        <f t="shared" si="262"/>
        <v>0.31942662613258815</v>
      </c>
      <c r="BB261" s="462">
        <f t="shared" si="262"/>
        <v>0.42432120130301193</v>
      </c>
      <c r="BC261" s="462">
        <f t="shared" ca="1" si="262"/>
        <v>0.47062989837204827</v>
      </c>
      <c r="BD261" s="462">
        <f t="shared" ca="1" si="262"/>
        <v>0.43762180457237965</v>
      </c>
      <c r="BE261" s="462">
        <f t="shared" ca="1" si="262"/>
        <v>0.41815666326493356</v>
      </c>
      <c r="BF261" s="462">
        <f t="shared" ca="1" si="262"/>
        <v>0.4095668347360592</v>
      </c>
      <c r="BG261" s="462">
        <f t="shared" ca="1" si="262"/>
        <v>0.40480337883638956</v>
      </c>
      <c r="BH261" s="462">
        <f t="shared" ca="1" si="262"/>
        <v>0.39988963765374791</v>
      </c>
      <c r="BI261" s="462">
        <f t="shared" ca="1" si="262"/>
        <v>0.39545020823572519</v>
      </c>
      <c r="BJ261" s="462">
        <f t="shared" ca="1" si="262"/>
        <v>0.39104079118707519</v>
      </c>
      <c r="BK261" s="462">
        <f t="shared" ca="1" si="262"/>
        <v>0.38715508550587463</v>
      </c>
      <c r="BL261" s="462">
        <f t="shared" ca="1" si="262"/>
        <v>0.38315168144922684</v>
      </c>
      <c r="BM261" s="462">
        <f t="shared" ca="1" si="262"/>
        <v>0.37899665691684409</v>
      </c>
      <c r="BN261" s="462">
        <f t="shared" ca="1" si="262"/>
        <v>0.37484598141794073</v>
      </c>
      <c r="BO261" s="462">
        <f t="shared" ca="1" si="262"/>
        <v>0.37054566102486791</v>
      </c>
      <c r="BQ261" s="448">
        <f t="shared" ca="1" si="259"/>
        <v>0</v>
      </c>
      <c r="BR261" s="448">
        <f t="shared" ca="1" si="259"/>
        <v>0</v>
      </c>
      <c r="BS261" s="448">
        <f t="shared" ca="1" si="259"/>
        <v>-1.2212453270876722E-15</v>
      </c>
      <c r="BT261" s="448">
        <f t="shared" ca="1" si="259"/>
        <v>-1.3267165144270621E-14</v>
      </c>
      <c r="BU261" s="448">
        <f t="shared" ca="1" si="259"/>
        <v>-1.4249712521063884E-13</v>
      </c>
      <c r="BV261" s="448">
        <f t="shared" ca="1" si="259"/>
        <v>-1.1528000776195313E-12</v>
      </c>
      <c r="BW261" s="448">
        <f t="shared" ca="1" si="259"/>
        <v>-7.3779315989952465E-12</v>
      </c>
      <c r="BX261" s="448">
        <f t="shared" ca="1" si="259"/>
        <v>-3.8632652632486497E-11</v>
      </c>
      <c r="BY261" s="448">
        <f t="shared" ca="1" si="259"/>
        <v>-1.7058632284516762E-10</v>
      </c>
      <c r="BZ261" s="448">
        <f t="shared" ca="1" si="259"/>
        <v>-6.5147848227198324E-10</v>
      </c>
      <c r="CA261" s="448">
        <f t="shared" ca="1" si="259"/>
        <v>-2.1913079129021185E-9</v>
      </c>
      <c r="CB261" s="448">
        <f t="shared" ca="1" si="259"/>
        <v>-6.6414532762237855E-9</v>
      </c>
      <c r="CD261" s="439">
        <v>0.43762180457237965</v>
      </c>
      <c r="CE261" s="439">
        <v>0.41815666326493356</v>
      </c>
      <c r="CF261" s="439">
        <v>0.40956683473606043</v>
      </c>
      <c r="CG261" s="439">
        <v>0.40480337883640283</v>
      </c>
      <c r="CH261" s="439">
        <v>0.39988963765389041</v>
      </c>
      <c r="CI261" s="439">
        <v>0.39545020823687799</v>
      </c>
      <c r="CJ261" s="439">
        <v>0.39104079119445312</v>
      </c>
      <c r="CK261" s="439">
        <v>0.38715508554450728</v>
      </c>
      <c r="CL261" s="439">
        <v>0.38315168161981317</v>
      </c>
      <c r="CM261" s="439">
        <v>0.37899665756832257</v>
      </c>
      <c r="CN261" s="439">
        <v>0.37484598360924865</v>
      </c>
      <c r="CO261" s="439">
        <v>0.37054566766632119</v>
      </c>
    </row>
    <row r="262" spans="1:93">
      <c r="F262" s="438"/>
      <c r="G262" s="438"/>
      <c r="H262" s="438"/>
      <c r="I262" s="438"/>
      <c r="J262" s="438"/>
      <c r="K262" s="438"/>
      <c r="L262" s="438"/>
      <c r="M262" s="438"/>
      <c r="N262" s="438"/>
      <c r="O262" s="438"/>
      <c r="P262" s="438"/>
      <c r="Q262" s="438"/>
      <c r="R262" s="438"/>
      <c r="S262" s="438"/>
      <c r="T262" s="438"/>
      <c r="U262" s="438"/>
      <c r="V262" s="438"/>
      <c r="W262" s="438"/>
      <c r="X262" s="438"/>
      <c r="Y262" s="438"/>
      <c r="Z262" s="438"/>
      <c r="AA262" s="438"/>
      <c r="AB262" s="438"/>
      <c r="AC262" s="438"/>
      <c r="AD262" s="438"/>
      <c r="AE262" s="438"/>
      <c r="AF262" s="438"/>
      <c r="AG262" s="438"/>
      <c r="AH262" s="438"/>
      <c r="AI262" s="438"/>
      <c r="AJ262" s="438"/>
      <c r="AK262" s="438"/>
      <c r="AL262" s="438"/>
      <c r="AM262" s="438"/>
      <c r="AN262" s="438"/>
      <c r="AO262" s="438"/>
      <c r="AP262" s="438"/>
      <c r="AQ262" s="438"/>
      <c r="AR262" s="438"/>
      <c r="AS262" s="438"/>
      <c r="AT262" s="438"/>
      <c r="AU262" s="438"/>
      <c r="AV262" s="438"/>
      <c r="AW262" s="438"/>
      <c r="AX262" s="438"/>
      <c r="AY262" s="438"/>
      <c r="AZ262" s="438"/>
      <c r="BE262" s="438"/>
      <c r="BF262" s="438"/>
      <c r="BG262" s="438"/>
      <c r="BH262" s="438"/>
      <c r="BI262" s="438"/>
      <c r="BJ262" s="438"/>
      <c r="BK262" s="438"/>
      <c r="BL262" s="438"/>
      <c r="BM262" s="438"/>
      <c r="BN262" s="438"/>
      <c r="BO262" s="438"/>
    </row>
    <row r="263" spans="1:93">
      <c r="AV263" s="438"/>
      <c r="AW263" s="438"/>
      <c r="AZ263" s="438"/>
      <c r="BE263" s="438"/>
      <c r="BF263" s="438"/>
      <c r="BG263" s="438"/>
      <c r="BH263" s="438"/>
      <c r="BI263" s="438"/>
      <c r="BJ263" s="438"/>
      <c r="BK263" s="438"/>
      <c r="BL263" s="438"/>
      <c r="BM263" s="438"/>
      <c r="BN263" s="438"/>
      <c r="BO263" s="438"/>
    </row>
    <row r="264" spans="1:93">
      <c r="AV264" s="438"/>
      <c r="AW264" s="438"/>
      <c r="AZ264" s="438"/>
      <c r="BE264" s="438"/>
      <c r="BF264" s="438"/>
      <c r="BG264" s="438"/>
      <c r="BH264" s="438"/>
      <c r="BI264" s="438"/>
      <c r="BJ264" s="438"/>
      <c r="BK264" s="438"/>
      <c r="BL264" s="438"/>
      <c r="BM264" s="438"/>
      <c r="BN264" s="438"/>
      <c r="BO264" s="438"/>
    </row>
    <row r="265" spans="1:93">
      <c r="AV265" s="438"/>
      <c r="AW265" s="438"/>
      <c r="AZ265" s="438"/>
      <c r="BE265" s="438"/>
      <c r="BF265" s="438"/>
      <c r="BG265" s="438"/>
      <c r="BH265" s="438"/>
      <c r="BI265" s="438"/>
      <c r="BJ265" s="438"/>
      <c r="BK265" s="438"/>
      <c r="BL265" s="438"/>
      <c r="BM265" s="438"/>
      <c r="BN265" s="438"/>
      <c r="BO265" s="438"/>
    </row>
    <row r="266" spans="1:93">
      <c r="AV266" s="438"/>
      <c r="AW266" s="438"/>
      <c r="AZ266" s="438"/>
      <c r="BE266" s="438"/>
      <c r="BF266" s="438"/>
      <c r="BG266" s="438"/>
      <c r="BH266" s="438"/>
      <c r="BI266" s="438"/>
      <c r="BJ266" s="438"/>
      <c r="BK266" s="438"/>
      <c r="BL266" s="438"/>
      <c r="BM266" s="438"/>
      <c r="BN266" s="438"/>
      <c r="BO266" s="438"/>
    </row>
    <row r="267" spans="1:93">
      <c r="AV267" s="438"/>
      <c r="AW267" s="438"/>
      <c r="AZ267" s="438"/>
      <c r="BE267" s="438"/>
      <c r="BF267" s="438"/>
      <c r="BG267" s="438"/>
      <c r="BH267" s="438"/>
      <c r="BI267" s="438"/>
      <c r="BJ267" s="438"/>
      <c r="BK267" s="438"/>
      <c r="BL267" s="438"/>
      <c r="BM267" s="438"/>
      <c r="BN267" s="438"/>
      <c r="BO267" s="438"/>
    </row>
    <row r="268" spans="1:93">
      <c r="AV268" s="438"/>
      <c r="AW268" s="438"/>
      <c r="AZ268" s="438"/>
      <c r="BE268" s="438"/>
      <c r="BF268" s="438"/>
      <c r="BG268" s="438"/>
      <c r="BH268" s="438"/>
      <c r="BI268" s="438"/>
      <c r="BJ268" s="438"/>
      <c r="BK268" s="438"/>
      <c r="BL268" s="438"/>
      <c r="BM268" s="438"/>
      <c r="BN268" s="438"/>
      <c r="BO268" s="438"/>
    </row>
    <row r="269" spans="1:93">
      <c r="AV269" s="438"/>
      <c r="AW269" s="438"/>
      <c r="AZ269" s="438"/>
      <c r="BE269" s="438"/>
      <c r="BF269" s="438"/>
      <c r="BG269" s="438"/>
      <c r="BH269" s="438"/>
      <c r="BI269" s="438"/>
      <c r="BJ269" s="438"/>
      <c r="BK269" s="438"/>
      <c r="BL269" s="438"/>
      <c r="BM269" s="438"/>
      <c r="BN269" s="438"/>
      <c r="BO269" s="438"/>
    </row>
    <row r="270" spans="1:93">
      <c r="AV270" s="438"/>
      <c r="AW270" s="438"/>
      <c r="AZ270" s="438"/>
      <c r="BE270" s="438"/>
      <c r="BF270" s="438"/>
      <c r="BG270" s="438"/>
      <c r="BH270" s="438"/>
      <c r="BI270" s="438"/>
      <c r="BJ270" s="438"/>
      <c r="BK270" s="438"/>
      <c r="BL270" s="438"/>
      <c r="BM270" s="438"/>
      <c r="BN270" s="438"/>
      <c r="BO270" s="438"/>
    </row>
    <row r="271" spans="1:93">
      <c r="AV271" s="438"/>
      <c r="AW271" s="438"/>
      <c r="AZ271" s="438"/>
      <c r="BE271" s="438"/>
      <c r="BF271" s="438"/>
      <c r="BG271" s="438"/>
      <c r="BH271" s="438"/>
      <c r="BI271" s="438"/>
      <c r="BJ271" s="438"/>
      <c r="BK271" s="438"/>
      <c r="BL271" s="438"/>
      <c r="BM271" s="438"/>
      <c r="BN271" s="438"/>
      <c r="BO271" s="438"/>
    </row>
    <row r="272" spans="1:93">
      <c r="AV272" s="438"/>
      <c r="AW272" s="438"/>
      <c r="AZ272" s="438"/>
      <c r="BE272" s="438"/>
      <c r="BF272" s="438"/>
      <c r="BG272" s="438"/>
      <c r="BH272" s="438"/>
      <c r="BI272" s="438"/>
      <c r="BJ272" s="438"/>
      <c r="BK272" s="438"/>
      <c r="BL272" s="438"/>
      <c r="BM272" s="438"/>
      <c r="BN272" s="438"/>
      <c r="BO272" s="438"/>
    </row>
    <row r="273" spans="48:67">
      <c r="AV273" s="438"/>
      <c r="AW273" s="438"/>
      <c r="AZ273" s="438"/>
      <c r="BE273" s="438"/>
      <c r="BF273" s="438"/>
      <c r="BG273" s="438"/>
      <c r="BH273" s="438"/>
      <c r="BI273" s="438"/>
      <c r="BJ273" s="438"/>
      <c r="BK273" s="438"/>
      <c r="BL273" s="438"/>
      <c r="BM273" s="438"/>
      <c r="BN273" s="438"/>
      <c r="BO273" s="438"/>
    </row>
    <row r="274" spans="48:67">
      <c r="AV274" s="438"/>
      <c r="AW274" s="438"/>
      <c r="AZ274" s="438"/>
      <c r="BE274" s="438"/>
      <c r="BF274" s="438"/>
      <c r="BG274" s="438"/>
      <c r="BH274" s="438"/>
      <c r="BI274" s="438"/>
      <c r="BJ274" s="438"/>
      <c r="BK274" s="438"/>
      <c r="BL274" s="438"/>
      <c r="BM274" s="438"/>
      <c r="BN274" s="438"/>
      <c r="BO274" s="438"/>
    </row>
    <row r="275" spans="48:67">
      <c r="AV275" s="438"/>
      <c r="AW275" s="438"/>
      <c r="AZ275" s="438"/>
      <c r="BE275" s="438"/>
      <c r="BF275" s="438"/>
      <c r="BG275" s="438"/>
      <c r="BH275" s="438"/>
      <c r="BI275" s="438"/>
      <c r="BJ275" s="438"/>
      <c r="BK275" s="438"/>
      <c r="BL275" s="438"/>
      <c r="BM275" s="438"/>
      <c r="BN275" s="438"/>
      <c r="BO275" s="438"/>
    </row>
    <row r="276" spans="48:67">
      <c r="AV276" s="438"/>
      <c r="AW276" s="438"/>
      <c r="AZ276" s="438"/>
      <c r="BE276" s="438"/>
      <c r="BF276" s="438"/>
      <c r="BG276" s="438"/>
      <c r="BH276" s="438"/>
      <c r="BI276" s="438"/>
      <c r="BJ276" s="438"/>
      <c r="BK276" s="438"/>
      <c r="BL276" s="438"/>
      <c r="BM276" s="438"/>
      <c r="BN276" s="438"/>
      <c r="BO276" s="438"/>
    </row>
    <row r="277" spans="48:67">
      <c r="AV277" s="438"/>
      <c r="AW277" s="438"/>
      <c r="AZ277" s="438"/>
      <c r="BE277" s="438"/>
      <c r="BF277" s="438"/>
      <c r="BG277" s="438"/>
      <c r="BH277" s="438"/>
      <c r="BI277" s="438"/>
      <c r="BJ277" s="438"/>
      <c r="BK277" s="438"/>
      <c r="BL277" s="438"/>
      <c r="BM277" s="438"/>
      <c r="BN277" s="438"/>
      <c r="BO277" s="438"/>
    </row>
    <row r="278" spans="48:67">
      <c r="AV278" s="438"/>
      <c r="AW278" s="438"/>
      <c r="AZ278" s="438"/>
      <c r="BE278" s="438"/>
      <c r="BF278" s="438"/>
      <c r="BG278" s="438"/>
      <c r="BH278" s="438"/>
      <c r="BI278" s="438"/>
      <c r="BJ278" s="438"/>
      <c r="BK278" s="438"/>
      <c r="BL278" s="438"/>
      <c r="BM278" s="438"/>
      <c r="BN278" s="438"/>
      <c r="BO278" s="438"/>
    </row>
    <row r="279" spans="48:67">
      <c r="AV279" s="438"/>
      <c r="AW279" s="438"/>
      <c r="AZ279" s="438"/>
      <c r="BE279" s="438"/>
      <c r="BF279" s="438"/>
      <c r="BG279" s="438"/>
      <c r="BH279" s="438"/>
      <c r="BI279" s="438"/>
      <c r="BJ279" s="438"/>
      <c r="BK279" s="438"/>
      <c r="BL279" s="438"/>
      <c r="BM279" s="438"/>
      <c r="BN279" s="438"/>
      <c r="BO279" s="438"/>
    </row>
    <row r="280" spans="48:67">
      <c r="AV280" s="438"/>
      <c r="AW280" s="438"/>
      <c r="AZ280" s="438"/>
      <c r="BE280" s="438"/>
      <c r="BF280" s="438"/>
      <c r="BG280" s="438"/>
      <c r="BH280" s="438"/>
      <c r="BI280" s="438"/>
      <c r="BJ280" s="438"/>
      <c r="BK280" s="438"/>
      <c r="BL280" s="438"/>
      <c r="BM280" s="438"/>
      <c r="BN280" s="438"/>
      <c r="BO280" s="438"/>
    </row>
    <row r="281" spans="48:67">
      <c r="AV281" s="438"/>
      <c r="AW281" s="438"/>
      <c r="AZ281" s="438"/>
      <c r="BE281" s="438"/>
      <c r="BF281" s="438"/>
      <c r="BG281" s="438"/>
      <c r="BH281" s="438"/>
      <c r="BI281" s="438"/>
      <c r="BJ281" s="438"/>
      <c r="BK281" s="438"/>
      <c r="BL281" s="438"/>
      <c r="BM281" s="438"/>
      <c r="BN281" s="438"/>
      <c r="BO281" s="438"/>
    </row>
    <row r="282" spans="48:67">
      <c r="AV282" s="438"/>
      <c r="AW282" s="438"/>
      <c r="AZ282" s="438"/>
      <c r="BE282" s="438"/>
      <c r="BF282" s="438"/>
      <c r="BG282" s="438"/>
      <c r="BH282" s="438"/>
      <c r="BI282" s="438"/>
      <c r="BJ282" s="438"/>
      <c r="BK282" s="438"/>
      <c r="BL282" s="438"/>
      <c r="BM282" s="438"/>
      <c r="BN282" s="438"/>
      <c r="BO282" s="438"/>
    </row>
    <row r="283" spans="48:67">
      <c r="AV283" s="438"/>
      <c r="AW283" s="438"/>
      <c r="AZ283" s="438"/>
      <c r="BE283" s="438"/>
      <c r="BF283" s="438"/>
      <c r="BG283" s="438"/>
      <c r="BH283" s="438"/>
      <c r="BI283" s="438"/>
      <c r="BJ283" s="438"/>
      <c r="BK283" s="438"/>
      <c r="BL283" s="438"/>
      <c r="BM283" s="438"/>
      <c r="BN283" s="438"/>
      <c r="BO283" s="438"/>
    </row>
    <row r="284" spans="48:67">
      <c r="AV284" s="438"/>
      <c r="AW284" s="438"/>
      <c r="AZ284" s="438"/>
      <c r="BE284" s="438"/>
      <c r="BF284" s="438"/>
      <c r="BG284" s="438"/>
      <c r="BH284" s="438"/>
      <c r="BI284" s="438"/>
      <c r="BJ284" s="438"/>
      <c r="BK284" s="438"/>
      <c r="BL284" s="438"/>
      <c r="BM284" s="438"/>
      <c r="BN284" s="438"/>
      <c r="BO284" s="438"/>
    </row>
    <row r="285" spans="48:67">
      <c r="AV285" s="438"/>
      <c r="AW285" s="438"/>
      <c r="AZ285" s="438"/>
      <c r="BE285" s="438"/>
      <c r="BF285" s="438"/>
      <c r="BG285" s="438"/>
      <c r="BH285" s="438"/>
      <c r="BI285" s="438"/>
      <c r="BJ285" s="438"/>
      <c r="BK285" s="438"/>
      <c r="BL285" s="438"/>
      <c r="BM285" s="438"/>
      <c r="BN285" s="438"/>
      <c r="BO285" s="438"/>
    </row>
    <row r="286" spans="48:67">
      <c r="AV286" s="438"/>
      <c r="AW286" s="438"/>
      <c r="AZ286" s="438"/>
      <c r="BE286" s="438"/>
      <c r="BF286" s="438"/>
      <c r="BG286" s="438"/>
      <c r="BH286" s="438"/>
      <c r="BI286" s="438"/>
      <c r="BJ286" s="438"/>
      <c r="BK286" s="438"/>
      <c r="BL286" s="438"/>
      <c r="BM286" s="438"/>
      <c r="BN286" s="438"/>
      <c r="BO286" s="438"/>
    </row>
    <row r="287" spans="48:67">
      <c r="AV287" s="438"/>
      <c r="AW287" s="438"/>
      <c r="AZ287" s="438"/>
      <c r="BE287" s="438"/>
      <c r="BF287" s="438"/>
      <c r="BG287" s="438"/>
      <c r="BH287" s="438"/>
      <c r="BI287" s="438"/>
      <c r="BJ287" s="438"/>
      <c r="BK287" s="438"/>
      <c r="BL287" s="438"/>
      <c r="BM287" s="438"/>
      <c r="BN287" s="438"/>
      <c r="BO287" s="438"/>
    </row>
    <row r="288" spans="48:67">
      <c r="AV288" s="438"/>
      <c r="AW288" s="438"/>
      <c r="AZ288" s="438"/>
      <c r="BE288" s="438"/>
      <c r="BF288" s="438"/>
      <c r="BG288" s="438"/>
      <c r="BH288" s="438"/>
      <c r="BI288" s="438"/>
      <c r="BJ288" s="438"/>
      <c r="BK288" s="438"/>
      <c r="BL288" s="438"/>
      <c r="BM288" s="438"/>
      <c r="BN288" s="438"/>
      <c r="BO288" s="438"/>
    </row>
    <row r="289" spans="48:67">
      <c r="AV289" s="438"/>
      <c r="AW289" s="438"/>
      <c r="AZ289" s="438"/>
      <c r="BE289" s="438"/>
      <c r="BF289" s="438"/>
      <c r="BG289" s="438"/>
      <c r="BH289" s="438"/>
      <c r="BI289" s="438"/>
      <c r="BJ289" s="438"/>
      <c r="BK289" s="438"/>
      <c r="BL289" s="438"/>
      <c r="BM289" s="438"/>
      <c r="BN289" s="438"/>
      <c r="BO289" s="438"/>
    </row>
    <row r="290" spans="48:67">
      <c r="AV290" s="438"/>
      <c r="AW290" s="438"/>
      <c r="AZ290" s="438"/>
      <c r="BE290" s="438"/>
      <c r="BF290" s="438"/>
      <c r="BG290" s="438"/>
      <c r="BH290" s="438"/>
      <c r="BI290" s="438"/>
      <c r="BJ290" s="438"/>
      <c r="BK290" s="438"/>
      <c r="BL290" s="438"/>
      <c r="BM290" s="438"/>
      <c r="BN290" s="438"/>
      <c r="BO290" s="438"/>
    </row>
    <row r="291" spans="48:67">
      <c r="AV291" s="438"/>
      <c r="AW291" s="438"/>
      <c r="AZ291" s="438"/>
      <c r="BE291" s="438"/>
      <c r="BF291" s="438"/>
      <c r="BG291" s="438"/>
      <c r="BH291" s="438"/>
      <c r="BI291" s="438"/>
      <c r="BJ291" s="438"/>
      <c r="BK291" s="438"/>
      <c r="BL291" s="438"/>
      <c r="BM291" s="438"/>
      <c r="BN291" s="438"/>
      <c r="BO291" s="438"/>
    </row>
    <row r="292" spans="48:67">
      <c r="AV292" s="438"/>
      <c r="AW292" s="438"/>
      <c r="AZ292" s="438"/>
      <c r="BE292" s="438"/>
      <c r="BF292" s="438"/>
      <c r="BG292" s="438"/>
      <c r="BH292" s="438"/>
      <c r="BI292" s="438"/>
      <c r="BJ292" s="438"/>
      <c r="BK292" s="438"/>
      <c r="BL292" s="438"/>
      <c r="BM292" s="438"/>
      <c r="BN292" s="438"/>
      <c r="BO292" s="438"/>
    </row>
    <row r="293" spans="48:67">
      <c r="AV293" s="438"/>
      <c r="AW293" s="438"/>
      <c r="AZ293" s="438"/>
      <c r="BE293" s="438"/>
      <c r="BF293" s="438"/>
      <c r="BG293" s="438"/>
      <c r="BH293" s="438"/>
      <c r="BI293" s="438"/>
      <c r="BJ293" s="438"/>
      <c r="BK293" s="438"/>
      <c r="BL293" s="438"/>
      <c r="BM293" s="438"/>
      <c r="BN293" s="438"/>
      <c r="BO293" s="438"/>
    </row>
    <row r="294" spans="48:67">
      <c r="AV294" s="438"/>
      <c r="AW294" s="438"/>
      <c r="AZ294" s="438"/>
      <c r="BE294" s="438"/>
      <c r="BF294" s="438"/>
      <c r="BG294" s="438"/>
      <c r="BH294" s="438"/>
      <c r="BI294" s="438"/>
      <c r="BJ294" s="438"/>
      <c r="BK294" s="438"/>
      <c r="BL294" s="438"/>
      <c r="BM294" s="438"/>
      <c r="BN294" s="438"/>
      <c r="BO294" s="438"/>
    </row>
    <row r="295" spans="48:67">
      <c r="AV295" s="438"/>
      <c r="AW295" s="438"/>
      <c r="AZ295" s="438"/>
      <c r="BE295" s="438"/>
      <c r="BF295" s="438"/>
      <c r="BG295" s="438"/>
      <c r="BH295" s="438"/>
      <c r="BI295" s="438"/>
      <c r="BJ295" s="438"/>
      <c r="BK295" s="438"/>
      <c r="BL295" s="438"/>
      <c r="BM295" s="438"/>
      <c r="BN295" s="438"/>
      <c r="BO295" s="438"/>
    </row>
    <row r="296" spans="48:67">
      <c r="AV296" s="438"/>
      <c r="AW296" s="438"/>
      <c r="AZ296" s="438"/>
      <c r="BE296" s="438"/>
      <c r="BF296" s="438"/>
      <c r="BG296" s="438"/>
      <c r="BH296" s="438"/>
      <c r="BI296" s="438"/>
      <c r="BJ296" s="438"/>
      <c r="BK296" s="438"/>
      <c r="BL296" s="438"/>
      <c r="BM296" s="438"/>
      <c r="BN296" s="438"/>
      <c r="BO296" s="438"/>
    </row>
    <row r="297" spans="48:67">
      <c r="AV297" s="438"/>
      <c r="AW297" s="438"/>
      <c r="AZ297" s="438"/>
      <c r="BE297" s="438"/>
      <c r="BF297" s="438"/>
      <c r="BG297" s="438"/>
      <c r="BH297" s="438"/>
      <c r="BI297" s="438"/>
      <c r="BJ297" s="438"/>
      <c r="BK297" s="438"/>
      <c r="BL297" s="438"/>
      <c r="BM297" s="438"/>
      <c r="BN297" s="438"/>
      <c r="BO297" s="438"/>
    </row>
    <row r="298" spans="48:67">
      <c r="AV298" s="438"/>
      <c r="AW298" s="438"/>
      <c r="AZ298" s="438"/>
      <c r="BE298" s="438"/>
      <c r="BF298" s="438"/>
      <c r="BG298" s="438"/>
      <c r="BH298" s="438"/>
      <c r="BI298" s="438"/>
      <c r="BJ298" s="438"/>
      <c r="BK298" s="438"/>
      <c r="BL298" s="438"/>
      <c r="BM298" s="438"/>
      <c r="BN298" s="438"/>
      <c r="BO298" s="438"/>
    </row>
    <row r="299" spans="48:67">
      <c r="AV299" s="438"/>
      <c r="AW299" s="438"/>
      <c r="AZ299" s="438"/>
      <c r="BE299" s="438"/>
      <c r="BF299" s="438"/>
      <c r="BG299" s="438"/>
      <c r="BH299" s="438"/>
      <c r="BI299" s="438"/>
      <c r="BJ299" s="438"/>
      <c r="BK299" s="438"/>
      <c r="BL299" s="438"/>
      <c r="BM299" s="438"/>
      <c r="BN299" s="438"/>
      <c r="BO299" s="438"/>
    </row>
    <row r="300" spans="48:67">
      <c r="AV300" s="438"/>
      <c r="AW300" s="438"/>
      <c r="AZ300" s="438"/>
      <c r="BE300" s="438"/>
      <c r="BF300" s="438"/>
      <c r="BG300" s="438"/>
      <c r="BH300" s="438"/>
      <c r="BI300" s="438"/>
      <c r="BJ300" s="438"/>
      <c r="BK300" s="438"/>
      <c r="BL300" s="438"/>
      <c r="BM300" s="438"/>
      <c r="BN300" s="438"/>
      <c r="BO300" s="438"/>
    </row>
    <row r="301" spans="48:67">
      <c r="AV301" s="438"/>
      <c r="AW301" s="438"/>
      <c r="AZ301" s="438"/>
      <c r="BE301" s="438"/>
      <c r="BF301" s="438"/>
      <c r="BG301" s="438"/>
      <c r="BH301" s="438"/>
      <c r="BI301" s="438"/>
      <c r="BJ301" s="438"/>
      <c r="BK301" s="438"/>
      <c r="BL301" s="438"/>
      <c r="BM301" s="438"/>
      <c r="BN301" s="438"/>
      <c r="BO301" s="438"/>
    </row>
    <row r="302" spans="48:67">
      <c r="AV302" s="438"/>
      <c r="AW302" s="438"/>
      <c r="AZ302" s="438"/>
      <c r="BE302" s="438"/>
      <c r="BF302" s="438"/>
      <c r="BG302" s="438"/>
      <c r="BH302" s="438"/>
      <c r="BI302" s="438"/>
      <c r="BJ302" s="438"/>
      <c r="BK302" s="438"/>
      <c r="BL302" s="438"/>
      <c r="BM302" s="438"/>
      <c r="BN302" s="438"/>
      <c r="BO302" s="438"/>
    </row>
    <row r="303" spans="48:67">
      <c r="AV303" s="438"/>
      <c r="AW303" s="438"/>
      <c r="AZ303" s="438"/>
      <c r="BE303" s="438"/>
      <c r="BF303" s="438"/>
      <c r="BG303" s="438"/>
      <c r="BH303" s="438"/>
      <c r="BI303" s="438"/>
      <c r="BJ303" s="438"/>
      <c r="BK303" s="438"/>
      <c r="BL303" s="438"/>
      <c r="BM303" s="438"/>
      <c r="BN303" s="438"/>
      <c r="BO303" s="438"/>
    </row>
    <row r="304" spans="48:67">
      <c r="AV304" s="438"/>
      <c r="AW304" s="438"/>
      <c r="AZ304" s="438"/>
      <c r="BE304" s="438"/>
      <c r="BF304" s="438"/>
      <c r="BG304" s="438"/>
      <c r="BH304" s="438"/>
      <c r="BI304" s="438"/>
      <c r="BJ304" s="438"/>
      <c r="BK304" s="438"/>
      <c r="BL304" s="438"/>
      <c r="BM304" s="438"/>
      <c r="BN304" s="438"/>
      <c r="BO304" s="438"/>
    </row>
    <row r="305" spans="48:67">
      <c r="AV305" s="438"/>
      <c r="AW305" s="438"/>
      <c r="AZ305" s="438"/>
      <c r="BE305" s="438"/>
      <c r="BF305" s="438"/>
      <c r="BG305" s="438"/>
      <c r="BH305" s="438"/>
      <c r="BI305" s="438"/>
      <c r="BJ305" s="438"/>
      <c r="BK305" s="438"/>
      <c r="BL305" s="438"/>
      <c r="BM305" s="438"/>
      <c r="BN305" s="438"/>
      <c r="BO305" s="438"/>
    </row>
    <row r="306" spans="48:67">
      <c r="AV306" s="438"/>
      <c r="AW306" s="438"/>
      <c r="AZ306" s="438"/>
      <c r="BE306" s="438"/>
      <c r="BF306" s="438"/>
      <c r="BG306" s="438"/>
      <c r="BH306" s="438"/>
      <c r="BI306" s="438"/>
      <c r="BJ306" s="438"/>
      <c r="BK306" s="438"/>
      <c r="BL306" s="438"/>
      <c r="BM306" s="438"/>
      <c r="BN306" s="438"/>
      <c r="BO306" s="438"/>
    </row>
    <row r="307" spans="48:67">
      <c r="AV307" s="438"/>
      <c r="AW307" s="438"/>
      <c r="AZ307" s="438"/>
      <c r="BE307" s="438"/>
      <c r="BF307" s="438"/>
      <c r="BG307" s="438"/>
      <c r="BH307" s="438"/>
      <c r="BI307" s="438"/>
      <c r="BJ307" s="438"/>
      <c r="BK307" s="438"/>
      <c r="BL307" s="438"/>
      <c r="BM307" s="438"/>
      <c r="BN307" s="438"/>
      <c r="BO307" s="438"/>
    </row>
    <row r="308" spans="48:67">
      <c r="AV308" s="438"/>
      <c r="AW308" s="438"/>
      <c r="AZ308" s="438"/>
      <c r="BE308" s="438"/>
      <c r="BF308" s="438"/>
      <c r="BG308" s="438"/>
      <c r="BH308" s="438"/>
      <c r="BI308" s="438"/>
      <c r="BJ308" s="438"/>
      <c r="BK308" s="438"/>
      <c r="BL308" s="438"/>
      <c r="BM308" s="438"/>
      <c r="BN308" s="438"/>
      <c r="BO308" s="438"/>
    </row>
    <row r="309" spans="48:67">
      <c r="AV309" s="438"/>
      <c r="AW309" s="438"/>
      <c r="AZ309" s="438"/>
      <c r="BE309" s="438"/>
      <c r="BF309" s="438"/>
      <c r="BG309" s="438"/>
      <c r="BH309" s="438"/>
      <c r="BI309" s="438"/>
      <c r="BJ309" s="438"/>
      <c r="BK309" s="438"/>
      <c r="BL309" s="438"/>
      <c r="BM309" s="438"/>
      <c r="BN309" s="438"/>
      <c r="BO309" s="438"/>
    </row>
    <row r="310" spans="48:67">
      <c r="AV310" s="438"/>
      <c r="AW310" s="438"/>
      <c r="AZ310" s="438"/>
      <c r="BE310" s="438"/>
      <c r="BF310" s="438"/>
      <c r="BG310" s="438"/>
      <c r="BH310" s="438"/>
      <c r="BI310" s="438"/>
      <c r="BJ310" s="438"/>
      <c r="BK310" s="438"/>
      <c r="BL310" s="438"/>
      <c r="BM310" s="438"/>
      <c r="BN310" s="438"/>
      <c r="BO310" s="438"/>
    </row>
    <row r="311" spans="48:67">
      <c r="AV311" s="438"/>
      <c r="AW311" s="438"/>
      <c r="AZ311" s="438"/>
      <c r="BE311" s="438"/>
      <c r="BF311" s="438"/>
      <c r="BG311" s="438"/>
      <c r="BH311" s="438"/>
      <c r="BI311" s="438"/>
      <c r="BJ311" s="438"/>
      <c r="BK311" s="438"/>
      <c r="BL311" s="438"/>
      <c r="BM311" s="438"/>
      <c r="BN311" s="438"/>
      <c r="BO311" s="438"/>
    </row>
    <row r="312" spans="48:67">
      <c r="AV312" s="438"/>
      <c r="AW312" s="438"/>
      <c r="AZ312" s="438"/>
      <c r="BE312" s="438"/>
      <c r="BF312" s="438"/>
      <c r="BG312" s="438"/>
      <c r="BH312" s="438"/>
      <c r="BI312" s="438"/>
      <c r="BJ312" s="438"/>
      <c r="BK312" s="438"/>
      <c r="BL312" s="438"/>
      <c r="BM312" s="438"/>
      <c r="BN312" s="438"/>
      <c r="BO312" s="438"/>
    </row>
    <row r="313" spans="48:67">
      <c r="AV313" s="438"/>
      <c r="AW313" s="438"/>
      <c r="AZ313" s="438"/>
      <c r="BE313" s="438"/>
      <c r="BF313" s="438"/>
      <c r="BG313" s="438"/>
      <c r="BH313" s="438"/>
      <c r="BI313" s="438"/>
      <c r="BJ313" s="438"/>
      <c r="BK313" s="438"/>
      <c r="BL313" s="438"/>
      <c r="BM313" s="438"/>
      <c r="BN313" s="438"/>
      <c r="BO313" s="438"/>
    </row>
    <row r="314" spans="48:67">
      <c r="AV314" s="438"/>
      <c r="AW314" s="438"/>
      <c r="AZ314" s="438"/>
      <c r="BE314" s="438"/>
      <c r="BF314" s="438"/>
      <c r="BG314" s="438"/>
      <c r="BH314" s="438"/>
      <c r="BI314" s="438"/>
      <c r="BJ314" s="438"/>
      <c r="BK314" s="438"/>
      <c r="BL314" s="438"/>
      <c r="BM314" s="438"/>
      <c r="BN314" s="438"/>
      <c r="BO314" s="438"/>
    </row>
    <row r="315" spans="48:67">
      <c r="AV315" s="438"/>
      <c r="AW315" s="438"/>
      <c r="AZ315" s="438"/>
      <c r="BE315" s="438"/>
      <c r="BF315" s="438"/>
      <c r="BG315" s="438"/>
      <c r="BH315" s="438"/>
      <c r="BI315" s="438"/>
      <c r="BJ315" s="438"/>
      <c r="BK315" s="438"/>
      <c r="BL315" s="438"/>
      <c r="BM315" s="438"/>
      <c r="BN315" s="438"/>
      <c r="BO315" s="438"/>
    </row>
    <row r="316" spans="48:67">
      <c r="AV316" s="438"/>
      <c r="AW316" s="438"/>
      <c r="AZ316" s="438"/>
      <c r="BE316" s="438"/>
      <c r="BF316" s="438"/>
      <c r="BG316" s="438"/>
      <c r="BH316" s="438"/>
      <c r="BI316" s="438"/>
      <c r="BJ316" s="438"/>
      <c r="BK316" s="438"/>
      <c r="BL316" s="438"/>
      <c r="BM316" s="438"/>
      <c r="BN316" s="438"/>
      <c r="BO316" s="438"/>
    </row>
    <row r="317" spans="48:67">
      <c r="AV317" s="438"/>
      <c r="AW317" s="438"/>
      <c r="AZ317" s="438"/>
      <c r="BE317" s="438"/>
      <c r="BF317" s="438"/>
      <c r="BG317" s="438"/>
      <c r="BH317" s="438"/>
      <c r="BI317" s="438"/>
      <c r="BJ317" s="438"/>
      <c r="BK317" s="438"/>
      <c r="BL317" s="438"/>
      <c r="BM317" s="438"/>
      <c r="BN317" s="438"/>
      <c r="BO317" s="438"/>
    </row>
    <row r="318" spans="48:67">
      <c r="AV318" s="438"/>
      <c r="AW318" s="438"/>
      <c r="AZ318" s="438"/>
      <c r="BE318" s="438"/>
      <c r="BF318" s="438"/>
      <c r="BG318" s="438"/>
      <c r="BH318" s="438"/>
      <c r="BI318" s="438"/>
      <c r="BJ318" s="438"/>
      <c r="BK318" s="438"/>
      <c r="BL318" s="438"/>
      <c r="BM318" s="438"/>
      <c r="BN318" s="438"/>
      <c r="BO318" s="438"/>
    </row>
    <row r="319" spans="48:67">
      <c r="AV319" s="438"/>
      <c r="AW319" s="438"/>
      <c r="AZ319" s="438"/>
      <c r="BE319" s="438"/>
      <c r="BF319" s="438"/>
      <c r="BG319" s="438"/>
      <c r="BH319" s="438"/>
      <c r="BI319" s="438"/>
      <c r="BJ319" s="438"/>
      <c r="BK319" s="438"/>
      <c r="BL319" s="438"/>
      <c r="BM319" s="438"/>
      <c r="BN319" s="438"/>
      <c r="BO319" s="438"/>
    </row>
    <row r="320" spans="48:67">
      <c r="AV320" s="438"/>
      <c r="AW320" s="438"/>
      <c r="AZ320" s="438"/>
      <c r="BE320" s="438"/>
      <c r="BF320" s="438"/>
      <c r="BG320" s="438"/>
      <c r="BH320" s="438"/>
      <c r="BI320" s="438"/>
      <c r="BJ320" s="438"/>
      <c r="BK320" s="438"/>
      <c r="BL320" s="438"/>
      <c r="BM320" s="438"/>
      <c r="BN320" s="438"/>
      <c r="BO320" s="438"/>
    </row>
    <row r="321" spans="48:67">
      <c r="AV321" s="438"/>
      <c r="AW321" s="438"/>
      <c r="AZ321" s="438"/>
      <c r="BE321" s="438"/>
      <c r="BF321" s="438"/>
      <c r="BG321" s="438"/>
      <c r="BH321" s="438"/>
      <c r="BI321" s="438"/>
      <c r="BJ321" s="438"/>
      <c r="BK321" s="438"/>
      <c r="BL321" s="438"/>
      <c r="BM321" s="438"/>
      <c r="BN321" s="438"/>
      <c r="BO321" s="438"/>
    </row>
    <row r="322" spans="48:67">
      <c r="AV322" s="438"/>
      <c r="AW322" s="438"/>
      <c r="AZ322" s="438"/>
      <c r="BE322" s="438"/>
      <c r="BF322" s="438"/>
      <c r="BG322" s="438"/>
      <c r="BH322" s="438"/>
      <c r="BI322" s="438"/>
      <c r="BJ322" s="438"/>
      <c r="BK322" s="438"/>
      <c r="BL322" s="438"/>
      <c r="BM322" s="438"/>
      <c r="BN322" s="438"/>
      <c r="BO322" s="438"/>
    </row>
    <row r="323" spans="48:67">
      <c r="AV323" s="438"/>
      <c r="AW323" s="438"/>
      <c r="AZ323" s="438"/>
      <c r="BE323" s="438"/>
      <c r="BF323" s="438"/>
      <c r="BG323" s="438"/>
      <c r="BH323" s="438"/>
      <c r="BI323" s="438"/>
      <c r="BJ323" s="438"/>
      <c r="BK323" s="438"/>
      <c r="BL323" s="438"/>
      <c r="BM323" s="438"/>
      <c r="BN323" s="438"/>
      <c r="BO323" s="438"/>
    </row>
    <row r="324" spans="48:67">
      <c r="AV324" s="438"/>
      <c r="AW324" s="438"/>
      <c r="AZ324" s="438"/>
      <c r="BE324" s="438"/>
      <c r="BF324" s="438"/>
      <c r="BG324" s="438"/>
      <c r="BH324" s="438"/>
      <c r="BI324" s="438"/>
      <c r="BJ324" s="438"/>
      <c r="BK324" s="438"/>
      <c r="BL324" s="438"/>
      <c r="BM324" s="438"/>
      <c r="BN324" s="438"/>
      <c r="BO324" s="438"/>
    </row>
    <row r="325" spans="48:67">
      <c r="AV325" s="438"/>
      <c r="AW325" s="438"/>
      <c r="AZ325" s="438"/>
      <c r="BE325" s="438"/>
      <c r="BF325" s="438"/>
      <c r="BG325" s="438"/>
      <c r="BH325" s="438"/>
      <c r="BI325" s="438"/>
      <c r="BJ325" s="438"/>
      <c r="BK325" s="438"/>
      <c r="BL325" s="438"/>
      <c r="BM325" s="438"/>
      <c r="BN325" s="438"/>
      <c r="BO325" s="438"/>
    </row>
    <row r="326" spans="48:67">
      <c r="AV326" s="438"/>
      <c r="AW326" s="438"/>
      <c r="AZ326" s="438"/>
      <c r="BE326" s="438"/>
      <c r="BF326" s="438"/>
      <c r="BG326" s="438"/>
      <c r="BH326" s="438"/>
      <c r="BI326" s="438"/>
      <c r="BJ326" s="438"/>
      <c r="BK326" s="438"/>
      <c r="BL326" s="438"/>
      <c r="BM326" s="438"/>
      <c r="BN326" s="438"/>
      <c r="BO326" s="438"/>
    </row>
    <row r="327" spans="48:67">
      <c r="AV327" s="438"/>
      <c r="AW327" s="438"/>
      <c r="AZ327" s="438"/>
      <c r="BE327" s="438"/>
      <c r="BF327" s="438"/>
      <c r="BG327" s="438"/>
      <c r="BH327" s="438"/>
      <c r="BI327" s="438"/>
      <c r="BJ327" s="438"/>
      <c r="BK327" s="438"/>
      <c r="BL327" s="438"/>
      <c r="BM327" s="438"/>
      <c r="BN327" s="438"/>
      <c r="BO327" s="438"/>
    </row>
    <row r="328" spans="48:67">
      <c r="AV328" s="438"/>
      <c r="AW328" s="438"/>
      <c r="AZ328" s="438"/>
    </row>
    <row r="329" spans="48:67">
      <c r="AV329" s="438"/>
      <c r="AW329" s="438"/>
      <c r="AZ329" s="438"/>
    </row>
    <row r="330" spans="48:67">
      <c r="AV330" s="438"/>
      <c r="AW330" s="438"/>
      <c r="AZ330" s="438"/>
    </row>
    <row r="331" spans="48:67">
      <c r="AV331" s="438"/>
      <c r="AW331" s="438"/>
      <c r="AZ331" s="438"/>
    </row>
    <row r="332" spans="48:67">
      <c r="AV332" s="438"/>
      <c r="AW332" s="438"/>
      <c r="AZ332" s="438"/>
    </row>
    <row r="333" spans="48:67">
      <c r="AV333" s="438"/>
      <c r="AW333" s="438"/>
      <c r="AZ333" s="438"/>
    </row>
    <row r="334" spans="48:67">
      <c r="AV334" s="438"/>
      <c r="AW334" s="438"/>
      <c r="AZ334" s="438"/>
    </row>
    <row r="335" spans="48:67">
      <c r="AV335" s="438"/>
      <c r="AW335" s="438"/>
      <c r="AZ335" s="438"/>
    </row>
    <row r="336" spans="48:67">
      <c r="AV336" s="438"/>
      <c r="AW336" s="438"/>
      <c r="AZ336" s="438"/>
    </row>
    <row r="337" spans="48:52">
      <c r="AV337" s="438"/>
      <c r="AW337" s="438"/>
      <c r="AZ337" s="438"/>
    </row>
    <row r="338" spans="48:52">
      <c r="AV338" s="438"/>
      <c r="AW338" s="438"/>
      <c r="AZ338" s="438"/>
    </row>
    <row r="339" spans="48:52">
      <c r="AV339" s="438"/>
      <c r="AW339" s="438"/>
      <c r="AZ339" s="438"/>
    </row>
    <row r="340" spans="48:52">
      <c r="AV340" s="438"/>
      <c r="AW340" s="438"/>
      <c r="AZ340" s="438"/>
    </row>
    <row r="341" spans="48:52">
      <c r="AV341" s="438"/>
      <c r="AW341" s="438"/>
      <c r="AZ341" s="438"/>
    </row>
    <row r="342" spans="48:52">
      <c r="AV342" s="438"/>
      <c r="AW342" s="438"/>
      <c r="AZ342" s="438"/>
    </row>
    <row r="343" spans="48:52">
      <c r="AV343" s="438"/>
      <c r="AW343" s="438"/>
      <c r="AZ343" s="438"/>
    </row>
    <row r="344" spans="48:52">
      <c r="AV344" s="438"/>
      <c r="AW344" s="438"/>
      <c r="AZ344" s="438"/>
    </row>
    <row r="345" spans="48:52">
      <c r="AV345" s="438"/>
      <c r="AW345" s="438"/>
      <c r="AZ345" s="438"/>
    </row>
    <row r="346" spans="48:52">
      <c r="AV346" s="438"/>
      <c r="AW346" s="438"/>
      <c r="AZ346" s="438"/>
    </row>
    <row r="347" spans="48:52">
      <c r="AV347" s="438"/>
      <c r="AW347" s="438"/>
      <c r="AZ347" s="438"/>
    </row>
    <row r="348" spans="48:52">
      <c r="AV348" s="438"/>
      <c r="AW348" s="438"/>
      <c r="AZ348" s="438"/>
    </row>
    <row r="349" spans="48:52">
      <c r="AV349" s="438"/>
      <c r="AW349" s="438"/>
      <c r="AZ349" s="438"/>
    </row>
    <row r="350" spans="48:52">
      <c r="AV350" s="438"/>
      <c r="AW350" s="438"/>
      <c r="AZ350" s="438"/>
    </row>
    <row r="351" spans="48:52">
      <c r="AV351" s="438"/>
      <c r="AW351" s="438"/>
      <c r="AZ351" s="438"/>
    </row>
    <row r="352" spans="48:52">
      <c r="AV352" s="438"/>
      <c r="AW352" s="438"/>
      <c r="AZ352" s="438"/>
    </row>
    <row r="353" spans="48:52">
      <c r="AV353" s="438"/>
      <c r="AW353" s="438"/>
      <c r="AZ353" s="438"/>
    </row>
    <row r="354" spans="48:52">
      <c r="AV354" s="438"/>
      <c r="AW354" s="438"/>
      <c r="AZ354" s="438"/>
    </row>
    <row r="355" spans="48:52">
      <c r="AV355" s="438"/>
      <c r="AW355" s="438"/>
      <c r="AZ355" s="438"/>
    </row>
    <row r="356" spans="48:52">
      <c r="AV356" s="438"/>
      <c r="AW356" s="438"/>
      <c r="AZ356" s="438"/>
    </row>
    <row r="357" spans="48:52">
      <c r="AV357" s="438"/>
      <c r="AW357" s="438"/>
      <c r="AZ357" s="438"/>
    </row>
    <row r="358" spans="48:52">
      <c r="AV358" s="438"/>
      <c r="AW358" s="438"/>
      <c r="AZ358" s="438"/>
    </row>
    <row r="359" spans="48:52">
      <c r="AV359" s="438"/>
      <c r="AW359" s="438"/>
      <c r="AZ359" s="438"/>
    </row>
    <row r="360" spans="48:52">
      <c r="AV360" s="438"/>
      <c r="AW360" s="438"/>
      <c r="AZ360" s="438"/>
    </row>
    <row r="361" spans="48:52">
      <c r="AV361" s="438"/>
      <c r="AW361" s="438"/>
      <c r="AZ361" s="438"/>
    </row>
    <row r="362" spans="48:52">
      <c r="AV362" s="438"/>
      <c r="AW362" s="438"/>
      <c r="AZ362" s="438"/>
    </row>
    <row r="363" spans="48:52">
      <c r="AV363" s="438"/>
      <c r="AW363" s="438"/>
      <c r="AZ363" s="438"/>
    </row>
    <row r="364" spans="48:52">
      <c r="AV364" s="438"/>
      <c r="AW364" s="438"/>
      <c r="AZ364" s="438"/>
    </row>
    <row r="365" spans="48:52">
      <c r="AV365" s="438"/>
      <c r="AW365" s="438"/>
      <c r="AZ365" s="438"/>
    </row>
    <row r="366" spans="48:52">
      <c r="AV366" s="438"/>
      <c r="AW366" s="438"/>
      <c r="AZ366" s="438"/>
    </row>
    <row r="367" spans="48:52">
      <c r="AV367" s="438"/>
      <c r="AW367" s="438"/>
      <c r="AZ367" s="438"/>
    </row>
    <row r="368" spans="48:52">
      <c r="AV368" s="438"/>
      <c r="AW368" s="438"/>
      <c r="AZ368" s="438"/>
    </row>
    <row r="369" spans="48:52">
      <c r="AV369" s="438"/>
      <c r="AW369" s="438"/>
      <c r="AZ369" s="438"/>
    </row>
    <row r="370" spans="48:52">
      <c r="AV370" s="438"/>
      <c r="AW370" s="438"/>
      <c r="AZ370" s="438"/>
    </row>
    <row r="371" spans="48:52">
      <c r="AV371" s="438"/>
      <c r="AW371" s="438"/>
      <c r="AZ371" s="438"/>
    </row>
    <row r="372" spans="48:52">
      <c r="AV372" s="438"/>
      <c r="AW372" s="438"/>
      <c r="AZ372" s="438"/>
    </row>
    <row r="373" spans="48:52">
      <c r="AV373" s="438"/>
      <c r="AW373" s="438"/>
      <c r="AZ373" s="438"/>
    </row>
    <row r="374" spans="48:52">
      <c r="AV374" s="438"/>
      <c r="AW374" s="438"/>
      <c r="AZ374" s="438"/>
    </row>
    <row r="375" spans="48:52">
      <c r="AV375" s="438"/>
      <c r="AW375" s="438"/>
      <c r="AZ375" s="438"/>
    </row>
    <row r="376" spans="48:52">
      <c r="AV376" s="438"/>
      <c r="AW376" s="438"/>
      <c r="AZ376" s="438"/>
    </row>
    <row r="377" spans="48:52">
      <c r="AV377" s="438"/>
      <c r="AW377" s="438"/>
      <c r="AZ377" s="438"/>
    </row>
    <row r="378" spans="48:52">
      <c r="AV378" s="438"/>
      <c r="AW378" s="438"/>
      <c r="AZ378" s="438"/>
    </row>
    <row r="379" spans="48:52">
      <c r="AV379" s="438"/>
      <c r="AW379" s="438"/>
      <c r="AZ379" s="438"/>
    </row>
    <row r="380" spans="48:52">
      <c r="AV380" s="438"/>
      <c r="AW380" s="438"/>
      <c r="AZ380" s="438"/>
    </row>
    <row r="381" spans="48:52">
      <c r="AV381" s="438"/>
      <c r="AW381" s="438"/>
      <c r="AZ381" s="438"/>
    </row>
    <row r="382" spans="48:52">
      <c r="AV382" s="438"/>
      <c r="AW382" s="438"/>
      <c r="AZ382" s="438"/>
    </row>
    <row r="383" spans="48:52">
      <c r="AV383" s="438"/>
      <c r="AW383" s="438"/>
      <c r="AZ383" s="438"/>
    </row>
    <row r="384" spans="48:52">
      <c r="AV384" s="438"/>
      <c r="AW384" s="438"/>
      <c r="AZ384" s="438"/>
    </row>
    <row r="385" spans="48:52">
      <c r="AV385" s="438"/>
      <c r="AW385" s="438"/>
      <c r="AZ385" s="438"/>
    </row>
    <row r="386" spans="48:52">
      <c r="AV386" s="438"/>
      <c r="AW386" s="438"/>
      <c r="AZ386" s="438"/>
    </row>
    <row r="387" spans="48:52">
      <c r="AV387" s="438"/>
      <c r="AW387" s="438"/>
      <c r="AZ387" s="438"/>
    </row>
    <row r="388" spans="48:52">
      <c r="AV388" s="438"/>
      <c r="AW388" s="438"/>
      <c r="AZ388" s="438"/>
    </row>
    <row r="389" spans="48:52">
      <c r="AV389" s="438"/>
      <c r="AW389" s="438"/>
      <c r="AZ389" s="438"/>
    </row>
    <row r="390" spans="48:52">
      <c r="AV390" s="438"/>
      <c r="AW390" s="438"/>
      <c r="AZ390" s="438"/>
    </row>
    <row r="391" spans="48:52">
      <c r="AV391" s="438"/>
      <c r="AW391" s="438"/>
      <c r="AZ391" s="438"/>
    </row>
    <row r="392" spans="48:52">
      <c r="AV392" s="438"/>
      <c r="AW392" s="438"/>
      <c r="AZ392" s="438"/>
    </row>
    <row r="393" spans="48:52">
      <c r="AV393" s="438"/>
      <c r="AW393" s="438"/>
      <c r="AZ393" s="438"/>
    </row>
    <row r="394" spans="48:52">
      <c r="AV394" s="438"/>
      <c r="AW394" s="438"/>
      <c r="AZ394" s="438"/>
    </row>
    <row r="395" spans="48:52">
      <c r="AV395" s="438"/>
      <c r="AW395" s="438"/>
      <c r="AZ395" s="438"/>
    </row>
    <row r="396" spans="48:52">
      <c r="AV396" s="438"/>
      <c r="AW396" s="438"/>
      <c r="AZ396" s="438"/>
    </row>
    <row r="397" spans="48:52">
      <c r="AV397" s="438"/>
      <c r="AW397" s="438"/>
      <c r="AZ397" s="438"/>
    </row>
    <row r="398" spans="48:52">
      <c r="AV398" s="438"/>
      <c r="AW398" s="438"/>
      <c r="AZ398" s="438"/>
    </row>
    <row r="399" spans="48:52">
      <c r="AV399" s="438"/>
      <c r="AW399" s="438"/>
    </row>
    <row r="400" spans="48:52">
      <c r="AV400" s="438"/>
      <c r="AW400" s="438"/>
    </row>
    <row r="401" spans="48:49">
      <c r="AV401" s="438"/>
      <c r="AW401" s="438"/>
    </row>
    <row r="402" spans="48:49">
      <c r="AV402" s="438"/>
      <c r="AW402" s="438"/>
    </row>
    <row r="403" spans="48:49">
      <c r="AV403" s="438"/>
      <c r="AW403" s="438"/>
    </row>
    <row r="404" spans="48:49">
      <c r="AV404" s="438"/>
      <c r="AW404" s="438"/>
    </row>
    <row r="405" spans="48:49">
      <c r="AV405" s="438"/>
      <c r="AW405" s="438"/>
    </row>
    <row r="406" spans="48:49">
      <c r="AV406" s="438"/>
      <c r="AW406" s="438"/>
    </row>
    <row r="407" spans="48:49">
      <c r="AV407" s="438"/>
      <c r="AW407" s="438"/>
    </row>
    <row r="408" spans="48:49">
      <c r="AV408" s="438"/>
      <c r="AW408" s="438"/>
    </row>
    <row r="409" spans="48:49">
      <c r="AV409" s="438"/>
      <c r="AW409" s="438"/>
    </row>
    <row r="410" spans="48:49">
      <c r="AV410" s="438"/>
      <c r="AW410" s="438"/>
    </row>
    <row r="411" spans="48:49">
      <c r="AV411" s="438"/>
      <c r="AW411" s="438"/>
    </row>
    <row r="412" spans="48:49">
      <c r="AV412" s="438"/>
      <c r="AW412" s="438"/>
    </row>
    <row r="413" spans="48:49">
      <c r="AV413" s="438"/>
      <c r="AW413" s="438"/>
    </row>
    <row r="414" spans="48:49">
      <c r="AV414" s="438"/>
      <c r="AW414" s="438"/>
    </row>
    <row r="415" spans="48:49">
      <c r="AV415" s="438"/>
      <c r="AW415" s="438"/>
    </row>
    <row r="416" spans="48:49">
      <c r="AV416" s="438"/>
      <c r="AW416" s="438"/>
    </row>
    <row r="417" spans="48:49">
      <c r="AV417" s="438"/>
      <c r="AW417" s="438"/>
    </row>
    <row r="418" spans="48:49">
      <c r="AV418" s="438"/>
      <c r="AW418" s="438"/>
    </row>
    <row r="419" spans="48:49">
      <c r="AV419" s="438"/>
      <c r="AW419" s="438"/>
    </row>
    <row r="420" spans="48:49">
      <c r="AV420" s="438"/>
      <c r="AW420" s="438"/>
    </row>
    <row r="421" spans="48:49">
      <c r="AV421" s="438"/>
      <c r="AW421" s="438"/>
    </row>
    <row r="422" spans="48:49">
      <c r="AV422" s="438"/>
      <c r="AW422" s="438"/>
    </row>
    <row r="423" spans="48:49">
      <c r="AV423" s="438"/>
      <c r="AW423" s="438"/>
    </row>
    <row r="424" spans="48:49">
      <c r="AV424" s="438"/>
      <c r="AW424" s="438"/>
    </row>
    <row r="425" spans="48:49">
      <c r="AV425" s="438"/>
      <c r="AW425" s="438"/>
    </row>
    <row r="426" spans="48:49">
      <c r="AV426" s="438"/>
      <c r="AW426" s="438"/>
    </row>
    <row r="427" spans="48:49">
      <c r="AV427" s="438"/>
      <c r="AW427" s="438"/>
    </row>
    <row r="428" spans="48:49">
      <c r="AV428" s="438"/>
      <c r="AW428" s="438"/>
    </row>
    <row r="429" spans="48:49">
      <c r="AV429" s="438"/>
      <c r="AW429" s="438"/>
    </row>
    <row r="430" spans="48:49">
      <c r="AV430" s="438"/>
      <c r="AW430" s="438"/>
    </row>
    <row r="431" spans="48:49">
      <c r="AV431" s="438"/>
      <c r="AW431" s="438"/>
    </row>
    <row r="432" spans="48:49">
      <c r="AV432" s="438"/>
      <c r="AW432" s="438"/>
    </row>
    <row r="433" spans="48:49">
      <c r="AV433" s="438"/>
      <c r="AW433" s="438"/>
    </row>
    <row r="434" spans="48:49">
      <c r="AV434" s="438"/>
      <c r="AW434" s="438"/>
    </row>
    <row r="435" spans="48:49">
      <c r="AV435" s="438"/>
      <c r="AW435" s="438"/>
    </row>
    <row r="436" spans="48:49">
      <c r="AV436" s="438"/>
      <c r="AW436" s="438"/>
    </row>
    <row r="437" spans="48:49">
      <c r="AV437" s="438"/>
      <c r="AW437" s="438"/>
    </row>
    <row r="438" spans="48:49">
      <c r="AV438" s="438"/>
      <c r="AW438" s="438"/>
    </row>
    <row r="439" spans="48:49">
      <c r="AV439" s="438"/>
      <c r="AW439" s="438"/>
    </row>
    <row r="440" spans="48:49">
      <c r="AV440" s="438"/>
      <c r="AW440" s="438"/>
    </row>
    <row r="441" spans="48:49">
      <c r="AV441" s="438"/>
      <c r="AW441" s="438"/>
    </row>
    <row r="442" spans="48:49">
      <c r="AV442" s="438"/>
      <c r="AW442" s="438"/>
    </row>
    <row r="443" spans="48:49">
      <c r="AV443" s="438"/>
      <c r="AW443" s="438"/>
    </row>
    <row r="444" spans="48:49">
      <c r="AV444" s="438"/>
      <c r="AW444" s="438"/>
    </row>
    <row r="445" spans="48:49">
      <c r="AV445" s="438"/>
      <c r="AW445" s="438"/>
    </row>
    <row r="446" spans="48:49">
      <c r="AV446" s="438"/>
      <c r="AW446" s="438"/>
    </row>
    <row r="447" spans="48:49">
      <c r="AV447" s="438"/>
      <c r="AW447" s="438"/>
    </row>
    <row r="448" spans="48:49">
      <c r="AV448" s="438"/>
      <c r="AW448" s="438"/>
    </row>
    <row r="449" spans="48:49">
      <c r="AV449" s="438"/>
      <c r="AW449" s="438"/>
    </row>
    <row r="450" spans="48:49">
      <c r="AV450" s="438"/>
      <c r="AW450" s="438"/>
    </row>
    <row r="451" spans="48:49">
      <c r="AV451" s="438"/>
      <c r="AW451" s="438"/>
    </row>
    <row r="452" spans="48:49">
      <c r="AV452" s="438"/>
      <c r="AW452" s="438"/>
    </row>
    <row r="453" spans="48:49">
      <c r="AV453" s="438"/>
      <c r="AW453" s="438"/>
    </row>
    <row r="454" spans="48:49">
      <c r="AV454" s="438"/>
      <c r="AW454" s="438"/>
    </row>
    <row r="455" spans="48:49">
      <c r="AV455" s="438"/>
      <c r="AW455" s="438"/>
    </row>
    <row r="456" spans="48:49">
      <c r="AV456" s="438"/>
      <c r="AW456" s="438"/>
    </row>
    <row r="457" spans="48:49">
      <c r="AV457" s="438"/>
      <c r="AW457" s="438"/>
    </row>
    <row r="458" spans="48:49">
      <c r="AV458" s="438"/>
      <c r="AW458" s="438"/>
    </row>
    <row r="459" spans="48:49">
      <c r="AV459" s="438"/>
      <c r="AW459" s="438"/>
    </row>
    <row r="460" spans="48:49">
      <c r="AV460" s="438"/>
      <c r="AW460" s="438"/>
    </row>
    <row r="461" spans="48:49">
      <c r="AV461" s="438"/>
      <c r="AW461" s="438"/>
    </row>
    <row r="462" spans="48:49">
      <c r="AV462" s="438"/>
      <c r="AW462" s="438"/>
    </row>
    <row r="463" spans="48:49">
      <c r="AV463" s="438"/>
      <c r="AW463" s="438"/>
    </row>
    <row r="464" spans="48:49">
      <c r="AV464" s="438"/>
      <c r="AW464" s="438"/>
    </row>
    <row r="465" spans="48:49">
      <c r="AV465" s="438"/>
      <c r="AW465" s="438"/>
    </row>
    <row r="466" spans="48:49">
      <c r="AV466" s="438"/>
      <c r="AW466" s="438"/>
    </row>
    <row r="467" spans="48:49">
      <c r="AV467" s="438"/>
      <c r="AW467" s="438"/>
    </row>
    <row r="468" spans="48:49">
      <c r="AV468" s="438"/>
      <c r="AW468" s="438"/>
    </row>
    <row r="469" spans="48:49">
      <c r="AV469" s="438"/>
      <c r="AW469" s="438"/>
    </row>
    <row r="470" spans="48:49">
      <c r="AV470" s="438"/>
      <c r="AW470" s="438"/>
    </row>
    <row r="471" spans="48:49">
      <c r="AV471" s="438"/>
      <c r="AW471" s="438"/>
    </row>
    <row r="472" spans="48:49">
      <c r="AV472" s="438"/>
      <c r="AW472" s="438"/>
    </row>
    <row r="473" spans="48:49">
      <c r="AV473" s="438"/>
      <c r="AW473" s="438"/>
    </row>
    <row r="474" spans="48:49">
      <c r="AV474" s="438"/>
      <c r="AW474" s="438"/>
    </row>
    <row r="475" spans="48:49">
      <c r="AV475" s="438"/>
      <c r="AW475" s="438"/>
    </row>
    <row r="476" spans="48:49">
      <c r="AV476" s="438"/>
      <c r="AW476" s="438"/>
    </row>
    <row r="477" spans="48:49">
      <c r="AV477" s="438"/>
      <c r="AW477" s="438"/>
    </row>
    <row r="478" spans="48:49">
      <c r="AV478" s="438"/>
      <c r="AW478" s="438"/>
    </row>
    <row r="479" spans="48:49">
      <c r="AV479" s="438"/>
      <c r="AW479" s="438"/>
    </row>
    <row r="480" spans="48:49">
      <c r="AV480" s="438"/>
      <c r="AW480" s="438"/>
    </row>
    <row r="481" spans="48:49">
      <c r="AV481" s="438"/>
      <c r="AW481" s="438"/>
    </row>
    <row r="482" spans="48:49">
      <c r="AV482" s="438"/>
      <c r="AW482" s="438"/>
    </row>
    <row r="483" spans="48:49">
      <c r="AV483" s="438"/>
      <c r="AW483" s="438"/>
    </row>
    <row r="484" spans="48:49">
      <c r="AV484" s="438"/>
      <c r="AW484" s="438"/>
    </row>
    <row r="485" spans="48:49">
      <c r="AV485" s="438"/>
      <c r="AW485" s="438"/>
    </row>
    <row r="486" spans="48:49">
      <c r="AV486" s="438"/>
      <c r="AW486" s="438"/>
    </row>
    <row r="487" spans="48:49">
      <c r="AV487" s="438"/>
      <c r="AW487" s="438"/>
    </row>
    <row r="488" spans="48:49">
      <c r="AV488" s="438"/>
      <c r="AW488" s="438"/>
    </row>
    <row r="489" spans="48:49">
      <c r="AV489" s="438"/>
      <c r="AW489" s="438"/>
    </row>
    <row r="490" spans="48:49">
      <c r="AV490" s="438"/>
      <c r="AW490" s="438"/>
    </row>
    <row r="491" spans="48:49">
      <c r="AV491" s="438"/>
      <c r="AW491" s="438"/>
    </row>
    <row r="492" spans="48:49">
      <c r="AV492" s="438"/>
      <c r="AW492" s="438"/>
    </row>
    <row r="493" spans="48:49">
      <c r="AV493" s="438"/>
      <c r="AW493" s="438"/>
    </row>
    <row r="494" spans="48:49">
      <c r="AV494" s="438"/>
      <c r="AW494" s="438"/>
    </row>
    <row r="495" spans="48:49">
      <c r="AV495" s="438"/>
      <c r="AW495" s="438"/>
    </row>
    <row r="496" spans="48:49">
      <c r="AV496" s="438"/>
      <c r="AW496" s="438"/>
    </row>
    <row r="497" spans="48:49">
      <c r="AV497" s="438"/>
      <c r="AW497" s="438"/>
    </row>
    <row r="498" spans="48:49">
      <c r="AV498" s="438"/>
      <c r="AW498" s="438"/>
    </row>
    <row r="499" spans="48:49">
      <c r="AV499" s="438"/>
      <c r="AW499" s="438"/>
    </row>
    <row r="500" spans="48:49">
      <c r="AV500" s="438"/>
      <c r="AW500" s="438"/>
    </row>
    <row r="501" spans="48:49">
      <c r="AV501" s="438"/>
      <c r="AW501" s="438"/>
    </row>
    <row r="502" spans="48:49">
      <c r="AV502" s="438"/>
      <c r="AW502" s="438"/>
    </row>
    <row r="503" spans="48:49">
      <c r="AV503" s="438"/>
      <c r="AW503" s="438"/>
    </row>
    <row r="504" spans="48:49">
      <c r="AV504" s="438"/>
      <c r="AW504" s="438"/>
    </row>
    <row r="505" spans="48:49">
      <c r="AV505" s="438"/>
      <c r="AW505" s="438"/>
    </row>
    <row r="506" spans="48:49">
      <c r="AV506" s="438"/>
      <c r="AW506" s="438"/>
    </row>
    <row r="507" spans="48:49">
      <c r="AV507" s="438"/>
      <c r="AW507" s="438"/>
    </row>
    <row r="508" spans="48:49">
      <c r="AV508" s="438"/>
      <c r="AW508" s="438"/>
    </row>
    <row r="509" spans="48:49">
      <c r="AV509" s="438"/>
      <c r="AW509" s="438"/>
    </row>
    <row r="510" spans="48:49">
      <c r="AV510" s="438"/>
      <c r="AW510" s="438"/>
    </row>
    <row r="511" spans="48:49">
      <c r="AV511" s="438"/>
      <c r="AW511" s="438"/>
    </row>
    <row r="512" spans="48:49">
      <c r="AV512" s="438"/>
      <c r="AW512" s="438"/>
    </row>
    <row r="513" spans="48:49">
      <c r="AV513" s="438"/>
      <c r="AW513" s="438"/>
    </row>
    <row r="514" spans="48:49">
      <c r="AV514" s="438"/>
      <c r="AW514" s="438"/>
    </row>
    <row r="515" spans="48:49">
      <c r="AV515" s="438"/>
      <c r="AW515" s="438"/>
    </row>
    <row r="516" spans="48:49">
      <c r="AV516" s="438"/>
      <c r="AW516" s="438"/>
    </row>
    <row r="517" spans="48:49">
      <c r="AV517" s="438"/>
      <c r="AW517" s="438"/>
    </row>
    <row r="518" spans="48:49">
      <c r="AV518" s="438"/>
      <c r="AW518" s="438"/>
    </row>
    <row r="519" spans="48:49">
      <c r="AV519" s="438"/>
      <c r="AW519" s="438"/>
    </row>
    <row r="520" spans="48:49">
      <c r="AV520" s="438"/>
      <c r="AW520" s="438"/>
    </row>
    <row r="521" spans="48:49">
      <c r="AV521" s="438"/>
      <c r="AW521" s="438"/>
    </row>
    <row r="522" spans="48:49">
      <c r="AV522" s="438"/>
      <c r="AW522" s="438"/>
    </row>
    <row r="523" spans="48:49">
      <c r="AV523" s="438"/>
      <c r="AW523" s="438"/>
    </row>
    <row r="524" spans="48:49">
      <c r="AV524" s="438"/>
      <c r="AW524" s="438"/>
    </row>
    <row r="525" spans="48:49">
      <c r="AV525" s="438"/>
      <c r="AW525" s="438"/>
    </row>
    <row r="526" spans="48:49">
      <c r="AV526" s="438"/>
      <c r="AW526" s="438"/>
    </row>
    <row r="527" spans="48:49">
      <c r="AV527" s="438"/>
      <c r="AW527" s="438"/>
    </row>
    <row r="528" spans="48:49">
      <c r="AV528" s="438"/>
      <c r="AW528" s="438"/>
    </row>
    <row r="529" spans="48:49">
      <c r="AV529" s="438"/>
      <c r="AW529" s="438"/>
    </row>
    <row r="530" spans="48:49">
      <c r="AV530" s="438"/>
      <c r="AW530" s="438"/>
    </row>
    <row r="531" spans="48:49">
      <c r="AV531" s="438"/>
      <c r="AW531" s="438"/>
    </row>
    <row r="532" spans="48:49">
      <c r="AV532" s="438"/>
      <c r="AW532" s="438"/>
    </row>
    <row r="533" spans="48:49">
      <c r="AV533" s="438"/>
      <c r="AW533" s="438"/>
    </row>
    <row r="534" spans="48:49">
      <c r="AV534" s="438"/>
      <c r="AW534" s="438"/>
    </row>
    <row r="535" spans="48:49">
      <c r="AV535" s="438"/>
      <c r="AW535" s="438"/>
    </row>
    <row r="536" spans="48:49">
      <c r="AV536" s="438"/>
      <c r="AW536" s="438"/>
    </row>
    <row r="537" spans="48:49">
      <c r="AV537" s="438"/>
      <c r="AW537" s="438"/>
    </row>
    <row r="538" spans="48:49">
      <c r="AV538" s="438"/>
      <c r="AW538" s="438"/>
    </row>
    <row r="539" spans="48:49">
      <c r="AV539" s="438"/>
      <c r="AW539" s="438"/>
    </row>
    <row r="540" spans="48:49">
      <c r="AV540" s="438"/>
      <c r="AW540" s="438"/>
    </row>
    <row r="541" spans="48:49">
      <c r="AV541" s="438"/>
      <c r="AW541" s="438"/>
    </row>
    <row r="542" spans="48:49">
      <c r="AV542" s="438"/>
      <c r="AW542" s="438"/>
    </row>
    <row r="543" spans="48:49">
      <c r="AV543" s="438"/>
      <c r="AW543" s="438"/>
    </row>
    <row r="544" spans="48:49">
      <c r="AV544" s="438"/>
      <c r="AW544" s="438"/>
    </row>
    <row r="545" spans="48:49">
      <c r="AV545" s="438"/>
      <c r="AW545" s="438"/>
    </row>
    <row r="546" spans="48:49">
      <c r="AV546" s="438"/>
      <c r="AW546" s="438"/>
    </row>
    <row r="547" spans="48:49">
      <c r="AV547" s="438"/>
      <c r="AW547" s="438"/>
    </row>
    <row r="548" spans="48:49">
      <c r="AV548" s="438"/>
      <c r="AW548" s="438"/>
    </row>
    <row r="549" spans="48:49">
      <c r="AV549" s="438"/>
      <c r="AW549" s="438"/>
    </row>
    <row r="550" spans="48:49">
      <c r="AV550" s="438"/>
      <c r="AW550" s="438"/>
    </row>
    <row r="551" spans="48:49">
      <c r="AV551" s="438"/>
      <c r="AW551" s="438"/>
    </row>
    <row r="552" spans="48:49">
      <c r="AV552" s="438"/>
      <c r="AW552" s="438"/>
    </row>
    <row r="553" spans="48:49">
      <c r="AV553" s="438"/>
      <c r="AW553" s="438"/>
    </row>
    <row r="554" spans="48:49">
      <c r="AV554" s="438"/>
      <c r="AW554" s="438"/>
    </row>
    <row r="555" spans="48:49">
      <c r="AV555" s="438"/>
      <c r="AW555" s="438"/>
    </row>
    <row r="556" spans="48:49">
      <c r="AV556" s="438"/>
      <c r="AW556" s="438"/>
    </row>
    <row r="557" spans="48:49">
      <c r="AV557" s="438"/>
      <c r="AW557" s="438"/>
    </row>
    <row r="558" spans="48:49">
      <c r="AV558" s="438"/>
      <c r="AW558" s="438"/>
    </row>
    <row r="559" spans="48:49">
      <c r="AV559" s="438"/>
      <c r="AW559" s="438"/>
    </row>
    <row r="560" spans="48:49">
      <c r="AV560" s="438"/>
      <c r="AW560" s="438"/>
    </row>
    <row r="561" spans="48:49">
      <c r="AV561" s="438"/>
      <c r="AW561" s="438"/>
    </row>
    <row r="562" spans="48:49">
      <c r="AV562" s="438"/>
      <c r="AW562" s="438"/>
    </row>
    <row r="563" spans="48:49">
      <c r="AV563" s="438"/>
      <c r="AW563" s="438"/>
    </row>
    <row r="564" spans="48:49">
      <c r="AV564" s="438"/>
      <c r="AW564" s="438"/>
    </row>
    <row r="565" spans="48:49">
      <c r="AV565" s="438"/>
      <c r="AW565" s="438"/>
    </row>
    <row r="566" spans="48:49">
      <c r="AV566" s="438"/>
      <c r="AW566" s="438"/>
    </row>
    <row r="567" spans="48:49">
      <c r="AV567" s="438"/>
      <c r="AW567" s="438"/>
    </row>
    <row r="568" spans="48:49">
      <c r="AV568" s="438"/>
      <c r="AW568" s="438"/>
    </row>
    <row r="569" spans="48:49">
      <c r="AV569" s="438"/>
      <c r="AW569" s="438"/>
    </row>
    <row r="570" spans="48:49">
      <c r="AV570" s="438"/>
      <c r="AW570" s="438"/>
    </row>
    <row r="571" spans="48:49">
      <c r="AV571" s="438"/>
      <c r="AW571" s="438"/>
    </row>
    <row r="572" spans="48:49">
      <c r="AV572" s="438"/>
      <c r="AW572" s="438"/>
    </row>
    <row r="573" spans="48:49">
      <c r="AV573" s="438"/>
      <c r="AW573" s="438"/>
    </row>
    <row r="574" spans="48:49">
      <c r="AV574" s="438"/>
      <c r="AW574" s="438"/>
    </row>
    <row r="575" spans="48:49">
      <c r="AV575" s="438"/>
      <c r="AW575" s="438"/>
    </row>
    <row r="576" spans="48:49">
      <c r="AV576" s="438"/>
      <c r="AW576" s="438"/>
    </row>
    <row r="577" spans="48:49">
      <c r="AV577" s="438"/>
      <c r="AW577" s="438"/>
    </row>
    <row r="578" spans="48:49">
      <c r="AV578" s="438"/>
      <c r="AW578" s="438"/>
    </row>
    <row r="579" spans="48:49">
      <c r="AV579" s="438"/>
      <c r="AW579" s="438"/>
    </row>
    <row r="580" spans="48:49">
      <c r="AV580" s="438"/>
      <c r="AW580" s="438"/>
    </row>
    <row r="581" spans="48:49">
      <c r="AV581" s="438"/>
      <c r="AW581" s="438"/>
    </row>
    <row r="582" spans="48:49">
      <c r="AV582" s="438"/>
      <c r="AW582" s="438"/>
    </row>
    <row r="583" spans="48:49">
      <c r="AV583" s="438"/>
      <c r="AW583" s="438"/>
    </row>
    <row r="584" spans="48:49">
      <c r="AV584" s="438"/>
      <c r="AW584" s="438"/>
    </row>
    <row r="585" spans="48:49">
      <c r="AV585" s="438"/>
      <c r="AW585" s="438"/>
    </row>
    <row r="586" spans="48:49">
      <c r="AV586" s="438"/>
      <c r="AW586" s="438"/>
    </row>
    <row r="587" spans="48:49">
      <c r="AV587" s="438"/>
      <c r="AW587" s="438"/>
    </row>
    <row r="588" spans="48:49">
      <c r="AV588" s="438"/>
      <c r="AW588" s="438"/>
    </row>
    <row r="589" spans="48:49">
      <c r="AV589" s="438"/>
      <c r="AW589" s="438"/>
    </row>
    <row r="590" spans="48:49">
      <c r="AV590" s="438"/>
      <c r="AW590" s="438"/>
    </row>
    <row r="591" spans="48:49">
      <c r="AV591" s="438"/>
      <c r="AW591" s="438"/>
    </row>
    <row r="592" spans="48:49">
      <c r="AV592" s="438"/>
      <c r="AW592" s="438"/>
    </row>
    <row r="593" spans="48:49">
      <c r="AV593" s="438"/>
      <c r="AW593" s="438"/>
    </row>
    <row r="594" spans="48:49">
      <c r="AV594" s="438"/>
      <c r="AW594" s="438"/>
    </row>
    <row r="595" spans="48:49">
      <c r="AV595" s="438"/>
      <c r="AW595" s="438"/>
    </row>
    <row r="596" spans="48:49">
      <c r="AV596" s="438"/>
      <c r="AW596" s="438"/>
    </row>
    <row r="597" spans="48:49">
      <c r="AV597" s="438"/>
      <c r="AW597" s="438"/>
    </row>
    <row r="598" spans="48:49">
      <c r="AV598" s="438"/>
      <c r="AW598" s="438"/>
    </row>
    <row r="599" spans="48:49">
      <c r="AV599" s="438"/>
      <c r="AW599" s="438"/>
    </row>
    <row r="600" spans="48:49">
      <c r="AV600" s="438"/>
      <c r="AW600" s="438"/>
    </row>
    <row r="601" spans="48:49">
      <c r="AV601" s="438"/>
      <c r="AW601" s="438"/>
    </row>
    <row r="602" spans="48:49">
      <c r="AV602" s="438"/>
      <c r="AW602" s="438"/>
    </row>
    <row r="603" spans="48:49">
      <c r="AV603" s="438"/>
      <c r="AW603" s="438"/>
    </row>
    <row r="604" spans="48:49">
      <c r="AV604" s="438"/>
      <c r="AW604" s="438"/>
    </row>
    <row r="605" spans="48:49">
      <c r="AV605" s="438"/>
      <c r="AW605" s="438"/>
    </row>
    <row r="606" spans="48:49">
      <c r="AV606" s="438"/>
      <c r="AW606" s="438"/>
    </row>
    <row r="607" spans="48:49">
      <c r="AV607" s="438"/>
      <c r="AW607" s="438"/>
    </row>
    <row r="608" spans="48:49">
      <c r="AV608" s="438"/>
      <c r="AW608" s="438"/>
    </row>
    <row r="609" spans="48:49">
      <c r="AV609" s="438"/>
      <c r="AW609" s="438"/>
    </row>
    <row r="610" spans="48:49">
      <c r="AV610" s="438"/>
      <c r="AW610" s="438"/>
    </row>
    <row r="611" spans="48:49">
      <c r="AV611" s="438"/>
      <c r="AW611" s="438"/>
    </row>
    <row r="612" spans="48:49">
      <c r="AV612" s="438"/>
      <c r="AW612" s="438"/>
    </row>
    <row r="613" spans="48:49">
      <c r="AV613" s="438"/>
      <c r="AW613" s="438"/>
    </row>
    <row r="614" spans="48:49">
      <c r="AV614" s="438"/>
      <c r="AW614" s="438"/>
    </row>
    <row r="615" spans="48:49">
      <c r="AV615" s="438"/>
      <c r="AW615" s="438"/>
    </row>
    <row r="616" spans="48:49">
      <c r="AV616" s="438"/>
      <c r="AW616" s="438"/>
    </row>
    <row r="617" spans="48:49">
      <c r="AV617" s="438"/>
      <c r="AW617" s="438"/>
    </row>
    <row r="618" spans="48:49">
      <c r="AV618" s="438"/>
      <c r="AW618" s="438"/>
    </row>
    <row r="619" spans="48:49">
      <c r="AV619" s="438"/>
      <c r="AW619" s="438"/>
    </row>
    <row r="620" spans="48:49">
      <c r="AV620" s="438"/>
      <c r="AW620" s="438"/>
    </row>
    <row r="621" spans="48:49">
      <c r="AV621" s="438"/>
      <c r="AW621" s="438"/>
    </row>
    <row r="622" spans="48:49">
      <c r="AV622" s="438"/>
      <c r="AW622" s="438"/>
    </row>
    <row r="623" spans="48:49">
      <c r="AV623" s="438"/>
      <c r="AW623" s="438"/>
    </row>
    <row r="624" spans="48:49">
      <c r="AV624" s="438"/>
      <c r="AW624" s="438"/>
    </row>
    <row r="625" spans="48:49">
      <c r="AV625" s="438"/>
      <c r="AW625" s="438"/>
    </row>
    <row r="626" spans="48:49">
      <c r="AV626" s="438"/>
      <c r="AW626" s="438"/>
    </row>
    <row r="627" spans="48:49">
      <c r="AV627" s="438"/>
      <c r="AW627" s="438"/>
    </row>
    <row r="628" spans="48:49">
      <c r="AV628" s="438"/>
      <c r="AW628" s="438"/>
    </row>
    <row r="629" spans="48:49">
      <c r="AV629" s="438"/>
      <c r="AW629" s="438"/>
    </row>
    <row r="630" spans="48:49">
      <c r="AV630" s="438"/>
      <c r="AW630" s="438"/>
    </row>
    <row r="631" spans="48:49">
      <c r="AV631" s="438"/>
      <c r="AW631" s="438"/>
    </row>
    <row r="632" spans="48:49">
      <c r="AV632" s="438"/>
      <c r="AW632" s="438"/>
    </row>
    <row r="633" spans="48:49">
      <c r="AV633" s="438"/>
      <c r="AW633" s="438"/>
    </row>
    <row r="634" spans="48:49">
      <c r="AV634" s="438"/>
      <c r="AW634" s="438"/>
    </row>
    <row r="635" spans="48:49">
      <c r="AV635" s="438"/>
      <c r="AW635" s="438"/>
    </row>
    <row r="636" spans="48:49">
      <c r="AV636" s="438"/>
      <c r="AW636" s="438"/>
    </row>
    <row r="637" spans="48:49">
      <c r="AV637" s="438"/>
      <c r="AW637" s="438"/>
    </row>
    <row r="638" spans="48:49">
      <c r="AV638" s="438"/>
      <c r="AW638" s="438"/>
    </row>
    <row r="639" spans="48:49">
      <c r="AV639" s="438"/>
      <c r="AW639" s="438"/>
    </row>
    <row r="640" spans="48:49">
      <c r="AV640" s="438"/>
      <c r="AW640" s="438"/>
    </row>
    <row r="641" spans="48:49">
      <c r="AV641" s="438"/>
      <c r="AW641" s="438"/>
    </row>
    <row r="642" spans="48:49">
      <c r="AV642" s="438"/>
      <c r="AW642" s="438"/>
    </row>
    <row r="643" spans="48:49">
      <c r="AV643" s="438"/>
      <c r="AW643" s="438"/>
    </row>
    <row r="644" spans="48:49">
      <c r="AV644" s="438"/>
      <c r="AW644" s="438"/>
    </row>
    <row r="645" spans="48:49">
      <c r="AV645" s="438"/>
      <c r="AW645" s="438"/>
    </row>
    <row r="646" spans="48:49">
      <c r="AV646" s="438"/>
      <c r="AW646" s="438"/>
    </row>
    <row r="647" spans="48:49">
      <c r="AV647" s="438"/>
      <c r="AW647" s="438"/>
    </row>
    <row r="648" spans="48:49">
      <c r="AV648" s="438"/>
      <c r="AW648" s="438"/>
    </row>
    <row r="649" spans="48:49">
      <c r="AV649" s="438"/>
      <c r="AW649" s="438"/>
    </row>
    <row r="650" spans="48:49">
      <c r="AV650" s="438"/>
      <c r="AW650" s="438"/>
    </row>
    <row r="651" spans="48:49">
      <c r="AV651" s="438"/>
      <c r="AW651" s="438"/>
    </row>
    <row r="652" spans="48:49">
      <c r="AV652" s="438"/>
      <c r="AW652" s="438"/>
    </row>
    <row r="653" spans="48:49">
      <c r="AV653" s="438"/>
      <c r="AW653" s="438"/>
    </row>
    <row r="654" spans="48:49">
      <c r="AV654" s="438"/>
      <c r="AW654" s="438"/>
    </row>
    <row r="655" spans="48:49">
      <c r="AV655" s="438"/>
      <c r="AW655" s="438"/>
    </row>
    <row r="656" spans="48:49">
      <c r="AV656" s="438"/>
      <c r="AW656" s="438"/>
    </row>
    <row r="657" spans="48:49">
      <c r="AV657" s="438"/>
      <c r="AW657" s="438"/>
    </row>
    <row r="658" spans="48:49">
      <c r="AV658" s="438"/>
      <c r="AW658" s="438"/>
    </row>
    <row r="659" spans="48:49">
      <c r="AV659" s="438"/>
      <c r="AW659" s="438"/>
    </row>
    <row r="660" spans="48:49">
      <c r="AV660" s="438"/>
      <c r="AW660" s="438"/>
    </row>
    <row r="661" spans="48:49">
      <c r="AV661" s="438"/>
      <c r="AW661" s="438"/>
    </row>
    <row r="662" spans="48:49">
      <c r="AV662" s="438"/>
      <c r="AW662" s="438"/>
    </row>
    <row r="663" spans="48:49">
      <c r="AV663" s="438"/>
      <c r="AW663" s="438"/>
    </row>
    <row r="664" spans="48:49">
      <c r="AV664" s="438"/>
      <c r="AW664" s="438"/>
    </row>
    <row r="665" spans="48:49">
      <c r="AV665" s="438"/>
      <c r="AW665" s="438"/>
    </row>
    <row r="666" spans="48:49">
      <c r="AV666" s="438"/>
      <c r="AW666" s="438"/>
    </row>
    <row r="667" spans="48:49">
      <c r="AV667" s="438"/>
      <c r="AW667" s="438"/>
    </row>
    <row r="668" spans="48:49">
      <c r="AV668" s="438"/>
      <c r="AW668" s="438"/>
    </row>
    <row r="669" spans="48:49">
      <c r="AV669" s="438"/>
      <c r="AW669" s="438"/>
    </row>
    <row r="670" spans="48:49">
      <c r="AV670" s="438"/>
      <c r="AW670" s="438"/>
    </row>
    <row r="671" spans="48:49">
      <c r="AV671" s="438"/>
      <c r="AW671" s="438"/>
    </row>
    <row r="672" spans="48:49">
      <c r="AV672" s="438"/>
      <c r="AW672" s="438"/>
    </row>
    <row r="673" spans="48:49">
      <c r="AV673" s="438"/>
      <c r="AW673" s="438"/>
    </row>
    <row r="674" spans="48:49">
      <c r="AV674" s="438"/>
      <c r="AW674" s="438"/>
    </row>
    <row r="675" spans="48:49">
      <c r="AV675" s="438"/>
      <c r="AW675" s="438"/>
    </row>
    <row r="676" spans="48:49">
      <c r="AV676" s="438"/>
      <c r="AW676" s="438"/>
    </row>
    <row r="677" spans="48:49">
      <c r="AV677" s="438"/>
      <c r="AW677" s="438"/>
    </row>
    <row r="678" spans="48:49">
      <c r="AV678" s="438"/>
      <c r="AW678" s="438"/>
    </row>
    <row r="679" spans="48:49">
      <c r="AV679" s="438"/>
      <c r="AW679" s="438"/>
    </row>
    <row r="680" spans="48:49">
      <c r="AV680" s="438"/>
      <c r="AW680" s="438"/>
    </row>
    <row r="681" spans="48:49">
      <c r="AV681" s="438"/>
      <c r="AW681" s="438"/>
    </row>
    <row r="682" spans="48:49">
      <c r="AV682" s="438"/>
      <c r="AW682" s="438"/>
    </row>
    <row r="683" spans="48:49">
      <c r="AV683" s="438"/>
      <c r="AW683" s="438"/>
    </row>
    <row r="684" spans="48:49">
      <c r="AV684" s="438"/>
      <c r="AW684" s="438"/>
    </row>
    <row r="685" spans="48:49">
      <c r="AV685" s="438"/>
      <c r="AW685" s="438"/>
    </row>
    <row r="686" spans="48:49">
      <c r="AV686" s="438"/>
      <c r="AW686" s="438"/>
    </row>
    <row r="687" spans="48:49">
      <c r="AV687" s="438"/>
      <c r="AW687" s="438"/>
    </row>
    <row r="688" spans="48:49">
      <c r="AV688" s="438"/>
      <c r="AW688" s="438"/>
    </row>
    <row r="689" spans="48:49">
      <c r="AV689" s="438"/>
      <c r="AW689" s="438"/>
    </row>
    <row r="690" spans="48:49">
      <c r="AV690" s="438"/>
      <c r="AW690" s="438"/>
    </row>
    <row r="691" spans="48:49">
      <c r="AV691" s="438"/>
      <c r="AW691" s="438"/>
    </row>
    <row r="692" spans="48:49">
      <c r="AV692" s="438"/>
      <c r="AW692" s="438"/>
    </row>
    <row r="693" spans="48:49">
      <c r="AV693" s="438"/>
      <c r="AW693" s="438"/>
    </row>
    <row r="694" spans="48:49">
      <c r="AV694" s="438"/>
      <c r="AW694" s="438"/>
    </row>
    <row r="695" spans="48:49">
      <c r="AV695" s="438"/>
      <c r="AW695" s="438"/>
    </row>
    <row r="696" spans="48:49">
      <c r="AV696" s="438"/>
      <c r="AW696" s="438"/>
    </row>
    <row r="697" spans="48:49">
      <c r="AV697" s="438"/>
      <c r="AW697" s="438"/>
    </row>
    <row r="698" spans="48:49">
      <c r="AV698" s="438"/>
      <c r="AW698" s="438"/>
    </row>
    <row r="699" spans="48:49">
      <c r="AV699" s="438"/>
      <c r="AW699" s="438"/>
    </row>
    <row r="700" spans="48:49">
      <c r="AV700" s="438"/>
      <c r="AW700" s="438"/>
    </row>
    <row r="701" spans="48:49">
      <c r="AV701" s="438"/>
      <c r="AW701" s="438"/>
    </row>
    <row r="702" spans="48:49">
      <c r="AV702" s="438"/>
      <c r="AW702" s="438"/>
    </row>
    <row r="703" spans="48:49">
      <c r="AV703" s="438"/>
      <c r="AW703" s="438"/>
    </row>
    <row r="704" spans="48:49">
      <c r="AV704" s="438"/>
      <c r="AW704" s="438"/>
    </row>
    <row r="705" spans="48:49">
      <c r="AV705" s="438"/>
      <c r="AW705" s="438"/>
    </row>
    <row r="706" spans="48:49">
      <c r="AV706" s="438"/>
      <c r="AW706" s="438"/>
    </row>
    <row r="707" spans="48:49">
      <c r="AV707" s="438"/>
      <c r="AW707" s="438"/>
    </row>
    <row r="708" spans="48:49">
      <c r="AV708" s="438"/>
      <c r="AW708" s="438"/>
    </row>
    <row r="709" spans="48:49">
      <c r="AV709" s="438"/>
      <c r="AW709" s="438"/>
    </row>
    <row r="710" spans="48:49">
      <c r="AV710" s="438"/>
      <c r="AW710" s="438"/>
    </row>
    <row r="711" spans="48:49">
      <c r="AV711" s="438"/>
      <c r="AW711" s="438"/>
    </row>
    <row r="712" spans="48:49">
      <c r="AV712" s="438"/>
      <c r="AW712" s="438"/>
    </row>
    <row r="713" spans="48:49">
      <c r="AV713" s="438"/>
      <c r="AW713" s="438"/>
    </row>
    <row r="714" spans="48:49">
      <c r="AV714" s="438"/>
      <c r="AW714" s="438"/>
    </row>
    <row r="715" spans="48:49">
      <c r="AV715" s="438"/>
      <c r="AW715" s="438"/>
    </row>
    <row r="716" spans="48:49">
      <c r="AV716" s="438"/>
      <c r="AW716" s="438"/>
    </row>
    <row r="717" spans="48:49">
      <c r="AV717" s="438"/>
      <c r="AW717" s="438"/>
    </row>
    <row r="718" spans="48:49">
      <c r="AV718" s="438"/>
      <c r="AW718" s="438"/>
    </row>
    <row r="719" spans="48:49">
      <c r="AV719" s="438"/>
      <c r="AW719" s="438"/>
    </row>
    <row r="720" spans="48:49">
      <c r="AV720" s="438"/>
      <c r="AW720" s="438"/>
    </row>
    <row r="721" spans="48:49">
      <c r="AV721" s="438"/>
      <c r="AW721" s="438"/>
    </row>
    <row r="722" spans="48:49">
      <c r="AV722" s="438"/>
      <c r="AW722" s="438"/>
    </row>
    <row r="723" spans="48:49">
      <c r="AV723" s="438"/>
      <c r="AW723" s="438"/>
    </row>
    <row r="724" spans="48:49">
      <c r="AV724" s="438"/>
      <c r="AW724" s="438"/>
    </row>
    <row r="725" spans="48:49">
      <c r="AV725" s="438"/>
      <c r="AW725" s="438"/>
    </row>
    <row r="726" spans="48:49">
      <c r="AV726" s="438"/>
      <c r="AW726" s="438"/>
    </row>
    <row r="727" spans="48:49">
      <c r="AV727" s="438"/>
      <c r="AW727" s="438"/>
    </row>
    <row r="728" spans="48:49">
      <c r="AV728" s="438"/>
      <c r="AW728" s="438"/>
    </row>
    <row r="729" spans="48:49">
      <c r="AV729" s="438"/>
      <c r="AW729" s="438"/>
    </row>
    <row r="730" spans="48:49">
      <c r="AV730" s="438"/>
      <c r="AW730" s="438"/>
    </row>
    <row r="731" spans="48:49">
      <c r="AV731" s="438"/>
      <c r="AW731" s="438"/>
    </row>
    <row r="732" spans="48:49">
      <c r="AV732" s="438"/>
      <c r="AW732" s="438"/>
    </row>
    <row r="733" spans="48:49">
      <c r="AV733" s="438"/>
      <c r="AW733" s="438"/>
    </row>
    <row r="734" spans="48:49">
      <c r="AV734" s="438"/>
      <c r="AW734" s="438"/>
    </row>
    <row r="735" spans="48:49">
      <c r="AV735" s="438"/>
      <c r="AW735" s="438"/>
    </row>
    <row r="736" spans="48:49">
      <c r="AV736" s="438"/>
      <c r="AW736" s="438"/>
    </row>
    <row r="737" spans="48:49">
      <c r="AV737" s="438"/>
      <c r="AW737" s="438"/>
    </row>
    <row r="738" spans="48:49">
      <c r="AV738" s="438"/>
      <c r="AW738" s="438"/>
    </row>
    <row r="739" spans="48:49">
      <c r="AV739" s="438"/>
      <c r="AW739" s="438"/>
    </row>
    <row r="740" spans="48:49">
      <c r="AV740" s="438"/>
      <c r="AW740" s="438"/>
    </row>
    <row r="741" spans="48:49">
      <c r="AV741" s="438"/>
      <c r="AW741" s="438"/>
    </row>
    <row r="742" spans="48:49">
      <c r="AV742" s="438"/>
      <c r="AW742" s="438"/>
    </row>
    <row r="743" spans="48:49">
      <c r="AV743" s="438"/>
      <c r="AW743" s="438"/>
    </row>
    <row r="744" spans="48:49">
      <c r="AV744" s="438"/>
      <c r="AW744" s="438"/>
    </row>
    <row r="745" spans="48:49">
      <c r="AV745" s="438"/>
      <c r="AW745" s="438"/>
    </row>
    <row r="746" spans="48:49">
      <c r="AV746" s="438"/>
      <c r="AW746" s="438"/>
    </row>
    <row r="747" spans="48:49">
      <c r="AV747" s="438"/>
      <c r="AW747" s="438"/>
    </row>
    <row r="748" spans="48:49">
      <c r="AV748" s="438"/>
      <c r="AW748" s="438"/>
    </row>
    <row r="749" spans="48:49">
      <c r="AV749" s="438"/>
      <c r="AW749" s="438"/>
    </row>
    <row r="750" spans="48:49">
      <c r="AV750" s="438"/>
      <c r="AW750" s="438"/>
    </row>
    <row r="751" spans="48:49">
      <c r="AV751" s="438"/>
      <c r="AW751" s="438"/>
    </row>
    <row r="752" spans="48:49">
      <c r="AV752" s="438"/>
      <c r="AW752" s="438"/>
    </row>
    <row r="753" spans="48:49">
      <c r="AV753" s="438"/>
      <c r="AW753" s="438"/>
    </row>
    <row r="754" spans="48:49">
      <c r="AV754" s="438"/>
      <c r="AW754" s="438"/>
    </row>
    <row r="755" spans="48:49">
      <c r="AV755" s="438"/>
      <c r="AW755" s="438"/>
    </row>
    <row r="756" spans="48:49">
      <c r="AV756" s="438"/>
      <c r="AW756" s="438"/>
    </row>
    <row r="757" spans="48:49">
      <c r="AV757" s="438"/>
      <c r="AW757" s="438"/>
    </row>
    <row r="758" spans="48:49">
      <c r="AV758" s="438"/>
      <c r="AW758" s="438"/>
    </row>
    <row r="759" spans="48:49">
      <c r="AV759" s="438"/>
      <c r="AW759" s="438"/>
    </row>
    <row r="760" spans="48:49">
      <c r="AV760" s="438"/>
      <c r="AW760" s="438"/>
    </row>
    <row r="761" spans="48:49">
      <c r="AV761" s="438"/>
      <c r="AW761" s="438"/>
    </row>
    <row r="762" spans="48:49">
      <c r="AV762" s="438"/>
      <c r="AW762" s="438"/>
    </row>
    <row r="763" spans="48:49">
      <c r="AV763" s="438"/>
      <c r="AW763" s="438"/>
    </row>
    <row r="764" spans="48:49">
      <c r="AV764" s="438"/>
      <c r="AW764" s="438"/>
    </row>
    <row r="765" spans="48:49">
      <c r="AV765" s="438"/>
      <c r="AW765" s="438"/>
    </row>
    <row r="766" spans="48:49">
      <c r="AV766" s="438"/>
      <c r="AW766" s="438"/>
    </row>
    <row r="767" spans="48:49">
      <c r="AV767" s="438"/>
      <c r="AW767" s="438"/>
    </row>
    <row r="768" spans="48:49">
      <c r="AV768" s="438"/>
      <c r="AW768" s="438"/>
    </row>
    <row r="769" spans="48:49">
      <c r="AV769" s="438"/>
      <c r="AW769" s="438"/>
    </row>
    <row r="770" spans="48:49">
      <c r="AV770" s="438"/>
      <c r="AW770" s="438"/>
    </row>
    <row r="771" spans="48:49">
      <c r="AV771" s="438"/>
      <c r="AW771" s="438"/>
    </row>
    <row r="772" spans="48:49">
      <c r="AV772" s="438"/>
      <c r="AW772" s="438"/>
    </row>
    <row r="773" spans="48:49">
      <c r="AV773" s="438"/>
      <c r="AW773" s="438"/>
    </row>
    <row r="774" spans="48:49">
      <c r="AV774" s="438"/>
      <c r="AW774" s="438"/>
    </row>
    <row r="775" spans="48:49">
      <c r="AV775" s="438"/>
      <c r="AW775" s="438"/>
    </row>
    <row r="776" spans="48:49">
      <c r="AV776" s="438"/>
      <c r="AW776" s="438"/>
    </row>
    <row r="777" spans="48:49">
      <c r="AV777" s="438"/>
      <c r="AW777" s="438"/>
    </row>
    <row r="778" spans="48:49">
      <c r="AV778" s="438"/>
      <c r="AW778" s="438"/>
    </row>
    <row r="779" spans="48:49">
      <c r="AV779" s="438"/>
      <c r="AW779" s="438"/>
    </row>
    <row r="780" spans="48:49">
      <c r="AV780" s="438"/>
      <c r="AW780" s="438"/>
    </row>
    <row r="781" spans="48:49">
      <c r="AV781" s="438"/>
      <c r="AW781" s="438"/>
    </row>
    <row r="782" spans="48:49">
      <c r="AV782" s="438"/>
      <c r="AW782" s="438"/>
    </row>
    <row r="783" spans="48:49">
      <c r="AV783" s="438"/>
      <c r="AW783" s="438"/>
    </row>
    <row r="784" spans="48:49">
      <c r="AV784" s="438"/>
      <c r="AW784" s="438"/>
    </row>
    <row r="785" spans="48:49">
      <c r="AV785" s="438"/>
      <c r="AW785" s="438"/>
    </row>
    <row r="786" spans="48:49">
      <c r="AV786" s="438"/>
      <c r="AW786" s="438"/>
    </row>
    <row r="787" spans="48:49">
      <c r="AV787" s="438"/>
      <c r="AW787" s="438"/>
    </row>
    <row r="788" spans="48:49">
      <c r="AV788" s="438"/>
      <c r="AW788" s="438"/>
    </row>
    <row r="789" spans="48:49">
      <c r="AV789" s="438"/>
      <c r="AW789" s="438"/>
    </row>
    <row r="790" spans="48:49">
      <c r="AV790" s="438"/>
      <c r="AW790" s="438"/>
    </row>
    <row r="791" spans="48:49">
      <c r="AV791" s="438"/>
      <c r="AW791" s="438"/>
    </row>
    <row r="792" spans="48:49">
      <c r="AV792" s="438"/>
      <c r="AW792" s="438"/>
    </row>
  </sheetData>
  <phoneticPr fontId="15" type="noConversion"/>
  <pageMargins left="0.78740157480314965" right="0.78740157480314965" top="0.98425196850393704" bottom="0.98425196850393704" header="0.51181102362204722" footer="0.51181102362204722"/>
  <pageSetup paperSize="9" orientation="portrait" horizontalDpi="360" verticalDpi="0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/>
  <dimension ref="A1:A617"/>
  <sheetViews>
    <sheetView zoomScaleNormal="100" workbookViewId="0">
      <selection activeCell="A12" sqref="A12"/>
    </sheetView>
  </sheetViews>
  <sheetFormatPr defaultColWidth="189.33203125" defaultRowHeight="24.75" customHeight="1"/>
  <cols>
    <col min="1" max="1" width="128" style="279" customWidth="1"/>
    <col min="2" max="2" width="9.33203125" style="279" customWidth="1"/>
    <col min="3" max="16384" width="189.33203125" style="279"/>
  </cols>
  <sheetData>
    <row r="1" spans="1:1" ht="5.25" customHeight="1" thickBot="1"/>
    <row r="2" spans="1:1" ht="48" customHeight="1" thickBot="1">
      <c r="A2" s="280" t="s">
        <v>400</v>
      </c>
    </row>
    <row r="3" spans="1:1" s="281" customFormat="1" ht="15.75" customHeight="1" thickBot="1">
      <c r="A3" s="64" t="s">
        <v>1798</v>
      </c>
    </row>
    <row r="4" spans="1:1" ht="18.75" customHeight="1">
      <c r="A4" s="24" t="s">
        <v>915</v>
      </c>
    </row>
    <row r="5" spans="1:1" ht="15.75" customHeight="1" thickBot="1">
      <c r="A5" s="24" t="s">
        <v>914</v>
      </c>
    </row>
    <row r="6" spans="1:1" ht="15.75" customHeight="1" thickBot="1">
      <c r="A6" s="64" t="s">
        <v>1768</v>
      </c>
    </row>
    <row r="7" spans="1:1" ht="15.75" customHeight="1">
      <c r="A7" s="62" t="s">
        <v>1800</v>
      </c>
    </row>
    <row r="8" spans="1:1" ht="15.75" customHeight="1">
      <c r="A8" s="24" t="s">
        <v>1799</v>
      </c>
    </row>
    <row r="9" spans="1:1" ht="15.75" customHeight="1">
      <c r="A9" s="282" t="s">
        <v>955</v>
      </c>
    </row>
    <row r="10" spans="1:1" ht="15.75" customHeight="1">
      <c r="A10" s="282" t="s">
        <v>956</v>
      </c>
    </row>
    <row r="11" spans="1:1" ht="15.75" customHeight="1">
      <c r="A11" s="24" t="s">
        <v>3064</v>
      </c>
    </row>
    <row r="12" spans="1:1" ht="15.75" customHeight="1">
      <c r="A12" s="24" t="s">
        <v>398</v>
      </c>
    </row>
    <row r="13" spans="1:1" ht="15.75" customHeight="1">
      <c r="A13" s="24" t="s">
        <v>1674</v>
      </c>
    </row>
    <row r="14" spans="1:1" ht="15.75" customHeight="1" thickBot="1">
      <c r="A14" s="25" t="s">
        <v>916</v>
      </c>
    </row>
    <row r="15" spans="1:1" ht="15.75" customHeight="1" thickBot="1">
      <c r="A15" s="64" t="s">
        <v>1801</v>
      </c>
    </row>
    <row r="16" spans="1:1" ht="15.75" customHeight="1">
      <c r="A16" s="61" t="s">
        <v>1675</v>
      </c>
    </row>
    <row r="17" spans="1:1" ht="15.75" customHeight="1">
      <c r="A17" s="24" t="s">
        <v>1676</v>
      </c>
    </row>
    <row r="18" spans="1:1" ht="15.75" customHeight="1">
      <c r="A18" s="24" t="s">
        <v>1677</v>
      </c>
    </row>
    <row r="19" spans="1:1" ht="15.75" customHeight="1">
      <c r="A19" s="283" t="s">
        <v>2705</v>
      </c>
    </row>
    <row r="20" spans="1:1" ht="15.75" customHeight="1">
      <c r="A20" s="24" t="s">
        <v>2706</v>
      </c>
    </row>
    <row r="21" spans="1:1" ht="15.75" customHeight="1" thickBot="1">
      <c r="A21" s="283" t="s">
        <v>2707</v>
      </c>
    </row>
    <row r="22" spans="1:1" ht="15.75" customHeight="1" thickBot="1">
      <c r="A22" s="64" t="s">
        <v>1769</v>
      </c>
    </row>
    <row r="23" spans="1:1" s="284" customFormat="1" ht="15.75" customHeight="1" thickBot="1">
      <c r="A23" s="63" t="s">
        <v>399</v>
      </c>
    </row>
    <row r="24" spans="1:1" s="285" customFormat="1" ht="15.75" customHeight="1" thickBot="1">
      <c r="A24" s="63" t="s">
        <v>2708</v>
      </c>
    </row>
    <row r="25" spans="1:1" s="285" customFormat="1" ht="15.75" customHeight="1" thickBot="1">
      <c r="A25" s="63" t="s">
        <v>2875</v>
      </c>
    </row>
    <row r="26" spans="1:1" ht="15.75" customHeight="1" thickBot="1">
      <c r="A26" s="64" t="s">
        <v>1678</v>
      </c>
    </row>
    <row r="27" spans="1:1" ht="15.75" customHeight="1">
      <c r="A27" s="65" t="s">
        <v>1679</v>
      </c>
    </row>
    <row r="28" spans="1:1" ht="15.75" customHeight="1" thickBot="1">
      <c r="A28" s="66" t="s">
        <v>1309</v>
      </c>
    </row>
    <row r="29" spans="1:1" ht="15.75" customHeight="1">
      <c r="A29" s="286"/>
    </row>
    <row r="30" spans="1:1" ht="15.75" customHeight="1">
      <c r="A30" s="279" t="s">
        <v>1673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</sheetData>
  <phoneticPr fontId="15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/>
  <dimension ref="A1:CH9"/>
  <sheetViews>
    <sheetView workbookViewId="0">
      <pane xSplit="2" ySplit="1" topLeftCell="F6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5.75"/>
  <cols>
    <col min="1" max="3" width="9.33203125" style="697"/>
    <col min="4" max="4" width="9.33203125" style="697" hidden="1" customWidth="1"/>
    <col min="5" max="5" width="9.33203125" style="697"/>
    <col min="6" max="6" width="9.5" style="697" bestFit="1" customWidth="1"/>
    <col min="7" max="74" width="11.1640625" style="697" bestFit="1" customWidth="1"/>
    <col min="75" max="81" width="12.5" style="697" bestFit="1" customWidth="1"/>
    <col min="82" max="85" width="14" style="697" bestFit="1" customWidth="1"/>
    <col min="86" max="16384" width="9.33203125" style="697"/>
  </cols>
  <sheetData>
    <row r="1" spans="1:86">
      <c r="F1" s="697">
        <v>1954</v>
      </c>
      <c r="G1" s="697">
        <v>1955</v>
      </c>
      <c r="H1" s="697">
        <v>1956</v>
      </c>
      <c r="I1" s="697">
        <v>1957</v>
      </c>
      <c r="J1" s="697">
        <v>1958</v>
      </c>
      <c r="K1" s="697">
        <v>1959</v>
      </c>
      <c r="L1" s="697">
        <v>1960</v>
      </c>
      <c r="M1" s="697">
        <v>1961</v>
      </c>
      <c r="N1" s="697">
        <v>1962</v>
      </c>
      <c r="O1" s="697">
        <v>1963</v>
      </c>
      <c r="P1" s="697">
        <v>1964</v>
      </c>
      <c r="Q1" s="697">
        <v>1965</v>
      </c>
      <c r="R1" s="697">
        <v>1966</v>
      </c>
      <c r="S1" s="697">
        <v>1967</v>
      </c>
      <c r="T1" s="697">
        <v>1968</v>
      </c>
      <c r="U1" s="697">
        <v>1969</v>
      </c>
      <c r="V1" s="697">
        <v>1970</v>
      </c>
      <c r="W1" s="697">
        <v>1971</v>
      </c>
      <c r="X1" s="697">
        <v>1972</v>
      </c>
      <c r="Y1" s="697">
        <v>1973</v>
      </c>
      <c r="Z1" s="697">
        <v>1974</v>
      </c>
      <c r="AA1" s="697">
        <v>1975</v>
      </c>
      <c r="AB1" s="697">
        <v>1976</v>
      </c>
      <c r="AC1" s="697">
        <v>1977</v>
      </c>
      <c r="AD1" s="697">
        <v>1978</v>
      </c>
      <c r="AE1" s="697">
        <v>1979</v>
      </c>
      <c r="AF1" s="697">
        <v>1980</v>
      </c>
      <c r="AG1" s="697">
        <v>1981</v>
      </c>
      <c r="AH1" s="697">
        <v>1982</v>
      </c>
      <c r="AI1" s="697">
        <v>1983</v>
      </c>
      <c r="AJ1" s="697">
        <v>1984</v>
      </c>
      <c r="AK1" s="697">
        <v>1985</v>
      </c>
      <c r="AL1" s="697">
        <v>1986</v>
      </c>
      <c r="AM1" s="697">
        <v>1987</v>
      </c>
      <c r="AN1" s="697">
        <v>1988</v>
      </c>
      <c r="AO1" s="697">
        <v>1989</v>
      </c>
      <c r="AP1" s="697">
        <v>1990</v>
      </c>
      <c r="AQ1" s="697">
        <v>1991</v>
      </c>
      <c r="AR1" s="697">
        <v>1992</v>
      </c>
      <c r="AS1" s="697">
        <v>1993</v>
      </c>
      <c r="AT1" s="697">
        <v>1994</v>
      </c>
      <c r="AU1" s="697">
        <v>1995</v>
      </c>
      <c r="AV1" s="697">
        <v>1996</v>
      </c>
      <c r="AW1" s="697">
        <v>1997</v>
      </c>
      <c r="AX1" s="697">
        <v>1998</v>
      </c>
      <c r="AY1" s="697">
        <v>1999</v>
      </c>
      <c r="AZ1" s="697">
        <v>2000</v>
      </c>
      <c r="BA1" s="697">
        <v>2001</v>
      </c>
      <c r="BB1" s="697">
        <v>2002</v>
      </c>
      <c r="BC1" s="697">
        <v>2003</v>
      </c>
      <c r="BD1" s="697">
        <v>2004</v>
      </c>
      <c r="BE1" s="697">
        <v>2005</v>
      </c>
      <c r="BF1" s="697">
        <v>2006</v>
      </c>
      <c r="BG1" s="697">
        <v>2007</v>
      </c>
      <c r="BH1" s="697">
        <v>2008</v>
      </c>
      <c r="BI1" s="697">
        <v>2009</v>
      </c>
      <c r="BJ1" s="697">
        <v>2010</v>
      </c>
      <c r="BK1" s="697">
        <v>2011</v>
      </c>
      <c r="BL1" s="697">
        <v>2012</v>
      </c>
      <c r="BM1" s="697">
        <v>2013</v>
      </c>
      <c r="BN1" s="697">
        <v>2014</v>
      </c>
      <c r="BO1" s="697">
        <v>2015</v>
      </c>
      <c r="BP1" s="697">
        <v>2016</v>
      </c>
      <c r="BQ1" s="697">
        <v>2017</v>
      </c>
      <c r="BR1" s="697">
        <v>2018</v>
      </c>
      <c r="BS1" s="697">
        <v>2019</v>
      </c>
      <c r="BT1" s="697">
        <v>2020</v>
      </c>
      <c r="BU1" s="697">
        <v>2021</v>
      </c>
      <c r="BV1" s="697">
        <v>2022</v>
      </c>
      <c r="BW1" s="697">
        <v>2023</v>
      </c>
      <c r="BX1" s="697">
        <v>2024</v>
      </c>
      <c r="BY1" s="697">
        <v>2025</v>
      </c>
      <c r="BZ1" s="697">
        <v>2026</v>
      </c>
      <c r="CA1" s="697">
        <v>2027</v>
      </c>
      <c r="CB1" s="697">
        <v>2028</v>
      </c>
      <c r="CC1" s="697">
        <v>2029</v>
      </c>
      <c r="CD1" s="697">
        <v>2030</v>
      </c>
      <c r="CE1" s="697">
        <v>2031</v>
      </c>
      <c r="CF1" s="697">
        <v>2032</v>
      </c>
      <c r="CG1" s="697">
        <v>2033</v>
      </c>
    </row>
    <row r="2" spans="1:86">
      <c r="A2" s="697" t="s">
        <v>717</v>
      </c>
      <c r="F2" s="698">
        <f>+Model!F36</f>
        <v>2</v>
      </c>
      <c r="G2" s="698">
        <f>+Model!G36</f>
        <v>1</v>
      </c>
      <c r="H2" s="698">
        <f>+Model!H36</f>
        <v>1.9801980257034302</v>
      </c>
      <c r="I2" s="698">
        <f>+Model!I36</f>
        <v>8.6999999999999993</v>
      </c>
      <c r="J2" s="698">
        <f>+Model!J36</f>
        <v>0</v>
      </c>
      <c r="K2" s="698">
        <f>+Model!K36</f>
        <v>0</v>
      </c>
      <c r="L2" s="698">
        <f>+Model!L36</f>
        <v>2.6</v>
      </c>
      <c r="M2" s="698">
        <f>+Model!M36</f>
        <v>1.7</v>
      </c>
      <c r="N2" s="698">
        <f>+Model!N36</f>
        <v>2.5</v>
      </c>
      <c r="O2" s="698">
        <f>+Model!O36</f>
        <v>1.7</v>
      </c>
      <c r="P2" s="698">
        <f>+Model!P36</f>
        <v>4.0999999999999996</v>
      </c>
      <c r="Q2" s="698">
        <f>+Model!Q36</f>
        <v>2.2999999999999998</v>
      </c>
      <c r="R2" s="698">
        <f>+Model!R36</f>
        <v>1.5</v>
      </c>
      <c r="S2" s="698">
        <f>+Model!S36</f>
        <v>7.5</v>
      </c>
      <c r="T2" s="698">
        <f>+Model!T36</f>
        <v>0</v>
      </c>
      <c r="U2" s="698">
        <f>+Model!U36</f>
        <v>1</v>
      </c>
      <c r="V2" s="698">
        <f>+Model!V36</f>
        <v>1.8</v>
      </c>
      <c r="W2" s="698">
        <f>+Model!W36</f>
        <v>-0.6</v>
      </c>
      <c r="X2" s="698">
        <f>+Model!X36</f>
        <v>2.4</v>
      </c>
      <c r="Y2" s="698">
        <f>+Model!Y36</f>
        <v>12</v>
      </c>
      <c r="Z2" s="698">
        <f>+Model!Z36</f>
        <v>15.9</v>
      </c>
      <c r="AA2" s="698">
        <f>+Model!AA36</f>
        <v>7.5</v>
      </c>
      <c r="AB2" s="698">
        <f>+Model!AB36</f>
        <v>9.3000000000000007</v>
      </c>
      <c r="AC2" s="698">
        <f>+Model!AC36</f>
        <v>8.8000000000000007</v>
      </c>
      <c r="AD2" s="698">
        <f>+Model!AD36</f>
        <v>8</v>
      </c>
      <c r="AE2" s="698">
        <f>+Model!AE36</f>
        <v>14</v>
      </c>
      <c r="AF2" s="698">
        <f>+Model!AF36</f>
        <v>13.2</v>
      </c>
      <c r="AG2" s="698">
        <f>+Model!AG36</f>
        <v>8.6999999999999993</v>
      </c>
      <c r="AH2" s="698">
        <f>+Model!AH36</f>
        <v>7.3</v>
      </c>
      <c r="AI2" s="698">
        <f>+Model!AI36</f>
        <v>4.4000000000000004</v>
      </c>
      <c r="AJ2" s="698">
        <f>+Model!AJ36</f>
        <v>3.7</v>
      </c>
      <c r="AK2" s="698">
        <f>+Model!AK36</f>
        <v>10.9</v>
      </c>
      <c r="AL2" s="698">
        <f>+Model!AL36</f>
        <v>18.7</v>
      </c>
      <c r="AM2" s="698">
        <f>+Model!AM36</f>
        <v>53.4</v>
      </c>
      <c r="AN2" s="698">
        <f>+Model!AN36</f>
        <v>7.3</v>
      </c>
      <c r="AO2" s="698">
        <f>+Model!AO36</f>
        <v>0.8</v>
      </c>
      <c r="AP2" s="698">
        <f>+Model!AP36</f>
        <v>21.8</v>
      </c>
      <c r="AQ2" s="698">
        <f>+Model!AQ36</f>
        <v>26</v>
      </c>
      <c r="AR2" s="698">
        <f>+Model!AR36</f>
        <v>43.7</v>
      </c>
      <c r="AS2" s="698">
        <f>+Model!AS36</f>
        <v>143.5</v>
      </c>
      <c r="AT2" s="698">
        <f>+Model!AT36</f>
        <v>368.5</v>
      </c>
      <c r="AU2" s="698">
        <f>+Model!AU36</f>
        <v>235.6</v>
      </c>
      <c r="AV2" s="698">
        <f>+Model!AV36</f>
        <v>-0.7</v>
      </c>
      <c r="AW2" s="698">
        <f>+Model!AW36</f>
        <v>7.1</v>
      </c>
      <c r="AX2" s="698">
        <f>+Model!AX36</f>
        <v>18.7</v>
      </c>
      <c r="AY2" s="698">
        <f>+Model!AY36</f>
        <v>98.8</v>
      </c>
      <c r="AZ2" s="698">
        <f>+Model!AZ36</f>
        <v>59.3</v>
      </c>
      <c r="BA2" s="698">
        <f>+Model!BA36</f>
        <v>38.6</v>
      </c>
      <c r="BB2" s="698">
        <f>+Model!BB36</f>
        <v>15.5</v>
      </c>
      <c r="BC2" s="698">
        <f>+Model!BC36</f>
        <v>23.9</v>
      </c>
      <c r="BD2" s="698">
        <f>+Model!BD36</f>
        <v>9.6</v>
      </c>
      <c r="BE2" s="698">
        <f>+Model!BE36</f>
        <v>9.5</v>
      </c>
      <c r="BF2" s="698">
        <f>+Model!BF36</f>
        <v>11.3</v>
      </c>
      <c r="BG2" s="698">
        <f>+Model!BG36</f>
        <v>6.4</v>
      </c>
      <c r="BH2" s="698">
        <f>+Model!BH36</f>
        <v>14.7</v>
      </c>
      <c r="BI2" s="698">
        <f>+Model!BI36</f>
        <v>-0.1</v>
      </c>
      <c r="BJ2" s="698">
        <f>+Model!BJ36</f>
        <v>6.9</v>
      </c>
      <c r="BK2" s="698">
        <f>+Model!BK36</f>
        <v>17.7</v>
      </c>
      <c r="BL2" s="698">
        <f>+Model!BL36</f>
        <v>5</v>
      </c>
      <c r="BM2" s="698">
        <f>+Model!BM36</f>
        <v>1.9</v>
      </c>
      <c r="BN2" s="698">
        <f>+Model!BN36</f>
        <v>3.4</v>
      </c>
      <c r="BO2" s="698">
        <f>+Model!BO36</f>
        <v>6.9</v>
      </c>
      <c r="BP2" s="698">
        <f>+Model!BP36</f>
        <v>55.5</v>
      </c>
      <c r="BQ2" s="698">
        <f>+Model!BQ36</f>
        <v>22</v>
      </c>
      <c r="BR2" s="698">
        <f>+Model!BR36</f>
        <v>6.9</v>
      </c>
      <c r="BS2" s="698">
        <f>+Model!BS36</f>
        <v>4.4000000000000004</v>
      </c>
      <c r="BT2" s="698">
        <f ca="1">+Model!BT36</f>
        <v>34.244892642942418</v>
      </c>
      <c r="BU2" s="698">
        <f ca="1">+Model!BU36</f>
        <v>50.991102337104202</v>
      </c>
      <c r="BV2" s="698">
        <f ca="1">+Model!BV36</f>
        <v>16.413728147581516</v>
      </c>
      <c r="BW2" s="698">
        <f ca="1">+Model!BW36</f>
        <v>8.6555130940087377</v>
      </c>
      <c r="BX2" s="698">
        <f ca="1">+Model!BX36</f>
        <v>5.0998086070868656</v>
      </c>
      <c r="BY2" s="698">
        <f ca="1">+Model!BY36</f>
        <v>6.0916649920156765</v>
      </c>
      <c r="BZ2" s="698">
        <f ca="1">+Model!BZ36</f>
        <v>6.8335838327820433</v>
      </c>
      <c r="CA2" s="698">
        <f ca="1">+Model!CA36</f>
        <v>7.5774286217090374</v>
      </c>
      <c r="CB2" s="698">
        <f ca="1">+Model!CB36</f>
        <v>8.5001783380133134</v>
      </c>
      <c r="CC2" s="698">
        <f ca="1">+Model!CC36</f>
        <v>9.640093570705929</v>
      </c>
      <c r="CD2" s="698">
        <f ca="1">+Model!CD36</f>
        <v>11.072158493452488</v>
      </c>
      <c r="CE2" s="698">
        <f ca="1">+Model!CE36</f>
        <v>12.893441429610899</v>
      </c>
      <c r="CF2" s="698">
        <f ca="1">+Model!CF36</f>
        <v>15.232063947577505</v>
      </c>
      <c r="CG2" s="698">
        <f ca="1">+Model!CG36</f>
        <v>18.257179167767333</v>
      </c>
    </row>
    <row r="3" spans="1:86">
      <c r="A3" s="697" t="s">
        <v>718</v>
      </c>
      <c r="F3" s="109">
        <f>Model!E257*(0.9*Model!F42+0.1*Model!E42)+Model!E258*(Model!F238-Model!F243)+Model!E259*(Model!F240-Model!F243)+Model!E260*(0.75*Model!F48+0.25*Model!E48)+(Model!F262-Model!E262)*100+Assumptions!F28</f>
        <v>7.8184505344289255</v>
      </c>
      <c r="G3" s="109">
        <f>Model!F257*(0.9*Model!G42+0.1*Model!F42)+Model!F258*(Model!G238-Model!G243)+Model!F259*(Model!G240-Model!G243)+Model!F260*(0.75*Model!G48+0.25*Model!F48)+(Model!G262-Model!F262)*100+Assumptions!G28</f>
        <v>-0.55245911768021427</v>
      </c>
      <c r="H3" s="109">
        <f>Model!G257*(0.9*Model!H42+0.1*Model!G42)+Model!G258*(Model!H238-Model!H243)+Model!G259*(Model!H240-Model!H243)+Model!G260*(0.75*Model!H48+0.25*Model!G48)+(Model!H262-Model!G262)*100+Assumptions!H28</f>
        <v>-2.9932186670498493</v>
      </c>
      <c r="I3" s="109">
        <f>Model!H257*(0.9*Model!I42+0.1*Model!H42)+Model!H258*(Model!I238-Model!I243)+Model!H259*(Model!I240-Model!I243)+Model!H260*(0.75*Model!I48+0.25*Model!H48)+(Model!I262-Model!H262)*100+Assumptions!I28</f>
        <v>10.349862832715978</v>
      </c>
      <c r="J3" s="109">
        <f>Model!I257*(0.9*Model!J42+0.1*Model!I42)+Model!I258*(Model!J238-Model!J243)+Model!I259*(Model!J240-Model!J243)+Model!I260*(0.75*Model!J48+0.25*Model!I48)+(Model!J262-Model!I262)*100+Assumptions!J28</f>
        <v>4.792035758267442</v>
      </c>
      <c r="K3" s="109">
        <f>Model!J257*(0.9*Model!K42+0.1*Model!J42)+Model!J258*(Model!K238-Model!K243)+Model!J259*(Model!K240-Model!K243)+Model!J260*(0.75*Model!K48+0.25*Model!J48)+(Model!K262-Model!J262)*100+Assumptions!K28</f>
        <v>1.6483196771179289</v>
      </c>
      <c r="L3" s="109">
        <f>Model!K257*(0.9*Model!L42+0.1*Model!K42)+Model!K258*(Model!L238-Model!L243)+Model!K259*(Model!L240-Model!L243)+Model!K260*(0.75*Model!L48+0.25*Model!K48)+(Model!L262-Model!K262)*100+Assumptions!L28</f>
        <v>1.1650268963298256</v>
      </c>
      <c r="M3" s="109">
        <f>Model!L257*(0.9*Model!M42+0.1*Model!L42)+Model!L258*(Model!M238-Model!M243)+Model!L259*(Model!M240-Model!M243)+Model!L260*(0.75*Model!M48+0.25*Model!L48)+(Model!M262-Model!L262)*100+Assumptions!M28</f>
        <v>2.0840039785957045</v>
      </c>
      <c r="N3" s="109">
        <f>Model!M257*(0.9*Model!N42+0.1*Model!M42)+Model!M258*(Model!N238-Model!N243)+Model!M259*(Model!N240-Model!N243)+Model!M260*(0.75*Model!N48+0.25*Model!M48)+(Model!N262-Model!M262)*100+Assumptions!N28</f>
        <v>2.0897076710826155</v>
      </c>
      <c r="O3" s="109">
        <f>Model!N257*(0.9*Model!O42+0.1*Model!N42)+Model!N258*(Model!O238-Model!O243)+Model!N259*(Model!O240-Model!O243)+Model!N260*(0.75*Model!O48+0.25*Model!N48)+(Model!O262-Model!N262)*100+Assumptions!O28</f>
        <v>1.1906582654165052</v>
      </c>
      <c r="P3" s="109">
        <f>Model!O257*(0.9*Model!P42+0.1*Model!O42)+Model!O258*(Model!P238-Model!P243)+Model!O259*(Model!P240-Model!P243)+Model!O260*(0.75*Model!P48+0.25*Model!O48)+(Model!P262-Model!O262)*100+Assumptions!P28</f>
        <v>2.9294941343996577</v>
      </c>
      <c r="Q3" s="109">
        <f>Model!P257*(0.9*Model!Q42+0.1*Model!P42)+Model!P258*(Model!Q238-Model!Q243)+Model!P259*(Model!Q240-Model!Q243)+Model!P260*(0.75*Model!Q48+0.25*Model!P48)+(Model!Q262-Model!P262)*100+Assumptions!Q28</f>
        <v>2.2043496567249492</v>
      </c>
      <c r="R3" s="109">
        <f>Model!Q257*(0.9*Model!R42+0.1*Model!Q42)+Model!Q258*(Model!R238-Model!R243)+Model!Q259*(Model!R240-Model!R243)+Model!Q260*(0.75*Model!R48+0.25*Model!Q48)+(Model!R262-Model!Q262)*100+Assumptions!R28</f>
        <v>6.2661317905681564</v>
      </c>
      <c r="S3" s="109">
        <f>Model!R257*(0.9*Model!S42+0.1*Model!R42)+Model!R258*(Model!S238-Model!S243)+Model!R259*(Model!S240-Model!S243)+Model!R260*(0.75*Model!S48+0.25*Model!R48)+(Model!S262-Model!R262)*100+Assumptions!S28</f>
        <v>4.7207393341014203</v>
      </c>
      <c r="T3" s="109">
        <f>Model!S257*(0.9*Model!T42+0.1*Model!S42)+Model!S258*(Model!T238-Model!T243)+Model!S259*(Model!T240-Model!T243)+Model!S260*(0.75*Model!T48+0.25*Model!S48)+(Model!T262-Model!S262)*100+Assumptions!T28</f>
        <v>3.6141342330585782</v>
      </c>
      <c r="U3" s="109">
        <f>Model!T257*(0.9*Model!U42+0.1*Model!T42)+Model!T258*(Model!U238-Model!U243)+Model!T259*(Model!U240-Model!U243)+Model!T260*(0.75*Model!U48+0.25*Model!T48)+(Model!U262-Model!T262)*100+Assumptions!U28</f>
        <v>3.7091244473900464</v>
      </c>
      <c r="V3" s="109">
        <f>Model!U257*(0.9*Model!V42+0.1*Model!U42)+Model!U258*(Model!V238-Model!V243)+Model!U259*(Model!V240-Model!V243)+Model!U260*(0.75*Model!V48+0.25*Model!U48)+(Model!V262-Model!U262)*100+Assumptions!V28</f>
        <v>4.6458367750691263</v>
      </c>
      <c r="W3" s="109">
        <f>Model!V257*(0.9*Model!W42+0.1*Model!V42)+Model!V258*(Model!W238-Model!W243)+Model!V259*(Model!W240-Model!W243)+Model!V260*(0.75*Model!W48+0.25*Model!V48)+(Model!W262-Model!V262)*100+Assumptions!W28</f>
        <v>3.3148813940845088</v>
      </c>
      <c r="X3" s="109">
        <f>Model!W257*(0.9*Model!X42+0.1*Model!W42)+Model!W258*(Model!X238-Model!X243)+Model!W259*(Model!X240-Model!X243)+Model!W260*(0.75*Model!X48+0.25*Model!W48)+(Model!X262-Model!W262)*100+Assumptions!X28</f>
        <v>4.3051241153847863</v>
      </c>
      <c r="Y3" s="109">
        <f>Model!X257*(0.9*Model!Y42+0.1*Model!X42)+Model!X258*(Model!Y238-Model!Y243)+Model!X259*(Model!Y240-Model!Y243)+Model!X260*(0.75*Model!Y48+0.25*Model!X48)+(Model!Y262-Model!X262)*100+Assumptions!Y28</f>
        <v>6.2948983726228578</v>
      </c>
      <c r="Z3" s="109">
        <f>Model!Y257*(0.9*Model!Z42+0.1*Model!Y42)+Model!Y258*(Model!Z238-Model!Z243)+Model!Y259*(Model!Z240-Model!Z243)+Model!Y260*(0.75*Model!Z48+0.25*Model!Y48)+(Model!Z262-Model!Y262)*100+Assumptions!Z28</f>
        <v>22.544596667390714</v>
      </c>
      <c r="AA3" s="109">
        <f>Model!Z257*(0.9*Model!AA42+0.1*Model!Z42)+Model!Z258*(Model!AA238-Model!AA243)+Model!Z259*(Model!AA240-Model!AA243)+Model!Z260*(0.75*Model!AA48+0.25*Model!Z48)+(Model!AA262-Model!Z262)*100+Assumptions!AA28</f>
        <v>21.205402345266037</v>
      </c>
      <c r="AB3" s="109">
        <f>Model!AA257*(0.9*Model!AB42+0.1*Model!AA42)+Model!AA258*(Model!AB238-Model!AB243)+Model!AA259*(Model!AB240-Model!AB243)+Model!AA260*(0.75*Model!AB48+0.25*Model!AA48)+(Model!AB262-Model!AA262)*100+Assumptions!AB28</f>
        <v>10.24406297836979</v>
      </c>
      <c r="AC3" s="109">
        <f>Model!AB257*(0.9*Model!AC42+0.1*Model!AB42)+Model!AB258*(Model!AC238-Model!AC243)+Model!AB259*(Model!AC240-Model!AC243)+Model!AB260*(0.75*Model!AC48+0.25*Model!AB48)+(Model!AC262-Model!AB262)*100+Assumptions!AC28</f>
        <v>7.3881868720573092</v>
      </c>
      <c r="AD3" s="109">
        <f>Model!AC257*(0.9*Model!AD42+0.1*Model!AC42)+Model!AC258*(Model!AD238-Model!AD243)+Model!AC259*(Model!AD240-Model!AD243)+Model!AC260*(0.75*Model!AD48+0.25*Model!AC48)+(Model!AD262-Model!AC262)*100+Assumptions!AD28</f>
        <v>11.505808957846655</v>
      </c>
      <c r="AE3" s="109">
        <f>Model!AD257*(0.9*Model!AE42+0.1*Model!AD42)+Model!AD258*(Model!AE238-Model!AE243)+Model!AD259*(Model!AE240-Model!AE243)+Model!AD260*(0.75*Model!AE48+0.25*Model!AD48)+(Model!AE262-Model!AD262)*100+Assumptions!AE28</f>
        <v>6.7208126073030749</v>
      </c>
      <c r="AF3" s="109">
        <f>Model!AE257*(0.9*Model!AF42+0.1*Model!AE42)+Model!AE258*(Model!AF238-Model!AF243)+Model!AE259*(Model!AF240-Model!AF243)+Model!AE260*(0.75*Model!AF48+0.25*Model!AE48)+(Model!AF262-Model!AE262)*100+Assumptions!AF28</f>
        <v>17.652124661477888</v>
      </c>
      <c r="AG3" s="109">
        <f>Model!AF257*(0.9*Model!AG42+0.1*Model!AF42)+Model!AF258*(Model!AG238-Model!AG243)+Model!AF259*(Model!AG240-Model!AG243)+Model!AF260*(0.75*Model!AG48+0.25*Model!AF48)+(Model!AG262-Model!AF262)*100+Assumptions!AG28</f>
        <v>12.358393136598769</v>
      </c>
      <c r="AH3" s="109">
        <f>Model!AG257*(0.9*Model!AH42+0.1*Model!AG42)+Model!AG258*(Model!AH238-Model!AH243)+Model!AG259*(Model!AH240-Model!AH243)+Model!AG260*(0.75*Model!AH48+0.25*Model!AG48)+(Model!AH262-Model!AG262)*100+Assumptions!AH28</f>
        <v>2.8522224962528164</v>
      </c>
      <c r="AI3" s="109">
        <f>Model!AH257*(0.9*Model!AI42+0.1*Model!AH42)+Model!AH258*(Model!AI238-Model!AI243)+Model!AH259*(Model!AI240-Model!AI243)+Model!AH260*(0.75*Model!AI48+0.25*Model!AH48)+(Model!AI262-Model!AH262)*100+Assumptions!AI28</f>
        <v>3.9620861932348443</v>
      </c>
      <c r="AJ3" s="109">
        <f>Model!AI257*(0.9*Model!AJ42+0.1*Model!AI42)+Model!AI258*(Model!AJ238-Model!AJ243)+Model!AI259*(Model!AJ240-Model!AJ243)+Model!AI260*(0.75*Model!AJ48+0.25*Model!AI48)+(Model!AJ262-Model!AI262)*100+Assumptions!AJ28</f>
        <v>6.8072421352125927</v>
      </c>
      <c r="AK3" s="109">
        <f>Model!AJ257*(0.9*Model!AK42+0.1*Model!AJ42)+Model!AJ258*(Model!AK238-Model!AK243)+Model!AJ259*(Model!AK240-Model!AK243)+Model!AJ260*(0.75*Model!AK48+0.25*Model!AJ48)+(Model!AK262-Model!AJ262)*100+Assumptions!AK28</f>
        <v>5.3468683699376705</v>
      </c>
      <c r="AL3" s="109">
        <f>Model!AK257*(0.9*Model!AL42+0.1*Model!AK42)+Model!AK258*(Model!AL238-Model!AL243)+Model!AK259*(Model!AL240-Model!AL243)+Model!AK260*(0.75*Model!AL48+0.25*Model!AK48)+(Model!AL262-Model!AK262)*100+Assumptions!AL28</f>
        <v>14.583517350833828</v>
      </c>
      <c r="AM3" s="109">
        <f>Model!AL257*(0.9*Model!AM42+0.1*Model!AL42)+Model!AL258*(Model!AM238-Model!AM243)+Model!AL259*(Model!AM240-Model!AM243)+Model!AL260*(0.75*Model!AM48+0.25*Model!AL48)+(Model!AM262-Model!AL262)*100+Assumptions!AM28</f>
        <v>37.178923004837436</v>
      </c>
      <c r="AN3" s="109">
        <f>Model!AM257*(0.9*Model!AN42+0.1*Model!AM42)+Model!AM258*(Model!AN238-Model!AN243)+Model!AM259*(Model!AN240-Model!AN243)+Model!AM260*(0.75*Model!AN48+0.25*Model!AM48)+(Model!AN262-Model!AM262)*100+Assumptions!AN28</f>
        <v>17.546934916318971</v>
      </c>
      <c r="AO3" s="109">
        <f>Model!AN257*(0.9*Model!AO42+0.1*Model!AN42)+Model!AN258*(Model!AO238-Model!AO243)+Model!AN259*(Model!AO240-Model!AO243)+Model!AN260*(0.75*Model!AO48+0.25*Model!AN48)+(Model!AO262-Model!AN262)*100+Assumptions!AO28</f>
        <v>5.5754216740200988</v>
      </c>
      <c r="AP3" s="109">
        <f>Model!AO257*(0.9*Model!AP42+0.1*Model!AO42)+Model!AO258*(Model!AP238-Model!AP243)+Model!AO259*(Model!AP240-Model!AP243)+Model!AO260*(0.75*Model!AP48+0.25*Model!AO48)+(Model!AP262-Model!AO262)*100+Assumptions!AP28</f>
        <v>8.7910639175290282</v>
      </c>
      <c r="AQ3" s="109">
        <f>Model!AP257*(0.9*Model!AQ42+0.1*Model!AP42)+Model!AP258*(Model!AQ238-Model!AQ243)+Model!AP259*(Model!AQ240-Model!AQ243)+Model!AP260*(0.75*Model!AQ48+0.25*Model!AP48)+(Model!AQ262-Model!AP262)*100+Assumptions!AQ28</f>
        <v>24.898924981377132</v>
      </c>
      <c r="AR3" s="109">
        <f>Model!AQ257*(0.9*Model!AR42+0.1*Model!AQ42)+Model!AQ258*(Model!AR238-Model!AR243)+Model!AQ259*(Model!AR240-Model!AR243)+Model!AQ260*(0.75*Model!AR48+0.25*Model!AQ48)+(Model!AR262-Model!AQ262)*100+Assumptions!AR28</f>
        <v>38.191536198476804</v>
      </c>
      <c r="AS3" s="109">
        <f>Model!AR257*(0.9*Model!AS42+0.1*Model!AR42)+Model!AR258*(Model!AS238-Model!AS243)+Model!AR259*(Model!AS240-Model!AS243)+Model!AR260*(0.75*Model!AS48+0.25*Model!AR48)+(Model!AS262-Model!AR262)*100+Assumptions!AS28</f>
        <v>216.50690093503178</v>
      </c>
      <c r="AT3" s="109">
        <f>Model!AS257*(0.9*Model!AT42+0.1*Model!AS42)+Model!AS258*(Model!AT238-Model!AT243)+Model!AS259*(Model!AT240-Model!AT243)+Model!AS260*(0.75*Model!AT48+0.25*Model!AS48)+(Model!AT262-Model!AS262)*100+Assumptions!AT28</f>
        <v>346.55322897296503</v>
      </c>
      <c r="AU3" s="109">
        <f>Model!AT257*(0.9*Model!AU42+0.1*Model!AT42)+Model!AT258*(Model!AU238-Model!AU243)+Model!AT259*(Model!AU240-Model!AU243)+Model!AT260*(0.75*Model!AU48+0.25*Model!AT48)+(Model!AU262-Model!AT262)*100+Assumptions!AU28</f>
        <v>236.45410868267012</v>
      </c>
      <c r="AV3" s="109">
        <f>Model!AU257*(0.9*Model!AV42+0.1*Model!AU42)+Model!AU258*(Model!AV238-Model!AV243)+Model!AU259*(Model!AV240-Model!AV243)+Model!AU260*(0.75*Model!AV48+0.25*Model!AU48)+(Model!AV262-Model!AU262)*100+Assumptions!AV28</f>
        <v>31.574325110443919</v>
      </c>
      <c r="AW3" s="109">
        <f>Model!AV257*(0.9*Model!AW42+0.1*Model!AV42)+Model!AV258*(Model!AW238-Model!AW243)+Model!AV259*(Model!AW240-Model!AW243)+Model!AV260*(0.75*Model!AW48+0.25*Model!AV48)+(Model!AW262-Model!AV262)*100+Assumptions!AW28</f>
        <v>4.7408586690811889</v>
      </c>
      <c r="AX3" s="109">
        <f>Model!AW257*(0.9*Model!AX42+0.1*Model!AW42)+Model!AW258*(Model!AX238-Model!AX243)+Model!AW259*(Model!AX240-Model!AX243)+Model!AW260*(0.75*Model!AX48+0.25*Model!AW48)+(Model!AX262-Model!AW262)*100+Assumptions!AX28</f>
        <v>22.449124308805033</v>
      </c>
      <c r="AY3" s="109">
        <f>Model!AX257*(0.9*Model!AY42+0.1*Model!AX42)+Model!AX258*(Model!AY238-Model!AY243)+Model!AX259*(Model!AY240-Model!AY243)+Model!AX260*(0.75*Model!AY48+0.25*Model!AX48)+(Model!AY262-Model!AX262)*100+Assumptions!AY28</f>
        <v>97.476627836142882</v>
      </c>
      <c r="AZ3" s="109">
        <f>Model!AY257*(0.9*Model!AZ42+0.1*Model!AY42)+Model!AY258*(Model!AZ238-Model!AZ243)+Model!AY259*(Model!AZ240-Model!AZ243)+Model!AY260*(0.75*Model!AZ48+0.25*Model!AY48)+(Model!AZ262-Model!AY262)*100+Assumptions!AZ28</f>
        <v>57.993678718772216</v>
      </c>
      <c r="BA3" s="109">
        <f>Model!AZ257*(0.9*Model!BA42+0.1*Model!AZ42)+Model!AZ258*(Model!BA238-Model!BA243)+Model!AZ259*(Model!BA240-Model!BA243)+Model!AZ260*(0.75*Model!BA48+0.25*Model!AZ48)+(Model!BA262-Model!AZ262)*100+Assumptions!BA28</f>
        <v>55.494979233166298</v>
      </c>
      <c r="BB3" s="109">
        <f>Model!BA257*(0.9*Model!BB42+0.1*Model!BA42)+Model!BA258*(Model!BB238-Model!BB243)+Model!BA259*(Model!BB240-Model!BB243)+Model!BA260*(0.75*Model!BB48+0.25*Model!BA48)+(Model!BB262-Model!BA262)*100+Assumptions!BB28</f>
        <v>0.93774275650279593</v>
      </c>
      <c r="BC3" s="109">
        <f>Model!BB257*(0.9*Model!BC42+0.1*Model!BB42)+Model!BB258*(Model!BC238-Model!BC243)+Model!BB259*(Model!BC240-Model!BC243)+Model!BB260*(0.75*Model!BC48+0.25*Model!BB48)+(Model!BC262-Model!BB262)*100+Assumptions!BC28</f>
        <v>17.793966039447241</v>
      </c>
      <c r="BD3" s="109">
        <f ca="1">Model!BC257*(0.9*Model!BD42+0.1*Model!BC42)+Model!BC258*(Model!BD238-Model!BD243)+Model!BC259*(Model!BD240-Model!BD243)+Model!BC260*(0.75*Model!BD48+0.25*Model!BC48)+(Model!BD262-Model!BC262)*100+Assumptions!BD28</f>
        <v>13.659050189870133</v>
      </c>
      <c r="BE3" s="109">
        <f ca="1">Model!BD257*(0.9*Model!BE42+0.1*Model!BD42)+Model!BD258*(Model!BE238-Model!BE243)+Model!BD259*(Model!BE240-Model!BE243)+Model!BD260*(0.75*Model!BE48+0.25*Model!BD48)+(Model!BE262-Model!BD262)*100+Assumptions!BE28</f>
        <v>8.6217555392444911</v>
      </c>
      <c r="BF3" s="109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3" s="109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3" s="109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3" s="109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3" s="109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3" s="109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3" s="109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3" s="109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3" s="109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3" s="109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3" s="109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3" s="109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3" s="109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3" s="109">
        <f>Model!BR257*(0.9*Model!BS42+0.1*Model!BR42)+Model!BR258*(Model!BS238-Model!BS243)+Model!BR259*(Model!BS240-Model!BS243)+Model!BR260*(0.75*Model!BS48+0.25*Model!BR48)+(Model!BS262-Model!BR262)*100+Assumptions!BS28</f>
        <v>7.3762848414363038</v>
      </c>
      <c r="BT3" s="109">
        <f ca="1">Model!BS257*(0.9*Model!BT42+0.1*Model!BS42)+Model!BS258*(Model!BT238-Model!BT243)+Model!BS259*(Model!BT240-Model!BT243)+Model!BS260*(0.75*Model!BT48+0.25*Model!BS48)+(Model!BT262-Model!BS262)*100+Assumptions!BT28</f>
        <v>34.244892642942418</v>
      </c>
      <c r="BU3" s="109">
        <f ca="1">Model!BT257*(0.9*Model!BU42+0.1*Model!BT42)+Model!BT258*(Model!BU238-Model!BU243)+Model!BT259*(Model!BU240-Model!BU243)+Model!BT260*(0.75*Model!BU48+0.25*Model!BT48)+(Model!BU262-Model!BT262)*100+Assumptions!BU28</f>
        <v>50.991102337104202</v>
      </c>
      <c r="BV3" s="109">
        <f ca="1">Model!BU257*(0.9*Model!BV42+0.1*Model!BU42)+Model!BU258*(Model!BV238-Model!BV243)+Model!BU259*(Model!BV240-Model!BV243)+Model!BU260*(0.75*Model!BV48+0.25*Model!BU48)+(Model!BV262-Model!BU262)*100+Assumptions!BV28</f>
        <v>16.413728147581516</v>
      </c>
      <c r="BW3" s="109">
        <f ca="1">Model!BV257*(0.9*Model!BW42+0.1*Model!BV42)+Model!BV258*(Model!BW238-Model!BW243)+Model!BV259*(Model!BW240-Model!BW243)+Model!BV260*(0.75*Model!BW48+0.25*Model!BV48)+(Model!BW262-Model!BV262)*100+Assumptions!BW28</f>
        <v>8.6555130940087377</v>
      </c>
      <c r="BX3" s="109">
        <f ca="1">Model!BW257*(0.9*Model!BX42+0.1*Model!BW42)+Model!BW258*(Model!BX238-Model!BX243)+Model!BW259*(Model!BX240-Model!BX243)+Model!BW260*(0.75*Model!BX48+0.25*Model!BW48)+(Model!BX262-Model!BW262)*100+Assumptions!BX28</f>
        <v>5.0998086070868656</v>
      </c>
      <c r="BY3" s="109">
        <f ca="1">Model!BX257*(0.9*Model!BY42+0.1*Model!BX42)+Model!BX258*(Model!BY238-Model!BY243)+Model!BX259*(Model!BY240-Model!BY243)+Model!BX260*(0.75*Model!BY48+0.25*Model!BX48)+(Model!BY262-Model!BX262)*100+Assumptions!BY28</f>
        <v>6.0916649920156747</v>
      </c>
      <c r="BZ3" s="109">
        <f ca="1">Model!BY257*(0.9*Model!BZ42+0.1*Model!BY42)+Model!BY258*(Model!BZ238-Model!BZ243)+Model!BY259*(Model!BZ240-Model!BZ243)+Model!BY260*(0.75*Model!BZ48+0.25*Model!BY48)+(Model!BZ262-Model!BY262)*100+Assumptions!BZ28</f>
        <v>6.833583832782069</v>
      </c>
      <c r="CA3" s="109">
        <f ca="1">Model!BZ257*(0.9*Model!CA42+0.1*Model!BZ42)+Model!BZ258*(Model!CA238-Model!CA243)+Model!BZ259*(Model!CA240-Model!CA243)+Model!BZ260*(0.75*Model!CA48+0.25*Model!BZ48)+(Model!CA262-Model!BZ262)*100+Assumptions!CA28</f>
        <v>7.5774286217089779</v>
      </c>
      <c r="CB3" s="109">
        <f ca="1">Model!CA257*(0.9*Model!CB42+0.1*Model!CA42)+Model!CA258*(Model!CB238-Model!CB243)+Model!CA259*(Model!CB240-Model!CB243)+Model!CA260*(0.75*Model!CB48+0.25*Model!CA48)+(Model!CB262-Model!CA262)*100+Assumptions!CB28</f>
        <v>8.5001783380132991</v>
      </c>
      <c r="CC3" s="109">
        <f ca="1">Model!CB257*(0.9*Model!CC42+0.1*Model!CB42)+Model!CB258*(Model!CC238-Model!CC243)+Model!CB259*(Model!CC240-Model!CC243)+Model!CB260*(0.75*Model!CC48+0.25*Model!CB48)+(Model!CC262-Model!CB262)*100+Assumptions!CC28</f>
        <v>9.6400935707060729</v>
      </c>
      <c r="CD3" s="109">
        <f ca="1">Model!CC257*(0.9*Model!CD42+0.1*Model!CC42)+Model!CC258*(Model!CD238-Model!CD243)+Model!CC259*(Model!CD240-Model!CD243)+Model!CC260*(0.75*Model!CD48+0.25*Model!CC48)+(Model!CD262-Model!CC262)*100+Assumptions!CD28</f>
        <v>11.072158493452394</v>
      </c>
      <c r="CE3" s="109">
        <f ca="1">Model!CD257*(0.9*Model!CE42+0.1*Model!CD42)+Model!CD258*(Model!CE238-Model!CE243)+Model!CD259*(Model!CE240-Model!CE243)+Model!CD260*(0.75*Model!CE48+0.25*Model!CD48)+(Model!CE262-Model!CD262)*100+Assumptions!CE28</f>
        <v>12.893441429610702</v>
      </c>
      <c r="CF3" s="109">
        <f ca="1">Model!CE257*(0.9*Model!CF42+0.1*Model!CE42)+Model!CE258*(Model!CF238-Model!CF243)+Model!CE259*(Model!CF240-Model!CF243)+Model!CE260*(0.75*Model!CF48+0.25*Model!CE48)+(Model!CF262-Model!CE262)*100+Assumptions!CF28</f>
        <v>15.232063947577839</v>
      </c>
      <c r="CG3" s="109">
        <f ca="1">Model!CF257*(0.9*Model!CG42+0.1*Model!CF42)+Model!CF258*(Model!CG238-Model!CG243)+Model!CF259*(Model!CG240-Model!CG243)+Model!CF260*(0.75*Model!CG48+0.25*Model!CF48)+(Model!CG262-Model!CF262)*100+Assumptions!CG28</f>
        <v>18.257179167767255</v>
      </c>
    </row>
    <row r="4" spans="1:86">
      <c r="A4" s="697" t="s">
        <v>2032</v>
      </c>
      <c r="F4" s="698"/>
      <c r="G4" s="698">
        <f t="shared" ref="G4:AL4" si="0">+G2-G3</f>
        <v>1.5524591176802143</v>
      </c>
      <c r="H4" s="698">
        <f t="shared" si="0"/>
        <v>4.973416692753279</v>
      </c>
      <c r="I4" s="698">
        <f t="shared" si="0"/>
        <v>-1.6498628327159786</v>
      </c>
      <c r="J4" s="698">
        <f t="shared" si="0"/>
        <v>-4.792035758267442</v>
      </c>
      <c r="K4" s="698">
        <f t="shared" si="0"/>
        <v>-1.6483196771179289</v>
      </c>
      <c r="L4" s="698">
        <f t="shared" si="0"/>
        <v>1.4349731036701745</v>
      </c>
      <c r="M4" s="698">
        <f t="shared" si="0"/>
        <v>-0.38400397859570456</v>
      </c>
      <c r="N4" s="698">
        <f t="shared" si="0"/>
        <v>0.41029232891738454</v>
      </c>
      <c r="O4" s="698">
        <f t="shared" si="0"/>
        <v>0.50934173458349474</v>
      </c>
      <c r="P4" s="698">
        <f t="shared" si="0"/>
        <v>1.170505865600342</v>
      </c>
      <c r="Q4" s="698">
        <f t="shared" si="0"/>
        <v>9.565034327505062E-2</v>
      </c>
      <c r="R4" s="698">
        <f t="shared" si="0"/>
        <v>-4.7661317905681564</v>
      </c>
      <c r="S4" s="698">
        <f t="shared" si="0"/>
        <v>2.7792606658985797</v>
      </c>
      <c r="T4" s="698">
        <f t="shared" si="0"/>
        <v>-3.6141342330585782</v>
      </c>
      <c r="U4" s="698">
        <f t="shared" si="0"/>
        <v>-2.7091244473900464</v>
      </c>
      <c r="V4" s="698">
        <f t="shared" si="0"/>
        <v>-2.8458367750691265</v>
      </c>
      <c r="W4" s="698">
        <f t="shared" si="0"/>
        <v>-3.9148813940845089</v>
      </c>
      <c r="X4" s="698">
        <f t="shared" si="0"/>
        <v>-1.9051241153847864</v>
      </c>
      <c r="Y4" s="698">
        <f t="shared" si="0"/>
        <v>5.7051016273771422</v>
      </c>
      <c r="Z4" s="698">
        <f t="shared" si="0"/>
        <v>-6.6445966673907133</v>
      </c>
      <c r="AA4" s="698">
        <f t="shared" si="0"/>
        <v>-13.705402345266037</v>
      </c>
      <c r="AB4" s="698">
        <f t="shared" si="0"/>
        <v>-0.94406297836978936</v>
      </c>
      <c r="AC4" s="698">
        <f t="shared" si="0"/>
        <v>1.4118131279426915</v>
      </c>
      <c r="AD4" s="698">
        <f t="shared" si="0"/>
        <v>-3.5058089578466554</v>
      </c>
      <c r="AE4" s="698">
        <f t="shared" si="0"/>
        <v>7.2791873926969251</v>
      </c>
      <c r="AF4" s="698">
        <f t="shared" si="0"/>
        <v>-4.4521246614778889</v>
      </c>
      <c r="AG4" s="698">
        <f t="shared" si="0"/>
        <v>-3.6583931365987699</v>
      </c>
      <c r="AH4" s="698">
        <f t="shared" si="0"/>
        <v>4.4477775037471829</v>
      </c>
      <c r="AI4" s="698">
        <f t="shared" si="0"/>
        <v>0.43791380676515601</v>
      </c>
      <c r="AJ4" s="698">
        <f t="shared" si="0"/>
        <v>-3.1072421352125925</v>
      </c>
      <c r="AK4" s="698">
        <f t="shared" si="0"/>
        <v>5.5531316300623299</v>
      </c>
      <c r="AL4" s="698">
        <f t="shared" si="0"/>
        <v>4.116482649166171</v>
      </c>
      <c r="AM4" s="698">
        <f t="shared" ref="AM4:BR4" si="1">+AM2-AM3</f>
        <v>16.221076995162562</v>
      </c>
      <c r="AN4" s="698">
        <f t="shared" si="1"/>
        <v>-10.24693491631897</v>
      </c>
      <c r="AO4" s="698">
        <f t="shared" si="1"/>
        <v>-4.775421674020099</v>
      </c>
      <c r="AP4" s="698">
        <f t="shared" si="1"/>
        <v>13.008936082470973</v>
      </c>
      <c r="AQ4" s="698">
        <f t="shared" si="1"/>
        <v>1.1010750186228684</v>
      </c>
      <c r="AR4" s="698">
        <f t="shared" si="1"/>
        <v>5.5084638015231988</v>
      </c>
      <c r="AS4" s="698">
        <f t="shared" si="1"/>
        <v>-73.00690093503178</v>
      </c>
      <c r="AT4" s="698">
        <f t="shared" si="1"/>
        <v>21.94677102703497</v>
      </c>
      <c r="AU4" s="698">
        <f t="shared" si="1"/>
        <v>-0.85410868267013029</v>
      </c>
      <c r="AV4" s="698">
        <f t="shared" si="1"/>
        <v>-32.274325110443918</v>
      </c>
      <c r="AW4" s="698">
        <f t="shared" si="1"/>
        <v>2.3591413309188107</v>
      </c>
      <c r="AX4" s="698">
        <f t="shared" si="1"/>
        <v>-3.7491243088050332</v>
      </c>
      <c r="AY4" s="698">
        <f t="shared" si="1"/>
        <v>1.3233721638571154</v>
      </c>
      <c r="AZ4" s="698">
        <f t="shared" si="1"/>
        <v>1.3063212812277811</v>
      </c>
      <c r="BA4" s="698">
        <f t="shared" si="1"/>
        <v>-16.894979233166296</v>
      </c>
      <c r="BB4" s="698">
        <f t="shared" si="1"/>
        <v>14.562257243497204</v>
      </c>
      <c r="BC4" s="698">
        <f t="shared" si="1"/>
        <v>6.1060339605527574</v>
      </c>
      <c r="BD4" s="698">
        <f t="shared" ca="1" si="1"/>
        <v>-4.059050189870133</v>
      </c>
      <c r="BE4" s="698">
        <f t="shared" ca="1" si="1"/>
        <v>0.87824446075550888</v>
      </c>
      <c r="BF4" s="698">
        <f t="shared" ca="1" si="1"/>
        <v>8.0825243927548982</v>
      </c>
      <c r="BG4" s="698">
        <f t="shared" ca="1" si="1"/>
        <v>-3.7964692079722155</v>
      </c>
      <c r="BH4" s="698">
        <f t="shared" si="1"/>
        <v>1.9165335014176019</v>
      </c>
      <c r="BI4" s="698">
        <f t="shared" si="1"/>
        <v>0.51770534914005639</v>
      </c>
      <c r="BJ4" s="698">
        <f t="shared" si="1"/>
        <v>-5.4569740108306508</v>
      </c>
      <c r="BK4" s="698">
        <f t="shared" si="1"/>
        <v>-3.4826320121100167</v>
      </c>
      <c r="BL4" s="698">
        <f t="shared" si="1"/>
        <v>0.78432978959647048</v>
      </c>
      <c r="BM4" s="698">
        <f t="shared" si="1"/>
        <v>1.998443116161891</v>
      </c>
      <c r="BN4" s="698">
        <f t="shared" si="1"/>
        <v>3.0687240657238553</v>
      </c>
      <c r="BO4" s="698">
        <f t="shared" si="1"/>
        <v>-1.4692876103610111</v>
      </c>
      <c r="BP4" s="698">
        <f t="shared" ca="1" si="1"/>
        <v>-36.248041476329661</v>
      </c>
      <c r="BQ4" s="698">
        <f t="shared" ca="1" si="1"/>
        <v>-6.2274593433093486</v>
      </c>
      <c r="BR4" s="698">
        <f t="shared" si="1"/>
        <v>-6.2501368066749787</v>
      </c>
      <c r="BS4" s="698">
        <f t="shared" ref="BS4:CG4" si="2">+BS2-BS3</f>
        <v>-2.9762848414363035</v>
      </c>
      <c r="BT4" s="698">
        <f t="shared" ca="1" si="2"/>
        <v>0</v>
      </c>
      <c r="BU4" s="698">
        <f t="shared" ca="1" si="2"/>
        <v>0</v>
      </c>
      <c r="BV4" s="698">
        <f t="shared" ca="1" si="2"/>
        <v>0</v>
      </c>
      <c r="BW4" s="698">
        <f t="shared" ca="1" si="2"/>
        <v>0</v>
      </c>
      <c r="BX4" s="698">
        <f t="shared" ca="1" si="2"/>
        <v>0</v>
      </c>
      <c r="BY4" s="698">
        <f t="shared" ca="1" si="2"/>
        <v>0</v>
      </c>
      <c r="BZ4" s="698">
        <f t="shared" ca="1" si="2"/>
        <v>-2.5757174171303632E-14</v>
      </c>
      <c r="CA4" s="698">
        <f t="shared" ca="1" si="2"/>
        <v>5.9507954119908391E-14</v>
      </c>
      <c r="CB4" s="698">
        <f t="shared" ca="1" si="2"/>
        <v>1.4210854715202004E-14</v>
      </c>
      <c r="CC4" s="698">
        <f t="shared" ca="1" si="2"/>
        <v>-1.4388490399142029E-13</v>
      </c>
      <c r="CD4" s="698">
        <f t="shared" ca="1" si="2"/>
        <v>9.4146912488213275E-14</v>
      </c>
      <c r="CE4" s="698">
        <f t="shared" ca="1" si="2"/>
        <v>1.971756091734278E-13</v>
      </c>
      <c r="CF4" s="698">
        <f t="shared" ca="1" si="2"/>
        <v>-3.3395508580724709E-13</v>
      </c>
      <c r="CG4" s="698">
        <f t="shared" ca="1" si="2"/>
        <v>7.815970093361102E-14</v>
      </c>
    </row>
    <row r="5" spans="1:86">
      <c r="A5" s="697" t="s">
        <v>721</v>
      </c>
      <c r="F5" s="699"/>
      <c r="G5" s="698" t="s">
        <v>1344</v>
      </c>
      <c r="H5" s="698">
        <f>0.3*(Model!G434-0.2)*100+0.3*((Model!G179/Model!F179-1)*100-Model!G32)</f>
        <v>0.67143663278797705</v>
      </c>
      <c r="I5" s="698">
        <f>0.3*(Model!H434-0.2)*100+0.3*((Model!H179/Model!G179-1)*100-Model!H32)</f>
        <v>1.7685443919394379</v>
      </c>
      <c r="J5" s="698">
        <f>0.3*(Model!I434-0.2)*100+0.3*((Model!I179/Model!H179-1)*100-Model!I32)</f>
        <v>4.9046169670069295</v>
      </c>
      <c r="K5" s="698">
        <f>0.3*(Model!J434-0.2)*100+0.3*((Model!J179/Model!I179-1)*100-Model!J32)</f>
        <v>3.6997712847567925</v>
      </c>
      <c r="L5" s="698">
        <f>0.3*(Model!K434-0.2)*100+0.3*((Model!K179/Model!J179-1)*100-Model!K32)</f>
        <v>-0.98290659998963248</v>
      </c>
      <c r="M5" s="698">
        <f>0.3*(Model!L434-0.2)*100+0.3*((Model!L179/Model!K179-1)*100-Model!L32)</f>
        <v>4.0818231057835215</v>
      </c>
      <c r="N5" s="698">
        <f>0.3*(Model!M434-0.2)*100+0.3*((Model!M179/Model!L179-1)*100-Model!M32)</f>
        <v>2.2337975297174388</v>
      </c>
      <c r="O5" s="698">
        <f>0.3*(Model!N434-0.2)*100+0.3*((Model!N179/Model!M179-1)*100-Model!N32)</f>
        <v>1.3480084051328027</v>
      </c>
      <c r="P5" s="698">
        <f>0.3*(Model!O434-0.2)*100+0.3*((Model!O179/Model!N179-1)*100-Model!O32)</f>
        <v>-1.8671468722528672E-2</v>
      </c>
      <c r="Q5" s="698">
        <f>0.3*(Model!P434-0.2)*100+0.3*((Model!P179/Model!O179-1)*100-Model!P32)</f>
        <v>6.0480424992191644</v>
      </c>
      <c r="R5" s="698">
        <f>0.3*(Model!Q434-0.2)*100+0.3*((Model!Q179/Model!P179-1)*100-Model!Q32)</f>
        <v>-0.6814169860297794</v>
      </c>
      <c r="S5" s="698">
        <f>0.3*(Model!R434-0.2)*100+0.3*((Model!R179/Model!Q179-1)*100-Model!R32)</f>
        <v>-1.7950183997754805</v>
      </c>
      <c r="T5" s="698">
        <f>0.3*(Model!S434-0.2)*100+0.3*((Model!S179/Model!R179-1)*100-Model!S32)</f>
        <v>1.1093540792939729</v>
      </c>
      <c r="U5" s="698">
        <f>0.3*(Model!T434-0.2)*100+0.3*((Model!T179/Model!S179-1)*100-Model!T32)</f>
        <v>-0.4662232870058744</v>
      </c>
      <c r="V5" s="698">
        <f>0.3*(Model!U434-0.2)*100+0.3*((Model!U179/Model!T179-1)*100-Model!U32)</f>
        <v>2.0923795801331173</v>
      </c>
      <c r="W5" s="698">
        <f>0.3*(Model!V434-0.2)*100+0.3*((Model!V179/Model!U179-1)*100-Model!V32)</f>
        <v>2.0345028513768093</v>
      </c>
      <c r="X5" s="698">
        <f>0.3*(Model!W434-0.2)*100+0.3*((Model!W179/Model!V179-1)*100-Model!W32)</f>
        <v>0.27017314002463316</v>
      </c>
      <c r="Y5" s="698">
        <f>0.3*(Model!X434-0.2)*100+0.3*((Model!X179/Model!W179-1)*100-Model!X32)</f>
        <v>1.9166646898604718</v>
      </c>
      <c r="Z5" s="698">
        <f>0.3*(Model!Y434-0.2)*100+0.3*((Model!Y179/Model!X179-1)*100-Model!Y32)</f>
        <v>2.1139388903006084</v>
      </c>
      <c r="AA5" s="698">
        <f>0.3*(Model!Z434-0.2)*100+0.3*((Model!Z179/Model!Y179-1)*100-Model!Z32)</f>
        <v>4.6306832794853898</v>
      </c>
      <c r="AB5" s="698">
        <f>0.3*(Model!AA434-0.2)*100+0.3*((Model!AA179/Model!Z179-1)*100-Model!AA32)</f>
        <v>-0.75684086938177242</v>
      </c>
      <c r="AC5" s="698">
        <f>0.3*(Model!AB434-0.2)*100+0.3*((Model!AB179/Model!AA179-1)*100-Model!AB32)</f>
        <v>4.365482166609544</v>
      </c>
      <c r="AD5" s="698">
        <f>0.3*(Model!AC434-0.2)*100+0.3*((Model!AC179/Model!AB179-1)*100-Model!AC32)</f>
        <v>1.3408285970045077</v>
      </c>
      <c r="AE5" s="698">
        <f>0.3*(Model!AD434-0.2)*100+0.3*((Model!AD179/Model!AC179-1)*100-Model!AD32)</f>
        <v>-0.55878092689037562</v>
      </c>
      <c r="AF5" s="698">
        <f>0.3*(Model!AE434-0.2)*100+0.3*((Model!AE179/Model!AD179-1)*100-Model!AE32)</f>
        <v>4.6876600506497699</v>
      </c>
      <c r="AG5" s="698">
        <f>0.3*(Model!AF434-0.2)*100+0.3*((Model!AF179/Model!AE179-1)*100-Model!AF32)</f>
        <v>4.6979597716593355</v>
      </c>
      <c r="AH5" s="698">
        <f>0.3*(Model!AG434-0.2)*100+0.3*((Model!AG179/Model!AF179-1)*100-Model!AG32)</f>
        <v>14.924146800819392</v>
      </c>
      <c r="AI5" s="698">
        <f>0.3*(Model!AH434-0.2)*100+0.3*((Model!AH179/Model!AG179-1)*100-Model!AH32)</f>
        <v>21.42503627998639</v>
      </c>
      <c r="AJ5" s="698">
        <f>0.3*(Model!AI434-0.2)*100+0.3*((Model!AI179/Model!AH179-1)*100-Model!AI32)</f>
        <v>9.1526774433778399</v>
      </c>
      <c r="AK5" s="698">
        <f>0.3*(Model!AJ434-0.2)*100+0.3*((Model!AJ179/Model!AI179-1)*100-Model!AJ32)</f>
        <v>15.602990491131694</v>
      </c>
      <c r="AL5" s="698">
        <f>0.3*(Model!AK434-0.2)*100+0.3*((Model!AK179/Model!AJ179-1)*100-Model!AK32)</f>
        <v>26.445757242366575</v>
      </c>
      <c r="AM5" s="698">
        <f>0.3*(Model!AL434-0.2)*100+0.3*((Model!AL179/Model!AK179-1)*100-Model!AL32)</f>
        <v>29.515280726152106</v>
      </c>
      <c r="AN5" s="698">
        <f>0.3*(Model!AM434-0.2)*100+0.3*((Model!AM179/Model!AL179-1)*100-Model!AM32)</f>
        <v>28.464291292506921</v>
      </c>
      <c r="AO5" s="698">
        <f>0.3*(Model!AN434-0.2)*100+0.3*((Model!AN179/Model!AM179-1)*100-Model!AN32)</f>
        <v>20.805617815190374</v>
      </c>
      <c r="AP5" s="698">
        <f>0.3*(Model!AO434-0.2)*100+0.3*((Model!AO179/Model!AN179-1)*100-Model!AO32)</f>
        <v>-1.5954904362754192</v>
      </c>
      <c r="AQ5" s="698">
        <f>0.3*(Model!AP434-0.2)*100+0.3*((Model!AP179/Model!AO179-1)*100-Model!AP32)</f>
        <v>27.797860012828053</v>
      </c>
      <c r="AR5" s="698">
        <f>0.3*(Model!AQ434-0.2)*100+0.3*((Model!AQ179/Model!AP179-1)*100-Model!AQ32)</f>
        <v>23.638988911435547</v>
      </c>
      <c r="AS5" s="698">
        <f>0.3*(Model!AR434-0.2)*100+0.3*((Model!AR179/Model!AQ179-1)*100-Model!AR32)</f>
        <v>14.621809118101538</v>
      </c>
      <c r="AT5" s="698">
        <f>0.3*(Model!AS434-0.2)*100+0.3*((Model!AS179/Model!AR179-1)*100-Model!AS32)</f>
        <v>37.689611663044062</v>
      </c>
      <c r="AU5" s="698">
        <f>0.3*(Model!AT434-0.2)*100+0.3*((Model!AT179/Model!AS179-1)*100-Model!AT32)</f>
        <v>78.142721402428378</v>
      </c>
      <c r="AV5" s="698">
        <f>0.3*(Model!AU434-0.2)*100+0.3*((Model!AU179/Model!AT179-1)*100-Model!AU32)</f>
        <v>47.04690577922937</v>
      </c>
      <c r="AW5" s="698">
        <f>0.3*(Model!AV434-0.2)*100+0.3*((Model!AV179/Model!AU179-1)*100-Model!AV32)</f>
        <v>8.3579784626415474</v>
      </c>
      <c r="AX5" s="698">
        <f>0.3*(Model!AW434-0.2)*100+0.3*((Model!AW179/Model!AV179-1)*100-Model!AW32)</f>
        <v>6.6403622034879071</v>
      </c>
      <c r="AY5" s="698">
        <f>0.3*(Model!AX434-0.2)*100+0.3*((Model!AX179/Model!AW179-1)*100-Model!AX32)</f>
        <v>-2.4674908899490191</v>
      </c>
      <c r="AZ5" s="698">
        <f>0.3*(Model!AY434-0.2)*100+0.3*((Model!AY179/Model!AX179-1)*100-Model!AY32)</f>
        <v>14.233473356790443</v>
      </c>
      <c r="BA5" s="698">
        <f>0.3*(Model!AZ434-0.2)*100+0.3*((Model!AZ179/Model!AY179-1)*100-Model!AZ32)</f>
        <v>29.435082778132568</v>
      </c>
      <c r="BB5" s="698">
        <f>0.3*(Model!BA434-0.2)*100+0.3*((Model!BA179/Model!AZ179-1)*100-Model!BA32)</f>
        <v>11.044041032945568</v>
      </c>
      <c r="BC5" s="698">
        <f>0.3*(Model!BB434-0.2)*100+0.3*((Model!BB179/Model!BA179-1)*100-Model!BB32)</f>
        <v>8.9435106622053588</v>
      </c>
      <c r="BD5" s="698">
        <f>0.3*(Model!BC434-0.2)*100+0.3*((Model!BC179/Model!BB179-1)*100-Model!BC32)</f>
        <v>-3.7638508204916055</v>
      </c>
      <c r="BE5" s="698">
        <f>0.3*(Model!BD434-0.2)*100+0.3*((Model!BD179/Model!BC179-1)*100-Model!BD32)</f>
        <v>3.7174400395384599</v>
      </c>
      <c r="BF5" s="698">
        <f ca="1">0.3*(Model!BE434-0.2)*100+0.3*((Model!BE179/Model!BD179-1)*100-Model!BE32)</f>
        <v>16.294931006092447</v>
      </c>
      <c r="BG5" s="698">
        <f ca="1">0.3*(Model!BF434-0.2)*100+0.3*((Model!BF179/Model!BE179-1)*100-Model!BF32)</f>
        <v>14.438227107907688</v>
      </c>
      <c r="BH5" s="698">
        <f>0.3*(Model!BG434-0.2)*100+0.3*((Model!BG179/Model!BF179-1)*100-Model!BG32)</f>
        <v>7.227816207573019</v>
      </c>
      <c r="BI5" s="698">
        <f>0.3*(Model!BH434-0.2)*100+0.3*((Model!BH179/Model!BG179-1)*100-Model!BH32)</f>
        <v>7.9597532934985402</v>
      </c>
      <c r="BJ5" s="698">
        <f>0.3*(Model!BI434-0.2)*100+0.3*((Model!BI179/Model!BH179-1)*100-Model!BI32)</f>
        <v>3.6564122093240279</v>
      </c>
      <c r="BK5" s="698">
        <f>0.3*(Model!BJ434-0.2)*100+0.3*((Model!BJ179/Model!BI179-1)*100-Model!BJ32)</f>
        <v>3.6375732938470553</v>
      </c>
      <c r="BL5" s="698">
        <f>0.3*(Model!BK434-0.2)*100+0.3*((Model!BK179/Model!BJ179-1)*100-Model!BK32)</f>
        <v>5.2019285742229684</v>
      </c>
      <c r="BM5" s="698">
        <f>0.3*(Model!BL434-0.2)*100+0.3*((Model!BL179/Model!BK179-1)*100-Model!BL32)</f>
        <v>7.2970941514592624</v>
      </c>
      <c r="BN5" s="698">
        <f>0.3*(Model!BM434-0.2)*100+0.3*((Model!BM179/Model!BL179-1)*100-Model!BM32)</f>
        <v>2.134112342467958</v>
      </c>
      <c r="BO5" s="698">
        <f>0.3*(Model!BN434-0.2)*100+0.3*((Model!BN179/Model!BM179-1)*100-Model!BN32)</f>
        <v>3.1931904406570086</v>
      </c>
      <c r="BP5" s="698">
        <f>0.3*(Model!BO434-0.2)*100+0.3*((Model!BO179/Model!BN179-1)*100-Model!BO32)</f>
        <v>5.8704280232474222</v>
      </c>
      <c r="BQ5" s="698">
        <f>0.3*(Model!BP434-0.2)*100+0.3*((Model!BP179/Model!BO179-1)*100-Model!BP32)</f>
        <v>17.851271426801205</v>
      </c>
      <c r="BR5" s="698">
        <f>0.3*(Model!BQ434-0.2)*100+0.3*((Model!BQ179/Model!BP179-1)*100-Model!BQ32)</f>
        <v>7.1603836055979091</v>
      </c>
      <c r="BS5" s="698">
        <f>0.3*(Model!BR434-0.2)*100+0.3*((Model!BR179/Model!BQ179-1)*100-Model!BR32)</f>
        <v>7.4943196210245375</v>
      </c>
    </row>
    <row r="6" spans="1:86">
      <c r="A6" s="697" t="s">
        <v>719</v>
      </c>
      <c r="F6" s="700">
        <v>0</v>
      </c>
      <c r="G6" s="700">
        <f>+(G7/F7-1)*100</f>
        <v>0</v>
      </c>
      <c r="H6" s="700">
        <f t="shared" ref="H6:BS6" si="3">+(H7/G7-1)*100</f>
        <v>0</v>
      </c>
      <c r="I6" s="700">
        <f t="shared" si="3"/>
        <v>0</v>
      </c>
      <c r="J6" s="700">
        <f t="shared" si="3"/>
        <v>0</v>
      </c>
      <c r="K6" s="700">
        <f t="shared" si="3"/>
        <v>0</v>
      </c>
      <c r="L6" s="700">
        <f t="shared" si="3"/>
        <v>0</v>
      </c>
      <c r="M6" s="700">
        <f t="shared" si="3"/>
        <v>0</v>
      </c>
      <c r="N6" s="700">
        <f t="shared" si="3"/>
        <v>0</v>
      </c>
      <c r="O6" s="700">
        <f t="shared" si="3"/>
        <v>0</v>
      </c>
      <c r="P6" s="700">
        <f t="shared" si="3"/>
        <v>0</v>
      </c>
      <c r="Q6" s="700">
        <f t="shared" si="3"/>
        <v>0</v>
      </c>
      <c r="R6" s="700">
        <f t="shared" si="3"/>
        <v>0</v>
      </c>
      <c r="S6" s="700">
        <f t="shared" si="3"/>
        <v>0</v>
      </c>
      <c r="T6" s="700">
        <f t="shared" si="3"/>
        <v>0</v>
      </c>
      <c r="U6" s="700">
        <f t="shared" si="3"/>
        <v>0</v>
      </c>
      <c r="V6" s="700">
        <f t="shared" si="3"/>
        <v>0</v>
      </c>
      <c r="W6" s="700">
        <f t="shared" si="3"/>
        <v>0</v>
      </c>
      <c r="X6" s="700">
        <f t="shared" si="3"/>
        <v>-5.3050397877984157</v>
      </c>
      <c r="Y6" s="700">
        <f t="shared" si="3"/>
        <v>0</v>
      </c>
      <c r="Z6" s="700">
        <f t="shared" si="3"/>
        <v>0</v>
      </c>
      <c r="AA6" s="700">
        <f t="shared" si="3"/>
        <v>0</v>
      </c>
      <c r="AB6" s="700">
        <f t="shared" si="3"/>
        <v>0</v>
      </c>
      <c r="AC6" s="700">
        <f t="shared" si="3"/>
        <v>0</v>
      </c>
      <c r="AD6" s="700">
        <f t="shared" si="3"/>
        <v>0</v>
      </c>
      <c r="AE6" s="700">
        <f t="shared" si="3"/>
        <v>0</v>
      </c>
      <c r="AF6" s="700">
        <f t="shared" si="3"/>
        <v>0</v>
      </c>
      <c r="AG6" s="700">
        <f t="shared" si="3"/>
        <v>0</v>
      </c>
      <c r="AH6" s="700">
        <f t="shared" si="3"/>
        <v>0</v>
      </c>
      <c r="AI6" s="700">
        <f t="shared" si="3"/>
        <v>0</v>
      </c>
      <c r="AJ6" s="700">
        <f t="shared" si="3"/>
        <v>0</v>
      </c>
      <c r="AK6" s="700">
        <f t="shared" si="3"/>
        <v>14.294117647058835</v>
      </c>
      <c r="AL6" s="700">
        <f t="shared" si="3"/>
        <v>20.586721564590825</v>
      </c>
      <c r="AM6" s="700">
        <f t="shared" si="3"/>
        <v>43.960734101579192</v>
      </c>
      <c r="AN6" s="700">
        <f t="shared" si="3"/>
        <v>-1.4823599169878521</v>
      </c>
      <c r="AO6" s="700">
        <f t="shared" si="3"/>
        <v>29.732169726151071</v>
      </c>
      <c r="AP6" s="700">
        <f t="shared" si="3"/>
        <v>9.2785896543725386</v>
      </c>
      <c r="AQ6" s="700">
        <f t="shared" si="3"/>
        <v>27.510082784971335</v>
      </c>
      <c r="AR6" s="700">
        <f t="shared" si="3"/>
        <v>26.813162421619218</v>
      </c>
      <c r="AS6" s="700">
        <f t="shared" si="3"/>
        <v>133.7592438629502</v>
      </c>
      <c r="AT6" s="700">
        <f t="shared" si="3"/>
        <v>258.95434379738305</v>
      </c>
      <c r="AU6" s="700">
        <f t="shared" si="3"/>
        <v>575.6006672134896</v>
      </c>
      <c r="AV6" s="700">
        <f t="shared" si="3"/>
        <v>-10.868800752841047</v>
      </c>
      <c r="AW6" s="700">
        <f t="shared" si="3"/>
        <v>1.0218441692281477</v>
      </c>
      <c r="AX6" s="700">
        <f t="shared" si="3"/>
        <v>6.1620005070093242</v>
      </c>
      <c r="AY6" s="700">
        <f t="shared" si="3"/>
        <v>117.35314101669343</v>
      </c>
      <c r="AZ6" s="700">
        <f t="shared" si="3"/>
        <v>54.4971332158986</v>
      </c>
      <c r="BA6" s="700">
        <f t="shared" si="3"/>
        <v>50.633583008357299</v>
      </c>
      <c r="BB6" s="700">
        <f t="shared" si="3"/>
        <v>10.382528117106805</v>
      </c>
      <c r="BC6" s="700">
        <f t="shared" si="3"/>
        <v>10.970241839929674</v>
      </c>
      <c r="BD6" s="700">
        <f t="shared" si="3"/>
        <v>2.9134275338776661</v>
      </c>
      <c r="BE6" s="700">
        <f t="shared" si="3"/>
        <v>0</v>
      </c>
      <c r="BF6" s="700">
        <f t="shared" si="3"/>
        <v>0</v>
      </c>
      <c r="BG6" s="700">
        <f t="shared" si="3"/>
        <v>0</v>
      </c>
      <c r="BH6" s="700">
        <f t="shared" si="3"/>
        <v>0</v>
      </c>
      <c r="BI6" s="700">
        <f t="shared" si="3"/>
        <v>0</v>
      </c>
      <c r="BJ6" s="700">
        <f t="shared" si="3"/>
        <v>0</v>
      </c>
      <c r="BK6" s="700">
        <f t="shared" si="3"/>
        <v>0</v>
      </c>
      <c r="BL6" s="700">
        <f t="shared" si="3"/>
        <v>0</v>
      </c>
      <c r="BM6" s="700">
        <f t="shared" si="3"/>
        <v>0</v>
      </c>
      <c r="BN6" s="700">
        <f t="shared" si="3"/>
        <v>0</v>
      </c>
      <c r="BO6" s="700">
        <f t="shared" si="3"/>
        <v>0</v>
      </c>
      <c r="BP6" s="700">
        <f t="shared" si="3"/>
        <v>135.18131574900724</v>
      </c>
      <c r="BQ6" s="700">
        <f t="shared" si="3"/>
        <v>15.538461538461545</v>
      </c>
      <c r="BR6" s="700">
        <f t="shared" si="3"/>
        <v>0.26631158455392434</v>
      </c>
      <c r="BS6" s="700">
        <f t="shared" si="3"/>
        <v>8.8977423638778141</v>
      </c>
      <c r="BT6" s="700">
        <f t="shared" ref="BT6:CG6" si="4">+(BT7/BS7-1)*100</f>
        <v>59.756097560975618</v>
      </c>
      <c r="BU6" s="700">
        <f t="shared" si="4"/>
        <v>60.000000000000007</v>
      </c>
      <c r="BV6" s="700">
        <f t="shared" si="4"/>
        <v>0</v>
      </c>
      <c r="BW6" s="700">
        <f t="shared" si="4"/>
        <v>0</v>
      </c>
      <c r="BX6" s="700">
        <f t="shared" si="4"/>
        <v>0</v>
      </c>
      <c r="BY6" s="700">
        <f t="shared" si="4"/>
        <v>0</v>
      </c>
      <c r="BZ6" s="700">
        <f t="shared" si="4"/>
        <v>0</v>
      </c>
      <c r="CA6" s="700">
        <f t="shared" si="4"/>
        <v>0</v>
      </c>
      <c r="CB6" s="700">
        <f t="shared" si="4"/>
        <v>0</v>
      </c>
      <c r="CC6" s="700">
        <f t="shared" si="4"/>
        <v>0</v>
      </c>
      <c r="CD6" s="700">
        <f t="shared" si="4"/>
        <v>0</v>
      </c>
      <c r="CE6" s="700">
        <f t="shared" si="4"/>
        <v>0</v>
      </c>
      <c r="CF6" s="700">
        <f t="shared" si="4"/>
        <v>0</v>
      </c>
      <c r="CG6" s="700">
        <f t="shared" si="4"/>
        <v>0</v>
      </c>
    </row>
    <row r="7" spans="1:86">
      <c r="A7" s="697" t="s">
        <v>720</v>
      </c>
      <c r="F7" s="701">
        <f>Model!F196</f>
        <v>1.885E-3</v>
      </c>
      <c r="G7" s="701">
        <f>Model!G196</f>
        <v>1.885E-3</v>
      </c>
      <c r="H7" s="701">
        <f>Model!H196</f>
        <v>1.885E-3</v>
      </c>
      <c r="I7" s="701">
        <f>Model!I196</f>
        <v>1.885E-3</v>
      </c>
      <c r="J7" s="701">
        <f>Model!J196</f>
        <v>1.885E-3</v>
      </c>
      <c r="K7" s="701">
        <f>Model!K196</f>
        <v>1.885E-3</v>
      </c>
      <c r="L7" s="701">
        <f>Model!L196</f>
        <v>1.885E-3</v>
      </c>
      <c r="M7" s="701">
        <f>Model!M196</f>
        <v>1.885E-3</v>
      </c>
      <c r="N7" s="701">
        <f>Model!N196</f>
        <v>1.885E-3</v>
      </c>
      <c r="O7" s="701">
        <f>Model!O196</f>
        <v>1.885E-3</v>
      </c>
      <c r="P7" s="701">
        <f>Model!P196</f>
        <v>1.885E-3</v>
      </c>
      <c r="Q7" s="701">
        <f>Model!Q196</f>
        <v>1.885E-3</v>
      </c>
      <c r="R7" s="701">
        <f>Model!R196</f>
        <v>1.885E-3</v>
      </c>
      <c r="S7" s="701">
        <f>Model!S196</f>
        <v>1.885E-3</v>
      </c>
      <c r="T7" s="701">
        <f>Model!T196</f>
        <v>1.885E-3</v>
      </c>
      <c r="U7" s="701">
        <f>Model!U196</f>
        <v>1.885E-3</v>
      </c>
      <c r="V7" s="701">
        <f>Model!V196</f>
        <v>1.885E-3</v>
      </c>
      <c r="W7" s="701">
        <f>Model!W196</f>
        <v>1.885E-3</v>
      </c>
      <c r="X7" s="701">
        <f>Model!X196</f>
        <v>1.7849999999999999E-3</v>
      </c>
      <c r="Y7" s="701">
        <f>Model!Y196</f>
        <v>1.7849999999999999E-3</v>
      </c>
      <c r="Z7" s="701">
        <f>Model!Z196</f>
        <v>1.7849999999999999E-3</v>
      </c>
      <c r="AA7" s="701">
        <f>Model!AA196</f>
        <v>1.7849999999999999E-3</v>
      </c>
      <c r="AB7" s="701">
        <f>Model!AB196</f>
        <v>1.7849999999999999E-3</v>
      </c>
      <c r="AC7" s="701">
        <f>Model!AC196</f>
        <v>1.7849999999999999E-3</v>
      </c>
      <c r="AD7" s="701">
        <f>Model!AD196</f>
        <v>1.7849999999999999E-3</v>
      </c>
      <c r="AE7" s="701">
        <f>Model!AE196</f>
        <v>1.7849999999999999E-3</v>
      </c>
      <c r="AF7" s="701">
        <f>Model!AF196</f>
        <v>1.7849999999999999E-3</v>
      </c>
      <c r="AG7" s="701">
        <f>Model!AG196</f>
        <v>1.7849999999999999E-3</v>
      </c>
      <c r="AH7" s="701">
        <f>Model!AH196</f>
        <v>1.7849999999999999E-3</v>
      </c>
      <c r="AI7" s="701">
        <f>Model!AI196</f>
        <v>1.7849999999999999E-3</v>
      </c>
      <c r="AJ7" s="710">
        <f>Model!AJ196</f>
        <v>1.7849999999999999E-3</v>
      </c>
      <c r="AK7" s="710">
        <f>Model!AK196</f>
        <v>2.0401500000000001E-3</v>
      </c>
      <c r="AL7" s="710">
        <f>Model!AL196</f>
        <v>2.4601499999999999E-3</v>
      </c>
      <c r="AM7" s="710">
        <f>Model!AM196</f>
        <v>3.5416500000000004E-3</v>
      </c>
      <c r="AN7" s="710">
        <f>Model!AN196</f>
        <v>3.4891499999999999E-3</v>
      </c>
      <c r="AO7" s="710">
        <f>Model!AO196</f>
        <v>4.5265499999999998E-3</v>
      </c>
      <c r="AP7" s="710">
        <f>Model!AP196</f>
        <v>4.9465500000000001E-3</v>
      </c>
      <c r="AQ7" s="710">
        <f>Model!AQ196</f>
        <v>6.3073499999999998E-3</v>
      </c>
      <c r="AR7" s="710">
        <f>Model!AR196</f>
        <v>7.9985500000000001E-3</v>
      </c>
      <c r="AS7" s="710">
        <f>Model!AS196</f>
        <v>1.8697350000000001E-2</v>
      </c>
      <c r="AT7" s="710">
        <f>Model!AT196</f>
        <v>6.7114950000000007E-2</v>
      </c>
      <c r="AU7" s="710">
        <f>Model!AU196</f>
        <v>0.45342905</v>
      </c>
      <c r="AV7" s="710">
        <f>Model!AV196</f>
        <v>0.40414675</v>
      </c>
      <c r="AW7" s="710">
        <f>Model!AW196</f>
        <v>0.40827650000000004</v>
      </c>
      <c r="AX7" s="710">
        <f>Model!AX196</f>
        <v>0.4334345</v>
      </c>
      <c r="AY7" s="710">
        <f>Model!AY196</f>
        <v>0.94208350000000007</v>
      </c>
      <c r="AZ7" s="710">
        <f>Model!AZ196</f>
        <v>1.4554920000000002</v>
      </c>
      <c r="BA7" s="710">
        <f>Model!BA196</f>
        <v>2.1924597500000003</v>
      </c>
      <c r="BB7" s="710">
        <f>Model!BB196</f>
        <v>2.4200925</v>
      </c>
      <c r="BC7" s="710">
        <f>Model!BC196</f>
        <v>2.6855824999999998</v>
      </c>
      <c r="BD7" s="710">
        <f>Model!BD196</f>
        <v>2.7638250000000002</v>
      </c>
      <c r="BE7" s="710">
        <f>Model!BE196</f>
        <v>2.7638250000000002</v>
      </c>
      <c r="BF7" s="710">
        <f>Model!BF196</f>
        <v>2.7638250000000002</v>
      </c>
      <c r="BG7" s="710">
        <f>Model!BG196</f>
        <v>2.7638250000000002</v>
      </c>
      <c r="BH7" s="710">
        <f>Model!BH196</f>
        <v>2.7638250000000002</v>
      </c>
      <c r="BI7" s="710">
        <f>Model!BI196</f>
        <v>2.7638250000000002</v>
      </c>
      <c r="BJ7" s="710">
        <f>Model!BJ196</f>
        <v>2.7638250000000002</v>
      </c>
      <c r="BK7" s="710">
        <f>Model!BK196</f>
        <v>2.7638250000000002</v>
      </c>
      <c r="BL7" s="710">
        <f>Model!BL196</f>
        <v>2.7638250000000002</v>
      </c>
      <c r="BM7" s="710">
        <f>Model!BM196</f>
        <v>2.7638250000000002</v>
      </c>
      <c r="BN7" s="710">
        <f>Model!BN196</f>
        <v>2.7638250000000002</v>
      </c>
      <c r="BO7" s="710">
        <f>Model!BO196</f>
        <v>2.7638250000000002</v>
      </c>
      <c r="BP7" s="710">
        <f>Model!BP196</f>
        <v>6.5</v>
      </c>
      <c r="BQ7" s="710">
        <f>Model!BQ196</f>
        <v>7.51</v>
      </c>
      <c r="BR7" s="710">
        <f>Model!BR196</f>
        <v>7.53</v>
      </c>
      <c r="BS7" s="710">
        <f>Model!BS196</f>
        <v>8.1999999999999993</v>
      </c>
      <c r="BT7" s="710">
        <f>Model!BT196</f>
        <v>13.1</v>
      </c>
      <c r="BU7" s="710">
        <f>Model!BU196</f>
        <v>20.96</v>
      </c>
      <c r="BV7" s="710">
        <f>Model!BV196</f>
        <v>20.96</v>
      </c>
      <c r="BW7" s="710">
        <f>Model!BW196</f>
        <v>20.96</v>
      </c>
      <c r="BX7" s="710">
        <f>Model!BX196</f>
        <v>20.96</v>
      </c>
      <c r="BY7" s="710">
        <f>Model!BY196</f>
        <v>20.96</v>
      </c>
      <c r="BZ7" s="710">
        <f>Model!BZ196</f>
        <v>20.96</v>
      </c>
      <c r="CA7" s="710">
        <f>Model!CA196</f>
        <v>20.96</v>
      </c>
      <c r="CB7" s="710">
        <f>Model!CB196</f>
        <v>20.96</v>
      </c>
      <c r="CC7" s="710">
        <f>Model!CC196</f>
        <v>20.96</v>
      </c>
      <c r="CD7" s="710">
        <f>Model!CD196</f>
        <v>20.96</v>
      </c>
      <c r="CE7" s="710">
        <f>Model!CE196</f>
        <v>20.96</v>
      </c>
      <c r="CF7" s="710">
        <f>Model!CF196</f>
        <v>20.96</v>
      </c>
      <c r="CG7" s="710">
        <f>Model!CG196</f>
        <v>20.96</v>
      </c>
      <c r="CH7" s="710"/>
    </row>
    <row r="8" spans="1:86">
      <c r="A8" s="697" t="s">
        <v>722</v>
      </c>
      <c r="AJ8" s="697">
        <v>100</v>
      </c>
      <c r="AK8" s="700">
        <f>+AJ8*(1+AK2/100)</f>
        <v>110.9</v>
      </c>
      <c r="AL8" s="700">
        <f t="shared" ref="AL8:BS8" si="5">+AK8*(1+AL2/100)</f>
        <v>131.63830000000002</v>
      </c>
      <c r="AM8" s="700">
        <f t="shared" si="5"/>
        <v>201.93315220000002</v>
      </c>
      <c r="AN8" s="700">
        <f t="shared" si="5"/>
        <v>216.6742723106</v>
      </c>
      <c r="AO8" s="700">
        <f t="shared" si="5"/>
        <v>218.40766648908482</v>
      </c>
      <c r="AP8" s="700">
        <f t="shared" si="5"/>
        <v>266.02053778370532</v>
      </c>
      <c r="AQ8" s="700">
        <f t="shared" si="5"/>
        <v>335.18587760746868</v>
      </c>
      <c r="AR8" s="700">
        <f t="shared" si="5"/>
        <v>481.66210612193254</v>
      </c>
      <c r="AS8" s="700">
        <f t="shared" si="5"/>
        <v>1172.8472284069057</v>
      </c>
      <c r="AT8" s="700">
        <f t="shared" si="5"/>
        <v>5494.7892650863541</v>
      </c>
      <c r="AU8" s="700">
        <f t="shared" si="5"/>
        <v>18440.512773629805</v>
      </c>
      <c r="AV8" s="700">
        <f t="shared" si="5"/>
        <v>18311.429184214398</v>
      </c>
      <c r="AW8" s="700">
        <f t="shared" si="5"/>
        <v>19611.540656293619</v>
      </c>
      <c r="AX8" s="700">
        <f t="shared" si="5"/>
        <v>23278.898759020525</v>
      </c>
      <c r="AY8" s="700">
        <f t="shared" si="5"/>
        <v>46278.450732932804</v>
      </c>
      <c r="AZ8" s="700">
        <f t="shared" si="5"/>
        <v>73721.57201756195</v>
      </c>
      <c r="BA8" s="700">
        <f t="shared" si="5"/>
        <v>102178.09881634088</v>
      </c>
      <c r="BB8" s="700">
        <f t="shared" si="5"/>
        <v>118015.70413287371</v>
      </c>
      <c r="BC8" s="700">
        <f t="shared" si="5"/>
        <v>146221.45742063053</v>
      </c>
      <c r="BD8" s="700">
        <f t="shared" si="5"/>
        <v>160258.71733301107</v>
      </c>
      <c r="BE8" s="700">
        <f t="shared" si="5"/>
        <v>175483.29547964712</v>
      </c>
      <c r="BF8" s="700">
        <f t="shared" si="5"/>
        <v>195312.90786884725</v>
      </c>
      <c r="BG8" s="700">
        <f t="shared" si="5"/>
        <v>207812.93397245349</v>
      </c>
      <c r="BH8" s="700">
        <f t="shared" si="5"/>
        <v>238361.43526640415</v>
      </c>
      <c r="BI8" s="700">
        <f t="shared" si="5"/>
        <v>238123.07383113774</v>
      </c>
      <c r="BJ8" s="700">
        <f t="shared" si="5"/>
        <v>254553.56592548624</v>
      </c>
      <c r="BK8" s="700">
        <f t="shared" si="5"/>
        <v>299609.5470942973</v>
      </c>
      <c r="BL8" s="700">
        <f t="shared" si="5"/>
        <v>314590.02444901218</v>
      </c>
      <c r="BM8" s="700">
        <f t="shared" si="5"/>
        <v>320567.23491354339</v>
      </c>
      <c r="BN8" s="700">
        <f t="shared" si="5"/>
        <v>331466.52090060385</v>
      </c>
      <c r="BO8" s="700">
        <f t="shared" si="5"/>
        <v>354337.7108427455</v>
      </c>
      <c r="BP8" s="700">
        <f t="shared" si="5"/>
        <v>550995.14036046935</v>
      </c>
      <c r="BQ8" s="700">
        <f t="shared" si="5"/>
        <v>672214.0712397726</v>
      </c>
      <c r="BR8" s="700">
        <f t="shared" si="5"/>
        <v>718596.84215531684</v>
      </c>
      <c r="BS8" s="700">
        <f t="shared" si="5"/>
        <v>750215.10321015085</v>
      </c>
    </row>
    <row r="9" spans="1:86">
      <c r="A9" s="697" t="s">
        <v>723</v>
      </c>
      <c r="AJ9" s="697">
        <v>100</v>
      </c>
      <c r="AK9" s="700">
        <f>+AJ9*AK7/AJ7</f>
        <v>114.29411764705883</v>
      </c>
      <c r="AL9" s="700">
        <f t="shared" ref="AL9:BS9" si="6">+AK9*AL7/AK7</f>
        <v>137.8235294117647</v>
      </c>
      <c r="AM9" s="700">
        <f t="shared" si="6"/>
        <v>198.41176470588238</v>
      </c>
      <c r="AN9" s="700">
        <f t="shared" si="6"/>
        <v>195.47058823529412</v>
      </c>
      <c r="AO9" s="700">
        <f t="shared" si="6"/>
        <v>253.58823529411765</v>
      </c>
      <c r="AP9" s="700">
        <f t="shared" si="6"/>
        <v>277.11764705882359</v>
      </c>
      <c r="AQ9" s="700">
        <f t="shared" si="6"/>
        <v>353.35294117647067</v>
      </c>
      <c r="AR9" s="700">
        <f t="shared" si="6"/>
        <v>448.09803921568636</v>
      </c>
      <c r="AS9" s="700">
        <f t="shared" si="6"/>
        <v>1047.4705882352944</v>
      </c>
      <c r="AT9" s="700">
        <f t="shared" si="6"/>
        <v>3759.9411764705897</v>
      </c>
      <c r="AU9" s="700">
        <f t="shared" si="6"/>
        <v>25402.187675070036</v>
      </c>
      <c r="AV9" s="700">
        <f t="shared" si="6"/>
        <v>22641.274509803927</v>
      </c>
      <c r="AW9" s="700">
        <f t="shared" si="6"/>
        <v>22872.633053221296</v>
      </c>
      <c r="AX9" s="700">
        <f t="shared" si="6"/>
        <v>24282.044817927177</v>
      </c>
      <c r="AY9" s="700">
        <f t="shared" si="6"/>
        <v>52777.78711484596</v>
      </c>
      <c r="AZ9" s="700">
        <f t="shared" si="6"/>
        <v>81540.168067226929</v>
      </c>
      <c r="BA9" s="700">
        <f t="shared" si="6"/>
        <v>122826.87675070034</v>
      </c>
      <c r="BB9" s="700">
        <f t="shared" si="6"/>
        <v>135579.41176470593</v>
      </c>
      <c r="BC9" s="700">
        <f t="shared" si="6"/>
        <v>150452.80112044825</v>
      </c>
      <c r="BD9" s="700">
        <f t="shared" si="6"/>
        <v>154836.13445378159</v>
      </c>
      <c r="BE9" s="700">
        <f t="shared" si="6"/>
        <v>154836.13445378159</v>
      </c>
      <c r="BF9" s="700">
        <f t="shared" si="6"/>
        <v>154836.13445378159</v>
      </c>
      <c r="BG9" s="700">
        <f t="shared" si="6"/>
        <v>154836.13445378159</v>
      </c>
      <c r="BH9" s="700">
        <f t="shared" si="6"/>
        <v>154836.13445378159</v>
      </c>
      <c r="BI9" s="700">
        <f t="shared" si="6"/>
        <v>154836.13445378159</v>
      </c>
      <c r="BJ9" s="700">
        <f t="shared" si="6"/>
        <v>154836.13445378159</v>
      </c>
      <c r="BK9" s="700">
        <f t="shared" si="6"/>
        <v>154836.13445378159</v>
      </c>
      <c r="BL9" s="700">
        <f t="shared" si="6"/>
        <v>154836.13445378159</v>
      </c>
      <c r="BM9" s="700">
        <f t="shared" si="6"/>
        <v>154836.13445378159</v>
      </c>
      <c r="BN9" s="700">
        <f t="shared" si="6"/>
        <v>154836.13445378159</v>
      </c>
      <c r="BO9" s="700">
        <f t="shared" si="6"/>
        <v>154836.13445378159</v>
      </c>
      <c r="BP9" s="700">
        <f t="shared" si="6"/>
        <v>364145.65826330549</v>
      </c>
      <c r="BQ9" s="700">
        <f t="shared" si="6"/>
        <v>420728.29131652683</v>
      </c>
      <c r="BR9" s="700">
        <f t="shared" si="6"/>
        <v>421848.73949579854</v>
      </c>
      <c r="BS9" s="700">
        <f t="shared" si="6"/>
        <v>459383.75350140076</v>
      </c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E02B-AF55-496E-88F3-0D3444E48CB5}">
  <dimension ref="A1"/>
  <sheetViews>
    <sheetView workbookViewId="0">
      <selection activeCell="A2" sqref="A2"/>
    </sheetView>
  </sheetViews>
  <sheetFormatPr defaultRowHeight="15.75"/>
  <cols>
    <col min="1" max="16384" width="9.33203125" style="1"/>
  </cols>
  <sheetData>
    <row r="1" spans="1:1">
      <c r="A1" s="1" t="s">
        <v>3837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R913"/>
  <sheetViews>
    <sheetView tabSelected="1" zoomScaleNormal="150" workbookViewId="0">
      <pane ySplit="2" topLeftCell="A892" activePane="bottomLeft" state="frozen"/>
      <selection pane="bottomLeft" activeCell="A913" sqref="A913"/>
    </sheetView>
  </sheetViews>
  <sheetFormatPr defaultRowHeight="15.75"/>
  <cols>
    <col min="1" max="1" width="35.1640625" style="224" customWidth="1"/>
    <col min="2" max="2" width="9.33203125" style="224"/>
    <col min="3" max="3" width="10.6640625" style="224" customWidth="1"/>
    <col min="4" max="5" width="12.1640625" style="224" customWidth="1"/>
    <col min="6" max="6" width="11.6640625" style="224" customWidth="1"/>
    <col min="7" max="7" width="9.33203125" style="224"/>
    <col min="8" max="8" width="9.1640625" style="224" customWidth="1"/>
    <col min="9" max="9" width="9.83203125" style="224" bestFit="1" customWidth="1"/>
    <col min="10" max="10" width="8.1640625" style="224" customWidth="1"/>
    <col min="11" max="11" width="9.6640625" style="224" customWidth="1"/>
    <col min="12" max="16384" width="9.33203125" style="224"/>
  </cols>
  <sheetData>
    <row r="1" spans="1:10">
      <c r="A1" s="615" t="s">
        <v>3692</v>
      </c>
    </row>
    <row r="2" spans="1:10" s="1" customFormat="1" ht="36.75" customHeight="1">
      <c r="A2" s="808" t="s">
        <v>3691</v>
      </c>
      <c r="B2" s="416"/>
      <c r="C2" s="416"/>
      <c r="D2" s="416"/>
      <c r="E2" s="416"/>
      <c r="F2" s="416"/>
      <c r="G2" s="416"/>
      <c r="H2" s="416"/>
      <c r="I2" s="416"/>
      <c r="J2" s="416"/>
    </row>
    <row r="3" spans="1:10">
      <c r="A3" s="416" t="s">
        <v>2663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10">
      <c r="A4" s="615" t="s">
        <v>2662</v>
      </c>
      <c r="B4" s="425"/>
      <c r="C4" s="425"/>
      <c r="D4" s="425"/>
      <c r="E4" s="425"/>
      <c r="F4" s="425"/>
      <c r="G4" s="425"/>
      <c r="H4" s="425"/>
      <c r="I4" s="425"/>
      <c r="J4" s="425"/>
    </row>
    <row r="6" spans="1:10">
      <c r="A6" s="225" t="s">
        <v>2871</v>
      </c>
    </row>
    <row r="7" spans="1:10">
      <c r="A7" s="224" t="s">
        <v>1839</v>
      </c>
    </row>
    <row r="8" spans="1:10">
      <c r="A8" s="224" t="s">
        <v>1840</v>
      </c>
    </row>
    <row r="9" spans="1:10">
      <c r="A9" s="224" t="s">
        <v>1841</v>
      </c>
    </row>
    <row r="10" spans="1:10">
      <c r="A10" s="224" t="s">
        <v>1842</v>
      </c>
    </row>
    <row r="11" spans="1:10">
      <c r="A11" s="249" t="s">
        <v>1843</v>
      </c>
      <c r="B11" s="249"/>
      <c r="C11" s="249"/>
      <c r="D11" s="249"/>
      <c r="E11" s="249"/>
      <c r="F11" s="249"/>
      <c r="G11" s="249"/>
      <c r="H11" s="249"/>
      <c r="I11" s="249"/>
      <c r="J11" s="249"/>
    </row>
    <row r="18" spans="1:11">
      <c r="A18" s="224" t="s">
        <v>1214</v>
      </c>
    </row>
    <row r="19" spans="1:11">
      <c r="A19" s="225" t="s">
        <v>1248</v>
      </c>
    </row>
    <row r="20" spans="1:11">
      <c r="A20" s="354" t="s">
        <v>1468</v>
      </c>
    </row>
    <row r="21" spans="1:11">
      <c r="A21" s="354" t="s">
        <v>1469</v>
      </c>
    </row>
    <row r="22" spans="1:11">
      <c r="A22" s="354" t="s">
        <v>1470</v>
      </c>
    </row>
    <row r="23" spans="1:11">
      <c r="A23" s="354"/>
    </row>
    <row r="24" spans="1:11">
      <c r="A24" s="225" t="s">
        <v>3275</v>
      </c>
    </row>
    <row r="25" spans="1:11">
      <c r="A25" s="1" t="s">
        <v>1249</v>
      </c>
    </row>
    <row r="26" spans="1:11">
      <c r="A26" s="20" t="s">
        <v>2934</v>
      </c>
      <c r="B26" s="398"/>
      <c r="C26" s="398"/>
      <c r="D26" s="398"/>
      <c r="E26" s="398"/>
      <c r="F26" s="398"/>
      <c r="G26" s="398"/>
      <c r="H26" s="398"/>
      <c r="I26" s="398"/>
      <c r="J26" s="398"/>
      <c r="K26" s="398"/>
    </row>
    <row r="27" spans="1:11">
      <c r="A27" s="20" t="s">
        <v>2935</v>
      </c>
      <c r="B27" s="398"/>
      <c r="C27" s="398"/>
      <c r="D27" s="398"/>
      <c r="E27" s="398"/>
      <c r="F27" s="398"/>
      <c r="G27" s="398"/>
      <c r="H27" s="398"/>
      <c r="I27" s="398"/>
      <c r="J27" s="398"/>
      <c r="K27" s="398"/>
    </row>
    <row r="28" spans="1:11">
      <c r="A28" s="1" t="s">
        <v>2714</v>
      </c>
    </row>
    <row r="29" spans="1:11">
      <c r="A29" s="1" t="s">
        <v>1240</v>
      </c>
    </row>
    <row r="30" spans="1:11">
      <c r="A30" s="1" t="s">
        <v>1628</v>
      </c>
    </row>
    <row r="31" spans="1:11">
      <c r="A31" s="1" t="s">
        <v>1244</v>
      </c>
    </row>
    <row r="33" spans="1:1">
      <c r="A33" s="1" t="s">
        <v>1251</v>
      </c>
    </row>
    <row r="35" spans="1:1">
      <c r="A35" s="1" t="s">
        <v>1250</v>
      </c>
    </row>
    <row r="37" spans="1:1">
      <c r="A37" s="1" t="s">
        <v>1472</v>
      </c>
    </row>
    <row r="39" spans="1:1" s="1" customFormat="1">
      <c r="A39" s="1" t="s">
        <v>1803</v>
      </c>
    </row>
    <row r="40" spans="1:1" s="1" customFormat="1">
      <c r="A40" s="1" t="s">
        <v>1804</v>
      </c>
    </row>
    <row r="41" spans="1:1" s="1" customFormat="1">
      <c r="A41" s="1" t="s">
        <v>3276</v>
      </c>
    </row>
    <row r="43" spans="1:1">
      <c r="A43" s="224" t="s">
        <v>1645</v>
      </c>
    </row>
    <row r="44" spans="1:1">
      <c r="A44" s="224" t="s">
        <v>1646</v>
      </c>
    </row>
    <row r="45" spans="1:1">
      <c r="A45" s="224" t="s">
        <v>2336</v>
      </c>
    </row>
    <row r="46" spans="1:1">
      <c r="A46" s="224" t="s">
        <v>1802</v>
      </c>
    </row>
    <row r="47" spans="1:1">
      <c r="A47" s="224" t="s">
        <v>921</v>
      </c>
    </row>
    <row r="49" spans="1:1">
      <c r="A49" s="224" t="s">
        <v>188</v>
      </c>
    </row>
    <row r="50" spans="1:1">
      <c r="A50" s="224" t="s">
        <v>2337</v>
      </c>
    </row>
    <row r="51" spans="1:1">
      <c r="A51" s="224" t="s">
        <v>2411</v>
      </c>
    </row>
    <row r="52" spans="1:1">
      <c r="A52" s="224" t="s">
        <v>1370</v>
      </c>
    </row>
    <row r="54" spans="1:1">
      <c r="A54" s="222" t="s">
        <v>1371</v>
      </c>
    </row>
    <row r="55" spans="1:1">
      <c r="A55" s="224" t="s">
        <v>934</v>
      </c>
    </row>
    <row r="56" spans="1:1">
      <c r="A56" s="224" t="s">
        <v>935</v>
      </c>
    </row>
    <row r="57" spans="1:1">
      <c r="A57" s="224" t="s">
        <v>2698</v>
      </c>
    </row>
    <row r="58" spans="1:1">
      <c r="A58" s="224" t="s">
        <v>2699</v>
      </c>
    </row>
    <row r="59" spans="1:1">
      <c r="A59" s="224" t="s">
        <v>2700</v>
      </c>
    </row>
    <row r="61" spans="1:1">
      <c r="A61" s="224" t="s">
        <v>936</v>
      </c>
    </row>
    <row r="62" spans="1:1">
      <c r="A62" s="224" t="s">
        <v>937</v>
      </c>
    </row>
    <row r="63" spans="1:1">
      <c r="A63" s="224" t="s">
        <v>938</v>
      </c>
    </row>
    <row r="64" spans="1:1">
      <c r="A64" s="224" t="s">
        <v>939</v>
      </c>
    </row>
    <row r="65" spans="1:1">
      <c r="A65" s="224" t="s">
        <v>940</v>
      </c>
    </row>
    <row r="66" spans="1:1">
      <c r="A66" s="224" t="s">
        <v>941</v>
      </c>
    </row>
    <row r="67" spans="1:1">
      <c r="A67" s="224" t="s">
        <v>942</v>
      </c>
    </row>
    <row r="68" spans="1:1">
      <c r="A68" s="224" t="s">
        <v>943</v>
      </c>
    </row>
    <row r="69" spans="1:1">
      <c r="A69" s="224" t="s">
        <v>2695</v>
      </c>
    </row>
    <row r="70" spans="1:1">
      <c r="A70" s="224" t="s">
        <v>2696</v>
      </c>
    </row>
    <row r="71" spans="1:1">
      <c r="A71" s="224" t="s">
        <v>2697</v>
      </c>
    </row>
    <row r="73" spans="1:1">
      <c r="A73" s="222" t="s">
        <v>1202</v>
      </c>
    </row>
    <row r="74" spans="1:1">
      <c r="A74" s="224" t="s">
        <v>1203</v>
      </c>
    </row>
    <row r="75" spans="1:1">
      <c r="A75" s="224" t="s">
        <v>1204</v>
      </c>
    </row>
    <row r="76" spans="1:1">
      <c r="A76" s="224" t="s">
        <v>1206</v>
      </c>
    </row>
    <row r="77" spans="1:1">
      <c r="A77" s="224" t="s">
        <v>1205</v>
      </c>
    </row>
    <row r="78" spans="1:1">
      <c r="A78" s="141" t="s">
        <v>1207</v>
      </c>
    </row>
    <row r="79" spans="1:1">
      <c r="A79" s="224" t="s">
        <v>1209</v>
      </c>
    </row>
    <row r="80" spans="1:1">
      <c r="A80" s="224" t="s">
        <v>242</v>
      </c>
    </row>
    <row r="81" spans="1:1">
      <c r="A81" s="224" t="s">
        <v>1208</v>
      </c>
    </row>
    <row r="83" spans="1:1">
      <c r="A83" s="222" t="s">
        <v>957</v>
      </c>
    </row>
    <row r="84" spans="1:1">
      <c r="A84" s="224" t="s">
        <v>2435</v>
      </c>
    </row>
    <row r="85" spans="1:1">
      <c r="A85" s="224" t="s">
        <v>1913</v>
      </c>
    </row>
    <row r="86" spans="1:1">
      <c r="A86" s="224" t="s">
        <v>958</v>
      </c>
    </row>
    <row r="87" spans="1:1">
      <c r="A87" s="224" t="s">
        <v>959</v>
      </c>
    </row>
    <row r="88" spans="1:1">
      <c r="A88" s="224" t="s">
        <v>960</v>
      </c>
    </row>
    <row r="89" spans="1:1">
      <c r="A89" s="224" t="s">
        <v>961</v>
      </c>
    </row>
    <row r="90" spans="1:1">
      <c r="A90" s="224" t="s">
        <v>248</v>
      </c>
    </row>
    <row r="91" spans="1:1">
      <c r="A91" s="224" t="s">
        <v>249</v>
      </c>
    </row>
    <row r="93" spans="1:1">
      <c r="A93" s="222" t="s">
        <v>3059</v>
      </c>
    </row>
    <row r="94" spans="1:1">
      <c r="A94" s="224" t="s">
        <v>144</v>
      </c>
    </row>
    <row r="95" spans="1:1">
      <c r="A95" s="224" t="s">
        <v>145</v>
      </c>
    </row>
    <row r="96" spans="1:1">
      <c r="A96" s="224" t="s">
        <v>2424</v>
      </c>
    </row>
    <row r="97" spans="1:15">
      <c r="A97" s="224" t="s">
        <v>3060</v>
      </c>
    </row>
    <row r="98" spans="1:15">
      <c r="A98" s="224" t="s">
        <v>3061</v>
      </c>
    </row>
    <row r="99" spans="1:15">
      <c r="A99" s="224" t="s">
        <v>3062</v>
      </c>
    </row>
    <row r="100" spans="1:15">
      <c r="A100" s="224" t="s">
        <v>3063</v>
      </c>
    </row>
    <row r="102" spans="1:15">
      <c r="A102" s="222" t="s">
        <v>1285</v>
      </c>
    </row>
    <row r="103" spans="1:15">
      <c r="A103" s="398" t="s">
        <v>1286</v>
      </c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</row>
    <row r="104" spans="1:15">
      <c r="A104" s="398" t="s">
        <v>1288</v>
      </c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</row>
    <row r="105" spans="1:15">
      <c r="A105" s="398" t="s">
        <v>1387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</row>
    <row r="106" spans="1:15">
      <c r="A106" s="398" t="s">
        <v>1289</v>
      </c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</row>
    <row r="107" spans="1:15">
      <c r="A107" s="398" t="s">
        <v>1290</v>
      </c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</row>
    <row r="108" spans="1:15">
      <c r="A108" s="398" t="s">
        <v>1291</v>
      </c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</row>
    <row r="109" spans="1:15">
      <c r="A109" s="398" t="s">
        <v>1292</v>
      </c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</row>
    <row r="110" spans="1:15">
      <c r="A110" s="398" t="s">
        <v>1388</v>
      </c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</row>
    <row r="111" spans="1:15">
      <c r="A111" s="398" t="s">
        <v>1287</v>
      </c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</row>
    <row r="112" spans="1:15">
      <c r="A112" s="398" t="s">
        <v>1294</v>
      </c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</row>
    <row r="113" spans="1:15">
      <c r="A113" s="398" t="s">
        <v>1389</v>
      </c>
      <c r="B113" s="398"/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  <c r="O113" s="398"/>
    </row>
    <row r="114" spans="1:15">
      <c r="A114" s="398" t="s">
        <v>1293</v>
      </c>
      <c r="B114" s="398"/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  <c r="O114" s="398"/>
    </row>
    <row r="115" spans="1:15">
      <c r="A115" s="398" t="s">
        <v>1295</v>
      </c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</row>
    <row r="116" spans="1:15">
      <c r="A116" s="398" t="s">
        <v>1390</v>
      </c>
      <c r="B116" s="398"/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  <c r="O116" s="398"/>
    </row>
    <row r="117" spans="1:15">
      <c r="A117" s="398" t="s">
        <v>1296</v>
      </c>
      <c r="B117" s="398"/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</row>
    <row r="118" spans="1:15">
      <c r="A118" s="398" t="s">
        <v>1391</v>
      </c>
      <c r="B118" s="398"/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</row>
    <row r="119" spans="1:15">
      <c r="A119" s="398" t="s">
        <v>1392</v>
      </c>
      <c r="B119" s="398"/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  <c r="O119" s="398"/>
    </row>
    <row r="120" spans="1:15">
      <c r="A120" s="398" t="s">
        <v>1298</v>
      </c>
      <c r="B120" s="398"/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  <c r="O120" s="398"/>
    </row>
    <row r="121" spans="1:15">
      <c r="A121" s="398" t="s">
        <v>1393</v>
      </c>
      <c r="B121" s="398"/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</row>
    <row r="122" spans="1:15">
      <c r="A122" s="398"/>
      <c r="B122" s="398"/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</row>
    <row r="123" spans="1:15">
      <c r="A123" s="398" t="s">
        <v>1297</v>
      </c>
      <c r="B123" s="398"/>
      <c r="C123" s="398"/>
      <c r="D123" s="398"/>
      <c r="E123" s="398"/>
      <c r="F123" s="398"/>
      <c r="G123" s="398"/>
      <c r="H123" s="398"/>
      <c r="I123" s="398"/>
      <c r="J123" s="398"/>
      <c r="K123" s="398"/>
      <c r="L123" s="398"/>
      <c r="M123" s="398"/>
      <c r="N123" s="398"/>
      <c r="O123" s="398"/>
    </row>
    <row r="124" spans="1:15">
      <c r="A124" s="398"/>
      <c r="B124" s="398"/>
      <c r="C124" s="398"/>
      <c r="D124" s="398"/>
      <c r="E124" s="398">
        <v>2017</v>
      </c>
      <c r="F124" s="398"/>
      <c r="G124" s="398"/>
      <c r="H124" s="398"/>
      <c r="I124" s="398"/>
      <c r="J124" s="398"/>
      <c r="K124" s="398"/>
      <c r="L124" s="398"/>
      <c r="M124" s="398"/>
      <c r="N124" s="398"/>
      <c r="O124" s="398"/>
    </row>
    <row r="125" spans="1:15">
      <c r="A125" s="398" t="s">
        <v>1199</v>
      </c>
      <c r="B125" s="398"/>
      <c r="C125" s="398"/>
      <c r="D125" s="398" t="s">
        <v>918</v>
      </c>
      <c r="E125" s="404">
        <v>7.6050000000000004</v>
      </c>
      <c r="F125" s="398"/>
      <c r="G125" s="398"/>
      <c r="H125" s="398"/>
      <c r="I125" s="398"/>
      <c r="J125" s="398"/>
      <c r="K125" s="398"/>
      <c r="L125" s="398"/>
      <c r="M125" s="398"/>
      <c r="N125" s="398"/>
      <c r="O125" s="398"/>
    </row>
    <row r="126" spans="1:15">
      <c r="A126" s="398" t="s">
        <v>2936</v>
      </c>
      <c r="B126" s="398"/>
      <c r="C126" s="398"/>
      <c r="D126" s="398" t="s">
        <v>2682</v>
      </c>
      <c r="E126" s="405">
        <v>506.76380139824266</v>
      </c>
      <c r="F126" s="398"/>
      <c r="G126" s="398"/>
      <c r="H126" s="398"/>
      <c r="I126" s="398"/>
      <c r="J126" s="398"/>
      <c r="K126" s="398"/>
      <c r="L126" s="398"/>
      <c r="M126" s="398"/>
      <c r="N126" s="398"/>
      <c r="O126" s="398"/>
    </row>
    <row r="127" spans="1:15">
      <c r="A127" s="398" t="s">
        <v>1200</v>
      </c>
      <c r="B127" s="398"/>
      <c r="C127" s="398"/>
      <c r="D127" s="398" t="s">
        <v>2702</v>
      </c>
      <c r="E127" s="405">
        <v>3.2184844372892569</v>
      </c>
      <c r="F127" s="398"/>
      <c r="G127" s="398"/>
      <c r="H127" s="398"/>
      <c r="I127" s="398"/>
      <c r="J127" s="398"/>
      <c r="K127" s="398"/>
      <c r="L127" s="398"/>
      <c r="M127" s="398"/>
      <c r="N127" s="398"/>
      <c r="O127" s="398"/>
    </row>
    <row r="128" spans="1:15">
      <c r="A128" s="398" t="s">
        <v>1252</v>
      </c>
      <c r="B128" s="398"/>
      <c r="C128" s="398"/>
      <c r="D128" s="398" t="s">
        <v>1349</v>
      </c>
      <c r="E128" s="405">
        <v>2.8431771063233757</v>
      </c>
      <c r="F128" s="398"/>
      <c r="G128" s="398"/>
      <c r="H128" s="398"/>
      <c r="I128" s="398"/>
      <c r="J128" s="398"/>
      <c r="K128" s="398"/>
      <c r="L128" s="398"/>
      <c r="M128" s="398"/>
      <c r="N128" s="398"/>
      <c r="O128" s="398"/>
    </row>
    <row r="129" spans="1:15">
      <c r="A129" s="398" t="s">
        <v>2701</v>
      </c>
      <c r="B129" s="398"/>
      <c r="C129" s="398"/>
      <c r="D129" s="398" t="s">
        <v>1349</v>
      </c>
      <c r="E129" s="405">
        <v>1.8778618689615945</v>
      </c>
      <c r="F129" s="398"/>
      <c r="G129" s="398"/>
      <c r="H129" s="398"/>
      <c r="I129" s="398"/>
      <c r="J129" s="398"/>
      <c r="K129" s="398"/>
      <c r="L129" s="398"/>
      <c r="M129" s="398"/>
      <c r="N129" s="398"/>
      <c r="O129" s="398"/>
    </row>
    <row r="130" spans="1:15">
      <c r="A130" s="398" t="s">
        <v>1776</v>
      </c>
      <c r="B130" s="398"/>
      <c r="C130" s="398"/>
      <c r="D130" s="398" t="s">
        <v>1349</v>
      </c>
      <c r="E130" s="405">
        <v>28.402533953186481</v>
      </c>
      <c r="F130" s="398"/>
      <c r="G130" s="398"/>
      <c r="H130" s="398"/>
      <c r="I130" s="398"/>
      <c r="J130" s="398"/>
      <c r="K130" s="398"/>
      <c r="L130" s="398"/>
      <c r="M130" s="398"/>
      <c r="N130" s="398"/>
      <c r="O130" s="398"/>
    </row>
    <row r="131" spans="1:15">
      <c r="A131" s="398" t="s">
        <v>1745</v>
      </c>
      <c r="B131" s="398"/>
      <c r="C131" s="398"/>
      <c r="D131" s="398" t="s">
        <v>1344</v>
      </c>
      <c r="E131" s="405"/>
      <c r="F131" s="406" t="s">
        <v>227</v>
      </c>
      <c r="G131" s="406" t="s">
        <v>1300</v>
      </c>
      <c r="H131" s="406" t="s">
        <v>1479</v>
      </c>
      <c r="I131" s="398"/>
      <c r="J131" s="398"/>
      <c r="K131" s="398"/>
      <c r="L131" s="398"/>
      <c r="M131" s="398"/>
      <c r="N131" s="398"/>
      <c r="O131" s="398"/>
    </row>
    <row r="132" spans="1:15">
      <c r="A132" s="398" t="s">
        <v>1666</v>
      </c>
      <c r="B132" s="398"/>
      <c r="C132" s="398"/>
      <c r="D132" s="398" t="s">
        <v>1349</v>
      </c>
      <c r="E132" s="405">
        <v>15.693645718853567</v>
      </c>
      <c r="F132" s="398">
        <v>2</v>
      </c>
      <c r="G132" s="398">
        <v>6</v>
      </c>
      <c r="H132" s="398">
        <v>10</v>
      </c>
      <c r="I132" s="398"/>
      <c r="J132" s="398"/>
      <c r="K132" s="398"/>
      <c r="L132" s="398"/>
      <c r="M132" s="398"/>
      <c r="N132" s="398"/>
      <c r="O132" s="398"/>
    </row>
    <row r="133" spans="1:15">
      <c r="A133" s="398" t="s">
        <v>1667</v>
      </c>
      <c r="B133" s="398"/>
      <c r="C133" s="398"/>
      <c r="D133" s="398" t="s">
        <v>1349</v>
      </c>
      <c r="E133" s="405">
        <v>21.782784967214287</v>
      </c>
      <c r="F133" s="398">
        <v>8</v>
      </c>
      <c r="G133" s="398">
        <v>6</v>
      </c>
      <c r="H133" s="398">
        <v>10</v>
      </c>
      <c r="I133" s="398"/>
      <c r="J133" s="398"/>
      <c r="K133" s="398"/>
      <c r="L133" s="398"/>
      <c r="M133" s="398"/>
      <c r="N133" s="398"/>
      <c r="O133" s="398"/>
    </row>
    <row r="134" spans="1:15">
      <c r="A134" s="398" t="s">
        <v>1746</v>
      </c>
      <c r="B134" s="398"/>
      <c r="C134" s="398"/>
      <c r="D134" s="398" t="s">
        <v>1344</v>
      </c>
      <c r="E134" s="405"/>
      <c r="F134" s="398"/>
      <c r="G134" s="398"/>
      <c r="H134" s="398"/>
      <c r="I134" s="398"/>
      <c r="J134" s="398"/>
      <c r="K134" s="398"/>
      <c r="L134" s="398"/>
      <c r="M134" s="398"/>
      <c r="N134" s="398"/>
      <c r="O134" s="398"/>
    </row>
    <row r="135" spans="1:15">
      <c r="A135" s="398" t="s">
        <v>1666</v>
      </c>
      <c r="B135" s="398"/>
      <c r="C135" s="398"/>
      <c r="D135" s="398" t="s">
        <v>1349</v>
      </c>
      <c r="E135" s="405">
        <v>-9.8976927036084632</v>
      </c>
      <c r="F135" s="398"/>
      <c r="G135" s="398"/>
      <c r="H135" s="398"/>
      <c r="I135" s="398"/>
      <c r="J135" s="398"/>
      <c r="K135" s="398"/>
      <c r="L135" s="398"/>
      <c r="M135" s="398"/>
      <c r="N135" s="398"/>
      <c r="O135" s="398"/>
    </row>
    <row r="136" spans="1:15">
      <c r="A136" s="398" t="s">
        <v>1667</v>
      </c>
      <c r="B136" s="398"/>
      <c r="C136" s="398"/>
      <c r="D136" s="398" t="s">
        <v>1349</v>
      </c>
      <c r="E136" s="405">
        <v>-5.1554660037983808</v>
      </c>
      <c r="F136" s="398"/>
      <c r="G136" s="398"/>
      <c r="H136" s="398"/>
      <c r="I136" s="398"/>
      <c r="J136" s="398"/>
      <c r="K136" s="398"/>
      <c r="L136" s="398"/>
      <c r="M136" s="398"/>
      <c r="N136" s="398"/>
      <c r="O136" s="398"/>
    </row>
    <row r="137" spans="1:15">
      <c r="A137" s="398"/>
      <c r="B137" s="398"/>
      <c r="C137" s="398"/>
      <c r="D137" s="398"/>
      <c r="E137" s="405"/>
      <c r="F137" s="398"/>
      <c r="G137" s="398"/>
      <c r="H137" s="398"/>
      <c r="I137" s="398"/>
      <c r="J137" s="398"/>
      <c r="K137" s="398"/>
      <c r="L137" s="398"/>
      <c r="M137" s="398"/>
      <c r="N137" s="398"/>
      <c r="O137" s="398"/>
    </row>
    <row r="138" spans="1:15">
      <c r="A138" s="398" t="s">
        <v>1301</v>
      </c>
      <c r="B138" s="398"/>
      <c r="C138" s="398"/>
      <c r="D138" s="398"/>
      <c r="E138" s="398"/>
      <c r="F138" s="398"/>
      <c r="G138" s="398"/>
      <c r="H138" s="398"/>
      <c r="I138" s="398"/>
      <c r="J138" s="398"/>
      <c r="K138" s="398"/>
      <c r="L138" s="398"/>
      <c r="M138" s="398"/>
      <c r="N138" s="398"/>
      <c r="O138" s="398"/>
    </row>
    <row r="139" spans="1:15">
      <c r="A139" s="398" t="s">
        <v>1299</v>
      </c>
      <c r="B139" s="398"/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/>
      <c r="N139" s="398"/>
      <c r="O139" s="398"/>
    </row>
    <row r="140" spans="1:15">
      <c r="A140" s="398" t="s">
        <v>1302</v>
      </c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8"/>
      <c r="O140" s="398"/>
    </row>
    <row r="141" spans="1:15">
      <c r="A141" s="398" t="s">
        <v>1394</v>
      </c>
      <c r="B141" s="398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/>
      <c r="N141" s="398"/>
      <c r="O141" s="398"/>
    </row>
    <row r="142" spans="1:15">
      <c r="A142" s="398"/>
      <c r="B142" s="398"/>
      <c r="C142" s="398"/>
      <c r="D142" s="398"/>
      <c r="E142" s="398"/>
      <c r="F142" s="398"/>
      <c r="G142" s="398"/>
      <c r="H142" s="398"/>
      <c r="I142" s="398"/>
      <c r="J142" s="398"/>
      <c r="K142" s="398"/>
      <c r="L142" s="398"/>
      <c r="M142" s="398"/>
      <c r="N142" s="398"/>
      <c r="O142" s="398"/>
    </row>
    <row r="143" spans="1:15">
      <c r="A143" s="398" t="s">
        <v>1303</v>
      </c>
      <c r="B143" s="398"/>
      <c r="C143" s="398"/>
      <c r="D143" s="398"/>
      <c r="E143" s="398"/>
      <c r="F143" s="398"/>
      <c r="G143" s="398"/>
      <c r="H143" s="398"/>
      <c r="I143" s="398"/>
      <c r="J143" s="398"/>
      <c r="K143" s="398"/>
      <c r="L143" s="398"/>
      <c r="M143" s="398"/>
      <c r="N143" s="398"/>
      <c r="O143" s="398"/>
    </row>
    <row r="144" spans="1:15">
      <c r="A144" s="398" t="s">
        <v>1386</v>
      </c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8"/>
      <c r="O144" s="398"/>
    </row>
    <row r="146" spans="1:15">
      <c r="A146" s="1" t="s">
        <v>3242</v>
      </c>
    </row>
    <row r="147" spans="1:15">
      <c r="A147" s="1" t="s">
        <v>3243</v>
      </c>
    </row>
    <row r="148" spans="1:15">
      <c r="A148" s="1" t="s">
        <v>3244</v>
      </c>
    </row>
    <row r="149" spans="1:15">
      <c r="A149" s="1" t="s">
        <v>3246</v>
      </c>
    </row>
    <row r="150" spans="1:15">
      <c r="A150" s="1" t="s">
        <v>3245</v>
      </c>
    </row>
    <row r="151" spans="1:15">
      <c r="A151" s="1" t="s">
        <v>3247</v>
      </c>
    </row>
    <row r="152" spans="1:15">
      <c r="A152" s="1" t="s">
        <v>3248</v>
      </c>
    </row>
    <row r="154" spans="1:15">
      <c r="A154" s="407" t="s">
        <v>3250</v>
      </c>
      <c r="B154" s="408"/>
      <c r="C154" s="408"/>
      <c r="D154" s="408"/>
      <c r="E154" s="408"/>
      <c r="F154" s="408"/>
      <c r="G154" s="408"/>
      <c r="H154" s="408"/>
      <c r="I154" s="408"/>
      <c r="J154" s="408"/>
      <c r="K154" s="408"/>
      <c r="L154" s="408"/>
      <c r="M154" s="408"/>
      <c r="N154" s="408"/>
      <c r="O154" s="408"/>
    </row>
    <row r="155" spans="1:15">
      <c r="A155" s="1" t="s">
        <v>1360</v>
      </c>
    </row>
    <row r="157" spans="1:15">
      <c r="A157" s="222" t="s">
        <v>1361</v>
      </c>
    </row>
    <row r="158" spans="1:15">
      <c r="A158" s="224" t="s">
        <v>1362</v>
      </c>
    </row>
    <row r="159" spans="1:15">
      <c r="A159" s="224" t="s">
        <v>1363</v>
      </c>
    </row>
    <row r="160" spans="1:15">
      <c r="A160" s="224" t="s">
        <v>1598</v>
      </c>
    </row>
    <row r="161" spans="1:16">
      <c r="A161" s="224" t="s">
        <v>1599</v>
      </c>
    </row>
    <row r="162" spans="1:16">
      <c r="A162" s="224" t="s">
        <v>1597</v>
      </c>
    </row>
    <row r="164" spans="1:16">
      <c r="A164" s="222" t="s">
        <v>415</v>
      </c>
    </row>
    <row r="165" spans="1:16">
      <c r="A165" s="1" t="s">
        <v>416</v>
      </c>
    </row>
    <row r="166" spans="1:16">
      <c r="A166" s="1" t="s">
        <v>417</v>
      </c>
    </row>
    <row r="168" spans="1:16" s="1" customFormat="1">
      <c r="A168" s="409" t="s">
        <v>507</v>
      </c>
      <c r="B168" s="410"/>
      <c r="C168" s="410"/>
      <c r="D168" s="410"/>
      <c r="E168" s="410"/>
      <c r="F168" s="410"/>
      <c r="G168" s="410"/>
      <c r="H168" s="410"/>
      <c r="I168" s="410"/>
      <c r="J168" s="410"/>
      <c r="K168" s="410"/>
      <c r="L168" s="410"/>
      <c r="M168" s="410"/>
      <c r="N168" s="410"/>
      <c r="O168" s="410"/>
      <c r="P168" s="410"/>
    </row>
    <row r="169" spans="1:16" s="1" customFormat="1">
      <c r="A169" s="411" t="s">
        <v>499</v>
      </c>
      <c r="B169" s="410"/>
      <c r="C169" s="410"/>
      <c r="D169" s="410"/>
      <c r="E169" s="410"/>
      <c r="F169" s="410"/>
      <c r="G169" s="410"/>
      <c r="H169" s="410"/>
      <c r="I169" s="410"/>
      <c r="J169" s="410"/>
      <c r="K169" s="410"/>
      <c r="L169" s="410"/>
      <c r="M169" s="410"/>
      <c r="N169" s="410"/>
      <c r="O169" s="410"/>
      <c r="P169" s="410"/>
    </row>
    <row r="170" spans="1:16" s="1" customFormat="1">
      <c r="A170" s="410" t="s">
        <v>419</v>
      </c>
      <c r="B170" s="410"/>
      <c r="C170" s="410"/>
      <c r="D170" s="410"/>
      <c r="E170" s="410"/>
      <c r="F170" s="410"/>
      <c r="G170" s="410"/>
      <c r="H170" s="410"/>
      <c r="I170" s="410"/>
      <c r="J170" s="410"/>
      <c r="K170" s="410"/>
      <c r="L170" s="410"/>
      <c r="M170" s="410"/>
      <c r="N170" s="410"/>
      <c r="O170" s="410"/>
      <c r="P170" s="410"/>
    </row>
    <row r="171" spans="1:16" s="1" customFormat="1">
      <c r="A171" s="410" t="s">
        <v>420</v>
      </c>
      <c r="B171" s="410"/>
      <c r="C171" s="410"/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0"/>
      <c r="O171" s="410"/>
      <c r="P171" s="410"/>
    </row>
    <row r="172" spans="1:16" s="1" customFormat="1">
      <c r="A172" s="410" t="s">
        <v>421</v>
      </c>
      <c r="B172" s="410"/>
      <c r="C172" s="410"/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0"/>
      <c r="O172" s="410"/>
      <c r="P172" s="410"/>
    </row>
    <row r="173" spans="1:16" s="1" customFormat="1">
      <c r="A173" s="410" t="s">
        <v>422</v>
      </c>
      <c r="B173" s="410"/>
      <c r="C173" s="410"/>
      <c r="D173" s="410"/>
      <c r="E173" s="410"/>
      <c r="F173" s="410"/>
      <c r="G173" s="410"/>
      <c r="H173" s="410"/>
      <c r="I173" s="410"/>
      <c r="J173" s="410"/>
      <c r="K173" s="410"/>
      <c r="L173" s="410"/>
      <c r="M173" s="410"/>
      <c r="N173" s="410"/>
      <c r="O173" s="410"/>
      <c r="P173" s="410"/>
    </row>
    <row r="174" spans="1:16" s="1" customFormat="1">
      <c r="A174" s="410" t="s">
        <v>436</v>
      </c>
      <c r="B174" s="410"/>
      <c r="C174" s="410"/>
      <c r="D174" s="410"/>
      <c r="E174" s="410"/>
      <c r="F174" s="410"/>
      <c r="G174" s="410"/>
      <c r="H174" s="410"/>
      <c r="I174" s="410"/>
      <c r="J174" s="410"/>
      <c r="K174" s="410"/>
      <c r="L174" s="410"/>
      <c r="M174" s="410"/>
      <c r="N174" s="410"/>
      <c r="O174" s="410"/>
      <c r="P174" s="410"/>
    </row>
    <row r="175" spans="1:16" s="1" customFormat="1">
      <c r="A175" s="410" t="s">
        <v>439</v>
      </c>
      <c r="B175" s="410"/>
      <c r="C175" s="410"/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0"/>
      <c r="O175" s="410"/>
      <c r="P175" s="410"/>
    </row>
    <row r="176" spans="1:16" s="1" customFormat="1">
      <c r="A176" s="410" t="s">
        <v>440</v>
      </c>
      <c r="B176" s="410"/>
      <c r="C176" s="410"/>
      <c r="D176" s="410"/>
      <c r="E176" s="410"/>
      <c r="F176" s="410"/>
      <c r="G176" s="410"/>
      <c r="H176" s="410"/>
      <c r="I176" s="410"/>
      <c r="J176" s="410"/>
      <c r="K176" s="410"/>
      <c r="L176" s="410"/>
      <c r="M176" s="410"/>
      <c r="N176" s="410"/>
      <c r="O176" s="410"/>
      <c r="P176" s="410"/>
    </row>
    <row r="177" spans="1:16" s="1" customFormat="1">
      <c r="A177" s="410"/>
      <c r="B177" s="410"/>
      <c r="C177" s="410"/>
      <c r="D177" s="410"/>
      <c r="E177" s="410"/>
      <c r="F177" s="410"/>
      <c r="G177" s="410"/>
      <c r="H177" s="410"/>
      <c r="I177" s="410"/>
      <c r="J177" s="410"/>
      <c r="K177" s="410"/>
      <c r="L177" s="410"/>
      <c r="M177" s="410"/>
      <c r="N177" s="410"/>
      <c r="O177" s="410"/>
      <c r="P177" s="410"/>
    </row>
    <row r="178" spans="1:16" s="1" customFormat="1">
      <c r="A178" s="410" t="s">
        <v>423</v>
      </c>
      <c r="B178" s="410"/>
      <c r="C178" s="410"/>
      <c r="D178" s="410"/>
      <c r="E178" s="410"/>
      <c r="F178" s="410"/>
      <c r="G178" s="410"/>
      <c r="H178" s="410"/>
      <c r="I178" s="410"/>
      <c r="J178" s="410"/>
      <c r="K178" s="410"/>
      <c r="L178" s="410"/>
      <c r="M178" s="410"/>
      <c r="N178" s="410"/>
      <c r="O178" s="410"/>
      <c r="P178" s="410"/>
    </row>
    <row r="179" spans="1:16" s="1" customFormat="1">
      <c r="A179" s="410" t="s">
        <v>437</v>
      </c>
      <c r="B179" s="410"/>
      <c r="C179" s="410"/>
      <c r="D179" s="410"/>
      <c r="E179" s="410"/>
      <c r="F179" s="410"/>
      <c r="G179" s="410"/>
      <c r="H179" s="410"/>
      <c r="I179" s="410"/>
      <c r="J179" s="410"/>
      <c r="K179" s="410"/>
      <c r="L179" s="410"/>
      <c r="M179" s="410"/>
      <c r="N179" s="410"/>
      <c r="O179" s="410"/>
      <c r="P179" s="410"/>
    </row>
    <row r="180" spans="1:16" s="1" customFormat="1">
      <c r="A180" s="410" t="s">
        <v>438</v>
      </c>
      <c r="B180" s="410"/>
      <c r="C180" s="410"/>
      <c r="D180" s="410"/>
      <c r="E180" s="410"/>
      <c r="F180" s="410"/>
      <c r="G180" s="410"/>
      <c r="H180" s="410"/>
      <c r="I180" s="410"/>
      <c r="J180" s="410"/>
      <c r="K180" s="410"/>
      <c r="L180" s="410"/>
      <c r="M180" s="410"/>
      <c r="N180" s="410"/>
      <c r="O180" s="410"/>
      <c r="P180" s="410"/>
    </row>
    <row r="181" spans="1:16" s="1" customFormat="1">
      <c r="A181" s="410" t="s">
        <v>441</v>
      </c>
      <c r="B181" s="410"/>
      <c r="C181" s="410"/>
      <c r="D181" s="410"/>
      <c r="E181" s="410"/>
      <c r="F181" s="410"/>
      <c r="G181" s="410"/>
      <c r="H181" s="410"/>
      <c r="I181" s="410"/>
      <c r="J181" s="410"/>
      <c r="K181" s="410"/>
      <c r="L181" s="410"/>
      <c r="M181" s="410"/>
      <c r="N181" s="410"/>
      <c r="O181" s="410"/>
      <c r="P181" s="410"/>
    </row>
    <row r="182" spans="1:16" s="1" customFormat="1">
      <c r="A182" s="410" t="s">
        <v>517</v>
      </c>
      <c r="B182" s="410"/>
      <c r="C182" s="410"/>
      <c r="D182" s="410"/>
      <c r="E182" s="410"/>
      <c r="F182" s="410"/>
      <c r="G182" s="410"/>
      <c r="H182" s="410"/>
      <c r="I182" s="410"/>
      <c r="J182" s="410"/>
      <c r="K182" s="410"/>
      <c r="L182" s="410"/>
      <c r="M182" s="410"/>
      <c r="N182" s="410"/>
      <c r="O182" s="410"/>
      <c r="P182" s="410"/>
    </row>
    <row r="183" spans="1:16" s="1" customFormat="1">
      <c r="A183" s="410" t="s">
        <v>424</v>
      </c>
      <c r="B183" s="410"/>
      <c r="C183" s="410"/>
      <c r="D183" s="410"/>
      <c r="E183" s="410"/>
      <c r="F183" s="410"/>
      <c r="G183" s="410"/>
      <c r="H183" s="410"/>
      <c r="I183" s="410"/>
      <c r="J183" s="410"/>
      <c r="K183" s="410"/>
      <c r="L183" s="410"/>
      <c r="M183" s="410"/>
      <c r="N183" s="410"/>
      <c r="O183" s="410"/>
      <c r="P183" s="410"/>
    </row>
    <row r="184" spans="1:16" s="1" customFormat="1">
      <c r="A184" s="410" t="s">
        <v>425</v>
      </c>
      <c r="B184" s="410"/>
      <c r="C184" s="410"/>
      <c r="D184" s="410"/>
      <c r="E184" s="410"/>
      <c r="F184" s="410"/>
      <c r="G184" s="410"/>
      <c r="H184" s="410"/>
      <c r="I184" s="410"/>
      <c r="J184" s="410"/>
      <c r="K184" s="410"/>
      <c r="L184" s="410"/>
      <c r="M184" s="410"/>
      <c r="N184" s="410"/>
      <c r="O184" s="410"/>
      <c r="P184" s="410"/>
    </row>
    <row r="185" spans="1:16" s="1" customFormat="1">
      <c r="A185" s="410" t="s">
        <v>497</v>
      </c>
      <c r="B185" s="410"/>
      <c r="C185" s="410"/>
      <c r="D185" s="410"/>
      <c r="E185" s="410"/>
      <c r="F185" s="410"/>
      <c r="G185" s="410"/>
      <c r="H185" s="410"/>
      <c r="I185" s="410"/>
      <c r="J185" s="410"/>
      <c r="K185" s="410"/>
      <c r="L185" s="410"/>
      <c r="M185" s="410"/>
      <c r="N185" s="410"/>
      <c r="O185" s="410"/>
      <c r="P185" s="410"/>
    </row>
    <row r="186" spans="1:16" s="1" customFormat="1">
      <c r="A186" s="410" t="s">
        <v>498</v>
      </c>
      <c r="B186" s="410"/>
      <c r="C186" s="410"/>
      <c r="D186" s="410"/>
      <c r="E186" s="410"/>
      <c r="F186" s="410"/>
      <c r="G186" s="410"/>
      <c r="H186" s="410"/>
      <c r="I186" s="410"/>
      <c r="J186" s="410"/>
      <c r="K186" s="410"/>
      <c r="L186" s="410"/>
      <c r="M186" s="410"/>
      <c r="N186" s="410"/>
      <c r="O186" s="410"/>
      <c r="P186" s="410"/>
    </row>
    <row r="187" spans="1:16" s="1" customFormat="1">
      <c r="A187" s="410" t="s">
        <v>1344</v>
      </c>
      <c r="B187" s="410"/>
      <c r="C187" s="410"/>
      <c r="D187" s="410"/>
      <c r="E187" s="410"/>
      <c r="F187" s="410"/>
      <c r="G187" s="410"/>
      <c r="H187" s="410"/>
      <c r="I187" s="410"/>
      <c r="J187" s="410"/>
      <c r="K187" s="410"/>
      <c r="L187" s="410"/>
      <c r="M187" s="410"/>
      <c r="N187" s="410"/>
      <c r="O187" s="410"/>
      <c r="P187" s="410"/>
    </row>
    <row r="188" spans="1:16" s="1" customFormat="1">
      <c r="A188" s="410" t="s">
        <v>509</v>
      </c>
      <c r="B188" s="410"/>
      <c r="C188" s="410"/>
      <c r="D188" s="410"/>
      <c r="E188" s="410"/>
      <c r="F188" s="410"/>
      <c r="G188" s="410"/>
      <c r="H188" s="410"/>
      <c r="I188" s="410"/>
      <c r="J188" s="410"/>
      <c r="K188" s="410"/>
      <c r="L188" s="410"/>
      <c r="M188" s="410"/>
      <c r="N188" s="410"/>
      <c r="O188" s="410"/>
      <c r="P188" s="410"/>
    </row>
    <row r="189" spans="1:16" s="1" customFormat="1">
      <c r="A189" s="410" t="s">
        <v>426</v>
      </c>
      <c r="B189" s="410"/>
      <c r="C189" s="410"/>
      <c r="D189" s="410"/>
      <c r="E189" s="410"/>
      <c r="F189" s="410"/>
      <c r="G189" s="410"/>
      <c r="H189" s="410"/>
      <c r="I189" s="410"/>
      <c r="J189" s="410"/>
      <c r="K189" s="410"/>
      <c r="L189" s="410"/>
      <c r="M189" s="410"/>
      <c r="N189" s="410"/>
      <c r="O189" s="410"/>
      <c r="P189" s="410"/>
    </row>
    <row r="190" spans="1:16" s="1" customFormat="1">
      <c r="A190" s="410"/>
      <c r="B190" s="410"/>
      <c r="C190" s="410"/>
      <c r="D190" s="410"/>
      <c r="E190" s="410"/>
      <c r="F190" s="410"/>
      <c r="G190" s="410"/>
      <c r="H190" s="410"/>
      <c r="I190" s="410"/>
      <c r="J190" s="410"/>
      <c r="K190" s="410"/>
      <c r="L190" s="410"/>
      <c r="M190" s="410"/>
      <c r="N190" s="410"/>
      <c r="O190" s="410"/>
      <c r="P190" s="410"/>
    </row>
    <row r="191" spans="1:16" s="1" customFormat="1">
      <c r="A191" s="410" t="s">
        <v>427</v>
      </c>
      <c r="B191" s="410"/>
      <c r="C191" s="410"/>
      <c r="D191" s="410"/>
      <c r="E191" s="410"/>
      <c r="F191" s="410"/>
      <c r="G191" s="410"/>
      <c r="H191" s="410"/>
      <c r="I191" s="410"/>
      <c r="J191" s="410"/>
      <c r="K191" s="410"/>
      <c r="L191" s="410"/>
      <c r="M191" s="410"/>
      <c r="N191" s="410"/>
      <c r="O191" s="410"/>
      <c r="P191" s="410"/>
    </row>
    <row r="192" spans="1:16" s="1" customFormat="1">
      <c r="A192" s="410" t="s">
        <v>428</v>
      </c>
      <c r="B192" s="410"/>
      <c r="C192" s="410"/>
      <c r="D192" s="410"/>
      <c r="E192" s="410"/>
      <c r="F192" s="410"/>
      <c r="G192" s="410"/>
      <c r="H192" s="410"/>
      <c r="I192" s="410"/>
      <c r="J192" s="410"/>
      <c r="K192" s="410"/>
      <c r="L192" s="410"/>
      <c r="M192" s="410"/>
      <c r="N192" s="410"/>
      <c r="O192" s="410"/>
      <c r="P192" s="410"/>
    </row>
    <row r="193" spans="1:16" s="1" customFormat="1">
      <c r="A193" s="410" t="s">
        <v>429</v>
      </c>
      <c r="B193" s="410"/>
      <c r="C193" s="410"/>
      <c r="D193" s="410"/>
      <c r="E193" s="410"/>
      <c r="F193" s="410"/>
      <c r="G193" s="410"/>
      <c r="H193" s="410"/>
      <c r="I193" s="410"/>
      <c r="J193" s="410"/>
      <c r="K193" s="410"/>
      <c r="L193" s="410"/>
      <c r="M193" s="410"/>
      <c r="N193" s="410"/>
      <c r="O193" s="410"/>
      <c r="P193" s="410"/>
    </row>
    <row r="194" spans="1:16" s="1" customFormat="1">
      <c r="A194" s="410" t="s">
        <v>430</v>
      </c>
      <c r="B194" s="410"/>
      <c r="C194" s="410"/>
      <c r="D194" s="410"/>
      <c r="E194" s="410"/>
      <c r="F194" s="410"/>
      <c r="G194" s="410"/>
      <c r="H194" s="410"/>
      <c r="I194" s="410"/>
      <c r="J194" s="410"/>
      <c r="K194" s="410"/>
      <c r="L194" s="410"/>
      <c r="M194" s="410"/>
      <c r="N194" s="410"/>
      <c r="O194" s="410"/>
      <c r="P194" s="410"/>
    </row>
    <row r="195" spans="1:16" s="1" customFormat="1">
      <c r="A195" s="410" t="s">
        <v>431</v>
      </c>
      <c r="B195" s="410"/>
      <c r="C195" s="410"/>
      <c r="D195" s="410"/>
      <c r="E195" s="410"/>
      <c r="F195" s="410"/>
      <c r="G195" s="410"/>
      <c r="H195" s="410"/>
      <c r="I195" s="410"/>
      <c r="J195" s="410"/>
      <c r="K195" s="410"/>
      <c r="L195" s="410"/>
      <c r="M195" s="410"/>
      <c r="N195" s="410"/>
      <c r="O195" s="410"/>
      <c r="P195" s="410"/>
    </row>
    <row r="196" spans="1:16" s="1" customFormat="1">
      <c r="A196" s="410" t="s">
        <v>432</v>
      </c>
      <c r="B196" s="410"/>
      <c r="C196" s="410"/>
      <c r="D196" s="410"/>
      <c r="E196" s="410"/>
      <c r="F196" s="410"/>
      <c r="G196" s="410"/>
      <c r="H196" s="410"/>
      <c r="I196" s="410"/>
      <c r="J196" s="410"/>
      <c r="K196" s="410"/>
      <c r="L196" s="410"/>
      <c r="M196" s="410"/>
      <c r="N196" s="410"/>
      <c r="O196" s="410"/>
      <c r="P196" s="410"/>
    </row>
    <row r="197" spans="1:16" s="1" customFormat="1">
      <c r="A197" s="410" t="s">
        <v>433</v>
      </c>
      <c r="B197" s="410"/>
      <c r="C197" s="410"/>
      <c r="D197" s="410"/>
      <c r="E197" s="410"/>
      <c r="F197" s="410"/>
      <c r="G197" s="410"/>
      <c r="H197" s="410"/>
      <c r="I197" s="410"/>
      <c r="J197" s="410"/>
      <c r="K197" s="410"/>
      <c r="L197" s="410"/>
      <c r="M197" s="410"/>
      <c r="N197" s="410"/>
      <c r="O197" s="410"/>
      <c r="P197" s="410"/>
    </row>
    <row r="198" spans="1:16" s="1" customFormat="1">
      <c r="A198" s="410" t="s">
        <v>434</v>
      </c>
      <c r="B198" s="410"/>
      <c r="C198" s="410"/>
      <c r="D198" s="410"/>
      <c r="E198" s="410"/>
      <c r="F198" s="410"/>
      <c r="G198" s="410"/>
      <c r="H198" s="410"/>
      <c r="I198" s="410"/>
      <c r="J198" s="410"/>
      <c r="K198" s="410"/>
      <c r="L198" s="410"/>
      <c r="M198" s="410"/>
      <c r="N198" s="410"/>
      <c r="O198" s="410"/>
      <c r="P198" s="410"/>
    </row>
    <row r="199" spans="1:16" s="1" customFormat="1">
      <c r="A199" s="410" t="s">
        <v>435</v>
      </c>
      <c r="B199" s="410"/>
      <c r="C199" s="410"/>
      <c r="D199" s="410"/>
      <c r="E199" s="410"/>
      <c r="F199" s="410"/>
      <c r="G199" s="410"/>
      <c r="H199" s="410"/>
      <c r="I199" s="410"/>
      <c r="J199" s="410"/>
      <c r="K199" s="410"/>
      <c r="L199" s="410"/>
      <c r="M199" s="410"/>
      <c r="N199" s="410"/>
      <c r="O199" s="410"/>
      <c r="P199" s="410"/>
    </row>
    <row r="200" spans="1:16" s="1" customFormat="1">
      <c r="A200" s="410"/>
      <c r="B200" s="410"/>
      <c r="C200" s="410"/>
      <c r="D200" s="410"/>
      <c r="E200" s="410"/>
      <c r="F200" s="410"/>
      <c r="G200" s="410"/>
      <c r="H200" s="410"/>
      <c r="I200" s="410"/>
      <c r="J200" s="410"/>
      <c r="K200" s="410"/>
      <c r="L200" s="410"/>
      <c r="M200" s="410"/>
      <c r="N200" s="410"/>
      <c r="O200" s="410"/>
      <c r="P200" s="410"/>
    </row>
    <row r="201" spans="1:16">
      <c r="A201" s="410" t="s">
        <v>500</v>
      </c>
      <c r="B201" s="245"/>
      <c r="C201" s="245"/>
      <c r="D201" s="245"/>
      <c r="E201" s="245"/>
      <c r="F201" s="245"/>
      <c r="G201" s="245"/>
      <c r="H201" s="245"/>
      <c r="I201" s="245"/>
      <c r="J201" s="245"/>
      <c r="K201" s="245"/>
      <c r="L201" s="245"/>
      <c r="M201" s="245"/>
      <c r="N201" s="245"/>
      <c r="O201" s="245"/>
      <c r="P201" s="245"/>
    </row>
    <row r="202" spans="1:16">
      <c r="A202" s="410" t="s">
        <v>501</v>
      </c>
      <c r="B202" s="245"/>
      <c r="C202" s="245"/>
      <c r="D202" s="245"/>
      <c r="E202" s="245"/>
      <c r="F202" s="245"/>
      <c r="G202" s="245"/>
      <c r="H202" s="245"/>
      <c r="I202" s="245"/>
      <c r="J202" s="245"/>
      <c r="K202" s="245"/>
      <c r="L202" s="245"/>
      <c r="M202" s="245"/>
      <c r="N202" s="245"/>
      <c r="O202" s="245"/>
      <c r="P202" s="245"/>
    </row>
    <row r="203" spans="1:16">
      <c r="A203" s="410" t="s">
        <v>502</v>
      </c>
      <c r="B203" s="245"/>
      <c r="C203" s="245"/>
      <c r="D203" s="245"/>
      <c r="E203" s="245"/>
      <c r="F203" s="245"/>
      <c r="G203" s="245"/>
      <c r="H203" s="245"/>
      <c r="I203" s="245"/>
      <c r="J203" s="245"/>
      <c r="K203" s="245"/>
      <c r="L203" s="245"/>
      <c r="M203" s="245"/>
      <c r="N203" s="245"/>
      <c r="O203" s="245"/>
      <c r="P203" s="245"/>
    </row>
    <row r="204" spans="1:16">
      <c r="A204" s="410" t="s">
        <v>505</v>
      </c>
      <c r="B204" s="245"/>
      <c r="C204" s="245"/>
      <c r="D204" s="245"/>
      <c r="E204" s="245"/>
      <c r="F204" s="245"/>
      <c r="G204" s="245"/>
      <c r="H204" s="245"/>
      <c r="I204" s="245"/>
      <c r="J204" s="245"/>
      <c r="K204" s="245"/>
      <c r="L204" s="245"/>
      <c r="M204" s="245"/>
      <c r="N204" s="245"/>
      <c r="O204" s="245"/>
      <c r="P204" s="245"/>
    </row>
    <row r="205" spans="1:16">
      <c r="A205" s="410" t="s">
        <v>503</v>
      </c>
      <c r="B205" s="245"/>
      <c r="C205" s="245"/>
      <c r="D205" s="245"/>
      <c r="E205" s="245"/>
      <c r="F205" s="245"/>
      <c r="G205" s="245"/>
      <c r="H205" s="245"/>
      <c r="I205" s="245"/>
      <c r="J205" s="245"/>
      <c r="K205" s="245"/>
      <c r="L205" s="245"/>
      <c r="M205" s="245"/>
      <c r="N205" s="245"/>
      <c r="O205" s="245"/>
      <c r="P205" s="245"/>
    </row>
    <row r="206" spans="1:16">
      <c r="A206" s="410" t="s">
        <v>504</v>
      </c>
      <c r="B206" s="245"/>
      <c r="C206" s="245"/>
      <c r="D206" s="245"/>
      <c r="E206" s="245"/>
      <c r="F206" s="245"/>
      <c r="G206" s="245"/>
      <c r="H206" s="245"/>
      <c r="I206" s="245"/>
      <c r="J206" s="245"/>
      <c r="K206" s="245"/>
      <c r="L206" s="245"/>
      <c r="M206" s="245"/>
      <c r="N206" s="245"/>
      <c r="O206" s="245"/>
      <c r="P206" s="245"/>
    </row>
    <row r="207" spans="1:16">
      <c r="A207" s="410" t="s">
        <v>508</v>
      </c>
      <c r="B207" s="245"/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  <c r="M207" s="245"/>
      <c r="N207" s="245"/>
      <c r="O207" s="245"/>
      <c r="P207" s="245"/>
    </row>
    <row r="208" spans="1:16">
      <c r="A208" s="410"/>
      <c r="B208" s="245"/>
      <c r="C208" s="245"/>
      <c r="D208" s="245"/>
      <c r="E208" s="245"/>
      <c r="F208" s="245"/>
      <c r="G208" s="245"/>
      <c r="H208" s="245"/>
      <c r="I208" s="245"/>
      <c r="J208" s="245"/>
      <c r="K208" s="245"/>
      <c r="L208" s="245"/>
      <c r="M208" s="245"/>
      <c r="N208" s="245"/>
      <c r="O208" s="245"/>
      <c r="P208" s="245"/>
    </row>
    <row r="209" spans="1:16">
      <c r="A209" s="409" t="s">
        <v>518</v>
      </c>
      <c r="B209" s="245"/>
      <c r="C209" s="245"/>
      <c r="D209" s="245"/>
      <c r="E209" s="245"/>
      <c r="F209" s="245"/>
      <c r="G209" s="245"/>
      <c r="H209" s="245"/>
      <c r="I209" s="245"/>
      <c r="J209" s="245"/>
      <c r="K209" s="245"/>
      <c r="L209" s="245"/>
      <c r="M209" s="245"/>
      <c r="N209" s="245"/>
      <c r="O209" s="245"/>
      <c r="P209" s="245"/>
    </row>
    <row r="210" spans="1:16">
      <c r="A210" s="410" t="s">
        <v>514</v>
      </c>
      <c r="B210" s="245"/>
      <c r="C210" s="245"/>
      <c r="D210" s="245"/>
      <c r="E210" s="245"/>
      <c r="F210" s="245"/>
      <c r="G210" s="245"/>
      <c r="H210" s="245"/>
      <c r="I210" s="245"/>
      <c r="J210" s="245"/>
      <c r="K210" s="245"/>
      <c r="L210" s="245"/>
      <c r="M210" s="245"/>
      <c r="N210" s="245"/>
      <c r="O210" s="245"/>
      <c r="P210" s="245"/>
    </row>
    <row r="211" spans="1:16">
      <c r="A211" s="409" t="s">
        <v>513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</row>
    <row r="212" spans="1:16">
      <c r="A212" s="410" t="s">
        <v>516</v>
      </c>
      <c r="B212" s="245"/>
      <c r="C212" s="245"/>
      <c r="D212" s="245"/>
      <c r="E212" s="245"/>
      <c r="F212" s="245"/>
      <c r="G212" s="245"/>
      <c r="H212" s="245"/>
      <c r="I212" s="245"/>
      <c r="J212" s="245"/>
      <c r="K212" s="245"/>
      <c r="L212" s="245"/>
      <c r="M212" s="245"/>
      <c r="N212" s="245"/>
      <c r="O212" s="245"/>
      <c r="P212" s="245"/>
    </row>
    <row r="213" spans="1:16">
      <c r="A213" s="410" t="s">
        <v>515</v>
      </c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5"/>
      <c r="P213" s="245"/>
    </row>
    <row r="215" spans="1:16">
      <c r="A215" s="409" t="s">
        <v>1982</v>
      </c>
    </row>
    <row r="216" spans="1:16">
      <c r="A216" s="1" t="s">
        <v>519</v>
      </c>
    </row>
    <row r="217" spans="1:16">
      <c r="A217" s="1" t="s">
        <v>522</v>
      </c>
    </row>
    <row r="219" spans="1:16">
      <c r="A219" s="1" t="s">
        <v>523</v>
      </c>
    </row>
    <row r="220" spans="1:16">
      <c r="A220" s="1" t="s">
        <v>524</v>
      </c>
    </row>
    <row r="221" spans="1:16">
      <c r="F221" s="224">
        <v>2016</v>
      </c>
      <c r="G221" s="224">
        <f>+F221+1</f>
        <v>2017</v>
      </c>
      <c r="H221" s="224">
        <f>+G221+1</f>
        <v>2018</v>
      </c>
      <c r="I221" s="224">
        <f>+H221+1</f>
        <v>2019</v>
      </c>
      <c r="J221" s="224">
        <f>+I221+1</f>
        <v>2020</v>
      </c>
    </row>
    <row r="222" spans="1:16">
      <c r="A222" s="1" t="s">
        <v>525</v>
      </c>
      <c r="F222" s="224">
        <v>42</v>
      </c>
      <c r="G222" s="224">
        <v>80</v>
      </c>
      <c r="H222" s="224">
        <v>80</v>
      </c>
      <c r="I222" s="224">
        <v>80</v>
      </c>
      <c r="J222" s="224">
        <v>77</v>
      </c>
    </row>
    <row r="223" spans="1:16">
      <c r="A223" s="1" t="s">
        <v>526</v>
      </c>
      <c r="F223" s="412">
        <v>42</v>
      </c>
      <c r="G223" s="412">
        <v>94.669112426035497</v>
      </c>
      <c r="H223" s="412">
        <v>76.755147928994091</v>
      </c>
      <c r="I223" s="412">
        <v>58.211183431952669</v>
      </c>
      <c r="J223" s="412">
        <v>37.597218934911247</v>
      </c>
    </row>
    <row r="225" spans="1:13">
      <c r="A225" s="1" t="s">
        <v>1977</v>
      </c>
    </row>
    <row r="226" spans="1:13">
      <c r="A226" s="1" t="s">
        <v>1978</v>
      </c>
    </row>
    <row r="228" spans="1:13">
      <c r="A228" s="1" t="s">
        <v>454</v>
      </c>
    </row>
    <row r="230" spans="1:13">
      <c r="A230" s="409" t="s">
        <v>1983</v>
      </c>
    </row>
    <row r="231" spans="1:13">
      <c r="A231" s="1" t="s">
        <v>1984</v>
      </c>
    </row>
    <row r="232" spans="1:13">
      <c r="A232" s="1" t="s">
        <v>1985</v>
      </c>
    </row>
    <row r="234" spans="1:13">
      <c r="A234" s="409" t="s">
        <v>1986</v>
      </c>
    </row>
    <row r="235" spans="1:13">
      <c r="A235" s="1" t="s">
        <v>1994</v>
      </c>
    </row>
    <row r="236" spans="1:13">
      <c r="A236" s="1" t="s">
        <v>450</v>
      </c>
    </row>
    <row r="237" spans="1:13">
      <c r="A237" s="1" t="s">
        <v>451</v>
      </c>
    </row>
    <row r="238" spans="1:13">
      <c r="A238" s="1" t="s">
        <v>1988</v>
      </c>
      <c r="M238" s="1" t="s">
        <v>1344</v>
      </c>
    </row>
    <row r="239" spans="1:13">
      <c r="A239" s="1" t="s">
        <v>1989</v>
      </c>
    </row>
    <row r="240" spans="1:13">
      <c r="A240" s="1" t="s">
        <v>1995</v>
      </c>
    </row>
    <row r="241" spans="1:13">
      <c r="A241" s="1" t="s">
        <v>452</v>
      </c>
    </row>
    <row r="243" spans="1:13">
      <c r="A243" s="1" t="s">
        <v>453</v>
      </c>
    </row>
    <row r="244" spans="1:13">
      <c r="A244" s="1" t="s">
        <v>443</v>
      </c>
    </row>
    <row r="245" spans="1:13">
      <c r="A245" s="418" t="s">
        <v>444</v>
      </c>
      <c r="B245" s="419"/>
      <c r="C245" s="419"/>
      <c r="D245" s="419"/>
      <c r="E245" s="419"/>
      <c r="F245" s="419"/>
      <c r="G245" s="419"/>
      <c r="H245" s="419"/>
      <c r="I245" s="419"/>
      <c r="J245" s="419"/>
      <c r="K245" s="419"/>
      <c r="L245" s="419"/>
      <c r="M245" s="419"/>
    </row>
    <row r="246" spans="1:13">
      <c r="A246" s="418" t="s">
        <v>445</v>
      </c>
      <c r="B246" s="419"/>
      <c r="C246" s="419"/>
      <c r="D246" s="419"/>
      <c r="E246" s="419"/>
      <c r="F246" s="419"/>
      <c r="G246" s="419"/>
      <c r="H246" s="419"/>
      <c r="I246" s="419"/>
      <c r="J246" s="419"/>
      <c r="K246" s="419"/>
      <c r="L246" s="419"/>
      <c r="M246" s="419"/>
    </row>
    <row r="247" spans="1:13">
      <c r="A247" s="1"/>
    </row>
    <row r="248" spans="1:13">
      <c r="A248" s="420" t="s">
        <v>1999</v>
      </c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46"/>
    </row>
    <row r="249" spans="1:13">
      <c r="A249" s="420" t="s">
        <v>1996</v>
      </c>
      <c r="B249" s="246"/>
      <c r="C249" s="246"/>
      <c r="D249" s="246"/>
      <c r="E249" s="246"/>
      <c r="F249" s="246"/>
      <c r="G249" s="246"/>
      <c r="H249" s="246"/>
      <c r="I249" s="246"/>
      <c r="J249" s="246"/>
      <c r="K249" s="246"/>
      <c r="L249" s="246"/>
      <c r="M249" s="246"/>
    </row>
    <row r="250" spans="1:13">
      <c r="A250" s="1"/>
    </row>
    <row r="251" spans="1:13">
      <c r="A251" s="420" t="s">
        <v>1997</v>
      </c>
      <c r="B251" s="246"/>
      <c r="C251" s="246"/>
      <c r="D251" s="246"/>
      <c r="E251" s="246"/>
      <c r="F251" s="246"/>
      <c r="G251" s="246"/>
      <c r="H251" s="246"/>
      <c r="I251" s="246"/>
      <c r="J251" s="246"/>
      <c r="K251" s="246"/>
      <c r="L251" s="246"/>
      <c r="M251" s="246"/>
    </row>
    <row r="252" spans="1:13">
      <c r="A252" s="420" t="s">
        <v>446</v>
      </c>
      <c r="B252" s="246"/>
      <c r="C252" s="246"/>
      <c r="D252" s="246"/>
      <c r="E252" s="246"/>
      <c r="F252" s="246"/>
      <c r="G252" s="246"/>
      <c r="H252" s="246"/>
      <c r="I252" s="246"/>
      <c r="J252" s="246"/>
      <c r="K252" s="246"/>
      <c r="L252" s="246"/>
      <c r="M252" s="246"/>
    </row>
    <row r="254" spans="1:13">
      <c r="A254" s="420" t="s">
        <v>455</v>
      </c>
      <c r="B254" s="246"/>
      <c r="C254" s="246"/>
      <c r="D254" s="246"/>
      <c r="E254" s="246"/>
      <c r="F254" s="246"/>
      <c r="G254" s="246"/>
      <c r="H254" s="246"/>
      <c r="I254" s="246"/>
      <c r="J254" s="246"/>
      <c r="K254" s="246"/>
      <c r="L254" s="246"/>
      <c r="M254" s="246"/>
    </row>
    <row r="256" spans="1:13">
      <c r="A256" s="222" t="s">
        <v>1998</v>
      </c>
    </row>
    <row r="259" spans="1:18" s="1" customFormat="1">
      <c r="A259" s="414" t="s">
        <v>2002</v>
      </c>
    </row>
    <row r="260" spans="1:18" s="1" customFormat="1">
      <c r="A260" s="1" t="s">
        <v>2000</v>
      </c>
    </row>
    <row r="261" spans="1:18" s="1" customFormat="1"/>
    <row r="262" spans="1:18" s="1" customFormat="1">
      <c r="A262" s="417" t="s">
        <v>2606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s="1" customFormat="1">
      <c r="A263" s="10" t="s">
        <v>2003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s="1" customFormat="1">
      <c r="A264" s="10" t="s">
        <v>2004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s="1" customFormat="1">
      <c r="A265" s="10" t="s">
        <v>2005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s="1" customFormat="1">
      <c r="A266" s="10" t="s">
        <v>442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s="1" customFormat="1">
      <c r="A267" s="10" t="s">
        <v>456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s="1" customFormat="1">
      <c r="A268" s="10" t="s">
        <v>457</v>
      </c>
      <c r="B268" s="10" t="s">
        <v>458</v>
      </c>
      <c r="C268" s="10" t="s">
        <v>459</v>
      </c>
      <c r="D268" s="10" t="s">
        <v>460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s="1" customFormat="1">
      <c r="A269" s="10">
        <v>28</v>
      </c>
      <c r="B269" s="10">
        <v>-5</v>
      </c>
      <c r="C269" s="10">
        <v>-5</v>
      </c>
      <c r="D269" s="10">
        <v>-10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s="1" customFormat="1">
      <c r="A270" s="10" t="s">
        <v>461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s="1" customFormat="1">
      <c r="A271" s="10" t="s">
        <v>462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s="1" customFormat="1">
      <c r="A272" s="10" t="s">
        <v>467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s="1" customFormat="1">
      <c r="A273" s="10" t="s">
        <v>463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s="1" customFormat="1">
      <c r="A274" s="10" t="s">
        <v>464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s="1" customForma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s="1" customFormat="1">
      <c r="A276" s="415" t="s">
        <v>468</v>
      </c>
      <c r="B276" s="416"/>
      <c r="C276" s="416"/>
      <c r="D276" s="416"/>
      <c r="E276" s="416"/>
      <c r="F276" s="416"/>
      <c r="G276" s="416"/>
      <c r="H276" s="416"/>
      <c r="I276" s="416"/>
      <c r="J276" s="416"/>
    </row>
    <row r="277" spans="1:18" s="1" customFormat="1">
      <c r="A277" s="416" t="s">
        <v>2006</v>
      </c>
      <c r="B277" s="416"/>
      <c r="C277" s="416"/>
      <c r="D277" s="416"/>
      <c r="E277" s="416"/>
      <c r="F277" s="416"/>
      <c r="G277" s="416"/>
      <c r="H277" s="416"/>
      <c r="I277" s="416"/>
      <c r="J277" s="416"/>
    </row>
    <row r="278" spans="1:18" s="1" customFormat="1">
      <c r="A278" s="416" t="s">
        <v>2007</v>
      </c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8" s="1" customFormat="1">
      <c r="A279" s="416" t="s">
        <v>2008</v>
      </c>
      <c r="B279" s="416"/>
      <c r="C279" s="416"/>
      <c r="D279" s="416"/>
      <c r="E279" s="416"/>
      <c r="F279" s="416"/>
      <c r="G279" s="416"/>
      <c r="H279" s="416"/>
      <c r="I279" s="416"/>
      <c r="J279" s="416"/>
    </row>
    <row r="280" spans="1:18" s="1" customFormat="1">
      <c r="A280" s="416" t="s">
        <v>2009</v>
      </c>
      <c r="B280" s="416"/>
      <c r="C280" s="416"/>
      <c r="D280" s="416"/>
      <c r="E280" s="416"/>
      <c r="F280" s="416"/>
      <c r="G280" s="416"/>
      <c r="H280" s="416"/>
      <c r="I280" s="416"/>
      <c r="J280" s="416"/>
    </row>
    <row r="281" spans="1:18" s="1" customFormat="1">
      <c r="A281" s="416" t="s">
        <v>469</v>
      </c>
      <c r="B281" s="416"/>
      <c r="C281" s="416"/>
      <c r="D281" s="416"/>
      <c r="E281" s="416"/>
      <c r="F281" s="416"/>
      <c r="G281" s="416"/>
      <c r="H281" s="416"/>
      <c r="I281" s="416"/>
      <c r="J281" s="416"/>
    </row>
    <row r="282" spans="1:18" s="1" customFormat="1">
      <c r="A282" s="416" t="s">
        <v>2010</v>
      </c>
      <c r="B282" s="416"/>
      <c r="C282" s="416"/>
      <c r="D282" s="416"/>
      <c r="E282" s="416"/>
      <c r="F282" s="416"/>
      <c r="G282" s="416"/>
      <c r="H282" s="416"/>
      <c r="I282" s="416"/>
      <c r="J282" s="416"/>
    </row>
    <row r="283" spans="1:18" s="1" customFormat="1">
      <c r="A283" s="416" t="s">
        <v>2011</v>
      </c>
      <c r="B283" s="416"/>
      <c r="C283" s="416"/>
      <c r="D283" s="416"/>
      <c r="E283" s="416"/>
      <c r="F283" s="416"/>
      <c r="G283" s="416"/>
      <c r="H283" s="416"/>
      <c r="I283" s="416"/>
      <c r="J283" s="416"/>
    </row>
    <row r="284" spans="1:18" s="1" customFormat="1">
      <c r="A284" s="416" t="s">
        <v>470</v>
      </c>
      <c r="B284" s="416"/>
      <c r="C284" s="416"/>
      <c r="D284" s="416"/>
      <c r="E284" s="416"/>
      <c r="F284" s="416"/>
      <c r="G284" s="416"/>
      <c r="H284" s="416"/>
      <c r="I284" s="416"/>
      <c r="J284" s="416"/>
    </row>
    <row r="285" spans="1:18" s="1" customFormat="1">
      <c r="A285" s="416" t="s">
        <v>465</v>
      </c>
      <c r="B285" s="416"/>
      <c r="C285" s="416"/>
      <c r="D285" s="416"/>
      <c r="E285" s="416"/>
      <c r="F285" s="416"/>
      <c r="G285" s="416"/>
      <c r="H285" s="416"/>
      <c r="I285" s="416"/>
      <c r="J285" s="416"/>
    </row>
    <row r="286" spans="1:18" s="1" customFormat="1">
      <c r="A286" s="416" t="s">
        <v>466</v>
      </c>
      <c r="B286" s="416"/>
      <c r="C286" s="416"/>
      <c r="D286" s="416"/>
      <c r="E286" s="416"/>
      <c r="F286" s="416"/>
      <c r="G286" s="416"/>
      <c r="H286" s="416"/>
      <c r="I286" s="416"/>
      <c r="J286" s="416"/>
    </row>
    <row r="287" spans="1:18" s="1" customFormat="1">
      <c r="A287" s="416" t="s">
        <v>471</v>
      </c>
      <c r="B287" s="416"/>
      <c r="C287" s="416"/>
      <c r="D287" s="416"/>
      <c r="E287" s="416"/>
      <c r="F287" s="416"/>
      <c r="G287" s="416"/>
      <c r="H287" s="416"/>
      <c r="I287" s="416"/>
      <c r="J287" s="416"/>
    </row>
    <row r="288" spans="1:18" s="1" customFormat="1"/>
    <row r="289" spans="1:15" s="1" customFormat="1">
      <c r="A289" s="414" t="s">
        <v>2589</v>
      </c>
    </row>
    <row r="290" spans="1:15" s="1" customFormat="1">
      <c r="A290" s="1" t="s">
        <v>2590</v>
      </c>
    </row>
    <row r="291" spans="1:15" s="1" customFormat="1"/>
    <row r="292" spans="1:15" s="1" customFormat="1">
      <c r="A292" s="414" t="s">
        <v>2603</v>
      </c>
    </row>
    <row r="293" spans="1:15" s="1" customFormat="1">
      <c r="A293" s="1" t="s">
        <v>2604</v>
      </c>
    </row>
    <row r="294" spans="1:15" s="1" customFormat="1"/>
    <row r="296" spans="1:15">
      <c r="A296" s="416" t="s">
        <v>2594</v>
      </c>
      <c r="B296" s="425"/>
      <c r="C296" s="425"/>
      <c r="D296" s="425"/>
      <c r="E296" s="425"/>
      <c r="F296" s="425"/>
      <c r="G296" s="425"/>
      <c r="H296" s="425"/>
      <c r="I296" s="425"/>
      <c r="J296" s="425"/>
      <c r="K296" s="425"/>
      <c r="L296" s="425"/>
      <c r="M296" s="425"/>
      <c r="N296" s="425"/>
      <c r="O296" s="425"/>
    </row>
    <row r="297" spans="1:15">
      <c r="A297" s="426" t="s">
        <v>2602</v>
      </c>
      <c r="B297" s="425"/>
      <c r="C297" s="425"/>
      <c r="D297" s="425"/>
      <c r="E297" s="425"/>
      <c r="F297" s="425"/>
      <c r="G297" s="425"/>
      <c r="H297" s="425"/>
      <c r="I297" s="425"/>
      <c r="J297" s="425"/>
      <c r="K297" s="425"/>
      <c r="L297" s="425"/>
      <c r="M297" s="425"/>
      <c r="N297" s="425"/>
      <c r="O297" s="425"/>
    </row>
    <row r="298" spans="1:15" s="1" customFormat="1">
      <c r="A298" s="416"/>
      <c r="B298" s="416"/>
      <c r="C298" s="416"/>
      <c r="D298" s="416"/>
      <c r="E298" s="416"/>
      <c r="F298" s="416"/>
      <c r="G298" s="416"/>
      <c r="H298" s="416"/>
      <c r="I298" s="416"/>
      <c r="J298" s="416"/>
      <c r="K298" s="416"/>
      <c r="L298" s="416"/>
      <c r="M298" s="416"/>
      <c r="N298" s="416"/>
      <c r="O298" s="416"/>
    </row>
    <row r="299" spans="1:15" s="1" customFormat="1">
      <c r="A299" s="416" t="s">
        <v>2591</v>
      </c>
      <c r="B299" s="416"/>
      <c r="C299" s="416"/>
      <c r="D299" s="416"/>
      <c r="E299" s="416"/>
      <c r="F299" s="416"/>
      <c r="G299" s="416"/>
      <c r="H299" s="416"/>
      <c r="I299" s="416"/>
      <c r="J299" s="416"/>
      <c r="K299" s="416"/>
      <c r="L299" s="416"/>
      <c r="M299" s="416"/>
      <c r="N299" s="416"/>
      <c r="O299" s="416"/>
    </row>
    <row r="300" spans="1:15" s="1" customFormat="1">
      <c r="A300" s="427" t="s">
        <v>2595</v>
      </c>
      <c r="B300" s="416"/>
      <c r="C300" s="416"/>
      <c r="D300" s="416"/>
      <c r="E300" s="416"/>
      <c r="F300" s="416"/>
      <c r="G300" s="416"/>
      <c r="H300" s="416"/>
      <c r="I300" s="416"/>
      <c r="J300" s="416"/>
      <c r="K300" s="416"/>
      <c r="L300" s="416"/>
      <c r="M300" s="416"/>
      <c r="N300" s="416"/>
      <c r="O300" s="416"/>
    </row>
    <row r="301" spans="1:15" s="1" customFormat="1">
      <c r="A301" s="427" t="s">
        <v>2599</v>
      </c>
      <c r="B301" s="416"/>
      <c r="C301" s="416"/>
      <c r="D301" s="416"/>
      <c r="E301" s="416"/>
      <c r="F301" s="416"/>
      <c r="G301" s="416"/>
      <c r="H301" s="416"/>
      <c r="I301" s="416"/>
      <c r="J301" s="416"/>
      <c r="K301" s="416"/>
      <c r="L301" s="416"/>
      <c r="M301" s="416"/>
      <c r="N301" s="416"/>
      <c r="O301" s="416"/>
    </row>
    <row r="302" spans="1:15" s="1" customFormat="1">
      <c r="A302" s="427" t="s">
        <v>2596</v>
      </c>
      <c r="B302" s="416"/>
      <c r="C302" s="416"/>
      <c r="D302" s="416"/>
      <c r="E302" s="416"/>
      <c r="F302" s="416"/>
      <c r="G302" s="416"/>
      <c r="H302" s="416"/>
      <c r="I302" s="416"/>
      <c r="J302" s="416"/>
      <c r="K302" s="416"/>
      <c r="L302" s="416"/>
      <c r="M302" s="416"/>
      <c r="N302" s="416"/>
      <c r="O302" s="416"/>
    </row>
    <row r="303" spans="1:15" s="1" customFormat="1">
      <c r="A303" s="427" t="s">
        <v>2597</v>
      </c>
      <c r="B303" s="416"/>
      <c r="C303" s="416"/>
      <c r="D303" s="416"/>
      <c r="E303" s="416"/>
      <c r="F303" s="416"/>
      <c r="G303" s="416"/>
      <c r="H303" s="416"/>
      <c r="I303" s="416"/>
      <c r="J303" s="416"/>
      <c r="K303" s="416"/>
      <c r="L303" s="416"/>
      <c r="M303" s="416"/>
      <c r="N303" s="416"/>
      <c r="O303" s="416"/>
    </row>
    <row r="304" spans="1:15" s="1" customFormat="1">
      <c r="A304" s="427" t="s">
        <v>2598</v>
      </c>
      <c r="B304" s="416"/>
      <c r="C304" s="416"/>
      <c r="D304" s="416"/>
      <c r="E304" s="416"/>
      <c r="F304" s="416"/>
      <c r="G304" s="416"/>
      <c r="H304" s="416"/>
      <c r="I304" s="416"/>
      <c r="J304" s="416"/>
      <c r="K304" s="416"/>
      <c r="L304" s="416"/>
      <c r="M304" s="416"/>
      <c r="N304" s="416"/>
      <c r="O304" s="416"/>
    </row>
    <row r="305" spans="1:15" s="1" customFormat="1">
      <c r="A305" s="428" t="s">
        <v>2592</v>
      </c>
      <c r="B305" s="416"/>
      <c r="C305" s="416"/>
      <c r="D305" s="416"/>
      <c r="E305" s="416"/>
      <c r="F305" s="416"/>
      <c r="G305" s="416"/>
      <c r="H305" s="416"/>
      <c r="I305" s="416"/>
      <c r="J305" s="416"/>
      <c r="K305" s="416"/>
      <c r="L305" s="416"/>
      <c r="M305" s="416"/>
      <c r="N305" s="416"/>
      <c r="O305" s="416"/>
    </row>
    <row r="306" spans="1:15" s="1" customFormat="1">
      <c r="A306" s="416" t="s">
        <v>2593</v>
      </c>
      <c r="B306" s="416"/>
      <c r="C306" s="416"/>
      <c r="D306" s="416"/>
      <c r="E306" s="416"/>
      <c r="F306" s="416"/>
      <c r="G306" s="416"/>
      <c r="H306" s="416"/>
      <c r="I306" s="416"/>
      <c r="J306" s="416"/>
      <c r="K306" s="416"/>
      <c r="L306" s="416"/>
      <c r="M306" s="416"/>
      <c r="N306" s="416"/>
      <c r="O306" s="416"/>
    </row>
    <row r="307" spans="1:15" s="1" customFormat="1">
      <c r="A307" s="416"/>
      <c r="B307" s="416"/>
      <c r="C307" s="416"/>
      <c r="D307" s="416"/>
      <c r="E307" s="416"/>
      <c r="F307" s="416"/>
      <c r="G307" s="416"/>
      <c r="H307" s="416"/>
      <c r="I307" s="416"/>
      <c r="J307" s="416"/>
      <c r="K307" s="416"/>
      <c r="L307" s="416"/>
      <c r="M307" s="416"/>
      <c r="N307" s="416"/>
      <c r="O307" s="416"/>
    </row>
    <row r="308" spans="1:15" s="1" customFormat="1">
      <c r="A308" s="416" t="s">
        <v>2600</v>
      </c>
      <c r="B308" s="416"/>
      <c r="C308" s="416"/>
      <c r="D308" s="416"/>
      <c r="E308" s="416"/>
      <c r="F308" s="416"/>
      <c r="G308" s="416"/>
      <c r="H308" s="416"/>
      <c r="I308" s="416"/>
      <c r="J308" s="416"/>
      <c r="K308" s="416"/>
      <c r="L308" s="416"/>
      <c r="M308" s="416"/>
      <c r="N308" s="416"/>
      <c r="O308" s="416"/>
    </row>
    <row r="310" spans="1:15">
      <c r="A310" s="414" t="s">
        <v>472</v>
      </c>
    </row>
    <row r="311" spans="1:15">
      <c r="A311" s="1" t="s">
        <v>2605</v>
      </c>
    </row>
    <row r="312" spans="1:15">
      <c r="A312" s="1" t="s">
        <v>448</v>
      </c>
    </row>
    <row r="313" spans="1:15">
      <c r="A313" s="1" t="s">
        <v>449</v>
      </c>
    </row>
    <row r="315" spans="1:15">
      <c r="A315" s="421" t="s">
        <v>473</v>
      </c>
      <c r="B315" s="424"/>
      <c r="C315" s="424"/>
      <c r="D315" s="424"/>
      <c r="E315" s="424"/>
      <c r="F315" s="424"/>
      <c r="G315" s="424"/>
      <c r="H315" s="424"/>
      <c r="I315" s="424"/>
      <c r="J315" s="424"/>
    </row>
    <row r="316" spans="1:15">
      <c r="A316" s="422" t="s">
        <v>474</v>
      </c>
      <c r="B316" s="424"/>
      <c r="C316" s="424"/>
      <c r="D316" s="424"/>
      <c r="E316" s="424"/>
      <c r="F316" s="424"/>
      <c r="G316" s="424"/>
      <c r="H316" s="424"/>
      <c r="I316" s="424"/>
      <c r="J316" s="424"/>
    </row>
    <row r="317" spans="1:15">
      <c r="A317" s="423" t="s">
        <v>841</v>
      </c>
      <c r="B317" s="424"/>
      <c r="C317" s="424"/>
      <c r="D317" s="424"/>
      <c r="E317" s="424"/>
      <c r="F317" s="424"/>
      <c r="G317" s="424"/>
      <c r="H317" s="424"/>
      <c r="I317" s="424"/>
      <c r="J317" s="424"/>
    </row>
    <row r="318" spans="1:15">
      <c r="A318" s="423" t="s">
        <v>842</v>
      </c>
      <c r="B318" s="424"/>
      <c r="C318" s="424"/>
      <c r="D318" s="424"/>
      <c r="E318" s="424"/>
      <c r="F318" s="424"/>
      <c r="G318" s="424"/>
      <c r="H318" s="424"/>
      <c r="I318" s="424"/>
      <c r="J318" s="424"/>
    </row>
    <row r="319" spans="1:15">
      <c r="A319" s="423" t="s">
        <v>843</v>
      </c>
      <c r="B319" s="424"/>
      <c r="C319" s="424"/>
      <c r="D319" s="424"/>
      <c r="E319" s="424"/>
      <c r="F319" s="424"/>
      <c r="G319" s="424"/>
      <c r="H319" s="424"/>
      <c r="I319" s="424"/>
      <c r="J319" s="424"/>
    </row>
    <row r="320" spans="1:15">
      <c r="A320" s="423" t="s">
        <v>844</v>
      </c>
      <c r="B320" s="424"/>
      <c r="C320" s="424"/>
      <c r="D320" s="424"/>
      <c r="E320" s="424"/>
      <c r="F320" s="424"/>
      <c r="G320" s="424"/>
      <c r="H320" s="424"/>
      <c r="I320" s="424"/>
      <c r="J320" s="424"/>
    </row>
    <row r="321" spans="1:10">
      <c r="A321" s="423" t="s">
        <v>845</v>
      </c>
      <c r="B321" s="424"/>
      <c r="C321" s="424"/>
      <c r="D321" s="424"/>
      <c r="E321" s="424"/>
      <c r="F321" s="424"/>
      <c r="G321" s="424"/>
      <c r="H321" s="424"/>
      <c r="I321" s="424"/>
      <c r="J321" s="424"/>
    </row>
    <row r="322" spans="1:10" s="402" customFormat="1">
      <c r="A322" s="2"/>
    </row>
    <row r="323" spans="1:10" s="402" customFormat="1">
      <c r="A323" s="1" t="s">
        <v>850</v>
      </c>
    </row>
    <row r="324" spans="1:10" s="402" customFormat="1">
      <c r="A324" s="414" t="s">
        <v>851</v>
      </c>
    </row>
    <row r="325" spans="1:10" s="402" customFormat="1">
      <c r="A325" s="2" t="s">
        <v>852</v>
      </c>
    </row>
    <row r="326" spans="1:10" s="402" customFormat="1">
      <c r="A326" s="2" t="s">
        <v>853</v>
      </c>
    </row>
    <row r="327" spans="1:10" s="402" customFormat="1">
      <c r="A327" s="2" t="s">
        <v>854</v>
      </c>
    </row>
    <row r="328" spans="1:10" s="402" customFormat="1">
      <c r="A328" s="222" t="s">
        <v>855</v>
      </c>
    </row>
    <row r="329" spans="1:10" s="402" customFormat="1">
      <c r="A329" s="1" t="s">
        <v>846</v>
      </c>
    </row>
    <row r="330" spans="1:10" s="402" customFormat="1">
      <c r="A330" s="1" t="s">
        <v>847</v>
      </c>
    </row>
    <row r="331" spans="1:10" s="402" customFormat="1">
      <c r="A331" s="1" t="s">
        <v>856</v>
      </c>
    </row>
    <row r="332" spans="1:10" s="402" customFormat="1">
      <c r="A332" s="222" t="s">
        <v>857</v>
      </c>
    </row>
    <row r="333" spans="1:10" s="402" customFormat="1">
      <c r="A333" s="1" t="s">
        <v>858</v>
      </c>
    </row>
    <row r="334" spans="1:10" s="402" customFormat="1">
      <c r="A334" s="1" t="s">
        <v>848</v>
      </c>
    </row>
    <row r="335" spans="1:10" s="402" customFormat="1">
      <c r="A335" s="1" t="s">
        <v>859</v>
      </c>
    </row>
    <row r="336" spans="1:10" s="402" customFormat="1">
      <c r="A336" s="1" t="s">
        <v>860</v>
      </c>
    </row>
    <row r="337" spans="1:5" s="402" customFormat="1">
      <c r="A337" s="222" t="s">
        <v>861</v>
      </c>
    </row>
    <row r="338" spans="1:5" s="402" customFormat="1">
      <c r="A338" s="1" t="s">
        <v>862</v>
      </c>
    </row>
    <row r="339" spans="1:5" s="402" customFormat="1">
      <c r="A339" s="1" t="s">
        <v>863</v>
      </c>
    </row>
    <row r="341" spans="1:5">
      <c r="A341" s="414" t="s">
        <v>2608</v>
      </c>
      <c r="B341" s="1"/>
      <c r="C341" s="1"/>
      <c r="D341" s="1"/>
      <c r="E341" s="1"/>
    </row>
    <row r="342" spans="1:5">
      <c r="A342" s="1" t="s">
        <v>849</v>
      </c>
      <c r="B342" s="1"/>
      <c r="C342" s="1"/>
      <c r="D342" s="1"/>
      <c r="E342" s="1"/>
    </row>
    <row r="343" spans="1:5">
      <c r="A343" s="1" t="s">
        <v>491</v>
      </c>
    </row>
    <row r="344" spans="1:5">
      <c r="A344" s="1" t="s">
        <v>493</v>
      </c>
    </row>
    <row r="346" spans="1:5">
      <c r="A346" s="1" t="s">
        <v>868</v>
      </c>
    </row>
    <row r="347" spans="1:5">
      <c r="A347" s="1" t="s">
        <v>867</v>
      </c>
    </row>
    <row r="348" spans="1:5">
      <c r="A348" s="1" t="s">
        <v>869</v>
      </c>
    </row>
    <row r="349" spans="1:5">
      <c r="A349" s="1" t="s">
        <v>870</v>
      </c>
    </row>
    <row r="350" spans="1:5">
      <c r="A350" s="1" t="s">
        <v>871</v>
      </c>
    </row>
    <row r="351" spans="1:5">
      <c r="A351" s="224" t="s">
        <v>103</v>
      </c>
    </row>
    <row r="352" spans="1:5">
      <c r="A352" s="1" t="s">
        <v>494</v>
      </c>
    </row>
    <row r="353" spans="1:1">
      <c r="A353" s="1" t="s">
        <v>495</v>
      </c>
    </row>
    <row r="354" spans="1:1">
      <c r="A354" s="1" t="s">
        <v>496</v>
      </c>
    </row>
    <row r="355" spans="1:1">
      <c r="A355" s="302" t="s">
        <v>1693</v>
      </c>
    </row>
    <row r="356" spans="1:1">
      <c r="A356" s="1" t="s">
        <v>1689</v>
      </c>
    </row>
    <row r="357" spans="1:1">
      <c r="A357" s="1" t="s">
        <v>492</v>
      </c>
    </row>
    <row r="358" spans="1:1">
      <c r="A358" s="1" t="s">
        <v>2612</v>
      </c>
    </row>
    <row r="359" spans="1:1">
      <c r="A359" s="1" t="s">
        <v>2613</v>
      </c>
    </row>
    <row r="360" spans="1:1">
      <c r="A360" s="1"/>
    </row>
    <row r="361" spans="1:1">
      <c r="A361" s="1" t="s">
        <v>482</v>
      </c>
    </row>
    <row r="362" spans="1:1">
      <c r="A362" s="1"/>
    </row>
    <row r="363" spans="1:1">
      <c r="A363" s="414" t="s">
        <v>2607</v>
      </c>
    </row>
    <row r="365" spans="1:1">
      <c r="A365" s="1" t="s">
        <v>2610</v>
      </c>
    </row>
    <row r="366" spans="1:1">
      <c r="A366" s="1" t="s">
        <v>2609</v>
      </c>
    </row>
    <row r="367" spans="1:1">
      <c r="A367" s="426" t="s">
        <v>2602</v>
      </c>
    </row>
    <row r="369" spans="1:9">
      <c r="A369" s="1" t="s">
        <v>2666</v>
      </c>
    </row>
    <row r="370" spans="1:9">
      <c r="A370" s="569" t="s">
        <v>2667</v>
      </c>
      <c r="B370" s="569"/>
      <c r="C370" s="569"/>
      <c r="D370" s="569"/>
      <c r="E370" s="569"/>
      <c r="F370" s="569"/>
      <c r="G370" s="246"/>
      <c r="H370" s="246"/>
      <c r="I370" s="246"/>
    </row>
    <row r="371" spans="1:9">
      <c r="A371" s="420" t="s">
        <v>2646</v>
      </c>
      <c r="B371" s="246"/>
      <c r="C371" s="246"/>
      <c r="D371" s="420" t="s">
        <v>2657</v>
      </c>
      <c r="E371" s="246"/>
      <c r="F371" s="246"/>
      <c r="G371" s="246"/>
      <c r="H371" s="246"/>
      <c r="I371" s="246"/>
    </row>
    <row r="372" spans="1:9">
      <c r="A372" s="420" t="s">
        <v>2645</v>
      </c>
      <c r="B372" s="246"/>
      <c r="C372" s="246"/>
      <c r="D372" s="420" t="s">
        <v>2658</v>
      </c>
      <c r="E372" s="246"/>
      <c r="F372" s="246"/>
      <c r="G372" s="246"/>
      <c r="H372" s="246"/>
      <c r="I372" s="246"/>
    </row>
    <row r="373" spans="1:9">
      <c r="A373" s="246">
        <f t="shared" ref="A373:A379" si="0">+C373-B373</f>
        <v>8</v>
      </c>
      <c r="B373" s="420">
        <v>1954</v>
      </c>
      <c r="C373" s="420">
        <v>1962</v>
      </c>
      <c r="D373" s="420">
        <v>5</v>
      </c>
      <c r="E373" s="420" t="s">
        <v>2643</v>
      </c>
      <c r="F373" s="246"/>
      <c r="G373" s="246"/>
      <c r="H373" s="246"/>
      <c r="I373" s="246"/>
    </row>
    <row r="374" spans="1:9">
      <c r="A374" s="246">
        <f t="shared" si="0"/>
        <v>7</v>
      </c>
      <c r="B374" s="420">
        <v>1962</v>
      </c>
      <c r="C374" s="570">
        <v>1969</v>
      </c>
      <c r="D374" s="569">
        <v>14</v>
      </c>
      <c r="E374" s="420" t="s">
        <v>2614</v>
      </c>
      <c r="F374" s="246"/>
      <c r="G374" s="246"/>
      <c r="H374" s="246"/>
      <c r="I374" s="246"/>
    </row>
    <row r="375" spans="1:9">
      <c r="A375" s="246">
        <f t="shared" si="0"/>
        <v>11</v>
      </c>
      <c r="B375" s="570">
        <v>1969</v>
      </c>
      <c r="C375" s="420">
        <v>1980</v>
      </c>
      <c r="D375" s="569">
        <v>2</v>
      </c>
      <c r="E375" s="420" t="s">
        <v>2644</v>
      </c>
      <c r="F375" s="246"/>
      <c r="G375" s="246"/>
      <c r="H375" s="246"/>
      <c r="I375" s="246"/>
    </row>
    <row r="376" spans="1:9">
      <c r="A376" s="246">
        <f t="shared" si="0"/>
        <v>11</v>
      </c>
      <c r="B376" s="420">
        <v>1980</v>
      </c>
      <c r="C376" s="420">
        <v>1991</v>
      </c>
      <c r="D376" s="246">
        <v>-4</v>
      </c>
      <c r="E376" s="420" t="s">
        <v>2617</v>
      </c>
      <c r="F376" s="246"/>
      <c r="G376" s="246"/>
      <c r="H376" s="246"/>
      <c r="I376" s="246"/>
    </row>
    <row r="377" spans="1:9">
      <c r="A377" s="246">
        <f t="shared" si="0"/>
        <v>9</v>
      </c>
      <c r="B377" s="420">
        <v>1991</v>
      </c>
      <c r="C377" s="420">
        <v>2000</v>
      </c>
      <c r="D377" s="246">
        <v>2</v>
      </c>
      <c r="E377" s="420" t="s">
        <v>2644</v>
      </c>
      <c r="F377" s="246"/>
      <c r="G377" s="246"/>
      <c r="H377" s="246"/>
      <c r="I377" s="246"/>
    </row>
    <row r="378" spans="1:9">
      <c r="A378" s="246">
        <f t="shared" si="0"/>
        <v>8</v>
      </c>
      <c r="B378" s="420">
        <v>2000</v>
      </c>
      <c r="C378" s="420">
        <v>2008</v>
      </c>
      <c r="D378" s="569">
        <v>10</v>
      </c>
      <c r="E378" s="420" t="s">
        <v>2615</v>
      </c>
      <c r="F378" s="246"/>
      <c r="G378" s="246"/>
      <c r="H378" s="246"/>
      <c r="I378" s="246"/>
    </row>
    <row r="379" spans="1:9">
      <c r="A379" s="246">
        <f t="shared" si="0"/>
        <v>8</v>
      </c>
      <c r="B379" s="420">
        <v>2008</v>
      </c>
      <c r="C379" s="246">
        <v>2016</v>
      </c>
      <c r="D379" s="246">
        <v>-4</v>
      </c>
      <c r="E379" s="420" t="s">
        <v>2618</v>
      </c>
      <c r="F379" s="246"/>
      <c r="G379" s="246"/>
      <c r="H379" s="246"/>
      <c r="I379" s="246"/>
    </row>
    <row r="380" spans="1:9">
      <c r="A380" s="246">
        <v>1</v>
      </c>
      <c r="B380" s="420">
        <v>2016</v>
      </c>
      <c r="C380" s="246">
        <v>2017</v>
      </c>
      <c r="D380" s="246">
        <v>30</v>
      </c>
      <c r="E380" s="420" t="s">
        <v>2619</v>
      </c>
      <c r="F380" s="246"/>
      <c r="G380" s="246"/>
      <c r="H380" s="246"/>
      <c r="I380" s="246"/>
    </row>
    <row r="381" spans="1:9">
      <c r="A381" s="246"/>
      <c r="B381" s="420"/>
      <c r="C381" s="246"/>
      <c r="D381" s="246"/>
      <c r="E381" s="420"/>
      <c r="F381" s="246"/>
      <c r="G381" s="246"/>
      <c r="H381" s="246"/>
      <c r="I381" s="246"/>
    </row>
    <row r="382" spans="1:9">
      <c r="A382" s="246">
        <f>+C382-B382</f>
        <v>63</v>
      </c>
      <c r="B382" s="420">
        <v>1954</v>
      </c>
      <c r="C382" s="246">
        <v>2017</v>
      </c>
      <c r="D382" s="246">
        <v>2.5</v>
      </c>
      <c r="E382" s="420" t="s">
        <v>2642</v>
      </c>
      <c r="F382" s="246"/>
      <c r="G382" s="246"/>
      <c r="H382" s="246"/>
      <c r="I382" s="246"/>
    </row>
    <row r="383" spans="1:9">
      <c r="A383" s="246"/>
      <c r="B383" s="420"/>
      <c r="C383" s="246"/>
      <c r="D383" s="246"/>
      <c r="E383" s="420"/>
      <c r="F383" s="246"/>
      <c r="G383" s="246"/>
      <c r="H383" s="246"/>
      <c r="I383" s="246"/>
    </row>
    <row r="384" spans="1:9">
      <c r="A384" s="246">
        <f>+C384-B384</f>
        <v>7</v>
      </c>
      <c r="B384" s="420">
        <v>2019</v>
      </c>
      <c r="C384" s="246">
        <v>2026</v>
      </c>
      <c r="D384" s="246">
        <v>3</v>
      </c>
      <c r="E384" s="420" t="s">
        <v>2616</v>
      </c>
      <c r="F384" s="246"/>
      <c r="G384" s="246"/>
      <c r="H384" s="246"/>
      <c r="I384" s="246"/>
    </row>
    <row r="385" spans="1:9">
      <c r="A385" s="246">
        <f>+C385-B385</f>
        <v>7</v>
      </c>
      <c r="B385" s="420">
        <v>2026</v>
      </c>
      <c r="C385" s="246">
        <v>2033</v>
      </c>
      <c r="D385" s="246">
        <v>3</v>
      </c>
      <c r="E385" s="420" t="s">
        <v>2616</v>
      </c>
      <c r="F385" s="246"/>
      <c r="G385" s="246"/>
      <c r="H385" s="246"/>
      <c r="I385" s="246"/>
    </row>
    <row r="387" spans="1:9">
      <c r="A387" s="1" t="s">
        <v>2620</v>
      </c>
    </row>
    <row r="388" spans="1:9">
      <c r="G388" s="1" t="s">
        <v>1344</v>
      </c>
    </row>
    <row r="389" spans="1:9" s="1" customFormat="1">
      <c r="A389" s="414" t="s">
        <v>2664</v>
      </c>
    </row>
    <row r="390" spans="1:9" s="1" customFormat="1">
      <c r="A390" s="414" t="s">
        <v>2648</v>
      </c>
    </row>
    <row r="391" spans="1:9" s="1" customFormat="1">
      <c r="A391" s="1" t="s">
        <v>2622</v>
      </c>
    </row>
    <row r="392" spans="1:9" s="1" customFormat="1">
      <c r="A392" s="1" t="s">
        <v>2623</v>
      </c>
    </row>
    <row r="393" spans="1:9" s="1" customFormat="1">
      <c r="A393" s="1" t="s">
        <v>2624</v>
      </c>
    </row>
    <row r="394" spans="1:9" s="1" customFormat="1">
      <c r="A394" s="1" t="s">
        <v>2649</v>
      </c>
    </row>
    <row r="395" spans="1:9" s="1" customFormat="1">
      <c r="A395" s="1" t="s">
        <v>2650</v>
      </c>
    </row>
    <row r="396" spans="1:9" s="1" customFormat="1">
      <c r="A396" s="1" t="s">
        <v>2659</v>
      </c>
    </row>
    <row r="397" spans="1:9" s="1" customFormat="1">
      <c r="A397" s="1" t="s">
        <v>2660</v>
      </c>
    </row>
    <row r="398" spans="1:9" s="1" customFormat="1">
      <c r="A398" s="1" t="s">
        <v>2651</v>
      </c>
    </row>
    <row r="399" spans="1:9" s="1" customFormat="1">
      <c r="A399" s="1" t="s">
        <v>2652</v>
      </c>
    </row>
    <row r="400" spans="1:9" s="1" customFormat="1">
      <c r="A400" s="1" t="s">
        <v>2653</v>
      </c>
    </row>
    <row r="401" spans="1:10" s="1" customFormat="1">
      <c r="A401" s="1" t="s">
        <v>2638</v>
      </c>
    </row>
    <row r="402" spans="1:10" s="1" customFormat="1">
      <c r="A402" s="1" t="s">
        <v>2654</v>
      </c>
    </row>
    <row r="403" spans="1:10" s="1" customFormat="1"/>
    <row r="404" spans="1:10" s="1" customFormat="1">
      <c r="A404" s="1" t="s">
        <v>2661</v>
      </c>
    </row>
    <row r="405" spans="1:10" s="1" customFormat="1">
      <c r="A405" s="2" t="s">
        <v>2665</v>
      </c>
    </row>
    <row r="406" spans="1:10" s="1" customFormat="1"/>
    <row r="407" spans="1:10" s="1" customFormat="1">
      <c r="A407" s="1" t="s">
        <v>2673</v>
      </c>
    </row>
    <row r="408" spans="1:10" s="1" customFormat="1"/>
    <row r="409" spans="1:10" s="593" customFormat="1" ht="24.75" customHeight="1">
      <c r="A409" s="594" t="s">
        <v>2021</v>
      </c>
      <c r="B409" s="595"/>
      <c r="C409" s="595"/>
      <c r="D409" s="595"/>
      <c r="E409" s="595"/>
      <c r="F409" s="595"/>
      <c r="G409" s="595"/>
      <c r="H409" s="595"/>
      <c r="I409" s="595"/>
      <c r="J409" s="595"/>
    </row>
    <row r="410" spans="1:10" s="593" customFormat="1" ht="20.25" customHeight="1">
      <c r="A410" s="2" t="s">
        <v>2026</v>
      </c>
    </row>
    <row r="411" spans="1:10" s="1" customFormat="1">
      <c r="A411" s="592" t="s">
        <v>2024</v>
      </c>
      <c r="B411" s="591"/>
      <c r="C411" s="591"/>
      <c r="D411" s="591"/>
      <c r="E411" s="591"/>
      <c r="F411" s="591"/>
      <c r="G411" s="591"/>
      <c r="H411" s="591"/>
      <c r="I411" s="591"/>
      <c r="J411" s="591"/>
    </row>
    <row r="412" spans="1:10" s="1" customFormat="1">
      <c r="A412" s="1" t="s">
        <v>2023</v>
      </c>
    </row>
    <row r="413" spans="1:10" s="1" customFormat="1">
      <c r="A413" s="1" t="s">
        <v>2027</v>
      </c>
    </row>
    <row r="414" spans="1:10" s="1" customFormat="1">
      <c r="A414" s="2" t="s">
        <v>2025</v>
      </c>
      <c r="B414" s="2"/>
      <c r="C414" s="2"/>
      <c r="D414" s="2"/>
      <c r="E414" s="2"/>
      <c r="F414" s="2"/>
      <c r="G414" s="2"/>
    </row>
    <row r="415" spans="1:10" s="1" customFormat="1">
      <c r="A415" s="2"/>
      <c r="B415" s="2"/>
      <c r="C415" s="2"/>
      <c r="D415" s="2"/>
      <c r="E415" s="2"/>
      <c r="F415" s="2"/>
      <c r="G415" s="2"/>
    </row>
    <row r="416" spans="1:10">
      <c r="A416" s="1" t="s">
        <v>2028</v>
      </c>
    </row>
    <row r="417" spans="1:2">
      <c r="A417" s="1" t="s">
        <v>2029</v>
      </c>
    </row>
    <row r="418" spans="1:2">
      <c r="A418" s="1" t="s">
        <v>2030</v>
      </c>
    </row>
    <row r="419" spans="1:2">
      <c r="A419" s="568" t="s">
        <v>2662</v>
      </c>
    </row>
    <row r="420" spans="1:2">
      <c r="A420" s="1" t="s">
        <v>2031</v>
      </c>
    </row>
    <row r="422" spans="1:2" ht="20.25">
      <c r="A422" s="594" t="s">
        <v>2034</v>
      </c>
    </row>
    <row r="423" spans="1:2">
      <c r="A423" s="1" t="s">
        <v>2035</v>
      </c>
    </row>
    <row r="426" spans="1:2">
      <c r="A426" s="1" t="s">
        <v>2036</v>
      </c>
    </row>
    <row r="427" spans="1:2">
      <c r="A427" s="1" t="s">
        <v>2038</v>
      </c>
    </row>
    <row r="428" spans="1:2" ht="20.25">
      <c r="A428" s="601" t="s">
        <v>2841</v>
      </c>
    </row>
    <row r="429" spans="1:2">
      <c r="A429" s="1" t="s">
        <v>2039</v>
      </c>
    </row>
    <row r="430" spans="1:2">
      <c r="A430" s="1" t="s">
        <v>2044</v>
      </c>
    </row>
    <row r="431" spans="1:2">
      <c r="A431" s="1" t="s">
        <v>2843</v>
      </c>
    </row>
    <row r="432" spans="1:2">
      <c r="A432" s="410" t="s">
        <v>2842</v>
      </c>
      <c r="B432" s="245"/>
    </row>
    <row r="433" spans="1:11">
      <c r="A433" s="1" t="s">
        <v>1087</v>
      </c>
    </row>
    <row r="434" spans="1:11">
      <c r="A434" s="1" t="s">
        <v>2827</v>
      </c>
    </row>
    <row r="435" spans="1:11">
      <c r="A435" s="1" t="s">
        <v>2828</v>
      </c>
    </row>
    <row r="436" spans="1:11">
      <c r="A436" s="1" t="s">
        <v>2040</v>
      </c>
    </row>
    <row r="437" spans="1:11">
      <c r="A437" s="1" t="s">
        <v>2829</v>
      </c>
    </row>
    <row r="438" spans="1:11">
      <c r="A438" s="1" t="s">
        <v>2837</v>
      </c>
    </row>
    <row r="439" spans="1:11">
      <c r="A439" s="1" t="s">
        <v>2830</v>
      </c>
    </row>
    <row r="440" spans="1:11">
      <c r="A440" s="1" t="s">
        <v>2838</v>
      </c>
    </row>
    <row r="441" spans="1:11">
      <c r="A441" s="1" t="s">
        <v>2831</v>
      </c>
    </row>
    <row r="443" spans="1:11">
      <c r="A443" s="1" t="s">
        <v>2844</v>
      </c>
    </row>
    <row r="445" spans="1:11">
      <c r="A445" s="1" t="s">
        <v>2850</v>
      </c>
    </row>
    <row r="446" spans="1:11">
      <c r="A446" s="1" t="s">
        <v>2856</v>
      </c>
      <c r="E446" s="610" t="s">
        <v>2855</v>
      </c>
      <c r="F446" s="610"/>
      <c r="G446" s="610"/>
      <c r="H446" s="610"/>
      <c r="I446" s="610"/>
      <c r="J446" s="610"/>
      <c r="K446" s="610"/>
    </row>
    <row r="447" spans="1:11">
      <c r="A447" s="1" t="s">
        <v>9</v>
      </c>
    </row>
    <row r="448" spans="1:11">
      <c r="A448" s="1" t="s">
        <v>2865</v>
      </c>
    </row>
    <row r="449" spans="1:9">
      <c r="A449" s="1" t="s">
        <v>3252</v>
      </c>
    </row>
    <row r="450" spans="1:9">
      <c r="A450" s="1" t="s">
        <v>1089</v>
      </c>
      <c r="C450" s="1"/>
    </row>
    <row r="451" spans="1:9">
      <c r="A451" s="1" t="s">
        <v>1086</v>
      </c>
    </row>
    <row r="452" spans="1:9">
      <c r="A452" s="1" t="s">
        <v>1090</v>
      </c>
    </row>
    <row r="453" spans="1:9">
      <c r="A453" s="1" t="s">
        <v>1091</v>
      </c>
    </row>
    <row r="454" spans="1:9">
      <c r="A454" s="222" t="s">
        <v>1088</v>
      </c>
    </row>
    <row r="456" spans="1:9" s="1" customFormat="1">
      <c r="A456" s="409" t="s">
        <v>1092</v>
      </c>
      <c r="B456" s="410"/>
      <c r="C456" s="410"/>
      <c r="D456" s="410"/>
      <c r="E456" s="410"/>
      <c r="F456" s="410"/>
      <c r="G456" s="410"/>
      <c r="H456" s="619">
        <f>325/300</f>
        <v>1.0833333333333333</v>
      </c>
      <c r="I456" s="619">
        <f>3*125/325</f>
        <v>1.1538461538461537</v>
      </c>
    </row>
    <row r="457" spans="1:9" s="1" customFormat="1">
      <c r="A457" s="1" t="s">
        <v>0</v>
      </c>
    </row>
    <row r="458" spans="1:9">
      <c r="A458" s="1" t="s">
        <v>1090</v>
      </c>
    </row>
    <row r="459" spans="1:9">
      <c r="A459" s="1" t="s">
        <v>1</v>
      </c>
    </row>
    <row r="460" spans="1:9">
      <c r="A460" s="1" t="s">
        <v>7</v>
      </c>
    </row>
    <row r="461" spans="1:9">
      <c r="A461" s="1" t="s">
        <v>2</v>
      </c>
    </row>
    <row r="462" spans="1:9">
      <c r="A462" s="1" t="s">
        <v>8</v>
      </c>
    </row>
    <row r="463" spans="1:9">
      <c r="A463" s="1" t="s">
        <v>3</v>
      </c>
    </row>
    <row r="464" spans="1:9">
      <c r="A464" s="1" t="s">
        <v>4</v>
      </c>
    </row>
    <row r="465" spans="1:3">
      <c r="A465" s="1" t="s">
        <v>5</v>
      </c>
      <c r="C465" s="1"/>
    </row>
    <row r="466" spans="1:3">
      <c r="A466" s="1" t="s">
        <v>6</v>
      </c>
    </row>
    <row r="467" spans="1:3">
      <c r="A467" s="1" t="s">
        <v>10</v>
      </c>
    </row>
    <row r="468" spans="1:3">
      <c r="A468" s="1" t="s">
        <v>11</v>
      </c>
    </row>
    <row r="470" spans="1:3">
      <c r="A470" s="620" t="s">
        <v>18</v>
      </c>
    </row>
    <row r="471" spans="1:3">
      <c r="A471" s="621" t="s">
        <v>13</v>
      </c>
    </row>
    <row r="472" spans="1:3">
      <c r="A472" s="621" t="s">
        <v>14</v>
      </c>
    </row>
    <row r="473" spans="1:3">
      <c r="A473" s="621" t="s">
        <v>15</v>
      </c>
    </row>
    <row r="474" spans="1:3">
      <c r="A474" s="621" t="s">
        <v>16</v>
      </c>
    </row>
    <row r="475" spans="1:3">
      <c r="A475" s="621" t="s">
        <v>17</v>
      </c>
    </row>
    <row r="476" spans="1:3">
      <c r="A476" s="621" t="s">
        <v>19</v>
      </c>
    </row>
    <row r="477" spans="1:3">
      <c r="A477" s="621" t="s">
        <v>12</v>
      </c>
    </row>
    <row r="478" spans="1:3">
      <c r="A478" s="621" t="s">
        <v>20</v>
      </c>
    </row>
    <row r="479" spans="1:3">
      <c r="A479" s="621" t="s">
        <v>21</v>
      </c>
    </row>
    <row r="480" spans="1:3">
      <c r="A480" s="621" t="s">
        <v>22</v>
      </c>
    </row>
    <row r="481" spans="1:1">
      <c r="A481" s="622" t="s">
        <v>23</v>
      </c>
    </row>
    <row r="482" spans="1:1">
      <c r="A482" s="224" t="s">
        <v>24</v>
      </c>
    </row>
    <row r="484" spans="1:1">
      <c r="A484" s="409" t="s">
        <v>25</v>
      </c>
    </row>
    <row r="485" spans="1:1">
      <c r="A485" s="224" t="s">
        <v>1597</v>
      </c>
    </row>
    <row r="487" spans="1:1">
      <c r="A487" s="409" t="s">
        <v>1384</v>
      </c>
    </row>
    <row r="488" spans="1:1">
      <c r="A488" s="224" t="s">
        <v>1965</v>
      </c>
    </row>
    <row r="489" spans="1:1">
      <c r="A489" s="224" t="s">
        <v>1968</v>
      </c>
    </row>
    <row r="490" spans="1:1">
      <c r="A490" s="568" t="s">
        <v>2662</v>
      </c>
    </row>
    <row r="491" spans="1:1">
      <c r="A491" s="224" t="s">
        <v>1385</v>
      </c>
    </row>
    <row r="492" spans="1:1">
      <c r="A492" s="224" t="s">
        <v>2675</v>
      </c>
    </row>
    <row r="493" spans="1:1">
      <c r="A493" s="273" t="s">
        <v>2676</v>
      </c>
    </row>
    <row r="495" spans="1:1">
      <c r="A495" s="409" t="s">
        <v>2769</v>
      </c>
    </row>
    <row r="496" spans="1:1">
      <c r="A496" s="1" t="s">
        <v>1500</v>
      </c>
    </row>
    <row r="497" spans="1:12">
      <c r="A497" s="1" t="s">
        <v>1501</v>
      </c>
    </row>
    <row r="499" spans="1:12">
      <c r="A499" s="409" t="s">
        <v>1502</v>
      </c>
    </row>
    <row r="500" spans="1:12">
      <c r="A500" s="1" t="s">
        <v>1503</v>
      </c>
    </row>
    <row r="501" spans="1:12">
      <c r="A501" s="1" t="s">
        <v>1505</v>
      </c>
    </row>
    <row r="502" spans="1:12">
      <c r="A502" s="1" t="s">
        <v>1504</v>
      </c>
    </row>
    <row r="504" spans="1:12">
      <c r="A504" s="222" t="s">
        <v>1509</v>
      </c>
    </row>
    <row r="505" spans="1:12">
      <c r="A505" s="1" t="s">
        <v>1506</v>
      </c>
    </row>
    <row r="506" spans="1:12">
      <c r="A506" s="1" t="s">
        <v>1525</v>
      </c>
    </row>
    <row r="507" spans="1:12">
      <c r="A507" s="1" t="s">
        <v>1508</v>
      </c>
    </row>
    <row r="509" spans="1:12">
      <c r="A509" s="222" t="s">
        <v>1509</v>
      </c>
    </row>
    <row r="510" spans="1:12">
      <c r="A510" s="1" t="s">
        <v>1510</v>
      </c>
    </row>
    <row r="511" spans="1:12">
      <c r="A511" s="1" t="s">
        <v>1511</v>
      </c>
    </row>
    <row r="512" spans="1:12">
      <c r="A512" s="416" t="s">
        <v>1526</v>
      </c>
      <c r="B512" s="425"/>
      <c r="C512" s="425"/>
      <c r="D512" s="425"/>
      <c r="E512" s="425"/>
      <c r="F512" s="425"/>
      <c r="G512" s="425"/>
      <c r="H512" s="425"/>
      <c r="I512" s="425"/>
      <c r="J512" s="425"/>
      <c r="K512" s="425"/>
      <c r="L512" s="425"/>
    </row>
    <row r="513" spans="1:12">
      <c r="A513" s="416" t="s">
        <v>1527</v>
      </c>
      <c r="B513" s="425"/>
      <c r="C513" s="425"/>
      <c r="D513" s="425"/>
      <c r="E513" s="425"/>
      <c r="F513" s="425"/>
      <c r="G513" s="425"/>
      <c r="H513" s="425"/>
      <c r="I513" s="425"/>
      <c r="J513" s="425"/>
      <c r="K513" s="425"/>
      <c r="L513" s="425"/>
    </row>
    <row r="514" spans="1:12">
      <c r="A514" s="416" t="s">
        <v>1528</v>
      </c>
      <c r="B514" s="425"/>
      <c r="C514" s="425"/>
      <c r="D514" s="425"/>
      <c r="E514" s="425"/>
      <c r="F514" s="425"/>
      <c r="G514" s="425"/>
      <c r="H514" s="425"/>
      <c r="I514" s="425"/>
      <c r="J514" s="425"/>
      <c r="K514" s="425"/>
      <c r="L514" s="425"/>
    </row>
    <row r="515" spans="1:12" s="2" customFormat="1">
      <c r="A515" s="2" t="s">
        <v>605</v>
      </c>
    </row>
    <row r="516" spans="1:12" s="2" customFormat="1">
      <c r="A516" s="2" t="s">
        <v>1344</v>
      </c>
    </row>
    <row r="517" spans="1:12">
      <c r="A517" s="222" t="s">
        <v>604</v>
      </c>
    </row>
    <row r="518" spans="1:12" s="1" customFormat="1">
      <c r="A518" s="1" t="s">
        <v>617</v>
      </c>
    </row>
    <row r="519" spans="1:12">
      <c r="A519" s="1" t="s">
        <v>613</v>
      </c>
    </row>
    <row r="520" spans="1:12" s="2" customFormat="1">
      <c r="A520" s="2" t="s">
        <v>612</v>
      </c>
    </row>
    <row r="521" spans="1:12" s="2" customFormat="1">
      <c r="A521" s="2" t="s">
        <v>606</v>
      </c>
    </row>
    <row r="522" spans="1:12" s="2" customFormat="1">
      <c r="A522" s="2" t="s">
        <v>614</v>
      </c>
    </row>
    <row r="523" spans="1:12" s="2" customFormat="1">
      <c r="A523" s="2" t="s">
        <v>607</v>
      </c>
    </row>
    <row r="524" spans="1:12" s="2" customFormat="1">
      <c r="A524" s="2" t="s">
        <v>608</v>
      </c>
    </row>
    <row r="525" spans="1:12" s="2" customFormat="1">
      <c r="A525" s="2" t="s">
        <v>609</v>
      </c>
    </row>
    <row r="526" spans="1:12" s="1" customFormat="1">
      <c r="A526" s="1" t="s">
        <v>610</v>
      </c>
    </row>
    <row r="527" spans="1:12" s="1" customFormat="1">
      <c r="A527" s="222" t="s">
        <v>615</v>
      </c>
    </row>
    <row r="528" spans="1:12">
      <c r="A528" s="1" t="s">
        <v>696</v>
      </c>
    </row>
    <row r="529" spans="1:1" s="1" customFormat="1">
      <c r="A529" s="1" t="s">
        <v>616</v>
      </c>
    </row>
    <row r="530" spans="1:1" s="1" customFormat="1">
      <c r="A530" s="1" t="s">
        <v>611</v>
      </c>
    </row>
    <row r="531" spans="1:1">
      <c r="A531" s="222" t="s">
        <v>649</v>
      </c>
    </row>
    <row r="532" spans="1:1">
      <c r="A532" s="1" t="s">
        <v>648</v>
      </c>
    </row>
    <row r="533" spans="1:1">
      <c r="A533" s="1" t="s">
        <v>670</v>
      </c>
    </row>
    <row r="535" spans="1:1">
      <c r="A535" s="222" t="s">
        <v>712</v>
      </c>
    </row>
    <row r="536" spans="1:1">
      <c r="A536" s="1" t="s">
        <v>705</v>
      </c>
    </row>
    <row r="537" spans="1:1">
      <c r="A537" s="1" t="s">
        <v>697</v>
      </c>
    </row>
    <row r="538" spans="1:1">
      <c r="A538" s="1" t="s">
        <v>698</v>
      </c>
    </row>
    <row r="540" spans="1:1">
      <c r="A540" s="1" t="s">
        <v>706</v>
      </c>
    </row>
    <row r="541" spans="1:1">
      <c r="A541" s="1" t="s">
        <v>707</v>
      </c>
    </row>
    <row r="542" spans="1:1">
      <c r="A542" s="1" t="s">
        <v>708</v>
      </c>
    </row>
    <row r="543" spans="1:1">
      <c r="A543" s="1" t="s">
        <v>713</v>
      </c>
    </row>
    <row r="544" spans="1:1">
      <c r="A544" s="1" t="s">
        <v>709</v>
      </c>
    </row>
    <row r="545" spans="1:1">
      <c r="A545" s="1" t="s">
        <v>714</v>
      </c>
    </row>
    <row r="546" spans="1:1">
      <c r="A546" s="1" t="s">
        <v>710</v>
      </c>
    </row>
    <row r="547" spans="1:1">
      <c r="A547" s="1" t="s">
        <v>711</v>
      </c>
    </row>
    <row r="549" spans="1:1">
      <c r="A549" s="222" t="s">
        <v>761</v>
      </c>
    </row>
    <row r="550" spans="1:1">
      <c r="A550" s="1" t="s">
        <v>715</v>
      </c>
    </row>
    <row r="551" spans="1:1">
      <c r="A551" s="1" t="s">
        <v>728</v>
      </c>
    </row>
    <row r="552" spans="1:1">
      <c r="A552" s="1" t="s">
        <v>764</v>
      </c>
    </row>
    <row r="553" spans="1:1">
      <c r="A553" s="1" t="s">
        <v>758</v>
      </c>
    </row>
    <row r="554" spans="1:1">
      <c r="A554" s="1" t="s">
        <v>757</v>
      </c>
    </row>
    <row r="555" spans="1:1">
      <c r="A555" s="1" t="s">
        <v>762</v>
      </c>
    </row>
    <row r="556" spans="1:1">
      <c r="A556" s="1" t="s">
        <v>765</v>
      </c>
    </row>
    <row r="557" spans="1:1">
      <c r="A557" s="1" t="s">
        <v>759</v>
      </c>
    </row>
    <row r="558" spans="1:1">
      <c r="A558" s="1" t="s">
        <v>760</v>
      </c>
    </row>
    <row r="559" spans="1:1">
      <c r="A559" s="1" t="s">
        <v>763</v>
      </c>
    </row>
    <row r="561" spans="1:1">
      <c r="A561" s="222" t="s">
        <v>769</v>
      </c>
    </row>
    <row r="563" spans="1:1">
      <c r="A563" s="222" t="s">
        <v>789</v>
      </c>
    </row>
    <row r="564" spans="1:1">
      <c r="A564" s="1" t="s">
        <v>770</v>
      </c>
    </row>
    <row r="565" spans="1:1">
      <c r="A565" s="1" t="s">
        <v>790</v>
      </c>
    </row>
    <row r="566" spans="1:1">
      <c r="A566" s="1" t="s">
        <v>791</v>
      </c>
    </row>
    <row r="567" spans="1:1">
      <c r="A567" s="1" t="s">
        <v>788</v>
      </c>
    </row>
    <row r="568" spans="1:1">
      <c r="A568" s="1" t="s">
        <v>771</v>
      </c>
    </row>
    <row r="570" spans="1:1">
      <c r="A570" s="222" t="s">
        <v>792</v>
      </c>
    </row>
    <row r="571" spans="1:1">
      <c r="A571" s="1" t="s">
        <v>793</v>
      </c>
    </row>
    <row r="572" spans="1:1">
      <c r="A572" s="1" t="s">
        <v>773</v>
      </c>
    </row>
    <row r="573" spans="1:1">
      <c r="A573" s="222" t="s">
        <v>774</v>
      </c>
    </row>
    <row r="574" spans="1:1">
      <c r="A574" s="1" t="s">
        <v>772</v>
      </c>
    </row>
    <row r="575" spans="1:1">
      <c r="A575" s="1" t="s">
        <v>794</v>
      </c>
    </row>
    <row r="576" spans="1:1">
      <c r="A576" s="1" t="s">
        <v>795</v>
      </c>
    </row>
    <row r="577" spans="1:1">
      <c r="A577" s="1" t="s">
        <v>796</v>
      </c>
    </row>
    <row r="578" spans="1:1">
      <c r="A578" s="1" t="s">
        <v>797</v>
      </c>
    </row>
    <row r="579" spans="1:1">
      <c r="A579" s="1"/>
    </row>
    <row r="580" spans="1:1">
      <c r="A580" s="224" t="s">
        <v>775</v>
      </c>
    </row>
    <row r="581" spans="1:1">
      <c r="A581" s="224" t="s">
        <v>776</v>
      </c>
    </row>
    <row r="582" spans="1:1">
      <c r="A582" s="224" t="s">
        <v>786</v>
      </c>
    </row>
    <row r="583" spans="1:1">
      <c r="A583" s="224" t="s">
        <v>787</v>
      </c>
    </row>
    <row r="584" spans="1:1">
      <c r="A584" s="224" t="s">
        <v>777</v>
      </c>
    </row>
    <row r="585" spans="1:1">
      <c r="A585" s="1" t="s">
        <v>798</v>
      </c>
    </row>
    <row r="586" spans="1:1">
      <c r="A586" s="224" t="s">
        <v>778</v>
      </c>
    </row>
    <row r="587" spans="1:1">
      <c r="A587" s="224" t="s">
        <v>1344</v>
      </c>
    </row>
    <row r="588" spans="1:1">
      <c r="A588" s="224" t="s">
        <v>779</v>
      </c>
    </row>
    <row r="589" spans="1:1">
      <c r="A589" s="224" t="s">
        <v>780</v>
      </c>
    </row>
    <row r="591" spans="1:1">
      <c r="A591" s="224" t="s">
        <v>781</v>
      </c>
    </row>
    <row r="592" spans="1:1">
      <c r="A592" s="224" t="s">
        <v>782</v>
      </c>
    </row>
    <row r="593" spans="1:3">
      <c r="A593" s="224" t="s">
        <v>783</v>
      </c>
    </row>
    <row r="594" spans="1:3">
      <c r="A594" s="224" t="s">
        <v>784</v>
      </c>
    </row>
    <row r="596" spans="1:3">
      <c r="A596" s="224" t="s">
        <v>785</v>
      </c>
    </row>
    <row r="597" spans="1:3">
      <c r="A597" s="1" t="s">
        <v>799</v>
      </c>
    </row>
    <row r="598" spans="1:3">
      <c r="A598" s="1" t="s">
        <v>800</v>
      </c>
    </row>
    <row r="600" spans="1:3">
      <c r="A600" s="1" t="s">
        <v>801</v>
      </c>
    </row>
    <row r="601" spans="1:3">
      <c r="A601" s="224" t="s">
        <v>1344</v>
      </c>
    </row>
    <row r="602" spans="1:3">
      <c r="A602" s="224" t="s">
        <v>802</v>
      </c>
      <c r="C602" s="1" t="s">
        <v>730</v>
      </c>
    </row>
    <row r="603" spans="1:3">
      <c r="A603" s="224" t="s">
        <v>803</v>
      </c>
      <c r="C603" s="224">
        <v>8</v>
      </c>
    </row>
    <row r="604" spans="1:3">
      <c r="A604" s="224" t="s">
        <v>804</v>
      </c>
      <c r="C604" s="224">
        <v>36</v>
      </c>
    </row>
    <row r="605" spans="1:3">
      <c r="A605" s="224" t="s">
        <v>805</v>
      </c>
      <c r="C605" s="224">
        <v>48</v>
      </c>
    </row>
    <row r="606" spans="1:3">
      <c r="A606" s="224" t="s">
        <v>806</v>
      </c>
      <c r="C606" s="224">
        <v>52</v>
      </c>
    </row>
    <row r="607" spans="1:3">
      <c r="A607" s="224" t="s">
        <v>807</v>
      </c>
      <c r="C607" s="224">
        <v>23</v>
      </c>
    </row>
    <row r="608" spans="1:3">
      <c r="A608" s="224" t="s">
        <v>808</v>
      </c>
      <c r="C608" s="224">
        <v>35</v>
      </c>
    </row>
    <row r="609" spans="1:4">
      <c r="A609" s="224" t="s">
        <v>809</v>
      </c>
      <c r="C609" s="224">
        <v>30</v>
      </c>
      <c r="D609" s="1" t="s">
        <v>812</v>
      </c>
    </row>
    <row r="610" spans="1:4">
      <c r="A610" s="224" t="s">
        <v>810</v>
      </c>
    </row>
    <row r="612" spans="1:4">
      <c r="A612" s="1" t="s">
        <v>813</v>
      </c>
    </row>
    <row r="613" spans="1:4">
      <c r="A613" s="1" t="s">
        <v>814</v>
      </c>
    </row>
    <row r="614" spans="1:4">
      <c r="A614" s="1"/>
    </row>
    <row r="615" spans="1:4">
      <c r="A615" s="1"/>
    </row>
    <row r="616" spans="1:4">
      <c r="A616" s="224" t="s">
        <v>811</v>
      </c>
    </row>
    <row r="618" spans="1:4">
      <c r="A618" s="222" t="s">
        <v>815</v>
      </c>
    </row>
    <row r="619" spans="1:4">
      <c r="A619" s="1" t="s">
        <v>816</v>
      </c>
    </row>
    <row r="621" spans="1:4">
      <c r="A621" s="222" t="s">
        <v>822</v>
      </c>
    </row>
    <row r="622" spans="1:4">
      <c r="A622" s="1" t="s">
        <v>817</v>
      </c>
    </row>
    <row r="624" spans="1:4">
      <c r="A624" s="1" t="s">
        <v>820</v>
      </c>
    </row>
    <row r="625" spans="1:5">
      <c r="A625" s="1" t="s">
        <v>821</v>
      </c>
    </row>
    <row r="627" spans="1:5">
      <c r="A627" s="222" t="s">
        <v>823</v>
      </c>
    </row>
    <row r="628" spans="1:5">
      <c r="A628" s="1" t="s">
        <v>824</v>
      </c>
    </row>
    <row r="630" spans="1:5" ht="24" customHeight="1">
      <c r="A630" s="749" t="s">
        <v>309</v>
      </c>
      <c r="B630" s="750"/>
      <c r="C630" s="750"/>
      <c r="D630" s="750"/>
      <c r="E630" s="750"/>
    </row>
    <row r="631" spans="1:5">
      <c r="A631" s="2" t="s">
        <v>310</v>
      </c>
      <c r="B631" s="2"/>
      <c r="C631" s="2"/>
      <c r="D631" s="2"/>
      <c r="E631" s="2"/>
    </row>
    <row r="632" spans="1:5">
      <c r="A632" s="1" t="s">
        <v>2888</v>
      </c>
    </row>
    <row r="633" spans="1:5">
      <c r="A633" s="1" t="s">
        <v>2883</v>
      </c>
    </row>
    <row r="634" spans="1:5">
      <c r="A634" s="1" t="s">
        <v>2882</v>
      </c>
    </row>
    <row r="635" spans="1:5">
      <c r="A635" s="1" t="s">
        <v>2881</v>
      </c>
    </row>
    <row r="636" spans="1:5">
      <c r="A636" s="1" t="s">
        <v>2880</v>
      </c>
    </row>
    <row r="637" spans="1:5">
      <c r="A637" s="1" t="s">
        <v>263</v>
      </c>
    </row>
    <row r="638" spans="1:5">
      <c r="A638" s="1" t="s">
        <v>311</v>
      </c>
    </row>
    <row r="639" spans="1:5">
      <c r="A639" s="1" t="s">
        <v>264</v>
      </c>
    </row>
    <row r="640" spans="1:5">
      <c r="A640" s="1" t="s">
        <v>2884</v>
      </c>
    </row>
    <row r="641" spans="1:1">
      <c r="A641" s="1" t="s">
        <v>2889</v>
      </c>
    </row>
    <row r="642" spans="1:1">
      <c r="A642" s="1" t="s">
        <v>2886</v>
      </c>
    </row>
    <row r="643" spans="1:1">
      <c r="A643" s="1" t="s">
        <v>2885</v>
      </c>
    </row>
    <row r="644" spans="1:1">
      <c r="A644" s="1" t="s">
        <v>268</v>
      </c>
    </row>
    <row r="645" spans="1:1">
      <c r="A645" s="1" t="s">
        <v>295</v>
      </c>
    </row>
    <row r="646" spans="1:1">
      <c r="A646" s="1" t="s">
        <v>265</v>
      </c>
    </row>
    <row r="647" spans="1:1">
      <c r="A647" s="224" t="s">
        <v>2890</v>
      </c>
    </row>
    <row r="648" spans="1:1">
      <c r="A648" s="224" t="s">
        <v>2891</v>
      </c>
    </row>
    <row r="649" spans="1:1">
      <c r="A649" s="224" t="s">
        <v>2892</v>
      </c>
    </row>
    <row r="650" spans="1:1">
      <c r="A650" s="224" t="s">
        <v>2893</v>
      </c>
    </row>
    <row r="651" spans="1:1">
      <c r="A651" s="1" t="s">
        <v>312</v>
      </c>
    </row>
    <row r="652" spans="1:1">
      <c r="A652" s="224" t="s">
        <v>2894</v>
      </c>
    </row>
    <row r="653" spans="1:1">
      <c r="A653" s="1" t="s">
        <v>313</v>
      </c>
    </row>
    <row r="654" spans="1:1">
      <c r="A654" s="1" t="s">
        <v>314</v>
      </c>
    </row>
    <row r="655" spans="1:1">
      <c r="A655" s="224" t="s">
        <v>2895</v>
      </c>
    </row>
    <row r="656" spans="1:1">
      <c r="A656" s="1" t="s">
        <v>315</v>
      </c>
    </row>
    <row r="657" spans="1:1">
      <c r="A657" s="1" t="s">
        <v>266</v>
      </c>
    </row>
    <row r="658" spans="1:1">
      <c r="A658" s="1" t="s">
        <v>267</v>
      </c>
    </row>
    <row r="659" spans="1:1">
      <c r="A659" s="1" t="s">
        <v>316</v>
      </c>
    </row>
    <row r="660" spans="1:1">
      <c r="A660" s="1" t="s">
        <v>290</v>
      </c>
    </row>
    <row r="661" spans="1:1">
      <c r="A661" s="1" t="s">
        <v>294</v>
      </c>
    </row>
    <row r="662" spans="1:1" s="756" customFormat="1">
      <c r="A662" s="10" t="s">
        <v>369</v>
      </c>
    </row>
    <row r="663" spans="1:1">
      <c r="A663" s="743" t="s">
        <v>297</v>
      </c>
    </row>
    <row r="664" spans="1:1">
      <c r="A664" s="11" t="s">
        <v>318</v>
      </c>
    </row>
    <row r="665" spans="1:1">
      <c r="A665" s="1" t="s">
        <v>317</v>
      </c>
    </row>
    <row r="666" spans="1:1">
      <c r="A666" s="1" t="s">
        <v>296</v>
      </c>
    </row>
    <row r="667" spans="1:1">
      <c r="A667" s="1" t="s">
        <v>335</v>
      </c>
    </row>
    <row r="668" spans="1:1">
      <c r="A668" s="1" t="s">
        <v>336</v>
      </c>
    </row>
    <row r="669" spans="1:1">
      <c r="A669" s="1" t="s">
        <v>337</v>
      </c>
    </row>
    <row r="670" spans="1:1">
      <c r="A670" s="1" t="s">
        <v>338</v>
      </c>
    </row>
    <row r="672" spans="1:1">
      <c r="A672" s="743" t="s">
        <v>348</v>
      </c>
    </row>
    <row r="673" spans="1:1">
      <c r="A673" s="1" t="s">
        <v>298</v>
      </c>
    </row>
    <row r="674" spans="1:1">
      <c r="A674" s="1" t="s">
        <v>299</v>
      </c>
    </row>
    <row r="675" spans="1:1">
      <c r="A675" s="1" t="s">
        <v>300</v>
      </c>
    </row>
    <row r="676" spans="1:1">
      <c r="A676" s="1" t="s">
        <v>301</v>
      </c>
    </row>
    <row r="677" spans="1:1">
      <c r="A677" s="1" t="s">
        <v>319</v>
      </c>
    </row>
    <row r="679" spans="1:1">
      <c r="A679" s="1" t="s">
        <v>320</v>
      </c>
    </row>
    <row r="681" spans="1:1" ht="18.75">
      <c r="A681" s="749" t="s">
        <v>321</v>
      </c>
    </row>
    <row r="682" spans="1:1">
      <c r="A682" s="1" t="s">
        <v>322</v>
      </c>
    </row>
    <row r="683" spans="1:1">
      <c r="A683" s="1"/>
    </row>
    <row r="685" spans="1:1">
      <c r="A685" s="222" t="s">
        <v>339</v>
      </c>
    </row>
    <row r="686" spans="1:1">
      <c r="A686" s="1" t="s">
        <v>340</v>
      </c>
    </row>
    <row r="687" spans="1:1">
      <c r="A687" s="1" t="s">
        <v>341</v>
      </c>
    </row>
    <row r="689" spans="1:1" ht="18.75">
      <c r="A689" s="749" t="s">
        <v>349</v>
      </c>
    </row>
    <row r="690" spans="1:1">
      <c r="A690" s="1" t="s">
        <v>350</v>
      </c>
    </row>
    <row r="691" spans="1:1">
      <c r="A691" s="1" t="s">
        <v>351</v>
      </c>
    </row>
    <row r="693" spans="1:1" ht="18.75">
      <c r="A693" s="749" t="s">
        <v>352</v>
      </c>
    </row>
    <row r="694" spans="1:1">
      <c r="A694" s="1" t="s">
        <v>353</v>
      </c>
    </row>
    <row r="696" spans="1:1" ht="18.75">
      <c r="A696" s="749" t="s">
        <v>357</v>
      </c>
    </row>
    <row r="697" spans="1:1">
      <c r="A697" s="1" t="s">
        <v>355</v>
      </c>
    </row>
    <row r="698" spans="1:1">
      <c r="A698" s="1" t="s">
        <v>356</v>
      </c>
    </row>
    <row r="700" spans="1:1" ht="18.75">
      <c r="A700" s="749" t="s">
        <v>358</v>
      </c>
    </row>
    <row r="701" spans="1:1">
      <c r="A701" s="1" t="s">
        <v>359</v>
      </c>
    </row>
    <row r="702" spans="1:1">
      <c r="A702" s="1" t="s">
        <v>362</v>
      </c>
    </row>
    <row r="703" spans="1:1">
      <c r="A703" s="1" t="s">
        <v>360</v>
      </c>
    </row>
    <row r="704" spans="1:1">
      <c r="A704" s="1" t="s">
        <v>361</v>
      </c>
    </row>
    <row r="705" spans="1:1" ht="18.75">
      <c r="A705" s="749" t="s">
        <v>365</v>
      </c>
    </row>
    <row r="706" spans="1:1">
      <c r="A706" s="1" t="s">
        <v>363</v>
      </c>
    </row>
    <row r="707" spans="1:1">
      <c r="A707" s="1" t="s">
        <v>364</v>
      </c>
    </row>
    <row r="708" spans="1:1">
      <c r="A708" s="1" t="s">
        <v>368</v>
      </c>
    </row>
    <row r="709" spans="1:1">
      <c r="A709" s="1" t="s">
        <v>367</v>
      </c>
    </row>
    <row r="711" spans="1:1" ht="30.75" customHeight="1">
      <c r="A711" s="770" t="s">
        <v>370</v>
      </c>
    </row>
    <row r="712" spans="1:1">
      <c r="A712" s="743" t="s">
        <v>380</v>
      </c>
    </row>
    <row r="713" spans="1:1">
      <c r="A713" s="11" t="s">
        <v>318</v>
      </c>
    </row>
    <row r="714" spans="1:1">
      <c r="A714" s="1" t="s">
        <v>317</v>
      </c>
    </row>
    <row r="715" spans="1:1">
      <c r="A715" s="1" t="s">
        <v>3280</v>
      </c>
    </row>
    <row r="716" spans="1:1">
      <c r="A716" s="1" t="s">
        <v>3281</v>
      </c>
    </row>
    <row r="717" spans="1:1">
      <c r="A717" s="1" t="s">
        <v>374</v>
      </c>
    </row>
    <row r="718" spans="1:1">
      <c r="A718" s="1" t="s">
        <v>3282</v>
      </c>
    </row>
    <row r="719" spans="1:1">
      <c r="A719" s="1" t="s">
        <v>336</v>
      </c>
    </row>
    <row r="720" spans="1:1">
      <c r="A720" s="1" t="s">
        <v>3283</v>
      </c>
    </row>
    <row r="721" spans="1:1">
      <c r="A721" s="1" t="s">
        <v>3284</v>
      </c>
    </row>
    <row r="722" spans="1:1">
      <c r="A722" s="1"/>
    </row>
    <row r="723" spans="1:1">
      <c r="A723" s="1" t="s">
        <v>381</v>
      </c>
    </row>
    <row r="724" spans="1:1">
      <c r="A724" s="1" t="s">
        <v>377</v>
      </c>
    </row>
    <row r="725" spans="1:1">
      <c r="A725" s="1" t="s">
        <v>378</v>
      </c>
    </row>
    <row r="726" spans="1:1">
      <c r="A726" s="1"/>
    </row>
    <row r="727" spans="1:1">
      <c r="A727" s="743" t="s">
        <v>379</v>
      </c>
    </row>
    <row r="728" spans="1:1">
      <c r="A728" s="1" t="s">
        <v>298</v>
      </c>
    </row>
    <row r="729" spans="1:1">
      <c r="A729" s="1" t="s">
        <v>299</v>
      </c>
    </row>
    <row r="730" spans="1:1">
      <c r="A730" s="1" t="s">
        <v>300</v>
      </c>
    </row>
    <row r="731" spans="1:1">
      <c r="A731" s="1" t="s">
        <v>301</v>
      </c>
    </row>
    <row r="732" spans="1:1">
      <c r="A732" s="1" t="s">
        <v>375</v>
      </c>
    </row>
    <row r="734" spans="1:1">
      <c r="A734" s="1" t="s">
        <v>376</v>
      </c>
    </row>
    <row r="735" spans="1:1">
      <c r="A735" s="1"/>
    </row>
    <row r="736" spans="1:1">
      <c r="A736" s="222" t="s">
        <v>3456</v>
      </c>
    </row>
    <row r="737" spans="1:9">
      <c r="A737" s="1"/>
    </row>
    <row r="739" spans="1:9">
      <c r="A739" s="798" t="s">
        <v>3461</v>
      </c>
      <c r="C739" s="743" t="s">
        <v>3457</v>
      </c>
    </row>
    <row r="740" spans="1:9">
      <c r="C740" s="416" t="s">
        <v>3458</v>
      </c>
    </row>
    <row r="741" spans="1:9">
      <c r="A741" s="1" t="s">
        <v>3469</v>
      </c>
    </row>
    <row r="742" spans="1:9">
      <c r="B742" s="416" t="s">
        <v>3459</v>
      </c>
      <c r="C742" s="425"/>
      <c r="E742" s="1" t="s">
        <v>3466</v>
      </c>
    </row>
    <row r="743" spans="1:9">
      <c r="B743" s="416" t="s">
        <v>3287</v>
      </c>
      <c r="C743" s="425"/>
      <c r="E743" s="1" t="s">
        <v>3462</v>
      </c>
    </row>
    <row r="744" spans="1:9">
      <c r="B744" s="416" t="s">
        <v>3288</v>
      </c>
      <c r="C744" s="425"/>
      <c r="E744" s="1" t="s">
        <v>1722</v>
      </c>
    </row>
    <row r="745" spans="1:9">
      <c r="B745" s="416" t="s">
        <v>3285</v>
      </c>
      <c r="C745" s="425"/>
      <c r="E745" s="1" t="s">
        <v>1722</v>
      </c>
    </row>
    <row r="746" spans="1:9">
      <c r="B746" s="416" t="s">
        <v>3286</v>
      </c>
      <c r="C746" s="425"/>
      <c r="E746" s="1" t="s">
        <v>1722</v>
      </c>
    </row>
    <row r="747" spans="1:9">
      <c r="B747" s="416" t="s">
        <v>3463</v>
      </c>
      <c r="C747" s="425"/>
      <c r="E747" s="1" t="s">
        <v>2369</v>
      </c>
    </row>
    <row r="748" spans="1:9">
      <c r="B748" s="416" t="s">
        <v>3494</v>
      </c>
      <c r="C748" s="425"/>
      <c r="E748" s="1" t="s">
        <v>3464</v>
      </c>
    </row>
    <row r="749" spans="1:9">
      <c r="B749" s="416" t="s">
        <v>382</v>
      </c>
      <c r="C749" s="425"/>
      <c r="E749" s="1" t="s">
        <v>2632</v>
      </c>
    </row>
    <row r="750" spans="1:9">
      <c r="B750" s="410" t="s">
        <v>3492</v>
      </c>
      <c r="C750" s="245"/>
      <c r="I750" s="1" t="s">
        <v>3491</v>
      </c>
    </row>
    <row r="751" spans="1:9">
      <c r="B751" s="410"/>
      <c r="C751" s="245"/>
      <c r="E751" s="1" t="s">
        <v>3465</v>
      </c>
      <c r="I751" s="1"/>
    </row>
    <row r="752" spans="1:9">
      <c r="B752" s="410" t="s">
        <v>3478</v>
      </c>
      <c r="C752" s="245"/>
    </row>
    <row r="753" spans="1:17">
      <c r="B753" s="410" t="s">
        <v>3476</v>
      </c>
      <c r="C753" s="245"/>
      <c r="E753" s="1" t="s">
        <v>3438</v>
      </c>
      <c r="N753" s="1" t="s">
        <v>3439</v>
      </c>
    </row>
    <row r="754" spans="1:17">
      <c r="B754" s="410" t="s">
        <v>3477</v>
      </c>
      <c r="C754" s="245"/>
      <c r="E754" s="1"/>
      <c r="N754" s="1"/>
    </row>
    <row r="755" spans="1:17">
      <c r="B755" s="410" t="s">
        <v>3479</v>
      </c>
      <c r="C755" s="245"/>
      <c r="E755" s="1" t="s">
        <v>3414</v>
      </c>
      <c r="G755" s="1" t="s">
        <v>3480</v>
      </c>
    </row>
    <row r="756" spans="1:17">
      <c r="B756" s="410" t="s">
        <v>3481</v>
      </c>
      <c r="C756" s="245"/>
      <c r="E756" s="1"/>
      <c r="G756" s="1"/>
    </row>
    <row r="757" spans="1:17">
      <c r="B757" s="410" t="s">
        <v>3486</v>
      </c>
      <c r="C757" s="245"/>
      <c r="E757" s="1" t="s">
        <v>3470</v>
      </c>
      <c r="G757" s="1"/>
    </row>
    <row r="758" spans="1:17">
      <c r="B758" s="410" t="s">
        <v>3482</v>
      </c>
      <c r="C758" s="245"/>
      <c r="E758" s="1"/>
      <c r="G758" s="1"/>
      <c r="N758" s="224">
        <f>+(14.2-7.5)/7.5*740*0.93</f>
        <v>614.79200000000003</v>
      </c>
      <c r="O758" s="224">
        <f>144+N758+H759</f>
        <v>871.86892307692312</v>
      </c>
      <c r="P758" s="412">
        <f>100*O758/3300</f>
        <v>26.420270396270396</v>
      </c>
      <c r="Q758" s="1" t="s">
        <v>1349</v>
      </c>
    </row>
    <row r="759" spans="1:17">
      <c r="B759" s="410" t="s">
        <v>3484</v>
      </c>
      <c r="C759" s="245"/>
      <c r="D759" s="1" t="s">
        <v>3485</v>
      </c>
      <c r="E759" s="1"/>
      <c r="G759" s="1"/>
      <c r="H759" s="224">
        <f>147*1/1.3</f>
        <v>113.07692307692307</v>
      </c>
      <c r="P759" s="412"/>
      <c r="Q759" s="1"/>
    </row>
    <row r="760" spans="1:17">
      <c r="B760" s="410" t="s">
        <v>3493</v>
      </c>
      <c r="C760" s="245"/>
      <c r="E760" s="1" t="s">
        <v>3483</v>
      </c>
      <c r="G760" s="1"/>
      <c r="J760" s="801">
        <f>1100/2900</f>
        <v>0.37931034482758619</v>
      </c>
    </row>
    <row r="761" spans="1:17">
      <c r="B761" s="410" t="s">
        <v>3487</v>
      </c>
      <c r="C761" s="245"/>
      <c r="D761" s="1" t="s">
        <v>3488</v>
      </c>
      <c r="E761" s="1"/>
      <c r="G761" s="802">
        <f>100*1100/70000</f>
        <v>1.5714285714285714</v>
      </c>
      <c r="H761" s="1" t="s">
        <v>3489</v>
      </c>
      <c r="J761" s="801"/>
    </row>
    <row r="762" spans="1:17">
      <c r="B762" s="410" t="s">
        <v>3490</v>
      </c>
      <c r="C762" s="245"/>
      <c r="E762" s="1"/>
      <c r="G762" s="1"/>
      <c r="J762" s="801"/>
    </row>
    <row r="763" spans="1:17">
      <c r="B763" s="410" t="s">
        <v>3468</v>
      </c>
      <c r="C763" s="245"/>
    </row>
    <row r="764" spans="1:17">
      <c r="B764" s="799" t="s">
        <v>3460</v>
      </c>
    </row>
    <row r="765" spans="1:17">
      <c r="B765" s="1" t="s">
        <v>3475</v>
      </c>
    </row>
    <row r="766" spans="1:17">
      <c r="A766" s="799" t="s">
        <v>3472</v>
      </c>
      <c r="B766" s="799" t="s">
        <v>3471</v>
      </c>
      <c r="E766" s="1" t="s">
        <v>3467</v>
      </c>
      <c r="H766" s="1" t="s">
        <v>3419</v>
      </c>
    </row>
    <row r="769" spans="1:8">
      <c r="A769" s="1" t="s">
        <v>3418</v>
      </c>
    </row>
    <row r="770" spans="1:8">
      <c r="A770" s="1" t="s">
        <v>3417</v>
      </c>
    </row>
    <row r="771" spans="1:8">
      <c r="A771" s="1" t="s">
        <v>1344</v>
      </c>
    </row>
    <row r="772" spans="1:8">
      <c r="A772" s="1" t="s">
        <v>3430</v>
      </c>
    </row>
    <row r="773" spans="1:8">
      <c r="A773" s="1" t="s">
        <v>3431</v>
      </c>
    </row>
    <row r="774" spans="1:8">
      <c r="A774" s="1" t="s">
        <v>3428</v>
      </c>
    </row>
    <row r="775" spans="1:8">
      <c r="A775" s="1" t="s">
        <v>3432</v>
      </c>
    </row>
    <row r="777" spans="1:8">
      <c r="A777" s="1" t="s">
        <v>3472</v>
      </c>
      <c r="B777" s="224" t="s">
        <v>3471</v>
      </c>
      <c r="E777" s="224" t="s">
        <v>3467</v>
      </c>
      <c r="H777" s="224" t="s">
        <v>3419</v>
      </c>
    </row>
    <row r="778" spans="1:8">
      <c r="A778" s="1" t="s">
        <v>3474</v>
      </c>
    </row>
    <row r="779" spans="1:8">
      <c r="A779" s="1"/>
      <c r="B779" s="1"/>
      <c r="C779" s="1"/>
      <c r="D779" s="1"/>
      <c r="E779" s="1"/>
    </row>
    <row r="780" spans="1:8">
      <c r="A780" s="222" t="s">
        <v>3686</v>
      </c>
    </row>
    <row r="781" spans="1:8">
      <c r="A781" s="416" t="s">
        <v>3690</v>
      </c>
    </row>
    <row r="782" spans="1:8">
      <c r="A782" s="222" t="s">
        <v>3685</v>
      </c>
    </row>
    <row r="783" spans="1:8">
      <c r="A783" s="1" t="s">
        <v>3687</v>
      </c>
    </row>
    <row r="784" spans="1:8">
      <c r="A784" s="222" t="s">
        <v>3688</v>
      </c>
    </row>
    <row r="785" spans="1:6">
      <c r="A785" s="1" t="s">
        <v>3689</v>
      </c>
    </row>
    <row r="786" spans="1:6">
      <c r="A786" s="1" t="s">
        <v>3753</v>
      </c>
    </row>
    <row r="788" spans="1:6" ht="27" thickBot="1">
      <c r="A788" s="809" t="s">
        <v>3728</v>
      </c>
      <c r="B788" s="809"/>
      <c r="C788" s="809"/>
      <c r="D788" s="809"/>
      <c r="E788" s="809"/>
      <c r="F788" s="809"/>
    </row>
    <row r="789" spans="1:6">
      <c r="A789" s="810"/>
      <c r="B789" s="810"/>
      <c r="C789" s="811"/>
      <c r="D789" s="812"/>
      <c r="E789" s="812"/>
      <c r="F789" s="813"/>
    </row>
    <row r="790" spans="1:6">
      <c r="A790" s="810"/>
      <c r="B790" s="810"/>
      <c r="C790" s="945" t="s">
        <v>3693</v>
      </c>
      <c r="D790" s="946"/>
      <c r="E790" s="946"/>
      <c r="F790" s="947"/>
    </row>
    <row r="791" spans="1:6">
      <c r="A791" s="814" t="s">
        <v>3694</v>
      </c>
      <c r="B791" s="815" t="s">
        <v>1777</v>
      </c>
      <c r="C791" s="816">
        <v>2020</v>
      </c>
      <c r="D791" s="817">
        <v>2021</v>
      </c>
      <c r="E791" s="817">
        <v>2022</v>
      </c>
      <c r="F791" s="818">
        <v>2023</v>
      </c>
    </row>
    <row r="792" spans="1:6">
      <c r="A792" s="819"/>
      <c r="B792" s="819"/>
      <c r="C792" s="820"/>
      <c r="D792" s="821"/>
      <c r="E792" s="821"/>
      <c r="F792" s="822"/>
    </row>
    <row r="793" spans="1:6">
      <c r="A793" s="823" t="s">
        <v>3695</v>
      </c>
      <c r="B793" s="824" t="s">
        <v>3696</v>
      </c>
      <c r="C793" s="825">
        <v>0</v>
      </c>
      <c r="D793" s="826">
        <v>3026.1613123787438</v>
      </c>
      <c r="E793" s="826">
        <v>4027.1601153499096</v>
      </c>
      <c r="F793" s="827">
        <v>3795.144918227661</v>
      </c>
    </row>
    <row r="794" spans="1:6">
      <c r="A794" s="828" t="s">
        <v>3697</v>
      </c>
      <c r="B794" s="829" t="s">
        <v>3696</v>
      </c>
      <c r="C794" s="830">
        <v>0</v>
      </c>
      <c r="D794" s="831">
        <v>586.69381012874362</v>
      </c>
      <c r="E794" s="826">
        <v>616.02850063518088</v>
      </c>
      <c r="F794" s="827">
        <v>646.82992566693997</v>
      </c>
    </row>
    <row r="795" spans="1:6">
      <c r="A795" s="828" t="s">
        <v>3698</v>
      </c>
      <c r="B795" s="829" t="s">
        <v>3696</v>
      </c>
      <c r="C795" s="830">
        <v>0</v>
      </c>
      <c r="D795" s="832">
        <v>560</v>
      </c>
      <c r="E795" s="832">
        <v>0</v>
      </c>
      <c r="F795" s="833">
        <v>0</v>
      </c>
    </row>
    <row r="796" spans="1:6">
      <c r="A796" t="s">
        <v>3699</v>
      </c>
      <c r="B796" t="s">
        <v>3696</v>
      </c>
      <c r="C796" s="830">
        <v>0</v>
      </c>
      <c r="D796" s="831">
        <v>0</v>
      </c>
      <c r="E796" s="831">
        <v>675.24311246472905</v>
      </c>
      <c r="F796">
        <v>784.42649031072096</v>
      </c>
    </row>
    <row r="797" spans="1:6">
      <c r="A797" t="s">
        <v>3700</v>
      </c>
      <c r="B797" t="s">
        <v>3696</v>
      </c>
      <c r="C797" s="830">
        <v>0</v>
      </c>
      <c r="D797">
        <v>500</v>
      </c>
      <c r="E797">
        <v>500</v>
      </c>
      <c r="F797">
        <v>700</v>
      </c>
    </row>
    <row r="798" spans="1:6">
      <c r="A798" s="828" t="s">
        <v>3701</v>
      </c>
      <c r="B798" s="829" t="s">
        <v>3696</v>
      </c>
      <c r="C798" s="830">
        <v>0</v>
      </c>
      <c r="D798" s="832">
        <v>240</v>
      </c>
      <c r="E798" s="832">
        <v>0</v>
      </c>
      <c r="F798" s="833">
        <v>0</v>
      </c>
    </row>
    <row r="799" spans="1:6">
      <c r="A799" s="828" t="s">
        <v>3702</v>
      </c>
      <c r="B799" s="829" t="s">
        <v>3696</v>
      </c>
      <c r="C799" s="830">
        <v>0</v>
      </c>
      <c r="D799" s="826">
        <v>326.46750225</v>
      </c>
      <c r="E799" s="826">
        <v>326.46750225</v>
      </c>
      <c r="F799" s="827">
        <v>326.46750225</v>
      </c>
    </row>
    <row r="800" spans="1:6">
      <c r="A800" t="s">
        <v>3703</v>
      </c>
      <c r="B800" t="s">
        <v>3696</v>
      </c>
      <c r="C800" s="830"/>
      <c r="D800">
        <v>240</v>
      </c>
      <c r="E800">
        <v>240</v>
      </c>
      <c r="F800">
        <v>240</v>
      </c>
    </row>
    <row r="801" spans="1:7">
      <c r="A801" t="s">
        <v>3704</v>
      </c>
      <c r="B801" t="s">
        <v>3696</v>
      </c>
      <c r="C801" s="830"/>
      <c r="D801">
        <v>573</v>
      </c>
      <c r="E801">
        <v>1145</v>
      </c>
      <c r="F801">
        <v>573</v>
      </c>
    </row>
    <row r="802" spans="1:7">
      <c r="A802" t="s">
        <v>3705</v>
      </c>
      <c r="B802" s="829" t="s">
        <v>3696</v>
      </c>
      <c r="C802" s="830">
        <v>0</v>
      </c>
      <c r="D802"/>
      <c r="E802" s="826">
        <v>524.42100000000005</v>
      </c>
      <c r="F802" s="827">
        <v>524.42100000000005</v>
      </c>
      <c r="G802" s="1" t="s">
        <v>3809</v>
      </c>
    </row>
    <row r="803" spans="1:7">
      <c r="A803" s="819"/>
      <c r="B803" s="819"/>
      <c r="C803" s="820"/>
      <c r="D803" s="821"/>
      <c r="E803" s="821"/>
      <c r="F803" s="822"/>
    </row>
    <row r="804" spans="1:7">
      <c r="A804" s="823" t="s">
        <v>3706</v>
      </c>
      <c r="B804" t="s">
        <v>3696</v>
      </c>
      <c r="C804" s="825">
        <v>0</v>
      </c>
      <c r="D804" s="826">
        <v>1791.159214127508</v>
      </c>
      <c r="E804" s="826">
        <v>2531.7384431266601</v>
      </c>
      <c r="F804" s="827">
        <v>3098.2937644913623</v>
      </c>
    </row>
    <row r="805" spans="1:7">
      <c r="A805" s="828" t="s">
        <v>3707</v>
      </c>
      <c r="B805" s="829" t="s">
        <v>3696</v>
      </c>
      <c r="C805" s="830">
        <v>0</v>
      </c>
      <c r="D805">
        <v>360</v>
      </c>
      <c r="E805">
        <v>540</v>
      </c>
      <c r="F805">
        <v>540</v>
      </c>
    </row>
    <row r="806" spans="1:7">
      <c r="A806" s="828" t="s">
        <v>3708</v>
      </c>
      <c r="B806" s="829"/>
      <c r="C806" s="830">
        <v>0</v>
      </c>
      <c r="D806" s="832">
        <v>0</v>
      </c>
      <c r="E806" s="831">
        <v>263.75439999999998</v>
      </c>
      <c r="F806">
        <v>657.50879999999995</v>
      </c>
    </row>
    <row r="807" spans="1:7">
      <c r="A807" s="828" t="s">
        <v>3709</v>
      </c>
      <c r="B807" s="829" t="s">
        <v>3696</v>
      </c>
      <c r="C807" s="830">
        <v>0</v>
      </c>
      <c r="D807">
        <v>1431.159214127508</v>
      </c>
      <c r="E807">
        <v>1727.98404312666</v>
      </c>
      <c r="F807">
        <v>1900.7849644913622</v>
      </c>
    </row>
    <row r="808" spans="1:7">
      <c r="A808" s="819"/>
      <c r="B808" s="819"/>
      <c r="C808" s="820"/>
      <c r="D808" s="821"/>
      <c r="E808" s="821"/>
      <c r="F808" s="822"/>
    </row>
    <row r="809" spans="1:7">
      <c r="A809" t="s">
        <v>3710</v>
      </c>
      <c r="B809" t="s">
        <v>3696</v>
      </c>
      <c r="C809">
        <v>0</v>
      </c>
      <c r="D809">
        <v>4817.3205265062516</v>
      </c>
      <c r="E809">
        <v>6558.8985584765696</v>
      </c>
      <c r="F809">
        <v>6893.4386827190228</v>
      </c>
    </row>
    <row r="810" spans="1:7">
      <c r="A810" s="819"/>
      <c r="B810" s="819"/>
      <c r="C810" s="820"/>
      <c r="D810" s="821"/>
      <c r="E810" s="821"/>
      <c r="F810" s="822"/>
    </row>
    <row r="811" spans="1:7">
      <c r="A811" s="823" t="s">
        <v>3711</v>
      </c>
      <c r="B811" t="s">
        <v>3696</v>
      </c>
      <c r="C811" s="825">
        <v>-160.9</v>
      </c>
      <c r="D811" s="826">
        <v>-2520</v>
      </c>
      <c r="E811" s="826">
        <v>-2020.1559002948804</v>
      </c>
      <c r="F811" s="827">
        <v>-2117.6567912214641</v>
      </c>
    </row>
    <row r="812" spans="1:7">
      <c r="A812" s="823" t="s">
        <v>3712</v>
      </c>
      <c r="B812"/>
      <c r="C812" s="825">
        <v>-160.9</v>
      </c>
      <c r="D812" s="826">
        <v>-1220</v>
      </c>
      <c r="E812" s="826">
        <v>-418</v>
      </c>
      <c r="F812" s="827">
        <v>-322</v>
      </c>
    </row>
    <row r="813" spans="1:7">
      <c r="A813" s="828" t="s">
        <v>3713</v>
      </c>
      <c r="B813" s="829" t="s">
        <v>3696</v>
      </c>
      <c r="C813" s="830">
        <v>0</v>
      </c>
      <c r="D813" s="832">
        <v>-500</v>
      </c>
      <c r="E813" s="832">
        <v>-250</v>
      </c>
      <c r="F813" s="833">
        <v>-150</v>
      </c>
    </row>
    <row r="814" spans="1:7">
      <c r="A814" s="828" t="s">
        <v>3714</v>
      </c>
      <c r="B814" s="829" t="s">
        <v>3696</v>
      </c>
      <c r="C814" s="830">
        <v>-21</v>
      </c>
      <c r="D814" s="832">
        <v>-128</v>
      </c>
      <c r="E814" s="832">
        <v>-132</v>
      </c>
      <c r="F814" s="833">
        <v>-136</v>
      </c>
    </row>
    <row r="815" spans="1:7">
      <c r="A815" s="828" t="s">
        <v>3715</v>
      </c>
      <c r="B815" s="829" t="s">
        <v>3696</v>
      </c>
      <c r="C815" s="830">
        <v>-3.3</v>
      </c>
      <c r="D815" s="832">
        <v>-20</v>
      </c>
      <c r="E815" s="832">
        <v>-20</v>
      </c>
      <c r="F815" s="833">
        <v>-20</v>
      </c>
    </row>
    <row r="816" spans="1:7">
      <c r="A816" s="828" t="s">
        <v>3716</v>
      </c>
      <c r="B816" s="829" t="s">
        <v>3696</v>
      </c>
      <c r="C816" s="830">
        <v>-2.6</v>
      </c>
      <c r="D816" s="832">
        <v>-16</v>
      </c>
      <c r="E816" s="832">
        <v>-16</v>
      </c>
      <c r="F816" s="833">
        <v>-16</v>
      </c>
    </row>
    <row r="817" spans="1:13">
      <c r="A817" s="828" t="s">
        <v>3717</v>
      </c>
      <c r="B817" s="829" t="s">
        <v>3696</v>
      </c>
      <c r="C817" s="830">
        <v>0</v>
      </c>
      <c r="D817" s="832">
        <v>-200</v>
      </c>
      <c r="E817" s="832">
        <v>0</v>
      </c>
      <c r="F817" s="833">
        <v>0</v>
      </c>
    </row>
    <row r="818" spans="1:13">
      <c r="A818" s="828" t="s">
        <v>3718</v>
      </c>
      <c r="B818" s="829" t="s">
        <v>3696</v>
      </c>
      <c r="C818" s="830">
        <v>-134</v>
      </c>
      <c r="D818" s="832">
        <v>-356</v>
      </c>
      <c r="E818" s="832">
        <v>0</v>
      </c>
      <c r="F818" s="833">
        <v>0</v>
      </c>
    </row>
    <row r="819" spans="1:13">
      <c r="A819" t="s">
        <v>3719</v>
      </c>
      <c r="B819" s="829" t="s">
        <v>3696</v>
      </c>
      <c r="C819" s="830">
        <v>0</v>
      </c>
      <c r="D819">
        <v>-1300</v>
      </c>
      <c r="E819" s="832">
        <v>-1602.1559002948804</v>
      </c>
      <c r="F819" s="833">
        <v>-1795.6567912214641</v>
      </c>
    </row>
    <row r="820" spans="1:13">
      <c r="A820" s="819"/>
      <c r="B820" s="819"/>
      <c r="C820" s="820"/>
      <c r="D820" s="821"/>
      <c r="E820" s="821"/>
      <c r="F820" s="822"/>
    </row>
    <row r="821" spans="1:13" ht="16.5" thickBot="1">
      <c r="A821" t="s">
        <v>3720</v>
      </c>
      <c r="B821" t="s">
        <v>3696</v>
      </c>
      <c r="C821">
        <v>-160.9</v>
      </c>
      <c r="D821">
        <v>2297.3205265062516</v>
      </c>
      <c r="E821">
        <v>4538.742658181689</v>
      </c>
      <c r="F821">
        <v>4775.7818914975587</v>
      </c>
    </row>
    <row r="822" spans="1:13">
      <c r="A822" s="810" t="s">
        <v>3721</v>
      </c>
      <c r="B822" s="810"/>
      <c r="C822" s="810">
        <v>12.86</v>
      </c>
      <c r="D822" s="810">
        <v>14.29</v>
      </c>
      <c r="E822" s="810">
        <v>14.29</v>
      </c>
      <c r="F822" s="810">
        <v>14.29</v>
      </c>
    </row>
    <row r="823" spans="1:13">
      <c r="A823" s="810" t="s">
        <v>3722</v>
      </c>
      <c r="B823" s="810"/>
      <c r="C823" s="810"/>
      <c r="D823">
        <f>1.3*D822</f>
        <v>18.576999999999998</v>
      </c>
      <c r="E823">
        <f>1.05*D823</f>
        <v>19.505849999999999</v>
      </c>
      <c r="F823">
        <f>1.05*E823</f>
        <v>20.481142500000001</v>
      </c>
    </row>
    <row r="824" spans="1:13">
      <c r="A824" s="810"/>
      <c r="B824" s="810"/>
      <c r="C824"/>
      <c r="D824"/>
      <c r="E824"/>
      <c r="F824"/>
    </row>
    <row r="825" spans="1:13">
      <c r="A825" s="810"/>
      <c r="B825" s="810"/>
      <c r="C825" s="810"/>
      <c r="D825" s="810"/>
      <c r="E825" s="810"/>
      <c r="F825" s="810"/>
    </row>
    <row r="826" spans="1:13">
      <c r="A826" s="810" t="s">
        <v>3723</v>
      </c>
      <c r="B826" s="810"/>
      <c r="C826" s="810"/>
      <c r="D826" s="810"/>
      <c r="E826" s="810"/>
      <c r="F826" s="810"/>
    </row>
    <row r="827" spans="1:13">
      <c r="A827" s="810" t="s">
        <v>3724</v>
      </c>
      <c r="B827" s="810"/>
      <c r="C827" s="810"/>
      <c r="D827" s="810"/>
      <c r="E827" s="810"/>
      <c r="F827" s="810"/>
    </row>
    <row r="828" spans="1:13">
      <c r="A828" s="810" t="s">
        <v>3725</v>
      </c>
      <c r="B828" s="810"/>
      <c r="C828" s="810"/>
      <c r="D828" s="810"/>
      <c r="E828" s="810"/>
      <c r="F828" s="810"/>
    </row>
    <row r="829" spans="1:13">
      <c r="A829" s="810" t="s">
        <v>3726</v>
      </c>
      <c r="B829" s="810"/>
      <c r="C829" s="810"/>
      <c r="D829" s="810"/>
      <c r="E829" s="810"/>
      <c r="F829" s="810"/>
    </row>
    <row r="830" spans="1:13">
      <c r="A830" s="810" t="s">
        <v>3727</v>
      </c>
      <c r="B830" s="810"/>
      <c r="C830" s="810"/>
      <c r="D830" s="810"/>
      <c r="E830" s="810"/>
      <c r="F830" s="810"/>
    </row>
    <row r="831" spans="1:13">
      <c r="H831" s="1" t="s">
        <v>3761</v>
      </c>
      <c r="M831" s="1" t="s">
        <v>3782</v>
      </c>
    </row>
    <row r="832" spans="1:13">
      <c r="A832" s="1" t="s">
        <v>3740</v>
      </c>
      <c r="D832" s="1" t="s">
        <v>1579</v>
      </c>
      <c r="H832" s="687" t="s">
        <v>3760</v>
      </c>
      <c r="I832" s="687" t="s">
        <v>3759</v>
      </c>
      <c r="J832" s="687" t="s">
        <v>3757</v>
      </c>
      <c r="K832" s="687" t="s">
        <v>3758</v>
      </c>
      <c r="M832" s="1" t="s">
        <v>3783</v>
      </c>
    </row>
    <row r="833" spans="1:13">
      <c r="A833" s="1" t="s">
        <v>3729</v>
      </c>
      <c r="C833" s="224">
        <f>+C791</f>
        <v>2020</v>
      </c>
      <c r="D833" s="224">
        <f>+D791</f>
        <v>2021</v>
      </c>
      <c r="E833" s="224">
        <f>+E791</f>
        <v>2022</v>
      </c>
      <c r="F833" s="224">
        <f>+F791</f>
        <v>2023</v>
      </c>
      <c r="H833" s="224">
        <v>2020</v>
      </c>
      <c r="I833" s="224">
        <v>2021</v>
      </c>
      <c r="J833" s="224">
        <v>2022</v>
      </c>
      <c r="K833" s="224">
        <v>2023</v>
      </c>
      <c r="L833" s="1" t="s">
        <v>1344</v>
      </c>
    </row>
    <row r="834" spans="1:13">
      <c r="A834" s="1" t="s">
        <v>3414</v>
      </c>
      <c r="D834" s="700">
        <f>+D794+D797+D798</f>
        <v>1326.6938101287437</v>
      </c>
      <c r="E834" s="700">
        <f t="shared" ref="E834:F834" si="1">+E794+E797+E798</f>
        <v>1116.028500635181</v>
      </c>
      <c r="F834" s="700">
        <f t="shared" si="1"/>
        <v>1346.82992566694</v>
      </c>
      <c r="H834" s="1" t="s">
        <v>3743</v>
      </c>
      <c r="I834" s="412">
        <f>100*D834/Model!BT82</f>
        <v>94.225412651189174</v>
      </c>
      <c r="J834" s="412">
        <f t="shared" ref="J834:K836" si="2">100*(E834-D834)/D834</f>
        <v>-15.87896980337306</v>
      </c>
      <c r="K834" s="856">
        <f t="shared" si="2"/>
        <v>20.680603129794601</v>
      </c>
      <c r="L834" s="1" t="s">
        <v>1344</v>
      </c>
      <c r="M834" s="410" t="s">
        <v>3479</v>
      </c>
    </row>
    <row r="835" spans="1:13">
      <c r="A835" s="1" t="s">
        <v>2728</v>
      </c>
      <c r="D835" s="700">
        <f>+D795+D796+D799</f>
        <v>886.46750225000005</v>
      </c>
      <c r="E835" s="700">
        <f>+E795+E796+E799</f>
        <v>1001.710614714729</v>
      </c>
      <c r="F835" s="700">
        <f>+F795+F796+F799</f>
        <v>1110.893992560721</v>
      </c>
      <c r="H835" s="1" t="s">
        <v>3744</v>
      </c>
      <c r="I835" s="412">
        <f>100*D835/Model!BT83</f>
        <v>52.453698357988173</v>
      </c>
      <c r="J835" s="412">
        <f t="shared" si="2"/>
        <v>13.00026365007437</v>
      </c>
      <c r="K835" s="856">
        <f t="shared" si="2"/>
        <v>10.899692610034457</v>
      </c>
      <c r="M835" s="410" t="s">
        <v>3486</v>
      </c>
    </row>
    <row r="836" spans="1:13">
      <c r="A836" s="1" t="s">
        <v>3730</v>
      </c>
      <c r="D836" s="700">
        <f>+D800+D801</f>
        <v>813</v>
      </c>
      <c r="E836" s="700">
        <f>+E800+E801</f>
        <v>1385</v>
      </c>
      <c r="F836" s="700">
        <f>+F800+F801</f>
        <v>813</v>
      </c>
      <c r="H836" s="1" t="s">
        <v>3745</v>
      </c>
      <c r="I836" s="412">
        <f>100*D836/Model!BT84</f>
        <v>57.741477272727273</v>
      </c>
      <c r="J836" s="412">
        <f t="shared" si="2"/>
        <v>70.356703567035666</v>
      </c>
      <c r="K836" s="412">
        <f t="shared" si="2"/>
        <v>-41.299638989169672</v>
      </c>
      <c r="M836" s="1" t="s">
        <v>3788</v>
      </c>
    </row>
    <row r="837" spans="1:13">
      <c r="A837" s="1" t="s">
        <v>3731</v>
      </c>
      <c r="D837" s="700">
        <f t="shared" ref="D837:F838" si="3">-D805</f>
        <v>-360</v>
      </c>
      <c r="E837" s="700">
        <f t="shared" si="3"/>
        <v>-540</v>
      </c>
      <c r="F837" s="700">
        <f t="shared" si="3"/>
        <v>-540</v>
      </c>
      <c r="H837" s="1" t="s">
        <v>3746</v>
      </c>
      <c r="I837" s="412">
        <f>100*D837/Model!BT91/2</f>
        <v>-16.172506738544474</v>
      </c>
      <c r="J837" s="412">
        <f>-100*(E837-D837)/D837/2</f>
        <v>-25</v>
      </c>
      <c r="K837" s="412">
        <f>100*(F837-E837)/E837</f>
        <v>0</v>
      </c>
      <c r="M837" s="410" t="s">
        <v>3478</v>
      </c>
    </row>
    <row r="838" spans="1:13">
      <c r="A838" s="1" t="s">
        <v>3732</v>
      </c>
      <c r="D838" s="700">
        <f t="shared" si="3"/>
        <v>0</v>
      </c>
      <c r="E838" s="700">
        <f t="shared" si="3"/>
        <v>-263.75439999999998</v>
      </c>
      <c r="F838" s="700">
        <f t="shared" si="3"/>
        <v>-657.50879999999995</v>
      </c>
      <c r="H838" s="1" t="s">
        <v>3747</v>
      </c>
      <c r="J838" s="412">
        <f ca="1">100*logbook!E838/Model!BU90</f>
        <v>-6.4395887391050266</v>
      </c>
      <c r="K838" s="412">
        <f>100*(F838-E838)/Model!BT90</f>
        <v>-12.045102477821962</v>
      </c>
      <c r="M838" s="416" t="s">
        <v>3459</v>
      </c>
    </row>
    <row r="839" spans="1:13">
      <c r="A839" s="1" t="s">
        <v>3733</v>
      </c>
      <c r="D839" s="700">
        <f>-+D807</f>
        <v>-1431.159214127508</v>
      </c>
      <c r="E839" s="700">
        <f>-+E807</f>
        <v>-1727.98404312666</v>
      </c>
      <c r="F839" s="700">
        <f>-+F807</f>
        <v>-1900.7849644913622</v>
      </c>
      <c r="H839" s="1" t="s">
        <v>3787</v>
      </c>
      <c r="I839" s="412"/>
      <c r="J839" s="412"/>
      <c r="K839" s="412"/>
    </row>
    <row r="840" spans="1:13">
      <c r="A840" s="1" t="s">
        <v>3756</v>
      </c>
      <c r="D840" s="700"/>
      <c r="E840" s="700"/>
      <c r="F840" s="700"/>
      <c r="H840" s="834">
        <f>+Model!BT207*Model!BT232/1000000</f>
        <v>547.52576018238483</v>
      </c>
      <c r="I840" s="834">
        <f ca="1">+Model!BU207*Model!BU232/1000000</f>
        <v>857.3892237934715</v>
      </c>
      <c r="J840" s="834">
        <f ca="1">+Model!BV207*Model!BV232/1000000</f>
        <v>1060.487096432779</v>
      </c>
      <c r="K840" s="834">
        <f ca="1">+Model!BW207*Model!BW232/1000000</f>
        <v>1308.9879326477517</v>
      </c>
      <c r="M840" s="410" t="s">
        <v>3490</v>
      </c>
    </row>
    <row r="841" spans="1:13">
      <c r="A841" s="1" t="s">
        <v>3734</v>
      </c>
      <c r="D841" s="700">
        <f>-D814</f>
        <v>128</v>
      </c>
      <c r="E841" s="700">
        <f>-E814</f>
        <v>132</v>
      </c>
      <c r="F841" s="700">
        <f>-F814</f>
        <v>136</v>
      </c>
      <c r="H841" s="1" t="s">
        <v>3735</v>
      </c>
      <c r="I841" s="412">
        <f>100*D841/H840</f>
        <v>23.377895490681986</v>
      </c>
      <c r="J841" s="412">
        <f t="shared" ref="J841:K844" si="4">100*(E841-D841)/D841</f>
        <v>3.125</v>
      </c>
      <c r="K841" s="412">
        <f t="shared" si="4"/>
        <v>3.0303030303030303</v>
      </c>
      <c r="M841" s="410" t="s">
        <v>3784</v>
      </c>
    </row>
    <row r="842" spans="1:13">
      <c r="A842" s="1" t="s">
        <v>3736</v>
      </c>
      <c r="D842" s="700">
        <f>-D815-D816-D817-D818</f>
        <v>592</v>
      </c>
      <c r="E842" s="700">
        <f>-E815-E816-E817-E818</f>
        <v>36</v>
      </c>
      <c r="F842" s="700">
        <f>-F815-F816-F817-F818</f>
        <v>36</v>
      </c>
      <c r="H842" s="1" t="s">
        <v>3738</v>
      </c>
      <c r="I842" s="412">
        <f>100*D842/Model!BT94</f>
        <v>62.609054581139631</v>
      </c>
      <c r="J842" s="412">
        <v>0</v>
      </c>
      <c r="K842" s="412">
        <f t="shared" si="4"/>
        <v>0</v>
      </c>
      <c r="M842" t="s">
        <v>3785</v>
      </c>
    </row>
    <row r="843" spans="1:13">
      <c r="A843" s="1" t="s">
        <v>3737</v>
      </c>
      <c r="D843" s="700">
        <f>-D813</f>
        <v>500</v>
      </c>
      <c r="E843" s="700">
        <f>-E813</f>
        <v>250</v>
      </c>
      <c r="F843" s="700">
        <f>-F813</f>
        <v>150</v>
      </c>
      <c r="H843" s="1" t="s">
        <v>3786</v>
      </c>
      <c r="I843" s="412">
        <f>100*(D843+D839)/Model!BT95</f>
        <v>-65.302158148698112</v>
      </c>
      <c r="J843" s="412">
        <v>0</v>
      </c>
      <c r="K843" s="412">
        <v>0</v>
      </c>
      <c r="M843" s="410" t="s">
        <v>3493</v>
      </c>
    </row>
    <row r="844" spans="1:13">
      <c r="A844" s="1" t="s">
        <v>3739</v>
      </c>
      <c r="D844" s="700">
        <f>-D819</f>
        <v>1300</v>
      </c>
      <c r="E844" s="700">
        <f>-E819</f>
        <v>1602.1559002948804</v>
      </c>
      <c r="F844" s="700">
        <f>-F819</f>
        <v>1795.6567912214641</v>
      </c>
      <c r="H844" s="1" t="s">
        <v>3748</v>
      </c>
      <c r="I844" s="412">
        <f>100*D844/Model!BT90</f>
        <v>39.76751300091771</v>
      </c>
      <c r="J844" s="412">
        <f t="shared" si="4"/>
        <v>23.242761561144651</v>
      </c>
      <c r="K844" s="412">
        <f t="shared" si="4"/>
        <v>12.0775319612136</v>
      </c>
      <c r="L844" t="s">
        <v>3770</v>
      </c>
    </row>
    <row r="845" spans="1:13">
      <c r="A845" s="1"/>
      <c r="D845"/>
      <c r="E845"/>
      <c r="F845"/>
      <c r="H845" s="1"/>
      <c r="I845" s="412"/>
      <c r="J845" s="412"/>
      <c r="K845" s="412"/>
      <c r="L845" t="s">
        <v>3771</v>
      </c>
    </row>
    <row r="846" spans="1:13">
      <c r="A846" t="s">
        <v>3779</v>
      </c>
      <c r="D846" s="1" t="s">
        <v>2682</v>
      </c>
      <c r="H846" s="1" t="s">
        <v>2682</v>
      </c>
    </row>
    <row r="847" spans="1:13">
      <c r="A847" s="1" t="s">
        <v>3741</v>
      </c>
      <c r="C847" s="687" t="s">
        <v>1552</v>
      </c>
      <c r="D847" s="224">
        <f>+(110+150)/2</f>
        <v>130</v>
      </c>
      <c r="E847" s="224">
        <f>+(110+150)/2</f>
        <v>130</v>
      </c>
      <c r="F847" s="224">
        <f>+(110+150)/2</f>
        <v>130</v>
      </c>
      <c r="H847" s="1" t="s">
        <v>3749</v>
      </c>
      <c r="I847" s="224">
        <f>+D847</f>
        <v>130</v>
      </c>
      <c r="J847" s="224">
        <f>+E847</f>
        <v>130</v>
      </c>
      <c r="K847" s="224">
        <f>+F847</f>
        <v>130</v>
      </c>
      <c r="L847" t="s">
        <v>3811</v>
      </c>
    </row>
    <row r="848" spans="1:13">
      <c r="A848" s="1" t="s">
        <v>3742</v>
      </c>
      <c r="B848" s="1" t="s">
        <v>3773</v>
      </c>
      <c r="C848" s="687" t="s">
        <v>3752</v>
      </c>
      <c r="D848" s="412">
        <f>+(185+300)/2</f>
        <v>242.5</v>
      </c>
      <c r="E848" s="412">
        <f>+(185+300)/2</f>
        <v>242.5</v>
      </c>
      <c r="F848" s="412">
        <f>+(185+300)/2</f>
        <v>242.5</v>
      </c>
      <c r="H848" s="1" t="s">
        <v>3750</v>
      </c>
      <c r="I848">
        <f>+D848</f>
        <v>242.5</v>
      </c>
      <c r="J848" s="224">
        <v>0</v>
      </c>
      <c r="K848" s="224">
        <v>0</v>
      </c>
      <c r="L848" s="1" t="s">
        <v>3774</v>
      </c>
    </row>
    <row r="850" spans="1:13">
      <c r="A850" s="1" t="s">
        <v>3768</v>
      </c>
      <c r="C850" s="687" t="s">
        <v>3772</v>
      </c>
      <c r="G850" s="1" t="s">
        <v>3765</v>
      </c>
      <c r="H850" s="1" t="s">
        <v>3751</v>
      </c>
      <c r="I850" s="1" t="s">
        <v>3766</v>
      </c>
      <c r="M850" s="1" t="s">
        <v>3781</v>
      </c>
    </row>
    <row r="851" spans="1:13">
      <c r="A851" s="1"/>
      <c r="C851" s="687"/>
      <c r="H851" s="1"/>
    </row>
    <row r="853" spans="1:13">
      <c r="A853" s="222" t="s">
        <v>3754</v>
      </c>
    </row>
    <row r="854" spans="1:13">
      <c r="A854" s="1" t="s">
        <v>3755</v>
      </c>
    </row>
    <row r="855" spans="1:13">
      <c r="A855" s="1" t="s">
        <v>3775</v>
      </c>
    </row>
    <row r="857" spans="1:13">
      <c r="A857" s="222" t="s">
        <v>3762</v>
      </c>
    </row>
    <row r="858" spans="1:13">
      <c r="A858" s="1" t="s">
        <v>3763</v>
      </c>
    </row>
    <row r="859" spans="1:13">
      <c r="A859" s="1" t="s">
        <v>3776</v>
      </c>
    </row>
    <row r="860" spans="1:13">
      <c r="A860" s="1" t="s">
        <v>3741</v>
      </c>
    </row>
    <row r="861" spans="1:13">
      <c r="A861" s="1" t="s">
        <v>3777</v>
      </c>
    </row>
    <row r="862" spans="1:13">
      <c r="A862" s="1" t="s">
        <v>3767</v>
      </c>
    </row>
    <row r="863" spans="1:13">
      <c r="A863" s="1" t="s">
        <v>3764</v>
      </c>
      <c r="C863" s="687"/>
      <c r="G863" s="1" t="s">
        <v>3765</v>
      </c>
      <c r="H863" s="1" t="s">
        <v>3751</v>
      </c>
      <c r="I863" s="1" t="s">
        <v>3766</v>
      </c>
    </row>
    <row r="864" spans="1:13">
      <c r="A864" s="1" t="s">
        <v>3769</v>
      </c>
    </row>
    <row r="866" spans="1:1">
      <c r="A866" s="1" t="s">
        <v>3778</v>
      </c>
    </row>
    <row r="868" spans="1:1">
      <c r="A868" s="222" t="s">
        <v>3790</v>
      </c>
    </row>
    <row r="869" spans="1:1">
      <c r="A869" s="1" t="s">
        <v>3780</v>
      </c>
    </row>
    <row r="870" spans="1:1">
      <c r="A870" s="1" t="s">
        <v>3789</v>
      </c>
    </row>
    <row r="872" spans="1:1">
      <c r="A872" s="222" t="s">
        <v>3791</v>
      </c>
    </row>
    <row r="873" spans="1:1">
      <c r="A873" s="1" t="s">
        <v>3792</v>
      </c>
    </row>
    <row r="875" spans="1:1">
      <c r="A875" s="222" t="s">
        <v>3793</v>
      </c>
    </row>
    <row r="876" spans="1:1">
      <c r="A876" s="1" t="s">
        <v>3795</v>
      </c>
    </row>
    <row r="877" spans="1:1">
      <c r="A877" s="1" t="s">
        <v>3796</v>
      </c>
    </row>
    <row r="878" spans="1:1">
      <c r="A878" s="1" t="s">
        <v>3797</v>
      </c>
    </row>
    <row r="879" spans="1:1">
      <c r="A879" s="1" t="s">
        <v>3803</v>
      </c>
    </row>
    <row r="880" spans="1:1">
      <c r="A880" s="1" t="s">
        <v>3804</v>
      </c>
    </row>
    <row r="882" spans="1:9">
      <c r="A882" s="222" t="s">
        <v>3805</v>
      </c>
    </row>
    <row r="883" spans="1:9">
      <c r="A883" s="1" t="s">
        <v>3807</v>
      </c>
    </row>
    <row r="884" spans="1:9">
      <c r="A884" s="1" t="s">
        <v>3806</v>
      </c>
    </row>
    <row r="886" spans="1:9">
      <c r="A886" s="1" t="s">
        <v>3808</v>
      </c>
    </row>
    <row r="887" spans="1:9">
      <c r="A887" s="1" t="s">
        <v>3810</v>
      </c>
    </row>
    <row r="888" spans="1:9">
      <c r="A888" s="1" t="s">
        <v>3812</v>
      </c>
      <c r="I888" s="1"/>
    </row>
    <row r="889" spans="1:9">
      <c r="A889" s="1" t="s">
        <v>3813</v>
      </c>
    </row>
    <row r="890" spans="1:9">
      <c r="A890" s="1" t="s">
        <v>3814</v>
      </c>
    </row>
    <row r="891" spans="1:9">
      <c r="A891" s="1" t="s">
        <v>3815</v>
      </c>
    </row>
    <row r="893" spans="1:9">
      <c r="A893" s="1" t="s">
        <v>3818</v>
      </c>
    </row>
    <row r="894" spans="1:9">
      <c r="A894" s="1" t="s">
        <v>3819</v>
      </c>
    </row>
    <row r="895" spans="1:9">
      <c r="A895" s="1" t="s">
        <v>3825</v>
      </c>
    </row>
    <row r="896" spans="1:9">
      <c r="A896" s="1" t="s">
        <v>3826</v>
      </c>
    </row>
    <row r="897" spans="1:5">
      <c r="A897" s="1" t="s">
        <v>3827</v>
      </c>
    </row>
    <row r="898" spans="1:5">
      <c r="A898" s="1" t="s">
        <v>3828</v>
      </c>
    </row>
    <row r="900" spans="1:5">
      <c r="A900" s="222" t="s">
        <v>3850</v>
      </c>
      <c r="E900" s="1" t="s">
        <v>1344</v>
      </c>
    </row>
    <row r="902" spans="1:5">
      <c r="A902" s="222" t="s">
        <v>3851</v>
      </c>
    </row>
    <row r="903" spans="1:5">
      <c r="A903" s="1" t="s">
        <v>3829</v>
      </c>
      <c r="E903" s="1" t="s">
        <v>3832</v>
      </c>
    </row>
    <row r="904" spans="1:5">
      <c r="A904" s="1" t="s">
        <v>3830</v>
      </c>
      <c r="B904" s="412">
        <f>2000/14.3</f>
        <v>139.86013986013987</v>
      </c>
      <c r="C904" s="1" t="s">
        <v>3831</v>
      </c>
      <c r="E904" s="1" t="s">
        <v>3836</v>
      </c>
    </row>
    <row r="905" spans="1:5">
      <c r="A905" s="1" t="s">
        <v>3833</v>
      </c>
    </row>
    <row r="906" spans="1:5">
      <c r="A906" s="1" t="s">
        <v>3834</v>
      </c>
    </row>
    <row r="907" spans="1:5">
      <c r="A907" s="1" t="s">
        <v>3835</v>
      </c>
    </row>
    <row r="908" spans="1:5">
      <c r="A908" s="1" t="s">
        <v>3848</v>
      </c>
    </row>
    <row r="910" spans="1:5">
      <c r="A910" s="1" t="s">
        <v>3846</v>
      </c>
    </row>
    <row r="911" spans="1:5">
      <c r="A911" s="1" t="s">
        <v>3847</v>
      </c>
    </row>
    <row r="913" spans="1:1">
      <c r="A913" s="1" t="s">
        <v>3852</v>
      </c>
    </row>
  </sheetData>
  <mergeCells count="1">
    <mergeCell ref="C790:F790"/>
  </mergeCells>
  <phoneticPr fontId="15" type="noConversion"/>
  <hyperlinks>
    <hyperlink ref="A4" r:id="rId1" xr:uid="{00000000-0004-0000-0300-000000000000}"/>
    <hyperlink ref="A419" r:id="rId2" xr:uid="{00000000-0004-0000-0300-000001000000}"/>
    <hyperlink ref="A490" r:id="rId3" xr:uid="{00000000-0004-0000-0300-000002000000}"/>
    <hyperlink ref="A493" r:id="rId4" xr:uid="{00000000-0004-0000-0300-000003000000}"/>
    <hyperlink ref="A2" location="logbook!A781" display="Zie TOELICHTING" xr:uid="{00000000-0004-0000-0300-000004000000}"/>
    <hyperlink ref="A1" location="logbook!A781" display="MacroabcSU 28 dec  2020" xr:uid="{00000000-0004-0000-0300-000005000000}"/>
  </hyperlinks>
  <pageMargins left="0.7" right="0.7" top="0.75" bottom="0.75" header="0.3" footer="0.3"/>
  <pageSetup orientation="portrait" r:id="rId5"/>
  <drawing r:id="rId6"/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IU82"/>
  <sheetViews>
    <sheetView showGridLines="0" zoomScale="124" zoomScaleNormal="124" workbookViewId="0">
      <pane xSplit="4" ySplit="3" topLeftCell="BS8" activePane="bottomRight" state="frozen"/>
      <selection pane="topRight" activeCell="G1" sqref="G1"/>
      <selection pane="bottomLeft" activeCell="A5" sqref="A5"/>
      <selection pane="bottomRight" activeCell="BW18" sqref="BW18"/>
    </sheetView>
  </sheetViews>
  <sheetFormatPr defaultColWidth="12" defaultRowHeight="15"/>
  <cols>
    <col min="1" max="1" width="18.83203125" style="76" customWidth="1"/>
    <col min="2" max="2" width="5" style="76" customWidth="1"/>
    <col min="3" max="3" width="7" style="76" customWidth="1"/>
    <col min="4" max="4" width="3.1640625" style="76" customWidth="1"/>
    <col min="5" max="35" width="12" style="76" customWidth="1"/>
    <col min="36" max="57" width="9.33203125" style="76" customWidth="1"/>
    <col min="58" max="58" width="9.1640625" style="76" customWidth="1"/>
    <col min="59" max="69" width="12" style="76"/>
    <col min="70" max="85" width="12.5" style="76" bestFit="1" customWidth="1"/>
    <col min="86" max="16384" width="12" style="76"/>
  </cols>
  <sheetData>
    <row r="1" spans="1:85">
      <c r="A1" s="74" t="s">
        <v>3241</v>
      </c>
      <c r="B1" s="74"/>
      <c r="C1" s="75" t="s">
        <v>1777</v>
      </c>
      <c r="D1" s="75" t="s">
        <v>1778</v>
      </c>
      <c r="E1" s="75"/>
      <c r="F1" s="75"/>
      <c r="G1" s="75"/>
      <c r="H1" s="75"/>
      <c r="I1" s="75"/>
      <c r="BQ1" s="76" t="s">
        <v>1344</v>
      </c>
      <c r="BU1" s="76" t="s">
        <v>1344</v>
      </c>
    </row>
    <row r="2" spans="1:85" ht="15" customHeight="1">
      <c r="A2" s="70"/>
      <c r="B2" s="70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 t="s">
        <v>1344</v>
      </c>
      <c r="BR2" s="78" t="s">
        <v>1344</v>
      </c>
      <c r="BS2" s="78"/>
      <c r="BT2" s="78"/>
      <c r="BU2" s="78" t="s">
        <v>1344</v>
      </c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</row>
    <row r="3" spans="1:85" s="67" customFormat="1" ht="15" customHeight="1">
      <c r="A3" s="69"/>
      <c r="B3" s="69"/>
      <c r="F3" s="97">
        <f ca="1">G3-1</f>
        <v>1954</v>
      </c>
      <c r="G3" s="97">
        <f ca="1">H3-1</f>
        <v>1955</v>
      </c>
      <c r="H3" s="97">
        <f ca="1">I3-1</f>
        <v>1956</v>
      </c>
      <c r="I3" s="97">
        <f ca="1">J3-1</f>
        <v>1957</v>
      </c>
      <c r="J3" s="97">
        <f ca="1">K3-1</f>
        <v>1958</v>
      </c>
      <c r="K3" s="97">
        <f t="shared" ref="K3:AI3" ca="1" si="0">L3-1</f>
        <v>1959</v>
      </c>
      <c r="L3" s="97">
        <f t="shared" ca="1" si="0"/>
        <v>1960</v>
      </c>
      <c r="M3" s="97">
        <f t="shared" ca="1" si="0"/>
        <v>1961</v>
      </c>
      <c r="N3" s="97">
        <f t="shared" ca="1" si="0"/>
        <v>1962</v>
      </c>
      <c r="O3" s="97">
        <f t="shared" ca="1" si="0"/>
        <v>1963</v>
      </c>
      <c r="P3" s="97">
        <f t="shared" ca="1" si="0"/>
        <v>1964</v>
      </c>
      <c r="Q3" s="97">
        <f t="shared" ca="1" si="0"/>
        <v>1965</v>
      </c>
      <c r="R3" s="97">
        <f t="shared" ca="1" si="0"/>
        <v>1966</v>
      </c>
      <c r="S3" s="97">
        <f t="shared" ca="1" si="0"/>
        <v>1967</v>
      </c>
      <c r="T3" s="97">
        <f t="shared" ca="1" si="0"/>
        <v>1968</v>
      </c>
      <c r="U3" s="97">
        <f t="shared" ca="1" si="0"/>
        <v>1969</v>
      </c>
      <c r="V3" s="97">
        <f t="shared" ca="1" si="0"/>
        <v>1970</v>
      </c>
      <c r="W3" s="97">
        <f t="shared" ca="1" si="0"/>
        <v>1971</v>
      </c>
      <c r="X3" s="97">
        <f t="shared" ca="1" si="0"/>
        <v>1972</v>
      </c>
      <c r="Y3" s="97">
        <f t="shared" ca="1" si="0"/>
        <v>1973</v>
      </c>
      <c r="Z3" s="97">
        <f t="shared" ca="1" si="0"/>
        <v>1974</v>
      </c>
      <c r="AA3" s="97">
        <f t="shared" ca="1" si="0"/>
        <v>1975</v>
      </c>
      <c r="AB3" s="97">
        <f t="shared" ca="1" si="0"/>
        <v>1976</v>
      </c>
      <c r="AC3" s="97">
        <f t="shared" ca="1" si="0"/>
        <v>1977</v>
      </c>
      <c r="AD3" s="97">
        <f t="shared" ca="1" si="0"/>
        <v>1978</v>
      </c>
      <c r="AE3" s="97">
        <f t="shared" ca="1" si="0"/>
        <v>1979</v>
      </c>
      <c r="AF3" s="97">
        <f t="shared" ca="1" si="0"/>
        <v>1980</v>
      </c>
      <c r="AG3" s="97">
        <f t="shared" ca="1" si="0"/>
        <v>1981</v>
      </c>
      <c r="AH3" s="97">
        <f t="shared" ca="1" si="0"/>
        <v>1982</v>
      </c>
      <c r="AI3" s="97">
        <f t="shared" ca="1" si="0"/>
        <v>1983</v>
      </c>
      <c r="AJ3" s="97">
        <f ca="1">AK3-1</f>
        <v>1984</v>
      </c>
      <c r="AK3" s="97">
        <f ca="1">AJ3+1</f>
        <v>1985</v>
      </c>
      <c r="AL3" s="97">
        <f t="shared" ref="AL3:BU3" ca="1" si="1">AK3+1</f>
        <v>1986</v>
      </c>
      <c r="AM3" s="97">
        <f t="shared" ca="1" si="1"/>
        <v>1987</v>
      </c>
      <c r="AN3" s="97">
        <f t="shared" ca="1" si="1"/>
        <v>1988</v>
      </c>
      <c r="AO3" s="97">
        <f t="shared" ca="1" si="1"/>
        <v>1989</v>
      </c>
      <c r="AP3" s="97">
        <f t="shared" ca="1" si="1"/>
        <v>1990</v>
      </c>
      <c r="AQ3" s="97">
        <f t="shared" ca="1" si="1"/>
        <v>1991</v>
      </c>
      <c r="AR3" s="97">
        <f t="shared" ca="1" si="1"/>
        <v>1992</v>
      </c>
      <c r="AS3" s="97">
        <f t="shared" ca="1" si="1"/>
        <v>1993</v>
      </c>
      <c r="AT3" s="97">
        <f t="shared" ca="1" si="1"/>
        <v>1994</v>
      </c>
      <c r="AU3" s="97">
        <f t="shared" ca="1" si="1"/>
        <v>1995</v>
      </c>
      <c r="AV3" s="97">
        <f t="shared" ca="1" si="1"/>
        <v>1996</v>
      </c>
      <c r="AW3" s="97">
        <f t="shared" ca="1" si="1"/>
        <v>1997</v>
      </c>
      <c r="AX3" s="97">
        <f t="shared" ca="1" si="1"/>
        <v>1998</v>
      </c>
      <c r="AY3" s="97">
        <f t="shared" ca="1" si="1"/>
        <v>1999</v>
      </c>
      <c r="AZ3" s="97">
        <f t="shared" ca="1" si="1"/>
        <v>2000</v>
      </c>
      <c r="BA3" s="97">
        <f t="shared" ca="1" si="1"/>
        <v>2001</v>
      </c>
      <c r="BB3" s="97">
        <f t="shared" ca="1" si="1"/>
        <v>2002</v>
      </c>
      <c r="BC3" s="97">
        <f t="shared" ca="1" si="1"/>
        <v>2003</v>
      </c>
      <c r="BD3" s="97">
        <f t="shared" ca="1" si="1"/>
        <v>2004</v>
      </c>
      <c r="BE3" s="97">
        <f t="shared" ca="1" si="1"/>
        <v>2005</v>
      </c>
      <c r="BF3" s="97">
        <f t="shared" ca="1" si="1"/>
        <v>2006</v>
      </c>
      <c r="BG3" s="97">
        <f t="shared" ca="1" si="1"/>
        <v>2007</v>
      </c>
      <c r="BH3" s="97">
        <f t="shared" ca="1" si="1"/>
        <v>2008</v>
      </c>
      <c r="BI3" s="97">
        <f t="shared" ca="1" si="1"/>
        <v>2009</v>
      </c>
      <c r="BJ3" s="97">
        <f t="shared" ca="1" si="1"/>
        <v>2010</v>
      </c>
      <c r="BK3" s="97">
        <f t="shared" ca="1" si="1"/>
        <v>2011</v>
      </c>
      <c r="BL3" s="97">
        <f t="shared" ca="1" si="1"/>
        <v>2012</v>
      </c>
      <c r="BM3" s="97">
        <f t="shared" ca="1" si="1"/>
        <v>2013</v>
      </c>
      <c r="BN3" s="97">
        <f t="shared" ca="1" si="1"/>
        <v>2014</v>
      </c>
      <c r="BO3" s="97">
        <f t="shared" ca="1" si="1"/>
        <v>2015</v>
      </c>
      <c r="BP3" s="97">
        <f t="shared" ca="1" si="1"/>
        <v>2016</v>
      </c>
      <c r="BQ3" s="97">
        <f t="shared" ca="1" si="1"/>
        <v>2017</v>
      </c>
      <c r="BR3" s="97">
        <f t="shared" ca="1" si="1"/>
        <v>2018</v>
      </c>
      <c r="BS3" s="97">
        <f t="shared" ca="1" si="1"/>
        <v>2019</v>
      </c>
      <c r="BT3" s="97">
        <f t="shared" ca="1" si="1"/>
        <v>2020</v>
      </c>
      <c r="BU3" s="97">
        <f t="shared" ca="1" si="1"/>
        <v>2021</v>
      </c>
      <c r="BV3" s="97">
        <f t="shared" ref="BV3:CD3" ca="1" si="2">BU3+1</f>
        <v>2022</v>
      </c>
      <c r="BW3" s="97">
        <f t="shared" ca="1" si="2"/>
        <v>2023</v>
      </c>
      <c r="BX3" s="97">
        <f t="shared" ca="1" si="2"/>
        <v>2024</v>
      </c>
      <c r="BY3" s="97">
        <f t="shared" ca="1" si="2"/>
        <v>2025</v>
      </c>
      <c r="BZ3" s="97">
        <f t="shared" ca="1" si="2"/>
        <v>2026</v>
      </c>
      <c r="CA3" s="97">
        <f t="shared" ca="1" si="2"/>
        <v>2027</v>
      </c>
      <c r="CB3" s="97">
        <f t="shared" ca="1" si="2"/>
        <v>2028</v>
      </c>
      <c r="CC3" s="97">
        <f t="shared" ca="1" si="2"/>
        <v>2029</v>
      </c>
      <c r="CD3" s="97">
        <f t="shared" ca="1" si="2"/>
        <v>2030</v>
      </c>
      <c r="CE3" s="97">
        <f ca="1">CD3+1</f>
        <v>2031</v>
      </c>
      <c r="CF3" s="97">
        <f ca="1">CE3+1</f>
        <v>2032</v>
      </c>
      <c r="CG3" s="97">
        <f ca="1">CF3+1</f>
        <v>2033</v>
      </c>
    </row>
    <row r="4" spans="1:85" s="81" customFormat="1">
      <c r="A4" s="80" t="s">
        <v>3142</v>
      </c>
    </row>
    <row r="5" spans="1:85" s="83" customFormat="1">
      <c r="A5" s="82" t="s">
        <v>3206</v>
      </c>
    </row>
    <row r="6" spans="1:85" s="83" customFormat="1">
      <c r="A6" s="83" t="s">
        <v>3207</v>
      </c>
    </row>
    <row r="7" spans="1:85" s="83" customFormat="1">
      <c r="A7" s="83" t="s">
        <v>3208</v>
      </c>
    </row>
    <row r="8" spans="1:85" s="83" customFormat="1">
      <c r="A8" s="83" t="s">
        <v>3209</v>
      </c>
    </row>
    <row r="9" spans="1:85" s="83" customFormat="1"/>
    <row r="10" spans="1:85" s="79" customFormat="1">
      <c r="A10" s="84" t="s">
        <v>1876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</row>
    <row r="11" spans="1:85" s="79" customFormat="1">
      <c r="A11" s="85" t="s">
        <v>1680</v>
      </c>
      <c r="B11" s="85"/>
      <c r="C11" s="85" t="s">
        <v>1349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BO11" s="79">
        <v>10</v>
      </c>
      <c r="BP11" s="79">
        <v>0</v>
      </c>
      <c r="BQ11" s="79">
        <f>BP11</f>
        <v>0</v>
      </c>
      <c r="BR11" s="79">
        <f>BQ11</f>
        <v>0</v>
      </c>
      <c r="BS11" s="79">
        <v>0</v>
      </c>
      <c r="BT11" s="79">
        <f>BS11</f>
        <v>0</v>
      </c>
      <c r="BU11" s="79">
        <f t="shared" ref="BU11:CG11" si="3">BT11</f>
        <v>0</v>
      </c>
      <c r="BV11" s="79">
        <v>-7</v>
      </c>
      <c r="BW11" s="79">
        <v>-12</v>
      </c>
      <c r="BX11" s="79">
        <v>0</v>
      </c>
      <c r="BY11" s="79">
        <f t="shared" si="3"/>
        <v>0</v>
      </c>
      <c r="BZ11" s="79">
        <f t="shared" si="3"/>
        <v>0</v>
      </c>
      <c r="CA11" s="79">
        <f t="shared" si="3"/>
        <v>0</v>
      </c>
      <c r="CB11" s="79">
        <f t="shared" si="3"/>
        <v>0</v>
      </c>
      <c r="CC11" s="79">
        <f t="shared" si="3"/>
        <v>0</v>
      </c>
      <c r="CD11" s="79">
        <f t="shared" si="3"/>
        <v>0</v>
      </c>
      <c r="CE11" s="79">
        <f t="shared" si="3"/>
        <v>0</v>
      </c>
      <c r="CF11" s="79">
        <f t="shared" si="3"/>
        <v>0</v>
      </c>
      <c r="CG11" s="79">
        <f t="shared" si="3"/>
        <v>0</v>
      </c>
    </row>
    <row r="12" spans="1:85" s="79" customFormat="1">
      <c r="A12" s="85" t="s">
        <v>1873</v>
      </c>
      <c r="B12" s="85"/>
      <c r="C12" s="85" t="s">
        <v>1349</v>
      </c>
      <c r="D12" s="85" t="s">
        <v>558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BG12" s="86"/>
      <c r="BH12" s="86"/>
      <c r="BI12" s="86"/>
      <c r="BJ12" s="86"/>
      <c r="BK12" s="86"/>
      <c r="BL12" s="86"/>
      <c r="BM12" s="86"/>
      <c r="BN12" s="86"/>
      <c r="BO12" s="86">
        <v>1.3</v>
      </c>
      <c r="BP12" s="86">
        <v>1.3</v>
      </c>
      <c r="BQ12" s="86">
        <v>1.3</v>
      </c>
      <c r="BR12" s="86">
        <f>BQ12</f>
        <v>1.3</v>
      </c>
      <c r="BS12" s="86">
        <f t="shared" ref="BS12:CD12" si="4">BR12</f>
        <v>1.3</v>
      </c>
      <c r="BT12" s="86">
        <f t="shared" si="4"/>
        <v>1.3</v>
      </c>
      <c r="BU12" s="86">
        <f t="shared" si="4"/>
        <v>1.3</v>
      </c>
      <c r="BV12" s="86">
        <f t="shared" si="4"/>
        <v>1.3</v>
      </c>
      <c r="BW12" s="86">
        <f t="shared" si="4"/>
        <v>1.3</v>
      </c>
      <c r="BX12" s="86">
        <f t="shared" si="4"/>
        <v>1.3</v>
      </c>
      <c r="BY12" s="86">
        <f t="shared" si="4"/>
        <v>1.3</v>
      </c>
      <c r="BZ12" s="86">
        <f t="shared" si="4"/>
        <v>1.3</v>
      </c>
      <c r="CA12" s="86">
        <f t="shared" si="4"/>
        <v>1.3</v>
      </c>
      <c r="CB12" s="86">
        <f t="shared" si="4"/>
        <v>1.3</v>
      </c>
      <c r="CC12" s="86">
        <f t="shared" si="4"/>
        <v>1.3</v>
      </c>
      <c r="CD12" s="86">
        <f t="shared" si="4"/>
        <v>1.3</v>
      </c>
      <c r="CE12" s="86">
        <f>CD12</f>
        <v>1.3</v>
      </c>
      <c r="CF12" s="86">
        <f>CE12</f>
        <v>1.3</v>
      </c>
      <c r="CG12" s="86">
        <f>CF12</f>
        <v>1.3</v>
      </c>
    </row>
    <row r="13" spans="1:85" s="85" customFormat="1">
      <c r="A13" s="85" t="s">
        <v>2387</v>
      </c>
      <c r="C13" s="85" t="s">
        <v>2017</v>
      </c>
      <c r="BG13" s="86"/>
      <c r="BH13" s="86"/>
      <c r="BI13" s="86"/>
      <c r="BJ13" s="86"/>
      <c r="BK13" s="86"/>
      <c r="BL13" s="86"/>
      <c r="BM13" s="86"/>
      <c r="BN13" s="86"/>
      <c r="BO13" s="86"/>
      <c r="BP13" s="270">
        <v>916</v>
      </c>
      <c r="BQ13" s="590">
        <f>+BQ70</f>
        <v>1317.2604999999999</v>
      </c>
      <c r="BR13" s="590">
        <f>+BR70</f>
        <v>1360.2604999999999</v>
      </c>
      <c r="BS13" s="723">
        <f>+BS71</f>
        <v>1444.5619000000002</v>
      </c>
      <c r="BT13" s="729">
        <f>+BS13</f>
        <v>1444.5619000000002</v>
      </c>
      <c r="BU13" s="730">
        <f>+BT13*1.02</f>
        <v>1473.4531380000001</v>
      </c>
      <c r="BV13" s="730">
        <f t="shared" ref="BV13:CG13" si="5">+BU13*1.02</f>
        <v>1502.9222007600001</v>
      </c>
      <c r="BW13" s="730">
        <f t="shared" si="5"/>
        <v>1532.9806447752001</v>
      </c>
      <c r="BX13" s="730">
        <f t="shared" si="5"/>
        <v>1563.6402576707042</v>
      </c>
      <c r="BY13" s="730">
        <f t="shared" si="5"/>
        <v>1594.9130628241182</v>
      </c>
      <c r="BZ13" s="730">
        <f t="shared" si="5"/>
        <v>1626.8113240806006</v>
      </c>
      <c r="CA13" s="730">
        <f t="shared" si="5"/>
        <v>1659.3475505622125</v>
      </c>
      <c r="CB13" s="730">
        <f t="shared" si="5"/>
        <v>1692.5345015734567</v>
      </c>
      <c r="CC13" s="730">
        <f t="shared" si="5"/>
        <v>1726.3851916049259</v>
      </c>
      <c r="CD13" s="730">
        <f t="shared" si="5"/>
        <v>1760.9128954370244</v>
      </c>
      <c r="CE13" s="730">
        <f t="shared" si="5"/>
        <v>1796.1311533457649</v>
      </c>
      <c r="CF13" s="730">
        <f t="shared" si="5"/>
        <v>1832.0537764126802</v>
      </c>
      <c r="CG13" s="730">
        <f t="shared" si="5"/>
        <v>1868.6948519409339</v>
      </c>
    </row>
    <row r="14" spans="1:85" s="79" customFormat="1">
      <c r="A14" s="85" t="s">
        <v>836</v>
      </c>
      <c r="B14" s="85"/>
      <c r="C14" s="85" t="s">
        <v>1349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BI14" s="87"/>
      <c r="BJ14" s="87"/>
      <c r="BK14" s="87"/>
      <c r="BL14" s="87"/>
      <c r="BM14" s="87"/>
      <c r="BN14" s="87"/>
      <c r="BO14" s="87"/>
      <c r="BP14" s="85">
        <v>0</v>
      </c>
      <c r="BQ14" s="85">
        <v>3</v>
      </c>
      <c r="BR14" s="86">
        <v>3</v>
      </c>
      <c r="BS14" s="85">
        <v>3</v>
      </c>
      <c r="BT14" s="86">
        <f>-3</f>
        <v>-3</v>
      </c>
      <c r="BU14" s="86">
        <v>3</v>
      </c>
      <c r="BV14" s="86">
        <v>3</v>
      </c>
      <c r="BW14" s="86">
        <f t="shared" ref="BW14:CB14" si="6">+BV14</f>
        <v>3</v>
      </c>
      <c r="BX14" s="86">
        <f t="shared" si="6"/>
        <v>3</v>
      </c>
      <c r="BY14" s="86">
        <f t="shared" si="6"/>
        <v>3</v>
      </c>
      <c r="BZ14" s="86">
        <f t="shared" si="6"/>
        <v>3</v>
      </c>
      <c r="CA14" s="86">
        <f t="shared" si="6"/>
        <v>3</v>
      </c>
      <c r="CB14" s="86">
        <f t="shared" si="6"/>
        <v>3</v>
      </c>
      <c r="CC14" s="86">
        <f>3</f>
        <v>3</v>
      </c>
      <c r="CD14" s="86">
        <f>3</f>
        <v>3</v>
      </c>
      <c r="CE14" s="86">
        <f>3</f>
        <v>3</v>
      </c>
      <c r="CF14" s="86">
        <f>3</f>
        <v>3</v>
      </c>
      <c r="CG14" s="86">
        <f>3</f>
        <v>3</v>
      </c>
    </row>
    <row r="15" spans="1:85" s="79" customFormat="1">
      <c r="A15" s="85" t="s">
        <v>1867</v>
      </c>
      <c r="B15" s="85"/>
      <c r="C15" s="85" t="s">
        <v>1349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BI15" s="85"/>
      <c r="BJ15" s="85"/>
      <c r="BK15" s="85"/>
      <c r="BL15" s="85"/>
      <c r="BM15" s="85"/>
      <c r="BN15" s="85"/>
      <c r="BO15" s="85"/>
      <c r="BP15" s="85"/>
      <c r="BQ15" s="85">
        <v>3</v>
      </c>
      <c r="BR15" s="86">
        <f>BR14</f>
        <v>3</v>
      </c>
      <c r="BS15" s="85">
        <v>3</v>
      </c>
      <c r="BT15" s="86">
        <f>3-41</f>
        <v>-38</v>
      </c>
      <c r="BU15" s="86">
        <f>3+68</f>
        <v>71</v>
      </c>
      <c r="BV15" s="86">
        <v>3</v>
      </c>
      <c r="BW15" s="86">
        <f>+BV15</f>
        <v>3</v>
      </c>
      <c r="BX15" s="86">
        <f t="shared" ref="BX15:CG15" si="7">+BW15</f>
        <v>3</v>
      </c>
      <c r="BY15" s="86">
        <f t="shared" si="7"/>
        <v>3</v>
      </c>
      <c r="BZ15" s="86">
        <f t="shared" si="7"/>
        <v>3</v>
      </c>
      <c r="CA15" s="86">
        <f t="shared" si="7"/>
        <v>3</v>
      </c>
      <c r="CB15" s="86">
        <f t="shared" si="7"/>
        <v>3</v>
      </c>
      <c r="CC15" s="86">
        <f t="shared" si="7"/>
        <v>3</v>
      </c>
      <c r="CD15" s="86">
        <f t="shared" si="7"/>
        <v>3</v>
      </c>
      <c r="CE15" s="86">
        <f t="shared" si="7"/>
        <v>3</v>
      </c>
      <c r="CF15" s="86">
        <f t="shared" si="7"/>
        <v>3</v>
      </c>
      <c r="CG15" s="86">
        <f t="shared" si="7"/>
        <v>3</v>
      </c>
    </row>
    <row r="16" spans="1:85" s="79" customFormat="1">
      <c r="A16" s="85" t="s">
        <v>2392</v>
      </c>
      <c r="B16" s="85"/>
      <c r="C16" s="85" t="s">
        <v>1349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BI16" s="85"/>
      <c r="BJ16" s="85"/>
      <c r="BK16" s="85"/>
      <c r="BL16" s="85"/>
      <c r="BM16" s="85"/>
      <c r="BN16" s="85"/>
      <c r="BO16" s="85"/>
      <c r="BP16" s="85">
        <v>0</v>
      </c>
      <c r="BQ16" s="85">
        <v>3</v>
      </c>
      <c r="BR16" s="86">
        <f>BR15</f>
        <v>3</v>
      </c>
      <c r="BS16" s="85">
        <v>3</v>
      </c>
      <c r="BT16" s="86">
        <f>-3</f>
        <v>-3</v>
      </c>
      <c r="BU16" s="86">
        <v>0</v>
      </c>
      <c r="BV16" s="86">
        <v>0</v>
      </c>
      <c r="BW16" s="86">
        <f>BV16</f>
        <v>0</v>
      </c>
      <c r="BX16" s="86">
        <f>BW16</f>
        <v>0</v>
      </c>
      <c r="BY16" s="86">
        <f>BX16</f>
        <v>0</v>
      </c>
      <c r="BZ16" s="86">
        <f t="shared" ref="BZ16:CG16" si="8">BY16</f>
        <v>0</v>
      </c>
      <c r="CA16" s="86">
        <f t="shared" si="8"/>
        <v>0</v>
      </c>
      <c r="CB16" s="86">
        <f t="shared" si="8"/>
        <v>0</v>
      </c>
      <c r="CC16" s="86">
        <f t="shared" si="8"/>
        <v>0</v>
      </c>
      <c r="CD16" s="86">
        <f t="shared" si="8"/>
        <v>0</v>
      </c>
      <c r="CE16" s="86">
        <f t="shared" si="8"/>
        <v>0</v>
      </c>
      <c r="CF16" s="86">
        <f t="shared" si="8"/>
        <v>0</v>
      </c>
      <c r="CG16" s="86">
        <f t="shared" si="8"/>
        <v>0</v>
      </c>
    </row>
    <row r="17" spans="1:85" s="79" customFormat="1">
      <c r="A17" s="85" t="s">
        <v>2399</v>
      </c>
      <c r="B17" s="85"/>
      <c r="C17" s="85" t="s">
        <v>837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>
        <v>0</v>
      </c>
      <c r="BU17" s="732">
        <v>0</v>
      </c>
      <c r="BV17" s="732">
        <f>+BU17</f>
        <v>0</v>
      </c>
      <c r="BW17" s="732">
        <f>+BV17</f>
        <v>0</v>
      </c>
      <c r="BX17" s="732">
        <f>+BW17</f>
        <v>0</v>
      </c>
      <c r="BY17" s="732">
        <f>+BX17</f>
        <v>0</v>
      </c>
      <c r="BZ17" s="732">
        <v>0</v>
      </c>
      <c r="CA17" s="85"/>
      <c r="CB17" s="85"/>
      <c r="CC17" s="85"/>
      <c r="CD17" s="85"/>
      <c r="CE17" s="85"/>
      <c r="CF17" s="85"/>
      <c r="CG17" s="85"/>
    </row>
    <row r="18" spans="1:85" s="79" customFormat="1">
      <c r="A18" s="85" t="s">
        <v>2399</v>
      </c>
      <c r="B18" s="85"/>
      <c r="C18" s="85" t="s">
        <v>1349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BI18" s="85"/>
      <c r="BJ18" s="85"/>
      <c r="BK18" s="85"/>
      <c r="BL18" s="85"/>
      <c r="BM18" s="85"/>
      <c r="BN18" s="85"/>
      <c r="BO18" s="85"/>
      <c r="BP18" s="85"/>
      <c r="BQ18" s="85">
        <v>0</v>
      </c>
      <c r="BR18" s="85">
        <v>0</v>
      </c>
      <c r="BS18" s="85">
        <v>0</v>
      </c>
      <c r="BT18" s="85">
        <v>0</v>
      </c>
      <c r="BU18" s="85">
        <v>0</v>
      </c>
      <c r="BV18" s="85">
        <f t="shared" ref="BV18:CD19" si="9">BU18</f>
        <v>0</v>
      </c>
      <c r="BW18" s="85">
        <f t="shared" si="9"/>
        <v>0</v>
      </c>
      <c r="BX18" s="85">
        <f t="shared" si="9"/>
        <v>0</v>
      </c>
      <c r="BY18" s="85">
        <f t="shared" si="9"/>
        <v>0</v>
      </c>
      <c r="BZ18" s="85">
        <f t="shared" si="9"/>
        <v>0</v>
      </c>
      <c r="CA18" s="85">
        <f t="shared" si="9"/>
        <v>0</v>
      </c>
      <c r="CB18" s="85">
        <f t="shared" si="9"/>
        <v>0</v>
      </c>
      <c r="CC18" s="85">
        <f t="shared" si="9"/>
        <v>0</v>
      </c>
      <c r="CD18" s="85">
        <f t="shared" si="9"/>
        <v>0</v>
      </c>
      <c r="CE18" s="85">
        <f t="shared" ref="CE18:CG19" si="10">CD18</f>
        <v>0</v>
      </c>
      <c r="CF18" s="85">
        <f t="shared" si="10"/>
        <v>0</v>
      </c>
      <c r="CG18" s="85">
        <f t="shared" si="10"/>
        <v>0</v>
      </c>
    </row>
    <row r="19" spans="1:85" s="79" customFormat="1">
      <c r="A19" s="85" t="s">
        <v>2977</v>
      </c>
      <c r="B19" s="85"/>
      <c r="C19" s="85" t="s">
        <v>1349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-20</v>
      </c>
      <c r="BQ19" s="270">
        <f>-33</f>
        <v>-33</v>
      </c>
      <c r="BR19" s="85">
        <v>15</v>
      </c>
      <c r="BS19" s="85">
        <v>35</v>
      </c>
      <c r="BT19" s="85">
        <v>-5</v>
      </c>
      <c r="BU19" s="85">
        <v>0</v>
      </c>
      <c r="BV19" s="85">
        <f>3</f>
        <v>3</v>
      </c>
      <c r="BW19" s="85">
        <f t="shared" si="9"/>
        <v>3</v>
      </c>
      <c r="BX19" s="85">
        <f t="shared" si="9"/>
        <v>3</v>
      </c>
      <c r="BY19" s="85">
        <f t="shared" si="9"/>
        <v>3</v>
      </c>
      <c r="BZ19" s="85">
        <f>BY19</f>
        <v>3</v>
      </c>
      <c r="CA19" s="85">
        <f>BZ19</f>
        <v>3</v>
      </c>
      <c r="CB19" s="85">
        <f>CA19</f>
        <v>3</v>
      </c>
      <c r="CC19" s="85">
        <f>CB19</f>
        <v>3</v>
      </c>
      <c r="CD19" s="85">
        <f>CC19</f>
        <v>3</v>
      </c>
      <c r="CE19" s="85">
        <f t="shared" si="10"/>
        <v>3</v>
      </c>
      <c r="CF19" s="85">
        <f t="shared" si="10"/>
        <v>3</v>
      </c>
      <c r="CG19" s="85">
        <f t="shared" si="10"/>
        <v>3</v>
      </c>
    </row>
    <row r="20" spans="1:85" s="79" customFormat="1">
      <c r="A20" s="85" t="s">
        <v>1765</v>
      </c>
      <c r="B20" s="85"/>
      <c r="C20" s="85" t="s">
        <v>2992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BI20" s="88"/>
      <c r="BJ20" s="85"/>
      <c r="BK20" s="85"/>
      <c r="BL20" s="85"/>
      <c r="BM20" s="85"/>
      <c r="BN20" s="85"/>
      <c r="BO20" s="85"/>
      <c r="BP20" s="85"/>
      <c r="BQ20" s="85">
        <v>0</v>
      </c>
      <c r="BR20" s="85">
        <v>0</v>
      </c>
      <c r="BS20" s="85">
        <v>0</v>
      </c>
      <c r="BT20" s="85">
        <v>0</v>
      </c>
      <c r="BU20" s="85">
        <v>0</v>
      </c>
      <c r="BV20" s="85">
        <f>BU20</f>
        <v>0</v>
      </c>
      <c r="BW20" s="85">
        <f t="shared" ref="BW20:CG21" si="11">+BV20</f>
        <v>0</v>
      </c>
      <c r="BX20" s="85">
        <f t="shared" si="11"/>
        <v>0</v>
      </c>
      <c r="BY20" s="85">
        <f t="shared" ref="BY20" si="12">+BX20</f>
        <v>0</v>
      </c>
      <c r="BZ20" s="85">
        <f t="shared" ref="BZ20" si="13">+BY20</f>
        <v>0</v>
      </c>
      <c r="CA20" s="85">
        <f t="shared" ref="CA20" si="14">+BZ20</f>
        <v>0</v>
      </c>
      <c r="CB20" s="85">
        <f t="shared" ref="CB20" si="15">+CA20</f>
        <v>0</v>
      </c>
      <c r="CC20" s="85">
        <f t="shared" ref="CC20" si="16">+CB20</f>
        <v>0</v>
      </c>
      <c r="CD20" s="85">
        <f t="shared" ref="CD20" si="17">+CC20</f>
        <v>0</v>
      </c>
      <c r="CE20" s="85">
        <f t="shared" ref="CE20" si="18">+CD20</f>
        <v>0</v>
      </c>
      <c r="CF20" s="85">
        <f t="shared" ref="CF20" si="19">+CE20</f>
        <v>0</v>
      </c>
      <c r="CG20" s="85">
        <f t="shared" ref="CG20" si="20">+CF20</f>
        <v>0</v>
      </c>
    </row>
    <row r="21" spans="1:85" s="79" customFormat="1">
      <c r="A21" s="68" t="s">
        <v>1869</v>
      </c>
      <c r="B21" s="85"/>
      <c r="C21" s="85" t="s">
        <v>1349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BF21" s="89">
        <v>0.5</v>
      </c>
      <c r="BG21" s="89">
        <v>0.5</v>
      </c>
      <c r="BH21" s="89">
        <v>0.5</v>
      </c>
      <c r="BI21" s="89">
        <v>0.5</v>
      </c>
      <c r="BJ21" s="86">
        <v>0.5</v>
      </c>
      <c r="BK21" s="86">
        <v>0.5</v>
      </c>
      <c r="BL21" s="86">
        <v>0.5</v>
      </c>
      <c r="BM21" s="86">
        <v>0.5</v>
      </c>
      <c r="BN21" s="86">
        <v>0.5</v>
      </c>
      <c r="BO21" s="86">
        <v>0.5</v>
      </c>
      <c r="BP21" s="86">
        <v>0.5</v>
      </c>
      <c r="BQ21" s="86">
        <v>0.5</v>
      </c>
      <c r="BR21" s="86">
        <v>0.5</v>
      </c>
      <c r="BS21" s="86">
        <v>0.5</v>
      </c>
      <c r="BT21" s="86">
        <f>0.5</f>
        <v>0.5</v>
      </c>
      <c r="BU21" s="86">
        <f>+BT21</f>
        <v>0.5</v>
      </c>
      <c r="BV21" s="86">
        <f>+BU21</f>
        <v>0.5</v>
      </c>
      <c r="BW21" s="86">
        <f t="shared" si="11"/>
        <v>0.5</v>
      </c>
      <c r="BX21" s="86">
        <f t="shared" si="11"/>
        <v>0.5</v>
      </c>
      <c r="BY21" s="86">
        <f t="shared" si="11"/>
        <v>0.5</v>
      </c>
      <c r="BZ21" s="86">
        <f>+BY21</f>
        <v>0.5</v>
      </c>
      <c r="CA21" s="86">
        <f>+BZ21</f>
        <v>0.5</v>
      </c>
      <c r="CB21" s="86">
        <f t="shared" si="11"/>
        <v>0.5</v>
      </c>
      <c r="CC21" s="86">
        <f t="shared" si="11"/>
        <v>0.5</v>
      </c>
      <c r="CD21" s="86">
        <f t="shared" si="11"/>
        <v>0.5</v>
      </c>
      <c r="CE21" s="86">
        <f t="shared" si="11"/>
        <v>0.5</v>
      </c>
      <c r="CF21" s="86">
        <f t="shared" si="11"/>
        <v>0.5</v>
      </c>
      <c r="CG21" s="86">
        <f t="shared" si="11"/>
        <v>0.5</v>
      </c>
    </row>
    <row r="22" spans="1:85" s="79" customFormat="1">
      <c r="A22" s="73" t="s">
        <v>2868</v>
      </c>
      <c r="B22" s="85"/>
      <c r="C22" s="85" t="s">
        <v>1349</v>
      </c>
      <c r="D22" s="85" t="s">
        <v>2867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W22" s="89"/>
      <c r="AX22" s="89"/>
      <c r="AY22" s="89"/>
      <c r="AZ22" s="89"/>
      <c r="BA22" s="89"/>
      <c r="BB22" s="89"/>
      <c r="BC22" s="89"/>
      <c r="BD22" s="89"/>
      <c r="BE22" s="89"/>
      <c r="BF22" s="89">
        <v>6.6</v>
      </c>
      <c r="BG22" s="89">
        <v>6.3</v>
      </c>
      <c r="BH22" s="89">
        <v>6.4</v>
      </c>
      <c r="BI22" s="86">
        <v>6.2</v>
      </c>
      <c r="BJ22" s="85">
        <v>6.2</v>
      </c>
      <c r="BK22" s="85">
        <v>6.6</v>
      </c>
      <c r="BL22" s="85">
        <v>7</v>
      </c>
      <c r="BM22" s="85">
        <v>7.2</v>
      </c>
      <c r="BN22" s="86">
        <v>7.4</v>
      </c>
      <c r="BO22" s="86">
        <v>7.7</v>
      </c>
      <c r="BP22" s="86">
        <v>8.5</v>
      </c>
      <c r="BQ22" s="86">
        <v>9.1</v>
      </c>
      <c r="BR22" s="86">
        <v>9.1999999999999993</v>
      </c>
      <c r="BS22" s="86">
        <f t="shared" ref="BS22:CD23" si="21">BR22</f>
        <v>9.1999999999999993</v>
      </c>
      <c r="BT22" s="86">
        <f t="shared" si="21"/>
        <v>9.1999999999999993</v>
      </c>
      <c r="BU22" s="86">
        <f t="shared" si="21"/>
        <v>9.1999999999999993</v>
      </c>
      <c r="BV22" s="86">
        <f t="shared" si="21"/>
        <v>9.1999999999999993</v>
      </c>
      <c r="BW22" s="86">
        <f t="shared" si="21"/>
        <v>9.1999999999999993</v>
      </c>
      <c r="BX22" s="86">
        <f t="shared" si="21"/>
        <v>9.1999999999999993</v>
      </c>
      <c r="BY22" s="86">
        <f t="shared" si="21"/>
        <v>9.1999999999999993</v>
      </c>
      <c r="BZ22" s="86">
        <f t="shared" si="21"/>
        <v>9.1999999999999993</v>
      </c>
      <c r="CA22" s="86">
        <f t="shared" si="21"/>
        <v>9.1999999999999993</v>
      </c>
      <c r="CB22" s="86">
        <f t="shared" si="21"/>
        <v>9.1999999999999993</v>
      </c>
      <c r="CC22" s="86">
        <f t="shared" si="21"/>
        <v>9.1999999999999993</v>
      </c>
      <c r="CD22" s="86">
        <f t="shared" si="21"/>
        <v>9.1999999999999993</v>
      </c>
      <c r="CE22" s="86">
        <f t="shared" ref="CE22:CG24" si="22">CD22</f>
        <v>9.1999999999999993</v>
      </c>
      <c r="CF22" s="86">
        <f t="shared" si="22"/>
        <v>9.1999999999999993</v>
      </c>
      <c r="CG22" s="86">
        <f t="shared" si="22"/>
        <v>9.1999999999999993</v>
      </c>
    </row>
    <row r="23" spans="1:85" s="79" customFormat="1">
      <c r="A23" s="73" t="s">
        <v>2869</v>
      </c>
      <c r="B23" s="85"/>
      <c r="C23" s="85" t="s">
        <v>1349</v>
      </c>
      <c r="D23" s="85" t="s">
        <v>2870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W23" s="89"/>
      <c r="AX23" s="89"/>
      <c r="AY23" s="89"/>
      <c r="AZ23" s="89"/>
      <c r="BA23" s="89"/>
      <c r="BB23" s="89"/>
      <c r="BC23" s="89"/>
      <c r="BD23" s="89"/>
      <c r="BE23" s="89"/>
      <c r="BF23" s="89">
        <v>2.8</v>
      </c>
      <c r="BG23" s="89">
        <v>3.1</v>
      </c>
      <c r="BH23" s="89">
        <v>3</v>
      </c>
      <c r="BI23" s="86">
        <v>2.9</v>
      </c>
      <c r="BJ23" s="85">
        <v>2.7</v>
      </c>
      <c r="BK23" s="85">
        <v>2.6</v>
      </c>
      <c r="BL23" s="85">
        <v>2.6</v>
      </c>
      <c r="BM23" s="85">
        <v>2.8</v>
      </c>
      <c r="BN23" s="86">
        <v>3.3</v>
      </c>
      <c r="BO23" s="86">
        <v>3.8</v>
      </c>
      <c r="BP23" s="86">
        <v>3.7</v>
      </c>
      <c r="BQ23" s="86">
        <v>3.4</v>
      </c>
      <c r="BR23" s="86">
        <v>3</v>
      </c>
      <c r="BS23" s="86">
        <f t="shared" si="21"/>
        <v>3</v>
      </c>
      <c r="BT23" s="86">
        <f t="shared" si="21"/>
        <v>3</v>
      </c>
      <c r="BU23" s="86">
        <f t="shared" si="21"/>
        <v>3</v>
      </c>
      <c r="BV23" s="86">
        <f t="shared" si="21"/>
        <v>3</v>
      </c>
      <c r="BW23" s="86">
        <f t="shared" si="21"/>
        <v>3</v>
      </c>
      <c r="BX23" s="86">
        <f t="shared" si="21"/>
        <v>3</v>
      </c>
      <c r="BY23" s="86">
        <f t="shared" si="21"/>
        <v>3</v>
      </c>
      <c r="BZ23" s="86">
        <f t="shared" si="21"/>
        <v>3</v>
      </c>
      <c r="CA23" s="86">
        <f t="shared" si="21"/>
        <v>3</v>
      </c>
      <c r="CB23" s="86">
        <f t="shared" si="21"/>
        <v>3</v>
      </c>
      <c r="CC23" s="86">
        <f t="shared" si="21"/>
        <v>3</v>
      </c>
      <c r="CD23" s="86">
        <f t="shared" si="21"/>
        <v>3</v>
      </c>
      <c r="CE23" s="86">
        <f t="shared" si="22"/>
        <v>3</v>
      </c>
      <c r="CF23" s="86">
        <f t="shared" si="22"/>
        <v>3</v>
      </c>
      <c r="CG23" s="86">
        <f t="shared" si="22"/>
        <v>3</v>
      </c>
    </row>
    <row r="24" spans="1:85" s="79" customFormat="1">
      <c r="A24" s="85" t="s">
        <v>2389</v>
      </c>
      <c r="B24" s="85"/>
      <c r="C24" s="85" t="s">
        <v>1349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W24" s="86">
        <v>13.6875</v>
      </c>
      <c r="AX24" s="86">
        <v>13.0416666666667</v>
      </c>
      <c r="AY24" s="86">
        <v>12.4166666666667</v>
      </c>
      <c r="AZ24" s="86">
        <v>12.1875</v>
      </c>
      <c r="BA24" s="86">
        <v>12</v>
      </c>
      <c r="BB24" s="86">
        <v>11.6875</v>
      </c>
      <c r="BC24" s="86">
        <v>11.1875</v>
      </c>
      <c r="BD24" s="86">
        <v>10.83333333333335</v>
      </c>
      <c r="BE24" s="86">
        <v>10.96875</v>
      </c>
      <c r="BF24" s="86">
        <v>3</v>
      </c>
      <c r="BG24" s="86">
        <v>3</v>
      </c>
      <c r="BH24" s="86">
        <v>3</v>
      </c>
      <c r="BI24" s="86">
        <v>3</v>
      </c>
      <c r="BJ24" s="86">
        <v>3</v>
      </c>
      <c r="BK24" s="86">
        <v>3</v>
      </c>
      <c r="BL24" s="86">
        <v>3</v>
      </c>
      <c r="BM24" s="86">
        <v>3</v>
      </c>
      <c r="BN24" s="86">
        <v>3</v>
      </c>
      <c r="BO24" s="85">
        <v>3</v>
      </c>
      <c r="BP24" s="85">
        <v>9</v>
      </c>
      <c r="BQ24" s="85">
        <v>9</v>
      </c>
      <c r="BR24" s="86">
        <f>BQ24</f>
        <v>9</v>
      </c>
      <c r="BS24" s="86">
        <f t="shared" ref="BS24:CD24" si="23">BR24</f>
        <v>9</v>
      </c>
      <c r="BT24" s="86">
        <f t="shared" si="23"/>
        <v>9</v>
      </c>
      <c r="BU24" s="86">
        <f t="shared" si="23"/>
        <v>9</v>
      </c>
      <c r="BV24" s="86">
        <f t="shared" si="23"/>
        <v>9</v>
      </c>
      <c r="BW24" s="86">
        <f t="shared" si="23"/>
        <v>9</v>
      </c>
      <c r="BX24" s="86">
        <f t="shared" si="23"/>
        <v>9</v>
      </c>
      <c r="BY24" s="86">
        <f t="shared" si="23"/>
        <v>9</v>
      </c>
      <c r="BZ24" s="86">
        <f t="shared" si="23"/>
        <v>9</v>
      </c>
      <c r="CA24" s="86">
        <f t="shared" si="23"/>
        <v>9</v>
      </c>
      <c r="CB24" s="86">
        <f t="shared" si="23"/>
        <v>9</v>
      </c>
      <c r="CC24" s="86">
        <f t="shared" si="23"/>
        <v>9</v>
      </c>
      <c r="CD24" s="86">
        <f t="shared" si="23"/>
        <v>9</v>
      </c>
      <c r="CE24" s="86">
        <f t="shared" si="22"/>
        <v>9</v>
      </c>
      <c r="CF24" s="86">
        <f t="shared" si="22"/>
        <v>9</v>
      </c>
      <c r="CG24" s="86">
        <f t="shared" si="22"/>
        <v>9</v>
      </c>
    </row>
    <row r="25" spans="1:85" s="79" customFormat="1">
      <c r="A25" s="85" t="s">
        <v>1682</v>
      </c>
      <c r="B25" s="85"/>
      <c r="C25" s="72" t="s">
        <v>1349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W25" s="85"/>
      <c r="AX25" s="85"/>
      <c r="AY25" s="85"/>
      <c r="AZ25" s="85"/>
      <c r="BA25" s="85"/>
      <c r="BB25" s="85"/>
      <c r="BC25" s="86"/>
      <c r="BD25" s="86"/>
      <c r="BE25" s="86"/>
      <c r="BF25" s="86">
        <v>4.0549999999999997</v>
      </c>
      <c r="BG25" s="86">
        <v>5.9939999999999998</v>
      </c>
      <c r="BH25" s="86">
        <v>2.484</v>
      </c>
      <c r="BI25" s="86">
        <v>3.5870000000000002</v>
      </c>
      <c r="BJ25" s="86">
        <v>4.8460000000000001</v>
      </c>
      <c r="BK25" s="86">
        <v>3.9769999999999999</v>
      </c>
      <c r="BL25" s="86">
        <v>3.762</v>
      </c>
      <c r="BM25" s="86">
        <v>3.7570000000000001</v>
      </c>
      <c r="BN25" s="86">
        <v>3.7570000000000001</v>
      </c>
      <c r="BO25" s="86">
        <v>3.7570000000000001</v>
      </c>
      <c r="BP25" s="86">
        <v>3.7570000000000001</v>
      </c>
      <c r="BQ25" s="86">
        <v>2</v>
      </c>
      <c r="BR25" s="86">
        <f>BQ25</f>
        <v>2</v>
      </c>
      <c r="BS25" s="86">
        <v>2</v>
      </c>
      <c r="BT25" s="86">
        <v>2</v>
      </c>
      <c r="BU25" s="86">
        <f t="shared" ref="BU25:CD25" si="24">BT25</f>
        <v>2</v>
      </c>
      <c r="BV25" s="86">
        <f t="shared" si="24"/>
        <v>2</v>
      </c>
      <c r="BW25" s="86">
        <f t="shared" si="24"/>
        <v>2</v>
      </c>
      <c r="BX25" s="86">
        <f t="shared" si="24"/>
        <v>2</v>
      </c>
      <c r="BY25" s="86">
        <f t="shared" si="24"/>
        <v>2</v>
      </c>
      <c r="BZ25" s="86">
        <f t="shared" si="24"/>
        <v>2</v>
      </c>
      <c r="CA25" s="86">
        <f t="shared" si="24"/>
        <v>2</v>
      </c>
      <c r="CB25" s="86">
        <f t="shared" si="24"/>
        <v>2</v>
      </c>
      <c r="CC25" s="86">
        <f t="shared" si="24"/>
        <v>2</v>
      </c>
      <c r="CD25" s="86">
        <f t="shared" si="24"/>
        <v>2</v>
      </c>
      <c r="CE25" s="86">
        <f>CD25</f>
        <v>2</v>
      </c>
      <c r="CF25" s="86">
        <f>CE25</f>
        <v>2</v>
      </c>
      <c r="CG25" s="86">
        <f>CF25</f>
        <v>2</v>
      </c>
    </row>
    <row r="26" spans="1:85">
      <c r="A26" s="76" t="s">
        <v>2018</v>
      </c>
      <c r="C26" s="76" t="s">
        <v>2019</v>
      </c>
      <c r="BJ26" s="581">
        <f>+SOURCE!BJ315</f>
        <v>1224.7</v>
      </c>
      <c r="BK26" s="581">
        <f>+SOURCE!BK315</f>
        <v>1569.2</v>
      </c>
      <c r="BL26" s="581">
        <f>+SOURCE!BL315</f>
        <v>1669.5</v>
      </c>
      <c r="BM26" s="581">
        <f>+SOURCE!BM315</f>
        <v>1411.5</v>
      </c>
      <c r="BN26" s="581">
        <f>+SOURCE!BN315</f>
        <v>1265.5999999999999</v>
      </c>
      <c r="BO26" s="581">
        <f>+SOURCE!BO315</f>
        <v>1160.06</v>
      </c>
      <c r="BP26" s="581">
        <f>+SOURCE!BP315</f>
        <v>1249</v>
      </c>
      <c r="BQ26" s="581">
        <f>+SOURCE!BQ315</f>
        <v>1250</v>
      </c>
      <c r="BR26" s="581">
        <f>+SOURCE!BR315</f>
        <v>1269</v>
      </c>
      <c r="BS26" s="581">
        <f>+SOURCE!BS315</f>
        <v>1400</v>
      </c>
      <c r="BT26" s="581">
        <f>+SOURCE!BT315</f>
        <v>1531</v>
      </c>
      <c r="BU26" s="581">
        <f>+SOURCE!BU315</f>
        <v>1558</v>
      </c>
      <c r="BV26" s="581">
        <f>+SOURCE!BV315</f>
        <v>1580</v>
      </c>
      <c r="BW26" s="581">
        <f>+SOURCE!BW315</f>
        <v>1599</v>
      </c>
      <c r="BX26" s="581">
        <f>+SOURCE!BX315</f>
        <v>1619</v>
      </c>
      <c r="BY26" s="581">
        <f>+SOURCE!BY315</f>
        <v>1667.57</v>
      </c>
      <c r="BZ26" s="581">
        <f>+SOURCE!BZ315</f>
        <v>1717.5971</v>
      </c>
      <c r="CA26" s="581">
        <f>+SOURCE!CA315</f>
        <v>1769.1250130000001</v>
      </c>
      <c r="CB26" s="581">
        <f>+SOURCE!CB315</f>
        <v>1822.1987633900001</v>
      </c>
      <c r="CC26" s="581">
        <f>+SOURCE!CC315</f>
        <v>1876.8647262917002</v>
      </c>
      <c r="CD26" s="581">
        <f>+SOURCE!CD315</f>
        <v>1933.1706680804514</v>
      </c>
      <c r="CE26" s="581">
        <f>+SOURCE!CE315</f>
        <v>1991.165788122865</v>
      </c>
      <c r="CF26" s="581">
        <f>+SOURCE!CF315</f>
        <v>2050.9007617665511</v>
      </c>
      <c r="CG26" s="581">
        <f>+SOURCE!CG315</f>
        <v>2112.4277846195478</v>
      </c>
    </row>
    <row r="27" spans="1:85" s="79" customFormat="1">
      <c r="A27" s="84" t="s">
        <v>1877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</row>
    <row r="28" spans="1:85" s="79" customFormat="1">
      <c r="A28" s="85" t="s">
        <v>3204</v>
      </c>
      <c r="B28" s="85"/>
      <c r="C28" s="85" t="s">
        <v>1349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BH28" s="85"/>
      <c r="BI28" s="85"/>
      <c r="BJ28" s="85"/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f>15</f>
        <v>15</v>
      </c>
      <c r="BQ28" s="85">
        <v>0</v>
      </c>
      <c r="BR28" s="85">
        <v>0</v>
      </c>
      <c r="BS28" s="85">
        <v>0</v>
      </c>
      <c r="BT28" s="85">
        <v>0</v>
      </c>
      <c r="BU28" s="85">
        <v>1.6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</row>
    <row r="29" spans="1:85" s="79" customFormat="1">
      <c r="A29" s="85" t="s">
        <v>1681</v>
      </c>
      <c r="B29" s="85"/>
      <c r="C29" s="85" t="s">
        <v>1349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BH29" s="85"/>
      <c r="BI29" s="85"/>
      <c r="BJ29" s="85"/>
      <c r="BK29" s="85"/>
      <c r="BL29" s="85"/>
      <c r="BM29" s="85"/>
      <c r="BN29" s="85"/>
      <c r="BO29" s="85"/>
      <c r="BP29" s="85">
        <v>0</v>
      </c>
      <c r="BQ29" s="85">
        <v>0</v>
      </c>
      <c r="BR29" s="85">
        <v>0</v>
      </c>
      <c r="BS29" s="85">
        <v>-15</v>
      </c>
      <c r="BT29" s="85">
        <v>0</v>
      </c>
      <c r="BU29" s="85">
        <v>0</v>
      </c>
      <c r="BV29" s="85">
        <v>0</v>
      </c>
      <c r="BW29" s="85">
        <v>0</v>
      </c>
      <c r="BX29" s="85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</row>
    <row r="30" spans="1:85" s="79" customFormat="1">
      <c r="A30" s="85" t="s">
        <v>2440</v>
      </c>
      <c r="B30" s="85"/>
      <c r="C30" s="85" t="s">
        <v>1349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BH30" s="85"/>
      <c r="BI30" s="85"/>
      <c r="BJ30" s="85"/>
      <c r="BK30" s="85"/>
      <c r="BL30" s="85"/>
      <c r="BM30" s="85"/>
      <c r="BN30" s="85"/>
      <c r="BO30" s="85"/>
      <c r="BP30" s="85">
        <v>0</v>
      </c>
      <c r="BQ30" s="85">
        <v>0</v>
      </c>
      <c r="BR30" s="85">
        <v>0</v>
      </c>
      <c r="BS30" s="85">
        <v>0</v>
      </c>
      <c r="BT30" s="85">
        <v>0</v>
      </c>
      <c r="BU30" s="85">
        <v>0</v>
      </c>
      <c r="BV30" s="85">
        <v>0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5">
        <v>0</v>
      </c>
      <c r="CD30" s="85">
        <v>0</v>
      </c>
      <c r="CE30" s="85">
        <v>0</v>
      </c>
      <c r="CF30" s="85">
        <v>0</v>
      </c>
      <c r="CG30" s="85">
        <v>0</v>
      </c>
    </row>
    <row r="31" spans="1:85" s="79" customFormat="1">
      <c r="A31" s="85" t="s">
        <v>1878</v>
      </c>
      <c r="B31" s="85"/>
      <c r="C31" s="85" t="s">
        <v>1349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BH31" s="85"/>
      <c r="BI31" s="85"/>
      <c r="BJ31" s="85"/>
      <c r="BK31" s="85"/>
      <c r="BL31" s="86"/>
      <c r="BM31" s="86"/>
      <c r="BN31" s="86"/>
      <c r="BO31" s="86"/>
      <c r="BP31" s="86">
        <v>1.6</v>
      </c>
      <c r="BQ31" s="86">
        <v>1.6</v>
      </c>
      <c r="BR31" s="86">
        <v>1.6</v>
      </c>
      <c r="BS31" s="86">
        <v>1.6</v>
      </c>
      <c r="BT31" s="86">
        <v>1.6</v>
      </c>
      <c r="BU31" s="86">
        <v>1.6</v>
      </c>
      <c r="BV31" s="86">
        <v>1.6</v>
      </c>
      <c r="BW31" s="86">
        <v>1.6</v>
      </c>
      <c r="BX31" s="86">
        <v>1.6</v>
      </c>
      <c r="BY31" s="86">
        <v>1.6</v>
      </c>
      <c r="BZ31" s="86">
        <v>1.6</v>
      </c>
      <c r="CA31" s="86">
        <v>1.6</v>
      </c>
      <c r="CB31" s="86">
        <v>1.6</v>
      </c>
      <c r="CC31" s="86">
        <v>1.6</v>
      </c>
      <c r="CD31" s="86">
        <v>1.6</v>
      </c>
      <c r="CE31" s="86">
        <v>1.6</v>
      </c>
      <c r="CF31" s="86">
        <v>1.6</v>
      </c>
      <c r="CG31" s="86">
        <v>1.6</v>
      </c>
    </row>
    <row r="32" spans="1:85" s="79" customFormat="1">
      <c r="A32" s="85" t="s">
        <v>1879</v>
      </c>
      <c r="B32" s="85"/>
      <c r="C32" s="85" t="s">
        <v>1349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BH32" s="85"/>
      <c r="BI32" s="85"/>
      <c r="BJ32" s="85"/>
      <c r="BK32" s="85"/>
      <c r="BL32" s="86"/>
      <c r="BM32" s="86"/>
      <c r="BN32" s="86"/>
      <c r="BO32" s="86"/>
      <c r="BP32" s="86">
        <v>1.6</v>
      </c>
      <c r="BQ32" s="86">
        <v>1.6</v>
      </c>
      <c r="BR32" s="86">
        <v>1.6</v>
      </c>
      <c r="BS32" s="86">
        <v>1.6</v>
      </c>
      <c r="BT32" s="86">
        <v>1.6</v>
      </c>
      <c r="BU32" s="86">
        <v>1.6</v>
      </c>
      <c r="BV32" s="86">
        <v>1.6</v>
      </c>
      <c r="BW32" s="86">
        <v>1.6</v>
      </c>
      <c r="BX32" s="86">
        <v>1.6</v>
      </c>
      <c r="BY32" s="86">
        <v>1.6</v>
      </c>
      <c r="BZ32" s="86">
        <v>1.6</v>
      </c>
      <c r="CA32" s="86">
        <v>1.6</v>
      </c>
      <c r="CB32" s="86">
        <v>1.6</v>
      </c>
      <c r="CC32" s="86">
        <v>1.6</v>
      </c>
      <c r="CD32" s="86">
        <v>1.6</v>
      </c>
      <c r="CE32" s="86">
        <v>1.6</v>
      </c>
      <c r="CF32" s="86">
        <v>1.6</v>
      </c>
      <c r="CG32" s="86">
        <v>1.6</v>
      </c>
    </row>
    <row r="33" spans="1:255" s="79" customFormat="1">
      <c r="A33" s="85" t="s">
        <v>2991</v>
      </c>
      <c r="B33" s="85"/>
      <c r="C33" s="85" t="s">
        <v>837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BH33" s="85"/>
      <c r="BI33" s="85"/>
      <c r="BJ33" s="85"/>
      <c r="BK33" s="85"/>
      <c r="BL33" s="86"/>
      <c r="BM33" s="86"/>
      <c r="BN33" s="86"/>
      <c r="BO33" s="86"/>
      <c r="BP33" s="86"/>
      <c r="BQ33" s="86"/>
      <c r="BR33" s="86"/>
      <c r="BS33" s="86"/>
      <c r="BT33" s="287">
        <f>+SOURCE!BT471*0-SOURCE!BT474*0</f>
        <v>0</v>
      </c>
      <c r="BU33" s="796">
        <f>+SOURCE!BU471-SOURCE!BU479</f>
        <v>0</v>
      </c>
      <c r="BV33" s="796">
        <f>+SOURCE!BV471-SOURCE!BV479</f>
        <v>0</v>
      </c>
      <c r="BW33" s="796">
        <f>+SOURCE!BW471-SOURCE!BW479</f>
        <v>0</v>
      </c>
      <c r="BX33" s="796">
        <f>+SOURCE!BX471-SOURCE!BX479</f>
        <v>0</v>
      </c>
      <c r="BY33" s="796">
        <f>+SOURCE!BY471-SOURCE!BY479</f>
        <v>0</v>
      </c>
      <c r="BZ33" s="796">
        <f>+SOURCE!BZ471-SOURCE!BZ479</f>
        <v>0</v>
      </c>
      <c r="CA33" s="796">
        <f>+SOURCE!CA471-SOURCE!CA479</f>
        <v>0</v>
      </c>
      <c r="CB33" s="796">
        <f>+SOURCE!CB471-SOURCE!CB479</f>
        <v>0</v>
      </c>
      <c r="CC33" s="796">
        <f>+SOURCE!CC471-SOURCE!CC479</f>
        <v>0</v>
      </c>
      <c r="CD33" s="796">
        <f>+SOURCE!CD471-SOURCE!CD479</f>
        <v>0</v>
      </c>
      <c r="CE33" s="796">
        <f>+SOURCE!CE471-SOURCE!CE479</f>
        <v>0</v>
      </c>
      <c r="CF33" s="796">
        <f>+SOURCE!CF471-SOURCE!CF479</f>
        <v>0</v>
      </c>
      <c r="CG33" s="796">
        <f>+SOURCE!CG471-SOURCE!CG479</f>
        <v>0</v>
      </c>
      <c r="HP33" s="287"/>
      <c r="HQ33" s="287"/>
      <c r="HR33" s="287"/>
      <c r="HS33" s="287"/>
      <c r="HT33" s="287"/>
      <c r="HU33" s="287"/>
      <c r="HV33" s="287"/>
      <c r="HW33" s="287"/>
      <c r="HX33" s="287"/>
      <c r="HY33" s="287"/>
      <c r="HZ33" s="287"/>
      <c r="IA33" s="287"/>
      <c r="IB33" s="287"/>
      <c r="IC33" s="287"/>
      <c r="ID33" s="287"/>
      <c r="IE33" s="287"/>
      <c r="IF33" s="287"/>
      <c r="IG33" s="287"/>
      <c r="IH33" s="287"/>
      <c r="II33" s="287"/>
      <c r="IJ33" s="287"/>
      <c r="IK33" s="287"/>
      <c r="IL33" s="287"/>
      <c r="IM33" s="287"/>
      <c r="IN33" s="287"/>
      <c r="IO33" s="287"/>
      <c r="IP33" s="287"/>
      <c r="IQ33" s="287"/>
      <c r="IR33" s="287"/>
      <c r="IS33" s="287"/>
      <c r="IT33" s="287"/>
      <c r="IU33" s="287"/>
    </row>
    <row r="34" spans="1:255" s="79" customFormat="1">
      <c r="A34" s="85" t="s">
        <v>2990</v>
      </c>
      <c r="B34" s="85"/>
      <c r="C34" s="85" t="s">
        <v>2992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BH34" s="85"/>
      <c r="BI34" s="85"/>
      <c r="BJ34" s="85"/>
      <c r="BK34" s="85"/>
      <c r="BL34" s="86"/>
      <c r="BM34" s="86"/>
      <c r="BN34" s="86"/>
      <c r="BO34" s="86"/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</row>
    <row r="35" spans="1:255" s="7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BH35" s="85"/>
      <c r="BI35" s="85"/>
      <c r="BJ35" s="85"/>
      <c r="BK35" s="85"/>
      <c r="BL35" s="85"/>
      <c r="BM35" s="85"/>
      <c r="BN35" s="85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</row>
    <row r="36" spans="1:255" s="79" customFormat="1">
      <c r="A36" s="85" t="s">
        <v>2408</v>
      </c>
      <c r="B36" s="85"/>
      <c r="C36" s="85" t="s">
        <v>1349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BH36" s="85"/>
      <c r="BI36" s="85"/>
      <c r="BJ36" s="85"/>
      <c r="BK36" s="85"/>
      <c r="BL36" s="86"/>
      <c r="BM36" s="86"/>
      <c r="BN36" s="86"/>
      <c r="BO36" s="86"/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57.741477272727273</v>
      </c>
      <c r="BV36" s="86">
        <v>70.356703567035666</v>
      </c>
      <c r="BW36" s="86">
        <v>-41.299638989169672</v>
      </c>
      <c r="BX36" s="86">
        <v>3</v>
      </c>
      <c r="BY36" s="86">
        <v>3</v>
      </c>
      <c r="BZ36" s="86">
        <f t="shared" ref="BZ36:CG36" si="25">+BY36</f>
        <v>3</v>
      </c>
      <c r="CA36" s="86">
        <f t="shared" si="25"/>
        <v>3</v>
      </c>
      <c r="CB36" s="86">
        <f t="shared" si="25"/>
        <v>3</v>
      </c>
      <c r="CC36" s="86">
        <f t="shared" si="25"/>
        <v>3</v>
      </c>
      <c r="CD36" s="86">
        <f t="shared" si="25"/>
        <v>3</v>
      </c>
      <c r="CE36" s="86">
        <f t="shared" si="25"/>
        <v>3</v>
      </c>
      <c r="CF36" s="86">
        <f t="shared" si="25"/>
        <v>3</v>
      </c>
      <c r="CG36" s="86">
        <f t="shared" si="25"/>
        <v>3</v>
      </c>
    </row>
    <row r="37" spans="1:255" s="79" customFormat="1">
      <c r="A37" s="85" t="s">
        <v>418</v>
      </c>
      <c r="B37" s="85"/>
      <c r="C37" s="85" t="s">
        <v>837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BH37" s="85"/>
      <c r="BI37" s="85"/>
      <c r="BJ37" s="85"/>
      <c r="BK37" s="85"/>
      <c r="BL37" s="86"/>
      <c r="BM37" s="86"/>
      <c r="BN37" s="86"/>
      <c r="BO37" s="86"/>
      <c r="BP37" s="86"/>
      <c r="BQ37" s="287"/>
      <c r="BR37" s="287"/>
      <c r="BS37" s="287"/>
      <c r="BT37" s="287">
        <f>183+BT57</f>
        <v>183</v>
      </c>
      <c r="BU37" s="287">
        <f t="shared" ref="BU37:CG37" si="26">183+BU57</f>
        <v>183</v>
      </c>
      <c r="BV37" s="287">
        <f t="shared" si="26"/>
        <v>183</v>
      </c>
      <c r="BW37" s="287">
        <f t="shared" si="26"/>
        <v>183</v>
      </c>
      <c r="BX37" s="287">
        <f t="shared" si="26"/>
        <v>183</v>
      </c>
      <c r="BY37" s="287">
        <f t="shared" si="26"/>
        <v>183</v>
      </c>
      <c r="BZ37" s="287">
        <f t="shared" si="26"/>
        <v>183</v>
      </c>
      <c r="CA37" s="287">
        <f t="shared" si="26"/>
        <v>183</v>
      </c>
      <c r="CB37" s="287">
        <f t="shared" si="26"/>
        <v>183</v>
      </c>
      <c r="CC37" s="287">
        <f t="shared" si="26"/>
        <v>183</v>
      </c>
      <c r="CD37" s="287">
        <f t="shared" si="26"/>
        <v>183</v>
      </c>
      <c r="CE37" s="287">
        <f t="shared" si="26"/>
        <v>183</v>
      </c>
      <c r="CF37" s="287">
        <f t="shared" si="26"/>
        <v>183</v>
      </c>
      <c r="CG37" s="287">
        <f t="shared" si="26"/>
        <v>183</v>
      </c>
    </row>
    <row r="38" spans="1:255" s="79" customFormat="1">
      <c r="A38" s="85" t="s">
        <v>2876</v>
      </c>
      <c r="B38" s="85"/>
      <c r="C38" s="72" t="s">
        <v>1349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BH38" s="85"/>
      <c r="BI38" s="85"/>
      <c r="BJ38" s="85"/>
      <c r="BK38" s="85"/>
      <c r="BL38" s="86"/>
      <c r="BM38" s="86"/>
      <c r="BN38" s="86"/>
      <c r="BO38" s="86"/>
      <c r="BP38" s="86"/>
      <c r="BQ38" s="86"/>
      <c r="BR38" s="86">
        <v>0</v>
      </c>
      <c r="BS38" s="86">
        <v>0</v>
      </c>
      <c r="BT38" s="86">
        <v>0</v>
      </c>
      <c r="BU38" s="86">
        <v>-16</v>
      </c>
      <c r="BV38" s="86">
        <v>-25</v>
      </c>
      <c r="BW38" s="86">
        <v>0</v>
      </c>
      <c r="BX38" s="86">
        <v>0</v>
      </c>
      <c r="BY38" s="86">
        <v>0</v>
      </c>
      <c r="BZ38" s="86">
        <f t="shared" ref="BZ38:CG38" si="27">BY38</f>
        <v>0</v>
      </c>
      <c r="CA38" s="86">
        <f t="shared" si="27"/>
        <v>0</v>
      </c>
      <c r="CB38" s="86">
        <f t="shared" si="27"/>
        <v>0</v>
      </c>
      <c r="CC38" s="86">
        <f t="shared" si="27"/>
        <v>0</v>
      </c>
      <c r="CD38" s="86">
        <f t="shared" si="27"/>
        <v>0</v>
      </c>
      <c r="CE38" s="86">
        <f t="shared" si="27"/>
        <v>0</v>
      </c>
      <c r="CF38" s="86">
        <f t="shared" si="27"/>
        <v>0</v>
      </c>
      <c r="CG38" s="86">
        <f t="shared" si="27"/>
        <v>0</v>
      </c>
    </row>
    <row r="39" spans="1:255" s="79" customFormat="1">
      <c r="A39" s="85" t="s">
        <v>2877</v>
      </c>
      <c r="B39" s="85"/>
      <c r="C39" s="72" t="s">
        <v>1344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BH39" s="85"/>
      <c r="BI39" s="85"/>
      <c r="BJ39" s="85"/>
      <c r="BK39" s="85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</row>
    <row r="40" spans="1:255" s="79" customFormat="1">
      <c r="A40" s="85" t="s">
        <v>3427</v>
      </c>
      <c r="B40" s="85"/>
      <c r="C40" s="72" t="s">
        <v>1349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BH40" s="85"/>
      <c r="BI40" s="85"/>
      <c r="BJ40" s="85"/>
      <c r="BK40" s="85"/>
      <c r="BL40" s="86"/>
      <c r="BM40" s="86"/>
      <c r="BN40" s="86"/>
      <c r="BO40" s="86"/>
      <c r="BP40" s="86"/>
      <c r="BQ40" s="86"/>
      <c r="BR40" s="86">
        <v>0</v>
      </c>
      <c r="BS40" s="86">
        <v>0</v>
      </c>
      <c r="BT40" s="86">
        <v>0</v>
      </c>
      <c r="BU40" s="86">
        <v>23.377895490681986</v>
      </c>
      <c r="BV40" s="86">
        <v>3.125</v>
      </c>
      <c r="BW40" s="86">
        <v>3.0303030303030303</v>
      </c>
      <c r="BX40" s="86">
        <f>BW40</f>
        <v>3.0303030303030303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</row>
    <row r="41" spans="1:255" s="79" customFormat="1">
      <c r="A41" s="85" t="s">
        <v>3428</v>
      </c>
      <c r="B41" s="85"/>
      <c r="C41" s="72" t="s">
        <v>1349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BH41" s="85"/>
      <c r="BI41" s="85"/>
      <c r="BJ41" s="85"/>
      <c r="BK41" s="85"/>
      <c r="BL41" s="86"/>
      <c r="BM41" s="86"/>
      <c r="BN41" s="86"/>
      <c r="BO41" s="86"/>
      <c r="BP41" s="86"/>
      <c r="BQ41" s="86"/>
      <c r="BR41" s="86">
        <v>0</v>
      </c>
      <c r="BS41" s="86">
        <v>0</v>
      </c>
      <c r="BT41" s="86">
        <v>0</v>
      </c>
      <c r="BU41" s="86">
        <v>62.609054581139631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</row>
    <row r="42" spans="1:255" s="79" customFormat="1">
      <c r="A42" s="85" t="s">
        <v>3429</v>
      </c>
      <c r="B42" s="85"/>
      <c r="C42" s="72" t="s">
        <v>1349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BH42" s="85"/>
      <c r="BI42" s="85"/>
      <c r="BJ42" s="85"/>
      <c r="BK42" s="85"/>
      <c r="BL42" s="86"/>
      <c r="BM42" s="86"/>
      <c r="BN42" s="86"/>
      <c r="BO42" s="86"/>
      <c r="BP42" s="86"/>
      <c r="BQ42" s="86"/>
      <c r="BR42" s="86">
        <v>0</v>
      </c>
      <c r="BS42" s="86">
        <v>0</v>
      </c>
      <c r="BT42" s="86">
        <v>0</v>
      </c>
      <c r="BU42" s="86">
        <v>-65.302158148698112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</row>
    <row r="43" spans="1:255" s="79" customFormat="1">
      <c r="A43" s="85" t="s">
        <v>1880</v>
      </c>
      <c r="B43" s="85"/>
      <c r="C43" s="85" t="s">
        <v>1349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BH43" s="85"/>
      <c r="BI43" s="85"/>
      <c r="BJ43" s="85"/>
      <c r="BK43" s="85"/>
      <c r="BL43" s="85"/>
      <c r="BM43" s="85"/>
      <c r="BN43" s="85"/>
      <c r="BO43" s="86"/>
      <c r="BP43" s="86">
        <v>0</v>
      </c>
      <c r="BQ43" s="86">
        <v>0</v>
      </c>
      <c r="BR43" s="86">
        <v>0</v>
      </c>
      <c r="BS43" s="86">
        <v>0</v>
      </c>
      <c r="BT43" s="86">
        <v>3</v>
      </c>
      <c r="BU43" s="86">
        <v>3</v>
      </c>
      <c r="BV43" s="86">
        <v>3</v>
      </c>
      <c r="BW43" s="86">
        <f t="shared" ref="BW43:CG43" si="28">+BV43</f>
        <v>3</v>
      </c>
      <c r="BX43" s="86">
        <v>3</v>
      </c>
      <c r="BY43" s="86">
        <f t="shared" si="28"/>
        <v>3</v>
      </c>
      <c r="BZ43" s="86">
        <f t="shared" si="28"/>
        <v>3</v>
      </c>
      <c r="CA43" s="86">
        <f t="shared" si="28"/>
        <v>3</v>
      </c>
      <c r="CB43" s="86">
        <f t="shared" si="28"/>
        <v>3</v>
      </c>
      <c r="CC43" s="86">
        <f t="shared" si="28"/>
        <v>3</v>
      </c>
      <c r="CD43" s="86">
        <f t="shared" si="28"/>
        <v>3</v>
      </c>
      <c r="CE43" s="86">
        <f t="shared" si="28"/>
        <v>3</v>
      </c>
      <c r="CF43" s="86">
        <f t="shared" si="28"/>
        <v>3</v>
      </c>
      <c r="CG43" s="86">
        <f t="shared" si="28"/>
        <v>3</v>
      </c>
    </row>
    <row r="44" spans="1:255" s="79" customFormat="1">
      <c r="A44" s="90" t="s">
        <v>1881</v>
      </c>
      <c r="B44" s="85"/>
      <c r="C44" s="85" t="s">
        <v>1344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</row>
    <row r="45" spans="1:255" s="79" customFormat="1">
      <c r="A45" s="71" t="s">
        <v>2938</v>
      </c>
      <c r="B45" s="85"/>
      <c r="C45" s="85" t="s">
        <v>1349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270">
        <v>-5</v>
      </c>
      <c r="BR45" s="85">
        <f>-11+7</f>
        <v>-4</v>
      </c>
      <c r="BS45" s="85">
        <v>-2</v>
      </c>
      <c r="BT45" s="85">
        <v>0</v>
      </c>
      <c r="BU45" s="85">
        <v>0</v>
      </c>
      <c r="BV45" s="85">
        <v>0</v>
      </c>
      <c r="BW45" s="85">
        <v>0</v>
      </c>
      <c r="BX45" s="85">
        <v>0</v>
      </c>
      <c r="BY45" s="85">
        <v>0</v>
      </c>
      <c r="BZ45" s="85">
        <f t="shared" ref="BZ45:CG45" si="29">+BY45</f>
        <v>0</v>
      </c>
      <c r="CA45" s="85">
        <f t="shared" si="29"/>
        <v>0</v>
      </c>
      <c r="CB45" s="85">
        <f t="shared" si="29"/>
        <v>0</v>
      </c>
      <c r="CC45" s="85">
        <f t="shared" si="29"/>
        <v>0</v>
      </c>
      <c r="CD45" s="85">
        <f t="shared" si="29"/>
        <v>0</v>
      </c>
      <c r="CE45" s="85">
        <f t="shared" si="29"/>
        <v>0</v>
      </c>
      <c r="CF45" s="85">
        <f t="shared" si="29"/>
        <v>0</v>
      </c>
      <c r="CG45" s="85">
        <f t="shared" si="29"/>
        <v>0</v>
      </c>
    </row>
    <row r="46" spans="1:255" s="79" customFormat="1" ht="14.25" customHeight="1">
      <c r="A46" s="71" t="s">
        <v>1805</v>
      </c>
      <c r="B46" s="85"/>
      <c r="C46" s="85" t="s">
        <v>1349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BG46" s="85"/>
      <c r="BH46" s="85"/>
      <c r="BI46" s="85"/>
      <c r="BJ46" s="85"/>
      <c r="BK46" s="85"/>
      <c r="BL46" s="85"/>
      <c r="BM46" s="85"/>
      <c r="BN46" s="85"/>
      <c r="BO46" s="85">
        <v>0</v>
      </c>
      <c r="BP46" s="270">
        <v>-24</v>
      </c>
      <c r="BQ46" s="270">
        <f>-18</f>
        <v>-18</v>
      </c>
      <c r="BR46" s="85">
        <v>3</v>
      </c>
      <c r="BS46" s="85">
        <v>8</v>
      </c>
      <c r="BT46" s="85">
        <v>0</v>
      </c>
      <c r="BU46" s="85">
        <v>0</v>
      </c>
      <c r="BV46" s="85">
        <v>0</v>
      </c>
      <c r="BW46" s="85">
        <v>15</v>
      </c>
      <c r="BX46" s="85">
        <f t="shared" ref="BX46:CG46" si="30">BW46</f>
        <v>15</v>
      </c>
      <c r="BY46" s="85">
        <f t="shared" si="30"/>
        <v>15</v>
      </c>
      <c r="BZ46" s="85">
        <f t="shared" si="30"/>
        <v>15</v>
      </c>
      <c r="CA46" s="85">
        <f t="shared" si="30"/>
        <v>15</v>
      </c>
      <c r="CB46" s="85">
        <f t="shared" si="30"/>
        <v>15</v>
      </c>
      <c r="CC46" s="85">
        <f t="shared" si="30"/>
        <v>15</v>
      </c>
      <c r="CD46" s="85">
        <f t="shared" si="30"/>
        <v>15</v>
      </c>
      <c r="CE46" s="85">
        <f t="shared" si="30"/>
        <v>15</v>
      </c>
      <c r="CF46" s="85">
        <f t="shared" si="30"/>
        <v>15</v>
      </c>
      <c r="CG46" s="85">
        <f t="shared" si="30"/>
        <v>15</v>
      </c>
    </row>
    <row r="47" spans="1:255" s="79" customFormat="1" ht="14.25" customHeight="1">
      <c r="A47" s="149" t="s">
        <v>2686</v>
      </c>
      <c r="B47" s="149"/>
      <c r="C47" s="149" t="s">
        <v>1579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>
        <v>0</v>
      </c>
      <c r="BR47" s="85">
        <v>0</v>
      </c>
      <c r="BS47" s="85">
        <v>0</v>
      </c>
      <c r="BT47" s="85">
        <v>0</v>
      </c>
      <c r="BU47" s="85">
        <v>0</v>
      </c>
      <c r="BV47" s="85">
        <v>0</v>
      </c>
      <c r="BW47" s="85">
        <v>0</v>
      </c>
      <c r="BX47" s="85">
        <v>0</v>
      </c>
      <c r="BY47" s="85">
        <v>0</v>
      </c>
      <c r="BZ47" s="85">
        <v>0</v>
      </c>
      <c r="CA47" s="85">
        <v>0</v>
      </c>
      <c r="CB47" s="85">
        <v>0</v>
      </c>
      <c r="CC47" s="85">
        <v>0</v>
      </c>
      <c r="CD47" s="85">
        <v>0</v>
      </c>
      <c r="CE47" s="85">
        <v>0</v>
      </c>
      <c r="CF47" s="85">
        <v>0</v>
      </c>
      <c r="CG47" s="85">
        <v>0</v>
      </c>
    </row>
    <row r="48" spans="1:255" s="79" customFormat="1" ht="14.25" customHeight="1">
      <c r="A48" s="71" t="s">
        <v>1987</v>
      </c>
      <c r="B48" s="85"/>
      <c r="C48" s="85" t="s">
        <v>2682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BR48" s="79">
        <v>0</v>
      </c>
      <c r="BS48" s="79">
        <v>0</v>
      </c>
      <c r="BT48" s="79">
        <f t="shared" ref="BT48:CG48" si="31">BS48</f>
        <v>0</v>
      </c>
      <c r="BU48" s="79">
        <f t="shared" si="31"/>
        <v>0</v>
      </c>
      <c r="BV48" s="79">
        <f t="shared" si="31"/>
        <v>0</v>
      </c>
      <c r="BW48" s="79">
        <f t="shared" si="31"/>
        <v>0</v>
      </c>
      <c r="BX48" s="79">
        <f t="shared" si="31"/>
        <v>0</v>
      </c>
      <c r="BY48" s="79">
        <f t="shared" si="31"/>
        <v>0</v>
      </c>
      <c r="BZ48" s="732">
        <v>0</v>
      </c>
      <c r="CA48" s="79">
        <v>0</v>
      </c>
      <c r="CB48" s="79">
        <v>0</v>
      </c>
      <c r="CC48" s="79">
        <v>0</v>
      </c>
      <c r="CD48" s="79">
        <v>0</v>
      </c>
      <c r="CE48" s="79">
        <f t="shared" si="31"/>
        <v>0</v>
      </c>
      <c r="CF48" s="79">
        <f t="shared" si="31"/>
        <v>0</v>
      </c>
      <c r="CG48" s="79">
        <f t="shared" si="31"/>
        <v>0</v>
      </c>
    </row>
    <row r="49" spans="1:85" s="79" customFormat="1" ht="12" customHeight="1">
      <c r="A49" s="71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</row>
    <row r="50" spans="1:85" s="79" customFormat="1" ht="9.75" customHeight="1">
      <c r="A50" s="90" t="s">
        <v>1882</v>
      </c>
      <c r="B50" s="85"/>
      <c r="C50" s="85" t="s">
        <v>1344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</row>
    <row r="51" spans="1:85" s="79" customFormat="1">
      <c r="A51" s="85" t="s">
        <v>3231</v>
      </c>
      <c r="B51" s="85"/>
      <c r="C51" s="85" t="s">
        <v>1349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BQ51" s="79">
        <v>0</v>
      </c>
      <c r="BR51" s="79">
        <v>0</v>
      </c>
      <c r="BS51" s="79">
        <v>0</v>
      </c>
      <c r="BT51" s="79">
        <v>0</v>
      </c>
      <c r="BU51" s="79">
        <v>94.225412651189174</v>
      </c>
      <c r="BV51" s="79">
        <f>-15.8789698033731-10</f>
        <v>-25.878969803373099</v>
      </c>
      <c r="BW51" s="79">
        <v>0</v>
      </c>
      <c r="BX51" s="79">
        <v>0</v>
      </c>
      <c r="BY51" s="79">
        <v>0</v>
      </c>
      <c r="BZ51" s="732">
        <v>0</v>
      </c>
      <c r="CA51" s="79">
        <v>0</v>
      </c>
      <c r="CB51" s="79">
        <v>0</v>
      </c>
      <c r="CC51" s="79">
        <v>0</v>
      </c>
      <c r="CD51" s="79">
        <v>0</v>
      </c>
      <c r="CE51" s="79">
        <v>0</v>
      </c>
      <c r="CF51" s="79">
        <v>0</v>
      </c>
      <c r="CG51" s="79">
        <v>0</v>
      </c>
    </row>
    <row r="52" spans="1:85" s="79" customFormat="1" ht="7.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</row>
    <row r="53" spans="1:85" s="79" customFormat="1" ht="12.75" customHeight="1">
      <c r="A53" s="91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BR53" s="79" t="s">
        <v>1344</v>
      </c>
      <c r="BS53" s="79" t="s">
        <v>1344</v>
      </c>
      <c r="BT53" s="79" t="s">
        <v>1344</v>
      </c>
    </row>
    <row r="54" spans="1:85" s="79" customFormat="1">
      <c r="A54" s="85" t="s">
        <v>3079</v>
      </c>
      <c r="B54" s="85"/>
      <c r="C54" s="85" t="s">
        <v>1349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BS54" s="79">
        <v>0</v>
      </c>
      <c r="BT54" s="79">
        <v>0</v>
      </c>
      <c r="BU54" s="79">
        <v>52.453698357988173</v>
      </c>
      <c r="BV54" s="79">
        <f>13.0002636500744-10</f>
        <v>3.0002636500744</v>
      </c>
      <c r="BW54" s="79">
        <v>0</v>
      </c>
      <c r="BX54" s="79">
        <v>0</v>
      </c>
      <c r="BY54" s="79">
        <v>0</v>
      </c>
      <c r="BZ54" s="79">
        <v>0</v>
      </c>
      <c r="CA54" s="79">
        <f t="shared" ref="CA54:CG54" si="32">+BZ54</f>
        <v>0</v>
      </c>
      <c r="CB54" s="79">
        <f t="shared" si="32"/>
        <v>0</v>
      </c>
      <c r="CC54" s="79">
        <f t="shared" si="32"/>
        <v>0</v>
      </c>
      <c r="CD54" s="79">
        <f t="shared" si="32"/>
        <v>0</v>
      </c>
      <c r="CE54" s="79">
        <f t="shared" si="32"/>
        <v>0</v>
      </c>
      <c r="CF54" s="79">
        <f t="shared" si="32"/>
        <v>0</v>
      </c>
      <c r="CG54" s="79">
        <f t="shared" si="32"/>
        <v>0</v>
      </c>
    </row>
    <row r="55" spans="1:85" s="79" customFormat="1" ht="14.25" customHeight="1">
      <c r="A55" s="72" t="s">
        <v>510</v>
      </c>
      <c r="B55" s="85"/>
      <c r="C55" s="85" t="s">
        <v>1349</v>
      </c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BP55" s="79">
        <v>0</v>
      </c>
      <c r="BQ55" s="79">
        <f>BP55</f>
        <v>0</v>
      </c>
      <c r="BR55" s="79">
        <v>0</v>
      </c>
      <c r="BS55" s="79">
        <f>BR55</f>
        <v>0</v>
      </c>
      <c r="BT55" s="79">
        <f>BS55</f>
        <v>0</v>
      </c>
      <c r="BU55" s="79">
        <v>0</v>
      </c>
      <c r="BV55" s="79">
        <f>BU55</f>
        <v>0</v>
      </c>
      <c r="BW55" s="79">
        <f t="shared" ref="BW55:CD55" si="33">BV55</f>
        <v>0</v>
      </c>
      <c r="BX55" s="79">
        <f t="shared" si="33"/>
        <v>0</v>
      </c>
      <c r="BY55" s="79">
        <f t="shared" si="33"/>
        <v>0</v>
      </c>
      <c r="BZ55" s="79">
        <f t="shared" si="33"/>
        <v>0</v>
      </c>
      <c r="CA55" s="79">
        <f t="shared" si="33"/>
        <v>0</v>
      </c>
      <c r="CB55" s="79">
        <f t="shared" si="33"/>
        <v>0</v>
      </c>
      <c r="CC55" s="79">
        <f t="shared" si="33"/>
        <v>0</v>
      </c>
      <c r="CD55" s="79">
        <f t="shared" si="33"/>
        <v>0</v>
      </c>
      <c r="CE55" s="79">
        <f>CD55</f>
        <v>0</v>
      </c>
      <c r="CF55" s="79">
        <f>CE55</f>
        <v>0</v>
      </c>
      <c r="CG55" s="79">
        <f>CF55</f>
        <v>0</v>
      </c>
    </row>
    <row r="56" spans="1:85" s="79" customFormat="1" ht="14.25" customHeight="1">
      <c r="A56" s="85" t="s">
        <v>1993</v>
      </c>
      <c r="B56" s="85"/>
      <c r="C56" s="85" t="s">
        <v>837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BQ56" s="79">
        <v>0</v>
      </c>
      <c r="BR56" s="429"/>
      <c r="BS56" s="429"/>
      <c r="BT56" s="429"/>
      <c r="BU56" s="429"/>
      <c r="BV56" s="429"/>
      <c r="BW56" s="429"/>
      <c r="BX56" s="429"/>
      <c r="BY56" s="429"/>
      <c r="BZ56" s="429"/>
      <c r="CA56" s="429"/>
      <c r="CB56" s="429"/>
      <c r="CC56" s="429"/>
      <c r="CD56" s="429"/>
      <c r="CE56" s="429"/>
      <c r="CF56" s="429"/>
      <c r="CG56" s="429"/>
    </row>
    <row r="57" spans="1:85" s="79" customFormat="1" ht="14.25" customHeight="1">
      <c r="A57" s="85" t="s">
        <v>418</v>
      </c>
      <c r="B57" s="85"/>
      <c r="C57" s="85" t="s">
        <v>2992</v>
      </c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BQ57" s="79">
        <v>0</v>
      </c>
      <c r="BR57" s="429">
        <v>0</v>
      </c>
      <c r="BS57" s="429">
        <v>0</v>
      </c>
      <c r="BT57" s="429">
        <v>0</v>
      </c>
      <c r="BU57" s="429">
        <v>0</v>
      </c>
      <c r="BV57" s="79">
        <f>+BU57</f>
        <v>0</v>
      </c>
      <c r="BW57" s="79">
        <f t="shared" ref="BW57:CG57" si="34">+BV57</f>
        <v>0</v>
      </c>
      <c r="BX57" s="79">
        <f t="shared" si="34"/>
        <v>0</v>
      </c>
      <c r="BY57" s="79">
        <f t="shared" si="34"/>
        <v>0</v>
      </c>
      <c r="BZ57" s="79">
        <v>0</v>
      </c>
      <c r="CA57" s="79">
        <f t="shared" si="34"/>
        <v>0</v>
      </c>
      <c r="CB57" s="79">
        <f t="shared" si="34"/>
        <v>0</v>
      </c>
      <c r="CC57" s="79">
        <f t="shared" si="34"/>
        <v>0</v>
      </c>
      <c r="CD57" s="79">
        <f t="shared" si="34"/>
        <v>0</v>
      </c>
      <c r="CE57" s="79">
        <f t="shared" si="34"/>
        <v>0</v>
      </c>
      <c r="CF57" s="79">
        <f t="shared" si="34"/>
        <v>0</v>
      </c>
      <c r="CG57" s="79">
        <f t="shared" si="34"/>
        <v>0</v>
      </c>
    </row>
    <row r="58" spans="1:85" s="79" customFormat="1" ht="14.25" customHeight="1">
      <c r="A58" s="72" t="s">
        <v>767</v>
      </c>
      <c r="B58" s="85"/>
      <c r="C58" s="85"/>
      <c r="D58" s="85" t="s">
        <v>2682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BU58" s="735">
        <v>0</v>
      </c>
      <c r="BV58" s="79">
        <v>0</v>
      </c>
      <c r="BZ58" s="732">
        <v>0</v>
      </c>
    </row>
    <row r="59" spans="1:85" ht="15.75">
      <c r="A59" s="107" t="s">
        <v>768</v>
      </c>
      <c r="D59" s="76" t="s">
        <v>2682</v>
      </c>
      <c r="BT59" s="581" t="s">
        <v>1344</v>
      </c>
      <c r="BU59" s="733">
        <f>-2649/14.3</f>
        <v>-185.24475524475523</v>
      </c>
      <c r="BV59" s="581">
        <f t="shared" ref="BV59:CG59" si="35">BU59</f>
        <v>-185.24475524475523</v>
      </c>
      <c r="BW59" s="581">
        <f t="shared" si="35"/>
        <v>-185.24475524475523</v>
      </c>
      <c r="BX59" s="581">
        <f t="shared" si="35"/>
        <v>-185.24475524475523</v>
      </c>
      <c r="BY59" s="581">
        <f t="shared" si="35"/>
        <v>-185.24475524475523</v>
      </c>
      <c r="BZ59" s="733">
        <f>BY59</f>
        <v>-185.24475524475523</v>
      </c>
      <c r="CA59" s="581">
        <f t="shared" si="35"/>
        <v>-185.24475524475523</v>
      </c>
      <c r="CB59" s="581">
        <f t="shared" si="35"/>
        <v>-185.24475524475523</v>
      </c>
      <c r="CC59" s="581">
        <f t="shared" si="35"/>
        <v>-185.24475524475523</v>
      </c>
      <c r="CD59" s="581">
        <f t="shared" si="35"/>
        <v>-185.24475524475523</v>
      </c>
      <c r="CE59" s="581">
        <f t="shared" si="35"/>
        <v>-185.24475524475523</v>
      </c>
      <c r="CF59" s="581">
        <f t="shared" si="35"/>
        <v>-185.24475524475523</v>
      </c>
      <c r="CG59" s="581">
        <f t="shared" si="35"/>
        <v>-185.24475524475523</v>
      </c>
    </row>
    <row r="60" spans="1:85" s="81" customFormat="1">
      <c r="A60" s="584" t="s">
        <v>2647</v>
      </c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2"/>
      <c r="CC60" s="582"/>
      <c r="CD60" s="582"/>
      <c r="CE60" s="582"/>
      <c r="CF60" s="582"/>
      <c r="CG60" s="582"/>
    </row>
    <row r="61" spans="1:85" s="561" customFormat="1">
      <c r="A61" s="560"/>
      <c r="BQ61" s="562"/>
    </row>
    <row r="62" spans="1:85" s="83" customFormat="1">
      <c r="BQ62" s="559"/>
      <c r="BR62" s="559"/>
      <c r="BS62" s="559"/>
      <c r="BT62" s="559"/>
      <c r="BU62" s="559" t="s">
        <v>1344</v>
      </c>
      <c r="BV62" s="559"/>
      <c r="BW62" s="559"/>
      <c r="BX62" s="559"/>
      <c r="BY62" s="559"/>
      <c r="BZ62" s="559"/>
      <c r="CA62" s="559"/>
      <c r="CB62" s="559"/>
      <c r="CC62" s="559"/>
      <c r="CD62" s="559"/>
      <c r="CE62" s="559"/>
      <c r="CF62" s="559"/>
      <c r="CG62" s="559"/>
    </row>
    <row r="63" spans="1:85" s="561" customFormat="1">
      <c r="A63" s="561" t="s">
        <v>766</v>
      </c>
      <c r="BR63" s="562"/>
      <c r="BS63" s="562"/>
      <c r="BT63" s="562"/>
      <c r="BU63" s="842">
        <v>60</v>
      </c>
      <c r="BV63" s="562">
        <v>0</v>
      </c>
      <c r="BW63" s="562">
        <v>0</v>
      </c>
      <c r="BX63" s="562">
        <v>0</v>
      </c>
      <c r="BY63" s="842">
        <v>0</v>
      </c>
      <c r="BZ63" s="842">
        <v>0</v>
      </c>
      <c r="CA63" s="842">
        <f t="shared" ref="CA63:CG63" si="36">BZ63</f>
        <v>0</v>
      </c>
      <c r="CB63" s="842">
        <f t="shared" si="36"/>
        <v>0</v>
      </c>
      <c r="CC63" s="842">
        <f t="shared" si="36"/>
        <v>0</v>
      </c>
      <c r="CD63" s="842">
        <f t="shared" si="36"/>
        <v>0</v>
      </c>
      <c r="CE63" s="842">
        <f t="shared" si="36"/>
        <v>0</v>
      </c>
      <c r="CF63" s="842">
        <f t="shared" si="36"/>
        <v>0</v>
      </c>
      <c r="CG63" s="842">
        <f t="shared" si="36"/>
        <v>0</v>
      </c>
    </row>
    <row r="64" spans="1:85" s="79" customFormat="1">
      <c r="A64" s="85" t="s">
        <v>2385</v>
      </c>
      <c r="B64" s="85"/>
      <c r="C64" s="72" t="s">
        <v>918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W64" s="85"/>
      <c r="AX64" s="85"/>
      <c r="AY64" s="85"/>
      <c r="AZ64" s="85"/>
      <c r="BA64" s="85"/>
      <c r="BB64" s="85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>
        <f t="shared" ref="BU64:BZ64" si="37">+BU63</f>
        <v>60</v>
      </c>
      <c r="BV64" s="86">
        <f t="shared" si="37"/>
        <v>0</v>
      </c>
      <c r="BW64" s="86">
        <f t="shared" si="37"/>
        <v>0</v>
      </c>
      <c r="BX64" s="86">
        <f t="shared" si="37"/>
        <v>0</v>
      </c>
      <c r="BY64" s="86">
        <f t="shared" si="37"/>
        <v>0</v>
      </c>
      <c r="BZ64" s="86">
        <f t="shared" si="37"/>
        <v>0</v>
      </c>
      <c r="CA64" s="86">
        <f t="shared" ref="CA64:CG64" si="38">+CA63</f>
        <v>0</v>
      </c>
      <c r="CB64" s="86">
        <f t="shared" si="38"/>
        <v>0</v>
      </c>
      <c r="CC64" s="86">
        <f t="shared" si="38"/>
        <v>0</v>
      </c>
      <c r="CD64" s="86">
        <f t="shared" si="38"/>
        <v>0</v>
      </c>
      <c r="CE64" s="86">
        <f t="shared" si="38"/>
        <v>0</v>
      </c>
      <c r="CF64" s="86">
        <f t="shared" si="38"/>
        <v>0</v>
      </c>
      <c r="CG64" s="86">
        <f t="shared" si="38"/>
        <v>0</v>
      </c>
    </row>
    <row r="65" spans="1:87">
      <c r="A65" s="76" t="s">
        <v>570</v>
      </c>
      <c r="BP65" s="682">
        <f>BS65-BR65</f>
        <v>0.66999999999999904</v>
      </c>
      <c r="BQ65" s="682">
        <f>BS65/BR65</f>
        <v>1.0889774236387781</v>
      </c>
      <c r="BR65" s="580">
        <f>+Key!F3</f>
        <v>7.53</v>
      </c>
      <c r="BS65" s="585">
        <f>+Key!G3</f>
        <v>8.1999999999999993</v>
      </c>
      <c r="BT65" s="585">
        <f>+Key!H3</f>
        <v>13.1</v>
      </c>
      <c r="BU65" s="585">
        <f>+Key!I3</f>
        <v>20.96</v>
      </c>
      <c r="BV65" s="585">
        <f>+Key!J3</f>
        <v>20.96</v>
      </c>
      <c r="BW65" s="585">
        <f>+Key!K3</f>
        <v>20.96</v>
      </c>
      <c r="BX65" s="585">
        <f>+Key!L3</f>
        <v>20.96</v>
      </c>
      <c r="BY65" s="585">
        <f>+Key!M3</f>
        <v>20.96</v>
      </c>
      <c r="BZ65" s="581">
        <f>+Key!N3</f>
        <v>20.96</v>
      </c>
      <c r="CA65" s="581">
        <f>+Key!O3</f>
        <v>20.96</v>
      </c>
      <c r="CB65" s="581">
        <f>+Key!P3</f>
        <v>20.96</v>
      </c>
      <c r="CC65" s="581">
        <f>+Key!Q3</f>
        <v>20.96</v>
      </c>
      <c r="CD65" s="581">
        <f>+Key!R3</f>
        <v>20.96</v>
      </c>
      <c r="CE65" s="581">
        <f>+Key!S3</f>
        <v>20.96</v>
      </c>
      <c r="CF65" s="581">
        <f>+Key!T3</f>
        <v>20.96</v>
      </c>
      <c r="CG65" s="581">
        <f>+Key!U3</f>
        <v>20.96</v>
      </c>
      <c r="CH65" s="580"/>
    </row>
    <row r="66" spans="1:87">
      <c r="A66" s="76" t="s">
        <v>333</v>
      </c>
      <c r="BN66" s="579" t="s">
        <v>1344</v>
      </c>
      <c r="BO66" s="89">
        <f>+Model!BO308</f>
        <v>4.7979693495738136</v>
      </c>
      <c r="BP66" s="89">
        <f>+Model!BP308</f>
        <v>6.6414336911422875</v>
      </c>
      <c r="BQ66" s="89">
        <f>+Model!BQ308</f>
        <v>5.5166625353155228</v>
      </c>
      <c r="BR66" s="89">
        <f>+Model!BR308</f>
        <v>6.2806417291141905</v>
      </c>
      <c r="BS66" s="89">
        <f>+Model!BS308</f>
        <v>3.4820942615849004</v>
      </c>
      <c r="BT66" s="89">
        <f>+Model!BT308</f>
        <v>5.0680314361176011</v>
      </c>
      <c r="BU66" s="89">
        <f ca="1">+Model!BU308</f>
        <v>5.2520870358813223</v>
      </c>
      <c r="BV66" s="89">
        <f ca="1">+Model!BV308</f>
        <v>5.3764908063731891</v>
      </c>
      <c r="BW66" s="89">
        <f ca="1">+Model!BW308</f>
        <v>5.1918266951098575</v>
      </c>
      <c r="BX66" s="89">
        <f ca="1">+Model!BX308</f>
        <v>4.758824084258837</v>
      </c>
      <c r="BY66" s="89">
        <f ca="1">+Model!BY308</f>
        <v>4.2814642163187049</v>
      </c>
      <c r="BZ66" s="89">
        <f ca="1">+Model!BZ308</f>
        <v>3.7001647725177294</v>
      </c>
      <c r="CA66" s="89">
        <f ca="1">+Model!CA308</f>
        <v>2.9859767132825619</v>
      </c>
      <c r="CB66" s="89">
        <f ca="1">+Model!CB308</f>
        <v>2.1059637297691913</v>
      </c>
      <c r="CC66" s="89">
        <f ca="1">+Model!CC308</f>
        <v>1.0274411646678741</v>
      </c>
      <c r="CD66" s="89">
        <f ca="1">+Model!CD308</f>
        <v>-0.28054349572960774</v>
      </c>
      <c r="CE66" s="89">
        <f ca="1">+Model!CE308</f>
        <v>-1.8450304338905532</v>
      </c>
      <c r="CF66" s="89">
        <f ca="1">+Model!CF308</f>
        <v>-3.6859255571830216</v>
      </c>
      <c r="CG66" s="89">
        <f ca="1">+Model!CG308</f>
        <v>-5.8118999189040723</v>
      </c>
    </row>
    <row r="67" spans="1:87">
      <c r="A67" s="76" t="s">
        <v>334</v>
      </c>
      <c r="B67" s="79"/>
      <c r="C67" s="79" t="str">
        <f>Model!C198</f>
        <v>%</v>
      </c>
      <c r="D67" s="79" t="s">
        <v>1344</v>
      </c>
      <c r="E67" s="79" t="s">
        <v>1344</v>
      </c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89">
        <f>+Model!BG307</f>
        <v>3.4305066946705174</v>
      </c>
      <c r="BH67" s="89">
        <f>+Model!BH307</f>
        <v>3.8659037095501185</v>
      </c>
      <c r="BI67" s="89">
        <f>+Model!BI307</f>
        <v>4.5828718609143593</v>
      </c>
      <c r="BJ67" s="89">
        <f>+Model!BJ307</f>
        <v>4.8752767527675278</v>
      </c>
      <c r="BK67" s="89">
        <f>+Model!BK307</f>
        <v>5.1216731675799396</v>
      </c>
      <c r="BL67" s="89">
        <f>+Model!BL307</f>
        <v>5.4662612964379305</v>
      </c>
      <c r="BM67" s="89">
        <f>+Model!BM307</f>
        <v>4.0160132033086153</v>
      </c>
      <c r="BN67" s="89">
        <f>+Model!BN307</f>
        <v>3.1692744075014487</v>
      </c>
      <c r="BO67" s="89">
        <f>+Model!BO307</f>
        <v>2.0940581680874266</v>
      </c>
      <c r="BP67" s="89">
        <f>+Model!BP307</f>
        <v>2.8847723471434468</v>
      </c>
      <c r="BQ67" s="89">
        <f>+Model!BQ307</f>
        <v>2.720496037919915</v>
      </c>
      <c r="BR67" s="89">
        <f>+Model!BR307</f>
        <v>3.2020375500346119</v>
      </c>
      <c r="BS67" s="89">
        <f>+Model!BS307</f>
        <v>2.8448288441056921</v>
      </c>
      <c r="BT67" s="89">
        <f>+Model!BT307</f>
        <v>3.7871629020525357</v>
      </c>
      <c r="BU67" s="89">
        <f ca="1">+Model!BU307</f>
        <v>3.9247012240078099</v>
      </c>
      <c r="BV67" s="89">
        <f ca="1">+Model!BV307</f>
        <v>4.0176638171607779</v>
      </c>
      <c r="BW67" s="89">
        <f ca="1">+Model!BW307</f>
        <v>3.8796707758128073</v>
      </c>
      <c r="BX67" s="89">
        <f ca="1">+Model!BX307</f>
        <v>3.5561030464138956</v>
      </c>
      <c r="BY67" s="89">
        <f ca="1">+Model!BY307</f>
        <v>3.1993886878746229</v>
      </c>
      <c r="BZ67" s="89">
        <f ca="1">+Model!BZ307</f>
        <v>2.765003914161916</v>
      </c>
      <c r="CA67" s="89">
        <f ca="1">+Model!CA307</f>
        <v>2.2313161189859039</v>
      </c>
      <c r="CB67" s="89">
        <f ca="1">+Model!CB307</f>
        <v>1.573713148977596</v>
      </c>
      <c r="CC67" s="89">
        <f ca="1">+Model!CC307</f>
        <v>0.76777090117116709</v>
      </c>
      <c r="CD67" s="89">
        <f ca="1">+Model!CD307</f>
        <v>-0.20964035697718492</v>
      </c>
      <c r="CE67" s="89">
        <f ca="1">+Model!CE307</f>
        <v>-1.378726809504768</v>
      </c>
      <c r="CF67" s="89">
        <f ca="1">+Model!CF307</f>
        <v>-2.7543634458164465</v>
      </c>
      <c r="CG67" s="89">
        <f ca="1">+Model!CG307</f>
        <v>-4.3430298412231494</v>
      </c>
    </row>
    <row r="68" spans="1:87" s="81" customFormat="1">
      <c r="A68" s="80" t="s">
        <v>574</v>
      </c>
      <c r="BR68" s="582"/>
      <c r="BS68" s="623"/>
      <c r="BT68" s="623"/>
      <c r="BU68" s="623"/>
      <c r="BV68" s="582"/>
      <c r="BW68" s="582"/>
      <c r="BX68" s="582"/>
      <c r="BY68" s="582"/>
      <c r="BZ68" s="582"/>
      <c r="CA68" s="582"/>
      <c r="CB68" s="582"/>
      <c r="CC68" s="582"/>
      <c r="CD68" s="582"/>
      <c r="CE68" s="582"/>
      <c r="CF68" s="582"/>
      <c r="CG68" s="582"/>
    </row>
    <row r="69" spans="1:87">
      <c r="A69" s="589" t="s">
        <v>578</v>
      </c>
      <c r="D69" s="76">
        <v>2019</v>
      </c>
      <c r="CG69" s="76" t="s">
        <v>1344</v>
      </c>
      <c r="CH69" s="76" t="s">
        <v>2022</v>
      </c>
    </row>
    <row r="70" spans="1:87">
      <c r="A70" s="76" t="s">
        <v>576</v>
      </c>
      <c r="BQ70" s="581">
        <v>1317.2604999999999</v>
      </c>
      <c r="BR70" s="581">
        <v>1360.2604999999999</v>
      </c>
      <c r="BS70" s="581">
        <v>1280.2604999999999</v>
      </c>
      <c r="BT70" s="581">
        <v>1191.2604999999999</v>
      </c>
      <c r="BU70" s="581">
        <v>1196.2604999999999</v>
      </c>
      <c r="BV70" s="581">
        <v>1221.2604999999999</v>
      </c>
      <c r="BW70" s="581">
        <v>1252.2604999999999</v>
      </c>
      <c r="BX70" s="581">
        <v>1302.2604999999999</v>
      </c>
      <c r="BY70" s="581">
        <v>1272.2604999999999</v>
      </c>
      <c r="BZ70" s="581">
        <v>1252.2604999999999</v>
      </c>
      <c r="CA70" s="581">
        <v>1272.2604999999999</v>
      </c>
      <c r="CB70" s="581">
        <v>1182.2604999999999</v>
      </c>
      <c r="CC70" s="581">
        <v>1182.2604999999999</v>
      </c>
      <c r="CD70" s="581">
        <v>1042.2604999999999</v>
      </c>
      <c r="CE70" s="581">
        <v>962.26049999999998</v>
      </c>
      <c r="CF70" s="581">
        <v>962.26049999999998</v>
      </c>
      <c r="CG70" s="581">
        <v>962.26049999999998</v>
      </c>
      <c r="CH70" s="585">
        <f>+((CG70/BR70)^(1/15)-1)*100</f>
        <v>-2.2812195803201596</v>
      </c>
      <c r="CI70" s="581"/>
    </row>
    <row r="71" spans="1:87">
      <c r="A71" s="587" t="s">
        <v>577</v>
      </c>
      <c r="BQ71" s="581">
        <v>1381.5619000000002</v>
      </c>
      <c r="BR71" s="581">
        <v>1424.5619000000002</v>
      </c>
      <c r="BS71" s="581">
        <v>1444.5619000000002</v>
      </c>
      <c r="BT71" s="581">
        <v>1355.5619000000002</v>
      </c>
      <c r="BU71" s="581">
        <v>1360.5619000000002</v>
      </c>
      <c r="BV71" s="581">
        <v>1385.5619000000002</v>
      </c>
      <c r="BW71" s="581">
        <v>1416.5619000000002</v>
      </c>
      <c r="BX71" s="581">
        <v>1466.5619000000002</v>
      </c>
      <c r="BY71" s="581">
        <v>1436.5619000000002</v>
      </c>
      <c r="BZ71" s="581">
        <v>1416.5619000000002</v>
      </c>
      <c r="CA71" s="581">
        <v>1436.5619000000002</v>
      </c>
      <c r="CB71" s="581">
        <v>1746.5619000000002</v>
      </c>
      <c r="CC71" s="581">
        <v>1746.5619000000002</v>
      </c>
      <c r="CD71" s="581">
        <v>1606.5619000000002</v>
      </c>
      <c r="CE71" s="581">
        <v>1526.5619000000002</v>
      </c>
      <c r="CF71" s="581">
        <v>1526.5619000000002</v>
      </c>
      <c r="CG71" s="581">
        <v>1526.5619000000002</v>
      </c>
      <c r="CH71" s="585">
        <f>+((CG71/BR71)^(1/15)-1)*100</f>
        <v>0.46208938737939409</v>
      </c>
      <c r="CI71" s="581"/>
    </row>
    <row r="72" spans="1:87">
      <c r="A72" s="76" t="s">
        <v>575</v>
      </c>
      <c r="BQ72" s="581">
        <v>1252.9591</v>
      </c>
      <c r="BR72" s="581">
        <v>1295.9591</v>
      </c>
      <c r="BS72" s="581">
        <v>1215.9591</v>
      </c>
      <c r="BT72" s="581">
        <v>1126.9591</v>
      </c>
      <c r="BU72" s="581">
        <v>1051.9591</v>
      </c>
      <c r="BV72" s="581">
        <v>1076.9591</v>
      </c>
      <c r="BW72" s="581">
        <v>1107.9591</v>
      </c>
      <c r="BX72" s="581">
        <v>1157.9591</v>
      </c>
      <c r="BY72" s="581">
        <v>1127.9591</v>
      </c>
      <c r="BZ72" s="581">
        <v>1107.9591</v>
      </c>
      <c r="CA72" s="581">
        <v>1127.9591</v>
      </c>
      <c r="CB72" s="581">
        <v>1037.9591</v>
      </c>
      <c r="CC72" s="581">
        <v>1037.9591</v>
      </c>
      <c r="CD72" s="581">
        <v>897.95910000000003</v>
      </c>
      <c r="CE72" s="581">
        <v>897.95910000000003</v>
      </c>
      <c r="CF72" s="581">
        <v>897.95910000000003</v>
      </c>
      <c r="CG72" s="581">
        <v>897.95910000000003</v>
      </c>
      <c r="CH72" s="585">
        <f>+((CG72/BR72)^(1/15)-1)*100</f>
        <v>-2.4162094127912814</v>
      </c>
      <c r="CI72" s="581"/>
    </row>
    <row r="73" spans="1:87">
      <c r="A73" s="587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</row>
    <row r="74" spans="1:87">
      <c r="A74" s="587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</row>
    <row r="75" spans="1:87">
      <c r="A75" s="589" t="s">
        <v>2016</v>
      </c>
      <c r="BJ75" s="76" t="s">
        <v>1344</v>
      </c>
    </row>
    <row r="76" spans="1:87">
      <c r="A76" s="76" t="s">
        <v>579</v>
      </c>
      <c r="B76" s="76" t="s">
        <v>580</v>
      </c>
      <c r="BJ76" s="581">
        <v>1224.53</v>
      </c>
      <c r="BK76" s="581">
        <v>1571.52</v>
      </c>
      <c r="BL76" s="581">
        <v>1668.98</v>
      </c>
      <c r="BM76" s="581">
        <v>1411.23</v>
      </c>
      <c r="BN76" s="581">
        <v>1266.4000000000001</v>
      </c>
      <c r="BO76" s="581">
        <v>1160.06</v>
      </c>
      <c r="BP76" s="581">
        <v>1249</v>
      </c>
      <c r="BQ76" s="581">
        <v>1250</v>
      </c>
      <c r="BR76" s="581">
        <v>1238</v>
      </c>
      <c r="BS76" s="581">
        <v>1214</v>
      </c>
      <c r="BT76" s="581">
        <v>1202</v>
      </c>
      <c r="BU76" s="581">
        <v>1190</v>
      </c>
      <c r="BV76" s="581">
        <v>1178</v>
      </c>
      <c r="BW76" s="581">
        <v>1167</v>
      </c>
      <c r="BX76" s="581">
        <v>1155</v>
      </c>
      <c r="BY76" s="581">
        <v>1155</v>
      </c>
      <c r="BZ76" s="581">
        <v>1155</v>
      </c>
      <c r="CA76" s="581">
        <v>1155</v>
      </c>
      <c r="CB76" s="581">
        <v>1155</v>
      </c>
      <c r="CC76" s="581">
        <v>1155</v>
      </c>
      <c r="CD76" s="581">
        <v>1100</v>
      </c>
      <c r="CE76" s="581">
        <v>1100</v>
      </c>
      <c r="CF76" s="581">
        <v>1100</v>
      </c>
      <c r="CG76" s="581">
        <v>1100</v>
      </c>
    </row>
    <row r="77" spans="1:87">
      <c r="A77" s="587" t="s">
        <v>581</v>
      </c>
      <c r="B77" s="76" t="s">
        <v>582</v>
      </c>
      <c r="BJ77" s="581">
        <v>1224.53</v>
      </c>
      <c r="BK77" s="581">
        <v>1571.52</v>
      </c>
      <c r="BL77" s="581">
        <v>1668.98</v>
      </c>
      <c r="BM77" s="581">
        <v>1411.23</v>
      </c>
      <c r="BN77" s="581">
        <v>1266.4000000000001</v>
      </c>
      <c r="BO77" s="581">
        <v>1160.06</v>
      </c>
      <c r="BP77" s="581">
        <v>1250.74</v>
      </c>
      <c r="BQ77" s="581">
        <v>1257.1199999999999</v>
      </c>
      <c r="BR77" s="581">
        <v>1349.8299578790775</v>
      </c>
      <c r="BS77" s="581">
        <v>1349.8299578790775</v>
      </c>
      <c r="BT77" s="581">
        <v>1349.8299578790775</v>
      </c>
      <c r="BU77" s="581">
        <v>1349.8299578790775</v>
      </c>
      <c r="BV77" s="581">
        <v>1349.8299578790775</v>
      </c>
      <c r="BW77" s="581">
        <v>1349.8299578790775</v>
      </c>
      <c r="BX77" s="581">
        <v>1349.8299578790775</v>
      </c>
      <c r="BY77" s="581">
        <v>1349.8299578790775</v>
      </c>
      <c r="BZ77" s="581">
        <v>1349.8299578790775</v>
      </c>
      <c r="CA77" s="581">
        <v>1349.8299578790775</v>
      </c>
      <c r="CB77" s="581">
        <v>1349.8299578790775</v>
      </c>
      <c r="CC77" s="581">
        <v>1349.8299578790775</v>
      </c>
      <c r="CD77" s="581">
        <v>1349.8299578790775</v>
      </c>
      <c r="CE77" s="581">
        <v>1349.8299578790775</v>
      </c>
      <c r="CF77" s="581">
        <v>1349.8299578790775</v>
      </c>
      <c r="CG77" s="581">
        <v>1349.8299578790775</v>
      </c>
    </row>
    <row r="78" spans="1:87">
      <c r="A78" s="76" t="s">
        <v>583</v>
      </c>
      <c r="B78" s="76" t="s">
        <v>584</v>
      </c>
      <c r="BJ78" s="581">
        <v>1224.53</v>
      </c>
      <c r="BK78" s="581">
        <v>1571.52</v>
      </c>
      <c r="BL78" s="581">
        <v>1668.98</v>
      </c>
      <c r="BM78" s="581">
        <v>1411.23</v>
      </c>
      <c r="BN78" s="581">
        <v>1266.4000000000001</v>
      </c>
      <c r="BO78" s="581">
        <v>1160.06</v>
      </c>
      <c r="BP78" s="581">
        <v>1250.74</v>
      </c>
      <c r="BQ78" s="581">
        <v>1257.1199999999999</v>
      </c>
      <c r="BR78" s="581">
        <v>1400</v>
      </c>
      <c r="BS78" s="581">
        <v>1400</v>
      </c>
      <c r="BT78" s="581">
        <v>1400</v>
      </c>
      <c r="BU78" s="581">
        <v>1400</v>
      </c>
      <c r="BV78" s="581">
        <v>1500</v>
      </c>
      <c r="BW78" s="581">
        <v>1500</v>
      </c>
      <c r="BX78" s="581">
        <v>1500</v>
      </c>
      <c r="BY78" s="581">
        <v>1500</v>
      </c>
      <c r="BZ78" s="581">
        <v>1600</v>
      </c>
      <c r="CA78" s="581">
        <v>1600</v>
      </c>
      <c r="CB78" s="581">
        <v>1600</v>
      </c>
      <c r="CC78" s="581">
        <v>1600</v>
      </c>
      <c r="CD78" s="581">
        <v>1700</v>
      </c>
      <c r="CE78" s="581">
        <v>1700</v>
      </c>
      <c r="CF78" s="581">
        <v>1700</v>
      </c>
      <c r="CG78" s="581">
        <v>1700</v>
      </c>
    </row>
    <row r="79" spans="1:87">
      <c r="A79" s="76" t="s">
        <v>585</v>
      </c>
      <c r="B79" s="76" t="s">
        <v>586</v>
      </c>
      <c r="BJ79" s="581">
        <v>1224.53</v>
      </c>
      <c r="BK79" s="581">
        <v>1571.52</v>
      </c>
      <c r="BL79" s="581">
        <v>1668.98</v>
      </c>
      <c r="BM79" s="581">
        <v>1411.23</v>
      </c>
      <c r="BN79" s="581">
        <v>1266.4000000000001</v>
      </c>
      <c r="BO79" s="581">
        <v>1160.06</v>
      </c>
      <c r="BP79" s="581">
        <v>1250.74</v>
      </c>
      <c r="BQ79" s="581">
        <v>1257.1199999999999</v>
      </c>
      <c r="BR79" s="581">
        <v>1427.12</v>
      </c>
      <c r="BS79" s="581">
        <v>1427.12</v>
      </c>
      <c r="BT79" s="581">
        <v>1427.12</v>
      </c>
      <c r="BU79" s="581">
        <v>1427.12</v>
      </c>
      <c r="BV79" s="581">
        <v>1427.12</v>
      </c>
      <c r="BW79" s="581">
        <v>1597.12</v>
      </c>
      <c r="BX79" s="581">
        <v>1597.12</v>
      </c>
      <c r="BY79" s="581">
        <v>1597.12</v>
      </c>
      <c r="BZ79" s="581">
        <v>1597.12</v>
      </c>
      <c r="CA79" s="581">
        <v>1597.12</v>
      </c>
      <c r="CB79" s="581">
        <v>1597.12</v>
      </c>
      <c r="CC79" s="581">
        <v>1597.12</v>
      </c>
      <c r="CD79" s="581">
        <v>1597.12</v>
      </c>
      <c r="CE79" s="581">
        <v>1597.12</v>
      </c>
      <c r="CF79" s="581">
        <v>1597.12</v>
      </c>
      <c r="CG79" s="581">
        <v>1597.12</v>
      </c>
    </row>
    <row r="80" spans="1:87">
      <c r="A80" s="76" t="s">
        <v>2012</v>
      </c>
      <c r="B80" s="76" t="s">
        <v>2013</v>
      </c>
      <c r="BJ80" s="581">
        <v>1224.53</v>
      </c>
      <c r="BK80" s="581">
        <v>1571.52</v>
      </c>
      <c r="BL80" s="581">
        <v>1668.98</v>
      </c>
      <c r="BM80" s="581">
        <v>1411.23</v>
      </c>
      <c r="BN80" s="581">
        <v>1266.4000000000001</v>
      </c>
      <c r="BO80" s="581">
        <v>1160.06</v>
      </c>
      <c r="BP80" s="581">
        <v>1250.74</v>
      </c>
      <c r="BQ80" s="581">
        <v>1257.1199999999999</v>
      </c>
      <c r="BR80" s="581">
        <v>1107.5769230769229</v>
      </c>
      <c r="BS80" s="581">
        <v>1107.5769230769229</v>
      </c>
      <c r="BT80" s="581">
        <v>1107.5769230769229</v>
      </c>
      <c r="BU80" s="581">
        <v>1107.5769230769229</v>
      </c>
      <c r="BV80" s="581">
        <v>1107.5769230769229</v>
      </c>
      <c r="BW80" s="581">
        <v>1107.5769230769229</v>
      </c>
      <c r="BX80" s="581">
        <v>1107.5769230769229</v>
      </c>
      <c r="BY80" s="581">
        <v>1107.5769230769229</v>
      </c>
      <c r="BZ80" s="581">
        <v>1107.5769230769229</v>
      </c>
      <c r="CA80" s="581">
        <v>1107.5769230769229</v>
      </c>
      <c r="CB80" s="581">
        <v>1107.5769230769229</v>
      </c>
      <c r="CC80" s="581">
        <v>1107.5769230769229</v>
      </c>
      <c r="CD80" s="581">
        <v>1107.5769230769229</v>
      </c>
      <c r="CE80" s="581">
        <v>1107.5769230769229</v>
      </c>
      <c r="CF80" s="581">
        <v>1107.5769230769229</v>
      </c>
      <c r="CG80" s="581">
        <v>1107.5769230769229</v>
      </c>
    </row>
    <row r="81" spans="1:85" s="83" customFormat="1">
      <c r="A81" s="83" t="s">
        <v>2014</v>
      </c>
      <c r="B81" s="83" t="s">
        <v>2015</v>
      </c>
      <c r="BJ81" s="586">
        <v>1224.53</v>
      </c>
      <c r="BK81" s="586">
        <v>1571.52</v>
      </c>
      <c r="BL81" s="586">
        <v>1668.98</v>
      </c>
      <c r="BM81" s="586">
        <v>1411.23</v>
      </c>
      <c r="BN81" s="586">
        <v>1266.4000000000001</v>
      </c>
      <c r="BO81" s="586">
        <v>1160.06</v>
      </c>
      <c r="BP81" s="586">
        <v>1250.74</v>
      </c>
      <c r="BQ81" s="586">
        <v>1257.1199999999999</v>
      </c>
      <c r="BR81" s="586">
        <v>1181.0864146104723</v>
      </c>
      <c r="BS81" s="586">
        <v>1181.0864146104723</v>
      </c>
      <c r="BT81" s="586">
        <v>1181.0864146104723</v>
      </c>
      <c r="BU81" s="586">
        <v>1181.0864146104723</v>
      </c>
      <c r="BV81" s="586">
        <v>1181.0864146104723</v>
      </c>
      <c r="BW81" s="586">
        <v>1181.0864146104723</v>
      </c>
      <c r="BX81" s="586">
        <v>1181.0864146104723</v>
      </c>
      <c r="BY81" s="586">
        <v>1181.0864146104723</v>
      </c>
      <c r="BZ81" s="586">
        <v>1181.0864146104723</v>
      </c>
      <c r="CA81" s="586">
        <v>1181.0864146104723</v>
      </c>
      <c r="CB81" s="586">
        <v>1181.0864146104723</v>
      </c>
      <c r="CC81" s="586">
        <v>1181.0864146104723</v>
      </c>
      <c r="CD81" s="586">
        <v>1181.0864146104723</v>
      </c>
      <c r="CE81" s="586">
        <v>1181.0864146104723</v>
      </c>
      <c r="CF81" s="586">
        <v>1181.0864146104723</v>
      </c>
      <c r="CG81" s="586">
        <v>1181.0864146104723</v>
      </c>
    </row>
    <row r="82" spans="1:85">
      <c r="BS82" s="76" t="s">
        <v>1344</v>
      </c>
    </row>
  </sheetData>
  <phoneticPr fontId="15" type="noConversion"/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G479"/>
  <sheetViews>
    <sheetView zoomScale="110" zoomScaleNormal="110" workbookViewId="0">
      <pane xSplit="5" ySplit="2" topLeftCell="BS423" activePane="bottomRight" state="frozen"/>
      <selection pane="topRight" activeCell="E1" sqref="E1"/>
      <selection pane="bottomLeft" activeCell="A3" sqref="A3"/>
      <selection pane="bottomRight" activeCell="BS431" sqref="BS431"/>
    </sheetView>
  </sheetViews>
  <sheetFormatPr defaultRowHeight="15.75"/>
  <cols>
    <col min="1" max="1" width="17.83203125" style="302" customWidth="1"/>
    <col min="2" max="4" width="10.1640625" style="302" customWidth="1"/>
    <col min="5" max="5" width="16.83203125" style="302" customWidth="1"/>
    <col min="6" max="6" width="9.5" style="302" bestFit="1" customWidth="1"/>
    <col min="7" max="8" width="10.5" style="302" bestFit="1" customWidth="1"/>
    <col min="9" max="9" width="13.1640625" style="302" bestFit="1" customWidth="1"/>
    <col min="10" max="32" width="10.5" style="302" bestFit="1" customWidth="1"/>
    <col min="33" max="35" width="11.83203125" style="302" bestFit="1" customWidth="1"/>
    <col min="36" max="41" width="12" style="302" bestFit="1" customWidth="1"/>
    <col min="42" max="45" width="10.6640625" style="302" bestFit="1" customWidth="1"/>
    <col min="46" max="46" width="11.6640625" style="302" bestFit="1" customWidth="1"/>
    <col min="47" max="47" width="12" style="302" bestFit="1" customWidth="1"/>
    <col min="48" max="51" width="11.6640625" style="302" bestFit="1" customWidth="1"/>
    <col min="52" max="55" width="13.1640625" style="302" bestFit="1" customWidth="1"/>
    <col min="56" max="56" width="13.5" style="302" bestFit="1" customWidth="1"/>
    <col min="57" max="57" width="13.83203125" style="302" customWidth="1"/>
    <col min="58" max="58" width="12.1640625" style="302" customWidth="1"/>
    <col min="59" max="60" width="13.1640625" style="302" bestFit="1" customWidth="1"/>
    <col min="61" max="61" width="11.33203125" style="302" customWidth="1"/>
    <col min="62" max="62" width="14.5" style="302" bestFit="1" customWidth="1"/>
    <col min="63" max="65" width="11.1640625" style="302" bestFit="1" customWidth="1"/>
    <col min="66" max="66" width="10.6640625" style="302" customWidth="1"/>
    <col min="67" max="67" width="11.83203125" style="302" customWidth="1"/>
    <col min="68" max="68" width="12.1640625" style="302" customWidth="1"/>
    <col min="69" max="71" width="10.6640625" style="302" customWidth="1"/>
    <col min="72" max="72" width="15.33203125" style="302" bestFit="1" customWidth="1"/>
    <col min="73" max="77" width="13.1640625" style="302" bestFit="1" customWidth="1"/>
    <col min="78" max="16384" width="9.33203125" style="302"/>
  </cols>
  <sheetData>
    <row r="1" spans="1:82" s="94" customFormat="1">
      <c r="A1" s="274" t="s">
        <v>2378</v>
      </c>
      <c r="B1" s="119" t="s">
        <v>1906</v>
      </c>
      <c r="C1" s="119" t="s">
        <v>2489</v>
      </c>
      <c r="D1" s="273" t="s">
        <v>2487</v>
      </c>
    </row>
    <row r="2" spans="1:82" s="94" customFormat="1">
      <c r="A2" s="119" t="s">
        <v>2486</v>
      </c>
      <c r="B2" s="119" t="s">
        <v>2488</v>
      </c>
      <c r="C2" s="119"/>
      <c r="D2" s="94" t="s">
        <v>1777</v>
      </c>
      <c r="E2" s="94" t="s">
        <v>1778</v>
      </c>
      <c r="F2" s="94">
        <f t="shared" ref="F2:AO2" si="0">+G2-1</f>
        <v>1954</v>
      </c>
      <c r="G2" s="94">
        <f t="shared" si="0"/>
        <v>1955</v>
      </c>
      <c r="H2" s="94">
        <f t="shared" si="0"/>
        <v>1956</v>
      </c>
      <c r="I2" s="94">
        <f t="shared" si="0"/>
        <v>1957</v>
      </c>
      <c r="J2" s="94">
        <f t="shared" si="0"/>
        <v>1958</v>
      </c>
      <c r="K2" s="94">
        <f t="shared" si="0"/>
        <v>1959</v>
      </c>
      <c r="L2" s="94">
        <f t="shared" si="0"/>
        <v>1960</v>
      </c>
      <c r="M2" s="94">
        <f t="shared" si="0"/>
        <v>1961</v>
      </c>
      <c r="N2" s="94">
        <f t="shared" si="0"/>
        <v>1962</v>
      </c>
      <c r="O2" s="94">
        <f t="shared" si="0"/>
        <v>1963</v>
      </c>
      <c r="P2" s="94">
        <f t="shared" si="0"/>
        <v>1964</v>
      </c>
      <c r="Q2" s="94">
        <f t="shared" si="0"/>
        <v>1965</v>
      </c>
      <c r="R2" s="94">
        <f t="shared" si="0"/>
        <v>1966</v>
      </c>
      <c r="S2" s="94">
        <f t="shared" si="0"/>
        <v>1967</v>
      </c>
      <c r="T2" s="94">
        <f t="shared" si="0"/>
        <v>1968</v>
      </c>
      <c r="U2" s="94">
        <f t="shared" si="0"/>
        <v>1969</v>
      </c>
      <c r="V2" s="94">
        <f t="shared" si="0"/>
        <v>1970</v>
      </c>
      <c r="W2" s="94">
        <f t="shared" si="0"/>
        <v>1971</v>
      </c>
      <c r="X2" s="94">
        <f t="shared" si="0"/>
        <v>1972</v>
      </c>
      <c r="Y2" s="94">
        <f t="shared" si="0"/>
        <v>1973</v>
      </c>
      <c r="Z2" s="94">
        <f t="shared" si="0"/>
        <v>1974</v>
      </c>
      <c r="AA2" s="94">
        <f t="shared" si="0"/>
        <v>1975</v>
      </c>
      <c r="AB2" s="94">
        <f t="shared" si="0"/>
        <v>1976</v>
      </c>
      <c r="AC2" s="94">
        <f t="shared" si="0"/>
        <v>1977</v>
      </c>
      <c r="AD2" s="94">
        <f t="shared" si="0"/>
        <v>1978</v>
      </c>
      <c r="AE2" s="94">
        <f t="shared" si="0"/>
        <v>1979</v>
      </c>
      <c r="AF2" s="94">
        <f t="shared" si="0"/>
        <v>1980</v>
      </c>
      <c r="AG2" s="94">
        <f t="shared" si="0"/>
        <v>1981</v>
      </c>
      <c r="AH2" s="94">
        <f t="shared" si="0"/>
        <v>1982</v>
      </c>
      <c r="AI2" s="94">
        <f t="shared" si="0"/>
        <v>1983</v>
      </c>
      <c r="AJ2" s="94">
        <f t="shared" si="0"/>
        <v>1984</v>
      </c>
      <c r="AK2" s="94">
        <f t="shared" si="0"/>
        <v>1985</v>
      </c>
      <c r="AL2" s="94">
        <f t="shared" si="0"/>
        <v>1986</v>
      </c>
      <c r="AM2" s="94">
        <f t="shared" si="0"/>
        <v>1987</v>
      </c>
      <c r="AN2" s="94">
        <f t="shared" si="0"/>
        <v>1988</v>
      </c>
      <c r="AO2" s="94">
        <f t="shared" si="0"/>
        <v>1989</v>
      </c>
      <c r="AP2" s="94">
        <v>1990</v>
      </c>
      <c r="AQ2" s="94">
        <v>1991</v>
      </c>
      <c r="AR2" s="94">
        <v>1992</v>
      </c>
      <c r="AS2" s="94">
        <v>1993</v>
      </c>
      <c r="AT2" s="94">
        <v>1994</v>
      </c>
      <c r="AU2" s="94">
        <v>1995</v>
      </c>
      <c r="AV2" s="94">
        <v>1996</v>
      </c>
      <c r="AW2" s="94">
        <v>1997</v>
      </c>
      <c r="AX2" s="94">
        <v>1998</v>
      </c>
      <c r="AY2" s="94">
        <v>1999</v>
      </c>
      <c r="AZ2" s="94">
        <v>2000</v>
      </c>
      <c r="BA2" s="94">
        <v>2001</v>
      </c>
      <c r="BB2" s="94">
        <v>2002</v>
      </c>
      <c r="BC2" s="94">
        <v>2003</v>
      </c>
      <c r="BD2" s="94">
        <v>2004</v>
      </c>
      <c r="BE2" s="94">
        <v>2005</v>
      </c>
      <c r="BF2" s="94">
        <v>2006</v>
      </c>
      <c r="BG2" s="94">
        <v>2007</v>
      </c>
      <c r="BH2" s="94">
        <v>2008</v>
      </c>
      <c r="BI2" s="94">
        <v>2009</v>
      </c>
      <c r="BJ2" s="94">
        <v>2010</v>
      </c>
      <c r="BK2" s="94">
        <v>2011</v>
      </c>
      <c r="BL2" s="94">
        <v>2012</v>
      </c>
      <c r="BM2" s="94">
        <v>2013</v>
      </c>
      <c r="BN2" s="94">
        <v>2014</v>
      </c>
      <c r="BO2" s="94">
        <v>2015</v>
      </c>
      <c r="BP2" s="94">
        <v>2016</v>
      </c>
      <c r="BQ2" s="94">
        <v>2017</v>
      </c>
      <c r="BR2" s="94">
        <f>BQ2+1</f>
        <v>2018</v>
      </c>
      <c r="BS2" s="94">
        <f t="shared" ref="BS2:CD2" si="1">BR2+1</f>
        <v>2019</v>
      </c>
      <c r="BT2" s="94">
        <f t="shared" si="1"/>
        <v>2020</v>
      </c>
      <c r="BU2" s="94">
        <f t="shared" si="1"/>
        <v>2021</v>
      </c>
      <c r="BV2" s="94">
        <f t="shared" si="1"/>
        <v>2022</v>
      </c>
      <c r="BW2" s="94">
        <f t="shared" si="1"/>
        <v>2023</v>
      </c>
      <c r="BX2" s="94">
        <f t="shared" si="1"/>
        <v>2024</v>
      </c>
      <c r="BY2" s="94">
        <f t="shared" si="1"/>
        <v>2025</v>
      </c>
      <c r="BZ2" s="94">
        <f t="shared" si="1"/>
        <v>2026</v>
      </c>
      <c r="CA2" s="94">
        <f t="shared" si="1"/>
        <v>2027</v>
      </c>
      <c r="CB2" s="94">
        <f t="shared" si="1"/>
        <v>2028</v>
      </c>
      <c r="CC2" s="94">
        <f t="shared" si="1"/>
        <v>2029</v>
      </c>
      <c r="CD2" s="94">
        <f t="shared" si="1"/>
        <v>2030</v>
      </c>
    </row>
    <row r="3" spans="1:82" s="299" customFormat="1" ht="18" customHeight="1">
      <c r="A3" s="298" t="s">
        <v>1215</v>
      </c>
    </row>
    <row r="4" spans="1:82" s="299" customFormat="1" ht="18" customHeight="1">
      <c r="A4" s="298"/>
    </row>
    <row r="5" spans="1:82" s="300" customFormat="1">
      <c r="A5" s="304" t="s">
        <v>1690</v>
      </c>
    </row>
    <row r="6" spans="1:82" s="300" customFormat="1">
      <c r="A6" s="302" t="s">
        <v>1693</v>
      </c>
    </row>
    <row r="7" spans="1:82" s="300" customFormat="1">
      <c r="A7" s="302" t="s">
        <v>1694</v>
      </c>
    </row>
    <row r="8" spans="1:82" s="300" customFormat="1">
      <c r="A8" s="302" t="s">
        <v>1695</v>
      </c>
    </row>
    <row r="9" spans="1:82" s="300" customFormat="1">
      <c r="A9" s="95" t="s">
        <v>1696</v>
      </c>
    </row>
    <row r="10" spans="1:82" s="300" customFormat="1">
      <c r="A10" s="95" t="s">
        <v>1697</v>
      </c>
    </row>
    <row r="11" spans="1:82" s="300" customFormat="1">
      <c r="A11" s="95" t="s">
        <v>1698</v>
      </c>
    </row>
    <row r="12" spans="1:82" s="300" customFormat="1">
      <c r="A12" s="95" t="s">
        <v>1699</v>
      </c>
    </row>
    <row r="13" spans="1:82" s="300" customFormat="1">
      <c r="A13" s="95" t="s">
        <v>1700</v>
      </c>
    </row>
    <row r="14" spans="1:82" s="300" customFormat="1">
      <c r="A14" s="95"/>
    </row>
    <row r="15" spans="1:82" s="300" customFormat="1">
      <c r="A15" s="95" t="s">
        <v>476</v>
      </c>
    </row>
    <row r="16" spans="1:82" s="300" customFormat="1">
      <c r="A16" s="95" t="s">
        <v>384</v>
      </c>
    </row>
    <row r="17" spans="1:72" s="300" customFormat="1">
      <c r="A17" s="95" t="s">
        <v>475</v>
      </c>
    </row>
    <row r="18" spans="1:72" s="300" customFormat="1">
      <c r="A18" s="304"/>
    </row>
    <row r="19" spans="1:72" s="300" customFormat="1">
      <c r="A19" s="304" t="s">
        <v>1692</v>
      </c>
    </row>
    <row r="20" spans="1:72" s="300" customFormat="1">
      <c r="A20" s="300" t="s">
        <v>2377</v>
      </c>
      <c r="D20" s="300" t="s">
        <v>1579</v>
      </c>
      <c r="E20" s="300" t="s">
        <v>2376</v>
      </c>
      <c r="F20" s="508">
        <f>+mamiabc!G131</f>
        <v>6.6399999999999987E-2</v>
      </c>
      <c r="G20" s="508">
        <f>+mamiabc!H131</f>
        <v>7.347316622734068E-2</v>
      </c>
      <c r="H20" s="508">
        <f>+mamiabc!I131</f>
        <v>7.9076516509056075E-2</v>
      </c>
      <c r="I20" s="508">
        <f>+mamiabc!J131</f>
        <v>8.4930567383766198E-2</v>
      </c>
      <c r="J20" s="508">
        <f>+mamiabc!K131</f>
        <v>9.8535581231117247E-2</v>
      </c>
      <c r="K20" s="508">
        <f>+mamiabc!L131</f>
        <v>0.105682914018631</v>
      </c>
      <c r="L20" s="508">
        <f>+mamiabc!M131</f>
        <v>0.11133677220344543</v>
      </c>
      <c r="M20" s="508">
        <f>+mamiabc!N131</f>
        <v>0.11450231361389154</v>
      </c>
      <c r="N20" s="508">
        <f>+mamiabc!O131</f>
        <v>0.12319960761070245</v>
      </c>
      <c r="O20" s="508">
        <f>+mamiabc!P131</f>
        <v>0.12681210708618162</v>
      </c>
      <c r="P20" s="508">
        <f>+mamiabc!Q131</f>
        <v>0.15610899448394774</v>
      </c>
      <c r="Q20" s="508">
        <f>+mamiabc!R131</f>
        <v>0.1866090180873872</v>
      </c>
      <c r="R20" s="508">
        <f>+mamiabc!S131</f>
        <v>0.24527998828887934</v>
      </c>
      <c r="S20" s="508">
        <f>+mamiabc!T131</f>
        <v>0.25526500082015996</v>
      </c>
      <c r="T20" s="508">
        <f>+mamiabc!U131</f>
        <v>0.26886197495460518</v>
      </c>
      <c r="U20" s="508">
        <f>+mamiabc!V131</f>
        <v>0.28780801582336429</v>
      </c>
      <c r="V20" s="508">
        <f>+mamiabc!W131</f>
        <v>0.28690098381042478</v>
      </c>
      <c r="W20" s="508">
        <f>+mamiabc!X131</f>
        <v>0.30573999619483949</v>
      </c>
      <c r="X20" s="508">
        <f>+mamiabc!Y131</f>
        <v>0.35840003716945645</v>
      </c>
      <c r="Y20" s="508">
        <f>+mamiabc!Z131</f>
        <v>0.37659999537467959</v>
      </c>
      <c r="Z20" s="508">
        <f>+mamiabc!AA131</f>
        <v>0.43589997720718393</v>
      </c>
      <c r="AA20" s="508">
        <f>+mamiabc!AB131</f>
        <v>0.52913000786304454</v>
      </c>
      <c r="AB20" s="508">
        <f>+mamiabc!AC131</f>
        <v>0.72725991225242637</v>
      </c>
      <c r="AC20" s="508">
        <f>+mamiabc!AD131</f>
        <v>0.8436400513648985</v>
      </c>
      <c r="AD20" s="508">
        <f>+mamiabc!AE131</f>
        <v>0.90986002659797649</v>
      </c>
      <c r="AE20" s="508">
        <f>+mamiabc!AF131</f>
        <v>0.92933834743499744</v>
      </c>
      <c r="AF20" s="508">
        <f>+mamiabc!AG131</f>
        <v>1.0132190418243407</v>
      </c>
      <c r="AG20" s="508">
        <f>+mamiabc!AH131</f>
        <v>1.0859096720218657</v>
      </c>
      <c r="AH20" s="508">
        <f>+mamiabc!AI131</f>
        <v>1.1542603752613061</v>
      </c>
      <c r="AI20" s="508">
        <f>+mamiabc!AJ131</f>
        <v>1.1185551018714905</v>
      </c>
      <c r="AJ20" s="508">
        <f>+mamiabc!AK131</f>
        <v>1.0204397344589233</v>
      </c>
      <c r="AK20" s="508">
        <f>+mamiabc!AL131</f>
        <v>1.0854439101219182</v>
      </c>
      <c r="AL20" s="508">
        <f>+mamiabc!AM131</f>
        <v>1.4763999881744381</v>
      </c>
      <c r="AM20" s="508">
        <f>+mamiabc!AN131</f>
        <v>1.9135499386787413</v>
      </c>
      <c r="AN20" s="508">
        <f>+mamiabc!AO131</f>
        <v>2.8060999932289112</v>
      </c>
      <c r="AO20" s="508">
        <f>+mamiabc!AP131</f>
        <v>4.0392499999999991</v>
      </c>
      <c r="AP20" s="508">
        <f>+mamiabc!AQ131</f>
        <v>5.6509899999999993</v>
      </c>
      <c r="AQ20" s="508">
        <f>+mamiabc!AR131</f>
        <v>7.8324900000000008</v>
      </c>
      <c r="AR20" s="508">
        <f>+mamiabc!AS131</f>
        <v>12.892839999999998</v>
      </c>
      <c r="AS20" s="508">
        <f>+mamiabc!AT131</f>
        <v>29.586820000000017</v>
      </c>
      <c r="AT20" s="508">
        <f>+mamiabc!AU131</f>
        <v>99.112497500000089</v>
      </c>
      <c r="AU20" s="508">
        <f>+mamiabc!AV131</f>
        <v>148.77779750000002</v>
      </c>
      <c r="AV20" s="508">
        <f>+mamiabc!AW131</f>
        <v>199.40875</v>
      </c>
      <c r="AW20" s="508">
        <f>+mamiabc!AX131</f>
        <v>289.45107000000007</v>
      </c>
      <c r="AX20" s="508">
        <f>+mamiabc!AY131</f>
        <v>504.6158999999999</v>
      </c>
      <c r="AY20" s="508">
        <f>+mamiabc!AZ131</f>
        <v>590.95582500000023</v>
      </c>
      <c r="AZ20" s="508">
        <f>+mamiabc!BA131</f>
        <v>683.69099999999935</v>
      </c>
      <c r="BA20" s="508">
        <f>+mamiabc!BB131</f>
        <v>1546.9893000000002</v>
      </c>
      <c r="BB20" s="508">
        <f ca="1">+mamiabc!BC131</f>
        <v>2215.74863540142</v>
      </c>
      <c r="BC20" s="301">
        <v>2133</v>
      </c>
      <c r="BD20" s="301">
        <v>2492</v>
      </c>
      <c r="BE20" s="301">
        <v>2851</v>
      </c>
      <c r="BF20" s="300">
        <v>2870</v>
      </c>
      <c r="BG20" s="300">
        <v>2968</v>
      </c>
      <c r="BH20" s="300">
        <v>3893</v>
      </c>
      <c r="BI20" s="300">
        <v>3907</v>
      </c>
      <c r="BJ20" s="300">
        <v>4308</v>
      </c>
    </row>
    <row r="21" spans="1:72" s="300" customFormat="1">
      <c r="A21" s="300" t="s">
        <v>2375</v>
      </c>
      <c r="D21" s="300" t="s">
        <v>1579</v>
      </c>
      <c r="E21" s="300" t="s">
        <v>2374</v>
      </c>
      <c r="F21" s="508">
        <f>+mamiabc!F49-mamiabc!F50+mamiabc!F53+mamiabc!F52</f>
        <v>2.86E-2</v>
      </c>
      <c r="G21" s="508">
        <f>+mamiabc!G49-mamiabc!G50+mamiabc!G53+mamiabc!G52</f>
        <v>3.4000000000000002E-2</v>
      </c>
      <c r="H21" s="508">
        <f>+mamiabc!H49-mamiabc!H50+mamiabc!H53+mamiabc!H52</f>
        <v>3.0634931087493898E-2</v>
      </c>
      <c r="I21" s="508">
        <f>+mamiabc!I49-mamiabc!I50+mamiabc!I53+mamiabc!I52</f>
        <v>3.6065133094787594E-2</v>
      </c>
      <c r="J21" s="508">
        <f>+mamiabc!J49-mamiabc!J50+mamiabc!J53+mamiabc!J52</f>
        <v>4.2442305564880371E-2</v>
      </c>
      <c r="K21" s="508">
        <f>+mamiabc!K49-mamiabc!K50+mamiabc!K53+mamiabc!K52</f>
        <v>4.1992053985595704E-2</v>
      </c>
      <c r="L21" s="508">
        <f>+mamiabc!L49-mamiabc!L50+mamiabc!L53+mamiabc!L52</f>
        <v>4.8828636169433587E-2</v>
      </c>
      <c r="M21" s="508">
        <f>+mamiabc!M49-mamiabc!M50+mamiabc!M53+mamiabc!M52</f>
        <v>5.6158151626586911E-2</v>
      </c>
      <c r="N21" s="508">
        <f>+mamiabc!N49-mamiabc!N50+mamiabc!N53+mamiabc!N52</f>
        <v>6.2289319992065426E-2</v>
      </c>
      <c r="O21" s="508">
        <f>+mamiabc!O49-mamiabc!O50+mamiabc!O53+mamiabc!O52</f>
        <v>6.2046493530273437E-2</v>
      </c>
      <c r="P21" s="508">
        <f>+mamiabc!P49-mamiabc!P50+mamiabc!P53+mamiabc!P52</f>
        <v>6.7086669921875008E-2</v>
      </c>
      <c r="Q21" s="508">
        <f>+mamiabc!Q49-mamiabc!Q50+mamiabc!Q53+mamiabc!Q52</f>
        <v>6.9184797286987301E-2</v>
      </c>
      <c r="R21" s="508">
        <f>+mamiabc!R49-mamiabc!R50+mamiabc!R53+mamiabc!R52</f>
        <v>7.7148601531982414E-2</v>
      </c>
      <c r="S21" s="508">
        <f>+mamiabc!S49-mamiabc!S50+mamiabc!S53+mamiabc!S52</f>
        <v>8.8830898284912113E-2</v>
      </c>
      <c r="T21" s="508">
        <f>+mamiabc!T49-mamiabc!T50+mamiabc!T53+mamiabc!T52</f>
        <v>9.7146602630615225E-2</v>
      </c>
      <c r="U21" s="508">
        <f>+mamiabc!U49-mamiabc!U50+mamiabc!U53+mamiabc!U52</f>
        <v>9.9026500701904302E-2</v>
      </c>
      <c r="V21" s="508">
        <f>+mamiabc!V49-mamiabc!V50+mamiabc!V53+mamiabc!V52</f>
        <v>0.10388909912109376</v>
      </c>
      <c r="W21" s="508">
        <f>+mamiabc!W49-mamiabc!W50+mamiabc!W53+mamiabc!W52</f>
        <v>0.12342189979553223</v>
      </c>
      <c r="X21" s="508">
        <f>+mamiabc!X49-mamiabc!X50+mamiabc!X53+mamiabc!X52</f>
        <v>0.10778430175781251</v>
      </c>
      <c r="Y21" s="508">
        <f>+mamiabc!Y49-mamiabc!Y50+mamiabc!Y53+mamiabc!Y52</f>
        <v>0.11348349761962889</v>
      </c>
      <c r="Z21" s="508">
        <f>+mamiabc!Z49-mamiabc!Z50+mamiabc!Z53+mamiabc!Z52</f>
        <v>0.14802899551391602</v>
      </c>
      <c r="AA21" s="508">
        <f>+mamiabc!AA49-mamiabc!AA50+mamiabc!AA53+mamiabc!AA52</f>
        <v>0.18013999176025391</v>
      </c>
      <c r="AB21" s="508">
        <f>+mamiabc!AB49-mamiabc!AB50+mamiabc!AB53+mamiabc!AB52</f>
        <v>0.21087000274658202</v>
      </c>
      <c r="AC21" s="508">
        <f>+mamiabc!AC49-mamiabc!AC50+mamiabc!AC53+mamiabc!AC52</f>
        <v>0.3111499938964844</v>
      </c>
      <c r="AD21" s="508">
        <f>+mamiabc!AD49-mamiabc!AD50+mamiabc!AD53+mamiabc!AD52</f>
        <v>0.33869000244140623</v>
      </c>
      <c r="AE21" s="508">
        <f>+mamiabc!AE49-mamiabc!AE50+mamiabc!AE53+mamiabc!AE52</f>
        <v>0.31904998779296878</v>
      </c>
      <c r="AF21" s="508">
        <f>+mamiabc!AF49-mamiabc!AF50+mamiabc!AF53+mamiabc!AF52</f>
        <v>0.34730999755859376</v>
      </c>
      <c r="AG21" s="508">
        <f>+mamiabc!AG49-mamiabc!AG50+mamiabc!AG53+mamiabc!AG52</f>
        <v>0.46336000061035154</v>
      </c>
      <c r="AH21" s="508">
        <f>+mamiabc!AH49-mamiabc!AH50+mamiabc!AH53+mamiabc!AH52</f>
        <v>0.53345999145507816</v>
      </c>
      <c r="AI21" s="508">
        <f>+mamiabc!AI49-mamiabc!AI50+mamiabc!AI53+mamiabc!AI52</f>
        <v>0.58365000915527343</v>
      </c>
      <c r="AJ21" s="508">
        <f>+mamiabc!AJ49-mamiabc!AJ50+mamiabc!AJ53+mamiabc!AJ52</f>
        <v>0.56750000762939457</v>
      </c>
      <c r="AK21" s="508">
        <f>+mamiabc!AK49-mamiabc!AK50+mamiabc!AK53+mamiabc!AK52</f>
        <v>0.64300999450683594</v>
      </c>
      <c r="AL21" s="508">
        <f>+mamiabc!AL49-mamiabc!AL50+mamiabc!AL53+mamiabc!AL52</f>
        <v>0.72815999984741209</v>
      </c>
      <c r="AM21" s="508">
        <f>+mamiabc!AM49-mamiabc!AM50+mamiabc!AM53+mamiabc!AM52</f>
        <v>0.74</v>
      </c>
      <c r="AN21" s="508">
        <f>+mamiabc!AN49-mamiabc!AN50+mamiabc!AN53+mamiabc!AN52</f>
        <v>0.84099999999999997</v>
      </c>
      <c r="AO21" s="508">
        <f>+mamiabc!AO49-mamiabc!AO50+mamiabc!AO53+mamiabc!AO52</f>
        <v>0.78099999999999992</v>
      </c>
      <c r="AP21" s="508">
        <f>+mamiabc!AP49-mamiabc!AP50+mamiabc!AP53+mamiabc!AP52</f>
        <v>0.76312000000000002</v>
      </c>
      <c r="AQ21" s="508">
        <f>+mamiabc!AQ49-mamiabc!AQ50+mamiabc!AQ53+mamiabc!AQ52</f>
        <v>1.0729600000000001</v>
      </c>
      <c r="AR21" s="508">
        <f>+mamiabc!AR49-mamiabc!AR50+mamiabc!AR53+mamiabc!AR52</f>
        <v>1.2229999999999999</v>
      </c>
      <c r="AS21" s="508">
        <f>+mamiabc!AS49-mamiabc!AS50+mamiabc!AS53+mamiabc!AS52</f>
        <v>1.4617900000000001</v>
      </c>
      <c r="AT21" s="508">
        <f>+mamiabc!AT49-mamiabc!AT50+mamiabc!AT53+mamiabc!AT52</f>
        <v>3.7665399999999991</v>
      </c>
      <c r="AU21" s="508">
        <f>+mamiabc!AU49-mamiabc!AU50+mamiabc!AU53+mamiabc!AU52</f>
        <v>39.485110000000006</v>
      </c>
      <c r="AV21" s="508">
        <f>+mamiabc!AV49-mamiabc!AV50+mamiabc!AV53+mamiabc!AV52</f>
        <v>48.689217999999997</v>
      </c>
      <c r="AW21" s="508">
        <f>+mamiabc!AW49-mamiabc!AW50+mamiabc!AW53+mamiabc!AW52</f>
        <v>56.940826016000003</v>
      </c>
      <c r="AX21" s="508">
        <f>+mamiabc!AX49-mamiabc!AX50+mamiabc!AX53+mamiabc!AX52</f>
        <v>139.16585906099198</v>
      </c>
      <c r="AY21" s="508">
        <f>+mamiabc!AY49-mamiabc!AY50+mamiabc!AY53+mamiabc!AY52</f>
        <v>193.15064144912449</v>
      </c>
      <c r="AZ21" s="508">
        <f>+mamiabc!AZ49-mamiabc!AZ50+mamiabc!AZ53+mamiabc!AZ52</f>
        <v>402.09268564016622</v>
      </c>
      <c r="BA21" s="508">
        <f>+mamiabc!BA49-mamiabc!BA50+mamiabc!BA53+mamiabc!BA52</f>
        <v>513.71405153193507</v>
      </c>
      <c r="BB21" s="508">
        <f>+mamiabc!BB49-mamiabc!BB50+mamiabc!BB53+mamiabc!BB52</f>
        <v>704.08671036069563</v>
      </c>
      <c r="BC21" s="301">
        <v>554</v>
      </c>
      <c r="BD21" s="301">
        <v>504</v>
      </c>
      <c r="BE21" s="301">
        <v>609</v>
      </c>
      <c r="BF21" s="300">
        <v>913</v>
      </c>
      <c r="BG21" s="300">
        <v>816</v>
      </c>
      <c r="BH21" s="300">
        <v>1057</v>
      </c>
      <c r="BI21" s="300">
        <v>1402</v>
      </c>
      <c r="BJ21" s="300">
        <v>1598</v>
      </c>
    </row>
    <row r="22" spans="1:72" s="300" customFormat="1">
      <c r="A22" s="300" t="s">
        <v>2373</v>
      </c>
      <c r="D22" s="300" t="s">
        <v>1579</v>
      </c>
      <c r="F22" s="508">
        <f>+mamiabc!F12</f>
        <v>2.3600000000000003E-2</v>
      </c>
      <c r="G22" s="508">
        <f>+mamiabc!G12</f>
        <v>2.52E-2</v>
      </c>
      <c r="H22" s="508">
        <f>+mamiabc!H12</f>
        <v>2.8200000762939454E-2</v>
      </c>
      <c r="I22" s="508">
        <f>+mamiabc!I12</f>
        <v>3.8599998474121093E-2</v>
      </c>
      <c r="J22" s="508">
        <f>+mamiabc!J12</f>
        <v>3.9700000762939454E-2</v>
      </c>
      <c r="K22" s="508">
        <f>+mamiabc!K12</f>
        <v>4.1099998474121095E-2</v>
      </c>
      <c r="L22" s="508">
        <f>+mamiabc!L12</f>
        <v>4.5599998474121092E-2</v>
      </c>
      <c r="M22" s="508">
        <f>+mamiabc!M12</f>
        <v>4.9099998474121095E-2</v>
      </c>
      <c r="N22" s="508">
        <f>+mamiabc!N12</f>
        <v>5.5700000762939454E-2</v>
      </c>
      <c r="O22" s="508">
        <f>+mamiabc!O12</f>
        <v>6.3400001525878907E-2</v>
      </c>
      <c r="P22" s="508">
        <f>+mamiabc!P12</f>
        <v>0.12059999847412109</v>
      </c>
      <c r="Q22" s="508">
        <f>+mamiabc!Q12</f>
        <v>0.12730000305175782</v>
      </c>
      <c r="R22" s="508">
        <f>+mamiabc!R12</f>
        <v>9.6000000000000002E-2</v>
      </c>
      <c r="S22" s="508">
        <f>+mamiabc!S12</f>
        <v>7.7699996948242187E-2</v>
      </c>
      <c r="T22" s="508">
        <f>+mamiabc!T12</f>
        <v>8.190000152587891E-2</v>
      </c>
      <c r="U22" s="508">
        <f>+mamiabc!U12</f>
        <v>6.9099998474121099E-2</v>
      </c>
      <c r="V22" s="508">
        <f>+mamiabc!V12</f>
        <v>6.9099998474121099E-2</v>
      </c>
      <c r="W22" s="508">
        <f>+mamiabc!W12</f>
        <v>7.6999999999999999E-2</v>
      </c>
      <c r="X22" s="508">
        <f>+mamiabc!X12</f>
        <v>0.09</v>
      </c>
      <c r="Y22" s="508">
        <f>+mamiabc!Y12</f>
        <v>0.115</v>
      </c>
      <c r="Z22" s="508">
        <f>+mamiabc!Z12</f>
        <v>0.20200000000000001</v>
      </c>
      <c r="AA22" s="508">
        <f>+mamiabc!AA12</f>
        <v>0.27520001220703127</v>
      </c>
      <c r="AB22" s="508">
        <f>+mamiabc!AB12</f>
        <v>0.16089999389648438</v>
      </c>
      <c r="AC22" s="508">
        <f>+mamiabc!AC12</f>
        <v>0.23910000610351562</v>
      </c>
      <c r="AD22" s="508">
        <f>+mamiabc!AD12</f>
        <v>0.21889999389648437</v>
      </c>
      <c r="AE22" s="508">
        <f>+mamiabc!AE12</f>
        <v>0.19950000000000001</v>
      </c>
      <c r="AF22" s="508">
        <f>+mamiabc!AF12</f>
        <v>0.29208999633789062</v>
      </c>
      <c r="AG22" s="508">
        <f>+mamiabc!AG12</f>
        <v>0.37942999267578126</v>
      </c>
      <c r="AH22" s="508">
        <f>+mamiabc!AH12</f>
        <v>0.32235998535156252</v>
      </c>
      <c r="AI22" s="508">
        <f>+mamiabc!AI12</f>
        <v>0.15617999267578125</v>
      </c>
      <c r="AJ22" s="508">
        <f>+mamiabc!AJ12</f>
        <v>0.11880999755859376</v>
      </c>
      <c r="AK22" s="508">
        <f>+mamiabc!AK12</f>
        <v>0.14599999999999999</v>
      </c>
      <c r="AL22" s="508">
        <f>+mamiabc!AL12</f>
        <v>0.17299999999999999</v>
      </c>
      <c r="AM22" s="508">
        <f>+mamiabc!AM12</f>
        <v>0.17299999999999999</v>
      </c>
      <c r="AN22" s="508">
        <f>+mamiabc!AN12</f>
        <v>0.22</v>
      </c>
      <c r="AO22" s="508">
        <f>+mamiabc!AO12</f>
        <v>0.22260000610351563</v>
      </c>
      <c r="AP22" s="508">
        <f>+mamiabc!AP12</f>
        <v>0.56641999999999992</v>
      </c>
      <c r="AQ22" s="508">
        <f>+mamiabc!AQ12</f>
        <v>0.71115000000000006</v>
      </c>
      <c r="AR22" s="508">
        <f>+mamiabc!AR12</f>
        <v>1.0469300000000001</v>
      </c>
      <c r="AS22" s="508">
        <f>+mamiabc!AS12</f>
        <v>2.2277999999999998</v>
      </c>
      <c r="AT22" s="508">
        <f>+mamiabc!AT12</f>
        <v>20.53877</v>
      </c>
      <c r="AU22" s="508">
        <f>+mamiabc!AU12</f>
        <v>32.773789999999998</v>
      </c>
      <c r="AV22" s="508">
        <f>+mamiabc!AV12</f>
        <v>134.96355000000003</v>
      </c>
      <c r="AW22" s="508">
        <f>+mamiabc!AW12</f>
        <v>103.71688</v>
      </c>
      <c r="AX22" s="508">
        <f>+mamiabc!AX12</f>
        <v>45.365000000000002</v>
      </c>
      <c r="AY22" s="508">
        <f>+mamiabc!AY12</f>
        <v>83.716999999999999</v>
      </c>
      <c r="AZ22" s="508">
        <f>+mamiabc!AZ12</f>
        <v>117.077</v>
      </c>
      <c r="BA22" s="508">
        <f>+mamiabc!BA12</f>
        <v>441.81900000000002</v>
      </c>
      <c r="BB22" s="508">
        <f>+mamiabc!BB12</f>
        <v>490.44200000000001</v>
      </c>
      <c r="BC22" s="301">
        <v>961</v>
      </c>
      <c r="BD22" s="301">
        <v>1259</v>
      </c>
      <c r="BE22" s="301">
        <v>1940</v>
      </c>
      <c r="BF22" s="300">
        <v>2103</v>
      </c>
      <c r="BG22" s="300">
        <v>2768</v>
      </c>
      <c r="BH22" s="300">
        <v>3757</v>
      </c>
      <c r="BI22" s="300">
        <v>3741</v>
      </c>
      <c r="BJ22" s="300">
        <v>3486</v>
      </c>
      <c r="BK22" s="300" t="s">
        <v>1344</v>
      </c>
    </row>
    <row r="23" spans="1:72" s="300" customFormat="1">
      <c r="A23" s="300" t="s">
        <v>2372</v>
      </c>
      <c r="D23" s="300" t="s">
        <v>1579</v>
      </c>
      <c r="F23" s="508">
        <f>+mamiabc!F50</f>
        <v>3.0000000000000001E-3</v>
      </c>
      <c r="G23" s="508">
        <f>+mamiabc!G50</f>
        <v>2.8E-3</v>
      </c>
      <c r="H23" s="508">
        <f>+mamiabc!H50</f>
        <v>6.5999999046325681E-3</v>
      </c>
      <c r="I23" s="508">
        <f>+mamiabc!I50</f>
        <v>8.8000001907348625E-3</v>
      </c>
      <c r="J23" s="508">
        <f>+mamiabc!J50</f>
        <v>9.6999998092651366E-3</v>
      </c>
      <c r="K23" s="508">
        <f>+mamiabc!K50</f>
        <v>1.3600000381469727E-2</v>
      </c>
      <c r="L23" s="508">
        <f>+mamiabc!L50</f>
        <v>2.0299999237060547E-2</v>
      </c>
      <c r="M23" s="508">
        <f>+mamiabc!M50</f>
        <v>1.7799999237060545E-2</v>
      </c>
      <c r="N23" s="508">
        <f>+mamiabc!N50</f>
        <v>1.4999999999999999E-2</v>
      </c>
      <c r="O23" s="508">
        <f>+mamiabc!O50</f>
        <v>1.3899999618530274E-2</v>
      </c>
      <c r="P23" s="508">
        <f>+mamiabc!P50</f>
        <v>1.4E-2</v>
      </c>
      <c r="Q23" s="508">
        <f>+mamiabc!Q50</f>
        <v>1.6100000381469727E-2</v>
      </c>
      <c r="R23" s="508">
        <f>+mamiabc!R50</f>
        <v>2.1799999237060545E-2</v>
      </c>
      <c r="S23" s="508">
        <f>+mamiabc!S50</f>
        <v>2.4500000000000001E-2</v>
      </c>
      <c r="T23" s="508">
        <f>+mamiabc!T50</f>
        <v>1.8799999237060546E-2</v>
      </c>
      <c r="U23" s="508">
        <f>+mamiabc!U50</f>
        <v>2.4299999237060547E-2</v>
      </c>
      <c r="V23" s="508">
        <f>+mamiabc!V50</f>
        <v>3.15E-2</v>
      </c>
      <c r="W23" s="508">
        <f>+mamiabc!W50</f>
        <v>2.8399999618530274E-2</v>
      </c>
      <c r="X23" s="508">
        <f>+mamiabc!X50</f>
        <v>4.0900001525878908E-2</v>
      </c>
      <c r="Y23" s="508">
        <f>+mamiabc!Y50</f>
        <v>4.1400001525878909E-2</v>
      </c>
      <c r="Z23" s="508">
        <f>+mamiabc!Z50</f>
        <v>4.3299999237060544E-2</v>
      </c>
      <c r="AA23" s="508">
        <f>+mamiabc!AA50</f>
        <v>7.3410003662109369E-2</v>
      </c>
      <c r="AB23" s="508">
        <f>+mamiabc!AB50</f>
        <v>0.12026000213623046</v>
      </c>
      <c r="AC23" s="508">
        <f>+mamiabc!AC50</f>
        <v>0.13771000671386718</v>
      </c>
      <c r="AD23" s="508">
        <f>+mamiabc!AD50</f>
        <v>0.13914999389648439</v>
      </c>
      <c r="AE23" s="508">
        <f>+mamiabc!AE50</f>
        <v>0.13571000671386718</v>
      </c>
      <c r="AF23" s="508">
        <f>+mamiabc!AF50</f>
        <v>0.12849000549316406</v>
      </c>
      <c r="AG23" s="508">
        <f>+mamiabc!AG50</f>
        <v>0.17553999328613282</v>
      </c>
      <c r="AH23" s="508">
        <f>+mamiabc!AH50</f>
        <v>0.18494000244140624</v>
      </c>
      <c r="AI23" s="508">
        <f>+mamiabc!AI50</f>
        <v>0.11944999694824218</v>
      </c>
      <c r="AJ23" s="508">
        <f>+mamiabc!AJ50</f>
        <v>8.50999984741211E-2</v>
      </c>
      <c r="AK23" s="508">
        <f>+mamiabc!AK50</f>
        <v>5.5889999389648434E-2</v>
      </c>
      <c r="AL23" s="508">
        <f>+mamiabc!AL50</f>
        <v>4.0840000152587888E-2</v>
      </c>
      <c r="AM23" s="508">
        <f>+mamiabc!AM50</f>
        <v>4.2999999999999997E-2</v>
      </c>
      <c r="AN23" s="508">
        <f>+mamiabc!AN50</f>
        <v>2.7E-2</v>
      </c>
      <c r="AO23" s="508">
        <f>+mamiabc!AO50</f>
        <v>0.08</v>
      </c>
      <c r="AP23" s="508">
        <f>+mamiabc!AP50</f>
        <v>9.3859999999999999E-2</v>
      </c>
      <c r="AQ23" s="508">
        <f>+mamiabc!AQ50</f>
        <v>0.11756</v>
      </c>
      <c r="AR23" s="508">
        <f>+mamiabc!AR50</f>
        <v>0.11655</v>
      </c>
      <c r="AS23" s="508">
        <f>+mamiabc!AS50</f>
        <v>0.39944000000000002</v>
      </c>
      <c r="AT23" s="508">
        <f>+mamiabc!AT50</f>
        <v>7.1788599999999994</v>
      </c>
      <c r="AU23" s="508">
        <f>+mamiabc!AU50</f>
        <v>85.748589999999993</v>
      </c>
      <c r="AV23" s="508">
        <f>+mamiabc!AV50</f>
        <v>48.477849999999997</v>
      </c>
      <c r="AW23" s="508">
        <f>+mamiabc!AW50</f>
        <v>53.651620000000001</v>
      </c>
      <c r="AX23" s="508">
        <f>+mamiabc!AX50</f>
        <v>49.128999999999998</v>
      </c>
      <c r="AY23" s="508">
        <f>+mamiabc!AY50</f>
        <v>43.383000000000003</v>
      </c>
      <c r="AZ23" s="508">
        <f>+mamiabc!AZ50</f>
        <v>27.5</v>
      </c>
      <c r="BA23" s="508">
        <f>+mamiabc!BA50</f>
        <v>39.198</v>
      </c>
      <c r="BB23" s="508">
        <f>+mamiabc!BB50</f>
        <v>67.953000000000003</v>
      </c>
      <c r="BC23" s="301">
        <v>140</v>
      </c>
      <c r="BD23" s="301">
        <v>208</v>
      </c>
      <c r="BE23" s="301">
        <v>219</v>
      </c>
      <c r="BF23" s="300">
        <v>637</v>
      </c>
      <c r="BG23" s="300">
        <v>642</v>
      </c>
      <c r="BH23" s="300">
        <v>652</v>
      </c>
      <c r="BI23" s="300">
        <v>1268</v>
      </c>
      <c r="BJ23" s="300">
        <v>1018</v>
      </c>
    </row>
    <row r="24" spans="1:72" s="300" customFormat="1">
      <c r="A24" s="300" t="s">
        <v>2371</v>
      </c>
      <c r="D24" s="300" t="s">
        <v>1579</v>
      </c>
      <c r="BC24" s="301">
        <v>26</v>
      </c>
      <c r="BD24" s="301">
        <v>-259</v>
      </c>
      <c r="BE24" s="301">
        <v>37</v>
      </c>
      <c r="BF24" s="300">
        <v>154</v>
      </c>
      <c r="BG24" s="300">
        <v>313</v>
      </c>
      <c r="BH24" s="300">
        <v>-112</v>
      </c>
      <c r="BI24" s="300">
        <v>331</v>
      </c>
      <c r="BJ24" s="300">
        <v>-160</v>
      </c>
    </row>
    <row r="25" spans="1:72" s="300" customFormat="1">
      <c r="A25" s="300" t="s">
        <v>2370</v>
      </c>
      <c r="D25" s="300" t="s">
        <v>1579</v>
      </c>
      <c r="F25" s="508">
        <f>+mamiabc!F19</f>
        <v>6.2299999999999994E-2</v>
      </c>
      <c r="G25" s="508">
        <f>+mamiabc!G19</f>
        <v>5.7500000000000002E-2</v>
      </c>
      <c r="H25" s="508">
        <f>+mamiabc!H19</f>
        <v>6.9500000000000006E-2</v>
      </c>
      <c r="I25" s="508">
        <f>+mamiabc!I19</f>
        <v>7.8E-2</v>
      </c>
      <c r="J25" s="508">
        <f>+mamiabc!J19</f>
        <v>7.3099998474121089E-2</v>
      </c>
      <c r="K25" s="508">
        <f>+mamiabc!K19</f>
        <v>0.09</v>
      </c>
      <c r="L25" s="508">
        <f>+mamiabc!L19</f>
        <v>9.8099998474121097E-2</v>
      </c>
      <c r="M25" s="508">
        <f>+mamiabc!M19</f>
        <v>9.4400001525878907E-2</v>
      </c>
      <c r="N25" s="508">
        <f>+mamiabc!N19</f>
        <v>9.5300003051757814E-2</v>
      </c>
      <c r="O25" s="508">
        <f>+mamiabc!O19</f>
        <v>0.1045</v>
      </c>
      <c r="P25" s="508">
        <f>+mamiabc!P19</f>
        <v>0.10880000305175781</v>
      </c>
      <c r="Q25" s="508">
        <f>+mamiabc!Q19</f>
        <v>0.13219999694824219</v>
      </c>
      <c r="R25" s="508">
        <f>+mamiabc!R19</f>
        <v>0.19550000000000001</v>
      </c>
      <c r="S25" s="508">
        <f>+mamiabc!S19</f>
        <v>0.22380000305175782</v>
      </c>
      <c r="T25" s="508">
        <f>+mamiabc!T19</f>
        <v>0.24519999694824218</v>
      </c>
      <c r="U25" s="508">
        <f>+mamiabc!U19</f>
        <v>0.27970001220703122</v>
      </c>
      <c r="V25" s="508">
        <f>+mamiabc!V19</f>
        <v>0.29360000610351561</v>
      </c>
      <c r="W25" s="508">
        <f>+mamiabc!W19</f>
        <v>0.34010000610351565</v>
      </c>
      <c r="X25" s="508">
        <f>+mamiabc!X19</f>
        <v>0.36420001220703124</v>
      </c>
      <c r="Y25" s="508">
        <f>+mamiabc!Y19</f>
        <v>0.36049999999999999</v>
      </c>
      <c r="Z25" s="508">
        <f>+mamiabc!Z19</f>
        <v>0.54340002441406254</v>
      </c>
      <c r="AA25" s="508">
        <f>+mamiabc!AA19</f>
        <v>0.57770001220703127</v>
      </c>
      <c r="AB25" s="508">
        <f>+mamiabc!AB19</f>
        <v>0.61790002441406255</v>
      </c>
      <c r="AC25" s="508">
        <f>+mamiabc!AC19</f>
        <v>0.70720001220703121</v>
      </c>
      <c r="AD25" s="508">
        <f>+mamiabc!AD19</f>
        <v>0.81359997558593755</v>
      </c>
      <c r="AE25" s="508">
        <f>+mamiabc!AE19</f>
        <v>0.91670001220703123</v>
      </c>
      <c r="AF25" s="508">
        <f>+mamiabc!AF19</f>
        <v>1.094199951171875</v>
      </c>
      <c r="AG25" s="508">
        <f>+mamiabc!AG19</f>
        <v>1.0097999877929686</v>
      </c>
      <c r="AH25" s="508">
        <f>+mamiabc!AH19</f>
        <v>0.90949999999999998</v>
      </c>
      <c r="AI25" s="508">
        <f>+mamiabc!AI19</f>
        <v>0.77429998779296871</v>
      </c>
      <c r="AJ25" s="508">
        <f>+mamiabc!AJ19</f>
        <v>0.7605999755859375</v>
      </c>
      <c r="AK25" s="508">
        <f>+mamiabc!AK19</f>
        <v>0.67140002441406255</v>
      </c>
      <c r="AL25" s="508">
        <f>+mamiabc!AL19</f>
        <v>0.63870001220703121</v>
      </c>
      <c r="AM25" s="508">
        <f>+mamiabc!AM19</f>
        <v>0.6932000122070312</v>
      </c>
      <c r="AN25" s="508">
        <f>+mamiabc!AN19</f>
        <v>0.77120001220703127</v>
      </c>
      <c r="AO25" s="508">
        <f>+mamiabc!AO19</f>
        <v>1.0049999999999999</v>
      </c>
      <c r="AP25" s="508">
        <f>+mamiabc!AP19</f>
        <v>0.86860000000000004</v>
      </c>
      <c r="AQ25" s="508">
        <f>+mamiabc!AQ19</f>
        <v>0.6573</v>
      </c>
      <c r="AR25" s="508">
        <f>+mamiabc!AR19</f>
        <v>0.64910000000000001</v>
      </c>
      <c r="AS25" s="508">
        <f>+mamiabc!AS19</f>
        <v>14.860100000000001</v>
      </c>
      <c r="AT25" s="508">
        <f>+mamiabc!AT19</f>
        <v>75.662499999999994</v>
      </c>
      <c r="AU25" s="508">
        <f>+mamiabc!AU19</f>
        <v>229.46979999999999</v>
      </c>
      <c r="AV25" s="508">
        <f>+mamiabc!AV19</f>
        <v>193.32489999999999</v>
      </c>
      <c r="AW25" s="508">
        <f>+mamiabc!AW19</f>
        <v>195.34870000000001</v>
      </c>
      <c r="AX25" s="508">
        <f>+mamiabc!AX19</f>
        <v>167.04259999999999</v>
      </c>
      <c r="AY25" s="508">
        <f>+mamiabc!AY19</f>
        <v>364.19880000000001</v>
      </c>
      <c r="AZ25" s="508">
        <f>+mamiabc!AZ19</f>
        <v>641.01930000000004</v>
      </c>
      <c r="BA25" s="508">
        <f>+mamiabc!BA19</f>
        <v>1073.796</v>
      </c>
      <c r="BB25" s="508">
        <f>+mamiabc!BB19</f>
        <v>940.54</v>
      </c>
      <c r="BC25" s="301">
        <v>1561</v>
      </c>
      <c r="BD25" s="301">
        <v>2644</v>
      </c>
      <c r="BE25" s="301">
        <v>3164</v>
      </c>
      <c r="BF25" s="300">
        <v>3801</v>
      </c>
      <c r="BG25" s="300">
        <v>4363</v>
      </c>
      <c r="BH25" s="300">
        <v>5519</v>
      </c>
      <c r="BI25" s="300">
        <v>4694</v>
      </c>
      <c r="BJ25" s="300">
        <v>6302</v>
      </c>
    </row>
    <row r="26" spans="1:72">
      <c r="A26" s="300" t="s">
        <v>2369</v>
      </c>
      <c r="D26" s="300" t="s">
        <v>1579</v>
      </c>
      <c r="F26" s="508">
        <f>+mamiabc!F25+mamiabc!F26+mamiabc!F27</f>
        <v>5.6799999999999996E-2</v>
      </c>
      <c r="G26" s="508">
        <f>+mamiabc!G25+mamiabc!G26+mamiabc!G27</f>
        <v>5.6399999999999992E-2</v>
      </c>
      <c r="H26" s="508">
        <f>+mamiabc!H25+mamiabc!H26+mamiabc!H27</f>
        <v>6.95999984741211E-2</v>
      </c>
      <c r="I26" s="508">
        <f>+mamiabc!I25+mamiabc!I26+mamiabc!I27</f>
        <v>8.0999998450279234E-2</v>
      </c>
      <c r="J26" s="508">
        <f>+mamiabc!J25+mamiabc!J26+mamiabc!J27</f>
        <v>7.9400000095367435E-2</v>
      </c>
      <c r="K26" s="508">
        <f>+mamiabc!K25+mamiabc!K26+mamiabc!K27</f>
        <v>9.719999694824219E-2</v>
      </c>
      <c r="L26" s="508">
        <f>+mamiabc!L25+mamiabc!L26+mamiabc!L27</f>
        <v>0.11380000162124634</v>
      </c>
      <c r="M26" s="508">
        <f>+mamiabc!M25+mamiabc!M26+mamiabc!M27</f>
        <v>0.11470000314712524</v>
      </c>
      <c r="N26" s="508">
        <f>+mamiabc!N25+mamiabc!N26+mamiabc!N27</f>
        <v>0.11780000281333923</v>
      </c>
      <c r="O26" s="508">
        <f>+mamiabc!O25+mamiabc!O26+mamiabc!O27</f>
        <v>0.12760000133514404</v>
      </c>
      <c r="P26" s="508">
        <f>+mamiabc!P25+mamiabc!P26+mamiabc!P27</f>
        <v>0.17300000619888306</v>
      </c>
      <c r="Q26" s="508">
        <f>+mamiabc!Q25+mamiabc!Q26+mamiabc!Q27</f>
        <v>0.19889999377727507</v>
      </c>
      <c r="R26" s="508">
        <f>+mamiabc!R25+mamiabc!R26+mamiabc!R27</f>
        <v>0.19780000281333923</v>
      </c>
      <c r="S26" s="508">
        <f>+mamiabc!S25+mamiabc!S26+mamiabc!S27</f>
        <v>0.22190000009536742</v>
      </c>
      <c r="T26" s="508">
        <f>+mamiabc!T25+mamiabc!T26+mamiabc!T27</f>
        <v>0.22050000596046448</v>
      </c>
      <c r="U26" s="508">
        <f>+mamiabc!U25+mamiabc!U26+mamiabc!U27</f>
        <v>0.24439999675750734</v>
      </c>
      <c r="V26" s="508">
        <f>+mamiabc!V25+mamiabc!V26+mamiabc!V27</f>
        <v>0.26240000653266909</v>
      </c>
      <c r="W26" s="508">
        <f>+mamiabc!W25+mamiabc!W26+mamiabc!W27</f>
        <v>0.28889999341964723</v>
      </c>
      <c r="X26" s="508">
        <f>+mamiabc!X25+mamiabc!X26+mamiabc!X27</f>
        <v>0.31680001163482663</v>
      </c>
      <c r="Y26" s="508">
        <f>+mamiabc!Y25+mamiabc!Y26+mamiabc!Y27</f>
        <v>0.34900001287460325</v>
      </c>
      <c r="Z26" s="508">
        <f>+mamiabc!Z25+mamiabc!Z26+mamiabc!Z27</f>
        <v>0.53560000467300417</v>
      </c>
      <c r="AA26" s="508">
        <f>+mamiabc!AA25+mamiabc!AA26+mamiabc!AA27</f>
        <v>0.61689997386932371</v>
      </c>
      <c r="AB26" s="508">
        <f>+mamiabc!AB25+mamiabc!AB26+mamiabc!AB27</f>
        <v>0.6400000247955322</v>
      </c>
      <c r="AC26" s="508">
        <f>+mamiabc!AC25+mamiabc!AC26+mamiabc!AC27</f>
        <v>0.86169997596740733</v>
      </c>
      <c r="AD26" s="508">
        <f>+mamiabc!AD25+mamiabc!AD26+mamiabc!AD27</f>
        <v>0.89069997596740724</v>
      </c>
      <c r="AE26" s="508">
        <f>+mamiabc!AE25+mamiabc!AE26+mamiabc!AE27</f>
        <v>0.92690002632141111</v>
      </c>
      <c r="AF26" s="508">
        <f>+mamiabc!AF25+mamiabc!AF26+mamiabc!AF27</f>
        <v>1.2042000007629392</v>
      </c>
      <c r="AG26" s="508">
        <f>+mamiabc!AG25+mamiabc!AG26+mamiabc!AG27</f>
        <v>1.2551999759674073</v>
      </c>
      <c r="AH26" s="508">
        <f>+mamiabc!AH25+mamiabc!AH26+mamiabc!AH27</f>
        <v>1.2042999534606933</v>
      </c>
      <c r="AI26" s="508">
        <f>+mamiabc!AI25+mamiabc!AI26+mamiabc!AI27</f>
        <v>1.0149999866485595</v>
      </c>
      <c r="AJ26" s="508">
        <f>+mamiabc!AJ25+mamiabc!AJ26+mamiabc!AJ27</f>
        <v>0.90680001258850096</v>
      </c>
      <c r="AK26" s="508">
        <f>+mamiabc!AK25+mamiabc!AK26+mamiabc!AK27</f>
        <v>0.79350001144409177</v>
      </c>
      <c r="AL26" s="508">
        <f>+mamiabc!AL25+mamiabc!AL26+mamiabc!AL27</f>
        <v>0.87589999961853027</v>
      </c>
      <c r="AM26" s="508">
        <f>+mamiabc!AM25+mamiabc!AM26+mamiabc!AM27</f>
        <v>1.1529999990463258</v>
      </c>
      <c r="AN26" s="508">
        <f>+mamiabc!AN25+mamiabc!AN26+mamiabc!AN27</f>
        <v>1.4319999999999997</v>
      </c>
      <c r="AO26" s="508">
        <f>+mamiabc!AO25+mamiabc!AO26+mamiabc!AO27</f>
        <v>2.1441000003814694</v>
      </c>
      <c r="AP26" s="508">
        <f>+mamiabc!AP25+mamiabc!AP26+mamiabc!AP27</f>
        <v>2.7993999999999999</v>
      </c>
      <c r="AQ26" s="508">
        <f>+mamiabc!AQ25+mamiabc!AQ26+mamiabc!AQ27</f>
        <v>4.0228999999999999</v>
      </c>
      <c r="AR26" s="508">
        <f>+mamiabc!AR25+mamiabc!AR26+mamiabc!AR27</f>
        <v>5.4316000000000004</v>
      </c>
      <c r="AS26" s="508">
        <f>+mamiabc!AS25+mamiabc!AS26+mamiabc!AS27</f>
        <v>19.848099999999999</v>
      </c>
      <c r="AT26" s="508">
        <f>+mamiabc!AT25+mamiabc!AT26+mamiabc!AT27</f>
        <v>91.422399999999996</v>
      </c>
      <c r="AU26" s="508">
        <f>+mamiabc!AU25+mamiabc!AU26+mamiabc!AU27</f>
        <v>260.38712750000002</v>
      </c>
      <c r="AV26" s="508">
        <f>+mamiabc!AV25+mamiabc!AV26+mamiabc!AV27</f>
        <v>279.41494750000004</v>
      </c>
      <c r="AW26" s="508">
        <f>+mamiabc!AW25+mamiabc!AW26+mamiabc!AW27</f>
        <v>246.58520000000001</v>
      </c>
      <c r="AX26" s="508">
        <f>+mamiabc!AX25+mamiabc!AX26+mamiabc!AX27</f>
        <v>227.2311</v>
      </c>
      <c r="AY26" s="508">
        <f>+mamiabc!AY25+mamiabc!AY26+mamiabc!AY27</f>
        <v>412.52740000000006</v>
      </c>
      <c r="AZ26" s="508">
        <f>+mamiabc!AZ25+mamiabc!AZ26+mamiabc!AZ27</f>
        <v>650.26</v>
      </c>
      <c r="BA26" s="508">
        <f>+mamiabc!BA25+mamiabc!BA26+mamiabc!BA27</f>
        <v>1105.54</v>
      </c>
      <c r="BB26" s="508">
        <f>+mamiabc!BB25+mamiabc!BB26+mamiabc!BB27</f>
        <v>1193.5543</v>
      </c>
      <c r="BC26" s="301">
        <v>2061</v>
      </c>
      <c r="BD26" s="301">
        <v>2812</v>
      </c>
      <c r="BE26" s="301">
        <v>3945</v>
      </c>
      <c r="BF26" s="300">
        <v>3273</v>
      </c>
      <c r="BG26" s="300">
        <v>3809</v>
      </c>
      <c r="BH26" s="300">
        <v>5068</v>
      </c>
      <c r="BI26" s="300">
        <v>4659</v>
      </c>
      <c r="BJ26" s="300">
        <v>4607</v>
      </c>
    </row>
    <row r="27" spans="1:72" s="300" customFormat="1">
      <c r="A27" s="300" t="s">
        <v>1961</v>
      </c>
      <c r="B27" s="302"/>
      <c r="C27" s="302"/>
      <c r="D27" s="300" t="s">
        <v>1579</v>
      </c>
      <c r="E27" s="302" t="s">
        <v>1962</v>
      </c>
      <c r="F27" s="520">
        <f>+F20+F21+F22+F23+F24+F25-F26</f>
        <v>0.12709999999999999</v>
      </c>
      <c r="G27" s="520">
        <f t="shared" ref="G27:BJ27" si="2">+G20+G21+G22+G23+G24+G25-G26</f>
        <v>0.13657316622734067</v>
      </c>
      <c r="H27" s="520">
        <f t="shared" si="2"/>
        <v>0.1444114497900009</v>
      </c>
      <c r="I27" s="308">
        <f t="shared" si="2"/>
        <v>0.16539570069313053</v>
      </c>
      <c r="J27" s="308">
        <f t="shared" si="2"/>
        <v>0.18407788574695585</v>
      </c>
      <c r="K27" s="308">
        <f t="shared" si="2"/>
        <v>0.19517496991157532</v>
      </c>
      <c r="L27" s="308">
        <f t="shared" si="2"/>
        <v>0.21036540293693543</v>
      </c>
      <c r="M27" s="308">
        <f t="shared" si="2"/>
        <v>0.21726046133041377</v>
      </c>
      <c r="N27" s="308">
        <f t="shared" si="2"/>
        <v>0.23368892860412593</v>
      </c>
      <c r="O27" s="308">
        <f t="shared" si="2"/>
        <v>0.24305860042572019</v>
      </c>
      <c r="P27" s="308">
        <f t="shared" si="2"/>
        <v>0.29359565973281859</v>
      </c>
      <c r="Q27" s="308">
        <f t="shared" si="2"/>
        <v>0.33249382197856914</v>
      </c>
      <c r="R27" s="308">
        <f t="shared" si="2"/>
        <v>0.43792858624458308</v>
      </c>
      <c r="S27" s="308">
        <f t="shared" si="2"/>
        <v>0.44819589900970475</v>
      </c>
      <c r="T27" s="308">
        <f t="shared" si="2"/>
        <v>0.49140856933593757</v>
      </c>
      <c r="U27" s="308">
        <f t="shared" si="2"/>
        <v>0.51553452968597402</v>
      </c>
      <c r="V27" s="308">
        <f t="shared" si="2"/>
        <v>0.52259008097648607</v>
      </c>
      <c r="W27" s="308">
        <f t="shared" si="2"/>
        <v>0.58576190829277031</v>
      </c>
      <c r="X27" s="308">
        <f t="shared" si="2"/>
        <v>0.64448434102535246</v>
      </c>
      <c r="Y27" s="308">
        <f t="shared" si="2"/>
        <v>0.65798348164558418</v>
      </c>
      <c r="Z27" s="308">
        <f t="shared" si="2"/>
        <v>0.83702899169921874</v>
      </c>
      <c r="AA27" s="308">
        <f t="shared" si="2"/>
        <v>1.0186800538301468</v>
      </c>
      <c r="AB27" s="308">
        <f t="shared" si="2"/>
        <v>1.1971899106502535</v>
      </c>
      <c r="AC27" s="308">
        <f t="shared" si="2"/>
        <v>1.3771000943183898</v>
      </c>
      <c r="AD27" s="308">
        <f t="shared" si="2"/>
        <v>1.5295000164508818</v>
      </c>
      <c r="AE27" s="308">
        <f t="shared" si="2"/>
        <v>1.5733983278274537</v>
      </c>
      <c r="AF27" s="308">
        <f t="shared" si="2"/>
        <v>1.6711089916229254</v>
      </c>
      <c r="AG27" s="308">
        <f t="shared" si="2"/>
        <v>1.858839670419693</v>
      </c>
      <c r="AH27" s="308">
        <f t="shared" si="2"/>
        <v>1.9002204010486596</v>
      </c>
      <c r="AI27" s="308">
        <f t="shared" si="2"/>
        <v>1.7371351017951964</v>
      </c>
      <c r="AJ27" s="308">
        <f t="shared" si="2"/>
        <v>1.6456497011184692</v>
      </c>
      <c r="AK27" s="308">
        <f t="shared" si="2"/>
        <v>1.8082439169883733</v>
      </c>
      <c r="AL27" s="308">
        <f t="shared" si="2"/>
        <v>2.1812000007629391</v>
      </c>
      <c r="AM27" s="308">
        <f t="shared" si="2"/>
        <v>2.409749951839447</v>
      </c>
      <c r="AN27" s="308">
        <f t="shared" si="2"/>
        <v>3.233300005435944</v>
      </c>
      <c r="AO27" s="308">
        <f t="shared" si="2"/>
        <v>3.9837500057220452</v>
      </c>
      <c r="AP27" s="308">
        <f t="shared" si="2"/>
        <v>5.1435899999999997</v>
      </c>
      <c r="AQ27" s="308">
        <f t="shared" si="2"/>
        <v>6.3685600000000004</v>
      </c>
      <c r="AR27" s="308">
        <f t="shared" si="2"/>
        <v>10.49682</v>
      </c>
      <c r="AS27" s="308">
        <f t="shared" si="2"/>
        <v>28.687850000000022</v>
      </c>
      <c r="AT27" s="308">
        <f t="shared" si="2"/>
        <v>114.83676750000008</v>
      </c>
      <c r="AU27" s="308">
        <f t="shared" si="2"/>
        <v>275.86796000000004</v>
      </c>
      <c r="AV27" s="308">
        <f t="shared" si="2"/>
        <v>345.44932049999989</v>
      </c>
      <c r="AW27" s="308">
        <f t="shared" si="2"/>
        <v>452.52389601600009</v>
      </c>
      <c r="AX27" s="308">
        <f t="shared" si="2"/>
        <v>678.08725906099187</v>
      </c>
      <c r="AY27" s="308">
        <f t="shared" si="2"/>
        <v>862.87786644912455</v>
      </c>
      <c r="AZ27" s="308">
        <f t="shared" si="2"/>
        <v>1221.1199856401656</v>
      </c>
      <c r="BA27" s="308">
        <f t="shared" si="2"/>
        <v>2509.9763515319355</v>
      </c>
      <c r="BB27" s="308">
        <f t="shared" ca="1" si="2"/>
        <v>3225.2160457621158</v>
      </c>
      <c r="BC27" s="308">
        <f t="shared" si="2"/>
        <v>3314</v>
      </c>
      <c r="BD27" s="308">
        <f t="shared" si="2"/>
        <v>4036</v>
      </c>
      <c r="BE27" s="308">
        <f t="shared" si="2"/>
        <v>4875</v>
      </c>
      <c r="BF27" s="308">
        <f t="shared" si="2"/>
        <v>7205</v>
      </c>
      <c r="BG27" s="308">
        <f t="shared" si="2"/>
        <v>8061</v>
      </c>
      <c r="BH27" s="308">
        <f t="shared" si="2"/>
        <v>9698</v>
      </c>
      <c r="BI27" s="308">
        <f t="shared" si="2"/>
        <v>10684</v>
      </c>
      <c r="BJ27" s="308">
        <f t="shared" si="2"/>
        <v>11945</v>
      </c>
    </row>
    <row r="28" spans="1:72" s="300" customFormat="1"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7"/>
      <c r="AU28" s="397"/>
      <c r="AV28" s="397"/>
      <c r="AW28" s="397"/>
      <c r="AX28" s="397"/>
      <c r="AY28" s="397"/>
      <c r="AZ28" s="397"/>
      <c r="BA28" s="397"/>
      <c r="BB28" s="397"/>
    </row>
    <row r="29" spans="1:72" s="274" customFormat="1">
      <c r="A29" s="304" t="s">
        <v>1964</v>
      </c>
      <c r="D29" s="304" t="s">
        <v>1579</v>
      </c>
      <c r="E29" s="94" t="s">
        <v>1691</v>
      </c>
      <c r="F29" s="531">
        <f>1.19*F27</f>
        <v>0.15124899999999999</v>
      </c>
      <c r="G29" s="531">
        <f>1.19*G27</f>
        <v>0.16252206781053538</v>
      </c>
      <c r="H29" s="531">
        <f>1.19*H27</f>
        <v>0.17184962525010106</v>
      </c>
      <c r="I29" s="532">
        <f t="shared" ref="I29:AN29" si="3">1.19*I32</f>
        <v>0.19039999999999999</v>
      </c>
      <c r="J29" s="532">
        <f t="shared" si="3"/>
        <v>0.19397</v>
      </c>
      <c r="K29" s="532">
        <f t="shared" si="3"/>
        <v>0.21538999999999997</v>
      </c>
      <c r="L29" s="532">
        <f t="shared" si="3"/>
        <v>0.23680999999999999</v>
      </c>
      <c r="M29" s="532">
        <f t="shared" si="3"/>
        <v>0.25584999999999997</v>
      </c>
      <c r="N29" s="532">
        <f t="shared" si="3"/>
        <v>0.27607999999999999</v>
      </c>
      <c r="O29" s="532">
        <f t="shared" si="3"/>
        <v>0.29987999999999998</v>
      </c>
      <c r="P29" s="532">
        <f t="shared" si="3"/>
        <v>0.32011000000000001</v>
      </c>
      <c r="Q29" s="532">
        <f t="shared" si="3"/>
        <v>0.36770999999999998</v>
      </c>
      <c r="R29" s="532">
        <f t="shared" si="3"/>
        <v>0.45338999999999996</v>
      </c>
      <c r="S29" s="532">
        <f t="shared" si="3"/>
        <v>0.52478999999999998</v>
      </c>
      <c r="T29" s="532">
        <f t="shared" si="3"/>
        <v>0.57477</v>
      </c>
      <c r="U29" s="532">
        <f t="shared" si="3"/>
        <v>0.61760999999999999</v>
      </c>
      <c r="V29" s="532">
        <f t="shared" si="3"/>
        <v>0.65449999999999997</v>
      </c>
      <c r="W29" s="532">
        <f t="shared" si="3"/>
        <v>0.71637999999999991</v>
      </c>
      <c r="X29" s="532">
        <f t="shared" si="3"/>
        <v>0.74256</v>
      </c>
      <c r="Y29" s="532">
        <f t="shared" si="3"/>
        <v>0.80801000000000001</v>
      </c>
      <c r="Z29" s="532">
        <f t="shared" si="3"/>
        <v>0.97579999999999989</v>
      </c>
      <c r="AA29" s="532">
        <f t="shared" si="3"/>
        <v>1.10789</v>
      </c>
      <c r="AB29" s="532">
        <f t="shared" si="3"/>
        <v>1.2030899999999998</v>
      </c>
      <c r="AC29" s="532">
        <f t="shared" si="3"/>
        <v>1.5267699999999997</v>
      </c>
      <c r="AD29" s="532">
        <f t="shared" si="3"/>
        <v>1.7504900000000001</v>
      </c>
      <c r="AE29" s="532">
        <f t="shared" si="3"/>
        <v>1.8623499999999999</v>
      </c>
      <c r="AF29" s="532">
        <f t="shared" si="3"/>
        <v>1.8921000000000001</v>
      </c>
      <c r="AG29" s="532">
        <f t="shared" si="3"/>
        <v>2.1158199999999998</v>
      </c>
      <c r="AH29" s="532">
        <f t="shared" si="3"/>
        <v>2.1777000000000002</v>
      </c>
      <c r="AI29" s="532">
        <f t="shared" si="3"/>
        <v>2.1027299999999998</v>
      </c>
      <c r="AJ29" s="532">
        <f t="shared" si="3"/>
        <v>2.1205799999999999</v>
      </c>
      <c r="AK29" s="532">
        <f t="shared" si="3"/>
        <v>2.0777399999999999</v>
      </c>
      <c r="AL29" s="532">
        <f t="shared" si="3"/>
        <v>2.1205799999999999</v>
      </c>
      <c r="AM29" s="532">
        <f t="shared" si="3"/>
        <v>2.3323999999999998</v>
      </c>
      <c r="AN29" s="532">
        <f t="shared" si="3"/>
        <v>2.7631799999999997</v>
      </c>
      <c r="AO29" s="532">
        <f>1.19*AO32</f>
        <v>3.2284699999999997</v>
      </c>
      <c r="AP29" s="533">
        <f>+AP30</f>
        <v>3.8839999999999999</v>
      </c>
      <c r="AQ29" s="534">
        <f t="shared" ref="AQ29:BJ29" si="4">+AQ30</f>
        <v>4.4809999999999999</v>
      </c>
      <c r="AR29" s="534">
        <f t="shared" si="4"/>
        <v>6.069</v>
      </c>
      <c r="AS29" s="534">
        <f t="shared" si="4"/>
        <v>14.577999999999999</v>
      </c>
      <c r="AT29" s="534">
        <f t="shared" si="4"/>
        <v>81.135999999999996</v>
      </c>
      <c r="AU29" s="534">
        <f t="shared" si="4"/>
        <v>305.68299999999999</v>
      </c>
      <c r="AV29" s="534">
        <f t="shared" si="4"/>
        <v>345.42599999999999</v>
      </c>
      <c r="AW29" s="534">
        <f t="shared" si="4"/>
        <v>370.56900000000002</v>
      </c>
      <c r="AX29" s="534">
        <f t="shared" si="4"/>
        <v>444.34</v>
      </c>
      <c r="AY29" s="534">
        <f t="shared" si="4"/>
        <v>762.21</v>
      </c>
      <c r="AZ29" s="534">
        <f t="shared" si="4"/>
        <v>1250.9269999999999</v>
      </c>
      <c r="BA29" s="534">
        <f t="shared" si="4"/>
        <v>1818.729</v>
      </c>
      <c r="BB29" s="534">
        <f t="shared" si="4"/>
        <v>2569.9</v>
      </c>
      <c r="BC29" s="534">
        <f t="shared" si="4"/>
        <v>3314.1689999999999</v>
      </c>
      <c r="BD29" s="534">
        <f t="shared" si="4"/>
        <v>4057.5</v>
      </c>
      <c r="BE29" s="534">
        <f t="shared" si="4"/>
        <v>4899</v>
      </c>
      <c r="BF29" s="534">
        <f t="shared" si="4"/>
        <v>7206.3</v>
      </c>
      <c r="BG29" s="534">
        <f t="shared" si="4"/>
        <v>8060.5</v>
      </c>
      <c r="BH29" s="534">
        <f t="shared" si="4"/>
        <v>9698.1</v>
      </c>
      <c r="BI29" s="534">
        <f t="shared" si="4"/>
        <v>10638.4</v>
      </c>
      <c r="BJ29" s="534">
        <f t="shared" si="4"/>
        <v>11988.7</v>
      </c>
      <c r="BK29" s="535">
        <f t="shared" ref="BK29:BT29" si="5">+BK92</f>
        <v>14452</v>
      </c>
      <c r="BL29" s="535">
        <f t="shared" si="5"/>
        <v>16434</v>
      </c>
      <c r="BM29" s="535">
        <f t="shared" si="5"/>
        <v>16981</v>
      </c>
      <c r="BN29" s="724">
        <f t="shared" si="5"/>
        <v>17294</v>
      </c>
      <c r="BO29" s="724">
        <f t="shared" si="5"/>
        <v>16357</v>
      </c>
      <c r="BP29" s="724">
        <f t="shared" si="5"/>
        <v>19489</v>
      </c>
      <c r="BQ29" s="724">
        <f t="shared" si="5"/>
        <v>24036</v>
      </c>
      <c r="BR29" s="724">
        <f t="shared" si="5"/>
        <v>25806</v>
      </c>
      <c r="BS29" s="724">
        <f t="shared" si="5"/>
        <v>27572</v>
      </c>
      <c r="BT29" s="724">
        <f t="shared" si="5"/>
        <v>32155</v>
      </c>
    </row>
    <row r="30" spans="1:72">
      <c r="A30" s="300" t="s">
        <v>1932</v>
      </c>
      <c r="D30" s="300" t="s">
        <v>1579</v>
      </c>
      <c r="I30" s="302">
        <v>0.15959999999999999</v>
      </c>
      <c r="J30" s="302">
        <v>0.16289999999999999</v>
      </c>
      <c r="K30" s="302">
        <v>0.18140000000000001</v>
      </c>
      <c r="L30" s="302">
        <v>0.1993</v>
      </c>
      <c r="M30" s="302">
        <v>0.21540000000000001</v>
      </c>
      <c r="N30" s="302">
        <v>0.23230000000000001</v>
      </c>
      <c r="O30" s="302">
        <v>0.25190000000000001</v>
      </c>
      <c r="P30" s="302">
        <v>0.26879999999999998</v>
      </c>
      <c r="Q30" s="302">
        <v>0.30830000000000002</v>
      </c>
      <c r="R30" s="302">
        <v>0.38069999999999998</v>
      </c>
      <c r="S30" s="302">
        <v>0.44140000000000001</v>
      </c>
      <c r="T30" s="302">
        <v>0.48270000000000002</v>
      </c>
      <c r="U30" s="302">
        <v>0.51929999999999998</v>
      </c>
      <c r="V30" s="520">
        <v>0.54979999999999996</v>
      </c>
      <c r="W30" s="302">
        <v>0.60199999999999998</v>
      </c>
      <c r="X30" s="302">
        <v>0.62390000000000001</v>
      </c>
      <c r="Y30" s="520">
        <v>0.67889999999999995</v>
      </c>
      <c r="Z30" s="302">
        <v>0.81969999999999998</v>
      </c>
      <c r="AA30" s="302">
        <v>0.93100000000000005</v>
      </c>
      <c r="AB30" s="302">
        <v>1.0109999999999999</v>
      </c>
      <c r="AC30" s="302">
        <v>1.2829999999999999</v>
      </c>
      <c r="AD30" s="302">
        <v>1.4710000000000001</v>
      </c>
      <c r="AE30" s="302">
        <v>1.5649999999999999</v>
      </c>
      <c r="AF30" s="520">
        <v>1.5896999999999999</v>
      </c>
      <c r="AG30" s="302">
        <v>1.7781</v>
      </c>
      <c r="AH30" s="302">
        <v>1.8304</v>
      </c>
      <c r="AI30" s="520">
        <v>1.7672000000000001</v>
      </c>
      <c r="AJ30" s="520">
        <v>1.7282999999999999</v>
      </c>
      <c r="AK30" s="520">
        <v>1.7464999999999999</v>
      </c>
      <c r="AL30" s="520">
        <v>1.782</v>
      </c>
      <c r="AM30" s="520">
        <v>1.9597</v>
      </c>
      <c r="AN30" s="520">
        <v>2.3218000000000001</v>
      </c>
      <c r="AO30" s="520">
        <v>2.7126000000000001</v>
      </c>
      <c r="AP30" s="523">
        <v>3.8839999999999999</v>
      </c>
      <c r="AQ30" s="302">
        <v>4.4809999999999999</v>
      </c>
      <c r="AR30" s="308">
        <v>6.069</v>
      </c>
      <c r="AS30" s="308">
        <v>14.577999999999999</v>
      </c>
      <c r="AT30" s="308">
        <v>81.135999999999996</v>
      </c>
      <c r="AU30" s="308">
        <v>305.68299999999999</v>
      </c>
      <c r="AV30" s="522">
        <v>345.42599999999999</v>
      </c>
      <c r="AW30" s="308">
        <v>370.56900000000002</v>
      </c>
      <c r="AX30" s="308">
        <v>444.34</v>
      </c>
      <c r="AY30" s="308">
        <v>762.21</v>
      </c>
      <c r="AZ30" s="308">
        <v>1250.9269999999999</v>
      </c>
      <c r="BA30" s="308">
        <v>1818.729</v>
      </c>
      <c r="BB30" s="308">
        <v>2569.9</v>
      </c>
      <c r="BC30" s="308">
        <v>3314.1689999999999</v>
      </c>
      <c r="BD30" s="308">
        <v>4057.5</v>
      </c>
      <c r="BE30" s="308">
        <v>4899</v>
      </c>
      <c r="BF30" s="308">
        <v>7206.3</v>
      </c>
      <c r="BG30" s="308">
        <v>8060.5</v>
      </c>
      <c r="BH30" s="308">
        <v>9698.1</v>
      </c>
      <c r="BI30" s="308">
        <v>10638.4</v>
      </c>
      <c r="BJ30" s="308">
        <v>11988.7</v>
      </c>
      <c r="BK30" s="308">
        <v>14067.3</v>
      </c>
    </row>
    <row r="31" spans="1:72">
      <c r="A31" s="92" t="s">
        <v>1943</v>
      </c>
      <c r="D31" s="300"/>
      <c r="I31" s="314">
        <f t="shared" ref="I31:AO31" si="6">+I29/I30</f>
        <v>1.1929824561403508</v>
      </c>
      <c r="J31" s="314">
        <f t="shared" si="6"/>
        <v>1.19073050951504</v>
      </c>
      <c r="K31" s="314">
        <f t="shared" si="6"/>
        <v>1.1873759647188531</v>
      </c>
      <c r="L31" s="314">
        <f t="shared" si="6"/>
        <v>1.1882087305569493</v>
      </c>
      <c r="M31" s="314">
        <f t="shared" si="6"/>
        <v>1.1877901578458681</v>
      </c>
      <c r="N31" s="314">
        <f t="shared" si="6"/>
        <v>1.1884631941455015</v>
      </c>
      <c r="O31" s="314">
        <f t="shared" si="6"/>
        <v>1.1904724096863832</v>
      </c>
      <c r="P31" s="314">
        <f t="shared" si="6"/>
        <v>1.1908854166666667</v>
      </c>
      <c r="Q31" s="314">
        <f t="shared" si="6"/>
        <v>1.192701913720402</v>
      </c>
      <c r="R31" s="314">
        <f t="shared" si="6"/>
        <v>1.1909377462568951</v>
      </c>
      <c r="S31" s="314">
        <f t="shared" si="6"/>
        <v>1.1889216130493883</v>
      </c>
      <c r="T31" s="314">
        <f t="shared" si="6"/>
        <v>1.1907395898073336</v>
      </c>
      <c r="U31" s="314">
        <f t="shared" si="6"/>
        <v>1.1893125361062971</v>
      </c>
      <c r="V31" s="314">
        <f t="shared" si="6"/>
        <v>1.1904328846853403</v>
      </c>
      <c r="W31" s="314">
        <f t="shared" si="6"/>
        <v>1.19</v>
      </c>
      <c r="X31" s="314">
        <f t="shared" si="6"/>
        <v>1.1901907356948229</v>
      </c>
      <c r="Y31" s="314">
        <f t="shared" si="6"/>
        <v>1.1901752835469142</v>
      </c>
      <c r="Z31" s="314">
        <f t="shared" si="6"/>
        <v>1.1904355251921435</v>
      </c>
      <c r="AA31" s="314">
        <f t="shared" si="6"/>
        <v>1.19</v>
      </c>
      <c r="AB31" s="314">
        <f t="shared" si="6"/>
        <v>1.19</v>
      </c>
      <c r="AC31" s="314">
        <f t="shared" si="6"/>
        <v>1.19</v>
      </c>
      <c r="AD31" s="314">
        <f t="shared" si="6"/>
        <v>1.19</v>
      </c>
      <c r="AE31" s="314">
        <f t="shared" si="6"/>
        <v>1.19</v>
      </c>
      <c r="AF31" s="314">
        <f t="shared" si="6"/>
        <v>1.1902245706737122</v>
      </c>
      <c r="AG31" s="314">
        <f t="shared" si="6"/>
        <v>1.1899330746302232</v>
      </c>
      <c r="AH31" s="314">
        <f t="shared" si="6"/>
        <v>1.1897399475524477</v>
      </c>
      <c r="AI31" s="314">
        <f t="shared" si="6"/>
        <v>1.1898653236758712</v>
      </c>
      <c r="AJ31" s="314">
        <f t="shared" si="6"/>
        <v>1.2269744835965979</v>
      </c>
      <c r="AK31" s="314">
        <f t="shared" si="6"/>
        <v>1.1896593186372746</v>
      </c>
      <c r="AL31" s="314">
        <f t="shared" si="6"/>
        <v>1.19</v>
      </c>
      <c r="AM31" s="314">
        <f t="shared" si="6"/>
        <v>1.1901821707404194</v>
      </c>
      <c r="AN31" s="314">
        <f t="shared" si="6"/>
        <v>1.1901025066758548</v>
      </c>
      <c r="AO31" s="314">
        <f t="shared" si="6"/>
        <v>1.1901754774017546</v>
      </c>
      <c r="AP31" s="310">
        <f>+AP29/AP30</f>
        <v>1</v>
      </c>
      <c r="AR31" s="308"/>
      <c r="AS31" s="308"/>
      <c r="AT31" s="308"/>
      <c r="AU31" s="308"/>
      <c r="AV31" s="522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</row>
    <row r="32" spans="1:72" s="300" customFormat="1">
      <c r="A32" s="300" t="s">
        <v>1933</v>
      </c>
      <c r="H32" s="300">
        <v>0.13600000000000001</v>
      </c>
      <c r="I32" s="300">
        <v>0.16</v>
      </c>
      <c r="J32" s="300">
        <v>0.16300000000000001</v>
      </c>
      <c r="K32" s="300">
        <v>0.18099999999999999</v>
      </c>
      <c r="L32" s="300">
        <v>0.19900000000000001</v>
      </c>
      <c r="M32" s="300">
        <v>0.215</v>
      </c>
      <c r="N32" s="300">
        <v>0.23200000000000001</v>
      </c>
      <c r="O32" s="300">
        <v>0.252</v>
      </c>
      <c r="P32" s="300">
        <v>0.26900000000000002</v>
      </c>
      <c r="Q32" s="300">
        <v>0.309</v>
      </c>
      <c r="R32" s="300">
        <v>0.38100000000000001</v>
      </c>
      <c r="S32" s="300">
        <v>0.441</v>
      </c>
      <c r="T32" s="300">
        <v>0.48299999999999998</v>
      </c>
      <c r="U32" s="300">
        <v>0.51900000000000002</v>
      </c>
      <c r="V32" s="521">
        <v>0.55000000000000004</v>
      </c>
      <c r="W32" s="300">
        <v>0.60199999999999998</v>
      </c>
      <c r="X32" s="300">
        <v>0.624</v>
      </c>
      <c r="Y32" s="300">
        <v>0.67900000000000005</v>
      </c>
      <c r="Z32" s="300">
        <v>0.82</v>
      </c>
      <c r="AA32" s="300">
        <v>0.93100000000000005</v>
      </c>
      <c r="AB32" s="300">
        <v>1.0109999999999999</v>
      </c>
      <c r="AC32" s="300">
        <v>1.2829999999999999</v>
      </c>
      <c r="AD32" s="300">
        <v>1.4710000000000001</v>
      </c>
      <c r="AE32" s="300">
        <v>1.5649999999999999</v>
      </c>
      <c r="AF32" s="521">
        <v>1.59</v>
      </c>
      <c r="AG32" s="521">
        <v>1.778</v>
      </c>
      <c r="AH32" s="521">
        <v>1.83</v>
      </c>
      <c r="AI32" s="300">
        <v>1.7669999999999999</v>
      </c>
      <c r="AJ32" s="521">
        <v>1.782</v>
      </c>
      <c r="AK32" s="521">
        <v>1.746</v>
      </c>
      <c r="AL32" s="521">
        <v>1.782</v>
      </c>
      <c r="AM32" s="521">
        <v>1.96</v>
      </c>
      <c r="AN32" s="521">
        <v>2.3220000000000001</v>
      </c>
      <c r="AO32" s="521">
        <v>2.7130000000000001</v>
      </c>
      <c r="AP32" s="300">
        <v>3.2229999999999999</v>
      </c>
      <c r="AQ32" s="300">
        <v>3.6949999999999998</v>
      </c>
      <c r="AR32" s="522">
        <v>4.95</v>
      </c>
      <c r="AS32" s="522">
        <v>12.032999999999999</v>
      </c>
      <c r="AT32" s="522">
        <v>67.222999999999999</v>
      </c>
      <c r="AU32" s="522">
        <v>250.571</v>
      </c>
      <c r="AV32" s="522">
        <v>289.43099999999998</v>
      </c>
      <c r="AW32" s="522">
        <v>311.19</v>
      </c>
      <c r="AX32" s="522">
        <v>377.55399999999997</v>
      </c>
      <c r="AY32" s="522">
        <v>650.35299999999995</v>
      </c>
      <c r="AZ32" s="522">
        <v>1024.3910000000001</v>
      </c>
      <c r="BB32" s="522"/>
      <c r="BC32" s="522"/>
      <c r="BD32" s="522"/>
    </row>
    <row r="33" spans="1:72" s="300" customFormat="1">
      <c r="A33" s="300" t="s">
        <v>1941</v>
      </c>
      <c r="V33" s="521"/>
      <c r="W33" s="300">
        <v>0.53800000000000003</v>
      </c>
      <c r="X33" s="300">
        <v>0.55500000000000005</v>
      </c>
      <c r="Y33" s="300">
        <v>0.61599999999999999</v>
      </c>
      <c r="Z33" s="300">
        <v>0.72899999999999998</v>
      </c>
      <c r="AA33" s="300">
        <v>0.73499999999999999</v>
      </c>
      <c r="AB33" s="300">
        <v>0.85299999999999998</v>
      </c>
      <c r="AC33" s="300">
        <v>1.1020000000000001</v>
      </c>
      <c r="AD33" s="300">
        <v>1.236</v>
      </c>
      <c r="AE33" s="300">
        <v>1.339</v>
      </c>
      <c r="AF33" s="521">
        <v>1.3420000000000001</v>
      </c>
      <c r="AG33" s="521">
        <v>1.508</v>
      </c>
      <c r="AH33" s="521">
        <v>1.585</v>
      </c>
      <c r="AI33" s="521">
        <v>1.5409999999999999</v>
      </c>
      <c r="AJ33" s="521">
        <v>1.514</v>
      </c>
      <c r="AK33" s="521">
        <v>1.5629999999999999</v>
      </c>
      <c r="AL33" s="521">
        <v>1.6359999999999999</v>
      </c>
      <c r="AM33" s="521">
        <v>1.82</v>
      </c>
      <c r="AN33" s="521">
        <v>2.14</v>
      </c>
      <c r="AO33" s="521">
        <v>2.488</v>
      </c>
      <c r="AP33" s="300">
        <v>2.9470000000000001</v>
      </c>
      <c r="AQ33" s="300">
        <v>3.3719999999999999</v>
      </c>
      <c r="AR33" s="522">
        <v>4.5599999999999996</v>
      </c>
      <c r="AS33" s="522">
        <v>11.795</v>
      </c>
      <c r="AT33" s="522">
        <v>63.954000000000001</v>
      </c>
      <c r="AU33" s="522">
        <v>228.566</v>
      </c>
      <c r="AV33" s="522">
        <v>256.46699999999998</v>
      </c>
      <c r="AW33" s="522">
        <v>286.63600000000002</v>
      </c>
      <c r="AX33" s="522">
        <v>322.56099999999998</v>
      </c>
      <c r="AY33" s="522">
        <v>545.42999999999995</v>
      </c>
      <c r="AZ33" s="522">
        <v>918.721</v>
      </c>
      <c r="BA33" s="522">
        <v>1223.8689999999999</v>
      </c>
      <c r="BB33" s="522">
        <v>1971.463</v>
      </c>
      <c r="BC33" s="522">
        <v>2526.1239999999998</v>
      </c>
      <c r="BD33" s="522">
        <v>3083.712</v>
      </c>
    </row>
    <row r="34" spans="1:72" s="300" customFormat="1">
      <c r="A34" s="300" t="s">
        <v>1942</v>
      </c>
      <c r="V34" s="521"/>
      <c r="AF34" s="521"/>
      <c r="AG34" s="300">
        <v>3.1520000000000001</v>
      </c>
      <c r="AH34" s="300">
        <v>3.0209999999999999</v>
      </c>
      <c r="AI34" s="521">
        <v>2.9020000000000001</v>
      </c>
      <c r="AJ34" s="521">
        <v>2.847</v>
      </c>
      <c r="AK34" s="521">
        <v>2.9039999999999999</v>
      </c>
      <c r="AL34" s="521">
        <v>2.9260000000000002</v>
      </c>
      <c r="AM34" s="521">
        <v>2.7440000000000002</v>
      </c>
      <c r="AN34" s="521">
        <v>2.9590000000000001</v>
      </c>
      <c r="AO34" s="521">
        <v>3.0840000000000001</v>
      </c>
      <c r="AP34" s="300">
        <v>2.9470000000000001</v>
      </c>
      <c r="AQ34" s="300">
        <v>3.0169999999999999</v>
      </c>
      <c r="AR34" s="303">
        <v>3.0430000000000001</v>
      </c>
      <c r="AS34" s="303">
        <v>2.8860000000000001</v>
      </c>
      <c r="AT34" s="303">
        <v>2.7709999999999999</v>
      </c>
      <c r="AU34" s="303">
        <v>2.8559999999999999</v>
      </c>
      <c r="AV34" s="303">
        <v>2.887</v>
      </c>
      <c r="AW34" s="303">
        <v>2.9420000000000002</v>
      </c>
      <c r="AX34" s="303">
        <v>3.0350000000000001</v>
      </c>
      <c r="AY34" s="303">
        <v>2.9590000000000001</v>
      </c>
      <c r="AZ34" s="303">
        <v>3.0819999999999999</v>
      </c>
      <c r="BA34" s="303">
        <v>3.2690000000000001</v>
      </c>
      <c r="BB34" s="303">
        <v>3.3410000000000002</v>
      </c>
      <c r="BC34" s="303">
        <v>3.544</v>
      </c>
      <c r="BD34" s="303">
        <v>3.8159999999999998</v>
      </c>
    </row>
    <row r="35" spans="1:72" s="304" customFormat="1">
      <c r="A35" s="304" t="s">
        <v>1954</v>
      </c>
      <c r="H35" s="304">
        <v>100</v>
      </c>
      <c r="I35" s="536">
        <f>H35*(I32/H32)/(I45/H45)</f>
        <v>108.35913312693501</v>
      </c>
      <c r="J35" s="536">
        <f t="shared" ref="J35:AZ35" si="7">I35*(J32/I32)/(J45/I45)</f>
        <v>110.39086687306504</v>
      </c>
      <c r="K35" s="536">
        <f t="shared" si="7"/>
        <v>122.58126934984523</v>
      </c>
      <c r="L35" s="536">
        <f t="shared" si="7"/>
        <v>131.31598793363503</v>
      </c>
      <c r="M35" s="536">
        <f t="shared" si="7"/>
        <v>139.48961937716265</v>
      </c>
      <c r="N35" s="536">
        <f t="shared" si="7"/>
        <v>146.81774349083898</v>
      </c>
      <c r="O35" s="536">
        <f t="shared" si="7"/>
        <v>156.90227703984823</v>
      </c>
      <c r="P35" s="536">
        <f t="shared" si="7"/>
        <v>160.99521203830375</v>
      </c>
      <c r="Q35" s="536">
        <f t="shared" si="7"/>
        <v>180.73195187165783</v>
      </c>
      <c r="R35" s="536">
        <f t="shared" si="7"/>
        <v>219.51821773485526</v>
      </c>
      <c r="S35" s="536">
        <f t="shared" si="7"/>
        <v>236.44301470588243</v>
      </c>
      <c r="T35" s="536">
        <f t="shared" si="7"/>
        <v>258.96139705882359</v>
      </c>
      <c r="U35" s="536">
        <f t="shared" si="7"/>
        <v>276.34381338742406</v>
      </c>
      <c r="V35" s="536">
        <f t="shared" si="7"/>
        <v>286.91375198728156</v>
      </c>
      <c r="W35" s="536">
        <f t="shared" si="7"/>
        <v>315.91528489151494</v>
      </c>
      <c r="X35" s="536">
        <f t="shared" si="7"/>
        <v>319.66890175223762</v>
      </c>
      <c r="Y35" s="536">
        <f t="shared" si="7"/>
        <v>310.33216577527367</v>
      </c>
      <c r="Z35" s="536">
        <f t="shared" si="7"/>
        <v>323.19609910983274</v>
      </c>
      <c r="AA35" s="536">
        <f t="shared" si="7"/>
        <v>341.3717928056696</v>
      </c>
      <c r="AB35" s="536">
        <f t="shared" si="7"/>
        <v>346.45380058276396</v>
      </c>
      <c r="AC35" s="536">
        <f t="shared" si="7"/>
        <v>376.3523180835009</v>
      </c>
      <c r="AD35" s="536">
        <f t="shared" si="7"/>
        <v>408.61724702758534</v>
      </c>
      <c r="AE35" s="536">
        <f t="shared" si="7"/>
        <v>377.52759888975703</v>
      </c>
      <c r="AF35" s="536">
        <f t="shared" si="7"/>
        <v>349.10703870091061</v>
      </c>
      <c r="AG35" s="536">
        <f t="shared" si="7"/>
        <v>359.11279691810967</v>
      </c>
      <c r="AH35" s="536">
        <f t="shared" si="7"/>
        <v>337.04415958404115</v>
      </c>
      <c r="AI35" s="536">
        <f t="shared" si="7"/>
        <v>321.54782506282527</v>
      </c>
      <c r="AJ35" s="536">
        <f t="shared" si="7"/>
        <v>323.8049989491808</v>
      </c>
      <c r="AK35" s="536">
        <f t="shared" si="7"/>
        <v>313.47010608044718</v>
      </c>
      <c r="AL35" s="536">
        <f t="shared" si="7"/>
        <v>307.97323832595822</v>
      </c>
      <c r="AM35" s="536">
        <f t="shared" si="7"/>
        <v>285.55058083412092</v>
      </c>
      <c r="AN35" s="536">
        <f t="shared" si="7"/>
        <v>310.24705287347308</v>
      </c>
      <c r="AO35" s="536">
        <f t="shared" si="7"/>
        <v>324.95860717546543</v>
      </c>
      <c r="AP35" s="536">
        <f t="shared" si="7"/>
        <v>311.44012355187499</v>
      </c>
      <c r="AQ35" s="536">
        <f t="shared" si="7"/>
        <v>319.45996845528686</v>
      </c>
      <c r="AR35" s="536">
        <f t="shared" si="7"/>
        <v>319.19535745296696</v>
      </c>
      <c r="AS35" s="536">
        <f t="shared" si="7"/>
        <v>284.50280705077887</v>
      </c>
      <c r="AT35" s="536">
        <f t="shared" si="7"/>
        <v>281.44981061006172</v>
      </c>
      <c r="AU35" s="536">
        <f t="shared" si="7"/>
        <v>302.54615558148612</v>
      </c>
      <c r="AV35" s="536">
        <f t="shared" si="7"/>
        <v>314.82890204149084</v>
      </c>
      <c r="AW35" s="536">
        <f t="shared" si="7"/>
        <v>308.63972537265198</v>
      </c>
      <c r="AX35" s="536">
        <f t="shared" si="7"/>
        <v>343.27341601749748</v>
      </c>
      <c r="AY35" s="536">
        <f t="shared" si="7"/>
        <v>340.93324259400083</v>
      </c>
      <c r="AZ35" s="536">
        <f t="shared" si="7"/>
        <v>332.06951094954377</v>
      </c>
      <c r="BA35" s="536">
        <f>+AZ35*BA34/AZ34</f>
        <v>352.21779081572311</v>
      </c>
      <c r="BB35" s="536">
        <f>+BA35*BB34/BA34</f>
        <v>359.97541728826269</v>
      </c>
      <c r="BC35" s="536">
        <f>+BB35*BC34/BB34</f>
        <v>381.84761414833969</v>
      </c>
      <c r="BD35" s="536">
        <f>+BC35*BD34/BC34</f>
        <v>411.15420304460048</v>
      </c>
      <c r="BE35" s="537">
        <f>+BD35*1.1</f>
        <v>452.26962334906057</v>
      </c>
      <c r="BF35" s="538">
        <f>+BE35*(1+BF123/100)</f>
        <v>478.50126150330613</v>
      </c>
      <c r="BG35" s="538">
        <f t="shared" ref="BG35:BP35" si="8">+BF35*(1+BG123/100)</f>
        <v>502.90482583997471</v>
      </c>
      <c r="BH35" s="538">
        <f t="shared" si="8"/>
        <v>523.52392369941367</v>
      </c>
      <c r="BI35" s="538">
        <f t="shared" si="8"/>
        <v>539.22964141039608</v>
      </c>
      <c r="BJ35" s="538">
        <f t="shared" si="8"/>
        <v>566.73035312232628</v>
      </c>
      <c r="BK35" s="538">
        <f t="shared" si="8"/>
        <v>596.58122613151852</v>
      </c>
      <c r="BL35" s="538">
        <f t="shared" si="8"/>
        <v>616.08712018554183</v>
      </c>
      <c r="BM35" s="538">
        <f t="shared" si="8"/>
        <v>634.15967378192136</v>
      </c>
      <c r="BN35" s="538">
        <f t="shared" si="8"/>
        <v>636.465482344218</v>
      </c>
      <c r="BO35" s="538">
        <f t="shared" si="8"/>
        <v>614.09290737490687</v>
      </c>
      <c r="BP35" s="538">
        <f t="shared" si="8"/>
        <v>579.94201299278291</v>
      </c>
      <c r="BQ35" s="538">
        <f>+BP35*(1+BQ123/100)</f>
        <v>590.16235364728709</v>
      </c>
      <c r="BR35" s="538">
        <f>+BQ35*(1+BR123/100)</f>
        <v>605.61750292970817</v>
      </c>
      <c r="BS35" s="538">
        <f>+BR35*(1+BS123/100)</f>
        <v>607.43435543849728</v>
      </c>
      <c r="BT35" s="538">
        <f>+BS35*(1+BT123/100)</f>
        <v>526.03815180973868</v>
      </c>
    </row>
    <row r="36" spans="1:72" s="300" customFormat="1">
      <c r="A36" s="300" t="s">
        <v>1958</v>
      </c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2"/>
      <c r="U36" s="522"/>
      <c r="V36" s="522"/>
      <c r="W36" s="522"/>
      <c r="X36" s="522"/>
      <c r="Y36" s="522"/>
      <c r="Z36" s="522"/>
      <c r="AA36" s="522"/>
      <c r="AB36" s="522"/>
      <c r="AC36" s="522"/>
      <c r="AD36" s="522"/>
      <c r="AE36" s="522"/>
      <c r="AF36" s="522"/>
      <c r="AG36" s="522"/>
      <c r="AH36" s="522"/>
      <c r="AI36" s="522"/>
      <c r="AJ36" s="522"/>
      <c r="AK36" s="522"/>
      <c r="AL36" s="522"/>
      <c r="AM36" s="522"/>
      <c r="AN36" s="522"/>
      <c r="AO36" s="522"/>
      <c r="AP36" s="400">
        <f>+AP38/AP32</f>
        <v>1.2050884269314304</v>
      </c>
      <c r="AQ36" s="400">
        <f t="shared" ref="AQ36:AZ36" si="9">+AQ38/AQ32</f>
        <v>1.2127198917456021</v>
      </c>
      <c r="AR36" s="400">
        <f t="shared" si="9"/>
        <v>1.2260606060606061</v>
      </c>
      <c r="AS36" s="400">
        <f t="shared" si="9"/>
        <v>1.2115017036483005</v>
      </c>
      <c r="AT36" s="400">
        <f t="shared" si="9"/>
        <v>1.2069678532645076</v>
      </c>
      <c r="AU36" s="400">
        <f t="shared" si="9"/>
        <v>1.2199456441487642</v>
      </c>
      <c r="AV36" s="400">
        <f t="shared" si="9"/>
        <v>1.1934658001388931</v>
      </c>
      <c r="AW36" s="400">
        <f t="shared" si="9"/>
        <v>1.1908126867829945</v>
      </c>
      <c r="AX36" s="400">
        <f t="shared" si="9"/>
        <v>1.1768912526420061</v>
      </c>
      <c r="AY36" s="400">
        <f t="shared" si="9"/>
        <v>1.171994286179967</v>
      </c>
      <c r="AZ36" s="400">
        <f t="shared" si="9"/>
        <v>1.1398313729816056</v>
      </c>
      <c r="BA36" s="527">
        <f>+BA40/BA33</f>
        <v>1.1761601936154931</v>
      </c>
      <c r="BB36" s="527">
        <f>+BB40/BB33</f>
        <v>1.1733200166576803</v>
      </c>
      <c r="BC36" s="527">
        <f>+BC40/BC33</f>
        <v>1.1836014384091993</v>
      </c>
      <c r="BD36" s="527">
        <f>+BD40/BD33</f>
        <v>1.1925448939459975</v>
      </c>
    </row>
    <row r="37" spans="1:72" s="300" customFormat="1">
      <c r="A37" s="92" t="s">
        <v>1944</v>
      </c>
      <c r="V37" s="521"/>
      <c r="AF37" s="521"/>
      <c r="AJ37" s="522"/>
      <c r="AK37" s="522"/>
      <c r="AL37" s="522"/>
      <c r="AM37" s="522"/>
      <c r="AN37" s="522"/>
      <c r="AO37" s="522"/>
      <c r="AR37" s="522"/>
      <c r="AS37" s="522"/>
      <c r="AT37" s="522"/>
      <c r="AU37" s="522"/>
      <c r="AV37" s="522"/>
      <c r="AW37" s="522"/>
      <c r="AX37" s="522"/>
      <c r="AY37" s="522"/>
      <c r="AZ37" s="522"/>
      <c r="BB37" s="522"/>
      <c r="BC37" s="522"/>
      <c r="BD37" s="522"/>
    </row>
    <row r="38" spans="1:72" s="300" customFormat="1">
      <c r="A38" s="300" t="s">
        <v>1946</v>
      </c>
      <c r="AJ38" s="521"/>
      <c r="AK38" s="521"/>
      <c r="AL38" s="521"/>
      <c r="AM38" s="521"/>
      <c r="AN38" s="521"/>
      <c r="AO38" s="521"/>
      <c r="AP38" s="521">
        <v>3.8839999999999999</v>
      </c>
      <c r="AQ38" s="300">
        <v>4.4809999999999999</v>
      </c>
      <c r="AR38" s="522">
        <v>6.069</v>
      </c>
      <c r="AS38" s="522">
        <v>14.577999999999999</v>
      </c>
      <c r="AT38" s="522">
        <v>81.135999999999996</v>
      </c>
      <c r="AU38" s="522">
        <v>305.68299999999999</v>
      </c>
      <c r="AV38" s="522">
        <v>345.42599999999999</v>
      </c>
      <c r="AW38" s="522">
        <v>370.56900000000002</v>
      </c>
      <c r="AX38" s="522">
        <v>444.34</v>
      </c>
      <c r="AY38" s="522">
        <v>762.21</v>
      </c>
      <c r="AZ38" s="522">
        <v>1167.633</v>
      </c>
      <c r="BB38" s="522"/>
      <c r="BC38" s="522"/>
      <c r="BD38" s="522"/>
    </row>
    <row r="39" spans="1:72" s="300" customFormat="1">
      <c r="A39" s="300" t="s">
        <v>1947</v>
      </c>
      <c r="AJ39" s="521"/>
      <c r="AK39" s="521"/>
      <c r="AL39" s="521"/>
      <c r="AM39" s="521"/>
      <c r="AN39" s="521"/>
      <c r="AO39" s="521"/>
      <c r="AP39" s="521">
        <v>3.8839999999999999</v>
      </c>
      <c r="AQ39" s="300">
        <v>3.99</v>
      </c>
      <c r="AR39" s="522">
        <v>4.0049999999999999</v>
      </c>
      <c r="AS39" s="522">
        <v>3.7370000000000001</v>
      </c>
      <c r="AT39" s="522">
        <v>3.8639999999999999</v>
      </c>
      <c r="AU39" s="522">
        <v>3.8639999999999999</v>
      </c>
      <c r="AV39" s="522">
        <v>3.9039999999999999</v>
      </c>
      <c r="AW39" s="522">
        <v>4.1280000000000001</v>
      </c>
      <c r="AX39" s="522">
        <v>4.2240000000000002</v>
      </c>
      <c r="AY39" s="522">
        <v>4.165</v>
      </c>
      <c r="AZ39" s="522">
        <v>4.234</v>
      </c>
      <c r="BB39" s="522"/>
      <c r="BC39" s="522"/>
      <c r="BD39" s="522"/>
    </row>
    <row r="40" spans="1:72" s="300" customFormat="1">
      <c r="A40" s="300" t="s">
        <v>1945</v>
      </c>
      <c r="AJ40" s="521"/>
      <c r="AK40" s="521"/>
      <c r="AL40" s="521"/>
      <c r="AM40" s="521"/>
      <c r="AN40" s="521"/>
      <c r="AO40" s="521"/>
      <c r="AP40" s="521">
        <v>3.6080000000000001</v>
      </c>
      <c r="AQ40" s="300">
        <v>4.1580000000000004</v>
      </c>
      <c r="AR40" s="522">
        <v>5.6779999999999999</v>
      </c>
      <c r="AS40" s="522">
        <v>14.34</v>
      </c>
      <c r="AT40" s="522">
        <v>77.867000000000004</v>
      </c>
      <c r="AU40" s="522">
        <v>283.678</v>
      </c>
      <c r="AV40" s="522">
        <v>312.46100000000001</v>
      </c>
      <c r="AW40" s="522">
        <v>346.01600000000002</v>
      </c>
      <c r="AX40" s="522">
        <v>389.34800000000001</v>
      </c>
      <c r="AY40" s="522">
        <v>666.39</v>
      </c>
      <c r="AZ40" s="522">
        <v>1061.924</v>
      </c>
      <c r="BA40" s="522">
        <v>1439.4659999999999</v>
      </c>
      <c r="BB40" s="522">
        <v>2313.1570000000002</v>
      </c>
      <c r="BC40" s="522">
        <v>2989.924</v>
      </c>
      <c r="BD40" s="522">
        <v>3677.4650000000001</v>
      </c>
    </row>
    <row r="41" spans="1:72" s="300" customFormat="1">
      <c r="A41" s="300" t="s">
        <v>1948</v>
      </c>
      <c r="AJ41" s="521"/>
      <c r="AK41" s="521"/>
      <c r="AL41" s="521"/>
      <c r="AM41" s="521"/>
      <c r="AN41" s="521"/>
      <c r="AO41" s="521"/>
      <c r="AP41" s="521">
        <v>3.6080000000000001</v>
      </c>
      <c r="AQ41" s="300">
        <v>3.7069999999999999</v>
      </c>
      <c r="AR41" s="522">
        <v>3.7210000000000001</v>
      </c>
      <c r="AS41" s="522">
        <v>3.4710000000000001</v>
      </c>
      <c r="AT41" s="522">
        <v>3.589</v>
      </c>
      <c r="AU41" s="522">
        <v>3.589</v>
      </c>
      <c r="AV41" s="522">
        <v>3.6269999999999998</v>
      </c>
      <c r="AW41" s="522">
        <v>3.835</v>
      </c>
      <c r="AX41" s="522">
        <v>3.9239999999999999</v>
      </c>
      <c r="AY41" s="522">
        <v>3.8690000000000002</v>
      </c>
      <c r="AZ41" s="522">
        <v>3.94</v>
      </c>
      <c r="BA41" s="522">
        <v>4.1210000000000004</v>
      </c>
      <c r="BB41" s="522">
        <v>4.2160000000000002</v>
      </c>
      <c r="BC41" s="522">
        <v>4.4409999999999998</v>
      </c>
      <c r="BD41" s="522">
        <v>4.7869999999999999</v>
      </c>
    </row>
    <row r="42" spans="1:72" s="300" customFormat="1">
      <c r="AJ42" s="521"/>
      <c r="AK42" s="521"/>
      <c r="AL42" s="521"/>
      <c r="AM42" s="521"/>
      <c r="AN42" s="521"/>
      <c r="AO42" s="521"/>
      <c r="AP42" s="521"/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</row>
    <row r="43" spans="1:72" s="300" customFormat="1">
      <c r="A43" s="300" t="s">
        <v>1952</v>
      </c>
      <c r="H43" s="300">
        <v>100</v>
      </c>
      <c r="I43" s="522">
        <f>+H43*(1+Model!I45/100)</f>
        <v>108.57142857142857</v>
      </c>
      <c r="J43" s="522">
        <f>+I43*(1+Model!J45/100)</f>
        <v>108.57142857142857</v>
      </c>
      <c r="K43" s="522">
        <f>+J43*(1+Model!K45/100)</f>
        <v>108.57142857142857</v>
      </c>
      <c r="L43" s="522">
        <f>+K43*(1+Model!L45/100)</f>
        <v>111.42857142857143</v>
      </c>
      <c r="M43" s="522">
        <f>+L43*(1+Model!M45/100)</f>
        <v>113.33333333333333</v>
      </c>
      <c r="N43" s="522">
        <f>+M43*(1+Model!N45/100)</f>
        <v>116.1904761904762</v>
      </c>
      <c r="O43" s="522">
        <f>+N43*(1+Model!O45/100)</f>
        <v>118.09523809523812</v>
      </c>
      <c r="P43" s="522">
        <f>+O43*(1+Model!P45/100)</f>
        <v>122.85714285714288</v>
      </c>
      <c r="Q43" s="522">
        <f>+P43*(1+Model!Q45/100)</f>
        <v>125.71428571428571</v>
      </c>
      <c r="R43" s="522">
        <f>+Q43*(1+Model!R45/100)</f>
        <v>127.61904761904761</v>
      </c>
      <c r="S43" s="522">
        <f>+R43*(1+Model!S45/100)</f>
        <v>137.14285714285717</v>
      </c>
      <c r="T43" s="522">
        <f>+S43*(1+Model!T45/100)</f>
        <v>137.14285714285717</v>
      </c>
      <c r="U43" s="522">
        <f>+T43*(1+Model!U45/100)</f>
        <v>138.09523809523813</v>
      </c>
      <c r="V43" s="522">
        <f>+U43*(1+Model!V45/100)</f>
        <v>140.95238095238099</v>
      </c>
      <c r="W43" s="522">
        <f>+V43*(1+Model!W45/100)</f>
        <v>140.11574621200566</v>
      </c>
      <c r="X43" s="522">
        <f>+W43*(1+Model!X45/100)</f>
        <v>143.53086174374903</v>
      </c>
      <c r="Y43" s="522">
        <f>+X43*(1+Model!Y45/100)</f>
        <v>160.88074680724355</v>
      </c>
      <c r="Z43" s="522">
        <f>+Y43*(1+Model!Z45/100)</f>
        <v>186.55583348043112</v>
      </c>
      <c r="AA43" s="522">
        <f>+Z43*(1+Model!AA45/100)</f>
        <v>200.53174806950335</v>
      </c>
      <c r="AB43" s="522">
        <f>+AA43*(1+Model!AB45/100)</f>
        <v>214.56897043436857</v>
      </c>
      <c r="AC43" s="522">
        <f>+AB43*(1+Model!AC45/100)</f>
        <v>250.66468508687916</v>
      </c>
      <c r="AD43" s="522">
        <f>+AC43*(1+Model!AD45/100)</f>
        <v>264.70190745174443</v>
      </c>
      <c r="AE43" s="522">
        <f>+AD43*(1+Model!AE45/100)</f>
        <v>304.80825706564514</v>
      </c>
      <c r="AF43" s="522">
        <f>+AE43*(1+Model!AF45/100)</f>
        <v>334.88801927607062</v>
      </c>
      <c r="AG43" s="522">
        <f>+AF43*(1+Model!AG45/100)</f>
        <v>364.05078081207847</v>
      </c>
      <c r="AH43" s="522">
        <f>+AG43*(1+Model!AH45/100)</f>
        <v>399.2320285136405</v>
      </c>
      <c r="AI43" s="522">
        <f>+AH43*(1+Model!AI45/100)</f>
        <v>404.06577330401745</v>
      </c>
      <c r="AJ43" s="522">
        <f>+AI43*(1+Model!AJ45/100)</f>
        <v>404.65530856511043</v>
      </c>
      <c r="AK43" s="522">
        <f>+AJ43*(1+Model!AK45/100)</f>
        <v>409.55214054200519</v>
      </c>
      <c r="AL43" s="522">
        <f>+AK43*(1+Model!AL45/100)</f>
        <v>425.45713542169767</v>
      </c>
      <c r="AM43" s="522">
        <f>+AL43*(1+Model!AM45/100)</f>
        <v>504.7009417310307</v>
      </c>
      <c r="AN43" s="522">
        <f>+AM43*(1+Model!AN45/100)</f>
        <v>550.320438296887</v>
      </c>
      <c r="AO43" s="522">
        <f>+AN43*(1+Model!AO45/100)</f>
        <v>613.87909017573008</v>
      </c>
      <c r="AP43" s="522">
        <f>+AO43*(1+Model!AP45/100)</f>
        <v>760.93372753293875</v>
      </c>
      <c r="AQ43" s="522">
        <f>+AP43*(1+Model!AQ45/100)</f>
        <v>850.47017873419611</v>
      </c>
      <c r="AR43" s="522">
        <f>+AQ43*(1+Model!AR45/100)</f>
        <v>1140.2753196024319</v>
      </c>
      <c r="AS43" s="522">
        <f>+AR43*(1+Model!AS45/100)</f>
        <v>3109.9145239954996</v>
      </c>
      <c r="AT43" s="522">
        <f>+AS43*(1+Model!AT45/100)</f>
        <v>17562.163699257151</v>
      </c>
      <c r="AU43" s="522">
        <f>+AT43*(1+Model!AU45/100)</f>
        <v>60897.611473142046</v>
      </c>
      <c r="AV43" s="522">
        <f>+AU43*(1+Model!AV45/100)</f>
        <v>67597.641253616282</v>
      </c>
      <c r="AW43" s="522">
        <f>+AV43*(1+Model!AW45/100)</f>
        <v>74136.9816196912</v>
      </c>
      <c r="AX43" s="522">
        <f>+AW43*(1+Model!AX45/100)</f>
        <v>80872.337425618534</v>
      </c>
      <c r="AY43" s="522">
        <f>+AX43*(1+Model!AY45/100)</f>
        <v>140262.27881321081</v>
      </c>
      <c r="AZ43" s="522">
        <f>+AY43*(1+Model!AZ45/100)</f>
        <v>226828.61618844554</v>
      </c>
      <c r="BA43" s="522">
        <f>+AZ43*(1+Model!BA45/100)</f>
        <v>310922.09292555018</v>
      </c>
      <c r="BB43" s="522">
        <f>+BA43*(1+Model!BB45/100)</f>
        <v>429871.11115988955</v>
      </c>
      <c r="BC43" s="522">
        <f>+BB43*(1+Model!BC45/100)</f>
        <v>522612.0856034733</v>
      </c>
      <c r="BD43" s="522">
        <f>+BC43*(1+Model!BD45/100)</f>
        <v>594221.92744816281</v>
      </c>
      <c r="BE43" s="522">
        <f>+BD43*(1+Model!BE45/100)</f>
        <v>652236.2006539068</v>
      </c>
      <c r="BF43" s="522">
        <f>+BE43*(1+Model!BF45/100)</f>
        <v>906826.34833702189</v>
      </c>
      <c r="BG43" s="522">
        <f>+BF43*(1+Model!BG45/100)</f>
        <v>965097.20671262278</v>
      </c>
      <c r="BH43" s="522">
        <f>+BG43*(1+Model!BH45/100)</f>
        <v>1115436.8932712558</v>
      </c>
      <c r="BI43" s="522">
        <f>+BH43*(1+Model!BI45/100)</f>
        <v>1187948.0191823107</v>
      </c>
      <c r="BJ43" s="522">
        <f>+BI43*(1+Model!BJ45/100)</f>
        <v>1273768.4828136887</v>
      </c>
      <c r="BK43" s="522">
        <f>+BJ43*(1+Model!BK45/100)</f>
        <v>1458657.2332047394</v>
      </c>
      <c r="BL43" s="522">
        <f>+BK43*(1+Model!BL45/100)</f>
        <v>1606186.7260648299</v>
      </c>
      <c r="BM43" s="522">
        <f>+BL43*(1+Model!BM45/100)</f>
        <v>1612350.7339248585</v>
      </c>
      <c r="BN43" s="522">
        <f>+BM43*(1+Model!BN45/100)</f>
        <v>1636121.2250395957</v>
      </c>
      <c r="BO43" s="522">
        <f>+BN43*(1+Model!BO45/100)</f>
        <v>1603852.5969893348</v>
      </c>
    </row>
    <row r="44" spans="1:72" s="300" customFormat="1">
      <c r="A44" s="94" t="s">
        <v>1951</v>
      </c>
      <c r="H44" s="521">
        <f>+H43/H47</f>
        <v>1</v>
      </c>
      <c r="I44" s="521">
        <f t="shared" ref="I44:BD44" si="10">+I43/I47</f>
        <v>0.9984693839292399</v>
      </c>
      <c r="J44" s="521">
        <f t="shared" si="10"/>
        <v>0.9984693839292399</v>
      </c>
      <c r="K44" s="521">
        <f t="shared" si="10"/>
        <v>0.9984693839292399</v>
      </c>
      <c r="L44" s="521">
        <f t="shared" si="10"/>
        <v>0.9980124182050838</v>
      </c>
      <c r="M44" s="521">
        <f t="shared" si="10"/>
        <v>0.99772079412595549</v>
      </c>
      <c r="N44" s="521">
        <f t="shared" si="10"/>
        <v>1.014205000294186</v>
      </c>
      <c r="O44" s="521">
        <f t="shared" si="10"/>
        <v>1.0221688635715209</v>
      </c>
      <c r="P44" s="521">
        <f t="shared" si="10"/>
        <v>1.0545238053229544</v>
      </c>
      <c r="Q44" s="521">
        <f t="shared" si="10"/>
        <v>1.0613583100040807</v>
      </c>
      <c r="R44" s="521">
        <f t="shared" si="10"/>
        <v>1.0600614406129922</v>
      </c>
      <c r="S44" s="521">
        <f t="shared" si="10"/>
        <v>1.0620837752703254</v>
      </c>
      <c r="T44" s="521">
        <f t="shared" si="10"/>
        <v>1.0620837752703254</v>
      </c>
      <c r="U44" s="521">
        <f t="shared" si="10"/>
        <v>1.0382342666155422</v>
      </c>
      <c r="V44" s="521">
        <f t="shared" si="10"/>
        <v>1.0414264625153682</v>
      </c>
      <c r="W44" s="521">
        <f t="shared" si="10"/>
        <v>1.0414264625153682</v>
      </c>
      <c r="X44" s="521">
        <f t="shared" si="10"/>
        <v>1.0414264625153682</v>
      </c>
      <c r="Y44" s="521">
        <f t="shared" si="10"/>
        <v>1.0414264625153682</v>
      </c>
      <c r="Z44" s="521">
        <f t="shared" si="10"/>
        <v>1.0414264625153682</v>
      </c>
      <c r="AA44" s="521">
        <f t="shared" si="10"/>
        <v>1.0414264625153682</v>
      </c>
      <c r="AB44" s="521">
        <f t="shared" si="10"/>
        <v>1.0194321761565217</v>
      </c>
      <c r="AC44" s="521">
        <f t="shared" si="10"/>
        <v>1.0943121042560247</v>
      </c>
      <c r="AD44" s="521">
        <f t="shared" si="10"/>
        <v>1.0701330613308482</v>
      </c>
      <c r="AE44" s="521">
        <f t="shared" si="10"/>
        <v>1.0813707640624439</v>
      </c>
      <c r="AF44" s="521">
        <f t="shared" si="10"/>
        <v>1.0494669002753523</v>
      </c>
      <c r="AG44" s="521">
        <f t="shared" si="10"/>
        <v>1.0494669002753523</v>
      </c>
      <c r="AH44" s="521">
        <f t="shared" si="10"/>
        <v>1.0726937931260101</v>
      </c>
      <c r="AI44" s="521">
        <f t="shared" si="10"/>
        <v>1.0400461201801354</v>
      </c>
      <c r="AJ44" s="521">
        <f t="shared" si="10"/>
        <v>0.99958114958207089</v>
      </c>
      <c r="AK44" s="521">
        <f t="shared" si="10"/>
        <v>0.86988592433972989</v>
      </c>
      <c r="AL44" s="521">
        <f t="shared" si="10"/>
        <v>0.69140628813305061</v>
      </c>
      <c r="AM44" s="521">
        <f t="shared" si="10"/>
        <v>0.43441982011058322</v>
      </c>
      <c r="AN44" s="521">
        <f t="shared" si="10"/>
        <v>0.41190144764893466</v>
      </c>
      <c r="AO44" s="521">
        <f t="shared" si="10"/>
        <v>0.38385425896857006</v>
      </c>
      <c r="AP44" s="521">
        <f t="shared" si="10"/>
        <v>0.3908180465357155</v>
      </c>
      <c r="AQ44" s="521">
        <f t="shared" si="10"/>
        <v>0.34675603817216566</v>
      </c>
      <c r="AR44" s="521">
        <f t="shared" si="10"/>
        <v>0.32361782000013867</v>
      </c>
      <c r="AS44" s="521">
        <f t="shared" si="10"/>
        <v>0.36244263190678133</v>
      </c>
      <c r="AT44" s="521">
        <f t="shared" si="10"/>
        <v>0.43689643490123692</v>
      </c>
      <c r="AU44" s="521">
        <f t="shared" si="10"/>
        <v>0.45147463737127758</v>
      </c>
      <c r="AV44" s="521">
        <f t="shared" si="10"/>
        <v>0.50467918407237244</v>
      </c>
      <c r="AW44" s="521">
        <f t="shared" si="10"/>
        <v>0.51680806196333839</v>
      </c>
      <c r="AX44" s="521">
        <f t="shared" si="10"/>
        <v>0.47374802626326418</v>
      </c>
      <c r="AY44" s="521">
        <f t="shared" si="10"/>
        <v>0.4151858218152169</v>
      </c>
      <c r="AZ44" s="521">
        <f t="shared" si="10"/>
        <v>0.4214865217324642</v>
      </c>
      <c r="BA44" s="521">
        <f t="shared" si="10"/>
        <v>0.41684461957114016</v>
      </c>
      <c r="BB44" s="521">
        <f t="shared" si="10"/>
        <v>0.49897512259115417</v>
      </c>
      <c r="BC44" s="521">
        <f t="shared" si="10"/>
        <v>0.49439665024216489</v>
      </c>
      <c r="BD44" s="521">
        <f t="shared" si="10"/>
        <v>0.51103666392806213</v>
      </c>
      <c r="BE44" s="522"/>
      <c r="BF44" s="522"/>
      <c r="BG44" s="522"/>
      <c r="BH44" s="522"/>
      <c r="BI44" s="522"/>
      <c r="BJ44" s="522"/>
      <c r="BK44" s="522"/>
      <c r="BL44" s="522"/>
      <c r="BM44" s="522"/>
      <c r="BN44" s="522"/>
      <c r="BO44" s="522"/>
    </row>
    <row r="45" spans="1:72" s="304" customFormat="1">
      <c r="A45" s="304" t="s">
        <v>1950</v>
      </c>
      <c r="F45" s="536">
        <f>+G45/(1+G49/100)</f>
        <v>97.087378635158373</v>
      </c>
      <c r="G45" s="536">
        <f>+H45/(1+H49/100)</f>
        <v>98.058252421509962</v>
      </c>
      <c r="H45" s="304">
        <f>+H47</f>
        <v>100</v>
      </c>
      <c r="I45" s="536">
        <f>+H45*I50/H50</f>
        <v>108.57142857142857</v>
      </c>
      <c r="J45" s="536">
        <f t="shared" ref="J45:AA45" si="11">+I45*J50/I50</f>
        <v>108.57142857142857</v>
      </c>
      <c r="K45" s="536">
        <f t="shared" si="11"/>
        <v>108.57142857142857</v>
      </c>
      <c r="L45" s="536">
        <f t="shared" si="11"/>
        <v>111.42857142857143</v>
      </c>
      <c r="M45" s="536">
        <f t="shared" si="11"/>
        <v>113.33333333333333</v>
      </c>
      <c r="N45" s="536">
        <f t="shared" si="11"/>
        <v>116.19047619047619</v>
      </c>
      <c r="O45" s="536">
        <f t="shared" si="11"/>
        <v>118.0952380952381</v>
      </c>
      <c r="P45" s="536">
        <f t="shared" si="11"/>
        <v>122.85714285714286</v>
      </c>
      <c r="Q45" s="536">
        <f t="shared" si="11"/>
        <v>125.71428571428571</v>
      </c>
      <c r="R45" s="536">
        <f t="shared" si="11"/>
        <v>127.61904761904762</v>
      </c>
      <c r="S45" s="536">
        <f t="shared" si="11"/>
        <v>137.14285714285717</v>
      </c>
      <c r="T45" s="536">
        <f t="shared" si="11"/>
        <v>137.14285714285717</v>
      </c>
      <c r="U45" s="536">
        <f t="shared" si="11"/>
        <v>138.09523809523813</v>
      </c>
      <c r="V45" s="536">
        <f t="shared" si="11"/>
        <v>140.95238095238099</v>
      </c>
      <c r="W45" s="536">
        <f t="shared" si="11"/>
        <v>140.11574621200566</v>
      </c>
      <c r="X45" s="536">
        <f t="shared" si="11"/>
        <v>143.53086174374903</v>
      </c>
      <c r="Y45" s="536">
        <f t="shared" si="11"/>
        <v>160.88074680724355</v>
      </c>
      <c r="Z45" s="536">
        <f t="shared" si="11"/>
        <v>186.55583348043112</v>
      </c>
      <c r="AA45" s="536">
        <f t="shared" si="11"/>
        <v>200.53174806950338</v>
      </c>
      <c r="AB45" s="536">
        <f>+AA45*AB53/AA53</f>
        <v>214.56897043436859</v>
      </c>
      <c r="AC45" s="536">
        <f>+AB45*AC53/AB53</f>
        <v>250.66468508687919</v>
      </c>
      <c r="AD45" s="536">
        <f>+AC45*AD53/AC53</f>
        <v>264.70190745174443</v>
      </c>
      <c r="AE45" s="536">
        <f>+AD45*AE53/AD53</f>
        <v>304.80825706564514</v>
      </c>
      <c r="AF45" s="536">
        <f>+AE45*AF53/AE53</f>
        <v>334.88801927607062</v>
      </c>
      <c r="AG45" s="539">
        <f>+AF45*AG47/AF47</f>
        <v>364.05078081207847</v>
      </c>
      <c r="AH45" s="536">
        <f>+AG45*(AH33/AG33)/(AH34/AG34)</f>
        <v>399.23202851364044</v>
      </c>
      <c r="AI45" s="536">
        <f t="shared" ref="AI45:AZ45" si="12">+AH45*(AI33/AH33)/(AI34/AH34)</f>
        <v>404.0657733040174</v>
      </c>
      <c r="AJ45" s="536">
        <f t="shared" si="12"/>
        <v>404.65530856511037</v>
      </c>
      <c r="AK45" s="536">
        <f t="shared" si="12"/>
        <v>409.55214054200519</v>
      </c>
      <c r="AL45" s="536">
        <f t="shared" si="12"/>
        <v>425.45713542169773</v>
      </c>
      <c r="AM45" s="536">
        <f t="shared" si="12"/>
        <v>504.70094173103081</v>
      </c>
      <c r="AN45" s="536">
        <f t="shared" si="12"/>
        <v>550.32043829688712</v>
      </c>
      <c r="AO45" s="536">
        <f t="shared" si="12"/>
        <v>613.8790901757302</v>
      </c>
      <c r="AP45" s="536">
        <f t="shared" si="12"/>
        <v>760.93372753293886</v>
      </c>
      <c r="AQ45" s="536">
        <f t="shared" si="12"/>
        <v>850.47017873419622</v>
      </c>
      <c r="AR45" s="536">
        <f t="shared" si="12"/>
        <v>1140.2753196024321</v>
      </c>
      <c r="AS45" s="536">
        <f t="shared" si="12"/>
        <v>3109.9145239955001</v>
      </c>
      <c r="AT45" s="536">
        <f t="shared" si="12"/>
        <v>17562.163699257155</v>
      </c>
      <c r="AU45" s="536">
        <f t="shared" si="12"/>
        <v>60897.61147314206</v>
      </c>
      <c r="AV45" s="536">
        <f t="shared" si="12"/>
        <v>67597.641253616297</v>
      </c>
      <c r="AW45" s="536">
        <f t="shared" si="12"/>
        <v>74136.981619691214</v>
      </c>
      <c r="AX45" s="536">
        <f t="shared" si="12"/>
        <v>80872.337425618563</v>
      </c>
      <c r="AY45" s="536">
        <f t="shared" si="12"/>
        <v>140262.27881321087</v>
      </c>
      <c r="AZ45" s="536">
        <f t="shared" si="12"/>
        <v>226828.61618844562</v>
      </c>
      <c r="BA45" s="540">
        <f>+AZ45*(BA29/AZ29)/(BA35/AZ35)</f>
        <v>310922.0929255503</v>
      </c>
      <c r="BB45" s="540">
        <f>+BA45*(BB29/BA29)/(BB35/BA35)</f>
        <v>429871.11115988967</v>
      </c>
      <c r="BC45" s="540">
        <f>+BB45*(BC29/BB29)/(BC35/BB35)</f>
        <v>522612.08560347342</v>
      </c>
      <c r="BD45" s="540">
        <f>+BC45*(BD29/BC29)/(BD35/BC35)</f>
        <v>594221.92744816293</v>
      </c>
      <c r="BE45" s="540">
        <f>+BD45*(BE29/BD29)/(BE35/BD35)</f>
        <v>652236.20065390691</v>
      </c>
      <c r="BF45" s="540">
        <f t="shared" ref="BF45:BP45" si="13">+BE45*(BF29/BE29)/(BF35/BE35)</f>
        <v>906826.34833702201</v>
      </c>
      <c r="BG45" s="540">
        <f t="shared" si="13"/>
        <v>965097.20671262289</v>
      </c>
      <c r="BH45" s="540">
        <f t="shared" si="13"/>
        <v>1115436.8932712558</v>
      </c>
      <c r="BI45" s="540">
        <f t="shared" si="13"/>
        <v>1187948.0191823107</v>
      </c>
      <c r="BJ45" s="540">
        <f t="shared" si="13"/>
        <v>1273768.4828136887</v>
      </c>
      <c r="BK45" s="540">
        <f t="shared" si="13"/>
        <v>1458657.2332047394</v>
      </c>
      <c r="BL45" s="540">
        <f t="shared" si="13"/>
        <v>1606186.7260648299</v>
      </c>
      <c r="BM45" s="540">
        <f t="shared" si="13"/>
        <v>1612350.7339248585</v>
      </c>
      <c r="BN45" s="540">
        <f t="shared" si="13"/>
        <v>1636121.2250395957</v>
      </c>
      <c r="BO45" s="540">
        <f t="shared" si="13"/>
        <v>1603852.5969893348</v>
      </c>
      <c r="BP45" s="725">
        <f t="shared" si="13"/>
        <v>2023484.4130632754</v>
      </c>
      <c r="BQ45" s="725">
        <f>+BP45*(BQ29/BP29)/(BQ35/BP35)</f>
        <v>2452367.6145438389</v>
      </c>
      <c r="BR45" s="725">
        <f>+BQ45*(BR29/BQ29)/(BR35/BQ35)</f>
        <v>2565766.6400468601</v>
      </c>
      <c r="BS45" s="725">
        <f>+BR45*(BS29/BR29)/(BS35/BR35)</f>
        <v>2733152.082131194</v>
      </c>
    </row>
    <row r="46" spans="1:72" s="300" customFormat="1">
      <c r="A46" s="300" t="s">
        <v>1953</v>
      </c>
      <c r="H46" s="521">
        <f t="shared" ref="H46:BC46" si="14">+H43/H45</f>
        <v>1</v>
      </c>
      <c r="I46" s="521">
        <f t="shared" si="14"/>
        <v>1</v>
      </c>
      <c r="J46" s="521">
        <f t="shared" si="14"/>
        <v>1</v>
      </c>
      <c r="K46" s="521">
        <f t="shared" si="14"/>
        <v>1</v>
      </c>
      <c r="L46" s="521">
        <f t="shared" si="14"/>
        <v>1</v>
      </c>
      <c r="M46" s="521">
        <f t="shared" si="14"/>
        <v>1</v>
      </c>
      <c r="N46" s="521">
        <f t="shared" si="14"/>
        <v>1.0000000000000002</v>
      </c>
      <c r="O46" s="521">
        <f t="shared" si="14"/>
        <v>1.0000000000000002</v>
      </c>
      <c r="P46" s="521">
        <f t="shared" si="14"/>
        <v>1.0000000000000002</v>
      </c>
      <c r="Q46" s="521">
        <f t="shared" si="14"/>
        <v>1</v>
      </c>
      <c r="R46" s="521">
        <f t="shared" si="14"/>
        <v>0.99999999999999989</v>
      </c>
      <c r="S46" s="521">
        <f t="shared" si="14"/>
        <v>1</v>
      </c>
      <c r="T46" s="521">
        <f t="shared" si="14"/>
        <v>1</v>
      </c>
      <c r="U46" s="521">
        <f t="shared" si="14"/>
        <v>1</v>
      </c>
      <c r="V46" s="521">
        <f t="shared" si="14"/>
        <v>1</v>
      </c>
      <c r="W46" s="521">
        <f t="shared" si="14"/>
        <v>1</v>
      </c>
      <c r="X46" s="521">
        <f t="shared" si="14"/>
        <v>1</v>
      </c>
      <c r="Y46" s="521">
        <f t="shared" si="14"/>
        <v>1</v>
      </c>
      <c r="Z46" s="521">
        <f t="shared" si="14"/>
        <v>1</v>
      </c>
      <c r="AA46" s="521">
        <f t="shared" si="14"/>
        <v>0.99999999999999989</v>
      </c>
      <c r="AB46" s="521">
        <f t="shared" si="14"/>
        <v>0.99999999999999989</v>
      </c>
      <c r="AC46" s="521">
        <f t="shared" si="14"/>
        <v>0.99999999999999989</v>
      </c>
      <c r="AD46" s="521">
        <f t="shared" si="14"/>
        <v>1</v>
      </c>
      <c r="AE46" s="521">
        <f t="shared" si="14"/>
        <v>1</v>
      </c>
      <c r="AF46" s="521">
        <f t="shared" si="14"/>
        <v>1</v>
      </c>
      <c r="AG46" s="521">
        <f t="shared" si="14"/>
        <v>1</v>
      </c>
      <c r="AH46" s="521">
        <f t="shared" si="14"/>
        <v>1.0000000000000002</v>
      </c>
      <c r="AI46" s="521">
        <f t="shared" si="14"/>
        <v>1.0000000000000002</v>
      </c>
      <c r="AJ46" s="521">
        <f t="shared" si="14"/>
        <v>1.0000000000000002</v>
      </c>
      <c r="AK46" s="521">
        <f t="shared" si="14"/>
        <v>1</v>
      </c>
      <c r="AL46" s="521">
        <f t="shared" si="14"/>
        <v>0.99999999999999989</v>
      </c>
      <c r="AM46" s="521">
        <f t="shared" si="14"/>
        <v>0.99999999999999978</v>
      </c>
      <c r="AN46" s="521">
        <f t="shared" si="14"/>
        <v>0.99999999999999978</v>
      </c>
      <c r="AO46" s="521">
        <f t="shared" si="14"/>
        <v>0.99999999999999978</v>
      </c>
      <c r="AP46" s="521">
        <f t="shared" si="14"/>
        <v>0.99999999999999989</v>
      </c>
      <c r="AQ46" s="521">
        <f t="shared" si="14"/>
        <v>0.99999999999999989</v>
      </c>
      <c r="AR46" s="521">
        <f t="shared" si="14"/>
        <v>0.99999999999999978</v>
      </c>
      <c r="AS46" s="521">
        <f t="shared" si="14"/>
        <v>0.99999999999999989</v>
      </c>
      <c r="AT46" s="521">
        <f t="shared" si="14"/>
        <v>0.99999999999999978</v>
      </c>
      <c r="AU46" s="521">
        <f t="shared" si="14"/>
        <v>0.99999999999999978</v>
      </c>
      <c r="AV46" s="521">
        <f t="shared" si="14"/>
        <v>0.99999999999999978</v>
      </c>
      <c r="AW46" s="521">
        <f t="shared" si="14"/>
        <v>0.99999999999999978</v>
      </c>
      <c r="AX46" s="521">
        <f t="shared" si="14"/>
        <v>0.99999999999999967</v>
      </c>
      <c r="AY46" s="521">
        <f t="shared" si="14"/>
        <v>0.99999999999999956</v>
      </c>
      <c r="AZ46" s="521">
        <f t="shared" si="14"/>
        <v>0.99999999999999967</v>
      </c>
      <c r="BA46" s="521">
        <f t="shared" si="14"/>
        <v>0.99999999999999967</v>
      </c>
      <c r="BB46" s="521">
        <f t="shared" si="14"/>
        <v>0.99999999999999978</v>
      </c>
      <c r="BC46" s="521">
        <f t="shared" si="14"/>
        <v>0.99999999999999978</v>
      </c>
      <c r="BD46" s="521">
        <f>+BD43/BD45</f>
        <v>0.99999999999999978</v>
      </c>
    </row>
    <row r="47" spans="1:72" s="300" customFormat="1">
      <c r="A47" s="94" t="s">
        <v>1776</v>
      </c>
      <c r="B47" s="94"/>
      <c r="C47" s="94"/>
      <c r="D47" s="94" t="s">
        <v>1949</v>
      </c>
      <c r="E47" s="94" t="s">
        <v>1733</v>
      </c>
      <c r="H47" s="300">
        <v>100</v>
      </c>
      <c r="I47" s="522">
        <f>+H47*(1+I49/100)</f>
        <v>108.73786449432372</v>
      </c>
      <c r="J47" s="522">
        <f t="shared" ref="J47:BO47" si="15">+I47*(1+J49/100)</f>
        <v>108.73786449432372</v>
      </c>
      <c r="K47" s="522">
        <f t="shared" si="15"/>
        <v>108.73786449432372</v>
      </c>
      <c r="L47" s="522">
        <f t="shared" si="15"/>
        <v>111.65048590174328</v>
      </c>
      <c r="M47" s="522">
        <f t="shared" si="15"/>
        <v>113.59223341898772</v>
      </c>
      <c r="N47" s="522">
        <f t="shared" si="15"/>
        <v>114.56310721873126</v>
      </c>
      <c r="O47" s="522">
        <f t="shared" si="15"/>
        <v>115.53398103186795</v>
      </c>
      <c r="P47" s="522">
        <f t="shared" si="15"/>
        <v>116.50485483304676</v>
      </c>
      <c r="Q47" s="522">
        <f t="shared" si="15"/>
        <v>118.44660236730269</v>
      </c>
      <c r="R47" s="522">
        <f t="shared" si="15"/>
        <v>120.3883498915407</v>
      </c>
      <c r="S47" s="522">
        <f t="shared" si="15"/>
        <v>129.12621427434109</v>
      </c>
      <c r="T47" s="522">
        <f t="shared" si="15"/>
        <v>129.12621427434109</v>
      </c>
      <c r="U47" s="522">
        <f t="shared" si="15"/>
        <v>133.00970940345081</v>
      </c>
      <c r="V47" s="522">
        <f t="shared" si="15"/>
        <v>135.34549584224817</v>
      </c>
      <c r="W47" s="522">
        <f t="shared" si="15"/>
        <v>134.5421412411421</v>
      </c>
      <c r="X47" s="522">
        <f t="shared" si="15"/>
        <v>137.8214083374427</v>
      </c>
      <c r="Y47" s="522">
        <f t="shared" si="15"/>
        <v>154.48113966555701</v>
      </c>
      <c r="Z47" s="522">
        <f t="shared" si="15"/>
        <v>179.13490793180046</v>
      </c>
      <c r="AA47" s="522">
        <f t="shared" si="15"/>
        <v>192.55488052911286</v>
      </c>
      <c r="AB47" s="522">
        <f t="shared" si="15"/>
        <v>210.47890723180788</v>
      </c>
      <c r="AC47" s="522">
        <f t="shared" si="15"/>
        <v>229.06142051430126</v>
      </c>
      <c r="AD47" s="522">
        <f t="shared" si="15"/>
        <v>247.35420016138326</v>
      </c>
      <c r="AE47" s="522">
        <f t="shared" si="15"/>
        <v>281.87210824949204</v>
      </c>
      <c r="AF47" s="522">
        <f t="shared" si="15"/>
        <v>319.10298379892197</v>
      </c>
      <c r="AG47" s="522">
        <f t="shared" si="15"/>
        <v>346.89115084674057</v>
      </c>
      <c r="AH47" s="522">
        <f t="shared" si="15"/>
        <v>372.17706588029301</v>
      </c>
      <c r="AI47" s="522">
        <f t="shared" si="15"/>
        <v>388.50755314007949</v>
      </c>
      <c r="AJ47" s="522">
        <f t="shared" si="15"/>
        <v>404.82486963094345</v>
      </c>
      <c r="AK47" s="522">
        <f t="shared" si="15"/>
        <v>470.81132029221857</v>
      </c>
      <c r="AL47" s="522">
        <f t="shared" si="15"/>
        <v>615.35039921393502</v>
      </c>
      <c r="AM47" s="522">
        <f t="shared" si="15"/>
        <v>1161.7815724949132</v>
      </c>
      <c r="AN47" s="522">
        <f t="shared" si="15"/>
        <v>1336.04880836915</v>
      </c>
      <c r="AO47" s="522">
        <f t="shared" si="15"/>
        <v>1599.250433811116</v>
      </c>
      <c r="AP47" s="522">
        <f t="shared" si="15"/>
        <v>1947.0281228771244</v>
      </c>
      <c r="AQ47" s="522">
        <f t="shared" si="15"/>
        <v>2452.6470633856261</v>
      </c>
      <c r="AR47" s="522">
        <f t="shared" si="15"/>
        <v>3523.5245067837836</v>
      </c>
      <c r="AS47" s="522">
        <f t="shared" si="15"/>
        <v>8580.4324608131537</v>
      </c>
      <c r="AT47" s="522">
        <f t="shared" si="15"/>
        <v>40197.544077527629</v>
      </c>
      <c r="AU47" s="522">
        <f t="shared" si="15"/>
        <v>134886.00783361812</v>
      </c>
      <c r="AV47" s="522">
        <f t="shared" si="15"/>
        <v>133941.80577878279</v>
      </c>
      <c r="AW47" s="522">
        <f t="shared" si="15"/>
        <v>143451.67398907637</v>
      </c>
      <c r="AX47" s="522">
        <f t="shared" si="15"/>
        <v>170707.49204700088</v>
      </c>
      <c r="AY47" s="522">
        <f t="shared" si="15"/>
        <v>337830.12676101475</v>
      </c>
      <c r="AZ47" s="522">
        <f t="shared" si="15"/>
        <v>538163.39193029644</v>
      </c>
      <c r="BA47" s="522">
        <f t="shared" si="15"/>
        <v>745894.46121539094</v>
      </c>
      <c r="BB47" s="522">
        <f t="shared" si="15"/>
        <v>861508.10270377656</v>
      </c>
      <c r="BC47" s="522">
        <f t="shared" si="15"/>
        <v>1057070.4420175338</v>
      </c>
      <c r="BD47" s="522">
        <f t="shared" si="15"/>
        <v>1162777.4862192874</v>
      </c>
      <c r="BE47" s="522">
        <f t="shared" si="15"/>
        <v>1273241.3474101196</v>
      </c>
      <c r="BF47" s="522">
        <f t="shared" si="15"/>
        <v>1415844.3783200532</v>
      </c>
      <c r="BG47" s="522">
        <f t="shared" si="15"/>
        <v>1506830.4931572056</v>
      </c>
      <c r="BH47" s="522">
        <f t="shared" si="15"/>
        <v>1728377.4981417577</v>
      </c>
      <c r="BI47" s="522">
        <f t="shared" si="15"/>
        <v>1725023.3043210937</v>
      </c>
      <c r="BJ47" s="522">
        <f t="shared" si="15"/>
        <v>1844822.5036008605</v>
      </c>
      <c r="BK47" s="522">
        <f t="shared" si="15"/>
        <v>2171431.4580353899</v>
      </c>
      <c r="BL47" s="522">
        <f t="shared" si="15"/>
        <v>2280301.1095135664</v>
      </c>
      <c r="BM47" s="522">
        <f t="shared" si="15"/>
        <v>2324331.573514258</v>
      </c>
      <c r="BN47" s="522">
        <f t="shared" si="15"/>
        <v>2402655.268019679</v>
      </c>
      <c r="BO47" s="522">
        <f t="shared" si="15"/>
        <v>2568438.4815130369</v>
      </c>
    </row>
    <row r="48" spans="1:72" s="300" customFormat="1">
      <c r="A48" s="94" t="s">
        <v>1951</v>
      </c>
      <c r="B48" s="94"/>
      <c r="C48" s="94"/>
      <c r="D48" s="94"/>
      <c r="E48" s="94"/>
      <c r="H48" s="521">
        <f>+H45/H47</f>
        <v>1</v>
      </c>
      <c r="I48" s="521">
        <f t="shared" ref="I48:BD48" si="16">+I45/I47</f>
        <v>0.9984693839292399</v>
      </c>
      <c r="J48" s="521">
        <f t="shared" si="16"/>
        <v>0.9984693839292399</v>
      </c>
      <c r="K48" s="521">
        <f t="shared" si="16"/>
        <v>0.9984693839292399</v>
      </c>
      <c r="L48" s="521">
        <f t="shared" si="16"/>
        <v>0.9980124182050838</v>
      </c>
      <c r="M48" s="521">
        <f t="shared" si="16"/>
        <v>0.99772079412595549</v>
      </c>
      <c r="N48" s="521">
        <f t="shared" si="16"/>
        <v>1.0142050002941858</v>
      </c>
      <c r="O48" s="521">
        <f t="shared" si="16"/>
        <v>1.0221688635715207</v>
      </c>
      <c r="P48" s="521">
        <f t="shared" si="16"/>
        <v>1.0545238053229544</v>
      </c>
      <c r="Q48" s="521">
        <f t="shared" si="16"/>
        <v>1.0613583100040807</v>
      </c>
      <c r="R48" s="521">
        <f t="shared" si="16"/>
        <v>1.0600614406129925</v>
      </c>
      <c r="S48" s="521">
        <f t="shared" si="16"/>
        <v>1.0620837752703254</v>
      </c>
      <c r="T48" s="521">
        <f t="shared" si="16"/>
        <v>1.0620837752703254</v>
      </c>
      <c r="U48" s="521">
        <f t="shared" si="16"/>
        <v>1.0382342666155422</v>
      </c>
      <c r="V48" s="521">
        <f t="shared" si="16"/>
        <v>1.0414264625153682</v>
      </c>
      <c r="W48" s="521">
        <f t="shared" si="16"/>
        <v>1.0414264625153682</v>
      </c>
      <c r="X48" s="521">
        <f t="shared" si="16"/>
        <v>1.0414264625153682</v>
      </c>
      <c r="Y48" s="521">
        <f t="shared" si="16"/>
        <v>1.0414264625153682</v>
      </c>
      <c r="Z48" s="521">
        <f t="shared" si="16"/>
        <v>1.0414264625153682</v>
      </c>
      <c r="AA48" s="521">
        <f t="shared" si="16"/>
        <v>1.0414264625153682</v>
      </c>
      <c r="AB48" s="521">
        <f t="shared" si="16"/>
        <v>1.0194321761565219</v>
      </c>
      <c r="AC48" s="521">
        <f t="shared" si="16"/>
        <v>1.0943121042560249</v>
      </c>
      <c r="AD48" s="521">
        <f t="shared" si="16"/>
        <v>1.0701330613308482</v>
      </c>
      <c r="AE48" s="521">
        <f t="shared" si="16"/>
        <v>1.0813707640624439</v>
      </c>
      <c r="AF48" s="521">
        <f t="shared" si="16"/>
        <v>1.0494669002753523</v>
      </c>
      <c r="AG48" s="521">
        <f t="shared" si="16"/>
        <v>1.0494669002753523</v>
      </c>
      <c r="AH48" s="521">
        <f t="shared" si="16"/>
        <v>1.0726937931260101</v>
      </c>
      <c r="AI48" s="521">
        <f t="shared" si="16"/>
        <v>1.0400461201801352</v>
      </c>
      <c r="AJ48" s="521">
        <f t="shared" si="16"/>
        <v>0.99958114958207078</v>
      </c>
      <c r="AK48" s="521">
        <f t="shared" si="16"/>
        <v>0.86988592433972989</v>
      </c>
      <c r="AL48" s="521">
        <f t="shared" si="16"/>
        <v>0.69140628813305072</v>
      </c>
      <c r="AM48" s="521">
        <f t="shared" si="16"/>
        <v>0.43441982011058333</v>
      </c>
      <c r="AN48" s="521">
        <f t="shared" si="16"/>
        <v>0.41190144764893477</v>
      </c>
      <c r="AO48" s="521">
        <f t="shared" si="16"/>
        <v>0.38385425896857012</v>
      </c>
      <c r="AP48" s="521">
        <f t="shared" si="16"/>
        <v>0.39081804653571556</v>
      </c>
      <c r="AQ48" s="521">
        <f t="shared" si="16"/>
        <v>0.34675603817216566</v>
      </c>
      <c r="AR48" s="521">
        <f t="shared" si="16"/>
        <v>0.32361782000013872</v>
      </c>
      <c r="AS48" s="521">
        <f t="shared" si="16"/>
        <v>0.36244263190678139</v>
      </c>
      <c r="AT48" s="521">
        <f t="shared" si="16"/>
        <v>0.43689643490123697</v>
      </c>
      <c r="AU48" s="521">
        <f t="shared" si="16"/>
        <v>0.45147463737127769</v>
      </c>
      <c r="AV48" s="521">
        <f t="shared" si="16"/>
        <v>0.50467918407237256</v>
      </c>
      <c r="AW48" s="521">
        <f t="shared" si="16"/>
        <v>0.51680806196333851</v>
      </c>
      <c r="AX48" s="521">
        <f t="shared" si="16"/>
        <v>0.47374802626326434</v>
      </c>
      <c r="AY48" s="521">
        <f t="shared" si="16"/>
        <v>0.41518582181521707</v>
      </c>
      <c r="AZ48" s="521">
        <f t="shared" si="16"/>
        <v>0.42148652173246437</v>
      </c>
      <c r="BA48" s="521">
        <f t="shared" si="16"/>
        <v>0.41684461957114027</v>
      </c>
      <c r="BB48" s="521">
        <f t="shared" si="16"/>
        <v>0.49897512259115429</v>
      </c>
      <c r="BC48" s="521">
        <f t="shared" si="16"/>
        <v>0.494396650242165</v>
      </c>
      <c r="BD48" s="521">
        <f t="shared" si="16"/>
        <v>0.51103666392806224</v>
      </c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</row>
    <row r="49" spans="1:70" s="94" customFormat="1">
      <c r="A49" s="94" t="s">
        <v>1776</v>
      </c>
      <c r="D49" s="94" t="s">
        <v>1349</v>
      </c>
      <c r="E49" s="94" t="s">
        <v>1733</v>
      </c>
      <c r="F49" s="319">
        <v>2</v>
      </c>
      <c r="G49" s="319">
        <v>1</v>
      </c>
      <c r="H49" s="319">
        <v>1.9801980257034302</v>
      </c>
      <c r="I49" s="319">
        <v>8.7378644943237305</v>
      </c>
      <c r="J49" s="319">
        <v>0</v>
      </c>
      <c r="K49" s="319">
        <v>0</v>
      </c>
      <c r="L49" s="319">
        <v>2.6785714626312256</v>
      </c>
      <c r="M49" s="319">
        <v>1.7391303777694702</v>
      </c>
      <c r="N49" s="319">
        <v>0.85470086336135864</v>
      </c>
      <c r="O49" s="319">
        <v>0.8474576473236084</v>
      </c>
      <c r="P49" s="319">
        <v>0.8403361439704895</v>
      </c>
      <c r="Q49" s="319">
        <v>1.6666666269302368</v>
      </c>
      <c r="R49" s="319">
        <v>1.6393442153930664</v>
      </c>
      <c r="S49" s="319">
        <v>7.2580647468566895</v>
      </c>
      <c r="T49" s="319">
        <v>0</v>
      </c>
      <c r="U49" s="319">
        <v>3.0075187683105469</v>
      </c>
      <c r="V49" s="319">
        <v>1.7561022043228149</v>
      </c>
      <c r="W49" s="319">
        <v>-0.59355843067169189</v>
      </c>
      <c r="X49" s="319">
        <v>2.4373531341552734</v>
      </c>
      <c r="Y49" s="319">
        <v>12.087912559509277</v>
      </c>
      <c r="Z49" s="319">
        <v>15.959079742431641</v>
      </c>
      <c r="AA49" s="319">
        <v>7.4915452003479004</v>
      </c>
      <c r="AB49" s="319">
        <v>9.3085289001464844</v>
      </c>
      <c r="AC49" s="319">
        <v>8.8286819458007813</v>
      </c>
      <c r="AD49" s="319">
        <v>7.9859714508056641</v>
      </c>
      <c r="AE49" s="319">
        <v>13.954850196838379</v>
      </c>
      <c r="AF49" s="319">
        <v>13.208428382873535</v>
      </c>
      <c r="AG49" s="319">
        <v>8.7082128524780273</v>
      </c>
      <c r="AH49" s="319">
        <v>7.2892937660217285</v>
      </c>
      <c r="AI49" s="319">
        <v>4.3878273963928223</v>
      </c>
      <c r="AJ49" s="319">
        <v>4.1999998092651367</v>
      </c>
      <c r="AK49" s="319">
        <v>16.299999237060547</v>
      </c>
      <c r="AL49" s="319">
        <v>30.700000762939453</v>
      </c>
      <c r="AM49" s="319">
        <v>88.800003051757813</v>
      </c>
      <c r="AN49" s="319">
        <v>15</v>
      </c>
      <c r="AO49" s="319">
        <v>19.700000762939453</v>
      </c>
      <c r="AP49" s="319">
        <v>21.746293245469506</v>
      </c>
      <c r="AQ49" s="319">
        <v>25.968753844261293</v>
      </c>
      <c r="AR49" s="319">
        <v>43.662109374999993</v>
      </c>
      <c r="AS49" s="319">
        <v>143.51845557745909</v>
      </c>
      <c r="AT49" s="319">
        <v>368.47923179991062</v>
      </c>
      <c r="AU49" s="319">
        <v>235.55783301951999</v>
      </c>
      <c r="AV49" s="319">
        <v>-0.7</v>
      </c>
      <c r="AW49" s="319">
        <v>7.1</v>
      </c>
      <c r="AX49" s="319">
        <v>19</v>
      </c>
      <c r="AY49" s="319">
        <v>97.9</v>
      </c>
      <c r="AZ49" s="319">
        <v>59.3</v>
      </c>
      <c r="BA49" s="319">
        <v>38.6</v>
      </c>
      <c r="BB49" s="319">
        <v>15.5</v>
      </c>
      <c r="BC49" s="319">
        <v>22.7</v>
      </c>
      <c r="BD49" s="319">
        <v>10</v>
      </c>
      <c r="BE49" s="319">
        <v>9.5</v>
      </c>
      <c r="BF49" s="319">
        <v>11.2</v>
      </c>
      <c r="BG49" s="319">
        <v>6.4262793447052768</v>
      </c>
      <c r="BH49" s="319">
        <v>14.702848528128264</v>
      </c>
      <c r="BI49" s="319">
        <v>-0.19406604311096309</v>
      </c>
      <c r="BJ49" s="319">
        <v>6.9447872953180445</v>
      </c>
      <c r="BK49" s="319">
        <v>17.70408555820573</v>
      </c>
      <c r="BL49" s="319">
        <v>5.0137272846123571</v>
      </c>
      <c r="BM49" s="319">
        <v>1.9309056956115844</v>
      </c>
      <c r="BN49" s="319">
        <v>3.3697298353607907</v>
      </c>
      <c r="BO49" s="319">
        <v>6.9</v>
      </c>
      <c r="BP49" s="94">
        <v>55.5</v>
      </c>
      <c r="BQ49" s="94">
        <v>22</v>
      </c>
      <c r="BR49" s="94">
        <v>6.9</v>
      </c>
    </row>
    <row r="50" spans="1:70" s="94" customFormat="1">
      <c r="A50" s="94" t="s">
        <v>1935</v>
      </c>
      <c r="E50" s="94" t="s">
        <v>1936</v>
      </c>
      <c r="F50" s="319"/>
      <c r="G50" s="319"/>
      <c r="H50" s="319">
        <v>105</v>
      </c>
      <c r="I50" s="319">
        <v>114</v>
      </c>
      <c r="J50" s="319">
        <v>114</v>
      </c>
      <c r="K50" s="319">
        <v>114</v>
      </c>
      <c r="L50" s="319">
        <v>117</v>
      </c>
      <c r="M50" s="319">
        <v>119</v>
      </c>
      <c r="N50" s="319">
        <v>122</v>
      </c>
      <c r="O50" s="319">
        <v>124</v>
      </c>
      <c r="P50" s="319">
        <v>129</v>
      </c>
      <c r="Q50" s="319">
        <v>132</v>
      </c>
      <c r="R50" s="319">
        <v>134</v>
      </c>
      <c r="S50" s="319">
        <v>144</v>
      </c>
      <c r="T50" s="319">
        <v>144</v>
      </c>
      <c r="U50" s="319">
        <v>145</v>
      </c>
      <c r="V50" s="319">
        <v>148</v>
      </c>
      <c r="W50" s="524">
        <f>+V50*(1+W49/100)</f>
        <v>147.12153352260589</v>
      </c>
      <c r="X50" s="524">
        <f>+W50*(1+X49/100)</f>
        <v>150.70740483093641</v>
      </c>
      <c r="Y50" s="524">
        <f>+X50*(1+Y49/100)</f>
        <v>168.92478414760566</v>
      </c>
      <c r="Z50" s="524">
        <f>+Y50*(1+Z49/100)</f>
        <v>195.88362515445257</v>
      </c>
      <c r="AA50" s="524">
        <f>+Z50*(1+AA49/100)</f>
        <v>210.55833547297843</v>
      </c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</row>
    <row r="51" spans="1:70" s="94" customFormat="1">
      <c r="A51" s="94" t="s">
        <v>1940</v>
      </c>
      <c r="F51" s="319"/>
      <c r="G51" s="319"/>
      <c r="H51" s="319">
        <v>100</v>
      </c>
      <c r="I51" s="319"/>
      <c r="J51" s="319"/>
      <c r="K51" s="319"/>
      <c r="L51" s="319">
        <v>111</v>
      </c>
      <c r="M51" s="319"/>
      <c r="N51" s="319"/>
      <c r="O51" s="319"/>
      <c r="P51" s="319"/>
      <c r="Q51" s="319">
        <v>126</v>
      </c>
      <c r="R51" s="319"/>
      <c r="S51" s="319"/>
      <c r="T51" s="319"/>
      <c r="U51" s="319"/>
      <c r="V51" s="319">
        <v>139</v>
      </c>
      <c r="W51" s="319"/>
      <c r="X51" s="319"/>
      <c r="Y51" s="319"/>
      <c r="Z51" s="319"/>
      <c r="AA51" s="319">
        <v>198</v>
      </c>
      <c r="AB51" s="319"/>
      <c r="AC51" s="319"/>
      <c r="AD51" s="319"/>
      <c r="AE51" s="319"/>
      <c r="AF51" s="319">
        <v>331</v>
      </c>
      <c r="AG51" s="319"/>
      <c r="AH51" s="319"/>
      <c r="AI51" s="319"/>
      <c r="AJ51" s="319"/>
      <c r="AK51" s="319">
        <v>391</v>
      </c>
      <c r="AL51" s="319"/>
      <c r="AM51" s="319"/>
      <c r="AN51" s="319"/>
      <c r="AO51" s="319"/>
      <c r="AP51" s="319">
        <v>725</v>
      </c>
      <c r="AQ51" s="319"/>
      <c r="AR51" s="319"/>
      <c r="AS51" s="319"/>
      <c r="AT51" s="319"/>
      <c r="AU51" s="322">
        <v>58136</v>
      </c>
      <c r="AV51" s="319"/>
      <c r="AW51" s="319"/>
      <c r="AX51" s="319"/>
      <c r="AY51" s="319"/>
      <c r="AZ51" s="322">
        <v>216538</v>
      </c>
      <c r="BA51" s="319"/>
      <c r="BB51" s="319"/>
      <c r="BC51" s="319"/>
      <c r="BD51" s="322">
        <v>587010</v>
      </c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</row>
    <row r="52" spans="1:70" s="94" customFormat="1">
      <c r="A52" s="94" t="s">
        <v>1939</v>
      </c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>
        <v>100</v>
      </c>
      <c r="AB52" s="319">
        <f>+AA52*(1+AB49/100)</f>
        <v>109.30852890014648</v>
      </c>
      <c r="AC52" s="319">
        <f>+AB52*(1+AC49/100)</f>
        <v>118.95903125637415</v>
      </c>
      <c r="AD52" s="319">
        <f>+AC52*(1+AD49/100)</f>
        <v>128.45906553066317</v>
      </c>
      <c r="AE52" s="319">
        <f>+AD52*(1+AE49/100)</f>
        <v>146.38533568972565</v>
      </c>
      <c r="AF52" s="319">
        <f>+AE52*(1+AF49/100)</f>
        <v>165.72053791733205</v>
      </c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</row>
    <row r="53" spans="1:70" s="94" customFormat="1">
      <c r="A53" s="94" t="s">
        <v>1937</v>
      </c>
      <c r="E53" s="94" t="s">
        <v>1938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>
        <v>100</v>
      </c>
      <c r="AB53" s="319">
        <v>107</v>
      </c>
      <c r="AC53" s="319">
        <v>125</v>
      </c>
      <c r="AD53" s="319">
        <v>132</v>
      </c>
      <c r="AE53" s="319">
        <v>152</v>
      </c>
      <c r="AF53" s="319">
        <v>167</v>
      </c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</row>
    <row r="54" spans="1:70" s="300" customFormat="1">
      <c r="AJ54" s="521"/>
      <c r="AK54" s="521"/>
      <c r="AL54" s="521"/>
      <c r="AM54" s="521"/>
      <c r="AN54" s="521"/>
      <c r="AO54" s="521"/>
      <c r="AP54" s="521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</row>
    <row r="55" spans="1:70" s="300" customFormat="1">
      <c r="AJ55" s="521"/>
      <c r="AK55" s="521"/>
      <c r="AL55" s="521"/>
      <c r="AM55" s="521"/>
      <c r="AN55" s="521"/>
      <c r="AO55" s="521"/>
      <c r="AV55" s="522"/>
      <c r="AW55" s="522"/>
      <c r="AX55" s="522"/>
      <c r="AY55" s="522"/>
      <c r="AZ55" s="522"/>
      <c r="BA55" s="522"/>
      <c r="BB55" s="522"/>
      <c r="BC55" s="522"/>
      <c r="BD55" s="522"/>
    </row>
    <row r="56" spans="1:70" s="300" customFormat="1">
      <c r="AJ56" s="521"/>
      <c r="AK56" s="521"/>
      <c r="AL56" s="521"/>
      <c r="AM56" s="521"/>
      <c r="AN56" s="521"/>
      <c r="AO56" s="521"/>
      <c r="AV56" s="522"/>
      <c r="AW56" s="522"/>
      <c r="AX56" s="522"/>
      <c r="AY56" s="522"/>
      <c r="AZ56" s="522"/>
      <c r="BA56" s="522"/>
      <c r="BB56" s="522"/>
      <c r="BC56" s="522"/>
      <c r="BD56" s="522"/>
    </row>
    <row r="57" spans="1:70" s="300" customFormat="1">
      <c r="AJ57" s="521"/>
      <c r="AK57" s="521"/>
      <c r="AL57" s="521"/>
      <c r="AM57" s="521"/>
      <c r="AN57" s="521"/>
      <c r="AO57" s="521"/>
      <c r="AV57" s="522"/>
      <c r="AW57" s="522"/>
      <c r="AX57" s="522"/>
      <c r="AY57" s="522"/>
      <c r="AZ57" s="522"/>
      <c r="BA57" s="522"/>
      <c r="BB57" s="522"/>
      <c r="BC57" s="522"/>
      <c r="BD57" s="522"/>
    </row>
    <row r="58" spans="1:70" s="300" customFormat="1">
      <c r="AJ58" s="521"/>
      <c r="AK58" s="521"/>
      <c r="AL58" s="521"/>
      <c r="AM58" s="521"/>
      <c r="AN58" s="521"/>
      <c r="AO58" s="521"/>
      <c r="AV58" s="522"/>
      <c r="AW58" s="522"/>
      <c r="AX58" s="522"/>
      <c r="AY58" s="522"/>
      <c r="AZ58" s="522"/>
      <c r="BA58" s="522"/>
      <c r="BB58" s="522"/>
      <c r="BC58" s="522"/>
      <c r="BD58" s="522"/>
    </row>
    <row r="59" spans="1:70" s="300" customFormat="1">
      <c r="A59" s="300" t="s">
        <v>2367</v>
      </c>
      <c r="D59" s="300" t="s">
        <v>1455</v>
      </c>
      <c r="E59" s="300" t="s">
        <v>484</v>
      </c>
      <c r="F59" s="508">
        <f>+mamiabc!F13</f>
        <v>4.1500000000000002E-2</v>
      </c>
      <c r="G59" s="508">
        <f>+mamiabc!G13</f>
        <v>4.3400000000000001E-2</v>
      </c>
      <c r="H59" s="508">
        <f>+mamiabc!H13</f>
        <v>4.6439998626708986E-2</v>
      </c>
      <c r="I59" s="508">
        <f>+mamiabc!I13</f>
        <v>5.241699981689453E-2</v>
      </c>
      <c r="J59" s="508">
        <f>+mamiabc!J13</f>
        <v>5.6544998168945315E-2</v>
      </c>
      <c r="K59" s="508">
        <f>+mamiabc!K13</f>
        <v>6.2349998474121093E-2</v>
      </c>
      <c r="L59" s="508">
        <f>+mamiabc!L13</f>
        <v>6.665000152587891E-2</v>
      </c>
      <c r="M59" s="508">
        <f>+mamiabc!M13</f>
        <v>6.7080001831054684E-2</v>
      </c>
      <c r="N59" s="508">
        <f>+mamiabc!N13</f>
        <v>7.1165000915527341E-2</v>
      </c>
      <c r="O59" s="508">
        <f>+mamiabc!O13</f>
        <v>7.6110000610351558E-2</v>
      </c>
      <c r="P59" s="508">
        <f>+mamiabc!P13</f>
        <v>8.243099975585938E-2</v>
      </c>
      <c r="Q59" s="508">
        <f>+mamiabc!Q13</f>
        <v>8.608599853515625E-2</v>
      </c>
      <c r="R59" s="508">
        <f>+mamiabc!R13</f>
        <v>9.8396003723144526E-2</v>
      </c>
      <c r="S59" s="508">
        <f>+mamiabc!S13</f>
        <v>0.10769999694824219</v>
      </c>
      <c r="T59" s="508">
        <f>+mamiabc!T13</f>
        <v>0.12057599639892579</v>
      </c>
      <c r="U59" s="508">
        <f>+mamiabc!U13</f>
        <v>0.13096800231933595</v>
      </c>
      <c r="V59" s="508">
        <f>+mamiabc!V13</f>
        <v>0.1467790069580078</v>
      </c>
      <c r="W59" s="508">
        <f>+mamiabc!W13</f>
        <v>0.15624000549316405</v>
      </c>
      <c r="X59" s="508">
        <f>+mamiabc!X13</f>
        <v>0.17239999389648439</v>
      </c>
      <c r="Y59" s="508">
        <f>+mamiabc!Y13</f>
        <v>0.192</v>
      </c>
      <c r="Z59" s="508">
        <f>+mamiabc!Z13</f>
        <v>0.2175</v>
      </c>
      <c r="AA59" s="508">
        <f>+mamiabc!AA13</f>
        <v>0.27389999389648439</v>
      </c>
      <c r="AB59" s="508">
        <f>+mamiabc!AB13</f>
        <v>0.32139999389648438</v>
      </c>
      <c r="AC59" s="508">
        <f>+mamiabc!AC13</f>
        <v>0.4126000061035156</v>
      </c>
      <c r="AD59" s="508">
        <f>+mamiabc!AD13</f>
        <v>0.49049999999999999</v>
      </c>
      <c r="AE59" s="508">
        <f>+mamiabc!AE13</f>
        <v>0.50420001220703126</v>
      </c>
      <c r="AF59" s="508">
        <f>+mamiabc!AF13</f>
        <v>0.60074401855468751</v>
      </c>
      <c r="AG59" s="508">
        <f>+mamiabc!AG13</f>
        <v>0.6944051513671875</v>
      </c>
      <c r="AH59" s="508">
        <f>+mamiabc!AH13</f>
        <v>0.77085192871093755</v>
      </c>
      <c r="AI59" s="508">
        <f>+mamiabc!AI13</f>
        <v>0.81893273925781251</v>
      </c>
      <c r="AJ59" s="508">
        <f>+mamiabc!AJ13</f>
        <v>0.84596643066406252</v>
      </c>
      <c r="AK59" s="508">
        <f>+mamiabc!AK13</f>
        <v>0.8725950927734375</v>
      </c>
      <c r="AL59" s="508">
        <f>+mamiabc!AL13</f>
        <v>0.80781958007812504</v>
      </c>
      <c r="AM59" s="508">
        <f>+mamiabc!AM13</f>
        <v>0.71</v>
      </c>
      <c r="AN59" s="508">
        <f>+mamiabc!AN13</f>
        <v>0.747</v>
      </c>
      <c r="AO59" s="508">
        <f>+mamiabc!AO13</f>
        <v>0.80829998779296874</v>
      </c>
      <c r="AP59" s="508">
        <f>+mamiabc!AP13</f>
        <v>0.90961999999999998</v>
      </c>
      <c r="AQ59" s="508">
        <f>+mamiabc!AQ13</f>
        <v>1.0680000000000001</v>
      </c>
      <c r="AR59" s="508">
        <f>+mamiabc!AR13</f>
        <v>1.3939999999999999</v>
      </c>
      <c r="AS59" s="508">
        <f>+mamiabc!AS13</f>
        <v>2.4820000000000002</v>
      </c>
      <c r="AT59" s="508">
        <f>+mamiabc!AT13</f>
        <v>15.302</v>
      </c>
      <c r="AU59" s="508">
        <f>+mamiabc!AU13</f>
        <v>65.677000000000007</v>
      </c>
      <c r="AV59" s="508">
        <f>+mamiabc!AV13</f>
        <v>100.84399999999999</v>
      </c>
      <c r="AW59" s="508">
        <f>+mamiabc!AW13</f>
        <v>133.77799999999999</v>
      </c>
      <c r="AX59" s="508">
        <f>+mamiabc!AX13</f>
        <v>159.37317000000002</v>
      </c>
      <c r="AY59" s="508">
        <f>+mamiabc!AY13</f>
        <v>286.04847999999998</v>
      </c>
      <c r="AZ59" s="508">
        <f>+mamiabc!AZ13</f>
        <v>389.363</v>
      </c>
      <c r="BA59" s="542">
        <v>622.38099999999997</v>
      </c>
      <c r="BB59" s="542">
        <v>697.09900000000005</v>
      </c>
      <c r="BC59" s="542">
        <v>852.40300000000002</v>
      </c>
      <c r="BD59" s="542">
        <v>1036.923</v>
      </c>
      <c r="BE59" s="543">
        <v>1188.636</v>
      </c>
      <c r="BF59" s="543">
        <v>1291.8219999999999</v>
      </c>
      <c r="BG59" s="303">
        <f t="shared" ref="BG59:BN59" si="17">+BG149</f>
        <v>1186.0346473145414</v>
      </c>
      <c r="BH59" s="303">
        <f t="shared" si="17"/>
        <v>1307.9669072114675</v>
      </c>
      <c r="BI59" s="303">
        <f t="shared" si="17"/>
        <v>1507.4248872885755</v>
      </c>
      <c r="BJ59" s="303">
        <f t="shared" si="17"/>
        <v>1746.4395529969424</v>
      </c>
      <c r="BK59" s="303">
        <f t="shared" si="17"/>
        <v>2151.8593860239343</v>
      </c>
      <c r="BL59" s="303">
        <f t="shared" si="17"/>
        <v>2569.589143820499</v>
      </c>
      <c r="BM59" s="303">
        <f t="shared" si="17"/>
        <v>2766.1415459255404</v>
      </c>
      <c r="BN59" s="303">
        <f t="shared" si="17"/>
        <v>3060.5604681778404</v>
      </c>
    </row>
    <row r="60" spans="1:70" s="300" customFormat="1">
      <c r="A60" s="300" t="s">
        <v>2366</v>
      </c>
      <c r="D60" s="300" t="s">
        <v>1455</v>
      </c>
      <c r="F60" s="508">
        <f>+mamiabc!F53</f>
        <v>9.8000000000000014E-3</v>
      </c>
      <c r="G60" s="508">
        <f>+mamiabc!G53</f>
        <v>1.1300000000000001E-2</v>
      </c>
      <c r="H60" s="508">
        <f>+mamiabc!H53</f>
        <v>1.2494999885559082E-2</v>
      </c>
      <c r="I60" s="508">
        <f>+mamiabc!I53</f>
        <v>1.6659999847412111E-2</v>
      </c>
      <c r="J60" s="508">
        <f>+mamiabc!J53</f>
        <v>1.7409700393676758E-2</v>
      </c>
      <c r="K60" s="508">
        <f>+mamiabc!K53</f>
        <v>1.9408899307250975E-2</v>
      </c>
      <c r="L60" s="508">
        <f>+mamiabc!L53</f>
        <v>2.1824600219726563E-2</v>
      </c>
      <c r="M60" s="508">
        <f>+mamiabc!M53</f>
        <v>2.9071699142456053E-2</v>
      </c>
      <c r="N60" s="508">
        <f>+mamiabc!N53</f>
        <v>2.9904699325561522E-2</v>
      </c>
      <c r="O60" s="508">
        <f>+mamiabc!O53</f>
        <v>3.0737699508666991E-2</v>
      </c>
      <c r="P60" s="508">
        <f>+mamiabc!P53</f>
        <v>3.5152599334716796E-2</v>
      </c>
      <c r="Q60" s="508">
        <f>+mamiabc!Q53</f>
        <v>3.7984798431396481E-2</v>
      </c>
      <c r="R60" s="508">
        <f>+mamiabc!R53</f>
        <v>4.514860153198242E-2</v>
      </c>
      <c r="S60" s="508">
        <f>+mamiabc!S53</f>
        <v>4.7730899810791018E-2</v>
      </c>
      <c r="T60" s="508">
        <f>+mamiabc!T53</f>
        <v>5.0146598815917966E-2</v>
      </c>
      <c r="U60" s="508">
        <f>+mamiabc!U53</f>
        <v>5.8726501464843747E-2</v>
      </c>
      <c r="V60" s="508">
        <f>+mamiabc!V53</f>
        <v>6.8889099121093755E-2</v>
      </c>
      <c r="W60" s="508">
        <f>+mamiabc!W53</f>
        <v>7.0221900939941406E-2</v>
      </c>
      <c r="X60" s="508">
        <f>+mamiabc!X53</f>
        <v>8.088430023193359E-2</v>
      </c>
      <c r="Y60" s="508">
        <f>+mamiabc!Y53</f>
        <v>8.2883499145507813E-2</v>
      </c>
      <c r="Z60" s="508">
        <f>+mamiabc!Z53</f>
        <v>9.4128997802734371E-2</v>
      </c>
      <c r="AA60" s="508">
        <f>+mamiabc!AA53</f>
        <v>0.11834999847412109</v>
      </c>
      <c r="AB60" s="508">
        <f>+mamiabc!AB53</f>
        <v>0.14183000183105468</v>
      </c>
      <c r="AC60" s="508">
        <f>+mamiabc!AC53</f>
        <v>0.18225999450683594</v>
      </c>
      <c r="AD60" s="508">
        <f>+mamiabc!AD53</f>
        <v>0.21094000244140626</v>
      </c>
      <c r="AE60" s="508">
        <f>+mamiabc!AE53</f>
        <v>0.22155999755859376</v>
      </c>
      <c r="AF60" s="508">
        <f>+mamiabc!AF53</f>
        <v>0.22585000610351563</v>
      </c>
      <c r="AG60" s="508">
        <f>+mamiabc!AG53</f>
        <v>0.27608999633789061</v>
      </c>
      <c r="AH60" s="508">
        <f>+mamiabc!AH53</f>
        <v>0.34627999877929688</v>
      </c>
      <c r="AI60" s="508">
        <f>+mamiabc!AI53</f>
        <v>0.37388000488281248</v>
      </c>
      <c r="AJ60" s="508">
        <f>+mamiabc!AJ53</f>
        <v>0.37407000732421875</v>
      </c>
      <c r="AK60" s="508">
        <f>+mamiabc!AK53</f>
        <v>0.38382998657226564</v>
      </c>
      <c r="AL60" s="508">
        <f>+mamiabc!AL53</f>
        <v>0.40870001220703123</v>
      </c>
      <c r="AM60" s="508">
        <f>+mamiabc!AM53</f>
        <v>0.47</v>
      </c>
      <c r="AN60" s="508">
        <f>+mamiabc!AN53</f>
        <v>0.52300000000000002</v>
      </c>
      <c r="AO60" s="508">
        <f>+mamiabc!AO53</f>
        <v>0.56299999999999994</v>
      </c>
      <c r="AP60" s="508">
        <f>+mamiabc!AP53</f>
        <v>0.52709000000000006</v>
      </c>
      <c r="AQ60" s="508">
        <f>+mamiabc!AQ53</f>
        <v>0.67749000000000004</v>
      </c>
      <c r="AR60" s="508">
        <f>+mamiabc!AR53</f>
        <v>0.84326999999999996</v>
      </c>
      <c r="AS60" s="508">
        <f>+mamiabc!AS53</f>
        <v>0.99841999999999997</v>
      </c>
      <c r="AT60" s="508">
        <f>+mamiabc!AT53</f>
        <v>3.4202399999999997</v>
      </c>
      <c r="AU60" s="508">
        <f>+mamiabc!AU53</f>
        <v>13.131590000000001</v>
      </c>
      <c r="AV60" s="508">
        <f>+mamiabc!AV53</f>
        <v>25.609569999999998</v>
      </c>
      <c r="AW60" s="508">
        <f>+mamiabc!AW53</f>
        <v>31.287939999999999</v>
      </c>
      <c r="AX60" s="508">
        <f>+mamiabc!AX53</f>
        <v>73.376999999999995</v>
      </c>
      <c r="AY60" s="508">
        <f>+mamiabc!AY53</f>
        <v>101.501</v>
      </c>
      <c r="AZ60" s="508">
        <f>+mamiabc!AZ53</f>
        <v>162.21700000000001</v>
      </c>
      <c r="BA60" s="508">
        <f>+mamiabc!BA53</f>
        <v>212.87799999999999</v>
      </c>
      <c r="BB60" s="508">
        <f>+mamiabc!BB53</f>
        <v>377.678</v>
      </c>
      <c r="BC60" s="508">
        <f>+mamiabc!BC53</f>
        <v>426.983</v>
      </c>
      <c r="BD60" s="508">
        <f>+mamiabc!BD53</f>
        <v>454.16699999999997</v>
      </c>
      <c r="BE60" s="303">
        <f t="shared" ref="BE60:BO60" si="18">+BE162*BE178/1000</f>
        <v>460.12768170590579</v>
      </c>
      <c r="BF60" s="303">
        <f t="shared" si="18"/>
        <v>552.30961103536367</v>
      </c>
      <c r="BG60" s="303">
        <f t="shared" si="18"/>
        <v>622.04337205760351</v>
      </c>
      <c r="BH60" s="303">
        <f t="shared" si="18"/>
        <v>693.13924950385365</v>
      </c>
      <c r="BI60" s="303">
        <f t="shared" si="18"/>
        <v>884.66130049861272</v>
      </c>
      <c r="BJ60" s="303">
        <f t="shared" si="18"/>
        <v>1051.7564503087156</v>
      </c>
      <c r="BK60" s="303">
        <f t="shared" si="18"/>
        <v>1232.538498831726</v>
      </c>
      <c r="BL60" s="303">
        <f t="shared" si="18"/>
        <v>1334.93724</v>
      </c>
      <c r="BM60" s="303">
        <f t="shared" si="18"/>
        <v>1582.9311359999999</v>
      </c>
      <c r="BN60" s="303">
        <f t="shared" si="18"/>
        <v>1519.1521419999999</v>
      </c>
      <c r="BO60" s="303">
        <f t="shared" si="18"/>
        <v>1693.8547073770087</v>
      </c>
    </row>
    <row r="61" spans="1:70" s="300" customFormat="1">
      <c r="A61" s="300" t="s">
        <v>2365</v>
      </c>
      <c r="D61" s="300" t="s">
        <v>1455</v>
      </c>
      <c r="E61" s="300" t="s">
        <v>2364</v>
      </c>
      <c r="BL61" s="300">
        <v>1196.0999999999999</v>
      </c>
      <c r="BM61" s="300">
        <v>1425.6</v>
      </c>
      <c r="BN61" s="300">
        <v>1373.3</v>
      </c>
      <c r="BO61" s="300">
        <v>1532.8</v>
      </c>
    </row>
    <row r="62" spans="1:70" s="300" customFormat="1"/>
    <row r="63" spans="1:70" s="299" customFormat="1">
      <c r="A63" s="298" t="s">
        <v>1216</v>
      </c>
    </row>
    <row r="64" spans="1:70" s="304" customFormat="1">
      <c r="A64" s="304" t="s">
        <v>2363</v>
      </c>
    </row>
    <row r="65" spans="1:67" s="304" customFormat="1">
      <c r="A65" s="304" t="s">
        <v>2361</v>
      </c>
      <c r="D65" s="304" t="s">
        <v>1455</v>
      </c>
      <c r="E65" s="274" t="s">
        <v>1712</v>
      </c>
      <c r="BF65" s="305">
        <v>5958</v>
      </c>
      <c r="BG65" s="305">
        <v>6611</v>
      </c>
      <c r="BH65" s="305">
        <v>8130</v>
      </c>
      <c r="BI65" s="305">
        <v>8620</v>
      </c>
      <c r="BJ65" s="305">
        <v>9832</v>
      </c>
      <c r="BK65" s="305">
        <v>11670</v>
      </c>
      <c r="BL65" s="305">
        <v>13375</v>
      </c>
      <c r="BM65" s="305">
        <v>13618</v>
      </c>
      <c r="BN65" s="305">
        <v>13851</v>
      </c>
      <c r="BO65" s="305">
        <v>14214</v>
      </c>
    </row>
    <row r="66" spans="1:67" s="300" customFormat="1">
      <c r="A66" s="306" t="s">
        <v>2910</v>
      </c>
      <c r="D66" s="300" t="s">
        <v>1455</v>
      </c>
      <c r="E66" s="302" t="s">
        <v>1712</v>
      </c>
      <c r="BF66" s="302">
        <v>434</v>
      </c>
      <c r="BG66" s="302">
        <v>529</v>
      </c>
      <c r="BH66" s="302">
        <v>632</v>
      </c>
      <c r="BI66" s="302">
        <v>799</v>
      </c>
      <c r="BJ66" s="302">
        <v>842</v>
      </c>
      <c r="BK66" s="302">
        <v>887</v>
      </c>
      <c r="BL66" s="307">
        <v>1004</v>
      </c>
      <c r="BM66" s="302">
        <v>938</v>
      </c>
      <c r="BN66" s="302">
        <v>968</v>
      </c>
      <c r="BO66" s="307">
        <v>1092</v>
      </c>
    </row>
    <row r="67" spans="1:67" s="300" customFormat="1">
      <c r="A67" s="306" t="s">
        <v>2360</v>
      </c>
      <c r="D67" s="300" t="s">
        <v>1455</v>
      </c>
      <c r="E67" s="302" t="s">
        <v>1712</v>
      </c>
      <c r="BF67" s="302">
        <v>286</v>
      </c>
      <c r="BG67" s="302">
        <v>289</v>
      </c>
      <c r="BH67" s="302">
        <v>234</v>
      </c>
      <c r="BI67" s="302">
        <v>248</v>
      </c>
      <c r="BJ67" s="302">
        <v>294</v>
      </c>
      <c r="BK67" s="302">
        <v>375</v>
      </c>
      <c r="BL67" s="302">
        <v>374</v>
      </c>
      <c r="BM67" s="302">
        <v>430</v>
      </c>
      <c r="BN67" s="302">
        <v>595</v>
      </c>
      <c r="BO67" s="302">
        <v>620</v>
      </c>
    </row>
    <row r="68" spans="1:67" s="300" customFormat="1">
      <c r="A68" s="306" t="s">
        <v>2359</v>
      </c>
      <c r="D68" s="300" t="s">
        <v>1455</v>
      </c>
      <c r="E68" s="302" t="s">
        <v>1712</v>
      </c>
      <c r="BF68" s="302">
        <v>546</v>
      </c>
      <c r="BG68" s="302">
        <v>583</v>
      </c>
      <c r="BH68" s="302">
        <v>724</v>
      </c>
      <c r="BI68" s="302">
        <v>759</v>
      </c>
      <c r="BJ68" s="302">
        <v>865</v>
      </c>
      <c r="BK68" s="302">
        <v>970</v>
      </c>
      <c r="BL68" s="307">
        <v>1151</v>
      </c>
      <c r="BM68" s="302">
        <v>954</v>
      </c>
      <c r="BN68" s="302">
        <v>762</v>
      </c>
      <c r="BO68" s="302">
        <v>553</v>
      </c>
    </row>
    <row r="69" spans="1:67" s="300" customFormat="1">
      <c r="A69" s="306" t="s">
        <v>2358</v>
      </c>
      <c r="D69" s="300" t="s">
        <v>1455</v>
      </c>
      <c r="E69" s="302" t="s">
        <v>1712</v>
      </c>
      <c r="BF69" s="307">
        <v>1672</v>
      </c>
      <c r="BG69" s="307">
        <v>1893</v>
      </c>
      <c r="BH69" s="307">
        <v>2455</v>
      </c>
      <c r="BI69" s="307">
        <v>2156</v>
      </c>
      <c r="BJ69" s="307">
        <v>2517</v>
      </c>
      <c r="BK69" s="307">
        <v>3008</v>
      </c>
      <c r="BL69" s="307">
        <v>3499</v>
      </c>
      <c r="BM69" s="307">
        <v>3190</v>
      </c>
      <c r="BN69" s="307">
        <v>2807</v>
      </c>
      <c r="BO69" s="307">
        <v>2704</v>
      </c>
    </row>
    <row r="70" spans="1:67" s="300" customFormat="1">
      <c r="A70" s="306" t="s">
        <v>2909</v>
      </c>
      <c r="D70" s="300" t="s">
        <v>1455</v>
      </c>
      <c r="E70" s="302" t="s">
        <v>1712</v>
      </c>
      <c r="BF70" s="302">
        <v>97</v>
      </c>
      <c r="BG70" s="302">
        <v>132</v>
      </c>
      <c r="BH70" s="302">
        <v>180</v>
      </c>
      <c r="BI70" s="302">
        <v>210</v>
      </c>
      <c r="BJ70" s="302">
        <v>256</v>
      </c>
      <c r="BK70" s="302">
        <v>263</v>
      </c>
      <c r="BL70" s="302">
        <v>306</v>
      </c>
      <c r="BM70" s="302">
        <v>338</v>
      </c>
      <c r="BN70" s="302">
        <v>329</v>
      </c>
      <c r="BO70" s="302">
        <v>359</v>
      </c>
    </row>
    <row r="71" spans="1:67" s="300" customFormat="1">
      <c r="A71" s="306" t="s">
        <v>2680</v>
      </c>
      <c r="D71" s="300" t="s">
        <v>1455</v>
      </c>
      <c r="E71" s="302" t="s">
        <v>1712</v>
      </c>
      <c r="BF71" s="302">
        <v>350</v>
      </c>
      <c r="BG71" s="302">
        <v>380</v>
      </c>
      <c r="BH71" s="302">
        <v>527</v>
      </c>
      <c r="BI71" s="302">
        <v>523</v>
      </c>
      <c r="BJ71" s="302">
        <v>580</v>
      </c>
      <c r="BK71" s="302">
        <v>833</v>
      </c>
      <c r="BL71" s="302">
        <v>839</v>
      </c>
      <c r="BM71" s="302">
        <v>994</v>
      </c>
      <c r="BN71" s="307">
        <v>1242</v>
      </c>
      <c r="BO71" s="307">
        <v>1434</v>
      </c>
    </row>
    <row r="72" spans="1:67" s="300" customFormat="1">
      <c r="A72" s="306" t="s">
        <v>2357</v>
      </c>
      <c r="D72" s="300" t="s">
        <v>1455</v>
      </c>
      <c r="E72" s="302" t="s">
        <v>1712</v>
      </c>
      <c r="BF72" s="307">
        <v>1161</v>
      </c>
      <c r="BG72" s="307">
        <v>1294</v>
      </c>
      <c r="BH72" s="307">
        <v>1760</v>
      </c>
      <c r="BI72" s="307">
        <v>2095</v>
      </c>
      <c r="BJ72" s="307">
        <v>2330</v>
      </c>
      <c r="BK72" s="307">
        <v>2679</v>
      </c>
      <c r="BL72" s="307">
        <v>3082</v>
      </c>
      <c r="BM72" s="307">
        <v>3177</v>
      </c>
      <c r="BN72" s="307">
        <v>3387</v>
      </c>
      <c r="BO72" s="307">
        <v>3472</v>
      </c>
    </row>
    <row r="73" spans="1:67" s="300" customFormat="1">
      <c r="A73" s="306" t="s">
        <v>2356</v>
      </c>
      <c r="D73" s="300" t="s">
        <v>1455</v>
      </c>
      <c r="E73" s="302" t="s">
        <v>1712</v>
      </c>
      <c r="BF73" s="302">
        <v>204</v>
      </c>
      <c r="BG73" s="302">
        <v>197</v>
      </c>
      <c r="BH73" s="302">
        <v>195</v>
      </c>
      <c r="BI73" s="302">
        <v>276</v>
      </c>
      <c r="BJ73" s="302">
        <v>316</v>
      </c>
      <c r="BK73" s="302">
        <v>408</v>
      </c>
      <c r="BL73" s="302">
        <v>493</v>
      </c>
      <c r="BM73" s="302">
        <v>535</v>
      </c>
      <c r="BN73" s="302">
        <v>584</v>
      </c>
      <c r="BO73" s="302">
        <v>579</v>
      </c>
    </row>
    <row r="74" spans="1:67" s="300" customFormat="1">
      <c r="A74" s="306" t="s">
        <v>2679</v>
      </c>
      <c r="D74" s="300" t="s">
        <v>1455</v>
      </c>
      <c r="E74" s="302" t="s">
        <v>1712</v>
      </c>
      <c r="BF74" s="302">
        <v>485</v>
      </c>
      <c r="BG74" s="302">
        <v>476</v>
      </c>
      <c r="BH74" s="302">
        <v>588</v>
      </c>
      <c r="BI74" s="302">
        <v>622</v>
      </c>
      <c r="BJ74" s="302">
        <v>712</v>
      </c>
      <c r="BK74" s="302">
        <v>844</v>
      </c>
      <c r="BL74" s="307">
        <v>1130</v>
      </c>
      <c r="BM74" s="307">
        <v>1260</v>
      </c>
      <c r="BN74" s="307">
        <v>1390</v>
      </c>
      <c r="BO74" s="307">
        <v>1502</v>
      </c>
    </row>
    <row r="75" spans="1:67" s="300" customFormat="1">
      <c r="A75" s="306" t="s">
        <v>2355</v>
      </c>
      <c r="D75" s="300" t="s">
        <v>1455</v>
      </c>
      <c r="E75" s="302" t="s">
        <v>1712</v>
      </c>
      <c r="BF75" s="302">
        <v>392</v>
      </c>
      <c r="BG75" s="302">
        <v>420</v>
      </c>
      <c r="BH75" s="302">
        <v>444</v>
      </c>
      <c r="BI75" s="302">
        <v>487</v>
      </c>
      <c r="BJ75" s="302">
        <v>596</v>
      </c>
      <c r="BK75" s="302">
        <v>739</v>
      </c>
      <c r="BL75" s="302">
        <v>773</v>
      </c>
      <c r="BM75" s="302">
        <v>994</v>
      </c>
      <c r="BN75" s="302">
        <v>914</v>
      </c>
      <c r="BO75" s="302">
        <v>967</v>
      </c>
    </row>
    <row r="76" spans="1:67" s="300" customFormat="1">
      <c r="A76" s="306" t="s">
        <v>2354</v>
      </c>
      <c r="D76" s="300" t="s">
        <v>1455</v>
      </c>
      <c r="E76" s="302" t="s">
        <v>1712</v>
      </c>
      <c r="BF76" s="302">
        <v>240</v>
      </c>
      <c r="BG76" s="302">
        <v>317</v>
      </c>
      <c r="BH76" s="302">
        <v>274</v>
      </c>
      <c r="BI76" s="302">
        <v>315</v>
      </c>
      <c r="BJ76" s="302">
        <v>375</v>
      </c>
      <c r="BK76" s="302">
        <v>476</v>
      </c>
      <c r="BL76" s="302">
        <v>512</v>
      </c>
      <c r="BM76" s="302">
        <v>558</v>
      </c>
      <c r="BN76" s="302">
        <v>610</v>
      </c>
      <c r="BO76" s="302">
        <v>644</v>
      </c>
    </row>
    <row r="77" spans="1:67" s="300" customFormat="1">
      <c r="A77" s="306" t="s">
        <v>1460</v>
      </c>
      <c r="D77" s="300" t="s">
        <v>1455</v>
      </c>
      <c r="E77" s="302" t="s">
        <v>1712</v>
      </c>
      <c r="BF77" s="302">
        <v>5</v>
      </c>
      <c r="BG77" s="302">
        <v>8</v>
      </c>
      <c r="BH77" s="302">
        <v>5</v>
      </c>
      <c r="BI77" s="302">
        <v>5</v>
      </c>
      <c r="BJ77" s="302">
        <v>8</v>
      </c>
      <c r="BK77" s="302">
        <v>10</v>
      </c>
      <c r="BL77" s="302">
        <v>11</v>
      </c>
      <c r="BM77" s="302">
        <v>13</v>
      </c>
      <c r="BN77" s="302">
        <v>14</v>
      </c>
      <c r="BO77" s="302">
        <v>16</v>
      </c>
    </row>
    <row r="78" spans="1:67" s="300" customFormat="1">
      <c r="A78" s="306" t="s">
        <v>1459</v>
      </c>
      <c r="D78" s="300" t="s">
        <v>1455</v>
      </c>
      <c r="E78" s="302" t="s">
        <v>1712</v>
      </c>
      <c r="BF78" s="302">
        <v>45</v>
      </c>
      <c r="BG78" s="302">
        <v>49</v>
      </c>
      <c r="BH78" s="302">
        <v>55</v>
      </c>
      <c r="BI78" s="302">
        <v>62</v>
      </c>
      <c r="BJ78" s="302">
        <v>72</v>
      </c>
      <c r="BK78" s="302">
        <v>82</v>
      </c>
      <c r="BL78" s="302">
        <v>92</v>
      </c>
      <c r="BM78" s="302">
        <v>111</v>
      </c>
      <c r="BN78" s="302">
        <v>118</v>
      </c>
      <c r="BO78" s="302">
        <v>128</v>
      </c>
    </row>
    <row r="79" spans="1:67" s="300" customFormat="1">
      <c r="A79" s="306" t="s">
        <v>2912</v>
      </c>
      <c r="D79" s="300" t="s">
        <v>1455</v>
      </c>
      <c r="E79" s="302" t="s">
        <v>1712</v>
      </c>
      <c r="BF79" s="302">
        <v>42</v>
      </c>
      <c r="BG79" s="302">
        <v>44</v>
      </c>
      <c r="BH79" s="302">
        <v>55</v>
      </c>
      <c r="BI79" s="302">
        <v>63</v>
      </c>
      <c r="BJ79" s="302">
        <v>71</v>
      </c>
      <c r="BK79" s="302">
        <v>96</v>
      </c>
      <c r="BL79" s="302">
        <v>110</v>
      </c>
      <c r="BM79" s="302">
        <v>125</v>
      </c>
      <c r="BN79" s="302">
        <v>129</v>
      </c>
      <c r="BO79" s="302">
        <v>144</v>
      </c>
    </row>
    <row r="80" spans="1:67" s="300" customFormat="1">
      <c r="BF80" s="302"/>
      <c r="BG80" s="302"/>
      <c r="BH80" s="302"/>
      <c r="BI80" s="302"/>
      <c r="BJ80" s="302"/>
      <c r="BK80" s="302"/>
      <c r="BL80" s="302"/>
      <c r="BM80" s="302"/>
      <c r="BN80" s="302"/>
      <c r="BO80" s="302"/>
    </row>
    <row r="81" spans="1:72" s="304" customFormat="1">
      <c r="A81" s="304" t="s">
        <v>2911</v>
      </c>
      <c r="D81" s="304" t="s">
        <v>1455</v>
      </c>
      <c r="E81" s="302" t="s">
        <v>1712</v>
      </c>
      <c r="BF81" s="305">
        <v>698</v>
      </c>
      <c r="BG81" s="305">
        <v>802</v>
      </c>
      <c r="BH81" s="305">
        <v>906</v>
      </c>
      <c r="BI81" s="305">
        <v>1150</v>
      </c>
      <c r="BJ81" s="305">
        <v>1306</v>
      </c>
      <c r="BK81" s="305">
        <v>1458</v>
      </c>
      <c r="BL81" s="305">
        <v>1629</v>
      </c>
      <c r="BM81" s="305">
        <v>1876</v>
      </c>
      <c r="BN81" s="305">
        <v>1940</v>
      </c>
      <c r="BO81" s="305">
        <v>1998</v>
      </c>
    </row>
    <row r="82" spans="1:72" s="300" customFormat="1">
      <c r="A82" s="306" t="s">
        <v>2910</v>
      </c>
      <c r="D82" s="300" t="s">
        <v>1455</v>
      </c>
      <c r="E82" s="302" t="s">
        <v>1712</v>
      </c>
      <c r="BF82" s="302">
        <v>14</v>
      </c>
      <c r="BG82" s="302">
        <v>17</v>
      </c>
      <c r="BH82" s="302">
        <v>20</v>
      </c>
      <c r="BI82" s="302">
        <v>22</v>
      </c>
      <c r="BJ82" s="302">
        <v>27</v>
      </c>
      <c r="BK82" s="302">
        <v>29</v>
      </c>
      <c r="BL82" s="307">
        <v>30</v>
      </c>
      <c r="BM82" s="302">
        <v>34</v>
      </c>
      <c r="BN82" s="302">
        <v>35</v>
      </c>
      <c r="BO82" s="307">
        <v>36</v>
      </c>
    </row>
    <row r="83" spans="1:72" s="300" customFormat="1">
      <c r="A83" s="306" t="s">
        <v>2909</v>
      </c>
      <c r="D83" s="300" t="s">
        <v>1455</v>
      </c>
      <c r="E83" s="302" t="s">
        <v>1712</v>
      </c>
      <c r="BF83" s="302">
        <v>6</v>
      </c>
      <c r="BG83" s="302">
        <v>6</v>
      </c>
      <c r="BH83" s="302">
        <v>8</v>
      </c>
      <c r="BI83" s="302">
        <v>9</v>
      </c>
      <c r="BJ83" s="302">
        <v>10</v>
      </c>
      <c r="BK83" s="302">
        <v>11</v>
      </c>
      <c r="BL83" s="302">
        <v>13</v>
      </c>
      <c r="BM83" s="302">
        <v>15</v>
      </c>
      <c r="BN83" s="302">
        <v>16</v>
      </c>
      <c r="BO83" s="302">
        <v>16</v>
      </c>
    </row>
    <row r="84" spans="1:72" s="300" customFormat="1">
      <c r="A84" s="306" t="s">
        <v>2680</v>
      </c>
      <c r="D84" s="300" t="s">
        <v>1455</v>
      </c>
      <c r="E84" s="302" t="s">
        <v>1712</v>
      </c>
      <c r="BF84" s="302">
        <v>6</v>
      </c>
      <c r="BG84" s="302">
        <v>7</v>
      </c>
      <c r="BH84" s="302">
        <v>8</v>
      </c>
      <c r="BI84" s="302">
        <v>9</v>
      </c>
      <c r="BJ84" s="302">
        <v>11</v>
      </c>
      <c r="BK84" s="302">
        <v>13</v>
      </c>
      <c r="BL84" s="307">
        <v>10</v>
      </c>
      <c r="BM84" s="302">
        <v>11</v>
      </c>
      <c r="BN84" s="302">
        <v>11</v>
      </c>
      <c r="BO84" s="302">
        <v>11</v>
      </c>
    </row>
    <row r="85" spans="1:72" s="300" customFormat="1">
      <c r="A85" s="306" t="s">
        <v>2679</v>
      </c>
      <c r="D85" s="300" t="s">
        <v>1455</v>
      </c>
      <c r="E85" s="302" t="s">
        <v>1712</v>
      </c>
      <c r="BF85" s="307">
        <v>18</v>
      </c>
      <c r="BG85" s="307">
        <v>18</v>
      </c>
      <c r="BH85" s="307">
        <v>18</v>
      </c>
      <c r="BI85" s="307">
        <v>22</v>
      </c>
      <c r="BJ85" s="307">
        <v>26</v>
      </c>
      <c r="BK85" s="307">
        <v>25</v>
      </c>
      <c r="BL85" s="307">
        <v>27</v>
      </c>
      <c r="BM85" s="307">
        <v>29</v>
      </c>
      <c r="BN85" s="307">
        <v>30</v>
      </c>
      <c r="BO85" s="307">
        <v>31</v>
      </c>
    </row>
    <row r="86" spans="1:72" s="300" customFormat="1">
      <c r="A86" s="306" t="s">
        <v>1461</v>
      </c>
      <c r="D86" s="300" t="s">
        <v>1455</v>
      </c>
      <c r="E86" s="302" t="s">
        <v>1712</v>
      </c>
      <c r="BF86" s="302">
        <v>259</v>
      </c>
      <c r="BG86" s="302">
        <v>310</v>
      </c>
      <c r="BH86" s="302">
        <v>368</v>
      </c>
      <c r="BI86" s="302">
        <v>462</v>
      </c>
      <c r="BJ86" s="302">
        <v>520</v>
      </c>
      <c r="BK86" s="302">
        <v>568</v>
      </c>
      <c r="BL86" s="302">
        <v>654</v>
      </c>
      <c r="BM86" s="302">
        <v>721</v>
      </c>
      <c r="BN86" s="302">
        <v>739</v>
      </c>
      <c r="BO86" s="302">
        <v>761</v>
      </c>
    </row>
    <row r="87" spans="1:72" s="300" customFormat="1">
      <c r="A87" s="306" t="s">
        <v>1460</v>
      </c>
      <c r="D87" s="300" t="s">
        <v>1455</v>
      </c>
      <c r="E87" s="302" t="s">
        <v>1712</v>
      </c>
      <c r="BF87" s="302">
        <v>224</v>
      </c>
      <c r="BG87" s="302">
        <v>254</v>
      </c>
      <c r="BH87" s="302">
        <v>278</v>
      </c>
      <c r="BI87" s="302">
        <v>377</v>
      </c>
      <c r="BJ87" s="302">
        <v>406</v>
      </c>
      <c r="BK87" s="302">
        <v>464</v>
      </c>
      <c r="BL87" s="302">
        <v>502</v>
      </c>
      <c r="BM87" s="302">
        <v>592</v>
      </c>
      <c r="BN87" s="307">
        <v>607</v>
      </c>
      <c r="BO87" s="307">
        <v>625</v>
      </c>
    </row>
    <row r="88" spans="1:72" s="300" customFormat="1">
      <c r="A88" s="306" t="s">
        <v>1459</v>
      </c>
      <c r="D88" s="300" t="s">
        <v>1455</v>
      </c>
      <c r="E88" s="302" t="s">
        <v>1712</v>
      </c>
      <c r="BF88" s="307">
        <v>171</v>
      </c>
      <c r="BG88" s="307">
        <v>190</v>
      </c>
      <c r="BH88" s="307">
        <v>207</v>
      </c>
      <c r="BI88" s="307">
        <v>248</v>
      </c>
      <c r="BJ88" s="307">
        <v>306</v>
      </c>
      <c r="BK88" s="307">
        <v>347</v>
      </c>
      <c r="BL88" s="307">
        <v>391</v>
      </c>
      <c r="BM88" s="307">
        <v>474</v>
      </c>
      <c r="BN88" s="307">
        <v>503</v>
      </c>
      <c r="BO88" s="307">
        <v>518</v>
      </c>
    </row>
    <row r="89" spans="1:72" s="300" customFormat="1">
      <c r="BF89" s="302"/>
      <c r="BG89" s="302"/>
      <c r="BH89" s="302"/>
      <c r="BI89" s="302"/>
      <c r="BJ89" s="302"/>
      <c r="BK89" s="302"/>
      <c r="BL89" s="302"/>
      <c r="BM89" s="302"/>
      <c r="BN89" s="302"/>
      <c r="BO89" s="302"/>
    </row>
    <row r="90" spans="1:72" s="304" customFormat="1">
      <c r="A90" s="304" t="s">
        <v>1458</v>
      </c>
      <c r="D90" s="304" t="s">
        <v>1455</v>
      </c>
      <c r="E90" s="302" t="s">
        <v>1712</v>
      </c>
      <c r="BF90" s="305">
        <v>6656</v>
      </c>
      <c r="BG90" s="305">
        <v>7413</v>
      </c>
      <c r="BH90" s="305">
        <v>9036</v>
      </c>
      <c r="BI90" s="305">
        <v>9769</v>
      </c>
      <c r="BJ90" s="305">
        <v>11138</v>
      </c>
      <c r="BK90" s="305">
        <v>13128</v>
      </c>
      <c r="BL90" s="305">
        <v>15003</v>
      </c>
      <c r="BM90" s="305">
        <v>15494</v>
      </c>
      <c r="BN90" s="305">
        <v>15791</v>
      </c>
      <c r="BO90" s="305">
        <v>16212</v>
      </c>
    </row>
    <row r="91" spans="1:72" s="300" customFormat="1">
      <c r="A91" s="300" t="s">
        <v>1457</v>
      </c>
      <c r="D91" s="300" t="s">
        <v>1455</v>
      </c>
      <c r="E91" s="302" t="s">
        <v>1712</v>
      </c>
      <c r="BF91" s="302">
        <v>551</v>
      </c>
      <c r="BG91" s="302">
        <v>648</v>
      </c>
      <c r="BH91" s="302">
        <v>662</v>
      </c>
      <c r="BI91" s="302">
        <v>869</v>
      </c>
      <c r="BJ91" s="302">
        <v>855</v>
      </c>
      <c r="BK91" s="307">
        <v>1324</v>
      </c>
      <c r="BL91" s="307">
        <v>1430</v>
      </c>
      <c r="BM91" s="307">
        <v>1438</v>
      </c>
      <c r="BN91" s="307">
        <v>1403</v>
      </c>
      <c r="BO91" s="307">
        <v>1379</v>
      </c>
    </row>
    <row r="92" spans="1:72" s="304" customFormat="1">
      <c r="A92" s="304" t="s">
        <v>1456</v>
      </c>
      <c r="D92" s="304" t="s">
        <v>1455</v>
      </c>
      <c r="E92" s="302" t="s">
        <v>1712</v>
      </c>
      <c r="BF92" s="305">
        <v>7206</v>
      </c>
      <c r="BG92" s="305">
        <v>8061</v>
      </c>
      <c r="BH92" s="305">
        <v>9698</v>
      </c>
      <c r="BI92" s="305">
        <v>10638</v>
      </c>
      <c r="BJ92" s="305">
        <v>11993</v>
      </c>
      <c r="BK92" s="305">
        <v>14452</v>
      </c>
      <c r="BL92" s="305">
        <v>16434</v>
      </c>
      <c r="BM92" s="395">
        <v>16981</v>
      </c>
      <c r="BN92" s="395">
        <v>17294</v>
      </c>
      <c r="BO92" s="724">
        <v>16357</v>
      </c>
      <c r="BP92" s="724">
        <v>19489</v>
      </c>
      <c r="BQ92" s="724">
        <v>24036</v>
      </c>
      <c r="BR92" s="724">
        <v>25806</v>
      </c>
      <c r="BS92" s="724">
        <v>27572</v>
      </c>
      <c r="BT92" s="304">
        <v>32155</v>
      </c>
    </row>
    <row r="93" spans="1:72" s="300" customFormat="1"/>
    <row r="94" spans="1:72" s="304" customFormat="1">
      <c r="A94" s="304" t="s">
        <v>2362</v>
      </c>
      <c r="BF94" s="307"/>
      <c r="BG94" s="307"/>
      <c r="BH94" s="307"/>
      <c r="BI94" s="307"/>
      <c r="BJ94" s="307"/>
      <c r="BK94" s="307"/>
      <c r="BL94" s="307"/>
      <c r="BM94" s="307"/>
      <c r="BN94" s="307"/>
      <c r="BO94" s="307"/>
    </row>
    <row r="95" spans="1:72" s="304" customFormat="1">
      <c r="A95" s="304" t="s">
        <v>2361</v>
      </c>
      <c r="D95" s="304" t="s">
        <v>1455</v>
      </c>
      <c r="E95" s="274" t="s">
        <v>551</v>
      </c>
      <c r="BF95" s="305">
        <v>6276</v>
      </c>
      <c r="BG95" s="305">
        <v>6611</v>
      </c>
      <c r="BH95" s="305">
        <v>6887</v>
      </c>
      <c r="BI95" s="305">
        <v>7114</v>
      </c>
      <c r="BJ95" s="305">
        <v>7506</v>
      </c>
      <c r="BK95" s="305">
        <v>7886</v>
      </c>
      <c r="BL95" s="305">
        <v>7887</v>
      </c>
      <c r="BM95" s="305">
        <v>8111</v>
      </c>
      <c r="BN95" s="305">
        <v>8261</v>
      </c>
      <c r="BO95" s="305">
        <v>8143</v>
      </c>
    </row>
    <row r="96" spans="1:72" s="300" customFormat="1">
      <c r="A96" s="306" t="s">
        <v>2910</v>
      </c>
      <c r="D96" s="300" t="s">
        <v>1455</v>
      </c>
      <c r="E96" s="302" t="s">
        <v>551</v>
      </c>
      <c r="BF96" s="302">
        <v>457</v>
      </c>
      <c r="BG96" s="302">
        <v>529</v>
      </c>
      <c r="BH96" s="302">
        <v>518</v>
      </c>
      <c r="BI96" s="302">
        <v>707</v>
      </c>
      <c r="BJ96" s="302">
        <v>717</v>
      </c>
      <c r="BK96" s="302">
        <v>750</v>
      </c>
      <c r="BL96" s="302">
        <v>854</v>
      </c>
      <c r="BM96" s="302">
        <v>721</v>
      </c>
      <c r="BN96" s="302">
        <v>743</v>
      </c>
      <c r="BO96" s="302">
        <v>779</v>
      </c>
    </row>
    <row r="97" spans="1:67" s="300" customFormat="1">
      <c r="A97" s="306" t="s">
        <v>2360</v>
      </c>
      <c r="D97" s="300" t="s">
        <v>1455</v>
      </c>
      <c r="E97" s="302" t="s">
        <v>551</v>
      </c>
      <c r="BF97" s="302">
        <v>319</v>
      </c>
      <c r="BG97" s="302">
        <v>289</v>
      </c>
      <c r="BH97" s="302">
        <v>225</v>
      </c>
      <c r="BI97" s="302">
        <v>269</v>
      </c>
      <c r="BJ97" s="302">
        <v>287</v>
      </c>
      <c r="BK97" s="302">
        <v>299</v>
      </c>
      <c r="BL97" s="302">
        <v>302</v>
      </c>
      <c r="BM97" s="302">
        <v>282</v>
      </c>
      <c r="BN97" s="302">
        <v>332</v>
      </c>
      <c r="BO97" s="302">
        <v>324</v>
      </c>
    </row>
    <row r="98" spans="1:67" s="300" customFormat="1">
      <c r="A98" s="306" t="s">
        <v>2359</v>
      </c>
      <c r="D98" s="300" t="s">
        <v>1455</v>
      </c>
      <c r="E98" s="302" t="s">
        <v>551</v>
      </c>
      <c r="BF98" s="302">
        <v>522</v>
      </c>
      <c r="BG98" s="302">
        <v>583</v>
      </c>
      <c r="BH98" s="302">
        <v>607</v>
      </c>
      <c r="BI98" s="302">
        <v>526</v>
      </c>
      <c r="BJ98" s="302">
        <v>554</v>
      </c>
      <c r="BK98" s="302">
        <v>630</v>
      </c>
      <c r="BL98" s="302">
        <v>649</v>
      </c>
      <c r="BM98" s="302">
        <v>634</v>
      </c>
      <c r="BN98" s="302">
        <v>606</v>
      </c>
      <c r="BO98" s="302">
        <v>587</v>
      </c>
    </row>
    <row r="99" spans="1:67" s="300" customFormat="1">
      <c r="A99" s="306" t="s">
        <v>2358</v>
      </c>
      <c r="D99" s="300" t="s">
        <v>1455</v>
      </c>
      <c r="E99" s="302" t="s">
        <v>551</v>
      </c>
      <c r="BF99" s="307">
        <v>1857</v>
      </c>
      <c r="BG99" s="307">
        <v>1893</v>
      </c>
      <c r="BH99" s="307">
        <v>2067</v>
      </c>
      <c r="BI99" s="307">
        <v>1830</v>
      </c>
      <c r="BJ99" s="307">
        <v>2050</v>
      </c>
      <c r="BK99" s="307">
        <v>2086</v>
      </c>
      <c r="BL99" s="307">
        <v>1708</v>
      </c>
      <c r="BM99" s="307">
        <v>1857</v>
      </c>
      <c r="BN99" s="307">
        <v>1648</v>
      </c>
      <c r="BO99" s="307">
        <v>1568</v>
      </c>
    </row>
    <row r="100" spans="1:67" s="300" customFormat="1">
      <c r="A100" s="306" t="s">
        <v>2909</v>
      </c>
      <c r="D100" s="300" t="s">
        <v>1455</v>
      </c>
      <c r="E100" s="302" t="s">
        <v>551</v>
      </c>
      <c r="BF100" s="302">
        <v>126</v>
      </c>
      <c r="BG100" s="302">
        <v>132</v>
      </c>
      <c r="BH100" s="302">
        <v>145</v>
      </c>
      <c r="BI100" s="302">
        <v>142</v>
      </c>
      <c r="BJ100" s="302">
        <v>143</v>
      </c>
      <c r="BK100" s="302">
        <v>164</v>
      </c>
      <c r="BL100" s="302">
        <v>166</v>
      </c>
      <c r="BM100" s="302">
        <v>179</v>
      </c>
      <c r="BN100" s="302">
        <v>175</v>
      </c>
      <c r="BO100" s="302">
        <v>179</v>
      </c>
    </row>
    <row r="101" spans="1:67" s="300" customFormat="1">
      <c r="A101" s="306" t="s">
        <v>2680</v>
      </c>
      <c r="D101" s="300" t="s">
        <v>1455</v>
      </c>
      <c r="E101" s="302" t="s">
        <v>551</v>
      </c>
      <c r="BF101" s="302">
        <v>368</v>
      </c>
      <c r="BG101" s="302">
        <v>380</v>
      </c>
      <c r="BH101" s="302">
        <v>411</v>
      </c>
      <c r="BI101" s="302">
        <v>440</v>
      </c>
      <c r="BJ101" s="302">
        <v>397</v>
      </c>
      <c r="BK101" s="302">
        <v>443</v>
      </c>
      <c r="BL101" s="302">
        <v>496</v>
      </c>
      <c r="BM101" s="302">
        <v>542</v>
      </c>
      <c r="BN101" s="302">
        <v>670</v>
      </c>
      <c r="BO101" s="302">
        <v>723</v>
      </c>
    </row>
    <row r="102" spans="1:67" s="300" customFormat="1">
      <c r="A102" s="306" t="s">
        <v>2357</v>
      </c>
      <c r="D102" s="300" t="s">
        <v>1455</v>
      </c>
      <c r="E102" s="302" t="s">
        <v>551</v>
      </c>
      <c r="BF102" s="307">
        <v>1209</v>
      </c>
      <c r="BG102" s="307">
        <v>1294</v>
      </c>
      <c r="BH102" s="307">
        <v>1325</v>
      </c>
      <c r="BI102" s="307">
        <v>1588</v>
      </c>
      <c r="BJ102" s="307">
        <v>1659</v>
      </c>
      <c r="BK102" s="307">
        <v>1708</v>
      </c>
      <c r="BL102" s="307">
        <v>1793</v>
      </c>
      <c r="BM102" s="307">
        <v>1885</v>
      </c>
      <c r="BN102" s="307">
        <v>1998</v>
      </c>
      <c r="BO102" s="307">
        <v>1916</v>
      </c>
    </row>
    <row r="103" spans="1:67" s="300" customFormat="1">
      <c r="A103" s="306" t="s">
        <v>2356</v>
      </c>
      <c r="D103" s="300" t="s">
        <v>1455</v>
      </c>
      <c r="E103" s="302" t="s">
        <v>551</v>
      </c>
      <c r="BF103" s="302">
        <v>199</v>
      </c>
      <c r="BG103" s="302">
        <v>197</v>
      </c>
      <c r="BH103" s="302">
        <v>203</v>
      </c>
      <c r="BI103" s="302">
        <v>210</v>
      </c>
      <c r="BJ103" s="302">
        <v>253</v>
      </c>
      <c r="BK103" s="302">
        <v>262</v>
      </c>
      <c r="BL103" s="302">
        <v>274</v>
      </c>
      <c r="BM103" s="302">
        <v>284</v>
      </c>
      <c r="BN103" s="302">
        <v>317</v>
      </c>
      <c r="BO103" s="302">
        <v>295</v>
      </c>
    </row>
    <row r="104" spans="1:67" s="300" customFormat="1">
      <c r="A104" s="306" t="s">
        <v>2679</v>
      </c>
      <c r="D104" s="300" t="s">
        <v>1455</v>
      </c>
      <c r="E104" s="302" t="s">
        <v>551</v>
      </c>
      <c r="BF104" s="302">
        <v>459</v>
      </c>
      <c r="BG104" s="302">
        <v>476</v>
      </c>
      <c r="BH104" s="302">
        <v>564</v>
      </c>
      <c r="BI104" s="302">
        <v>562</v>
      </c>
      <c r="BJ104" s="302">
        <v>589</v>
      </c>
      <c r="BK104" s="302">
        <v>614</v>
      </c>
      <c r="BL104" s="302">
        <v>644</v>
      </c>
      <c r="BM104" s="302">
        <v>684</v>
      </c>
      <c r="BN104" s="302">
        <v>729</v>
      </c>
      <c r="BO104" s="302">
        <v>737</v>
      </c>
    </row>
    <row r="105" spans="1:67" s="300" customFormat="1">
      <c r="A105" s="306" t="s">
        <v>2355</v>
      </c>
      <c r="D105" s="300" t="s">
        <v>1455</v>
      </c>
      <c r="E105" s="302" t="s">
        <v>551</v>
      </c>
      <c r="BF105" s="302">
        <v>385</v>
      </c>
      <c r="BG105" s="302">
        <v>420</v>
      </c>
      <c r="BH105" s="302">
        <v>419</v>
      </c>
      <c r="BI105" s="302">
        <v>437</v>
      </c>
      <c r="BJ105" s="302">
        <v>464</v>
      </c>
      <c r="BK105" s="302">
        <v>499</v>
      </c>
      <c r="BL105" s="302">
        <v>557</v>
      </c>
      <c r="BM105" s="302">
        <v>587</v>
      </c>
      <c r="BN105" s="302">
        <v>572</v>
      </c>
      <c r="BO105" s="302">
        <v>565</v>
      </c>
    </row>
    <row r="106" spans="1:67" s="300" customFormat="1">
      <c r="A106" s="306" t="s">
        <v>2354</v>
      </c>
      <c r="D106" s="300" t="s">
        <v>1455</v>
      </c>
      <c r="E106" s="302" t="s">
        <v>551</v>
      </c>
      <c r="BF106" s="302">
        <v>284</v>
      </c>
      <c r="BG106" s="302">
        <v>317</v>
      </c>
      <c r="BH106" s="302">
        <v>296</v>
      </c>
      <c r="BI106" s="302">
        <v>297</v>
      </c>
      <c r="BJ106" s="302">
        <v>290</v>
      </c>
      <c r="BK106" s="302">
        <v>308</v>
      </c>
      <c r="BL106" s="302">
        <v>316</v>
      </c>
      <c r="BM106" s="302">
        <v>326</v>
      </c>
      <c r="BN106" s="302">
        <v>338</v>
      </c>
      <c r="BO106" s="302">
        <v>334</v>
      </c>
    </row>
    <row r="107" spans="1:67" s="300" customFormat="1">
      <c r="A107" s="306" t="s">
        <v>1460</v>
      </c>
      <c r="D107" s="300" t="s">
        <v>1455</v>
      </c>
      <c r="E107" s="302" t="s">
        <v>551</v>
      </c>
      <c r="BF107" s="302">
        <v>6</v>
      </c>
      <c r="BG107" s="302">
        <v>8</v>
      </c>
      <c r="BH107" s="302">
        <v>6</v>
      </c>
      <c r="BI107" s="302">
        <v>7</v>
      </c>
      <c r="BJ107" s="302">
        <v>7</v>
      </c>
      <c r="BK107" s="302">
        <v>7</v>
      </c>
      <c r="BL107" s="302">
        <v>7</v>
      </c>
      <c r="BM107" s="302">
        <v>7</v>
      </c>
      <c r="BN107" s="302">
        <v>7</v>
      </c>
      <c r="BO107" s="302">
        <v>7</v>
      </c>
    </row>
    <row r="108" spans="1:67" s="300" customFormat="1">
      <c r="A108" s="306" t="s">
        <v>1459</v>
      </c>
      <c r="D108" s="300" t="s">
        <v>1455</v>
      </c>
      <c r="E108" s="302" t="s">
        <v>551</v>
      </c>
      <c r="BF108" s="302">
        <v>49</v>
      </c>
      <c r="BG108" s="302">
        <v>49</v>
      </c>
      <c r="BH108" s="302">
        <v>40</v>
      </c>
      <c r="BI108" s="302">
        <v>44</v>
      </c>
      <c r="BJ108" s="302">
        <v>43</v>
      </c>
      <c r="BK108" s="302">
        <v>44</v>
      </c>
      <c r="BL108" s="302">
        <v>46</v>
      </c>
      <c r="BM108" s="302">
        <v>47</v>
      </c>
      <c r="BN108" s="302">
        <v>47</v>
      </c>
      <c r="BO108" s="302">
        <v>48</v>
      </c>
    </row>
    <row r="109" spans="1:67" s="300" customFormat="1">
      <c r="A109" s="306" t="s">
        <v>2912</v>
      </c>
      <c r="D109" s="300" t="s">
        <v>1455</v>
      </c>
      <c r="E109" s="302" t="s">
        <v>551</v>
      </c>
      <c r="BF109" s="302">
        <v>35</v>
      </c>
      <c r="BG109" s="302">
        <v>44</v>
      </c>
      <c r="BH109" s="302">
        <v>63</v>
      </c>
      <c r="BI109" s="302">
        <v>55</v>
      </c>
      <c r="BJ109" s="302">
        <v>54</v>
      </c>
      <c r="BK109" s="302">
        <v>71</v>
      </c>
      <c r="BL109" s="302">
        <v>74</v>
      </c>
      <c r="BM109" s="302">
        <v>76</v>
      </c>
      <c r="BN109" s="302">
        <v>79</v>
      </c>
      <c r="BO109" s="302">
        <v>83</v>
      </c>
    </row>
    <row r="110" spans="1:67" s="300" customFormat="1">
      <c r="BF110" s="302"/>
      <c r="BG110" s="302"/>
      <c r="BH110" s="302"/>
      <c r="BI110" s="302"/>
      <c r="BJ110" s="302"/>
      <c r="BK110" s="302"/>
      <c r="BL110" s="302"/>
      <c r="BM110" s="302"/>
      <c r="BN110" s="302"/>
      <c r="BO110" s="302"/>
    </row>
    <row r="111" spans="1:67" s="304" customFormat="1">
      <c r="A111" s="304" t="s">
        <v>2911</v>
      </c>
      <c r="D111" s="304" t="s">
        <v>1455</v>
      </c>
      <c r="E111" s="274" t="s">
        <v>551</v>
      </c>
      <c r="BF111" s="305">
        <v>783</v>
      </c>
      <c r="BG111" s="305">
        <v>802</v>
      </c>
      <c r="BH111" s="305">
        <v>834</v>
      </c>
      <c r="BI111" s="305">
        <v>839</v>
      </c>
      <c r="BJ111" s="305">
        <v>857</v>
      </c>
      <c r="BK111" s="305">
        <v>826</v>
      </c>
      <c r="BL111" s="305">
        <v>996</v>
      </c>
      <c r="BM111" s="305">
        <v>1020</v>
      </c>
      <c r="BN111" s="305">
        <v>1037</v>
      </c>
      <c r="BO111" s="305">
        <v>920</v>
      </c>
    </row>
    <row r="112" spans="1:67" s="300" customFormat="1">
      <c r="A112" s="306" t="s">
        <v>2910</v>
      </c>
      <c r="D112" s="300" t="s">
        <v>1455</v>
      </c>
      <c r="E112" s="302" t="s">
        <v>551</v>
      </c>
      <c r="BF112" s="302">
        <v>16</v>
      </c>
      <c r="BG112" s="302">
        <v>17</v>
      </c>
      <c r="BH112" s="302">
        <v>18</v>
      </c>
      <c r="BI112" s="302">
        <v>17</v>
      </c>
      <c r="BJ112" s="302">
        <v>17</v>
      </c>
      <c r="BK112" s="302">
        <v>16</v>
      </c>
      <c r="BL112" s="302">
        <v>17</v>
      </c>
      <c r="BM112" s="302">
        <v>17</v>
      </c>
      <c r="BN112" s="302">
        <v>17</v>
      </c>
      <c r="BO112" s="302">
        <v>17</v>
      </c>
    </row>
    <row r="113" spans="1:72" s="300" customFormat="1">
      <c r="A113" s="306" t="s">
        <v>2909</v>
      </c>
      <c r="D113" s="300" t="s">
        <v>1455</v>
      </c>
      <c r="E113" s="302" t="s">
        <v>551</v>
      </c>
      <c r="BF113" s="302">
        <v>6</v>
      </c>
      <c r="BG113" s="302">
        <v>6</v>
      </c>
      <c r="BH113" s="302">
        <v>8</v>
      </c>
      <c r="BI113" s="302">
        <v>9</v>
      </c>
      <c r="BJ113" s="302">
        <v>12</v>
      </c>
      <c r="BK113" s="302">
        <v>12</v>
      </c>
      <c r="BL113" s="302">
        <v>16</v>
      </c>
      <c r="BM113" s="302">
        <v>18</v>
      </c>
      <c r="BN113" s="302">
        <v>20</v>
      </c>
      <c r="BO113" s="302">
        <v>7</v>
      </c>
    </row>
    <row r="114" spans="1:72" s="300" customFormat="1">
      <c r="A114" s="306" t="s">
        <v>2680</v>
      </c>
      <c r="D114" s="300" t="s">
        <v>1455</v>
      </c>
      <c r="E114" s="302" t="s">
        <v>551</v>
      </c>
      <c r="BF114" s="302">
        <v>7</v>
      </c>
      <c r="BG114" s="302">
        <v>7</v>
      </c>
      <c r="BH114" s="302">
        <v>8</v>
      </c>
      <c r="BI114" s="302">
        <v>7</v>
      </c>
      <c r="BJ114" s="302">
        <v>7</v>
      </c>
      <c r="BK114" s="302">
        <v>6</v>
      </c>
      <c r="BL114" s="302">
        <v>5</v>
      </c>
      <c r="BM114" s="302">
        <v>4</v>
      </c>
      <c r="BN114" s="302">
        <v>4</v>
      </c>
      <c r="BO114" s="302">
        <v>5</v>
      </c>
    </row>
    <row r="115" spans="1:72" s="300" customFormat="1">
      <c r="A115" s="306" t="s">
        <v>2679</v>
      </c>
      <c r="D115" s="300" t="s">
        <v>1455</v>
      </c>
      <c r="E115" s="302" t="s">
        <v>551</v>
      </c>
      <c r="BF115" s="307">
        <v>19</v>
      </c>
      <c r="BG115" s="307">
        <v>18</v>
      </c>
      <c r="BH115" s="307">
        <v>23</v>
      </c>
      <c r="BI115" s="307">
        <v>26</v>
      </c>
      <c r="BJ115" s="307">
        <v>20</v>
      </c>
      <c r="BK115" s="307">
        <v>21</v>
      </c>
      <c r="BL115" s="307">
        <v>18</v>
      </c>
      <c r="BM115" s="307">
        <v>19</v>
      </c>
      <c r="BN115" s="307">
        <v>19</v>
      </c>
      <c r="BO115" s="307">
        <v>14</v>
      </c>
    </row>
    <row r="116" spans="1:72" s="300" customFormat="1">
      <c r="A116" s="306" t="s">
        <v>1461</v>
      </c>
      <c r="D116" s="300" t="s">
        <v>1455</v>
      </c>
      <c r="E116" s="302" t="s">
        <v>551</v>
      </c>
      <c r="BF116" s="302">
        <v>297</v>
      </c>
      <c r="BG116" s="302">
        <v>310</v>
      </c>
      <c r="BH116" s="302">
        <v>329</v>
      </c>
      <c r="BI116" s="302">
        <v>340</v>
      </c>
      <c r="BJ116" s="302">
        <v>347</v>
      </c>
      <c r="BK116" s="302">
        <v>339</v>
      </c>
      <c r="BL116" s="302">
        <v>495</v>
      </c>
      <c r="BM116" s="302">
        <v>525</v>
      </c>
      <c r="BN116" s="302">
        <v>530</v>
      </c>
      <c r="BO116" s="302">
        <v>350</v>
      </c>
    </row>
    <row r="117" spans="1:72" s="300" customFormat="1">
      <c r="A117" s="306" t="s">
        <v>1460</v>
      </c>
      <c r="D117" s="300" t="s">
        <v>1455</v>
      </c>
      <c r="E117" s="302" t="s">
        <v>551</v>
      </c>
      <c r="BF117" s="302">
        <v>251</v>
      </c>
      <c r="BG117" s="302">
        <v>254</v>
      </c>
      <c r="BH117" s="302">
        <v>248</v>
      </c>
      <c r="BI117" s="302">
        <v>238</v>
      </c>
      <c r="BJ117" s="302">
        <v>244</v>
      </c>
      <c r="BK117" s="302">
        <v>238</v>
      </c>
      <c r="BL117" s="302">
        <v>243</v>
      </c>
      <c r="BM117" s="302">
        <v>232</v>
      </c>
      <c r="BN117" s="302">
        <v>239</v>
      </c>
      <c r="BO117" s="302">
        <v>288</v>
      </c>
    </row>
    <row r="118" spans="1:72" s="300" customFormat="1">
      <c r="A118" s="306" t="s">
        <v>1459</v>
      </c>
      <c r="D118" s="300" t="s">
        <v>1455</v>
      </c>
      <c r="E118" s="302" t="s">
        <v>551</v>
      </c>
      <c r="BF118" s="307">
        <v>188</v>
      </c>
      <c r="BG118" s="307">
        <v>190</v>
      </c>
      <c r="BH118" s="307">
        <v>201</v>
      </c>
      <c r="BI118" s="307">
        <v>202</v>
      </c>
      <c r="BJ118" s="307">
        <v>209</v>
      </c>
      <c r="BK118" s="307">
        <v>193</v>
      </c>
      <c r="BL118" s="307">
        <v>202</v>
      </c>
      <c r="BM118" s="307">
        <v>205</v>
      </c>
      <c r="BN118" s="307">
        <v>208</v>
      </c>
      <c r="BO118" s="307">
        <v>239</v>
      </c>
    </row>
    <row r="119" spans="1:72" s="300" customFormat="1">
      <c r="BF119" s="302"/>
      <c r="BG119" s="302"/>
      <c r="BH119" s="302"/>
      <c r="BI119" s="302"/>
      <c r="BJ119" s="302"/>
      <c r="BK119" s="302"/>
      <c r="BL119" s="302"/>
      <c r="BM119" s="302"/>
      <c r="BN119" s="302"/>
      <c r="BO119" s="302"/>
    </row>
    <row r="120" spans="1:72" s="304" customFormat="1">
      <c r="A120" s="304" t="s">
        <v>1458</v>
      </c>
      <c r="D120" s="304" t="s">
        <v>1455</v>
      </c>
      <c r="E120" s="274" t="s">
        <v>551</v>
      </c>
      <c r="BF120" s="305">
        <v>7059</v>
      </c>
      <c r="BG120" s="305">
        <v>7413</v>
      </c>
      <c r="BH120" s="305">
        <v>7722</v>
      </c>
      <c r="BI120" s="305">
        <v>7953</v>
      </c>
      <c r="BJ120" s="305">
        <v>8363</v>
      </c>
      <c r="BK120" s="305">
        <v>8712</v>
      </c>
      <c r="BL120" s="305">
        <v>8883</v>
      </c>
      <c r="BM120" s="305">
        <v>9131</v>
      </c>
      <c r="BN120" s="305">
        <v>9298</v>
      </c>
      <c r="BO120" s="305">
        <v>9063</v>
      </c>
    </row>
    <row r="121" spans="1:72" s="300" customFormat="1">
      <c r="A121" s="300" t="s">
        <v>1457</v>
      </c>
      <c r="D121" s="300" t="s">
        <v>1455</v>
      </c>
      <c r="E121" s="302" t="s">
        <v>551</v>
      </c>
      <c r="BF121" s="302">
        <v>611</v>
      </c>
      <c r="BG121" s="302">
        <v>648</v>
      </c>
      <c r="BH121" s="302">
        <v>673</v>
      </c>
      <c r="BI121" s="302">
        <v>695</v>
      </c>
      <c r="BJ121" s="302">
        <v>731</v>
      </c>
      <c r="BK121" s="302">
        <v>861</v>
      </c>
      <c r="BL121" s="302">
        <v>984</v>
      </c>
      <c r="BM121" s="307">
        <v>1017</v>
      </c>
      <c r="BN121" s="307">
        <v>1036</v>
      </c>
      <c r="BO121" s="307">
        <v>1050</v>
      </c>
    </row>
    <row r="122" spans="1:72" s="304" customFormat="1">
      <c r="A122" s="304" t="s">
        <v>1456</v>
      </c>
      <c r="D122" s="304" t="s">
        <v>1455</v>
      </c>
      <c r="E122" s="274" t="s">
        <v>551</v>
      </c>
      <c r="BF122" s="305">
        <v>7669</v>
      </c>
      <c r="BG122" s="305">
        <v>8061</v>
      </c>
      <c r="BH122" s="305">
        <v>8395</v>
      </c>
      <c r="BI122" s="305">
        <v>8648</v>
      </c>
      <c r="BJ122" s="305">
        <v>9094</v>
      </c>
      <c r="BK122" s="305">
        <v>9573</v>
      </c>
      <c r="BL122" s="395">
        <v>9886</v>
      </c>
      <c r="BM122" s="395">
        <v>10176</v>
      </c>
      <c r="BN122" s="395">
        <v>10213</v>
      </c>
      <c r="BO122" s="724">
        <v>9854</v>
      </c>
      <c r="BP122" s="724">
        <v>9306</v>
      </c>
      <c r="BQ122" s="724">
        <v>9470</v>
      </c>
      <c r="BR122" s="724">
        <v>9718</v>
      </c>
      <c r="BS122" s="727">
        <v>9740</v>
      </c>
      <c r="BT122" s="304">
        <v>8167</v>
      </c>
    </row>
    <row r="123" spans="1:72" s="304" customFormat="1">
      <c r="A123" s="304" t="s">
        <v>1454</v>
      </c>
      <c r="D123" s="304" t="s">
        <v>1349</v>
      </c>
      <c r="E123" s="274" t="s">
        <v>551</v>
      </c>
      <c r="BF123" s="274">
        <v>5.8</v>
      </c>
      <c r="BG123" s="274">
        <v>5.0999999999999996</v>
      </c>
      <c r="BH123" s="274">
        <v>4.0999999999999996</v>
      </c>
      <c r="BI123" s="274">
        <v>3</v>
      </c>
      <c r="BJ123" s="274">
        <v>5.0999999999999996</v>
      </c>
      <c r="BK123" s="396">
        <f t="shared" ref="BK123:BP123" si="19">+(BK122/BJ122-1)*100</f>
        <v>5.2672091488893846</v>
      </c>
      <c r="BL123" s="396">
        <f t="shared" si="19"/>
        <v>3.2696124516870428</v>
      </c>
      <c r="BM123" s="396">
        <f t="shared" si="19"/>
        <v>2.9334412300222601</v>
      </c>
      <c r="BN123" s="396">
        <f t="shared" si="19"/>
        <v>0.36360062893081579</v>
      </c>
      <c r="BO123" s="396">
        <f t="shared" si="19"/>
        <v>-3.5151277783217472</v>
      </c>
      <c r="BP123" s="396">
        <f t="shared" si="19"/>
        <v>-5.5611934239902627</v>
      </c>
      <c r="BQ123" s="396">
        <f>+(BQ122/BP122-1)*100</f>
        <v>1.7623038899634569</v>
      </c>
      <c r="BR123" s="396">
        <f>+(BR122/BQ122-1)*100</f>
        <v>2.6187961985216557</v>
      </c>
      <c r="BS123" s="396">
        <v>0.3</v>
      </c>
      <c r="BT123" s="304">
        <v>-13.4</v>
      </c>
    </row>
    <row r="124" spans="1:72" s="304" customFormat="1">
      <c r="A124" s="304" t="s">
        <v>480</v>
      </c>
      <c r="E124" s="274"/>
      <c r="BF124" s="274"/>
      <c r="BG124" s="322">
        <f t="shared" ref="BG124:BO124" si="20">+((BG92/BF92)/(BG122/BF122)-1)*100</f>
        <v>6.4252012212045573</v>
      </c>
      <c r="BH124" s="322">
        <f t="shared" si="20"/>
        <v>15.521143537820127</v>
      </c>
      <c r="BI124" s="322">
        <f t="shared" si="20"/>
        <v>6.4836246122253582</v>
      </c>
      <c r="BJ124" s="322">
        <f t="shared" si="20"/>
        <v>7.2083417939836858</v>
      </c>
      <c r="BK124" s="322">
        <f t="shared" si="20"/>
        <v>14.47404000744228</v>
      </c>
      <c r="BL124" s="322">
        <f t="shared" si="20"/>
        <v>10.114061720721113</v>
      </c>
      <c r="BM124" s="322">
        <f t="shared" si="20"/>
        <v>0.38376657956391558</v>
      </c>
      <c r="BN124" s="322">
        <f t="shared" si="20"/>
        <v>1.4742754547500958</v>
      </c>
      <c r="BO124" s="322">
        <f t="shared" si="20"/>
        <v>-1.9722638858547858</v>
      </c>
      <c r="BP124" s="322">
        <f>+((BP92/BO92)/(BP122/BO122)-1)*100</f>
        <v>26.163988938986705</v>
      </c>
      <c r="BQ124" s="322">
        <f>+((BQ92/BP92)/(BQ122/BP122)-1)*100</f>
        <v>21.195280710430286</v>
      </c>
      <c r="BR124" s="322">
        <f>+((BR92/BQ92)/(BR122/BQ122)-1)*100</f>
        <v>4.6240630821620998</v>
      </c>
      <c r="BS124" s="322">
        <f>+((BS92/BR92)/(BS122/BR122)-1)*100</f>
        <v>6.6020397656753493</v>
      </c>
    </row>
    <row r="125" spans="1:72" s="300" customFormat="1">
      <c r="BK125" s="397"/>
      <c r="BL125" s="397"/>
      <c r="BM125" s="397"/>
      <c r="BN125" s="397"/>
      <c r="BO125" s="397"/>
      <c r="BP125" s="397"/>
    </row>
    <row r="126" spans="1:72" s="300" customFormat="1">
      <c r="BK126" s="397"/>
      <c r="BL126" s="397"/>
      <c r="BM126" s="397"/>
      <c r="BN126" s="397"/>
      <c r="BO126" s="397"/>
      <c r="BP126" s="397"/>
      <c r="BQ126" s="397"/>
    </row>
    <row r="127" spans="1:72" s="299" customFormat="1">
      <c r="A127" s="298" t="s">
        <v>1453</v>
      </c>
    </row>
    <row r="128" spans="1:72">
      <c r="A128" s="96" t="s">
        <v>3012</v>
      </c>
    </row>
    <row r="129" spans="1:72">
      <c r="A129" s="93" t="s">
        <v>3008</v>
      </c>
      <c r="D129" s="302" t="s">
        <v>1735</v>
      </c>
      <c r="E129" s="302" t="s">
        <v>3011</v>
      </c>
      <c r="AP129" s="308">
        <f>+AP179</f>
        <v>21.421113211924951</v>
      </c>
      <c r="BA129" s="308">
        <f>+BA179</f>
        <v>17414.953250147541</v>
      </c>
      <c r="BB129" s="308">
        <f>+BB179</f>
        <v>18625.603818615757</v>
      </c>
      <c r="BC129" s="308">
        <f>+BC179</f>
        <v>21815.076973819836</v>
      </c>
      <c r="BD129" s="308">
        <f>+BD179</f>
        <v>26380.064953460136</v>
      </c>
      <c r="BE129" s="308">
        <f>+BE179</f>
        <v>29134.294594267743</v>
      </c>
      <c r="BF129" s="308">
        <f t="shared" ref="BF129:BN129" si="21">+BF179</f>
        <v>35051.102897102901</v>
      </c>
      <c r="BG129" s="308">
        <f t="shared" si="21"/>
        <v>37836.099560045623</v>
      </c>
      <c r="BH129" s="308">
        <f t="shared" si="21"/>
        <v>40701.872360882982</v>
      </c>
      <c r="BI129" s="308">
        <f t="shared" si="21"/>
        <v>45428.524600170917</v>
      </c>
      <c r="BJ129" s="308">
        <f t="shared" si="21"/>
        <v>46931.41932689229</v>
      </c>
      <c r="BK129" s="308">
        <f t="shared" si="21"/>
        <v>55578.521175150752</v>
      </c>
      <c r="BL129" s="308">
        <f t="shared" si="21"/>
        <v>60819.600295743861</v>
      </c>
      <c r="BM129" s="308">
        <f t="shared" si="21"/>
        <v>62039.129264435323</v>
      </c>
      <c r="BN129" s="308">
        <f t="shared" si="21"/>
        <v>62314.970243775482</v>
      </c>
      <c r="BO129" s="308">
        <f>+BO179</f>
        <v>64188.336582963762</v>
      </c>
      <c r="BP129" s="308">
        <f>+BP179</f>
        <v>81300.70415632044</v>
      </c>
      <c r="BQ129" s="308">
        <f>+BQ179</f>
        <v>96677.000688290427</v>
      </c>
    </row>
    <row r="130" spans="1:72">
      <c r="A130" s="93" t="s">
        <v>2480</v>
      </c>
      <c r="D130" s="302" t="s">
        <v>1735</v>
      </c>
      <c r="AP130" s="308">
        <f>+AP178</f>
        <v>12.466192726726966</v>
      </c>
      <c r="BA130" s="308">
        <f>+BA178</f>
        <v>6105</v>
      </c>
      <c r="BB130" s="308">
        <f>+BB178</f>
        <v>10601</v>
      </c>
      <c r="BC130" s="308">
        <f>+BC178</f>
        <v>11824</v>
      </c>
      <c r="BD130" s="308">
        <f>+BD178</f>
        <v>12736</v>
      </c>
      <c r="BE130" s="308">
        <f>+BE178</f>
        <v>13846</v>
      </c>
      <c r="BF130" s="308">
        <f t="shared" ref="BF130:BN130" si="22">+BF178</f>
        <v>16103</v>
      </c>
      <c r="BG130" s="308">
        <f t="shared" si="22"/>
        <v>17773</v>
      </c>
      <c r="BH130" s="308">
        <f t="shared" si="22"/>
        <v>19486</v>
      </c>
      <c r="BI130" s="308">
        <f t="shared" si="22"/>
        <v>24491</v>
      </c>
      <c r="BJ130" s="308">
        <f t="shared" si="22"/>
        <v>27281</v>
      </c>
      <c r="BK130" s="308">
        <f t="shared" si="22"/>
        <v>30074</v>
      </c>
      <c r="BL130" s="308">
        <f t="shared" si="22"/>
        <v>32130</v>
      </c>
      <c r="BM130" s="308">
        <f t="shared" si="22"/>
        <v>37496</v>
      </c>
      <c r="BN130" s="308">
        <f t="shared" si="22"/>
        <v>35579</v>
      </c>
      <c r="BO130" s="308">
        <f>+BO178</f>
        <v>35315.126081582202</v>
      </c>
      <c r="BP130" s="308">
        <f>+BP178</f>
        <v>36546.537700865265</v>
      </c>
      <c r="BQ130" s="308">
        <f>+BQ178</f>
        <v>43539.196538936958</v>
      </c>
    </row>
    <row r="131" spans="1:72">
      <c r="A131" s="302" t="s">
        <v>2478</v>
      </c>
      <c r="D131" s="302" t="s">
        <v>1735</v>
      </c>
      <c r="E131" s="302" t="s">
        <v>3010</v>
      </c>
      <c r="BF131" s="308">
        <f t="shared" ref="BF131:BN131" si="23">0.5*BF129</f>
        <v>17525.55144855145</v>
      </c>
      <c r="BG131" s="308">
        <f t="shared" si="23"/>
        <v>18918.049780022811</v>
      </c>
      <c r="BH131" s="308">
        <f t="shared" si="23"/>
        <v>20350.936180441491</v>
      </c>
      <c r="BI131" s="308">
        <f t="shared" si="23"/>
        <v>22714.262300085458</v>
      </c>
      <c r="BJ131" s="308">
        <f t="shared" si="23"/>
        <v>23465.709663446145</v>
      </c>
      <c r="BK131" s="308">
        <f t="shared" si="23"/>
        <v>27789.260587575376</v>
      </c>
      <c r="BL131" s="308">
        <f t="shared" si="23"/>
        <v>30409.800147871931</v>
      </c>
      <c r="BM131" s="308">
        <f t="shared" si="23"/>
        <v>31019.564632217662</v>
      </c>
      <c r="BN131" s="308">
        <f t="shared" si="23"/>
        <v>31157.485121887741</v>
      </c>
    </row>
    <row r="132" spans="1:72">
      <c r="A132" s="302" t="s">
        <v>2477</v>
      </c>
      <c r="D132" s="302" t="s">
        <v>1735</v>
      </c>
      <c r="E132" s="302" t="s">
        <v>3009</v>
      </c>
      <c r="BF132" s="308">
        <f t="shared" ref="BF132:BN132" si="24">0.75*BF129</f>
        <v>26288.327172827176</v>
      </c>
      <c r="BG132" s="308">
        <f t="shared" si="24"/>
        <v>28377.074670034217</v>
      </c>
      <c r="BH132" s="308">
        <f t="shared" si="24"/>
        <v>30526.404270662235</v>
      </c>
      <c r="BI132" s="308">
        <f t="shared" si="24"/>
        <v>34071.393450128191</v>
      </c>
      <c r="BJ132" s="308">
        <f t="shared" si="24"/>
        <v>35198.564495169216</v>
      </c>
      <c r="BK132" s="308">
        <f t="shared" si="24"/>
        <v>41683.890881363062</v>
      </c>
      <c r="BL132" s="308">
        <f t="shared" si="24"/>
        <v>45614.7002218079</v>
      </c>
      <c r="BM132" s="308">
        <f t="shared" si="24"/>
        <v>46529.346948326493</v>
      </c>
      <c r="BN132" s="308">
        <f t="shared" si="24"/>
        <v>46736.22768283161</v>
      </c>
    </row>
    <row r="133" spans="1:72">
      <c r="A133" s="94" t="s">
        <v>3421</v>
      </c>
      <c r="D133" s="302" t="s">
        <v>1735</v>
      </c>
      <c r="E133" s="302" t="s">
        <v>3006</v>
      </c>
      <c r="BF133" s="302">
        <v>2700</v>
      </c>
      <c r="BG133" s="302">
        <v>2750</v>
      </c>
      <c r="BH133" s="302">
        <v>3300</v>
      </c>
      <c r="BI133" s="302">
        <v>3300</v>
      </c>
      <c r="BJ133" s="302">
        <v>3375</v>
      </c>
      <c r="BK133" s="302">
        <v>5025</v>
      </c>
      <c r="BL133" s="302">
        <v>6300</v>
      </c>
      <c r="BM133" s="302">
        <v>6300</v>
      </c>
      <c r="BN133" s="302">
        <v>6300</v>
      </c>
      <c r="BO133" s="302">
        <v>6300</v>
      </c>
      <c r="BP133" s="302">
        <v>6300</v>
      </c>
      <c r="BQ133" s="302">
        <v>6300</v>
      </c>
      <c r="BR133" s="302">
        <v>6300</v>
      </c>
      <c r="BS133" s="302">
        <v>6300</v>
      </c>
      <c r="BT133" s="302">
        <f>+BS133*1.5</f>
        <v>9450</v>
      </c>
    </row>
    <row r="134" spans="1:72" s="300" customFormat="1">
      <c r="A134" s="95" t="s">
        <v>3423</v>
      </c>
      <c r="D134" s="95" t="s">
        <v>745</v>
      </c>
      <c r="E134" s="95" t="s">
        <v>3422</v>
      </c>
      <c r="BR134" s="300">
        <v>970</v>
      </c>
    </row>
    <row r="135" spans="1:72" s="300" customFormat="1">
      <c r="A135" s="95" t="s">
        <v>3433</v>
      </c>
      <c r="D135" s="95"/>
      <c r="E135" s="95" t="s">
        <v>3434</v>
      </c>
      <c r="BO135" s="300">
        <f>556*12</f>
        <v>6672</v>
      </c>
      <c r="BR135" s="300">
        <f>1153*12</f>
        <v>13836</v>
      </c>
    </row>
    <row r="136" spans="1:72" s="300" customFormat="1">
      <c r="A136" s="95"/>
      <c r="D136" s="95"/>
      <c r="E136" s="95"/>
    </row>
    <row r="137" spans="1:72" s="300" customFormat="1">
      <c r="A137" s="304" t="s">
        <v>1743</v>
      </c>
    </row>
    <row r="138" spans="1:72" s="300" customFormat="1">
      <c r="A138" s="300" t="s">
        <v>3008</v>
      </c>
      <c r="D138" s="300">
        <v>1000</v>
      </c>
      <c r="F138" s="508">
        <f>+mamiabc!F88</f>
        <v>48.2</v>
      </c>
      <c r="G138" s="508">
        <f>+mamiabc!G88</f>
        <v>49.8</v>
      </c>
      <c r="H138" s="508">
        <f>+mamiabc!H88</f>
        <v>64.740486145019531</v>
      </c>
      <c r="I138" s="508">
        <f>+mamiabc!I88</f>
        <v>67.589065551757813</v>
      </c>
      <c r="J138" s="508">
        <f>+mamiabc!J88</f>
        <v>71.374046325683594</v>
      </c>
      <c r="K138" s="508">
        <f>+mamiabc!K88</f>
        <v>75.534286499023438</v>
      </c>
      <c r="L138" s="508">
        <f>+mamiabc!L88</f>
        <v>80.084541320800781</v>
      </c>
      <c r="M138" s="508">
        <f>+mamiabc!M88</f>
        <v>80.96209716796875</v>
      </c>
      <c r="N138" s="508">
        <f>+mamiabc!N88</f>
        <v>81.579635620117188</v>
      </c>
      <c r="O138" s="508">
        <f>+mamiabc!O88</f>
        <v>82.099655151367188</v>
      </c>
      <c r="P138" s="508">
        <f>+mamiabc!P88</f>
        <v>82.635292053222656</v>
      </c>
      <c r="Q138" s="508">
        <f>+mamiabc!Q88</f>
        <v>83.680549621582031</v>
      </c>
      <c r="R138" s="508">
        <f>+mamiabc!R88</f>
        <v>84.075767517089844</v>
      </c>
      <c r="S138" s="508">
        <f>+mamiabc!S88</f>
        <v>84.600982666015625</v>
      </c>
      <c r="T138" s="508">
        <f>+mamiabc!T88</f>
        <v>85.646247863769531</v>
      </c>
      <c r="U138" s="508">
        <f>+mamiabc!U88</f>
        <v>85.976463317871094</v>
      </c>
      <c r="V138" s="508">
        <f>+mamiabc!V88</f>
        <v>87.866767883300781</v>
      </c>
      <c r="W138" s="508">
        <f>+mamiabc!W88</f>
        <v>83.126693725585938</v>
      </c>
      <c r="X138" s="508">
        <f>+mamiabc!X88</f>
        <v>82.247848510742188</v>
      </c>
      <c r="Y138" s="508">
        <f>+mamiabc!Y88</f>
        <v>79.889511108398438</v>
      </c>
      <c r="Z138" s="508">
        <f>+mamiabc!Z88</f>
        <v>78.849456787109375</v>
      </c>
      <c r="AA138" s="508">
        <f>+mamiabc!AA88</f>
        <v>83.4647216796875</v>
      </c>
      <c r="AB138" s="508">
        <f>+mamiabc!AB88</f>
        <v>81.644615173339844</v>
      </c>
      <c r="AC138" s="508">
        <f>+mamiabc!AC88</f>
        <v>82.814674377441406</v>
      </c>
      <c r="AD138" s="508">
        <f>+mamiabc!AD88</f>
        <v>83.074684143066406</v>
      </c>
      <c r="AE138" s="508">
        <f>+mamiabc!AE88</f>
        <v>81.25457763671875</v>
      </c>
      <c r="AF138" s="508">
        <f>+mamiabc!AF88</f>
        <v>82.099632263183594</v>
      </c>
      <c r="AG138" s="508">
        <f>+mamiabc!AG88</f>
        <v>81.839622497558594</v>
      </c>
      <c r="AH138" s="508">
        <f>+mamiabc!AH88</f>
        <v>81.748611450195313</v>
      </c>
      <c r="AI138" s="508">
        <f>+mamiabc!AI88</f>
        <v>79.954513549804688</v>
      </c>
      <c r="AJ138" s="508">
        <f>+mamiabc!AJ88</f>
        <v>76.925338745117188</v>
      </c>
      <c r="AK138" s="508">
        <f>+mamiabc!AK88</f>
        <v>74.128883361816406</v>
      </c>
      <c r="AL138" s="508">
        <f>+mamiabc!AL88</f>
        <v>69.358917236328125</v>
      </c>
      <c r="AM138" s="508">
        <f>+mamiabc!AM88</f>
        <v>65.164642333984375</v>
      </c>
      <c r="AN138" s="508">
        <f>+mamiabc!AN88</f>
        <v>60.876659393310547</v>
      </c>
      <c r="AO138" s="508">
        <f>+mamiabc!AO88</f>
        <v>55.818065643310547</v>
      </c>
      <c r="AP138" s="508">
        <f>+mamiabc!AP88</f>
        <v>53.200000762939453</v>
      </c>
      <c r="AQ138" s="508">
        <f>+mamiabc!AQ88</f>
        <v>54.065437558463735</v>
      </c>
      <c r="AR138" s="508">
        <f>+mamiabc!AR88</f>
        <v>54.596764706386153</v>
      </c>
      <c r="AS138" s="508">
        <f>+mamiabc!AS88</f>
        <v>51.791635790062131</v>
      </c>
      <c r="AT138" s="508">
        <f>+mamiabc!AT88</f>
        <v>47.320599047501005</v>
      </c>
      <c r="AU138" s="508">
        <f>+mamiabc!AU88</f>
        <v>44.121035130535873</v>
      </c>
      <c r="AV138" s="303">
        <f t="shared" ref="AV138:BE138" si="25">+AV159</f>
        <v>52.677513742556123</v>
      </c>
      <c r="AW138" s="303">
        <f t="shared" si="25"/>
        <v>52.101464441136059</v>
      </c>
      <c r="AX138" s="303">
        <f t="shared" si="25"/>
        <v>52.05368226065049</v>
      </c>
      <c r="AY138" s="303">
        <f t="shared" si="25"/>
        <v>50.149551019239581</v>
      </c>
      <c r="AZ138" s="303">
        <f t="shared" si="25"/>
        <v>50.808303825011457</v>
      </c>
      <c r="BA138" s="303">
        <f t="shared" si="25"/>
        <v>49.500999999999998</v>
      </c>
      <c r="BB138" s="303">
        <f t="shared" si="25"/>
        <v>53.581867353679478</v>
      </c>
      <c r="BC138" s="303">
        <f t="shared" si="25"/>
        <v>55.627592460474744</v>
      </c>
      <c r="BD138" s="303">
        <f t="shared" si="25"/>
        <v>58.713698110714752</v>
      </c>
      <c r="BE138" s="303">
        <f t="shared" si="25"/>
        <v>60.399187078874348</v>
      </c>
      <c r="BF138" s="303">
        <f t="shared" ref="BF138:BQ138" si="26">+BF159</f>
        <v>61.117446250055039</v>
      </c>
      <c r="BG138" s="303">
        <f t="shared" si="26"/>
        <v>61.439654247588834</v>
      </c>
      <c r="BH138" s="303">
        <f t="shared" si="26"/>
        <v>62.473326123271335</v>
      </c>
      <c r="BI138" s="303">
        <f t="shared" si="26"/>
        <v>61.502225184373494</v>
      </c>
      <c r="BJ138" s="303">
        <f t="shared" si="26"/>
        <v>66.446580609096969</v>
      </c>
      <c r="BK138" s="303">
        <f t="shared" si="26"/>
        <v>71.390936033820438</v>
      </c>
      <c r="BL138" s="303">
        <f t="shared" si="26"/>
        <v>77.858268059882434</v>
      </c>
      <c r="BM138" s="303">
        <f t="shared" si="26"/>
        <v>77.545413375959157</v>
      </c>
      <c r="BN138" s="303">
        <f t="shared" si="26"/>
        <v>86.550622598006754</v>
      </c>
      <c r="BO138" s="303">
        <f t="shared" si="26"/>
        <v>87.862109433013117</v>
      </c>
      <c r="BP138" s="303">
        <f t="shared" si="26"/>
        <v>83.116729587264871</v>
      </c>
      <c r="BQ138" s="303">
        <f t="shared" si="26"/>
        <v>86.340384250410324</v>
      </c>
    </row>
    <row r="139" spans="1:72" s="300" customFormat="1">
      <c r="A139" s="300" t="s">
        <v>2480</v>
      </c>
      <c r="D139" s="300">
        <v>1000</v>
      </c>
      <c r="F139" s="508">
        <f>+mamiabc!F89</f>
        <v>6.6</v>
      </c>
      <c r="G139" s="508">
        <f>+mamiabc!G89</f>
        <v>7.6</v>
      </c>
      <c r="H139" s="508">
        <f>+mamiabc!H89</f>
        <v>8.3500003814697266</v>
      </c>
      <c r="I139" s="508">
        <f>+mamiabc!I89</f>
        <v>9.5</v>
      </c>
      <c r="J139" s="508">
        <f>+mamiabc!J89</f>
        <v>9.555999755859375</v>
      </c>
      <c r="K139" s="508">
        <f>+mamiabc!K89</f>
        <v>10.487000465393066</v>
      </c>
      <c r="L139" s="508">
        <f>+mamiabc!L89</f>
        <v>11.295999526977539</v>
      </c>
      <c r="M139" s="508">
        <f>+mamiabc!M89</f>
        <v>11.963000297546387</v>
      </c>
      <c r="N139" s="508">
        <f>+mamiabc!N89</f>
        <v>12.97599983215332</v>
      </c>
      <c r="O139" s="508">
        <f>+mamiabc!O89</f>
        <v>13.972000122070313</v>
      </c>
      <c r="P139" s="508">
        <f>+mamiabc!P89</f>
        <v>14.777999877929688</v>
      </c>
      <c r="Q139" s="508">
        <f>+mamiabc!Q89</f>
        <v>15.529999732971191</v>
      </c>
      <c r="R139" s="508">
        <f>+mamiabc!R89</f>
        <v>16.233999252319336</v>
      </c>
      <c r="S139" s="508">
        <f>+mamiabc!S89</f>
        <v>18.055999755859375</v>
      </c>
      <c r="T139" s="508">
        <f>+mamiabc!T89</f>
        <v>18.5</v>
      </c>
      <c r="U139" s="508">
        <f>+mamiabc!U89</f>
        <v>20.700000762939453</v>
      </c>
      <c r="V139" s="508">
        <f>+mamiabc!V89</f>
        <v>24.100000381469727</v>
      </c>
      <c r="W139" s="508">
        <f>+mamiabc!W89</f>
        <v>24.200000762939453</v>
      </c>
      <c r="X139" s="508">
        <f>+mamiabc!X89</f>
        <v>23.700000762939453</v>
      </c>
      <c r="Y139" s="508">
        <f>+mamiabc!Y89</f>
        <v>25.399999618530273</v>
      </c>
      <c r="Z139" s="508">
        <f>+mamiabc!Z89</f>
        <v>28.399999618530273</v>
      </c>
      <c r="AA139" s="508">
        <f>+mamiabc!AA89</f>
        <v>29.399999618530273</v>
      </c>
      <c r="AB139" s="508">
        <f>+mamiabc!AB89</f>
        <v>32.700000762939453</v>
      </c>
      <c r="AC139" s="508">
        <f>+mamiabc!AC89</f>
        <v>35.900001525878906</v>
      </c>
      <c r="AD139" s="508">
        <f>+mamiabc!AD89</f>
        <v>39</v>
      </c>
      <c r="AE139" s="508">
        <f>+mamiabc!AE89</f>
        <v>39.599998474121094</v>
      </c>
      <c r="AF139" s="508">
        <f>+mamiabc!AF89</f>
        <v>35.200000762939453</v>
      </c>
      <c r="AG139" s="508">
        <f>+mamiabc!AG89</f>
        <v>35.400001525878906</v>
      </c>
      <c r="AH139" s="508">
        <f>+mamiabc!AH89</f>
        <v>35.299999237060547</v>
      </c>
      <c r="AI139" s="508">
        <f>+mamiabc!AI89</f>
        <v>37</v>
      </c>
      <c r="AJ139" s="508">
        <f>+mamiabc!AJ89</f>
        <v>37</v>
      </c>
      <c r="AK139" s="508">
        <f>+mamiabc!AK89</f>
        <v>38</v>
      </c>
      <c r="AL139" s="508">
        <f>+mamiabc!AL89</f>
        <v>38.5</v>
      </c>
      <c r="AM139" s="508">
        <f>+mamiabc!AM89</f>
        <v>41.337207794189453</v>
      </c>
      <c r="AN139" s="508">
        <f>+mamiabc!AN89</f>
        <v>43.953487396240234</v>
      </c>
      <c r="AO139" s="508">
        <f>+mamiabc!AO89</f>
        <v>44.47674560546875</v>
      </c>
      <c r="AP139" s="508">
        <f>+mamiabc!AP89</f>
        <v>43.445</v>
      </c>
      <c r="AQ139" s="508">
        <f>+mamiabc!AQ89</f>
        <v>42.816000000000003</v>
      </c>
      <c r="AR139" s="508">
        <f>+mamiabc!AR89</f>
        <v>42.697000000000003</v>
      </c>
      <c r="AS139" s="508">
        <f>+mamiabc!AS89</f>
        <v>40.652000000000001</v>
      </c>
      <c r="AT139" s="508">
        <f>+mamiabc!AT89</f>
        <v>38.552</v>
      </c>
      <c r="AU139" s="508">
        <f>+mamiabc!AU89</f>
        <v>37.159999999999997</v>
      </c>
      <c r="AV139" s="508">
        <f>+mamiabc!AV89</f>
        <v>36.662999999999997</v>
      </c>
      <c r="AW139" s="508">
        <f>+mamiabc!AW89</f>
        <v>36.691029816513755</v>
      </c>
      <c r="AX139" s="508">
        <f>+mamiabc!AX89</f>
        <v>37.726999999999997</v>
      </c>
      <c r="AY139" s="508">
        <f>+mamiabc!AY89</f>
        <v>37.889000000000003</v>
      </c>
      <c r="AZ139" s="508">
        <f>+mamiabc!AZ89</f>
        <v>38.475000000000001</v>
      </c>
      <c r="BA139" s="508">
        <f>+mamiabc!BA89</f>
        <v>39.226999999999997</v>
      </c>
      <c r="BB139" s="303">
        <f>+BB162</f>
        <v>32.304132646320518</v>
      </c>
      <c r="BC139" s="303">
        <f>+BC162</f>
        <v>32.37640753952526</v>
      </c>
      <c r="BD139" s="303">
        <f>+BD162</f>
        <v>32.345301889285246</v>
      </c>
      <c r="BE139" s="303">
        <f>+BE162</f>
        <v>33.231812921125652</v>
      </c>
      <c r="BF139" s="303">
        <f t="shared" ref="BF139:BN139" si="27">+BF162</f>
        <v>34.298553749944958</v>
      </c>
      <c r="BG139" s="303">
        <f t="shared" si="27"/>
        <v>34.999345752411159</v>
      </c>
      <c r="BH139" s="303">
        <f t="shared" si="27"/>
        <v>35.571140793587887</v>
      </c>
      <c r="BI139" s="303">
        <f t="shared" si="27"/>
        <v>36.121893777249305</v>
      </c>
      <c r="BJ139" s="303">
        <f t="shared" si="27"/>
        <v>38.552708856299823</v>
      </c>
      <c r="BK139" s="303">
        <f t="shared" si="27"/>
        <v>40.983523935350334</v>
      </c>
      <c r="BL139" s="303">
        <f t="shared" si="27"/>
        <v>41.548000000000002</v>
      </c>
      <c r="BM139" s="303">
        <f t="shared" si="27"/>
        <v>42.216000000000001</v>
      </c>
      <c r="BN139" s="303">
        <f t="shared" si="27"/>
        <v>42.698</v>
      </c>
    </row>
    <row r="140" spans="1:72" s="300" customFormat="1">
      <c r="A140" s="300" t="s">
        <v>2478</v>
      </c>
      <c r="D140" s="300">
        <v>1000</v>
      </c>
      <c r="F140" s="508">
        <f>+(F138+F139)*mamiabc!F90/100/(1-mamiabc!F90/100)</f>
        <v>3.9982832618025759</v>
      </c>
      <c r="G140" s="508">
        <f>+(G138+G139)*mamiabc!G90/100/(1-mamiabc!G90/100)</f>
        <v>3.0210526315789474</v>
      </c>
      <c r="H140" s="508">
        <f>+(H138+H139)*mamiabc!H90/100/(1-mamiabc!H90/100)</f>
        <v>1.6695827389864406</v>
      </c>
      <c r="I140" s="508">
        <f>+(I138+I139)*mamiabc!I90/100/(1-mamiabc!I90/100)</f>
        <v>1.4254436603549601</v>
      </c>
      <c r="J140" s="508">
        <f>+(J138+J139)*mamiabc!J90/100/(1-mamiabc!J90/100)</f>
        <v>2.6107591120084725</v>
      </c>
      <c r="K140" s="508">
        <f>+(K138+K139)*mamiabc!K90/100/(1-mamiabc!K90/100)</f>
        <v>2.5334316879972776</v>
      </c>
      <c r="L140" s="508">
        <f>+(L138+L139)*mamiabc!L90/100/(1-mamiabc!L90/100)</f>
        <v>1.9359133280649257</v>
      </c>
      <c r="M140" s="508">
        <f>+(M138+M139)*mamiabc!M90/100/(1-mamiabc!M90/100)</f>
        <v>2.8999202531073336</v>
      </c>
      <c r="N140" s="508">
        <f>+(N138+N139)*mamiabc!N90/100/(1-mamiabc!N90/100)</f>
        <v>3.8418486015197324</v>
      </c>
      <c r="O140" s="508">
        <f>+(O138+O139)*mamiabc!O90/100/(1-mamiabc!O90/100)</f>
        <v>4.7658526031765094</v>
      </c>
      <c r="P140" s="508">
        <f>+(P138+P139)*mamiabc!P90/100/(1-mamiabc!P90/100)</f>
        <v>5.6757389711060773</v>
      </c>
      <c r="Q140" s="508">
        <f>+(Q138+Q139)*mamiabc!Q90/100/(1-mamiabc!Q90/100)</f>
        <v>4.6865189847605704</v>
      </c>
      <c r="R140" s="508">
        <f>+(R138+R139)*mamiabc!R90/100/(1-mamiabc!R90/100)</f>
        <v>4.4924885775677499</v>
      </c>
      <c r="S140" s="508">
        <f>+(S138+S139)*mamiabc!S90/100/(1-mamiabc!S90/100)</f>
        <v>4.4716191153703244</v>
      </c>
      <c r="T140" s="508">
        <f>+(T138+T139)*mamiabc!T90/100/(1-mamiabc!T90/100)</f>
        <v>4.6533396263087754</v>
      </c>
      <c r="U140" s="508">
        <f>+(U138+U139)*mamiabc!U90/100/(1-mamiabc!U90/100)</f>
        <v>5.728161371197924</v>
      </c>
      <c r="V140" s="508">
        <f>+(V138+V139)*mamiabc!V90/100/(1-mamiabc!V90/100)</f>
        <v>5.206103360798676</v>
      </c>
      <c r="W140" s="508">
        <f>+(W138+W139)*mamiabc!W90/100/(1-mamiabc!W90/100)</f>
        <v>6.8672826694110478</v>
      </c>
      <c r="X140" s="508">
        <f>+(X138+X139)*mamiabc!X90/100/(1-mamiabc!X90/100)</f>
        <v>8.3805913486331036</v>
      </c>
      <c r="Y140" s="508">
        <f>+(Y138+Y139)*mamiabc!Y90/100/(1-mamiabc!Y90/100)</f>
        <v>10.579014139558707</v>
      </c>
      <c r="Z140" s="508">
        <f>+(Z138+Z139)*mamiabc!Z90/100/(1-mamiabc!Z90/100)</f>
        <v>11.879397687877436</v>
      </c>
      <c r="AA140" s="508">
        <f>+(AA138+AA139)*mamiabc!AA90/100/(1-mamiabc!AA90/100)</f>
        <v>9.7874026498330569</v>
      </c>
      <c r="AB140" s="508">
        <f>+(AB138+AB139)*mamiabc!AB90/100/(1-mamiabc!AB90/100)</f>
        <v>8.2023160639369355</v>
      </c>
      <c r="AC140" s="508">
        <f>+(AC138+AC139)*mamiabc!AC90/100/(1-mamiabc!AC90/100)</f>
        <v>7.0194162349147105</v>
      </c>
      <c r="AD140" s="508">
        <f>+(AD138+AD139)*mamiabc!AD90/100/(1-mamiabc!AD90/100)</f>
        <v>5.9337055463590609</v>
      </c>
      <c r="AE140" s="508">
        <f>+(AE138+AE139)*mamiabc!AE90/100/(1-mamiabc!AE90/100)</f>
        <v>8.6876334609096997</v>
      </c>
      <c r="AF140" s="508">
        <f>+(AF138+AF139)*mamiabc!AF90/100/(1-mamiabc!AF90/100)</f>
        <v>11.733482568810366</v>
      </c>
      <c r="AG140" s="508">
        <f>+(AG138+AG139)*mamiabc!AG90/100/(1-mamiabc!AG90/100)</f>
        <v>11.889434253409568</v>
      </c>
      <c r="AH140" s="508">
        <f>+(AH138+AH139)*mamiabc!AH90/100/(1-mamiabc!AH90/100)</f>
        <v>12.050863458046182</v>
      </c>
      <c r="AI140" s="508">
        <f>+(AI138+AI139)*mamiabc!AI90/100/(1-mamiabc!AI90/100)</f>
        <v>15.140135501742588</v>
      </c>
      <c r="AJ140" s="508">
        <f>+(AJ138+AJ139)*mamiabc!AJ90/100/(1-mamiabc!AJ90/100)</f>
        <v>17.061808734538662</v>
      </c>
      <c r="AK140" s="508">
        <f>+(AK138+AK139)*mamiabc!AK90/100/(1-mamiabc!AK90/100)</f>
        <v>17.937002233189745</v>
      </c>
      <c r="AL140" s="508">
        <f>+(AL138+AL139)*mamiabc!AL90/100/(1-mamiabc!AL90/100)</f>
        <v>20.530830498369877</v>
      </c>
      <c r="AM140" s="508">
        <f>+(AM138+AM139)*mamiabc!AM90/100/(1-mamiabc!AM90/100)</f>
        <v>22.905016354778624</v>
      </c>
      <c r="AN140" s="508">
        <f>+(AN138+AN139)*mamiabc!AN90/100/(1-mamiabc!AN90/100)</f>
        <v>26.043943460518818</v>
      </c>
      <c r="AO140" s="508">
        <f>+(AO138+AO139)*mamiabc!AO90/100/(1-mamiabc!AO90/100)</f>
        <v>20.834188960061557</v>
      </c>
      <c r="AP140" s="508">
        <f>+(AP138+AP139)*mamiabc!AP90/100/(1-mamiabc!AP90/100)</f>
        <v>17.72778120503623</v>
      </c>
      <c r="AQ140" s="508">
        <f>+(AQ138+AQ139)*mamiabc!AQ90/100/(1-mamiabc!AQ90/100)</f>
        <v>17.771151268120569</v>
      </c>
      <c r="AR140" s="508">
        <f>+(AR138+AR139)*mamiabc!AR90/100/(1-mamiabc!AR90/100)</f>
        <v>21.479475665939038</v>
      </c>
      <c r="AS140" s="508">
        <f>+(AS138+AS139)*mamiabc!AS90/100/(1-mamiabc!AS90/100)</f>
        <v>16.313582786481554</v>
      </c>
      <c r="AT140" s="508">
        <f>+(AT138+AT139)*mamiabc!AT90/100/(1-mamiabc!AT90/100)</f>
        <v>11.709899870113775</v>
      </c>
      <c r="AU140" s="508">
        <f>+(AU138+AU139)*mamiabc!AU90/100/(1-mamiabc!AU90/100)</f>
        <v>7.0679160983074665</v>
      </c>
      <c r="AV140" s="508">
        <f>+(AV138+AV139)*mamiabc!AV90/100/(1-mamiabc!AV90/100)</f>
        <v>11.042085968181091</v>
      </c>
      <c r="AW140" s="508">
        <f>+(AW138+AW139)*mamiabc!AW90/100/(1-mamiabc!AW90/100)</f>
        <v>14.920662391467676</v>
      </c>
      <c r="AX140" s="508">
        <f>+(AX138+AX139)*mamiabc!AX90/100/(1-mamiabc!AX90/100)</f>
        <v>15.561081072023919</v>
      </c>
      <c r="AY140" s="508">
        <f>+(AY138+AY139)*mamiabc!AY90/100/(1-mamiabc!AY90/100)</f>
        <v>17.661001227616968</v>
      </c>
      <c r="AZ140" s="508">
        <f>+(AZ138+AZ139)*mamiabc!AZ90/100/(1-mamiabc!AZ90/100)</f>
        <v>18.40989140579304</v>
      </c>
      <c r="BA140" s="508">
        <f>+(BA138+BA139)*mamiabc!BA90/100/(1-mamiabc!BA90/100)</f>
        <v>19.457968280281875</v>
      </c>
      <c r="BB140" s="508">
        <f>+(BB138+BB139)*mamiabc!BB90/100/(1-mamiabc!BB90/100)</f>
        <v>18.801465208864965</v>
      </c>
      <c r="BC140" s="508">
        <f>+(BC138+BC139)*mamiabc!BC90/100/(1-mamiabc!BC90/100)</f>
        <v>18.451992258213799</v>
      </c>
      <c r="BD140" s="508">
        <f ca="1">+(BD138+BD139)*mamiabc!BD90/100/(1-mamiabc!BD90/100)</f>
        <v>13.542996684987488</v>
      </c>
      <c r="BE140" s="508">
        <f ca="1">+(BE138+BE139)*mamiabc!BE90/100/(1-mamiabc!BE90/100)</f>
        <v>11.162745949266167</v>
      </c>
      <c r="BF140" s="303">
        <f t="shared" ref="BF140:BR140" si="28">+BF163</f>
        <v>24.917910447761194</v>
      </c>
      <c r="BG140" s="303">
        <f t="shared" si="28"/>
        <v>22.098507462686566</v>
      </c>
      <c r="BH140" s="303">
        <f t="shared" si="28"/>
        <v>19.525373134328358</v>
      </c>
      <c r="BI140" s="303">
        <f t="shared" si="28"/>
        <v>18.849253731343282</v>
      </c>
      <c r="BJ140" s="303">
        <f t="shared" si="28"/>
        <v>15.568656716417909</v>
      </c>
      <c r="BK140" s="303">
        <f t="shared" si="28"/>
        <v>16.543283582089551</v>
      </c>
      <c r="BL140" s="303">
        <f t="shared" si="28"/>
        <v>17.870149253731345</v>
      </c>
      <c r="BM140" s="303">
        <f t="shared" si="28"/>
        <v>14.865671641791046</v>
      </c>
      <c r="BN140" s="303">
        <f t="shared" si="28"/>
        <v>12.498507462686566</v>
      </c>
      <c r="BO140" s="303">
        <f t="shared" si="28"/>
        <v>15.852238805970149</v>
      </c>
      <c r="BP140" s="303">
        <f t="shared" si="28"/>
        <v>21.446268656716416</v>
      </c>
      <c r="BQ140" s="303">
        <f t="shared" si="28"/>
        <v>16.7</v>
      </c>
      <c r="BR140" s="303">
        <f t="shared" si="28"/>
        <v>21.308955223880595</v>
      </c>
    </row>
    <row r="141" spans="1:72" s="300" customFormat="1">
      <c r="A141" s="300" t="s">
        <v>2477</v>
      </c>
      <c r="D141" s="300">
        <v>1000</v>
      </c>
      <c r="BC141" s="303"/>
      <c r="BD141" s="303"/>
      <c r="BE141" s="303"/>
      <c r="BF141" s="303">
        <f t="shared" ref="BF141:BO141" si="29">+BF164</f>
        <v>82.567582089552218</v>
      </c>
      <c r="BG141" s="303">
        <f t="shared" si="29"/>
        <v>88.331149253731354</v>
      </c>
      <c r="BH141" s="303">
        <f t="shared" si="29"/>
        <v>91.021204724931806</v>
      </c>
      <c r="BI141" s="303">
        <f t="shared" si="29"/>
        <v>99.907224321959262</v>
      </c>
      <c r="BJ141" s="303">
        <f t="shared" si="29"/>
        <v>96.700710534603218</v>
      </c>
      <c r="BK141" s="303">
        <f t="shared" si="29"/>
        <v>90.341957941276945</v>
      </c>
      <c r="BL141" s="303">
        <f t="shared" si="29"/>
        <v>83.359403581908651</v>
      </c>
      <c r="BM141" s="303">
        <f t="shared" si="29"/>
        <v>90.52963140016027</v>
      </c>
      <c r="BN141" s="303">
        <f t="shared" si="29"/>
        <v>87.223019193038013</v>
      </c>
      <c r="BO141" s="303">
        <f t="shared" si="29"/>
        <v>67.826129372957055</v>
      </c>
    </row>
    <row r="142" spans="1:72" s="300" customFormat="1">
      <c r="A142" s="300" t="s">
        <v>253</v>
      </c>
      <c r="D142" s="300">
        <v>1000</v>
      </c>
      <c r="BC142" s="303"/>
      <c r="BD142" s="303"/>
      <c r="BE142" s="303"/>
      <c r="BF142" s="303">
        <f t="shared" ref="BF142:BR142" si="30">+BF165</f>
        <v>202.9014925373134</v>
      </c>
      <c r="BG142" s="303">
        <f t="shared" si="30"/>
        <v>206.86865671641792</v>
      </c>
      <c r="BH142" s="303">
        <f t="shared" si="30"/>
        <v>208.59104477611939</v>
      </c>
      <c r="BI142" s="303">
        <f t="shared" si="30"/>
        <v>216.38059701492534</v>
      </c>
      <c r="BJ142" s="303">
        <f t="shared" si="30"/>
        <v>217.26865671641792</v>
      </c>
      <c r="BK142" s="303">
        <f t="shared" si="30"/>
        <v>219.25970149253729</v>
      </c>
      <c r="BL142" s="303">
        <f t="shared" si="30"/>
        <v>220.63582089552241</v>
      </c>
      <c r="BM142" s="303">
        <f t="shared" si="30"/>
        <v>225.15671641791047</v>
      </c>
      <c r="BN142" s="522">
        <f t="shared" si="30"/>
        <v>228.97014925373134</v>
      </c>
      <c r="BO142" s="303">
        <f t="shared" si="30"/>
        <v>219.5044776119403</v>
      </c>
      <c r="BP142" s="303">
        <f t="shared" si="30"/>
        <v>220.94328358208955</v>
      </c>
      <c r="BQ142" s="303">
        <f t="shared" si="30"/>
        <v>222.77611940298505</v>
      </c>
      <c r="BR142" s="303">
        <f t="shared" si="30"/>
        <v>225.87462686567162</v>
      </c>
    </row>
    <row r="143" spans="1:72" s="300" customFormat="1">
      <c r="A143" s="300" t="s">
        <v>3007</v>
      </c>
      <c r="D143" s="300">
        <v>1000</v>
      </c>
      <c r="E143" s="300" t="s">
        <v>3006</v>
      </c>
      <c r="BF143" s="303">
        <v>41.097999999999999</v>
      </c>
      <c r="BG143" s="303">
        <v>41.926000000000002</v>
      </c>
      <c r="BH143" s="303">
        <v>42.817999999999998</v>
      </c>
      <c r="BI143" s="303">
        <v>43.475000000000001</v>
      </c>
      <c r="BJ143" s="303">
        <v>44.648000000000003</v>
      </c>
      <c r="BK143" s="303">
        <v>45.27</v>
      </c>
      <c r="BL143" s="303">
        <v>47.09</v>
      </c>
      <c r="BM143" s="303">
        <v>49.084000000000003</v>
      </c>
      <c r="BN143" s="303">
        <v>53.464271770294438</v>
      </c>
    </row>
    <row r="144" spans="1:72" s="300" customFormat="1"/>
    <row r="145" spans="1:69" s="300" customFormat="1"/>
    <row r="146" spans="1:69" s="300" customFormat="1"/>
    <row r="147" spans="1:69" s="309" customFormat="1">
      <c r="A147" s="309" t="s">
        <v>3005</v>
      </c>
    </row>
    <row r="148" spans="1:69">
      <c r="A148" s="274" t="s">
        <v>3004</v>
      </c>
      <c r="BB148" s="307"/>
      <c r="BC148" s="307"/>
      <c r="BD148" s="307"/>
      <c r="BE148" s="307"/>
      <c r="BF148" s="307"/>
      <c r="BG148" s="307"/>
      <c r="BH148" s="307"/>
      <c r="BI148" s="307"/>
      <c r="BJ148" s="307"/>
      <c r="BK148" s="307"/>
      <c r="BL148" s="307"/>
      <c r="BM148" s="307"/>
      <c r="BN148" s="307"/>
    </row>
    <row r="149" spans="1:69">
      <c r="A149" s="302" t="s">
        <v>3003</v>
      </c>
      <c r="D149" s="302" t="s">
        <v>1579</v>
      </c>
      <c r="AV149" s="310">
        <v>100.84399999999999</v>
      </c>
      <c r="AW149" s="310">
        <v>133.77799999999999</v>
      </c>
      <c r="AX149" s="310">
        <v>159.37299999999999</v>
      </c>
      <c r="AY149" s="310">
        <v>286.048</v>
      </c>
      <c r="AZ149" s="310">
        <v>389.363</v>
      </c>
      <c r="BA149" s="310">
        <v>634.14369999999997</v>
      </c>
      <c r="BB149" s="310">
        <v>762.428</v>
      </c>
      <c r="BC149" s="310">
        <v>720.43700000000001</v>
      </c>
      <c r="BD149" s="311">
        <f>+BC149*(1+BD49/100)*BD159/BC159</f>
        <v>836.44591686092917</v>
      </c>
      <c r="BE149" s="312">
        <f t="shared" ref="BE149:BN149" si="31">+BE159*(BE177/$Y153)/1000</f>
        <v>912.64047026716514</v>
      </c>
      <c r="BF149" s="312">
        <f t="shared" si="31"/>
        <v>1091.0580213348956</v>
      </c>
      <c r="BG149" s="312">
        <f t="shared" si="31"/>
        <v>1186.0346473145414</v>
      </c>
      <c r="BH149" s="312">
        <f t="shared" si="31"/>
        <v>1307.9669072114675</v>
      </c>
      <c r="BI149" s="312">
        <f t="shared" si="31"/>
        <v>1507.4248872885755</v>
      </c>
      <c r="BJ149" s="312">
        <f t="shared" si="31"/>
        <v>1746.4395529969424</v>
      </c>
      <c r="BK149" s="312">
        <f t="shared" si="31"/>
        <v>2151.8593860239343</v>
      </c>
      <c r="BL149" s="312">
        <f t="shared" si="31"/>
        <v>2569.589143820499</v>
      </c>
      <c r="BM149" s="312">
        <f t="shared" si="31"/>
        <v>2766.1415459255404</v>
      </c>
      <c r="BN149" s="312">
        <f t="shared" si="31"/>
        <v>3060.5604681778404</v>
      </c>
    </row>
    <row r="150" spans="1:69">
      <c r="AV150" s="310"/>
      <c r="AW150" s="310"/>
      <c r="AX150" s="310"/>
      <c r="AY150" s="310"/>
      <c r="AZ150" s="310"/>
      <c r="BA150" s="310"/>
      <c r="BB150" s="310"/>
      <c r="BC150" s="310" t="s">
        <v>3002</v>
      </c>
      <c r="BD150" s="310"/>
      <c r="BE150" s="313">
        <f t="shared" ref="BE150:BN150" si="32">+BE159*(BE177)/1000</f>
        <v>1211.0037009314308</v>
      </c>
      <c r="BF150" s="313">
        <f t="shared" si="32"/>
        <v>1447.7500667713039</v>
      </c>
      <c r="BG150" s="313">
        <f t="shared" si="32"/>
        <v>1573.7767435519879</v>
      </c>
      <c r="BH150" s="313">
        <f t="shared" si="32"/>
        <v>1735.5714730306008</v>
      </c>
      <c r="BI150" s="313">
        <f t="shared" si="32"/>
        <v>2000.2368696713793</v>
      </c>
      <c r="BJ150" s="313">
        <f t="shared" si="32"/>
        <v>2317.3909453228662</v>
      </c>
      <c r="BK150" s="313">
        <f t="shared" si="32"/>
        <v>2855.3518776086821</v>
      </c>
      <c r="BL150" s="313">
        <f t="shared" si="32"/>
        <v>3409.6471331464313</v>
      </c>
      <c r="BM150" s="313">
        <f t="shared" si="32"/>
        <v>3670.4570513242747</v>
      </c>
      <c r="BN150" s="313">
        <f t="shared" si="32"/>
        <v>4061.1283135436734</v>
      </c>
    </row>
    <row r="151" spans="1:69">
      <c r="A151" s="302" t="s">
        <v>3001</v>
      </c>
      <c r="D151" s="302" t="str">
        <f>+D149</f>
        <v>mln SRD</v>
      </c>
      <c r="AV151" s="310">
        <v>76.643000000000001</v>
      </c>
      <c r="AW151" s="310">
        <v>85.683999999999997</v>
      </c>
      <c r="AX151" s="310">
        <v>100.687</v>
      </c>
      <c r="AY151" s="310">
        <v>170.74199999999999</v>
      </c>
      <c r="AZ151" s="310">
        <v>261.08999999999997</v>
      </c>
    </row>
    <row r="152" spans="1:69">
      <c r="AV152" s="310"/>
      <c r="AW152" s="310"/>
      <c r="AX152" s="310"/>
      <c r="AY152" s="310"/>
      <c r="AZ152" s="310"/>
    </row>
    <row r="153" spans="1:69">
      <c r="Y153" s="314">
        <f>+Y154/Y155</f>
        <v>1.3269230769230769</v>
      </c>
      <c r="AV153" s="310"/>
      <c r="AW153" s="310"/>
      <c r="AX153" s="310"/>
      <c r="AY153" s="310"/>
      <c r="AZ153" s="310"/>
    </row>
    <row r="154" spans="1:69">
      <c r="A154" s="302" t="s">
        <v>3000</v>
      </c>
      <c r="D154" s="302" t="s">
        <v>2997</v>
      </c>
      <c r="E154" s="302" t="s">
        <v>2999</v>
      </c>
      <c r="Y154" s="302">
        <v>6900</v>
      </c>
      <c r="AV154" s="310"/>
      <c r="AW154" s="310"/>
      <c r="AX154" s="310"/>
      <c r="AY154" s="310"/>
      <c r="AZ154" s="310"/>
    </row>
    <row r="155" spans="1:69">
      <c r="A155" s="302" t="s">
        <v>2998</v>
      </c>
      <c r="D155" s="302" t="s">
        <v>2997</v>
      </c>
      <c r="Y155" s="302">
        <v>5200</v>
      </c>
    </row>
    <row r="156" spans="1:69">
      <c r="A156" s="274" t="s">
        <v>2996</v>
      </c>
    </row>
    <row r="157" spans="1:69">
      <c r="A157" s="274" t="s">
        <v>2995</v>
      </c>
      <c r="BB157" s="310"/>
      <c r="BC157" s="310"/>
      <c r="BD157" s="310"/>
      <c r="BE157" s="310"/>
      <c r="BF157" s="310"/>
      <c r="BG157" s="310"/>
    </row>
    <row r="158" spans="1:69">
      <c r="A158" s="274" t="s">
        <v>2994</v>
      </c>
      <c r="D158" s="302">
        <v>1000</v>
      </c>
      <c r="E158" s="302" t="s">
        <v>2485</v>
      </c>
      <c r="BB158" s="310">
        <v>85.885999999999996</v>
      </c>
      <c r="BC158" s="310">
        <v>88.004000000000005</v>
      </c>
      <c r="BD158" s="310">
        <v>91.058999999999997</v>
      </c>
      <c r="BE158" s="310">
        <v>93.631</v>
      </c>
      <c r="BF158" s="310">
        <v>95.415999999999997</v>
      </c>
      <c r="BG158" s="310">
        <v>96.438999999999993</v>
      </c>
      <c r="BH158" s="315">
        <f t="shared" ref="BH158:BN158" si="33">BH159+BH162</f>
        <v>98.044466916859221</v>
      </c>
      <c r="BI158" s="315">
        <f t="shared" si="33"/>
        <v>97.624118961622798</v>
      </c>
      <c r="BJ158" s="315">
        <f t="shared" si="33"/>
        <v>104.9992894653968</v>
      </c>
      <c r="BK158" s="315">
        <f t="shared" si="33"/>
        <v>112.37445996917077</v>
      </c>
      <c r="BL158" s="315">
        <f t="shared" si="33"/>
        <v>119.40626805988244</v>
      </c>
      <c r="BM158" s="315">
        <f t="shared" si="33"/>
        <v>119.76141337595917</v>
      </c>
      <c r="BN158" s="315">
        <f t="shared" si="33"/>
        <v>129.24862259800676</v>
      </c>
    </row>
    <row r="159" spans="1:69">
      <c r="A159" s="93" t="s">
        <v>2484</v>
      </c>
      <c r="D159" s="302">
        <v>1000</v>
      </c>
      <c r="E159" s="300" t="s">
        <v>2483</v>
      </c>
      <c r="AV159" s="310">
        <v>52.677513742556123</v>
      </c>
      <c r="AW159" s="310">
        <v>52.101464441136059</v>
      </c>
      <c r="AX159" s="310">
        <v>52.05368226065049</v>
      </c>
      <c r="AY159" s="310">
        <v>50.149551019239581</v>
      </c>
      <c r="AZ159" s="310">
        <v>50.808303825011457</v>
      </c>
      <c r="BA159" s="310">
        <v>49.500999999999998</v>
      </c>
      <c r="BB159" s="310">
        <f t="shared" ref="BB159:BG159" si="34">BB158-BB162</f>
        <v>53.581867353679478</v>
      </c>
      <c r="BC159" s="310">
        <f t="shared" si="34"/>
        <v>55.627592460474744</v>
      </c>
      <c r="BD159" s="310">
        <f t="shared" si="34"/>
        <v>58.713698110714752</v>
      </c>
      <c r="BE159" s="310">
        <f t="shared" si="34"/>
        <v>60.399187078874348</v>
      </c>
      <c r="BF159" s="310">
        <f t="shared" si="34"/>
        <v>61.117446250055039</v>
      </c>
      <c r="BG159" s="310">
        <f t="shared" si="34"/>
        <v>61.439654247588834</v>
      </c>
      <c r="BH159" s="316">
        <f t="shared" ref="BH159:BN159" si="35">BG159*BH160/BG160</f>
        <v>62.473326123271335</v>
      </c>
      <c r="BI159" s="316">
        <f t="shared" si="35"/>
        <v>61.502225184373494</v>
      </c>
      <c r="BJ159" s="316">
        <f t="shared" si="35"/>
        <v>66.446580609096969</v>
      </c>
      <c r="BK159" s="316">
        <f t="shared" si="35"/>
        <v>71.390936033820438</v>
      </c>
      <c r="BL159" s="316">
        <f t="shared" si="35"/>
        <v>77.858268059882434</v>
      </c>
      <c r="BM159" s="316">
        <f t="shared" si="35"/>
        <v>77.545413375959157</v>
      </c>
      <c r="BN159" s="316">
        <f t="shared" si="35"/>
        <v>86.550622598006754</v>
      </c>
      <c r="BO159" s="316">
        <f>BN159*BO160/BN160</f>
        <v>87.862109433013117</v>
      </c>
      <c r="BP159" s="316">
        <f>BO159*BP160/BO160</f>
        <v>83.116729587264871</v>
      </c>
      <c r="BQ159" s="316">
        <f>BP159*BQ160/BP160</f>
        <v>86.340384250410324</v>
      </c>
    </row>
    <row r="160" spans="1:69">
      <c r="A160" s="93" t="s">
        <v>2482</v>
      </c>
      <c r="D160" s="302">
        <v>1000</v>
      </c>
      <c r="AV160" s="310"/>
      <c r="AW160" s="310"/>
      <c r="AX160" s="310"/>
      <c r="AY160" s="310"/>
      <c r="AZ160" s="310"/>
      <c r="BA160" s="310"/>
      <c r="BB160" s="310"/>
      <c r="BC160" s="310"/>
      <c r="BD160" s="311">
        <f t="shared" ref="BD160:BQ160" si="36">+BD175</f>
        <v>24.71</v>
      </c>
      <c r="BE160" s="311">
        <f t="shared" si="36"/>
        <v>24.807000000000002</v>
      </c>
      <c r="BF160" s="311">
        <f t="shared" si="36"/>
        <v>25.024999999999999</v>
      </c>
      <c r="BG160" s="311">
        <f t="shared" si="36"/>
        <v>24.548000000000002</v>
      </c>
      <c r="BH160" s="311">
        <f t="shared" si="36"/>
        <v>24.960999999999999</v>
      </c>
      <c r="BI160" s="311">
        <f t="shared" si="36"/>
        <v>24.573</v>
      </c>
      <c r="BJ160" s="311">
        <f t="shared" si="36"/>
        <v>26.548500000000004</v>
      </c>
      <c r="BK160" s="311">
        <f t="shared" si="36"/>
        <v>28.524000000000001</v>
      </c>
      <c r="BL160" s="311">
        <f t="shared" si="36"/>
        <v>31.108000000000004</v>
      </c>
      <c r="BM160" s="311">
        <f t="shared" si="36"/>
        <v>30.983000000000004</v>
      </c>
      <c r="BN160" s="311">
        <f t="shared" si="36"/>
        <v>34.581000000000003</v>
      </c>
      <c r="BO160" s="311">
        <f t="shared" si="36"/>
        <v>35.104999999999997</v>
      </c>
      <c r="BP160" s="311">
        <f t="shared" si="36"/>
        <v>33.209000000000003</v>
      </c>
      <c r="BQ160" s="311">
        <f t="shared" si="36"/>
        <v>34.497000000000007</v>
      </c>
    </row>
    <row r="161" spans="1:70">
      <c r="A161" s="93" t="s">
        <v>2481</v>
      </c>
      <c r="D161" s="302">
        <v>1000</v>
      </c>
      <c r="AV161" s="310"/>
      <c r="AW161" s="310"/>
      <c r="AX161" s="310"/>
      <c r="AY161" s="310"/>
      <c r="AZ161" s="310"/>
      <c r="BA161" s="310"/>
      <c r="BB161" s="310"/>
      <c r="BC161" s="310"/>
      <c r="BD161" s="310">
        <f t="shared" ref="BD161:BN161" si="37">+BD159-BD160</f>
        <v>34.003698110714751</v>
      </c>
      <c r="BE161" s="310">
        <f t="shared" si="37"/>
        <v>35.592187078874346</v>
      </c>
      <c r="BF161" s="310">
        <f t="shared" si="37"/>
        <v>36.09244625005504</v>
      </c>
      <c r="BG161" s="310">
        <f t="shared" si="37"/>
        <v>36.891654247588832</v>
      </c>
      <c r="BH161" s="310">
        <f t="shared" si="37"/>
        <v>37.512326123271336</v>
      </c>
      <c r="BI161" s="310">
        <f t="shared" si="37"/>
        <v>36.929225184373493</v>
      </c>
      <c r="BJ161" s="310">
        <f t="shared" si="37"/>
        <v>39.898080609096965</v>
      </c>
      <c r="BK161" s="310">
        <f t="shared" si="37"/>
        <v>42.866936033820437</v>
      </c>
      <c r="BL161" s="310">
        <f t="shared" si="37"/>
        <v>46.75026805988243</v>
      </c>
      <c r="BM161" s="310">
        <f t="shared" si="37"/>
        <v>46.562413375959153</v>
      </c>
      <c r="BN161" s="310">
        <f t="shared" si="37"/>
        <v>51.969622598006751</v>
      </c>
    </row>
    <row r="162" spans="1:70">
      <c r="A162" s="93" t="s">
        <v>2480</v>
      </c>
      <c r="D162" s="302">
        <v>1000</v>
      </c>
      <c r="E162" s="302" t="s">
        <v>2479</v>
      </c>
      <c r="BB162" s="313">
        <f t="shared" ref="BB162:BK162" si="38">BB174*BC162/BC174</f>
        <v>32.304132646320518</v>
      </c>
      <c r="BC162" s="313">
        <f t="shared" si="38"/>
        <v>32.37640753952526</v>
      </c>
      <c r="BD162" s="313">
        <f t="shared" si="38"/>
        <v>32.345301889285246</v>
      </c>
      <c r="BE162" s="313">
        <f t="shared" si="38"/>
        <v>33.231812921125652</v>
      </c>
      <c r="BF162" s="313">
        <f t="shared" si="38"/>
        <v>34.298553749944958</v>
      </c>
      <c r="BG162" s="313">
        <f t="shared" si="38"/>
        <v>34.999345752411159</v>
      </c>
      <c r="BH162" s="313">
        <f t="shared" si="38"/>
        <v>35.571140793587887</v>
      </c>
      <c r="BI162" s="313">
        <f t="shared" si="38"/>
        <v>36.121893777249305</v>
      </c>
      <c r="BJ162" s="313">
        <f t="shared" si="38"/>
        <v>38.552708856299823</v>
      </c>
      <c r="BK162" s="313">
        <f t="shared" si="38"/>
        <v>40.983523935350334</v>
      </c>
      <c r="BL162" s="317">
        <f>+BL192</f>
        <v>41.548000000000002</v>
      </c>
      <c r="BM162" s="317">
        <f>+BM192</f>
        <v>42.216000000000001</v>
      </c>
      <c r="BN162" s="317">
        <f>+BN192</f>
        <v>42.698</v>
      </c>
      <c r="BO162" s="317">
        <f>+BO192</f>
        <v>47.963999999999999</v>
      </c>
    </row>
    <row r="163" spans="1:70">
      <c r="A163" s="302" t="s">
        <v>2478</v>
      </c>
      <c r="D163" s="302">
        <v>1000</v>
      </c>
      <c r="BF163" s="310">
        <f t="shared" ref="BF163:BR163" si="39">+BF197/0.67</f>
        <v>24.917910447761194</v>
      </c>
      <c r="BG163" s="310">
        <f t="shared" si="39"/>
        <v>22.098507462686566</v>
      </c>
      <c r="BH163" s="310">
        <f t="shared" si="39"/>
        <v>19.525373134328358</v>
      </c>
      <c r="BI163" s="310">
        <f t="shared" si="39"/>
        <v>18.849253731343282</v>
      </c>
      <c r="BJ163" s="310">
        <f t="shared" si="39"/>
        <v>15.568656716417909</v>
      </c>
      <c r="BK163" s="310">
        <f t="shared" si="39"/>
        <v>16.543283582089551</v>
      </c>
      <c r="BL163" s="310">
        <f t="shared" si="39"/>
        <v>17.870149253731345</v>
      </c>
      <c r="BM163" s="310">
        <f t="shared" si="39"/>
        <v>14.865671641791046</v>
      </c>
      <c r="BN163" s="310">
        <f t="shared" si="39"/>
        <v>12.498507462686566</v>
      </c>
      <c r="BO163" s="310">
        <f t="shared" si="39"/>
        <v>15.852238805970149</v>
      </c>
      <c r="BP163" s="310">
        <f t="shared" si="39"/>
        <v>21.446268656716416</v>
      </c>
      <c r="BQ163" s="310">
        <f t="shared" si="39"/>
        <v>16.7</v>
      </c>
      <c r="BR163" s="310">
        <f t="shared" si="39"/>
        <v>21.308955223880595</v>
      </c>
    </row>
    <row r="164" spans="1:70">
      <c r="A164" s="302" t="s">
        <v>2477</v>
      </c>
      <c r="D164" s="302">
        <v>1000</v>
      </c>
      <c r="BF164" s="310">
        <f t="shared" ref="BF164:BO164" si="40">+BF165-BF159-BF162-BF163</f>
        <v>82.567582089552218</v>
      </c>
      <c r="BG164" s="310">
        <f t="shared" si="40"/>
        <v>88.331149253731354</v>
      </c>
      <c r="BH164" s="310">
        <f t="shared" si="40"/>
        <v>91.021204724931806</v>
      </c>
      <c r="BI164" s="310">
        <f t="shared" si="40"/>
        <v>99.907224321959262</v>
      </c>
      <c r="BJ164" s="310">
        <f t="shared" si="40"/>
        <v>96.700710534603218</v>
      </c>
      <c r="BK164" s="310">
        <f t="shared" si="40"/>
        <v>90.341957941276945</v>
      </c>
      <c r="BL164" s="310">
        <f t="shared" si="40"/>
        <v>83.359403581908651</v>
      </c>
      <c r="BM164" s="310">
        <f t="shared" si="40"/>
        <v>90.52963140016027</v>
      </c>
      <c r="BN164" s="310">
        <f t="shared" si="40"/>
        <v>87.223019193038013</v>
      </c>
      <c r="BO164" s="310">
        <f t="shared" si="40"/>
        <v>67.826129372957055</v>
      </c>
    </row>
    <row r="165" spans="1:70">
      <c r="A165" s="302" t="s">
        <v>253</v>
      </c>
      <c r="D165" s="302">
        <v>1000</v>
      </c>
      <c r="E165" s="302" t="s">
        <v>252</v>
      </c>
      <c r="BF165" s="310">
        <f t="shared" ref="BF165:BR165" si="41">+BF199/0.67</f>
        <v>202.9014925373134</v>
      </c>
      <c r="BG165" s="310">
        <f t="shared" si="41"/>
        <v>206.86865671641792</v>
      </c>
      <c r="BH165" s="310">
        <f t="shared" si="41"/>
        <v>208.59104477611939</v>
      </c>
      <c r="BI165" s="310">
        <f t="shared" si="41"/>
        <v>216.38059701492534</v>
      </c>
      <c r="BJ165" s="310">
        <f t="shared" si="41"/>
        <v>217.26865671641792</v>
      </c>
      <c r="BK165" s="310">
        <f t="shared" si="41"/>
        <v>219.25970149253729</v>
      </c>
      <c r="BL165" s="310">
        <f t="shared" si="41"/>
        <v>220.63582089552241</v>
      </c>
      <c r="BM165" s="310">
        <f t="shared" si="41"/>
        <v>225.15671641791047</v>
      </c>
      <c r="BN165" s="310">
        <f t="shared" si="41"/>
        <v>228.97014925373134</v>
      </c>
      <c r="BO165" s="310">
        <f t="shared" si="41"/>
        <v>219.5044776119403</v>
      </c>
      <c r="BP165" s="310">
        <f t="shared" si="41"/>
        <v>220.94328358208955</v>
      </c>
      <c r="BQ165" s="310">
        <f t="shared" si="41"/>
        <v>222.77611940298505</v>
      </c>
      <c r="BR165" s="310">
        <f t="shared" si="41"/>
        <v>225.87462686567162</v>
      </c>
    </row>
    <row r="166" spans="1:70">
      <c r="A166" s="302" t="s">
        <v>2434</v>
      </c>
      <c r="D166" s="302">
        <v>1000</v>
      </c>
    </row>
    <row r="168" spans="1:70">
      <c r="A168" s="93" t="s">
        <v>2433</v>
      </c>
    </row>
    <row r="169" spans="1:70">
      <c r="A169" s="93" t="s">
        <v>2432</v>
      </c>
    </row>
    <row r="170" spans="1:70">
      <c r="A170" s="93" t="s">
        <v>1744</v>
      </c>
    </row>
    <row r="172" spans="1:70" s="94" customFormat="1">
      <c r="A172" s="92" t="s">
        <v>1743</v>
      </c>
      <c r="BH172" s="318"/>
      <c r="BI172" s="318"/>
      <c r="BJ172" s="318"/>
      <c r="BK172" s="318"/>
      <c r="BL172" s="318"/>
      <c r="BM172" s="318"/>
      <c r="BN172" s="318"/>
      <c r="BO172" s="318"/>
    </row>
    <row r="173" spans="1:70" s="94" customFormat="1">
      <c r="A173" s="94" t="s">
        <v>1742</v>
      </c>
      <c r="D173" s="94">
        <v>1000</v>
      </c>
      <c r="E173" s="94" t="s">
        <v>1741</v>
      </c>
      <c r="BA173" s="319">
        <v>58.363</v>
      </c>
      <c r="BB173" s="319">
        <v>58.354999999999997</v>
      </c>
      <c r="BC173" s="319">
        <v>59.643999999999998</v>
      </c>
      <c r="BD173" s="319">
        <v>60.064999999999998</v>
      </c>
      <c r="BE173" s="319">
        <v>61.131</v>
      </c>
      <c r="BF173" s="319">
        <v>62.515000000000001</v>
      </c>
      <c r="BG173" s="319">
        <v>62.804000000000002</v>
      </c>
      <c r="BH173" s="319">
        <v>63.841999999999999</v>
      </c>
      <c r="BI173" s="319">
        <v>64.055999999999997</v>
      </c>
      <c r="BJ173" s="320">
        <f>+(BI173+BK173)/2</f>
        <v>68.688500000000005</v>
      </c>
      <c r="BK173" s="319">
        <v>73.320999999999998</v>
      </c>
      <c r="BL173" s="319">
        <v>76.522000000000006</v>
      </c>
      <c r="BM173" s="319">
        <v>77.302000000000007</v>
      </c>
      <c r="BN173" s="319">
        <v>81.509</v>
      </c>
      <c r="BO173" s="695">
        <v>86.867999999999995</v>
      </c>
      <c r="BP173" s="695">
        <v>85.878</v>
      </c>
      <c r="BQ173" s="695">
        <v>87.093000000000004</v>
      </c>
    </row>
    <row r="174" spans="1:70" s="94" customFormat="1">
      <c r="A174" s="94" t="s">
        <v>1737</v>
      </c>
      <c r="D174" s="94">
        <v>1000</v>
      </c>
      <c r="E174" s="94" t="s">
        <v>1722</v>
      </c>
      <c r="BA174" s="319">
        <v>34.640999999999998</v>
      </c>
      <c r="BB174" s="319">
        <v>35.31</v>
      </c>
      <c r="BC174" s="319">
        <v>35.389000000000003</v>
      </c>
      <c r="BD174" s="319">
        <v>35.354999999999997</v>
      </c>
      <c r="BE174" s="319">
        <v>36.323999999999998</v>
      </c>
      <c r="BF174" s="319">
        <v>37.49</v>
      </c>
      <c r="BG174" s="319">
        <v>38.256</v>
      </c>
      <c r="BH174" s="319">
        <v>38.881</v>
      </c>
      <c r="BI174" s="319">
        <v>39.482999999999997</v>
      </c>
      <c r="BJ174" s="320">
        <f>+(BI174+BK174)/2</f>
        <v>42.14</v>
      </c>
      <c r="BK174" s="319">
        <v>44.796999999999997</v>
      </c>
      <c r="BL174" s="319">
        <v>45.414000000000001</v>
      </c>
      <c r="BM174" s="319">
        <v>46.319000000000003</v>
      </c>
      <c r="BN174" s="319">
        <v>46.927999999999997</v>
      </c>
      <c r="BO174" s="695">
        <v>51.762999999999998</v>
      </c>
      <c r="BP174" s="695">
        <v>52.668999999999997</v>
      </c>
      <c r="BQ174" s="695">
        <v>52.595999999999997</v>
      </c>
    </row>
    <row r="175" spans="1:70" s="94" customFormat="1">
      <c r="A175" s="94" t="s">
        <v>1736</v>
      </c>
      <c r="D175" s="94">
        <v>1000</v>
      </c>
      <c r="E175" s="94" t="s">
        <v>1722</v>
      </c>
      <c r="BA175" s="319">
        <f t="shared" ref="BA175:BQ175" si="42">+BA173-BA174</f>
        <v>23.722000000000001</v>
      </c>
      <c r="BB175" s="319">
        <f t="shared" si="42"/>
        <v>23.044999999999995</v>
      </c>
      <c r="BC175" s="319">
        <f t="shared" si="42"/>
        <v>24.254999999999995</v>
      </c>
      <c r="BD175" s="319">
        <f t="shared" si="42"/>
        <v>24.71</v>
      </c>
      <c r="BE175" s="319">
        <f t="shared" si="42"/>
        <v>24.807000000000002</v>
      </c>
      <c r="BF175" s="319">
        <f t="shared" si="42"/>
        <v>25.024999999999999</v>
      </c>
      <c r="BG175" s="319">
        <f t="shared" si="42"/>
        <v>24.548000000000002</v>
      </c>
      <c r="BH175" s="319">
        <f t="shared" si="42"/>
        <v>24.960999999999999</v>
      </c>
      <c r="BI175" s="319">
        <f t="shared" si="42"/>
        <v>24.573</v>
      </c>
      <c r="BJ175" s="319">
        <f t="shared" si="42"/>
        <v>26.548500000000004</v>
      </c>
      <c r="BK175" s="319">
        <f t="shared" si="42"/>
        <v>28.524000000000001</v>
      </c>
      <c r="BL175" s="319">
        <f t="shared" si="42"/>
        <v>31.108000000000004</v>
      </c>
      <c r="BM175" s="319">
        <f t="shared" si="42"/>
        <v>30.983000000000004</v>
      </c>
      <c r="BN175" s="319">
        <f t="shared" si="42"/>
        <v>34.581000000000003</v>
      </c>
      <c r="BO175" s="319">
        <f t="shared" si="42"/>
        <v>35.104999999999997</v>
      </c>
      <c r="BP175" s="319">
        <f t="shared" si="42"/>
        <v>33.209000000000003</v>
      </c>
      <c r="BQ175" s="319">
        <f t="shared" si="42"/>
        <v>34.497000000000007</v>
      </c>
    </row>
    <row r="176" spans="1:70" s="94" customFormat="1">
      <c r="A176" s="321" t="s">
        <v>1740</v>
      </c>
      <c r="BH176" s="318"/>
      <c r="BI176" s="318"/>
      <c r="BJ176" s="318"/>
      <c r="BK176" s="318"/>
      <c r="BL176" s="318"/>
      <c r="BM176" s="318"/>
      <c r="BN176" s="318"/>
      <c r="BO176" s="318"/>
    </row>
    <row r="177" spans="1:69" s="94" customFormat="1">
      <c r="A177" s="94" t="s">
        <v>1739</v>
      </c>
      <c r="D177" s="94" t="s">
        <v>1735</v>
      </c>
      <c r="E177" s="94" t="s">
        <v>1738</v>
      </c>
      <c r="BA177" s="94">
        <v>10702</v>
      </c>
      <c r="BB177" s="94">
        <v>13770</v>
      </c>
      <c r="BC177" s="94">
        <v>15887</v>
      </c>
      <c r="BD177" s="322">
        <v>18349</v>
      </c>
      <c r="BE177" s="322">
        <v>20050</v>
      </c>
      <c r="BF177" s="322">
        <v>23688</v>
      </c>
      <c r="BG177" s="322">
        <v>25615</v>
      </c>
      <c r="BH177" s="322">
        <v>27781</v>
      </c>
      <c r="BI177" s="322">
        <v>32523</v>
      </c>
      <c r="BJ177" s="322">
        <v>34876</v>
      </c>
      <c r="BK177" s="322">
        <v>39996</v>
      </c>
      <c r="BL177" s="322">
        <v>43793</v>
      </c>
      <c r="BM177" s="322">
        <v>47333</v>
      </c>
      <c r="BN177" s="322">
        <v>46922</v>
      </c>
      <c r="BO177" s="694">
        <f t="shared" ref="BO177:BQ178" si="43">BN177*(1+BO182/100)</f>
        <v>46983.335947712418</v>
      </c>
      <c r="BP177" s="694">
        <f t="shared" si="43"/>
        <v>53852.962091503272</v>
      </c>
      <c r="BQ177" s="694">
        <f t="shared" si="43"/>
        <v>64586.752941176477</v>
      </c>
    </row>
    <row r="178" spans="1:69" s="94" customFormat="1">
      <c r="A178" s="94" t="s">
        <v>1737</v>
      </c>
      <c r="D178" s="94" t="s">
        <v>1735</v>
      </c>
      <c r="AP178" s="322">
        <v>12.466192726726966</v>
      </c>
      <c r="BA178" s="94">
        <v>6105</v>
      </c>
      <c r="BB178" s="94">
        <v>10601</v>
      </c>
      <c r="BC178" s="94">
        <v>11824</v>
      </c>
      <c r="BD178" s="322">
        <v>12736</v>
      </c>
      <c r="BE178" s="322">
        <v>13846</v>
      </c>
      <c r="BF178" s="322">
        <v>16103</v>
      </c>
      <c r="BG178" s="322">
        <v>17773</v>
      </c>
      <c r="BH178" s="322">
        <v>19486</v>
      </c>
      <c r="BI178" s="322">
        <v>24491</v>
      </c>
      <c r="BJ178" s="322">
        <v>27281</v>
      </c>
      <c r="BK178" s="322">
        <v>30074</v>
      </c>
      <c r="BL178" s="322">
        <v>32130</v>
      </c>
      <c r="BM178" s="322">
        <v>37496</v>
      </c>
      <c r="BN178" s="322">
        <v>35579</v>
      </c>
      <c r="BO178" s="694">
        <f t="shared" si="43"/>
        <v>35315.126081582202</v>
      </c>
      <c r="BP178" s="694">
        <f t="shared" si="43"/>
        <v>36546.537700865265</v>
      </c>
      <c r="BQ178" s="694">
        <f t="shared" si="43"/>
        <v>43539.196538936958</v>
      </c>
    </row>
    <row r="179" spans="1:69" s="94" customFormat="1">
      <c r="A179" s="94" t="s">
        <v>1736</v>
      </c>
      <c r="D179" s="94" t="s">
        <v>1735</v>
      </c>
      <c r="AP179" s="322">
        <v>21.421113211924951</v>
      </c>
      <c r="BA179" s="322">
        <f t="shared" ref="BA179:BN179" si="44">+(BA177*BA173-BA178*BA174)/BA175</f>
        <v>17414.953250147541</v>
      </c>
      <c r="BB179" s="322">
        <f t="shared" si="44"/>
        <v>18625.603818615757</v>
      </c>
      <c r="BC179" s="322">
        <f t="shared" si="44"/>
        <v>21815.076973819836</v>
      </c>
      <c r="BD179" s="322">
        <f t="shared" si="44"/>
        <v>26380.064953460136</v>
      </c>
      <c r="BE179" s="322">
        <f t="shared" si="44"/>
        <v>29134.294594267743</v>
      </c>
      <c r="BF179" s="322">
        <f t="shared" si="44"/>
        <v>35051.102897102901</v>
      </c>
      <c r="BG179" s="322">
        <f t="shared" si="44"/>
        <v>37836.099560045623</v>
      </c>
      <c r="BH179" s="322">
        <f t="shared" si="44"/>
        <v>40701.872360882982</v>
      </c>
      <c r="BI179" s="322">
        <f t="shared" si="44"/>
        <v>45428.524600170917</v>
      </c>
      <c r="BJ179" s="322">
        <f t="shared" si="44"/>
        <v>46931.41932689229</v>
      </c>
      <c r="BK179" s="322">
        <f t="shared" si="44"/>
        <v>55578.521175150752</v>
      </c>
      <c r="BL179" s="322">
        <f t="shared" si="44"/>
        <v>60819.600295743861</v>
      </c>
      <c r="BM179" s="322">
        <f t="shared" si="44"/>
        <v>62039.129264435323</v>
      </c>
      <c r="BN179" s="322">
        <f t="shared" si="44"/>
        <v>62314.970243775482</v>
      </c>
      <c r="BO179" s="322">
        <f>+(BO177*BO173-BO178*BO174)/BO175</f>
        <v>64188.336582963762</v>
      </c>
      <c r="BP179" s="322">
        <f>+(BP177*BP173-BP178*BP174)/BP175</f>
        <v>81300.70415632044</v>
      </c>
      <c r="BQ179" s="322">
        <f>+(BQ177*BQ173-BQ178*BQ174)/BQ175</f>
        <v>96677.000688290427</v>
      </c>
    </row>
    <row r="180" spans="1:69" s="94" customFormat="1">
      <c r="A180" s="94" t="s">
        <v>1734</v>
      </c>
      <c r="D180" s="94" t="s">
        <v>1349</v>
      </c>
      <c r="BA180" s="323">
        <f>+(BA179/AP179-1)*100</f>
        <v>81198.077638900606</v>
      </c>
      <c r="BB180" s="322">
        <f t="shared" ref="BB180:BN180" si="45">+(BB179/BA179-1)*100</f>
        <v>6.9517876452407812</v>
      </c>
      <c r="BC180" s="322">
        <f t="shared" si="45"/>
        <v>17.124132920814581</v>
      </c>
      <c r="BD180" s="322">
        <f t="shared" si="45"/>
        <v>20.925839432603045</v>
      </c>
      <c r="BE180" s="322">
        <f t="shared" si="45"/>
        <v>10.440571869957992</v>
      </c>
      <c r="BF180" s="322">
        <f t="shared" si="45"/>
        <v>20.308740558967607</v>
      </c>
      <c r="BG180" s="322">
        <f t="shared" si="45"/>
        <v>7.9455321880125718</v>
      </c>
      <c r="BH180" s="322">
        <f t="shared" si="45"/>
        <v>7.5741760756533605</v>
      </c>
      <c r="BI180" s="322">
        <f t="shared" si="45"/>
        <v>11.612861927773466</v>
      </c>
      <c r="BJ180" s="322">
        <f t="shared" si="45"/>
        <v>3.3082622426080732</v>
      </c>
      <c r="BK180" s="322">
        <f t="shared" si="45"/>
        <v>18.42497408405368</v>
      </c>
      <c r="BL180" s="322">
        <f t="shared" si="45"/>
        <v>9.4300442145200503</v>
      </c>
      <c r="BM180" s="322">
        <f t="shared" si="45"/>
        <v>2.0051578155090288</v>
      </c>
      <c r="BN180" s="322">
        <f t="shared" si="45"/>
        <v>0.44462419542417031</v>
      </c>
      <c r="BO180" s="322">
        <f>+(BO179/BN179-1)*100</f>
        <v>3.0062861810888908</v>
      </c>
      <c r="BP180" s="322">
        <f>+(BP179/BO179-1)*100</f>
        <v>26.659621489394492</v>
      </c>
      <c r="BQ180" s="322">
        <f>+(BQ179/BP179-1)*100</f>
        <v>18.912870056334707</v>
      </c>
    </row>
    <row r="181" spans="1:69" s="94" customFormat="1">
      <c r="A181" s="94" t="s">
        <v>1732</v>
      </c>
      <c r="D181" s="94" t="s">
        <v>1349</v>
      </c>
      <c r="BA181" s="323">
        <f>+(BA178/AP178-1)*100</f>
        <v>48872.45</v>
      </c>
      <c r="BB181" s="322">
        <f t="shared" ref="BB181:BN181" si="46">+(BB178/BA178-1)*100</f>
        <v>73.644553644553639</v>
      </c>
      <c r="BC181" s="322">
        <f t="shared" si="46"/>
        <v>11.536647486086228</v>
      </c>
      <c r="BD181" s="322">
        <f t="shared" si="46"/>
        <v>7.7131258457374896</v>
      </c>
      <c r="BE181" s="322">
        <f t="shared" si="46"/>
        <v>8.7154522613065222</v>
      </c>
      <c r="BF181" s="322">
        <f t="shared" si="46"/>
        <v>16.300736674851947</v>
      </c>
      <c r="BG181" s="322">
        <f t="shared" si="46"/>
        <v>10.370738371731969</v>
      </c>
      <c r="BH181" s="322">
        <f t="shared" si="46"/>
        <v>9.6382152703539106</v>
      </c>
      <c r="BI181" s="322">
        <f t="shared" si="46"/>
        <v>25.685107256491847</v>
      </c>
      <c r="BJ181" s="322">
        <f t="shared" si="46"/>
        <v>11.391939896288438</v>
      </c>
      <c r="BK181" s="322">
        <f t="shared" si="46"/>
        <v>10.23789450533339</v>
      </c>
      <c r="BL181" s="322">
        <f t="shared" si="46"/>
        <v>6.8364700405666001</v>
      </c>
      <c r="BM181" s="322">
        <f t="shared" si="46"/>
        <v>16.700902583255516</v>
      </c>
      <c r="BN181" s="322">
        <f t="shared" si="46"/>
        <v>-5.1125453381694053</v>
      </c>
      <c r="BO181" s="322">
        <f>+(BO178/BN178-1)*100</f>
        <v>-0.74165636588380268</v>
      </c>
      <c r="BP181" s="322">
        <f>+(BP178/BO178-1)*100</f>
        <v>3.4869240348692321</v>
      </c>
      <c r="BQ181" s="322">
        <f>+(BQ178/BP178-1)*100</f>
        <v>19.133574007220222</v>
      </c>
    </row>
    <row r="182" spans="1:69">
      <c r="A182" s="94" t="s">
        <v>2780</v>
      </c>
      <c r="E182" s="626" t="s">
        <v>703</v>
      </c>
      <c r="BO182" s="696">
        <v>0.13071895424836555</v>
      </c>
      <c r="BP182" s="696">
        <v>14.621409921671024</v>
      </c>
      <c r="BQ182" s="696">
        <v>19.93166287015946</v>
      </c>
    </row>
    <row r="183" spans="1:69">
      <c r="A183" s="626" t="s">
        <v>704</v>
      </c>
      <c r="E183" s="626" t="s">
        <v>703</v>
      </c>
      <c r="BO183" s="696">
        <v>-0.74165636588380268</v>
      </c>
      <c r="BP183" s="696">
        <v>3.4869240348692321</v>
      </c>
      <c r="BQ183" s="696">
        <v>19.133574007220222</v>
      </c>
    </row>
    <row r="184" spans="1:69" s="94" customFormat="1">
      <c r="A184" s="321" t="s">
        <v>2993</v>
      </c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19"/>
      <c r="AY184" s="319"/>
      <c r="AZ184" s="319"/>
      <c r="BA184" s="319"/>
      <c r="BB184" s="319"/>
      <c r="BC184" s="319"/>
      <c r="BD184" s="319"/>
      <c r="BE184" s="319"/>
      <c r="BF184" s="319"/>
      <c r="BG184" s="319"/>
      <c r="BH184" s="319"/>
      <c r="BI184" s="319"/>
      <c r="BJ184" s="319"/>
      <c r="BK184" s="319"/>
      <c r="BL184" s="319"/>
      <c r="BM184" s="319"/>
      <c r="BN184" s="319"/>
      <c r="BO184" s="319"/>
    </row>
    <row r="185" spans="1:69" s="94" customFormat="1">
      <c r="A185" s="94" t="s">
        <v>1372</v>
      </c>
      <c r="F185" s="319"/>
      <c r="G185" s="319"/>
      <c r="H185" s="319"/>
      <c r="I185" s="319"/>
      <c r="J185" s="319"/>
      <c r="K185" s="319"/>
      <c r="L185" s="319"/>
      <c r="M185" s="319"/>
      <c r="N185" s="319"/>
      <c r="O185" s="319"/>
      <c r="P185" s="319"/>
      <c r="Q185" s="319"/>
      <c r="R185" s="319"/>
      <c r="S185" s="319"/>
      <c r="T185" s="319"/>
      <c r="U185" s="319"/>
      <c r="V185" s="319"/>
      <c r="W185" s="319"/>
      <c r="X185" s="319"/>
      <c r="Y185" s="319"/>
      <c r="Z185" s="319"/>
      <c r="AA185" s="319"/>
      <c r="AB185" s="319"/>
      <c r="AC185" s="319"/>
      <c r="AD185" s="319"/>
      <c r="AE185" s="319"/>
      <c r="AF185" s="319"/>
      <c r="AG185" s="319"/>
      <c r="AH185" s="319"/>
      <c r="AI185" s="319"/>
      <c r="AJ185" s="319"/>
      <c r="AK185" s="319"/>
      <c r="AL185" s="319"/>
      <c r="AM185" s="319"/>
      <c r="AN185" s="319"/>
      <c r="AO185" s="319"/>
      <c r="AP185" s="319">
        <v>100</v>
      </c>
      <c r="AQ185" s="319"/>
      <c r="AR185" s="319"/>
      <c r="AS185" s="319"/>
      <c r="AT185" s="319"/>
      <c r="AU185" s="319"/>
      <c r="AV185" s="319"/>
      <c r="AW185" s="319"/>
      <c r="AX185" s="319"/>
      <c r="AY185" s="319"/>
      <c r="AZ185" s="319"/>
      <c r="BA185" s="322">
        <f>+AP185*(1+BA180/100)</f>
        <v>81298.077638900606</v>
      </c>
      <c r="BB185" s="322">
        <f t="shared" ref="BB185:BN185" si="47">+BA185*(1+BB180/100)</f>
        <v>86949.747356019958</v>
      </c>
      <c r="BC185" s="322">
        <f t="shared" si="47"/>
        <v>101839.13766757728</v>
      </c>
      <c r="BD185" s="322">
        <f t="shared" si="47"/>
        <v>123149.83209544206</v>
      </c>
      <c r="BE185" s="322">
        <f t="shared" si="47"/>
        <v>136007.37882309928</v>
      </c>
      <c r="BF185" s="322">
        <f t="shared" si="47"/>
        <v>163628.76452933476</v>
      </c>
      <c r="BG185" s="322">
        <f t="shared" si="47"/>
        <v>176629.94068386036</v>
      </c>
      <c r="BH185" s="322">
        <f t="shared" si="47"/>
        <v>190008.20339357803</v>
      </c>
      <c r="BI185" s="322">
        <f t="shared" si="47"/>
        <v>212073.59370511724</v>
      </c>
      <c r="BJ185" s="322">
        <f t="shared" si="47"/>
        <v>219089.5443322057</v>
      </c>
      <c r="BK185" s="322">
        <f t="shared" si="47"/>
        <v>259456.73609628589</v>
      </c>
      <c r="BL185" s="322">
        <f t="shared" si="47"/>
        <v>283923.62102771626</v>
      </c>
      <c r="BM185" s="322">
        <f t="shared" si="47"/>
        <v>289616.73770482978</v>
      </c>
      <c r="BN185" s="322">
        <f t="shared" si="47"/>
        <v>290904.44379466359</v>
      </c>
      <c r="BO185" s="322">
        <f t="shared" ref="BO185:BQ186" si="48">+BN185*(1+BO180/100)</f>
        <v>299649.86388863606</v>
      </c>
      <c r="BP185" s="322">
        <f t="shared" si="48"/>
        <v>379535.3833948322</v>
      </c>
      <c r="BQ185" s="322">
        <f t="shared" si="48"/>
        <v>451316.41727410856</v>
      </c>
    </row>
    <row r="186" spans="1:69" s="94" customFormat="1">
      <c r="A186" s="94" t="s">
        <v>1732</v>
      </c>
      <c r="F186" s="319"/>
      <c r="G186" s="319"/>
      <c r="H186" s="319"/>
      <c r="I186" s="319"/>
      <c r="J186" s="319"/>
      <c r="K186" s="319"/>
      <c r="L186" s="319"/>
      <c r="M186" s="319"/>
      <c r="N186" s="319"/>
      <c r="O186" s="319"/>
      <c r="P186" s="319"/>
      <c r="Q186" s="319"/>
      <c r="R186" s="319"/>
      <c r="S186" s="319"/>
      <c r="T186" s="319"/>
      <c r="U186" s="319"/>
      <c r="V186" s="319"/>
      <c r="W186" s="319"/>
      <c r="X186" s="319"/>
      <c r="Y186" s="319"/>
      <c r="Z186" s="319"/>
      <c r="AA186" s="319"/>
      <c r="AB186" s="319"/>
      <c r="AC186" s="319"/>
      <c r="AD186" s="319"/>
      <c r="AE186" s="319"/>
      <c r="AF186" s="319"/>
      <c r="AG186" s="319"/>
      <c r="AH186" s="319"/>
      <c r="AI186" s="319"/>
      <c r="AJ186" s="319"/>
      <c r="AK186" s="319"/>
      <c r="AL186" s="319"/>
      <c r="AM186" s="319"/>
      <c r="AN186" s="319"/>
      <c r="AO186" s="319"/>
      <c r="AP186" s="319">
        <v>100</v>
      </c>
      <c r="AQ186" s="319"/>
      <c r="AR186" s="319"/>
      <c r="AS186" s="319"/>
      <c r="AT186" s="319"/>
      <c r="AU186" s="319"/>
      <c r="AV186" s="319"/>
      <c r="AW186" s="319"/>
      <c r="AX186" s="319"/>
      <c r="AY186" s="319"/>
      <c r="AZ186" s="319"/>
      <c r="BA186" s="322">
        <f>+AP186*(1+BA181/100)</f>
        <v>48972.45</v>
      </c>
      <c r="BB186" s="322">
        <f t="shared" ref="BB186:BN186" si="49">+BA186*(1+BB181/100)</f>
        <v>85037.992211302189</v>
      </c>
      <c r="BC186" s="322">
        <f t="shared" si="49"/>
        <v>94848.525601965579</v>
      </c>
      <c r="BD186" s="322">
        <f t="shared" si="49"/>
        <v>102164.31174447172</v>
      </c>
      <c r="BE186" s="322">
        <f t="shared" si="49"/>
        <v>111068.39356265352</v>
      </c>
      <c r="BF186" s="322">
        <f t="shared" si="49"/>
        <v>129173.35992628988</v>
      </c>
      <c r="BG186" s="322">
        <f t="shared" si="49"/>
        <v>142569.59113022106</v>
      </c>
      <c r="BH186" s="322">
        <f t="shared" si="49"/>
        <v>156310.75523341517</v>
      </c>
      <c r="BI186" s="322">
        <f t="shared" si="49"/>
        <v>196459.3403685503</v>
      </c>
      <c r="BJ186" s="322">
        <f t="shared" si="49"/>
        <v>218839.87034398029</v>
      </c>
      <c r="BK186" s="322">
        <f t="shared" si="49"/>
        <v>241244.46540540535</v>
      </c>
      <c r="BL186" s="322">
        <f t="shared" si="49"/>
        <v>257737.07100737095</v>
      </c>
      <c r="BM186" s="322">
        <f t="shared" si="49"/>
        <v>300781.48815724807</v>
      </c>
      <c r="BN186" s="322">
        <f t="shared" si="49"/>
        <v>285403.89820638811</v>
      </c>
      <c r="BO186" s="322">
        <f t="shared" si="48"/>
        <v>283287.1820268599</v>
      </c>
      <c r="BP186" s="322">
        <f t="shared" si="48"/>
        <v>293165.19086465822</v>
      </c>
      <c r="BQ186" s="322">
        <f t="shared" si="48"/>
        <v>349258.16962215601</v>
      </c>
    </row>
    <row r="187" spans="1:69" s="94" customFormat="1">
      <c r="A187" s="94" t="s">
        <v>1776</v>
      </c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  <c r="P187" s="319"/>
      <c r="Q187" s="319"/>
      <c r="R187" s="319"/>
      <c r="S187" s="319"/>
      <c r="T187" s="319"/>
      <c r="U187" s="319"/>
      <c r="V187" s="319"/>
      <c r="W187" s="319"/>
      <c r="X187" s="319"/>
      <c r="Y187" s="319"/>
      <c r="Z187" s="319"/>
      <c r="AA187" s="319"/>
      <c r="AB187" s="319"/>
      <c r="AC187" s="319"/>
      <c r="AD187" s="319"/>
      <c r="AE187" s="319"/>
      <c r="AF187" s="319"/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>
        <v>100</v>
      </c>
      <c r="AQ187" s="322">
        <f t="shared" ref="AQ187:BN187" si="50">+AP187*(1+AQ49/100)</f>
        <v>125.9687538442613</v>
      </c>
      <c r="AR187" s="322">
        <f t="shared" si="50"/>
        <v>180.96936892606718</v>
      </c>
      <c r="AS187" s="322">
        <f t="shared" si="50"/>
        <v>440.69381227703303</v>
      </c>
      <c r="AT187" s="322">
        <f t="shared" si="50"/>
        <v>2064.5589863451846</v>
      </c>
      <c r="AU187" s="322">
        <f t="shared" si="50"/>
        <v>6927.7893959896692</v>
      </c>
      <c r="AV187" s="322">
        <f t="shared" si="50"/>
        <v>6879.2948702177418</v>
      </c>
      <c r="AW187" s="322">
        <f t="shared" si="50"/>
        <v>7367.7248060032016</v>
      </c>
      <c r="AX187" s="322">
        <f t="shared" si="50"/>
        <v>8767.5925191438091</v>
      </c>
      <c r="AY187" s="322">
        <f t="shared" si="50"/>
        <v>17351.0655953856</v>
      </c>
      <c r="AZ187" s="322">
        <f t="shared" si="50"/>
        <v>27640.24749344926</v>
      </c>
      <c r="BA187" s="322">
        <f t="shared" si="50"/>
        <v>38309.383025920681</v>
      </c>
      <c r="BB187" s="322">
        <f t="shared" si="50"/>
        <v>44247.337394938389</v>
      </c>
      <c r="BC187" s="322">
        <f t="shared" si="50"/>
        <v>54291.482983589398</v>
      </c>
      <c r="BD187" s="322">
        <f t="shared" si="50"/>
        <v>59720.631281948343</v>
      </c>
      <c r="BE187" s="322">
        <f t="shared" si="50"/>
        <v>65394.091253733437</v>
      </c>
      <c r="BF187" s="322">
        <f t="shared" si="50"/>
        <v>72718.229474151594</v>
      </c>
      <c r="BG187" s="322">
        <f t="shared" si="50"/>
        <v>77391.306034684385</v>
      </c>
      <c r="BH187" s="322">
        <f t="shared" si="50"/>
        <v>88770.032534904225</v>
      </c>
      <c r="BI187" s="322">
        <f t="shared" si="50"/>
        <v>88597.760045295421</v>
      </c>
      <c r="BJ187" s="322">
        <f t="shared" si="50"/>
        <v>94750.686028857468</v>
      </c>
      <c r="BK187" s="322">
        <f t="shared" si="50"/>
        <v>111525.42855039328</v>
      </c>
      <c r="BL187" s="322">
        <f t="shared" si="50"/>
        <v>117117.00939090521</v>
      </c>
      <c r="BM187" s="322">
        <f t="shared" si="50"/>
        <v>119378.42839576415</v>
      </c>
      <c r="BN187" s="322">
        <f t="shared" si="50"/>
        <v>123401.15891440102</v>
      </c>
      <c r="BO187" s="322">
        <f>+BN187*(1+BO49/100)</f>
        <v>131915.83887949469</v>
      </c>
      <c r="BP187" s="322">
        <f>+BO187*(1+BP49/100)</f>
        <v>205129.12945761427</v>
      </c>
      <c r="BQ187" s="322">
        <f>+BP187*(1+BQ49/100)</f>
        <v>250257.5379382894</v>
      </c>
    </row>
    <row r="188" spans="1:69" s="94" customFormat="1">
      <c r="A188" s="94" t="s">
        <v>2640</v>
      </c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319"/>
      <c r="AE188" s="319"/>
      <c r="AF188" s="319"/>
      <c r="AG188" s="319"/>
      <c r="AH188" s="319"/>
      <c r="AI188" s="319"/>
      <c r="AJ188" s="319"/>
      <c r="AK188" s="319"/>
      <c r="AL188" s="319"/>
      <c r="AM188" s="319"/>
      <c r="AN188" s="319"/>
      <c r="AO188" s="319"/>
      <c r="AP188" s="319">
        <v>100</v>
      </c>
      <c r="AQ188" s="322"/>
      <c r="AR188" s="322"/>
      <c r="AS188" s="322"/>
      <c r="AT188" s="322"/>
      <c r="AU188" s="322"/>
      <c r="AV188" s="322"/>
      <c r="AW188" s="322"/>
      <c r="AX188" s="322"/>
      <c r="AY188" s="322"/>
      <c r="AZ188" s="322"/>
      <c r="BA188" s="322">
        <f>+BA185/(BA187/100)</f>
        <v>212.21453131702265</v>
      </c>
      <c r="BB188" s="322">
        <f t="shared" ref="BB188:BN188" si="51">+BB185/(BB187/100)</f>
        <v>196.50842847318188</v>
      </c>
      <c r="BC188" s="322">
        <f t="shared" si="51"/>
        <v>187.57847837451783</v>
      </c>
      <c r="BD188" s="322">
        <f t="shared" si="51"/>
        <v>206.20986324480862</v>
      </c>
      <c r="BE188" s="322">
        <f t="shared" si="51"/>
        <v>207.98114357974879</v>
      </c>
      <c r="BF188" s="322">
        <f t="shared" si="51"/>
        <v>225.01753097206279</v>
      </c>
      <c r="BG188" s="322">
        <f t="shared" si="51"/>
        <v>228.22969366184401</v>
      </c>
      <c r="BH188" s="322">
        <f t="shared" si="51"/>
        <v>214.0454362443397</v>
      </c>
      <c r="BI188" s="322">
        <f t="shared" si="51"/>
        <v>239.36676683100686</v>
      </c>
      <c r="BJ188" s="322">
        <f t="shared" si="51"/>
        <v>231.22739635413228</v>
      </c>
      <c r="BK188" s="322">
        <f t="shared" si="51"/>
        <v>232.64356790079418</v>
      </c>
      <c r="BL188" s="322">
        <f t="shared" si="51"/>
        <v>242.42731478913984</v>
      </c>
      <c r="BM188" s="322">
        <f t="shared" si="51"/>
        <v>242.60391227859901</v>
      </c>
      <c r="BN188" s="322">
        <f t="shared" si="51"/>
        <v>235.7388264047452</v>
      </c>
      <c r="BO188" s="322">
        <f>+BO185/(BO187/100)</f>
        <v>227.1523013717607</v>
      </c>
      <c r="BP188" s="322">
        <f>+BP185/(BP187/100)</f>
        <v>185.02266567326089</v>
      </c>
      <c r="BQ188" s="322">
        <f>+BQ185/(BQ187/100)</f>
        <v>180.34078853017326</v>
      </c>
    </row>
    <row r="189" spans="1:69" s="94" customFormat="1">
      <c r="A189" s="94" t="s">
        <v>2641</v>
      </c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  <c r="AB189" s="319"/>
      <c r="AC189" s="319"/>
      <c r="AD189" s="319"/>
      <c r="AE189" s="319"/>
      <c r="AF189" s="319"/>
      <c r="AG189" s="319"/>
      <c r="AH189" s="319"/>
      <c r="AI189" s="319"/>
      <c r="AJ189" s="319"/>
      <c r="AK189" s="319"/>
      <c r="AL189" s="319"/>
      <c r="AM189" s="319"/>
      <c r="AN189" s="319"/>
      <c r="AO189" s="319"/>
      <c r="AP189" s="319">
        <v>100</v>
      </c>
      <c r="AQ189" s="322"/>
      <c r="AR189" s="322"/>
      <c r="AS189" s="322"/>
      <c r="AT189" s="322"/>
      <c r="AU189" s="322"/>
      <c r="AV189" s="322"/>
      <c r="AW189" s="322"/>
      <c r="AX189" s="322"/>
      <c r="AY189" s="322"/>
      <c r="AZ189" s="322"/>
      <c r="BA189" s="322">
        <f>+BA186/(BA187/100)</f>
        <v>127.83408693077759</v>
      </c>
      <c r="BB189" s="322">
        <f t="shared" ref="BB189:BN189" si="52">+BB186/(BB187/100)</f>
        <v>192.18781788444969</v>
      </c>
      <c r="BC189" s="322">
        <f t="shared" si="52"/>
        <v>174.70240337814181</v>
      </c>
      <c r="BD189" s="322">
        <f t="shared" si="52"/>
        <v>171.07038146020531</v>
      </c>
      <c r="BE189" s="322">
        <f t="shared" si="52"/>
        <v>169.84469304986706</v>
      </c>
      <c r="BF189" s="322">
        <f t="shared" si="52"/>
        <v>177.63545793177735</v>
      </c>
      <c r="BG189" s="322">
        <f t="shared" si="52"/>
        <v>184.21913059113615</v>
      </c>
      <c r="BH189" s="322">
        <f t="shared" si="52"/>
        <v>176.08504894030995</v>
      </c>
      <c r="BI189" s="322">
        <f t="shared" si="52"/>
        <v>221.74301050964593</v>
      </c>
      <c r="BJ189" s="322">
        <f t="shared" si="52"/>
        <v>230.96389009503315</v>
      </c>
      <c r="BK189" s="322">
        <f t="shared" si="52"/>
        <v>216.31341707545909</v>
      </c>
      <c r="BL189" s="322">
        <f t="shared" si="52"/>
        <v>220.06800920531842</v>
      </c>
      <c r="BM189" s="322">
        <f t="shared" si="52"/>
        <v>251.9563142179216</v>
      </c>
      <c r="BN189" s="322">
        <f t="shared" si="52"/>
        <v>231.28137589401621</v>
      </c>
      <c r="BO189" s="322">
        <f>+BO186/(BO187/100)</f>
        <v>214.7484217461128</v>
      </c>
      <c r="BP189" s="322">
        <f>+BP186/(BP187/100)</f>
        <v>142.91738654564651</v>
      </c>
      <c r="BQ189" s="322">
        <f>+BQ186/(BQ187/100)</f>
        <v>139.55950038487114</v>
      </c>
    </row>
    <row r="190" spans="1:69" s="94" customFormat="1"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22"/>
      <c r="AR190" s="322"/>
      <c r="AS190" s="322"/>
      <c r="AT190" s="322"/>
      <c r="AU190" s="322"/>
      <c r="AV190" s="322"/>
      <c r="AW190" s="322"/>
      <c r="AX190" s="322"/>
      <c r="AY190" s="322"/>
      <c r="AZ190" s="322"/>
      <c r="BA190" s="322"/>
      <c r="BB190" s="322"/>
      <c r="BC190" s="322"/>
      <c r="BD190" s="322"/>
      <c r="BE190" s="322"/>
      <c r="BF190" s="322"/>
      <c r="BG190" s="322"/>
      <c r="BH190" s="322"/>
      <c r="BI190" s="322"/>
      <c r="BJ190" s="322"/>
      <c r="BK190" s="322"/>
      <c r="BL190" s="322"/>
      <c r="BM190" s="322"/>
      <c r="BN190" s="322"/>
      <c r="BO190" s="319"/>
    </row>
    <row r="191" spans="1:69" s="94" customFormat="1">
      <c r="BD191" s="322"/>
      <c r="BE191" s="322"/>
      <c r="BF191" s="322"/>
      <c r="BG191" s="322"/>
      <c r="BH191" s="322"/>
      <c r="BI191" s="322"/>
      <c r="BJ191" s="322"/>
      <c r="BK191" s="322"/>
      <c r="BL191" s="322"/>
      <c r="BM191" s="322"/>
      <c r="BN191" s="322"/>
      <c r="BO191" s="322" t="s">
        <v>1344</v>
      </c>
    </row>
    <row r="192" spans="1:69" s="94" customFormat="1">
      <c r="A192" s="94" t="s">
        <v>1731</v>
      </c>
      <c r="D192" s="94">
        <v>1000</v>
      </c>
      <c r="E192" s="94" t="s">
        <v>1730</v>
      </c>
      <c r="BH192" s="318"/>
      <c r="BI192" s="318"/>
      <c r="BJ192" s="318"/>
      <c r="BK192" s="318"/>
      <c r="BL192" s="318">
        <v>41.548000000000002</v>
      </c>
      <c r="BM192" s="318">
        <v>42.216000000000001</v>
      </c>
      <c r="BN192" s="318">
        <v>42.698</v>
      </c>
      <c r="BO192" s="318">
        <v>47.963999999999999</v>
      </c>
    </row>
    <row r="193" spans="1:75" s="94" customFormat="1">
      <c r="A193" s="94" t="s">
        <v>1729</v>
      </c>
      <c r="D193" s="94">
        <v>1000</v>
      </c>
      <c r="E193" s="94" t="s">
        <v>1728</v>
      </c>
      <c r="BH193" s="318"/>
      <c r="BI193" s="318"/>
      <c r="BJ193" s="318"/>
      <c r="BL193" s="318">
        <v>37.206000000000003</v>
      </c>
      <c r="BM193" s="318">
        <v>37.637</v>
      </c>
      <c r="BN193" s="318">
        <v>37.996000000000002</v>
      </c>
      <c r="BO193" s="318">
        <v>41.478000000000002</v>
      </c>
    </row>
    <row r="194" spans="1:75" s="94" customFormat="1">
      <c r="BH194" s="318"/>
      <c r="BI194" s="318"/>
      <c r="BJ194" s="318"/>
      <c r="BK194" s="318"/>
      <c r="BL194" s="318"/>
      <c r="BM194" s="318"/>
      <c r="BN194" s="318"/>
      <c r="BO194" s="318"/>
    </row>
    <row r="195" spans="1:75" s="94" customFormat="1">
      <c r="A195" s="94" t="s">
        <v>1727</v>
      </c>
      <c r="BH195" s="318"/>
      <c r="BI195" s="318"/>
      <c r="BJ195" s="318"/>
      <c r="BK195" s="318"/>
      <c r="BL195" s="318"/>
      <c r="BM195" s="318"/>
      <c r="BN195" s="318"/>
      <c r="BO195" s="318"/>
    </row>
    <row r="196" spans="1:75" s="94" customFormat="1">
      <c r="A196" s="94" t="s">
        <v>1726</v>
      </c>
      <c r="D196" s="94">
        <v>1000</v>
      </c>
      <c r="E196" s="94" t="s">
        <v>1725</v>
      </c>
      <c r="BF196" s="322">
        <v>119.249</v>
      </c>
      <c r="BG196" s="322">
        <v>123.79600000000001</v>
      </c>
      <c r="BH196" s="322">
        <v>126.67400000000001</v>
      </c>
      <c r="BI196" s="322">
        <v>132.346</v>
      </c>
      <c r="BJ196" s="322">
        <v>135.13900000000001</v>
      </c>
      <c r="BK196" s="322">
        <v>135.82</v>
      </c>
      <c r="BL196" s="322">
        <v>135.85300000000001</v>
      </c>
      <c r="BM196" s="322">
        <v>140.89500000000001</v>
      </c>
      <c r="BN196" s="322">
        <v>145.036</v>
      </c>
      <c r="BO196" s="541">
        <v>136.447</v>
      </c>
      <c r="BP196" s="541">
        <v>133.66300000000001</v>
      </c>
      <c r="BQ196" s="322">
        <v>138.071</v>
      </c>
      <c r="BR196" s="322">
        <v>137.059</v>
      </c>
    </row>
    <row r="197" spans="1:75" s="94" customFormat="1">
      <c r="A197" s="94" t="s">
        <v>1724</v>
      </c>
      <c r="D197" s="94">
        <v>1000</v>
      </c>
      <c r="E197" s="94" t="s">
        <v>1722</v>
      </c>
      <c r="BF197" s="322">
        <v>16.695</v>
      </c>
      <c r="BG197" s="322">
        <v>14.805999999999999</v>
      </c>
      <c r="BH197" s="322">
        <v>13.082000000000001</v>
      </c>
      <c r="BI197" s="322">
        <v>12.629</v>
      </c>
      <c r="BJ197" s="322">
        <v>10.430999999999999</v>
      </c>
      <c r="BK197" s="322">
        <v>11.084</v>
      </c>
      <c r="BL197" s="322">
        <v>11.973000000000001</v>
      </c>
      <c r="BM197" s="322">
        <v>9.9600000000000009</v>
      </c>
      <c r="BN197" s="322">
        <v>8.3740000000000006</v>
      </c>
      <c r="BO197" s="541">
        <v>10.621</v>
      </c>
      <c r="BP197" s="541">
        <v>14.369</v>
      </c>
      <c r="BQ197" s="322">
        <v>11.189</v>
      </c>
      <c r="BR197" s="322">
        <v>14.276999999999999</v>
      </c>
    </row>
    <row r="198" spans="1:75" s="94" customFormat="1">
      <c r="A198" s="94" t="s">
        <v>1723</v>
      </c>
      <c r="D198" s="94">
        <v>1000</v>
      </c>
      <c r="E198" s="94" t="s">
        <v>1722</v>
      </c>
      <c r="BF198" s="322">
        <f>+BF199-BF197-BF196</f>
        <v>0</v>
      </c>
      <c r="BG198" s="322">
        <f>+BG199-BG197-BG196</f>
        <v>0</v>
      </c>
      <c r="BH198" s="322">
        <f>+BH199-BH197-BH196</f>
        <v>0</v>
      </c>
      <c r="BI198" s="322">
        <v>7.1459999999999999</v>
      </c>
      <c r="BJ198" s="322">
        <v>6.7</v>
      </c>
      <c r="BK198" s="322">
        <v>4.5599999999999996</v>
      </c>
      <c r="BL198" s="322">
        <v>3.1949999999999998</v>
      </c>
      <c r="BM198" s="322">
        <v>5.4560000000000004</v>
      </c>
      <c r="BN198" s="322">
        <v>5.5510000000000002</v>
      </c>
      <c r="BO198" s="541"/>
      <c r="BP198" s="541"/>
    </row>
    <row r="199" spans="1:75" s="94" customFormat="1">
      <c r="A199" s="94" t="s">
        <v>1721</v>
      </c>
      <c r="D199" s="94">
        <v>1000</v>
      </c>
      <c r="BF199" s="322">
        <v>135.94399999999999</v>
      </c>
      <c r="BG199" s="322">
        <v>138.602</v>
      </c>
      <c r="BH199" s="322">
        <v>139.756</v>
      </c>
      <c r="BI199" s="322">
        <f t="shared" ref="BI199:BR199" si="53">+BI196+BI197</f>
        <v>144.97499999999999</v>
      </c>
      <c r="BJ199" s="322">
        <f t="shared" si="53"/>
        <v>145.57000000000002</v>
      </c>
      <c r="BK199" s="322">
        <f t="shared" si="53"/>
        <v>146.904</v>
      </c>
      <c r="BL199" s="322">
        <f t="shared" si="53"/>
        <v>147.82600000000002</v>
      </c>
      <c r="BM199" s="322">
        <f t="shared" si="53"/>
        <v>150.85500000000002</v>
      </c>
      <c r="BN199" s="322">
        <f t="shared" si="53"/>
        <v>153.41</v>
      </c>
      <c r="BO199" s="322">
        <f t="shared" si="53"/>
        <v>147.06800000000001</v>
      </c>
      <c r="BP199" s="322">
        <f t="shared" si="53"/>
        <v>148.03200000000001</v>
      </c>
      <c r="BQ199" s="322">
        <f t="shared" si="53"/>
        <v>149.26</v>
      </c>
      <c r="BR199" s="322">
        <f t="shared" si="53"/>
        <v>151.33599999999998</v>
      </c>
    </row>
    <row r="201" spans="1:75" s="94" customFormat="1">
      <c r="A201" s="94" t="s">
        <v>1720</v>
      </c>
      <c r="D201" s="94">
        <v>1000</v>
      </c>
      <c r="E201" s="94" t="s">
        <v>549</v>
      </c>
      <c r="BF201" s="94">
        <v>504.25700000000001</v>
      </c>
      <c r="BG201" s="94">
        <v>509.97</v>
      </c>
      <c r="BH201" s="318">
        <v>517.05200000000002</v>
      </c>
      <c r="BI201" s="318">
        <v>524.14300000000003</v>
      </c>
      <c r="BJ201" s="318">
        <v>531.16999999999996</v>
      </c>
      <c r="BK201" s="318">
        <v>539.91</v>
      </c>
      <c r="BL201" s="318">
        <v>541.63800000000003</v>
      </c>
      <c r="BM201" s="318">
        <v>550.22199999999998</v>
      </c>
      <c r="BN201" s="318">
        <v>558.77300000000002</v>
      </c>
      <c r="BO201" s="319">
        <v>567.29100000000005</v>
      </c>
      <c r="BP201" s="319">
        <v>575.76300000000003</v>
      </c>
      <c r="BQ201" s="94">
        <v>583.4</v>
      </c>
      <c r="BR201" s="94">
        <v>590.1</v>
      </c>
    </row>
    <row r="202" spans="1:75" s="95" customFormat="1">
      <c r="BH202" s="324"/>
      <c r="BI202" s="324"/>
      <c r="BJ202" s="324"/>
      <c r="BK202" s="324"/>
      <c r="BL202" s="324"/>
      <c r="BM202" s="324"/>
      <c r="BN202" s="324"/>
    </row>
    <row r="203" spans="1:75" s="299" customFormat="1">
      <c r="A203" s="298" t="s">
        <v>3173</v>
      </c>
    </row>
    <row r="204" spans="1:75" s="300" customFormat="1">
      <c r="A204" s="304" t="s">
        <v>2777</v>
      </c>
      <c r="D204" s="304" t="s">
        <v>3171</v>
      </c>
      <c r="E204" s="300" t="s">
        <v>2784</v>
      </c>
      <c r="BT204" s="300">
        <v>2017</v>
      </c>
      <c r="BU204" s="300">
        <v>2017</v>
      </c>
      <c r="BV204" s="300">
        <v>2018</v>
      </c>
      <c r="BW204" s="300">
        <v>2018</v>
      </c>
    </row>
    <row r="205" spans="1:75" s="95" customFormat="1">
      <c r="A205" s="95" t="s">
        <v>2778</v>
      </c>
      <c r="D205" s="95" t="s">
        <v>3171</v>
      </c>
      <c r="BT205" s="431" t="s">
        <v>483</v>
      </c>
      <c r="BU205" s="430" t="s">
        <v>2783</v>
      </c>
      <c r="BV205" s="430" t="s">
        <v>865</v>
      </c>
      <c r="BW205" s="431" t="s">
        <v>866</v>
      </c>
    </row>
    <row r="206" spans="1:75" s="95" customFormat="1">
      <c r="A206" s="95" t="s">
        <v>2779</v>
      </c>
      <c r="B206" s="95" t="s">
        <v>2780</v>
      </c>
      <c r="D206" s="95" t="s">
        <v>3171</v>
      </c>
      <c r="BN206" s="95">
        <v>1826.7</v>
      </c>
      <c r="BO206" s="95">
        <v>1904.5</v>
      </c>
      <c r="BP206" s="95">
        <v>1174.9000000000001</v>
      </c>
      <c r="BQ206" s="652">
        <f>+(4/3*(BR206+BT206+BU206))</f>
        <v>1239.0666666666666</v>
      </c>
      <c r="BR206" s="95">
        <v>271.10000000000002</v>
      </c>
      <c r="BT206" s="95">
        <v>297.60000000000002</v>
      </c>
      <c r="BU206" s="95">
        <v>360.6</v>
      </c>
      <c r="BV206" s="95">
        <v>315.10000000000002</v>
      </c>
      <c r="BW206" s="95">
        <v>460.3</v>
      </c>
    </row>
    <row r="207" spans="1:75" s="95" customFormat="1">
      <c r="A207" s="95" t="str">
        <f>+A206</f>
        <v>Invoer ABS</v>
      </c>
      <c r="B207" s="95" t="s">
        <v>2781</v>
      </c>
      <c r="BN207" s="95">
        <v>400.6</v>
      </c>
      <c r="BO207" s="95">
        <v>457.5</v>
      </c>
      <c r="BP207" s="95">
        <v>257.89999999999998</v>
      </c>
      <c r="BQ207" s="652">
        <f>+(4/3*(BR207+BT207+BU207))</f>
        <v>330</v>
      </c>
      <c r="BR207" s="95">
        <v>65</v>
      </c>
      <c r="BT207" s="95">
        <v>72.2</v>
      </c>
      <c r="BU207" s="95">
        <v>110.3</v>
      </c>
      <c r="BV207" s="95">
        <v>89.8</v>
      </c>
      <c r="BW207" s="95">
        <v>161.19999999999999</v>
      </c>
    </row>
    <row r="208" spans="1:75" s="95" customFormat="1">
      <c r="A208" s="95" t="str">
        <f>+A206</f>
        <v>Invoer ABS</v>
      </c>
      <c r="B208" s="95" t="s">
        <v>2782</v>
      </c>
      <c r="BN208" s="95">
        <v>188.9</v>
      </c>
      <c r="BO208" s="95">
        <v>195.5</v>
      </c>
      <c r="BP208" s="95">
        <v>82.7</v>
      </c>
      <c r="BQ208" s="652">
        <f>+(4/3*(BR208+BT208+BU208))</f>
        <v>114.13333333333333</v>
      </c>
      <c r="BR208" s="95">
        <v>17.7</v>
      </c>
      <c r="BT208" s="95">
        <v>29</v>
      </c>
      <c r="BU208" s="95">
        <v>38.9</v>
      </c>
      <c r="BV208" s="95">
        <v>27.7</v>
      </c>
      <c r="BW208" s="95">
        <v>43.2</v>
      </c>
    </row>
    <row r="209" spans="1:75" s="300" customFormat="1">
      <c r="A209" s="304"/>
      <c r="BT209" s="846" t="s">
        <v>3800</v>
      </c>
    </row>
    <row r="210" spans="1:75" s="300" customFormat="1">
      <c r="A210" s="304"/>
      <c r="BS210" s="95" t="s">
        <v>1344</v>
      </c>
      <c r="BT210" s="523">
        <v>2020</v>
      </c>
      <c r="BU210" s="523">
        <v>2020</v>
      </c>
      <c r="BV210" s="523">
        <v>2020</v>
      </c>
      <c r="BW210" s="523">
        <v>2020</v>
      </c>
    </row>
    <row r="211" spans="1:75" s="300" customFormat="1">
      <c r="A211" s="304" t="s">
        <v>1719</v>
      </c>
      <c r="BU211" s="95" t="s">
        <v>3799</v>
      </c>
      <c r="BV211" s="95" t="s">
        <v>866</v>
      </c>
      <c r="BW211" s="431" t="s">
        <v>483</v>
      </c>
    </row>
    <row r="212" spans="1:75" s="304" customFormat="1">
      <c r="A212" s="304" t="s">
        <v>1718</v>
      </c>
      <c r="D212" s="304" t="s">
        <v>3171</v>
      </c>
      <c r="E212" s="302" t="s">
        <v>1918</v>
      </c>
      <c r="BF212" s="363" t="s">
        <v>2515</v>
      </c>
      <c r="BG212" s="364" t="s">
        <v>2516</v>
      </c>
      <c r="BH212" s="364" t="s">
        <v>2517</v>
      </c>
      <c r="BI212" s="364" t="s">
        <v>2518</v>
      </c>
      <c r="BJ212" s="364" t="s">
        <v>2519</v>
      </c>
      <c r="BK212" s="364" t="s">
        <v>2520</v>
      </c>
      <c r="BL212" s="364" t="s">
        <v>2521</v>
      </c>
      <c r="BM212" s="364" t="s">
        <v>2522</v>
      </c>
      <c r="BN212" s="364" t="s">
        <v>2523</v>
      </c>
      <c r="BO212" s="364" t="s">
        <v>2524</v>
      </c>
      <c r="BP212" s="364" t="s">
        <v>2525</v>
      </c>
      <c r="BQ212" s="364">
        <f t="shared" ref="BQ212:BS212" si="54">+BQ213+BQ216+BQ223+BQ226</f>
        <v>-1.7000000000000313</v>
      </c>
      <c r="BR212" s="364">
        <f t="shared" si="54"/>
        <v>-117.79999999999995</v>
      </c>
      <c r="BS212" s="847">
        <f t="shared" si="54"/>
        <v>-410.69999999999982</v>
      </c>
      <c r="BT212" s="847">
        <f t="shared" ref="BT212:BW212" si="55">+BT213+BT216+BT223+BT226</f>
        <v>249.3</v>
      </c>
      <c r="BU212" s="847">
        <f t="shared" si="55"/>
        <v>35.299999999999997</v>
      </c>
      <c r="BV212" s="847">
        <f t="shared" si="55"/>
        <v>38.799999999999997</v>
      </c>
      <c r="BW212" s="847">
        <f t="shared" si="55"/>
        <v>87.6</v>
      </c>
    </row>
    <row r="213" spans="1:75" s="300" customFormat="1">
      <c r="A213" s="306" t="s">
        <v>1717</v>
      </c>
      <c r="D213" s="300" t="s">
        <v>3171</v>
      </c>
      <c r="E213" s="302" t="s">
        <v>1918</v>
      </c>
      <c r="BF213" s="365" t="s">
        <v>2526</v>
      </c>
      <c r="BG213" s="365" t="s">
        <v>2527</v>
      </c>
      <c r="BH213" s="365" t="s">
        <v>2528</v>
      </c>
      <c r="BI213" s="365" t="s">
        <v>2529</v>
      </c>
      <c r="BJ213" s="365" t="s">
        <v>2530</v>
      </c>
      <c r="BK213" s="365" t="s">
        <v>2531</v>
      </c>
      <c r="BL213" s="365" t="s">
        <v>2532</v>
      </c>
      <c r="BM213" s="365" t="s">
        <v>2533</v>
      </c>
      <c r="BN213" s="365" t="s">
        <v>2534</v>
      </c>
      <c r="BO213" s="365" t="s">
        <v>2535</v>
      </c>
      <c r="BP213" s="365" t="s">
        <v>2536</v>
      </c>
      <c r="BQ213" s="413">
        <f t="shared" ref="BQ213:BS213" si="56">+BQ214+BQ215</f>
        <v>672</v>
      </c>
      <c r="BR213" s="413">
        <f t="shared" si="56"/>
        <v>547</v>
      </c>
      <c r="BS213" s="848">
        <f t="shared" si="56"/>
        <v>407.10000000000014</v>
      </c>
      <c r="BT213" s="848">
        <f t="shared" ref="BT213:BW213" si="57">+BT214+BT215</f>
        <v>890</v>
      </c>
      <c r="BU213" s="848">
        <f t="shared" si="57"/>
        <v>213</v>
      </c>
      <c r="BV213" s="848">
        <f t="shared" si="57"/>
        <v>201</v>
      </c>
      <c r="BW213" s="848">
        <f t="shared" si="57"/>
        <v>238</v>
      </c>
    </row>
    <row r="214" spans="1:75" s="300" customFormat="1">
      <c r="A214" s="325" t="s">
        <v>1716</v>
      </c>
      <c r="D214" s="300" t="s">
        <v>3171</v>
      </c>
      <c r="E214" s="302" t="s">
        <v>1918</v>
      </c>
      <c r="BF214" s="366">
        <v>1174.5</v>
      </c>
      <c r="BG214" s="366">
        <v>1359</v>
      </c>
      <c r="BH214" s="366">
        <v>1743.5</v>
      </c>
      <c r="BI214" s="366">
        <v>1401.8</v>
      </c>
      <c r="BJ214" s="366">
        <v>2084.1</v>
      </c>
      <c r="BK214" s="366">
        <v>2646.9</v>
      </c>
      <c r="BL214" s="366">
        <v>2700.2</v>
      </c>
      <c r="BM214" s="366">
        <v>2416.1999999999998</v>
      </c>
      <c r="BN214" s="366">
        <v>2145.3000000000002</v>
      </c>
      <c r="BO214" s="366">
        <v>1652.3</v>
      </c>
      <c r="BP214" s="366">
        <v>1438.7</v>
      </c>
      <c r="BQ214" s="413">
        <v>2034.5</v>
      </c>
      <c r="BR214" s="720">
        <v>2129</v>
      </c>
      <c r="BS214" s="849">
        <v>2210.4</v>
      </c>
      <c r="BT214" s="854">
        <f>+BU214+BV214+2*BW214</f>
        <v>2344</v>
      </c>
      <c r="BU214" s="300">
        <v>626</v>
      </c>
      <c r="BV214" s="300">
        <v>526</v>
      </c>
      <c r="BW214" s="300">
        <v>596</v>
      </c>
    </row>
    <row r="215" spans="1:75" s="300" customFormat="1">
      <c r="A215" s="325" t="s">
        <v>1715</v>
      </c>
      <c r="D215" s="300" t="s">
        <v>3171</v>
      </c>
      <c r="E215" s="302" t="s">
        <v>1918</v>
      </c>
      <c r="BF215" s="366" t="s">
        <v>2537</v>
      </c>
      <c r="BG215" s="366">
        <v>-1044.8</v>
      </c>
      <c r="BH215" s="366">
        <v>-1406.7</v>
      </c>
      <c r="BI215" s="366">
        <v>-1390.7</v>
      </c>
      <c r="BJ215" s="366">
        <v>-1397.9</v>
      </c>
      <c r="BK215" s="366">
        <v>-1679.1</v>
      </c>
      <c r="BL215" s="366">
        <v>-1993.5</v>
      </c>
      <c r="BM215" s="366">
        <v>-2173.6999999999998</v>
      </c>
      <c r="BN215" s="366">
        <v>-2012.3</v>
      </c>
      <c r="BO215" s="366">
        <v>-2027.6</v>
      </c>
      <c r="BP215" s="366">
        <v>-1252</v>
      </c>
      <c r="BQ215" s="413">
        <v>-1362.5</v>
      </c>
      <c r="BR215" s="720">
        <v>-1582</v>
      </c>
      <c r="BS215" s="849">
        <v>-1803.3</v>
      </c>
      <c r="BT215" s="854">
        <f>+BU215+BV215+2*BW215</f>
        <v>-1454</v>
      </c>
      <c r="BU215" s="300">
        <v>-413</v>
      </c>
      <c r="BV215" s="300">
        <v>-325</v>
      </c>
      <c r="BW215" s="300">
        <v>-358</v>
      </c>
    </row>
    <row r="216" spans="1:75" s="300" customFormat="1">
      <c r="A216" s="306" t="s">
        <v>1714</v>
      </c>
      <c r="D216" s="300" t="s">
        <v>3171</v>
      </c>
      <c r="E216" s="302" t="s">
        <v>1918</v>
      </c>
      <c r="BF216" s="365" t="s">
        <v>2538</v>
      </c>
      <c r="BG216" s="365" t="s">
        <v>2539</v>
      </c>
      <c r="BH216" s="365" t="s">
        <v>2540</v>
      </c>
      <c r="BI216" s="365" t="s">
        <v>2541</v>
      </c>
      <c r="BJ216" s="365" t="s">
        <v>2542</v>
      </c>
      <c r="BK216" s="365" t="s">
        <v>2543</v>
      </c>
      <c r="BL216" s="365" t="s">
        <v>2544</v>
      </c>
      <c r="BM216" s="365" t="s">
        <v>2545</v>
      </c>
      <c r="BN216" s="365" t="s">
        <v>2546</v>
      </c>
      <c r="BO216" s="365" t="s">
        <v>2547</v>
      </c>
      <c r="BP216" s="365" t="s">
        <v>2548</v>
      </c>
      <c r="BQ216" s="413">
        <f>+BQ217+BQ220</f>
        <v>-316.70000000000005</v>
      </c>
      <c r="BR216" s="413">
        <f>+BR217+BR220</f>
        <v>-380.29999999999995</v>
      </c>
      <c r="BS216" s="850">
        <f>+BS217+BS220</f>
        <v>-494.4</v>
      </c>
      <c r="BT216" s="850">
        <f>+BT217+BT220</f>
        <v>-381</v>
      </c>
      <c r="BU216" s="365">
        <f t="shared" ref="BU216:BW216" si="58">+BU217+BU220</f>
        <v>-120</v>
      </c>
      <c r="BV216" s="365">
        <f t="shared" si="58"/>
        <v>-75</v>
      </c>
      <c r="BW216" s="365">
        <f t="shared" si="58"/>
        <v>-93</v>
      </c>
    </row>
    <row r="217" spans="1:75" s="300" customFormat="1">
      <c r="A217" s="325" t="s">
        <v>1713</v>
      </c>
      <c r="D217" s="300" t="s">
        <v>3171</v>
      </c>
      <c r="E217" s="302" t="s">
        <v>1918</v>
      </c>
      <c r="BF217" s="365" t="s">
        <v>2549</v>
      </c>
      <c r="BG217" s="365" t="s">
        <v>2550</v>
      </c>
      <c r="BH217" s="365" t="s">
        <v>2551</v>
      </c>
      <c r="BI217" s="365" t="s">
        <v>2552</v>
      </c>
      <c r="BJ217" s="365" t="s">
        <v>2553</v>
      </c>
      <c r="BK217" s="365" t="s">
        <v>2554</v>
      </c>
      <c r="BL217" s="365" t="s">
        <v>2555</v>
      </c>
      <c r="BM217" s="365" t="s">
        <v>2556</v>
      </c>
      <c r="BN217" s="365" t="s">
        <v>2557</v>
      </c>
      <c r="BO217" s="365" t="s">
        <v>2558</v>
      </c>
      <c r="BP217" s="365" t="s">
        <v>2559</v>
      </c>
      <c r="BQ217" s="413">
        <f t="shared" ref="BQ217:BS217" si="59">+BQ218+BQ219</f>
        <v>160.6</v>
      </c>
      <c r="BR217" s="413">
        <f t="shared" si="59"/>
        <v>172.1</v>
      </c>
      <c r="BS217" s="850">
        <f t="shared" si="59"/>
        <v>163</v>
      </c>
      <c r="BT217" s="850">
        <f t="shared" ref="BT217:BW217" si="60">+BT218+BT219</f>
        <v>96</v>
      </c>
      <c r="BU217" s="365">
        <f t="shared" si="60"/>
        <v>41</v>
      </c>
      <c r="BV217" s="365">
        <f t="shared" si="60"/>
        <v>21</v>
      </c>
      <c r="BW217" s="365">
        <f t="shared" si="60"/>
        <v>17</v>
      </c>
    </row>
    <row r="218" spans="1:75" s="300" customFormat="1">
      <c r="A218" s="326" t="s">
        <v>548</v>
      </c>
      <c r="D218" s="300" t="s">
        <v>3171</v>
      </c>
      <c r="E218" s="302" t="s">
        <v>1918</v>
      </c>
      <c r="BF218" s="365" t="s">
        <v>2560</v>
      </c>
      <c r="BG218" s="365" t="s">
        <v>2561</v>
      </c>
      <c r="BH218" s="365" t="s">
        <v>2562</v>
      </c>
      <c r="BI218" s="365" t="s">
        <v>2562</v>
      </c>
      <c r="BJ218" s="365" t="s">
        <v>2563</v>
      </c>
      <c r="BK218" s="365" t="s">
        <v>2564</v>
      </c>
      <c r="BL218" s="365" t="s">
        <v>2565</v>
      </c>
      <c r="BM218" s="365" t="s">
        <v>2566</v>
      </c>
      <c r="BN218" s="365" t="s">
        <v>2567</v>
      </c>
      <c r="BO218" s="365" t="s">
        <v>2568</v>
      </c>
      <c r="BP218" s="365">
        <v>32.9</v>
      </c>
      <c r="BQ218" s="413">
        <v>40.5</v>
      </c>
      <c r="BR218" s="413">
        <v>42.4</v>
      </c>
      <c r="BS218" s="851">
        <v>39.5</v>
      </c>
      <c r="BT218" s="854">
        <f>+BU218+BV218+2*BW218</f>
        <v>27</v>
      </c>
      <c r="BU218" s="300">
        <v>11</v>
      </c>
      <c r="BV218" s="300">
        <v>6</v>
      </c>
      <c r="BW218" s="300">
        <v>5</v>
      </c>
    </row>
    <row r="219" spans="1:75" s="300" customFormat="1">
      <c r="A219" s="326" t="s">
        <v>547</v>
      </c>
      <c r="D219" s="300" t="s">
        <v>3171</v>
      </c>
      <c r="E219" s="302" t="s">
        <v>1918</v>
      </c>
      <c r="BF219" s="365" t="s">
        <v>2570</v>
      </c>
      <c r="BG219" s="365" t="s">
        <v>2571</v>
      </c>
      <c r="BH219" s="365" t="s">
        <v>2572</v>
      </c>
      <c r="BI219" s="365" t="s">
        <v>2573</v>
      </c>
      <c r="BJ219" s="365" t="s">
        <v>2574</v>
      </c>
      <c r="BK219" s="365" t="s">
        <v>2575</v>
      </c>
      <c r="BL219" s="365" t="s">
        <v>2576</v>
      </c>
      <c r="BM219" s="365" t="s">
        <v>2577</v>
      </c>
      <c r="BN219" s="365" t="s">
        <v>2578</v>
      </c>
      <c r="BO219" s="365" t="s">
        <v>2579</v>
      </c>
      <c r="BP219" s="365">
        <v>153.6</v>
      </c>
      <c r="BQ219" s="413">
        <v>120.1</v>
      </c>
      <c r="BR219" s="413">
        <v>129.69999999999999</v>
      </c>
      <c r="BS219" s="851">
        <v>123.5</v>
      </c>
      <c r="BT219" s="854">
        <f>+BU219+BV219+2*BW219</f>
        <v>69</v>
      </c>
      <c r="BU219" s="300">
        <v>30</v>
      </c>
      <c r="BV219" s="300">
        <v>15</v>
      </c>
      <c r="BW219" s="300">
        <v>12</v>
      </c>
    </row>
    <row r="220" spans="1:75" s="300" customFormat="1">
      <c r="A220" s="325" t="s">
        <v>550</v>
      </c>
      <c r="D220" s="300" t="s">
        <v>3171</v>
      </c>
      <c r="E220" s="302" t="s">
        <v>1918</v>
      </c>
      <c r="BF220" s="365" t="s">
        <v>2580</v>
      </c>
      <c r="BG220" s="365" t="s">
        <v>2581</v>
      </c>
      <c r="BH220" s="365" t="s">
        <v>2582</v>
      </c>
      <c r="BI220" s="365" t="s">
        <v>2583</v>
      </c>
      <c r="BJ220" s="365" t="s">
        <v>2584</v>
      </c>
      <c r="BK220" s="365" t="s">
        <v>2585</v>
      </c>
      <c r="BL220" s="365" t="s">
        <v>965</v>
      </c>
      <c r="BM220" s="365" t="s">
        <v>966</v>
      </c>
      <c r="BN220" s="365" t="s">
        <v>967</v>
      </c>
      <c r="BO220" s="365" t="s">
        <v>968</v>
      </c>
      <c r="BP220" s="365" t="s">
        <v>969</v>
      </c>
      <c r="BQ220" s="413">
        <f t="shared" ref="BQ220:BR220" si="61">+BQ221+BQ222</f>
        <v>-477.3</v>
      </c>
      <c r="BR220" s="413">
        <f t="shared" si="61"/>
        <v>-552.4</v>
      </c>
      <c r="BS220" s="850">
        <f>+BS221+BS222</f>
        <v>-657.4</v>
      </c>
      <c r="BT220" s="850">
        <f>+BT221+BT222</f>
        <v>-477</v>
      </c>
      <c r="BU220" s="365">
        <f t="shared" ref="BU220:BW220" si="62">+BU221+BU222</f>
        <v>-161</v>
      </c>
      <c r="BV220" s="365">
        <f t="shared" si="62"/>
        <v>-96</v>
      </c>
      <c r="BW220" s="365">
        <f t="shared" si="62"/>
        <v>-110</v>
      </c>
    </row>
    <row r="221" spans="1:75" s="300" customFormat="1">
      <c r="A221" s="326" t="s">
        <v>548</v>
      </c>
      <c r="D221" s="300" t="s">
        <v>3171</v>
      </c>
      <c r="E221" s="302" t="s">
        <v>1918</v>
      </c>
      <c r="BF221" s="365" t="s">
        <v>970</v>
      </c>
      <c r="BG221" s="365" t="s">
        <v>971</v>
      </c>
      <c r="BH221" s="365" t="s">
        <v>972</v>
      </c>
      <c r="BI221" s="365" t="s">
        <v>970</v>
      </c>
      <c r="BJ221" s="365" t="s">
        <v>973</v>
      </c>
      <c r="BK221" s="365" t="s">
        <v>974</v>
      </c>
      <c r="BL221" s="365" t="s">
        <v>975</v>
      </c>
      <c r="BM221" s="365" t="s">
        <v>976</v>
      </c>
      <c r="BN221" s="365" t="s">
        <v>977</v>
      </c>
      <c r="BO221" s="365" t="s">
        <v>978</v>
      </c>
      <c r="BP221" s="365">
        <v>-43.5</v>
      </c>
      <c r="BQ221" s="413">
        <v>-53.2</v>
      </c>
      <c r="BR221" s="413">
        <v>-67.599999999999994</v>
      </c>
      <c r="BS221" s="851">
        <v>-54.1</v>
      </c>
      <c r="BT221" s="854">
        <f t="shared" ref="BT221:BT232" si="63">+BU221+BV221+2*BW221</f>
        <v>-41</v>
      </c>
      <c r="BU221" s="300">
        <v>-16</v>
      </c>
      <c r="BV221" s="300">
        <v>-7</v>
      </c>
      <c r="BW221" s="300">
        <v>-9</v>
      </c>
    </row>
    <row r="222" spans="1:75" s="300" customFormat="1">
      <c r="A222" s="326" t="s">
        <v>547</v>
      </c>
      <c r="D222" s="300" t="s">
        <v>3171</v>
      </c>
      <c r="E222" s="302" t="s">
        <v>1918</v>
      </c>
      <c r="BF222" s="365" t="s">
        <v>979</v>
      </c>
      <c r="BG222" s="365" t="s">
        <v>980</v>
      </c>
      <c r="BH222" s="365" t="s">
        <v>981</v>
      </c>
      <c r="BI222" s="365" t="s">
        <v>982</v>
      </c>
      <c r="BJ222" s="365" t="s">
        <v>983</v>
      </c>
      <c r="BK222" s="365" t="s">
        <v>984</v>
      </c>
      <c r="BL222" s="365" t="s">
        <v>985</v>
      </c>
      <c r="BM222" s="365" t="s">
        <v>986</v>
      </c>
      <c r="BN222" s="365" t="s">
        <v>987</v>
      </c>
      <c r="BO222" s="365" t="s">
        <v>988</v>
      </c>
      <c r="BP222" s="365">
        <v>-425.6</v>
      </c>
      <c r="BQ222" s="413">
        <v>-424.1</v>
      </c>
      <c r="BR222" s="413">
        <v>-484.8</v>
      </c>
      <c r="BS222" s="851">
        <v>-603.29999999999995</v>
      </c>
      <c r="BT222" s="854">
        <f t="shared" si="63"/>
        <v>-436</v>
      </c>
      <c r="BU222" s="300">
        <v>-145</v>
      </c>
      <c r="BV222" s="300">
        <v>-89</v>
      </c>
      <c r="BW222" s="300">
        <v>-101</v>
      </c>
    </row>
    <row r="223" spans="1:75" s="300" customFormat="1">
      <c r="A223" s="306" t="s">
        <v>546</v>
      </c>
      <c r="D223" s="300" t="s">
        <v>3171</v>
      </c>
      <c r="E223" s="302" t="s">
        <v>1918</v>
      </c>
      <c r="BF223" s="365" t="s">
        <v>989</v>
      </c>
      <c r="BG223" s="365" t="s">
        <v>990</v>
      </c>
      <c r="BH223" s="365" t="s">
        <v>2561</v>
      </c>
      <c r="BI223" s="365" t="s">
        <v>991</v>
      </c>
      <c r="BJ223" s="365" t="s">
        <v>992</v>
      </c>
      <c r="BK223" s="365" t="s">
        <v>993</v>
      </c>
      <c r="BL223" s="365" t="s">
        <v>994</v>
      </c>
      <c r="BM223" s="365" t="s">
        <v>995</v>
      </c>
      <c r="BN223" s="365" t="s">
        <v>996</v>
      </c>
      <c r="BO223" s="365" t="s">
        <v>997</v>
      </c>
      <c r="BP223" s="365" t="s">
        <v>998</v>
      </c>
      <c r="BQ223" s="413">
        <f t="shared" ref="BQ223:BW223" si="64">+BQ224+BQ225</f>
        <v>-456.7</v>
      </c>
      <c r="BR223" s="413">
        <f t="shared" si="64"/>
        <v>-387.3</v>
      </c>
      <c r="BS223" s="850">
        <f t="shared" si="64"/>
        <v>-413.09999999999997</v>
      </c>
      <c r="BT223" s="850">
        <f t="shared" si="64"/>
        <v>-376.4</v>
      </c>
      <c r="BU223" s="850">
        <f t="shared" si="64"/>
        <v>-86</v>
      </c>
      <c r="BV223" s="850">
        <f t="shared" si="64"/>
        <v>-115</v>
      </c>
      <c r="BW223" s="850">
        <f t="shared" si="64"/>
        <v>-87.7</v>
      </c>
    </row>
    <row r="224" spans="1:75" s="300" customFormat="1">
      <c r="A224" s="325" t="s">
        <v>545</v>
      </c>
      <c r="D224" s="300" t="s">
        <v>3171</v>
      </c>
      <c r="E224" s="302" t="s">
        <v>1918</v>
      </c>
      <c r="BF224" s="365" t="s">
        <v>999</v>
      </c>
      <c r="BG224" s="365" t="s">
        <v>2569</v>
      </c>
      <c r="BH224" s="365" t="s">
        <v>1000</v>
      </c>
      <c r="BI224" s="365" t="s">
        <v>1001</v>
      </c>
      <c r="BJ224" s="365" t="s">
        <v>1002</v>
      </c>
      <c r="BK224" s="365" t="s">
        <v>1003</v>
      </c>
      <c r="BL224" s="365" t="s">
        <v>1004</v>
      </c>
      <c r="BM224" s="365" t="s">
        <v>1004</v>
      </c>
      <c r="BN224" s="365" t="s">
        <v>1005</v>
      </c>
      <c r="BO224" s="365" t="s">
        <v>1006</v>
      </c>
      <c r="BP224" s="365" t="s">
        <v>1007</v>
      </c>
      <c r="BQ224" s="413">
        <v>27.5</v>
      </c>
      <c r="BR224" s="413">
        <v>35.5</v>
      </c>
      <c r="BS224" s="851">
        <v>21.1</v>
      </c>
      <c r="BT224" s="854">
        <f t="shared" si="63"/>
        <v>8</v>
      </c>
      <c r="BU224" s="300">
        <v>2</v>
      </c>
      <c r="BV224" s="300">
        <v>2</v>
      </c>
      <c r="BW224" s="300">
        <v>2</v>
      </c>
    </row>
    <row r="225" spans="1:75" s="300" customFormat="1">
      <c r="A225" s="325" t="s">
        <v>544</v>
      </c>
      <c r="D225" s="300" t="s">
        <v>3171</v>
      </c>
      <c r="E225" s="302" t="s">
        <v>1918</v>
      </c>
      <c r="BF225" s="365" t="s">
        <v>1008</v>
      </c>
      <c r="BG225" s="365" t="s">
        <v>1009</v>
      </c>
      <c r="BH225" s="365" t="s">
        <v>1010</v>
      </c>
      <c r="BI225" s="365" t="s">
        <v>1011</v>
      </c>
      <c r="BJ225" s="365" t="s">
        <v>1012</v>
      </c>
      <c r="BK225" s="365" t="s">
        <v>1013</v>
      </c>
      <c r="BL225" s="365" t="s">
        <v>1014</v>
      </c>
      <c r="BM225" s="365" t="s">
        <v>1015</v>
      </c>
      <c r="BN225" s="365" t="s">
        <v>1016</v>
      </c>
      <c r="BO225" s="365" t="s">
        <v>1017</v>
      </c>
      <c r="BP225" s="365">
        <v>-196.2</v>
      </c>
      <c r="BQ225" s="413">
        <v>-484.2</v>
      </c>
      <c r="BR225" s="413">
        <v>-422.8</v>
      </c>
      <c r="BS225" s="849">
        <v>-434.2</v>
      </c>
      <c r="BT225" s="854">
        <f t="shared" si="63"/>
        <v>-384.4</v>
      </c>
      <c r="BU225" s="300">
        <v>-88</v>
      </c>
      <c r="BV225" s="300">
        <v>-117</v>
      </c>
      <c r="BW225" s="300">
        <v>-89.7</v>
      </c>
    </row>
    <row r="226" spans="1:75" s="300" customFormat="1">
      <c r="A226" s="306" t="s">
        <v>543</v>
      </c>
      <c r="D226" s="300" t="s">
        <v>3171</v>
      </c>
      <c r="E226" s="302" t="s">
        <v>1918</v>
      </c>
      <c r="BF226" s="365" t="s">
        <v>1018</v>
      </c>
      <c r="BG226" s="365" t="s">
        <v>1019</v>
      </c>
      <c r="BH226" s="365" t="s">
        <v>1020</v>
      </c>
      <c r="BI226" s="365" t="s">
        <v>1021</v>
      </c>
      <c r="BJ226" s="365" t="s">
        <v>1022</v>
      </c>
      <c r="BK226" s="365" t="s">
        <v>1023</v>
      </c>
      <c r="BL226" s="365" t="s">
        <v>1024</v>
      </c>
      <c r="BM226" s="365" t="s">
        <v>1025</v>
      </c>
      <c r="BN226" s="365" t="s">
        <v>1026</v>
      </c>
      <c r="BO226" s="365" t="s">
        <v>1027</v>
      </c>
      <c r="BP226" s="365" t="s">
        <v>1028</v>
      </c>
      <c r="BQ226" s="413">
        <f t="shared" ref="BQ226:BW226" si="65">+BQ227+BQ228</f>
        <v>99.7</v>
      </c>
      <c r="BR226" s="413">
        <f t="shared" si="65"/>
        <v>102.80000000000001</v>
      </c>
      <c r="BS226" s="850">
        <f t="shared" si="65"/>
        <v>89.7</v>
      </c>
      <c r="BT226" s="850">
        <f t="shared" si="65"/>
        <v>116.69999999999999</v>
      </c>
      <c r="BU226" s="850">
        <f t="shared" si="65"/>
        <v>28.299999999999997</v>
      </c>
      <c r="BV226" s="850">
        <f t="shared" si="65"/>
        <v>27.799999999999997</v>
      </c>
      <c r="BW226" s="850">
        <f t="shared" si="65"/>
        <v>30.299999999999997</v>
      </c>
    </row>
    <row r="227" spans="1:75" s="300" customFormat="1">
      <c r="A227" s="325" t="s">
        <v>542</v>
      </c>
      <c r="D227" s="300" t="s">
        <v>3171</v>
      </c>
      <c r="E227" s="302" t="s">
        <v>1918</v>
      </c>
      <c r="BF227" s="365" t="s">
        <v>1029</v>
      </c>
      <c r="BG227" s="365" t="s">
        <v>1030</v>
      </c>
      <c r="BH227" s="365" t="s">
        <v>1031</v>
      </c>
      <c r="BI227" s="365" t="s">
        <v>1032</v>
      </c>
      <c r="BJ227" s="365" t="s">
        <v>1033</v>
      </c>
      <c r="BK227" s="365" t="s">
        <v>1034</v>
      </c>
      <c r="BL227" s="365" t="s">
        <v>1035</v>
      </c>
      <c r="BM227" s="365" t="s">
        <v>1036</v>
      </c>
      <c r="BN227" s="365" t="s">
        <v>1037</v>
      </c>
      <c r="BO227" s="365" t="s">
        <v>1038</v>
      </c>
      <c r="BP227" s="365" t="s">
        <v>1039</v>
      </c>
      <c r="BQ227" s="413">
        <v>155.4</v>
      </c>
      <c r="BR227" s="413">
        <v>160.80000000000001</v>
      </c>
      <c r="BS227" s="851">
        <v>144.4</v>
      </c>
      <c r="BT227" s="854">
        <f t="shared" si="63"/>
        <v>166.7</v>
      </c>
      <c r="BU227" s="300">
        <v>41.3</v>
      </c>
      <c r="BV227" s="300">
        <v>38.799999999999997</v>
      </c>
      <c r="BW227" s="300">
        <v>43.3</v>
      </c>
    </row>
    <row r="228" spans="1:75" s="300" customFormat="1">
      <c r="A228" s="325" t="s">
        <v>541</v>
      </c>
      <c r="D228" s="300" t="s">
        <v>3171</v>
      </c>
      <c r="E228" s="302" t="s">
        <v>1918</v>
      </c>
      <c r="BF228" s="365" t="s">
        <v>1040</v>
      </c>
      <c r="BG228" s="365" t="s">
        <v>1041</v>
      </c>
      <c r="BH228" s="365" t="s">
        <v>1042</v>
      </c>
      <c r="BI228" s="365" t="s">
        <v>1043</v>
      </c>
      <c r="BJ228" s="365" t="s">
        <v>1044</v>
      </c>
      <c r="BK228" s="365" t="s">
        <v>1045</v>
      </c>
      <c r="BL228" s="365" t="s">
        <v>1046</v>
      </c>
      <c r="BM228" s="365" t="s">
        <v>1047</v>
      </c>
      <c r="BN228" s="365" t="s">
        <v>1048</v>
      </c>
      <c r="BO228" s="365" t="s">
        <v>1049</v>
      </c>
      <c r="BP228" s="365" t="s">
        <v>1050</v>
      </c>
      <c r="BQ228" s="413">
        <v>-55.7</v>
      </c>
      <c r="BR228" s="413">
        <v>-58</v>
      </c>
      <c r="BS228" s="851">
        <v>-54.7</v>
      </c>
      <c r="BT228" s="854">
        <f t="shared" si="63"/>
        <v>-50</v>
      </c>
      <c r="BU228" s="300">
        <v>-13</v>
      </c>
      <c r="BV228" s="300">
        <v>-11</v>
      </c>
      <c r="BW228" s="300">
        <v>-13</v>
      </c>
    </row>
    <row r="229" spans="1:75" s="300" customFormat="1">
      <c r="BF229" s="367"/>
      <c r="BG229" s="367"/>
      <c r="BH229" s="367"/>
      <c r="BI229" s="367"/>
      <c r="BJ229" s="367"/>
      <c r="BK229" s="367"/>
      <c r="BL229" s="367"/>
      <c r="BM229" s="367"/>
      <c r="BN229" s="367"/>
      <c r="BO229" s="367"/>
      <c r="BP229" s="367"/>
      <c r="BS229" s="522"/>
      <c r="BT229" s="522"/>
    </row>
    <row r="230" spans="1:75" s="304" customFormat="1">
      <c r="A230" s="304" t="s">
        <v>540</v>
      </c>
      <c r="D230" s="304" t="s">
        <v>3171</v>
      </c>
      <c r="E230" s="302" t="s">
        <v>1918</v>
      </c>
      <c r="BF230" s="364" t="s">
        <v>1051</v>
      </c>
      <c r="BG230" s="364" t="s">
        <v>1052</v>
      </c>
      <c r="BH230" s="364" t="s">
        <v>1053</v>
      </c>
      <c r="BI230" s="364" t="s">
        <v>1054</v>
      </c>
      <c r="BJ230" s="364" t="s">
        <v>1055</v>
      </c>
      <c r="BK230" s="364" t="s">
        <v>1056</v>
      </c>
      <c r="BL230" s="364" t="s">
        <v>1057</v>
      </c>
      <c r="BM230" s="364" t="s">
        <v>1058</v>
      </c>
      <c r="BN230" s="364" t="s">
        <v>1059</v>
      </c>
      <c r="BO230" s="364" t="s">
        <v>1060</v>
      </c>
      <c r="BP230" s="364" t="s">
        <v>1061</v>
      </c>
      <c r="BQ230" s="721">
        <f t="shared" ref="BQ230:BS230" si="66">+BQ231+BQ232</f>
        <v>-4.5333333333333332</v>
      </c>
      <c r="BR230" s="721">
        <f t="shared" si="66"/>
        <v>-0.49999999999999994</v>
      </c>
      <c r="BS230" s="847">
        <f t="shared" si="66"/>
        <v>-2.9</v>
      </c>
      <c r="BT230" s="847">
        <f t="shared" ref="BT230:BW230" si="67">+BT231+BT232</f>
        <v>0</v>
      </c>
      <c r="BU230" s="847">
        <f t="shared" si="67"/>
        <v>0</v>
      </c>
      <c r="BV230" s="847">
        <f t="shared" si="67"/>
        <v>0</v>
      </c>
      <c r="BW230" s="847">
        <f t="shared" si="67"/>
        <v>0</v>
      </c>
    </row>
    <row r="231" spans="1:75" s="300" customFormat="1">
      <c r="A231" s="306" t="s">
        <v>539</v>
      </c>
      <c r="D231" s="300" t="s">
        <v>3171</v>
      </c>
      <c r="E231" s="302" t="s">
        <v>1918</v>
      </c>
      <c r="BF231" s="365" t="s">
        <v>1051</v>
      </c>
      <c r="BG231" s="365" t="s">
        <v>1052</v>
      </c>
      <c r="BH231" s="365" t="s">
        <v>1053</v>
      </c>
      <c r="BI231" s="365" t="s">
        <v>1062</v>
      </c>
      <c r="BJ231" s="365" t="s">
        <v>1055</v>
      </c>
      <c r="BK231" s="365" t="s">
        <v>1056</v>
      </c>
      <c r="BL231" s="365" t="s">
        <v>1063</v>
      </c>
      <c r="BM231" s="365" t="s">
        <v>1058</v>
      </c>
      <c r="BN231" s="365" t="s">
        <v>1058</v>
      </c>
      <c r="BO231" s="365" t="s">
        <v>1060</v>
      </c>
      <c r="BP231" s="365" t="s">
        <v>1061</v>
      </c>
      <c r="BQ231" s="413">
        <f>(BR231+BS231+BT231)*(4/3)</f>
        <v>1.0666666666666667</v>
      </c>
      <c r="BR231" s="413">
        <v>0.2</v>
      </c>
      <c r="BS231" s="851">
        <v>0.6</v>
      </c>
      <c r="BT231" s="854">
        <f t="shared" si="63"/>
        <v>0</v>
      </c>
      <c r="BU231" s="300">
        <v>0</v>
      </c>
      <c r="BV231" s="300">
        <v>0</v>
      </c>
      <c r="BW231" s="300">
        <v>0</v>
      </c>
    </row>
    <row r="232" spans="1:75" s="300" customFormat="1">
      <c r="A232" s="306" t="s">
        <v>538</v>
      </c>
      <c r="D232" s="300" t="s">
        <v>3171</v>
      </c>
      <c r="E232" s="302" t="s">
        <v>1918</v>
      </c>
      <c r="BF232" s="365" t="s">
        <v>1064</v>
      </c>
      <c r="BG232" s="365" t="s">
        <v>1064</v>
      </c>
      <c r="BH232" s="365" t="s">
        <v>1064</v>
      </c>
      <c r="BI232" s="365" t="s">
        <v>1065</v>
      </c>
      <c r="BJ232" s="365" t="s">
        <v>1064</v>
      </c>
      <c r="BK232" s="365" t="s">
        <v>1064</v>
      </c>
      <c r="BL232" s="365" t="s">
        <v>1066</v>
      </c>
      <c r="BM232" s="365" t="s">
        <v>1064</v>
      </c>
      <c r="BN232" s="365" t="s">
        <v>1067</v>
      </c>
      <c r="BO232" s="365" t="s">
        <v>1068</v>
      </c>
      <c r="BP232" s="365" t="s">
        <v>1064</v>
      </c>
      <c r="BQ232" s="413">
        <f>(BR232+BS232+BT232)*(4/3)</f>
        <v>-5.6</v>
      </c>
      <c r="BR232" s="413">
        <v>-0.7</v>
      </c>
      <c r="BS232" s="851">
        <v>-3.5</v>
      </c>
      <c r="BT232" s="854">
        <f t="shared" si="63"/>
        <v>0</v>
      </c>
      <c r="BU232" s="300">
        <v>0</v>
      </c>
      <c r="BV232" s="300">
        <v>0</v>
      </c>
      <c r="BW232" s="300">
        <v>0</v>
      </c>
    </row>
    <row r="233" spans="1:75" s="300" customFormat="1">
      <c r="BF233" s="367"/>
      <c r="BG233" s="367"/>
      <c r="BH233" s="367"/>
      <c r="BI233" s="367"/>
      <c r="BJ233" s="367"/>
      <c r="BK233" s="367"/>
      <c r="BL233" s="367"/>
      <c r="BM233" s="367"/>
      <c r="BN233" s="367"/>
      <c r="BO233" s="367"/>
      <c r="BP233" s="367"/>
      <c r="BS233" s="522"/>
      <c r="BT233" s="522"/>
    </row>
    <row r="234" spans="1:75" s="304" customFormat="1">
      <c r="A234" s="304" t="s">
        <v>537</v>
      </c>
      <c r="D234" s="304" t="s">
        <v>3171</v>
      </c>
      <c r="E234" s="302" t="s">
        <v>1918</v>
      </c>
      <c r="BF234" s="364">
        <v>239.9</v>
      </c>
      <c r="BG234" s="364">
        <v>332.6</v>
      </c>
      <c r="BH234" s="364">
        <v>356.6</v>
      </c>
      <c r="BI234" s="364">
        <v>198.7</v>
      </c>
      <c r="BJ234" s="364">
        <v>704.7</v>
      </c>
      <c r="BK234" s="364">
        <v>466.3</v>
      </c>
      <c r="BL234" s="364">
        <v>155.4</v>
      </c>
      <c r="BM234" s="364">
        <v>-195.8</v>
      </c>
      <c r="BN234" s="364">
        <v>-415.9</v>
      </c>
      <c r="BO234" s="364">
        <v>-807</v>
      </c>
      <c r="BP234" s="364">
        <v>-137.4</v>
      </c>
      <c r="BQ234" s="721">
        <f t="shared" ref="BQ234:BW234" si="68">+BQ212+BQ230</f>
        <v>-6.2333333333333645</v>
      </c>
      <c r="BR234" s="721">
        <f t="shared" si="68"/>
        <v>-118.29999999999995</v>
      </c>
      <c r="BS234" s="847">
        <f t="shared" si="68"/>
        <v>-413.5999999999998</v>
      </c>
      <c r="BT234" s="847">
        <f t="shared" si="68"/>
        <v>249.3</v>
      </c>
      <c r="BU234" s="847">
        <f t="shared" si="68"/>
        <v>35.299999999999997</v>
      </c>
      <c r="BV234" s="847">
        <f t="shared" si="68"/>
        <v>38.799999999999997</v>
      </c>
      <c r="BW234" s="847">
        <f t="shared" si="68"/>
        <v>87.6</v>
      </c>
    </row>
    <row r="235" spans="1:75" s="304" customFormat="1">
      <c r="BG235" s="367"/>
      <c r="BH235" s="367"/>
      <c r="BI235" s="367"/>
      <c r="BJ235" s="367"/>
      <c r="BK235" s="367"/>
      <c r="BL235" s="367"/>
      <c r="BM235" s="367"/>
      <c r="BN235" s="367"/>
      <c r="BO235" s="367"/>
      <c r="BP235" s="367"/>
      <c r="BR235" s="367"/>
      <c r="BS235" s="852"/>
      <c r="BT235" s="522"/>
      <c r="BU235" s="300"/>
      <c r="BV235" s="300"/>
    </row>
    <row r="236" spans="1:75" s="304" customFormat="1">
      <c r="A236" s="304" t="s">
        <v>536</v>
      </c>
      <c r="D236" s="304" t="s">
        <v>3171</v>
      </c>
      <c r="E236" s="302" t="s">
        <v>1918</v>
      </c>
      <c r="BF236" s="364">
        <v>-255.5</v>
      </c>
      <c r="BG236" s="364">
        <v>-366.3</v>
      </c>
      <c r="BH236" s="364">
        <v>-48.2</v>
      </c>
      <c r="BI236" s="364">
        <v>-141.19999999999999</v>
      </c>
      <c r="BJ236" s="364">
        <v>-501.6</v>
      </c>
      <c r="BK236" s="364">
        <v>-84.9</v>
      </c>
      <c r="BL236" s="364">
        <v>487.2</v>
      </c>
      <c r="BM236" s="364">
        <v>429.2</v>
      </c>
      <c r="BN236" s="364">
        <v>688.7</v>
      </c>
      <c r="BO236" s="364">
        <v>737.1</v>
      </c>
      <c r="BP236" s="364">
        <v>334.4</v>
      </c>
      <c r="BQ236" s="721">
        <f t="shared" ref="BQ236:BS236" si="69">+BQ237+BQ240+BQ243+BQ246+BQ250</f>
        <v>259.39999999999998</v>
      </c>
      <c r="BR236" s="721">
        <f t="shared" si="69"/>
        <v>298.2</v>
      </c>
      <c r="BS236" s="847">
        <f t="shared" si="69"/>
        <v>773.5</v>
      </c>
      <c r="BT236" s="847">
        <f t="shared" ref="BT236:BW236" si="70">+BT237+BT240+BT243+BT246+BT250</f>
        <v>-301.60000000000002</v>
      </c>
      <c r="BU236" s="847">
        <f t="shared" si="70"/>
        <v>-41.7</v>
      </c>
      <c r="BV236" s="847">
        <f t="shared" si="70"/>
        <v>-109.7</v>
      </c>
      <c r="BW236" s="847">
        <f t="shared" si="70"/>
        <v>-75.099999999999994</v>
      </c>
    </row>
    <row r="237" spans="1:75" s="300" customFormat="1">
      <c r="A237" s="306" t="s">
        <v>535</v>
      </c>
      <c r="D237" s="300" t="s">
        <v>3171</v>
      </c>
      <c r="E237" s="302" t="s">
        <v>1918</v>
      </c>
      <c r="BF237" s="365" t="s">
        <v>1069</v>
      </c>
      <c r="BG237" s="365" t="s">
        <v>1070</v>
      </c>
      <c r="BH237" s="365" t="s">
        <v>1071</v>
      </c>
      <c r="BI237" s="365" t="s">
        <v>1072</v>
      </c>
      <c r="BJ237" s="365" t="s">
        <v>1073</v>
      </c>
      <c r="BK237" s="365" t="s">
        <v>1074</v>
      </c>
      <c r="BL237" s="365" t="s">
        <v>1075</v>
      </c>
      <c r="BM237" s="365" t="s">
        <v>1076</v>
      </c>
      <c r="BN237" s="365" t="s">
        <v>1077</v>
      </c>
      <c r="BO237" s="365" t="s">
        <v>1078</v>
      </c>
      <c r="BP237" s="365">
        <f t="shared" ref="BP237:BS237" si="71">+BP238+BP239</f>
        <v>300</v>
      </c>
      <c r="BQ237" s="413">
        <f t="shared" si="71"/>
        <v>98.2</v>
      </c>
      <c r="BR237" s="413">
        <f t="shared" si="71"/>
        <v>119.2</v>
      </c>
      <c r="BS237" s="850">
        <f t="shared" si="71"/>
        <v>-19.5</v>
      </c>
      <c r="BT237" s="850">
        <f t="shared" ref="BT237:BW237" si="72">+BT238+BT239</f>
        <v>-99.4</v>
      </c>
      <c r="BU237" s="850">
        <f t="shared" si="72"/>
        <v>-49</v>
      </c>
      <c r="BV237" s="850">
        <f t="shared" si="72"/>
        <v>9.8000000000000007</v>
      </c>
      <c r="BW237" s="850">
        <f t="shared" si="72"/>
        <v>-30.1</v>
      </c>
    </row>
    <row r="238" spans="1:75" s="300" customFormat="1">
      <c r="A238" s="325" t="s">
        <v>534</v>
      </c>
      <c r="D238" s="300" t="s">
        <v>3171</v>
      </c>
      <c r="E238" s="302" t="s">
        <v>1918</v>
      </c>
      <c r="BF238" s="365" t="s">
        <v>1064</v>
      </c>
      <c r="BG238" s="365" t="s">
        <v>1064</v>
      </c>
      <c r="BH238" s="365" t="s">
        <v>1064</v>
      </c>
      <c r="BI238" s="365" t="s">
        <v>1064</v>
      </c>
      <c r="BJ238" s="365" t="s">
        <v>1064</v>
      </c>
      <c r="BK238" s="365" t="s">
        <v>1079</v>
      </c>
      <c r="BL238" s="365" t="s">
        <v>1080</v>
      </c>
      <c r="BM238" s="365" t="s">
        <v>1064</v>
      </c>
      <c r="BN238" s="365" t="s">
        <v>1064</v>
      </c>
      <c r="BO238" s="365" t="s">
        <v>1064</v>
      </c>
      <c r="BP238" s="365" t="s">
        <v>1064</v>
      </c>
      <c r="BQ238" s="413">
        <v>0</v>
      </c>
      <c r="BR238" s="413" t="s">
        <v>1064</v>
      </c>
      <c r="BS238" s="851">
        <f>+(BT238+BU238+BV238)*4/3</f>
        <v>0</v>
      </c>
      <c r="BT238" s="854">
        <f t="shared" ref="BT238:BT254" si="73">+BU238+BV238+2*BW238</f>
        <v>0</v>
      </c>
      <c r="BU238" s="300">
        <v>0</v>
      </c>
      <c r="BV238" s="300">
        <v>0</v>
      </c>
      <c r="BW238" s="300">
        <v>0</v>
      </c>
    </row>
    <row r="239" spans="1:75" s="300" customFormat="1">
      <c r="A239" s="325" t="s">
        <v>533</v>
      </c>
      <c r="D239" s="300" t="s">
        <v>3171</v>
      </c>
      <c r="E239" s="302" t="s">
        <v>1918</v>
      </c>
      <c r="BF239" s="365" t="s">
        <v>1069</v>
      </c>
      <c r="BG239" s="365" t="s">
        <v>1070</v>
      </c>
      <c r="BH239" s="365" t="s">
        <v>1071</v>
      </c>
      <c r="BI239" s="365" t="s">
        <v>1072</v>
      </c>
      <c r="BJ239" s="365" t="s">
        <v>1073</v>
      </c>
      <c r="BK239" s="365" t="s">
        <v>1081</v>
      </c>
      <c r="BL239" s="365" t="s">
        <v>1082</v>
      </c>
      <c r="BM239" s="365" t="s">
        <v>1076</v>
      </c>
      <c r="BN239" s="365" t="s">
        <v>1077</v>
      </c>
      <c r="BO239" s="365">
        <v>266.7</v>
      </c>
      <c r="BP239" s="365">
        <v>300</v>
      </c>
      <c r="BQ239" s="413">
        <v>98.2</v>
      </c>
      <c r="BR239" s="413">
        <v>119.2</v>
      </c>
      <c r="BS239" s="851">
        <v>-19.5</v>
      </c>
      <c r="BT239" s="854">
        <f t="shared" si="73"/>
        <v>-99.4</v>
      </c>
      <c r="BU239" s="300">
        <v>-49</v>
      </c>
      <c r="BV239" s="300">
        <v>9.8000000000000007</v>
      </c>
      <c r="BW239" s="300">
        <v>-30.1</v>
      </c>
    </row>
    <row r="240" spans="1:75" s="300" customFormat="1">
      <c r="A240" s="306" t="s">
        <v>532</v>
      </c>
      <c r="D240" s="300" t="s">
        <v>3171</v>
      </c>
      <c r="E240" s="302" t="s">
        <v>1918</v>
      </c>
      <c r="BF240" s="365" t="s">
        <v>1064</v>
      </c>
      <c r="BG240" s="365" t="s">
        <v>1064</v>
      </c>
      <c r="BH240" s="365" t="s">
        <v>1083</v>
      </c>
      <c r="BI240" s="365" t="s">
        <v>1084</v>
      </c>
      <c r="BJ240" s="365" t="s">
        <v>1085</v>
      </c>
      <c r="BK240" s="365" t="s">
        <v>2047</v>
      </c>
      <c r="BL240" s="365" t="s">
        <v>2048</v>
      </c>
      <c r="BM240" s="365" t="s">
        <v>2049</v>
      </c>
      <c r="BN240" s="365" t="s">
        <v>2050</v>
      </c>
      <c r="BO240" s="365" t="s">
        <v>2051</v>
      </c>
      <c r="BP240" s="365" t="s">
        <v>2052</v>
      </c>
      <c r="BQ240" s="413">
        <f t="shared" ref="BQ240:BW240" si="74">+BQ241+BQ242</f>
        <v>-26.6</v>
      </c>
      <c r="BR240" s="413">
        <f t="shared" si="74"/>
        <v>-58.5</v>
      </c>
      <c r="BS240" s="850">
        <f t="shared" si="74"/>
        <v>8.2000000000000011</v>
      </c>
      <c r="BT240" s="850">
        <f t="shared" si="74"/>
        <v>-2</v>
      </c>
      <c r="BU240" s="850">
        <f t="shared" si="74"/>
        <v>-5</v>
      </c>
      <c r="BV240" s="850">
        <f t="shared" si="74"/>
        <v>-8</v>
      </c>
      <c r="BW240" s="850">
        <f t="shared" si="74"/>
        <v>5.5</v>
      </c>
    </row>
    <row r="241" spans="1:75" s="300" customFormat="1">
      <c r="A241" s="325" t="s">
        <v>530</v>
      </c>
      <c r="D241" s="300" t="s">
        <v>3171</v>
      </c>
      <c r="E241" s="302" t="s">
        <v>1918</v>
      </c>
      <c r="BF241" s="365" t="s">
        <v>1064</v>
      </c>
      <c r="BG241" s="365" t="s">
        <v>1064</v>
      </c>
      <c r="BH241" s="365" t="s">
        <v>1064</v>
      </c>
      <c r="BI241" s="365" t="s">
        <v>1064</v>
      </c>
      <c r="BJ241" s="365" t="s">
        <v>1064</v>
      </c>
      <c r="BK241" s="365" t="s">
        <v>1064</v>
      </c>
      <c r="BL241" s="365" t="s">
        <v>1064</v>
      </c>
      <c r="BM241" s="365" t="s">
        <v>1068</v>
      </c>
      <c r="BN241" s="365" t="s">
        <v>1058</v>
      </c>
      <c r="BO241" s="365" t="s">
        <v>1064</v>
      </c>
      <c r="BP241" s="365" t="s">
        <v>1068</v>
      </c>
      <c r="BQ241" s="413">
        <v>-6.1</v>
      </c>
      <c r="BR241" s="413">
        <v>0</v>
      </c>
      <c r="BS241" s="851">
        <v>-0.6</v>
      </c>
      <c r="BT241" s="854">
        <f t="shared" si="73"/>
        <v>0</v>
      </c>
      <c r="BU241" s="300">
        <v>0</v>
      </c>
      <c r="BV241" s="300">
        <v>0</v>
      </c>
      <c r="BW241" s="300">
        <v>0</v>
      </c>
    </row>
    <row r="242" spans="1:75" s="300" customFormat="1">
      <c r="A242" s="325" t="s">
        <v>1827</v>
      </c>
      <c r="D242" s="300" t="s">
        <v>3171</v>
      </c>
      <c r="E242" s="302" t="s">
        <v>1918</v>
      </c>
      <c r="BF242" s="365" t="s">
        <v>1064</v>
      </c>
      <c r="BG242" s="365" t="s">
        <v>1064</v>
      </c>
      <c r="BH242" s="365" t="s">
        <v>1083</v>
      </c>
      <c r="BI242" s="365" t="s">
        <v>1084</v>
      </c>
      <c r="BJ242" s="365" t="s">
        <v>1085</v>
      </c>
      <c r="BK242" s="365" t="s">
        <v>2047</v>
      </c>
      <c r="BL242" s="365" t="s">
        <v>2048</v>
      </c>
      <c r="BM242" s="365" t="s">
        <v>2053</v>
      </c>
      <c r="BN242" s="365" t="s">
        <v>2054</v>
      </c>
      <c r="BO242" s="365" t="s">
        <v>2051</v>
      </c>
      <c r="BP242" s="365" t="s">
        <v>2052</v>
      </c>
      <c r="BQ242" s="413">
        <v>-20.5</v>
      </c>
      <c r="BR242" s="413">
        <v>-58.5</v>
      </c>
      <c r="BS242" s="851">
        <v>8.8000000000000007</v>
      </c>
      <c r="BT242" s="854">
        <f t="shared" si="73"/>
        <v>-2</v>
      </c>
      <c r="BU242" s="300">
        <v>-5</v>
      </c>
      <c r="BV242" s="300">
        <v>-8</v>
      </c>
      <c r="BW242" s="300">
        <v>5.5</v>
      </c>
    </row>
    <row r="243" spans="1:75" s="300" customFormat="1">
      <c r="A243" s="306" t="s">
        <v>531</v>
      </c>
      <c r="D243" s="300" t="s">
        <v>3171</v>
      </c>
      <c r="E243" s="302" t="s">
        <v>1918</v>
      </c>
      <c r="BF243" s="365" t="s">
        <v>2055</v>
      </c>
      <c r="BG243" s="365" t="s">
        <v>2056</v>
      </c>
      <c r="BH243" s="365" t="s">
        <v>2057</v>
      </c>
      <c r="BI243" s="365" t="s">
        <v>1080</v>
      </c>
      <c r="BJ243" s="365" t="s">
        <v>2058</v>
      </c>
      <c r="BK243" s="365" t="s">
        <v>1064</v>
      </c>
      <c r="BL243" s="365" t="s">
        <v>1064</v>
      </c>
      <c r="BM243" s="365" t="s">
        <v>1064</v>
      </c>
      <c r="BN243" s="365" t="s">
        <v>1064</v>
      </c>
      <c r="BO243" s="365" t="s">
        <v>1064</v>
      </c>
      <c r="BP243" s="365" t="s">
        <v>2059</v>
      </c>
      <c r="BQ243" s="413">
        <f t="shared" ref="BQ243:BW243" si="75">+BQ244+BQ245</f>
        <v>146.79999999999998</v>
      </c>
      <c r="BR243" s="413">
        <f t="shared" si="75"/>
        <v>0</v>
      </c>
      <c r="BS243" s="850">
        <f t="shared" si="75"/>
        <v>108.3</v>
      </c>
      <c r="BT243" s="850">
        <f t="shared" si="75"/>
        <v>1.8</v>
      </c>
      <c r="BU243" s="850">
        <f t="shared" si="75"/>
        <v>1.8</v>
      </c>
      <c r="BV243" s="850">
        <f t="shared" si="75"/>
        <v>0</v>
      </c>
      <c r="BW243" s="850">
        <f t="shared" si="75"/>
        <v>0</v>
      </c>
    </row>
    <row r="244" spans="1:75" s="300" customFormat="1">
      <c r="A244" s="325" t="s">
        <v>530</v>
      </c>
      <c r="D244" s="300" t="s">
        <v>3171</v>
      </c>
      <c r="E244" s="302" t="s">
        <v>1918</v>
      </c>
      <c r="BF244" s="365" t="s">
        <v>1064</v>
      </c>
      <c r="BG244" s="365" t="s">
        <v>1064</v>
      </c>
      <c r="BH244" s="365" t="s">
        <v>1064</v>
      </c>
      <c r="BI244" s="365" t="s">
        <v>1064</v>
      </c>
      <c r="BJ244" s="365" t="s">
        <v>1064</v>
      </c>
      <c r="BK244" s="365" t="s">
        <v>1064</v>
      </c>
      <c r="BL244" s="365" t="s">
        <v>1064</v>
      </c>
      <c r="BM244" s="365" t="s">
        <v>1064</v>
      </c>
      <c r="BN244" s="365" t="s">
        <v>1064</v>
      </c>
      <c r="BO244" s="365" t="s">
        <v>1064</v>
      </c>
      <c r="BP244" s="365" t="s">
        <v>1064</v>
      </c>
      <c r="BQ244" s="413">
        <f>(BR244+BS244+BT244)*(4/3)</f>
        <v>0</v>
      </c>
      <c r="BR244" s="413" t="s">
        <v>1064</v>
      </c>
      <c r="BS244" s="851">
        <f>+(BT244+BU244+BV244)*4/3</f>
        <v>0</v>
      </c>
      <c r="BT244" s="854">
        <f t="shared" si="73"/>
        <v>0</v>
      </c>
      <c r="BU244" s="300">
        <v>0</v>
      </c>
      <c r="BV244" s="300">
        <v>0</v>
      </c>
      <c r="BW244" s="300">
        <v>0</v>
      </c>
    </row>
    <row r="245" spans="1:75" s="300" customFormat="1">
      <c r="A245" s="325" t="s">
        <v>1827</v>
      </c>
      <c r="D245" s="300" t="s">
        <v>3171</v>
      </c>
      <c r="E245" s="302" t="s">
        <v>1918</v>
      </c>
      <c r="BF245" s="365" t="s">
        <v>2055</v>
      </c>
      <c r="BG245" s="365" t="s">
        <v>2056</v>
      </c>
      <c r="BH245" s="365" t="s">
        <v>2057</v>
      </c>
      <c r="BI245" s="365" t="s">
        <v>1080</v>
      </c>
      <c r="BJ245" s="365" t="s">
        <v>2058</v>
      </c>
      <c r="BK245" s="365" t="s">
        <v>1064</v>
      </c>
      <c r="BL245" s="365" t="s">
        <v>1064</v>
      </c>
      <c r="BM245" s="365" t="s">
        <v>1064</v>
      </c>
      <c r="BN245" s="365" t="s">
        <v>1064</v>
      </c>
      <c r="BO245" s="365" t="s">
        <v>1064</v>
      </c>
      <c r="BP245" s="365">
        <v>550</v>
      </c>
      <c r="BQ245" s="413">
        <f>(BR245+BS245+BT245)*(4/3)</f>
        <v>146.79999999999998</v>
      </c>
      <c r="BR245" s="413">
        <v>0</v>
      </c>
      <c r="BS245" s="851">
        <v>108.3</v>
      </c>
      <c r="BT245" s="854">
        <f t="shared" si="73"/>
        <v>1.8</v>
      </c>
      <c r="BU245" s="300">
        <v>1.8</v>
      </c>
      <c r="BV245" s="300">
        <v>0</v>
      </c>
      <c r="BW245" s="300">
        <v>0</v>
      </c>
    </row>
    <row r="246" spans="1:75" s="300" customFormat="1">
      <c r="A246" s="306" t="s">
        <v>529</v>
      </c>
      <c r="D246" s="300" t="s">
        <v>3171</v>
      </c>
      <c r="E246" s="302" t="s">
        <v>1918</v>
      </c>
      <c r="BF246" s="365" t="s">
        <v>2060</v>
      </c>
      <c r="BG246" s="365" t="s">
        <v>2061</v>
      </c>
      <c r="BH246" s="365" t="s">
        <v>2062</v>
      </c>
      <c r="BI246" s="365" t="s">
        <v>2063</v>
      </c>
      <c r="BJ246" s="365" t="s">
        <v>2064</v>
      </c>
      <c r="BK246" s="365" t="s">
        <v>2065</v>
      </c>
      <c r="BL246" s="365" t="s">
        <v>2066</v>
      </c>
      <c r="BM246" s="365" t="s">
        <v>2067</v>
      </c>
      <c r="BN246" s="365" t="s">
        <v>2068</v>
      </c>
      <c r="BO246" s="365" t="s">
        <v>2069</v>
      </c>
      <c r="BP246" s="365" t="s">
        <v>2070</v>
      </c>
      <c r="BQ246" s="413">
        <f t="shared" ref="BQ246:BW246" si="76">+BQ247+BQ248+BQ249</f>
        <v>-14.200000000000003</v>
      </c>
      <c r="BR246" s="413">
        <f t="shared" si="76"/>
        <v>-103.5</v>
      </c>
      <c r="BS246" s="850">
        <f t="shared" si="76"/>
        <v>496.7</v>
      </c>
      <c r="BT246" s="850">
        <f t="shared" si="76"/>
        <v>-79.800000000000011</v>
      </c>
      <c r="BU246" s="850">
        <f t="shared" si="76"/>
        <v>43.8</v>
      </c>
      <c r="BV246" s="850">
        <f t="shared" si="76"/>
        <v>-105.2</v>
      </c>
      <c r="BW246" s="850">
        <f t="shared" si="76"/>
        <v>-9.2000000000000028</v>
      </c>
    </row>
    <row r="247" spans="1:75" s="300" customFormat="1">
      <c r="A247" s="325" t="s">
        <v>528</v>
      </c>
      <c r="D247" s="300" t="s">
        <v>3171</v>
      </c>
      <c r="E247" s="302" t="s">
        <v>1918</v>
      </c>
      <c r="BF247" s="365" t="s">
        <v>2071</v>
      </c>
      <c r="BG247" s="365" t="s">
        <v>2072</v>
      </c>
      <c r="BH247" s="365" t="s">
        <v>2073</v>
      </c>
      <c r="BI247" s="365" t="s">
        <v>2074</v>
      </c>
      <c r="BJ247" s="365" t="s">
        <v>2075</v>
      </c>
      <c r="BK247" s="365" t="s">
        <v>2076</v>
      </c>
      <c r="BL247" s="365" t="s">
        <v>2077</v>
      </c>
      <c r="BM247" s="365" t="s">
        <v>2078</v>
      </c>
      <c r="BN247" s="365" t="s">
        <v>2079</v>
      </c>
      <c r="BO247" s="365" t="s">
        <v>2080</v>
      </c>
      <c r="BP247" s="365" t="s">
        <v>2081</v>
      </c>
      <c r="BQ247" s="413">
        <v>89</v>
      </c>
      <c r="BR247" s="413">
        <v>-31.3</v>
      </c>
      <c r="BS247" s="851">
        <v>31.8</v>
      </c>
      <c r="BT247" s="854">
        <f t="shared" si="73"/>
        <v>-0.4</v>
      </c>
      <c r="BU247" s="300">
        <v>-0.2</v>
      </c>
      <c r="BV247" s="300">
        <v>-0.2</v>
      </c>
      <c r="BW247" s="300">
        <v>0</v>
      </c>
    </row>
    <row r="248" spans="1:75" s="300" customFormat="1">
      <c r="A248" s="325" t="s">
        <v>1924</v>
      </c>
      <c r="D248" s="300" t="s">
        <v>3171</v>
      </c>
      <c r="E248" s="302" t="s">
        <v>1918</v>
      </c>
      <c r="BF248" s="365" t="s">
        <v>2082</v>
      </c>
      <c r="BG248" s="365" t="s">
        <v>2083</v>
      </c>
      <c r="BH248" s="365" t="s">
        <v>2084</v>
      </c>
      <c r="BI248" s="365" t="s">
        <v>2085</v>
      </c>
      <c r="BJ248" s="365" t="s">
        <v>2086</v>
      </c>
      <c r="BK248" s="365" t="s">
        <v>2087</v>
      </c>
      <c r="BL248" s="365" t="s">
        <v>2088</v>
      </c>
      <c r="BM248" s="365" t="s">
        <v>2089</v>
      </c>
      <c r="BN248" s="365" t="s">
        <v>2090</v>
      </c>
      <c r="BO248" s="365" t="s">
        <v>2091</v>
      </c>
      <c r="BP248" s="365" t="s">
        <v>2092</v>
      </c>
      <c r="BQ248" s="413">
        <v>-55.7</v>
      </c>
      <c r="BR248" s="413">
        <v>-15.9</v>
      </c>
      <c r="BS248" s="853">
        <v>379.9</v>
      </c>
      <c r="BT248" s="854">
        <f t="shared" si="73"/>
        <v>-74</v>
      </c>
      <c r="BU248" s="300">
        <v>98</v>
      </c>
      <c r="BV248" s="300">
        <v>-70</v>
      </c>
      <c r="BW248" s="300">
        <v>-51</v>
      </c>
    </row>
    <row r="249" spans="1:75" s="300" customFormat="1">
      <c r="A249" s="325" t="s">
        <v>527</v>
      </c>
      <c r="D249" s="300" t="s">
        <v>3171</v>
      </c>
      <c r="E249" s="302" t="s">
        <v>1918</v>
      </c>
      <c r="BF249" s="365" t="s">
        <v>2093</v>
      </c>
      <c r="BG249" s="365" t="s">
        <v>2094</v>
      </c>
      <c r="BH249" s="365" t="s">
        <v>2095</v>
      </c>
      <c r="BI249" s="365" t="s">
        <v>2096</v>
      </c>
      <c r="BJ249" s="365" t="s">
        <v>2097</v>
      </c>
      <c r="BK249" s="365" t="s">
        <v>2098</v>
      </c>
      <c r="BL249" s="365" t="s">
        <v>2099</v>
      </c>
      <c r="BM249" s="365" t="s">
        <v>2100</v>
      </c>
      <c r="BN249" s="365" t="s">
        <v>2101</v>
      </c>
      <c r="BO249" s="365" t="s">
        <v>2102</v>
      </c>
      <c r="BP249" s="365">
        <v>-144.5</v>
      </c>
      <c r="BQ249" s="413">
        <v>-47.5</v>
      </c>
      <c r="BR249" s="413">
        <v>-56.3</v>
      </c>
      <c r="BS249" s="851">
        <v>85</v>
      </c>
      <c r="BT249" s="854">
        <f t="shared" si="73"/>
        <v>-5.4000000000000057</v>
      </c>
      <c r="BU249" s="300">
        <v>-54</v>
      </c>
      <c r="BV249" s="300">
        <v>-35</v>
      </c>
      <c r="BW249" s="300">
        <v>41.8</v>
      </c>
    </row>
    <row r="250" spans="1:75" s="300" customFormat="1">
      <c r="A250" s="306" t="s">
        <v>1927</v>
      </c>
      <c r="D250" s="300" t="s">
        <v>3171</v>
      </c>
      <c r="E250" s="302" t="s">
        <v>1918</v>
      </c>
      <c r="BF250" s="365" t="s">
        <v>2103</v>
      </c>
      <c r="BG250" s="365" t="s">
        <v>2104</v>
      </c>
      <c r="BH250" s="365" t="s">
        <v>2105</v>
      </c>
      <c r="BI250" s="365" t="s">
        <v>2106</v>
      </c>
      <c r="BJ250" s="365" t="s">
        <v>1109</v>
      </c>
      <c r="BK250" s="365" t="s">
        <v>1110</v>
      </c>
      <c r="BL250" s="365" t="s">
        <v>1111</v>
      </c>
      <c r="BM250" s="365" t="s">
        <v>1112</v>
      </c>
      <c r="BN250" s="365" t="s">
        <v>1113</v>
      </c>
      <c r="BO250" s="365" t="s">
        <v>1114</v>
      </c>
      <c r="BP250" s="365" t="s">
        <v>1115</v>
      </c>
      <c r="BQ250" s="413">
        <f t="shared" ref="BQ250:BW250" si="77">+BQ251+BQ252+BQ253+BQ254</f>
        <v>55.199999999999989</v>
      </c>
      <c r="BR250" s="413">
        <f t="shared" si="77"/>
        <v>341</v>
      </c>
      <c r="BS250" s="848">
        <f t="shared" si="77"/>
        <v>179.8</v>
      </c>
      <c r="BT250" s="848">
        <f t="shared" si="77"/>
        <v>-122.2</v>
      </c>
      <c r="BU250" s="848">
        <f t="shared" si="77"/>
        <v>-33.299999999999997</v>
      </c>
      <c r="BV250" s="848">
        <f t="shared" si="77"/>
        <v>-6.3000000000000007</v>
      </c>
      <c r="BW250" s="848">
        <f t="shared" si="77"/>
        <v>-41.3</v>
      </c>
    </row>
    <row r="251" spans="1:75" s="300" customFormat="1">
      <c r="A251" s="325" t="s">
        <v>1926</v>
      </c>
      <c r="D251" s="300" t="s">
        <v>3171</v>
      </c>
      <c r="E251" s="302" t="s">
        <v>1918</v>
      </c>
      <c r="BF251" s="365" t="s">
        <v>1063</v>
      </c>
      <c r="BG251" s="365" t="s">
        <v>2055</v>
      </c>
      <c r="BH251" s="365" t="s">
        <v>1059</v>
      </c>
      <c r="BI251" s="365" t="s">
        <v>1116</v>
      </c>
      <c r="BJ251" s="365" t="s">
        <v>1117</v>
      </c>
      <c r="BK251" s="365" t="s">
        <v>1118</v>
      </c>
      <c r="BL251" s="365" t="s">
        <v>1119</v>
      </c>
      <c r="BM251" s="365" t="s">
        <v>1064</v>
      </c>
      <c r="BN251" s="365" t="s">
        <v>1064</v>
      </c>
      <c r="BO251" s="365" t="s">
        <v>1120</v>
      </c>
      <c r="BP251" s="365" t="s">
        <v>1121</v>
      </c>
      <c r="BQ251" s="413">
        <v>0.2</v>
      </c>
      <c r="BR251" s="413">
        <v>-7.7</v>
      </c>
      <c r="BS251" s="851">
        <v>-17.2</v>
      </c>
      <c r="BT251" s="854">
        <f t="shared" si="73"/>
        <v>-41</v>
      </c>
      <c r="BU251" s="300">
        <v>-10</v>
      </c>
      <c r="BV251" s="300">
        <v>-11</v>
      </c>
      <c r="BW251" s="300">
        <v>-10</v>
      </c>
    </row>
    <row r="252" spans="1:75" s="300" customFormat="1">
      <c r="A252" s="325" t="s">
        <v>1925</v>
      </c>
      <c r="D252" s="300" t="s">
        <v>3171</v>
      </c>
      <c r="E252" s="302" t="s">
        <v>1918</v>
      </c>
      <c r="BF252" s="365" t="s">
        <v>1122</v>
      </c>
      <c r="BG252" s="365" t="s">
        <v>976</v>
      </c>
      <c r="BH252" s="365" t="s">
        <v>1123</v>
      </c>
      <c r="BI252" s="365" t="s">
        <v>1124</v>
      </c>
      <c r="BJ252" s="365" t="s">
        <v>1125</v>
      </c>
      <c r="BK252" s="365" t="s">
        <v>1126</v>
      </c>
      <c r="BL252" s="365" t="s">
        <v>1127</v>
      </c>
      <c r="BM252" s="365" t="s">
        <v>1128</v>
      </c>
      <c r="BN252" s="365" t="s">
        <v>1129</v>
      </c>
      <c r="BO252" s="365" t="s">
        <v>1130</v>
      </c>
      <c r="BP252" s="365">
        <v>110.7</v>
      </c>
      <c r="BQ252" s="413">
        <v>133.6</v>
      </c>
      <c r="BR252" s="413">
        <v>46.4</v>
      </c>
      <c r="BS252" s="853">
        <v>151.9</v>
      </c>
      <c r="BT252" s="854">
        <f t="shared" si="73"/>
        <v>55.399999999999991</v>
      </c>
      <c r="BU252" s="300">
        <v>24.4</v>
      </c>
      <c r="BV252" s="300">
        <v>16.2</v>
      </c>
      <c r="BW252" s="300">
        <v>7.4</v>
      </c>
    </row>
    <row r="253" spans="1:75" s="300" customFormat="1">
      <c r="A253" s="325" t="s">
        <v>1924</v>
      </c>
      <c r="D253" s="300" t="s">
        <v>3171</v>
      </c>
      <c r="E253" s="302" t="s">
        <v>1918</v>
      </c>
      <c r="BF253" s="365" t="s">
        <v>999</v>
      </c>
      <c r="BG253" s="365" t="s">
        <v>1131</v>
      </c>
      <c r="BH253" s="365" t="s">
        <v>1085</v>
      </c>
      <c r="BI253" s="365" t="s">
        <v>1132</v>
      </c>
      <c r="BJ253" s="365" t="s">
        <v>1133</v>
      </c>
      <c r="BK253" s="365" t="s">
        <v>1134</v>
      </c>
      <c r="BL253" s="365" t="s">
        <v>1135</v>
      </c>
      <c r="BM253" s="365" t="s">
        <v>1136</v>
      </c>
      <c r="BN253" s="365" t="s">
        <v>1137</v>
      </c>
      <c r="BO253" s="365" t="s">
        <v>1117</v>
      </c>
      <c r="BP253" s="365">
        <v>-0.1</v>
      </c>
      <c r="BQ253" s="413">
        <v>6.9</v>
      </c>
      <c r="BR253" s="413">
        <v>-4.7</v>
      </c>
      <c r="BS253" s="851">
        <v>12.9</v>
      </c>
      <c r="BT253" s="854">
        <f t="shared" si="73"/>
        <v>-3.5999999999999992</v>
      </c>
      <c r="BU253" s="95">
        <v>-10.7</v>
      </c>
      <c r="BV253" s="95">
        <v>4.5</v>
      </c>
      <c r="BW253" s="300">
        <v>1.3</v>
      </c>
    </row>
    <row r="254" spans="1:75" s="300" customFormat="1">
      <c r="A254" s="325" t="s">
        <v>1923</v>
      </c>
      <c r="D254" s="300" t="s">
        <v>3171</v>
      </c>
      <c r="E254" s="302" t="s">
        <v>1918</v>
      </c>
      <c r="BF254" s="365" t="s">
        <v>1068</v>
      </c>
      <c r="BG254" s="365" t="s">
        <v>1138</v>
      </c>
      <c r="BH254" s="365" t="s">
        <v>1139</v>
      </c>
      <c r="BI254" s="365" t="s">
        <v>1140</v>
      </c>
      <c r="BJ254" s="365" t="s">
        <v>1141</v>
      </c>
      <c r="BK254" s="365" t="s">
        <v>1142</v>
      </c>
      <c r="BL254" s="365" t="s">
        <v>1143</v>
      </c>
      <c r="BM254" s="365" t="s">
        <v>1136</v>
      </c>
      <c r="BN254" s="365" t="s">
        <v>1144</v>
      </c>
      <c r="BO254" s="365" t="s">
        <v>1145</v>
      </c>
      <c r="BP254" s="365">
        <v>-296.2</v>
      </c>
      <c r="BQ254" s="413">
        <v>-85.5</v>
      </c>
      <c r="BR254" s="413">
        <v>307</v>
      </c>
      <c r="BS254" s="851">
        <v>32.200000000000003</v>
      </c>
      <c r="BT254" s="854">
        <f t="shared" si="73"/>
        <v>-133</v>
      </c>
      <c r="BU254" s="300">
        <v>-37</v>
      </c>
      <c r="BV254" s="300">
        <v>-16</v>
      </c>
      <c r="BW254" s="300">
        <v>-40</v>
      </c>
    </row>
    <row r="255" spans="1:75" s="300" customFormat="1">
      <c r="BF255" s="367"/>
      <c r="BG255" s="367"/>
      <c r="BH255" s="367"/>
      <c r="BI255" s="367"/>
      <c r="BJ255" s="367"/>
      <c r="BK255" s="367"/>
      <c r="BL255" s="367"/>
      <c r="BM255" s="367"/>
      <c r="BN255" s="367"/>
      <c r="BO255" s="367"/>
      <c r="BP255" s="367"/>
      <c r="BS255" s="522"/>
      <c r="BT255" s="522"/>
    </row>
    <row r="256" spans="1:75" s="304" customFormat="1">
      <c r="A256" s="304" t="s">
        <v>1922</v>
      </c>
      <c r="D256" s="304" t="s">
        <v>3171</v>
      </c>
      <c r="E256" s="302" t="s">
        <v>1918</v>
      </c>
      <c r="BF256" s="364" t="s">
        <v>1146</v>
      </c>
      <c r="BG256" s="364" t="s">
        <v>1147</v>
      </c>
      <c r="BH256" s="364" t="s">
        <v>1148</v>
      </c>
      <c r="BI256" s="364" t="s">
        <v>1149</v>
      </c>
      <c r="BJ256" s="364" t="s">
        <v>1150</v>
      </c>
      <c r="BK256" s="364" t="s">
        <v>1151</v>
      </c>
      <c r="BL256" s="364" t="s">
        <v>1152</v>
      </c>
      <c r="BM256" s="364" t="s">
        <v>1153</v>
      </c>
      <c r="BN256" s="364" t="s">
        <v>1154</v>
      </c>
      <c r="BO256" s="364" t="s">
        <v>1155</v>
      </c>
      <c r="BP256" s="364" t="s">
        <v>1156</v>
      </c>
      <c r="BQ256" s="721">
        <f t="shared" ref="BQ256:BW256" si="78">+BQ212+BQ230+BQ236</f>
        <v>253.1666666666666</v>
      </c>
      <c r="BR256" s="721">
        <f t="shared" si="78"/>
        <v>179.90000000000003</v>
      </c>
      <c r="BS256" s="847">
        <f t="shared" si="78"/>
        <v>359.9000000000002</v>
      </c>
      <c r="BT256" s="847">
        <f t="shared" si="78"/>
        <v>-52.300000000000011</v>
      </c>
      <c r="BU256" s="847">
        <f t="shared" si="78"/>
        <v>-6.4000000000000057</v>
      </c>
      <c r="BV256" s="847">
        <f t="shared" si="78"/>
        <v>-70.900000000000006</v>
      </c>
      <c r="BW256" s="847">
        <f t="shared" si="78"/>
        <v>12.5</v>
      </c>
    </row>
    <row r="257" spans="1:75" s="304" customFormat="1">
      <c r="BS257" s="536"/>
      <c r="BT257" s="522"/>
      <c r="BU257" s="300"/>
      <c r="BV257" s="300"/>
    </row>
    <row r="258" spans="1:75" s="304" customFormat="1">
      <c r="A258" s="304" t="s">
        <v>1921</v>
      </c>
      <c r="D258" s="304" t="s">
        <v>3171</v>
      </c>
      <c r="E258" s="302" t="s">
        <v>1918</v>
      </c>
      <c r="BF258" s="364">
        <v>79.5</v>
      </c>
      <c r="BG258" s="364">
        <v>179.8</v>
      </c>
      <c r="BH258" s="364">
        <v>-100</v>
      </c>
      <c r="BI258" s="364">
        <v>-18.899999999999999</v>
      </c>
      <c r="BJ258" s="364">
        <v>-168.1</v>
      </c>
      <c r="BK258" s="364">
        <v>-253.7</v>
      </c>
      <c r="BL258" s="364">
        <v>-462.4</v>
      </c>
      <c r="BM258" s="364">
        <v>-381.2</v>
      </c>
      <c r="BN258" s="364">
        <v>-422.9</v>
      </c>
      <c r="BO258" s="364">
        <v>-196</v>
      </c>
      <c r="BP258" s="364">
        <v>-117.5</v>
      </c>
      <c r="BQ258" s="721">
        <f t="shared" ref="BQ258:BT258" si="79">-BQ256-BQ260</f>
        <v>-231.46666666666661</v>
      </c>
      <c r="BR258" s="721">
        <f t="shared" si="79"/>
        <v>-32.000000000000028</v>
      </c>
      <c r="BS258" s="721">
        <f t="shared" si="79"/>
        <v>-315.10000000000019</v>
      </c>
      <c r="BT258" s="721">
        <f t="shared" si="79"/>
        <v>-46.699999999999989</v>
      </c>
      <c r="BU258" s="300"/>
      <c r="BV258" s="300"/>
    </row>
    <row r="259" spans="1:75" s="304" customFormat="1">
      <c r="BF259" s="367"/>
      <c r="BG259" s="367"/>
      <c r="BH259" s="367"/>
      <c r="BI259" s="367"/>
      <c r="BJ259" s="367"/>
      <c r="BK259" s="367"/>
      <c r="BL259" s="367"/>
      <c r="BM259" s="367"/>
      <c r="BN259" s="367"/>
      <c r="BO259" s="367"/>
      <c r="BS259" s="536"/>
      <c r="BT259" s="522"/>
      <c r="BU259" s="300"/>
      <c r="BV259" s="300"/>
    </row>
    <row r="260" spans="1:75" s="304" customFormat="1">
      <c r="A260" s="304" t="s">
        <v>1920</v>
      </c>
      <c r="D260" s="304" t="s">
        <v>3171</v>
      </c>
      <c r="E260" s="302" t="s">
        <v>1918</v>
      </c>
      <c r="BF260" s="364" t="s">
        <v>944</v>
      </c>
      <c r="BG260" s="364" t="s">
        <v>945</v>
      </c>
      <c r="BH260" s="364" t="s">
        <v>946</v>
      </c>
      <c r="BI260" s="364" t="s">
        <v>947</v>
      </c>
      <c r="BJ260" s="364" t="s">
        <v>948</v>
      </c>
      <c r="BK260" s="364" t="s">
        <v>2338</v>
      </c>
      <c r="BL260" s="364" t="s">
        <v>2339</v>
      </c>
      <c r="BM260" s="364" t="s">
        <v>2340</v>
      </c>
      <c r="BN260" s="364" t="s">
        <v>2341</v>
      </c>
      <c r="BO260" s="364" t="s">
        <v>2342</v>
      </c>
      <c r="BP260" s="364" t="s">
        <v>2343</v>
      </c>
      <c r="BQ260" s="721">
        <f t="shared" ref="BQ260:BT260" si="80">+BQ261</f>
        <v>-21.7</v>
      </c>
      <c r="BR260" s="721">
        <f t="shared" si="80"/>
        <v>-147.9</v>
      </c>
      <c r="BS260" s="847">
        <f t="shared" si="80"/>
        <v>-44.8</v>
      </c>
      <c r="BT260" s="847">
        <f t="shared" si="80"/>
        <v>99</v>
      </c>
      <c r="BU260" s="300"/>
      <c r="BV260" s="300"/>
    </row>
    <row r="261" spans="1:75" s="300" customFormat="1">
      <c r="A261" s="306" t="s">
        <v>1919</v>
      </c>
      <c r="D261" s="300" t="s">
        <v>3171</v>
      </c>
      <c r="E261" s="302" t="s">
        <v>1918</v>
      </c>
      <c r="BF261" s="365" t="s">
        <v>944</v>
      </c>
      <c r="BG261" s="365" t="s">
        <v>945</v>
      </c>
      <c r="BH261" s="365" t="s">
        <v>946</v>
      </c>
      <c r="BI261" s="365" t="s">
        <v>947</v>
      </c>
      <c r="BJ261" s="365" t="s">
        <v>948</v>
      </c>
      <c r="BK261" s="365" t="s">
        <v>2338</v>
      </c>
      <c r="BL261" s="365" t="s">
        <v>2339</v>
      </c>
      <c r="BM261" s="365" t="s">
        <v>2340</v>
      </c>
      <c r="BN261" s="365" t="s">
        <v>2341</v>
      </c>
      <c r="BO261" s="365" t="s">
        <v>2342</v>
      </c>
      <c r="BP261" s="365" t="s">
        <v>2343</v>
      </c>
      <c r="BQ261" s="413">
        <v>-21.7</v>
      </c>
      <c r="BR261" s="413">
        <v>-147.9</v>
      </c>
      <c r="BS261" s="851">
        <v>-44.8</v>
      </c>
      <c r="BT261" s="854">
        <f t="shared" ref="BT261:BT263" si="81">+BU261+BV261+2*BW261</f>
        <v>99</v>
      </c>
      <c r="BU261" s="300">
        <v>85.5</v>
      </c>
      <c r="BV261" s="300">
        <v>33.5</v>
      </c>
      <c r="BW261" s="300">
        <v>-10</v>
      </c>
    </row>
    <row r="262" spans="1:75" s="300" customFormat="1">
      <c r="A262" s="357" t="s">
        <v>3131</v>
      </c>
      <c r="E262" s="302"/>
      <c r="BF262" s="364"/>
      <c r="BG262" s="364"/>
      <c r="BH262" s="364"/>
      <c r="BI262" s="364"/>
      <c r="BJ262" s="364"/>
      <c r="BK262" s="364"/>
      <c r="BL262" s="364"/>
      <c r="BM262" s="364"/>
      <c r="BN262" s="364"/>
      <c r="BO262" s="364"/>
      <c r="BP262" s="364"/>
      <c r="BQ262" s="721"/>
      <c r="BR262" s="721"/>
      <c r="BS262" s="847"/>
      <c r="BT262" s="522"/>
    </row>
    <row r="263" spans="1:75" s="300" customFormat="1">
      <c r="A263" s="358" t="s">
        <v>3128</v>
      </c>
      <c r="E263" s="302"/>
      <c r="BF263" s="365" t="s">
        <v>2344</v>
      </c>
      <c r="BG263" s="365" t="s">
        <v>2345</v>
      </c>
      <c r="BH263" s="365" t="s">
        <v>2346</v>
      </c>
      <c r="BI263" s="365" t="s">
        <v>2347</v>
      </c>
      <c r="BJ263" s="365" t="s">
        <v>2348</v>
      </c>
      <c r="BK263" s="365" t="s">
        <v>2349</v>
      </c>
      <c r="BL263" s="365" t="s">
        <v>2086</v>
      </c>
      <c r="BM263" s="365" t="s">
        <v>2350</v>
      </c>
      <c r="BN263" s="365" t="s">
        <v>2351</v>
      </c>
      <c r="BO263" s="365" t="s">
        <v>2352</v>
      </c>
      <c r="BP263" s="365" t="s">
        <v>2353</v>
      </c>
      <c r="BQ263" s="413">
        <v>-21.7</v>
      </c>
      <c r="BR263" s="413">
        <v>-8.4</v>
      </c>
      <c r="BS263" s="851">
        <v>-22</v>
      </c>
      <c r="BT263" s="854">
        <f t="shared" si="81"/>
        <v>-25</v>
      </c>
      <c r="BU263" s="300">
        <v>7.6</v>
      </c>
      <c r="BV263" s="300">
        <v>-6.6</v>
      </c>
      <c r="BW263" s="300">
        <v>-13</v>
      </c>
    </row>
    <row r="264" spans="1:75" s="300" customFormat="1">
      <c r="A264" s="359"/>
      <c r="E264" s="302"/>
      <c r="BS264" s="522"/>
      <c r="BT264" s="522"/>
    </row>
    <row r="265" spans="1:75" s="300" customFormat="1">
      <c r="A265" s="360" t="s">
        <v>3129</v>
      </c>
      <c r="E265" s="302"/>
      <c r="BS265" s="522"/>
      <c r="BT265" s="522"/>
    </row>
    <row r="266" spans="1:75" s="300" customFormat="1">
      <c r="A266" s="361" t="s">
        <v>3121</v>
      </c>
      <c r="E266" s="302"/>
      <c r="BS266" s="522"/>
      <c r="BT266" s="522"/>
    </row>
    <row r="267" spans="1:75" s="300" customFormat="1">
      <c r="A267" s="362" t="s">
        <v>3130</v>
      </c>
      <c r="E267" s="302"/>
      <c r="BS267" s="522"/>
      <c r="BT267" s="522"/>
    </row>
    <row r="268" spans="1:75" s="300" customFormat="1">
      <c r="A268" s="362" t="s">
        <v>3122</v>
      </c>
      <c r="E268" s="302"/>
      <c r="BS268" s="522"/>
      <c r="BT268" s="522"/>
    </row>
    <row r="269" spans="1:75" s="300" customFormat="1">
      <c r="A269" s="362" t="s">
        <v>3123</v>
      </c>
      <c r="E269" s="302"/>
      <c r="BS269" s="522"/>
      <c r="BT269" s="522"/>
    </row>
    <row r="270" spans="1:75" s="300" customFormat="1">
      <c r="A270" s="362" t="s">
        <v>3124</v>
      </c>
      <c r="E270" s="302"/>
      <c r="BS270" s="522"/>
      <c r="BT270" s="522"/>
    </row>
    <row r="271" spans="1:75" s="300" customFormat="1">
      <c r="A271" s="362" t="s">
        <v>3125</v>
      </c>
      <c r="E271" s="302"/>
      <c r="BS271" s="522"/>
      <c r="BT271" s="522"/>
    </row>
    <row r="272" spans="1:75" s="300" customFormat="1">
      <c r="A272" s="362" t="s">
        <v>3126</v>
      </c>
      <c r="E272" s="302"/>
    </row>
    <row r="273" spans="1:63" s="300" customFormat="1">
      <c r="A273" s="362" t="s">
        <v>3127</v>
      </c>
      <c r="E273" s="302"/>
    </row>
    <row r="274" spans="1:63" s="300" customFormat="1">
      <c r="A274" s="306"/>
      <c r="E274" s="302"/>
    </row>
    <row r="275" spans="1:63" s="309" customFormat="1">
      <c r="A275" s="309" t="s">
        <v>830</v>
      </c>
    </row>
    <row r="276" spans="1:63" s="300" customFormat="1">
      <c r="A276" s="304" t="s">
        <v>831</v>
      </c>
    </row>
    <row r="277" spans="1:63" s="300" customFormat="1">
      <c r="A277" s="300" t="s">
        <v>2497</v>
      </c>
      <c r="D277" s="300" t="s">
        <v>176</v>
      </c>
      <c r="E277" s="300" t="s">
        <v>2498</v>
      </c>
      <c r="I277" s="300">
        <v>3377</v>
      </c>
      <c r="J277" s="300">
        <v>2865</v>
      </c>
      <c r="K277" s="300">
        <v>3393</v>
      </c>
      <c r="L277" s="300">
        <v>3635</v>
      </c>
      <c r="M277" s="300">
        <v>3405</v>
      </c>
      <c r="N277" s="300">
        <v>3254</v>
      </c>
      <c r="O277" s="300">
        <v>3483</v>
      </c>
      <c r="P277" s="300">
        <v>3985</v>
      </c>
      <c r="Q277" s="300">
        <v>4369</v>
      </c>
      <c r="R277" s="300">
        <v>4585</v>
      </c>
      <c r="S277" s="300">
        <v>3806</v>
      </c>
      <c r="T277" s="300">
        <v>3786</v>
      </c>
      <c r="U277" s="300">
        <v>3677.8</v>
      </c>
      <c r="V277" s="300">
        <v>3419.5</v>
      </c>
      <c r="W277" s="300">
        <v>3596.7</v>
      </c>
      <c r="X277" s="300">
        <v>3476.4</v>
      </c>
      <c r="Y277" s="300">
        <v>3665.7</v>
      </c>
      <c r="Z277" s="300">
        <v>3973.8</v>
      </c>
      <c r="AA277" s="300">
        <v>2302.1999999999998</v>
      </c>
      <c r="AB277" s="300">
        <v>1989</v>
      </c>
      <c r="AC277" s="300">
        <v>2172</v>
      </c>
      <c r="AD277" s="300">
        <v>2241</v>
      </c>
      <c r="AE277" s="300">
        <v>1737</v>
      </c>
      <c r="AF277" s="300">
        <v>1703.8</v>
      </c>
      <c r="AG277" s="300">
        <v>1219.9000000000001</v>
      </c>
      <c r="AH277" s="300">
        <v>479.1</v>
      </c>
      <c r="AI277" s="300">
        <v>432.6</v>
      </c>
      <c r="AJ277" s="300">
        <v>956.8</v>
      </c>
      <c r="AK277" s="300">
        <v>992.1</v>
      </c>
      <c r="AL277" s="300">
        <v>874.1</v>
      </c>
      <c r="AM277" s="300">
        <v>340.9</v>
      </c>
      <c r="AN277" s="300">
        <v>7.5</v>
      </c>
    </row>
    <row r="278" spans="1:63" s="300" customFormat="1">
      <c r="A278" s="300" t="s">
        <v>2496</v>
      </c>
      <c r="D278" s="300" t="s">
        <v>176</v>
      </c>
      <c r="E278" s="300" t="s">
        <v>2498</v>
      </c>
      <c r="Q278" s="300">
        <v>59.4</v>
      </c>
      <c r="R278" s="300">
        <v>347</v>
      </c>
      <c r="S278" s="300">
        <v>684.1</v>
      </c>
      <c r="T278" s="300">
        <v>702.2</v>
      </c>
      <c r="U278" s="300">
        <v>856.5</v>
      </c>
      <c r="V278" s="300">
        <v>893.4</v>
      </c>
      <c r="W278" s="300">
        <v>1148.7</v>
      </c>
      <c r="X278" s="300">
        <v>1279.0999999999999</v>
      </c>
      <c r="Y278" s="300">
        <v>1208.5999999999999</v>
      </c>
      <c r="Z278" s="300">
        <v>1077.2</v>
      </c>
      <c r="AA278" s="300">
        <v>1086.9000000000001</v>
      </c>
      <c r="AB278" s="300">
        <v>1070.5</v>
      </c>
      <c r="AC278" s="300">
        <v>1059.4000000000001</v>
      </c>
      <c r="AD278" s="300">
        <v>1124.5</v>
      </c>
      <c r="AE278" s="300">
        <v>1184.5</v>
      </c>
      <c r="AF278" s="300">
        <v>1328.9</v>
      </c>
      <c r="AG278" s="300">
        <v>1165.5999999999999</v>
      </c>
      <c r="AH278" s="300">
        <v>1054.7</v>
      </c>
      <c r="AI278" s="300">
        <v>1143.3</v>
      </c>
      <c r="AJ278" s="300">
        <v>1096.5</v>
      </c>
      <c r="AK278" s="300">
        <v>1265.2</v>
      </c>
      <c r="AL278" s="300">
        <v>1342.6</v>
      </c>
      <c r="AM278" s="300">
        <v>1342.1</v>
      </c>
      <c r="AN278" s="300">
        <v>1630</v>
      </c>
      <c r="AO278" s="300">
        <v>1553.4</v>
      </c>
      <c r="AP278" s="300">
        <v>1473.1</v>
      </c>
      <c r="AQ278" s="300">
        <v>1449.1</v>
      </c>
      <c r="AR278" s="300">
        <v>1513.6</v>
      </c>
      <c r="AS278" s="300">
        <v>1426.1</v>
      </c>
      <c r="AT278" s="300">
        <v>1384.9</v>
      </c>
      <c r="AU278" s="300">
        <v>1586.3</v>
      </c>
      <c r="AV278" s="300">
        <v>1607.6</v>
      </c>
      <c r="AW278" s="300">
        <v>1647.3</v>
      </c>
      <c r="AX278" s="300">
        <v>1732.9</v>
      </c>
      <c r="AY278" s="300">
        <v>1857.7</v>
      </c>
      <c r="AZ278" s="300">
        <v>1869.3</v>
      </c>
      <c r="BA278" s="300">
        <v>1909.3</v>
      </c>
      <c r="BB278" s="300">
        <v>1886.3</v>
      </c>
      <c r="BC278" s="300">
        <v>2041.4</v>
      </c>
      <c r="BD278" s="300">
        <v>2025.3</v>
      </c>
      <c r="BE278" s="300">
        <v>1946.4</v>
      </c>
      <c r="BF278" s="300">
        <v>2127.1999999999998</v>
      </c>
      <c r="BG278" s="300">
        <v>2161.8000000000002</v>
      </c>
      <c r="BH278" s="300">
        <v>2154</v>
      </c>
      <c r="BI278" s="300">
        <v>1536.1</v>
      </c>
      <c r="BJ278" s="300">
        <v>1505.9</v>
      </c>
      <c r="BK278" s="300">
        <v>1411.4</v>
      </c>
    </row>
    <row r="279" spans="1:63" s="300" customFormat="1">
      <c r="A279" s="300" t="s">
        <v>2495</v>
      </c>
      <c r="D279" s="300" t="s">
        <v>176</v>
      </c>
      <c r="E279" s="300" t="s">
        <v>2498</v>
      </c>
      <c r="Q279" s="300">
        <v>1.3</v>
      </c>
      <c r="R279" s="300">
        <v>25.5</v>
      </c>
      <c r="S279" s="300">
        <v>30.5</v>
      </c>
      <c r="T279" s="300">
        <v>43.2</v>
      </c>
      <c r="U279" s="300">
        <v>53.1</v>
      </c>
      <c r="V279" s="300">
        <v>52.8</v>
      </c>
      <c r="W279" s="300">
        <v>47.4</v>
      </c>
      <c r="X279" s="300">
        <v>52.6</v>
      </c>
      <c r="Y279" s="300">
        <v>54.2</v>
      </c>
      <c r="Z279" s="300">
        <v>54.1</v>
      </c>
      <c r="AA279" s="300">
        <v>26.4</v>
      </c>
      <c r="AB279" s="300">
        <v>46.3</v>
      </c>
      <c r="AC279" s="300">
        <v>57.7</v>
      </c>
      <c r="AD279" s="300">
        <v>55</v>
      </c>
      <c r="AE279" s="300">
        <v>63.5</v>
      </c>
      <c r="AF279" s="300">
        <v>45.6</v>
      </c>
      <c r="AG279" s="300">
        <v>31.7</v>
      </c>
      <c r="AH279" s="300">
        <v>60.5</v>
      </c>
      <c r="AI279" s="300">
        <v>28.9</v>
      </c>
      <c r="AJ279" s="300">
        <v>29.4</v>
      </c>
      <c r="AK279" s="300">
        <v>28.4</v>
      </c>
      <c r="AL279" s="300">
        <v>29.5</v>
      </c>
      <c r="AM279" s="300">
        <v>3.2</v>
      </c>
      <c r="AN279" s="300">
        <v>7.6</v>
      </c>
      <c r="AO279" s="300">
        <v>26.1</v>
      </c>
      <c r="AP279" s="300">
        <v>31.9</v>
      </c>
      <c r="AQ279" s="300">
        <v>26.3</v>
      </c>
      <c r="AR279" s="300">
        <v>34.5</v>
      </c>
      <c r="AS279" s="300">
        <v>28.7</v>
      </c>
      <c r="AT279" s="300">
        <v>25.2</v>
      </c>
      <c r="AU279" s="300">
        <v>26.3</v>
      </c>
      <c r="AV279" s="300">
        <v>26.6</v>
      </c>
      <c r="AW279" s="300">
        <v>27.5</v>
      </c>
      <c r="AX279" s="300">
        <v>26.8</v>
      </c>
      <c r="AY279" s="300">
        <v>6.6</v>
      </c>
    </row>
    <row r="280" spans="1:63" s="300" customFormat="1">
      <c r="A280" s="300" t="s">
        <v>2494</v>
      </c>
      <c r="D280" s="300" t="s">
        <v>176</v>
      </c>
      <c r="E280" s="300" t="s">
        <v>2498</v>
      </c>
      <c r="I280" s="300">
        <v>8.1</v>
      </c>
      <c r="J280" s="300">
        <v>7.9</v>
      </c>
      <c r="K280" s="300">
        <v>11.4</v>
      </c>
      <c r="L280" s="300">
        <v>12.7</v>
      </c>
      <c r="M280" s="300">
        <v>13</v>
      </c>
      <c r="N280" s="300">
        <v>17.399999999999999</v>
      </c>
      <c r="O280" s="300">
        <v>17.600000000000001</v>
      </c>
      <c r="P280" s="300">
        <v>13.7</v>
      </c>
      <c r="Q280" s="300">
        <v>19.899999999999999</v>
      </c>
      <c r="R280" s="300">
        <v>16.5</v>
      </c>
      <c r="S280" s="300">
        <v>19.8</v>
      </c>
      <c r="T280" s="300">
        <v>22.8</v>
      </c>
      <c r="U280" s="300">
        <v>32.799999999999997</v>
      </c>
      <c r="V280" s="300">
        <v>16.100000000000001</v>
      </c>
      <c r="W280" s="300">
        <v>32.1</v>
      </c>
      <c r="X280" s="300">
        <v>30.7</v>
      </c>
      <c r="Y280" s="300">
        <v>44.5</v>
      </c>
      <c r="Z280" s="300">
        <v>46.3</v>
      </c>
      <c r="AA280" s="300">
        <v>58.8</v>
      </c>
      <c r="AB280" s="300">
        <v>62</v>
      </c>
      <c r="AC280" s="300">
        <v>62</v>
      </c>
      <c r="AD280" s="300">
        <v>84.3</v>
      </c>
      <c r="AE280" s="300">
        <v>103</v>
      </c>
      <c r="AF280" s="300">
        <v>105.6</v>
      </c>
      <c r="AG280" s="300">
        <v>96.4</v>
      </c>
      <c r="AH280" s="300">
        <v>114.6</v>
      </c>
      <c r="AI280" s="300">
        <v>113.4</v>
      </c>
      <c r="AJ280" s="300">
        <v>88</v>
      </c>
      <c r="AK280" s="300">
        <v>120</v>
      </c>
      <c r="AL280" s="300">
        <v>98.5</v>
      </c>
      <c r="AM280" s="300">
        <v>112.6</v>
      </c>
      <c r="AN280" s="300">
        <v>77.099999999999994</v>
      </c>
      <c r="AO280" s="300">
        <v>85.1</v>
      </c>
      <c r="AP280" s="300">
        <v>64.900000000000006</v>
      </c>
      <c r="AQ280" s="300">
        <v>50</v>
      </c>
      <c r="AR280" s="300">
        <v>78.2</v>
      </c>
      <c r="AS280" s="300">
        <v>74.900000000000006</v>
      </c>
      <c r="AT280" s="300">
        <v>80.2</v>
      </c>
      <c r="AU280" s="300">
        <v>87.7</v>
      </c>
      <c r="AV280" s="300">
        <v>86.6</v>
      </c>
      <c r="AW280" s="300">
        <v>87.1</v>
      </c>
      <c r="AX280" s="300">
        <v>65.5</v>
      </c>
      <c r="AY280" s="300">
        <v>53.2</v>
      </c>
      <c r="AZ280" s="300">
        <v>47.3</v>
      </c>
      <c r="BA280" s="300">
        <v>53.1</v>
      </c>
      <c r="BB280" s="300">
        <v>71.8</v>
      </c>
      <c r="BC280" s="300">
        <v>41.9</v>
      </c>
      <c r="BD280" s="300">
        <v>51.8</v>
      </c>
      <c r="BE280" s="300">
        <v>35.9</v>
      </c>
      <c r="BF280" s="300">
        <v>41.5</v>
      </c>
      <c r="BG280" s="300">
        <v>52.5</v>
      </c>
      <c r="BH280" s="300">
        <v>52.6</v>
      </c>
      <c r="BI280" s="300">
        <v>51.9</v>
      </c>
      <c r="BJ280" s="300">
        <v>89.4</v>
      </c>
      <c r="BK280" s="300">
        <v>46.1</v>
      </c>
    </row>
    <row r="281" spans="1:63" s="300" customFormat="1">
      <c r="A281" s="300" t="s">
        <v>2493</v>
      </c>
      <c r="D281" s="300" t="s">
        <v>176</v>
      </c>
      <c r="E281" s="300" t="s">
        <v>2498</v>
      </c>
      <c r="K281" s="300">
        <v>0</v>
      </c>
      <c r="L281" s="300">
        <v>0</v>
      </c>
      <c r="M281" s="300">
        <v>0</v>
      </c>
      <c r="N281" s="300">
        <v>0</v>
      </c>
      <c r="O281" s="300">
        <v>0</v>
      </c>
      <c r="P281" s="300">
        <v>1.3</v>
      </c>
      <c r="Q281" s="300">
        <v>10.6</v>
      </c>
      <c r="R281" s="300">
        <v>13.2</v>
      </c>
      <c r="S281" s="300">
        <v>23</v>
      </c>
      <c r="T281" s="300">
        <v>36.299999999999997</v>
      </c>
      <c r="U281" s="300">
        <v>32.1</v>
      </c>
      <c r="V281" s="300">
        <v>24.8</v>
      </c>
      <c r="W281" s="300">
        <v>37.299999999999997</v>
      </c>
      <c r="X281" s="300">
        <v>38.1</v>
      </c>
      <c r="Y281" s="300">
        <v>29.8</v>
      </c>
      <c r="Z281" s="300">
        <v>34.6</v>
      </c>
      <c r="AA281" s="300">
        <v>38.299999999999997</v>
      </c>
      <c r="AB281" s="300">
        <v>37</v>
      </c>
      <c r="AC281" s="300">
        <v>31.1</v>
      </c>
      <c r="AD281" s="300">
        <v>29</v>
      </c>
      <c r="AE281" s="300">
        <v>27.3</v>
      </c>
      <c r="AF281" s="300">
        <v>33.200000000000003</v>
      </c>
      <c r="AG281" s="300">
        <v>36.5</v>
      </c>
      <c r="AH281" s="300">
        <v>37.5</v>
      </c>
      <c r="AI281" s="300">
        <v>32.200000000000003</v>
      </c>
      <c r="AJ281" s="300">
        <v>34.9</v>
      </c>
      <c r="AK281" s="300">
        <v>37.299999999999997</v>
      </c>
      <c r="AL281" s="300">
        <v>36</v>
      </c>
      <c r="AM281" s="300">
        <v>32.4</v>
      </c>
      <c r="AN281" s="300">
        <v>35.6</v>
      </c>
      <c r="AO281" s="300">
        <v>28.8</v>
      </c>
      <c r="AP281" s="300">
        <v>28.3</v>
      </c>
      <c r="AQ281" s="300">
        <v>29.5</v>
      </c>
      <c r="AR281" s="300">
        <v>29.9</v>
      </c>
      <c r="AS281" s="300">
        <v>28.2</v>
      </c>
      <c r="AT281" s="300">
        <v>33.299999999999997</v>
      </c>
      <c r="AU281" s="300">
        <v>33.799999999999997</v>
      </c>
      <c r="AV281" s="300">
        <v>26.9</v>
      </c>
      <c r="AW281" s="300">
        <v>29</v>
      </c>
      <c r="AX281" s="300">
        <v>23.2</v>
      </c>
      <c r="AY281" s="300">
        <v>39.5</v>
      </c>
      <c r="AZ281" s="300">
        <v>35.4</v>
      </c>
      <c r="BA281" s="300">
        <v>29.4</v>
      </c>
      <c r="BB281" s="300">
        <v>5</v>
      </c>
      <c r="BC281" s="300">
        <v>0</v>
      </c>
      <c r="BD281" s="300">
        <v>20.100000000000001</v>
      </c>
      <c r="BE281" s="300">
        <v>38.4</v>
      </c>
      <c r="BF281" s="300">
        <v>47</v>
      </c>
      <c r="BG281" s="300">
        <v>56.2</v>
      </c>
      <c r="BH281" s="300">
        <v>65.400000000000006</v>
      </c>
      <c r="BI281" s="300">
        <v>57</v>
      </c>
      <c r="BJ281" s="300">
        <v>70</v>
      </c>
      <c r="BK281" s="300">
        <v>69.2</v>
      </c>
    </row>
    <row r="282" spans="1:63" s="300" customFormat="1">
      <c r="A282" s="300" t="s">
        <v>2492</v>
      </c>
      <c r="D282" s="300" t="s">
        <v>175</v>
      </c>
      <c r="E282" s="300" t="s">
        <v>2498</v>
      </c>
      <c r="AM282" s="300">
        <v>80</v>
      </c>
      <c r="AN282" s="300">
        <v>263.8</v>
      </c>
      <c r="AO282" s="300">
        <v>440</v>
      </c>
      <c r="AP282" s="300">
        <v>485</v>
      </c>
      <c r="AQ282" s="300">
        <v>329</v>
      </c>
      <c r="AR282" s="300">
        <v>563</v>
      </c>
      <c r="AS282" s="300">
        <v>396</v>
      </c>
      <c r="AT282" s="300">
        <v>945</v>
      </c>
      <c r="AU282" s="300">
        <v>1100</v>
      </c>
      <c r="AV282" s="300">
        <v>1383</v>
      </c>
      <c r="AW282" s="300">
        <v>1103</v>
      </c>
      <c r="AX282" s="300">
        <v>1291.2</v>
      </c>
      <c r="AY282" s="300">
        <v>2594</v>
      </c>
      <c r="AZ282" s="300">
        <v>1198.9000000000001</v>
      </c>
      <c r="BA282" s="300">
        <v>1000</v>
      </c>
      <c r="BB282" s="300">
        <v>1020</v>
      </c>
      <c r="BC282" s="300">
        <v>491</v>
      </c>
      <c r="BD282" s="300">
        <v>627</v>
      </c>
      <c r="BE282" s="300">
        <v>829</v>
      </c>
      <c r="BF282" s="300">
        <v>1100</v>
      </c>
      <c r="BG282" s="300">
        <v>1166</v>
      </c>
      <c r="BH282" s="300">
        <v>2000</v>
      </c>
      <c r="BI282" s="300">
        <v>2005.2</v>
      </c>
      <c r="BJ282" s="300">
        <v>2920</v>
      </c>
      <c r="BK282" s="300">
        <v>2701</v>
      </c>
    </row>
    <row r="283" spans="1:63" s="300" customFormat="1">
      <c r="A283" s="300" t="s">
        <v>3172</v>
      </c>
      <c r="D283" s="300" t="s">
        <v>174</v>
      </c>
      <c r="E283" s="300" t="s">
        <v>2498</v>
      </c>
      <c r="BE283" s="300">
        <v>668.1</v>
      </c>
      <c r="BF283" s="300">
        <v>693</v>
      </c>
      <c r="BG283" s="300">
        <v>711.4</v>
      </c>
      <c r="BH283" s="300">
        <v>853.1</v>
      </c>
      <c r="BI283" s="300">
        <v>919.6</v>
      </c>
      <c r="BJ283" s="300">
        <v>974.2</v>
      </c>
      <c r="BK283" s="300">
        <v>997.9</v>
      </c>
    </row>
    <row r="284" spans="1:63">
      <c r="A284" s="300"/>
      <c r="D284" s="300"/>
      <c r="E284" s="300"/>
    </row>
    <row r="285" spans="1:63">
      <c r="A285" s="300"/>
      <c r="D285" s="300"/>
      <c r="E285" s="300"/>
    </row>
    <row r="286" spans="1:63" s="300" customFormat="1">
      <c r="A286" s="304" t="s">
        <v>832</v>
      </c>
    </row>
    <row r="287" spans="1:63" s="300" customFormat="1">
      <c r="A287" s="300" t="s">
        <v>2497</v>
      </c>
      <c r="D287" s="300" t="s">
        <v>3171</v>
      </c>
      <c r="E287" s="300" t="s">
        <v>3170</v>
      </c>
      <c r="I287" s="300">
        <v>27.9</v>
      </c>
      <c r="J287" s="300">
        <v>26.1</v>
      </c>
      <c r="K287" s="300">
        <v>32.5</v>
      </c>
      <c r="L287" s="300">
        <v>35.5</v>
      </c>
      <c r="M287" s="300">
        <v>34.4</v>
      </c>
      <c r="N287" s="300">
        <v>33.4</v>
      </c>
      <c r="O287" s="300">
        <v>35.299999999999997</v>
      </c>
      <c r="P287" s="300">
        <v>38.799999999999997</v>
      </c>
      <c r="Q287" s="300">
        <v>43.1</v>
      </c>
      <c r="R287" s="300">
        <v>49.1</v>
      </c>
      <c r="S287" s="300">
        <v>41.4</v>
      </c>
      <c r="T287" s="300">
        <v>41.3</v>
      </c>
      <c r="U287" s="300">
        <v>41.9</v>
      </c>
      <c r="V287" s="300">
        <v>40.700000000000003</v>
      </c>
      <c r="W287" s="300">
        <v>44.8</v>
      </c>
      <c r="X287" s="300">
        <v>46.4</v>
      </c>
      <c r="Y287" s="300">
        <v>48</v>
      </c>
      <c r="Z287" s="300">
        <v>84.1</v>
      </c>
      <c r="AA287" s="300">
        <v>63.9</v>
      </c>
      <c r="AB287" s="300">
        <v>56.9</v>
      </c>
      <c r="AC287" s="300">
        <v>66.2</v>
      </c>
      <c r="AD287" s="300">
        <v>72.7</v>
      </c>
      <c r="AE287" s="300">
        <v>66.2</v>
      </c>
      <c r="AF287" s="300">
        <v>74.599999999999994</v>
      </c>
      <c r="AG287" s="300">
        <v>62.7</v>
      </c>
      <c r="AH287" s="300">
        <v>29.4</v>
      </c>
      <c r="AI287" s="300">
        <v>25.1</v>
      </c>
      <c r="AJ287" s="300">
        <v>41.1</v>
      </c>
      <c r="AK287" s="300">
        <v>35.799999999999997</v>
      </c>
      <c r="AL287" s="300">
        <v>26.9</v>
      </c>
      <c r="AM287" s="300">
        <v>11.2</v>
      </c>
      <c r="AN287" s="300">
        <v>0.3</v>
      </c>
    </row>
    <row r="288" spans="1:63" s="300" customFormat="1">
      <c r="A288" s="300" t="s">
        <v>2496</v>
      </c>
      <c r="D288" s="300" t="s">
        <v>3171</v>
      </c>
      <c r="E288" s="300" t="s">
        <v>3170</v>
      </c>
      <c r="Q288" s="300">
        <v>3.3</v>
      </c>
      <c r="R288" s="300">
        <v>19.7</v>
      </c>
      <c r="S288" s="300">
        <v>38.4</v>
      </c>
      <c r="T288" s="300">
        <v>40.9</v>
      </c>
      <c r="U288" s="300">
        <v>50.3</v>
      </c>
      <c r="V288" s="300">
        <v>56.8</v>
      </c>
      <c r="W288" s="300">
        <v>74.400000000000006</v>
      </c>
      <c r="X288" s="300">
        <v>83.5</v>
      </c>
      <c r="Y288" s="300">
        <v>81.099999999999994</v>
      </c>
      <c r="Z288" s="300">
        <v>101.4</v>
      </c>
      <c r="AA288" s="300">
        <v>127.7</v>
      </c>
      <c r="AB288" s="300">
        <v>141</v>
      </c>
      <c r="AC288" s="300">
        <v>153.30000000000001</v>
      </c>
      <c r="AD288" s="300">
        <v>177.5</v>
      </c>
      <c r="AE288" s="300">
        <v>202.5</v>
      </c>
      <c r="AF288" s="300">
        <v>286.8</v>
      </c>
      <c r="AG288" s="300">
        <v>266.7</v>
      </c>
      <c r="AH288" s="300">
        <v>233.1</v>
      </c>
      <c r="AI288" s="300">
        <v>216.4</v>
      </c>
      <c r="AJ288" s="300">
        <v>201</v>
      </c>
      <c r="AK288" s="300">
        <v>175.3</v>
      </c>
      <c r="AL288" s="300">
        <v>177.8</v>
      </c>
      <c r="AM288" s="300">
        <v>194.8</v>
      </c>
      <c r="AN288" s="300">
        <v>292.10000000000002</v>
      </c>
      <c r="AO288" s="300">
        <v>441</v>
      </c>
      <c r="AP288" s="300">
        <v>357.1</v>
      </c>
      <c r="AQ288" s="300">
        <v>264</v>
      </c>
      <c r="AR288" s="300">
        <v>242.1</v>
      </c>
      <c r="AS288" s="300">
        <v>219.5</v>
      </c>
      <c r="AT288" s="300">
        <v>214.9</v>
      </c>
      <c r="AU288" s="300">
        <v>310</v>
      </c>
      <c r="AV288" s="300">
        <v>307.89999999999998</v>
      </c>
      <c r="AW288" s="300">
        <v>313.3</v>
      </c>
      <c r="AX288" s="300">
        <v>298.10000000000002</v>
      </c>
      <c r="AY288" s="300">
        <v>296.89999999999998</v>
      </c>
      <c r="AZ288" s="300">
        <v>341.8</v>
      </c>
      <c r="BA288" s="300">
        <v>330.4</v>
      </c>
      <c r="BB288" s="300">
        <v>290</v>
      </c>
      <c r="BC288" s="300">
        <v>335.8</v>
      </c>
      <c r="BD288" s="300">
        <v>413.1</v>
      </c>
      <c r="BE288" s="300">
        <v>449.9</v>
      </c>
      <c r="BF288" s="300">
        <v>642.5</v>
      </c>
      <c r="BG288" s="300">
        <v>706</v>
      </c>
      <c r="BH288" s="300">
        <v>695.6</v>
      </c>
      <c r="BI288" s="300">
        <v>328.1</v>
      </c>
      <c r="BJ288" s="300">
        <v>430.2</v>
      </c>
      <c r="BK288" s="300">
        <v>490.9</v>
      </c>
    </row>
    <row r="289" spans="1:67" s="300" customFormat="1">
      <c r="A289" s="300" t="s">
        <v>2495</v>
      </c>
      <c r="D289" s="300" t="s">
        <v>3171</v>
      </c>
      <c r="E289" s="300" t="s">
        <v>3170</v>
      </c>
      <c r="Q289" s="300">
        <v>0.5</v>
      </c>
      <c r="R289" s="300">
        <v>10.3</v>
      </c>
      <c r="S289" s="300">
        <v>12.7</v>
      </c>
      <c r="T289" s="300">
        <v>18.3</v>
      </c>
      <c r="U289" s="300">
        <v>25.7</v>
      </c>
      <c r="V289" s="300">
        <v>26</v>
      </c>
      <c r="W289" s="300">
        <v>24.3</v>
      </c>
      <c r="X289" s="300">
        <v>26.9</v>
      </c>
      <c r="Y289" s="300">
        <v>25.1</v>
      </c>
      <c r="Z289" s="300">
        <v>38.4</v>
      </c>
      <c r="AA289" s="300">
        <v>22.1</v>
      </c>
      <c r="AB289" s="300">
        <v>39.200000000000003</v>
      </c>
      <c r="AC289" s="300">
        <v>59.9</v>
      </c>
      <c r="AD289" s="300">
        <v>61.3</v>
      </c>
      <c r="AE289" s="300">
        <v>75.5</v>
      </c>
      <c r="AF289" s="300">
        <v>65.3</v>
      </c>
      <c r="AG289" s="300">
        <v>49.3</v>
      </c>
      <c r="AH289" s="300">
        <v>70</v>
      </c>
      <c r="AI289" s="300">
        <v>34.9</v>
      </c>
      <c r="AJ289" s="300">
        <v>42.7</v>
      </c>
      <c r="AK289" s="300">
        <v>30.8</v>
      </c>
      <c r="AL289" s="300">
        <v>34.9</v>
      </c>
      <c r="AM289" s="300">
        <v>3.5</v>
      </c>
      <c r="AN289" s="300">
        <v>14.8</v>
      </c>
      <c r="AO289" s="300">
        <v>51.8</v>
      </c>
      <c r="AP289" s="300">
        <v>51.1</v>
      </c>
      <c r="AQ289" s="300">
        <v>40.4</v>
      </c>
      <c r="AR289" s="300">
        <v>44.7</v>
      </c>
      <c r="AS289" s="300">
        <v>35</v>
      </c>
      <c r="AT289" s="300">
        <v>31.8</v>
      </c>
      <c r="AU289" s="300">
        <v>45.6</v>
      </c>
      <c r="AV289" s="300">
        <v>41.8</v>
      </c>
      <c r="AW289" s="300">
        <v>45.5</v>
      </c>
      <c r="AX289" s="300">
        <v>37.700000000000003</v>
      </c>
      <c r="AY289" s="300">
        <v>8.3000000000000007</v>
      </c>
    </row>
    <row r="290" spans="1:67" s="300" customFormat="1">
      <c r="A290" s="300" t="s">
        <v>2494</v>
      </c>
      <c r="D290" s="300" t="s">
        <v>3171</v>
      </c>
      <c r="E290" s="300" t="s">
        <v>3170</v>
      </c>
      <c r="I290" s="300">
        <v>1</v>
      </c>
      <c r="J290" s="300">
        <v>0.9</v>
      </c>
      <c r="K290" s="300">
        <v>1.3</v>
      </c>
      <c r="L290" s="300">
        <v>1.4</v>
      </c>
      <c r="M290" s="300">
        <v>1.2</v>
      </c>
      <c r="N290" s="300">
        <v>2.1</v>
      </c>
      <c r="O290" s="300">
        <v>1.9</v>
      </c>
      <c r="P290" s="300">
        <v>1.5</v>
      </c>
      <c r="Q290" s="300">
        <v>2.2999999999999998</v>
      </c>
      <c r="R290" s="300">
        <v>1.9</v>
      </c>
      <c r="S290" s="300">
        <v>2.5</v>
      </c>
      <c r="T290" s="300">
        <v>3.9</v>
      </c>
      <c r="U290" s="300">
        <v>4.2</v>
      </c>
      <c r="V290" s="300">
        <v>2.8</v>
      </c>
      <c r="W290" s="300">
        <v>5.4</v>
      </c>
      <c r="X290" s="300">
        <v>4.5999999999999996</v>
      </c>
      <c r="Y290" s="300">
        <v>11</v>
      </c>
      <c r="Z290" s="300">
        <v>18.5</v>
      </c>
      <c r="AA290" s="300">
        <v>18.8</v>
      </c>
      <c r="AB290" s="300">
        <v>20.100000000000001</v>
      </c>
      <c r="AC290" s="300">
        <v>20.6</v>
      </c>
      <c r="AD290" s="300">
        <v>27.6</v>
      </c>
      <c r="AE290" s="300">
        <v>38.6</v>
      </c>
      <c r="AF290" s="300">
        <v>42.5</v>
      </c>
      <c r="AG290" s="300">
        <v>35.9</v>
      </c>
      <c r="AH290" s="300">
        <v>39.700000000000003</v>
      </c>
      <c r="AI290" s="300">
        <v>37.299999999999997</v>
      </c>
      <c r="AJ290" s="300">
        <v>34.799999999999997</v>
      </c>
      <c r="AK290" s="300">
        <v>46.8</v>
      </c>
      <c r="AL290" s="300">
        <v>33</v>
      </c>
      <c r="AM290" s="300">
        <v>38</v>
      </c>
      <c r="AN290" s="300">
        <v>36.6</v>
      </c>
      <c r="AO290" s="300">
        <v>33.700000000000003</v>
      </c>
      <c r="AP290" s="300">
        <v>25.5</v>
      </c>
      <c r="AQ290" s="300">
        <v>11.9</v>
      </c>
      <c r="AR290" s="300">
        <v>16.100000000000001</v>
      </c>
      <c r="AS290" s="300">
        <v>26.9</v>
      </c>
      <c r="AT290" s="300">
        <v>30.4</v>
      </c>
      <c r="AU290" s="300">
        <v>35.799999999999997</v>
      </c>
      <c r="AV290" s="300">
        <v>35.299999999999997</v>
      </c>
      <c r="AW290" s="300">
        <v>28.9</v>
      </c>
      <c r="AX290" s="300">
        <v>19.600000000000001</v>
      </c>
      <c r="AY290" s="300">
        <v>14.2</v>
      </c>
      <c r="AZ290" s="300">
        <v>11</v>
      </c>
      <c r="BA290" s="300">
        <v>11.1</v>
      </c>
      <c r="BB290" s="300">
        <v>14.2</v>
      </c>
      <c r="BC290" s="300">
        <v>9.1</v>
      </c>
      <c r="BD290" s="300">
        <v>12.4</v>
      </c>
      <c r="BE290" s="300">
        <v>9.1999999999999993</v>
      </c>
      <c r="BF290" s="300">
        <v>11.5</v>
      </c>
      <c r="BG290" s="300">
        <v>15.4</v>
      </c>
      <c r="BH290" s="300">
        <v>32.5</v>
      </c>
      <c r="BI290" s="300">
        <v>21.2</v>
      </c>
      <c r="BJ290" s="300">
        <v>37.799999999999997</v>
      </c>
      <c r="BK290" s="300">
        <v>30.7</v>
      </c>
    </row>
    <row r="291" spans="1:67" s="300" customFormat="1">
      <c r="A291" s="300" t="s">
        <v>2493</v>
      </c>
      <c r="D291" s="300" t="s">
        <v>3171</v>
      </c>
      <c r="E291" s="300" t="s">
        <v>3170</v>
      </c>
      <c r="K291" s="300">
        <v>0</v>
      </c>
      <c r="L291" s="300">
        <v>0</v>
      </c>
      <c r="M291" s="300">
        <v>0</v>
      </c>
      <c r="N291" s="300">
        <v>0</v>
      </c>
      <c r="O291" s="300">
        <v>0</v>
      </c>
      <c r="P291" s="300">
        <v>0.1</v>
      </c>
      <c r="Q291" s="300">
        <v>0.6</v>
      </c>
      <c r="R291" s="300">
        <v>0.7</v>
      </c>
      <c r="S291" s="300">
        <v>1.4</v>
      </c>
      <c r="T291" s="300">
        <v>2.5</v>
      </c>
      <c r="U291" s="300">
        <v>2.2000000000000002</v>
      </c>
      <c r="V291" s="300">
        <v>1.7</v>
      </c>
      <c r="W291" s="300">
        <v>2.5</v>
      </c>
      <c r="X291" s="300">
        <v>2.6</v>
      </c>
      <c r="Y291" s="300">
        <v>2.1</v>
      </c>
      <c r="Z291" s="300">
        <v>2.2999999999999998</v>
      </c>
      <c r="AA291" s="300">
        <v>3.4</v>
      </c>
      <c r="AB291" s="300">
        <v>4.2</v>
      </c>
      <c r="AC291" s="300">
        <v>3.3</v>
      </c>
      <c r="AD291" s="300">
        <v>4</v>
      </c>
      <c r="AE291" s="300">
        <v>4.2</v>
      </c>
      <c r="AF291" s="300">
        <v>5.9</v>
      </c>
      <c r="AG291" s="300">
        <v>7.3</v>
      </c>
      <c r="AH291" s="300">
        <v>7.5</v>
      </c>
      <c r="AI291" s="300">
        <v>7.5</v>
      </c>
      <c r="AJ291" s="300">
        <v>9</v>
      </c>
      <c r="AK291" s="300">
        <v>10.3</v>
      </c>
      <c r="AL291" s="300">
        <v>11.2</v>
      </c>
      <c r="AM291" s="300">
        <v>10.3</v>
      </c>
      <c r="AN291" s="300">
        <v>11.4</v>
      </c>
      <c r="AO291" s="300">
        <v>10.3</v>
      </c>
      <c r="AP291" s="300">
        <v>10.4</v>
      </c>
      <c r="AQ291" s="300">
        <v>5.2</v>
      </c>
      <c r="AR291" s="300">
        <v>5</v>
      </c>
      <c r="AS291" s="300">
        <v>8.3000000000000007</v>
      </c>
      <c r="AT291" s="300">
        <v>9.9</v>
      </c>
      <c r="AU291" s="300">
        <v>10</v>
      </c>
      <c r="AV291" s="300">
        <v>8</v>
      </c>
      <c r="AW291" s="300">
        <v>8.6</v>
      </c>
      <c r="AX291" s="300">
        <v>6.9</v>
      </c>
      <c r="AY291" s="300">
        <v>10.199999999999999</v>
      </c>
      <c r="AZ291" s="300">
        <v>8.6</v>
      </c>
      <c r="BA291" s="300">
        <v>6.3</v>
      </c>
      <c r="BB291" s="300">
        <v>1.1000000000000001</v>
      </c>
      <c r="BC291" s="300">
        <v>0</v>
      </c>
      <c r="BD291" s="300">
        <v>5.3</v>
      </c>
      <c r="BE291" s="300">
        <v>10.5</v>
      </c>
      <c r="BF291" s="300">
        <v>12.7</v>
      </c>
      <c r="BG291" s="300">
        <v>16.600000000000001</v>
      </c>
      <c r="BH291" s="300">
        <v>22.8</v>
      </c>
      <c r="BI291" s="300">
        <v>26.5</v>
      </c>
      <c r="BJ291" s="300">
        <v>24.5</v>
      </c>
      <c r="BK291" s="300">
        <v>34.1</v>
      </c>
    </row>
    <row r="292" spans="1:67" s="300" customFormat="1">
      <c r="A292" s="300" t="s">
        <v>2492</v>
      </c>
      <c r="D292" s="300" t="s">
        <v>3171</v>
      </c>
      <c r="E292" s="300" t="s">
        <v>3170</v>
      </c>
      <c r="AM292" s="300">
        <v>0.9</v>
      </c>
      <c r="AN292" s="300">
        <v>2.9</v>
      </c>
      <c r="AO292" s="300">
        <v>5.9</v>
      </c>
      <c r="AP292" s="300">
        <v>8.1999999999999993</v>
      </c>
      <c r="AQ292" s="300">
        <v>4.0999999999999996</v>
      </c>
      <c r="AR292" s="300">
        <v>7.3</v>
      </c>
      <c r="AS292" s="300">
        <v>3.6</v>
      </c>
      <c r="AT292" s="300">
        <v>12.5</v>
      </c>
      <c r="AU292" s="300">
        <v>18.3</v>
      </c>
      <c r="AV292" s="300">
        <v>25.5</v>
      </c>
      <c r="AW292" s="300">
        <v>16.600000000000001</v>
      </c>
      <c r="AX292" s="300">
        <v>13.6</v>
      </c>
      <c r="AY292" s="300">
        <v>37.4</v>
      </c>
      <c r="AZ292" s="300">
        <v>27.4</v>
      </c>
      <c r="BA292" s="300">
        <v>19.399999999999999</v>
      </c>
      <c r="BB292" s="300">
        <v>22.5</v>
      </c>
      <c r="BC292" s="300">
        <v>12.6</v>
      </c>
      <c r="BD292" s="300">
        <v>18.3</v>
      </c>
      <c r="BE292" s="300">
        <v>30.5</v>
      </c>
      <c r="BF292" s="300">
        <v>48.8</v>
      </c>
      <c r="BG292" s="300">
        <v>73.099999999999994</v>
      </c>
      <c r="BH292" s="300">
        <v>184.6</v>
      </c>
      <c r="BI292" s="300">
        <v>138.69999999999999</v>
      </c>
      <c r="BJ292" s="300">
        <v>340.2</v>
      </c>
      <c r="BK292" s="300">
        <v>228.4</v>
      </c>
    </row>
    <row r="293" spans="1:67">
      <c r="A293" s="300" t="s">
        <v>3172</v>
      </c>
      <c r="D293" s="300" t="s">
        <v>3171</v>
      </c>
      <c r="E293" s="300" t="s">
        <v>3170</v>
      </c>
      <c r="AW293" s="302">
        <v>46.5</v>
      </c>
      <c r="AX293" s="302">
        <v>60.6</v>
      </c>
      <c r="AY293" s="302">
        <v>98</v>
      </c>
      <c r="AZ293" s="302">
        <v>33.6</v>
      </c>
      <c r="BA293" s="302">
        <v>49.4</v>
      </c>
      <c r="BB293" s="302">
        <v>25.6</v>
      </c>
      <c r="BC293" s="302">
        <v>127.3</v>
      </c>
      <c r="BD293" s="302">
        <v>263.3</v>
      </c>
      <c r="BE293" s="302">
        <v>289.3</v>
      </c>
      <c r="BF293" s="302">
        <v>403</v>
      </c>
      <c r="BG293" s="302">
        <v>482.4</v>
      </c>
      <c r="BH293" s="302">
        <v>715.5</v>
      </c>
      <c r="BI293" s="302">
        <v>871.9</v>
      </c>
      <c r="BJ293" s="302">
        <v>1159.7</v>
      </c>
      <c r="BK293" s="302">
        <v>1513.6</v>
      </c>
      <c r="BL293" s="310">
        <f>+BL302/BL464</f>
        <v>1863.3596555498266</v>
      </c>
      <c r="BM293" s="310">
        <f>+BM302/BM464</f>
        <v>1518.5476649208977</v>
      </c>
      <c r="BN293" s="310">
        <f>+BN302/BN464</f>
        <v>1261.295487232368</v>
      </c>
      <c r="BO293" s="310">
        <f>+BO302/BO464</f>
        <v>1171.9265872477454</v>
      </c>
    </row>
    <row r="294" spans="1:67">
      <c r="A294" s="300" t="s">
        <v>3133</v>
      </c>
      <c r="D294" s="300" t="s">
        <v>3171</v>
      </c>
      <c r="E294" s="300"/>
      <c r="I294" s="302">
        <f t="shared" ref="I294:BJ294" si="82">I287+I288+I289+I290+I291+I292+I293</f>
        <v>28.9</v>
      </c>
      <c r="J294" s="302">
        <f t="shared" si="82"/>
        <v>27</v>
      </c>
      <c r="K294" s="302">
        <f t="shared" si="82"/>
        <v>33.799999999999997</v>
      </c>
      <c r="L294" s="302">
        <f t="shared" si="82"/>
        <v>36.9</v>
      </c>
      <c r="M294" s="302">
        <f t="shared" si="82"/>
        <v>35.6</v>
      </c>
      <c r="N294" s="302">
        <f t="shared" si="82"/>
        <v>35.5</v>
      </c>
      <c r="O294" s="302">
        <f t="shared" si="82"/>
        <v>37.199999999999996</v>
      </c>
      <c r="P294" s="302">
        <f t="shared" si="82"/>
        <v>40.4</v>
      </c>
      <c r="Q294" s="302">
        <f t="shared" si="82"/>
        <v>49.8</v>
      </c>
      <c r="R294" s="302">
        <f t="shared" si="82"/>
        <v>81.7</v>
      </c>
      <c r="S294" s="302">
        <f t="shared" si="82"/>
        <v>96.4</v>
      </c>
      <c r="T294" s="302">
        <f t="shared" si="82"/>
        <v>106.89999999999999</v>
      </c>
      <c r="U294" s="302">
        <f t="shared" si="82"/>
        <v>124.3</v>
      </c>
      <c r="V294" s="302">
        <f t="shared" si="82"/>
        <v>128</v>
      </c>
      <c r="W294" s="302">
        <f t="shared" si="82"/>
        <v>151.4</v>
      </c>
      <c r="X294" s="302">
        <f t="shared" si="82"/>
        <v>164</v>
      </c>
      <c r="Y294" s="302">
        <f t="shared" si="82"/>
        <v>167.29999999999998</v>
      </c>
      <c r="Z294" s="302">
        <f t="shared" si="82"/>
        <v>244.70000000000002</v>
      </c>
      <c r="AA294" s="302">
        <f t="shared" si="82"/>
        <v>235.9</v>
      </c>
      <c r="AB294" s="302">
        <f t="shared" si="82"/>
        <v>261.40000000000003</v>
      </c>
      <c r="AC294" s="302">
        <f t="shared" si="82"/>
        <v>303.3</v>
      </c>
      <c r="AD294" s="302">
        <f t="shared" si="82"/>
        <v>343.1</v>
      </c>
      <c r="AE294" s="302">
        <f t="shared" si="82"/>
        <v>387</v>
      </c>
      <c r="AF294" s="302">
        <f t="shared" si="82"/>
        <v>475.09999999999997</v>
      </c>
      <c r="AG294" s="302">
        <f t="shared" si="82"/>
        <v>421.9</v>
      </c>
      <c r="AH294" s="302">
        <f t="shared" si="82"/>
        <v>379.7</v>
      </c>
      <c r="AI294" s="302">
        <f t="shared" si="82"/>
        <v>321.2</v>
      </c>
      <c r="AJ294" s="302">
        <f t="shared" si="82"/>
        <v>328.6</v>
      </c>
      <c r="AK294" s="302">
        <f t="shared" si="82"/>
        <v>299.00000000000006</v>
      </c>
      <c r="AL294" s="302">
        <f t="shared" si="82"/>
        <v>283.8</v>
      </c>
      <c r="AM294" s="302">
        <f t="shared" si="82"/>
        <v>258.7</v>
      </c>
      <c r="AN294" s="302">
        <f t="shared" si="82"/>
        <v>358.1</v>
      </c>
      <c r="AO294" s="302">
        <f t="shared" si="82"/>
        <v>542.69999999999993</v>
      </c>
      <c r="AP294" s="302">
        <f t="shared" si="82"/>
        <v>452.3</v>
      </c>
      <c r="AQ294" s="302">
        <f t="shared" si="82"/>
        <v>325.59999999999997</v>
      </c>
      <c r="AR294" s="302">
        <f t="shared" si="82"/>
        <v>315.20000000000005</v>
      </c>
      <c r="AS294" s="302">
        <f t="shared" si="82"/>
        <v>293.3</v>
      </c>
      <c r="AT294" s="302">
        <f t="shared" si="82"/>
        <v>299.5</v>
      </c>
      <c r="AU294" s="302">
        <f t="shared" si="82"/>
        <v>419.70000000000005</v>
      </c>
      <c r="AV294" s="302">
        <f t="shared" si="82"/>
        <v>418.5</v>
      </c>
      <c r="AW294" s="302">
        <f t="shared" si="82"/>
        <v>459.40000000000003</v>
      </c>
      <c r="AX294" s="302">
        <f t="shared" si="82"/>
        <v>436.50000000000006</v>
      </c>
      <c r="AY294" s="302">
        <f t="shared" si="82"/>
        <v>464.99999999999994</v>
      </c>
      <c r="AZ294" s="302">
        <f t="shared" si="82"/>
        <v>422.40000000000003</v>
      </c>
      <c r="BA294" s="302">
        <f t="shared" si="82"/>
        <v>416.59999999999997</v>
      </c>
      <c r="BB294" s="302">
        <f t="shared" si="82"/>
        <v>353.40000000000003</v>
      </c>
      <c r="BC294" s="302">
        <f t="shared" si="82"/>
        <v>484.80000000000007</v>
      </c>
      <c r="BD294" s="302">
        <f t="shared" si="82"/>
        <v>712.40000000000009</v>
      </c>
      <c r="BE294" s="302">
        <f t="shared" si="82"/>
        <v>789.4</v>
      </c>
      <c r="BF294" s="302">
        <f t="shared" si="82"/>
        <v>1118.5</v>
      </c>
      <c r="BG294" s="302">
        <f t="shared" si="82"/>
        <v>1293.5</v>
      </c>
      <c r="BH294" s="302">
        <f t="shared" si="82"/>
        <v>1651</v>
      </c>
      <c r="BI294" s="302">
        <f t="shared" si="82"/>
        <v>1386.4</v>
      </c>
      <c r="BJ294" s="302">
        <f t="shared" si="82"/>
        <v>1992.4</v>
      </c>
      <c r="BK294" s="302">
        <f>BK287+BK288+BK289+BK290+BK291+BK292+BK293</f>
        <v>2297.6999999999998</v>
      </c>
    </row>
    <row r="295" spans="1:67">
      <c r="A295" s="327" t="s">
        <v>833</v>
      </c>
      <c r="D295" s="300"/>
      <c r="E295" s="300"/>
    </row>
    <row r="296" spans="1:67">
      <c r="A296" s="300" t="s">
        <v>2497</v>
      </c>
      <c r="D296" s="300" t="s">
        <v>1579</v>
      </c>
      <c r="E296" s="300"/>
    </row>
    <row r="297" spans="1:67">
      <c r="A297" s="300" t="s">
        <v>2496</v>
      </c>
      <c r="D297" s="300" t="s">
        <v>1579</v>
      </c>
      <c r="E297" s="300"/>
      <c r="BF297" s="308">
        <f t="shared" ref="BF297:BK297" si="83">BF288*BF$464</f>
        <v>1775.7575625000002</v>
      </c>
      <c r="BG297" s="308">
        <f t="shared" si="83"/>
        <v>1951.2604500000002</v>
      </c>
      <c r="BH297" s="308">
        <f t="shared" si="83"/>
        <v>1922.5166700000002</v>
      </c>
      <c r="BI297" s="308">
        <f t="shared" si="83"/>
        <v>906.81098250000014</v>
      </c>
      <c r="BJ297" s="308">
        <f t="shared" si="83"/>
        <v>1188.997515</v>
      </c>
      <c r="BK297" s="308">
        <f t="shared" si="83"/>
        <v>1356.7616925</v>
      </c>
    </row>
    <row r="298" spans="1:67">
      <c r="A298" s="300" t="s">
        <v>2495</v>
      </c>
      <c r="D298" s="300" t="s">
        <v>1579</v>
      </c>
      <c r="E298" s="300"/>
    </row>
    <row r="299" spans="1:67">
      <c r="A299" s="300" t="s">
        <v>2494</v>
      </c>
      <c r="D299" s="300" t="s">
        <v>1579</v>
      </c>
      <c r="E299" s="300"/>
      <c r="BF299" s="308">
        <f t="shared" ref="BF299:BK303" si="84">BF290*BF$464</f>
        <v>31.783987500000002</v>
      </c>
      <c r="BG299" s="308">
        <f t="shared" si="84"/>
        <v>42.562905000000001</v>
      </c>
      <c r="BH299" s="308">
        <f t="shared" si="84"/>
        <v>89.824312500000005</v>
      </c>
      <c r="BI299" s="308">
        <f t="shared" si="84"/>
        <v>58.593090000000004</v>
      </c>
      <c r="BJ299" s="308">
        <f t="shared" si="84"/>
        <v>104.472585</v>
      </c>
      <c r="BK299" s="308">
        <f t="shared" si="84"/>
        <v>84.849427500000004</v>
      </c>
    </row>
    <row r="300" spans="1:67">
      <c r="A300" s="300" t="s">
        <v>2493</v>
      </c>
      <c r="D300" s="300" t="s">
        <v>1579</v>
      </c>
      <c r="E300" s="300"/>
      <c r="BF300" s="308">
        <f t="shared" si="84"/>
        <v>35.1005775</v>
      </c>
      <c r="BG300" s="308">
        <f t="shared" si="84"/>
        <v>45.879495000000006</v>
      </c>
      <c r="BH300" s="308">
        <f t="shared" si="84"/>
        <v>63.015210000000003</v>
      </c>
      <c r="BI300" s="308">
        <f t="shared" si="84"/>
        <v>73.241362500000008</v>
      </c>
      <c r="BJ300" s="308">
        <f t="shared" si="84"/>
        <v>67.7137125</v>
      </c>
      <c r="BK300" s="308">
        <f t="shared" si="84"/>
        <v>94.246432500000012</v>
      </c>
    </row>
    <row r="301" spans="1:67">
      <c r="A301" s="300" t="s">
        <v>2492</v>
      </c>
      <c r="D301" s="300" t="s">
        <v>1579</v>
      </c>
      <c r="E301" s="300"/>
      <c r="BF301" s="308">
        <f t="shared" si="84"/>
        <v>134.87466000000001</v>
      </c>
      <c r="BG301" s="308">
        <f t="shared" si="84"/>
        <v>202.0356075</v>
      </c>
      <c r="BH301" s="308">
        <f t="shared" si="84"/>
        <v>510.20209500000004</v>
      </c>
      <c r="BI301" s="308">
        <f t="shared" si="84"/>
        <v>383.34252750000002</v>
      </c>
      <c r="BJ301" s="308">
        <f t="shared" si="84"/>
        <v>940.25326500000006</v>
      </c>
      <c r="BK301" s="308">
        <f t="shared" si="84"/>
        <v>631.25763000000006</v>
      </c>
    </row>
    <row r="302" spans="1:67">
      <c r="A302" s="300" t="s">
        <v>3172</v>
      </c>
      <c r="D302" s="300" t="s">
        <v>1579</v>
      </c>
      <c r="E302" s="300"/>
      <c r="AW302" s="308">
        <f t="shared" ref="AW302:BD302" si="85">AW293*AW$464</f>
        <v>18.984857250000001</v>
      </c>
      <c r="AX302" s="308">
        <f t="shared" si="85"/>
        <v>26.266130700000001</v>
      </c>
      <c r="AY302" s="308">
        <f t="shared" si="85"/>
        <v>92.324183000000005</v>
      </c>
      <c r="AZ302" s="308">
        <f t="shared" si="85"/>
        <v>48.904531200000008</v>
      </c>
      <c r="BA302" s="308">
        <f t="shared" si="85"/>
        <v>108.30751165000001</v>
      </c>
      <c r="BB302" s="308">
        <f t="shared" si="85"/>
        <v>61.954368000000002</v>
      </c>
      <c r="BC302" s="308">
        <f t="shared" si="85"/>
        <v>341.87465224999994</v>
      </c>
      <c r="BD302" s="308">
        <f t="shared" si="85"/>
        <v>727.71512250000012</v>
      </c>
      <c r="BE302" s="308">
        <f>BE293*BE$464</f>
        <v>799.57457250000004</v>
      </c>
      <c r="BF302" s="308">
        <f t="shared" si="84"/>
        <v>1113.8214750000002</v>
      </c>
      <c r="BG302" s="308">
        <f t="shared" si="84"/>
        <v>1333.26918</v>
      </c>
      <c r="BH302" s="308">
        <f t="shared" si="84"/>
        <v>1977.5167875000002</v>
      </c>
      <c r="BI302" s="308">
        <f t="shared" si="84"/>
        <v>2409.7790175</v>
      </c>
      <c r="BJ302" s="308">
        <f t="shared" si="84"/>
        <v>3205.2078525000002</v>
      </c>
      <c r="BK302" s="308">
        <f t="shared" si="84"/>
        <v>4183.3255200000003</v>
      </c>
      <c r="BL302" s="328">
        <v>5150</v>
      </c>
      <c r="BM302" s="328">
        <v>4197</v>
      </c>
      <c r="BN302" s="328">
        <v>3486</v>
      </c>
      <c r="BO302" s="328">
        <v>3239</v>
      </c>
    </row>
    <row r="303" spans="1:67">
      <c r="A303" s="300" t="s">
        <v>3133</v>
      </c>
      <c r="D303" s="300" t="s">
        <v>1579</v>
      </c>
      <c r="E303" s="300"/>
      <c r="BF303" s="308">
        <f t="shared" si="84"/>
        <v>3091.3382625000004</v>
      </c>
      <c r="BG303" s="308">
        <f t="shared" si="84"/>
        <v>3575.0076375000003</v>
      </c>
      <c r="BH303" s="308">
        <f t="shared" si="84"/>
        <v>4563.0750750000007</v>
      </c>
      <c r="BI303" s="308">
        <f t="shared" si="84"/>
        <v>3831.7669800000003</v>
      </c>
      <c r="BJ303" s="308">
        <f t="shared" si="84"/>
        <v>5506.6449300000004</v>
      </c>
      <c r="BK303" s="308">
        <f t="shared" si="84"/>
        <v>6350.4407025</v>
      </c>
    </row>
    <row r="304" spans="1:67">
      <c r="A304" s="300"/>
      <c r="D304" s="300"/>
      <c r="E304" s="300"/>
      <c r="BF304" s="308"/>
      <c r="BG304" s="308"/>
      <c r="BH304" s="308"/>
      <c r="BI304" s="308"/>
      <c r="BJ304" s="308"/>
      <c r="BK304" s="308"/>
    </row>
    <row r="305" spans="1:85">
      <c r="A305" s="304" t="s">
        <v>834</v>
      </c>
      <c r="D305" s="300"/>
      <c r="E305" s="300"/>
    </row>
    <row r="306" spans="1:85">
      <c r="A306" s="300" t="s">
        <v>2497</v>
      </c>
      <c r="D306" s="300" t="s">
        <v>1349</v>
      </c>
      <c r="E306" s="300"/>
    </row>
    <row r="307" spans="1:85">
      <c r="A307" s="300" t="s">
        <v>2496</v>
      </c>
      <c r="D307" s="300" t="s">
        <v>1349</v>
      </c>
      <c r="E307" s="300"/>
      <c r="BG307" s="310">
        <f t="shared" ref="BG307:BJ312" si="86">((BG297/BF297)/(BG278/BF278)-1)*100</f>
        <v>8.1245668960834969</v>
      </c>
      <c r="BH307" s="310">
        <f t="shared" si="86"/>
        <v>-1.1163051283467507</v>
      </c>
      <c r="BI307" s="310">
        <f t="shared" si="86"/>
        <v>-33.858678649645533</v>
      </c>
      <c r="BJ307" s="310">
        <f t="shared" si="86"/>
        <v>33.748072374232784</v>
      </c>
      <c r="BK307" s="310">
        <f t="shared" ref="BK307:BK312" si="87">((BK297/BJ297)/(BK278/BJ278)-1)*100</f>
        <v>21.749909269719559</v>
      </c>
    </row>
    <row r="308" spans="1:85">
      <c r="A308" s="300" t="s">
        <v>2495</v>
      </c>
      <c r="D308" s="300" t="s">
        <v>1349</v>
      </c>
      <c r="E308" s="300"/>
      <c r="BG308" s="310"/>
      <c r="BH308" s="310"/>
      <c r="BI308" s="310"/>
      <c r="BJ308" s="310"/>
      <c r="BK308" s="310"/>
    </row>
    <row r="309" spans="1:85">
      <c r="A309" s="300" t="s">
        <v>2494</v>
      </c>
      <c r="D309" s="300" t="s">
        <v>1349</v>
      </c>
      <c r="E309" s="300"/>
      <c r="BG309" s="310">
        <f t="shared" si="86"/>
        <v>5.8550724637681295</v>
      </c>
      <c r="BH309" s="310">
        <f t="shared" si="86"/>
        <v>110.63774628413414</v>
      </c>
      <c r="BI309" s="310">
        <f t="shared" si="86"/>
        <v>-33.889432340299386</v>
      </c>
      <c r="BJ309" s="310">
        <f t="shared" si="86"/>
        <v>3.5108268962896982</v>
      </c>
      <c r="BK309" s="310">
        <f t="shared" si="87"/>
        <v>57.500946871879634</v>
      </c>
    </row>
    <row r="310" spans="1:85">
      <c r="A310" s="300" t="s">
        <v>2493</v>
      </c>
      <c r="D310" s="300" t="s">
        <v>1349</v>
      </c>
      <c r="E310" s="300"/>
      <c r="BG310" s="310">
        <f t="shared" si="86"/>
        <v>9.3115139966934777</v>
      </c>
      <c r="BH310" s="310">
        <f t="shared" si="86"/>
        <v>18.028075605172965</v>
      </c>
      <c r="BI310" s="310">
        <f t="shared" si="86"/>
        <v>33.356417359187482</v>
      </c>
      <c r="BJ310" s="310">
        <f t="shared" si="86"/>
        <v>-24.716981132075478</v>
      </c>
      <c r="BK310" s="310">
        <f t="shared" si="87"/>
        <v>40.792733278282434</v>
      </c>
    </row>
    <row r="311" spans="1:85">
      <c r="A311" s="300" t="s">
        <v>2492</v>
      </c>
      <c r="D311" s="300" t="s">
        <v>1349</v>
      </c>
      <c r="E311" s="300"/>
      <c r="BG311" s="310">
        <f t="shared" si="86"/>
        <v>41.316115063408596</v>
      </c>
      <c r="BH311" s="310">
        <f t="shared" si="86"/>
        <v>47.225444596443268</v>
      </c>
      <c r="BI311" s="310">
        <f t="shared" si="86"/>
        <v>-25.059417562009411</v>
      </c>
      <c r="BJ311" s="310">
        <f t="shared" si="86"/>
        <v>68.435136443096894</v>
      </c>
      <c r="BK311" s="310">
        <f t="shared" si="87"/>
        <v>-27.419482975038534</v>
      </c>
    </row>
    <row r="312" spans="1:85">
      <c r="A312" s="300" t="s">
        <v>3172</v>
      </c>
      <c r="D312" s="300" t="s">
        <v>1349</v>
      </c>
      <c r="E312" s="300"/>
      <c r="BG312" s="310">
        <f t="shared" si="86"/>
        <v>16.606195730503082</v>
      </c>
      <c r="BH312" s="310">
        <f t="shared" si="86"/>
        <v>23.684779128621347</v>
      </c>
      <c r="BI312" s="310">
        <f t="shared" si="86"/>
        <v>13.046733775721764</v>
      </c>
      <c r="BJ312" s="310">
        <f t="shared" si="86"/>
        <v>25.553787075748026</v>
      </c>
      <c r="BK312" s="310">
        <f t="shared" si="87"/>
        <v>27.416762058994237</v>
      </c>
    </row>
    <row r="313" spans="1:85">
      <c r="A313" s="300" t="s">
        <v>3133</v>
      </c>
      <c r="D313" s="300" t="s">
        <v>1349</v>
      </c>
      <c r="E313" s="300"/>
      <c r="AP313" s="558">
        <v>-11.020949769520294</v>
      </c>
      <c r="AQ313" s="558">
        <v>-18.051064720265074</v>
      </c>
      <c r="AR313" s="558">
        <v>-2.7425586909587296</v>
      </c>
      <c r="AS313" s="558">
        <v>231.89930751960651</v>
      </c>
      <c r="AT313" s="558">
        <v>2730.8110036201206</v>
      </c>
      <c r="AU313" s="558">
        <v>201.92827198668567</v>
      </c>
      <c r="AV313" s="558">
        <v>-6.7599244933730489</v>
      </c>
      <c r="AW313" s="558">
        <v>-2.9192909841230796</v>
      </c>
      <c r="AX313" s="558">
        <v>-11.903977550842558</v>
      </c>
      <c r="AY313" s="558">
        <v>108.66930337321551</v>
      </c>
      <c r="AZ313" s="558">
        <v>66.10221465011243</v>
      </c>
      <c r="BA313" s="558">
        <v>54.894307933115137</v>
      </c>
      <c r="BB313" s="558">
        <v>-1.5969552135791099</v>
      </c>
      <c r="BC313" s="558">
        <v>19.751999647820639</v>
      </c>
      <c r="BD313" s="558">
        <v>23.974977191511606</v>
      </c>
      <c r="BE313" s="558">
        <v>9.0180532268404168</v>
      </c>
      <c r="BF313" s="558">
        <v>26.348055602624278</v>
      </c>
      <c r="BG313" s="310">
        <f>+(BF297*BG307+BF299*BG309+BF300*BG310+BF301*BG311+BF302*BG312)/BF303</f>
        <v>12.618817243014814</v>
      </c>
      <c r="BH313" s="310">
        <f>+(BG297*BH307+BG299*BH309+BG300*BH310+BG301*BH311+BG302*BH312)/BG303</f>
        <v>12.441200911368899</v>
      </c>
      <c r="BI313" s="310">
        <f>+(BH297*BI307+BH299*BI309+BH300*BI310+BH301*BI311+BH302*BI312)/BH303</f>
        <v>-11.619629054743612</v>
      </c>
      <c r="BJ313" s="310">
        <f>+(BI297*BJ307+BI299*BJ309+BI300*BJ310+BI301*BJ311+BI302*BJ312)/BI303</f>
        <v>30.485049374054643</v>
      </c>
      <c r="BK313" s="310">
        <f>+(BJ297*BK307+BJ299*BK309+BJ300*BK310+BJ301*BK311+BJ302*BK312)/BJ303</f>
        <v>17.565187500810996</v>
      </c>
    </row>
    <row r="314" spans="1:85" ht="15.75" customHeight="1">
      <c r="A314" s="300" t="s">
        <v>2137</v>
      </c>
      <c r="D314" s="300" t="s">
        <v>1349</v>
      </c>
      <c r="E314" s="300"/>
      <c r="BG314" s="310">
        <f>+(BF297*BG307+BF299*BG309+BF300*BG310+BF301*BG311)/(BF303-BF302)</f>
        <v>10.372956264038192</v>
      </c>
      <c r="BH314" s="310">
        <f>+(BG297*BH307+BG299*BH309+BG300*BH310+BG301*BH311)/(BG303-BG302)</f>
        <v>5.7541066788419837</v>
      </c>
      <c r="BI314" s="310">
        <f>+(BH297*BI307+BH299*BI309+BH300*BI310+BH301*BI311)/(BH303-BH302)</f>
        <v>-30.48524381176977</v>
      </c>
      <c r="BJ314" s="310">
        <f>+(BI297*BJ307+BI299*BJ309+BI300*BJ310+BI301*BJ311)/(BI303-BI302)</f>
        <v>38.841837708152873</v>
      </c>
      <c r="BK314" s="310">
        <f>+(BJ297*BK307+BJ299*BK309+BJ300*BK310+BJ301*BK311)/(BJ303-BJ302)</f>
        <v>3.8449148754656117</v>
      </c>
      <c r="BL314" s="301">
        <v>-3</v>
      </c>
      <c r="BM314" s="301">
        <v>-3</v>
      </c>
      <c r="BN314" s="301">
        <v>-2</v>
      </c>
      <c r="BO314" s="301">
        <v>-10</v>
      </c>
      <c r="BX314" s="302" t="s">
        <v>1344</v>
      </c>
    </row>
    <row r="315" spans="1:85" ht="15.75" customHeight="1">
      <c r="A315" s="300" t="s">
        <v>2639</v>
      </c>
      <c r="D315" s="300" t="s">
        <v>835</v>
      </c>
      <c r="E315" s="300" t="s">
        <v>732</v>
      </c>
      <c r="AV315" s="557">
        <v>387.82</v>
      </c>
      <c r="AW315" s="557">
        <v>311.10000000000002</v>
      </c>
      <c r="AX315" s="557">
        <v>294</v>
      </c>
      <c r="AY315" s="557">
        <v>279</v>
      </c>
      <c r="AZ315" s="557">
        <v>308.04000000000002</v>
      </c>
      <c r="BA315" s="557">
        <v>271</v>
      </c>
      <c r="BB315" s="557">
        <v>279.02999999999997</v>
      </c>
      <c r="BC315" s="557">
        <v>342.61</v>
      </c>
      <c r="BD315" s="557">
        <v>411.63</v>
      </c>
      <c r="BE315" s="557">
        <v>428.2088544215402</v>
      </c>
      <c r="BF315" s="557">
        <v>600.44786851879712</v>
      </c>
      <c r="BG315" s="557">
        <v>702.14029110936247</v>
      </c>
      <c r="BH315" s="308">
        <v>871.7</v>
      </c>
      <c r="BI315" s="308">
        <v>973</v>
      </c>
      <c r="BJ315" s="308">
        <v>1224.7</v>
      </c>
      <c r="BK315" s="308">
        <v>1569.2</v>
      </c>
      <c r="BL315" s="308">
        <v>1669.5</v>
      </c>
      <c r="BM315" s="308">
        <v>1411.5</v>
      </c>
      <c r="BN315" s="308">
        <v>1265.5999999999999</v>
      </c>
      <c r="BO315" s="308">
        <v>1160.06</v>
      </c>
      <c r="BP315" s="722">
        <v>1249</v>
      </c>
      <c r="BQ315" s="719">
        <v>1250</v>
      </c>
      <c r="BR315" s="722">
        <v>1269</v>
      </c>
      <c r="BS315" s="722">
        <v>1400</v>
      </c>
      <c r="BT315" s="722">
        <v>1531</v>
      </c>
      <c r="BU315" s="722">
        <v>1558</v>
      </c>
      <c r="BV315" s="722">
        <v>1580</v>
      </c>
      <c r="BW315" s="722">
        <v>1599</v>
      </c>
      <c r="BX315" s="722">
        <v>1619</v>
      </c>
      <c r="BY315" s="654">
        <f>BX315*1.03</f>
        <v>1667.57</v>
      </c>
      <c r="BZ315" s="654">
        <f t="shared" ref="BZ315:CG315" si="88">BY315*1.03</f>
        <v>1717.5971</v>
      </c>
      <c r="CA315" s="654">
        <f t="shared" si="88"/>
        <v>1769.1250130000001</v>
      </c>
      <c r="CB315" s="654">
        <f t="shared" si="88"/>
        <v>1822.1987633900001</v>
      </c>
      <c r="CC315" s="654">
        <f t="shared" si="88"/>
        <v>1876.8647262917002</v>
      </c>
      <c r="CD315" s="654">
        <f t="shared" si="88"/>
        <v>1933.1706680804514</v>
      </c>
      <c r="CE315" s="654">
        <f t="shared" si="88"/>
        <v>1991.165788122865</v>
      </c>
      <c r="CF315" s="654">
        <f t="shared" si="88"/>
        <v>2050.9007617665511</v>
      </c>
      <c r="CG315" s="654">
        <f t="shared" si="88"/>
        <v>2112.4277846195478</v>
      </c>
    </row>
    <row r="316" spans="1:85" ht="15.75" customHeight="1">
      <c r="A316" s="300"/>
      <c r="D316" s="300"/>
      <c r="E316" s="300"/>
      <c r="BH316" s="308"/>
      <c r="BI316" s="308"/>
      <c r="BJ316" s="308"/>
      <c r="BK316" s="308"/>
      <c r="BL316" s="308"/>
      <c r="BM316" s="308"/>
      <c r="BN316" s="308"/>
    </row>
    <row r="317" spans="1:85" s="299" customFormat="1">
      <c r="A317" s="298" t="s">
        <v>3169</v>
      </c>
    </row>
    <row r="318" spans="1:85" s="300" customFormat="1">
      <c r="A318" s="304"/>
      <c r="BQ318" s="95" t="s">
        <v>1344</v>
      </c>
      <c r="BR318" s="95"/>
      <c r="BS318" s="300">
        <v>2019</v>
      </c>
      <c r="BT318" s="300">
        <v>2019</v>
      </c>
    </row>
    <row r="319" spans="1:85" s="300" customFormat="1">
      <c r="A319" s="304" t="s">
        <v>3168</v>
      </c>
      <c r="BP319" s="309" t="s">
        <v>734</v>
      </c>
      <c r="BQ319" s="95"/>
      <c r="BR319" s="95" t="s">
        <v>1344</v>
      </c>
      <c r="BS319" s="300" t="s">
        <v>750</v>
      </c>
      <c r="BT319" s="838" t="s">
        <v>3794</v>
      </c>
      <c r="BU319" s="94"/>
    </row>
    <row r="320" spans="1:85" s="304" customFormat="1">
      <c r="A320" s="304" t="s">
        <v>3167</v>
      </c>
      <c r="D320" s="300" t="s">
        <v>1579</v>
      </c>
      <c r="E320" s="302" t="s">
        <v>1588</v>
      </c>
      <c r="BF320" s="304">
        <v>1740</v>
      </c>
      <c r="BG320" s="304">
        <v>2367.9</v>
      </c>
      <c r="BH320" s="304">
        <v>2354.6999999999998</v>
      </c>
      <c r="BI320" s="304">
        <v>2944.6</v>
      </c>
      <c r="BJ320" s="304">
        <v>2606.1999999999998</v>
      </c>
      <c r="BK320" s="304">
        <v>3537.5</v>
      </c>
      <c r="BL320" s="304">
        <v>4024.5</v>
      </c>
      <c r="BM320" s="304">
        <v>3960.2</v>
      </c>
      <c r="BN320" s="304">
        <f t="shared" ref="BN320:BS320" si="89">+BN321+BN324+BN325+BN326</f>
        <v>3750.8999999999996</v>
      </c>
      <c r="BO320" s="304">
        <f t="shared" si="89"/>
        <v>3398.7</v>
      </c>
      <c r="BP320" s="304">
        <f t="shared" si="89"/>
        <v>3519</v>
      </c>
      <c r="BQ320" s="536">
        <f t="shared" si="89"/>
        <v>5114</v>
      </c>
      <c r="BR320" s="536">
        <f t="shared" si="89"/>
        <v>5970</v>
      </c>
      <c r="BS320" s="536">
        <f t="shared" si="89"/>
        <v>6410</v>
      </c>
      <c r="BT320" s="536">
        <f>+BT321+BT324+BT325+BT326</f>
        <v>4506</v>
      </c>
    </row>
    <row r="321" spans="1:76" s="304" customFormat="1">
      <c r="A321" s="329" t="s">
        <v>3166</v>
      </c>
      <c r="D321" s="300" t="s">
        <v>1579</v>
      </c>
      <c r="E321" s="302" t="s">
        <v>1588</v>
      </c>
      <c r="BF321" s="304">
        <v>1207.5</v>
      </c>
      <c r="BG321" s="304">
        <v>1521.1</v>
      </c>
      <c r="BH321" s="304">
        <v>1683.1</v>
      </c>
      <c r="BI321" s="304">
        <v>1832.9</v>
      </c>
      <c r="BJ321" s="304">
        <v>1878.6</v>
      </c>
      <c r="BK321" s="304">
        <v>2667.8</v>
      </c>
      <c r="BL321" s="304">
        <v>3019.1</v>
      </c>
      <c r="BM321" s="304">
        <v>3133.7</v>
      </c>
      <c r="BN321" s="304">
        <v>2859.1</v>
      </c>
      <c r="BO321" s="304">
        <v>2713.9</v>
      </c>
      <c r="BP321" s="536">
        <f>+BP322+BP323</f>
        <v>2586</v>
      </c>
      <c r="BQ321" s="536">
        <f>+BQ322+BQ323</f>
        <v>3544</v>
      </c>
      <c r="BR321" s="536">
        <f>+BR322+BR323</f>
        <v>4142</v>
      </c>
      <c r="BS321" s="536">
        <f>+BS322+BS323</f>
        <v>4431</v>
      </c>
      <c r="BT321" s="536">
        <f>+BT322+BT323</f>
        <v>3098</v>
      </c>
    </row>
    <row r="322" spans="1:76" s="300" customFormat="1">
      <c r="A322" s="325" t="s">
        <v>3165</v>
      </c>
      <c r="D322" s="300" t="s">
        <v>1579</v>
      </c>
      <c r="E322" s="302" t="s">
        <v>1588</v>
      </c>
      <c r="BF322" s="300">
        <v>591.79999999999995</v>
      </c>
      <c r="BG322" s="300">
        <v>767.2</v>
      </c>
      <c r="BH322" s="300">
        <v>835.6</v>
      </c>
      <c r="BI322" s="300">
        <v>965.4</v>
      </c>
      <c r="BJ322" s="300">
        <v>970.6</v>
      </c>
      <c r="BK322" s="300">
        <v>1341</v>
      </c>
      <c r="BL322" s="300">
        <v>1584.6</v>
      </c>
      <c r="BM322" s="300">
        <v>1686.6</v>
      </c>
      <c r="BN322" s="300">
        <v>1450</v>
      </c>
      <c r="BO322" s="300">
        <v>1118.5</v>
      </c>
      <c r="BP322" s="309">
        <v>1226</v>
      </c>
      <c r="BQ322" s="714">
        <v>2002</v>
      </c>
      <c r="BR322" s="654">
        <v>2190</v>
      </c>
      <c r="BS322" s="839">
        <v>1979</v>
      </c>
      <c r="BT322" s="839">
        <v>1408</v>
      </c>
      <c r="BX322" s="94"/>
    </row>
    <row r="323" spans="1:76" s="300" customFormat="1">
      <c r="A323" s="325" t="s">
        <v>3164</v>
      </c>
      <c r="D323" s="300" t="s">
        <v>1579</v>
      </c>
      <c r="E323" s="302" t="s">
        <v>1588</v>
      </c>
      <c r="BF323" s="300">
        <v>615.70000000000005</v>
      </c>
      <c r="BG323" s="300">
        <v>754</v>
      </c>
      <c r="BH323" s="300">
        <v>847.6</v>
      </c>
      <c r="BI323" s="300">
        <v>867.5</v>
      </c>
      <c r="BJ323" s="300">
        <v>907.9</v>
      </c>
      <c r="BK323" s="300">
        <v>1326.8</v>
      </c>
      <c r="BL323" s="300">
        <v>1434.5</v>
      </c>
      <c r="BM323" s="300">
        <v>1447.1</v>
      </c>
      <c r="BN323" s="300">
        <v>1409.1</v>
      </c>
      <c r="BO323" s="300">
        <v>1595.4</v>
      </c>
      <c r="BP323" s="309">
        <v>1360</v>
      </c>
      <c r="BQ323" s="714">
        <v>1542</v>
      </c>
      <c r="BR323" s="654">
        <v>1952</v>
      </c>
      <c r="BS323" s="839">
        <v>2452</v>
      </c>
      <c r="BT323" s="839">
        <v>1690</v>
      </c>
    </row>
    <row r="324" spans="1:76" s="304" customFormat="1">
      <c r="A324" s="329" t="s">
        <v>3163</v>
      </c>
      <c r="D324" s="300" t="s">
        <v>1579</v>
      </c>
      <c r="E324" s="302" t="s">
        <v>1588</v>
      </c>
      <c r="BF324" s="304">
        <v>372.8</v>
      </c>
      <c r="BG324" s="304">
        <v>423.6</v>
      </c>
      <c r="BH324" s="304">
        <v>428</v>
      </c>
      <c r="BI324" s="304">
        <v>757.7</v>
      </c>
      <c r="BJ324" s="304">
        <v>578.5</v>
      </c>
      <c r="BK324" s="304">
        <v>754.3</v>
      </c>
      <c r="BL324" s="304">
        <v>1005.4</v>
      </c>
      <c r="BM324" s="304">
        <v>826.6</v>
      </c>
      <c r="BN324" s="304">
        <v>891.8</v>
      </c>
      <c r="BO324" s="304">
        <v>684.8</v>
      </c>
      <c r="BP324" s="341">
        <v>933</v>
      </c>
      <c r="BQ324" s="714">
        <v>1570</v>
      </c>
      <c r="BR324" s="715">
        <v>1828</v>
      </c>
      <c r="BS324" s="839">
        <v>1979</v>
      </c>
      <c r="BT324" s="839">
        <v>1408</v>
      </c>
    </row>
    <row r="325" spans="1:76" s="304" customFormat="1">
      <c r="A325" s="329" t="s">
        <v>3162</v>
      </c>
      <c r="D325" s="300" t="s">
        <v>1579</v>
      </c>
      <c r="E325" s="302" t="s">
        <v>1588</v>
      </c>
      <c r="BF325" s="304">
        <v>0</v>
      </c>
      <c r="BG325" s="304">
        <v>0</v>
      </c>
      <c r="BH325" s="304">
        <v>0</v>
      </c>
      <c r="BI325" s="304">
        <v>0</v>
      </c>
      <c r="BJ325" s="304">
        <v>0</v>
      </c>
      <c r="BK325" s="304">
        <v>0</v>
      </c>
      <c r="BL325" s="304">
        <v>0</v>
      </c>
      <c r="BM325" s="304">
        <v>0</v>
      </c>
      <c r="BN325" s="304">
        <v>0</v>
      </c>
      <c r="BO325" s="304">
        <v>0</v>
      </c>
      <c r="BP325" s="304">
        <v>0</v>
      </c>
      <c r="BQ325" s="536">
        <v>0</v>
      </c>
      <c r="BR325" s="536"/>
      <c r="BS325" s="840">
        <v>0</v>
      </c>
      <c r="BT325" s="840">
        <v>0</v>
      </c>
    </row>
    <row r="326" spans="1:76" s="304" customFormat="1">
      <c r="A326" s="329" t="s">
        <v>3161</v>
      </c>
      <c r="D326" s="300" t="s">
        <v>1579</v>
      </c>
      <c r="E326" s="302" t="s">
        <v>1588</v>
      </c>
      <c r="BF326" s="304">
        <v>159.69999999999999</v>
      </c>
      <c r="BG326" s="304">
        <v>423.2</v>
      </c>
      <c r="BH326" s="304">
        <v>243.6</v>
      </c>
      <c r="BI326" s="304">
        <v>354.1</v>
      </c>
      <c r="BJ326" s="304">
        <v>149.1</v>
      </c>
      <c r="BK326" s="304">
        <v>115.4</v>
      </c>
      <c r="BL326" s="304">
        <v>0</v>
      </c>
      <c r="BM326" s="304">
        <v>0</v>
      </c>
      <c r="BN326" s="304">
        <v>0</v>
      </c>
      <c r="BO326" s="304">
        <v>0</v>
      </c>
      <c r="BP326" s="304">
        <v>0</v>
      </c>
      <c r="BQ326" s="536">
        <v>0</v>
      </c>
      <c r="BR326" s="536"/>
      <c r="BS326" s="840">
        <v>0</v>
      </c>
      <c r="BT326" s="840">
        <v>0</v>
      </c>
    </row>
    <row r="327" spans="1:76" s="92" customFormat="1">
      <c r="A327" s="92" t="s">
        <v>729</v>
      </c>
      <c r="E327" s="321"/>
      <c r="BP327" s="717">
        <v>105</v>
      </c>
      <c r="BQ327" s="718">
        <v>220</v>
      </c>
      <c r="BR327" s="718">
        <v>993</v>
      </c>
      <c r="BS327" s="714">
        <v>228</v>
      </c>
      <c r="BT327" s="714">
        <v>228</v>
      </c>
    </row>
    <row r="328" spans="1:76" s="304" customFormat="1">
      <c r="A328" s="304" t="s">
        <v>3160</v>
      </c>
      <c r="D328" s="300" t="s">
        <v>1579</v>
      </c>
      <c r="E328" s="302" t="s">
        <v>1588</v>
      </c>
      <c r="BF328" s="304">
        <v>1772.4</v>
      </c>
      <c r="BG328" s="304">
        <v>2018.2</v>
      </c>
      <c r="BH328" s="304">
        <v>2209.8000000000002</v>
      </c>
      <c r="BI328" s="304">
        <v>2859.5</v>
      </c>
      <c r="BJ328" s="304">
        <v>2955.3</v>
      </c>
      <c r="BK328" s="304">
        <v>3551.1</v>
      </c>
      <c r="BL328" s="304">
        <v>4410.6000000000004</v>
      </c>
      <c r="BM328" s="304">
        <v>4728.3999999999996</v>
      </c>
      <c r="BN328" s="304">
        <f t="shared" ref="BN328:BS328" si="90">+BN329+BN335</f>
        <v>5196.7</v>
      </c>
      <c r="BO328" s="304">
        <f t="shared" si="90"/>
        <v>5075.7000000000007</v>
      </c>
      <c r="BP328" s="304">
        <f t="shared" si="90"/>
        <v>5612</v>
      </c>
      <c r="BQ328" s="536">
        <f t="shared" si="90"/>
        <v>7484.5</v>
      </c>
      <c r="BR328" s="536">
        <f t="shared" si="90"/>
        <v>8023</v>
      </c>
      <c r="BS328" s="841">
        <f t="shared" si="90"/>
        <v>10424</v>
      </c>
      <c r="BT328" s="841">
        <f>+BT329+BT335</f>
        <v>9546</v>
      </c>
    </row>
    <row r="329" spans="1:76" s="304" customFormat="1">
      <c r="A329" s="329" t="s">
        <v>3159</v>
      </c>
      <c r="D329" s="300" t="s">
        <v>1579</v>
      </c>
      <c r="E329" s="302" t="s">
        <v>1588</v>
      </c>
      <c r="BF329" s="304">
        <v>1466.7</v>
      </c>
      <c r="BG329" s="304">
        <v>1662.1</v>
      </c>
      <c r="BH329" s="304">
        <v>1743.8</v>
      </c>
      <c r="BI329" s="304">
        <v>2253.1</v>
      </c>
      <c r="BJ329" s="304">
        <v>2402.6</v>
      </c>
      <c r="BK329" s="304">
        <v>2854.2</v>
      </c>
      <c r="BL329" s="304">
        <v>3681.2</v>
      </c>
      <c r="BM329" s="304">
        <v>3972.4</v>
      </c>
      <c r="BN329" s="304">
        <f t="shared" ref="BN329:BS329" si="91">+BN330+BN331+BN332+BN333</f>
        <v>4303.7</v>
      </c>
      <c r="BO329" s="304">
        <f t="shared" si="91"/>
        <v>4641.6000000000004</v>
      </c>
      <c r="BP329" s="304">
        <f t="shared" si="91"/>
        <v>4876</v>
      </c>
      <c r="BQ329" s="536">
        <f t="shared" si="91"/>
        <v>6247.5</v>
      </c>
      <c r="BR329" s="536">
        <f t="shared" si="91"/>
        <v>6803</v>
      </c>
      <c r="BS329" s="841">
        <f t="shared" si="91"/>
        <v>9421</v>
      </c>
      <c r="BT329" s="841">
        <f>+BT330+BT331+BT332+BT333</f>
        <v>8543</v>
      </c>
    </row>
    <row r="330" spans="1:76" s="300" customFormat="1">
      <c r="A330" s="325" t="s">
        <v>3158</v>
      </c>
      <c r="D330" s="300" t="s">
        <v>1579</v>
      </c>
      <c r="E330" s="302" t="s">
        <v>1588</v>
      </c>
      <c r="BF330" s="300">
        <v>603</v>
      </c>
      <c r="BG330" s="300">
        <v>692.4</v>
      </c>
      <c r="BH330" s="300">
        <v>758.5</v>
      </c>
      <c r="BI330" s="300">
        <v>967.6</v>
      </c>
      <c r="BJ330" s="300">
        <v>1075.3</v>
      </c>
      <c r="BK330" s="300">
        <v>1208.8</v>
      </c>
      <c r="BL330" s="300">
        <v>1315.6</v>
      </c>
      <c r="BM330" s="300">
        <v>1425.6</v>
      </c>
      <c r="BN330" s="300">
        <v>1373.3</v>
      </c>
      <c r="BO330" s="300">
        <v>1532.8</v>
      </c>
      <c r="BP330" s="309">
        <v>1602</v>
      </c>
      <c r="BQ330" s="714">
        <v>1922.5</v>
      </c>
      <c r="BR330" s="654">
        <v>2414</v>
      </c>
      <c r="BS330" s="839">
        <v>3269</v>
      </c>
      <c r="BT330" s="855">
        <f>+BS330</f>
        <v>3269</v>
      </c>
    </row>
    <row r="331" spans="1:76" s="300" customFormat="1">
      <c r="A331" s="325" t="s">
        <v>3157</v>
      </c>
      <c r="D331" s="300" t="s">
        <v>1579</v>
      </c>
      <c r="E331" s="302" t="s">
        <v>1588</v>
      </c>
      <c r="BF331" s="300">
        <v>416.7</v>
      </c>
      <c r="BG331" s="300">
        <v>480.8</v>
      </c>
      <c r="BH331" s="300">
        <v>488</v>
      </c>
      <c r="BI331" s="300">
        <v>652.29999999999995</v>
      </c>
      <c r="BJ331" s="300">
        <v>688.6</v>
      </c>
      <c r="BK331" s="300">
        <v>722</v>
      </c>
      <c r="BL331" s="300">
        <v>1246.4000000000001</v>
      </c>
      <c r="BM331" s="300">
        <v>819</v>
      </c>
      <c r="BN331" s="300">
        <v>1402</v>
      </c>
      <c r="BO331" s="300">
        <v>1475</v>
      </c>
      <c r="BP331" s="309">
        <f>1093-BP327</f>
        <v>988</v>
      </c>
      <c r="BQ331" s="714">
        <f>1110-BQ327</f>
        <v>890</v>
      </c>
      <c r="BR331" s="654">
        <f>871-BR327</f>
        <v>-122</v>
      </c>
      <c r="BS331" s="839">
        <v>1342</v>
      </c>
      <c r="BT331" s="839">
        <v>1113</v>
      </c>
    </row>
    <row r="332" spans="1:76" s="300" customFormat="1">
      <c r="A332" s="325" t="s">
        <v>3156</v>
      </c>
      <c r="D332" s="300" t="s">
        <v>1579</v>
      </c>
      <c r="E332" s="302" t="s">
        <v>1588</v>
      </c>
      <c r="BF332" s="300">
        <v>338.6</v>
      </c>
      <c r="BG332" s="300">
        <v>391.7</v>
      </c>
      <c r="BH332" s="300">
        <v>435.6</v>
      </c>
      <c r="BI332" s="300">
        <v>499.9</v>
      </c>
      <c r="BJ332" s="300">
        <v>535.20000000000005</v>
      </c>
      <c r="BK332" s="300">
        <v>783.6</v>
      </c>
      <c r="BL332" s="300">
        <v>978.6</v>
      </c>
      <c r="BM332" s="300">
        <v>1502.2</v>
      </c>
      <c r="BN332" s="300">
        <v>1375.6</v>
      </c>
      <c r="BO332" s="300">
        <v>1384.9</v>
      </c>
      <c r="BP332" s="309">
        <v>1770</v>
      </c>
      <c r="BQ332" s="714">
        <v>2404</v>
      </c>
      <c r="BR332" s="654">
        <v>3501</v>
      </c>
      <c r="BS332" s="839">
        <v>3917</v>
      </c>
      <c r="BT332" s="839">
        <v>2919</v>
      </c>
    </row>
    <row r="333" spans="1:76" s="300" customFormat="1">
      <c r="A333" s="325" t="s">
        <v>3069</v>
      </c>
      <c r="D333" s="300" t="s">
        <v>1579</v>
      </c>
      <c r="E333" s="302" t="s">
        <v>1588</v>
      </c>
      <c r="BF333" s="300">
        <v>108.4</v>
      </c>
      <c r="BG333" s="300">
        <v>97.2</v>
      </c>
      <c r="BH333" s="300">
        <v>61.6</v>
      </c>
      <c r="BI333" s="300">
        <v>133.30000000000001</v>
      </c>
      <c r="BJ333" s="300">
        <v>103.6</v>
      </c>
      <c r="BK333" s="300">
        <v>139.80000000000001</v>
      </c>
      <c r="BL333" s="300">
        <v>140.6</v>
      </c>
      <c r="BM333" s="300">
        <v>225.7</v>
      </c>
      <c r="BN333" s="300">
        <v>152.80000000000001</v>
      </c>
      <c r="BO333" s="300">
        <v>248.9</v>
      </c>
      <c r="BP333" s="309">
        <v>516</v>
      </c>
      <c r="BQ333" s="731">
        <v>1031</v>
      </c>
      <c r="BR333" s="722">
        <v>1010</v>
      </c>
      <c r="BS333" s="839">
        <v>893</v>
      </c>
      <c r="BT333" s="839">
        <v>1242</v>
      </c>
    </row>
    <row r="334" spans="1:76" s="300" customFormat="1">
      <c r="A334" s="325" t="s">
        <v>751</v>
      </c>
      <c r="E334" s="302"/>
      <c r="BP334" s="719">
        <v>360</v>
      </c>
      <c r="BQ334" s="731">
        <v>265</v>
      </c>
      <c r="BR334" s="722">
        <v>686</v>
      </c>
      <c r="BS334" s="731">
        <v>604</v>
      </c>
      <c r="BT334" s="714">
        <v>738</v>
      </c>
    </row>
    <row r="335" spans="1:76" s="304" customFormat="1">
      <c r="A335" s="329" t="s">
        <v>1369</v>
      </c>
      <c r="D335" s="300" t="s">
        <v>1579</v>
      </c>
      <c r="E335" s="302" t="s">
        <v>1588</v>
      </c>
      <c r="BF335" s="304">
        <v>305.7</v>
      </c>
      <c r="BG335" s="304">
        <v>355</v>
      </c>
      <c r="BH335" s="304">
        <v>466</v>
      </c>
      <c r="BI335" s="304">
        <v>606.4</v>
      </c>
      <c r="BJ335" s="304">
        <v>552.70000000000005</v>
      </c>
      <c r="BK335" s="304">
        <v>696.9</v>
      </c>
      <c r="BL335" s="304">
        <v>729.4</v>
      </c>
      <c r="BM335" s="304">
        <v>756</v>
      </c>
      <c r="BN335" s="304">
        <v>893</v>
      </c>
      <c r="BO335" s="304">
        <v>434.1</v>
      </c>
      <c r="BP335" s="341">
        <v>736</v>
      </c>
      <c r="BQ335" s="715">
        <v>1237</v>
      </c>
      <c r="BR335" s="715">
        <v>1220</v>
      </c>
      <c r="BS335" s="839">
        <v>1003</v>
      </c>
      <c r="BT335" s="839">
        <v>1003</v>
      </c>
    </row>
    <row r="336" spans="1:76" s="304" customFormat="1">
      <c r="A336" s="329" t="s">
        <v>1368</v>
      </c>
      <c r="D336" s="300" t="s">
        <v>1579</v>
      </c>
      <c r="E336" s="302" t="s">
        <v>1588</v>
      </c>
      <c r="BF336" s="304">
        <v>0</v>
      </c>
      <c r="BG336" s="304">
        <v>1.1000000000000001</v>
      </c>
      <c r="BH336" s="304">
        <v>0</v>
      </c>
      <c r="BI336" s="304">
        <v>0</v>
      </c>
      <c r="BJ336" s="304">
        <v>0</v>
      </c>
      <c r="BK336" s="304">
        <v>0</v>
      </c>
      <c r="BL336" s="304">
        <v>0</v>
      </c>
      <c r="BM336" s="304">
        <v>0</v>
      </c>
      <c r="BN336" s="304">
        <v>0</v>
      </c>
      <c r="BO336" s="304">
        <v>0</v>
      </c>
      <c r="BP336" s="304">
        <v>0</v>
      </c>
      <c r="BQ336" s="536">
        <v>0</v>
      </c>
      <c r="BR336" s="536"/>
    </row>
    <row r="337" spans="1:72" s="304" customFormat="1">
      <c r="D337" s="300"/>
      <c r="E337" s="302"/>
      <c r="BQ337" s="536"/>
      <c r="BR337" s="536"/>
    </row>
    <row r="338" spans="1:72" s="304" customFormat="1">
      <c r="A338" s="304" t="s">
        <v>1367</v>
      </c>
      <c r="D338" s="300" t="s">
        <v>1579</v>
      </c>
      <c r="E338" s="302" t="s">
        <v>1588</v>
      </c>
      <c r="BF338" s="304">
        <v>117.6</v>
      </c>
      <c r="BG338" s="304">
        <v>108.5</v>
      </c>
      <c r="BH338" s="304">
        <v>11.4</v>
      </c>
      <c r="BI338" s="304">
        <v>-307.60000000000002</v>
      </c>
      <c r="BJ338" s="304">
        <v>43.4</v>
      </c>
      <c r="BK338" s="304">
        <v>-271.10000000000002</v>
      </c>
      <c r="BL338" s="304">
        <v>-58.9</v>
      </c>
      <c r="BM338" s="304">
        <v>-259.39999999999998</v>
      </c>
      <c r="BN338" s="304">
        <v>-164.2</v>
      </c>
      <c r="BO338" s="304">
        <v>-159.30000000000001</v>
      </c>
      <c r="BP338" s="341">
        <v>11</v>
      </c>
      <c r="BQ338" s="714">
        <v>-87</v>
      </c>
      <c r="BR338" s="715">
        <v>-64</v>
      </c>
      <c r="BS338" s="654">
        <v>84</v>
      </c>
      <c r="BT338" s="654">
        <v>84</v>
      </c>
    </row>
    <row r="339" spans="1:72" s="304" customFormat="1">
      <c r="D339" s="300"/>
      <c r="E339" s="302"/>
    </row>
    <row r="340" spans="1:72" s="304" customFormat="1">
      <c r="A340" s="304" t="s">
        <v>1366</v>
      </c>
      <c r="D340" s="300" t="s">
        <v>1579</v>
      </c>
      <c r="E340" s="302" t="s">
        <v>1588</v>
      </c>
      <c r="BF340" s="349">
        <v>85.2</v>
      </c>
      <c r="BG340" s="349">
        <v>458.3</v>
      </c>
      <c r="BH340" s="349">
        <v>156.19999999999999</v>
      </c>
      <c r="BI340" s="349">
        <v>-222.4</v>
      </c>
      <c r="BJ340" s="349">
        <v>-305.8</v>
      </c>
      <c r="BK340" s="349">
        <v>-284.7</v>
      </c>
      <c r="BL340" s="349">
        <v>-445</v>
      </c>
      <c r="BM340" s="349">
        <v>-1027.5</v>
      </c>
      <c r="BN340" s="304">
        <f t="shared" ref="BN340:BS340" si="92">+BN320-BN328</f>
        <v>-1445.8000000000002</v>
      </c>
      <c r="BO340" s="304">
        <f t="shared" si="92"/>
        <v>-1677.0000000000009</v>
      </c>
      <c r="BP340" s="304">
        <f t="shared" si="92"/>
        <v>-2093</v>
      </c>
      <c r="BQ340" s="536">
        <f t="shared" si="92"/>
        <v>-2370.5</v>
      </c>
      <c r="BR340" s="536">
        <f t="shared" si="92"/>
        <v>-2053</v>
      </c>
      <c r="BS340" s="536">
        <f t="shared" si="92"/>
        <v>-4014</v>
      </c>
      <c r="BT340" s="536">
        <f>+BT320-BT328</f>
        <v>-5040</v>
      </c>
    </row>
    <row r="341" spans="1:72" s="304" customFormat="1">
      <c r="A341" s="304" t="s">
        <v>920</v>
      </c>
      <c r="D341" s="300"/>
      <c r="E341" s="302"/>
      <c r="BN341" s="304">
        <v>0</v>
      </c>
      <c r="BO341" s="304">
        <v>0</v>
      </c>
      <c r="BP341" s="341">
        <v>-474</v>
      </c>
      <c r="BQ341" s="715">
        <v>-71</v>
      </c>
      <c r="BR341" s="715">
        <v>563</v>
      </c>
      <c r="BS341" s="341">
        <v>0</v>
      </c>
      <c r="BT341" s="341">
        <v>0</v>
      </c>
    </row>
    <row r="342" spans="1:72" s="92" customFormat="1">
      <c r="A342" s="92" t="s">
        <v>2713</v>
      </c>
      <c r="E342" s="321"/>
      <c r="BN342" s="92">
        <f t="shared" ref="BN342:BS342" si="93">+BN340+BN343+BN341</f>
        <v>-0.3000000000001819</v>
      </c>
      <c r="BO342" s="92">
        <f t="shared" si="93"/>
        <v>-0.30000000000109139</v>
      </c>
      <c r="BP342" s="92">
        <f t="shared" si="93"/>
        <v>94</v>
      </c>
      <c r="BQ342" s="716">
        <f t="shared" si="93"/>
        <v>-43.599999999999909</v>
      </c>
      <c r="BR342" s="716">
        <f t="shared" si="93"/>
        <v>973</v>
      </c>
      <c r="BS342" s="716">
        <f t="shared" si="93"/>
        <v>-1078.7999999999993</v>
      </c>
      <c r="BT342" s="716">
        <f>+BT340+BT343+BT341</f>
        <v>-2104.7999999999993</v>
      </c>
    </row>
    <row r="343" spans="1:72" s="304" customFormat="1">
      <c r="A343" s="304" t="s">
        <v>1365</v>
      </c>
      <c r="D343" s="300" t="s">
        <v>1579</v>
      </c>
      <c r="E343" s="302" t="s">
        <v>1588</v>
      </c>
      <c r="BF343" s="349">
        <v>-85.2</v>
      </c>
      <c r="BG343" s="349">
        <v>-458.3</v>
      </c>
      <c r="BH343" s="349">
        <v>-156.19999999999999</v>
      </c>
      <c r="BI343" s="349">
        <v>222.4</v>
      </c>
      <c r="BJ343" s="349">
        <v>305.8</v>
      </c>
      <c r="BK343" s="349">
        <v>284.7</v>
      </c>
      <c r="BL343" s="349">
        <v>445</v>
      </c>
      <c r="BM343" s="349">
        <v>1027.5</v>
      </c>
      <c r="BN343" s="304">
        <f t="shared" ref="BN343:BS343" si="94">+BN344+BN347</f>
        <v>1445.5</v>
      </c>
      <c r="BO343" s="304">
        <f t="shared" si="94"/>
        <v>1676.6999999999998</v>
      </c>
      <c r="BP343" s="304">
        <f t="shared" si="94"/>
        <v>2661</v>
      </c>
      <c r="BQ343" s="536">
        <f t="shared" si="94"/>
        <v>2397.9</v>
      </c>
      <c r="BR343" s="536">
        <f t="shared" si="94"/>
        <v>2463</v>
      </c>
      <c r="BS343" s="536">
        <f t="shared" si="94"/>
        <v>2935.2000000000007</v>
      </c>
      <c r="BT343" s="536">
        <f>+BT344+BT347</f>
        <v>2935.2000000000007</v>
      </c>
    </row>
    <row r="344" spans="1:72" s="304" customFormat="1">
      <c r="A344" s="329" t="s">
        <v>1364</v>
      </c>
      <c r="D344" s="300" t="s">
        <v>1579</v>
      </c>
      <c r="E344" s="302" t="s">
        <v>1588</v>
      </c>
      <c r="BF344" s="304">
        <v>-79.900000000000006</v>
      </c>
      <c r="BG344" s="304">
        <v>-272.8</v>
      </c>
      <c r="BH344" s="304">
        <v>33.799999999999997</v>
      </c>
      <c r="BI344" s="304">
        <v>-16.3</v>
      </c>
      <c r="BJ344" s="304">
        <v>184.6</v>
      </c>
      <c r="BK344" s="304">
        <v>413.6</v>
      </c>
      <c r="BL344" s="304">
        <v>347.5</v>
      </c>
      <c r="BM344" s="304">
        <v>554.4</v>
      </c>
      <c r="BN344" s="304">
        <v>258.3</v>
      </c>
      <c r="BO344" s="304">
        <v>267.89999999999998</v>
      </c>
      <c r="BP344" s="304">
        <f>+BP345-BP346</f>
        <v>4713</v>
      </c>
      <c r="BQ344" s="304">
        <f>+BQ345-BQ346</f>
        <v>983.7</v>
      </c>
      <c r="BR344" s="304">
        <f>+BR345-BR346</f>
        <v>327</v>
      </c>
      <c r="BS344" s="536">
        <f>+BS345-BS346</f>
        <v>412.8</v>
      </c>
      <c r="BT344" s="536">
        <f>+BT345-BT346</f>
        <v>412.8</v>
      </c>
    </row>
    <row r="345" spans="1:72" s="300" customFormat="1">
      <c r="A345" s="325" t="s">
        <v>1596</v>
      </c>
      <c r="D345" s="300" t="s">
        <v>1579</v>
      </c>
      <c r="E345" s="302" t="s">
        <v>1588</v>
      </c>
      <c r="BF345" s="300">
        <v>49.9</v>
      </c>
      <c r="BG345" s="300">
        <v>80</v>
      </c>
      <c r="BH345" s="300">
        <v>74.400000000000006</v>
      </c>
      <c r="BI345" s="300">
        <v>233.2</v>
      </c>
      <c r="BJ345" s="300">
        <v>231.4</v>
      </c>
      <c r="BK345" s="300">
        <v>482.9</v>
      </c>
      <c r="BL345" s="300">
        <v>497.9</v>
      </c>
      <c r="BM345" s="300">
        <v>614.6</v>
      </c>
      <c r="BN345" s="300">
        <v>371.6</v>
      </c>
      <c r="BO345" s="300">
        <v>387.9</v>
      </c>
      <c r="BP345" s="309">
        <v>5887</v>
      </c>
      <c r="BQ345" s="714">
        <v>1382</v>
      </c>
      <c r="BR345" s="654">
        <v>1381</v>
      </c>
      <c r="BS345" s="654">
        <v>864</v>
      </c>
      <c r="BT345" s="844">
        <v>864</v>
      </c>
    </row>
    <row r="346" spans="1:72" s="300" customFormat="1">
      <c r="A346" s="325" t="s">
        <v>1595</v>
      </c>
      <c r="D346" s="300" t="s">
        <v>1579</v>
      </c>
      <c r="E346" s="302" t="s">
        <v>1588</v>
      </c>
      <c r="BF346" s="300">
        <v>129.80000000000001</v>
      </c>
      <c r="BG346" s="300">
        <v>352.9</v>
      </c>
      <c r="BH346" s="300">
        <v>40.6</v>
      </c>
      <c r="BI346" s="300">
        <v>249.5</v>
      </c>
      <c r="BJ346" s="300">
        <v>46.9</v>
      </c>
      <c r="BK346" s="300">
        <v>69.3</v>
      </c>
      <c r="BL346" s="300">
        <v>150.30000000000001</v>
      </c>
      <c r="BM346" s="300">
        <v>60.2</v>
      </c>
      <c r="BN346" s="300">
        <v>113.3</v>
      </c>
      <c r="BO346" s="300">
        <v>120</v>
      </c>
      <c r="BP346" s="309">
        <v>1174</v>
      </c>
      <c r="BQ346" s="714">
        <v>398.3</v>
      </c>
      <c r="BR346" s="654">
        <v>1054</v>
      </c>
      <c r="BS346" s="654">
        <v>451.2</v>
      </c>
      <c r="BT346" s="844">
        <v>451.2</v>
      </c>
    </row>
    <row r="347" spans="1:72" s="304" customFormat="1">
      <c r="A347" s="329" t="s">
        <v>1594</v>
      </c>
      <c r="D347" s="300" t="s">
        <v>1579</v>
      </c>
      <c r="E347" s="302" t="s">
        <v>1588</v>
      </c>
      <c r="BF347" s="304">
        <v>-5.3</v>
      </c>
      <c r="BG347" s="304">
        <v>-185.4</v>
      </c>
      <c r="BH347" s="304">
        <v>-190</v>
      </c>
      <c r="BI347" s="304">
        <v>238.7</v>
      </c>
      <c r="BJ347" s="304">
        <v>121.2</v>
      </c>
      <c r="BK347" s="304">
        <v>-128.9</v>
      </c>
      <c r="BL347" s="304">
        <v>97.5</v>
      </c>
      <c r="BM347" s="304">
        <v>473.1</v>
      </c>
      <c r="BN347" s="304">
        <f t="shared" ref="BN347:BS347" si="95">+BN348+BN352+BN357+BN358+BN359</f>
        <v>1187.2</v>
      </c>
      <c r="BO347" s="304">
        <f t="shared" si="95"/>
        <v>1408.8</v>
      </c>
      <c r="BP347" s="304">
        <f t="shared" si="95"/>
        <v>-2052</v>
      </c>
      <c r="BQ347" s="304">
        <f t="shared" si="95"/>
        <v>1414.2</v>
      </c>
      <c r="BR347" s="304">
        <f t="shared" si="95"/>
        <v>2136</v>
      </c>
      <c r="BS347" s="536">
        <f t="shared" si="95"/>
        <v>2522.4000000000005</v>
      </c>
      <c r="BT347" s="845">
        <f>+BT348+BT352+BT357+BT358+BT359</f>
        <v>2522.4000000000005</v>
      </c>
    </row>
    <row r="348" spans="1:72" s="300" customFormat="1">
      <c r="A348" s="325" t="s">
        <v>1593</v>
      </c>
      <c r="D348" s="300" t="s">
        <v>1579</v>
      </c>
      <c r="E348" s="302" t="s">
        <v>1588</v>
      </c>
      <c r="BF348" s="300">
        <v>-63.2</v>
      </c>
      <c r="BG348" s="300">
        <v>-133.9</v>
      </c>
      <c r="BH348" s="300">
        <v>-124.2</v>
      </c>
      <c r="BI348" s="300">
        <v>231.3</v>
      </c>
      <c r="BJ348" s="300">
        <v>-7.8</v>
      </c>
      <c r="BK348" s="300">
        <v>-121.5</v>
      </c>
      <c r="BL348" s="300">
        <v>-29.9</v>
      </c>
      <c r="BM348" s="300">
        <v>458.1</v>
      </c>
      <c r="BN348" s="300">
        <v>175.2</v>
      </c>
      <c r="BO348" s="300">
        <f t="shared" ref="BO348:BT348" si="96">+BO349-BO350</f>
        <v>1770.8</v>
      </c>
      <c r="BP348" s="300">
        <f t="shared" si="96"/>
        <v>-402</v>
      </c>
      <c r="BQ348" s="300">
        <f t="shared" si="96"/>
        <v>524.29999999999995</v>
      </c>
      <c r="BR348" s="300">
        <f t="shared" si="96"/>
        <v>-151</v>
      </c>
      <c r="BS348" s="522">
        <f t="shared" si="96"/>
        <v>1730.4</v>
      </c>
      <c r="BT348" s="844">
        <f t="shared" si="96"/>
        <v>1730.4</v>
      </c>
    </row>
    <row r="349" spans="1:72" s="300" customFormat="1">
      <c r="A349" s="326" t="s">
        <v>1591</v>
      </c>
      <c r="D349" s="300" t="s">
        <v>1579</v>
      </c>
      <c r="E349" s="302" t="s">
        <v>1588</v>
      </c>
      <c r="BF349" s="300">
        <v>-33.700000000000003</v>
      </c>
      <c r="BG349" s="300">
        <v>-58.2</v>
      </c>
      <c r="BH349" s="300">
        <v>-56</v>
      </c>
      <c r="BI349" s="300">
        <v>418.9</v>
      </c>
      <c r="BJ349" s="300">
        <v>-155.80000000000001</v>
      </c>
      <c r="BK349" s="300">
        <v>60.7</v>
      </c>
      <c r="BL349" s="300">
        <v>-88.1</v>
      </c>
      <c r="BM349" s="300">
        <v>677.4</v>
      </c>
      <c r="BN349" s="300">
        <v>-413.2</v>
      </c>
      <c r="BO349" s="300">
        <v>1865.8</v>
      </c>
      <c r="BP349" s="309">
        <v>-70</v>
      </c>
      <c r="BQ349" s="714">
        <v>-78.099999999999994</v>
      </c>
      <c r="BR349" s="654">
        <v>-7</v>
      </c>
      <c r="BS349" s="654">
        <v>1608</v>
      </c>
      <c r="BT349" s="844">
        <v>1608</v>
      </c>
    </row>
    <row r="350" spans="1:72" s="300" customFormat="1">
      <c r="A350" s="326" t="s">
        <v>2333</v>
      </c>
      <c r="D350" s="300" t="s">
        <v>1579</v>
      </c>
      <c r="E350" s="302" t="s">
        <v>1588</v>
      </c>
      <c r="BF350" s="300">
        <v>29.5</v>
      </c>
      <c r="BG350" s="300">
        <v>75.7</v>
      </c>
      <c r="BH350" s="300">
        <v>68.2</v>
      </c>
      <c r="BI350" s="300">
        <v>187.6</v>
      </c>
      <c r="BJ350" s="300">
        <v>-148</v>
      </c>
      <c r="BK350" s="300">
        <v>182.2</v>
      </c>
      <c r="BL350" s="300">
        <v>-58.2</v>
      </c>
      <c r="BM350" s="300">
        <v>219.3</v>
      </c>
      <c r="BN350" s="300">
        <v>-588.4</v>
      </c>
      <c r="BO350" s="300">
        <v>95</v>
      </c>
      <c r="BP350" s="309">
        <v>332</v>
      </c>
      <c r="BQ350" s="714">
        <v>-602.4</v>
      </c>
      <c r="BR350" s="654">
        <v>144</v>
      </c>
      <c r="BS350" s="654">
        <v>-122.4</v>
      </c>
      <c r="BT350" s="844">
        <v>-122.4</v>
      </c>
    </row>
    <row r="351" spans="1:72" s="300" customFormat="1">
      <c r="A351" s="330" t="s">
        <v>2322</v>
      </c>
      <c r="D351" s="300" t="s">
        <v>1579</v>
      </c>
      <c r="E351" s="302" t="s">
        <v>1588</v>
      </c>
      <c r="BF351" s="300">
        <v>26.9</v>
      </c>
      <c r="BG351" s="300">
        <v>13.5</v>
      </c>
      <c r="BH351" s="300">
        <v>35.200000000000003</v>
      </c>
      <c r="BI351" s="300">
        <v>43.1</v>
      </c>
      <c r="BJ351" s="300">
        <v>-1</v>
      </c>
      <c r="BK351" s="300">
        <v>155.6</v>
      </c>
      <c r="BL351" s="300">
        <v>-176.7</v>
      </c>
      <c r="BM351" s="300">
        <v>410</v>
      </c>
      <c r="BN351" s="300">
        <v>-513.79999999999995</v>
      </c>
      <c r="BO351" s="300">
        <v>114.3</v>
      </c>
      <c r="BP351" s="309"/>
      <c r="BQ351" s="714"/>
      <c r="BR351" s="654"/>
      <c r="BS351" s="654">
        <v>0</v>
      </c>
      <c r="BT351" s="844">
        <v>0</v>
      </c>
    </row>
    <row r="352" spans="1:72" s="300" customFormat="1">
      <c r="A352" s="325" t="s">
        <v>1592</v>
      </c>
      <c r="D352" s="300" t="s">
        <v>1579</v>
      </c>
      <c r="E352" s="302" t="s">
        <v>1588</v>
      </c>
      <c r="BF352" s="300">
        <v>21.7</v>
      </c>
      <c r="BG352" s="300">
        <v>-57.5</v>
      </c>
      <c r="BH352" s="300">
        <v>-88</v>
      </c>
      <c r="BI352" s="300">
        <v>-42.4</v>
      </c>
      <c r="BJ352" s="300">
        <v>83.4</v>
      </c>
      <c r="BK352" s="300">
        <v>-68.400000000000006</v>
      </c>
      <c r="BL352" s="300">
        <v>83.9</v>
      </c>
      <c r="BM352" s="300">
        <v>76.8</v>
      </c>
      <c r="BN352" s="300">
        <v>554</v>
      </c>
      <c r="BO352" s="300">
        <v>-328</v>
      </c>
      <c r="BP352" s="309">
        <v>405</v>
      </c>
      <c r="BQ352" s="714">
        <v>860</v>
      </c>
      <c r="BR352" s="654">
        <v>50</v>
      </c>
      <c r="BS352" s="654">
        <v>1099.2</v>
      </c>
      <c r="BT352" s="844">
        <v>1099.2</v>
      </c>
    </row>
    <row r="353" spans="1:76" s="300" customFormat="1">
      <c r="A353" s="326" t="s">
        <v>1591</v>
      </c>
      <c r="D353" s="300" t="s">
        <v>1579</v>
      </c>
      <c r="E353" s="302" t="s">
        <v>1588</v>
      </c>
      <c r="BF353" s="300">
        <v>13.5</v>
      </c>
      <c r="BG353" s="300">
        <v>-54.4</v>
      </c>
      <c r="BH353" s="300">
        <v>-64.599999999999994</v>
      </c>
      <c r="BI353" s="300">
        <v>-17.5</v>
      </c>
      <c r="BJ353" s="300">
        <v>105.1</v>
      </c>
      <c r="BK353" s="300">
        <v>-16.8</v>
      </c>
      <c r="BL353" s="300">
        <v>92.1</v>
      </c>
      <c r="BM353" s="300">
        <v>146.30000000000001</v>
      </c>
      <c r="BN353" s="300">
        <v>551.29999999999995</v>
      </c>
      <c r="BO353" s="300">
        <v>-329.8</v>
      </c>
      <c r="BP353" s="309"/>
      <c r="BQ353" s="714">
        <v>-21</v>
      </c>
      <c r="BR353" s="654">
        <f>2*1</f>
        <v>2</v>
      </c>
      <c r="BS353" s="654">
        <v>0</v>
      </c>
      <c r="BT353" s="844">
        <v>0</v>
      </c>
    </row>
    <row r="354" spans="1:76" s="300" customFormat="1">
      <c r="A354" s="330" t="s">
        <v>2323</v>
      </c>
      <c r="D354" s="300" t="s">
        <v>1579</v>
      </c>
      <c r="E354" s="302" t="s">
        <v>1588</v>
      </c>
      <c r="BF354" s="300">
        <v>3.4</v>
      </c>
      <c r="BG354" s="300">
        <v>-55.3</v>
      </c>
      <c r="BH354" s="300">
        <v>-65.599999999999994</v>
      </c>
      <c r="BI354" s="300">
        <v>-17.899999999999999</v>
      </c>
      <c r="BJ354" s="300">
        <v>105.3</v>
      </c>
      <c r="BK354" s="300">
        <v>-16.600000000000001</v>
      </c>
      <c r="BL354" s="300">
        <v>92</v>
      </c>
      <c r="BM354" s="300">
        <v>91.3</v>
      </c>
      <c r="BN354" s="300">
        <v>497.4</v>
      </c>
      <c r="BO354" s="300">
        <v>-334.5</v>
      </c>
      <c r="BP354" s="309"/>
      <c r="BQ354" s="714">
        <v>-602</v>
      </c>
      <c r="BR354" s="654">
        <v>370.3</v>
      </c>
      <c r="BS354" s="654">
        <v>0</v>
      </c>
      <c r="BT354" s="844">
        <v>0</v>
      </c>
    </row>
    <row r="355" spans="1:76" s="300" customFormat="1">
      <c r="A355" s="326" t="s">
        <v>2333</v>
      </c>
      <c r="D355" s="300" t="s">
        <v>1579</v>
      </c>
      <c r="E355" s="302" t="s">
        <v>1588</v>
      </c>
      <c r="BF355" s="300">
        <v>-8.1999999999999993</v>
      </c>
      <c r="BG355" s="300">
        <v>3.1</v>
      </c>
      <c r="BH355" s="300">
        <v>23.4</v>
      </c>
      <c r="BI355" s="300">
        <v>24.9</v>
      </c>
      <c r="BJ355" s="300">
        <v>21.8</v>
      </c>
      <c r="BK355" s="300">
        <v>51.6</v>
      </c>
      <c r="BL355" s="300">
        <v>8.1999999999999993</v>
      </c>
      <c r="BM355" s="300">
        <v>69.400000000000006</v>
      </c>
      <c r="BN355" s="300">
        <v>-2.8</v>
      </c>
      <c r="BO355" s="300">
        <v>-25.7</v>
      </c>
      <c r="BP355" s="309"/>
      <c r="BQ355" s="714">
        <f>12/7*BR355</f>
        <v>63.6</v>
      </c>
      <c r="BR355" s="654">
        <v>37.1</v>
      </c>
      <c r="BS355" s="654">
        <v>0</v>
      </c>
      <c r="BT355" s="844">
        <v>0</v>
      </c>
    </row>
    <row r="356" spans="1:76" s="300" customFormat="1">
      <c r="A356" s="330" t="s">
        <v>2324</v>
      </c>
      <c r="D356" s="300" t="s">
        <v>1579</v>
      </c>
      <c r="E356" s="302" t="s">
        <v>1588</v>
      </c>
      <c r="BF356" s="300">
        <v>2.9</v>
      </c>
      <c r="BG356" s="300">
        <v>-3.1</v>
      </c>
      <c r="BH356" s="300">
        <v>7.9</v>
      </c>
      <c r="BI356" s="300">
        <v>-4.5</v>
      </c>
      <c r="BJ356" s="300">
        <v>9.1</v>
      </c>
      <c r="BK356" s="300">
        <v>2.1</v>
      </c>
      <c r="BL356" s="300">
        <v>-11.2</v>
      </c>
      <c r="BM356" s="300">
        <v>-7.9</v>
      </c>
      <c r="BN356" s="300">
        <v>-0.6</v>
      </c>
      <c r="BO356" s="300">
        <v>-1.2</v>
      </c>
      <c r="BP356" s="309"/>
      <c r="BQ356" s="714">
        <f>12/7*BR356</f>
        <v>49.542857142857137</v>
      </c>
      <c r="BR356" s="654">
        <v>28.9</v>
      </c>
      <c r="BS356" s="654">
        <v>0</v>
      </c>
      <c r="BT356" s="844">
        <v>0</v>
      </c>
    </row>
    <row r="357" spans="1:76" s="300" customFormat="1">
      <c r="A357" s="325" t="s">
        <v>1590</v>
      </c>
      <c r="D357" s="300" t="s">
        <v>1579</v>
      </c>
      <c r="E357" s="302" t="s">
        <v>1588</v>
      </c>
      <c r="BF357" s="300">
        <v>15.9</v>
      </c>
      <c r="BG357" s="300">
        <v>-5.5</v>
      </c>
      <c r="BH357" s="300">
        <v>14.3</v>
      </c>
      <c r="BI357" s="300">
        <v>0.7</v>
      </c>
      <c r="BJ357" s="300">
        <v>0.7</v>
      </c>
      <c r="BK357" s="300">
        <v>8.1</v>
      </c>
      <c r="BL357" s="300">
        <v>10.3</v>
      </c>
      <c r="BM357" s="300">
        <v>16.399999999999999</v>
      </c>
      <c r="BN357" s="300">
        <v>6</v>
      </c>
      <c r="BO357" s="300">
        <v>6</v>
      </c>
      <c r="BP357" s="309">
        <v>29</v>
      </c>
      <c r="BQ357" s="714">
        <v>-21.1</v>
      </c>
      <c r="BR357" s="654">
        <f>2*1</f>
        <v>2</v>
      </c>
      <c r="BS357" s="654">
        <v>0</v>
      </c>
      <c r="BT357" s="844">
        <v>0</v>
      </c>
    </row>
    <row r="358" spans="1:76" s="300" customFormat="1">
      <c r="A358" s="325" t="s">
        <v>1589</v>
      </c>
      <c r="D358" s="300" t="s">
        <v>1579</v>
      </c>
      <c r="E358" s="302" t="s">
        <v>1588</v>
      </c>
      <c r="BF358" s="300">
        <v>20.3</v>
      </c>
      <c r="BG358" s="300">
        <v>11.4</v>
      </c>
      <c r="BH358" s="300">
        <v>7.9</v>
      </c>
      <c r="BI358" s="300">
        <v>49.1</v>
      </c>
      <c r="BJ358" s="300">
        <v>44.9</v>
      </c>
      <c r="BK358" s="300">
        <v>52.9</v>
      </c>
      <c r="BL358" s="300">
        <v>33.1</v>
      </c>
      <c r="BM358" s="300">
        <v>-78.2</v>
      </c>
      <c r="BN358" s="300">
        <v>-21</v>
      </c>
      <c r="BO358" s="300">
        <v>118</v>
      </c>
      <c r="BP358" s="309">
        <v>-2084</v>
      </c>
      <c r="BQ358" s="714">
        <v>51</v>
      </c>
      <c r="BR358" s="654">
        <v>2235</v>
      </c>
      <c r="BS358" s="654">
        <v>-307.2</v>
      </c>
      <c r="BT358" s="844">
        <v>-307.2</v>
      </c>
    </row>
    <row r="359" spans="1:76" s="300" customFormat="1">
      <c r="A359" s="304" t="s">
        <v>919</v>
      </c>
      <c r="E359" s="302"/>
      <c r="BN359" s="300">
        <v>473</v>
      </c>
      <c r="BO359" s="300">
        <v>-158</v>
      </c>
      <c r="BP359" s="309">
        <v>0</v>
      </c>
      <c r="BQ359" s="714">
        <v>0</v>
      </c>
      <c r="BR359" s="654">
        <v>0</v>
      </c>
      <c r="BS359" s="654">
        <v>0</v>
      </c>
      <c r="BT359" s="844">
        <v>0</v>
      </c>
    </row>
    <row r="360" spans="1:76" s="309" customFormat="1">
      <c r="A360" s="309" t="s">
        <v>2400</v>
      </c>
      <c r="BM360" s="654">
        <f t="shared" ref="BM360:BS360" si="97">BM348+BM352+BM357</f>
        <v>551.29999999999995</v>
      </c>
      <c r="BN360" s="654">
        <f t="shared" si="97"/>
        <v>735.2</v>
      </c>
      <c r="BO360" s="654">
        <f t="shared" si="97"/>
        <v>1448.8</v>
      </c>
      <c r="BP360" s="654">
        <f t="shared" si="97"/>
        <v>32</v>
      </c>
      <c r="BQ360" s="654">
        <f t="shared" si="97"/>
        <v>1363.2</v>
      </c>
      <c r="BR360" s="654">
        <f t="shared" si="97"/>
        <v>-99</v>
      </c>
      <c r="BS360" s="654">
        <f t="shared" si="97"/>
        <v>2829.6000000000004</v>
      </c>
      <c r="BT360" s="844">
        <f>BT348+BT352+BT357</f>
        <v>2829.6000000000004</v>
      </c>
    </row>
    <row r="361" spans="1:76" s="95" customFormat="1">
      <c r="A361" s="331" t="s">
        <v>1338</v>
      </c>
    </row>
    <row r="362" spans="1:76" s="95" customFormat="1">
      <c r="A362" s="332" t="s">
        <v>1587</v>
      </c>
      <c r="D362" s="95" t="s">
        <v>1579</v>
      </c>
      <c r="E362" s="95" t="s">
        <v>1580</v>
      </c>
      <c r="I362" s="333"/>
      <c r="J362" s="333"/>
      <c r="K362" s="333"/>
      <c r="L362" s="333">
        <v>0</v>
      </c>
      <c r="M362" s="333">
        <v>0</v>
      </c>
      <c r="N362" s="333">
        <v>0</v>
      </c>
      <c r="O362" s="333">
        <v>0.5</v>
      </c>
      <c r="P362" s="333">
        <v>0</v>
      </c>
      <c r="Q362" s="333">
        <v>0</v>
      </c>
      <c r="R362" s="333">
        <v>0</v>
      </c>
      <c r="S362" s="333">
        <v>2</v>
      </c>
      <c r="T362" s="333">
        <v>0</v>
      </c>
      <c r="U362" s="333">
        <v>3.5</v>
      </c>
      <c r="V362" s="333">
        <v>1.7</v>
      </c>
      <c r="W362" s="333">
        <v>0</v>
      </c>
      <c r="X362" s="333">
        <v>3</v>
      </c>
      <c r="Y362" s="333">
        <v>6.6</v>
      </c>
      <c r="Z362" s="333">
        <v>4.7</v>
      </c>
      <c r="AA362" s="333">
        <v>4.2</v>
      </c>
      <c r="AB362" s="333">
        <v>31.7</v>
      </c>
      <c r="AC362" s="333">
        <v>72.2</v>
      </c>
      <c r="AD362" s="333">
        <v>57.2</v>
      </c>
      <c r="AE362" s="333">
        <v>45.6</v>
      </c>
      <c r="AF362" s="333">
        <v>26.2</v>
      </c>
      <c r="AG362" s="333"/>
      <c r="AH362" s="333">
        <v>168.6</v>
      </c>
      <c r="AI362" s="333">
        <v>446.8</v>
      </c>
      <c r="AJ362" s="333">
        <v>702.3</v>
      </c>
      <c r="AK362" s="333">
        <v>1046</v>
      </c>
      <c r="AL362" s="333">
        <v>1475.3</v>
      </c>
      <c r="AM362" s="333">
        <v>1978</v>
      </c>
      <c r="AN362" s="333">
        <v>2454.6999999999998</v>
      </c>
      <c r="AO362" s="333">
        <v>2828.8</v>
      </c>
      <c r="AP362" s="333">
        <v>2600.6</v>
      </c>
      <c r="AQ362" s="333">
        <v>3231.2</v>
      </c>
      <c r="AR362" s="333">
        <v>3478.9</v>
      </c>
      <c r="AS362" s="333">
        <v>5187.5</v>
      </c>
      <c r="AT362" s="333">
        <v>5272.7</v>
      </c>
      <c r="AU362" s="333">
        <v>4874.8</v>
      </c>
      <c r="AV362" s="333">
        <v>6733.3</v>
      </c>
      <c r="AW362" s="333">
        <v>6341.7</v>
      </c>
      <c r="AX362" s="333">
        <v>16980.2</v>
      </c>
      <c r="AY362" s="333">
        <v>27918.7</v>
      </c>
      <c r="AZ362" s="333">
        <v>192.5</v>
      </c>
      <c r="BA362" s="333">
        <v>47.3</v>
      </c>
      <c r="BB362" s="333">
        <v>255.9</v>
      </c>
      <c r="BC362" s="333">
        <v>272.2</v>
      </c>
      <c r="BD362" s="333">
        <v>325</v>
      </c>
      <c r="BE362" s="333">
        <v>412.8</v>
      </c>
      <c r="BF362" s="333">
        <v>326</v>
      </c>
      <c r="BG362" s="333">
        <v>302.60000000000002</v>
      </c>
      <c r="BH362" s="333">
        <v>397.3</v>
      </c>
      <c r="BI362" s="333">
        <v>652.5</v>
      </c>
      <c r="BJ362" s="333">
        <v>880.6</v>
      </c>
      <c r="BK362" s="333">
        <v>858.3</v>
      </c>
    </row>
    <row r="363" spans="1:76" s="95" customFormat="1" ht="31.5">
      <c r="A363" s="332" t="s">
        <v>1586</v>
      </c>
      <c r="D363" s="95" t="s">
        <v>1579</v>
      </c>
      <c r="E363" s="95" t="s">
        <v>1580</v>
      </c>
      <c r="I363" s="333"/>
      <c r="J363" s="333"/>
      <c r="K363" s="333"/>
      <c r="L363" s="333">
        <v>4</v>
      </c>
      <c r="M363" s="333">
        <v>3.4</v>
      </c>
      <c r="N363" s="333">
        <v>3.1</v>
      </c>
      <c r="O363" s="333">
        <v>2.9</v>
      </c>
      <c r="P363" s="333">
        <v>1.5</v>
      </c>
      <c r="Q363" s="333">
        <v>2.7</v>
      </c>
      <c r="R363" s="333">
        <v>3.1</v>
      </c>
      <c r="S363" s="333">
        <v>2.5</v>
      </c>
      <c r="T363" s="333">
        <v>2.5</v>
      </c>
      <c r="U363" s="333">
        <v>3.1</v>
      </c>
      <c r="V363" s="333">
        <v>2</v>
      </c>
      <c r="W363" s="333">
        <v>6.1</v>
      </c>
      <c r="X363" s="333">
        <v>5.7</v>
      </c>
      <c r="Y363" s="333">
        <v>10.7</v>
      </c>
      <c r="Z363" s="333">
        <v>11.2</v>
      </c>
      <c r="AA363" s="333">
        <v>10.4</v>
      </c>
      <c r="AB363" s="333">
        <v>8.5</v>
      </c>
      <c r="AC363" s="333">
        <v>7.9</v>
      </c>
      <c r="AD363" s="333">
        <v>4.9000000000000004</v>
      </c>
      <c r="AE363" s="333">
        <v>4.7</v>
      </c>
      <c r="AF363" s="333">
        <v>2.6</v>
      </c>
      <c r="AG363" s="333"/>
      <c r="AH363" s="333">
        <v>6</v>
      </c>
      <c r="AI363" s="333">
        <v>36.4</v>
      </c>
      <c r="AJ363" s="333">
        <v>55.7</v>
      </c>
      <c r="AK363" s="333">
        <v>79.3</v>
      </c>
      <c r="AL363" s="333">
        <v>97.9</v>
      </c>
      <c r="AM363" s="333">
        <v>75.2</v>
      </c>
      <c r="AN363" s="333">
        <v>68.900000000000006</v>
      </c>
      <c r="AO363" s="333">
        <v>62.2</v>
      </c>
      <c r="AP363" s="333">
        <v>54.6</v>
      </c>
      <c r="AQ363" s="333">
        <v>53.5</v>
      </c>
      <c r="AR363" s="333">
        <v>140.9</v>
      </c>
      <c r="AS363" s="333">
        <v>220.4</v>
      </c>
      <c r="AT363" s="333">
        <v>265.60000000000002</v>
      </c>
      <c r="AU363" s="333">
        <v>206.7</v>
      </c>
      <c r="AV363" s="333">
        <v>357.7</v>
      </c>
      <c r="AW363" s="333">
        <v>5973</v>
      </c>
      <c r="AX363" s="333">
        <v>18002.5</v>
      </c>
      <c r="AY363" s="333">
        <v>20942.599999999999</v>
      </c>
      <c r="AZ363" s="333">
        <v>73.2</v>
      </c>
      <c r="BA363" s="333">
        <v>110.2</v>
      </c>
      <c r="BB363" s="333">
        <v>94.8</v>
      </c>
      <c r="BC363" s="333">
        <v>95.6</v>
      </c>
      <c r="BD363" s="333">
        <v>158</v>
      </c>
      <c r="BE363" s="333">
        <v>193.4</v>
      </c>
      <c r="BF363" s="333">
        <v>209.4</v>
      </c>
      <c r="BG363" s="333">
        <v>154.19999999999999</v>
      </c>
      <c r="BH363" s="333">
        <v>88.6</v>
      </c>
      <c r="BI363" s="333">
        <v>67.099999999999994</v>
      </c>
      <c r="BJ363" s="333">
        <v>171.9</v>
      </c>
      <c r="BK363" s="333">
        <v>148.6</v>
      </c>
    </row>
    <row r="364" spans="1:76" s="95" customFormat="1" ht="31.5">
      <c r="A364" s="332" t="s">
        <v>1585</v>
      </c>
      <c r="D364" s="95" t="s">
        <v>1579</v>
      </c>
      <c r="E364" s="95" t="s">
        <v>1580</v>
      </c>
      <c r="I364" s="333"/>
      <c r="J364" s="333"/>
      <c r="K364" s="333"/>
      <c r="L364" s="333"/>
      <c r="M364" s="333"/>
      <c r="N364" s="333"/>
      <c r="O364" s="333"/>
      <c r="P364" s="333"/>
      <c r="Q364" s="333"/>
      <c r="R364" s="333"/>
      <c r="S364" s="333"/>
      <c r="T364" s="333"/>
      <c r="U364" s="333"/>
      <c r="V364" s="333"/>
      <c r="W364" s="333"/>
      <c r="X364" s="333"/>
      <c r="Y364" s="333"/>
      <c r="Z364" s="333"/>
      <c r="AA364" s="333"/>
      <c r="AB364" s="333"/>
      <c r="AC364" s="333"/>
      <c r="AD364" s="333"/>
      <c r="AE364" s="333"/>
      <c r="AF364" s="333"/>
      <c r="AG364" s="333"/>
      <c r="AH364" s="333"/>
      <c r="AI364" s="333"/>
      <c r="AJ364" s="333"/>
      <c r="AK364" s="333"/>
      <c r="AL364" s="333">
        <v>26.7</v>
      </c>
      <c r="AM364" s="333">
        <v>24.1</v>
      </c>
      <c r="AN364" s="333">
        <v>28.2</v>
      </c>
      <c r="AO364" s="333">
        <v>23.9</v>
      </c>
      <c r="AP364" s="333">
        <v>471.4</v>
      </c>
      <c r="AQ364" s="333">
        <v>474.2</v>
      </c>
      <c r="AR364" s="333">
        <v>654.79999999999995</v>
      </c>
      <c r="AS364" s="333">
        <v>697.4</v>
      </c>
      <c r="AT364" s="333">
        <v>611.70000000000005</v>
      </c>
      <c r="AU364" s="333">
        <v>224.1</v>
      </c>
      <c r="AV364" s="333">
        <v>162.69999999999999</v>
      </c>
      <c r="AW364" s="333">
        <v>11512.7</v>
      </c>
      <c r="AX364" s="333">
        <v>10790.8</v>
      </c>
      <c r="AY364" s="333"/>
      <c r="AZ364" s="333">
        <v>23.3</v>
      </c>
      <c r="BA364" s="333">
        <v>24.4</v>
      </c>
      <c r="BB364" s="333">
        <v>7.6</v>
      </c>
      <c r="BC364" s="333">
        <v>42.6</v>
      </c>
      <c r="BD364" s="333">
        <v>56.2</v>
      </c>
      <c r="BE364" s="333">
        <v>83</v>
      </c>
      <c r="BF364" s="333">
        <v>118.5</v>
      </c>
      <c r="BG364" s="333">
        <v>126.1</v>
      </c>
      <c r="BH364" s="333">
        <v>147.4</v>
      </c>
      <c r="BI364" s="333">
        <v>196.4</v>
      </c>
      <c r="BJ364" s="333">
        <v>242.6</v>
      </c>
      <c r="BK364" s="333">
        <v>339.7</v>
      </c>
    </row>
    <row r="365" spans="1:76" s="95" customFormat="1">
      <c r="A365" s="332" t="s">
        <v>1581</v>
      </c>
      <c r="D365" s="95" t="s">
        <v>1579</v>
      </c>
      <c r="E365" s="95" t="s">
        <v>1580</v>
      </c>
      <c r="I365" s="333"/>
      <c r="J365" s="333"/>
      <c r="K365" s="333"/>
      <c r="L365" s="333">
        <v>6.9</v>
      </c>
      <c r="M365" s="333">
        <v>4.2</v>
      </c>
      <c r="N365" s="333">
        <v>4.5999999999999996</v>
      </c>
      <c r="O365" s="333">
        <v>4.4000000000000004</v>
      </c>
      <c r="P365" s="333">
        <v>4.3</v>
      </c>
      <c r="Q365" s="333">
        <v>4.4000000000000004</v>
      </c>
      <c r="R365" s="333">
        <v>4.0999999999999996</v>
      </c>
      <c r="S365" s="333">
        <v>3.9</v>
      </c>
      <c r="T365" s="333">
        <v>2.9</v>
      </c>
      <c r="U365" s="333">
        <v>13.5</v>
      </c>
      <c r="V365" s="333">
        <v>12.2</v>
      </c>
      <c r="W365" s="333">
        <v>11.6</v>
      </c>
      <c r="X365" s="333">
        <v>12.6</v>
      </c>
      <c r="Y365" s="333">
        <v>13.9</v>
      </c>
      <c r="Z365" s="333">
        <v>14.5</v>
      </c>
      <c r="AA365" s="333">
        <v>13.7</v>
      </c>
      <c r="AB365" s="333">
        <v>16.899999999999999</v>
      </c>
      <c r="AC365" s="333">
        <v>17.5</v>
      </c>
      <c r="AD365" s="333">
        <v>17.399999999999999</v>
      </c>
      <c r="AE365" s="333">
        <v>20.5</v>
      </c>
      <c r="AF365" s="333">
        <v>22.5</v>
      </c>
      <c r="AG365" s="333"/>
      <c r="AH365" s="333">
        <v>24.7</v>
      </c>
      <c r="AI365" s="333">
        <v>24.1</v>
      </c>
      <c r="AJ365" s="333">
        <v>24.5</v>
      </c>
      <c r="AK365" s="333">
        <v>25.2</v>
      </c>
      <c r="AL365" s="333"/>
      <c r="AM365" s="333"/>
      <c r="AN365" s="333"/>
      <c r="AO365" s="333"/>
      <c r="AP365" s="333"/>
      <c r="AQ365" s="333"/>
      <c r="AR365" s="333"/>
      <c r="AS365" s="333"/>
      <c r="AT365" s="333"/>
      <c r="AU365" s="333"/>
      <c r="AV365" s="333"/>
      <c r="AW365" s="333"/>
      <c r="AX365" s="333"/>
      <c r="AY365" s="333"/>
      <c r="AZ365" s="333">
        <v>0</v>
      </c>
      <c r="BA365" s="333">
        <v>0</v>
      </c>
      <c r="BB365" s="333">
        <v>0</v>
      </c>
      <c r="BC365" s="333">
        <v>0</v>
      </c>
      <c r="BD365" s="333">
        <v>111.4</v>
      </c>
      <c r="BE365" s="333">
        <v>92.6</v>
      </c>
      <c r="BF365" s="333">
        <v>66.8</v>
      </c>
      <c r="BG365" s="333">
        <v>49.6</v>
      </c>
      <c r="BH365" s="333">
        <v>281</v>
      </c>
      <c r="BI365" s="333">
        <v>228.1</v>
      </c>
      <c r="BJ365" s="333">
        <v>203.9</v>
      </c>
      <c r="BK365" s="333">
        <v>175.6</v>
      </c>
      <c r="BP365" s="338" t="s">
        <v>1344</v>
      </c>
      <c r="BS365" s="95" t="s">
        <v>1344</v>
      </c>
      <c r="BT365" s="95" t="s">
        <v>223</v>
      </c>
    </row>
    <row r="366" spans="1:76" s="304" customFormat="1">
      <c r="A366" s="843" t="s">
        <v>3798</v>
      </c>
      <c r="D366" s="300" t="s">
        <v>1579</v>
      </c>
      <c r="E366" s="300" t="s">
        <v>1578</v>
      </c>
      <c r="I366" s="335">
        <v>1</v>
      </c>
      <c r="J366" s="335">
        <v>0.9</v>
      </c>
      <c r="K366" s="335">
        <v>3</v>
      </c>
      <c r="L366" s="335">
        <v>11</v>
      </c>
      <c r="M366" s="335">
        <v>7.6</v>
      </c>
      <c r="N366" s="335">
        <v>7.7</v>
      </c>
      <c r="O366" s="335">
        <v>7.9</v>
      </c>
      <c r="P366" s="335">
        <v>5.8</v>
      </c>
      <c r="Q366" s="335">
        <v>7.1</v>
      </c>
      <c r="R366" s="335">
        <v>7.2</v>
      </c>
      <c r="S366" s="335">
        <v>8.5</v>
      </c>
      <c r="T366" s="335">
        <v>5.3</v>
      </c>
      <c r="U366" s="335">
        <v>20.100000000000001</v>
      </c>
      <c r="V366" s="335">
        <v>15.9</v>
      </c>
      <c r="W366" s="335">
        <v>17.7</v>
      </c>
      <c r="X366" s="335">
        <v>21.3</v>
      </c>
      <c r="Y366" s="335">
        <v>31.2</v>
      </c>
      <c r="Z366" s="335">
        <v>30.4</v>
      </c>
      <c r="AA366" s="335">
        <v>28.3</v>
      </c>
      <c r="AB366" s="335">
        <v>57.1</v>
      </c>
      <c r="AC366" s="335">
        <v>97.6</v>
      </c>
      <c r="AD366" s="335">
        <v>79.5</v>
      </c>
      <c r="AE366" s="335">
        <v>70.8</v>
      </c>
      <c r="AF366" s="335">
        <v>51.3</v>
      </c>
      <c r="AG366" s="335">
        <v>100</v>
      </c>
      <c r="AH366" s="335">
        <v>199.3</v>
      </c>
      <c r="AI366" s="335">
        <v>507.3</v>
      </c>
      <c r="AJ366" s="335">
        <v>782.5</v>
      </c>
      <c r="AK366" s="335">
        <v>1150.5</v>
      </c>
      <c r="AL366" s="335">
        <v>1599.9</v>
      </c>
      <c r="AM366" s="335">
        <v>2077.3000000000002</v>
      </c>
      <c r="AN366" s="335">
        <v>2551.8000000000002</v>
      </c>
      <c r="AO366" s="335">
        <v>2914.9</v>
      </c>
      <c r="AP366" s="335">
        <v>3126.6</v>
      </c>
      <c r="AQ366" s="335">
        <v>3758.9</v>
      </c>
      <c r="AR366" s="335">
        <v>4274.6000000000004</v>
      </c>
      <c r="AS366" s="335">
        <v>6105.3</v>
      </c>
      <c r="AT366" s="335">
        <v>6150</v>
      </c>
      <c r="AU366" s="335">
        <v>5305.6</v>
      </c>
      <c r="AV366" s="335">
        <v>7253.7</v>
      </c>
      <c r="AW366" s="335">
        <v>17883</v>
      </c>
      <c r="AX366" s="335">
        <v>24799.599999999999</v>
      </c>
      <c r="AY366" s="335"/>
      <c r="AZ366" s="335">
        <v>289</v>
      </c>
      <c r="BA366" s="335">
        <v>181.9</v>
      </c>
      <c r="BB366" s="335">
        <v>358.3</v>
      </c>
      <c r="BC366" s="335">
        <v>410.4</v>
      </c>
      <c r="BD366" s="335">
        <v>650.6</v>
      </c>
      <c r="BE366" s="335">
        <v>781.8</v>
      </c>
      <c r="BF366" s="335">
        <v>720.7</v>
      </c>
      <c r="BG366" s="335">
        <v>632.5</v>
      </c>
      <c r="BH366" s="335">
        <v>914.3</v>
      </c>
      <c r="BI366" s="335">
        <v>1144.0999999999999</v>
      </c>
      <c r="BJ366" s="304">
        <v>1497.8</v>
      </c>
      <c r="BK366" s="304">
        <v>1531.9</v>
      </c>
      <c r="BL366" s="337">
        <v>1769.7</v>
      </c>
      <c r="BM366" s="337">
        <v>2749.1</v>
      </c>
      <c r="BN366" s="337">
        <v>2105.1999999999998</v>
      </c>
      <c r="BO366" s="337">
        <v>3817.6</v>
      </c>
      <c r="BP366" s="337">
        <v>3797.1</v>
      </c>
      <c r="BQ366" s="304">
        <v>5243.4459999999999</v>
      </c>
      <c r="BR366" s="304">
        <v>5810.3689999999997</v>
      </c>
      <c r="BS366" s="304">
        <v>7400.0469999999996</v>
      </c>
      <c r="BT366" s="337">
        <v>14611.54718128577</v>
      </c>
    </row>
    <row r="367" spans="1:76" s="304" customFormat="1">
      <c r="A367" s="334"/>
      <c r="BL367" s="337"/>
      <c r="BM367" s="337"/>
      <c r="BN367" s="337"/>
      <c r="BO367" s="337"/>
      <c r="BP367" s="337"/>
      <c r="BT367" s="337"/>
    </row>
    <row r="368" spans="1:76" s="95" customFormat="1">
      <c r="A368" s="331" t="s">
        <v>1339</v>
      </c>
      <c r="D368" s="95" t="s">
        <v>1579</v>
      </c>
      <c r="E368" s="95" t="s">
        <v>1580</v>
      </c>
      <c r="BL368" s="338"/>
      <c r="BM368" s="338"/>
      <c r="BN368" s="338"/>
      <c r="BO368" s="338"/>
      <c r="BP368" s="338"/>
      <c r="BT368" s="338"/>
      <c r="BU368" s="304"/>
      <c r="BV368" s="304"/>
      <c r="BW368" s="304"/>
      <c r="BX368" s="304"/>
    </row>
    <row r="369" spans="1:72" s="95" customFormat="1">
      <c r="A369" s="332" t="s">
        <v>1584</v>
      </c>
      <c r="D369" s="95" t="s">
        <v>1579</v>
      </c>
      <c r="E369" s="95" t="s">
        <v>1580</v>
      </c>
      <c r="I369" s="333"/>
      <c r="J369" s="333"/>
      <c r="K369" s="333"/>
      <c r="L369" s="333">
        <v>0</v>
      </c>
      <c r="M369" s="333">
        <v>0</v>
      </c>
      <c r="N369" s="333">
        <v>0</v>
      </c>
      <c r="O369" s="333">
        <v>0</v>
      </c>
      <c r="P369" s="333">
        <v>0</v>
      </c>
      <c r="Q369" s="333">
        <v>0</v>
      </c>
      <c r="R369" s="333">
        <v>0</v>
      </c>
      <c r="S369" s="333">
        <v>0</v>
      </c>
      <c r="T369" s="333">
        <v>0</v>
      </c>
      <c r="U369" s="333">
        <v>0.6</v>
      </c>
      <c r="V369" s="333">
        <v>2.4</v>
      </c>
      <c r="W369" s="333">
        <v>2.7</v>
      </c>
      <c r="X369" s="333">
        <v>2.9</v>
      </c>
      <c r="Y369" s="333">
        <v>2.9</v>
      </c>
      <c r="Z369" s="333">
        <v>0</v>
      </c>
      <c r="AA369" s="333">
        <v>0</v>
      </c>
      <c r="AB369" s="333">
        <v>0</v>
      </c>
      <c r="AC369" s="333">
        <v>0</v>
      </c>
      <c r="AD369" s="333">
        <v>0</v>
      </c>
      <c r="AE369" s="333">
        <v>0</v>
      </c>
      <c r="AF369" s="333">
        <v>0</v>
      </c>
      <c r="AG369" s="333"/>
      <c r="AH369" s="333">
        <v>0</v>
      </c>
      <c r="AI369" s="333">
        <v>0</v>
      </c>
      <c r="AJ369" s="333">
        <v>3.3</v>
      </c>
      <c r="AK369" s="333">
        <v>4.9000000000000004</v>
      </c>
      <c r="AL369" s="333">
        <v>6.6</v>
      </c>
      <c r="AM369" s="333">
        <v>11.8</v>
      </c>
      <c r="AN369" s="333">
        <v>20.399999999999999</v>
      </c>
      <c r="AO369" s="333">
        <v>28.2</v>
      </c>
      <c r="AP369" s="333">
        <v>33.799999999999997</v>
      </c>
      <c r="AQ369" s="333">
        <v>38.4</v>
      </c>
      <c r="AR369" s="333"/>
      <c r="AS369" s="333"/>
      <c r="AT369" s="333"/>
      <c r="AU369" s="333"/>
      <c r="AV369" s="333"/>
      <c r="AW369" s="333">
        <v>11704.2</v>
      </c>
      <c r="AX369" s="333">
        <v>10698.7</v>
      </c>
      <c r="AY369" s="333">
        <v>51200</v>
      </c>
      <c r="AZ369" s="333">
        <v>94.2</v>
      </c>
      <c r="BA369" s="333">
        <v>87.1</v>
      </c>
      <c r="BB369" s="333">
        <v>102.9</v>
      </c>
      <c r="BC369" s="333">
        <v>146</v>
      </c>
      <c r="BD369" s="333">
        <v>152.6</v>
      </c>
      <c r="BE369" s="333">
        <v>152.1</v>
      </c>
      <c r="BF369" s="333">
        <v>175.4</v>
      </c>
      <c r="BG369" s="333">
        <v>195.7</v>
      </c>
      <c r="BH369" s="333">
        <v>205.2</v>
      </c>
      <c r="BI369" s="333">
        <v>228.8</v>
      </c>
      <c r="BJ369" s="333">
        <v>320.5</v>
      </c>
      <c r="BK369" s="333">
        <v>667</v>
      </c>
      <c r="BL369" s="338"/>
      <c r="BM369" s="338"/>
      <c r="BN369" s="338"/>
      <c r="BO369" s="338"/>
      <c r="BP369" s="338"/>
    </row>
    <row r="370" spans="1:72" s="95" customFormat="1">
      <c r="A370" s="332" t="s">
        <v>1583</v>
      </c>
      <c r="D370" s="95" t="s">
        <v>1579</v>
      </c>
      <c r="E370" s="95" t="s">
        <v>1580</v>
      </c>
      <c r="I370" s="333"/>
      <c r="J370" s="333"/>
      <c r="K370" s="333"/>
      <c r="L370" s="333">
        <v>21.6</v>
      </c>
      <c r="M370" s="333">
        <v>29.8</v>
      </c>
      <c r="N370" s="333">
        <v>37.200000000000003</v>
      </c>
      <c r="O370" s="333">
        <v>49</v>
      </c>
      <c r="P370" s="333">
        <v>55</v>
      </c>
      <c r="Q370" s="333">
        <v>58.2</v>
      </c>
      <c r="R370" s="333">
        <v>65.599999999999994</v>
      </c>
      <c r="S370" s="333">
        <v>69.599999999999994</v>
      </c>
      <c r="T370" s="333">
        <v>69.3</v>
      </c>
      <c r="U370" s="333">
        <v>107.8</v>
      </c>
      <c r="V370" s="333">
        <v>121.5</v>
      </c>
      <c r="W370" s="333">
        <v>128.4</v>
      </c>
      <c r="X370" s="333">
        <v>161.1</v>
      </c>
      <c r="Y370" s="333">
        <v>173.2</v>
      </c>
      <c r="Z370" s="333">
        <v>191.2</v>
      </c>
      <c r="AA370" s="333">
        <v>1.3</v>
      </c>
      <c r="AB370" s="333">
        <v>1.2</v>
      </c>
      <c r="AC370" s="333">
        <v>1</v>
      </c>
      <c r="AD370" s="333">
        <v>0.9</v>
      </c>
      <c r="AE370" s="333">
        <v>0.8</v>
      </c>
      <c r="AF370" s="333">
        <v>0.7</v>
      </c>
      <c r="AG370" s="333"/>
      <c r="AH370" s="333">
        <v>0.4</v>
      </c>
      <c r="AI370" s="333">
        <v>0.3</v>
      </c>
      <c r="AJ370" s="333">
        <v>11.4</v>
      </c>
      <c r="AK370" s="333">
        <v>11.6</v>
      </c>
      <c r="AL370" s="333">
        <v>12.4</v>
      </c>
      <c r="AM370" s="333">
        <v>12.8</v>
      </c>
      <c r="AN370" s="333">
        <v>12.9</v>
      </c>
      <c r="AO370" s="333">
        <v>12.9</v>
      </c>
      <c r="AP370" s="333">
        <v>13.8</v>
      </c>
      <c r="AQ370" s="333">
        <v>13.8</v>
      </c>
      <c r="AR370" s="333"/>
      <c r="AS370" s="333"/>
      <c r="AT370" s="333"/>
      <c r="AU370" s="333"/>
      <c r="AV370" s="333"/>
      <c r="AW370" s="333">
        <v>47072.800000000003</v>
      </c>
      <c r="AX370" s="333">
        <v>46162.2</v>
      </c>
      <c r="AY370" s="333">
        <v>116000</v>
      </c>
      <c r="AZ370" s="333">
        <v>390.9</v>
      </c>
      <c r="BA370" s="333">
        <v>646.79999999999995</v>
      </c>
      <c r="BB370" s="333">
        <v>759.5</v>
      </c>
      <c r="BC370" s="333">
        <v>824.2</v>
      </c>
      <c r="BD370" s="333">
        <v>867.9</v>
      </c>
      <c r="BE370" s="333">
        <v>889.3</v>
      </c>
      <c r="BF370" s="333">
        <v>896.3</v>
      </c>
      <c r="BG370" s="333">
        <v>632.5</v>
      </c>
      <c r="BH370" s="333">
        <v>682.2</v>
      </c>
      <c r="BI370" s="333">
        <v>519.29999999999995</v>
      </c>
      <c r="BJ370" s="333">
        <v>610.79999999999995</v>
      </c>
      <c r="BK370" s="333">
        <v>877</v>
      </c>
      <c r="BL370" s="338"/>
      <c r="BM370" s="338"/>
      <c r="BN370" s="338"/>
      <c r="BO370" s="338"/>
      <c r="BP370" s="338"/>
    </row>
    <row r="371" spans="1:72" s="95" customFormat="1">
      <c r="A371" s="332" t="s">
        <v>1582</v>
      </c>
      <c r="D371" s="95" t="s">
        <v>1579</v>
      </c>
      <c r="E371" s="95" t="s">
        <v>1580</v>
      </c>
      <c r="I371" s="333"/>
      <c r="J371" s="333"/>
      <c r="K371" s="333"/>
      <c r="L371" s="333">
        <v>0</v>
      </c>
      <c r="M371" s="333">
        <v>5.9</v>
      </c>
      <c r="N371" s="333">
        <v>10.199999999999999</v>
      </c>
      <c r="O371" s="333">
        <v>8.5</v>
      </c>
      <c r="P371" s="333">
        <v>5.3</v>
      </c>
      <c r="Q371" s="333">
        <v>4</v>
      </c>
      <c r="R371" s="333">
        <v>2.1</v>
      </c>
      <c r="S371" s="333">
        <v>4</v>
      </c>
      <c r="T371" s="333">
        <v>3.8</v>
      </c>
      <c r="U371" s="333">
        <v>21.9</v>
      </c>
      <c r="V371" s="333">
        <v>27.9</v>
      </c>
      <c r="W371" s="333">
        <v>25.8</v>
      </c>
      <c r="X371" s="333">
        <v>23.5</v>
      </c>
      <c r="Y371" s="333">
        <v>21.2</v>
      </c>
      <c r="Z371" s="333">
        <v>19.600000000000001</v>
      </c>
      <c r="AA371" s="333">
        <v>20.7</v>
      </c>
      <c r="AB371" s="333">
        <v>18.5</v>
      </c>
      <c r="AC371" s="333">
        <v>16.399999999999999</v>
      </c>
      <c r="AD371" s="333">
        <v>54.4</v>
      </c>
      <c r="AE371" s="333">
        <v>51.5</v>
      </c>
      <c r="AF371" s="333">
        <v>48.7</v>
      </c>
      <c r="AG371" s="333"/>
      <c r="AH371" s="333">
        <v>44.8</v>
      </c>
      <c r="AI371" s="333">
        <v>43.2</v>
      </c>
      <c r="AJ371" s="333">
        <v>40.799999999999997</v>
      </c>
      <c r="AK371" s="333">
        <v>38.299999999999997</v>
      </c>
      <c r="AL371" s="333">
        <v>35.200000000000003</v>
      </c>
      <c r="AM371" s="333">
        <v>31.5</v>
      </c>
      <c r="AN371" s="333">
        <v>35.6</v>
      </c>
      <c r="AO371" s="333">
        <v>38.799999999999997</v>
      </c>
      <c r="AP371" s="333">
        <v>28.8</v>
      </c>
      <c r="AQ371" s="333">
        <v>34</v>
      </c>
      <c r="AR371" s="333"/>
      <c r="AS371" s="333"/>
      <c r="AT371" s="333"/>
      <c r="AU371" s="333"/>
      <c r="AV371" s="333"/>
      <c r="AW371" s="333">
        <v>0</v>
      </c>
      <c r="AX371" s="333">
        <v>27038.6</v>
      </c>
      <c r="AY371" s="333">
        <v>94000</v>
      </c>
      <c r="AZ371" s="333">
        <v>99.9</v>
      </c>
      <c r="BA371" s="333">
        <v>37.4</v>
      </c>
      <c r="BB371" s="333">
        <v>82.6</v>
      </c>
      <c r="BC371" s="333">
        <v>45.3</v>
      </c>
      <c r="BD371" s="333">
        <v>36</v>
      </c>
      <c r="BE371" s="333">
        <v>43.6</v>
      </c>
      <c r="BF371" s="333">
        <v>14.2</v>
      </c>
      <c r="BG371" s="333">
        <v>0</v>
      </c>
      <c r="BH371" s="333">
        <v>0</v>
      </c>
      <c r="BI371" s="333">
        <v>0</v>
      </c>
      <c r="BJ371" s="333">
        <v>0</v>
      </c>
      <c r="BK371" s="333">
        <v>0</v>
      </c>
      <c r="BL371" s="338"/>
      <c r="BM371" s="338"/>
      <c r="BN371" s="338"/>
      <c r="BO371" s="338"/>
      <c r="BP371" s="338"/>
    </row>
    <row r="372" spans="1:72" s="95" customFormat="1">
      <c r="A372" s="332" t="s">
        <v>1581</v>
      </c>
      <c r="D372" s="95" t="s">
        <v>1579</v>
      </c>
      <c r="E372" s="95" t="s">
        <v>1580</v>
      </c>
      <c r="I372" s="333"/>
      <c r="J372" s="333"/>
      <c r="K372" s="333"/>
      <c r="L372" s="333"/>
      <c r="M372" s="333"/>
      <c r="N372" s="333"/>
      <c r="O372" s="333"/>
      <c r="P372" s="333"/>
      <c r="Q372" s="333"/>
      <c r="R372" s="333"/>
      <c r="S372" s="333"/>
      <c r="T372" s="333"/>
      <c r="U372" s="333"/>
      <c r="V372" s="333"/>
      <c r="W372" s="333"/>
      <c r="X372" s="333"/>
      <c r="Y372" s="333"/>
      <c r="Z372" s="333"/>
      <c r="AA372" s="333"/>
      <c r="AB372" s="333"/>
      <c r="AC372" s="333"/>
      <c r="AD372" s="333"/>
      <c r="AE372" s="333"/>
      <c r="AF372" s="333"/>
      <c r="AG372" s="333"/>
      <c r="AH372" s="333"/>
      <c r="AI372" s="333"/>
      <c r="AJ372" s="333"/>
      <c r="AK372" s="333"/>
      <c r="AL372" s="333"/>
      <c r="AM372" s="333"/>
      <c r="AN372" s="333"/>
      <c r="AO372" s="333"/>
      <c r="AP372" s="333"/>
      <c r="AQ372" s="333"/>
      <c r="AR372" s="333"/>
      <c r="AS372" s="333"/>
      <c r="AT372" s="333"/>
      <c r="AU372" s="333"/>
      <c r="AV372" s="333"/>
      <c r="AW372" s="333"/>
      <c r="AX372" s="333"/>
      <c r="AY372" s="333"/>
      <c r="AZ372" s="333">
        <v>139.30000000000001</v>
      </c>
      <c r="BA372" s="333">
        <v>189.9</v>
      </c>
      <c r="BB372" s="333">
        <v>151.4</v>
      </c>
      <c r="BC372" s="333">
        <v>195</v>
      </c>
      <c r="BD372" s="333">
        <v>379</v>
      </c>
      <c r="BE372" s="333">
        <v>286.60000000000002</v>
      </c>
      <c r="BF372" s="333">
        <v>297.7</v>
      </c>
      <c r="BG372" s="333">
        <v>391.1</v>
      </c>
      <c r="BH372" s="333">
        <v>901</v>
      </c>
      <c r="BI372" s="333">
        <v>1046.9000000000001</v>
      </c>
      <c r="BJ372" s="333">
        <v>872.1</v>
      </c>
      <c r="BK372" s="333">
        <v>806.7</v>
      </c>
      <c r="BL372" s="338"/>
      <c r="BM372" s="338"/>
      <c r="BN372" s="338"/>
      <c r="BO372" s="338"/>
      <c r="BP372" s="338" t="s">
        <v>1344</v>
      </c>
      <c r="BS372" s="95" t="s">
        <v>1344</v>
      </c>
      <c r="BT372" s="95" t="s">
        <v>223</v>
      </c>
    </row>
    <row r="373" spans="1:72" s="274" customFormat="1">
      <c r="A373" s="334" t="s">
        <v>3133</v>
      </c>
      <c r="D373" s="300" t="s">
        <v>1579</v>
      </c>
      <c r="E373" s="300" t="s">
        <v>1578</v>
      </c>
      <c r="I373" s="335">
        <v>0.8</v>
      </c>
      <c r="J373" s="335">
        <v>7.5</v>
      </c>
      <c r="K373" s="335">
        <v>13.1</v>
      </c>
      <c r="L373" s="335">
        <v>21.6</v>
      </c>
      <c r="M373" s="335">
        <v>35.700000000000003</v>
      </c>
      <c r="N373" s="335">
        <v>47.3</v>
      </c>
      <c r="O373" s="335">
        <v>57.5</v>
      </c>
      <c r="P373" s="335">
        <v>60.3</v>
      </c>
      <c r="Q373" s="335">
        <v>62.2</v>
      </c>
      <c r="R373" s="335">
        <v>67.599999999999994</v>
      </c>
      <c r="S373" s="335">
        <v>73.5</v>
      </c>
      <c r="T373" s="335">
        <v>73.099999999999994</v>
      </c>
      <c r="U373" s="335">
        <v>130.30000000000001</v>
      </c>
      <c r="V373" s="335">
        <v>151.80000000000001</v>
      </c>
      <c r="W373" s="335">
        <v>156.9</v>
      </c>
      <c r="X373" s="335">
        <v>187.5</v>
      </c>
      <c r="Y373" s="335">
        <v>197.3</v>
      </c>
      <c r="Z373" s="335">
        <v>210.8</v>
      </c>
      <c r="AA373" s="335">
        <v>22</v>
      </c>
      <c r="AB373" s="335">
        <v>19.7</v>
      </c>
      <c r="AC373" s="335">
        <v>17.399999999999999</v>
      </c>
      <c r="AD373" s="335">
        <v>55.3</v>
      </c>
      <c r="AE373" s="335">
        <v>52.3</v>
      </c>
      <c r="AF373" s="335">
        <v>49.4</v>
      </c>
      <c r="AG373" s="335">
        <v>46.3</v>
      </c>
      <c r="AH373" s="335">
        <v>45.2</v>
      </c>
      <c r="AI373" s="335">
        <v>43.5</v>
      </c>
      <c r="AJ373" s="335">
        <v>55.5</v>
      </c>
      <c r="AK373" s="335">
        <v>54.8</v>
      </c>
      <c r="AL373" s="335">
        <v>54.2</v>
      </c>
      <c r="AM373" s="335">
        <v>56.1</v>
      </c>
      <c r="AN373" s="335">
        <v>68.900000000000006</v>
      </c>
      <c r="AO373" s="335">
        <v>79.900000000000006</v>
      </c>
      <c r="AP373" s="335">
        <v>76.400000000000006</v>
      </c>
      <c r="AQ373" s="335">
        <v>86.2</v>
      </c>
      <c r="AR373" s="335">
        <v>196.3</v>
      </c>
      <c r="AS373" s="335">
        <v>199.4</v>
      </c>
      <c r="AT373" s="335">
        <v>20842.599999999999</v>
      </c>
      <c r="AU373" s="335">
        <v>60400.9</v>
      </c>
      <c r="AV373" s="335">
        <v>48408.800000000003</v>
      </c>
      <c r="AW373" s="335">
        <v>58777</v>
      </c>
      <c r="AX373" s="335">
        <v>83899.5</v>
      </c>
      <c r="AY373" s="335">
        <v>261200</v>
      </c>
      <c r="AZ373" s="335">
        <v>724.2</v>
      </c>
      <c r="BA373" s="335">
        <v>961.2</v>
      </c>
      <c r="BB373" s="335">
        <v>1096.3</v>
      </c>
      <c r="BC373" s="335">
        <v>1210.5999999999999</v>
      </c>
      <c r="BD373" s="335">
        <v>1435.5</v>
      </c>
      <c r="BE373" s="335">
        <v>1371.7</v>
      </c>
      <c r="BF373" s="335">
        <v>1383.6</v>
      </c>
      <c r="BG373" s="335">
        <v>1219.3</v>
      </c>
      <c r="BH373" s="335">
        <v>1788.4</v>
      </c>
      <c r="BI373" s="335">
        <v>1795</v>
      </c>
      <c r="BJ373" s="95">
        <v>1801.9</v>
      </c>
      <c r="BK373" s="95">
        <v>2348</v>
      </c>
      <c r="BL373" s="338">
        <v>2716.1</v>
      </c>
      <c r="BM373" s="338">
        <v>3297.2</v>
      </c>
      <c r="BN373" s="338">
        <v>3645.4</v>
      </c>
      <c r="BO373" s="338">
        <v>4906.2</v>
      </c>
      <c r="BP373" s="338">
        <v>5758.7</v>
      </c>
      <c r="BQ373" s="95">
        <v>12494.449000000001</v>
      </c>
      <c r="BR373" s="95">
        <v>12900.154</v>
      </c>
      <c r="BS373" s="95">
        <v>14943.616</v>
      </c>
      <c r="BT373" s="841">
        <v>15768.732346801871</v>
      </c>
    </row>
    <row r="374" spans="1:72" s="274" customFormat="1">
      <c r="A374" s="857" t="s">
        <v>3817</v>
      </c>
      <c r="BI374" s="274" t="s">
        <v>3816</v>
      </c>
      <c r="BJ374" s="274">
        <v>3.35</v>
      </c>
      <c r="BK374" s="274">
        <v>3.35</v>
      </c>
      <c r="BL374" s="274">
        <v>3.35</v>
      </c>
      <c r="BM374" s="274">
        <v>3.35</v>
      </c>
      <c r="BN374" s="274">
        <v>3.35</v>
      </c>
      <c r="BO374" s="274">
        <v>4.04</v>
      </c>
      <c r="BP374" s="274">
        <v>4.04</v>
      </c>
      <c r="BQ374" s="274">
        <v>7.4850000000000003</v>
      </c>
      <c r="BR374" s="274">
        <v>7.52</v>
      </c>
      <c r="BS374" s="274">
        <v>7.52</v>
      </c>
      <c r="BT374" s="274">
        <f>BS374</f>
        <v>7.52</v>
      </c>
    </row>
    <row r="375" spans="1:72" s="274" customFormat="1">
      <c r="A375" s="339" t="s">
        <v>1340</v>
      </c>
      <c r="D375" s="300" t="s">
        <v>1579</v>
      </c>
      <c r="E375" s="300" t="s">
        <v>1578</v>
      </c>
      <c r="I375" s="335">
        <v>1.8</v>
      </c>
      <c r="J375" s="335">
        <v>8.4</v>
      </c>
      <c r="K375" s="335">
        <v>16.100000000000001</v>
      </c>
      <c r="L375" s="335">
        <v>32.5</v>
      </c>
      <c r="M375" s="335">
        <v>43.3</v>
      </c>
      <c r="N375" s="335">
        <v>55</v>
      </c>
      <c r="O375" s="335">
        <v>65.3</v>
      </c>
      <c r="P375" s="335">
        <v>66.099999999999994</v>
      </c>
      <c r="Q375" s="335">
        <v>69.2</v>
      </c>
      <c r="R375" s="335">
        <v>74.900000000000006</v>
      </c>
      <c r="S375" s="335">
        <v>82</v>
      </c>
      <c r="T375" s="335">
        <v>78.400000000000006</v>
      </c>
      <c r="U375" s="335">
        <v>150.4</v>
      </c>
      <c r="V375" s="335">
        <v>167.7</v>
      </c>
      <c r="W375" s="335">
        <v>174.6</v>
      </c>
      <c r="X375" s="335">
        <v>208.8</v>
      </c>
      <c r="Y375" s="335">
        <v>228.5</v>
      </c>
      <c r="Z375" s="335">
        <v>241.2</v>
      </c>
      <c r="AA375" s="335">
        <v>50.3</v>
      </c>
      <c r="AB375" s="335">
        <v>76.8</v>
      </c>
      <c r="AC375" s="335">
        <v>115</v>
      </c>
      <c r="AD375" s="335">
        <v>134.80000000000001</v>
      </c>
      <c r="AE375" s="335">
        <v>123.1</v>
      </c>
      <c r="AF375" s="335">
        <v>100.7</v>
      </c>
      <c r="AG375" s="335">
        <v>146.30000000000001</v>
      </c>
      <c r="AH375" s="335">
        <v>244.5</v>
      </c>
      <c r="AI375" s="335">
        <v>550.79999999999995</v>
      </c>
      <c r="AJ375" s="335">
        <v>838</v>
      </c>
      <c r="AK375" s="335">
        <v>1205.3</v>
      </c>
      <c r="AL375" s="335">
        <v>1654.1</v>
      </c>
      <c r="AM375" s="335">
        <v>2133.4</v>
      </c>
      <c r="AN375" s="335">
        <v>2620.6999999999998</v>
      </c>
      <c r="AO375" s="335">
        <v>2994.8</v>
      </c>
      <c r="AP375" s="335">
        <v>3203</v>
      </c>
      <c r="AQ375" s="335">
        <v>3845.1</v>
      </c>
      <c r="AR375" s="335">
        <v>4470.8999999999996</v>
      </c>
      <c r="AS375" s="335">
        <v>6304.7</v>
      </c>
      <c r="AT375" s="335">
        <v>26992.6</v>
      </c>
      <c r="AU375" s="335">
        <v>65706.5</v>
      </c>
      <c r="AV375" s="335">
        <v>55662.5</v>
      </c>
      <c r="AW375" s="335">
        <v>76660</v>
      </c>
      <c r="AX375" s="335">
        <v>108699.1</v>
      </c>
      <c r="AY375" s="335"/>
      <c r="AZ375" s="335">
        <v>1013.2</v>
      </c>
      <c r="BA375" s="335">
        <v>1143.0999999999999</v>
      </c>
      <c r="BB375" s="335">
        <v>1454.6</v>
      </c>
      <c r="BC375" s="335">
        <v>1621</v>
      </c>
      <c r="BD375" s="335">
        <v>2086.1</v>
      </c>
      <c r="BE375" s="335">
        <v>2153.5</v>
      </c>
      <c r="BF375" s="335">
        <v>2104.3000000000002</v>
      </c>
      <c r="BG375" s="335">
        <v>1851.8</v>
      </c>
      <c r="BH375" s="335">
        <v>2702.7</v>
      </c>
      <c r="BI375" s="335">
        <v>2939.1</v>
      </c>
      <c r="BJ375" s="335">
        <v>3302.4</v>
      </c>
      <c r="BK375" s="335">
        <v>3872.9</v>
      </c>
      <c r="BL375" s="336">
        <v>4485.9849999999997</v>
      </c>
      <c r="BM375" s="336">
        <v>6046.08</v>
      </c>
      <c r="BN375" s="336">
        <v>5799.1850000000004</v>
      </c>
      <c r="BO375" s="336">
        <v>7863.1200000000008</v>
      </c>
      <c r="BP375" s="337">
        <f>+BP373+BP366</f>
        <v>9555.7999999999993</v>
      </c>
      <c r="BQ375" s="337">
        <f>+BQ373+BQ366</f>
        <v>17737.895</v>
      </c>
      <c r="BR375" s="337">
        <f>+BR373+BR366</f>
        <v>18710.523000000001</v>
      </c>
      <c r="BS375" s="337">
        <f>+BS373+BS366</f>
        <v>22343.663</v>
      </c>
    </row>
    <row r="376" spans="1:72">
      <c r="A376" s="340"/>
    </row>
    <row r="377" spans="1:72" s="299" customFormat="1">
      <c r="A377" s="298" t="s">
        <v>2329</v>
      </c>
    </row>
    <row r="378" spans="1:72" s="300" customFormat="1">
      <c r="A378" s="304"/>
    </row>
    <row r="379" spans="1:72" s="300" customFormat="1">
      <c r="A379" s="304" t="s">
        <v>2328</v>
      </c>
    </row>
    <row r="380" spans="1:72" s="300" customFormat="1">
      <c r="A380" s="309" t="s">
        <v>949</v>
      </c>
      <c r="E380" s="302" t="s">
        <v>1836</v>
      </c>
      <c r="BF380" s="300">
        <v>26.5</v>
      </c>
      <c r="BG380" s="300">
        <v>23.6</v>
      </c>
      <c r="BH380" s="300">
        <v>20</v>
      </c>
      <c r="BI380" s="300">
        <v>18</v>
      </c>
      <c r="BJ380" s="300">
        <v>17.100000000000001</v>
      </c>
      <c r="BK380" s="300">
        <v>16.2</v>
      </c>
      <c r="BL380" s="300">
        <v>13.9</v>
      </c>
      <c r="BM380" s="300">
        <v>17.3</v>
      </c>
      <c r="BN380" s="300">
        <v>20</v>
      </c>
      <c r="BO380" s="300">
        <v>20.6</v>
      </c>
      <c r="BP380" s="300">
        <v>19.5</v>
      </c>
      <c r="BQ380" s="300">
        <v>15.1</v>
      </c>
      <c r="BR380" s="300">
        <v>12</v>
      </c>
      <c r="BS380" s="300">
        <v>12.7</v>
      </c>
      <c r="BT380" s="300">
        <v>11.2</v>
      </c>
    </row>
    <row r="381" spans="1:72" s="92" customFormat="1">
      <c r="A381" s="92" t="s">
        <v>1811</v>
      </c>
      <c r="D381" s="92" t="s">
        <v>3072</v>
      </c>
      <c r="E381" s="321" t="s">
        <v>1836</v>
      </c>
    </row>
    <row r="382" spans="1:72" s="95" customFormat="1">
      <c r="E382" s="94"/>
    </row>
    <row r="383" spans="1:72" s="304" customFormat="1">
      <c r="A383" s="304" t="s">
        <v>1451</v>
      </c>
      <c r="D383" s="304" t="s">
        <v>3072</v>
      </c>
      <c r="E383" s="274" t="s">
        <v>1836</v>
      </c>
      <c r="BF383" s="304">
        <v>1549.5</v>
      </c>
      <c r="BG383" s="304">
        <v>1939</v>
      </c>
      <c r="BH383" s="304">
        <v>2434.1</v>
      </c>
      <c r="BI383" s="304">
        <v>2677.9</v>
      </c>
      <c r="BJ383" s="304">
        <v>3003.8</v>
      </c>
      <c r="BK383" s="304">
        <v>3546.5</v>
      </c>
      <c r="BL383" s="304">
        <v>4305.3</v>
      </c>
      <c r="BM383" s="304">
        <v>4466.5</v>
      </c>
      <c r="BN383" s="304">
        <v>4650.3999999999996</v>
      </c>
      <c r="BO383" s="304">
        <v>4926.3999999999996</v>
      </c>
      <c r="BP383" s="304">
        <f>+BP388</f>
        <v>6840.1</v>
      </c>
      <c r="BQ383" s="304">
        <v>7754.5</v>
      </c>
      <c r="BR383" s="304">
        <v>8460.9</v>
      </c>
    </row>
    <row r="384" spans="1:72" s="300" customFormat="1">
      <c r="A384" s="306" t="s">
        <v>2327</v>
      </c>
      <c r="D384" s="300" t="s">
        <v>3072</v>
      </c>
      <c r="E384" s="302" t="s">
        <v>1836</v>
      </c>
      <c r="BF384" s="300">
        <v>369.8</v>
      </c>
      <c r="BG384" s="300">
        <v>433.6</v>
      </c>
      <c r="BH384" s="300">
        <v>487.2</v>
      </c>
      <c r="BI384" s="300">
        <v>589.6</v>
      </c>
      <c r="BJ384" s="300">
        <v>688</v>
      </c>
      <c r="BK384" s="300">
        <v>707.9</v>
      </c>
      <c r="BL384" s="300">
        <v>846.1</v>
      </c>
      <c r="BM384" s="300">
        <v>883.9</v>
      </c>
      <c r="BN384" s="300">
        <v>921.3</v>
      </c>
      <c r="BO384" s="300">
        <v>972.6</v>
      </c>
    </row>
    <row r="385" spans="1:72" s="300" customFormat="1">
      <c r="A385" s="306" t="s">
        <v>2326</v>
      </c>
      <c r="D385" s="300" t="s">
        <v>3072</v>
      </c>
      <c r="E385" s="302" t="s">
        <v>1836</v>
      </c>
      <c r="BF385" s="300">
        <v>1179.7</v>
      </c>
      <c r="BG385" s="300">
        <v>1505.3</v>
      </c>
      <c r="BH385" s="300">
        <v>1946.9</v>
      </c>
      <c r="BI385" s="300">
        <v>2088.3000000000002</v>
      </c>
      <c r="BJ385" s="300">
        <v>2315.6999999999998</v>
      </c>
      <c r="BK385" s="300">
        <v>2838.6</v>
      </c>
      <c r="BL385" s="300">
        <v>3459.1</v>
      </c>
      <c r="BM385" s="300">
        <v>3582.6</v>
      </c>
      <c r="BN385" s="300">
        <v>3729.1</v>
      </c>
      <c r="BO385" s="300">
        <v>3953.8</v>
      </c>
    </row>
    <row r="386" spans="1:72" s="300" customFormat="1">
      <c r="E386" s="302"/>
    </row>
    <row r="387" spans="1:72" s="304" customFormat="1">
      <c r="A387" s="341" t="s">
        <v>3038</v>
      </c>
      <c r="D387" s="304" t="s">
        <v>3072</v>
      </c>
      <c r="E387" s="274" t="s">
        <v>1836</v>
      </c>
      <c r="I387" s="304">
        <v>0.03</v>
      </c>
      <c r="J387" s="304">
        <v>0.03</v>
      </c>
      <c r="K387" s="304">
        <v>0.04</v>
      </c>
      <c r="L387" s="304">
        <v>0.04</v>
      </c>
      <c r="M387" s="304">
        <v>0.05</v>
      </c>
      <c r="N387" s="304">
        <v>0.05</v>
      </c>
      <c r="O387" s="304">
        <v>0.06</v>
      </c>
      <c r="P387" s="304">
        <v>7.0000000000000007E-2</v>
      </c>
      <c r="Q387" s="304">
        <v>0.08</v>
      </c>
      <c r="R387" s="304">
        <v>0.09</v>
      </c>
      <c r="S387" s="304">
        <v>0.1</v>
      </c>
      <c r="T387" s="304">
        <v>0.1</v>
      </c>
      <c r="U387" s="304">
        <v>0.1</v>
      </c>
      <c r="V387" s="304">
        <v>0.1</v>
      </c>
      <c r="W387" s="304">
        <v>0.2</v>
      </c>
      <c r="X387" s="304">
        <v>0.2</v>
      </c>
      <c r="Y387" s="304">
        <v>0.2</v>
      </c>
      <c r="Z387" s="304">
        <v>0.2</v>
      </c>
      <c r="AA387" s="304">
        <v>0.3</v>
      </c>
      <c r="AB387" s="304">
        <v>0.4</v>
      </c>
      <c r="AC387" s="304">
        <v>0.5</v>
      </c>
      <c r="AD387" s="304">
        <v>0.6</v>
      </c>
      <c r="AE387" s="304">
        <v>0.6</v>
      </c>
      <c r="AF387" s="304">
        <v>0.7</v>
      </c>
      <c r="AG387" s="304">
        <v>0.8</v>
      </c>
      <c r="AH387" s="304">
        <v>0.9</v>
      </c>
      <c r="AI387" s="304">
        <v>1.1000000000000001</v>
      </c>
      <c r="AJ387" s="304">
        <v>1.2</v>
      </c>
      <c r="AK387" s="304">
        <v>1.6</v>
      </c>
      <c r="AL387" s="337">
        <v>1.97</v>
      </c>
      <c r="AM387" s="304">
        <v>2.5</v>
      </c>
      <c r="AN387" s="304">
        <v>3</v>
      </c>
      <c r="AO387" s="304">
        <v>3.7</v>
      </c>
      <c r="AP387" s="304">
        <v>3.8</v>
      </c>
      <c r="AQ387" s="304">
        <v>4.7</v>
      </c>
      <c r="AR387" s="304">
        <v>5.6</v>
      </c>
      <c r="AS387" s="304">
        <v>9.5</v>
      </c>
      <c r="AT387" s="304">
        <v>37.299999999999997</v>
      </c>
      <c r="AU387" s="304">
        <v>92.1</v>
      </c>
      <c r="AV387" s="304">
        <v>129.1</v>
      </c>
      <c r="AW387" s="304">
        <v>163.80000000000001</v>
      </c>
      <c r="AX387" s="304">
        <v>209.3</v>
      </c>
      <c r="AY387" s="304">
        <v>347.5</v>
      </c>
      <c r="AZ387" s="304">
        <v>695.5</v>
      </c>
      <c r="BA387" s="304">
        <v>938.4</v>
      </c>
      <c r="BB387" s="304">
        <v>1257.5999999999999</v>
      </c>
      <c r="BC387" s="304">
        <v>1497.1</v>
      </c>
      <c r="BD387" s="304">
        <v>1958.1</v>
      </c>
      <c r="BE387" s="304">
        <v>2175.9</v>
      </c>
      <c r="BF387" s="304">
        <v>2793.4</v>
      </c>
      <c r="BG387" s="304">
        <v>3597</v>
      </c>
      <c r="BH387" s="304">
        <v>4336.6000000000004</v>
      </c>
      <c r="BI387" s="304">
        <v>4994.8</v>
      </c>
      <c r="BJ387" s="304">
        <v>5525.2</v>
      </c>
      <c r="BK387" s="304">
        <v>6710</v>
      </c>
      <c r="BL387" s="304">
        <v>8128.5</v>
      </c>
      <c r="BM387" s="304">
        <v>9028.1</v>
      </c>
      <c r="BN387" s="304">
        <v>9520.2000000000007</v>
      </c>
      <c r="BO387" s="304">
        <v>10639.3</v>
      </c>
      <c r="BP387" s="304">
        <v>16193</v>
      </c>
      <c r="BQ387" s="304">
        <v>17601.5</v>
      </c>
      <c r="BR387" s="304">
        <v>19196</v>
      </c>
      <c r="BS387" s="304">
        <v>20289</v>
      </c>
      <c r="BT387" s="304">
        <v>32445</v>
      </c>
    </row>
    <row r="388" spans="1:72" s="300" customFormat="1">
      <c r="A388" s="342" t="s">
        <v>1451</v>
      </c>
      <c r="D388" s="300" t="s">
        <v>3072</v>
      </c>
      <c r="E388" s="302" t="s">
        <v>1836</v>
      </c>
      <c r="BF388" s="300">
        <v>1549.5</v>
      </c>
      <c r="BG388" s="300">
        <v>1939</v>
      </c>
      <c r="BH388" s="300">
        <v>2434.1</v>
      </c>
      <c r="BI388" s="300">
        <v>2677.9</v>
      </c>
      <c r="BJ388" s="300">
        <v>3003.8</v>
      </c>
      <c r="BK388" s="300">
        <v>3546.5</v>
      </c>
      <c r="BL388" s="300">
        <v>4305.3</v>
      </c>
      <c r="BM388" s="300">
        <v>4466.5</v>
      </c>
      <c r="BN388" s="300">
        <v>4650.3999999999996</v>
      </c>
      <c r="BO388" s="300">
        <v>4926.3999999999996</v>
      </c>
      <c r="BP388" s="300">
        <v>6840.1</v>
      </c>
      <c r="BQ388" s="300">
        <f>+BQ383</f>
        <v>7754.5</v>
      </c>
      <c r="BR388" s="300">
        <v>8801</v>
      </c>
      <c r="BS388" s="300">
        <v>9909</v>
      </c>
      <c r="BT388" s="300">
        <v>15974</v>
      </c>
    </row>
    <row r="389" spans="1:72" s="300" customFormat="1">
      <c r="A389" s="342" t="s">
        <v>2325</v>
      </c>
      <c r="D389" s="300" t="s">
        <v>3072</v>
      </c>
      <c r="E389" s="302" t="s">
        <v>1836</v>
      </c>
      <c r="BF389" s="300">
        <v>1211.3</v>
      </c>
      <c r="BG389" s="300">
        <v>1613.8</v>
      </c>
      <c r="BH389" s="300">
        <v>1855</v>
      </c>
      <c r="BI389" s="300">
        <v>2255.8000000000002</v>
      </c>
      <c r="BJ389" s="300">
        <v>2441.3000000000002</v>
      </c>
      <c r="BK389" s="300">
        <v>3055.6</v>
      </c>
      <c r="BL389" s="300">
        <v>3701.2</v>
      </c>
      <c r="BM389" s="300">
        <v>4519.3999999999996</v>
      </c>
      <c r="BN389" s="300">
        <v>4852.1000000000004</v>
      </c>
      <c r="BO389" s="300">
        <v>5694</v>
      </c>
      <c r="BP389" s="300">
        <v>9314.6</v>
      </c>
      <c r="BQ389" s="300">
        <v>9804.2999999999993</v>
      </c>
      <c r="BR389" s="300">
        <v>10354</v>
      </c>
      <c r="BS389" s="300">
        <v>10326</v>
      </c>
      <c r="BT389" s="300">
        <v>16403</v>
      </c>
    </row>
    <row r="390" spans="1:72" s="300" customFormat="1">
      <c r="A390" s="342" t="s">
        <v>1838</v>
      </c>
      <c r="D390" s="300" t="s">
        <v>3072</v>
      </c>
      <c r="E390" s="302" t="s">
        <v>1836</v>
      </c>
      <c r="BF390" s="300">
        <v>32.5</v>
      </c>
      <c r="BG390" s="300">
        <v>44.2</v>
      </c>
      <c r="BH390" s="300">
        <v>47.5</v>
      </c>
      <c r="BI390" s="300">
        <v>61.1</v>
      </c>
      <c r="BJ390" s="300">
        <v>80</v>
      </c>
      <c r="BK390" s="300">
        <v>108</v>
      </c>
      <c r="BL390" s="300">
        <v>122.1</v>
      </c>
      <c r="BM390" s="300">
        <v>42.2</v>
      </c>
      <c r="BN390" s="300">
        <v>17.7</v>
      </c>
      <c r="BO390" s="300">
        <v>18.899999999999999</v>
      </c>
      <c r="BP390" s="300">
        <v>38.4</v>
      </c>
      <c r="BQ390" s="300">
        <v>42.7</v>
      </c>
      <c r="BR390" s="95">
        <v>41.6</v>
      </c>
      <c r="BS390" s="300">
        <v>53.2</v>
      </c>
      <c r="BT390" s="300">
        <v>67.8</v>
      </c>
    </row>
    <row r="391" spans="1:72" s="300" customFormat="1">
      <c r="A391" s="306"/>
      <c r="E391" s="302"/>
      <c r="BO391" s="300" t="s">
        <v>1344</v>
      </c>
      <c r="BR391" s="300" t="s">
        <v>1344</v>
      </c>
    </row>
    <row r="392" spans="1:72" s="304" customFormat="1" ht="13.5" customHeight="1">
      <c r="A392" s="343" t="s">
        <v>1837</v>
      </c>
      <c r="D392" s="304" t="s">
        <v>3072</v>
      </c>
      <c r="E392" s="274" t="s">
        <v>1836</v>
      </c>
      <c r="AR392" s="304">
        <v>0</v>
      </c>
      <c r="AS392" s="304">
        <v>0.2</v>
      </c>
      <c r="AT392" s="304">
        <v>9</v>
      </c>
      <c r="AU392" s="304">
        <v>13</v>
      </c>
      <c r="AV392" s="304">
        <v>20</v>
      </c>
      <c r="AW392" s="304">
        <v>28</v>
      </c>
      <c r="AX392" s="304">
        <v>34</v>
      </c>
      <c r="AY392" s="304">
        <v>105</v>
      </c>
      <c r="AZ392" s="304">
        <v>255</v>
      </c>
      <c r="BA392" s="304">
        <v>368</v>
      </c>
      <c r="BB392" s="304">
        <v>487</v>
      </c>
      <c r="BC392" s="304">
        <v>699</v>
      </c>
      <c r="BD392" s="304">
        <v>969.4</v>
      </c>
      <c r="BE392" s="304">
        <v>1050.9000000000001</v>
      </c>
      <c r="BF392" s="304">
        <v>1333.2</v>
      </c>
      <c r="BG392" s="304">
        <v>1723.8</v>
      </c>
      <c r="BH392" s="304">
        <v>2180.1</v>
      </c>
      <c r="BI392" s="304">
        <v>2295.3000000000002</v>
      </c>
      <c r="BJ392" s="304">
        <v>2379.8000000000002</v>
      </c>
      <c r="BK392" s="304">
        <v>3291.6</v>
      </c>
      <c r="BL392" s="304">
        <v>3741.4</v>
      </c>
      <c r="BM392" s="304">
        <v>4274.3</v>
      </c>
      <c r="BN392" s="304">
        <v>4536.8</v>
      </c>
      <c r="BO392" s="304">
        <v>5570.5</v>
      </c>
      <c r="BP392" s="304">
        <v>10471.799999999999</v>
      </c>
      <c r="BQ392" s="304">
        <v>11183.7</v>
      </c>
      <c r="BR392" s="304">
        <v>11467</v>
      </c>
      <c r="BS392" s="304">
        <v>10798</v>
      </c>
      <c r="BT392" s="304">
        <v>20071</v>
      </c>
    </row>
    <row r="393" spans="1:72" s="304" customFormat="1" ht="13.5" customHeight="1">
      <c r="A393" s="344"/>
      <c r="E393" s="274"/>
      <c r="BF393" s="304" t="s">
        <v>1344</v>
      </c>
    </row>
    <row r="394" spans="1:72" s="304" customFormat="1" ht="13.5" customHeight="1">
      <c r="A394" s="344" t="s">
        <v>1835</v>
      </c>
      <c r="E394" s="274"/>
    </row>
    <row r="395" spans="1:72" s="304" customFormat="1" ht="13.5" customHeight="1">
      <c r="A395" s="344" t="s">
        <v>1834</v>
      </c>
      <c r="D395" s="304" t="s">
        <v>3072</v>
      </c>
      <c r="E395" s="274" t="s">
        <v>1808</v>
      </c>
    </row>
    <row r="396" spans="1:72" s="304" customFormat="1" ht="13.5" customHeight="1">
      <c r="A396" s="329" t="s">
        <v>1833</v>
      </c>
      <c r="D396" s="304" t="s">
        <v>3072</v>
      </c>
      <c r="E396" s="274" t="s">
        <v>1808</v>
      </c>
      <c r="BF396" s="304">
        <v>683.5</v>
      </c>
      <c r="BG396" s="304">
        <v>1145.0999999999999</v>
      </c>
      <c r="BH396" s="304">
        <v>1725.1</v>
      </c>
      <c r="BI396" s="304">
        <v>1571.4</v>
      </c>
      <c r="BJ396" s="304">
        <v>1669.1</v>
      </c>
      <c r="BK396" s="304">
        <v>2603.6</v>
      </c>
      <c r="BL396" s="304">
        <v>2977</v>
      </c>
      <c r="BM396" s="304">
        <v>2224.6</v>
      </c>
      <c r="BN396" s="304">
        <v>1672.4</v>
      </c>
      <c r="BO396" s="304">
        <v>378.7</v>
      </c>
      <c r="BP396" s="304">
        <v>1162.7</v>
      </c>
    </row>
    <row r="397" spans="1:72" s="304" customFormat="1" ht="13.5" customHeight="1">
      <c r="A397" s="325" t="s">
        <v>1832</v>
      </c>
      <c r="D397" s="300" t="s">
        <v>3072</v>
      </c>
      <c r="E397" s="302" t="s">
        <v>1808</v>
      </c>
      <c r="BF397" s="300">
        <v>725.8</v>
      </c>
      <c r="BG397" s="300">
        <v>1186.5999999999999</v>
      </c>
      <c r="BH397" s="300">
        <v>1765.5</v>
      </c>
      <c r="BI397" s="300">
        <v>1954.1</v>
      </c>
      <c r="BJ397" s="300">
        <v>2044.6</v>
      </c>
      <c r="BK397" s="300">
        <v>3051.4</v>
      </c>
      <c r="BL397" s="300">
        <v>3431.5</v>
      </c>
      <c r="BM397" s="300">
        <v>2678.1</v>
      </c>
      <c r="BN397" s="300">
        <v>2100.9</v>
      </c>
      <c r="BO397" s="300">
        <v>1415</v>
      </c>
    </row>
    <row r="398" spans="1:72" s="304" customFormat="1" ht="13.5" customHeight="1">
      <c r="A398" s="345" t="s">
        <v>1823</v>
      </c>
      <c r="B398" s="341"/>
      <c r="C398" s="341"/>
      <c r="D398" s="300" t="s">
        <v>3072</v>
      </c>
      <c r="E398" s="302" t="s">
        <v>1808</v>
      </c>
      <c r="BF398" s="309">
        <v>642</v>
      </c>
      <c r="BG398" s="309">
        <v>1088.9000000000001</v>
      </c>
      <c r="BH398" s="309">
        <v>1632.7</v>
      </c>
      <c r="BI398" s="309">
        <v>1779.3</v>
      </c>
      <c r="BJ398" s="309">
        <v>1871.7</v>
      </c>
      <c r="BK398" s="309">
        <v>2655.9</v>
      </c>
      <c r="BL398" s="309">
        <v>3277.5</v>
      </c>
      <c r="BM398" s="309">
        <v>2530.6</v>
      </c>
      <c r="BN398" s="309">
        <v>2031.5</v>
      </c>
      <c r="BO398" s="309">
        <v>1307.9000000000001</v>
      </c>
      <c r="BP398" s="341">
        <v>2801.1</v>
      </c>
      <c r="BQ398" s="304">
        <v>3138.6</v>
      </c>
    </row>
    <row r="399" spans="1:72" s="304" customFormat="1" ht="13.5" customHeight="1">
      <c r="A399" s="330" t="s">
        <v>1831</v>
      </c>
      <c r="D399" s="300" t="s">
        <v>3072</v>
      </c>
      <c r="E399" s="302" t="s">
        <v>1808</v>
      </c>
      <c r="BF399" s="300">
        <v>58.9</v>
      </c>
      <c r="BG399" s="300">
        <v>90</v>
      </c>
      <c r="BH399" s="300">
        <v>110</v>
      </c>
      <c r="BI399" s="300">
        <v>163.80000000000001</v>
      </c>
      <c r="BJ399" s="300">
        <v>241.4</v>
      </c>
      <c r="BK399" s="300">
        <v>352.7</v>
      </c>
      <c r="BL399" s="300">
        <v>400.6</v>
      </c>
      <c r="BM399" s="300">
        <v>131.1</v>
      </c>
      <c r="BN399" s="300">
        <v>168.5</v>
      </c>
      <c r="BO399" s="300">
        <v>180.5</v>
      </c>
    </row>
    <row r="400" spans="1:72" s="304" customFormat="1" ht="13.5" customHeight="1">
      <c r="A400" s="330" t="s">
        <v>1830</v>
      </c>
      <c r="D400" s="300" t="s">
        <v>3072</v>
      </c>
      <c r="E400" s="302" t="s">
        <v>1808</v>
      </c>
      <c r="BF400" s="300">
        <v>3.4</v>
      </c>
      <c r="BG400" s="300">
        <v>2.4</v>
      </c>
      <c r="BH400" s="300">
        <v>1.5</v>
      </c>
      <c r="BI400" s="300">
        <v>342.7</v>
      </c>
      <c r="BJ400" s="300">
        <v>336.6</v>
      </c>
      <c r="BK400" s="300">
        <v>401</v>
      </c>
      <c r="BL400" s="300">
        <v>402.6</v>
      </c>
      <c r="BM400" s="300">
        <v>406.8</v>
      </c>
      <c r="BN400" s="300">
        <v>382.5</v>
      </c>
      <c r="BO400" s="300">
        <v>248.6</v>
      </c>
    </row>
    <row r="401" spans="1:68" s="304" customFormat="1" ht="13.5" customHeight="1">
      <c r="A401" s="330" t="s">
        <v>1829</v>
      </c>
      <c r="D401" s="300" t="s">
        <v>3072</v>
      </c>
      <c r="E401" s="302" t="s">
        <v>1808</v>
      </c>
      <c r="BF401" s="300">
        <v>4.3</v>
      </c>
      <c r="BG401" s="300">
        <v>3.3</v>
      </c>
      <c r="BH401" s="300">
        <v>5.5</v>
      </c>
      <c r="BI401" s="300">
        <v>3.2</v>
      </c>
      <c r="BJ401" s="300">
        <v>7.9</v>
      </c>
      <c r="BK401" s="300">
        <v>78.599999999999994</v>
      </c>
      <c r="BL401" s="300">
        <v>46.2</v>
      </c>
      <c r="BM401" s="300">
        <v>69.599999999999994</v>
      </c>
      <c r="BN401" s="300">
        <v>29.6</v>
      </c>
      <c r="BO401" s="300">
        <v>32.1</v>
      </c>
    </row>
    <row r="402" spans="1:68" s="304" customFormat="1" ht="13.5" customHeight="1">
      <c r="A402" s="330" t="s">
        <v>1828</v>
      </c>
      <c r="D402" s="300" t="s">
        <v>3072</v>
      </c>
      <c r="E402" s="302" t="s">
        <v>1808</v>
      </c>
      <c r="BF402" s="300">
        <v>450.8</v>
      </c>
      <c r="BG402" s="300">
        <v>564.6</v>
      </c>
      <c r="BH402" s="300">
        <v>1039.7</v>
      </c>
      <c r="BI402" s="300">
        <v>996.5</v>
      </c>
      <c r="BJ402" s="300">
        <v>857.9</v>
      </c>
      <c r="BK402" s="300">
        <v>980.5</v>
      </c>
      <c r="BL402" s="300">
        <v>1358.3</v>
      </c>
      <c r="BM402" s="300">
        <v>951.2</v>
      </c>
      <c r="BN402" s="300">
        <v>547</v>
      </c>
      <c r="BO402" s="300">
        <v>760.1</v>
      </c>
    </row>
    <row r="403" spans="1:68" s="304" customFormat="1" ht="13.5" customHeight="1">
      <c r="A403" s="330" t="s">
        <v>1827</v>
      </c>
      <c r="D403" s="300" t="s">
        <v>3072</v>
      </c>
      <c r="E403" s="302" t="s">
        <v>1808</v>
      </c>
      <c r="BF403" s="300">
        <v>99.7</v>
      </c>
      <c r="BG403" s="300">
        <v>402.4</v>
      </c>
      <c r="BH403" s="300">
        <v>450.3</v>
      </c>
      <c r="BI403" s="300">
        <v>247.1</v>
      </c>
      <c r="BJ403" s="300">
        <v>402.3</v>
      </c>
      <c r="BK403" s="300">
        <v>812.6</v>
      </c>
      <c r="BL403" s="300">
        <v>1039.2</v>
      </c>
      <c r="BM403" s="300">
        <v>941.2</v>
      </c>
      <c r="BN403" s="300">
        <v>875</v>
      </c>
      <c r="BO403" s="300">
        <v>86.6</v>
      </c>
    </row>
    <row r="404" spans="1:68" s="304" customFormat="1" ht="13.5" customHeight="1">
      <c r="A404" s="330" t="s">
        <v>1826</v>
      </c>
      <c r="D404" s="300" t="s">
        <v>3072</v>
      </c>
      <c r="E404" s="302" t="s">
        <v>1808</v>
      </c>
      <c r="BF404" s="300">
        <v>25</v>
      </c>
      <c r="BG404" s="300">
        <v>26.2</v>
      </c>
      <c r="BH404" s="300">
        <v>25.6</v>
      </c>
      <c r="BI404" s="300">
        <v>26</v>
      </c>
      <c r="BJ404" s="300">
        <v>25.6</v>
      </c>
      <c r="BK404" s="300">
        <v>30.5</v>
      </c>
      <c r="BL404" s="300">
        <v>30.6</v>
      </c>
      <c r="BM404" s="300">
        <v>30.7</v>
      </c>
      <c r="BN404" s="300">
        <v>28.8</v>
      </c>
      <c r="BO404" s="300">
        <v>0</v>
      </c>
    </row>
    <row r="405" spans="1:68" s="300" customFormat="1" ht="13.5" customHeight="1">
      <c r="A405" s="326" t="s">
        <v>1825</v>
      </c>
      <c r="D405" s="300" t="s">
        <v>3072</v>
      </c>
      <c r="E405" s="302" t="s">
        <v>1808</v>
      </c>
      <c r="BF405" s="300">
        <v>83.8</v>
      </c>
      <c r="BG405" s="300">
        <v>97.7</v>
      </c>
      <c r="BH405" s="300">
        <v>132.80000000000001</v>
      </c>
      <c r="BI405" s="300">
        <v>174.8</v>
      </c>
      <c r="BJ405" s="300">
        <v>173</v>
      </c>
      <c r="BK405" s="300">
        <v>395.6</v>
      </c>
      <c r="BL405" s="300">
        <v>153.9</v>
      </c>
      <c r="BM405" s="300">
        <v>147.5</v>
      </c>
      <c r="BN405" s="300">
        <v>69.3</v>
      </c>
      <c r="BO405" s="300">
        <v>107.1</v>
      </c>
    </row>
    <row r="406" spans="1:68" s="304" customFormat="1" ht="13.5" customHeight="1">
      <c r="A406" s="325" t="s">
        <v>1824</v>
      </c>
      <c r="D406" s="300" t="s">
        <v>3072</v>
      </c>
      <c r="E406" s="302" t="s">
        <v>1808</v>
      </c>
      <c r="BF406" s="300">
        <v>42.3</v>
      </c>
      <c r="BG406" s="300">
        <v>41.6</v>
      </c>
      <c r="BH406" s="300">
        <v>40.4</v>
      </c>
      <c r="BI406" s="300">
        <v>382.7</v>
      </c>
      <c r="BJ406" s="300">
        <v>375.5</v>
      </c>
      <c r="BK406" s="300">
        <v>447.9</v>
      </c>
      <c r="BL406" s="300">
        <v>454.5</v>
      </c>
      <c r="BM406" s="300">
        <v>453.5</v>
      </c>
      <c r="BN406" s="300">
        <v>428.5</v>
      </c>
      <c r="BO406" s="300">
        <v>1036.3</v>
      </c>
    </row>
    <row r="407" spans="1:68" s="304" customFormat="1" ht="13.5" customHeight="1">
      <c r="A407" s="326" t="s">
        <v>1823</v>
      </c>
      <c r="D407" s="300" t="s">
        <v>3072</v>
      </c>
      <c r="E407" s="302" t="s">
        <v>1808</v>
      </c>
      <c r="BF407" s="300">
        <v>0</v>
      </c>
      <c r="BG407" s="300">
        <v>0</v>
      </c>
      <c r="BH407" s="300">
        <v>0</v>
      </c>
      <c r="BI407" s="300">
        <v>0</v>
      </c>
      <c r="BJ407" s="300">
        <v>0</v>
      </c>
      <c r="BK407" s="300">
        <v>0</v>
      </c>
      <c r="BL407" s="300">
        <v>4.5999999999999996</v>
      </c>
      <c r="BM407" s="300">
        <v>8.1999999999999993</v>
      </c>
      <c r="BN407" s="300">
        <v>7</v>
      </c>
      <c r="BO407" s="300">
        <v>7.5</v>
      </c>
    </row>
    <row r="408" spans="1:68" s="304" customFormat="1" ht="13.5" customHeight="1">
      <c r="A408" s="326" t="s">
        <v>1822</v>
      </c>
      <c r="D408" s="300" t="s">
        <v>3072</v>
      </c>
      <c r="E408" s="302" t="s">
        <v>1808</v>
      </c>
      <c r="BF408" s="300">
        <v>42.3</v>
      </c>
      <c r="BG408" s="300">
        <v>41.6</v>
      </c>
      <c r="BH408" s="300">
        <v>40.4</v>
      </c>
      <c r="BI408" s="300">
        <v>382.7</v>
      </c>
      <c r="BJ408" s="300">
        <v>375.5</v>
      </c>
      <c r="BK408" s="300">
        <v>447.9</v>
      </c>
      <c r="BL408" s="300">
        <v>449.9</v>
      </c>
      <c r="BM408" s="300">
        <v>445.4</v>
      </c>
      <c r="BN408" s="300">
        <v>421.5</v>
      </c>
      <c r="BO408" s="300">
        <v>1028.8</v>
      </c>
    </row>
    <row r="409" spans="1:68" s="304" customFormat="1" ht="13.5" customHeight="1">
      <c r="A409" s="329" t="s">
        <v>1817</v>
      </c>
      <c r="D409" s="304" t="s">
        <v>3072</v>
      </c>
      <c r="E409" s="274" t="s">
        <v>1808</v>
      </c>
      <c r="BF409" s="304">
        <v>-79</v>
      </c>
      <c r="BG409" s="304">
        <v>-104.1</v>
      </c>
      <c r="BH409" s="304">
        <v>-480.4</v>
      </c>
      <c r="BI409" s="304">
        <v>-165.9</v>
      </c>
      <c r="BJ409" s="304">
        <v>-230.2</v>
      </c>
      <c r="BK409" s="304">
        <v>-541.6</v>
      </c>
      <c r="BL409" s="304">
        <v>-318.7</v>
      </c>
      <c r="BM409" s="304">
        <v>-680.3</v>
      </c>
      <c r="BN409" s="304">
        <v>-160.30000000000001</v>
      </c>
      <c r="BO409" s="304">
        <v>-485.4</v>
      </c>
    </row>
    <row r="410" spans="1:68" s="304" customFormat="1" ht="13.5" customHeight="1">
      <c r="A410" s="325" t="s">
        <v>1816</v>
      </c>
      <c r="D410" s="300" t="s">
        <v>3072</v>
      </c>
      <c r="E410" s="302" t="s">
        <v>1808</v>
      </c>
      <c r="BF410" s="300">
        <v>5.8</v>
      </c>
      <c r="BG410" s="300">
        <v>6.7</v>
      </c>
      <c r="BH410" s="300">
        <v>66.099999999999994</v>
      </c>
      <c r="BI410" s="300">
        <v>141.19999999999999</v>
      </c>
      <c r="BJ410" s="300">
        <v>110.9</v>
      </c>
      <c r="BK410" s="300">
        <v>9.6999999999999993</v>
      </c>
      <c r="BL410" s="300">
        <v>80.900000000000006</v>
      </c>
      <c r="BM410" s="300">
        <v>73.2</v>
      </c>
      <c r="BN410" s="300">
        <v>52.2</v>
      </c>
      <c r="BO410" s="300">
        <v>7</v>
      </c>
    </row>
    <row r="411" spans="1:68" s="304" customFormat="1" ht="13.5" customHeight="1">
      <c r="A411" s="325" t="s">
        <v>1815</v>
      </c>
      <c r="D411" s="300" t="s">
        <v>3072</v>
      </c>
      <c r="E411" s="302" t="s">
        <v>1808</v>
      </c>
      <c r="BF411" s="300">
        <v>84.8</v>
      </c>
      <c r="BG411" s="300">
        <v>110.8</v>
      </c>
      <c r="BH411" s="300">
        <v>546.5</v>
      </c>
      <c r="BI411" s="300">
        <v>307.2</v>
      </c>
      <c r="BJ411" s="300">
        <v>341</v>
      </c>
      <c r="BK411" s="300">
        <v>551.20000000000005</v>
      </c>
      <c r="BL411" s="300">
        <v>399.6</v>
      </c>
      <c r="BM411" s="300">
        <v>753.5</v>
      </c>
      <c r="BN411" s="300">
        <v>212.4</v>
      </c>
      <c r="BO411" s="300">
        <v>492.3</v>
      </c>
    </row>
    <row r="412" spans="1:68" s="304" customFormat="1" ht="13.5" customHeight="1">
      <c r="A412" s="306"/>
      <c r="D412" s="300"/>
      <c r="E412" s="302"/>
      <c r="BF412" s="300"/>
      <c r="BG412" s="300"/>
      <c r="BH412" s="300"/>
      <c r="BI412" s="300"/>
      <c r="BJ412" s="300"/>
      <c r="BK412" s="300"/>
      <c r="BL412" s="300"/>
      <c r="BM412" s="300"/>
      <c r="BN412" s="300"/>
      <c r="BO412" s="300"/>
    </row>
    <row r="413" spans="1:68" s="304" customFormat="1" ht="13.5" customHeight="1">
      <c r="A413" s="344" t="s">
        <v>1821</v>
      </c>
      <c r="D413" s="304" t="s">
        <v>3072</v>
      </c>
      <c r="E413" s="274" t="s">
        <v>1808</v>
      </c>
    </row>
    <row r="414" spans="1:68" s="304" customFormat="1" ht="13.5" customHeight="1">
      <c r="A414" s="329" t="s">
        <v>1820</v>
      </c>
      <c r="D414" s="304" t="s">
        <v>3072</v>
      </c>
      <c r="E414" s="274" t="s">
        <v>1808</v>
      </c>
      <c r="BF414" s="304">
        <v>744.5</v>
      </c>
      <c r="BG414" s="304">
        <v>985</v>
      </c>
      <c r="BH414" s="304">
        <v>891</v>
      </c>
      <c r="BI414" s="304">
        <v>1276</v>
      </c>
      <c r="BJ414" s="304">
        <v>1298.7</v>
      </c>
      <c r="BK414" s="304">
        <v>1796.2</v>
      </c>
      <c r="BL414" s="304">
        <v>2113.3000000000002</v>
      </c>
      <c r="BM414" s="304">
        <v>2360.9</v>
      </c>
      <c r="BN414" s="304">
        <v>2164.1999999999998</v>
      </c>
      <c r="BO414" s="304">
        <v>2618</v>
      </c>
      <c r="BP414" s="304">
        <v>5309.2</v>
      </c>
    </row>
    <row r="415" spans="1:68" s="304" customFormat="1" ht="13.5" customHeight="1">
      <c r="A415" s="325" t="s">
        <v>2335</v>
      </c>
      <c r="D415" s="300" t="s">
        <v>3072</v>
      </c>
      <c r="E415" s="302" t="s">
        <v>1808</v>
      </c>
      <c r="BF415" s="300">
        <v>842.4</v>
      </c>
      <c r="BG415" s="300">
        <v>1140.0999999999999</v>
      </c>
      <c r="BH415" s="300">
        <v>1040</v>
      </c>
      <c r="BI415" s="300">
        <v>1411.3</v>
      </c>
      <c r="BJ415" s="300">
        <v>1441.8</v>
      </c>
      <c r="BK415" s="300">
        <v>1962.8</v>
      </c>
      <c r="BL415" s="300">
        <v>2295.8000000000002</v>
      </c>
      <c r="BM415" s="300">
        <v>2611.8000000000002</v>
      </c>
      <c r="BN415" s="300">
        <v>2506.8000000000002</v>
      </c>
      <c r="BO415" s="300">
        <v>3012.2</v>
      </c>
    </row>
    <row r="416" spans="1:68" s="304" customFormat="1" ht="13.5" customHeight="1">
      <c r="A416" s="346" t="s">
        <v>1819</v>
      </c>
      <c r="D416" s="300" t="s">
        <v>3072</v>
      </c>
      <c r="E416" s="302" t="s">
        <v>1808</v>
      </c>
      <c r="BF416" s="300">
        <v>749.2</v>
      </c>
      <c r="BG416" s="300">
        <v>1036.7</v>
      </c>
      <c r="BH416" s="300">
        <v>946</v>
      </c>
      <c r="BI416" s="300">
        <v>1313.2</v>
      </c>
      <c r="BJ416" s="300">
        <v>1331.6</v>
      </c>
      <c r="BK416" s="300">
        <v>1848</v>
      </c>
      <c r="BL416" s="300">
        <v>2162.1999999999998</v>
      </c>
      <c r="BM416" s="300">
        <v>2474.1</v>
      </c>
      <c r="BN416" s="300">
        <v>2371.1</v>
      </c>
      <c r="BO416" s="300">
        <v>2809.3</v>
      </c>
    </row>
    <row r="417" spans="1:73" s="304" customFormat="1" ht="13.5" customHeight="1">
      <c r="A417" s="325" t="s">
        <v>2334</v>
      </c>
      <c r="D417" s="300" t="s">
        <v>3072</v>
      </c>
      <c r="E417" s="302" t="s">
        <v>1808</v>
      </c>
      <c r="BF417" s="300">
        <v>97.9</v>
      </c>
      <c r="BG417" s="300">
        <v>155.19999999999999</v>
      </c>
      <c r="BH417" s="300">
        <v>149</v>
      </c>
      <c r="BI417" s="300">
        <v>135.30000000000001</v>
      </c>
      <c r="BJ417" s="300">
        <v>143</v>
      </c>
      <c r="BK417" s="300">
        <v>166.7</v>
      </c>
      <c r="BL417" s="300">
        <v>182.5</v>
      </c>
      <c r="BM417" s="300">
        <v>250.9</v>
      </c>
      <c r="BN417" s="300">
        <v>342.6</v>
      </c>
      <c r="BO417" s="300">
        <v>394.2</v>
      </c>
    </row>
    <row r="418" spans="1:73" s="304" customFormat="1" ht="13.5" customHeight="1">
      <c r="A418" s="346" t="s">
        <v>1818</v>
      </c>
      <c r="D418" s="300" t="s">
        <v>3072</v>
      </c>
      <c r="E418" s="302" t="s">
        <v>1808</v>
      </c>
      <c r="BF418" s="300">
        <v>95.8</v>
      </c>
      <c r="BG418" s="300">
        <v>139.69999999999999</v>
      </c>
      <c r="BH418" s="300">
        <v>133.19999999999999</v>
      </c>
      <c r="BI418" s="300">
        <v>124.2</v>
      </c>
      <c r="BJ418" s="300">
        <v>135.30000000000001</v>
      </c>
      <c r="BK418" s="300">
        <v>153.9</v>
      </c>
      <c r="BL418" s="300">
        <v>162.1</v>
      </c>
      <c r="BM418" s="300">
        <v>221.2</v>
      </c>
      <c r="BN418" s="300">
        <v>308.8</v>
      </c>
      <c r="BO418" s="300">
        <v>333.5</v>
      </c>
    </row>
    <row r="419" spans="1:73" s="304" customFormat="1" ht="13.5" customHeight="1">
      <c r="A419" s="329" t="s">
        <v>1817</v>
      </c>
      <c r="D419" s="304" t="s">
        <v>3072</v>
      </c>
      <c r="E419" s="274" t="s">
        <v>1808</v>
      </c>
      <c r="BF419" s="304">
        <v>-673</v>
      </c>
      <c r="BG419" s="304">
        <v>-877.1</v>
      </c>
      <c r="BH419" s="304">
        <v>-812.5</v>
      </c>
      <c r="BI419" s="304">
        <v>-1208.9000000000001</v>
      </c>
      <c r="BJ419" s="304">
        <v>-1258</v>
      </c>
      <c r="BK419" s="304">
        <v>-1755.8</v>
      </c>
      <c r="BL419" s="304">
        <v>-2033.6</v>
      </c>
      <c r="BM419" s="304">
        <v>-2291.6</v>
      </c>
      <c r="BN419" s="304">
        <v>-2437</v>
      </c>
      <c r="BO419" s="304">
        <v>-2960</v>
      </c>
    </row>
    <row r="420" spans="1:73" s="304" customFormat="1" ht="13.5" customHeight="1">
      <c r="A420" s="325" t="s">
        <v>1816</v>
      </c>
      <c r="D420" s="300" t="s">
        <v>3072</v>
      </c>
      <c r="E420" s="302" t="s">
        <v>1808</v>
      </c>
      <c r="BF420" s="300">
        <v>728.5</v>
      </c>
      <c r="BG420" s="300">
        <v>934.9</v>
      </c>
      <c r="BH420" s="300">
        <v>1316.4</v>
      </c>
      <c r="BI420" s="300">
        <v>1353.4</v>
      </c>
      <c r="BJ420" s="300">
        <v>1398.5</v>
      </c>
      <c r="BK420" s="300">
        <v>1783.8</v>
      </c>
      <c r="BL420" s="300">
        <v>2051.1999999999998</v>
      </c>
      <c r="BM420" s="300">
        <v>2292.1999999999998</v>
      </c>
      <c r="BN420" s="300">
        <v>2397.4</v>
      </c>
      <c r="BO420" s="300">
        <v>2933.2</v>
      </c>
    </row>
    <row r="421" spans="1:73" s="304" customFormat="1" ht="13.5" customHeight="1">
      <c r="A421" s="325" t="s">
        <v>1815</v>
      </c>
      <c r="D421" s="300" t="s">
        <v>3072</v>
      </c>
      <c r="E421" s="302" t="s">
        <v>1808</v>
      </c>
      <c r="BF421" s="300">
        <v>1401.6</v>
      </c>
      <c r="BG421" s="300">
        <v>1812</v>
      </c>
      <c r="BH421" s="300">
        <v>2128.9</v>
      </c>
      <c r="BI421" s="300">
        <v>2562.1999999999998</v>
      </c>
      <c r="BJ421" s="300">
        <v>2656.4</v>
      </c>
      <c r="BK421" s="300">
        <v>3539.5</v>
      </c>
      <c r="BL421" s="300">
        <v>4084.7</v>
      </c>
      <c r="BM421" s="300">
        <v>4583.8</v>
      </c>
      <c r="BN421" s="300">
        <v>4834.3999999999996</v>
      </c>
      <c r="BO421" s="300">
        <v>5893.1</v>
      </c>
    </row>
    <row r="422" spans="1:73" s="304" customFormat="1" ht="13.5" customHeight="1">
      <c r="A422" s="347"/>
      <c r="D422" s="300"/>
      <c r="E422" s="302"/>
      <c r="BF422" s="300"/>
      <c r="BG422" s="300"/>
      <c r="BH422" s="300"/>
      <c r="BI422" s="300"/>
      <c r="BJ422" s="300"/>
      <c r="BK422" s="300"/>
      <c r="BL422" s="300"/>
      <c r="BM422" s="300"/>
      <c r="BN422" s="300"/>
      <c r="BO422" s="300"/>
    </row>
    <row r="423" spans="1:73" s="304" customFormat="1" ht="13.5" customHeight="1">
      <c r="A423" s="344" t="s">
        <v>1814</v>
      </c>
      <c r="D423" s="304" t="s">
        <v>3072</v>
      </c>
      <c r="E423" s="274" t="s">
        <v>1808</v>
      </c>
      <c r="BF423" s="304">
        <v>693.3</v>
      </c>
      <c r="BG423" s="304">
        <v>1166.5</v>
      </c>
      <c r="BH423" s="304">
        <v>1340.9</v>
      </c>
      <c r="BI423" s="304">
        <v>1495.6</v>
      </c>
      <c r="BJ423" s="304">
        <v>1509.1</v>
      </c>
      <c r="BK423" s="304">
        <v>2128</v>
      </c>
      <c r="BL423" s="304">
        <v>2774.8</v>
      </c>
      <c r="BM423" s="304">
        <v>1658.5</v>
      </c>
      <c r="BN423" s="304">
        <v>1298.8</v>
      </c>
      <c r="BO423" s="304">
        <v>154.5</v>
      </c>
    </row>
    <row r="424" spans="1:73" s="304" customFormat="1" ht="13.5" customHeight="1">
      <c r="A424" s="306" t="s">
        <v>1813</v>
      </c>
      <c r="D424" s="300" t="s">
        <v>3072</v>
      </c>
      <c r="E424" s="302" t="s">
        <v>1808</v>
      </c>
      <c r="BF424" s="300">
        <v>614.1</v>
      </c>
      <c r="BG424" s="300">
        <v>1049.3</v>
      </c>
      <c r="BH424" s="300">
        <v>1252.2</v>
      </c>
      <c r="BI424" s="300">
        <v>1412.6</v>
      </c>
      <c r="BJ424" s="300">
        <v>1446.8</v>
      </c>
      <c r="BK424" s="300">
        <v>2066.9</v>
      </c>
      <c r="BL424" s="300">
        <v>2666.6</v>
      </c>
      <c r="BM424" s="300">
        <v>1549.7</v>
      </c>
      <c r="BN424" s="300">
        <v>1517.6</v>
      </c>
      <c r="BO424" s="300">
        <v>438</v>
      </c>
    </row>
    <row r="425" spans="1:73" s="300" customFormat="1">
      <c r="A425" s="306" t="s">
        <v>1812</v>
      </c>
      <c r="D425" s="300" t="s">
        <v>3072</v>
      </c>
      <c r="E425" s="302" t="s">
        <v>1808</v>
      </c>
      <c r="BF425" s="300">
        <v>79.2</v>
      </c>
      <c r="BG425" s="300">
        <v>117.2</v>
      </c>
      <c r="BH425" s="300">
        <v>88.6</v>
      </c>
      <c r="BI425" s="300">
        <v>83</v>
      </c>
      <c r="BJ425" s="300">
        <v>62.3</v>
      </c>
      <c r="BK425" s="300">
        <v>61</v>
      </c>
      <c r="BL425" s="300">
        <v>108.2</v>
      </c>
      <c r="BM425" s="95">
        <v>108.7</v>
      </c>
      <c r="BN425" s="95">
        <v>-218.8</v>
      </c>
      <c r="BO425" s="95">
        <v>-283.5</v>
      </c>
    </row>
    <row r="426" spans="1:73" s="300" customFormat="1">
      <c r="A426" s="306"/>
      <c r="E426" s="302"/>
      <c r="BT426" s="95" t="s">
        <v>222</v>
      </c>
    </row>
    <row r="427" spans="1:73" s="304" customFormat="1">
      <c r="A427" s="344" t="s">
        <v>1811</v>
      </c>
      <c r="D427" s="304" t="s">
        <v>3072</v>
      </c>
      <c r="E427" s="274" t="s">
        <v>1808</v>
      </c>
      <c r="BP427" s="734">
        <f>+BP428/BP429</f>
        <v>7.3500393597480969</v>
      </c>
      <c r="BQ427" s="734">
        <f>+BQ428/BQ429</f>
        <v>7.3953817153628654</v>
      </c>
      <c r="BR427" s="734">
        <f>+BR428/BR429</f>
        <v>7.3977957637334244</v>
      </c>
      <c r="BS427" s="300"/>
      <c r="BT427" s="304" t="s">
        <v>1344</v>
      </c>
    </row>
    <row r="428" spans="1:73" s="300" customFormat="1">
      <c r="A428" s="342" t="s">
        <v>1810</v>
      </c>
      <c r="B428" s="309"/>
      <c r="C428" s="309"/>
      <c r="D428" s="300" t="s">
        <v>3072</v>
      </c>
      <c r="E428" s="302" t="s">
        <v>1808</v>
      </c>
      <c r="I428" s="521">
        <f>+I429*I464</f>
        <v>2.8463499999999999E-2</v>
      </c>
      <c r="J428" s="521">
        <f t="shared" ref="J428:BE428" si="98">+J429*J464</f>
        <v>2.8463499999999999E-2</v>
      </c>
      <c r="K428" s="521">
        <f t="shared" si="98"/>
        <v>3.6757499999999999E-2</v>
      </c>
      <c r="L428" s="521">
        <f t="shared" si="98"/>
        <v>3.2421999999999999E-2</v>
      </c>
      <c r="M428" s="521">
        <f t="shared" si="98"/>
        <v>3.0536999999999998E-2</v>
      </c>
      <c r="N428" s="521">
        <f t="shared" si="98"/>
        <v>2.9783E-2</v>
      </c>
      <c r="O428" s="521">
        <f t="shared" si="98"/>
        <v>3.3741499999999994E-2</v>
      </c>
      <c r="P428" s="521">
        <f t="shared" si="98"/>
        <v>3.7699999999999997E-2</v>
      </c>
      <c r="Q428" s="521">
        <f t="shared" si="98"/>
        <v>4.6559499999999997E-2</v>
      </c>
      <c r="R428" s="521">
        <f t="shared" si="98"/>
        <v>5.0894999999999996E-2</v>
      </c>
      <c r="S428" s="521">
        <f t="shared" si="98"/>
        <v>5.1083500000000004E-2</v>
      </c>
      <c r="T428" s="521">
        <f t="shared" si="98"/>
        <v>5.2402999999999998E-2</v>
      </c>
      <c r="U428" s="521">
        <f t="shared" si="98"/>
        <v>6.1262499999999998E-2</v>
      </c>
      <c r="V428" s="521">
        <f t="shared" si="98"/>
        <v>6.9933499999999996E-2</v>
      </c>
      <c r="W428" s="521">
        <f t="shared" si="98"/>
        <v>7.5965499999999991E-2</v>
      </c>
      <c r="X428" s="521">
        <f t="shared" si="98"/>
        <v>7.9611000000000001E-2</v>
      </c>
      <c r="Y428" s="521">
        <f t="shared" si="98"/>
        <v>0.10585049999999999</v>
      </c>
      <c r="Z428" s="521">
        <f t="shared" si="98"/>
        <v>0.12477150000000001</v>
      </c>
      <c r="AA428" s="521">
        <f t="shared" si="98"/>
        <v>0.16529099999999999</v>
      </c>
      <c r="AB428" s="521">
        <f t="shared" si="98"/>
        <v>0.19706399999999999</v>
      </c>
      <c r="AC428" s="521">
        <f t="shared" si="98"/>
        <v>0.16975349999999997</v>
      </c>
      <c r="AD428" s="521">
        <f t="shared" si="98"/>
        <v>0.21973349999999997</v>
      </c>
      <c r="AE428" s="521">
        <f t="shared" si="98"/>
        <v>0.28131599999999995</v>
      </c>
      <c r="AF428" s="521">
        <f t="shared" si="98"/>
        <v>0.32469150000000002</v>
      </c>
      <c r="AG428" s="521">
        <f t="shared" si="98"/>
        <v>0.35664299999999999</v>
      </c>
      <c r="AH428" s="521">
        <f t="shared" si="98"/>
        <v>0.30255749999999998</v>
      </c>
      <c r="AI428" s="521">
        <f t="shared" si="98"/>
        <v>0.1336965</v>
      </c>
      <c r="AJ428" s="521">
        <f t="shared" si="98"/>
        <v>6.7294500000000007E-2</v>
      </c>
      <c r="AK428" s="521">
        <f t="shared" si="98"/>
        <v>7.5893580000000016E-2</v>
      </c>
      <c r="AL428" s="521">
        <f t="shared" si="98"/>
        <v>9.3977730000000009E-2</v>
      </c>
      <c r="AM428" s="521">
        <f t="shared" si="98"/>
        <v>0.13033272000000001</v>
      </c>
      <c r="AN428" s="521">
        <f t="shared" si="98"/>
        <v>0.10781473499999999</v>
      </c>
      <c r="AO428" s="521">
        <f t="shared" si="98"/>
        <v>0.122669505</v>
      </c>
      <c r="AP428" s="521">
        <f t="shared" si="98"/>
        <v>0.18500096999999999</v>
      </c>
      <c r="AQ428" s="521">
        <f t="shared" si="98"/>
        <v>2.2706460000000001E-2</v>
      </c>
      <c r="AR428" s="521">
        <f t="shared" si="98"/>
        <v>1.6796955000000002E-2</v>
      </c>
      <c r="AS428" s="521">
        <f t="shared" si="98"/>
        <v>0.24306555000000002</v>
      </c>
      <c r="AT428" s="521">
        <f t="shared" si="98"/>
        <v>3.1208451750000004</v>
      </c>
      <c r="AU428" s="521">
        <f t="shared" si="98"/>
        <v>74.180992579999995</v>
      </c>
      <c r="AV428" s="521">
        <f t="shared" si="98"/>
        <v>59.975377700000003</v>
      </c>
      <c r="AW428" s="521">
        <f t="shared" si="98"/>
        <v>51.973598450000004</v>
      </c>
      <c r="AX428" s="521">
        <f t="shared" si="98"/>
        <v>24.619079599999999</v>
      </c>
      <c r="AY428" s="521">
        <f t="shared" si="98"/>
        <v>6.7830012000000011</v>
      </c>
      <c r="AZ428" s="521">
        <f t="shared" si="98"/>
        <v>9.0240504000000019</v>
      </c>
      <c r="BA428" s="521">
        <f t="shared" si="98"/>
        <v>208.94141417500001</v>
      </c>
      <c r="BB428" s="521">
        <f t="shared" si="98"/>
        <v>207.6439365</v>
      </c>
      <c r="BC428" s="521">
        <f t="shared" si="98"/>
        <v>219.94920675</v>
      </c>
      <c r="BD428" s="521">
        <f t="shared" si="98"/>
        <v>310.37754749999999</v>
      </c>
      <c r="BE428" s="521">
        <f t="shared" si="98"/>
        <v>381.68423250000001</v>
      </c>
      <c r="BF428" s="309">
        <v>642</v>
      </c>
      <c r="BG428" s="309">
        <v>1088.9000000000001</v>
      </c>
      <c r="BH428" s="309">
        <v>1632.7</v>
      </c>
      <c r="BI428" s="309">
        <v>1779.3</v>
      </c>
      <c r="BJ428" s="309">
        <v>1871.7</v>
      </c>
      <c r="BK428" s="309">
        <v>2655.9</v>
      </c>
      <c r="BL428" s="309">
        <v>3277.5</v>
      </c>
      <c r="BM428" s="309">
        <v>2530.6</v>
      </c>
      <c r="BN428" s="309">
        <v>2031.5</v>
      </c>
      <c r="BO428" s="309">
        <v>1307.9000000000001</v>
      </c>
      <c r="BP428" s="348">
        <v>2801.1</v>
      </c>
      <c r="BQ428" s="523">
        <v>3138.6</v>
      </c>
      <c r="BR428" s="300">
        <v>4295.8999999999996</v>
      </c>
      <c r="BS428" s="300">
        <v>4790</v>
      </c>
      <c r="BT428" s="300">
        <v>7992</v>
      </c>
    </row>
    <row r="429" spans="1:73" s="300" customFormat="1">
      <c r="A429" s="342" t="s">
        <v>1809</v>
      </c>
      <c r="B429" s="309"/>
      <c r="C429" s="309"/>
      <c r="D429" s="309"/>
      <c r="E429" s="302" t="s">
        <v>1808</v>
      </c>
      <c r="I429" s="300">
        <v>15.1</v>
      </c>
      <c r="J429" s="300">
        <v>15.1</v>
      </c>
      <c r="K429" s="300">
        <v>19.5</v>
      </c>
      <c r="L429" s="300">
        <v>17.2</v>
      </c>
      <c r="M429" s="300">
        <v>16.2</v>
      </c>
      <c r="N429" s="300">
        <v>15.8</v>
      </c>
      <c r="O429" s="300">
        <v>17.899999999999999</v>
      </c>
      <c r="P429" s="300">
        <v>20</v>
      </c>
      <c r="Q429" s="300">
        <v>24.7</v>
      </c>
      <c r="R429" s="300">
        <v>27</v>
      </c>
      <c r="S429" s="300">
        <v>27.1</v>
      </c>
      <c r="T429" s="300">
        <v>27.8</v>
      </c>
      <c r="U429" s="300">
        <v>32.5</v>
      </c>
      <c r="V429" s="300">
        <v>37.1</v>
      </c>
      <c r="W429" s="300">
        <v>40.299999999999997</v>
      </c>
      <c r="X429" s="300">
        <v>44.6</v>
      </c>
      <c r="Y429" s="300">
        <v>59.3</v>
      </c>
      <c r="Z429" s="300">
        <v>69.900000000000006</v>
      </c>
      <c r="AA429" s="300">
        <v>92.6</v>
      </c>
      <c r="AB429" s="300">
        <v>110.4</v>
      </c>
      <c r="AC429" s="300">
        <v>95.1</v>
      </c>
      <c r="AD429" s="300">
        <v>123.1</v>
      </c>
      <c r="AE429" s="300">
        <v>157.6</v>
      </c>
      <c r="AF429" s="300">
        <v>181.9</v>
      </c>
      <c r="AG429" s="300">
        <v>199.8</v>
      </c>
      <c r="AH429" s="300">
        <v>169.5</v>
      </c>
      <c r="AI429" s="300">
        <v>74.900000000000006</v>
      </c>
      <c r="AJ429" s="300">
        <v>37.700000000000003</v>
      </c>
      <c r="AK429" s="300">
        <v>37.200000000000003</v>
      </c>
      <c r="AL429" s="300">
        <v>38.200000000000003</v>
      </c>
      <c r="AM429" s="300">
        <v>36.799999999999997</v>
      </c>
      <c r="AN429" s="300">
        <v>30.9</v>
      </c>
      <c r="AO429" s="300">
        <v>27.1</v>
      </c>
      <c r="AP429" s="300">
        <v>37.4</v>
      </c>
      <c r="AQ429" s="300">
        <v>3.6</v>
      </c>
      <c r="AR429" s="300">
        <v>2.1</v>
      </c>
      <c r="AS429" s="300">
        <v>13</v>
      </c>
      <c r="AT429" s="300">
        <v>46.5</v>
      </c>
      <c r="AU429" s="300">
        <v>163.6</v>
      </c>
      <c r="AV429" s="300">
        <v>148.4</v>
      </c>
      <c r="AW429" s="300">
        <v>127.3</v>
      </c>
      <c r="AX429" s="300">
        <v>56.8</v>
      </c>
      <c r="AY429" s="300">
        <v>7.2</v>
      </c>
      <c r="AZ429" s="300">
        <v>6.2</v>
      </c>
      <c r="BA429" s="300">
        <v>95.3</v>
      </c>
      <c r="BB429" s="300">
        <v>85.8</v>
      </c>
      <c r="BC429" s="300">
        <v>81.900000000000006</v>
      </c>
      <c r="BD429" s="300">
        <v>112.3</v>
      </c>
      <c r="BE429" s="300">
        <v>138.1</v>
      </c>
      <c r="BF429" s="300">
        <v>237.2</v>
      </c>
      <c r="BG429" s="300">
        <v>403.3</v>
      </c>
      <c r="BH429" s="300">
        <v>602.5</v>
      </c>
      <c r="BI429" s="300">
        <v>657</v>
      </c>
      <c r="BJ429" s="300">
        <v>690.8</v>
      </c>
      <c r="BK429" s="300">
        <v>816.9</v>
      </c>
      <c r="BL429" s="300">
        <v>1008.4</v>
      </c>
      <c r="BM429" s="300">
        <v>778.8</v>
      </c>
      <c r="BN429" s="300">
        <v>625.1</v>
      </c>
      <c r="BO429" s="300">
        <v>330.2</v>
      </c>
      <c r="BP429" s="300">
        <v>381.1</v>
      </c>
      <c r="BQ429" s="300">
        <v>424.4</v>
      </c>
      <c r="BR429" s="300">
        <v>580.70000000000005</v>
      </c>
      <c r="BS429" s="300">
        <v>647.5</v>
      </c>
      <c r="BT429" s="300">
        <v>570</v>
      </c>
      <c r="BU429" s="95" t="s">
        <v>1344</v>
      </c>
    </row>
    <row r="430" spans="1:73" s="300" customFormat="1">
      <c r="A430" s="351" t="s">
        <v>2836</v>
      </c>
      <c r="D430" s="300" t="s">
        <v>3072</v>
      </c>
      <c r="E430" s="94" t="s">
        <v>2713</v>
      </c>
      <c r="BF430" s="300">
        <f>BF396+BF414-BF435</f>
        <v>0</v>
      </c>
      <c r="BG430" s="300">
        <f t="shared" ref="BG430:BP430" si="99">BG396+BG414-BG435</f>
        <v>9.9999999999909051E-2</v>
      </c>
      <c r="BH430" s="300">
        <f t="shared" si="99"/>
        <v>0</v>
      </c>
      <c r="BI430" s="300">
        <f t="shared" si="99"/>
        <v>0</v>
      </c>
      <c r="BJ430" s="300">
        <f t="shared" si="99"/>
        <v>-9.9999999999909051E-2</v>
      </c>
      <c r="BK430" s="300">
        <f t="shared" si="99"/>
        <v>0.1000000000003638</v>
      </c>
      <c r="BL430" s="300">
        <f t="shared" si="99"/>
        <v>0</v>
      </c>
      <c r="BM430" s="300">
        <f t="shared" si="99"/>
        <v>0</v>
      </c>
      <c r="BN430" s="300">
        <f t="shared" si="99"/>
        <v>0</v>
      </c>
      <c r="BO430" s="300">
        <f t="shared" si="99"/>
        <v>0</v>
      </c>
      <c r="BP430" s="300">
        <f t="shared" si="99"/>
        <v>23.099999999999454</v>
      </c>
    </row>
    <row r="431" spans="1:73" s="304" customFormat="1">
      <c r="A431" s="304" t="s">
        <v>1807</v>
      </c>
      <c r="D431" s="304" t="s">
        <v>1349</v>
      </c>
      <c r="E431" s="304" t="s">
        <v>1806</v>
      </c>
      <c r="I431" s="335">
        <v>8.6999999999999993</v>
      </c>
      <c r="J431" s="335">
        <v>0</v>
      </c>
      <c r="K431" s="335">
        <v>0</v>
      </c>
      <c r="L431" s="335">
        <v>2.6</v>
      </c>
      <c r="M431" s="335">
        <v>1.7</v>
      </c>
      <c r="N431" s="335">
        <v>2.5</v>
      </c>
      <c r="O431" s="335">
        <v>1.7</v>
      </c>
      <c r="P431" s="335">
        <v>4.0999999999999996</v>
      </c>
      <c r="Q431" s="335">
        <v>2.2999999999999998</v>
      </c>
      <c r="R431" s="335">
        <v>1.5</v>
      </c>
      <c r="S431" s="335">
        <v>7.5</v>
      </c>
      <c r="T431" s="335">
        <v>0</v>
      </c>
      <c r="U431" s="335">
        <v>1</v>
      </c>
      <c r="V431" s="335">
        <v>1.8</v>
      </c>
      <c r="W431" s="335">
        <v>-0.6</v>
      </c>
      <c r="X431" s="335">
        <v>2.4</v>
      </c>
      <c r="Y431" s="335">
        <v>12</v>
      </c>
      <c r="Z431" s="335">
        <v>15.9</v>
      </c>
      <c r="AA431" s="335">
        <v>7.5</v>
      </c>
      <c r="AB431" s="335">
        <v>9.3000000000000007</v>
      </c>
      <c r="AC431" s="335">
        <v>8.8000000000000007</v>
      </c>
      <c r="AD431" s="335">
        <v>8</v>
      </c>
      <c r="AE431" s="335">
        <v>14</v>
      </c>
      <c r="AF431" s="335">
        <v>13.2</v>
      </c>
      <c r="AG431" s="335">
        <v>8.6999999999999993</v>
      </c>
      <c r="AH431" s="335">
        <v>7.3</v>
      </c>
      <c r="AI431" s="335">
        <v>4.4000000000000004</v>
      </c>
      <c r="AJ431" s="335">
        <v>3.7</v>
      </c>
      <c r="AK431" s="335">
        <v>10.9</v>
      </c>
      <c r="AL431" s="335">
        <v>18.7</v>
      </c>
      <c r="AM431" s="335">
        <v>53.4</v>
      </c>
      <c r="AN431" s="335">
        <v>7.3</v>
      </c>
      <c r="AO431" s="335">
        <v>0.8</v>
      </c>
      <c r="AP431" s="335">
        <v>21.8</v>
      </c>
      <c r="AQ431" s="335">
        <v>26</v>
      </c>
      <c r="AR431" s="335">
        <v>43.7</v>
      </c>
      <c r="AS431" s="335">
        <v>143.5</v>
      </c>
      <c r="AT431" s="335">
        <v>368.5</v>
      </c>
      <c r="AU431" s="335">
        <v>235.6</v>
      </c>
      <c r="AV431" s="335">
        <v>-0.7</v>
      </c>
      <c r="AW431" s="335">
        <v>7.1</v>
      </c>
      <c r="AX431" s="335">
        <v>18.7</v>
      </c>
      <c r="AY431" s="335">
        <v>98.8</v>
      </c>
      <c r="AZ431" s="335">
        <v>59.3</v>
      </c>
      <c r="BA431" s="335">
        <v>38.6</v>
      </c>
      <c r="BB431" s="335">
        <v>15.5</v>
      </c>
      <c r="BC431" s="335">
        <v>23.9</v>
      </c>
      <c r="BD431" s="335">
        <v>9.6</v>
      </c>
      <c r="BE431" s="335">
        <v>9.5</v>
      </c>
      <c r="BF431" s="335">
        <v>11.3</v>
      </c>
      <c r="BG431" s="335">
        <v>6.4</v>
      </c>
      <c r="BH431" s="335">
        <v>14.7</v>
      </c>
      <c r="BI431" s="335">
        <v>-0.1</v>
      </c>
      <c r="BJ431" s="335">
        <v>6.9</v>
      </c>
      <c r="BK431" s="335">
        <v>17.7</v>
      </c>
      <c r="BL431" s="349">
        <v>5</v>
      </c>
      <c r="BM431" s="349">
        <v>1.9</v>
      </c>
      <c r="BN431" s="349">
        <v>3.4</v>
      </c>
      <c r="BO431" s="349">
        <v>6.9</v>
      </c>
      <c r="BP431" s="349">
        <v>55.5</v>
      </c>
      <c r="BQ431" s="349">
        <v>22</v>
      </c>
      <c r="BR431" s="304">
        <v>6.9</v>
      </c>
      <c r="BS431" s="304">
        <v>4.4000000000000004</v>
      </c>
    </row>
    <row r="432" spans="1:73" s="300" customFormat="1">
      <c r="A432" s="304"/>
    </row>
    <row r="433" spans="1:72" s="300" customFormat="1">
      <c r="A433" s="304"/>
    </row>
    <row r="434" spans="1:72" s="304" customFormat="1" ht="13.5" customHeight="1">
      <c r="A434" s="344" t="s">
        <v>2691</v>
      </c>
      <c r="E434" s="274"/>
      <c r="BS434" s="304" t="s">
        <v>1344</v>
      </c>
    </row>
    <row r="435" spans="1:72" s="304" customFormat="1" ht="13.5" customHeight="1">
      <c r="A435" s="343" t="s">
        <v>2690</v>
      </c>
      <c r="D435" s="304" t="s">
        <v>3072</v>
      </c>
      <c r="E435" s="274" t="s">
        <v>3071</v>
      </c>
      <c r="BF435" s="304">
        <v>1428</v>
      </c>
      <c r="BG435" s="304">
        <v>2130</v>
      </c>
      <c r="BH435" s="304">
        <v>2616.1</v>
      </c>
      <c r="BI435" s="304">
        <v>2847.4</v>
      </c>
      <c r="BJ435" s="304">
        <v>2967.9</v>
      </c>
      <c r="BK435" s="304">
        <v>4399.7</v>
      </c>
      <c r="BL435" s="304">
        <v>5090.3</v>
      </c>
      <c r="BM435" s="304">
        <v>4585.5</v>
      </c>
      <c r="BN435" s="304">
        <v>3836.6</v>
      </c>
      <c r="BO435" s="304">
        <v>2996.7</v>
      </c>
      <c r="BP435" s="304">
        <v>6448.8</v>
      </c>
      <c r="BQ435" s="304">
        <v>6364.5</v>
      </c>
      <c r="BR435" s="304">
        <v>8426.2000000000007</v>
      </c>
      <c r="BS435" s="304">
        <v>5863</v>
      </c>
      <c r="BT435" s="304">
        <v>10695</v>
      </c>
    </row>
    <row r="436" spans="1:72" s="304" customFormat="1" ht="13.5" customHeight="1">
      <c r="A436" s="306" t="s">
        <v>2689</v>
      </c>
      <c r="D436" s="300" t="s">
        <v>3072</v>
      </c>
      <c r="E436" s="302" t="s">
        <v>3071</v>
      </c>
      <c r="BF436" s="300">
        <v>1568.2</v>
      </c>
      <c r="BG436" s="300">
        <v>2326.8000000000002</v>
      </c>
      <c r="BH436" s="300">
        <v>2805.5</v>
      </c>
      <c r="BI436" s="300">
        <v>3365.4</v>
      </c>
      <c r="BJ436" s="300">
        <v>3486.4</v>
      </c>
      <c r="BK436" s="300">
        <v>5014.3</v>
      </c>
      <c r="BL436" s="300">
        <v>5727.3</v>
      </c>
      <c r="BM436" s="300">
        <v>5289.9</v>
      </c>
      <c r="BN436" s="300">
        <v>4607.7</v>
      </c>
      <c r="BO436" s="300">
        <v>4427.2</v>
      </c>
    </row>
    <row r="437" spans="1:72" s="304" customFormat="1" ht="13.5" customHeight="1">
      <c r="A437" s="306" t="s">
        <v>2688</v>
      </c>
      <c r="D437" s="300" t="s">
        <v>3072</v>
      </c>
      <c r="E437" s="302" t="s">
        <v>3071</v>
      </c>
      <c r="BF437" s="300">
        <v>140.19999999999999</v>
      </c>
      <c r="BG437" s="300">
        <v>196.7</v>
      </c>
      <c r="BH437" s="300">
        <v>189.4</v>
      </c>
      <c r="BI437" s="300">
        <v>518</v>
      </c>
      <c r="BJ437" s="300">
        <v>518.5</v>
      </c>
      <c r="BK437" s="300">
        <v>614.5</v>
      </c>
      <c r="BL437" s="300">
        <v>637</v>
      </c>
      <c r="BM437" s="300">
        <v>704.4</v>
      </c>
      <c r="BN437" s="300">
        <v>771.1</v>
      </c>
      <c r="BO437" s="300">
        <v>1430.4</v>
      </c>
    </row>
    <row r="438" spans="1:72" s="304" customFormat="1" ht="13.5" customHeight="1">
      <c r="A438" s="347"/>
      <c r="D438" s="300"/>
      <c r="E438" s="302"/>
      <c r="BF438" s="300"/>
      <c r="BG438" s="300"/>
      <c r="BH438" s="300"/>
      <c r="BI438" s="300"/>
      <c r="BJ438" s="300"/>
      <c r="BK438" s="300"/>
      <c r="BL438" s="300"/>
      <c r="BM438" s="300"/>
      <c r="BN438" s="300"/>
      <c r="BO438" s="300"/>
      <c r="BT438" s="304" t="s">
        <v>222</v>
      </c>
    </row>
    <row r="439" spans="1:72" s="304" customFormat="1" ht="13.5" customHeight="1">
      <c r="A439" s="343" t="s">
        <v>2687</v>
      </c>
      <c r="D439" s="304" t="s">
        <v>3072</v>
      </c>
      <c r="E439" s="274" t="s">
        <v>3071</v>
      </c>
      <c r="BF439" s="304">
        <v>330.4</v>
      </c>
      <c r="BG439" s="304">
        <v>139.1</v>
      </c>
      <c r="BH439" s="304">
        <v>-73.099999999999994</v>
      </c>
      <c r="BI439" s="304">
        <v>115.7</v>
      </c>
      <c r="BJ439" s="304">
        <v>191.4</v>
      </c>
      <c r="BK439" s="304">
        <v>-63.5</v>
      </c>
      <c r="BL439" s="304">
        <v>-9.4</v>
      </c>
      <c r="BM439" s="304">
        <v>525.5</v>
      </c>
      <c r="BN439" s="304">
        <v>1291.5</v>
      </c>
      <c r="BO439" s="304">
        <v>2635.7</v>
      </c>
      <c r="BP439" s="304">
        <v>2350.4</v>
      </c>
      <c r="BQ439" s="304">
        <v>3847.4</v>
      </c>
      <c r="BR439" s="304">
        <v>3496.1</v>
      </c>
      <c r="BS439" s="304">
        <v>4977.2</v>
      </c>
      <c r="BT439" s="304">
        <v>11532</v>
      </c>
    </row>
    <row r="440" spans="1:72" s="304" customFormat="1" ht="13.5" customHeight="1">
      <c r="A440" s="306" t="s">
        <v>1627</v>
      </c>
      <c r="D440" s="300" t="s">
        <v>3072</v>
      </c>
      <c r="E440" s="302" t="s">
        <v>3071</v>
      </c>
      <c r="BF440" s="300">
        <v>495.8</v>
      </c>
      <c r="BG440" s="300">
        <v>383.2</v>
      </c>
      <c r="BH440" s="300">
        <v>262.60000000000002</v>
      </c>
      <c r="BI440" s="300">
        <v>663.9</v>
      </c>
      <c r="BJ440" s="300">
        <v>613.29999999999995</v>
      </c>
      <c r="BK440" s="300">
        <v>657.2</v>
      </c>
      <c r="BL440" s="300">
        <v>661.2</v>
      </c>
      <c r="BM440" s="300">
        <v>1484.8</v>
      </c>
      <c r="BN440" s="300">
        <v>1637</v>
      </c>
      <c r="BO440" s="300">
        <v>3151.9</v>
      </c>
      <c r="BP440" s="95">
        <v>3590.9</v>
      </c>
      <c r="BQ440" s="95">
        <v>4586.8999999999996</v>
      </c>
      <c r="BR440" s="304">
        <v>4697</v>
      </c>
      <c r="BS440" s="304">
        <v>6159</v>
      </c>
      <c r="BT440" s="304">
        <v>13483</v>
      </c>
    </row>
    <row r="441" spans="1:72" s="304" customFormat="1" ht="13.5" customHeight="1">
      <c r="A441" s="653" t="s">
        <v>1622</v>
      </c>
      <c r="D441" s="300" t="s">
        <v>3072</v>
      </c>
      <c r="E441" s="302" t="s">
        <v>3071</v>
      </c>
      <c r="BF441" s="300">
        <v>0</v>
      </c>
      <c r="BG441" s="300">
        <v>0</v>
      </c>
      <c r="BH441" s="300">
        <v>0</v>
      </c>
      <c r="BI441" s="300">
        <v>0</v>
      </c>
      <c r="BJ441" s="300">
        <v>0</v>
      </c>
      <c r="BK441" s="300">
        <v>0</v>
      </c>
      <c r="BL441" s="300">
        <v>0</v>
      </c>
      <c r="BM441" s="300">
        <v>0</v>
      </c>
      <c r="BN441" s="300">
        <v>56.9</v>
      </c>
      <c r="BO441" s="300">
        <v>52.9</v>
      </c>
      <c r="BP441" s="95">
        <v>476.3</v>
      </c>
      <c r="BQ441" s="95">
        <v>802</v>
      </c>
      <c r="BR441" s="304">
        <v>799.9</v>
      </c>
      <c r="BS441" s="304">
        <v>1768.4</v>
      </c>
      <c r="BT441" s="304">
        <v>2266</v>
      </c>
    </row>
    <row r="442" spans="1:72" s="304" customFormat="1" ht="13.5" customHeight="1">
      <c r="A442" s="306" t="s">
        <v>1626</v>
      </c>
      <c r="D442" s="300" t="s">
        <v>3072</v>
      </c>
      <c r="E442" s="302" t="s">
        <v>3071</v>
      </c>
      <c r="BF442" s="300">
        <v>165.4</v>
      </c>
      <c r="BG442" s="300">
        <v>244.1</v>
      </c>
      <c r="BH442" s="300">
        <v>335.7</v>
      </c>
      <c r="BI442" s="300">
        <v>548.20000000000005</v>
      </c>
      <c r="BJ442" s="300">
        <v>421.9</v>
      </c>
      <c r="BK442" s="300">
        <v>720.6</v>
      </c>
      <c r="BL442" s="300">
        <v>670.6</v>
      </c>
      <c r="BM442" s="300">
        <v>959.3</v>
      </c>
      <c r="BN442" s="300">
        <v>345.4</v>
      </c>
      <c r="BO442" s="300">
        <v>516.20000000000005</v>
      </c>
      <c r="BP442" s="95">
        <v>1240.5</v>
      </c>
      <c r="BQ442" s="95">
        <v>739.4</v>
      </c>
      <c r="BR442" s="304">
        <v>1201</v>
      </c>
      <c r="BS442" s="304">
        <v>1182.0999999999999</v>
      </c>
      <c r="BT442" s="304">
        <v>1950</v>
      </c>
    </row>
    <row r="443" spans="1:72" s="304" customFormat="1" ht="13.5" customHeight="1">
      <c r="A443" s="653" t="s">
        <v>1622</v>
      </c>
      <c r="D443" s="300" t="s">
        <v>3072</v>
      </c>
      <c r="E443" s="302" t="s">
        <v>3071</v>
      </c>
      <c r="BF443" s="300">
        <v>88.4</v>
      </c>
      <c r="BG443" s="300">
        <v>98.8</v>
      </c>
      <c r="BH443" s="300">
        <v>141.9</v>
      </c>
      <c r="BI443" s="300">
        <v>180.5</v>
      </c>
      <c r="BJ443" s="300">
        <v>188.6</v>
      </c>
      <c r="BK443" s="300">
        <v>415.2</v>
      </c>
      <c r="BL443" s="300">
        <v>227.3</v>
      </c>
      <c r="BM443" s="300">
        <v>629.4</v>
      </c>
      <c r="BN443" s="300">
        <v>114.9</v>
      </c>
      <c r="BO443" s="300">
        <v>277.7</v>
      </c>
      <c r="BP443" s="95">
        <v>1199.2</v>
      </c>
      <c r="BQ443" s="95">
        <v>620.79999999999995</v>
      </c>
      <c r="BR443" s="304">
        <v>790.4</v>
      </c>
      <c r="BS443" s="304">
        <v>418.2</v>
      </c>
      <c r="BT443" s="304">
        <v>1152</v>
      </c>
    </row>
    <row r="444" spans="1:72" s="304" customFormat="1" ht="13.5" customHeight="1">
      <c r="A444" s="347"/>
      <c r="D444" s="300"/>
      <c r="E444" s="302"/>
      <c r="BF444" s="300"/>
      <c r="BG444" s="300"/>
      <c r="BH444" s="300"/>
      <c r="BI444" s="300"/>
      <c r="BJ444" s="300"/>
      <c r="BK444" s="300"/>
      <c r="BL444" s="300"/>
      <c r="BM444" s="300"/>
      <c r="BN444" s="300"/>
      <c r="BO444" s="300"/>
    </row>
    <row r="445" spans="1:72" s="304" customFormat="1" ht="13.5" customHeight="1">
      <c r="A445" s="343" t="s">
        <v>1623</v>
      </c>
      <c r="D445" s="304" t="s">
        <v>3072</v>
      </c>
      <c r="E445" s="274" t="s">
        <v>3071</v>
      </c>
      <c r="BF445" s="304">
        <v>1334.4</v>
      </c>
      <c r="BG445" s="304">
        <v>1786.5</v>
      </c>
      <c r="BH445" s="304">
        <v>2412.6999999999998</v>
      </c>
      <c r="BI445" s="304">
        <v>2713</v>
      </c>
      <c r="BJ445" s="304">
        <v>3059</v>
      </c>
      <c r="BK445" s="304">
        <v>3669.4</v>
      </c>
      <c r="BL445" s="304">
        <v>4241.6000000000004</v>
      </c>
      <c r="BM445" s="304">
        <v>5001.3999999999996</v>
      </c>
      <c r="BN445" s="304">
        <v>5427.7</v>
      </c>
      <c r="BO445" s="304">
        <v>6311.1</v>
      </c>
      <c r="BP445" s="304">
        <v>8154.2</v>
      </c>
      <c r="BQ445" s="304">
        <v>8216.1</v>
      </c>
      <c r="BR445" s="304">
        <v>8165.4</v>
      </c>
      <c r="BS445" s="304">
        <v>8282</v>
      </c>
      <c r="BT445" s="304">
        <v>10794</v>
      </c>
    </row>
    <row r="446" spans="1:72" s="304" customFormat="1" ht="13.5" customHeight="1">
      <c r="A446" s="306" t="s">
        <v>1625</v>
      </c>
      <c r="D446" s="300" t="s">
        <v>3072</v>
      </c>
      <c r="E446" s="302" t="s">
        <v>3071</v>
      </c>
      <c r="BF446" s="300">
        <v>16.8</v>
      </c>
      <c r="BG446" s="300">
        <v>27.5</v>
      </c>
      <c r="BH446" s="300">
        <v>40.1</v>
      </c>
      <c r="BI446" s="300">
        <v>51.5</v>
      </c>
      <c r="BJ446" s="300">
        <v>59.7</v>
      </c>
      <c r="BK446" s="300">
        <v>102.3</v>
      </c>
      <c r="BL446" s="300">
        <v>130.5</v>
      </c>
      <c r="BM446" s="300">
        <v>138.4</v>
      </c>
      <c r="BN446" s="300">
        <v>157</v>
      </c>
      <c r="BO446" s="300">
        <v>189.9</v>
      </c>
      <c r="BP446" s="304">
        <v>241.4</v>
      </c>
      <c r="BQ446" s="304">
        <v>178.2</v>
      </c>
      <c r="BR446" s="304">
        <v>218</v>
      </c>
      <c r="BS446" s="304">
        <v>153.5</v>
      </c>
      <c r="BT446" s="304">
        <v>235</v>
      </c>
    </row>
    <row r="447" spans="1:72" s="304" customFormat="1" ht="13.5" customHeight="1">
      <c r="A447" s="325" t="s">
        <v>1622</v>
      </c>
      <c r="D447" s="300" t="s">
        <v>3072</v>
      </c>
      <c r="E447" s="302" t="s">
        <v>3071</v>
      </c>
      <c r="BF447" s="300">
        <v>1.3</v>
      </c>
      <c r="BG447" s="300">
        <v>10.1</v>
      </c>
      <c r="BH447" s="300">
        <v>14.7</v>
      </c>
      <c r="BI447" s="300">
        <v>21.3</v>
      </c>
      <c r="BJ447" s="300">
        <v>20.5</v>
      </c>
      <c r="BK447" s="300">
        <v>42.2</v>
      </c>
      <c r="BL447" s="300">
        <v>51.6</v>
      </c>
      <c r="BM447" s="300">
        <v>41.4</v>
      </c>
      <c r="BN447" s="300">
        <v>41.5</v>
      </c>
      <c r="BO447" s="300">
        <v>52.9</v>
      </c>
      <c r="BP447" s="304">
        <v>98.2</v>
      </c>
      <c r="BQ447" s="304">
        <v>120.3</v>
      </c>
      <c r="BR447" s="304">
        <v>142.5</v>
      </c>
      <c r="BS447" s="304">
        <v>51.4</v>
      </c>
      <c r="BT447" s="304">
        <v>107</v>
      </c>
    </row>
    <row r="448" spans="1:72" s="304" customFormat="1" ht="13.5" customHeight="1">
      <c r="A448" s="306" t="s">
        <v>1624</v>
      </c>
      <c r="D448" s="300" t="s">
        <v>3072</v>
      </c>
      <c r="E448" s="302" t="s">
        <v>3071</v>
      </c>
      <c r="BF448" s="300">
        <v>27.8</v>
      </c>
      <c r="BG448" s="300">
        <v>12.5</v>
      </c>
      <c r="BH448" s="300">
        <v>29.1</v>
      </c>
      <c r="BI448" s="300">
        <v>40.299999999999997</v>
      </c>
      <c r="BJ448" s="300">
        <v>95</v>
      </c>
      <c r="BK448" s="300">
        <v>125.1</v>
      </c>
      <c r="BL448" s="300">
        <v>110.2</v>
      </c>
      <c r="BM448" s="300">
        <v>120.3</v>
      </c>
      <c r="BN448" s="300">
        <v>105.5</v>
      </c>
      <c r="BO448" s="300">
        <v>162.30000000000001</v>
      </c>
    </row>
    <row r="449" spans="1:72" s="304" customFormat="1" ht="13.5" customHeight="1">
      <c r="A449" s="325" t="s">
        <v>1622</v>
      </c>
      <c r="D449" s="300" t="s">
        <v>3072</v>
      </c>
      <c r="E449" s="302" t="s">
        <v>3071</v>
      </c>
      <c r="BF449" s="300">
        <v>8.1999999999999993</v>
      </c>
      <c r="BG449" s="300">
        <v>3.6</v>
      </c>
      <c r="BH449" s="300">
        <v>19.100000000000001</v>
      </c>
      <c r="BI449" s="300">
        <v>30.1</v>
      </c>
      <c r="BJ449" s="300">
        <v>58.9</v>
      </c>
      <c r="BK449" s="300">
        <v>88.6</v>
      </c>
      <c r="BL449" s="300">
        <v>73.2</v>
      </c>
      <c r="BM449" s="300">
        <v>81.599999999999994</v>
      </c>
      <c r="BN449" s="300">
        <v>73.099999999999994</v>
      </c>
      <c r="BO449" s="300">
        <v>127</v>
      </c>
      <c r="BP449" s="304">
        <v>273.10000000000002</v>
      </c>
      <c r="BQ449" s="304">
        <v>304</v>
      </c>
      <c r="BR449" s="304">
        <v>393.4</v>
      </c>
      <c r="BS449" s="304">
        <v>357.5</v>
      </c>
      <c r="BT449" s="304">
        <v>646</v>
      </c>
    </row>
    <row r="450" spans="1:72" s="304" customFormat="1" ht="13.5" customHeight="1">
      <c r="A450" s="306" t="s">
        <v>1623</v>
      </c>
      <c r="D450" s="300" t="s">
        <v>3072</v>
      </c>
      <c r="E450" s="302" t="s">
        <v>3071</v>
      </c>
      <c r="BF450" s="300">
        <v>1289.8</v>
      </c>
      <c r="BG450" s="300">
        <v>1746.5</v>
      </c>
      <c r="BH450" s="300">
        <v>2343.4</v>
      </c>
      <c r="BI450" s="300">
        <v>2621.1999999999998</v>
      </c>
      <c r="BJ450" s="300">
        <v>2904.4</v>
      </c>
      <c r="BK450" s="300">
        <v>3441.9</v>
      </c>
      <c r="BL450" s="300">
        <v>4000.9</v>
      </c>
      <c r="BM450" s="300">
        <v>4742.7</v>
      </c>
      <c r="BN450" s="300">
        <v>5165.2</v>
      </c>
      <c r="BO450" s="300">
        <v>5958.9</v>
      </c>
      <c r="BS450" s="304">
        <v>7435</v>
      </c>
      <c r="BT450" s="304">
        <v>9568</v>
      </c>
    </row>
    <row r="451" spans="1:72" s="304" customFormat="1" ht="13.5" customHeight="1">
      <c r="A451" s="325" t="s">
        <v>1622</v>
      </c>
      <c r="D451" s="300" t="s">
        <v>3072</v>
      </c>
      <c r="E451" s="302" t="s">
        <v>3071</v>
      </c>
      <c r="BF451" s="300">
        <v>682.8</v>
      </c>
      <c r="BG451" s="300">
        <v>866.4</v>
      </c>
      <c r="BH451" s="300">
        <v>1068</v>
      </c>
      <c r="BI451" s="300">
        <v>1061.2</v>
      </c>
      <c r="BJ451" s="300">
        <v>1042.5</v>
      </c>
      <c r="BK451" s="300">
        <v>1345.6</v>
      </c>
      <c r="BL451" s="300">
        <v>1632.5</v>
      </c>
      <c r="BM451" s="300">
        <v>1868.4</v>
      </c>
      <c r="BN451" s="300">
        <v>1941.2</v>
      </c>
      <c r="BO451" s="300">
        <v>2267.6</v>
      </c>
      <c r="BP451" s="304">
        <v>3940.4</v>
      </c>
      <c r="BQ451" s="304">
        <v>3915.7</v>
      </c>
      <c r="BR451" s="304">
        <v>3330</v>
      </c>
      <c r="BS451" s="304">
        <v>2861.9</v>
      </c>
      <c r="BT451" s="304">
        <v>4582</v>
      </c>
    </row>
    <row r="452" spans="1:72" s="304" customFormat="1" ht="13.5" customHeight="1">
      <c r="A452" s="347"/>
      <c r="D452" s="300"/>
      <c r="E452" s="302"/>
      <c r="BF452" s="300"/>
      <c r="BG452" s="300"/>
      <c r="BH452" s="300"/>
      <c r="BI452" s="300"/>
      <c r="BJ452" s="300"/>
      <c r="BK452" s="300"/>
      <c r="BL452" s="300"/>
      <c r="BM452" s="300"/>
      <c r="BN452" s="300"/>
      <c r="BO452" s="300"/>
    </row>
    <row r="453" spans="1:72" s="304" customFormat="1" ht="13.5" customHeight="1">
      <c r="A453" s="343" t="s">
        <v>1621</v>
      </c>
      <c r="D453" s="304" t="s">
        <v>3072</v>
      </c>
      <c r="E453" s="274" t="s">
        <v>3071</v>
      </c>
      <c r="BF453" s="304">
        <v>359.4</v>
      </c>
      <c r="BG453" s="304">
        <v>494.5</v>
      </c>
      <c r="BH453" s="304">
        <v>594.6</v>
      </c>
      <c r="BI453" s="304">
        <v>660.2</v>
      </c>
      <c r="BJ453" s="304">
        <v>714.8</v>
      </c>
      <c r="BK453" s="304">
        <v>1110.8</v>
      </c>
      <c r="BL453" s="304">
        <v>1118.7</v>
      </c>
      <c r="BM453" s="304">
        <v>1230.9000000000001</v>
      </c>
      <c r="BN453" s="304">
        <v>1117</v>
      </c>
      <c r="BO453" s="304">
        <v>1138.2</v>
      </c>
      <c r="BP453" s="304">
        <v>787.8</v>
      </c>
      <c r="BQ453" s="304">
        <v>640</v>
      </c>
      <c r="BR453" s="304">
        <v>748.4</v>
      </c>
      <c r="BS453" s="304">
        <v>763.7</v>
      </c>
      <c r="BT453" s="304">
        <v>351</v>
      </c>
    </row>
    <row r="454" spans="1:72" s="304" customFormat="1" ht="13.5" customHeight="1">
      <c r="A454" s="344"/>
      <c r="E454" s="274"/>
    </row>
    <row r="455" spans="1:72" s="304" customFormat="1" ht="13.5" customHeight="1">
      <c r="A455" s="343" t="s">
        <v>3078</v>
      </c>
      <c r="D455" s="304" t="s">
        <v>3072</v>
      </c>
      <c r="E455" s="274" t="s">
        <v>3071</v>
      </c>
      <c r="BF455" s="304">
        <v>-33.5</v>
      </c>
      <c r="BG455" s="304">
        <v>-12.2</v>
      </c>
      <c r="BH455" s="304">
        <v>44.4</v>
      </c>
      <c r="BI455" s="304">
        <v>39.200000000000003</v>
      </c>
      <c r="BJ455" s="304">
        <v>-4.5999999999999996</v>
      </c>
      <c r="BK455" s="304">
        <v>201</v>
      </c>
      <c r="BL455" s="304">
        <v>89.2</v>
      </c>
      <c r="BM455" s="304">
        <v>-129.30000000000001</v>
      </c>
      <c r="BN455" s="304">
        <v>-61.3</v>
      </c>
      <c r="BO455" s="304">
        <v>186.6</v>
      </c>
      <c r="BP455" s="304">
        <v>-8</v>
      </c>
      <c r="BQ455" s="304">
        <v>201.7</v>
      </c>
      <c r="BR455" s="304">
        <v>155</v>
      </c>
      <c r="BS455" s="304">
        <v>-1917.7</v>
      </c>
      <c r="BT455" s="304">
        <v>236</v>
      </c>
    </row>
    <row r="456" spans="1:72" s="304" customFormat="1" ht="13.5" customHeight="1">
      <c r="A456" s="344"/>
      <c r="E456" s="274"/>
    </row>
    <row r="457" spans="1:72" s="304" customFormat="1" ht="13.5" customHeight="1">
      <c r="A457" s="344" t="s">
        <v>3077</v>
      </c>
      <c r="D457" s="304" t="s">
        <v>3072</v>
      </c>
      <c r="E457" s="274" t="s">
        <v>3071</v>
      </c>
      <c r="BF457" s="304">
        <v>2766.9</v>
      </c>
      <c r="BG457" s="304">
        <v>3573.4</v>
      </c>
      <c r="BH457" s="304">
        <v>4316.6000000000004</v>
      </c>
      <c r="BI457" s="304">
        <v>4976.8</v>
      </c>
      <c r="BJ457" s="304">
        <v>5508</v>
      </c>
      <c r="BK457" s="304">
        <v>6693.8</v>
      </c>
      <c r="BL457" s="304">
        <v>8114.6</v>
      </c>
      <c r="BM457" s="304">
        <v>9010.7999999999993</v>
      </c>
      <c r="BN457" s="304">
        <v>9500.1</v>
      </c>
      <c r="BO457" s="304">
        <v>10618.7</v>
      </c>
      <c r="BP457" s="304">
        <f>+BP435+BP439+BP445-BP453-BP455</f>
        <v>16173.600000000002</v>
      </c>
      <c r="BQ457" s="304">
        <f>+BQ435+BQ439+BQ445-BQ453-BQ455</f>
        <v>17586.3</v>
      </c>
      <c r="BR457" s="304">
        <f>+BR435+BR439+BR445-BR453-BR455</f>
        <v>19184.3</v>
      </c>
      <c r="BS457" s="304">
        <f>+BS435+BS439+BS445-BS453-BS455</f>
        <v>20276.2</v>
      </c>
      <c r="BT457" s="304">
        <v>32433.8</v>
      </c>
    </row>
    <row r="458" spans="1:72" s="304" customFormat="1" ht="13.5" customHeight="1">
      <c r="A458" s="306" t="s">
        <v>3076</v>
      </c>
      <c r="D458" s="300" t="s">
        <v>3072</v>
      </c>
      <c r="E458" s="302" t="s">
        <v>3071</v>
      </c>
      <c r="BF458" s="300">
        <v>343.4</v>
      </c>
      <c r="BG458" s="300">
        <v>410</v>
      </c>
      <c r="BH458" s="300">
        <v>467.2</v>
      </c>
      <c r="BI458" s="300">
        <v>571.6</v>
      </c>
      <c r="BJ458" s="300">
        <v>670.9</v>
      </c>
      <c r="BK458" s="300">
        <v>691.7</v>
      </c>
      <c r="BL458" s="300">
        <v>832.2</v>
      </c>
      <c r="BM458" s="300">
        <v>866.5</v>
      </c>
      <c r="BN458" s="300">
        <v>901.2</v>
      </c>
      <c r="BO458" s="300">
        <v>952</v>
      </c>
    </row>
    <row r="459" spans="1:72" s="304" customFormat="1" ht="13.5" customHeight="1">
      <c r="A459" s="306" t="s">
        <v>3075</v>
      </c>
      <c r="D459" s="300" t="s">
        <v>3072</v>
      </c>
      <c r="E459" s="302" t="s">
        <v>3071</v>
      </c>
      <c r="BF459" s="300">
        <v>1179.7</v>
      </c>
      <c r="BG459" s="300">
        <v>1505.3</v>
      </c>
      <c r="BH459" s="300">
        <v>1946.9</v>
      </c>
      <c r="BI459" s="300">
        <v>2088.3000000000002</v>
      </c>
      <c r="BJ459" s="300">
        <v>2315.6999999999998</v>
      </c>
      <c r="BK459" s="300">
        <v>2838.6</v>
      </c>
      <c r="BL459" s="300">
        <v>3459.1</v>
      </c>
      <c r="BM459" s="300">
        <v>3582.6</v>
      </c>
      <c r="BN459" s="300">
        <v>3729.1</v>
      </c>
      <c r="BO459" s="300">
        <v>3953.8</v>
      </c>
    </row>
    <row r="460" spans="1:72" s="300" customFormat="1">
      <c r="A460" s="306" t="s">
        <v>3074</v>
      </c>
      <c r="D460" s="300" t="s">
        <v>3072</v>
      </c>
      <c r="E460" s="302" t="s">
        <v>3071</v>
      </c>
      <c r="BF460" s="300">
        <v>1211.3</v>
      </c>
      <c r="BG460" s="300">
        <v>1613.8</v>
      </c>
      <c r="BH460" s="300">
        <v>1855</v>
      </c>
      <c r="BI460" s="300">
        <v>2255.8000000000002</v>
      </c>
      <c r="BJ460" s="300">
        <v>2441.3000000000002</v>
      </c>
      <c r="BK460" s="300">
        <v>3055.6</v>
      </c>
      <c r="BL460" s="300">
        <v>3701.2</v>
      </c>
      <c r="BM460" s="300">
        <v>4519.3999999999996</v>
      </c>
      <c r="BN460" s="300">
        <v>4852.1000000000004</v>
      </c>
      <c r="BO460" s="300">
        <v>5694</v>
      </c>
    </row>
    <row r="461" spans="1:72" s="300" customFormat="1">
      <c r="A461" s="306" t="s">
        <v>3073</v>
      </c>
      <c r="D461" s="300" t="s">
        <v>3072</v>
      </c>
      <c r="E461" s="302" t="s">
        <v>3071</v>
      </c>
      <c r="BF461" s="300">
        <v>32.5</v>
      </c>
      <c r="BG461" s="300">
        <v>44.2</v>
      </c>
      <c r="BH461" s="300">
        <v>47.5</v>
      </c>
      <c r="BI461" s="300">
        <v>61.1</v>
      </c>
      <c r="BJ461" s="300">
        <v>80</v>
      </c>
      <c r="BK461" s="300">
        <v>108</v>
      </c>
      <c r="BL461" s="300">
        <v>122.1</v>
      </c>
      <c r="BM461" s="300">
        <v>42.2</v>
      </c>
      <c r="BN461" s="300">
        <v>17.7</v>
      </c>
      <c r="BO461" s="300">
        <v>18.899999999999999</v>
      </c>
    </row>
    <row r="462" spans="1:72" s="300" customFormat="1">
      <c r="A462" s="325" t="s">
        <v>951</v>
      </c>
      <c r="D462" s="300" t="s">
        <v>3072</v>
      </c>
      <c r="BF462" s="300">
        <f t="shared" ref="BF462:BO462" si="100">+BF441-BF443+BF447+BF449+BF451</f>
        <v>603.9</v>
      </c>
      <c r="BG462" s="300">
        <f t="shared" si="100"/>
        <v>781.3</v>
      </c>
      <c r="BH462" s="300">
        <f t="shared" si="100"/>
        <v>959.9</v>
      </c>
      <c r="BI462" s="300">
        <f t="shared" si="100"/>
        <v>932.1</v>
      </c>
      <c r="BJ462" s="300">
        <f t="shared" si="100"/>
        <v>933.3</v>
      </c>
      <c r="BK462" s="300">
        <f t="shared" si="100"/>
        <v>1061.1999999999998</v>
      </c>
      <c r="BL462" s="300">
        <f t="shared" si="100"/>
        <v>1530</v>
      </c>
      <c r="BM462" s="300">
        <f t="shared" si="100"/>
        <v>1362</v>
      </c>
      <c r="BN462" s="300">
        <f t="shared" si="100"/>
        <v>1997.8</v>
      </c>
      <c r="BO462" s="300">
        <f t="shared" si="100"/>
        <v>2222.6999999999998</v>
      </c>
      <c r="BP462" s="300">
        <f>+BP441-BP443+BP447+BP449+BP451</f>
        <v>3588.8</v>
      </c>
      <c r="BQ462" s="300">
        <f>+BQ441-BQ443+BQ447+BQ449+BQ451</f>
        <v>4521.2</v>
      </c>
    </row>
    <row r="463" spans="1:72" s="300" customFormat="1">
      <c r="A463" s="304"/>
    </row>
    <row r="464" spans="1:72" s="300" customFormat="1">
      <c r="A464" s="341" t="s">
        <v>2383</v>
      </c>
      <c r="D464" s="300" t="s">
        <v>918</v>
      </c>
      <c r="E464" s="300" t="s">
        <v>2384</v>
      </c>
      <c r="G464" s="709">
        <f>+mamiabc!G98</f>
        <v>1.885E-3</v>
      </c>
      <c r="H464" s="709">
        <f>+mamiabc!H98</f>
        <v>1.885E-3</v>
      </c>
      <c r="I464" s="709">
        <f>+mamiabc!I98</f>
        <v>1.885E-3</v>
      </c>
      <c r="J464" s="709">
        <f>+mamiabc!J98</f>
        <v>1.885E-3</v>
      </c>
      <c r="K464" s="709">
        <f>+mamiabc!K98</f>
        <v>1.885E-3</v>
      </c>
      <c r="L464" s="709">
        <f>+mamiabc!L98</f>
        <v>1.885E-3</v>
      </c>
      <c r="M464" s="709">
        <f>+mamiabc!M98</f>
        <v>1.885E-3</v>
      </c>
      <c r="N464" s="709">
        <f>+mamiabc!N98</f>
        <v>1.885E-3</v>
      </c>
      <c r="O464" s="709">
        <f>+mamiabc!O98</f>
        <v>1.885E-3</v>
      </c>
      <c r="P464" s="709">
        <f>+mamiabc!P98</f>
        <v>1.885E-3</v>
      </c>
      <c r="Q464" s="709">
        <f>+mamiabc!Q98</f>
        <v>1.885E-3</v>
      </c>
      <c r="R464" s="709">
        <f>+mamiabc!R98</f>
        <v>1.885E-3</v>
      </c>
      <c r="S464" s="709">
        <f>+mamiabc!S98</f>
        <v>1.885E-3</v>
      </c>
      <c r="T464" s="709">
        <f>+mamiabc!T98</f>
        <v>1.885E-3</v>
      </c>
      <c r="U464" s="709">
        <f>+mamiabc!U98</f>
        <v>1.885E-3</v>
      </c>
      <c r="V464" s="709">
        <f>+mamiabc!V98</f>
        <v>1.885E-3</v>
      </c>
      <c r="W464" s="709">
        <f>+mamiabc!W98</f>
        <v>1.885E-3</v>
      </c>
      <c r="X464" s="709">
        <f>+mamiabc!X98</f>
        <v>1.7849999999999999E-3</v>
      </c>
      <c r="Y464" s="709">
        <f>+mamiabc!Y98</f>
        <v>1.7849999999999999E-3</v>
      </c>
      <c r="Z464" s="709">
        <f>+mamiabc!Z98</f>
        <v>1.7849999999999999E-3</v>
      </c>
      <c r="AA464" s="709">
        <f>+mamiabc!AA98</f>
        <v>1.7849999999999999E-3</v>
      </c>
      <c r="AB464" s="709">
        <f>+mamiabc!AB98</f>
        <v>1.7849999999999999E-3</v>
      </c>
      <c r="AC464" s="709">
        <f>+mamiabc!AC98</f>
        <v>1.7849999999999999E-3</v>
      </c>
      <c r="AD464" s="709">
        <f>+mamiabc!AD98</f>
        <v>1.7849999999999999E-3</v>
      </c>
      <c r="AE464" s="709">
        <f>+mamiabc!AE98</f>
        <v>1.7849999999999999E-3</v>
      </c>
      <c r="AF464" s="709">
        <f>+mamiabc!AF98</f>
        <v>1.7849999999999999E-3</v>
      </c>
      <c r="AG464" s="709">
        <f>+mamiabc!AG98</f>
        <v>1.7849999999999999E-3</v>
      </c>
      <c r="AH464" s="709">
        <f>+mamiabc!AH98</f>
        <v>1.7849999999999999E-3</v>
      </c>
      <c r="AI464" s="709">
        <f>+mamiabc!AI98</f>
        <v>1.7849999999999999E-3</v>
      </c>
      <c r="AJ464" s="709">
        <f>+mamiabc!AJ98</f>
        <v>1.7849999999999999E-3</v>
      </c>
      <c r="AK464" s="709">
        <f>+mamiabc!AK98</f>
        <v>2.0401500000000001E-3</v>
      </c>
      <c r="AL464" s="709">
        <f>+mamiabc!AL98</f>
        <v>2.4601499999999999E-3</v>
      </c>
      <c r="AM464" s="709">
        <f>+mamiabc!AM98</f>
        <v>3.5416500000000004E-3</v>
      </c>
      <c r="AN464" s="709">
        <f>+mamiabc!AN98</f>
        <v>3.4891499999999999E-3</v>
      </c>
      <c r="AO464" s="709">
        <f>+mamiabc!AO98</f>
        <v>4.5265499999999998E-3</v>
      </c>
      <c r="AP464" s="709">
        <f>+mamiabc!AP98</f>
        <v>4.9465500000000001E-3</v>
      </c>
      <c r="AQ464" s="709">
        <f>+mamiabc!AQ98</f>
        <v>6.3073499999999998E-3</v>
      </c>
      <c r="AR464" s="709">
        <f>+mamiabc!AR98</f>
        <v>7.9985500000000001E-3</v>
      </c>
      <c r="AS464" s="709">
        <f>+mamiabc!AS98</f>
        <v>1.8697350000000001E-2</v>
      </c>
      <c r="AT464" s="709">
        <f>+mamiabc!AT98</f>
        <v>6.7114950000000007E-2</v>
      </c>
      <c r="AU464" s="709">
        <f>+mamiabc!AU98</f>
        <v>0.45342905</v>
      </c>
      <c r="AV464" s="709">
        <f>+mamiabc!AV98</f>
        <v>0.40414675</v>
      </c>
      <c r="AW464" s="709">
        <f>+mamiabc!AW98</f>
        <v>0.40827650000000004</v>
      </c>
      <c r="AX464" s="709">
        <f>+mamiabc!AX98</f>
        <v>0.4334345</v>
      </c>
      <c r="AY464" s="709">
        <f>+mamiabc!AY98</f>
        <v>0.94208350000000007</v>
      </c>
      <c r="AZ464" s="709">
        <f>+mamiabc!AZ98</f>
        <v>1.4554920000000002</v>
      </c>
      <c r="BA464" s="709">
        <f>+mamiabc!BA98</f>
        <v>2.1924597500000003</v>
      </c>
      <c r="BB464" s="709">
        <f>+mamiabc!BB98</f>
        <v>2.4200925</v>
      </c>
      <c r="BC464" s="709">
        <f>+mamiabc!BC98</f>
        <v>2.6855824999999998</v>
      </c>
      <c r="BD464" s="709">
        <f>+mamiabc!BD98</f>
        <v>2.7638250000000002</v>
      </c>
      <c r="BE464" s="709">
        <f>+mamiabc!BE98</f>
        <v>2.7638250000000002</v>
      </c>
      <c r="BF464" s="709">
        <f>+mamiabc!BF98</f>
        <v>2.7638250000000002</v>
      </c>
      <c r="BG464" s="709">
        <f>+mamiabc!BG98</f>
        <v>2.7638250000000002</v>
      </c>
      <c r="BH464" s="709">
        <f>+mamiabc!BH98</f>
        <v>2.7638250000000002</v>
      </c>
      <c r="BI464" s="709">
        <f>+mamiabc!BI98</f>
        <v>2.7638250000000002</v>
      </c>
      <c r="BJ464" s="709">
        <f>+mamiabc!BJ98</f>
        <v>2.7638250000000002</v>
      </c>
      <c r="BK464" s="709">
        <f>+mamiabc!BK98</f>
        <v>2.7638250000000002</v>
      </c>
      <c r="BL464" s="709">
        <f>+mamiabc!BL98</f>
        <v>2.7638250000000002</v>
      </c>
      <c r="BM464" s="709">
        <f>+mamiabc!BM98</f>
        <v>2.7638250000000002</v>
      </c>
      <c r="BN464" s="709">
        <f>+mamiabc!BN98</f>
        <v>2.7638250000000002</v>
      </c>
      <c r="BO464" s="709">
        <f>+mamiabc!BO98</f>
        <v>2.7638250000000002</v>
      </c>
      <c r="BP464" s="300">
        <v>6.5</v>
      </c>
      <c r="BQ464" s="300">
        <v>7.51</v>
      </c>
      <c r="BR464" s="300">
        <v>7.53</v>
      </c>
      <c r="BS464" s="300">
        <v>8.1999999999999993</v>
      </c>
      <c r="BT464" s="300">
        <v>13.1</v>
      </c>
    </row>
    <row r="466" spans="1:85" s="299" customFormat="1">
      <c r="A466" s="298" t="s">
        <v>3205</v>
      </c>
    </row>
    <row r="467" spans="1:85">
      <c r="A467" s="302" t="s">
        <v>744</v>
      </c>
    </row>
    <row r="468" spans="1:85">
      <c r="A468" s="302" t="str">
        <f>+A344</f>
        <v>Buitenlands (netto)</v>
      </c>
      <c r="D468" s="302" t="s">
        <v>745</v>
      </c>
      <c r="E468" s="302" t="s">
        <v>746</v>
      </c>
      <c r="BF468" s="310">
        <f>+BF344</f>
        <v>-79.900000000000006</v>
      </c>
      <c r="BG468" s="310">
        <f t="shared" ref="BG468:BX468" si="101">+BG344</f>
        <v>-272.8</v>
      </c>
      <c r="BH468" s="310">
        <f t="shared" si="101"/>
        <v>33.799999999999997</v>
      </c>
      <c r="BI468" s="310">
        <f t="shared" si="101"/>
        <v>-16.3</v>
      </c>
      <c r="BJ468" s="310">
        <f t="shared" si="101"/>
        <v>184.6</v>
      </c>
      <c r="BK468" s="310">
        <f t="shared" si="101"/>
        <v>413.6</v>
      </c>
      <c r="BL468" s="310">
        <f t="shared" si="101"/>
        <v>347.5</v>
      </c>
      <c r="BM468" s="310">
        <f t="shared" si="101"/>
        <v>554.4</v>
      </c>
      <c r="BN468" s="310">
        <f t="shared" si="101"/>
        <v>258.3</v>
      </c>
      <c r="BO468" s="310">
        <f t="shared" si="101"/>
        <v>267.89999999999998</v>
      </c>
      <c r="BP468" s="310">
        <f t="shared" si="101"/>
        <v>4713</v>
      </c>
      <c r="BQ468" s="310">
        <f t="shared" si="101"/>
        <v>983.7</v>
      </c>
      <c r="BR468" s="310">
        <f t="shared" si="101"/>
        <v>327</v>
      </c>
      <c r="BS468" s="310">
        <f t="shared" si="101"/>
        <v>412.8</v>
      </c>
      <c r="BT468" s="310">
        <f t="shared" si="101"/>
        <v>412.8</v>
      </c>
      <c r="BU468" s="310">
        <f t="shared" si="101"/>
        <v>0</v>
      </c>
      <c r="BV468" s="310">
        <f t="shared" si="101"/>
        <v>0</v>
      </c>
      <c r="BW468" s="310">
        <f t="shared" si="101"/>
        <v>0</v>
      </c>
      <c r="BX468" s="310">
        <f t="shared" si="101"/>
        <v>0</v>
      </c>
    </row>
    <row r="469" spans="1:85">
      <c r="A469" s="302" t="s">
        <v>747</v>
      </c>
      <c r="D469" s="726" t="s">
        <v>1852</v>
      </c>
      <c r="E469" s="302" t="s">
        <v>748</v>
      </c>
      <c r="BP469" s="302">
        <v>18.899999999999999</v>
      </c>
      <c r="BQ469" s="302">
        <v>7.4</v>
      </c>
      <c r="BR469" s="302">
        <v>1.4</v>
      </c>
      <c r="BS469" s="302">
        <v>5.8</v>
      </c>
      <c r="BT469" s="302">
        <v>6.1</v>
      </c>
      <c r="BU469" s="302">
        <v>5.5</v>
      </c>
      <c r="BV469" s="302">
        <v>4.2</v>
      </c>
      <c r="BW469" s="302">
        <v>5</v>
      </c>
      <c r="BX469" s="302">
        <v>4.9000000000000004</v>
      </c>
    </row>
    <row r="470" spans="1:85">
      <c r="A470" s="302" t="s">
        <v>1722</v>
      </c>
      <c r="D470" s="302" t="s">
        <v>1579</v>
      </c>
      <c r="E470" s="302" t="s">
        <v>1722</v>
      </c>
      <c r="BP470" s="308">
        <f>+BP469*BP92/100</f>
        <v>3683.4209999999998</v>
      </c>
      <c r="BQ470" s="308">
        <f>+BQ469*BQ92/100</f>
        <v>1778.664</v>
      </c>
      <c r="BR470" s="308">
        <f>+BR469*BR92/100</f>
        <v>361.28399999999993</v>
      </c>
      <c r="BS470" s="308">
        <f>+BS469*BS92/100</f>
        <v>1599.1760000000002</v>
      </c>
    </row>
    <row r="471" spans="1:85">
      <c r="A471" s="302" t="s">
        <v>1722</v>
      </c>
      <c r="D471" s="302" t="s">
        <v>2682</v>
      </c>
      <c r="E471" s="302" t="s">
        <v>1722</v>
      </c>
      <c r="BP471" s="308">
        <f>+BP470/BP464</f>
        <v>566.68015384615387</v>
      </c>
      <c r="BQ471" s="308">
        <f>+BQ470/BQ464</f>
        <v>236.839414114514</v>
      </c>
      <c r="BR471" s="308">
        <f>+BR470/BR464</f>
        <v>47.979282868525885</v>
      </c>
      <c r="BS471" s="308">
        <f>+BS470/BS464</f>
        <v>195.02146341463418</v>
      </c>
      <c r="BT471" s="557">
        <v>255</v>
      </c>
      <c r="BU471" s="854">
        <f t="shared" ref="BU471:BV471" si="102">BU479</f>
        <v>278</v>
      </c>
      <c r="BV471" s="854">
        <f t="shared" si="102"/>
        <v>278</v>
      </c>
      <c r="BW471" s="854">
        <f>BW479</f>
        <v>278</v>
      </c>
      <c r="BX471" s="854">
        <f t="shared" ref="BX471:CG471" si="103">BX479</f>
        <v>278</v>
      </c>
      <c r="BY471" s="854">
        <f t="shared" si="103"/>
        <v>278</v>
      </c>
      <c r="BZ471" s="854">
        <f t="shared" si="103"/>
        <v>278</v>
      </c>
      <c r="CA471" s="854">
        <f t="shared" si="103"/>
        <v>278</v>
      </c>
      <c r="CB471" s="854">
        <f t="shared" si="103"/>
        <v>278</v>
      </c>
      <c r="CC471" s="854">
        <f t="shared" si="103"/>
        <v>278</v>
      </c>
      <c r="CD471" s="854">
        <f t="shared" si="103"/>
        <v>278</v>
      </c>
      <c r="CE471" s="854">
        <f t="shared" si="103"/>
        <v>278</v>
      </c>
      <c r="CF471" s="854">
        <f t="shared" si="103"/>
        <v>278</v>
      </c>
      <c r="CG471" s="854">
        <f t="shared" si="103"/>
        <v>278</v>
      </c>
    </row>
    <row r="472" spans="1:85">
      <c r="A472" s="302" t="s">
        <v>749</v>
      </c>
      <c r="BP472" s="308"/>
      <c r="BQ472" s="308"/>
      <c r="BR472" s="308"/>
      <c r="BS472" s="308"/>
    </row>
    <row r="473" spans="1:85" s="308" customFormat="1">
      <c r="A473" s="308" t="s">
        <v>2991</v>
      </c>
      <c r="C473" s="308" t="s">
        <v>837</v>
      </c>
      <c r="BP473" s="308">
        <v>60</v>
      </c>
      <c r="BQ473" s="308">
        <v>104</v>
      </c>
      <c r="BR473" s="308">
        <v>186.66666666666669</v>
      </c>
      <c r="BS473" s="308">
        <v>114.13333333333334</v>
      </c>
      <c r="BT473" s="308">
        <v>226.26666666666668</v>
      </c>
      <c r="BU473" s="308">
        <v>78.8</v>
      </c>
      <c r="BV473" s="308">
        <v>-15.733333333333334</v>
      </c>
      <c r="BW473" s="308">
        <v>-97.6</v>
      </c>
      <c r="BX473" s="308">
        <v>-105</v>
      </c>
      <c r="BY473" s="308">
        <v>-105</v>
      </c>
      <c r="BZ473" s="308">
        <v>-105</v>
      </c>
      <c r="CA473" s="308">
        <v>-105</v>
      </c>
      <c r="CB473" s="308">
        <v>-105</v>
      </c>
      <c r="CC473" s="308">
        <v>-105</v>
      </c>
      <c r="CD473" s="308">
        <v>-75</v>
      </c>
      <c r="CE473" s="308">
        <v>-75</v>
      </c>
      <c r="CF473" s="308">
        <v>-75</v>
      </c>
      <c r="CG473" s="308">
        <v>-75</v>
      </c>
    </row>
    <row r="474" spans="1:85">
      <c r="A474" s="302" t="s">
        <v>366</v>
      </c>
      <c r="BT474" s="767">
        <f>803/7.5</f>
        <v>107.06666666666666</v>
      </c>
      <c r="BU474" s="308">
        <f>+BT474</f>
        <v>107.06666666666666</v>
      </c>
      <c r="BV474" s="308">
        <f t="shared" ref="BV474:CG474" si="104">+BU474</f>
        <v>107.06666666666666</v>
      </c>
      <c r="BW474" s="308">
        <f t="shared" si="104"/>
        <v>107.06666666666666</v>
      </c>
      <c r="BX474" s="308">
        <f t="shared" si="104"/>
        <v>107.06666666666666</v>
      </c>
      <c r="BY474" s="308">
        <f t="shared" si="104"/>
        <v>107.06666666666666</v>
      </c>
      <c r="BZ474" s="308">
        <f t="shared" si="104"/>
        <v>107.06666666666666</v>
      </c>
      <c r="CA474" s="308">
        <f t="shared" si="104"/>
        <v>107.06666666666666</v>
      </c>
      <c r="CB474" s="308">
        <f t="shared" si="104"/>
        <v>107.06666666666666</v>
      </c>
      <c r="CC474" s="308">
        <f t="shared" si="104"/>
        <v>107.06666666666666</v>
      </c>
      <c r="CD474" s="308">
        <f t="shared" si="104"/>
        <v>107.06666666666666</v>
      </c>
      <c r="CE474" s="308">
        <f t="shared" si="104"/>
        <v>107.06666666666666</v>
      </c>
      <c r="CF474" s="308">
        <f t="shared" si="104"/>
        <v>107.06666666666666</v>
      </c>
      <c r="CG474" s="308">
        <f t="shared" si="104"/>
        <v>107.06666666666666</v>
      </c>
    </row>
    <row r="475" spans="1:85">
      <c r="A475" s="94" t="s">
        <v>3801</v>
      </c>
      <c r="D475" s="94" t="s">
        <v>2682</v>
      </c>
      <c r="E475" s="94" t="s">
        <v>3802</v>
      </c>
      <c r="BT475" s="308">
        <v>639.25896295999996</v>
      </c>
      <c r="BU475" s="308">
        <v>581.66493765333325</v>
      </c>
      <c r="BV475" s="308">
        <v>414.84648750666668</v>
      </c>
      <c r="BW475" s="308">
        <v>608.1356199999999</v>
      </c>
      <c r="BX475" s="308">
        <v>388.32479998666673</v>
      </c>
      <c r="BY475" s="308">
        <v>413.12919449333333</v>
      </c>
    </row>
    <row r="477" spans="1:85">
      <c r="A477" s="302" t="s">
        <v>3820</v>
      </c>
      <c r="B477" s="302" t="s">
        <v>1579</v>
      </c>
      <c r="C477" s="94" t="s">
        <v>3823</v>
      </c>
      <c r="BT477" s="308">
        <v>7290.3649999999998</v>
      </c>
      <c r="BU477" s="308">
        <v>3771.462</v>
      </c>
      <c r="BV477" s="308">
        <v>3092.3020000000001</v>
      </c>
      <c r="BW477" s="308">
        <v>5081.7359999999999</v>
      </c>
      <c r="BX477" s="308"/>
    </row>
    <row r="478" spans="1:85">
      <c r="A478" s="302" t="s">
        <v>3820</v>
      </c>
      <c r="B478" s="94" t="s">
        <v>3821</v>
      </c>
      <c r="BT478" s="858">
        <f>BT477/14.3</f>
        <v>509.81573426573425</v>
      </c>
      <c r="BU478" s="308">
        <f t="shared" ref="BU478:BW478" si="105">BU477/14.3</f>
        <v>263.73860139860136</v>
      </c>
      <c r="BV478" s="308">
        <f t="shared" si="105"/>
        <v>216.24489510489511</v>
      </c>
      <c r="BW478" s="308">
        <f t="shared" si="105"/>
        <v>355.36615384615379</v>
      </c>
      <c r="BX478" s="94" t="s">
        <v>3822</v>
      </c>
    </row>
    <row r="479" spans="1:85">
      <c r="A479" s="94" t="s">
        <v>3824</v>
      </c>
      <c r="BU479" s="308">
        <v>278</v>
      </c>
      <c r="BV479" s="308">
        <f>BU479</f>
        <v>278</v>
      </c>
      <c r="BW479" s="308">
        <f t="shared" ref="BW479:CG479" si="106">BV479</f>
        <v>278</v>
      </c>
      <c r="BX479" s="308">
        <f t="shared" si="106"/>
        <v>278</v>
      </c>
      <c r="BY479" s="308">
        <f t="shared" si="106"/>
        <v>278</v>
      </c>
      <c r="BZ479" s="308">
        <f t="shared" si="106"/>
        <v>278</v>
      </c>
      <c r="CA479" s="308">
        <f t="shared" si="106"/>
        <v>278</v>
      </c>
      <c r="CB479" s="308">
        <f t="shared" si="106"/>
        <v>278</v>
      </c>
      <c r="CC479" s="308">
        <f t="shared" si="106"/>
        <v>278</v>
      </c>
      <c r="CD479" s="308">
        <f t="shared" si="106"/>
        <v>278</v>
      </c>
      <c r="CE479" s="308">
        <f t="shared" si="106"/>
        <v>278</v>
      </c>
      <c r="CF479" s="308">
        <f t="shared" si="106"/>
        <v>278</v>
      </c>
      <c r="CG479" s="308">
        <f t="shared" si="106"/>
        <v>278</v>
      </c>
    </row>
  </sheetData>
  <phoneticPr fontId="15" type="noConversion"/>
  <hyperlinks>
    <hyperlink ref="A2" location="SOURCE!BO3" display="real sector" xr:uid="{00000000-0004-0000-0600-000000000000}"/>
    <hyperlink ref="B1" location="SOURCE!BO82" display="Households" xr:uid="{00000000-0004-0000-0600-000001000000}"/>
    <hyperlink ref="D1" location="SOURCE!BQ201" display="BoP" xr:uid="{00000000-0004-0000-0600-000002000000}"/>
    <hyperlink ref="B2" location="SOURCE!BO248" display="Government " xr:uid="{00000000-0004-0000-0600-000003000000}"/>
    <hyperlink ref="C1" location="SOURCE!BO306" display="monetary" xr:uid="{00000000-0004-0000-0600-000004000000}"/>
  </hyperlinks>
  <pageMargins left="0.75" right="0.75" top="1" bottom="1" header="0.5" footer="0.5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  <pageSetUpPr fitToPage="1"/>
  </sheetPr>
  <dimension ref="A1:CM25"/>
  <sheetViews>
    <sheetView zoomScale="115" zoomScaleNormal="115" workbookViewId="0">
      <pane xSplit="3" ySplit="8" topLeftCell="D9" activePane="bottomRight" state="frozen"/>
      <selection pane="topRight" activeCell="D1" sqref="D1"/>
      <selection pane="bottomLeft" activeCell="A10" sqref="A10"/>
      <selection pane="bottomRight" activeCell="K10" sqref="K10:Q23"/>
    </sheetView>
  </sheetViews>
  <sheetFormatPr defaultRowHeight="15.75"/>
  <cols>
    <col min="1" max="1" width="31.6640625" style="697" customWidth="1"/>
    <col min="2" max="2" width="5" style="697" customWidth="1"/>
    <col min="3" max="3" width="5.5" style="697" customWidth="1"/>
    <col min="4" max="6" width="8.1640625" style="697" customWidth="1"/>
    <col min="7" max="23" width="7.33203125" style="697" customWidth="1"/>
    <col min="24" max="24" width="1.6640625" style="697" customWidth="1"/>
    <col min="25" max="25" width="12.5" style="697" bestFit="1" customWidth="1"/>
    <col min="26" max="36" width="9.33203125" style="697"/>
    <col min="37" max="37" width="4.33203125" style="697" customWidth="1"/>
    <col min="38" max="16384" width="9.33203125" style="697"/>
  </cols>
  <sheetData>
    <row r="1" spans="1:91" ht="11.25" customHeight="1">
      <c r="Y1" s="748" t="s">
        <v>383</v>
      </c>
      <c r="Z1" s="748"/>
      <c r="AA1" s="748"/>
      <c r="AB1" s="748"/>
      <c r="AC1" s="748"/>
      <c r="AD1" s="748"/>
      <c r="AE1" s="748"/>
      <c r="AF1" s="748"/>
      <c r="AG1" s="748"/>
      <c r="AH1" s="748"/>
      <c r="AI1" s="748"/>
      <c r="AJ1" s="748"/>
    </row>
    <row r="2" spans="1:91" s="1" customFormat="1" ht="11.25" customHeight="1">
      <c r="A2" s="1" t="s">
        <v>272</v>
      </c>
      <c r="E2" s="1" t="s">
        <v>1344</v>
      </c>
      <c r="Y2" s="1">
        <v>1</v>
      </c>
      <c r="Z2" s="1">
        <v>2</v>
      </c>
      <c r="AA2" s="1">
        <v>3</v>
      </c>
      <c r="AB2" s="1">
        <v>4</v>
      </c>
      <c r="AC2" s="1">
        <v>5</v>
      </c>
      <c r="AD2" s="1">
        <v>6</v>
      </c>
      <c r="AE2" s="1">
        <v>7</v>
      </c>
      <c r="AF2" s="1">
        <v>8</v>
      </c>
      <c r="AG2" s="1">
        <v>9</v>
      </c>
      <c r="AH2" s="1">
        <f>1+AG2</f>
        <v>10</v>
      </c>
      <c r="AI2" s="1">
        <f>1+AH2</f>
        <v>11</v>
      </c>
      <c r="AJ2" s="1">
        <f>1+AI2</f>
        <v>12</v>
      </c>
      <c r="AL2" s="1" t="s">
        <v>827</v>
      </c>
    </row>
    <row r="3" spans="1:91" s="1" customFormat="1" ht="11.25" customHeight="1">
      <c r="A3" s="1" t="s">
        <v>273</v>
      </c>
      <c r="Y3" s="1" t="s">
        <v>276</v>
      </c>
      <c r="Z3" s="1" t="s">
        <v>278</v>
      </c>
      <c r="AA3" s="1" t="s">
        <v>3451</v>
      </c>
      <c r="AB3" s="1" t="s">
        <v>279</v>
      </c>
      <c r="AC3" s="1" t="s">
        <v>280</v>
      </c>
      <c r="AD3" s="1" t="s">
        <v>281</v>
      </c>
      <c r="AE3" s="1" t="s">
        <v>288</v>
      </c>
      <c r="AF3" s="1" t="s">
        <v>282</v>
      </c>
      <c r="AG3" s="1" t="s">
        <v>283</v>
      </c>
      <c r="AH3" s="1" t="s">
        <v>284</v>
      </c>
      <c r="AI3" s="1" t="s">
        <v>2632</v>
      </c>
      <c r="AJ3" s="1" t="s">
        <v>2373</v>
      </c>
      <c r="AL3" s="1" t="s">
        <v>285</v>
      </c>
      <c r="AN3" s="1" t="s">
        <v>3263</v>
      </c>
      <c r="AO3" s="1" t="s">
        <v>3454</v>
      </c>
    </row>
    <row r="4" spans="1:91" s="1" customFormat="1" ht="11.25" customHeight="1">
      <c r="A4" s="1" t="s">
        <v>664</v>
      </c>
      <c r="Y4" s="1">
        <v>35</v>
      </c>
      <c r="Z4" s="1">
        <v>107</v>
      </c>
      <c r="AA4" s="1">
        <f>67-183</f>
        <v>-116</v>
      </c>
      <c r="AB4" s="1">
        <v>10</v>
      </c>
      <c r="AC4" s="1">
        <v>20</v>
      </c>
      <c r="AD4" s="1">
        <v>-10</v>
      </c>
      <c r="AE4" s="1">
        <v>-3</v>
      </c>
      <c r="AF4" s="1">
        <v>-100</v>
      </c>
      <c r="AG4" s="1">
        <v>-2</v>
      </c>
      <c r="AH4" s="1">
        <v>2</v>
      </c>
      <c r="AI4" s="1">
        <v>1</v>
      </c>
      <c r="AJ4" s="1">
        <v>6</v>
      </c>
      <c r="AL4" s="1" t="s">
        <v>286</v>
      </c>
      <c r="AN4" s="1" t="s">
        <v>3453</v>
      </c>
      <c r="AO4" s="1" t="s">
        <v>3455</v>
      </c>
    </row>
    <row r="5" spans="1:91" s="1" customFormat="1" ht="11.25" customHeight="1">
      <c r="A5" s="1" t="s">
        <v>277</v>
      </c>
      <c r="C5" s="19" t="s">
        <v>329</v>
      </c>
      <c r="D5" s="1" t="s">
        <v>327</v>
      </c>
      <c r="L5" s="3"/>
      <c r="M5" s="3"/>
      <c r="N5" s="3"/>
      <c r="O5" s="3"/>
      <c r="P5" s="3"/>
      <c r="Q5" s="3"/>
      <c r="Y5" s="740" t="s">
        <v>1349</v>
      </c>
      <c r="Z5" s="1" t="s">
        <v>2682</v>
      </c>
      <c r="AA5" s="1" t="s">
        <v>2682</v>
      </c>
      <c r="AB5" s="1" t="s">
        <v>1349</v>
      </c>
      <c r="AC5" s="1" t="s">
        <v>1349</v>
      </c>
      <c r="AD5" s="1" t="s">
        <v>1349</v>
      </c>
      <c r="AE5" s="687" t="s">
        <v>1349</v>
      </c>
      <c r="AF5" s="1" t="s">
        <v>2682</v>
      </c>
      <c r="AG5" s="687" t="s">
        <v>1349</v>
      </c>
      <c r="AH5" s="687" t="s">
        <v>1349</v>
      </c>
      <c r="AI5" s="687" t="s">
        <v>1349</v>
      </c>
      <c r="AJ5" s="1" t="s">
        <v>1349</v>
      </c>
      <c r="AL5" s="1" t="s">
        <v>287</v>
      </c>
    </row>
    <row r="6" spans="1:91" s="1" customFormat="1" ht="11.25" customHeight="1">
      <c r="A6" s="1" t="s">
        <v>274</v>
      </c>
      <c r="C6" s="1" t="s">
        <v>330</v>
      </c>
      <c r="E6" s="1" t="s">
        <v>331</v>
      </c>
      <c r="Y6" s="1" t="s">
        <v>3441</v>
      </c>
      <c r="Z6" s="1" t="s">
        <v>3442</v>
      </c>
      <c r="AA6" s="1" t="s">
        <v>3452</v>
      </c>
      <c r="AB6" s="1" t="s">
        <v>3443</v>
      </c>
      <c r="AC6" s="1" t="s">
        <v>3444</v>
      </c>
      <c r="AD6" s="1" t="s">
        <v>3445</v>
      </c>
      <c r="AE6" s="1" t="s">
        <v>3446</v>
      </c>
      <c r="AF6" s="1" t="s">
        <v>3447</v>
      </c>
      <c r="AG6" s="1" t="s">
        <v>3448</v>
      </c>
      <c r="AH6" s="1" t="s">
        <v>289</v>
      </c>
      <c r="AI6" s="1" t="s">
        <v>3449</v>
      </c>
      <c r="AJ6" s="1" t="s">
        <v>3450</v>
      </c>
    </row>
    <row r="7" spans="1:91" s="1" customFormat="1" ht="11.25" customHeight="1">
      <c r="A7" s="3" t="s">
        <v>275</v>
      </c>
      <c r="B7" s="3"/>
      <c r="C7" s="757" t="s">
        <v>328</v>
      </c>
      <c r="D7" s="3"/>
      <c r="E7" s="3"/>
      <c r="F7" s="3"/>
      <c r="G7" s="3"/>
      <c r="H7" s="3"/>
      <c r="I7" s="3"/>
      <c r="J7" s="793" t="s">
        <v>3416</v>
      </c>
      <c r="K7" s="3"/>
      <c r="Q7" s="793" t="s">
        <v>3416</v>
      </c>
      <c r="R7" s="3"/>
      <c r="S7" s="3"/>
      <c r="T7" s="3"/>
      <c r="U7" s="3"/>
      <c r="V7" s="3"/>
      <c r="W7" s="793" t="s">
        <v>3416</v>
      </c>
      <c r="Y7" s="1">
        <f>-AC14/Y14</f>
        <v>6.659042564563232E-2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91" s="1" customFormat="1" ht="13.5" customHeight="1">
      <c r="A8" s="3" t="s">
        <v>1344</v>
      </c>
      <c r="B8" s="3"/>
      <c r="C8" s="3" t="s">
        <v>323</v>
      </c>
      <c r="D8" s="3" t="s">
        <v>3844</v>
      </c>
      <c r="E8" s="797"/>
      <c r="F8" s="3"/>
      <c r="G8" s="3"/>
      <c r="H8" s="3"/>
      <c r="I8" s="3"/>
      <c r="J8" s="793">
        <v>2021</v>
      </c>
      <c r="K8" s="3"/>
      <c r="L8" s="3" t="s">
        <v>3849</v>
      </c>
      <c r="M8" s="3"/>
      <c r="N8" s="3"/>
      <c r="O8" s="3"/>
      <c r="P8" s="3"/>
      <c r="Q8" s="793">
        <v>2021</v>
      </c>
      <c r="R8" s="3" t="s">
        <v>3845</v>
      </c>
      <c r="S8" s="3"/>
      <c r="T8" s="3"/>
      <c r="U8" s="3"/>
      <c r="V8" s="3"/>
      <c r="W8" s="793">
        <v>2021</v>
      </c>
      <c r="Y8" s="1" t="s">
        <v>270</v>
      </c>
      <c r="AA8" s="1" t="s">
        <v>2746</v>
      </c>
    </row>
    <row r="9" spans="1:91" ht="13.5" customHeight="1">
      <c r="A9" s="758" t="s">
        <v>271</v>
      </c>
      <c r="B9" s="754"/>
      <c r="C9" s="754"/>
      <c r="D9" s="768">
        <v>2020</v>
      </c>
      <c r="E9" s="759">
        <v>2021</v>
      </c>
      <c r="F9" s="759">
        <v>2022</v>
      </c>
      <c r="G9" s="759">
        <v>2023</v>
      </c>
      <c r="H9" s="759">
        <v>2024</v>
      </c>
      <c r="I9" s="759">
        <v>2025</v>
      </c>
      <c r="J9" s="794">
        <v>2025</v>
      </c>
      <c r="K9" s="768">
        <v>2020</v>
      </c>
      <c r="L9" s="768">
        <v>2021</v>
      </c>
      <c r="M9" s="768">
        <f>+Key!J1</f>
        <v>2022</v>
      </c>
      <c r="N9" s="768">
        <f>+Key!K1</f>
        <v>2023</v>
      </c>
      <c r="O9" s="768">
        <f>+Key!L1</f>
        <v>2024</v>
      </c>
      <c r="P9" s="768">
        <f>+Key!M1</f>
        <v>2025</v>
      </c>
      <c r="Q9" s="793">
        <v>2025</v>
      </c>
      <c r="R9" s="760">
        <f>+Key!I1</f>
        <v>2021</v>
      </c>
      <c r="S9" s="760">
        <f>+Key!J1</f>
        <v>2022</v>
      </c>
      <c r="T9" s="760">
        <f>+Key!K1</f>
        <v>2023</v>
      </c>
      <c r="U9" s="760">
        <f>+Key!L1</f>
        <v>2024</v>
      </c>
      <c r="V9" s="760">
        <f>+Key!M1</f>
        <v>2025</v>
      </c>
      <c r="W9" s="794">
        <v>2025</v>
      </c>
      <c r="X9" s="572"/>
      <c r="Y9" s="697">
        <v>2021</v>
      </c>
      <c r="Z9" s="697">
        <v>2021</v>
      </c>
      <c r="AA9" s="697">
        <v>2021</v>
      </c>
      <c r="AB9" s="697">
        <v>2021</v>
      </c>
      <c r="AC9" s="697">
        <v>2021</v>
      </c>
      <c r="AD9" s="697">
        <v>2021</v>
      </c>
      <c r="AE9" s="697">
        <v>2021</v>
      </c>
      <c r="AF9" s="697">
        <v>2021</v>
      </c>
      <c r="AG9" s="697">
        <v>2021</v>
      </c>
      <c r="AH9" s="697">
        <v>2021</v>
      </c>
      <c r="AI9" s="697">
        <v>2021</v>
      </c>
      <c r="AJ9" s="697">
        <v>2021</v>
      </c>
      <c r="AL9" s="697">
        <v>2021</v>
      </c>
      <c r="AN9" s="697">
        <v>2021</v>
      </c>
      <c r="AO9" s="697">
        <v>2021</v>
      </c>
    </row>
    <row r="10" spans="1:91" ht="13.5" customHeight="1">
      <c r="A10" s="761" t="s">
        <v>371</v>
      </c>
      <c r="B10" s="755" t="s">
        <v>918</v>
      </c>
      <c r="C10" s="762"/>
      <c r="D10" s="761">
        <v>13.1</v>
      </c>
      <c r="E10" s="766">
        <v>29.52</v>
      </c>
      <c r="F10" s="766">
        <v>47.231999999999999</v>
      </c>
      <c r="G10" s="766">
        <v>75.571200000000005</v>
      </c>
      <c r="H10" s="766">
        <v>120.91392000000002</v>
      </c>
      <c r="I10" s="766">
        <v>169.27948800000001</v>
      </c>
      <c r="J10" s="795">
        <v>88.503321600000007</v>
      </c>
      <c r="K10" s="769">
        <f>+Key!H3</f>
        <v>13.1</v>
      </c>
      <c r="L10" s="769">
        <f>+Key!I3</f>
        <v>20.96</v>
      </c>
      <c r="M10" s="769">
        <f>+Key!J3</f>
        <v>20.96</v>
      </c>
      <c r="N10" s="769">
        <f>+Key!K3</f>
        <v>20.96</v>
      </c>
      <c r="O10" s="769">
        <f>+Key!L3</f>
        <v>20.96</v>
      </c>
      <c r="P10" s="769">
        <f>+Key!M3</f>
        <v>20.96</v>
      </c>
      <c r="Q10" s="795">
        <f>+SUM(L10:P10)/5</f>
        <v>20.96</v>
      </c>
      <c r="R10" s="803">
        <f t="shared" ref="R10:R20" si="0">+L10-E10</f>
        <v>-8.5599999999999987</v>
      </c>
      <c r="S10" s="803">
        <f t="shared" ref="S10:S20" si="1">+M10-F10</f>
        <v>-26.271999999999998</v>
      </c>
      <c r="T10" s="803">
        <f t="shared" ref="T10:T20" si="2">+N10-G10</f>
        <v>-54.611200000000004</v>
      </c>
      <c r="U10" s="803">
        <f t="shared" ref="U10:U20" si="3">+O10-H10</f>
        <v>-99.953920000000011</v>
      </c>
      <c r="V10" s="803">
        <f t="shared" ref="V10:V20" si="4">+P10-I10</f>
        <v>-148.31948800000001</v>
      </c>
      <c r="W10" s="795">
        <f>+SUM(R10:V10)/5</f>
        <v>-67.543321599999999</v>
      </c>
      <c r="X10" s="259"/>
      <c r="Y10" s="742">
        <v>-4.5919999999999952</v>
      </c>
      <c r="Z10" s="742">
        <v>0</v>
      </c>
      <c r="AA10" s="742">
        <v>0</v>
      </c>
      <c r="AB10" s="742">
        <v>0</v>
      </c>
      <c r="AC10" s="742">
        <v>0</v>
      </c>
      <c r="AD10" s="742">
        <v>0</v>
      </c>
      <c r="AE10" s="742">
        <v>0</v>
      </c>
      <c r="AF10" s="742">
        <v>0</v>
      </c>
      <c r="AG10" s="742">
        <v>0</v>
      </c>
      <c r="AH10" s="742">
        <v>0</v>
      </c>
      <c r="AI10" s="742">
        <v>0</v>
      </c>
      <c r="AJ10" s="742">
        <v>0</v>
      </c>
      <c r="AK10" s="742"/>
      <c r="AL10" s="742">
        <f>+Y$7*Y10+Z$7*Z10+AA$7*AA10+AB$7*AB10+AC$7*AC10+AD$7*AD10+AE$7*AE10+AF$7*AF10+AG$7*AG10+AH$7*AH10+AI$7*AI10+AJ$7*AJ10</f>
        <v>-0.30578323456474327</v>
      </c>
      <c r="AM10" s="742"/>
      <c r="AN10" s="742">
        <v>0</v>
      </c>
      <c r="AO10" s="742">
        <v>-4.5919999999999952</v>
      </c>
      <c r="AP10" s="742"/>
      <c r="AQ10" s="742"/>
      <c r="AR10" s="742"/>
      <c r="AS10" s="742"/>
      <c r="AT10" s="742"/>
      <c r="AU10" s="742"/>
      <c r="AV10" s="742"/>
      <c r="AW10" s="742"/>
      <c r="AX10" s="742"/>
      <c r="AY10" s="742"/>
      <c r="AZ10" s="742"/>
      <c r="BA10" s="742"/>
      <c r="BB10" s="742"/>
      <c r="BC10" s="742"/>
      <c r="BD10" s="742"/>
      <c r="BE10" s="742"/>
      <c r="BF10" s="742"/>
      <c r="BG10" s="742"/>
      <c r="BH10" s="742"/>
      <c r="BI10" s="742"/>
      <c r="BJ10" s="742"/>
      <c r="BK10" s="742"/>
      <c r="BL10" s="742"/>
      <c r="BM10" s="742"/>
      <c r="BN10" s="742"/>
      <c r="BO10" s="742"/>
      <c r="BP10" s="742"/>
      <c r="BQ10" s="742"/>
      <c r="BR10" s="742"/>
      <c r="BS10" s="742"/>
      <c r="BT10" s="742"/>
      <c r="BU10" s="742"/>
      <c r="BV10" s="742"/>
      <c r="BW10" s="742"/>
      <c r="BX10" s="742"/>
      <c r="BY10" s="742"/>
      <c r="BZ10" s="742"/>
      <c r="CA10" s="742"/>
      <c r="CB10" s="742"/>
      <c r="CC10" s="742"/>
      <c r="CD10" s="742"/>
      <c r="CE10" s="742"/>
      <c r="CF10" s="742"/>
      <c r="CG10" s="742"/>
      <c r="CH10" s="742"/>
      <c r="CI10" s="742"/>
      <c r="CJ10" s="742"/>
      <c r="CK10" s="742"/>
      <c r="CL10" s="742"/>
      <c r="CM10" s="742"/>
    </row>
    <row r="11" spans="1:91" ht="13.5" customHeight="1">
      <c r="A11" s="761" t="s">
        <v>372</v>
      </c>
      <c r="B11" s="755" t="s">
        <v>918</v>
      </c>
      <c r="C11" s="762"/>
      <c r="D11" s="769">
        <v>17</v>
      </c>
      <c r="E11" s="766">
        <v>51.54</v>
      </c>
      <c r="F11" s="766">
        <v>86.963999999999999</v>
      </c>
      <c r="G11" s="766">
        <v>143.64240000000001</v>
      </c>
      <c r="H11" s="766">
        <v>234.32784000000004</v>
      </c>
      <c r="I11" s="766">
        <v>331.05897600000003</v>
      </c>
      <c r="J11" s="795">
        <v>169.50664320000001</v>
      </c>
      <c r="K11" s="769">
        <f>+Key!H4</f>
        <v>17</v>
      </c>
      <c r="L11" s="769">
        <f>+Key!I4</f>
        <v>27.62</v>
      </c>
      <c r="M11" s="769">
        <f>+Key!J4</f>
        <v>27.62</v>
      </c>
      <c r="N11" s="769">
        <f>+Key!K4</f>
        <v>27.62</v>
      </c>
      <c r="O11" s="769">
        <f>+Key!L4</f>
        <v>27.62</v>
      </c>
      <c r="P11" s="769">
        <f>+Key!M4</f>
        <v>27.62</v>
      </c>
      <c r="Q11" s="795">
        <f t="shared" ref="Q11:Q23" si="5">+SUM(L11:P11)/5</f>
        <v>27.619999999999997</v>
      </c>
      <c r="R11" s="803"/>
      <c r="S11" s="803"/>
      <c r="T11" s="803"/>
      <c r="U11" s="803"/>
      <c r="V11" s="803"/>
      <c r="W11" s="795">
        <f t="shared" ref="W11:W20" si="6">+SUM(R11:V11)/5</f>
        <v>0</v>
      </c>
      <c r="X11" s="259"/>
      <c r="Y11" s="742">
        <v>-9.1839999999999904</v>
      </c>
      <c r="Z11" s="742">
        <v>0</v>
      </c>
      <c r="AA11" s="742">
        <v>0</v>
      </c>
      <c r="AB11" s="742">
        <v>0</v>
      </c>
      <c r="AC11" s="742">
        <v>0</v>
      </c>
      <c r="AD11" s="742">
        <v>0</v>
      </c>
      <c r="AE11" s="742">
        <v>0</v>
      </c>
      <c r="AF11" s="742">
        <v>0</v>
      </c>
      <c r="AG11" s="742">
        <v>0</v>
      </c>
      <c r="AH11" s="742">
        <v>0</v>
      </c>
      <c r="AI11" s="742">
        <v>0</v>
      </c>
      <c r="AJ11" s="742">
        <v>0</v>
      </c>
      <c r="AK11" s="742"/>
      <c r="AL11" s="742">
        <f t="shared" ref="AL11:AL21" si="7">+Y$7*Y11+Z$7*Z11+AA$7*AA11+AB$7*AB11+AC$7*AC11+AD$7*AD11+AE$7*AE11+AF$7*AF11+AG$7*AG11+AH$7*AH11+AI$7*AI11+AJ$7*AJ11</f>
        <v>-0.61156646912948653</v>
      </c>
      <c r="AM11" s="742"/>
      <c r="AN11" s="742"/>
      <c r="AO11" s="742">
        <v>-9.1839999999999904</v>
      </c>
      <c r="AP11" s="742"/>
      <c r="AQ11" s="742"/>
      <c r="AR11" s="742"/>
      <c r="AS11" s="742"/>
      <c r="AT11" s="742"/>
      <c r="AU11" s="742"/>
      <c r="AV11" s="742"/>
      <c r="AW11" s="742"/>
      <c r="AX11" s="742"/>
      <c r="AY11" s="742"/>
      <c r="AZ11" s="742"/>
      <c r="BA11" s="742"/>
      <c r="BB11" s="742"/>
      <c r="BC11" s="742"/>
      <c r="BD11" s="742"/>
      <c r="BE11" s="742"/>
      <c r="BF11" s="742"/>
      <c r="BG11" s="742"/>
      <c r="BH11" s="742"/>
      <c r="BI11" s="742"/>
      <c r="BJ11" s="742"/>
      <c r="BK11" s="742"/>
      <c r="BL11" s="742"/>
      <c r="BM11" s="742"/>
      <c r="BN11" s="742"/>
      <c r="BO11" s="742"/>
      <c r="BP11" s="742"/>
      <c r="BQ11" s="742"/>
      <c r="BR11" s="742"/>
      <c r="BS11" s="742"/>
      <c r="BT11" s="742"/>
      <c r="BU11" s="742"/>
      <c r="BV11" s="742"/>
      <c r="BW11" s="742"/>
      <c r="BX11" s="742"/>
      <c r="BY11" s="742"/>
      <c r="BZ11" s="742"/>
      <c r="CA11" s="742"/>
      <c r="CB11" s="742"/>
      <c r="CC11" s="742"/>
      <c r="CD11" s="742"/>
      <c r="CE11" s="742"/>
      <c r="CF11" s="742"/>
      <c r="CG11" s="742"/>
      <c r="CH11" s="742"/>
      <c r="CI11" s="742"/>
      <c r="CJ11" s="742"/>
      <c r="CK11" s="742"/>
      <c r="CL11" s="742"/>
      <c r="CM11" s="742"/>
    </row>
    <row r="12" spans="1:91" ht="13.5" customHeight="1">
      <c r="A12" s="761" t="s">
        <v>373</v>
      </c>
      <c r="B12" s="755" t="s">
        <v>918</v>
      </c>
      <c r="C12" s="762"/>
      <c r="D12" s="761">
        <v>9.1999999999999993</v>
      </c>
      <c r="E12" s="763">
        <v>7.5</v>
      </c>
      <c r="F12" s="763">
        <v>7.5</v>
      </c>
      <c r="G12" s="763">
        <v>7.5</v>
      </c>
      <c r="H12" s="763">
        <v>7.5</v>
      </c>
      <c r="I12" s="763">
        <v>7.5</v>
      </c>
      <c r="J12" s="795">
        <v>7.5</v>
      </c>
      <c r="K12" s="769">
        <f>+Key!H5</f>
        <v>9.1999999999999993</v>
      </c>
      <c r="L12" s="769">
        <f>+Key!I5</f>
        <v>14.3</v>
      </c>
      <c r="M12" s="769">
        <f>+Key!J5</f>
        <v>14.3</v>
      </c>
      <c r="N12" s="769">
        <f>+Key!K5</f>
        <v>14.3</v>
      </c>
      <c r="O12" s="769">
        <f>+Key!L5</f>
        <v>14.3</v>
      </c>
      <c r="P12" s="769">
        <f>+Key!M5</f>
        <v>14.3</v>
      </c>
      <c r="Q12" s="795">
        <f t="shared" si="5"/>
        <v>14.3</v>
      </c>
      <c r="R12" s="803"/>
      <c r="S12" s="803"/>
      <c r="T12" s="803"/>
      <c r="U12" s="803"/>
      <c r="V12" s="803"/>
      <c r="W12" s="795">
        <f t="shared" si="6"/>
        <v>0</v>
      </c>
      <c r="X12" s="259"/>
      <c r="Y12" s="742">
        <v>0</v>
      </c>
      <c r="Z12" s="742">
        <v>0</v>
      </c>
      <c r="AA12" s="742">
        <v>0</v>
      </c>
      <c r="AB12" s="742">
        <v>0</v>
      </c>
      <c r="AC12" s="742">
        <v>0</v>
      </c>
      <c r="AD12" s="742">
        <v>0</v>
      </c>
      <c r="AE12" s="742">
        <v>0</v>
      </c>
      <c r="AF12" s="742">
        <v>0</v>
      </c>
      <c r="AG12" s="742">
        <v>0</v>
      </c>
      <c r="AH12" s="742">
        <v>0</v>
      </c>
      <c r="AI12" s="742">
        <v>0</v>
      </c>
      <c r="AJ12" s="742">
        <v>0</v>
      </c>
      <c r="AK12" s="742"/>
      <c r="AL12" s="742">
        <f t="shared" si="7"/>
        <v>0</v>
      </c>
      <c r="AM12" s="742"/>
      <c r="AN12" s="742"/>
      <c r="AO12" s="742">
        <v>0</v>
      </c>
      <c r="AP12" s="742"/>
      <c r="AQ12" s="742"/>
      <c r="AR12" s="742"/>
      <c r="AS12" s="742"/>
      <c r="AT12" s="742"/>
      <c r="AU12" s="742"/>
      <c r="AV12" s="742"/>
      <c r="AW12" s="742"/>
      <c r="AX12" s="742"/>
      <c r="AY12" s="742"/>
      <c r="AZ12" s="742"/>
      <c r="BA12" s="742"/>
      <c r="BB12" s="742"/>
      <c r="BC12" s="742"/>
      <c r="BD12" s="742"/>
      <c r="BE12" s="742"/>
      <c r="BF12" s="742"/>
      <c r="BG12" s="742"/>
      <c r="BH12" s="742"/>
      <c r="BI12" s="742"/>
      <c r="BJ12" s="742"/>
      <c r="BK12" s="742"/>
      <c r="BL12" s="742"/>
      <c r="BM12" s="742"/>
      <c r="BN12" s="742"/>
      <c r="BO12" s="742"/>
      <c r="BP12" s="742"/>
      <c r="BQ12" s="742"/>
      <c r="BR12" s="742"/>
      <c r="BS12" s="742"/>
      <c r="BT12" s="742"/>
      <c r="BU12" s="742"/>
      <c r="BV12" s="742"/>
      <c r="BW12" s="742"/>
      <c r="BX12" s="742"/>
      <c r="BY12" s="742"/>
      <c r="BZ12" s="742"/>
      <c r="CA12" s="742"/>
      <c r="CB12" s="742"/>
      <c r="CC12" s="742"/>
      <c r="CD12" s="742"/>
      <c r="CE12" s="742"/>
      <c r="CF12" s="742"/>
      <c r="CG12" s="742"/>
      <c r="CH12" s="742"/>
      <c r="CI12" s="742"/>
      <c r="CJ12" s="742"/>
      <c r="CK12" s="742"/>
      <c r="CL12" s="742"/>
      <c r="CM12" s="742"/>
    </row>
    <row r="13" spans="1:91" ht="13.5" customHeight="1">
      <c r="A13" s="761" t="s">
        <v>1776</v>
      </c>
      <c r="B13" s="755" t="s">
        <v>1349</v>
      </c>
      <c r="C13" s="761" t="s">
        <v>1344</v>
      </c>
      <c r="D13" s="769">
        <v>34.244892642942418</v>
      </c>
      <c r="E13" s="766">
        <v>90.632927423235344</v>
      </c>
      <c r="F13" s="766">
        <v>70.467854896668712</v>
      </c>
      <c r="G13" s="766">
        <v>61.520747937526885</v>
      </c>
      <c r="H13" s="766">
        <v>60.051397857346828</v>
      </c>
      <c r="I13" s="766">
        <v>46.732951367347539</v>
      </c>
      <c r="J13" s="795">
        <v>65.881175896425063</v>
      </c>
      <c r="K13" s="769">
        <f ca="1">+Key!H12</f>
        <v>34.244892642942418</v>
      </c>
      <c r="L13" s="769">
        <f ca="1">+Key!I12</f>
        <v>50.991102337104202</v>
      </c>
      <c r="M13" s="769">
        <f ca="1">+Key!J12</f>
        <v>16.413728147581516</v>
      </c>
      <c r="N13" s="769">
        <f ca="1">+Key!K12</f>
        <v>8.6555130940087377</v>
      </c>
      <c r="O13" s="769">
        <f ca="1">+Key!L12</f>
        <v>5.0998086070868656</v>
      </c>
      <c r="P13" s="769">
        <f ca="1">+Key!M12</f>
        <v>6.0916649920156765</v>
      </c>
      <c r="Q13" s="795">
        <f t="shared" ca="1" si="5"/>
        <v>17.450363435559403</v>
      </c>
      <c r="R13" s="803">
        <f t="shared" ca="1" si="0"/>
        <v>-39.641825086131142</v>
      </c>
      <c r="S13" s="803">
        <f t="shared" ca="1" si="1"/>
        <v>-54.054126749087196</v>
      </c>
      <c r="T13" s="803">
        <f t="shared" ca="1" si="2"/>
        <v>-52.865234843518145</v>
      </c>
      <c r="U13" s="803">
        <f t="shared" ca="1" si="3"/>
        <v>-54.951589250259964</v>
      </c>
      <c r="V13" s="803">
        <f t="shared" ca="1" si="4"/>
        <v>-40.641286375331859</v>
      </c>
      <c r="W13" s="795">
        <f t="shared" ca="1" si="6"/>
        <v>-48.43081246086566</v>
      </c>
      <c r="X13" s="259"/>
      <c r="Y13" s="742">
        <v>-21.438747309739526</v>
      </c>
      <c r="Z13" s="742">
        <v>0</v>
      </c>
      <c r="AA13" s="742">
        <v>0</v>
      </c>
      <c r="AB13" s="742">
        <v>0</v>
      </c>
      <c r="AC13" s="742">
        <v>1.4892827809931717</v>
      </c>
      <c r="AD13" s="742">
        <v>0</v>
      </c>
      <c r="AE13" s="742">
        <v>0</v>
      </c>
      <c r="AF13" s="742">
        <v>0</v>
      </c>
      <c r="AG13" s="742">
        <v>0</v>
      </c>
      <c r="AH13" s="742">
        <v>0</v>
      </c>
      <c r="AI13" s="742">
        <v>0.12165998752395524</v>
      </c>
      <c r="AJ13" s="742">
        <v>0</v>
      </c>
      <c r="AK13" s="742"/>
      <c r="AL13" s="742">
        <f t="shared" si="7"/>
        <v>6.1667472328461814E-2</v>
      </c>
      <c r="AM13" s="742"/>
      <c r="AN13" s="742">
        <v>1.6109427685171269</v>
      </c>
      <c r="AO13" s="742">
        <v>-21.438747309739526</v>
      </c>
      <c r="AP13" s="742"/>
      <c r="AQ13" s="742"/>
      <c r="AR13" s="742"/>
      <c r="AS13" s="742"/>
      <c r="AT13" s="742"/>
      <c r="AU13" s="742"/>
      <c r="AV13" s="742"/>
      <c r="AW13" s="742"/>
      <c r="AX13" s="742"/>
      <c r="AY13" s="742"/>
      <c r="AZ13" s="742"/>
      <c r="BA13" s="742"/>
      <c r="BB13" s="742"/>
      <c r="BC13" s="742"/>
      <c r="BD13" s="742"/>
      <c r="BE13" s="742"/>
      <c r="BF13" s="742"/>
      <c r="BG13" s="742"/>
      <c r="BH13" s="742"/>
      <c r="BI13" s="742"/>
      <c r="BJ13" s="742"/>
      <c r="BK13" s="742"/>
      <c r="BL13" s="742"/>
      <c r="BM13" s="742"/>
      <c r="BN13" s="742"/>
      <c r="BO13" s="742"/>
      <c r="BP13" s="742"/>
      <c r="BQ13" s="742"/>
      <c r="BR13" s="742"/>
      <c r="BS13" s="742"/>
      <c r="BT13" s="742"/>
      <c r="BU13" s="742"/>
      <c r="BV13" s="742"/>
      <c r="BW13" s="742"/>
      <c r="BX13" s="742"/>
      <c r="BY13" s="742"/>
      <c r="BZ13" s="742"/>
      <c r="CA13" s="742"/>
      <c r="CB13" s="742"/>
      <c r="CC13" s="742"/>
      <c r="CD13" s="742"/>
      <c r="CE13" s="742"/>
      <c r="CF13" s="742"/>
      <c r="CG13" s="742"/>
      <c r="CH13" s="742"/>
      <c r="CI13" s="742"/>
      <c r="CJ13" s="742"/>
      <c r="CK13" s="742"/>
      <c r="CL13" s="742"/>
      <c r="CM13" s="742"/>
    </row>
    <row r="14" spans="1:91" ht="13.5" customHeight="1">
      <c r="A14" s="761" t="s">
        <v>345</v>
      </c>
      <c r="B14" s="755"/>
      <c r="C14" s="764" t="s">
        <v>332</v>
      </c>
      <c r="D14" s="761">
        <v>3.7871629020525357</v>
      </c>
      <c r="E14" s="763">
        <v>3.0283415305312662</v>
      </c>
      <c r="F14" s="763">
        <v>3.0030296739334719</v>
      </c>
      <c r="G14" s="763">
        <v>2.983249171065077</v>
      </c>
      <c r="H14" s="763">
        <v>2.9888517927467837</v>
      </c>
      <c r="I14" s="763">
        <v>2.9855907538472226</v>
      </c>
      <c r="J14" s="795">
        <v>2.9978125844247647</v>
      </c>
      <c r="K14" s="761">
        <f>+Model!BT307</f>
        <v>3.7871629020525357</v>
      </c>
      <c r="L14" s="761">
        <f ca="1">+Model!BU307</f>
        <v>3.9247012240078099</v>
      </c>
      <c r="M14" s="761">
        <f ca="1">+Model!BV307</f>
        <v>4.0176638171607779</v>
      </c>
      <c r="N14" s="761">
        <f ca="1">+Model!BW307</f>
        <v>3.8796707758128073</v>
      </c>
      <c r="O14" s="761">
        <f ca="1">+Model!BX307</f>
        <v>3.5561030464138956</v>
      </c>
      <c r="P14" s="761">
        <f ca="1">+Model!BY307</f>
        <v>3.1993886878746229</v>
      </c>
      <c r="Q14" s="795">
        <f t="shared" ca="1" si="5"/>
        <v>3.7155055102539825</v>
      </c>
      <c r="R14" s="803">
        <f t="shared" ca="1" si="0"/>
        <v>0.89635969347654365</v>
      </c>
      <c r="S14" s="803">
        <f t="shared" ca="1" si="1"/>
        <v>1.0146341432273061</v>
      </c>
      <c r="T14" s="803">
        <f t="shared" ca="1" si="2"/>
        <v>0.89642160474773025</v>
      </c>
      <c r="U14" s="803">
        <f t="shared" ca="1" si="3"/>
        <v>0.56725125366711193</v>
      </c>
      <c r="V14" s="803">
        <f t="shared" ca="1" si="4"/>
        <v>0.21379793402740033</v>
      </c>
      <c r="W14" s="795">
        <f t="shared" ca="1" si="6"/>
        <v>0.7176929258292184</v>
      </c>
      <c r="X14" s="259"/>
      <c r="Y14" s="742">
        <v>-0.38540794779744392</v>
      </c>
      <c r="Z14" s="742">
        <v>0.42311126091207596</v>
      </c>
      <c r="AA14" s="742">
        <v>-0.47741861224714821</v>
      </c>
      <c r="AB14" s="742">
        <v>9.680905029067155E-3</v>
      </c>
      <c r="AC14" s="710">
        <v>2.5664479291041431E-2</v>
      </c>
      <c r="AD14" s="742">
        <v>3.5735269332473507E-2</v>
      </c>
      <c r="AE14" s="742">
        <v>1.691147858599118E-2</v>
      </c>
      <c r="AF14" s="742">
        <v>0.27641677863902725</v>
      </c>
      <c r="AG14" s="742">
        <v>0.23708698233867231</v>
      </c>
      <c r="AH14" s="742">
        <v>8.0802085076184582E-2</v>
      </c>
      <c r="AI14" s="742">
        <v>-1.951388459650083E-2</v>
      </c>
      <c r="AJ14" s="742">
        <v>-0.130378222918484</v>
      </c>
      <c r="AK14" s="742"/>
      <c r="AL14" s="710">
        <f t="shared" si="7"/>
        <v>0</v>
      </c>
      <c r="AM14" s="742"/>
      <c r="AN14" s="742">
        <v>0.47809851944240034</v>
      </c>
      <c r="AO14" s="742">
        <v>-0.38540794779744392</v>
      </c>
      <c r="AP14" s="742"/>
      <c r="AQ14" s="742"/>
      <c r="AR14" s="742"/>
      <c r="AS14" s="742"/>
      <c r="AT14" s="742"/>
      <c r="AU14" s="742"/>
      <c r="AV14" s="742"/>
      <c r="AW14" s="742"/>
      <c r="AX14" s="742"/>
      <c r="AY14" s="742"/>
      <c r="AZ14" s="742"/>
      <c r="BA14" s="742"/>
      <c r="BB14" s="742"/>
      <c r="BC14" s="742"/>
      <c r="BD14" s="742"/>
      <c r="BE14" s="742"/>
      <c r="BF14" s="742"/>
      <c r="BG14" s="742"/>
      <c r="BH14" s="742"/>
      <c r="BI14" s="742"/>
      <c r="BJ14" s="742"/>
      <c r="BK14" s="742"/>
      <c r="BL14" s="742"/>
      <c r="BM14" s="742"/>
      <c r="BN14" s="742"/>
      <c r="BO14" s="742"/>
      <c r="BP14" s="742"/>
      <c r="BQ14" s="742"/>
      <c r="BR14" s="742"/>
      <c r="BS14" s="742"/>
      <c r="BT14" s="742"/>
      <c r="BU14" s="742"/>
      <c r="BV14" s="742"/>
      <c r="BW14" s="742"/>
      <c r="BX14" s="742"/>
      <c r="BY14" s="742"/>
      <c r="BZ14" s="742"/>
      <c r="CA14" s="742"/>
      <c r="CB14" s="742"/>
      <c r="CC14" s="742"/>
      <c r="CD14" s="742"/>
      <c r="CE14" s="742"/>
      <c r="CF14" s="742"/>
      <c r="CG14" s="742"/>
      <c r="CH14" s="742"/>
      <c r="CI14" s="742"/>
      <c r="CJ14" s="742"/>
      <c r="CK14" s="742"/>
      <c r="CL14" s="742"/>
      <c r="CM14" s="742"/>
    </row>
    <row r="15" spans="1:91" ht="13.5" customHeight="1">
      <c r="A15" s="761" t="str">
        <f>+Key!A10</f>
        <v>Binnenlandse (=Mon) fin overheid in % BBP</v>
      </c>
      <c r="B15" s="755" t="s">
        <v>1349</v>
      </c>
      <c r="C15" s="764" t="s">
        <v>324</v>
      </c>
      <c r="D15" s="769">
        <v>15.674078681387032</v>
      </c>
      <c r="E15" s="766">
        <v>10.051766499802371</v>
      </c>
      <c r="F15" s="766">
        <v>8.749281820890948</v>
      </c>
      <c r="G15" s="766">
        <v>7.0879559924507891</v>
      </c>
      <c r="H15" s="766">
        <v>5.423564246608346</v>
      </c>
      <c r="I15" s="766">
        <v>4.1402750471997107</v>
      </c>
      <c r="J15" s="795">
        <v>7.0905687213904329</v>
      </c>
      <c r="K15" s="769">
        <f>+Key!H10</f>
        <v>15.674078681387032</v>
      </c>
      <c r="L15" s="769">
        <f ca="1">+Key!I10</f>
        <v>3.0200500680185516</v>
      </c>
      <c r="M15" s="769">
        <f ca="1">+Key!J10</f>
        <v>-0.16820911013604201</v>
      </c>
      <c r="N15" s="769">
        <f ca="1">+Key!K10</f>
        <v>3.2275072320192053</v>
      </c>
      <c r="O15" s="769">
        <f ca="1">+Key!L10</f>
        <v>3.1641247382338697</v>
      </c>
      <c r="P15" s="769">
        <f ca="1">+Key!M10</f>
        <v>3.1760195598301779</v>
      </c>
      <c r="Q15" s="795">
        <f t="shared" ca="1" si="5"/>
        <v>2.4838984975931524</v>
      </c>
      <c r="R15" s="803">
        <f t="shared" ca="1" si="0"/>
        <v>-7.0317164317838188</v>
      </c>
      <c r="S15" s="803">
        <f t="shared" ca="1" si="1"/>
        <v>-8.9174909310269896</v>
      </c>
      <c r="T15" s="803">
        <f t="shared" ca="1" si="2"/>
        <v>-3.8604487604315838</v>
      </c>
      <c r="U15" s="803">
        <f t="shared" ca="1" si="3"/>
        <v>-2.2594395083744763</v>
      </c>
      <c r="V15" s="803">
        <f t="shared" ca="1" si="4"/>
        <v>-0.96425548736953282</v>
      </c>
      <c r="W15" s="795">
        <f t="shared" ca="1" si="6"/>
        <v>-4.6066702237972805</v>
      </c>
      <c r="X15" s="259"/>
      <c r="Y15" s="751">
        <v>0.710064257513773</v>
      </c>
      <c r="Z15" s="751">
        <v>-3.5740742535922703</v>
      </c>
      <c r="AA15" s="751">
        <v>0</v>
      </c>
      <c r="AB15" s="751">
        <v>-0.69287746431463759</v>
      </c>
      <c r="AC15" s="751">
        <v>-1.5848481645548187</v>
      </c>
      <c r="AD15" s="751">
        <v>-0.35164239932362129</v>
      </c>
      <c r="AE15" s="751">
        <v>-0.16898761086278924</v>
      </c>
      <c r="AF15" s="751">
        <v>-2.8948174233289006</v>
      </c>
      <c r="AG15" s="751">
        <v>-0.44778170550524798</v>
      </c>
      <c r="AH15" s="751">
        <v>-0.3473508672839678</v>
      </c>
      <c r="AI15" s="742">
        <v>0.16751022985615904</v>
      </c>
      <c r="AJ15" s="742">
        <v>-0.32193702807293612</v>
      </c>
      <c r="AK15" s="742"/>
      <c r="AL15" s="742">
        <f t="shared" si="7"/>
        <v>-1.5375646834112267</v>
      </c>
      <c r="AM15" s="742"/>
      <c r="AN15" s="742">
        <v>-10.216806686983031</v>
      </c>
      <c r="AO15" s="742">
        <v>0.710064257513773</v>
      </c>
      <c r="AP15" s="742"/>
      <c r="AQ15" s="742"/>
      <c r="AR15" s="742"/>
      <c r="AS15" s="742"/>
      <c r="AT15" s="742"/>
      <c r="AU15" s="742"/>
      <c r="AV15" s="742"/>
      <c r="AW15" s="742"/>
      <c r="AX15" s="742"/>
      <c r="AY15" s="742"/>
      <c r="AZ15" s="742"/>
      <c r="BA15" s="742"/>
      <c r="BB15" s="742"/>
      <c r="BC15" s="742"/>
      <c r="BD15" s="742"/>
      <c r="BE15" s="742"/>
      <c r="BF15" s="742"/>
      <c r="BG15" s="742"/>
      <c r="BH15" s="742"/>
      <c r="BI15" s="742"/>
      <c r="BJ15" s="742"/>
      <c r="BK15" s="742"/>
      <c r="BL15" s="742"/>
      <c r="BM15" s="742"/>
      <c r="BN15" s="742"/>
      <c r="BO15" s="742"/>
      <c r="BP15" s="742"/>
      <c r="BQ15" s="742"/>
      <c r="BR15" s="742"/>
      <c r="BS15" s="742"/>
      <c r="BT15" s="742"/>
      <c r="BU15" s="742"/>
      <c r="BV15" s="742"/>
      <c r="BW15" s="742"/>
      <c r="BX15" s="742"/>
      <c r="BY15" s="742"/>
      <c r="BZ15" s="742"/>
      <c r="CA15" s="742"/>
      <c r="CB15" s="742"/>
      <c r="CC15" s="742"/>
      <c r="CD15" s="742"/>
      <c r="CE15" s="742"/>
      <c r="CF15" s="742"/>
      <c r="CG15" s="742"/>
      <c r="CH15" s="742"/>
      <c r="CI15" s="742"/>
      <c r="CJ15" s="742"/>
      <c r="CK15" s="742"/>
      <c r="CL15" s="742"/>
      <c r="CM15" s="742"/>
    </row>
    <row r="16" spans="1:91" ht="13.5" customHeight="1">
      <c r="A16" s="761" t="s">
        <v>346</v>
      </c>
      <c r="B16" s="755" t="s">
        <v>1349</v>
      </c>
      <c r="C16" s="765" t="s">
        <v>325</v>
      </c>
      <c r="D16" s="769">
        <v>-15.90796272008912</v>
      </c>
      <c r="E16" s="766">
        <v>5.9175661428969795</v>
      </c>
      <c r="F16" s="766">
        <v>1.6553957044968204</v>
      </c>
      <c r="G16" s="766">
        <v>2.5131243448883955</v>
      </c>
      <c r="H16" s="766">
        <v>2.4925484174955104</v>
      </c>
      <c r="I16" s="766">
        <v>2.7727975195908527</v>
      </c>
      <c r="J16" s="795">
        <v>3.0702864258737117</v>
      </c>
      <c r="K16" s="769">
        <f ca="1">+Key!H11</f>
        <v>-15.90796272008912</v>
      </c>
      <c r="L16" s="769">
        <f ca="1">+Key!I11</f>
        <v>7.6329919606266117</v>
      </c>
      <c r="M16" s="769">
        <f ca="1">+Key!J11</f>
        <v>2.3734402833680779</v>
      </c>
      <c r="N16" s="769">
        <f ca="1">+Key!K11</f>
        <v>3.6390672165122595</v>
      </c>
      <c r="O16" s="769">
        <f ca="1">+Key!L11</f>
        <v>4.0267683949501532</v>
      </c>
      <c r="P16" s="769">
        <f ca="1">+Key!M11</f>
        <v>3.9100292732803243</v>
      </c>
      <c r="Q16" s="795">
        <f t="shared" ca="1" si="5"/>
        <v>4.3164594257474844</v>
      </c>
      <c r="R16" s="803">
        <f t="shared" ca="1" si="0"/>
        <v>1.7154258177296322</v>
      </c>
      <c r="S16" s="803">
        <f t="shared" ca="1" si="1"/>
        <v>0.7180445788712575</v>
      </c>
      <c r="T16" s="803">
        <f t="shared" ca="1" si="2"/>
        <v>1.125942871623864</v>
      </c>
      <c r="U16" s="803">
        <f t="shared" ca="1" si="3"/>
        <v>1.5342199774546428</v>
      </c>
      <c r="V16" s="803">
        <f t="shared" ca="1" si="4"/>
        <v>1.1372317536894716</v>
      </c>
      <c r="W16" s="795">
        <f t="shared" ca="1" si="6"/>
        <v>1.2461729998737736</v>
      </c>
      <c r="X16" s="259"/>
      <c r="Y16" s="752">
        <v>0.54272919254214624</v>
      </c>
      <c r="Z16" s="753">
        <v>-2.0450032748420277E-2</v>
      </c>
      <c r="AA16" s="752">
        <v>-1.5543122344752192E-13</v>
      </c>
      <c r="AB16" s="752">
        <v>-7.4578869031771688E-2</v>
      </c>
      <c r="AC16" s="752">
        <v>-0.50609222676794019</v>
      </c>
      <c r="AD16" s="752">
        <v>-0.2330431234255137</v>
      </c>
      <c r="AE16" s="752">
        <v>-0.10635440209303404</v>
      </c>
      <c r="AF16" s="752">
        <v>-2.0858189655293735</v>
      </c>
      <c r="AG16" s="751">
        <v>1.8268101801639069</v>
      </c>
      <c r="AH16" s="751">
        <v>1.1128625658221702</v>
      </c>
      <c r="AI16" s="742">
        <v>0.12300615010403249</v>
      </c>
      <c r="AJ16" s="742">
        <v>1.0155462404935589</v>
      </c>
      <c r="AK16" s="742"/>
      <c r="AL16" s="742">
        <f t="shared" si="7"/>
        <v>-0.46995165882624834</v>
      </c>
      <c r="AM16" s="742"/>
      <c r="AN16" s="742">
        <v>1.0518875169874597</v>
      </c>
      <c r="AO16" s="742">
        <v>0.54272919254214624</v>
      </c>
      <c r="AP16" s="742"/>
      <c r="AQ16" s="742"/>
      <c r="AR16" s="742"/>
      <c r="AS16" s="742"/>
      <c r="AT16" s="742"/>
      <c r="AU16" s="742"/>
      <c r="AV16" s="742"/>
      <c r="AW16" s="742"/>
      <c r="AX16" s="742"/>
      <c r="AY16" s="742"/>
      <c r="AZ16" s="742"/>
      <c r="BA16" s="742"/>
      <c r="BB16" s="742"/>
      <c r="BC16" s="742"/>
      <c r="BD16" s="742"/>
      <c r="BE16" s="742"/>
      <c r="BF16" s="742"/>
      <c r="BG16" s="742"/>
      <c r="BH16" s="742"/>
      <c r="BI16" s="742"/>
      <c r="BJ16" s="742"/>
      <c r="BK16" s="742"/>
      <c r="BL16" s="742"/>
      <c r="BM16" s="742"/>
      <c r="BN16" s="742"/>
      <c r="BO16" s="742"/>
      <c r="BP16" s="742"/>
      <c r="BQ16" s="742"/>
      <c r="BR16" s="742"/>
      <c r="BS16" s="742"/>
      <c r="BT16" s="742"/>
      <c r="BU16" s="742"/>
      <c r="BV16" s="742"/>
      <c r="BW16" s="742"/>
      <c r="BX16" s="742"/>
      <c r="BY16" s="742"/>
      <c r="BZ16" s="742"/>
      <c r="CA16" s="742"/>
      <c r="CB16" s="742"/>
      <c r="CC16" s="742"/>
      <c r="CD16" s="742"/>
      <c r="CE16" s="742"/>
      <c r="CF16" s="742"/>
      <c r="CG16" s="742"/>
      <c r="CH16" s="742"/>
      <c r="CI16" s="742"/>
      <c r="CJ16" s="742"/>
      <c r="CK16" s="742"/>
      <c r="CL16" s="742"/>
      <c r="CM16" s="742"/>
    </row>
    <row r="17" spans="1:91" ht="13.5" customHeight="1">
      <c r="A17" s="761" t="s">
        <v>347</v>
      </c>
      <c r="B17" s="755" t="s">
        <v>1349</v>
      </c>
      <c r="C17" s="765" t="s">
        <v>325</v>
      </c>
      <c r="D17" s="769">
        <v>-8.3039813600445544</v>
      </c>
      <c r="E17" s="766">
        <v>0.37899361062578851</v>
      </c>
      <c r="F17" s="766">
        <v>3.2864809236968995</v>
      </c>
      <c r="G17" s="766">
        <v>1.5842600246926297</v>
      </c>
      <c r="H17" s="766">
        <v>2.0028363811919636</v>
      </c>
      <c r="I17" s="766">
        <v>2.1326729685431811</v>
      </c>
      <c r="J17" s="795">
        <v>1.8770487817500925</v>
      </c>
      <c r="K17" s="769">
        <f ca="1">+Key!H14</f>
        <v>-8.3039813600445544</v>
      </c>
      <c r="L17" s="769">
        <f ca="1">+Key!I14</f>
        <v>-4.637485379731265</v>
      </c>
      <c r="M17" s="769">
        <f ca="1">+Key!J14</f>
        <v>4.5032161219973554</v>
      </c>
      <c r="N17" s="769">
        <f ca="1">+Key!K14</f>
        <v>2.5062537499401794</v>
      </c>
      <c r="O17" s="769">
        <f ca="1">+Key!L14</f>
        <v>3.332917805731217</v>
      </c>
      <c r="P17" s="769">
        <f ca="1">+Key!M14</f>
        <v>3.4683988341152494</v>
      </c>
      <c r="Q17" s="795">
        <f t="shared" ca="1" si="5"/>
        <v>1.8346602264105472</v>
      </c>
      <c r="R17" s="803">
        <f t="shared" ca="1" si="0"/>
        <v>-5.0164789903570535</v>
      </c>
      <c r="S17" s="803">
        <f t="shared" ca="1" si="1"/>
        <v>1.216735198300456</v>
      </c>
      <c r="T17" s="803">
        <f t="shared" ca="1" si="2"/>
        <v>0.92199372524754963</v>
      </c>
      <c r="U17" s="803">
        <f t="shared" ca="1" si="3"/>
        <v>1.3300814245392534</v>
      </c>
      <c r="V17" s="803">
        <f t="shared" ca="1" si="4"/>
        <v>1.3357258655720683</v>
      </c>
      <c r="W17" s="795">
        <f t="shared" ca="1" si="6"/>
        <v>-4.2388555339545241E-2</v>
      </c>
      <c r="X17" s="259"/>
      <c r="Y17" s="742">
        <v>0.27136459627113974</v>
      </c>
      <c r="Z17" s="742">
        <v>-1.0225016374210139E-2</v>
      </c>
      <c r="AA17" s="742">
        <v>-2.2204460492503131E-14</v>
      </c>
      <c r="AB17" s="742">
        <v>-3.7289434515885844E-2</v>
      </c>
      <c r="AC17" s="742">
        <v>-0.25304611338393679</v>
      </c>
      <c r="AD17" s="742">
        <v>-0.11652156171271244</v>
      </c>
      <c r="AE17" s="742">
        <v>-5.3177201046450406E-2</v>
      </c>
      <c r="AF17" s="742">
        <v>-1.0429094827646312</v>
      </c>
      <c r="AG17" s="742">
        <v>0.91340509008200899</v>
      </c>
      <c r="AH17" s="742">
        <v>0.55643128291115174</v>
      </c>
      <c r="AI17" s="742">
        <v>-0.93849692494794024</v>
      </c>
      <c r="AJ17" s="742">
        <v>0.50777312024684607</v>
      </c>
      <c r="AK17" s="742"/>
      <c r="AL17" s="742">
        <f t="shared" si="7"/>
        <v>-0.23497582941308642</v>
      </c>
      <c r="AM17" s="742"/>
      <c r="AN17" s="742">
        <v>-0.47405624150578252</v>
      </c>
      <c r="AO17" s="742">
        <v>0.27136459627113974</v>
      </c>
      <c r="AP17" s="742"/>
      <c r="AQ17" s="742"/>
      <c r="AR17" s="742"/>
      <c r="AS17" s="742"/>
      <c r="AT17" s="742"/>
      <c r="AU17" s="742"/>
      <c r="AV17" s="742"/>
      <c r="AW17" s="742"/>
      <c r="AX17" s="742"/>
      <c r="AY17" s="742"/>
      <c r="AZ17" s="742"/>
      <c r="BA17" s="742"/>
      <c r="BB17" s="742"/>
      <c r="BC17" s="742"/>
      <c r="BD17" s="742"/>
      <c r="BE17" s="742"/>
      <c r="BF17" s="742"/>
      <c r="BG17" s="742"/>
      <c r="BH17" s="742"/>
      <c r="BI17" s="742"/>
      <c r="BJ17" s="742"/>
      <c r="BK17" s="742"/>
      <c r="BL17" s="742"/>
      <c r="BM17" s="742"/>
      <c r="BN17" s="742"/>
      <c r="BO17" s="742"/>
      <c r="BP17" s="742"/>
      <c r="BQ17" s="742"/>
      <c r="BR17" s="742"/>
      <c r="BS17" s="742"/>
      <c r="BT17" s="742"/>
      <c r="BU17" s="742"/>
      <c r="BV17" s="742"/>
      <c r="BW17" s="742"/>
      <c r="BX17" s="742"/>
      <c r="BY17" s="742"/>
      <c r="BZ17" s="742"/>
      <c r="CA17" s="742"/>
      <c r="CB17" s="742"/>
      <c r="CC17" s="742"/>
      <c r="CD17" s="742"/>
      <c r="CE17" s="742"/>
      <c r="CF17" s="742"/>
      <c r="CG17" s="742"/>
      <c r="CH17" s="742"/>
      <c r="CI17" s="742"/>
      <c r="CJ17" s="742"/>
      <c r="CK17" s="742"/>
      <c r="CL17" s="742"/>
      <c r="CM17" s="742"/>
    </row>
    <row r="18" spans="1:91" ht="13.5" customHeight="1">
      <c r="A18" s="761" t="s">
        <v>269</v>
      </c>
      <c r="B18" s="755" t="s">
        <v>1349</v>
      </c>
      <c r="C18" s="765" t="s">
        <v>325</v>
      </c>
      <c r="D18" s="769">
        <v>-14.647161301773304</v>
      </c>
      <c r="E18" s="766">
        <v>-21.973711064283165</v>
      </c>
      <c r="F18" s="766">
        <v>-4.7493815339648693</v>
      </c>
      <c r="G18" s="766">
        <v>-5.5551344543113057</v>
      </c>
      <c r="H18" s="766">
        <v>-6.0560056068830086</v>
      </c>
      <c r="I18" s="766">
        <v>-1.425726767714075</v>
      </c>
      <c r="J18" s="795">
        <v>-7.9519918854312852</v>
      </c>
      <c r="K18" s="769">
        <f ca="1">+Key!H23</f>
        <v>-14.647161301773304</v>
      </c>
      <c r="L18" s="769">
        <f ca="1">+Key!I23</f>
        <v>-17.019641890548741</v>
      </c>
      <c r="M18" s="769">
        <f ca="1">+Key!J23</f>
        <v>1.7067468097821337</v>
      </c>
      <c r="N18" s="769">
        <f ca="1">+Key!K23</f>
        <v>8.8438925222332987</v>
      </c>
      <c r="O18" s="769">
        <f ca="1">+Key!L23</f>
        <v>4.0086443591961674</v>
      </c>
      <c r="P18" s="769">
        <f ca="1">+Key!M23</f>
        <v>6.7250487160173344</v>
      </c>
      <c r="Q18" s="795">
        <f t="shared" ca="1" si="5"/>
        <v>0.8529381033360387</v>
      </c>
      <c r="R18" s="803">
        <f t="shared" ca="1" si="0"/>
        <v>4.9540691737344247</v>
      </c>
      <c r="S18" s="803">
        <f t="shared" ca="1" si="1"/>
        <v>6.456128343747003</v>
      </c>
      <c r="T18" s="803">
        <f t="shared" ca="1" si="2"/>
        <v>14.399026976544604</v>
      </c>
      <c r="U18" s="803">
        <f t="shared" ca="1" si="3"/>
        <v>10.064649966079177</v>
      </c>
      <c r="V18" s="803">
        <f t="shared" ca="1" si="4"/>
        <v>8.1507754837314099</v>
      </c>
      <c r="W18" s="795">
        <f t="shared" ca="1" si="6"/>
        <v>8.8049299887673236</v>
      </c>
      <c r="X18" s="259"/>
      <c r="Y18" s="752">
        <v>7.5854401405491263</v>
      </c>
      <c r="Z18" s="753">
        <v>0</v>
      </c>
      <c r="AA18" s="752">
        <v>1.2079226507921703E-13</v>
      </c>
      <c r="AB18" s="753">
        <v>0</v>
      </c>
      <c r="AC18" s="752">
        <v>-0.44917652311438161</v>
      </c>
      <c r="AD18" s="742">
        <v>1.2079226507921703E-13</v>
      </c>
      <c r="AE18" s="742">
        <v>1.2079226507921703E-13</v>
      </c>
      <c r="AF18" s="742">
        <v>1.2079226507921703E-13</v>
      </c>
      <c r="AG18" s="742">
        <v>1.2079226507921703E-13</v>
      </c>
      <c r="AH18" s="742">
        <v>1.2079226507921703E-13</v>
      </c>
      <c r="AI18" s="742">
        <v>0.82888640457041518</v>
      </c>
      <c r="AJ18" s="742">
        <v>1.2079226507921703E-13</v>
      </c>
      <c r="AK18" s="742"/>
      <c r="AL18" s="742">
        <f t="shared" si="7"/>
        <v>5.59411645542498E-2</v>
      </c>
      <c r="AM18" s="742"/>
      <c r="AN18" s="742">
        <v>0.37970988145687912</v>
      </c>
      <c r="AO18" s="742">
        <v>7.5854401405491263</v>
      </c>
      <c r="AP18" s="742"/>
      <c r="AQ18" s="742"/>
      <c r="AR18" s="742"/>
      <c r="AS18" s="742"/>
      <c r="AT18" s="742"/>
      <c r="AU18" s="742"/>
      <c r="AV18" s="742"/>
      <c r="AW18" s="742"/>
      <c r="AX18" s="742"/>
      <c r="AY18" s="742"/>
      <c r="AZ18" s="742"/>
      <c r="BA18" s="742"/>
      <c r="BB18" s="742"/>
      <c r="BC18" s="742"/>
      <c r="BD18" s="742"/>
      <c r="BE18" s="742"/>
      <c r="BF18" s="742"/>
      <c r="BG18" s="742"/>
      <c r="BH18" s="742"/>
      <c r="BI18" s="742"/>
      <c r="BJ18" s="742"/>
      <c r="BK18" s="742"/>
      <c r="BL18" s="742"/>
      <c r="BM18" s="742"/>
      <c r="BN18" s="742"/>
      <c r="BO18" s="742"/>
      <c r="BP18" s="742"/>
      <c r="BQ18" s="742"/>
      <c r="BR18" s="742"/>
      <c r="BS18" s="742"/>
      <c r="BT18" s="742"/>
      <c r="BU18" s="742"/>
      <c r="BV18" s="742"/>
      <c r="BW18" s="742"/>
      <c r="BX18" s="742"/>
      <c r="BY18" s="742"/>
      <c r="BZ18" s="742"/>
      <c r="CA18" s="742"/>
      <c r="CB18" s="742"/>
      <c r="CC18" s="742"/>
      <c r="CD18" s="742"/>
      <c r="CE18" s="742"/>
      <c r="CF18" s="742"/>
      <c r="CG18" s="742"/>
      <c r="CH18" s="742"/>
      <c r="CI18" s="742"/>
      <c r="CJ18" s="742"/>
      <c r="CK18" s="742"/>
      <c r="CL18" s="742"/>
      <c r="CM18" s="742"/>
    </row>
    <row r="19" spans="1:91" ht="13.5" customHeight="1">
      <c r="A19" s="18" t="s">
        <v>2478</v>
      </c>
      <c r="B19" s="3" t="s">
        <v>1349</v>
      </c>
      <c r="C19" s="765" t="s">
        <v>326</v>
      </c>
      <c r="D19" s="769">
        <v>16.478706271796501</v>
      </c>
      <c r="E19" s="766">
        <v>15.320606426007455</v>
      </c>
      <c r="F19" s="766">
        <v>15.104033940469014</v>
      </c>
      <c r="G19" s="766">
        <v>15.184519339047437</v>
      </c>
      <c r="H19" s="766">
        <v>15.18799199400968</v>
      </c>
      <c r="I19" s="766">
        <v>15.165397915567485</v>
      </c>
      <c r="J19" s="795">
        <v>15.192509923020214</v>
      </c>
      <c r="K19" s="769">
        <f ca="1">+Key!H15</f>
        <v>16.478706271796501</v>
      </c>
      <c r="L19" s="769">
        <f ca="1">+Key!I15</f>
        <v>17.685887346693484</v>
      </c>
      <c r="M19" s="769">
        <f ca="1">+Key!J15</f>
        <v>18.090855818214735</v>
      </c>
      <c r="N19" s="769">
        <f ca="1">+Key!K15</f>
        <v>19.334590040777666</v>
      </c>
      <c r="O19" s="769">
        <f ca="1">+Key!L15</f>
        <v>19.070509721043948</v>
      </c>
      <c r="P19" s="769">
        <f ca="1">+Key!M15</f>
        <v>18.773927595596867</v>
      </c>
      <c r="Q19" s="795">
        <f t="shared" ca="1" si="5"/>
        <v>18.591154104465339</v>
      </c>
      <c r="R19" s="803">
        <f t="shared" ca="1" si="0"/>
        <v>2.365280920686029</v>
      </c>
      <c r="S19" s="803">
        <f t="shared" ca="1" si="1"/>
        <v>2.9868218777457205</v>
      </c>
      <c r="T19" s="803">
        <f t="shared" ca="1" si="2"/>
        <v>4.150070701730229</v>
      </c>
      <c r="U19" s="803">
        <f t="shared" ca="1" si="3"/>
        <v>3.8825177270342675</v>
      </c>
      <c r="V19" s="803">
        <f t="shared" ca="1" si="4"/>
        <v>3.6085296800293811</v>
      </c>
      <c r="W19" s="795">
        <f t="shared" ca="1" si="6"/>
        <v>3.3986441814451256</v>
      </c>
      <c r="X19" s="259"/>
      <c r="Y19" s="742">
        <v>-4.8631698883708552E-2</v>
      </c>
      <c r="Z19" s="742">
        <v>1.8346044244275106E-3</v>
      </c>
      <c r="AA19" s="752">
        <v>-1.9539925233402755E-14</v>
      </c>
      <c r="AB19" s="742">
        <v>6.6913458861836972E-3</v>
      </c>
      <c r="AC19" s="742">
        <v>4.544857141378067E-2</v>
      </c>
      <c r="AD19" s="742">
        <v>2.0915979903719517E-2</v>
      </c>
      <c r="AE19" s="742">
        <v>0.32691309141894109</v>
      </c>
      <c r="AF19" s="752">
        <v>0.18793537135937832</v>
      </c>
      <c r="AG19" s="751">
        <v>-0.16325412357577207</v>
      </c>
      <c r="AH19" s="751">
        <v>-9.9600131934719727E-2</v>
      </c>
      <c r="AI19" s="742">
        <v>0.16904563345223522</v>
      </c>
      <c r="AJ19" s="742">
        <v>-9.0908906917023913E-2</v>
      </c>
      <c r="AK19" s="742"/>
      <c r="AL19" s="742">
        <f t="shared" si="7"/>
        <v>4.2210165885244295E-2</v>
      </c>
      <c r="AM19" s="742"/>
      <c r="AN19" s="742">
        <v>0.40502143543113078</v>
      </c>
      <c r="AO19" s="742">
        <v>-4.8631698883708552E-2</v>
      </c>
      <c r="AP19" s="742"/>
      <c r="AQ19" s="742"/>
      <c r="AR19" s="742"/>
      <c r="AS19" s="742"/>
      <c r="AT19" s="742"/>
      <c r="AU19" s="742"/>
      <c r="AV19" s="742"/>
      <c r="AW19" s="742"/>
      <c r="AX19" s="742"/>
      <c r="AY19" s="742"/>
      <c r="AZ19" s="742"/>
      <c r="BA19" s="742"/>
      <c r="BB19" s="742"/>
      <c r="BC19" s="742"/>
      <c r="BD19" s="742"/>
      <c r="BE19" s="742"/>
      <c r="BF19" s="742"/>
      <c r="BG19" s="742"/>
      <c r="BH19" s="742"/>
      <c r="BI19" s="742"/>
      <c r="BJ19" s="742"/>
      <c r="BK19" s="742"/>
      <c r="BL19" s="742"/>
      <c r="BM19" s="742"/>
      <c r="BN19" s="742"/>
      <c r="BO19" s="742"/>
      <c r="BP19" s="742"/>
      <c r="BQ19" s="742"/>
      <c r="BR19" s="742"/>
      <c r="BS19" s="742"/>
      <c r="BT19" s="742"/>
      <c r="BU19" s="742"/>
      <c r="BV19" s="742"/>
      <c r="BW19" s="742"/>
      <c r="BX19" s="742"/>
      <c r="BY19" s="742"/>
      <c r="BZ19" s="742"/>
      <c r="CA19" s="742"/>
      <c r="CB19" s="742"/>
      <c r="CC19" s="742"/>
      <c r="CD19" s="742"/>
      <c r="CE19" s="742"/>
      <c r="CF19" s="742"/>
      <c r="CG19" s="742"/>
      <c r="CH19" s="742"/>
      <c r="CI19" s="742"/>
      <c r="CJ19" s="742"/>
      <c r="CK19" s="742"/>
      <c r="CL19" s="742"/>
      <c r="CM19" s="742"/>
    </row>
    <row r="20" spans="1:91" ht="13.5" customHeight="1">
      <c r="A20" s="3" t="s">
        <v>3415</v>
      </c>
      <c r="B20" s="3" t="s">
        <v>1349</v>
      </c>
      <c r="C20" s="765" t="s">
        <v>325</v>
      </c>
      <c r="D20" s="791">
        <v>11.73609442182817</v>
      </c>
      <c r="E20" s="792">
        <v>-21.97371106428324</v>
      </c>
      <c r="F20" s="792">
        <v>-4.7493815339649696</v>
      </c>
      <c r="G20" s="792">
        <v>-5.5551344543110286</v>
      </c>
      <c r="H20" s="792">
        <v>-6.0560056068829642</v>
      </c>
      <c r="I20" s="792">
        <v>-1.4257267677142416</v>
      </c>
      <c r="J20" s="795">
        <v>-7.9519918854312888</v>
      </c>
      <c r="K20" s="577">
        <f ca="1">+Key!H22</f>
        <v>11.73609442182817</v>
      </c>
      <c r="L20" s="577">
        <f ca="1">+Key!I22</f>
        <v>2.3794195060724332</v>
      </c>
      <c r="M20" s="577">
        <f ca="1">+Key!J22</f>
        <v>4.885082647587824</v>
      </c>
      <c r="N20" s="577">
        <f ca="1">+Key!K22</f>
        <v>12.142192295634292</v>
      </c>
      <c r="O20" s="577">
        <f ca="1">+Key!L22</f>
        <v>7.1604214609899852</v>
      </c>
      <c r="P20" s="577">
        <f ca="1">+Key!M22</f>
        <v>6.7250487160173344</v>
      </c>
      <c r="Q20" s="795">
        <f t="shared" ca="1" si="5"/>
        <v>6.6584329252603736</v>
      </c>
      <c r="R20" s="803">
        <f t="shared" ca="1" si="0"/>
        <v>24.353130570355674</v>
      </c>
      <c r="S20" s="803">
        <f t="shared" ca="1" si="1"/>
        <v>9.6344641815527936</v>
      </c>
      <c r="T20" s="803">
        <f t="shared" ca="1" si="2"/>
        <v>17.697326749945319</v>
      </c>
      <c r="U20" s="803">
        <f t="shared" ca="1" si="3"/>
        <v>13.216427067872949</v>
      </c>
      <c r="V20" s="803">
        <f t="shared" ca="1" si="4"/>
        <v>8.1507754837315751</v>
      </c>
      <c r="W20" s="795">
        <f t="shared" ca="1" si="6"/>
        <v>14.610424810691663</v>
      </c>
      <c r="X20" s="1"/>
      <c r="Y20" s="742">
        <v>7.5854401405489043</v>
      </c>
      <c r="Z20" s="742">
        <v>0</v>
      </c>
      <c r="AA20" s="742">
        <v>-8.8817841970012523E-14</v>
      </c>
      <c r="AB20" s="742">
        <v>0</v>
      </c>
      <c r="AC20" s="742">
        <v>-0.44917652311459122</v>
      </c>
      <c r="AD20" s="742">
        <v>-8.8817841970012523E-14</v>
      </c>
      <c r="AE20" s="742">
        <v>-8.8817841970012523E-14</v>
      </c>
      <c r="AF20" s="742">
        <v>-8.8817841970012523E-14</v>
      </c>
      <c r="AG20" s="742">
        <v>-8.8817841970012523E-14</v>
      </c>
      <c r="AH20" s="742">
        <v>-8.8817841970012523E-14</v>
      </c>
      <c r="AI20" s="742">
        <v>0.82888640457019491</v>
      </c>
      <c r="AJ20" s="742">
        <v>-8.8817841970012523E-14</v>
      </c>
      <c r="AK20" s="742"/>
      <c r="AL20" s="742">
        <f t="shared" si="7"/>
        <v>5.5941164554025313E-2</v>
      </c>
      <c r="AN20" s="742">
        <v>0.37970988145498197</v>
      </c>
      <c r="AO20" s="742">
        <v>7.5854401405489043</v>
      </c>
    </row>
    <row r="21" spans="1:91" ht="13.5" customHeight="1">
      <c r="A21" s="697" t="s">
        <v>3440</v>
      </c>
      <c r="D21" s="700">
        <v>48.732981736349778</v>
      </c>
      <c r="E21" s="800">
        <v>37.02531757546631</v>
      </c>
      <c r="F21" s="800">
        <v>35.266843979645259</v>
      </c>
      <c r="G21" s="800">
        <v>33.307723378783791</v>
      </c>
      <c r="H21" s="800">
        <v>31.290605783439563</v>
      </c>
      <c r="I21" s="800">
        <v>30.844487241005172</v>
      </c>
      <c r="J21" s="795">
        <v>33.546995591668022</v>
      </c>
      <c r="K21" s="698">
        <f ca="1">Model!BT234</f>
        <v>48.732981736349778</v>
      </c>
      <c r="L21" s="698">
        <f ca="1">Model!BU234</f>
        <v>49.892543809675203</v>
      </c>
      <c r="M21" s="698">
        <f ca="1">Model!BV234</f>
        <v>52.329835809761796</v>
      </c>
      <c r="N21" s="698">
        <f ca="1">Model!BW234</f>
        <v>58.683825101772783</v>
      </c>
      <c r="O21" s="698">
        <f ca="1">Model!BX234</f>
        <v>62.885834308489947</v>
      </c>
      <c r="P21" s="698">
        <f ca="1">Model!BY234</f>
        <v>67.114937301209835</v>
      </c>
      <c r="Q21" s="795">
        <f t="shared" ca="1" si="5"/>
        <v>58.181395266181902</v>
      </c>
      <c r="R21" s="803">
        <f t="shared" ref="R21:V22" ca="1" si="8">+L21-E21</f>
        <v>12.867226234208893</v>
      </c>
      <c r="S21" s="803">
        <f t="shared" ca="1" si="8"/>
        <v>17.062991830116538</v>
      </c>
      <c r="T21" s="803">
        <f t="shared" ca="1" si="8"/>
        <v>25.376101722988992</v>
      </c>
      <c r="U21" s="803">
        <f t="shared" ca="1" si="8"/>
        <v>31.595228525050384</v>
      </c>
      <c r="V21" s="803">
        <f t="shared" ca="1" si="8"/>
        <v>36.270450060204666</v>
      </c>
      <c r="W21" s="795">
        <f ca="1">+SUM(R21:V21)/5</f>
        <v>24.634399674513894</v>
      </c>
      <c r="Y21" s="742">
        <v>3.5994705628625496</v>
      </c>
      <c r="Z21" s="742">
        <v>0</v>
      </c>
      <c r="AA21" s="742">
        <v>0</v>
      </c>
      <c r="AB21" s="742">
        <v>0</v>
      </c>
      <c r="AC21" s="742">
        <v>-0.21314487261410875</v>
      </c>
      <c r="AD21" s="742">
        <v>0</v>
      </c>
      <c r="AE21" s="742">
        <v>0</v>
      </c>
      <c r="AF21" s="742">
        <v>0</v>
      </c>
      <c r="AG21" s="742">
        <v>0</v>
      </c>
      <c r="AH21" s="742">
        <v>0</v>
      </c>
      <c r="AI21" s="742">
        <v>0.39332618251892626</v>
      </c>
      <c r="AJ21" s="742">
        <v>0</v>
      </c>
      <c r="AK21" s="742"/>
      <c r="AL21" s="742">
        <f t="shared" si="7"/>
        <v>2.6545404265832184E-2</v>
      </c>
      <c r="AN21" s="742">
        <v>0.18018130990481751</v>
      </c>
      <c r="AO21" s="742">
        <v>3.5994705628625496</v>
      </c>
    </row>
    <row r="22" spans="1:91" ht="13.5" customHeight="1">
      <c r="A22" s="697" t="s">
        <v>3473</v>
      </c>
      <c r="D22" s="700">
        <v>94.480732477336787</v>
      </c>
      <c r="E22" s="800">
        <v>79.336659863206947</v>
      </c>
      <c r="F22" s="800">
        <v>70.545898363257436</v>
      </c>
      <c r="G22" s="800">
        <v>63.748747123525519</v>
      </c>
      <c r="H22" s="800">
        <v>56.71670578820671</v>
      </c>
      <c r="I22" s="800">
        <v>48.455286748252121</v>
      </c>
      <c r="J22" s="795">
        <f>+SUM(E22:I22)/5</f>
        <v>63.760659577289744</v>
      </c>
      <c r="K22" s="698">
        <f>+Key!H32</f>
        <v>94.480732477336787</v>
      </c>
      <c r="L22" s="698">
        <f ca="1">+Key!I32</f>
        <v>68.046120302841643</v>
      </c>
      <c r="M22" s="698">
        <f ca="1">+Key!J32</f>
        <v>58.477269381188478</v>
      </c>
      <c r="N22" s="698">
        <f ca="1">+Key!K32</f>
        <v>55.628743630234844</v>
      </c>
      <c r="O22" s="698">
        <f ca="1">+Key!L32</f>
        <v>54.347412251673809</v>
      </c>
      <c r="P22" s="698">
        <f ca="1">+Key!M32</f>
        <v>52.187009546902573</v>
      </c>
      <c r="Q22" s="795">
        <f t="shared" ca="1" si="5"/>
        <v>57.737311022568271</v>
      </c>
      <c r="R22" s="803">
        <f t="shared" ca="1" si="8"/>
        <v>-11.290539560365303</v>
      </c>
      <c r="S22" s="803">
        <f t="shared" ca="1" si="8"/>
        <v>-12.068628982068958</v>
      </c>
      <c r="T22" s="803">
        <f t="shared" ca="1" si="8"/>
        <v>-8.1200034932906746</v>
      </c>
      <c r="U22" s="803">
        <f t="shared" ca="1" si="8"/>
        <v>-2.3692935365329006</v>
      </c>
      <c r="V22" s="803">
        <f t="shared" ca="1" si="8"/>
        <v>3.731722798650452</v>
      </c>
      <c r="W22" s="795">
        <f ca="1">+SUM(R22:V22)/5</f>
        <v>-6.0233485547214771</v>
      </c>
    </row>
    <row r="23" spans="1:91" ht="13.5" customHeight="1">
      <c r="A23" s="697" t="s">
        <v>1656</v>
      </c>
      <c r="B23" s="697" t="s">
        <v>3138</v>
      </c>
      <c r="D23" s="710">
        <v>0.38481729124552944</v>
      </c>
      <c r="E23" s="835">
        <f>+Key!AT31</f>
        <v>0.38481729124552944</v>
      </c>
      <c r="F23" s="835">
        <f>+Key!AU31</f>
        <v>0.34230991772586283</v>
      </c>
      <c r="G23" s="835">
        <f>+Key!AV31</f>
        <v>0.3725844411468695</v>
      </c>
      <c r="H23" s="835">
        <f>+Key!AW31</f>
        <v>0.42336790990291068</v>
      </c>
      <c r="I23" s="835">
        <f>+Key!AX31</f>
        <v>0.46330049767982495</v>
      </c>
      <c r="J23" s="836">
        <f>+SUM(E23:I23)/5</f>
        <v>0.39727601154019948</v>
      </c>
      <c r="K23" s="835">
        <f>+Key!H31</f>
        <v>0.38481729124552944</v>
      </c>
      <c r="L23" s="835">
        <f ca="1">+Key!I31</f>
        <v>0.31048970913639745</v>
      </c>
      <c r="M23" s="835">
        <f ca="1">+Key!J31</f>
        <v>0.3150969371619875</v>
      </c>
      <c r="N23" s="835">
        <f ca="1">+Key!K31</f>
        <v>0.34110712397383436</v>
      </c>
      <c r="O23" s="835">
        <f ca="1">+Key!L31</f>
        <v>0.35377678226802434</v>
      </c>
      <c r="P23" s="835">
        <f ca="1">+Key!M31</f>
        <v>0.35913937074276703</v>
      </c>
      <c r="Q23" s="836">
        <f t="shared" ca="1" si="5"/>
        <v>0.33592198465660211</v>
      </c>
      <c r="R23" s="837">
        <f t="shared" ref="R23" ca="1" si="9">+L23-E23</f>
        <v>-7.4327582109131984E-2</v>
      </c>
      <c r="S23" s="837">
        <f t="shared" ref="S23" ca="1" si="10">+M23-F23</f>
        <v>-2.7212980563875333E-2</v>
      </c>
      <c r="T23" s="837">
        <f t="shared" ref="T23" ca="1" si="11">+N23-G23</f>
        <v>-3.1477317173035146E-2</v>
      </c>
      <c r="U23" s="837">
        <f t="shared" ref="U23" ca="1" si="12">+O23-H23</f>
        <v>-6.9591127634886341E-2</v>
      </c>
      <c r="V23" s="837">
        <f t="shared" ref="V23" ca="1" si="13">+P23-I23</f>
        <v>-0.10416112693705792</v>
      </c>
      <c r="W23" s="836">
        <f ca="1">+SUM(R23:V23)/5</f>
        <v>-6.1354026883597347E-2</v>
      </c>
    </row>
    <row r="24" spans="1:91" ht="13.5" customHeight="1"/>
    <row r="25" spans="1:91" ht="13.5" customHeight="1"/>
  </sheetData>
  <phoneticPr fontId="15" type="noConversion"/>
  <pageMargins left="0.75" right="0.75" top="1" bottom="1" header="0.5" footer="0.5"/>
  <pageSetup paperSize="9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</sheetPr>
  <dimension ref="A1:DQ4200"/>
  <sheetViews>
    <sheetView showGridLines="0" zoomScale="110" zoomScaleNormal="110" zoomScaleSheetLayoutView="90" workbookViewId="0">
      <pane xSplit="4" ySplit="3" topLeftCell="BQ131" activePane="bottomRight" state="frozen"/>
      <selection pane="topRight" activeCell="E1" sqref="E1"/>
      <selection pane="bottomLeft" activeCell="A5" sqref="A5"/>
      <selection pane="bottomRight" activeCell="BW131" sqref="BW131"/>
    </sheetView>
  </sheetViews>
  <sheetFormatPr defaultColWidth="12" defaultRowHeight="15.75" outlineLevelCol="1"/>
  <cols>
    <col min="1" max="1" width="27.6640625" style="131" customWidth="1"/>
    <col min="2" max="2" width="15.5" style="131" customWidth="1"/>
    <col min="3" max="3" width="6.83203125" style="132" customWidth="1"/>
    <col min="4" max="4" width="5.6640625" style="147" customWidth="1"/>
    <col min="5" max="5" width="8.5" style="131" customWidth="1"/>
    <col min="6" max="8" width="10.6640625" style="131" customWidth="1"/>
    <col min="9" max="40" width="12" style="131" customWidth="1"/>
    <col min="41" max="55" width="12" style="133" customWidth="1" outlineLevel="1"/>
    <col min="56" max="59" width="12" style="133" customWidth="1"/>
    <col min="60" max="60" width="14.83203125" style="133" customWidth="1"/>
    <col min="61" max="64" width="14.83203125" style="104" customWidth="1"/>
    <col min="65" max="65" width="14.83203125" style="183" customWidth="1"/>
    <col min="66" max="68" width="14.83203125" style="104" customWidth="1"/>
    <col min="69" max="76" width="12.6640625" style="104" customWidth="1"/>
    <col min="77" max="85" width="14.33203125" style="104" customWidth="1"/>
    <col min="86" max="86" width="5.33203125" style="149" customWidth="1"/>
    <col min="87" max="87" width="11.1640625" style="133" customWidth="1"/>
    <col min="88" max="92" width="11" style="133" bestFit="1" customWidth="1"/>
    <col min="93" max="93" width="12.6640625" style="133" customWidth="1"/>
    <col min="94" max="103" width="11" style="133" bestFit="1" customWidth="1"/>
    <col min="104" max="104" width="10.1640625" style="152" customWidth="1"/>
    <col min="105" max="118" width="12" style="104" customWidth="1"/>
    <col min="119" max="121" width="12" style="104"/>
    <col min="122" max="16384" width="12" style="128"/>
  </cols>
  <sheetData>
    <row r="1" spans="1:121" s="112" customFormat="1">
      <c r="A1" s="99" t="s">
        <v>1688</v>
      </c>
      <c r="B1" s="99"/>
      <c r="C1" s="101"/>
      <c r="D1" s="117" t="s">
        <v>1774</v>
      </c>
      <c r="E1" s="99"/>
      <c r="F1" s="99"/>
      <c r="G1" s="530" t="s">
        <v>1344</v>
      </c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103"/>
      <c r="AP1" s="103"/>
      <c r="AQ1" s="103"/>
      <c r="AR1" s="103"/>
      <c r="AS1" s="103" t="s">
        <v>1344</v>
      </c>
      <c r="AT1" s="103"/>
      <c r="AU1" s="103"/>
      <c r="AV1" s="103"/>
      <c r="AW1" s="103"/>
      <c r="AX1" s="103"/>
      <c r="AY1" s="103"/>
      <c r="AZ1" s="104" t="s">
        <v>1337</v>
      </c>
      <c r="BA1" s="105"/>
      <c r="BB1" s="105"/>
      <c r="BC1" s="106" t="s">
        <v>1404</v>
      </c>
      <c r="BD1" s="107" t="s">
        <v>3070</v>
      </c>
      <c r="BE1" s="108" t="s">
        <v>2711</v>
      </c>
      <c r="BF1" s="106"/>
      <c r="BG1" s="106"/>
      <c r="BH1" s="109" t="s">
        <v>1797</v>
      </c>
      <c r="BI1" s="106"/>
      <c r="BJ1" s="110"/>
      <c r="BK1" s="106" t="s">
        <v>1405</v>
      </c>
      <c r="BL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41" t="s">
        <v>1928</v>
      </c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11"/>
      <c r="DA1" s="375"/>
      <c r="DB1" s="375"/>
      <c r="DC1" s="375"/>
      <c r="DD1" s="375"/>
      <c r="DE1" s="375"/>
      <c r="DF1" s="375"/>
      <c r="DG1" s="375"/>
      <c r="DH1" s="375"/>
      <c r="DI1" s="375"/>
      <c r="DJ1" s="375"/>
      <c r="DK1" s="375"/>
      <c r="DL1" s="375"/>
      <c r="DM1" s="375"/>
      <c r="DN1" s="375"/>
      <c r="DO1" s="375"/>
      <c r="DP1" s="375"/>
      <c r="DQ1" s="375"/>
    </row>
    <row r="2" spans="1:121" s="113" customFormat="1">
      <c r="A2" s="241" t="s">
        <v>125</v>
      </c>
      <c r="B2" s="241" t="s">
        <v>1894</v>
      </c>
      <c r="C2" s="241" t="s">
        <v>137</v>
      </c>
      <c r="D2" s="638"/>
      <c r="E2" s="234"/>
      <c r="F2" s="234">
        <v>1954</v>
      </c>
      <c r="G2" s="234">
        <f t="shared" ref="G2:AL2" si="0">F2+1</f>
        <v>1955</v>
      </c>
      <c r="H2" s="234">
        <f t="shared" si="0"/>
        <v>1956</v>
      </c>
      <c r="I2" s="234">
        <f t="shared" si="0"/>
        <v>1957</v>
      </c>
      <c r="J2" s="234">
        <f t="shared" si="0"/>
        <v>1958</v>
      </c>
      <c r="K2" s="234">
        <f t="shared" si="0"/>
        <v>1959</v>
      </c>
      <c r="L2" s="234">
        <f t="shared" si="0"/>
        <v>1960</v>
      </c>
      <c r="M2" s="234">
        <f t="shared" si="0"/>
        <v>1961</v>
      </c>
      <c r="N2" s="234">
        <f t="shared" si="0"/>
        <v>1962</v>
      </c>
      <c r="O2" s="234">
        <f t="shared" si="0"/>
        <v>1963</v>
      </c>
      <c r="P2" s="234">
        <f t="shared" si="0"/>
        <v>1964</v>
      </c>
      <c r="Q2" s="234">
        <f t="shared" si="0"/>
        <v>1965</v>
      </c>
      <c r="R2" s="234">
        <f t="shared" si="0"/>
        <v>1966</v>
      </c>
      <c r="S2" s="234">
        <f t="shared" si="0"/>
        <v>1967</v>
      </c>
      <c r="T2" s="234">
        <f t="shared" si="0"/>
        <v>1968</v>
      </c>
      <c r="U2" s="234">
        <f t="shared" si="0"/>
        <v>1969</v>
      </c>
      <c r="V2" s="234">
        <f t="shared" si="0"/>
        <v>1970</v>
      </c>
      <c r="W2" s="234">
        <f t="shared" si="0"/>
        <v>1971</v>
      </c>
      <c r="X2" s="234">
        <f t="shared" si="0"/>
        <v>1972</v>
      </c>
      <c r="Y2" s="234">
        <f t="shared" si="0"/>
        <v>1973</v>
      </c>
      <c r="Z2" s="234">
        <f t="shared" si="0"/>
        <v>1974</v>
      </c>
      <c r="AA2" s="234">
        <f t="shared" si="0"/>
        <v>1975</v>
      </c>
      <c r="AB2" s="234">
        <f t="shared" si="0"/>
        <v>1976</v>
      </c>
      <c r="AC2" s="234">
        <f t="shared" si="0"/>
        <v>1977</v>
      </c>
      <c r="AD2" s="234">
        <f t="shared" si="0"/>
        <v>1978</v>
      </c>
      <c r="AE2" s="234">
        <f t="shared" si="0"/>
        <v>1979</v>
      </c>
      <c r="AF2" s="234">
        <f t="shared" si="0"/>
        <v>1980</v>
      </c>
      <c r="AG2" s="234">
        <f t="shared" si="0"/>
        <v>1981</v>
      </c>
      <c r="AH2" s="234">
        <f t="shared" si="0"/>
        <v>1982</v>
      </c>
      <c r="AI2" s="234">
        <f t="shared" si="0"/>
        <v>1983</v>
      </c>
      <c r="AJ2" s="234">
        <f t="shared" si="0"/>
        <v>1984</v>
      </c>
      <c r="AK2" s="234">
        <f t="shared" si="0"/>
        <v>1985</v>
      </c>
      <c r="AL2" s="234">
        <f t="shared" si="0"/>
        <v>1986</v>
      </c>
      <c r="AM2" s="234">
        <f t="shared" ref="AM2:BJ2" si="1">AL2+1</f>
        <v>1987</v>
      </c>
      <c r="AN2" s="234">
        <f t="shared" si="1"/>
        <v>1988</v>
      </c>
      <c r="AO2" s="234">
        <f t="shared" si="1"/>
        <v>1989</v>
      </c>
      <c r="AP2" s="234">
        <f t="shared" si="1"/>
        <v>1990</v>
      </c>
      <c r="AQ2" s="234">
        <f t="shared" si="1"/>
        <v>1991</v>
      </c>
      <c r="AR2" s="234">
        <f t="shared" si="1"/>
        <v>1992</v>
      </c>
      <c r="AS2" s="234">
        <f t="shared" si="1"/>
        <v>1993</v>
      </c>
      <c r="AT2" s="234">
        <f t="shared" si="1"/>
        <v>1994</v>
      </c>
      <c r="AU2" s="234">
        <f t="shared" si="1"/>
        <v>1995</v>
      </c>
      <c r="AV2" s="234">
        <f t="shared" si="1"/>
        <v>1996</v>
      </c>
      <c r="AW2" s="234">
        <f t="shared" si="1"/>
        <v>1997</v>
      </c>
      <c r="AX2" s="234">
        <f t="shared" si="1"/>
        <v>1998</v>
      </c>
      <c r="AY2" s="234">
        <f t="shared" si="1"/>
        <v>1999</v>
      </c>
      <c r="AZ2" s="234">
        <f t="shared" si="1"/>
        <v>2000</v>
      </c>
      <c r="BA2" s="234">
        <f t="shared" si="1"/>
        <v>2001</v>
      </c>
      <c r="BB2" s="234">
        <f t="shared" si="1"/>
        <v>2002</v>
      </c>
      <c r="BC2" s="234">
        <f t="shared" si="1"/>
        <v>2003</v>
      </c>
      <c r="BD2" s="234">
        <f t="shared" si="1"/>
        <v>2004</v>
      </c>
      <c r="BE2" s="234">
        <f t="shared" si="1"/>
        <v>2005</v>
      </c>
      <c r="BF2" s="234">
        <f t="shared" si="1"/>
        <v>2006</v>
      </c>
      <c r="BG2" s="234">
        <f t="shared" si="1"/>
        <v>2007</v>
      </c>
      <c r="BH2" s="234">
        <f t="shared" si="1"/>
        <v>2008</v>
      </c>
      <c r="BI2" s="234">
        <f t="shared" si="1"/>
        <v>2009</v>
      </c>
      <c r="BJ2" s="234">
        <f t="shared" si="1"/>
        <v>2010</v>
      </c>
      <c r="BK2" s="234">
        <v>2011</v>
      </c>
      <c r="BL2" s="234">
        <v>2012</v>
      </c>
      <c r="BM2" s="234">
        <v>2013</v>
      </c>
      <c r="BN2" s="234">
        <v>2014</v>
      </c>
      <c r="BO2" s="234">
        <v>2015</v>
      </c>
      <c r="BP2" s="234">
        <v>2016</v>
      </c>
      <c r="BQ2" s="234">
        <v>2017</v>
      </c>
      <c r="BR2" s="234">
        <v>2018</v>
      </c>
      <c r="BS2" s="234">
        <v>2019</v>
      </c>
      <c r="BT2" s="234">
        <v>2020</v>
      </c>
      <c r="BU2" s="234">
        <v>2021</v>
      </c>
      <c r="BV2" s="234">
        <v>2022</v>
      </c>
      <c r="BW2" s="234">
        <v>2023</v>
      </c>
      <c r="BX2" s="234">
        <v>2024</v>
      </c>
      <c r="BY2" s="234">
        <v>2025</v>
      </c>
      <c r="BZ2" s="234">
        <v>2026</v>
      </c>
      <c r="CA2" s="234">
        <v>2027</v>
      </c>
      <c r="CB2" s="234">
        <v>2028</v>
      </c>
      <c r="CC2" s="234">
        <v>2029</v>
      </c>
      <c r="CD2" s="234">
        <v>2030</v>
      </c>
      <c r="CE2" s="234">
        <v>2031</v>
      </c>
      <c r="CF2" s="234">
        <v>2032</v>
      </c>
      <c r="CG2" s="234">
        <v>2033</v>
      </c>
      <c r="CH2" s="235"/>
      <c r="CI2" s="236">
        <v>2017</v>
      </c>
      <c r="CJ2" s="236">
        <f>CI2+1</f>
        <v>2018</v>
      </c>
      <c r="CK2" s="236">
        <f>CJ2+1</f>
        <v>2019</v>
      </c>
      <c r="CL2" s="236">
        <f>CK2+1</f>
        <v>2020</v>
      </c>
      <c r="CM2" s="236">
        <f t="shared" ref="CM2:CU2" si="2">CL2+1</f>
        <v>2021</v>
      </c>
      <c r="CN2" s="236">
        <f t="shared" si="2"/>
        <v>2022</v>
      </c>
      <c r="CO2" s="236">
        <f t="shared" si="2"/>
        <v>2023</v>
      </c>
      <c r="CP2" s="236">
        <f t="shared" si="2"/>
        <v>2024</v>
      </c>
      <c r="CQ2" s="236">
        <f t="shared" si="2"/>
        <v>2025</v>
      </c>
      <c r="CR2" s="236">
        <f t="shared" si="2"/>
        <v>2026</v>
      </c>
      <c r="CS2" s="236">
        <f t="shared" si="2"/>
        <v>2027</v>
      </c>
      <c r="CT2" s="236">
        <f t="shared" si="2"/>
        <v>2028</v>
      </c>
      <c r="CU2" s="236">
        <f t="shared" si="2"/>
        <v>2029</v>
      </c>
      <c r="CV2" s="236">
        <f>CU2+1</f>
        <v>2030</v>
      </c>
      <c r="CW2" s="236">
        <f>CV2+1</f>
        <v>2031</v>
      </c>
      <c r="CX2" s="236">
        <f>CW2+1</f>
        <v>2032</v>
      </c>
      <c r="CY2" s="236">
        <f>CX2+1</f>
        <v>2033</v>
      </c>
      <c r="CZ2" s="237"/>
      <c r="DA2" s="376">
        <v>2017</v>
      </c>
      <c r="DB2" s="376">
        <v>2018</v>
      </c>
      <c r="DC2" s="376">
        <v>2019</v>
      </c>
      <c r="DD2" s="376">
        <v>2020</v>
      </c>
      <c r="DE2" s="376">
        <v>2021</v>
      </c>
      <c r="DF2" s="376">
        <v>2022</v>
      </c>
      <c r="DG2" s="377">
        <v>2023</v>
      </c>
      <c r="DH2" s="377">
        <v>2024</v>
      </c>
      <c r="DI2" s="377">
        <v>2025</v>
      </c>
      <c r="DJ2" s="377">
        <v>2026</v>
      </c>
      <c r="DK2" s="377">
        <v>2027</v>
      </c>
      <c r="DL2" s="377">
        <v>2028</v>
      </c>
      <c r="DM2" s="377">
        <v>2029</v>
      </c>
      <c r="DN2" s="377">
        <v>2030</v>
      </c>
      <c r="DO2" s="550">
        <v>2031</v>
      </c>
      <c r="DP2" s="550">
        <v>2032</v>
      </c>
      <c r="DQ2" s="550">
        <v>2033</v>
      </c>
    </row>
    <row r="3" spans="1:121" s="114" customFormat="1" ht="18.75">
      <c r="A3" s="98" t="s">
        <v>127</v>
      </c>
      <c r="B3" s="98" t="s">
        <v>128</v>
      </c>
      <c r="C3" s="98" t="s">
        <v>2114</v>
      </c>
      <c r="D3" s="639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 t="s">
        <v>1344</v>
      </c>
      <c r="BR3" s="238"/>
      <c r="BS3" s="420" t="s">
        <v>447</v>
      </c>
      <c r="BT3" s="566" t="s">
        <v>2601</v>
      </c>
      <c r="BU3" s="246"/>
      <c r="BV3" s="246" t="s">
        <v>2662</v>
      </c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38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40"/>
      <c r="DA3" s="378" t="s">
        <v>1344</v>
      </c>
      <c r="DB3" s="378"/>
      <c r="DC3" s="378" t="s">
        <v>447</v>
      </c>
      <c r="DD3" s="378" t="s">
        <v>2601</v>
      </c>
      <c r="DE3" s="378"/>
      <c r="DF3" s="378" t="s">
        <v>2662</v>
      </c>
      <c r="DG3" s="379"/>
      <c r="DH3" s="379"/>
      <c r="DI3" s="379"/>
      <c r="DJ3" s="379"/>
      <c r="DK3" s="379"/>
      <c r="DL3" s="379"/>
      <c r="DM3" s="379"/>
      <c r="DN3" s="379"/>
      <c r="DO3" s="389"/>
      <c r="DP3" s="389"/>
      <c r="DQ3" s="389"/>
    </row>
    <row r="4" spans="1:121" s="123" customFormat="1" ht="15" customHeight="1">
      <c r="A4" s="115"/>
      <c r="B4" s="115"/>
      <c r="C4" s="116" t="s">
        <v>1777</v>
      </c>
      <c r="D4" s="117" t="s">
        <v>1774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9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859"/>
      <c r="BH4" s="859"/>
      <c r="BI4" s="859"/>
      <c r="BJ4" s="859"/>
      <c r="BK4" s="859"/>
      <c r="BL4" s="859"/>
      <c r="BM4" s="859"/>
      <c r="BN4" s="859"/>
      <c r="BO4" s="859"/>
      <c r="BP4" s="859"/>
      <c r="BQ4" s="859"/>
      <c r="BR4" s="859"/>
      <c r="BS4" s="859"/>
      <c r="BT4" s="859"/>
      <c r="BU4" s="859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25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2"/>
      <c r="DA4" s="380"/>
      <c r="DB4" s="380"/>
      <c r="DC4" s="380"/>
      <c r="DD4" s="380"/>
      <c r="DE4" s="380"/>
      <c r="DF4" s="380"/>
      <c r="DG4" s="380"/>
      <c r="DH4" s="380"/>
      <c r="DI4" s="380"/>
      <c r="DJ4" s="380"/>
      <c r="DK4" s="380"/>
      <c r="DL4" s="380"/>
      <c r="DM4" s="380"/>
      <c r="DN4" s="380"/>
      <c r="DO4" s="135"/>
      <c r="DP4" s="135"/>
      <c r="DQ4" s="135"/>
    </row>
    <row r="5" spans="1:121">
      <c r="A5" s="124" t="s">
        <v>1346</v>
      </c>
      <c r="B5" s="125"/>
      <c r="C5" s="126"/>
      <c r="D5" s="640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7"/>
      <c r="DA5" s="381"/>
      <c r="DB5" s="381"/>
      <c r="DC5" s="381"/>
      <c r="DD5" s="381"/>
      <c r="DE5" s="381"/>
      <c r="DF5" s="381"/>
      <c r="DG5" s="182"/>
      <c r="DH5" s="182"/>
      <c r="DI5" s="182"/>
      <c r="DJ5" s="182"/>
      <c r="DK5" s="182"/>
      <c r="DL5" s="182"/>
      <c r="DM5" s="182"/>
      <c r="DN5" s="182"/>
    </row>
    <row r="6" spans="1:121" s="232" customFormat="1">
      <c r="A6" s="229" t="s">
        <v>1407</v>
      </c>
      <c r="B6" s="175"/>
      <c r="C6" s="176"/>
      <c r="D6" s="641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609"/>
      <c r="BQ6" s="230"/>
      <c r="BR6" s="433" t="s">
        <v>1344</v>
      </c>
      <c r="BS6" s="609"/>
      <c r="BT6" s="433" t="s">
        <v>1344</v>
      </c>
      <c r="BU6" s="230" t="s">
        <v>1344</v>
      </c>
      <c r="BV6" s="433" t="s">
        <v>1344</v>
      </c>
      <c r="BW6" s="433" t="s">
        <v>1344</v>
      </c>
      <c r="BX6" s="433" t="s">
        <v>1344</v>
      </c>
      <c r="BY6" s="433" t="s">
        <v>1344</v>
      </c>
      <c r="BZ6" s="433" t="s">
        <v>1344</v>
      </c>
      <c r="CA6" s="433" t="s">
        <v>1344</v>
      </c>
      <c r="CB6" s="433" t="s">
        <v>1344</v>
      </c>
      <c r="CC6" s="433" t="s">
        <v>1344</v>
      </c>
      <c r="CD6" s="433" t="s">
        <v>1344</v>
      </c>
      <c r="CE6" s="433" t="s">
        <v>1344</v>
      </c>
      <c r="CF6" s="433" t="s">
        <v>1344</v>
      </c>
      <c r="CG6" s="433" t="s">
        <v>1344</v>
      </c>
      <c r="CH6" s="231"/>
      <c r="CI6" s="231"/>
      <c r="CJ6" s="231"/>
      <c r="CK6" s="231"/>
      <c r="CL6" s="231"/>
      <c r="CM6" s="231"/>
      <c r="CZ6" s="233"/>
      <c r="DA6" s="135"/>
      <c r="DB6" s="135" t="s">
        <v>1344</v>
      </c>
      <c r="DC6" s="135"/>
      <c r="DD6" s="135" t="s">
        <v>1344</v>
      </c>
      <c r="DE6" s="135" t="s">
        <v>1344</v>
      </c>
      <c r="DF6" s="135" t="s">
        <v>1344</v>
      </c>
      <c r="DG6" s="135" t="s">
        <v>1344</v>
      </c>
      <c r="DH6" s="135" t="s">
        <v>1344</v>
      </c>
      <c r="DI6" s="135" t="s">
        <v>1344</v>
      </c>
      <c r="DJ6" s="135" t="s">
        <v>1344</v>
      </c>
      <c r="DK6" s="135" t="s">
        <v>1344</v>
      </c>
      <c r="DL6" s="135" t="s">
        <v>1344</v>
      </c>
      <c r="DM6" s="135" t="s">
        <v>1344</v>
      </c>
      <c r="DN6" s="135" t="s">
        <v>1344</v>
      </c>
      <c r="DO6" s="135" t="s">
        <v>1344</v>
      </c>
      <c r="DP6" s="135" t="s">
        <v>1344</v>
      </c>
      <c r="DQ6" s="135" t="s">
        <v>1344</v>
      </c>
    </row>
    <row r="7" spans="1:121" s="123" customFormat="1">
      <c r="A7" s="107" t="s">
        <v>3097</v>
      </c>
      <c r="B7" s="107"/>
      <c r="C7" s="136"/>
      <c r="D7" s="147"/>
      <c r="E7" s="107"/>
      <c r="F7" s="555">
        <f t="shared" ref="F7:BA7" si="3">F8+F9</f>
        <v>0.119149</v>
      </c>
      <c r="G7" s="555">
        <f t="shared" si="3"/>
        <v>0.13342206781053539</v>
      </c>
      <c r="H7" s="555">
        <f t="shared" si="3"/>
        <v>0.13714962305665013</v>
      </c>
      <c r="I7" s="555">
        <f t="shared" si="3"/>
        <v>0.14599999978542327</v>
      </c>
      <c r="J7" s="555">
        <f t="shared" si="3"/>
        <v>0.15087000104904175</v>
      </c>
      <c r="K7" s="555">
        <f t="shared" si="3"/>
        <v>0.16788999809265132</v>
      </c>
      <c r="L7" s="555">
        <f t="shared" si="3"/>
        <v>0.18661000543594361</v>
      </c>
      <c r="M7" s="555">
        <f t="shared" si="3"/>
        <v>0.20925000391006465</v>
      </c>
      <c r="N7" s="555">
        <f t="shared" si="3"/>
        <v>0.22787999899864197</v>
      </c>
      <c r="O7" s="555">
        <f t="shared" si="3"/>
        <v>0.24568000019073483</v>
      </c>
      <c r="P7" s="555">
        <f t="shared" si="3"/>
        <v>0.24971000467300414</v>
      </c>
      <c r="Q7" s="555">
        <f t="shared" si="3"/>
        <v>0.29100999339580536</v>
      </c>
      <c r="R7" s="555">
        <f t="shared" si="3"/>
        <v>0.33789000357627863</v>
      </c>
      <c r="S7" s="555">
        <f t="shared" si="3"/>
        <v>0.42069000009536739</v>
      </c>
      <c r="T7" s="555">
        <f t="shared" si="3"/>
        <v>0.44937000824928286</v>
      </c>
      <c r="U7" s="555">
        <f t="shared" si="3"/>
        <v>0.48890998683929443</v>
      </c>
      <c r="V7" s="555">
        <f t="shared" si="3"/>
        <v>0.5227000019550323</v>
      </c>
      <c r="W7" s="555">
        <f t="shared" si="3"/>
        <v>0.55977998769760118</v>
      </c>
      <c r="X7" s="555">
        <f t="shared" si="3"/>
        <v>0.5642599979019165</v>
      </c>
      <c r="Y7" s="555">
        <f t="shared" si="3"/>
        <v>0.64011001134872436</v>
      </c>
      <c r="Z7" s="555">
        <f t="shared" si="3"/>
        <v>0.72269998102188093</v>
      </c>
      <c r="AA7" s="555">
        <f t="shared" si="3"/>
        <v>0.79847994579315196</v>
      </c>
      <c r="AB7" s="555">
        <f t="shared" si="3"/>
        <v>0.94403000434875439</v>
      </c>
      <c r="AC7" s="555">
        <f t="shared" si="3"/>
        <v>1.3044599509429931</v>
      </c>
      <c r="AD7" s="555">
        <f t="shared" si="3"/>
        <v>1.4695400125885012</v>
      </c>
      <c r="AE7" s="555">
        <f t="shared" si="3"/>
        <v>1.5373400074005126</v>
      </c>
      <c r="AF7" s="555">
        <f t="shared" si="3"/>
        <v>1.5815200477600098</v>
      </c>
      <c r="AG7" s="555">
        <f t="shared" si="3"/>
        <v>1.8062500022125243</v>
      </c>
      <c r="AH7" s="555">
        <f t="shared" si="3"/>
        <v>1.9651999656677248</v>
      </c>
      <c r="AI7" s="555">
        <f t="shared" si="3"/>
        <v>2.0678000092315667</v>
      </c>
      <c r="AJ7" s="555">
        <f t="shared" si="3"/>
        <v>2.0628700409698486</v>
      </c>
      <c r="AK7" s="555">
        <f t="shared" si="3"/>
        <v>1.9979499876403808</v>
      </c>
      <c r="AL7" s="555">
        <f t="shared" si="3"/>
        <v>2.1439399872589111</v>
      </c>
      <c r="AM7" s="555">
        <f t="shared" si="3"/>
        <v>2.5761999868392942</v>
      </c>
      <c r="AN7" s="555">
        <f t="shared" si="3"/>
        <v>3.1769799877929685</v>
      </c>
      <c r="AO7" s="555">
        <f t="shared" si="3"/>
        <v>4.0649699942779538</v>
      </c>
      <c r="AP7" s="555">
        <f t="shared" si="3"/>
        <v>5.1545199999999998</v>
      </c>
      <c r="AQ7" s="555">
        <f t="shared" si="3"/>
        <v>7.0178899999999995</v>
      </c>
      <c r="AR7" s="555">
        <f t="shared" si="3"/>
        <v>9.6880200000000016</v>
      </c>
      <c r="AS7" s="555">
        <f t="shared" si="3"/>
        <v>16.938759999999995</v>
      </c>
      <c r="AT7" s="114">
        <f t="shared" si="3"/>
        <v>69.178269999999998</v>
      </c>
      <c r="AU7" s="114">
        <f t="shared" si="3"/>
        <v>218.07794750000005</v>
      </c>
      <c r="AV7" s="114">
        <f t="shared" si="3"/>
        <v>248.07464750000003</v>
      </c>
      <c r="AW7" s="114">
        <f t="shared" si="3"/>
        <v>264.43700000000001</v>
      </c>
      <c r="AX7" s="114">
        <f t="shared" si="3"/>
        <v>410.03449999999998</v>
      </c>
      <c r="AY7" s="114">
        <f t="shared" si="3"/>
        <v>683.43860000000006</v>
      </c>
      <c r="AZ7" s="114">
        <f t="shared" si="3"/>
        <v>1115.5906999999997</v>
      </c>
      <c r="BA7" s="114">
        <f t="shared" si="3"/>
        <v>1369.4559999999999</v>
      </c>
      <c r="BB7" s="114">
        <f t="shared" ref="BB7:BI7" si="4">BB8+BB9</f>
        <v>2264.5192999999999</v>
      </c>
      <c r="BC7" s="114">
        <f t="shared" si="4"/>
        <v>2687.1689999999999</v>
      </c>
      <c r="BD7" s="114">
        <f t="shared" si="4"/>
        <v>3017.5</v>
      </c>
      <c r="BE7" s="114">
        <f t="shared" si="4"/>
        <v>3484</v>
      </c>
      <c r="BF7" s="114">
        <f t="shared" si="4"/>
        <v>3891</v>
      </c>
      <c r="BG7" s="114">
        <f t="shared" si="4"/>
        <v>4140.7</v>
      </c>
      <c r="BH7" s="114">
        <f t="shared" si="4"/>
        <v>5139.6000000000004</v>
      </c>
      <c r="BI7" s="114">
        <f t="shared" si="4"/>
        <v>5481.2999999999993</v>
      </c>
      <c r="BJ7" s="114">
        <f>BJ8+BJ9</f>
        <v>6115.6</v>
      </c>
      <c r="BK7" s="114">
        <f t="shared" ref="BK7:BP7" si="5">BK8+BK9</f>
        <v>7476.5042819074988</v>
      </c>
      <c r="BL7" s="114">
        <f t="shared" si="5"/>
        <v>9809.3536866278737</v>
      </c>
      <c r="BM7" s="114">
        <f t="shared" si="5"/>
        <v>11337.240844293803</v>
      </c>
      <c r="BN7" s="114">
        <f t="shared" si="5"/>
        <v>12196.645423389793</v>
      </c>
      <c r="BO7" s="114">
        <f t="shared" si="5"/>
        <v>12225.488405323687</v>
      </c>
      <c r="BP7" s="114">
        <f t="shared" si="5"/>
        <v>11246.487208902672</v>
      </c>
      <c r="BQ7" s="114">
        <f t="shared" ref="BQ7:CB7" si="6">BQ8+BQ9</f>
        <v>14034.946391039543</v>
      </c>
      <c r="BR7" s="114">
        <f t="shared" si="6"/>
        <v>15772.93360875759</v>
      </c>
      <c r="BS7" s="114">
        <f t="shared" si="6"/>
        <v>17927.417737065443</v>
      </c>
      <c r="BT7" s="114">
        <f t="shared" ca="1" si="6"/>
        <v>19045.077656113055</v>
      </c>
      <c r="BU7" s="114">
        <f t="shared" ca="1" si="6"/>
        <v>26061.738011445992</v>
      </c>
      <c r="BV7" s="114">
        <f t="shared" ca="1" si="6"/>
        <v>32890.602609931011</v>
      </c>
      <c r="BW7" s="114">
        <f t="shared" ca="1" si="6"/>
        <v>39499.459787395332</v>
      </c>
      <c r="BX7" s="114">
        <f t="shared" ca="1" si="6"/>
        <v>45393.870385031092</v>
      </c>
      <c r="BY7" s="114">
        <f t="shared" ca="1" si="6"/>
        <v>52539.773155210787</v>
      </c>
      <c r="BZ7" s="114">
        <f t="shared" ca="1" si="6"/>
        <v>61597.203844575386</v>
      </c>
      <c r="CA7" s="114">
        <f t="shared" ca="1" si="6"/>
        <v>72955.739177685857</v>
      </c>
      <c r="CB7" s="114">
        <f t="shared" ca="1" si="6"/>
        <v>87444.947487576806</v>
      </c>
      <c r="CC7" s="114">
        <f ca="1">CC8+CC9</f>
        <v>106299.34100290292</v>
      </c>
      <c r="CD7" s="114">
        <f ca="1">CD8+CD9</f>
        <v>131418.5837166881</v>
      </c>
      <c r="CE7" s="114">
        <f ca="1">CE8+CE9</f>
        <v>165812.65130085175</v>
      </c>
      <c r="CF7" s="114">
        <f ca="1">CF8+CF9</f>
        <v>214411.40737058246</v>
      </c>
      <c r="CG7" s="114">
        <f ca="1">CG8+CG9</f>
        <v>285591.91690413031</v>
      </c>
      <c r="CH7" s="137"/>
      <c r="CI7" s="106">
        <f t="shared" ref="CI7:CR8" si="7">BQ7-DA7</f>
        <v>0</v>
      </c>
      <c r="CJ7" s="106">
        <f t="shared" si="7"/>
        <v>0</v>
      </c>
      <c r="CK7" s="106">
        <f t="shared" si="7"/>
        <v>0</v>
      </c>
      <c r="CL7" s="106">
        <f t="shared" ca="1" si="7"/>
        <v>0</v>
      </c>
      <c r="CM7" s="106">
        <f t="shared" ca="1" si="7"/>
        <v>677.96929021642063</v>
      </c>
      <c r="CN7" s="106">
        <f t="shared" ca="1" si="7"/>
        <v>1685.0775043639587</v>
      </c>
      <c r="CO7" s="106">
        <f t="shared" ca="1" si="7"/>
        <v>1794.181633943379</v>
      </c>
      <c r="CP7" s="106">
        <f t="shared" ca="1" si="7"/>
        <v>1342.5006986508888</v>
      </c>
      <c r="CQ7" s="106">
        <f t="shared" ca="1" si="7"/>
        <v>530.33497531415196</v>
      </c>
      <c r="CR7" s="106">
        <f t="shared" ca="1" si="7"/>
        <v>-252.49803064046864</v>
      </c>
      <c r="CS7" s="106">
        <f t="shared" ref="CS7:CU8" ca="1" si="8">CA7-DK7</f>
        <v>-977.02271927075344</v>
      </c>
      <c r="CT7" s="106">
        <f t="shared" ca="1" si="8"/>
        <v>-2081.3687140534603</v>
      </c>
      <c r="CU7" s="106">
        <f t="shared" ca="1" si="8"/>
        <v>-4219.6420772683487</v>
      </c>
      <c r="CV7" s="106">
        <f t="shared" ref="CV7:CV18" ca="1" si="9">CD7-DN7</f>
        <v>-7771.2299815407896</v>
      </c>
      <c r="CW7" s="106">
        <f t="shared" ref="CW7:CW18" ca="1" si="10">CE7-DO7</f>
        <v>-13492.172730766266</v>
      </c>
      <c r="CX7" s="106">
        <f t="shared" ref="CX7:CX18" ca="1" si="11">CF7-DP7</f>
        <v>-22823.897995532112</v>
      </c>
      <c r="CY7" s="106">
        <f t="shared" ref="CY7:CY18" ca="1" si="12">CG7-DQ7</f>
        <v>-38464.950408524019</v>
      </c>
      <c r="CZ7" s="134"/>
      <c r="DA7" s="135">
        <v>14034.946391039543</v>
      </c>
      <c r="DB7" s="135">
        <v>15772.93360875759</v>
      </c>
      <c r="DC7" s="135">
        <v>17927.417737065443</v>
      </c>
      <c r="DD7" s="135">
        <v>19045.077656113055</v>
      </c>
      <c r="DE7" s="135">
        <v>25383.768721229571</v>
      </c>
      <c r="DF7" s="135">
        <v>31205.525105567052</v>
      </c>
      <c r="DG7" s="135">
        <v>37705.278153451953</v>
      </c>
      <c r="DH7" s="135">
        <v>44051.369686380203</v>
      </c>
      <c r="DI7" s="135">
        <v>52009.438179896635</v>
      </c>
      <c r="DJ7" s="135">
        <v>61849.701875215855</v>
      </c>
      <c r="DK7" s="135">
        <v>73932.76189695661</v>
      </c>
      <c r="DL7" s="135">
        <v>89526.316201630267</v>
      </c>
      <c r="DM7" s="135">
        <v>110518.98308017127</v>
      </c>
      <c r="DN7" s="135">
        <v>139189.81369822889</v>
      </c>
      <c r="DO7" s="135">
        <v>179304.82403161802</v>
      </c>
      <c r="DP7" s="135">
        <v>237235.30536611457</v>
      </c>
      <c r="DQ7" s="135">
        <v>324056.86731265433</v>
      </c>
    </row>
    <row r="8" spans="1:121" s="123" customFormat="1">
      <c r="A8" s="138" t="s">
        <v>129</v>
      </c>
      <c r="B8" s="107"/>
      <c r="C8" s="136" t="s">
        <v>1579</v>
      </c>
      <c r="D8" s="147"/>
      <c r="E8" s="107"/>
      <c r="F8" s="518">
        <f>-F14-F13+F17-F15+F16-F9-F11</f>
        <v>9.0549000000000004E-2</v>
      </c>
      <c r="G8" s="518">
        <f>-G14-G13+G17-G15+G16-G9-G11</f>
        <v>9.9422067810535392E-2</v>
      </c>
      <c r="H8" s="518">
        <f>-H14-H13+H17-H15+H16-H9-H11</f>
        <v>0.10651469196915622</v>
      </c>
      <c r="I8" s="518">
        <f t="shared" ref="I8:BJ8" si="13">-I14-I13+I17-I15+I16-I9-I11</f>
        <v>0.10993486669063568</v>
      </c>
      <c r="J8" s="518">
        <f t="shared" si="13"/>
        <v>0.10842769548416137</v>
      </c>
      <c r="K8" s="518">
        <f t="shared" si="13"/>
        <v>0.12589794410705563</v>
      </c>
      <c r="L8" s="518">
        <f t="shared" si="13"/>
        <v>0.13778136926651002</v>
      </c>
      <c r="M8" s="518">
        <f t="shared" si="13"/>
        <v>0.15309185228347774</v>
      </c>
      <c r="N8" s="518">
        <f t="shared" si="13"/>
        <v>0.16559067900657654</v>
      </c>
      <c r="O8" s="518">
        <f t="shared" si="13"/>
        <v>0.18363350666046138</v>
      </c>
      <c r="P8" s="518">
        <f t="shared" si="13"/>
        <v>0.18262333475112913</v>
      </c>
      <c r="Q8" s="518">
        <f t="shared" si="13"/>
        <v>0.22182519610881807</v>
      </c>
      <c r="R8" s="518">
        <f t="shared" si="13"/>
        <v>0.26074140204429619</v>
      </c>
      <c r="S8" s="518">
        <f t="shared" si="13"/>
        <v>0.3318591018104553</v>
      </c>
      <c r="T8" s="518">
        <f t="shared" si="13"/>
        <v>0.35222340561866761</v>
      </c>
      <c r="U8" s="518">
        <f t="shared" si="13"/>
        <v>0.3898834861373901</v>
      </c>
      <c r="V8" s="518">
        <f t="shared" si="13"/>
        <v>0.41881090283393851</v>
      </c>
      <c r="W8" s="518">
        <f t="shared" si="13"/>
        <v>0.43635808790206898</v>
      </c>
      <c r="X8" s="518">
        <f t="shared" si="13"/>
        <v>0.45647569614410399</v>
      </c>
      <c r="Y8" s="518">
        <f t="shared" si="13"/>
        <v>0.52662651372909552</v>
      </c>
      <c r="Z8" s="518">
        <f t="shared" si="13"/>
        <v>0.57467098550796492</v>
      </c>
      <c r="AA8" s="518">
        <f t="shared" si="13"/>
        <v>0.61833995403289799</v>
      </c>
      <c r="AB8" s="518">
        <f t="shared" si="13"/>
        <v>0.73316000160217243</v>
      </c>
      <c r="AC8" s="518">
        <f t="shared" si="13"/>
        <v>0.99330995704650871</v>
      </c>
      <c r="AD8" s="518">
        <f t="shared" si="13"/>
        <v>1.1308500101470949</v>
      </c>
      <c r="AE8" s="518">
        <f t="shared" si="13"/>
        <v>1.2182900196075437</v>
      </c>
      <c r="AF8" s="518">
        <f t="shared" si="13"/>
        <v>1.2342100502014159</v>
      </c>
      <c r="AG8" s="518">
        <f t="shared" si="13"/>
        <v>1.3428900016021728</v>
      </c>
      <c r="AH8" s="518">
        <f t="shared" si="13"/>
        <v>1.4317399742126466</v>
      </c>
      <c r="AI8" s="518">
        <f t="shared" si="13"/>
        <v>1.4841500000762933</v>
      </c>
      <c r="AJ8" s="518">
        <f t="shared" si="13"/>
        <v>1.495370033340454</v>
      </c>
      <c r="AK8" s="518">
        <f t="shared" si="13"/>
        <v>1.3549399931335449</v>
      </c>
      <c r="AL8" s="518">
        <f t="shared" si="13"/>
        <v>1.4157799874114989</v>
      </c>
      <c r="AM8" s="518">
        <f t="shared" si="13"/>
        <v>1.8361999868392942</v>
      </c>
      <c r="AN8" s="518">
        <f t="shared" si="13"/>
        <v>2.3359799877929683</v>
      </c>
      <c r="AO8" s="518">
        <f t="shared" si="13"/>
        <v>3.2839699942779541</v>
      </c>
      <c r="AP8" s="518">
        <f t="shared" si="13"/>
        <v>4.3914</v>
      </c>
      <c r="AQ8" s="518">
        <f t="shared" si="13"/>
        <v>5.9449299999999994</v>
      </c>
      <c r="AR8" s="518">
        <f t="shared" si="13"/>
        <v>8.4650200000000027</v>
      </c>
      <c r="AS8" s="518">
        <f t="shared" si="13"/>
        <v>15.476969999999994</v>
      </c>
      <c r="AT8" s="123">
        <f t="shared" si="13"/>
        <v>65.411730000000006</v>
      </c>
      <c r="AU8" s="123">
        <f t="shared" si="13"/>
        <v>178.59283750000003</v>
      </c>
      <c r="AV8" s="123">
        <f t="shared" si="13"/>
        <v>199.38542950000004</v>
      </c>
      <c r="AW8" s="123">
        <f t="shared" si="13"/>
        <v>207.496173984</v>
      </c>
      <c r="AX8" s="123">
        <f t="shared" si="13"/>
        <v>270.868640939008</v>
      </c>
      <c r="AY8" s="123">
        <f t="shared" si="13"/>
        <v>490.2879585508756</v>
      </c>
      <c r="AZ8" s="123">
        <f t="shared" si="13"/>
        <v>713.49801435983352</v>
      </c>
      <c r="BA8" s="123">
        <f t="shared" si="13"/>
        <v>855.74194846806483</v>
      </c>
      <c r="BB8" s="123">
        <f t="shared" si="13"/>
        <v>1560.4325896393043</v>
      </c>
      <c r="BC8" s="123">
        <f t="shared" si="13"/>
        <v>2133.1689999999999</v>
      </c>
      <c r="BD8" s="123">
        <f t="shared" si="13"/>
        <v>2513.5</v>
      </c>
      <c r="BE8" s="123">
        <f t="shared" si="13"/>
        <v>2875</v>
      </c>
      <c r="BF8" s="123">
        <f t="shared" si="13"/>
        <v>2978</v>
      </c>
      <c r="BG8" s="123">
        <f t="shared" si="13"/>
        <v>3324.7</v>
      </c>
      <c r="BH8" s="123">
        <f t="shared" si="13"/>
        <v>4082.6000000000004</v>
      </c>
      <c r="BI8" s="123">
        <f t="shared" si="13"/>
        <v>4079.2999999999997</v>
      </c>
      <c r="BJ8" s="123">
        <f t="shared" si="13"/>
        <v>4517.6000000000004</v>
      </c>
      <c r="BK8" s="123">
        <f t="shared" ref="BK8:BS8" si="14">-BK14-BK13+BK17-BK15+BK16-BK9-BK11</f>
        <v>5711.6042819074992</v>
      </c>
      <c r="BL8" s="123">
        <f t="shared" si="14"/>
        <v>7413.2536866278733</v>
      </c>
      <c r="BM8" s="123">
        <f t="shared" si="14"/>
        <v>9258.5408442938042</v>
      </c>
      <c r="BN8" s="123">
        <f t="shared" si="14"/>
        <v>9587.2454233897934</v>
      </c>
      <c r="BO8" s="123">
        <f t="shared" si="14"/>
        <v>9383.5884053236878</v>
      </c>
      <c r="BP8" s="123">
        <f t="shared" si="14"/>
        <v>8822.3872089026718</v>
      </c>
      <c r="BQ8" s="123">
        <f t="shared" si="14"/>
        <v>11388.346391039542</v>
      </c>
      <c r="BR8" s="123">
        <f t="shared" si="14"/>
        <v>13646.83360875759</v>
      </c>
      <c r="BS8" s="123">
        <f t="shared" si="14"/>
        <v>13482.317737065441</v>
      </c>
      <c r="BT8" s="109">
        <f ca="1">BS8*BT20/BS20*(1+Assumptions!BT43/100)</f>
        <v>14828.977656113057</v>
      </c>
      <c r="BU8" s="109">
        <f ca="1">BT8*BU20/BT20*(1+Assumptions!BU43/100)</f>
        <v>20350.358453916841</v>
      </c>
      <c r="BV8" s="109">
        <f ca="1">BU8*BV20/BU20*(1+Assumptions!BV43/100)</f>
        <v>26996.222832043335</v>
      </c>
      <c r="BW8" s="109">
        <f ca="1">BV8*BW20/BV20*(1+Assumptions!BW43/100)</f>
        <v>33241.626398298919</v>
      </c>
      <c r="BX8" s="109">
        <f ca="1">BW8*BX20/BW20*(1+Assumptions!BX43/100)</f>
        <v>38548.658204656487</v>
      </c>
      <c r="BY8" s="109">
        <f ca="1">BX8*BY20/BX20*(1+Assumptions!BY43/100)</f>
        <v>44811.208463421572</v>
      </c>
      <c r="BZ8" s="109">
        <f ca="1">BY8*BZ20/BY20*(1+Assumptions!BZ43/100)</f>
        <v>52778.01723772836</v>
      </c>
      <c r="CA8" s="109">
        <f ca="1">BZ8*CA20/BZ20*(1+Assumptions!CA43/100)</f>
        <v>62791.818763044292</v>
      </c>
      <c r="CB8" s="109">
        <f ca="1">CA8*CB20/CA20*(1+Assumptions!CB43/100)</f>
        <v>75587.727983376986</v>
      </c>
      <c r="CC8" s="109">
        <f ca="1">CB8*CC20/CB20*(1+Assumptions!CC43/100)</f>
        <v>92267.333720750277</v>
      </c>
      <c r="CD8" s="109">
        <f ca="1">CC8*CD20/CC20*(1+Assumptions!CD43/100)</f>
        <v>114526.43442158427</v>
      </c>
      <c r="CE8" s="109">
        <f ca="1">CD8*CE20/CD20*(1+Assumptions!CE43/100)</f>
        <v>145054.8305034088</v>
      </c>
      <c r="CF8" s="109">
        <f ca="1">CE8*CF20/CE20*(1+Assumptions!CF43/100)</f>
        <v>188263.30966860917</v>
      </c>
      <c r="CG8" s="109">
        <f ca="1">CF8*CG20/CF20*(1+Assumptions!CG43/100)</f>
        <v>251656.7398781197</v>
      </c>
      <c r="CI8" s="106">
        <f t="shared" si="7"/>
        <v>0</v>
      </c>
      <c r="CJ8" s="106">
        <f t="shared" si="7"/>
        <v>0</v>
      </c>
      <c r="CK8" s="106">
        <f t="shared" si="7"/>
        <v>0</v>
      </c>
      <c r="CL8" s="106">
        <f t="shared" ca="1" si="7"/>
        <v>0</v>
      </c>
      <c r="CM8" s="106">
        <f t="shared" ca="1" si="7"/>
        <v>482.22417209691775</v>
      </c>
      <c r="CN8" s="106">
        <f t="shared" ca="1" si="7"/>
        <v>1312.3300444762572</v>
      </c>
      <c r="CO8" s="106">
        <f t="shared" ca="1" si="7"/>
        <v>1466.9493213370224</v>
      </c>
      <c r="CP8" s="106">
        <f t="shared" ca="1" si="7"/>
        <v>1110.482103417984</v>
      </c>
      <c r="CQ8" s="106">
        <f t="shared" ca="1" si="7"/>
        <v>426.72886711002502</v>
      </c>
      <c r="CR8" s="106">
        <f t="shared" ca="1" si="7"/>
        <v>-231.2047253144774</v>
      </c>
      <c r="CS8" s="106">
        <f t="shared" ca="1" si="8"/>
        <v>-811.97046159330057</v>
      </c>
      <c r="CT8" s="106">
        <f t="shared" ca="1" si="8"/>
        <v>-1776.5669052123121</v>
      </c>
      <c r="CU8" s="106">
        <f t="shared" ca="1" si="8"/>
        <v>-3622.8560811272182</v>
      </c>
      <c r="CV8" s="106">
        <f t="shared" ca="1" si="9"/>
        <v>-6710.6445702207129</v>
      </c>
      <c r="CW8" s="106">
        <f t="shared" ca="1" si="10"/>
        <v>-11710.377491277235</v>
      </c>
      <c r="CX8" s="106">
        <f t="shared" ca="1" si="11"/>
        <v>-19900.627382632083</v>
      </c>
      <c r="CY8" s="106">
        <f t="shared" ca="1" si="12"/>
        <v>-33681.14648819287</v>
      </c>
      <c r="CZ8" s="134"/>
      <c r="DA8" s="135">
        <v>11388.346391039542</v>
      </c>
      <c r="DB8" s="135">
        <v>13646.83360875759</v>
      </c>
      <c r="DC8" s="135">
        <v>13482.317737065441</v>
      </c>
      <c r="DD8" s="135">
        <v>14828.977656113057</v>
      </c>
      <c r="DE8" s="135">
        <v>19868.134281819923</v>
      </c>
      <c r="DF8" s="135">
        <v>25683.892787567078</v>
      </c>
      <c r="DG8" s="135">
        <v>31774.677076961896</v>
      </c>
      <c r="DH8" s="135">
        <v>37438.176101238503</v>
      </c>
      <c r="DI8" s="135">
        <v>44384.479596311547</v>
      </c>
      <c r="DJ8" s="135">
        <v>53009.221963042837</v>
      </c>
      <c r="DK8" s="135">
        <v>63603.789224637592</v>
      </c>
      <c r="DL8" s="135">
        <v>77364.294888589298</v>
      </c>
      <c r="DM8" s="135">
        <v>95890.189801877495</v>
      </c>
      <c r="DN8" s="135">
        <v>121237.07899180498</v>
      </c>
      <c r="DO8" s="135">
        <v>156765.20799468603</v>
      </c>
      <c r="DP8" s="135">
        <v>208163.93705124126</v>
      </c>
      <c r="DQ8" s="135">
        <v>285337.88636631257</v>
      </c>
    </row>
    <row r="9" spans="1:121" s="123" customFormat="1">
      <c r="A9" s="138" t="s">
        <v>130</v>
      </c>
      <c r="B9" s="107"/>
      <c r="C9" s="136" t="s">
        <v>1579</v>
      </c>
      <c r="D9" s="147"/>
      <c r="E9" s="107"/>
      <c r="F9" s="513">
        <f>SOURCE!F21</f>
        <v>2.86E-2</v>
      </c>
      <c r="G9" s="513">
        <f>SOURCE!G21</f>
        <v>3.4000000000000002E-2</v>
      </c>
      <c r="H9" s="513">
        <f>SOURCE!H21</f>
        <v>3.0634931087493898E-2</v>
      </c>
      <c r="I9" s="513">
        <f>SOURCE!I21</f>
        <v>3.6065133094787594E-2</v>
      </c>
      <c r="J9" s="513">
        <f>SOURCE!J21</f>
        <v>4.2442305564880371E-2</v>
      </c>
      <c r="K9" s="513">
        <f>SOURCE!K21</f>
        <v>4.1992053985595704E-2</v>
      </c>
      <c r="L9" s="513">
        <f>SOURCE!L21</f>
        <v>4.8828636169433587E-2</v>
      </c>
      <c r="M9" s="513">
        <f>SOURCE!M21</f>
        <v>5.6158151626586911E-2</v>
      </c>
      <c r="N9" s="513">
        <f>SOURCE!N21</f>
        <v>6.2289319992065426E-2</v>
      </c>
      <c r="O9" s="513">
        <f>SOURCE!O21</f>
        <v>6.2046493530273437E-2</v>
      </c>
      <c r="P9" s="513">
        <f>SOURCE!P21</f>
        <v>6.7086669921875008E-2</v>
      </c>
      <c r="Q9" s="513">
        <f>SOURCE!Q21</f>
        <v>6.9184797286987301E-2</v>
      </c>
      <c r="R9" s="513">
        <f>SOURCE!R21</f>
        <v>7.7148601531982414E-2</v>
      </c>
      <c r="S9" s="513">
        <f>SOURCE!S21</f>
        <v>8.8830898284912113E-2</v>
      </c>
      <c r="T9" s="513">
        <f>SOURCE!T21</f>
        <v>9.7146602630615225E-2</v>
      </c>
      <c r="U9" s="513">
        <f>SOURCE!U21</f>
        <v>9.9026500701904302E-2</v>
      </c>
      <c r="V9" s="513">
        <f>SOURCE!V21</f>
        <v>0.10388909912109376</v>
      </c>
      <c r="W9" s="513">
        <f>SOURCE!W21</f>
        <v>0.12342189979553223</v>
      </c>
      <c r="X9" s="513">
        <f>SOURCE!X21</f>
        <v>0.10778430175781251</v>
      </c>
      <c r="Y9" s="513">
        <f>SOURCE!Y21</f>
        <v>0.11348349761962889</v>
      </c>
      <c r="Z9" s="513">
        <f>SOURCE!Z21</f>
        <v>0.14802899551391602</v>
      </c>
      <c r="AA9" s="513">
        <f>SOURCE!AA21</f>
        <v>0.18013999176025391</v>
      </c>
      <c r="AB9" s="513">
        <f>SOURCE!AB21</f>
        <v>0.21087000274658202</v>
      </c>
      <c r="AC9" s="513">
        <f>SOURCE!AC21</f>
        <v>0.3111499938964844</v>
      </c>
      <c r="AD9" s="513">
        <f>SOURCE!AD21</f>
        <v>0.33869000244140623</v>
      </c>
      <c r="AE9" s="513">
        <f>SOURCE!AE21</f>
        <v>0.31904998779296878</v>
      </c>
      <c r="AF9" s="513">
        <f>SOURCE!AF21</f>
        <v>0.34730999755859376</v>
      </c>
      <c r="AG9" s="513">
        <f>SOURCE!AG21</f>
        <v>0.46336000061035154</v>
      </c>
      <c r="AH9" s="513">
        <f>SOURCE!AH21</f>
        <v>0.53345999145507816</v>
      </c>
      <c r="AI9" s="513">
        <f>SOURCE!AI21</f>
        <v>0.58365000915527343</v>
      </c>
      <c r="AJ9" s="513">
        <f>SOURCE!AJ21</f>
        <v>0.56750000762939457</v>
      </c>
      <c r="AK9" s="513">
        <f>SOURCE!AK21</f>
        <v>0.64300999450683594</v>
      </c>
      <c r="AL9" s="513">
        <f>SOURCE!AL21</f>
        <v>0.72815999984741209</v>
      </c>
      <c r="AM9" s="513">
        <f>SOURCE!AM21</f>
        <v>0.74</v>
      </c>
      <c r="AN9" s="513">
        <f>SOURCE!AN21</f>
        <v>0.84099999999999997</v>
      </c>
      <c r="AO9" s="513">
        <f>SOURCE!AO21</f>
        <v>0.78099999999999992</v>
      </c>
      <c r="AP9" s="513">
        <f>SOURCE!AP21</f>
        <v>0.76312000000000002</v>
      </c>
      <c r="AQ9" s="513">
        <f>SOURCE!AQ21</f>
        <v>1.0729600000000001</v>
      </c>
      <c r="AR9" s="513">
        <f>SOURCE!AR21</f>
        <v>1.2229999999999999</v>
      </c>
      <c r="AS9" s="513">
        <f>SOURCE!AS21</f>
        <v>1.4617900000000001</v>
      </c>
      <c r="AT9" s="509">
        <f>SOURCE!AT21</f>
        <v>3.7665399999999991</v>
      </c>
      <c r="AU9" s="509">
        <f>SOURCE!AU21</f>
        <v>39.485110000000006</v>
      </c>
      <c r="AV9" s="509">
        <f>SOURCE!AV21</f>
        <v>48.689217999999997</v>
      </c>
      <c r="AW9" s="509">
        <f>SOURCE!AW21</f>
        <v>56.940826016000003</v>
      </c>
      <c r="AX9" s="509">
        <f>SOURCE!AX21</f>
        <v>139.16585906099198</v>
      </c>
      <c r="AY9" s="509">
        <f>SOURCE!AY21</f>
        <v>193.15064144912449</v>
      </c>
      <c r="AZ9" s="509">
        <f>SOURCE!AZ21</f>
        <v>402.09268564016622</v>
      </c>
      <c r="BA9" s="509">
        <f>SOURCE!BA21</f>
        <v>513.71405153193507</v>
      </c>
      <c r="BB9" s="509">
        <f>SOURCE!BB21</f>
        <v>704.08671036069563</v>
      </c>
      <c r="BC9" s="140">
        <f>SOURCE!BC21</f>
        <v>554</v>
      </c>
      <c r="BD9" s="140">
        <f>SOURCE!BD21</f>
        <v>504</v>
      </c>
      <c r="BE9" s="140">
        <f>SOURCE!BE21</f>
        <v>609</v>
      </c>
      <c r="BF9" s="140">
        <f>SOURCE!BF21</f>
        <v>913</v>
      </c>
      <c r="BG9" s="140">
        <f>SOURCE!BG21</f>
        <v>816</v>
      </c>
      <c r="BH9" s="140">
        <f>SOURCE!BH21</f>
        <v>1057</v>
      </c>
      <c r="BI9" s="140">
        <f>SOURCE!BI21</f>
        <v>1402</v>
      </c>
      <c r="BJ9" s="140">
        <f>SOURCE!BJ21</f>
        <v>1598</v>
      </c>
      <c r="BK9" s="123">
        <f t="shared" ref="BK9:BP9" si="15">BK10+BK11</f>
        <v>1764.8999999999999</v>
      </c>
      <c r="BL9" s="123">
        <f t="shared" si="15"/>
        <v>2396.1</v>
      </c>
      <c r="BM9" s="123">
        <f t="shared" si="15"/>
        <v>2078.6999999999998</v>
      </c>
      <c r="BN9" s="123">
        <f t="shared" si="15"/>
        <v>2609.4</v>
      </c>
      <c r="BO9" s="123">
        <f t="shared" si="15"/>
        <v>2841.9</v>
      </c>
      <c r="BP9" s="123">
        <f t="shared" si="15"/>
        <v>2424.1</v>
      </c>
      <c r="BQ9" s="123">
        <f t="shared" ref="BQ9:CB9" si="16">BQ10+BQ11</f>
        <v>2646.6</v>
      </c>
      <c r="BR9" s="123">
        <f t="shared" si="16"/>
        <v>2126.1</v>
      </c>
      <c r="BS9" s="123">
        <f t="shared" si="16"/>
        <v>4445.1000000000004</v>
      </c>
      <c r="BT9" s="123">
        <f t="shared" si="16"/>
        <v>4216.1000000000004</v>
      </c>
      <c r="BU9" s="123">
        <f t="shared" ca="1" si="16"/>
        <v>5711.3795575291515</v>
      </c>
      <c r="BV9" s="123">
        <f t="shared" ca="1" si="16"/>
        <v>5894.3797778876778</v>
      </c>
      <c r="BW9" s="123">
        <f t="shared" ca="1" si="16"/>
        <v>6257.8333890964095</v>
      </c>
      <c r="BX9" s="123">
        <f t="shared" ca="1" si="16"/>
        <v>6845.2121803745958</v>
      </c>
      <c r="BY9" s="123">
        <f t="shared" ca="1" si="16"/>
        <v>7728.5646917892045</v>
      </c>
      <c r="BZ9" s="123">
        <f t="shared" ca="1" si="16"/>
        <v>8819.1866068470645</v>
      </c>
      <c r="CA9" s="123">
        <f t="shared" ca="1" si="16"/>
        <v>10163.920414641543</v>
      </c>
      <c r="CB9" s="123">
        <f t="shared" ca="1" si="16"/>
        <v>11857.219504199747</v>
      </c>
      <c r="CC9" s="123">
        <f ca="1">CC10+CC11</f>
        <v>14032.007282152639</v>
      </c>
      <c r="CD9" s="123">
        <f ca="1">CD10+CD11</f>
        <v>16892.149295103896</v>
      </c>
      <c r="CE9" s="123">
        <f ca="1">CE10+CE11</f>
        <v>20757.820797442546</v>
      </c>
      <c r="CF9" s="123">
        <f ca="1">CF10+CF11</f>
        <v>26148.097701973129</v>
      </c>
      <c r="CG9" s="123">
        <f ca="1">CG10+CG11</f>
        <v>33935.177026011086</v>
      </c>
      <c r="CH9" s="141"/>
      <c r="CI9" s="106">
        <f t="shared" ref="CI9:CI16" si="17">BQ9-DA9</f>
        <v>0</v>
      </c>
      <c r="CJ9" s="106">
        <f t="shared" ref="CJ9:CU10" si="18">BR9-DB9</f>
        <v>0</v>
      </c>
      <c r="CK9" s="106">
        <f t="shared" si="18"/>
        <v>0</v>
      </c>
      <c r="CL9" s="106">
        <f t="shared" si="18"/>
        <v>0</v>
      </c>
      <c r="CM9" s="106">
        <f t="shared" ca="1" si="18"/>
        <v>195.74511811950288</v>
      </c>
      <c r="CN9" s="106">
        <f t="shared" ca="1" si="18"/>
        <v>372.74745988771429</v>
      </c>
      <c r="CO9" s="106">
        <f t="shared" ca="1" si="18"/>
        <v>327.23231260636021</v>
      </c>
      <c r="CP9" s="106">
        <f t="shared" ca="1" si="18"/>
        <v>232.01859523293024</v>
      </c>
      <c r="CQ9" s="106">
        <f t="shared" ca="1" si="18"/>
        <v>103.6061082041233</v>
      </c>
      <c r="CR9" s="106">
        <f t="shared" ca="1" si="18"/>
        <v>-21.293305325971232</v>
      </c>
      <c r="CS9" s="106">
        <f t="shared" ca="1" si="18"/>
        <v>-165.05225767744014</v>
      </c>
      <c r="CT9" s="106">
        <f t="shared" ca="1" si="18"/>
        <v>-304.80180884115725</v>
      </c>
      <c r="CU9" s="106">
        <f t="shared" ca="1" si="18"/>
        <v>-596.78599614114864</v>
      </c>
      <c r="CV9" s="106">
        <f t="shared" ca="1" si="9"/>
        <v>-1060.5854113199457</v>
      </c>
      <c r="CW9" s="106">
        <f t="shared" ca="1" si="10"/>
        <v>-1781.7952394892127</v>
      </c>
      <c r="CX9" s="106">
        <f t="shared" ca="1" si="11"/>
        <v>-2923.2706129003418</v>
      </c>
      <c r="CY9" s="106">
        <f t="shared" ca="1" si="12"/>
        <v>-4783.8039203307417</v>
      </c>
      <c r="CZ9" s="134"/>
      <c r="DA9" s="135">
        <v>2646.6</v>
      </c>
      <c r="DB9" s="135">
        <v>2126.1</v>
      </c>
      <c r="DC9" s="135">
        <v>4445.1000000000004</v>
      </c>
      <c r="DD9" s="135">
        <v>4216.1000000000004</v>
      </c>
      <c r="DE9" s="135">
        <v>5515.6344394096486</v>
      </c>
      <c r="DF9" s="135">
        <v>5521.6323179999636</v>
      </c>
      <c r="DG9" s="135">
        <v>5930.6010764900493</v>
      </c>
      <c r="DH9" s="135">
        <v>6613.1935851416656</v>
      </c>
      <c r="DI9" s="135">
        <v>7624.9585835850812</v>
      </c>
      <c r="DJ9" s="135">
        <v>8840.4799121730357</v>
      </c>
      <c r="DK9" s="135">
        <v>10328.972672318983</v>
      </c>
      <c r="DL9" s="135">
        <v>12162.021313040905</v>
      </c>
      <c r="DM9" s="135">
        <v>14628.793278293788</v>
      </c>
      <c r="DN9" s="135">
        <v>17952.734706423842</v>
      </c>
      <c r="DO9" s="135">
        <v>22539.616036931759</v>
      </c>
      <c r="DP9" s="135">
        <v>29071.368314873471</v>
      </c>
      <c r="DQ9" s="135">
        <v>38718.980946341828</v>
      </c>
    </row>
    <row r="10" spans="1:121" s="123" customFormat="1">
      <c r="A10" s="142" t="s">
        <v>1850</v>
      </c>
      <c r="B10" s="107"/>
      <c r="C10" s="136" t="s">
        <v>1579</v>
      </c>
      <c r="D10" s="147"/>
      <c r="E10" s="107"/>
      <c r="F10" s="518"/>
      <c r="G10" s="518"/>
      <c r="H10" s="518"/>
      <c r="I10" s="518"/>
      <c r="J10" s="518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  <c r="AA10" s="518"/>
      <c r="AB10" s="518"/>
      <c r="AC10" s="518"/>
      <c r="AD10" s="518"/>
      <c r="AE10" s="518"/>
      <c r="AF10" s="518"/>
      <c r="AG10" s="518"/>
      <c r="AH10" s="518"/>
      <c r="AI10" s="518"/>
      <c r="AJ10" s="518"/>
      <c r="AK10" s="518"/>
      <c r="AL10" s="518"/>
      <c r="AM10" s="518"/>
      <c r="AN10" s="518"/>
      <c r="AO10" s="518"/>
      <c r="AP10" s="518"/>
      <c r="AQ10" s="518"/>
      <c r="AR10" s="518"/>
      <c r="AS10" s="518"/>
      <c r="BF10" s="123">
        <f>BF90+BF91</f>
        <v>1019.7</v>
      </c>
      <c r="BG10" s="123">
        <f>BG90+BG91</f>
        <v>1173.2</v>
      </c>
      <c r="BH10" s="123">
        <f>BH90+BH91</f>
        <v>1246.5</v>
      </c>
      <c r="BI10" s="123">
        <f>BI90+BI91</f>
        <v>1619.9</v>
      </c>
      <c r="BJ10" s="123">
        <f>BJ90+BJ91</f>
        <v>1763.9</v>
      </c>
      <c r="BK10" s="123">
        <f t="shared" ref="BK10:BP10" si="19">BK90+BK91</f>
        <v>1930.8</v>
      </c>
      <c r="BL10" s="123">
        <f t="shared" si="19"/>
        <v>2562</v>
      </c>
      <c r="BM10" s="123">
        <f t="shared" si="19"/>
        <v>2244.6</v>
      </c>
      <c r="BN10" s="123">
        <f t="shared" si="19"/>
        <v>2775.3</v>
      </c>
      <c r="BO10" s="123">
        <f t="shared" si="19"/>
        <v>3007.8</v>
      </c>
      <c r="BP10" s="123">
        <f t="shared" si="19"/>
        <v>2590</v>
      </c>
      <c r="BQ10" s="123">
        <f t="shared" ref="BQ10:CB10" si="20">BQ90+BQ91</f>
        <v>2812.5</v>
      </c>
      <c r="BR10" s="123">
        <f t="shared" si="20"/>
        <v>2292</v>
      </c>
      <c r="BS10" s="123">
        <f t="shared" si="20"/>
        <v>4611</v>
      </c>
      <c r="BT10" s="123">
        <f t="shared" si="20"/>
        <v>4382</v>
      </c>
      <c r="BU10" s="123">
        <f t="shared" ca="1" si="20"/>
        <v>5877.279557529152</v>
      </c>
      <c r="BV10" s="123">
        <f t="shared" ca="1" si="20"/>
        <v>6060.2797778876775</v>
      </c>
      <c r="BW10" s="123">
        <f t="shared" ca="1" si="20"/>
        <v>6423.7333890964092</v>
      </c>
      <c r="BX10" s="123">
        <f t="shared" ca="1" si="20"/>
        <v>7011.1121803745955</v>
      </c>
      <c r="BY10" s="123">
        <f t="shared" ca="1" si="20"/>
        <v>7894.464691789206</v>
      </c>
      <c r="BZ10" s="123">
        <f t="shared" ca="1" si="20"/>
        <v>8985.0866068470677</v>
      </c>
      <c r="CA10" s="123">
        <f t="shared" ca="1" si="20"/>
        <v>10329.820414641537</v>
      </c>
      <c r="CB10" s="123">
        <f t="shared" ca="1" si="20"/>
        <v>12023.119504199738</v>
      </c>
      <c r="CC10" s="123">
        <f ca="1">CC90+CC91</f>
        <v>14197.907282152664</v>
      </c>
      <c r="CD10" s="123">
        <f ca="1">CD90+CD91</f>
        <v>17058.049295103905</v>
      </c>
      <c r="CE10" s="123">
        <f ca="1">CE90+CE91</f>
        <v>20923.720797442489</v>
      </c>
      <c r="CF10" s="123">
        <f ca="1">CF90+CF91</f>
        <v>26313.997701973181</v>
      </c>
      <c r="CG10" s="123">
        <f ca="1">CG90+CG91</f>
        <v>34101.077026011102</v>
      </c>
      <c r="CH10" s="141"/>
      <c r="CI10" s="106">
        <f t="shared" si="17"/>
        <v>0</v>
      </c>
      <c r="CJ10" s="106">
        <f t="shared" si="18"/>
        <v>0</v>
      </c>
      <c r="CK10" s="106">
        <f t="shared" si="18"/>
        <v>0</v>
      </c>
      <c r="CL10" s="106">
        <f t="shared" si="18"/>
        <v>0</v>
      </c>
      <c r="CM10" s="106">
        <f t="shared" ca="1" si="18"/>
        <v>195.74511811950379</v>
      </c>
      <c r="CN10" s="106">
        <f t="shared" ca="1" si="18"/>
        <v>372.74745988771247</v>
      </c>
      <c r="CO10" s="106">
        <f t="shared" ca="1" si="18"/>
        <v>327.23231260635839</v>
      </c>
      <c r="CP10" s="106">
        <f t="shared" ca="1" si="18"/>
        <v>232.01859523292842</v>
      </c>
      <c r="CQ10" s="106">
        <f t="shared" ca="1" si="18"/>
        <v>103.60610820411148</v>
      </c>
      <c r="CR10" s="106">
        <f t="shared" ca="1" si="18"/>
        <v>-21.293305325978508</v>
      </c>
      <c r="CS10" s="106">
        <f t="shared" ca="1" si="18"/>
        <v>-165.0522576774456</v>
      </c>
      <c r="CT10" s="106">
        <f t="shared" ca="1" si="18"/>
        <v>-304.80180884116999</v>
      </c>
      <c r="CU10" s="106">
        <f t="shared" ca="1" si="18"/>
        <v>-596.78599614114501</v>
      </c>
      <c r="CV10" s="106">
        <f t="shared" ca="1" si="9"/>
        <v>-1060.5854113199202</v>
      </c>
      <c r="CW10" s="106">
        <f t="shared" ca="1" si="10"/>
        <v>-1781.7952394892418</v>
      </c>
      <c r="CX10" s="106">
        <f t="shared" ca="1" si="11"/>
        <v>-2923.2706129003564</v>
      </c>
      <c r="CY10" s="106">
        <f t="shared" ca="1" si="12"/>
        <v>-4783.8039203307126</v>
      </c>
      <c r="CZ10" s="134"/>
      <c r="DA10" s="135">
        <v>2812.5</v>
      </c>
      <c r="DB10" s="135">
        <v>2292</v>
      </c>
      <c r="DC10" s="135">
        <v>4611</v>
      </c>
      <c r="DD10" s="135">
        <v>4382</v>
      </c>
      <c r="DE10" s="135">
        <v>5681.5344394096483</v>
      </c>
      <c r="DF10" s="135">
        <v>5687.532317999965</v>
      </c>
      <c r="DG10" s="135">
        <v>6096.5010764900508</v>
      </c>
      <c r="DH10" s="135">
        <v>6779.0935851416671</v>
      </c>
      <c r="DI10" s="135">
        <v>7790.8585835850945</v>
      </c>
      <c r="DJ10" s="135">
        <v>9006.3799121730463</v>
      </c>
      <c r="DK10" s="135">
        <v>10494.872672318983</v>
      </c>
      <c r="DL10" s="135">
        <v>12327.921313040908</v>
      </c>
      <c r="DM10" s="135">
        <v>14794.693278293809</v>
      </c>
      <c r="DN10" s="135">
        <v>18118.634706423825</v>
      </c>
      <c r="DO10" s="135">
        <v>22705.516036931731</v>
      </c>
      <c r="DP10" s="135">
        <v>29237.268314873538</v>
      </c>
      <c r="DQ10" s="135">
        <v>38884.880946341815</v>
      </c>
    </row>
    <row r="11" spans="1:121" s="123" customFormat="1">
      <c r="A11" s="403" t="s">
        <v>135</v>
      </c>
      <c r="B11" s="141"/>
      <c r="C11" s="141" t="s">
        <v>1579</v>
      </c>
      <c r="D11" s="147"/>
      <c r="E11" s="107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  <c r="AC11" s="518"/>
      <c r="AD11" s="518"/>
      <c r="AE11" s="518"/>
      <c r="AF11" s="518"/>
      <c r="AG11" s="518"/>
      <c r="AH11" s="518"/>
      <c r="AI11" s="518"/>
      <c r="AJ11" s="518"/>
      <c r="AK11" s="518"/>
      <c r="AL11" s="518"/>
      <c r="AM11" s="518"/>
      <c r="AN11" s="518"/>
      <c r="AO11" s="518"/>
      <c r="AP11" s="518"/>
      <c r="AQ11" s="518"/>
      <c r="AR11" s="518"/>
      <c r="AS11" s="518"/>
      <c r="BF11" s="123">
        <f>BF9-BF10</f>
        <v>-106.70000000000005</v>
      </c>
      <c r="BG11" s="123">
        <f>BG9-BG10</f>
        <v>-357.20000000000005</v>
      </c>
      <c r="BH11" s="123">
        <f>BH9-BH10</f>
        <v>-189.5</v>
      </c>
      <c r="BI11" s="123">
        <f>BI9-BI10</f>
        <v>-217.90000000000009</v>
      </c>
      <c r="BJ11" s="123">
        <f>BJ9-BJ10</f>
        <v>-165.90000000000009</v>
      </c>
      <c r="BK11" s="109">
        <f t="shared" ref="BK11:BQ11" si="21">BJ11</f>
        <v>-165.90000000000009</v>
      </c>
      <c r="BL11" s="109">
        <f t="shared" si="21"/>
        <v>-165.90000000000009</v>
      </c>
      <c r="BM11" s="109">
        <f t="shared" si="21"/>
        <v>-165.90000000000009</v>
      </c>
      <c r="BN11" s="109">
        <f t="shared" si="21"/>
        <v>-165.90000000000009</v>
      </c>
      <c r="BO11" s="109">
        <f t="shared" si="21"/>
        <v>-165.90000000000009</v>
      </c>
      <c r="BP11" s="109">
        <f t="shared" si="21"/>
        <v>-165.90000000000009</v>
      </c>
      <c r="BQ11" s="109">
        <f t="shared" si="21"/>
        <v>-165.90000000000009</v>
      </c>
      <c r="BR11" s="109">
        <f t="shared" ref="BR11:BZ11" si="22">BQ11</f>
        <v>-165.90000000000009</v>
      </c>
      <c r="BS11" s="109">
        <f t="shared" si="22"/>
        <v>-165.90000000000009</v>
      </c>
      <c r="BT11" s="109">
        <f t="shared" si="22"/>
        <v>-165.90000000000009</v>
      </c>
      <c r="BU11" s="109">
        <f t="shared" si="22"/>
        <v>-165.90000000000009</v>
      </c>
      <c r="BV11" s="109">
        <f t="shared" si="22"/>
        <v>-165.90000000000009</v>
      </c>
      <c r="BW11" s="109">
        <f t="shared" si="22"/>
        <v>-165.90000000000009</v>
      </c>
      <c r="BX11" s="109">
        <f t="shared" si="22"/>
        <v>-165.90000000000009</v>
      </c>
      <c r="BY11" s="109">
        <f t="shared" si="22"/>
        <v>-165.90000000000009</v>
      </c>
      <c r="BZ11" s="109">
        <f t="shared" si="22"/>
        <v>-165.90000000000009</v>
      </c>
      <c r="CA11" s="109">
        <f t="shared" ref="CA11:CG11" si="23">BZ11</f>
        <v>-165.90000000000009</v>
      </c>
      <c r="CB11" s="109">
        <f t="shared" si="23"/>
        <v>-165.90000000000009</v>
      </c>
      <c r="CC11" s="109">
        <f t="shared" si="23"/>
        <v>-165.90000000000009</v>
      </c>
      <c r="CD11" s="109">
        <f t="shared" si="23"/>
        <v>-165.90000000000009</v>
      </c>
      <c r="CE11" s="109">
        <f t="shared" si="23"/>
        <v>-165.90000000000009</v>
      </c>
      <c r="CF11" s="109">
        <f t="shared" si="23"/>
        <v>-165.90000000000009</v>
      </c>
      <c r="CG11" s="109">
        <f t="shared" si="23"/>
        <v>-165.90000000000009</v>
      </c>
      <c r="CH11" s="141"/>
      <c r="CI11" s="106">
        <f t="shared" si="17"/>
        <v>0</v>
      </c>
      <c r="CJ11" s="106">
        <f t="shared" ref="CJ11:CU11" si="24">BR11-DB11</f>
        <v>0</v>
      </c>
      <c r="CK11" s="106">
        <f t="shared" si="24"/>
        <v>0</v>
      </c>
      <c r="CL11" s="106">
        <f t="shared" si="24"/>
        <v>0</v>
      </c>
      <c r="CM11" s="106">
        <f t="shared" si="24"/>
        <v>0</v>
      </c>
      <c r="CN11" s="106">
        <f t="shared" si="24"/>
        <v>0</v>
      </c>
      <c r="CO11" s="106">
        <f t="shared" si="24"/>
        <v>0</v>
      </c>
      <c r="CP11" s="106">
        <f t="shared" si="24"/>
        <v>0</v>
      </c>
      <c r="CQ11" s="106">
        <f t="shared" si="24"/>
        <v>0</v>
      </c>
      <c r="CR11" s="106">
        <f t="shared" si="24"/>
        <v>0</v>
      </c>
      <c r="CS11" s="106">
        <f t="shared" si="24"/>
        <v>0</v>
      </c>
      <c r="CT11" s="106">
        <f t="shared" si="24"/>
        <v>0</v>
      </c>
      <c r="CU11" s="106">
        <f t="shared" si="24"/>
        <v>0</v>
      </c>
      <c r="CV11" s="106">
        <f t="shared" si="9"/>
        <v>0</v>
      </c>
      <c r="CW11" s="106">
        <f t="shared" si="10"/>
        <v>0</v>
      </c>
      <c r="CX11" s="106">
        <f t="shared" si="11"/>
        <v>0</v>
      </c>
      <c r="CY11" s="106">
        <f t="shared" si="12"/>
        <v>0</v>
      </c>
      <c r="CZ11" s="134"/>
      <c r="DA11" s="135">
        <v>-165.90000000000009</v>
      </c>
      <c r="DB11" s="135">
        <v>-165.90000000000009</v>
      </c>
      <c r="DC11" s="135">
        <v>-165.90000000000009</v>
      </c>
      <c r="DD11" s="135">
        <v>-165.90000000000009</v>
      </c>
      <c r="DE11" s="135">
        <v>-165.90000000000009</v>
      </c>
      <c r="DF11" s="135">
        <v>-165.90000000000009</v>
      </c>
      <c r="DG11" s="135">
        <v>-165.90000000000009</v>
      </c>
      <c r="DH11" s="135">
        <v>-165.90000000000009</v>
      </c>
      <c r="DI11" s="135">
        <v>-165.90000000000009</v>
      </c>
      <c r="DJ11" s="135">
        <v>-165.90000000000009</v>
      </c>
      <c r="DK11" s="135">
        <v>-165.90000000000009</v>
      </c>
      <c r="DL11" s="135">
        <v>-165.90000000000009</v>
      </c>
      <c r="DM11" s="135">
        <v>-165.90000000000009</v>
      </c>
      <c r="DN11" s="135">
        <v>-165.90000000000009</v>
      </c>
      <c r="DO11" s="135">
        <v>-165.90000000000009</v>
      </c>
      <c r="DP11" s="135">
        <v>-165.90000000000009</v>
      </c>
      <c r="DQ11" s="135">
        <v>-165.90000000000009</v>
      </c>
    </row>
    <row r="12" spans="1:121" s="123" customFormat="1">
      <c r="A12" s="107" t="s">
        <v>964</v>
      </c>
      <c r="B12" s="107"/>
      <c r="C12" s="136" t="s">
        <v>1579</v>
      </c>
      <c r="D12" s="147"/>
      <c r="E12" s="107"/>
      <c r="F12" s="556">
        <f t="shared" ref="F12:BA12" si="25">F13+F14</f>
        <v>2.6600000000000002E-2</v>
      </c>
      <c r="G12" s="556">
        <f t="shared" si="25"/>
        <v>2.8000000000000001E-2</v>
      </c>
      <c r="H12" s="556">
        <f t="shared" si="25"/>
        <v>3.4800000667572023E-2</v>
      </c>
      <c r="I12" s="556">
        <f t="shared" si="25"/>
        <v>4.7399998664855954E-2</v>
      </c>
      <c r="J12" s="556">
        <f t="shared" si="25"/>
        <v>4.9400000572204589E-2</v>
      </c>
      <c r="K12" s="556">
        <f t="shared" si="25"/>
        <v>5.469999885559082E-2</v>
      </c>
      <c r="L12" s="556">
        <f t="shared" si="25"/>
        <v>6.5899997711181643E-2</v>
      </c>
      <c r="M12" s="556">
        <f t="shared" si="25"/>
        <v>6.6899997711181644E-2</v>
      </c>
      <c r="N12" s="556">
        <f t="shared" si="25"/>
        <v>7.0700000762939447E-2</v>
      </c>
      <c r="O12" s="556">
        <f t="shared" si="25"/>
        <v>7.7300001144409186E-2</v>
      </c>
      <c r="P12" s="556">
        <f t="shared" si="25"/>
        <v>0.1345999984741211</v>
      </c>
      <c r="Q12" s="556">
        <f t="shared" si="25"/>
        <v>0.14340000343322754</v>
      </c>
      <c r="R12" s="556">
        <f t="shared" si="25"/>
        <v>0.11779999923706055</v>
      </c>
      <c r="S12" s="556">
        <f t="shared" si="25"/>
        <v>0.10219999694824219</v>
      </c>
      <c r="T12" s="556">
        <f t="shared" si="25"/>
        <v>0.10070000076293946</v>
      </c>
      <c r="U12" s="556">
        <f t="shared" si="25"/>
        <v>9.3399997711181654E-2</v>
      </c>
      <c r="V12" s="556">
        <f t="shared" si="25"/>
        <v>0.1005999984741211</v>
      </c>
      <c r="W12" s="556">
        <f t="shared" si="25"/>
        <v>0.10539999961853028</v>
      </c>
      <c r="X12" s="556">
        <f t="shared" si="25"/>
        <v>0.13090000152587891</v>
      </c>
      <c r="Y12" s="556">
        <f t="shared" si="25"/>
        <v>0.15640000152587891</v>
      </c>
      <c r="Z12" s="556">
        <f t="shared" si="25"/>
        <v>0.24529999923706056</v>
      </c>
      <c r="AA12" s="556">
        <f t="shared" si="25"/>
        <v>0.34861001586914064</v>
      </c>
      <c r="AB12" s="556">
        <f t="shared" si="25"/>
        <v>0.28115999603271485</v>
      </c>
      <c r="AC12" s="556">
        <f t="shared" si="25"/>
        <v>0.3768100128173828</v>
      </c>
      <c r="AD12" s="556">
        <f t="shared" si="25"/>
        <v>0.35804998779296876</v>
      </c>
      <c r="AE12" s="556">
        <f t="shared" si="25"/>
        <v>0.33521000671386719</v>
      </c>
      <c r="AF12" s="556">
        <f t="shared" si="25"/>
        <v>0.42058000183105471</v>
      </c>
      <c r="AG12" s="556">
        <f t="shared" si="25"/>
        <v>0.55496998596191405</v>
      </c>
      <c r="AH12" s="556">
        <f t="shared" si="25"/>
        <v>0.5072999877929687</v>
      </c>
      <c r="AI12" s="556">
        <f t="shared" si="25"/>
        <v>0.27562998962402341</v>
      </c>
      <c r="AJ12" s="556">
        <f t="shared" si="25"/>
        <v>0.20390999603271487</v>
      </c>
      <c r="AK12" s="556">
        <f t="shared" si="25"/>
        <v>0.20188999938964841</v>
      </c>
      <c r="AL12" s="556">
        <f t="shared" si="25"/>
        <v>0.21384000015258786</v>
      </c>
      <c r="AM12" s="556">
        <f t="shared" si="25"/>
        <v>0.21599999999999997</v>
      </c>
      <c r="AN12" s="556">
        <f t="shared" si="25"/>
        <v>0.247</v>
      </c>
      <c r="AO12" s="556">
        <f t="shared" si="25"/>
        <v>0.30260000610351562</v>
      </c>
      <c r="AP12" s="556">
        <f t="shared" si="25"/>
        <v>0.66027999999999998</v>
      </c>
      <c r="AQ12" s="556">
        <f t="shared" si="25"/>
        <v>0.82871000000000006</v>
      </c>
      <c r="AR12" s="556">
        <f t="shared" si="25"/>
        <v>1.1634800000000001</v>
      </c>
      <c r="AS12" s="556">
        <f t="shared" si="25"/>
        <v>2.6272399999999996</v>
      </c>
      <c r="AT12" s="143">
        <f t="shared" si="25"/>
        <v>27.71763</v>
      </c>
      <c r="AU12" s="143">
        <f t="shared" si="25"/>
        <v>118.52238</v>
      </c>
      <c r="AV12" s="143">
        <f t="shared" si="25"/>
        <v>183.44140000000002</v>
      </c>
      <c r="AW12" s="143">
        <f t="shared" si="25"/>
        <v>157.36850000000001</v>
      </c>
      <c r="AX12" s="143">
        <f t="shared" si="25"/>
        <v>94.494</v>
      </c>
      <c r="AY12" s="143">
        <f t="shared" si="25"/>
        <v>127.1</v>
      </c>
      <c r="AZ12" s="143">
        <f t="shared" si="25"/>
        <v>144.577</v>
      </c>
      <c r="BA12" s="143">
        <f t="shared" si="25"/>
        <v>481.017</v>
      </c>
      <c r="BB12" s="143">
        <f t="shared" ref="BB12:BI12" si="26">BB13+BB14</f>
        <v>558.39499999999998</v>
      </c>
      <c r="BC12" s="143">
        <f t="shared" si="26"/>
        <v>1127</v>
      </c>
      <c r="BD12" s="143">
        <f t="shared" si="26"/>
        <v>1208</v>
      </c>
      <c r="BE12" s="143">
        <f t="shared" si="26"/>
        <v>2196</v>
      </c>
      <c r="BF12" s="143">
        <f t="shared" si="26"/>
        <v>2894</v>
      </c>
      <c r="BG12" s="143">
        <f t="shared" si="26"/>
        <v>3723</v>
      </c>
      <c r="BH12" s="143">
        <f t="shared" si="26"/>
        <v>4297</v>
      </c>
      <c r="BI12" s="143">
        <f t="shared" si="26"/>
        <v>5340</v>
      </c>
      <c r="BJ12" s="143">
        <f>BJ13+BJ14</f>
        <v>4344</v>
      </c>
      <c r="BK12" s="123">
        <f t="shared" ref="BK12:BP12" si="27">+BK13+BK14</f>
        <v>5618.8583980924996</v>
      </c>
      <c r="BL12" s="123">
        <f t="shared" si="27"/>
        <v>6163.4882933721256</v>
      </c>
      <c r="BM12" s="123">
        <f t="shared" si="27"/>
        <v>6325.1663907061957</v>
      </c>
      <c r="BN12" s="123">
        <f t="shared" si="27"/>
        <v>6568.9393791102066</v>
      </c>
      <c r="BO12" s="123">
        <f t="shared" si="27"/>
        <v>6786.5662621763113</v>
      </c>
      <c r="BP12" s="123">
        <f t="shared" si="27"/>
        <v>9630.9298035973297</v>
      </c>
      <c r="BQ12" s="123">
        <f t="shared" ref="BQ12:CB12" si="28">+BQ13+BQ14</f>
        <v>7651.2676214604562</v>
      </c>
      <c r="BR12" s="123">
        <f t="shared" si="28"/>
        <v>9096.33240374241</v>
      </c>
      <c r="BS12" s="123">
        <f t="shared" si="28"/>
        <v>10678.959275434556</v>
      </c>
      <c r="BT12" s="123">
        <f t="shared" ca="1" si="28"/>
        <v>12244.791788577113</v>
      </c>
      <c r="BU12" s="123">
        <f t="shared" ca="1" si="28"/>
        <v>22775.900883987015</v>
      </c>
      <c r="BV12" s="123">
        <f t="shared" ca="1" si="28"/>
        <v>26546.167767949188</v>
      </c>
      <c r="BW12" s="123">
        <f t="shared" ca="1" si="28"/>
        <v>29252.162920729803</v>
      </c>
      <c r="BX12" s="123">
        <f t="shared" ca="1" si="28"/>
        <v>31349.735151470144</v>
      </c>
      <c r="BY12" s="123">
        <f t="shared" ca="1" si="28"/>
        <v>33901.502793526626</v>
      </c>
      <c r="BZ12" s="123">
        <f t="shared" ca="1" si="28"/>
        <v>36919.687879112105</v>
      </c>
      <c r="CA12" s="123">
        <f t="shared" ca="1" si="28"/>
        <v>40494.332710192975</v>
      </c>
      <c r="CB12" s="123">
        <f t="shared" ca="1" si="28"/>
        <v>44803.624673878498</v>
      </c>
      <c r="CC12" s="123">
        <f ca="1">+CC13+CC14</f>
        <v>50100.491660668551</v>
      </c>
      <c r="CD12" s="123">
        <f ca="1">+CD13+CD14</f>
        <v>56764.624682468071</v>
      </c>
      <c r="CE12" s="123">
        <f ca="1">+CE13+CE14</f>
        <v>65381.586379345543</v>
      </c>
      <c r="CF12" s="123">
        <f ca="1">+CF13+CF14</f>
        <v>76883.91674204875</v>
      </c>
      <c r="CG12" s="123">
        <f ca="1">+CG13+CG14</f>
        <v>92812.007729027566</v>
      </c>
      <c r="CH12" s="141"/>
      <c r="CI12" s="106">
        <f t="shared" si="17"/>
        <v>0</v>
      </c>
      <c r="CJ12" s="106">
        <f t="shared" ref="CJ12:CU13" si="29">BR12-DB12</f>
        <v>0</v>
      </c>
      <c r="CK12" s="106">
        <f t="shared" si="29"/>
        <v>0</v>
      </c>
      <c r="CL12" s="106">
        <f t="shared" ca="1" si="29"/>
        <v>0</v>
      </c>
      <c r="CM12" s="106">
        <f t="shared" ca="1" si="29"/>
        <v>-1981.992925553026</v>
      </c>
      <c r="CN12" s="106">
        <f t="shared" ca="1" si="29"/>
        <v>-942.80431565591789</v>
      </c>
      <c r="CO12" s="106">
        <f t="shared" ca="1" si="29"/>
        <v>-560.90267794327883</v>
      </c>
      <c r="CP12" s="106">
        <f t="shared" ca="1" si="29"/>
        <v>-406.30286562235779</v>
      </c>
      <c r="CQ12" s="106">
        <f t="shared" ca="1" si="29"/>
        <v>-271.32304313964414</v>
      </c>
      <c r="CR12" s="106">
        <f t="shared" ca="1" si="29"/>
        <v>3669.0845693365627</v>
      </c>
      <c r="CS12" s="106">
        <f t="shared" ca="1" si="29"/>
        <v>3882.2990930463275</v>
      </c>
      <c r="CT12" s="106">
        <f t="shared" ca="1" si="29"/>
        <v>4220.557542040493</v>
      </c>
      <c r="CU12" s="106">
        <f t="shared" ca="1" si="29"/>
        <v>4475.4395898139264</v>
      </c>
      <c r="CV12" s="106">
        <f t="shared" ca="1" si="9"/>
        <v>4656.1233894523975</v>
      </c>
      <c r="CW12" s="106">
        <f t="shared" ca="1" si="10"/>
        <v>4727.0821941886461</v>
      </c>
      <c r="CX12" s="106">
        <f t="shared" ca="1" si="11"/>
        <v>4591.2059165143874</v>
      </c>
      <c r="CY12" s="106">
        <f t="shared" ca="1" si="12"/>
        <v>4048.5592540671059</v>
      </c>
      <c r="CZ12" s="134"/>
      <c r="DA12" s="135">
        <v>7651.2676214604562</v>
      </c>
      <c r="DB12" s="135">
        <v>9096.33240374241</v>
      </c>
      <c r="DC12" s="135">
        <v>10678.959275434556</v>
      </c>
      <c r="DD12" s="135">
        <v>12244.791788577113</v>
      </c>
      <c r="DE12" s="135">
        <v>24757.893809540041</v>
      </c>
      <c r="DF12" s="135">
        <v>27488.972083605106</v>
      </c>
      <c r="DG12" s="135">
        <v>29813.065598673082</v>
      </c>
      <c r="DH12" s="135">
        <v>31756.038017092502</v>
      </c>
      <c r="DI12" s="135">
        <v>34172.82583666627</v>
      </c>
      <c r="DJ12" s="135">
        <v>33250.603309775543</v>
      </c>
      <c r="DK12" s="135">
        <v>36612.033617146648</v>
      </c>
      <c r="DL12" s="135">
        <v>40583.067131838005</v>
      </c>
      <c r="DM12" s="135">
        <v>45625.052070854625</v>
      </c>
      <c r="DN12" s="135">
        <v>52108.501293015674</v>
      </c>
      <c r="DO12" s="135">
        <v>60654.504185156897</v>
      </c>
      <c r="DP12" s="135">
        <v>72292.710825534363</v>
      </c>
      <c r="DQ12" s="135">
        <v>88763.44847496046</v>
      </c>
    </row>
    <row r="13" spans="1:121" s="123" customFormat="1">
      <c r="A13" s="138" t="s">
        <v>134</v>
      </c>
      <c r="B13" s="107"/>
      <c r="C13" s="136" t="s">
        <v>1579</v>
      </c>
      <c r="D13" s="147"/>
      <c r="E13" s="107"/>
      <c r="F13" s="512">
        <f>+SOURCE!F22</f>
        <v>2.3600000000000003E-2</v>
      </c>
      <c r="G13" s="512">
        <f>+SOURCE!G22</f>
        <v>2.52E-2</v>
      </c>
      <c r="H13" s="512">
        <f>+SOURCE!H22</f>
        <v>2.8200000762939454E-2</v>
      </c>
      <c r="I13" s="512">
        <f>+SOURCE!I22</f>
        <v>3.8599998474121093E-2</v>
      </c>
      <c r="J13" s="512">
        <f>+SOURCE!J22</f>
        <v>3.9700000762939454E-2</v>
      </c>
      <c r="K13" s="512">
        <f>+SOURCE!K22</f>
        <v>4.1099998474121095E-2</v>
      </c>
      <c r="L13" s="512">
        <f>+SOURCE!L22</f>
        <v>4.5599998474121092E-2</v>
      </c>
      <c r="M13" s="512">
        <f>+SOURCE!M22</f>
        <v>4.9099998474121095E-2</v>
      </c>
      <c r="N13" s="512">
        <f>+SOURCE!N22</f>
        <v>5.5700000762939454E-2</v>
      </c>
      <c r="O13" s="512">
        <f>+SOURCE!O22</f>
        <v>6.3400001525878907E-2</v>
      </c>
      <c r="P13" s="512">
        <f>+SOURCE!P22</f>
        <v>0.12059999847412109</v>
      </c>
      <c r="Q13" s="512">
        <f>+SOURCE!Q22</f>
        <v>0.12730000305175782</v>
      </c>
      <c r="R13" s="512">
        <f>+SOURCE!R22</f>
        <v>9.6000000000000002E-2</v>
      </c>
      <c r="S13" s="512">
        <f>+SOURCE!S22</f>
        <v>7.7699996948242187E-2</v>
      </c>
      <c r="T13" s="512">
        <f>+SOURCE!T22</f>
        <v>8.190000152587891E-2</v>
      </c>
      <c r="U13" s="512">
        <f>+SOURCE!U22</f>
        <v>6.9099998474121099E-2</v>
      </c>
      <c r="V13" s="512">
        <f>+SOURCE!V22</f>
        <v>6.9099998474121099E-2</v>
      </c>
      <c r="W13" s="512">
        <f>+SOURCE!W22</f>
        <v>7.6999999999999999E-2</v>
      </c>
      <c r="X13" s="512">
        <f>+SOURCE!X22</f>
        <v>0.09</v>
      </c>
      <c r="Y13" s="512">
        <f>+SOURCE!Y22</f>
        <v>0.115</v>
      </c>
      <c r="Z13" s="512">
        <f>+SOURCE!Z22</f>
        <v>0.20200000000000001</v>
      </c>
      <c r="AA13" s="512">
        <f>+SOURCE!AA22</f>
        <v>0.27520001220703127</v>
      </c>
      <c r="AB13" s="512">
        <f>+SOURCE!AB22</f>
        <v>0.16089999389648438</v>
      </c>
      <c r="AC13" s="512">
        <f>+SOURCE!AC22</f>
        <v>0.23910000610351562</v>
      </c>
      <c r="AD13" s="512">
        <f>+SOURCE!AD22</f>
        <v>0.21889999389648437</v>
      </c>
      <c r="AE13" s="512">
        <f>+SOURCE!AE22</f>
        <v>0.19950000000000001</v>
      </c>
      <c r="AF13" s="512">
        <f>+SOURCE!AF22</f>
        <v>0.29208999633789062</v>
      </c>
      <c r="AG13" s="512">
        <f>+SOURCE!AG22</f>
        <v>0.37942999267578126</v>
      </c>
      <c r="AH13" s="512">
        <f>+SOURCE!AH22</f>
        <v>0.32235998535156252</v>
      </c>
      <c r="AI13" s="512">
        <f>+SOURCE!AI22</f>
        <v>0.15617999267578125</v>
      </c>
      <c r="AJ13" s="512">
        <f>+SOURCE!AJ22</f>
        <v>0.11880999755859376</v>
      </c>
      <c r="AK13" s="512">
        <f>+SOURCE!AK22</f>
        <v>0.14599999999999999</v>
      </c>
      <c r="AL13" s="512">
        <f>+SOURCE!AL22</f>
        <v>0.17299999999999999</v>
      </c>
      <c r="AM13" s="512">
        <f>+SOURCE!AM22</f>
        <v>0.17299999999999999</v>
      </c>
      <c r="AN13" s="512">
        <f>+SOURCE!AN22</f>
        <v>0.22</v>
      </c>
      <c r="AO13" s="512">
        <f>+SOURCE!AO22</f>
        <v>0.22260000610351563</v>
      </c>
      <c r="AP13" s="512">
        <f>+SOURCE!AP22</f>
        <v>0.56641999999999992</v>
      </c>
      <c r="AQ13" s="512">
        <f>+SOURCE!AQ22</f>
        <v>0.71115000000000006</v>
      </c>
      <c r="AR13" s="512">
        <f>+SOURCE!AR22</f>
        <v>1.0469300000000001</v>
      </c>
      <c r="AS13" s="512">
        <f>+SOURCE!AS22</f>
        <v>2.2277999999999998</v>
      </c>
      <c r="AT13" s="232">
        <f>+SOURCE!AT22</f>
        <v>20.53877</v>
      </c>
      <c r="AU13" s="232">
        <f>+SOURCE!AU22</f>
        <v>32.773789999999998</v>
      </c>
      <c r="AV13" s="232">
        <f>+SOURCE!AV22</f>
        <v>134.96355000000003</v>
      </c>
      <c r="AW13" s="232">
        <f>+SOURCE!AW22</f>
        <v>103.71688</v>
      </c>
      <c r="AX13" s="232">
        <f>+SOURCE!AX22</f>
        <v>45.365000000000002</v>
      </c>
      <c r="AY13" s="232">
        <f>+SOURCE!AY22</f>
        <v>83.716999999999999</v>
      </c>
      <c r="AZ13" s="232">
        <f>+SOURCE!AZ22</f>
        <v>117.077</v>
      </c>
      <c r="BA13" s="232">
        <f>+SOURCE!BA22</f>
        <v>441.81900000000002</v>
      </c>
      <c r="BB13" s="232">
        <f>+SOURCE!BB22</f>
        <v>490.44200000000001</v>
      </c>
      <c r="BC13" s="144">
        <f>SOURCE!BC22+SOURCE!BC24</f>
        <v>987</v>
      </c>
      <c r="BD13" s="144">
        <f>SOURCE!BD22+SOURCE!BD24</f>
        <v>1000</v>
      </c>
      <c r="BE13" s="144">
        <f>SOURCE!BE22+SOURCE!BE24</f>
        <v>1977</v>
      </c>
      <c r="BF13" s="144">
        <f>SOURCE!BF22+SOURCE!BF24</f>
        <v>2257</v>
      </c>
      <c r="BG13" s="144">
        <f>SOURCE!BG22+SOURCE!BG24</f>
        <v>3081</v>
      </c>
      <c r="BH13" s="144">
        <f>SOURCE!BH22+SOURCE!BH24</f>
        <v>3645</v>
      </c>
      <c r="BI13" s="144">
        <f>SOURCE!BI22+SOURCE!BI24</f>
        <v>4072</v>
      </c>
      <c r="BJ13" s="144">
        <f>SOURCE!BJ22+SOURCE!BJ24</f>
        <v>3326</v>
      </c>
      <c r="BK13" s="109">
        <f>(BJ13-BJ141)*(1+Assumptions!BK19/100)*(1+BK38/100)+BK141+Assumptions!BK58*BK196</f>
        <v>4921.9583980924999</v>
      </c>
      <c r="BL13" s="109">
        <f>(BK13-BK141)*(1+Assumptions!BL19/100)*(1+BL38/100)+BL141+Assumptions!BL58*BL196</f>
        <v>5434.0882933721259</v>
      </c>
      <c r="BM13" s="109">
        <f>(BL13-BL141)*(1+Assumptions!BM19/100)*(1+BM38/100)+BM141+Assumptions!BM58*BM196</f>
        <v>5569.1663907061957</v>
      </c>
      <c r="BN13" s="109">
        <f>(BM13-BM141)*(1+Assumptions!BN19/100)*(1+BN38/100)+BN141+Assumptions!BN58*BN196</f>
        <v>5675.9393791102066</v>
      </c>
      <c r="BO13" s="109">
        <f>(BN13-BN141)*(1+Assumptions!BO19/100)*(1+BO38/100)+BO141+Assumptions!BO58*BO196</f>
        <v>6352.4662621763109</v>
      </c>
      <c r="BP13" s="109">
        <f>(BO13-BO141)*(1+Assumptions!BP19/100)*(1+BP38/100)+BP141+Assumptions!BP58*BP196</f>
        <v>8894.9298035973297</v>
      </c>
      <c r="BQ13" s="109">
        <f>(BP13-BP141)*(1+Assumptions!BQ19/100)*(1+BQ38/100)+BQ141+Assumptions!BQ58*BQ196</f>
        <v>6414.2676214604562</v>
      </c>
      <c r="BR13" s="109">
        <f>(BQ13-BQ141)*(1+Assumptions!BR19/100)*(1+BR38/100)+BR141+Assumptions!BR58*BR196</f>
        <v>7876.3324037424109</v>
      </c>
      <c r="BS13" s="109">
        <f>(BR13-BR141)*(1+Assumptions!BS19/100)*(1+BS38/100)+BS141+Assumptions!BS58*BS196</f>
        <v>9675.9592754345558</v>
      </c>
      <c r="BT13" s="109">
        <f ca="1">(BS13-BS141)*(1+Assumptions!BT19/100)*(1+BT38/100)+BT141+Assumptions!BT58*BT196</f>
        <v>11241.791788577113</v>
      </c>
      <c r="BU13" s="109">
        <f ca="1">(BT13-BT141)*(1+Assumptions!BU19/100)*(1+BU38/100)+BU141+Assumptions!BU58*BU196</f>
        <v>18940.220883987015</v>
      </c>
      <c r="BV13" s="109">
        <f ca="1">(BU13-BU141)*(1+Assumptions!BV19/100)*(1+BV38/100)+BV141+Assumptions!BV58*BV196</f>
        <v>22710.487767949187</v>
      </c>
      <c r="BW13" s="109">
        <f ca="1">(BV13-BV141)*(1+Assumptions!BW19/100)*(1+BW38/100)+BW141+Assumptions!BW58*BW196</f>
        <v>25416.482920729803</v>
      </c>
      <c r="BX13" s="109">
        <f ca="1">(BW13-BW141)*(1+Assumptions!BX19/100)*(1+BX38/100)+BX141+Assumptions!BX58*BX196</f>
        <v>27514.055151470144</v>
      </c>
      <c r="BY13" s="109">
        <f ca="1">(BX13-BX141)*(1+Assumptions!BY19/100)*(1+BY38/100)+BY141+Assumptions!BY58*BY196</f>
        <v>30065.822793526622</v>
      </c>
      <c r="BZ13" s="109">
        <f ca="1">(BY13-BY141)*(1+Assumptions!BZ19/100)*(1+BZ38/100)+BZ141+Assumptions!BZ58*BZ196</f>
        <v>33084.007879112098</v>
      </c>
      <c r="CA13" s="109">
        <f ca="1">(BZ13-BZ141)*(1+Assumptions!CA19/100)*(1+CA38/100)+CA141+Assumptions!CA58*CA196</f>
        <v>36658.65271019299</v>
      </c>
      <c r="CB13" s="109">
        <f ca="1">(CA13-CA141)*(1+Assumptions!CB19/100)*(1+CB38/100)+CB141+Assumptions!CB58*CB196</f>
        <v>40967.944673878519</v>
      </c>
      <c r="CC13" s="109">
        <f ca="1">(CB13-CB141)*(1+Assumptions!CC19/100)*(1+CC38/100)+CC141+Assumptions!CC58*CC196</f>
        <v>46264.811660668507</v>
      </c>
      <c r="CD13" s="109">
        <f ca="1">(CC13-CC141)*(1+Assumptions!CD19/100)*(1+CD38/100)+CD141+Assumptions!CD58*CD196</f>
        <v>52928.944682468064</v>
      </c>
      <c r="CE13" s="109">
        <f ca="1">(CD13-CD141)*(1+Assumptions!CE19/100)*(1+CE38/100)+CE141+Assumptions!CE58*CE196</f>
        <v>61545.906379345637</v>
      </c>
      <c r="CF13" s="109">
        <f ca="1">(CE13-CE141)*(1+Assumptions!CF19/100)*(1+CF38/100)+CF141+Assumptions!CF58*CF196</f>
        <v>73048.236742048655</v>
      </c>
      <c r="CG13" s="109">
        <f ca="1">(CF13-CF141)*(1+Assumptions!CG19/100)*(1+CG38/100)+CG141+Assumptions!CG58*CG196</f>
        <v>88976.327729027515</v>
      </c>
      <c r="CH13" s="141"/>
      <c r="CI13" s="106">
        <f t="shared" si="17"/>
        <v>0</v>
      </c>
      <c r="CJ13" s="106">
        <f t="shared" si="29"/>
        <v>0</v>
      </c>
      <c r="CK13" s="106">
        <f t="shared" si="29"/>
        <v>0</v>
      </c>
      <c r="CL13" s="106">
        <f t="shared" ca="1" si="29"/>
        <v>0</v>
      </c>
      <c r="CM13" s="106">
        <f t="shared" ca="1" si="29"/>
        <v>1371.6070744469725</v>
      </c>
      <c r="CN13" s="106">
        <f t="shared" ca="1" si="29"/>
        <v>2410.7956843440807</v>
      </c>
      <c r="CO13" s="106">
        <f t="shared" ca="1" si="29"/>
        <v>2792.6973220567197</v>
      </c>
      <c r="CP13" s="106">
        <f t="shared" ca="1" si="29"/>
        <v>2947.2971343776408</v>
      </c>
      <c r="CQ13" s="106">
        <f t="shared" ca="1" si="29"/>
        <v>3082.2769568603617</v>
      </c>
      <c r="CR13" s="106">
        <f t="shared" ca="1" si="29"/>
        <v>3189.6245693365636</v>
      </c>
      <c r="CS13" s="106">
        <f t="shared" ca="1" si="29"/>
        <v>3402.8390930463283</v>
      </c>
      <c r="CT13" s="106">
        <f t="shared" ca="1" si="29"/>
        <v>3741.0975420405084</v>
      </c>
      <c r="CU13" s="106">
        <f t="shared" ca="1" si="29"/>
        <v>3995.9795898139055</v>
      </c>
      <c r="CV13" s="106">
        <f t="shared" ca="1" si="9"/>
        <v>4176.6633894523547</v>
      </c>
      <c r="CW13" s="106">
        <f t="shared" ca="1" si="10"/>
        <v>4247.6221941886979</v>
      </c>
      <c r="CX13" s="106">
        <f t="shared" ca="1" si="11"/>
        <v>4111.7459165143955</v>
      </c>
      <c r="CY13" s="106">
        <f t="shared" ca="1" si="12"/>
        <v>3569.0992540670122</v>
      </c>
      <c r="CZ13" s="134"/>
      <c r="DA13" s="135">
        <v>6414.2676214604562</v>
      </c>
      <c r="DB13" s="135">
        <v>7876.3324037424109</v>
      </c>
      <c r="DC13" s="135">
        <v>9675.9592754345558</v>
      </c>
      <c r="DD13" s="135">
        <v>11241.791788577113</v>
      </c>
      <c r="DE13" s="135">
        <v>17568.613809540042</v>
      </c>
      <c r="DF13" s="135">
        <v>20299.692083605107</v>
      </c>
      <c r="DG13" s="135">
        <v>22623.785598673083</v>
      </c>
      <c r="DH13" s="135">
        <v>24566.758017092503</v>
      </c>
      <c r="DI13" s="135">
        <v>26983.545836666261</v>
      </c>
      <c r="DJ13" s="135">
        <v>29894.383309775534</v>
      </c>
      <c r="DK13" s="135">
        <v>33255.813617146661</v>
      </c>
      <c r="DL13" s="135">
        <v>37226.847131838011</v>
      </c>
      <c r="DM13" s="135">
        <v>42268.832070854602</v>
      </c>
      <c r="DN13" s="135">
        <v>48752.281293015709</v>
      </c>
      <c r="DO13" s="135">
        <v>57298.284185156939</v>
      </c>
      <c r="DP13" s="135">
        <v>68936.49082553426</v>
      </c>
      <c r="DQ13" s="135">
        <v>85407.228474960502</v>
      </c>
    </row>
    <row r="14" spans="1:121" s="123" customFormat="1">
      <c r="A14" s="138" t="s">
        <v>3044</v>
      </c>
      <c r="B14" s="107"/>
      <c r="C14" s="136" t="s">
        <v>1579</v>
      </c>
      <c r="D14" s="147"/>
      <c r="E14" s="107"/>
      <c r="F14" s="512">
        <f>+SOURCE!F23</f>
        <v>3.0000000000000001E-3</v>
      </c>
      <c r="G14" s="512">
        <f>+SOURCE!G23</f>
        <v>2.8E-3</v>
      </c>
      <c r="H14" s="512">
        <f>+SOURCE!H23</f>
        <v>6.5999999046325681E-3</v>
      </c>
      <c r="I14" s="512">
        <f>+SOURCE!I23</f>
        <v>8.8000001907348625E-3</v>
      </c>
      <c r="J14" s="512">
        <f>+SOURCE!J23</f>
        <v>9.6999998092651366E-3</v>
      </c>
      <c r="K14" s="512">
        <f>+SOURCE!K23</f>
        <v>1.3600000381469727E-2</v>
      </c>
      <c r="L14" s="512">
        <f>+SOURCE!L23</f>
        <v>2.0299999237060547E-2</v>
      </c>
      <c r="M14" s="512">
        <f>+SOURCE!M23</f>
        <v>1.7799999237060545E-2</v>
      </c>
      <c r="N14" s="512">
        <f>+SOURCE!N23</f>
        <v>1.4999999999999999E-2</v>
      </c>
      <c r="O14" s="512">
        <f>+SOURCE!O23</f>
        <v>1.3899999618530274E-2</v>
      </c>
      <c r="P14" s="512">
        <f>+SOURCE!P23</f>
        <v>1.4E-2</v>
      </c>
      <c r="Q14" s="512">
        <f>+SOURCE!Q23</f>
        <v>1.6100000381469727E-2</v>
      </c>
      <c r="R14" s="512">
        <f>+SOURCE!R23</f>
        <v>2.1799999237060545E-2</v>
      </c>
      <c r="S14" s="512">
        <f>+SOURCE!S23</f>
        <v>2.4500000000000001E-2</v>
      </c>
      <c r="T14" s="512">
        <f>+SOURCE!T23</f>
        <v>1.8799999237060546E-2</v>
      </c>
      <c r="U14" s="512">
        <f>+SOURCE!U23</f>
        <v>2.4299999237060547E-2</v>
      </c>
      <c r="V14" s="512">
        <f>+SOURCE!V23</f>
        <v>3.15E-2</v>
      </c>
      <c r="W14" s="512">
        <f>+SOURCE!W23</f>
        <v>2.8399999618530274E-2</v>
      </c>
      <c r="X14" s="512">
        <f>+SOURCE!X23</f>
        <v>4.0900001525878908E-2</v>
      </c>
      <c r="Y14" s="512">
        <f>+SOURCE!Y23</f>
        <v>4.1400001525878909E-2</v>
      </c>
      <c r="Z14" s="512">
        <f>+SOURCE!Z23</f>
        <v>4.3299999237060544E-2</v>
      </c>
      <c r="AA14" s="512">
        <f>+SOURCE!AA23</f>
        <v>7.3410003662109369E-2</v>
      </c>
      <c r="AB14" s="512">
        <f>+SOURCE!AB23</f>
        <v>0.12026000213623046</v>
      </c>
      <c r="AC14" s="512">
        <f>+SOURCE!AC23</f>
        <v>0.13771000671386718</v>
      </c>
      <c r="AD14" s="512">
        <f>+SOURCE!AD23</f>
        <v>0.13914999389648439</v>
      </c>
      <c r="AE14" s="512">
        <f>+SOURCE!AE23</f>
        <v>0.13571000671386718</v>
      </c>
      <c r="AF14" s="512">
        <f>+SOURCE!AF23</f>
        <v>0.12849000549316406</v>
      </c>
      <c r="AG14" s="512">
        <f>+SOURCE!AG23</f>
        <v>0.17553999328613282</v>
      </c>
      <c r="AH14" s="512">
        <f>+SOURCE!AH23</f>
        <v>0.18494000244140624</v>
      </c>
      <c r="AI14" s="512">
        <f>+SOURCE!AI23</f>
        <v>0.11944999694824218</v>
      </c>
      <c r="AJ14" s="512">
        <f>+SOURCE!AJ23</f>
        <v>8.50999984741211E-2</v>
      </c>
      <c r="AK14" s="512">
        <f>+SOURCE!AK23</f>
        <v>5.5889999389648434E-2</v>
      </c>
      <c r="AL14" s="512">
        <f>+SOURCE!AL23</f>
        <v>4.0840000152587888E-2</v>
      </c>
      <c r="AM14" s="512">
        <f>+SOURCE!AM23</f>
        <v>4.2999999999999997E-2</v>
      </c>
      <c r="AN14" s="512">
        <f>+SOURCE!AN23</f>
        <v>2.7E-2</v>
      </c>
      <c r="AO14" s="512">
        <f>+SOURCE!AO23</f>
        <v>0.08</v>
      </c>
      <c r="AP14" s="512">
        <f>+SOURCE!AP23</f>
        <v>9.3859999999999999E-2</v>
      </c>
      <c r="AQ14" s="512">
        <f>+SOURCE!AQ23</f>
        <v>0.11756</v>
      </c>
      <c r="AR14" s="512">
        <f>+SOURCE!AR23</f>
        <v>0.11655</v>
      </c>
      <c r="AS14" s="512">
        <f>+SOURCE!AS23</f>
        <v>0.39944000000000002</v>
      </c>
      <c r="AT14" s="232">
        <f>+SOURCE!AT23</f>
        <v>7.1788599999999994</v>
      </c>
      <c r="AU14" s="232">
        <f>+SOURCE!AU23</f>
        <v>85.748589999999993</v>
      </c>
      <c r="AV14" s="232">
        <f>+SOURCE!AV23</f>
        <v>48.477849999999997</v>
      </c>
      <c r="AW14" s="232">
        <f>+SOURCE!AW23</f>
        <v>53.651620000000001</v>
      </c>
      <c r="AX14" s="232">
        <f>+SOURCE!AX23</f>
        <v>49.128999999999998</v>
      </c>
      <c r="AY14" s="232">
        <f>+SOURCE!AY23</f>
        <v>43.383000000000003</v>
      </c>
      <c r="AZ14" s="232">
        <f>+SOURCE!AZ23</f>
        <v>27.5</v>
      </c>
      <c r="BA14" s="232">
        <f>+SOURCE!BA23</f>
        <v>39.198</v>
      </c>
      <c r="BB14" s="232">
        <f>+SOURCE!BB23</f>
        <v>67.953000000000003</v>
      </c>
      <c r="BC14" s="144">
        <f>SOURCE!BC23</f>
        <v>140</v>
      </c>
      <c r="BD14" s="144">
        <f>SOURCE!BD23</f>
        <v>208</v>
      </c>
      <c r="BE14" s="144">
        <f>SOURCE!BE23</f>
        <v>219</v>
      </c>
      <c r="BF14" s="144">
        <f>SOURCE!BF23</f>
        <v>637</v>
      </c>
      <c r="BG14" s="144">
        <f>SOURCE!BG23</f>
        <v>642</v>
      </c>
      <c r="BH14" s="144">
        <f>SOURCE!BH23</f>
        <v>652</v>
      </c>
      <c r="BI14" s="144">
        <f>SOURCE!BI23</f>
        <v>1268</v>
      </c>
      <c r="BJ14" s="144">
        <f>SOURCE!BJ23</f>
        <v>1018</v>
      </c>
      <c r="BK14" s="106">
        <f t="shared" ref="BK14:BP14" si="30">+BK97</f>
        <v>696.9</v>
      </c>
      <c r="BL14" s="106">
        <f t="shared" si="30"/>
        <v>729.4</v>
      </c>
      <c r="BM14" s="106">
        <f t="shared" si="30"/>
        <v>756</v>
      </c>
      <c r="BN14" s="106">
        <f t="shared" si="30"/>
        <v>893</v>
      </c>
      <c r="BO14" s="106">
        <f t="shared" si="30"/>
        <v>434.1</v>
      </c>
      <c r="BP14" s="106">
        <f t="shared" si="30"/>
        <v>736</v>
      </c>
      <c r="BQ14" s="106">
        <f t="shared" ref="BQ14:BV14" si="31">+BQ97</f>
        <v>1237</v>
      </c>
      <c r="BR14" s="106">
        <f t="shared" si="31"/>
        <v>1220</v>
      </c>
      <c r="BS14" s="106">
        <f t="shared" si="31"/>
        <v>1003</v>
      </c>
      <c r="BT14" s="106">
        <f t="shared" si="31"/>
        <v>1003</v>
      </c>
      <c r="BU14" s="106">
        <f t="shared" si="31"/>
        <v>3835.6800000000003</v>
      </c>
      <c r="BV14" s="106">
        <f t="shared" si="31"/>
        <v>3835.6800000000003</v>
      </c>
      <c r="BW14" s="106">
        <f t="shared" ref="BW14:CC14" si="32">+BW97</f>
        <v>3835.6800000000003</v>
      </c>
      <c r="BX14" s="106">
        <f t="shared" si="32"/>
        <v>3835.6800000000003</v>
      </c>
      <c r="BY14" s="106">
        <f t="shared" si="32"/>
        <v>3835.6800000000003</v>
      </c>
      <c r="BZ14" s="106">
        <f t="shared" si="32"/>
        <v>3835.6800000000003</v>
      </c>
      <c r="CA14" s="106">
        <f t="shared" si="32"/>
        <v>3835.6800000000003</v>
      </c>
      <c r="CB14" s="106">
        <f t="shared" si="32"/>
        <v>3835.6800000000003</v>
      </c>
      <c r="CC14" s="106">
        <f t="shared" si="32"/>
        <v>3835.6800000000003</v>
      </c>
      <c r="CD14" s="106">
        <f>+CD97</f>
        <v>3835.6800000000003</v>
      </c>
      <c r="CE14" s="106">
        <f>+CE97</f>
        <v>3835.6800000000003</v>
      </c>
      <c r="CF14" s="106">
        <f>+CF97</f>
        <v>3835.6800000000003</v>
      </c>
      <c r="CG14" s="106">
        <f>+CG97</f>
        <v>3835.6800000000003</v>
      </c>
      <c r="CH14" s="141"/>
      <c r="CI14" s="106">
        <f t="shared" si="17"/>
        <v>0</v>
      </c>
      <c r="CJ14" s="106">
        <f t="shared" ref="CJ14:CU14" si="33">BR14-DB14</f>
        <v>0</v>
      </c>
      <c r="CK14" s="106">
        <f t="shared" si="33"/>
        <v>0</v>
      </c>
      <c r="CL14" s="106">
        <f t="shared" si="33"/>
        <v>0</v>
      </c>
      <c r="CM14" s="106">
        <f t="shared" si="33"/>
        <v>-3353.5999999999995</v>
      </c>
      <c r="CN14" s="106">
        <f t="shared" si="33"/>
        <v>-3353.5999999999995</v>
      </c>
      <c r="CO14" s="106">
        <f t="shared" si="33"/>
        <v>-3353.5999999999995</v>
      </c>
      <c r="CP14" s="106">
        <f t="shared" si="33"/>
        <v>-3353.5999999999995</v>
      </c>
      <c r="CQ14" s="106">
        <f t="shared" si="33"/>
        <v>-3353.5999999999995</v>
      </c>
      <c r="CR14" s="106">
        <f t="shared" si="33"/>
        <v>479.46000000000049</v>
      </c>
      <c r="CS14" s="106">
        <f t="shared" si="33"/>
        <v>479.46000000000049</v>
      </c>
      <c r="CT14" s="106">
        <f t="shared" si="33"/>
        <v>479.46000000000049</v>
      </c>
      <c r="CU14" s="106">
        <f t="shared" si="33"/>
        <v>479.46000000000049</v>
      </c>
      <c r="CV14" s="106">
        <f t="shared" si="9"/>
        <v>479.46000000000049</v>
      </c>
      <c r="CW14" s="106">
        <f t="shared" si="10"/>
        <v>479.46000000000049</v>
      </c>
      <c r="CX14" s="106">
        <f t="shared" si="11"/>
        <v>479.46000000000049</v>
      </c>
      <c r="CY14" s="106">
        <f t="shared" si="12"/>
        <v>479.46000000000049</v>
      </c>
      <c r="CZ14" s="134"/>
      <c r="DA14" s="135">
        <v>1237</v>
      </c>
      <c r="DB14" s="135">
        <v>1220</v>
      </c>
      <c r="DC14" s="135">
        <v>1003</v>
      </c>
      <c r="DD14" s="135">
        <v>1003</v>
      </c>
      <c r="DE14" s="135">
        <v>7189.28</v>
      </c>
      <c r="DF14" s="135">
        <v>7189.28</v>
      </c>
      <c r="DG14" s="135">
        <v>7189.28</v>
      </c>
      <c r="DH14" s="135">
        <v>7189.28</v>
      </c>
      <c r="DI14" s="135">
        <v>7189.28</v>
      </c>
      <c r="DJ14" s="135">
        <v>3356.22</v>
      </c>
      <c r="DK14" s="135">
        <v>3356.22</v>
      </c>
      <c r="DL14" s="135">
        <v>3356.22</v>
      </c>
      <c r="DM14" s="135">
        <v>3356.22</v>
      </c>
      <c r="DN14" s="135">
        <v>3356.22</v>
      </c>
      <c r="DO14" s="135">
        <v>3356.22</v>
      </c>
      <c r="DP14" s="135">
        <v>3356.22</v>
      </c>
      <c r="DQ14" s="135">
        <v>3356.22</v>
      </c>
    </row>
    <row r="15" spans="1:121" s="123" customFormat="1">
      <c r="A15" s="107" t="s">
        <v>132</v>
      </c>
      <c r="B15" s="107"/>
      <c r="C15" s="136" t="s">
        <v>1579</v>
      </c>
      <c r="D15" s="147"/>
      <c r="E15" s="107"/>
      <c r="F15" s="513">
        <f>+mamiabc!F19</f>
        <v>6.2299999999999994E-2</v>
      </c>
      <c r="G15" s="513">
        <f>+mamiabc!G19</f>
        <v>5.7500000000000002E-2</v>
      </c>
      <c r="H15" s="513">
        <f>+mamiabc!H19</f>
        <v>6.9500000000000006E-2</v>
      </c>
      <c r="I15" s="513">
        <f>+mamiabc!I19</f>
        <v>7.8E-2</v>
      </c>
      <c r="J15" s="513">
        <f>+mamiabc!J19</f>
        <v>7.3099998474121089E-2</v>
      </c>
      <c r="K15" s="513">
        <f>+mamiabc!K19</f>
        <v>0.09</v>
      </c>
      <c r="L15" s="513">
        <f>+mamiabc!L19</f>
        <v>9.8099998474121097E-2</v>
      </c>
      <c r="M15" s="513">
        <f>+mamiabc!M19</f>
        <v>9.4400001525878907E-2</v>
      </c>
      <c r="N15" s="513">
        <f>+mamiabc!N19</f>
        <v>9.5300003051757814E-2</v>
      </c>
      <c r="O15" s="513">
        <f>+mamiabc!O19</f>
        <v>0.1045</v>
      </c>
      <c r="P15" s="513">
        <f>+mamiabc!P19</f>
        <v>0.10880000305175781</v>
      </c>
      <c r="Q15" s="513">
        <f>+mamiabc!Q19</f>
        <v>0.13219999694824219</v>
      </c>
      <c r="R15" s="513">
        <f>+mamiabc!R19</f>
        <v>0.19550000000000001</v>
      </c>
      <c r="S15" s="513">
        <f>+mamiabc!S19</f>
        <v>0.22380000305175782</v>
      </c>
      <c r="T15" s="513">
        <f>+mamiabc!T19</f>
        <v>0.24519999694824218</v>
      </c>
      <c r="U15" s="513">
        <f>+mamiabc!U19</f>
        <v>0.27970001220703122</v>
      </c>
      <c r="V15" s="513">
        <f>+mamiabc!V19</f>
        <v>0.29360000610351561</v>
      </c>
      <c r="W15" s="513">
        <f>+mamiabc!W19</f>
        <v>0.34010000610351565</v>
      </c>
      <c r="X15" s="513">
        <f>+mamiabc!X19</f>
        <v>0.36420001220703124</v>
      </c>
      <c r="Y15" s="513">
        <f>+mamiabc!Y19</f>
        <v>0.36049999999999999</v>
      </c>
      <c r="Z15" s="513">
        <f>+mamiabc!Z19</f>
        <v>0.54340002441406254</v>
      </c>
      <c r="AA15" s="513">
        <f>+mamiabc!AA19</f>
        <v>0.57770001220703127</v>
      </c>
      <c r="AB15" s="513">
        <f>+mamiabc!AB19</f>
        <v>0.61790002441406255</v>
      </c>
      <c r="AC15" s="513">
        <f>+mamiabc!AC19</f>
        <v>0.70720001220703121</v>
      </c>
      <c r="AD15" s="513">
        <f>+mamiabc!AD19</f>
        <v>0.81359997558593755</v>
      </c>
      <c r="AE15" s="513">
        <f>+mamiabc!AE19</f>
        <v>0.91670001220703123</v>
      </c>
      <c r="AF15" s="513">
        <f>+mamiabc!AF19</f>
        <v>1.094199951171875</v>
      </c>
      <c r="AG15" s="513">
        <f>+mamiabc!AG19</f>
        <v>1.0097999877929686</v>
      </c>
      <c r="AH15" s="513">
        <f>+mamiabc!AH19</f>
        <v>0.90949999999999998</v>
      </c>
      <c r="AI15" s="513">
        <f>+mamiabc!AI19</f>
        <v>0.77429998779296871</v>
      </c>
      <c r="AJ15" s="513">
        <f>+mamiabc!AJ19</f>
        <v>0.7605999755859375</v>
      </c>
      <c r="AK15" s="513">
        <f>+mamiabc!AK19</f>
        <v>0.67140002441406255</v>
      </c>
      <c r="AL15" s="513">
        <f>+mamiabc!AL19</f>
        <v>0.63870001220703121</v>
      </c>
      <c r="AM15" s="513">
        <f>+mamiabc!AM19</f>
        <v>0.6932000122070312</v>
      </c>
      <c r="AN15" s="513">
        <f>+mamiabc!AN19</f>
        <v>0.77120001220703127</v>
      </c>
      <c r="AO15" s="513">
        <f>+mamiabc!AO19</f>
        <v>1.0049999999999999</v>
      </c>
      <c r="AP15" s="513">
        <f>+mamiabc!AP19</f>
        <v>0.86860000000000004</v>
      </c>
      <c r="AQ15" s="513">
        <f>+mamiabc!AQ19</f>
        <v>0.6573</v>
      </c>
      <c r="AR15" s="513">
        <f>+mamiabc!AR19</f>
        <v>0.64910000000000001</v>
      </c>
      <c r="AS15" s="513">
        <f>+mamiabc!AS19</f>
        <v>14.860100000000001</v>
      </c>
      <c r="AT15" s="509">
        <f>+mamiabc!AT19</f>
        <v>75.662499999999994</v>
      </c>
      <c r="AU15" s="509">
        <f>+mamiabc!AU19</f>
        <v>229.46979999999999</v>
      </c>
      <c r="AV15" s="509">
        <f>+mamiabc!AV19</f>
        <v>193.32489999999999</v>
      </c>
      <c r="AW15" s="509">
        <f>+mamiabc!AW19</f>
        <v>195.34870000000001</v>
      </c>
      <c r="AX15" s="509">
        <f>+mamiabc!AX19</f>
        <v>167.04259999999999</v>
      </c>
      <c r="AY15" s="509">
        <f>+mamiabc!AY19</f>
        <v>364.19880000000001</v>
      </c>
      <c r="AZ15" s="509">
        <f>+mamiabc!AZ19</f>
        <v>641.01930000000004</v>
      </c>
      <c r="BA15" s="509">
        <f>+mamiabc!BA19</f>
        <v>1073.796</v>
      </c>
      <c r="BB15" s="509">
        <f>+mamiabc!BB19</f>
        <v>940.54</v>
      </c>
      <c r="BC15" s="140">
        <f>SOURCE!BC25</f>
        <v>1561</v>
      </c>
      <c r="BD15" s="140">
        <f>SOURCE!BD25</f>
        <v>2644</v>
      </c>
      <c r="BE15" s="140">
        <f>SOURCE!BE25</f>
        <v>3164</v>
      </c>
      <c r="BF15" s="140">
        <f>SOURCE!BF25</f>
        <v>3801</v>
      </c>
      <c r="BG15" s="140">
        <f>SOURCE!BG25</f>
        <v>4363</v>
      </c>
      <c r="BH15" s="140">
        <f>SOURCE!BH25</f>
        <v>5519</v>
      </c>
      <c r="BI15" s="140">
        <f>SOURCE!BI25</f>
        <v>4694</v>
      </c>
      <c r="BJ15" s="140">
        <f>SOURCE!BJ25</f>
        <v>6302</v>
      </c>
      <c r="BK15" s="141">
        <f>BK125+BK122</f>
        <v>7745.2694150000007</v>
      </c>
      <c r="BL15" s="141">
        <f t="shared" ref="BL15:BQ15" si="34">BL125+BL122</f>
        <v>7822.1037500000002</v>
      </c>
      <c r="BM15" s="141">
        <f t="shared" si="34"/>
        <v>7046.0216899999996</v>
      </c>
      <c r="BN15" s="141">
        <f t="shared" si="34"/>
        <v>6386.2966624999999</v>
      </c>
      <c r="BO15" s="141">
        <f t="shared" si="34"/>
        <v>5005.7660749999995</v>
      </c>
      <c r="BP15" s="141">
        <f t="shared" si="34"/>
        <v>10429.424962499997</v>
      </c>
      <c r="BQ15" s="141">
        <f t="shared" si="34"/>
        <v>16359.925962499998</v>
      </c>
      <c r="BR15" s="141">
        <f t="shared" ref="BR15:CB15" si="35">BR125+BR122</f>
        <v>17202.0079625</v>
      </c>
      <c r="BS15" s="141">
        <f t="shared" si="35"/>
        <v>19336.604962499998</v>
      </c>
      <c r="BT15" s="141">
        <f t="shared" si="35"/>
        <v>31838.7249625</v>
      </c>
      <c r="BU15" s="141">
        <f t="shared" ca="1" si="35"/>
        <v>55904.007256170662</v>
      </c>
      <c r="BV15" s="141">
        <f t="shared" ca="1" si="35"/>
        <v>58077.22061053881</v>
      </c>
      <c r="BW15" s="141">
        <f t="shared" ca="1" si="35"/>
        <v>60167.531430856616</v>
      </c>
      <c r="BX15" s="141">
        <f t="shared" ca="1" si="35"/>
        <v>62330.124975286279</v>
      </c>
      <c r="BY15" s="141">
        <f t="shared" ca="1" si="35"/>
        <v>65529.960352661292</v>
      </c>
      <c r="BZ15" s="141">
        <f t="shared" ca="1" si="35"/>
        <v>68901.450155624596</v>
      </c>
      <c r="CA15" s="141">
        <f t="shared" ca="1" si="35"/>
        <v>72454.293463075286</v>
      </c>
      <c r="CB15" s="141">
        <f t="shared" ca="1" si="35"/>
        <v>76200.798287896148</v>
      </c>
      <c r="CC15" s="141">
        <f ca="1">CC125+CC122</f>
        <v>80154.831588797184</v>
      </c>
      <c r="CD15" s="141">
        <f ca="1">CD125+CD122</f>
        <v>84332.55402052468</v>
      </c>
      <c r="CE15" s="141">
        <f ca="1">CE125+CE122</f>
        <v>88753.183317901683</v>
      </c>
      <c r="CF15" s="141">
        <f ca="1">CF125+CF122</f>
        <v>93440.111478096675</v>
      </c>
      <c r="CG15" s="141">
        <f ca="1">CG125+CG122</f>
        <v>98422.530523130947</v>
      </c>
      <c r="CH15" s="141"/>
      <c r="CI15" s="106">
        <f t="shared" si="17"/>
        <v>0</v>
      </c>
      <c r="CJ15" s="106">
        <f t="shared" ref="CJ15:CU18" si="36">BR15-DB15</f>
        <v>0</v>
      </c>
      <c r="CK15" s="106">
        <f t="shared" si="36"/>
        <v>0</v>
      </c>
      <c r="CL15" s="106">
        <f t="shared" si="36"/>
        <v>0</v>
      </c>
      <c r="CM15" s="106">
        <f t="shared" ca="1" si="36"/>
        <v>6970.5898052500997</v>
      </c>
      <c r="CN15" s="106">
        <f t="shared" ca="1" si="36"/>
        <v>6255.14453613558</v>
      </c>
      <c r="CO15" s="106">
        <f t="shared" ca="1" si="36"/>
        <v>5411.0723379541087</v>
      </c>
      <c r="CP15" s="106">
        <f t="shared" ca="1" si="36"/>
        <v>4470.0014260891621</v>
      </c>
      <c r="CQ15" s="106">
        <f t="shared" ca="1" si="36"/>
        <v>3479.7480932629187</v>
      </c>
      <c r="CR15" s="106">
        <f t="shared" ca="1" si="36"/>
        <v>2349.1524523230037</v>
      </c>
      <c r="CS15" s="106">
        <f t="shared" ca="1" si="36"/>
        <v>1069.0275373215554</v>
      </c>
      <c r="CT15" s="106">
        <f t="shared" ca="1" si="36"/>
        <v>-375.72203796151734</v>
      </c>
      <c r="CU15" s="106">
        <f t="shared" ca="1" si="36"/>
        <v>-2009.358028338218</v>
      </c>
      <c r="CV15" s="106">
        <f t="shared" ca="1" si="9"/>
        <v>-3850.1787031254644</v>
      </c>
      <c r="CW15" s="106">
        <f t="shared" ca="1" si="10"/>
        <v>-5919.9164504533837</v>
      </c>
      <c r="CX15" s="106">
        <f t="shared" ca="1" si="11"/>
        <v>-8244.1731985979859</v>
      </c>
      <c r="CY15" s="106">
        <f t="shared" ca="1" si="12"/>
        <v>-10853.150212763023</v>
      </c>
      <c r="CZ15" s="134"/>
      <c r="DA15" s="135">
        <v>16359.925962499998</v>
      </c>
      <c r="DB15" s="135">
        <v>17202.0079625</v>
      </c>
      <c r="DC15" s="135">
        <v>19336.604962499998</v>
      </c>
      <c r="DD15" s="135">
        <v>31838.7249625</v>
      </c>
      <c r="DE15" s="135">
        <v>48933.417450920562</v>
      </c>
      <c r="DF15" s="135">
        <v>51822.07607440323</v>
      </c>
      <c r="DG15" s="135">
        <v>54756.459092902507</v>
      </c>
      <c r="DH15" s="135">
        <v>57860.123549197117</v>
      </c>
      <c r="DI15" s="135">
        <v>62050.212259398373</v>
      </c>
      <c r="DJ15" s="135">
        <v>66552.297703301592</v>
      </c>
      <c r="DK15" s="135">
        <v>71385.265925753731</v>
      </c>
      <c r="DL15" s="135">
        <v>76576.520325857666</v>
      </c>
      <c r="DM15" s="135">
        <v>82164.189617135402</v>
      </c>
      <c r="DN15" s="135">
        <v>88182.732723650144</v>
      </c>
      <c r="DO15" s="135">
        <v>94673.099768355067</v>
      </c>
      <c r="DP15" s="135">
        <v>101684.28467669466</v>
      </c>
      <c r="DQ15" s="135">
        <v>109275.68073589397</v>
      </c>
    </row>
    <row r="16" spans="1:121" s="123" customFormat="1">
      <c r="A16" s="107" t="s">
        <v>133</v>
      </c>
      <c r="B16" s="107"/>
      <c r="C16" s="136" t="s">
        <v>1579</v>
      </c>
      <c r="D16" s="147"/>
      <c r="E16" s="107"/>
      <c r="F16" s="513">
        <f>+mamiabc!F25+mamiabc!F26+mamiabc!F27</f>
        <v>5.6799999999999996E-2</v>
      </c>
      <c r="G16" s="513">
        <f>+mamiabc!G25+mamiabc!G26+mamiabc!G27</f>
        <v>5.6399999999999992E-2</v>
      </c>
      <c r="H16" s="513">
        <f>+mamiabc!H25+mamiabc!H26+mamiabc!H27</f>
        <v>6.95999984741211E-2</v>
      </c>
      <c r="I16" s="513">
        <f>+mamiabc!I25+mamiabc!I26+mamiabc!I27</f>
        <v>8.0999998450279234E-2</v>
      </c>
      <c r="J16" s="513">
        <f>+mamiabc!J25+mamiabc!J26+mamiabc!J27</f>
        <v>7.9400000095367435E-2</v>
      </c>
      <c r="K16" s="513">
        <f>+mamiabc!K25+mamiabc!K26+mamiabc!K27</f>
        <v>9.719999694824219E-2</v>
      </c>
      <c r="L16" s="513">
        <f>+mamiabc!L25+mamiabc!L26+mamiabc!L27</f>
        <v>0.11380000162124634</v>
      </c>
      <c r="M16" s="513">
        <f>+mamiabc!M25+mamiabc!M26+mamiabc!M27</f>
        <v>0.11470000314712524</v>
      </c>
      <c r="N16" s="513">
        <f>+mamiabc!N25+mamiabc!N26+mamiabc!N27</f>
        <v>0.11780000281333923</v>
      </c>
      <c r="O16" s="513">
        <f>+mamiabc!O25+mamiabc!O26+mamiabc!O27</f>
        <v>0.12760000133514404</v>
      </c>
      <c r="P16" s="513">
        <f>+mamiabc!P25+mamiabc!P26+mamiabc!P27</f>
        <v>0.17300000619888306</v>
      </c>
      <c r="Q16" s="513">
        <f>+mamiabc!Q25+mamiabc!Q26+mamiabc!Q27</f>
        <v>0.19889999377727507</v>
      </c>
      <c r="R16" s="513">
        <f>+mamiabc!R25+mamiabc!R26+mamiabc!R27</f>
        <v>0.19780000281333923</v>
      </c>
      <c r="S16" s="513">
        <f>+mamiabc!S25+mamiabc!S26+mamiabc!S27</f>
        <v>0.22190000009536742</v>
      </c>
      <c r="T16" s="513">
        <f>+mamiabc!T25+mamiabc!T26+mamiabc!T27</f>
        <v>0.22050000596046448</v>
      </c>
      <c r="U16" s="513">
        <f>+mamiabc!U25+mamiabc!U26+mamiabc!U27</f>
        <v>0.24439999675750734</v>
      </c>
      <c r="V16" s="513">
        <f>+mamiabc!V25+mamiabc!V26+mamiabc!V27</f>
        <v>0.26240000653266909</v>
      </c>
      <c r="W16" s="513">
        <f>+mamiabc!W25+mamiabc!W26+mamiabc!W27</f>
        <v>0.28889999341964723</v>
      </c>
      <c r="X16" s="513">
        <f>+mamiabc!X25+mamiabc!X26+mamiabc!X27</f>
        <v>0.31680001163482663</v>
      </c>
      <c r="Y16" s="513">
        <f>+mamiabc!Y25+mamiabc!Y26+mamiabc!Y27</f>
        <v>0.34900001287460325</v>
      </c>
      <c r="Z16" s="513">
        <f>+mamiabc!Z25+mamiabc!Z26+mamiabc!Z27</f>
        <v>0.53560000467300417</v>
      </c>
      <c r="AA16" s="513">
        <f>+mamiabc!AA25+mamiabc!AA26+mamiabc!AA27</f>
        <v>0.61689997386932371</v>
      </c>
      <c r="AB16" s="513">
        <f>+mamiabc!AB25+mamiabc!AB26+mamiabc!AB27</f>
        <v>0.6400000247955322</v>
      </c>
      <c r="AC16" s="513">
        <f>+mamiabc!AC25+mamiabc!AC26+mamiabc!AC27</f>
        <v>0.86169997596740733</v>
      </c>
      <c r="AD16" s="513">
        <f>+mamiabc!AD25+mamiabc!AD26+mamiabc!AD27</f>
        <v>0.89069997596740724</v>
      </c>
      <c r="AE16" s="513">
        <f>+mamiabc!AE25+mamiabc!AE26+mamiabc!AE27</f>
        <v>0.92690002632141111</v>
      </c>
      <c r="AF16" s="513">
        <f>+mamiabc!AF25+mamiabc!AF26+mamiabc!AF27</f>
        <v>1.2042000007629392</v>
      </c>
      <c r="AG16" s="513">
        <f>+mamiabc!AG25+mamiabc!AG26+mamiabc!AG27</f>
        <v>1.2551999759674073</v>
      </c>
      <c r="AH16" s="513">
        <f>+mamiabc!AH25+mamiabc!AH26+mamiabc!AH27</f>
        <v>1.2042999534606933</v>
      </c>
      <c r="AI16" s="513">
        <f>+mamiabc!AI25+mamiabc!AI26+mamiabc!AI27</f>
        <v>1.0149999866485595</v>
      </c>
      <c r="AJ16" s="513">
        <f>+mamiabc!AJ25+mamiabc!AJ26+mamiabc!AJ27</f>
        <v>0.90680001258850096</v>
      </c>
      <c r="AK16" s="513">
        <f>+mamiabc!AK25+mamiabc!AK26+mamiabc!AK27</f>
        <v>0.79350001144409177</v>
      </c>
      <c r="AL16" s="513">
        <f>+mamiabc!AL25+mamiabc!AL26+mamiabc!AL27</f>
        <v>0.87589999961853027</v>
      </c>
      <c r="AM16" s="513">
        <f>+mamiabc!AM25+mamiabc!AM26+mamiabc!AM27</f>
        <v>1.1529999990463258</v>
      </c>
      <c r="AN16" s="513">
        <f>+mamiabc!AN25+mamiabc!AN26+mamiabc!AN27</f>
        <v>1.4319999999999997</v>
      </c>
      <c r="AO16" s="513">
        <f>+mamiabc!AO25+mamiabc!AO26+mamiabc!AO27</f>
        <v>2.1441000003814694</v>
      </c>
      <c r="AP16" s="513">
        <f>+mamiabc!AP25+mamiabc!AP26+mamiabc!AP27</f>
        <v>2.7993999999999999</v>
      </c>
      <c r="AQ16" s="513">
        <f>+mamiabc!AQ25+mamiabc!AQ26+mamiabc!AQ27</f>
        <v>4.0228999999999999</v>
      </c>
      <c r="AR16" s="513">
        <f>+mamiabc!AR25+mamiabc!AR26+mamiabc!AR27</f>
        <v>5.4316000000000004</v>
      </c>
      <c r="AS16" s="513">
        <f>+mamiabc!AS25+mamiabc!AS26+mamiabc!AS27</f>
        <v>19.848099999999999</v>
      </c>
      <c r="AT16" s="509">
        <f>+mamiabc!AT25+mamiabc!AT26+mamiabc!AT27</f>
        <v>91.422399999999996</v>
      </c>
      <c r="AU16" s="509">
        <f>+mamiabc!AU25+mamiabc!AU26+mamiabc!AU27</f>
        <v>260.38712750000002</v>
      </c>
      <c r="AV16" s="509">
        <f>+mamiabc!AV25+mamiabc!AV26+mamiabc!AV27</f>
        <v>279.41494750000004</v>
      </c>
      <c r="AW16" s="509">
        <f>+mamiabc!AW25+mamiabc!AW26+mamiabc!AW27</f>
        <v>246.58520000000001</v>
      </c>
      <c r="AX16" s="509">
        <f>+mamiabc!AX25+mamiabc!AX26+mamiabc!AX27</f>
        <v>227.2311</v>
      </c>
      <c r="AY16" s="509">
        <f>+mamiabc!AY25+mamiabc!AY26+mamiabc!AY27</f>
        <v>412.52740000000006</v>
      </c>
      <c r="AZ16" s="509">
        <f>+mamiabc!AZ25+mamiabc!AZ26+mamiabc!AZ27</f>
        <v>650.26</v>
      </c>
      <c r="BA16" s="509">
        <f>+mamiabc!BA25+mamiabc!BA26+mamiabc!BA27</f>
        <v>1105.54</v>
      </c>
      <c r="BB16" s="509">
        <f>+mamiabc!BB25+mamiabc!BB26+mamiabc!BB27</f>
        <v>1193.5543</v>
      </c>
      <c r="BC16" s="140">
        <f>SOURCE!BC26</f>
        <v>2061</v>
      </c>
      <c r="BD16" s="140">
        <f>SOURCE!BD26</f>
        <v>2812</v>
      </c>
      <c r="BE16" s="140">
        <f>SOURCE!BE26</f>
        <v>3945</v>
      </c>
      <c r="BF16" s="140">
        <f>SOURCE!BF26</f>
        <v>3273</v>
      </c>
      <c r="BG16" s="140">
        <f>SOURCE!BG26</f>
        <v>3809</v>
      </c>
      <c r="BH16" s="140">
        <f>SOURCE!BH26</f>
        <v>5068</v>
      </c>
      <c r="BI16" s="140">
        <f>SOURCE!BI26</f>
        <v>4659</v>
      </c>
      <c r="BJ16" s="140">
        <f>SOURCE!BJ26</f>
        <v>4607</v>
      </c>
      <c r="BK16" s="123">
        <f t="shared" ref="BK16:BQ16" si="37">+BK131+BK123</f>
        <v>6222.7320949999994</v>
      </c>
      <c r="BL16" s="123">
        <f t="shared" si="37"/>
        <v>7195.0457299999998</v>
      </c>
      <c r="BM16" s="123">
        <f t="shared" si="37"/>
        <v>7561.5289249999996</v>
      </c>
      <c r="BN16" s="123">
        <f t="shared" si="37"/>
        <v>7691.9814649999998</v>
      </c>
      <c r="BO16" s="123">
        <f t="shared" si="37"/>
        <v>7494.9207424999986</v>
      </c>
      <c r="BP16" s="123">
        <f t="shared" si="37"/>
        <v>11651.941975</v>
      </c>
      <c r="BQ16" s="123">
        <f t="shared" si="37"/>
        <v>13844.239974999999</v>
      </c>
      <c r="BR16" s="123">
        <f t="shared" ref="BR16:CB16" si="38">+BR131+BR123</f>
        <v>16099.373975</v>
      </c>
      <c r="BS16" s="123">
        <f t="shared" si="38"/>
        <v>20205.081974999997</v>
      </c>
      <c r="BT16" s="123">
        <f t="shared" si="38"/>
        <v>25323.441974999998</v>
      </c>
      <c r="BU16" s="123">
        <f t="shared" ca="1" si="38"/>
        <v>43471.575867035514</v>
      </c>
      <c r="BV16" s="123">
        <f t="shared" ca="1" si="38"/>
        <v>46422.567049162724</v>
      </c>
      <c r="BW16" s="123">
        <f t="shared" ca="1" si="38"/>
        <v>49584.530871777257</v>
      </c>
      <c r="BX16" s="123">
        <f t="shared" ca="1" si="38"/>
        <v>52848.604437700909</v>
      </c>
      <c r="BY16" s="123">
        <f t="shared" ca="1" si="38"/>
        <v>56357.732586477068</v>
      </c>
      <c r="BZ16" s="123">
        <f t="shared" ca="1" si="38"/>
        <v>60336.60570031048</v>
      </c>
      <c r="CA16" s="123">
        <f t="shared" ca="1" si="38"/>
        <v>64817.555493170366</v>
      </c>
      <c r="CB16" s="123">
        <f t="shared" ca="1" si="38"/>
        <v>69904.860750631706</v>
      </c>
      <c r="CC16" s="123">
        <f ca="1">+CC131+CC123</f>
        <v>75738.873157246402</v>
      </c>
      <c r="CD16" s="123">
        <f ca="1">+CD131+CD123</f>
        <v>82505.181589928223</v>
      </c>
      <c r="CE16" s="123">
        <f ca="1">+CE131+CE123</f>
        <v>90449.631269021978</v>
      </c>
      <c r="CF16" s="123">
        <f ca="1">+CF131+CF123</f>
        <v>99896.727195184721</v>
      </c>
      <c r="CG16" s="123">
        <f ca="1">+CG131+CG123</f>
        <v>111270.51337600671</v>
      </c>
      <c r="CH16" s="141"/>
      <c r="CI16" s="106">
        <f t="shared" si="17"/>
        <v>0</v>
      </c>
      <c r="CJ16" s="106">
        <f t="shared" si="36"/>
        <v>0</v>
      </c>
      <c r="CK16" s="106">
        <f t="shared" si="36"/>
        <v>0</v>
      </c>
      <c r="CL16" s="106">
        <f t="shared" si="36"/>
        <v>0</v>
      </c>
      <c r="CM16" s="106">
        <f t="shared" ca="1" si="36"/>
        <v>3057.7430200993113</v>
      </c>
      <c r="CN16" s="106">
        <f t="shared" ca="1" si="36"/>
        <v>3047.6254749727959</v>
      </c>
      <c r="CO16" s="106">
        <f t="shared" ca="1" si="36"/>
        <v>2876.650152385133</v>
      </c>
      <c r="CP16" s="106">
        <f t="shared" ca="1" si="36"/>
        <v>2541.7109324105841</v>
      </c>
      <c r="CQ16" s="106">
        <f t="shared" ca="1" si="36"/>
        <v>2114.1623711628927</v>
      </c>
      <c r="CR16" s="106">
        <f t="shared" ca="1" si="36"/>
        <v>3090.5742822597967</v>
      </c>
      <c r="CS16" s="106">
        <f t="shared" ca="1" si="36"/>
        <v>2648.3947182893753</v>
      </c>
      <c r="CT16" s="106">
        <f t="shared" ca="1" si="36"/>
        <v>2053.1786206572579</v>
      </c>
      <c r="CU16" s="106">
        <f t="shared" ca="1" si="36"/>
        <v>1298.3756219801726</v>
      </c>
      <c r="CV16" s="106">
        <f t="shared" ca="1" si="9"/>
        <v>365.00043289129098</v>
      </c>
      <c r="CW16" s="106">
        <f t="shared" ca="1" si="10"/>
        <v>-771.05741796639632</v>
      </c>
      <c r="CX16" s="106">
        <f t="shared" ca="1" si="11"/>
        <v>-2150.9776402832067</v>
      </c>
      <c r="CY16" s="106">
        <f t="shared" ca="1" si="12"/>
        <v>-3828.9192015987064</v>
      </c>
      <c r="CZ16" s="134"/>
      <c r="DA16" s="135">
        <v>13844.239974999999</v>
      </c>
      <c r="DB16" s="135">
        <v>16099.373975</v>
      </c>
      <c r="DC16" s="135">
        <v>20205.081974999997</v>
      </c>
      <c r="DD16" s="135">
        <v>25323.441974999998</v>
      </c>
      <c r="DE16" s="135">
        <v>40413.832846936202</v>
      </c>
      <c r="DF16" s="135">
        <v>43374.941574189928</v>
      </c>
      <c r="DG16" s="135">
        <v>46707.880719392124</v>
      </c>
      <c r="DH16" s="135">
        <v>50306.893505290325</v>
      </c>
      <c r="DI16" s="135">
        <v>54243.570215314176</v>
      </c>
      <c r="DJ16" s="135">
        <v>57246.031418050683</v>
      </c>
      <c r="DK16" s="135">
        <v>62169.160774880991</v>
      </c>
      <c r="DL16" s="135">
        <v>67851.682129974448</v>
      </c>
      <c r="DM16" s="135">
        <v>74440.49753526623</v>
      </c>
      <c r="DN16" s="135">
        <v>82140.181157036932</v>
      </c>
      <c r="DO16" s="135">
        <v>91220.688686988375</v>
      </c>
      <c r="DP16" s="135">
        <v>102047.70483546793</v>
      </c>
      <c r="DQ16" s="135">
        <v>115099.43257760542</v>
      </c>
    </row>
    <row r="17" spans="1:121" s="123" customFormat="1">
      <c r="A17" s="107" t="s">
        <v>1963</v>
      </c>
      <c r="B17" s="107"/>
      <c r="C17" s="136" t="s">
        <v>1579</v>
      </c>
      <c r="D17" s="147"/>
      <c r="E17" s="107"/>
      <c r="F17" s="512">
        <f>+SOURCE!F29</f>
        <v>0.15124899999999999</v>
      </c>
      <c r="G17" s="512">
        <f>+SOURCE!G29</f>
        <v>0.16252206781053538</v>
      </c>
      <c r="H17" s="512">
        <f>+SOURCE!H29</f>
        <v>0.17184962525010106</v>
      </c>
      <c r="I17" s="512">
        <f>+SOURCE!I29</f>
        <v>0.19039999999999999</v>
      </c>
      <c r="J17" s="512">
        <f>+SOURCE!J29</f>
        <v>0.19397</v>
      </c>
      <c r="K17" s="512">
        <f>+SOURCE!K29</f>
        <v>0.21538999999999997</v>
      </c>
      <c r="L17" s="512">
        <f>+SOURCE!L29</f>
        <v>0.23680999999999999</v>
      </c>
      <c r="M17" s="512">
        <f>+SOURCE!M29</f>
        <v>0.25584999999999997</v>
      </c>
      <c r="N17" s="512">
        <f>+SOURCE!N29</f>
        <v>0.27607999999999999</v>
      </c>
      <c r="O17" s="512">
        <f>+SOURCE!O29</f>
        <v>0.29987999999999998</v>
      </c>
      <c r="P17" s="512">
        <f>+SOURCE!P29</f>
        <v>0.32011000000000001</v>
      </c>
      <c r="Q17" s="512">
        <f>+SOURCE!Q29</f>
        <v>0.36770999999999998</v>
      </c>
      <c r="R17" s="512">
        <f>+SOURCE!R29</f>
        <v>0.45338999999999996</v>
      </c>
      <c r="S17" s="512">
        <f>+SOURCE!S29</f>
        <v>0.52478999999999998</v>
      </c>
      <c r="T17" s="512">
        <f>+SOURCE!T29</f>
        <v>0.57477</v>
      </c>
      <c r="U17" s="512">
        <f>+SOURCE!U29</f>
        <v>0.61760999999999999</v>
      </c>
      <c r="V17" s="512">
        <f>+SOURCE!V29</f>
        <v>0.65449999999999997</v>
      </c>
      <c r="W17" s="512">
        <f>+SOURCE!W29</f>
        <v>0.71637999999999991</v>
      </c>
      <c r="X17" s="512">
        <f>+SOURCE!X29</f>
        <v>0.74256</v>
      </c>
      <c r="Y17" s="512">
        <f>+SOURCE!Y29</f>
        <v>0.80801000000000001</v>
      </c>
      <c r="Z17" s="512">
        <f>+SOURCE!Z29</f>
        <v>0.97579999999999989</v>
      </c>
      <c r="AA17" s="512">
        <f>+SOURCE!AA29</f>
        <v>1.10789</v>
      </c>
      <c r="AB17" s="512">
        <f>+SOURCE!AB29</f>
        <v>1.2030899999999998</v>
      </c>
      <c r="AC17" s="512">
        <f>+SOURCE!AC29</f>
        <v>1.5267699999999997</v>
      </c>
      <c r="AD17" s="512">
        <f>+SOURCE!AD29</f>
        <v>1.7504900000000001</v>
      </c>
      <c r="AE17" s="512">
        <f>+SOURCE!AE29</f>
        <v>1.8623499999999999</v>
      </c>
      <c r="AF17" s="512">
        <f>+SOURCE!AF29</f>
        <v>1.8921000000000001</v>
      </c>
      <c r="AG17" s="512">
        <f>+SOURCE!AG29</f>
        <v>2.1158199999999998</v>
      </c>
      <c r="AH17" s="512">
        <f>+SOURCE!AH29</f>
        <v>2.1777000000000002</v>
      </c>
      <c r="AI17" s="512">
        <f>+SOURCE!AI29</f>
        <v>2.1027299999999998</v>
      </c>
      <c r="AJ17" s="512">
        <f>+SOURCE!AJ29</f>
        <v>2.1205799999999999</v>
      </c>
      <c r="AK17" s="512">
        <f>+SOURCE!AK29</f>
        <v>2.0777399999999999</v>
      </c>
      <c r="AL17" s="512">
        <f>+SOURCE!AL29</f>
        <v>2.1205799999999999</v>
      </c>
      <c r="AM17" s="512">
        <f>+SOURCE!AM29</f>
        <v>2.3323999999999998</v>
      </c>
      <c r="AN17" s="512">
        <f>+SOURCE!AN29</f>
        <v>2.7631799999999997</v>
      </c>
      <c r="AO17" s="512">
        <f>+SOURCE!AO29</f>
        <v>3.2284699999999997</v>
      </c>
      <c r="AP17" s="512">
        <f>+SOURCE!AP29</f>
        <v>3.8839999999999999</v>
      </c>
      <c r="AQ17" s="512">
        <f>+SOURCE!AQ29</f>
        <v>4.4809999999999999</v>
      </c>
      <c r="AR17" s="512">
        <f>+SOURCE!AR29</f>
        <v>6.069</v>
      </c>
      <c r="AS17" s="512">
        <f>+SOURCE!AS29</f>
        <v>14.577999999999999</v>
      </c>
      <c r="AT17" s="232">
        <f>+SOURCE!AT29</f>
        <v>81.135999999999996</v>
      </c>
      <c r="AU17" s="232">
        <f>+SOURCE!AU29</f>
        <v>305.68299999999999</v>
      </c>
      <c r="AV17" s="232">
        <f>+SOURCE!AV29</f>
        <v>345.42599999999999</v>
      </c>
      <c r="AW17" s="232">
        <f>+SOURCE!AW29</f>
        <v>370.56900000000002</v>
      </c>
      <c r="AX17" s="232">
        <f>+SOURCE!AX29</f>
        <v>444.34</v>
      </c>
      <c r="AY17" s="232">
        <f>+SOURCE!AY29</f>
        <v>762.21</v>
      </c>
      <c r="AZ17" s="232">
        <f>+SOURCE!AZ29</f>
        <v>1250.9269999999999</v>
      </c>
      <c r="BA17" s="232">
        <f>+SOURCE!BA29</f>
        <v>1818.729</v>
      </c>
      <c r="BB17" s="232">
        <f>+SOURCE!BB29</f>
        <v>2569.9</v>
      </c>
      <c r="BC17" s="232">
        <f>+SOURCE!BC29</f>
        <v>3314.1689999999999</v>
      </c>
      <c r="BD17" s="232">
        <f>+SOURCE!BD29</f>
        <v>4057.5</v>
      </c>
      <c r="BE17" s="232">
        <f>+SOURCE!BE29</f>
        <v>4899</v>
      </c>
      <c r="BF17" s="232">
        <f>+SOURCE!BF29</f>
        <v>7206.3</v>
      </c>
      <c r="BG17" s="232">
        <f>+SOURCE!BG29</f>
        <v>8060.5</v>
      </c>
      <c r="BH17" s="232">
        <f>+SOURCE!BH29</f>
        <v>9698.1</v>
      </c>
      <c r="BI17" s="232">
        <f>+SOURCE!BI29</f>
        <v>10638.4</v>
      </c>
      <c r="BJ17" s="232">
        <f>+SOURCE!BJ29</f>
        <v>11988.7</v>
      </c>
      <c r="BK17" s="232">
        <f>+SOURCE!BK29</f>
        <v>14452</v>
      </c>
      <c r="BL17" s="232">
        <f>+SOURCE!BL29</f>
        <v>16434</v>
      </c>
      <c r="BM17" s="232">
        <f>+SOURCE!BM29</f>
        <v>16981</v>
      </c>
      <c r="BN17" s="232">
        <f>+SOURCE!BN29</f>
        <v>17294</v>
      </c>
      <c r="BO17" s="232">
        <f>+SOURCE!BO29</f>
        <v>16357</v>
      </c>
      <c r="BP17" s="232">
        <f>+SOURCE!BP29</f>
        <v>19489</v>
      </c>
      <c r="BQ17" s="232">
        <f>+SOURCE!BQ29</f>
        <v>24036</v>
      </c>
      <c r="BR17" s="232">
        <f>+SOURCE!BR29</f>
        <v>25806</v>
      </c>
      <c r="BS17" s="232">
        <f>+SOURCE!BS29</f>
        <v>27572</v>
      </c>
      <c r="BT17" s="232">
        <f>+SOURCE!BT29</f>
        <v>32155</v>
      </c>
      <c r="BU17" s="123">
        <f t="shared" ref="BU17:CB17" ca="1" si="39">+BU8+BU9+BU12+BU15-BU16</f>
        <v>61270.070284568152</v>
      </c>
      <c r="BV17" s="123">
        <f t="shared" ca="1" si="39"/>
        <v>71091.423939256289</v>
      </c>
      <c r="BW17" s="123">
        <f t="shared" ca="1" si="39"/>
        <v>79334.623267204486</v>
      </c>
      <c r="BX17" s="123">
        <f t="shared" ca="1" si="39"/>
        <v>86225.126074086613</v>
      </c>
      <c r="BY17" s="123">
        <f t="shared" ca="1" si="39"/>
        <v>95613.503714921622</v>
      </c>
      <c r="BZ17" s="123">
        <f t="shared" ca="1" si="39"/>
        <v>107081.73617900164</v>
      </c>
      <c r="CA17" s="123">
        <f t="shared" ca="1" si="39"/>
        <v>121086.80985778375</v>
      </c>
      <c r="CB17" s="123">
        <f t="shared" ca="1" si="39"/>
        <v>138544.50969871966</v>
      </c>
      <c r="CC17" s="123">
        <f ca="1">+CC8+CC9+CC12+CC15-CC16</f>
        <v>160815.79109512223</v>
      </c>
      <c r="CD17" s="123">
        <f ca="1">+CD8+CD9+CD12+CD15-CD16</f>
        <v>190010.58082975267</v>
      </c>
      <c r="CE17" s="123">
        <f ca="1">+CE8+CE9+CE12+CE15-CE16</f>
        <v>229497.78972907658</v>
      </c>
      <c r="CF17" s="123">
        <f ca="1">+CF8+CF9+CF12+CF15-CF16</f>
        <v>284838.70839554298</v>
      </c>
      <c r="CG17" s="123">
        <f ca="1">+CG8+CG9+CG12+CG15-CG16</f>
        <v>365555.94178028265</v>
      </c>
      <c r="CI17" s="106">
        <f>BQ17-DA17</f>
        <v>0</v>
      </c>
      <c r="CJ17" s="106">
        <f t="shared" si="36"/>
        <v>0</v>
      </c>
      <c r="CK17" s="106">
        <f t="shared" si="36"/>
        <v>0</v>
      </c>
      <c r="CL17" s="106">
        <f t="shared" si="36"/>
        <v>0</v>
      </c>
      <c r="CM17" s="106">
        <f t="shared" ca="1" si="36"/>
        <v>2608.8231498141831</v>
      </c>
      <c r="CN17" s="106">
        <f t="shared" ca="1" si="36"/>
        <v>3949.7922498708358</v>
      </c>
      <c r="CO17" s="106">
        <f t="shared" ca="1" si="36"/>
        <v>3767.7011415690795</v>
      </c>
      <c r="CP17" s="106">
        <f t="shared" ca="1" si="36"/>
        <v>2864.4883267071564</v>
      </c>
      <c r="CQ17" s="106">
        <f t="shared" ca="1" si="36"/>
        <v>1624.5976542745339</v>
      </c>
      <c r="CR17" s="106">
        <f t="shared" ca="1" si="36"/>
        <v>2675.1647087593155</v>
      </c>
      <c r="CS17" s="106">
        <f t="shared" ca="1" si="36"/>
        <v>1325.9091928077978</v>
      </c>
      <c r="CT17" s="106">
        <f t="shared" ca="1" si="36"/>
        <v>-289.71183063177159</v>
      </c>
      <c r="CU17" s="106">
        <f t="shared" ca="1" si="36"/>
        <v>-3051.9361377728637</v>
      </c>
      <c r="CV17" s="106">
        <f t="shared" ca="1" si="9"/>
        <v>-7330.2857281050528</v>
      </c>
      <c r="CW17" s="106">
        <f t="shared" ca="1" si="10"/>
        <v>-13913.949569064804</v>
      </c>
      <c r="CX17" s="106">
        <f t="shared" ca="1" si="11"/>
        <v>-24325.887637332838</v>
      </c>
      <c r="CY17" s="106">
        <f t="shared" ca="1" si="12"/>
        <v>-41440.622165620734</v>
      </c>
      <c r="CZ17" s="134"/>
      <c r="DA17" s="135">
        <v>24036</v>
      </c>
      <c r="DB17" s="135">
        <v>25806</v>
      </c>
      <c r="DC17" s="135">
        <v>27572</v>
      </c>
      <c r="DD17" s="135">
        <v>32155</v>
      </c>
      <c r="DE17" s="135">
        <v>58661.247134753969</v>
      </c>
      <c r="DF17" s="135">
        <v>67141.631689385453</v>
      </c>
      <c r="DG17" s="135">
        <v>75566.922125635407</v>
      </c>
      <c r="DH17" s="135">
        <v>83360.637747379456</v>
      </c>
      <c r="DI17" s="135">
        <v>93988.906060647088</v>
      </c>
      <c r="DJ17" s="135">
        <v>104406.57147024233</v>
      </c>
      <c r="DK17" s="135">
        <v>119760.90066497595</v>
      </c>
      <c r="DL17" s="135">
        <v>138834.22152935143</v>
      </c>
      <c r="DM17" s="135">
        <v>163867.72723289509</v>
      </c>
      <c r="DN17" s="135">
        <v>197340.86655785772</v>
      </c>
      <c r="DO17" s="135">
        <v>243411.73929814139</v>
      </c>
      <c r="DP17" s="135">
        <v>309164.59603287582</v>
      </c>
      <c r="DQ17" s="135">
        <v>406996.56394590338</v>
      </c>
    </row>
    <row r="18" spans="1:121" s="123" customFormat="1">
      <c r="A18" s="107" t="s">
        <v>3067</v>
      </c>
      <c r="B18" s="107"/>
      <c r="C18" s="136" t="s">
        <v>1349</v>
      </c>
      <c r="D18" s="147"/>
      <c r="E18" s="107"/>
      <c r="F18" s="107"/>
      <c r="G18" s="123">
        <f t="shared" ref="G18:AL18" si="40">((G17/F17)-1)*100</f>
        <v>7.4533172520382829</v>
      </c>
      <c r="H18" s="123">
        <f t="shared" si="40"/>
        <v>5.7392559454999992</v>
      </c>
      <c r="I18" s="123">
        <f t="shared" si="40"/>
        <v>10.794538959803756</v>
      </c>
      <c r="J18" s="123">
        <f t="shared" si="40"/>
        <v>1.8750000000000044</v>
      </c>
      <c r="K18" s="123">
        <f t="shared" si="40"/>
        <v>11.042944785276054</v>
      </c>
      <c r="L18" s="123">
        <f t="shared" si="40"/>
        <v>9.9447513812154895</v>
      </c>
      <c r="M18" s="123">
        <f t="shared" si="40"/>
        <v>8.040201005025116</v>
      </c>
      <c r="N18" s="123">
        <f t="shared" si="40"/>
        <v>7.9069767441860561</v>
      </c>
      <c r="O18" s="123">
        <f t="shared" si="40"/>
        <v>8.6206896551724199</v>
      </c>
      <c r="P18" s="123">
        <f t="shared" si="40"/>
        <v>6.7460317460317443</v>
      </c>
      <c r="Q18" s="123">
        <f t="shared" si="40"/>
        <v>14.869888475836412</v>
      </c>
      <c r="R18" s="123">
        <f t="shared" si="40"/>
        <v>23.300970873786397</v>
      </c>
      <c r="S18" s="123">
        <f t="shared" si="40"/>
        <v>15.748031496063009</v>
      </c>
      <c r="T18" s="123">
        <f t="shared" si="40"/>
        <v>9.5238095238095344</v>
      </c>
      <c r="U18" s="123">
        <f t="shared" si="40"/>
        <v>7.4534161490683148</v>
      </c>
      <c r="V18" s="123">
        <f t="shared" si="40"/>
        <v>5.9730250481695446</v>
      </c>
      <c r="W18" s="123">
        <f t="shared" si="40"/>
        <v>9.4545454545454497</v>
      </c>
      <c r="X18" s="123">
        <f t="shared" si="40"/>
        <v>3.6544850498338999</v>
      </c>
      <c r="Y18" s="123">
        <f t="shared" si="40"/>
        <v>8.814102564102555</v>
      </c>
      <c r="Z18" s="123">
        <f t="shared" si="40"/>
        <v>20.765832106038285</v>
      </c>
      <c r="AA18" s="123">
        <f t="shared" si="40"/>
        <v>13.536585365853671</v>
      </c>
      <c r="AB18" s="123">
        <f t="shared" si="40"/>
        <v>8.5929108485499164</v>
      </c>
      <c r="AC18" s="123">
        <f t="shared" si="40"/>
        <v>26.904055390702286</v>
      </c>
      <c r="AD18" s="123">
        <f t="shared" si="40"/>
        <v>14.653156664068611</v>
      </c>
      <c r="AE18" s="123">
        <f t="shared" si="40"/>
        <v>6.390210740992508</v>
      </c>
      <c r="AF18" s="123">
        <f t="shared" si="40"/>
        <v>1.5974440894568787</v>
      </c>
      <c r="AG18" s="123">
        <f t="shared" si="40"/>
        <v>11.823899371069157</v>
      </c>
      <c r="AH18" s="123">
        <f t="shared" si="40"/>
        <v>2.9246344206974362</v>
      </c>
      <c r="AI18" s="123">
        <f t="shared" si="40"/>
        <v>-3.4426229508196959</v>
      </c>
      <c r="AJ18" s="123">
        <f t="shared" si="40"/>
        <v>0.84889643463497144</v>
      </c>
      <c r="AK18" s="123">
        <f t="shared" si="40"/>
        <v>-2.0202020202020221</v>
      </c>
      <c r="AL18" s="123">
        <f t="shared" si="40"/>
        <v>2.0618556701030855</v>
      </c>
      <c r="AM18" s="123">
        <f t="shared" ref="AM18:BC18" si="41">((AM17/AL17)-1)*100</f>
        <v>9.9887766554433099</v>
      </c>
      <c r="AN18" s="123">
        <f t="shared" si="41"/>
        <v>18.46938775510203</v>
      </c>
      <c r="AO18" s="123">
        <f t="shared" si="41"/>
        <v>16.838931955211024</v>
      </c>
      <c r="AP18" s="123">
        <f t="shared" si="41"/>
        <v>20.304664438573084</v>
      </c>
      <c r="AQ18" s="123">
        <f t="shared" si="41"/>
        <v>15.370751802265703</v>
      </c>
      <c r="AR18" s="123">
        <f t="shared" si="41"/>
        <v>35.438518187904492</v>
      </c>
      <c r="AS18" s="123">
        <f t="shared" si="41"/>
        <v>140.204317020926</v>
      </c>
      <c r="AT18" s="123">
        <f t="shared" si="41"/>
        <v>456.5646865139251</v>
      </c>
      <c r="AU18" s="123">
        <f t="shared" si="41"/>
        <v>276.75384539538555</v>
      </c>
      <c r="AV18" s="123">
        <f t="shared" si="41"/>
        <v>13.001377243745971</v>
      </c>
      <c r="AW18" s="123">
        <f t="shared" si="41"/>
        <v>7.2788383040072402</v>
      </c>
      <c r="AX18" s="123">
        <f t="shared" si="41"/>
        <v>19.907493611176321</v>
      </c>
      <c r="AY18" s="123">
        <f t="shared" si="41"/>
        <v>71.537561326911842</v>
      </c>
      <c r="AZ18" s="123">
        <f t="shared" si="41"/>
        <v>64.118418808464824</v>
      </c>
      <c r="BA18" s="123">
        <f t="shared" si="41"/>
        <v>45.390498406381852</v>
      </c>
      <c r="BB18" s="123">
        <f t="shared" si="41"/>
        <v>41.301975170572412</v>
      </c>
      <c r="BC18" s="123">
        <f t="shared" si="41"/>
        <v>28.961010156037183</v>
      </c>
      <c r="BD18" s="123">
        <f t="shared" ref="BD18:BJ18" si="42">((BD17/BC17)-1)*100</f>
        <v>22.428880361864479</v>
      </c>
      <c r="BE18" s="123">
        <f t="shared" si="42"/>
        <v>20.739371534195939</v>
      </c>
      <c r="BF18" s="123">
        <f t="shared" si="42"/>
        <v>47.097366809552966</v>
      </c>
      <c r="BG18" s="123">
        <f t="shared" si="42"/>
        <v>11.853517061460117</v>
      </c>
      <c r="BH18" s="123">
        <f t="shared" si="42"/>
        <v>20.31635754605794</v>
      </c>
      <c r="BI18" s="123">
        <f t="shared" si="42"/>
        <v>9.6957135933842586</v>
      </c>
      <c r="BJ18" s="123">
        <f t="shared" si="42"/>
        <v>12.692698150097769</v>
      </c>
      <c r="BK18" s="123">
        <f t="shared" ref="BK18:BP18" si="43">((BK17/BJ17)-1)*100</f>
        <v>20.546848282132334</v>
      </c>
      <c r="BL18" s="123">
        <f t="shared" si="43"/>
        <v>13.714364793800172</v>
      </c>
      <c r="BM18" s="123">
        <f t="shared" si="43"/>
        <v>3.3284653766581407</v>
      </c>
      <c r="BN18" s="123">
        <f t="shared" si="43"/>
        <v>1.8432365585065558</v>
      </c>
      <c r="BO18" s="123">
        <f t="shared" si="43"/>
        <v>-5.4180640684630461</v>
      </c>
      <c r="BP18" s="123">
        <f t="shared" si="43"/>
        <v>19.147765482667968</v>
      </c>
      <c r="BQ18" s="123">
        <f t="shared" ref="BQ18:CB18" si="44">((BQ17/BP17)-1)*100</f>
        <v>23.331109856842325</v>
      </c>
      <c r="BR18" s="123">
        <f t="shared" si="44"/>
        <v>7.3639540688966498</v>
      </c>
      <c r="BS18" s="123">
        <f t="shared" si="44"/>
        <v>6.8433697589707743</v>
      </c>
      <c r="BT18" s="123">
        <f t="shared" si="44"/>
        <v>16.62193529667779</v>
      </c>
      <c r="BU18" s="123">
        <f t="shared" ca="1" si="44"/>
        <v>90.546012391752924</v>
      </c>
      <c r="BV18" s="123">
        <f t="shared" ca="1" si="44"/>
        <v>16.029610557116982</v>
      </c>
      <c r="BW18" s="123">
        <f t="shared" ca="1" si="44"/>
        <v>11.59520919849848</v>
      </c>
      <c r="BX18" s="123">
        <f t="shared" ca="1" si="44"/>
        <v>8.6853665185683724</v>
      </c>
      <c r="BY18" s="123">
        <f t="shared" ca="1" si="44"/>
        <v>10.888215614516227</v>
      </c>
      <c r="BZ18" s="123">
        <f t="shared" ca="1" si="44"/>
        <v>11.99436483184777</v>
      </c>
      <c r="CA18" s="123">
        <f t="shared" ca="1" si="44"/>
        <v>13.078863098904868</v>
      </c>
      <c r="CB18" s="123">
        <f t="shared" ca="1" si="44"/>
        <v>14.417507457203582</v>
      </c>
      <c r="CC18" s="123">
        <f ca="1">((CC17/CB17)-1)*100</f>
        <v>16.075181502922</v>
      </c>
      <c r="CD18" s="123">
        <f ca="1">((CD17/CC17)-1)*100</f>
        <v>18.1541809643319</v>
      </c>
      <c r="CE18" s="123">
        <f ca="1">((CE17/CD17)-1)*100</f>
        <v>20.781584229093021</v>
      </c>
      <c r="CF18" s="123">
        <f ca="1">((CF17/CE17)-1)*100</f>
        <v>24.113922287354782</v>
      </c>
      <c r="CG18" s="123">
        <f ca="1">((CG17/CF17)-1)*100</f>
        <v>28.337873682761973</v>
      </c>
      <c r="CH18" s="141"/>
      <c r="CI18" s="213">
        <f>BQ18-DA18</f>
        <v>0</v>
      </c>
      <c r="CJ18" s="213">
        <f t="shared" si="36"/>
        <v>0</v>
      </c>
      <c r="CK18" s="213">
        <f t="shared" si="36"/>
        <v>0</v>
      </c>
      <c r="CL18" s="213">
        <f t="shared" si="36"/>
        <v>0</v>
      </c>
      <c r="CM18" s="213">
        <f t="shared" ca="1" si="36"/>
        <v>8.1132736738118041</v>
      </c>
      <c r="CN18" s="213">
        <f t="shared" ca="1" si="36"/>
        <v>1.5730741402373312</v>
      </c>
      <c r="CO18" s="213">
        <f t="shared" ca="1" si="36"/>
        <v>-0.95332473530211814</v>
      </c>
      <c r="CP18" s="213">
        <f t="shared" ca="1" si="36"/>
        <v>-1.6282937477402726</v>
      </c>
      <c r="CQ18" s="213">
        <f t="shared" ca="1" si="36"/>
        <v>-1.8615288697763539</v>
      </c>
      <c r="CR18" s="213">
        <f t="shared" ca="1" si="36"/>
        <v>0.91043392315823901</v>
      </c>
      <c r="CS18" s="213">
        <f t="shared" ca="1" si="36"/>
        <v>-1.6274230845370283</v>
      </c>
      <c r="CT18" s="213">
        <f t="shared" ca="1" si="36"/>
        <v>-1.5086593956426189</v>
      </c>
      <c r="CU18" s="213">
        <f t="shared" ca="1" si="36"/>
        <v>-1.9560397822790918</v>
      </c>
      <c r="CV18" s="213">
        <f t="shared" ca="1" si="9"/>
        <v>-2.2727450022370448</v>
      </c>
      <c r="CW18" s="213">
        <f t="shared" ca="1" si="10"/>
        <v>-2.5642505915807163</v>
      </c>
      <c r="CX18" s="213">
        <f t="shared" ca="1" si="11"/>
        <v>-2.8990956239126184</v>
      </c>
      <c r="CY18" s="213">
        <f t="shared" ca="1" si="12"/>
        <v>-3.3061014581122947</v>
      </c>
      <c r="CZ18" s="134"/>
      <c r="DA18" s="135">
        <v>23.331109856842325</v>
      </c>
      <c r="DB18" s="135">
        <v>7.3639540688966498</v>
      </c>
      <c r="DC18" s="135">
        <v>6.8433697589707743</v>
      </c>
      <c r="DD18" s="135">
        <v>16.62193529667779</v>
      </c>
      <c r="DE18" s="135">
        <v>82.43273871794112</v>
      </c>
      <c r="DF18" s="135">
        <v>14.456536416879651</v>
      </c>
      <c r="DG18" s="135">
        <v>12.548533933800599</v>
      </c>
      <c r="DH18" s="135">
        <v>10.313660266308645</v>
      </c>
      <c r="DI18" s="135">
        <v>12.749744484292581</v>
      </c>
      <c r="DJ18" s="135">
        <v>11.083930908689531</v>
      </c>
      <c r="DK18" s="135">
        <v>14.706286183441897</v>
      </c>
      <c r="DL18" s="135">
        <v>15.926166852846201</v>
      </c>
      <c r="DM18" s="135">
        <v>18.031221285201092</v>
      </c>
      <c r="DN18" s="135">
        <v>20.426925966568945</v>
      </c>
      <c r="DO18" s="135">
        <v>23.345834820673737</v>
      </c>
      <c r="DP18" s="135">
        <v>27.013017911267401</v>
      </c>
      <c r="DQ18" s="135">
        <v>31.643975140874268</v>
      </c>
    </row>
    <row r="19" spans="1:121">
      <c r="A19" s="149"/>
      <c r="B19" s="149"/>
      <c r="C19" s="150"/>
      <c r="D19" s="102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3" t="s">
        <v>1344</v>
      </c>
      <c r="BP19" s="128" t="s">
        <v>1344</v>
      </c>
      <c r="BQ19" s="128"/>
      <c r="BR19" s="128"/>
      <c r="BS19" s="123" t="s">
        <v>1344</v>
      </c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DC19" s="104" t="s">
        <v>1344</v>
      </c>
    </row>
    <row r="20" spans="1:121">
      <c r="A20" s="149" t="s">
        <v>1779</v>
      </c>
      <c r="C20" s="132" t="s">
        <v>1579</v>
      </c>
      <c r="G20" s="133">
        <f t="shared" ref="G20:BQ20" si="45">0.8*((G63+G64+G66+G67+G65+G69)*0.8+(F63+F64+F66+F67+F65+F69)*0.2)+0.4*(G71*0.5+F71*0.5)</f>
        <v>8.2234213562107084E-2</v>
      </c>
      <c r="H20" s="133">
        <f t="shared" si="45"/>
        <v>8.7255494925427418E-2</v>
      </c>
      <c r="I20" s="133">
        <f t="shared" si="45"/>
        <v>9.5700700660228705E-2</v>
      </c>
      <c r="J20" s="133">
        <f t="shared" si="45"/>
        <v>0.10180578157031536</v>
      </c>
      <c r="K20" s="133">
        <f t="shared" si="45"/>
        <v>0.10678564933729173</v>
      </c>
      <c r="L20" s="133">
        <f t="shared" si="45"/>
        <v>0.11512643570661546</v>
      </c>
      <c r="M20" s="133">
        <f t="shared" si="45"/>
        <v>0.12759067364645005</v>
      </c>
      <c r="N20" s="133">
        <f t="shared" si="45"/>
        <v>0.13730930430269242</v>
      </c>
      <c r="O20" s="133">
        <f t="shared" si="45"/>
        <v>0.14654953652691843</v>
      </c>
      <c r="P20" s="133">
        <f t="shared" si="45"/>
        <v>0.15872162210154533</v>
      </c>
      <c r="Q20" s="133">
        <f t="shared" si="45"/>
        <v>0.17516589638853075</v>
      </c>
      <c r="R20" s="133">
        <f t="shared" si="45"/>
        <v>0.20900396285891532</v>
      </c>
      <c r="S20" s="133">
        <f t="shared" si="45"/>
        <v>0.23778845895743372</v>
      </c>
      <c r="T20" s="133">
        <f t="shared" si="45"/>
        <v>0.25968073775959022</v>
      </c>
      <c r="U20" s="133">
        <f t="shared" si="45"/>
        <v>0.27961622225618366</v>
      </c>
      <c r="V20" s="133">
        <f t="shared" si="45"/>
        <v>0.30681828254175186</v>
      </c>
      <c r="W20" s="133">
        <f t="shared" si="45"/>
        <v>0.32522404354906076</v>
      </c>
      <c r="X20" s="133">
        <f t="shared" si="45"/>
        <v>0.35443867739278079</v>
      </c>
      <c r="Y20" s="133">
        <f t="shared" si="45"/>
        <v>0.38662531981432446</v>
      </c>
      <c r="Z20" s="133">
        <f t="shared" si="45"/>
        <v>0.45743450006228686</v>
      </c>
      <c r="AA20" s="133">
        <f t="shared" si="45"/>
        <v>0.52937059875774395</v>
      </c>
      <c r="AB20" s="133">
        <f t="shared" si="45"/>
        <v>0.57025519939517977</v>
      </c>
      <c r="AC20" s="133">
        <f t="shared" si="45"/>
        <v>0.71443319931697846</v>
      </c>
      <c r="AD20" s="133">
        <f t="shared" si="45"/>
        <v>0.85800320228290561</v>
      </c>
      <c r="AE20" s="133">
        <f t="shared" si="45"/>
        <v>0.91181280638027196</v>
      </c>
      <c r="AF20" s="133">
        <f t="shared" si="45"/>
        <v>0.97828975348949421</v>
      </c>
      <c r="AG20" s="133">
        <f t="shared" si="45"/>
        <v>1.0970622855081558</v>
      </c>
      <c r="AH20" s="133">
        <f t="shared" si="45"/>
        <v>1.2096556614556313</v>
      </c>
      <c r="AI20" s="133">
        <f t="shared" si="45"/>
        <v>1.2274649873147012</v>
      </c>
      <c r="AJ20" s="133">
        <f t="shared" si="45"/>
        <v>1.2405218214864733</v>
      </c>
      <c r="AK20" s="133">
        <f t="shared" si="45"/>
        <v>1.2562092614021303</v>
      </c>
      <c r="AL20" s="133">
        <f t="shared" si="45"/>
        <v>1.2316673779481055</v>
      </c>
      <c r="AM20" s="133">
        <f t="shared" si="45"/>
        <v>1.2539069534460308</v>
      </c>
      <c r="AN20" s="133">
        <f t="shared" si="45"/>
        <v>1.4248919949833156</v>
      </c>
      <c r="AO20" s="133">
        <f t="shared" si="45"/>
        <v>1.617645992393792</v>
      </c>
      <c r="AP20" s="133">
        <f t="shared" si="45"/>
        <v>1.8611148023632051</v>
      </c>
      <c r="AQ20" s="133">
        <f t="shared" si="45"/>
        <v>2.3101972009155283</v>
      </c>
      <c r="AR20" s="133">
        <f t="shared" si="45"/>
        <v>2.974036678894044</v>
      </c>
      <c r="AS20" s="133">
        <f t="shared" si="45"/>
        <v>5.6020474804199232</v>
      </c>
      <c r="AT20" s="133">
        <f t="shared" si="45"/>
        <v>27.547044800000002</v>
      </c>
      <c r="AU20" s="133">
        <f t="shared" si="45"/>
        <v>109.19685459627331</v>
      </c>
      <c r="AV20" s="133">
        <f t="shared" si="45"/>
        <v>175.33122798260871</v>
      </c>
      <c r="AW20" s="133">
        <f t="shared" si="45"/>
        <v>197.97725680000002</v>
      </c>
      <c r="AX20" s="133">
        <f t="shared" si="45"/>
        <v>244.52201338780165</v>
      </c>
      <c r="AY20" s="133">
        <f t="shared" si="45"/>
        <v>380.78594429797676</v>
      </c>
      <c r="AZ20" s="133">
        <f t="shared" si="45"/>
        <v>588.97325038214183</v>
      </c>
      <c r="BA20" s="133">
        <f t="shared" si="45"/>
        <v>888.55111496557993</v>
      </c>
      <c r="BB20" s="133">
        <f t="shared" si="45"/>
        <v>1191.1372477022774</v>
      </c>
      <c r="BC20" s="133">
        <f t="shared" si="45"/>
        <v>1547.21616650941</v>
      </c>
      <c r="BD20" s="133">
        <f t="shared" ca="1" si="45"/>
        <v>1895.4288102012979</v>
      </c>
      <c r="BE20" s="133">
        <f t="shared" ca="1" si="45"/>
        <v>2276.7130785306654</v>
      </c>
      <c r="BF20" s="133">
        <f t="shared" ca="1" si="45"/>
        <v>4102.0977300138948</v>
      </c>
      <c r="BG20" s="133">
        <f t="shared" si="45"/>
        <v>4762.8527897294152</v>
      </c>
      <c r="BH20" s="133">
        <f t="shared" si="45"/>
        <v>5416.8370588568305</v>
      </c>
      <c r="BI20" s="133">
        <f t="shared" si="45"/>
        <v>6300.2416951595342</v>
      </c>
      <c r="BJ20" s="133">
        <f t="shared" si="45"/>
        <v>6771.4914994607007</v>
      </c>
      <c r="BK20" s="133">
        <f t="shared" si="45"/>
        <v>7920.0091770373174</v>
      </c>
      <c r="BL20" s="133">
        <f t="shared" si="45"/>
        <v>8933.9014510978068</v>
      </c>
      <c r="BM20" s="133">
        <f t="shared" si="45"/>
        <v>10161.142735107442</v>
      </c>
      <c r="BN20" s="133">
        <f t="shared" si="45"/>
        <v>10542.76813653611</v>
      </c>
      <c r="BO20" s="133">
        <f t="shared" si="45"/>
        <v>10313.785827818316</v>
      </c>
      <c r="BP20" s="133">
        <f t="shared" si="45"/>
        <v>12001.799559211529</v>
      </c>
      <c r="BQ20" s="133">
        <f t="shared" si="45"/>
        <v>14293.236075510627</v>
      </c>
      <c r="BR20" s="133">
        <f t="shared" ref="BR20:CC20" si="46">0.8*((BR63+BR64+BR66+BR67+BR65+BR69)*0.8+(BQ63+BQ64+BQ66+BQ67+BQ65+BQ69)*0.2)+0.4*(BR71*0.5+BQ71*0.5)</f>
        <v>17422.476958479772</v>
      </c>
      <c r="BS20" s="133">
        <f t="shared" si="46"/>
        <v>18876.781667180127</v>
      </c>
      <c r="BT20" s="133">
        <f t="shared" ca="1" si="46"/>
        <v>20157.533066215117</v>
      </c>
      <c r="BU20" s="133">
        <f t="shared" ca="1" si="46"/>
        <v>26857.217034164798</v>
      </c>
      <c r="BV20" s="133">
        <f t="shared" ca="1" si="46"/>
        <v>34590.331561357554</v>
      </c>
      <c r="BW20" s="133">
        <f t="shared" ca="1" si="46"/>
        <v>41352.02294491286</v>
      </c>
      <c r="BX20" s="133">
        <f t="shared" ca="1" si="46"/>
        <v>46557.16607853373</v>
      </c>
      <c r="BY20" s="133">
        <f t="shared" ca="1" si="46"/>
        <v>52544.432110658905</v>
      </c>
      <c r="BZ20" s="133">
        <f t="shared" ca="1" si="46"/>
        <v>60083.592570885623</v>
      </c>
      <c r="CA20" s="133">
        <f t="shared" ca="1" si="46"/>
        <v>69401.468454057205</v>
      </c>
      <c r="CB20" s="133">
        <f t="shared" ca="1" si="46"/>
        <v>81110.982854612521</v>
      </c>
      <c r="CC20" s="133">
        <f t="shared" ca="1" si="46"/>
        <v>96125.61216710716</v>
      </c>
      <c r="CD20" s="133">
        <f ca="1">0.8*((CD63+CD64+CD66+CD67+CD65+CD69)*0.8+(CC63+CC64+CC66+CC67+CC65+CC69)*0.2)+0.4*(CD71*0.5+CC71*0.5)</f>
        <v>115840.29717080711</v>
      </c>
      <c r="CE20" s="133">
        <f ca="1">0.8*((CE63+CE64+CE66+CE67+CE65+CE69)*0.8+(CD63+CD64+CD66+CD67+CD65+CD69)*0.2)+0.4*(CE71*0.5+CD71*0.5)</f>
        <v>142445.5525655064</v>
      </c>
      <c r="CF20" s="133">
        <f ca="1">0.8*((CF63+CF64+CF66+CF67+CF65+CF69)*0.8+(CE63+CE64+CE66+CE67+CE65+CE69)*0.2)+0.4*(CF71*0.5+CE71*0.5)</f>
        <v>179492.02735983566</v>
      </c>
      <c r="CG20" s="133">
        <f ca="1">0.8*((CG63+CG64+CG66+CG67+CG65+CG69)*0.8+(CF63+CF64+CF66+CF67+CF65+CF69)*0.2)+0.4*(CG71*0.5+CF71*0.5)</f>
        <v>232943.617246585</v>
      </c>
      <c r="CI20" s="133">
        <f t="shared" ref="CI20:CR23" si="47">BQ20-DA20</f>
        <v>0</v>
      </c>
      <c r="CJ20" s="133">
        <f t="shared" si="47"/>
        <v>0</v>
      </c>
      <c r="CK20" s="133">
        <f t="shared" si="47"/>
        <v>0</v>
      </c>
      <c r="CL20" s="133">
        <f t="shared" ca="1" si="47"/>
        <v>0</v>
      </c>
      <c r="CM20" s="133">
        <f t="shared" ca="1" si="47"/>
        <v>636.41135749304885</v>
      </c>
      <c r="CN20" s="133">
        <f t="shared" ca="1" si="47"/>
        <v>1681.4919494027927</v>
      </c>
      <c r="CO20" s="133">
        <f t="shared" ca="1" si="47"/>
        <v>1824.8602300053826</v>
      </c>
      <c r="CP20" s="133">
        <f t="shared" ca="1" si="47"/>
        <v>1341.1854555763712</v>
      </c>
      <c r="CQ20" s="133">
        <f t="shared" ca="1" si="47"/>
        <v>500.37092853287322</v>
      </c>
      <c r="CR20" s="133">
        <f t="shared" ca="1" si="47"/>
        <v>-263.20826820163347</v>
      </c>
      <c r="CS20" s="133">
        <f t="shared" ref="CS20:CY23" ca="1" si="48">CA20-DK20</f>
        <v>-897.44083681581833</v>
      </c>
      <c r="CT20" s="133">
        <f t="shared" ca="1" si="48"/>
        <v>-1906.3820494833926</v>
      </c>
      <c r="CU20" s="133">
        <f t="shared" ca="1" si="48"/>
        <v>-3774.3505154886516</v>
      </c>
      <c r="CV20" s="133">
        <f t="shared" ca="1" si="48"/>
        <v>-6787.6299925700005</v>
      </c>
      <c r="CW20" s="133">
        <f t="shared" ca="1" si="48"/>
        <v>-11499.728666095121</v>
      </c>
      <c r="CX20" s="133">
        <f t="shared" ca="1" si="48"/>
        <v>-18973.447141287703</v>
      </c>
      <c r="CY20" s="133">
        <f t="shared" ca="1" si="48"/>
        <v>-31176.626144690992</v>
      </c>
      <c r="DA20" s="104">
        <v>14293.236075510627</v>
      </c>
      <c r="DB20" s="104">
        <v>17422.476958479772</v>
      </c>
      <c r="DC20" s="104">
        <v>18876.781667180127</v>
      </c>
      <c r="DD20" s="104">
        <v>20157.533066215117</v>
      </c>
      <c r="DE20" s="104">
        <v>26220.805676671749</v>
      </c>
      <c r="DF20" s="104">
        <v>32908.839611954761</v>
      </c>
      <c r="DG20" s="104">
        <v>39527.162714907477</v>
      </c>
      <c r="DH20" s="104">
        <v>45215.980622957359</v>
      </c>
      <c r="DI20" s="104">
        <v>52044.061182126032</v>
      </c>
      <c r="DJ20" s="104">
        <v>60346.800839087256</v>
      </c>
      <c r="DK20" s="104">
        <v>70298.909290873024</v>
      </c>
      <c r="DL20" s="104">
        <v>83017.364904095914</v>
      </c>
      <c r="DM20" s="104">
        <v>99899.962682595811</v>
      </c>
      <c r="DN20" s="104">
        <v>122627.92716337711</v>
      </c>
      <c r="DO20" s="104">
        <v>153945.28123160152</v>
      </c>
      <c r="DP20" s="104">
        <v>198465.47450112336</v>
      </c>
      <c r="DQ20" s="104">
        <v>264120.24339127599</v>
      </c>
    </row>
    <row r="21" spans="1:121">
      <c r="A21" s="149" t="s">
        <v>1897</v>
      </c>
      <c r="C21" s="132" t="s">
        <v>1899</v>
      </c>
      <c r="G21" s="153">
        <f t="shared" ref="G21:BE21" si="49">+G16/G17</f>
        <v>0.34702979576748838</v>
      </c>
      <c r="H21" s="153">
        <f t="shared" si="49"/>
        <v>0.40500523857895449</v>
      </c>
      <c r="I21" s="153">
        <f t="shared" si="49"/>
        <v>0.42542015992793719</v>
      </c>
      <c r="J21" s="153">
        <f t="shared" si="49"/>
        <v>0.40934165126239846</v>
      </c>
      <c r="K21" s="153">
        <f t="shared" si="49"/>
        <v>0.45127441825638237</v>
      </c>
      <c r="L21" s="153">
        <f t="shared" si="49"/>
        <v>0.48055403750367953</v>
      </c>
      <c r="M21" s="153">
        <f t="shared" si="49"/>
        <v>0.44830956868135724</v>
      </c>
      <c r="N21" s="153">
        <f t="shared" si="49"/>
        <v>0.42668792673623313</v>
      </c>
      <c r="O21" s="153">
        <f t="shared" si="49"/>
        <v>0.4255035391994933</v>
      </c>
      <c r="P21" s="153">
        <f t="shared" si="49"/>
        <v>0.5404392433815971</v>
      </c>
      <c r="Q21" s="153">
        <f t="shared" si="49"/>
        <v>0.54091537836141279</v>
      </c>
      <c r="R21" s="153">
        <f t="shared" si="49"/>
        <v>0.43626900199241103</v>
      </c>
      <c r="S21" s="153">
        <f t="shared" si="49"/>
        <v>0.42283580116878644</v>
      </c>
      <c r="T21" s="153">
        <f t="shared" si="49"/>
        <v>0.38363172392516048</v>
      </c>
      <c r="U21" s="153">
        <f t="shared" si="49"/>
        <v>0.39571897598404715</v>
      </c>
      <c r="V21" s="153">
        <f t="shared" si="49"/>
        <v>0.40091674030965485</v>
      </c>
      <c r="W21" s="153">
        <f t="shared" si="49"/>
        <v>0.40327758092024801</v>
      </c>
      <c r="X21" s="153">
        <f t="shared" si="49"/>
        <v>0.4266322070066077</v>
      </c>
      <c r="Y21" s="153">
        <f t="shared" si="49"/>
        <v>0.43192536339228876</v>
      </c>
      <c r="Z21" s="153">
        <f t="shared" si="49"/>
        <v>0.54888297261017038</v>
      </c>
      <c r="AA21" s="153">
        <f t="shared" si="49"/>
        <v>0.55682420986679515</v>
      </c>
      <c r="AB21" s="153">
        <f t="shared" si="49"/>
        <v>0.53196354786053601</v>
      </c>
      <c r="AC21" s="153">
        <f t="shared" si="49"/>
        <v>0.56439409732140888</v>
      </c>
      <c r="AD21" s="153">
        <f t="shared" si="49"/>
        <v>0.5088289427345527</v>
      </c>
      <c r="AE21" s="153">
        <f t="shared" si="49"/>
        <v>0.49770452724858977</v>
      </c>
      <c r="AF21" s="153">
        <f t="shared" si="49"/>
        <v>0.6364357067612384</v>
      </c>
      <c r="AG21" s="153">
        <f t="shared" si="49"/>
        <v>0.59324516072605771</v>
      </c>
      <c r="AH21" s="153">
        <f t="shared" si="49"/>
        <v>0.55301462711149063</v>
      </c>
      <c r="AI21" s="153">
        <f t="shared" si="49"/>
        <v>0.48270580942325436</v>
      </c>
      <c r="AJ21" s="153">
        <f t="shared" si="49"/>
        <v>0.42761886492775608</v>
      </c>
      <c r="AK21" s="153">
        <f t="shared" si="49"/>
        <v>0.38190534496332157</v>
      </c>
      <c r="AL21" s="153">
        <f t="shared" si="49"/>
        <v>0.41304737365179822</v>
      </c>
      <c r="AM21" s="153">
        <f t="shared" si="49"/>
        <v>0.49434059297132821</v>
      </c>
      <c r="AN21" s="153">
        <f t="shared" si="49"/>
        <v>0.51824347309983421</v>
      </c>
      <c r="AO21" s="153">
        <f t="shared" si="49"/>
        <v>0.66412263405931282</v>
      </c>
      <c r="AP21" s="153">
        <f t="shared" si="49"/>
        <v>0.72075180226570545</v>
      </c>
      <c r="AQ21" s="153">
        <f t="shared" si="49"/>
        <v>0.89776835527783982</v>
      </c>
      <c r="AR21" s="153">
        <f t="shared" si="49"/>
        <v>0.89497446037238437</v>
      </c>
      <c r="AS21" s="153">
        <f t="shared" si="49"/>
        <v>1.3615104952668404</v>
      </c>
      <c r="AT21" s="153">
        <f t="shared" si="49"/>
        <v>1.1267797278643266</v>
      </c>
      <c r="AU21" s="153">
        <f t="shared" si="49"/>
        <v>0.85182076693829889</v>
      </c>
      <c r="AV21" s="153">
        <f t="shared" si="49"/>
        <v>0.80889958341294532</v>
      </c>
      <c r="AW21" s="153">
        <f t="shared" si="49"/>
        <v>0.66542317355202407</v>
      </c>
      <c r="AX21" s="153">
        <f t="shared" si="49"/>
        <v>0.51139015168564617</v>
      </c>
      <c r="AY21" s="153">
        <f t="shared" si="49"/>
        <v>0.5412253840805028</v>
      </c>
      <c r="AZ21" s="153">
        <f t="shared" si="49"/>
        <v>0.5198224996342713</v>
      </c>
      <c r="BA21" s="153">
        <f t="shared" si="49"/>
        <v>0.60786406331014675</v>
      </c>
      <c r="BB21" s="153">
        <f t="shared" si="49"/>
        <v>0.46443608700727651</v>
      </c>
      <c r="BC21" s="153">
        <f t="shared" si="49"/>
        <v>0.62187534793789934</v>
      </c>
      <c r="BD21" s="153">
        <f t="shared" si="49"/>
        <v>0.69303758471965493</v>
      </c>
      <c r="BE21" s="153">
        <f t="shared" si="49"/>
        <v>0.80526638089406</v>
      </c>
      <c r="BF21" s="153">
        <f>+BF16/BF17</f>
        <v>0.45418592065276214</v>
      </c>
      <c r="BG21" s="153">
        <f>+BG16/BG17</f>
        <v>0.47255133056262016</v>
      </c>
      <c r="BH21" s="153">
        <f>+BH16/BH17</f>
        <v>0.52257658716655842</v>
      </c>
      <c r="BI21" s="153">
        <f>+BI16/BI17</f>
        <v>0.43794179575876074</v>
      </c>
      <c r="BJ21" s="153">
        <f t="shared" ref="BJ21:BP21" si="50">+BJ16/BJ17</f>
        <v>0.38427852894809278</v>
      </c>
      <c r="BK21" s="153">
        <f t="shared" si="50"/>
        <v>0.43057930355660112</v>
      </c>
      <c r="BL21" s="153">
        <f t="shared" si="50"/>
        <v>0.43781463612023852</v>
      </c>
      <c r="BM21" s="153">
        <f t="shared" si="50"/>
        <v>0.44529350008833402</v>
      </c>
      <c r="BN21" s="153">
        <f t="shared" si="50"/>
        <v>0.44477746414941599</v>
      </c>
      <c r="BO21" s="153">
        <f t="shared" si="50"/>
        <v>0.45820876337347916</v>
      </c>
      <c r="BP21" s="153">
        <f t="shared" si="50"/>
        <v>0.59787274744727792</v>
      </c>
      <c r="BQ21" s="153">
        <f t="shared" ref="BQ21:CB21" si="51">+BQ16/BQ17</f>
        <v>0.57597936324679644</v>
      </c>
      <c r="BR21" s="153">
        <f t="shared" si="51"/>
        <v>0.62386165911028446</v>
      </c>
      <c r="BS21" s="153">
        <f t="shared" si="51"/>
        <v>0.73281161957783247</v>
      </c>
      <c r="BT21" s="153">
        <f t="shared" si="51"/>
        <v>0.78754290079303368</v>
      </c>
      <c r="BU21" s="153">
        <f t="shared" ca="1" si="51"/>
        <v>0.70950752406733453</v>
      </c>
      <c r="BV21" s="153">
        <f t="shared" ca="1" si="51"/>
        <v>0.65299813221955227</v>
      </c>
      <c r="BW21" s="153">
        <f t="shared" ca="1" si="51"/>
        <v>0.62500493264804613</v>
      </c>
      <c r="BX21" s="153">
        <f t="shared" ca="1" si="51"/>
        <v>0.61291420313253209</v>
      </c>
      <c r="BY21" s="153">
        <f t="shared" ca="1" si="51"/>
        <v>0.58943277253505533</v>
      </c>
      <c r="BZ21" s="153">
        <f t="shared" ca="1" si="51"/>
        <v>0.56346308766837383</v>
      </c>
      <c r="CA21" s="153">
        <f t="shared" ca="1" si="51"/>
        <v>0.5352982341288739</v>
      </c>
      <c r="CB21" s="153">
        <f t="shared" ca="1" si="51"/>
        <v>0.50456608423276783</v>
      </c>
      <c r="CC21" s="153">
        <f ca="1">+CC16/CC17</f>
        <v>0.47096664227735574</v>
      </c>
      <c r="CD21" s="153">
        <f ca="1">+CD16/CD17</f>
        <v>0.43421361710299666</v>
      </c>
      <c r="CE21" s="153">
        <f ca="1">+CE16/CE17</f>
        <v>0.39411983608120266</v>
      </c>
      <c r="CF21" s="153">
        <f ca="1">+CF16/CF17</f>
        <v>0.35071331336210992</v>
      </c>
      <c r="CG21" s="153">
        <f ca="1">+CG16/CG17</f>
        <v>0.30438710101143929</v>
      </c>
      <c r="CH21" s="204"/>
      <c r="CI21" s="133">
        <f t="shared" si="47"/>
        <v>0</v>
      </c>
      <c r="CJ21" s="133">
        <f t="shared" si="47"/>
        <v>0</v>
      </c>
      <c r="CK21" s="133">
        <f t="shared" si="47"/>
        <v>0</v>
      </c>
      <c r="CL21" s="133">
        <f t="shared" si="47"/>
        <v>0</v>
      </c>
      <c r="CM21" s="133">
        <f t="shared" ca="1" si="47"/>
        <v>2.0571730491392159E-2</v>
      </c>
      <c r="CN21" s="133">
        <f t="shared" ca="1" si="47"/>
        <v>6.9765732730312502E-3</v>
      </c>
      <c r="CO21" s="133">
        <f t="shared" ca="1" si="47"/>
        <v>6.9053805485582709E-3</v>
      </c>
      <c r="CP21" s="133">
        <f t="shared" ca="1" si="47"/>
        <v>9.4292147169799945E-3</v>
      </c>
      <c r="CQ21" s="133">
        <f t="shared" ca="1" si="47"/>
        <v>1.2305401988651932E-2</v>
      </c>
      <c r="CR21" s="133">
        <f t="shared" ca="1" si="47"/>
        <v>1.5163966148357355E-2</v>
      </c>
      <c r="CS21" s="133">
        <f t="shared" ca="1" si="48"/>
        <v>1.6187569214992314E-2</v>
      </c>
      <c r="CT21" s="133">
        <f t="shared" ca="1" si="48"/>
        <v>1.5841608505220484E-2</v>
      </c>
      <c r="CU21" s="133">
        <f t="shared" ca="1" si="48"/>
        <v>1.669478050027412E-2</v>
      </c>
      <c r="CV21" s="133">
        <f t="shared" ca="1" si="48"/>
        <v>1.7978588901402526E-2</v>
      </c>
      <c r="CW21" s="133">
        <f t="shared" ca="1" si="48"/>
        <v>1.9361046920022273E-2</v>
      </c>
      <c r="CX21" s="133">
        <f t="shared" ca="1" si="48"/>
        <v>2.0637663870159639E-2</v>
      </c>
      <c r="CY21" s="133">
        <f t="shared" ca="1" si="48"/>
        <v>2.1585124843148951E-2</v>
      </c>
      <c r="DA21" s="382">
        <v>0.57597936324679644</v>
      </c>
      <c r="DB21" s="382">
        <v>0.62386165911028446</v>
      </c>
      <c r="DC21" s="382">
        <v>0.73281161957783247</v>
      </c>
      <c r="DD21" s="382">
        <v>0.78754290079303368</v>
      </c>
      <c r="DE21" s="104">
        <v>0.68893579357594237</v>
      </c>
      <c r="DF21" s="104">
        <v>0.64602155894652102</v>
      </c>
      <c r="DG21" s="104">
        <v>0.61809955209948786</v>
      </c>
      <c r="DH21" s="104">
        <v>0.60348498841555209</v>
      </c>
      <c r="DI21" s="104">
        <v>0.5771273705464034</v>
      </c>
      <c r="DJ21" s="104">
        <v>0.54829912152001647</v>
      </c>
      <c r="DK21" s="104">
        <v>0.51911066491388158</v>
      </c>
      <c r="DL21" s="104">
        <v>0.48872447572754735</v>
      </c>
      <c r="DM21" s="104">
        <v>0.45427186177708162</v>
      </c>
      <c r="DN21" s="104">
        <v>0.41623502820159414</v>
      </c>
      <c r="DO21" s="104">
        <v>0.37475878916118038</v>
      </c>
      <c r="DP21" s="104">
        <v>0.33007564949195028</v>
      </c>
      <c r="DQ21" s="104">
        <v>0.28280197616829034</v>
      </c>
    </row>
    <row r="22" spans="1:121">
      <c r="A22" s="149" t="s">
        <v>1898</v>
      </c>
      <c r="C22" s="132" t="s">
        <v>1899</v>
      </c>
      <c r="G22" s="153">
        <f t="shared" ref="G22:BE22" si="52">+G8/G17</f>
        <v>0.61174503345871423</v>
      </c>
      <c r="H22" s="153">
        <f t="shared" si="52"/>
        <v>0.61981335027143791</v>
      </c>
      <c r="I22" s="153">
        <f t="shared" si="52"/>
        <v>0.57738900572812857</v>
      </c>
      <c r="J22" s="153">
        <f t="shared" si="52"/>
        <v>0.55899208890117735</v>
      </c>
      <c r="K22" s="153">
        <f t="shared" si="52"/>
        <v>0.58451155627956564</v>
      </c>
      <c r="L22" s="153">
        <f t="shared" si="52"/>
        <v>0.58182242838777931</v>
      </c>
      <c r="M22" s="153">
        <f t="shared" si="52"/>
        <v>0.5983656528570559</v>
      </c>
      <c r="N22" s="153">
        <f t="shared" si="52"/>
        <v>0.59979237542225639</v>
      </c>
      <c r="O22" s="153">
        <f t="shared" si="52"/>
        <v>0.61235663152081299</v>
      </c>
      <c r="P22" s="153">
        <f t="shared" si="52"/>
        <v>0.57050181109971299</v>
      </c>
      <c r="Q22" s="153">
        <f t="shared" si="52"/>
        <v>0.60326125508911388</v>
      </c>
      <c r="R22" s="153">
        <f t="shared" si="52"/>
        <v>0.57509297082929978</v>
      </c>
      <c r="S22" s="153">
        <f t="shared" si="52"/>
        <v>0.63236552108549193</v>
      </c>
      <c r="T22" s="153">
        <f t="shared" si="52"/>
        <v>0.612807567581237</v>
      </c>
      <c r="U22" s="153">
        <f t="shared" si="52"/>
        <v>0.63127780660512312</v>
      </c>
      <c r="V22" s="153">
        <f t="shared" si="52"/>
        <v>0.63989442755376402</v>
      </c>
      <c r="W22" s="153">
        <f t="shared" si="52"/>
        <v>0.60911539671971449</v>
      </c>
      <c r="X22" s="153">
        <f t="shared" si="52"/>
        <v>0.61473240700294118</v>
      </c>
      <c r="Y22" s="153">
        <f t="shared" si="52"/>
        <v>0.65175742098376943</v>
      </c>
      <c r="Z22" s="153">
        <f t="shared" si="52"/>
        <v>0.58892292017622971</v>
      </c>
      <c r="AA22" s="153">
        <f t="shared" si="52"/>
        <v>0.55812395998961806</v>
      </c>
      <c r="AB22" s="153">
        <f t="shared" si="52"/>
        <v>0.60939746951780216</v>
      </c>
      <c r="AC22" s="153">
        <f t="shared" si="52"/>
        <v>0.6505956739040647</v>
      </c>
      <c r="AD22" s="153">
        <f t="shared" si="52"/>
        <v>0.6460191204446154</v>
      </c>
      <c r="AE22" s="153">
        <f t="shared" si="52"/>
        <v>0.6541681314508786</v>
      </c>
      <c r="AF22" s="153">
        <f t="shared" si="52"/>
        <v>0.65229641678633044</v>
      </c>
      <c r="AG22" s="153">
        <f t="shared" si="52"/>
        <v>0.6346900972682803</v>
      </c>
      <c r="AH22" s="153">
        <f t="shared" si="52"/>
        <v>0.6574551013512635</v>
      </c>
      <c r="AI22" s="153">
        <f t="shared" si="52"/>
        <v>0.70582052858726196</v>
      </c>
      <c r="AJ22" s="153">
        <f t="shared" si="52"/>
        <v>0.70517029932398401</v>
      </c>
      <c r="AK22" s="153">
        <f t="shared" si="52"/>
        <v>0.65212201388698532</v>
      </c>
      <c r="AL22" s="153">
        <f t="shared" si="52"/>
        <v>0.66763809307429989</v>
      </c>
      <c r="AM22" s="153">
        <f t="shared" si="52"/>
        <v>0.78725775460439651</v>
      </c>
      <c r="AN22" s="153">
        <f t="shared" si="52"/>
        <v>0.8453955181323578</v>
      </c>
      <c r="AO22" s="153">
        <f t="shared" si="52"/>
        <v>1.0171908037794852</v>
      </c>
      <c r="AP22" s="153">
        <f t="shared" si="52"/>
        <v>1.1306385169927911</v>
      </c>
      <c r="AQ22" s="153">
        <f t="shared" si="52"/>
        <v>1.3266971658112028</v>
      </c>
      <c r="AR22" s="153">
        <f t="shared" si="52"/>
        <v>1.3947965068380297</v>
      </c>
      <c r="AS22" s="153">
        <f t="shared" si="52"/>
        <v>1.0616662093565643</v>
      </c>
      <c r="AT22" s="153">
        <f t="shared" si="52"/>
        <v>0.80619860481167438</v>
      </c>
      <c r="AU22" s="153">
        <f t="shared" si="52"/>
        <v>0.58424196798644357</v>
      </c>
      <c r="AV22" s="153">
        <f t="shared" si="52"/>
        <v>0.57721604482580946</v>
      </c>
      <c r="AW22" s="153">
        <f t="shared" si="52"/>
        <v>0.55993937427037876</v>
      </c>
      <c r="AX22" s="153">
        <f t="shared" si="52"/>
        <v>0.60959769757169735</v>
      </c>
      <c r="AY22" s="153">
        <f t="shared" si="52"/>
        <v>0.64324524547155715</v>
      </c>
      <c r="AZ22" s="153">
        <f t="shared" si="52"/>
        <v>0.57037542107559724</v>
      </c>
      <c r="BA22" s="153">
        <f t="shared" si="52"/>
        <v>0.47051646972587163</v>
      </c>
      <c r="BB22" s="153">
        <f t="shared" si="52"/>
        <v>0.60719584016471628</v>
      </c>
      <c r="BC22" s="153">
        <f t="shared" si="52"/>
        <v>0.64365124409769081</v>
      </c>
      <c r="BD22" s="153">
        <f t="shared" si="52"/>
        <v>0.6194701170671596</v>
      </c>
      <c r="BE22" s="153">
        <f t="shared" si="52"/>
        <v>0.58685446009389675</v>
      </c>
      <c r="BF22" s="153">
        <f>+BF8/BF17</f>
        <v>0.41324951778305091</v>
      </c>
      <c r="BG22" s="153">
        <f>+BG8/BG17</f>
        <v>0.41246820916816573</v>
      </c>
      <c r="BH22" s="153">
        <f>+BH8/BH17</f>
        <v>0.420969055794434</v>
      </c>
      <c r="BI22" s="153">
        <f>+BI8/BI17</f>
        <v>0.3834505188750188</v>
      </c>
      <c r="BJ22" s="153">
        <f t="shared" ref="BJ22:BP22" si="53">+BJ8/BJ17</f>
        <v>0.37682150691901539</v>
      </c>
      <c r="BK22" s="153">
        <f t="shared" si="53"/>
        <v>0.39521203168471486</v>
      </c>
      <c r="BL22" s="153">
        <f t="shared" si="53"/>
        <v>0.45109247210830433</v>
      </c>
      <c r="BM22" s="153">
        <f t="shared" si="53"/>
        <v>0.54522942372615302</v>
      </c>
      <c r="BN22" s="153">
        <f t="shared" si="53"/>
        <v>0.554368302497386</v>
      </c>
      <c r="BO22" s="153">
        <f t="shared" si="53"/>
        <v>0.57367417040555646</v>
      </c>
      <c r="BP22" s="153">
        <f t="shared" si="53"/>
        <v>0.45268547431385253</v>
      </c>
      <c r="BQ22" s="153">
        <f t="shared" ref="BQ22:CB22" si="54">+BQ8/BQ17</f>
        <v>0.47380372736892751</v>
      </c>
      <c r="BR22" s="153">
        <f t="shared" si="54"/>
        <v>0.52882405676034994</v>
      </c>
      <c r="BS22" s="153">
        <f t="shared" si="54"/>
        <v>0.48898584567914699</v>
      </c>
      <c r="BT22" s="153">
        <f t="shared" ca="1" si="54"/>
        <v>0.46117175108421882</v>
      </c>
      <c r="BU22" s="153">
        <f t="shared" ca="1" si="54"/>
        <v>0.3321419146313988</v>
      </c>
      <c r="BV22" s="153">
        <f t="shared" ca="1" si="54"/>
        <v>0.37973951478465423</v>
      </c>
      <c r="BW22" s="153">
        <f t="shared" ca="1" si="54"/>
        <v>0.41900528456962388</v>
      </c>
      <c r="BX22" s="153">
        <f t="shared" ca="1" si="54"/>
        <v>0.44706989667413871</v>
      </c>
      <c r="BY22" s="153">
        <f t="shared" ca="1" si="54"/>
        <v>0.46867028947113304</v>
      </c>
      <c r="BZ22" s="153">
        <f t="shared" ca="1" si="54"/>
        <v>0.49287599474015575</v>
      </c>
      <c r="CA22" s="153">
        <f t="shared" ca="1" si="54"/>
        <v>0.51856861070824456</v>
      </c>
      <c r="CB22" s="153">
        <f t="shared" ca="1" si="54"/>
        <v>0.54558443454562622</v>
      </c>
      <c r="CC22" s="153">
        <f ca="1">+CC8/CC17</f>
        <v>0.57374548290580696</v>
      </c>
      <c r="CD22" s="153">
        <f ca="1">+CD8/CD17</f>
        <v>0.6027371419078954</v>
      </c>
      <c r="CE22" s="153">
        <f ca="1">+CE8/CE17</f>
        <v>0.63205327892110352</v>
      </c>
      <c r="CF22" s="153">
        <f ca="1">+CF8/CF17</f>
        <v>0.66094706976123552</v>
      </c>
      <c r="CG22" s="153">
        <f ca="1">+CG8/CG17</f>
        <v>0.68842196532912037</v>
      </c>
      <c r="CH22" s="204"/>
      <c r="CI22" s="133">
        <f t="shared" si="47"/>
        <v>0</v>
      </c>
      <c r="CJ22" s="133">
        <f t="shared" si="47"/>
        <v>0</v>
      </c>
      <c r="CK22" s="133">
        <f t="shared" si="47"/>
        <v>0</v>
      </c>
      <c r="CL22" s="133">
        <f t="shared" ca="1" si="47"/>
        <v>0</v>
      </c>
      <c r="CM22" s="133">
        <f t="shared" ca="1" si="47"/>
        <v>-6.5507530539598569E-3</v>
      </c>
      <c r="CN22" s="133">
        <f t="shared" ca="1" si="47"/>
        <v>-2.7935297857757391E-3</v>
      </c>
      <c r="CO22" s="133">
        <f t="shared" ca="1" si="47"/>
        <v>-1.4786544762753762E-3</v>
      </c>
      <c r="CP22" s="133">
        <f t="shared" ca="1" si="47"/>
        <v>-2.0410640012481496E-3</v>
      </c>
      <c r="CQ22" s="133">
        <f t="shared" ca="1" si="47"/>
        <v>-3.5607583896869466E-3</v>
      </c>
      <c r="CR22" s="133">
        <f t="shared" ca="1" si="47"/>
        <v>-1.4843215043027103E-2</v>
      </c>
      <c r="CS22" s="133">
        <f t="shared" ca="1" si="48"/>
        <v>-1.252115958803468E-2</v>
      </c>
      <c r="CT22" s="133">
        <f t="shared" ca="1" si="48"/>
        <v>-1.1657821984284444E-2</v>
      </c>
      <c r="CU22" s="133">
        <f t="shared" ca="1" si="48"/>
        <v>-1.1422758706494673E-2</v>
      </c>
      <c r="CV22" s="133">
        <f t="shared" ca="1" si="48"/>
        <v>-1.1616494551179746E-2</v>
      </c>
      <c r="CW22" s="133">
        <f t="shared" ca="1" si="48"/>
        <v>-1.1979783932422716E-2</v>
      </c>
      <c r="CX22" s="133">
        <f t="shared" ca="1" si="48"/>
        <v>-1.2363974654424514E-2</v>
      </c>
      <c r="CY22" s="133">
        <f t="shared" ca="1" si="48"/>
        <v>-1.2659841357185564E-2</v>
      </c>
      <c r="DA22" s="382">
        <v>0.47380372736892751</v>
      </c>
      <c r="DB22" s="382">
        <v>0.52882405676034994</v>
      </c>
      <c r="DC22" s="382">
        <v>0.48898584567914699</v>
      </c>
      <c r="DD22" s="382">
        <v>0.46117175108421882</v>
      </c>
      <c r="DE22" s="104">
        <v>0.33869266768535866</v>
      </c>
      <c r="DF22" s="104">
        <v>0.38253304457042997</v>
      </c>
      <c r="DG22" s="104">
        <v>0.42048393904589926</v>
      </c>
      <c r="DH22" s="104">
        <v>0.44911096067538686</v>
      </c>
      <c r="DI22" s="104">
        <v>0.47223104786081999</v>
      </c>
      <c r="DJ22" s="104">
        <v>0.50771920978318286</v>
      </c>
      <c r="DK22" s="104">
        <v>0.53108977029627924</v>
      </c>
      <c r="DL22" s="104">
        <v>0.55724225652991066</v>
      </c>
      <c r="DM22" s="104">
        <v>0.58516824161230163</v>
      </c>
      <c r="DN22" s="104">
        <v>0.61435363645907515</v>
      </c>
      <c r="DO22" s="104">
        <v>0.64403306285352624</v>
      </c>
      <c r="DP22" s="104">
        <v>0.67331104441566003</v>
      </c>
      <c r="DQ22" s="104">
        <v>0.70108180668630593</v>
      </c>
    </row>
    <row r="23" spans="1:121">
      <c r="A23" s="141" t="s">
        <v>2635</v>
      </c>
      <c r="C23" s="132" t="s">
        <v>1899</v>
      </c>
      <c r="G23" s="153">
        <f>+G13/G53</f>
        <v>0.16664234502845729</v>
      </c>
      <c r="H23" s="153">
        <f t="shared" ref="H23:BP23" si="55">+H13/H53</f>
        <v>0.17696380446082891</v>
      </c>
      <c r="I23" s="153">
        <f t="shared" si="55"/>
        <v>0.2221710512272389</v>
      </c>
      <c r="J23" s="153">
        <f t="shared" si="55"/>
        <v>0.22485236404479716</v>
      </c>
      <c r="K23" s="153">
        <f t="shared" si="55"/>
        <v>0.20971409145495087</v>
      </c>
      <c r="L23" s="153">
        <f t="shared" si="55"/>
        <v>0.21210741994910692</v>
      </c>
      <c r="M23" s="153">
        <f t="shared" si="55"/>
        <v>0.21651100783652316</v>
      </c>
      <c r="N23" s="153">
        <f t="shared" si="55"/>
        <v>0.22626153237282529</v>
      </c>
      <c r="O23" s="153">
        <f t="shared" si="55"/>
        <v>0.23556312556643447</v>
      </c>
      <c r="P23" s="153">
        <f t="shared" si="55"/>
        <v>0.42322114881929429</v>
      </c>
      <c r="Q23" s="153">
        <f t="shared" si="55"/>
        <v>0.38607908175096356</v>
      </c>
      <c r="R23" s="153">
        <f t="shared" si="55"/>
        <v>0.2351549851638107</v>
      </c>
      <c r="S23" s="153">
        <f t="shared" si="55"/>
        <v>0.16287289544927488</v>
      </c>
      <c r="T23" s="153">
        <f t="shared" si="55"/>
        <v>0.15611198688626834</v>
      </c>
      <c r="U23" s="153">
        <f t="shared" si="55"/>
        <v>0.12363936071691764</v>
      </c>
      <c r="V23" s="153">
        <f t="shared" si="55"/>
        <v>0.11799643478359659</v>
      </c>
      <c r="W23" s="153">
        <f t="shared" si="55"/>
        <v>0.11916588233128851</v>
      </c>
      <c r="X23" s="153">
        <f t="shared" si="55"/>
        <v>0.13601829420597916</v>
      </c>
      <c r="Y23" s="153">
        <f t="shared" si="55"/>
        <v>0.15859301772102319</v>
      </c>
      <c r="Z23" s="153">
        <f t="shared" si="55"/>
        <v>0.22911040455746373</v>
      </c>
      <c r="AA23" s="153">
        <f t="shared" si="55"/>
        <v>0.2781090322601113</v>
      </c>
      <c r="AB23" s="153">
        <f t="shared" si="55"/>
        <v>0.15161222902407959</v>
      </c>
      <c r="AC23" s="153">
        <f t="shared" si="55"/>
        <v>0.17783430776018225</v>
      </c>
      <c r="AD23" s="153">
        <f t="shared" si="55"/>
        <v>0.14218440079478695</v>
      </c>
      <c r="AE23" s="153">
        <f t="shared" si="55"/>
        <v>0.1215877715631829</v>
      </c>
      <c r="AF23" s="153">
        <f t="shared" si="55"/>
        <v>0.17529782290041926</v>
      </c>
      <c r="AG23" s="153">
        <f t="shared" si="55"/>
        <v>0.2062422159341315</v>
      </c>
      <c r="AH23" s="153">
        <f t="shared" si="55"/>
        <v>0.17601641629811768</v>
      </c>
      <c r="AI23" s="153">
        <f t="shared" si="55"/>
        <v>9.0337503610424488E-2</v>
      </c>
      <c r="AJ23" s="153">
        <f t="shared" si="55"/>
        <v>6.8027092920646931E-2</v>
      </c>
      <c r="AK23" s="153">
        <f t="shared" si="55"/>
        <v>8.6191119270001684E-2</v>
      </c>
      <c r="AL23" s="153">
        <f t="shared" si="55"/>
        <v>0.10105848612848102</v>
      </c>
      <c r="AM23" s="153">
        <f t="shared" si="55"/>
        <v>9.2890893470790381E-2</v>
      </c>
      <c r="AN23" s="153">
        <f t="shared" si="55"/>
        <v>9.8206394129043223E-2</v>
      </c>
      <c r="AO23" s="153">
        <f t="shared" si="55"/>
        <v>8.3512478513551314E-2</v>
      </c>
      <c r="AP23" s="153">
        <f t="shared" si="55"/>
        <v>0.16873255464102402</v>
      </c>
      <c r="AQ23" s="153">
        <f t="shared" si="55"/>
        <v>0.1869720337267419</v>
      </c>
      <c r="AR23" s="153">
        <f t="shared" si="55"/>
        <v>0.20034138771042515</v>
      </c>
      <c r="AS23" s="153">
        <f t="shared" si="55"/>
        <v>0.16405514750824399</v>
      </c>
      <c r="AT23" s="153">
        <f t="shared" si="55"/>
        <v>0.26428062982334605</v>
      </c>
      <c r="AU23" s="153">
        <f t="shared" si="55"/>
        <v>0.11202745527700585</v>
      </c>
      <c r="AV23" s="153">
        <f t="shared" si="55"/>
        <v>0.42200317851087277</v>
      </c>
      <c r="AW23" s="153">
        <f t="shared" si="55"/>
        <v>0.30569605034834541</v>
      </c>
      <c r="AX23" s="153">
        <f t="shared" si="55"/>
        <v>0.12228982405253355</v>
      </c>
      <c r="AY23" s="153">
        <f t="shared" si="55"/>
        <v>0.12670782447340659</v>
      </c>
      <c r="AZ23" s="153">
        <f t="shared" si="55"/>
        <v>0.10753736072967091</v>
      </c>
      <c r="BA23" s="153">
        <f t="shared" si="55"/>
        <v>0.27513075621586308</v>
      </c>
      <c r="BB23" s="153">
        <f t="shared" si="55"/>
        <v>0.2237191306354922</v>
      </c>
      <c r="BC23" s="153">
        <f t="shared" si="55"/>
        <v>0.34185535673836048</v>
      </c>
      <c r="BD23" s="153">
        <f t="shared" si="55"/>
        <v>0.27752083973365771</v>
      </c>
      <c r="BE23" s="153">
        <f ca="1">+BE13/BE53</f>
        <v>0.45020103403315542</v>
      </c>
      <c r="BF23" s="153">
        <f t="shared" si="55"/>
        <v>0.34179879757091153</v>
      </c>
      <c r="BG23" s="153">
        <f t="shared" si="55"/>
        <v>0.41815393384997485</v>
      </c>
      <c r="BH23" s="153">
        <f t="shared" si="55"/>
        <v>0.4077363640431339</v>
      </c>
      <c r="BI23" s="153">
        <f t="shared" si="55"/>
        <v>0.42106133928940731</v>
      </c>
      <c r="BJ23" s="153">
        <f t="shared" si="55"/>
        <v>0.30476295196730618</v>
      </c>
      <c r="BK23" s="153">
        <f t="shared" si="55"/>
        <v>0.37165929670264736</v>
      </c>
      <c r="BL23" s="153">
        <f t="shared" si="55"/>
        <v>0.35943540939333041</v>
      </c>
      <c r="BM23" s="153">
        <f t="shared" si="55"/>
        <v>0.35802141961673734</v>
      </c>
      <c r="BN23" s="153">
        <f t="shared" si="55"/>
        <v>0.3565131796409835</v>
      </c>
      <c r="BO23" s="153">
        <f t="shared" si="55"/>
        <v>0.42852000527356016</v>
      </c>
      <c r="BP23" s="153">
        <f t="shared" si="55"/>
        <v>0.4972846091349768</v>
      </c>
      <c r="BQ23" s="153">
        <f t="shared" ref="BQ23:CB23" si="56">+BQ13/BQ53</f>
        <v>0.29006116722637559</v>
      </c>
      <c r="BR23" s="153">
        <f t="shared" si="56"/>
        <v>0.33671051657585543</v>
      </c>
      <c r="BS23" s="153">
        <f t="shared" si="56"/>
        <v>0.39813847160575055</v>
      </c>
      <c r="BT23" s="153">
        <f t="shared" ca="1" si="56"/>
        <v>0.38917786431410073</v>
      </c>
      <c r="BU23" s="153">
        <f t="shared" ca="1" si="56"/>
        <v>0.33127191061074407</v>
      </c>
      <c r="BV23" s="153">
        <f t="shared" ca="1" si="56"/>
        <v>0.34109355623308069</v>
      </c>
      <c r="BW23" s="153">
        <f t="shared" ca="1" si="56"/>
        <v>0.34051680956204772</v>
      </c>
      <c r="BX23" s="153">
        <f t="shared" ca="1" si="56"/>
        <v>0.3392847513330427</v>
      </c>
      <c r="BY23" s="153">
        <f t="shared" ca="1" si="56"/>
        <v>0.33479365204644002</v>
      </c>
      <c r="BZ23" s="153">
        <f t="shared" ca="1" si="56"/>
        <v>0.32941786955788044</v>
      </c>
      <c r="CA23" s="153">
        <f t="shared" ca="1" si="56"/>
        <v>0.32327573639915463</v>
      </c>
      <c r="CB23" s="153">
        <f t="shared" ca="1" si="56"/>
        <v>0.31625082620187883</v>
      </c>
      <c r="CC23" s="153">
        <f ca="1">+CC13/CC53</f>
        <v>0.30817583297086326</v>
      </c>
      <c r="CD23" s="153">
        <f ca="1">+CD13/CD53</f>
        <v>0.29887147073218312</v>
      </c>
      <c r="CE23" s="153">
        <f ca="1">+CE13/CE53</f>
        <v>0.28816510026799314</v>
      </c>
      <c r="CF23" s="153">
        <f ca="1">+CF13/CF53</f>
        <v>0.27592854459690924</v>
      </c>
      <c r="CG23" s="153">
        <f ca="1">+CG13/CG53</f>
        <v>0.26213733572907327</v>
      </c>
      <c r="CH23" s="204"/>
      <c r="CI23" s="133">
        <f t="shared" si="47"/>
        <v>0</v>
      </c>
      <c r="CJ23" s="133">
        <f t="shared" si="47"/>
        <v>0</v>
      </c>
      <c r="CK23" s="133">
        <f t="shared" si="47"/>
        <v>0</v>
      </c>
      <c r="CL23" s="133">
        <f t="shared" ca="1" si="47"/>
        <v>0</v>
      </c>
      <c r="CM23" s="133">
        <f t="shared" ca="1" si="47"/>
        <v>1.0004409485730836E-2</v>
      </c>
      <c r="CN23" s="133">
        <f t="shared" ca="1" si="47"/>
        <v>1.8457447704864294E-2</v>
      </c>
      <c r="CO23" s="133">
        <f t="shared" ca="1" si="47"/>
        <v>2.240187583887987E-2</v>
      </c>
      <c r="CP23" s="133">
        <f t="shared" ca="1" si="47"/>
        <v>2.5930660341159373E-2</v>
      </c>
      <c r="CQ23" s="133">
        <f t="shared" ca="1" si="47"/>
        <v>2.9022854957716004E-2</v>
      </c>
      <c r="CR23" s="133">
        <f t="shared" ca="1" si="47"/>
        <v>2.3364226480228512E-2</v>
      </c>
      <c r="CS23" s="133">
        <f t="shared" ca="1" si="48"/>
        <v>2.6023979362555627E-2</v>
      </c>
      <c r="CT23" s="133">
        <f t="shared" ca="1" si="48"/>
        <v>2.8859829287386896E-2</v>
      </c>
      <c r="CU23" s="133">
        <f t="shared" ca="1" si="48"/>
        <v>3.1269040844636276E-2</v>
      </c>
      <c r="CV23" s="133">
        <f t="shared" ca="1" si="48"/>
        <v>3.3228462163671868E-2</v>
      </c>
      <c r="CW23" s="133">
        <f t="shared" ca="1" si="48"/>
        <v>3.4648794264435401E-2</v>
      </c>
      <c r="CX23" s="133">
        <f t="shared" ca="1" si="48"/>
        <v>3.5454492489336381E-2</v>
      </c>
      <c r="CY23" s="133">
        <f t="shared" ca="1" si="48"/>
        <v>3.5585078130969311E-2</v>
      </c>
      <c r="DA23" s="382">
        <v>0.29006116722637559</v>
      </c>
      <c r="DB23" s="382">
        <v>0.33671051657585543</v>
      </c>
      <c r="DC23" s="382">
        <v>0.39813847160575055</v>
      </c>
      <c r="DD23" s="382">
        <v>0.38917786431410073</v>
      </c>
      <c r="DE23" s="104">
        <v>0.32126750112501323</v>
      </c>
      <c r="DF23" s="104">
        <v>0.32263610852821639</v>
      </c>
      <c r="DG23" s="104">
        <v>0.31811493372316785</v>
      </c>
      <c r="DH23" s="104">
        <v>0.31335409099188333</v>
      </c>
      <c r="DI23" s="104">
        <v>0.30577079708872401</v>
      </c>
      <c r="DJ23" s="104">
        <v>0.30605364307765193</v>
      </c>
      <c r="DK23" s="104">
        <v>0.29725175703659901</v>
      </c>
      <c r="DL23" s="104">
        <v>0.28739099691449194</v>
      </c>
      <c r="DM23" s="104">
        <v>0.27690679212622699</v>
      </c>
      <c r="DN23" s="104">
        <v>0.26564300856851125</v>
      </c>
      <c r="DO23" s="104">
        <v>0.25351630600355773</v>
      </c>
      <c r="DP23" s="104">
        <v>0.24047405210757286</v>
      </c>
      <c r="DQ23" s="104">
        <v>0.22655225759810396</v>
      </c>
    </row>
    <row r="24" spans="1:121">
      <c r="A24" s="149" t="s">
        <v>1344</v>
      </c>
      <c r="B24" s="149"/>
      <c r="C24" s="150"/>
      <c r="D24" s="102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</row>
    <row r="25" spans="1:121" s="123" customFormat="1">
      <c r="A25" s="223" t="s">
        <v>3201</v>
      </c>
      <c r="B25" s="154"/>
      <c r="C25" s="154"/>
      <c r="D25" s="642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251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6"/>
      <c r="DA25" s="383"/>
      <c r="DB25" s="383"/>
      <c r="DC25" s="383"/>
      <c r="DD25" s="383"/>
      <c r="DE25" s="383"/>
      <c r="DF25" s="383"/>
      <c r="DG25" s="383"/>
      <c r="DH25" s="383"/>
      <c r="DI25" s="383"/>
      <c r="DJ25" s="383"/>
      <c r="DK25" s="383"/>
      <c r="DL25" s="383"/>
      <c r="DM25" s="383"/>
      <c r="DN25" s="383"/>
      <c r="DO25" s="135"/>
      <c r="DP25" s="135"/>
      <c r="DQ25" s="135"/>
    </row>
    <row r="26" spans="1:121">
      <c r="A26" s="131" t="s">
        <v>3094</v>
      </c>
      <c r="B26" s="149"/>
      <c r="C26" s="150" t="s">
        <v>1349</v>
      </c>
      <c r="D26" s="102"/>
      <c r="E26" s="149"/>
      <c r="F26" s="149"/>
      <c r="G26" s="128">
        <f t="shared" ref="G26:AL26" si="57">+((G8/F8)/(1+G36/100)-1)*100</f>
        <v>8.71206849498083</v>
      </c>
      <c r="H26" s="128">
        <f t="shared" si="57"/>
        <v>5.0535839952035255</v>
      </c>
      <c r="I26" s="128">
        <f t="shared" si="57"/>
        <v>-5.0496884097505301</v>
      </c>
      <c r="J26" s="128">
        <f t="shared" si="57"/>
        <v>-1.3709674208416511</v>
      </c>
      <c r="K26" s="128">
        <f t="shared" si="57"/>
        <v>16.11234892052671</v>
      </c>
      <c r="L26" s="128">
        <f t="shared" si="57"/>
        <v>6.6656286927911479</v>
      </c>
      <c r="M26" s="128">
        <f t="shared" si="57"/>
        <v>9.2548256514803242</v>
      </c>
      <c r="N26" s="128">
        <f t="shared" si="57"/>
        <v>5.5261136030235081</v>
      </c>
      <c r="O26" s="128">
        <f t="shared" si="57"/>
        <v>9.0423211640723764</v>
      </c>
      <c r="P26" s="128">
        <f t="shared" si="57"/>
        <v>-4.4669569379122365</v>
      </c>
      <c r="Q26" s="128">
        <f t="shared" si="57"/>
        <v>18.735058778514912</v>
      </c>
      <c r="R26" s="128">
        <f t="shared" si="57"/>
        <v>15.806538363568269</v>
      </c>
      <c r="S26" s="128">
        <f t="shared" si="57"/>
        <v>18.395520925588759</v>
      </c>
      <c r="T26" s="128">
        <f t="shared" si="57"/>
        <v>6.1364307011966712</v>
      </c>
      <c r="U26" s="128">
        <f t="shared" si="57"/>
        <v>9.5961391104434135</v>
      </c>
      <c r="V26" s="128">
        <f t="shared" si="57"/>
        <v>5.5201404075372329</v>
      </c>
      <c r="W26" s="128">
        <f t="shared" si="57"/>
        <v>4.8186752475710914</v>
      </c>
      <c r="X26" s="128">
        <f t="shared" si="57"/>
        <v>2.1585389098532026</v>
      </c>
      <c r="Y26" s="128">
        <f t="shared" si="57"/>
        <v>3.0070709947590979</v>
      </c>
      <c r="Z26" s="128">
        <f t="shared" si="57"/>
        <v>-5.8472272653912079</v>
      </c>
      <c r="AA26" s="128">
        <f t="shared" si="57"/>
        <v>9.2047753458901482E-2</v>
      </c>
      <c r="AB26" s="128">
        <f t="shared" si="57"/>
        <v>8.4804035727778846</v>
      </c>
      <c r="AC26" s="128">
        <f t="shared" si="57"/>
        <v>24.5251662018632</v>
      </c>
      <c r="AD26" s="128">
        <f t="shared" si="57"/>
        <v>5.4135554869672031</v>
      </c>
      <c r="AE26" s="128">
        <f t="shared" si="57"/>
        <v>-5.4980372103385129</v>
      </c>
      <c r="AF26" s="128">
        <f t="shared" si="57"/>
        <v>-10.506402725568353</v>
      </c>
      <c r="AG26" s="128">
        <f t="shared" si="57"/>
        <v>9.7174293547808155E-2</v>
      </c>
      <c r="AH26" s="128">
        <f t="shared" si="57"/>
        <v>-0.63716176575118189</v>
      </c>
      <c r="AI26" s="128">
        <f t="shared" si="57"/>
        <v>-0.70825411485124778</v>
      </c>
      <c r="AJ26" s="128">
        <f t="shared" si="57"/>
        <v>-2.8389676785221751</v>
      </c>
      <c r="AK26" s="128">
        <f t="shared" si="57"/>
        <v>-18.296654035568306</v>
      </c>
      <c r="AL26" s="128">
        <f t="shared" si="57"/>
        <v>-11.971158104093726</v>
      </c>
      <c r="AM26" s="128">
        <f t="shared" ref="AM26:BP26" si="58">+((AM8/AL8)/(1+AM36/100)-1)*100</f>
        <v>-15.452873621265894</v>
      </c>
      <c r="AN26" s="128">
        <f t="shared" si="58"/>
        <v>18.56306449448293</v>
      </c>
      <c r="AO26" s="128">
        <f t="shared" si="58"/>
        <v>39.466380593147996</v>
      </c>
      <c r="AP26" s="128">
        <f t="shared" si="58"/>
        <v>9.788418453699844</v>
      </c>
      <c r="AQ26" s="128">
        <f t="shared" si="58"/>
        <v>7.4417819533272311</v>
      </c>
      <c r="AR26" s="128">
        <f t="shared" si="58"/>
        <v>-0.9112214154876952</v>
      </c>
      <c r="AS26" s="128">
        <f t="shared" si="58"/>
        <v>-24.913996959983752</v>
      </c>
      <c r="AT26" s="128">
        <f t="shared" si="58"/>
        <v>-9.7888748722859464</v>
      </c>
      <c r="AU26" s="128">
        <f t="shared" si="58"/>
        <v>-18.644587800179004</v>
      </c>
      <c r="AV26" s="128">
        <f t="shared" si="58"/>
        <v>12.429461939562358</v>
      </c>
      <c r="AW26" s="128">
        <f t="shared" si="58"/>
        <v>-2.8311183816057017</v>
      </c>
      <c r="AX26" s="128">
        <f t="shared" si="58"/>
        <v>9.9759992197027358</v>
      </c>
      <c r="AY26" s="128">
        <f t="shared" si="58"/>
        <v>-8.9508033303120733</v>
      </c>
      <c r="AZ26" s="128">
        <f t="shared" si="58"/>
        <v>-8.6463790713226523</v>
      </c>
      <c r="BA26" s="128">
        <f t="shared" si="58"/>
        <v>-13.465991381615305</v>
      </c>
      <c r="BB26" s="128">
        <f t="shared" si="58"/>
        <v>57.877487430898711</v>
      </c>
      <c r="BC26" s="128">
        <f t="shared" si="58"/>
        <v>10.333893854696075</v>
      </c>
      <c r="BD26" s="128">
        <f t="shared" si="58"/>
        <v>7.5085666470117607</v>
      </c>
      <c r="BE26" s="128">
        <f t="shared" si="58"/>
        <v>4.4587537798173038</v>
      </c>
      <c r="BF26" s="128">
        <f t="shared" si="58"/>
        <v>-6.9338646040861036</v>
      </c>
      <c r="BG26" s="128">
        <f t="shared" si="58"/>
        <v>4.9267308634245</v>
      </c>
      <c r="BH26" s="128">
        <f t="shared" si="58"/>
        <v>7.0584496496317817</v>
      </c>
      <c r="BI26" s="128">
        <f t="shared" si="58"/>
        <v>1.9188345255050088E-2</v>
      </c>
      <c r="BJ26" s="128">
        <f t="shared" si="58"/>
        <v>3.5963428216157611</v>
      </c>
      <c r="BK26" s="128">
        <f t="shared" si="58"/>
        <v>7.4172112106257737</v>
      </c>
      <c r="BL26" s="128">
        <f t="shared" si="58"/>
        <v>23.612233233258205</v>
      </c>
      <c r="BM26" s="128">
        <f t="shared" si="58"/>
        <v>22.563033255415753</v>
      </c>
      <c r="BN26" s="128">
        <f t="shared" si="58"/>
        <v>0.1453432462676707</v>
      </c>
      <c r="BO26" s="128">
        <f t="shared" si="58"/>
        <v>-8.441767589479598</v>
      </c>
      <c r="BP26" s="128">
        <f t="shared" si="58"/>
        <v>-39.537406576487363</v>
      </c>
      <c r="BQ26" s="128">
        <f t="shared" ref="BQ26:CB26" si="59">+((BQ8/BP8)/(1+BQ36/100)-1)*100</f>
        <v>5.8070784647734852</v>
      </c>
      <c r="BR26" s="128">
        <f t="shared" si="59"/>
        <v>12.096879446706454</v>
      </c>
      <c r="BS26" s="128">
        <f t="shared" si="59"/>
        <v>-5.3692759834850783</v>
      </c>
      <c r="BT26" s="128">
        <f t="shared" ca="1" si="59"/>
        <v>-18.068882028722744</v>
      </c>
      <c r="BU26" s="128">
        <f t="shared" ca="1" si="59"/>
        <v>-9.1113826407965171</v>
      </c>
      <c r="BV26" s="128">
        <f t="shared" ca="1" si="59"/>
        <v>13.953257131962161</v>
      </c>
      <c r="BW26" s="128">
        <f t="shared" ca="1" si="59"/>
        <v>13.325460620533125</v>
      </c>
      <c r="BX26" s="128">
        <f t="shared" ca="1" si="59"/>
        <v>10.337992089077153</v>
      </c>
      <c r="BY26" s="128">
        <f t="shared" ca="1" si="59"/>
        <v>9.5711260927163977</v>
      </c>
      <c r="BZ26" s="128">
        <f t="shared" ca="1" si="59"/>
        <v>10.244927731397269</v>
      </c>
      <c r="CA26" s="128">
        <f t="shared" ca="1" si="59"/>
        <v>10.593303928901454</v>
      </c>
      <c r="CB26" s="128">
        <f t="shared" ca="1" si="59"/>
        <v>10.947565471145415</v>
      </c>
      <c r="CC26" s="128">
        <f t="shared" ref="CC26:CG27" ca="1" si="60">+((CC8/CB8)/(1+CC36/100)-1)*100</f>
        <v>11.333863919492426</v>
      </c>
      <c r="CD26" s="128">
        <f t="shared" ca="1" si="60"/>
        <v>11.7512931604006</v>
      </c>
      <c r="CE26" s="128">
        <f t="shared" ca="1" si="60"/>
        <v>12.190928880119856</v>
      </c>
      <c r="CF26" s="128">
        <f t="shared" ca="1" si="60"/>
        <v>12.631573838369636</v>
      </c>
      <c r="CG26" s="128">
        <f t="shared" ca="1" si="60"/>
        <v>13.035630594582926</v>
      </c>
      <c r="CI26" s="157">
        <f t="shared" ref="CI26:CU26" si="61">BQ26-DA26</f>
        <v>0</v>
      </c>
      <c r="CJ26" s="157">
        <f t="shared" si="61"/>
        <v>0</v>
      </c>
      <c r="CK26" s="157">
        <f t="shared" si="61"/>
        <v>0</v>
      </c>
      <c r="CL26" s="157">
        <f t="shared" ca="1" si="61"/>
        <v>0</v>
      </c>
      <c r="CM26" s="157">
        <f t="shared" ca="1" si="61"/>
        <v>-5.5795875572285052</v>
      </c>
      <c r="CN26" s="157">
        <f t="shared" ca="1" si="61"/>
        <v>-1.152552910298386</v>
      </c>
      <c r="CO26" s="157">
        <f t="shared" ca="1" si="61"/>
        <v>-0.92475072685232007</v>
      </c>
      <c r="CP26" s="157">
        <f t="shared" ca="1" si="61"/>
        <v>-1.3648027096340822</v>
      </c>
      <c r="CQ26" s="157">
        <f t="shared" ca="1" si="61"/>
        <v>-1.542894376987757</v>
      </c>
      <c r="CR26" s="157">
        <f t="shared" ca="1" si="61"/>
        <v>-0.73279602077249706</v>
      </c>
      <c r="CS26" s="157">
        <f t="shared" ca="1" si="61"/>
        <v>-0.44539132968421846</v>
      </c>
      <c r="CT26" s="157">
        <f t="shared" ca="1" si="61"/>
        <v>-0.91914924837661616</v>
      </c>
      <c r="CU26" s="157">
        <f t="shared" ca="1" si="61"/>
        <v>-1.0494686915311959</v>
      </c>
      <c r="CV26" s="157">
        <f t="shared" ref="CV26:CV32" ca="1" si="62">CD26-DN26</f>
        <v>-1.1041959337034548</v>
      </c>
      <c r="CW26" s="157">
        <f t="shared" ref="CW26:CW32" ca="1" si="63">CE26-DO26</f>
        <v>-1.0776065451328485</v>
      </c>
      <c r="CX26" s="157">
        <f t="shared" ref="CX26:CX32" ca="1" si="64">CF26-DP26</f>
        <v>-0.9995477659317622</v>
      </c>
      <c r="CY26" s="157">
        <f t="shared" ref="CY26:CY32" ca="1" si="65">CG26-DQ26</f>
        <v>-0.87575003448894151</v>
      </c>
      <c r="DA26" s="104">
        <v>5.8070784647734852</v>
      </c>
      <c r="DB26" s="104">
        <v>12.096879446706454</v>
      </c>
      <c r="DC26" s="104">
        <v>-5.3692759834850783</v>
      </c>
      <c r="DD26" s="104">
        <v>-18.068882028722744</v>
      </c>
      <c r="DE26" s="104">
        <v>-3.5317950835680123</v>
      </c>
      <c r="DF26" s="104">
        <v>15.105810042260547</v>
      </c>
      <c r="DG26" s="104">
        <v>14.250211347385445</v>
      </c>
      <c r="DH26" s="104">
        <v>11.702794798711235</v>
      </c>
      <c r="DI26" s="104">
        <v>11.114020469704155</v>
      </c>
      <c r="DJ26" s="104">
        <v>10.977723752169766</v>
      </c>
      <c r="DK26" s="104">
        <v>11.038695258585673</v>
      </c>
      <c r="DL26" s="104">
        <v>11.866714719522031</v>
      </c>
      <c r="DM26" s="104">
        <v>12.383332611023622</v>
      </c>
      <c r="DN26" s="104">
        <v>12.855489094104055</v>
      </c>
      <c r="DO26" s="104">
        <v>13.268535425252704</v>
      </c>
      <c r="DP26" s="104">
        <v>13.631121604301399</v>
      </c>
      <c r="DQ26" s="104">
        <v>13.911380629071868</v>
      </c>
    </row>
    <row r="27" spans="1:121">
      <c r="A27" s="131" t="s">
        <v>3081</v>
      </c>
      <c r="B27" s="149"/>
      <c r="C27" s="150" t="s">
        <v>1349</v>
      </c>
      <c r="D27" s="102"/>
      <c r="E27" s="149"/>
      <c r="F27" s="149"/>
      <c r="G27" s="128">
        <f t="shared" ref="G27:AL27" si="66">+((G9/F9)/(1+G37/100)-1)*100</f>
        <v>18.050809360734775</v>
      </c>
      <c r="H27" s="128">
        <f t="shared" si="66"/>
        <v>-11.260197701418328</v>
      </c>
      <c r="I27" s="128">
        <f t="shared" si="66"/>
        <v>4.958371099906711</v>
      </c>
      <c r="J27" s="128">
        <f t="shared" si="66"/>
        <v>15.606257586537421</v>
      </c>
      <c r="K27" s="128">
        <f t="shared" si="66"/>
        <v>-1.700421213420622</v>
      </c>
      <c r="L27" s="128">
        <f t="shared" si="66"/>
        <v>12.425798378165887</v>
      </c>
      <c r="M27" s="128">
        <f t="shared" si="66"/>
        <v>2.2658187178488998</v>
      </c>
      <c r="N27" s="128">
        <f t="shared" si="66"/>
        <v>12.570236989368521</v>
      </c>
      <c r="O27" s="128">
        <f t="shared" si="66"/>
        <v>0.91862361275778515</v>
      </c>
      <c r="P27" s="128">
        <f t="shared" si="66"/>
        <v>1.9123481413711563</v>
      </c>
      <c r="Q27" s="128">
        <f t="shared" si="66"/>
        <v>0.53878503841471304</v>
      </c>
      <c r="R27" s="128">
        <f t="shared" si="66"/>
        <v>3.0589685784220277</v>
      </c>
      <c r="S27" s="128">
        <f t="shared" si="66"/>
        <v>14.895588547209314</v>
      </c>
      <c r="T27" s="128">
        <f t="shared" si="66"/>
        <v>7.8890287976190354</v>
      </c>
      <c r="U27" s="128">
        <f t="shared" si="66"/>
        <v>-0.92895642137257317</v>
      </c>
      <c r="V27" s="128">
        <f t="shared" si="66"/>
        <v>3.6861795423863697</v>
      </c>
      <c r="W27" s="128">
        <f t="shared" si="66"/>
        <v>17.857013713793645</v>
      </c>
      <c r="X27" s="128">
        <f t="shared" si="66"/>
        <v>-21.364081972876082</v>
      </c>
      <c r="Y27" s="128">
        <f t="shared" si="66"/>
        <v>5.6012279775367269</v>
      </c>
      <c r="Z27" s="128">
        <f t="shared" si="66"/>
        <v>23.717109001666014</v>
      </c>
      <c r="AA27" s="128">
        <f t="shared" si="66"/>
        <v>4.5702349257703556</v>
      </c>
      <c r="AB27" s="128">
        <f t="shared" si="66"/>
        <v>8.1088907787508546</v>
      </c>
      <c r="AC27" s="128">
        <f t="shared" si="66"/>
        <v>29.03854523537013</v>
      </c>
      <c r="AD27" s="128">
        <f t="shared" si="66"/>
        <v>1.5945500561090231</v>
      </c>
      <c r="AE27" s="128">
        <f t="shared" si="66"/>
        <v>-12.309886280219207</v>
      </c>
      <c r="AF27" s="128">
        <f t="shared" si="66"/>
        <v>-4.7003394692968659</v>
      </c>
      <c r="AG27" s="128">
        <f t="shared" si="66"/>
        <v>13.971670905912671</v>
      </c>
      <c r="AH27" s="128">
        <f t="shared" si="66"/>
        <v>-2.6891028572685771</v>
      </c>
      <c r="AI27" s="128">
        <f t="shared" si="66"/>
        <v>5.711168760742269</v>
      </c>
      <c r="AJ27" s="128">
        <f t="shared" si="66"/>
        <v>-4.0739406600352019</v>
      </c>
      <c r="AK27" s="128">
        <f t="shared" si="66"/>
        <v>9.3102545045153242</v>
      </c>
      <c r="AL27" s="128">
        <f t="shared" si="66"/>
        <v>2.4079007276539333</v>
      </c>
      <c r="AM27" s="128">
        <f t="shared" ref="AM27:BQ27" si="67">+((AM9/AL9)/(1+AM37/100)-1)*100</f>
        <v>-20.240816392158024</v>
      </c>
      <c r="AN27" s="128">
        <f t="shared" si="67"/>
        <v>7.6026807679679065</v>
      </c>
      <c r="AO27" s="128">
        <f t="shared" si="67"/>
        <v>-10.938328729919533</v>
      </c>
      <c r="AP27" s="128">
        <f t="shared" si="67"/>
        <v>-5.2179675097083216</v>
      </c>
      <c r="AQ27" s="128">
        <f t="shared" si="67"/>
        <v>8.9475744524711196</v>
      </c>
      <c r="AR27" s="128">
        <f t="shared" si="67"/>
        <v>-13.502313713809578</v>
      </c>
      <c r="AS27" s="128">
        <f t="shared" si="67"/>
        <v>-25.921105849160121</v>
      </c>
      <c r="AT27" s="128">
        <f t="shared" si="67"/>
        <v>-34.806020920951553</v>
      </c>
      <c r="AU27" s="128">
        <f t="shared" si="67"/>
        <v>167.04972015017839</v>
      </c>
      <c r="AV27" s="128">
        <f t="shared" si="67"/>
        <v>-6.5928191579997408</v>
      </c>
      <c r="AW27" s="128">
        <f t="shared" si="67"/>
        <v>1.7121205780977089</v>
      </c>
      <c r="AX27" s="128">
        <f t="shared" si="67"/>
        <v>36.688960742369161</v>
      </c>
      <c r="AY27" s="128">
        <f t="shared" si="67"/>
        <v>-16.693443284464603</v>
      </c>
      <c r="AZ27" s="128">
        <f t="shared" si="67"/>
        <v>31.51277394677523</v>
      </c>
      <c r="BA27" s="128">
        <f t="shared" si="67"/>
        <v>-5.0900559587225498</v>
      </c>
      <c r="BB27" s="128">
        <f t="shared" si="67"/>
        <v>-1.8169960626696069</v>
      </c>
      <c r="BC27" s="128">
        <f t="shared" si="67"/>
        <v>-32.902957206884409</v>
      </c>
      <c r="BD27" s="128">
        <f t="shared" si="67"/>
        <v>-16.214431182655918</v>
      </c>
      <c r="BE27" s="128">
        <f ca="1">+((BE9/BD9)/(1+BE37/100)-1)*100</f>
        <v>10.775341941762528</v>
      </c>
      <c r="BF27" s="128">
        <f ca="1">+((BF9/BE9)/(1+BF37/100)-1)*100</f>
        <v>31.481129939679043</v>
      </c>
      <c r="BG27" s="128">
        <f t="shared" si="67"/>
        <v>-17.81402485576038</v>
      </c>
      <c r="BH27" s="128">
        <f t="shared" si="67"/>
        <v>15.953147840299886</v>
      </c>
      <c r="BI27" s="128">
        <f t="shared" si="67"/>
        <v>14.749684486527116</v>
      </c>
      <c r="BJ27" s="128">
        <f t="shared" si="67"/>
        <v>4.0123870608693712</v>
      </c>
      <c r="BK27" s="128">
        <f t="shared" si="67"/>
        <v>-2.3920981977222366</v>
      </c>
      <c r="BL27" s="128">
        <f t="shared" si="67"/>
        <v>27.898628221293166</v>
      </c>
      <c r="BM27" s="128">
        <f t="shared" si="67"/>
        <v>-20.773327715719915</v>
      </c>
      <c r="BN27" s="128">
        <f t="shared" si="67"/>
        <v>28.100752398115315</v>
      </c>
      <c r="BO27" s="128">
        <f t="shared" si="67"/>
        <v>5.6162571119534599</v>
      </c>
      <c r="BP27" s="128">
        <f t="shared" si="67"/>
        <v>-33.873850835862363</v>
      </c>
      <c r="BQ27" s="128">
        <f t="shared" si="67"/>
        <v>-9.1895790743648949</v>
      </c>
      <c r="BR27" s="128">
        <f t="shared" ref="BR27:CB27" si="68">+((BR9/BQ9)/(1+BR37/100)-1)*100</f>
        <v>-31.267268294079365</v>
      </c>
      <c r="BS27" s="128">
        <f t="shared" si="68"/>
        <v>104.27100569818451</v>
      </c>
      <c r="BT27" s="128">
        <f t="shared" ca="1" si="68"/>
        <v>-21.159923883432075</v>
      </c>
      <c r="BU27" s="128">
        <f t="shared" ca="1" si="68"/>
        <v>2.7657533326812977</v>
      </c>
      <c r="BV27" s="128">
        <f t="shared" ca="1" si="68"/>
        <v>-12.389169389417642</v>
      </c>
      <c r="BW27" s="128">
        <f t="shared" ca="1" si="68"/>
        <v>-8.3247683654350091</v>
      </c>
      <c r="BX27" s="128">
        <f t="shared" ca="1" si="68"/>
        <v>1.1167313159284431</v>
      </c>
      <c r="BY27" s="128">
        <f t="shared" ca="1" si="68"/>
        <v>1.4299484768827364</v>
      </c>
      <c r="BZ27" s="128">
        <f t="shared" ca="1" si="68"/>
        <v>1.475795053350093</v>
      </c>
      <c r="CA27" s="128">
        <f t="shared" ca="1" si="68"/>
        <v>1.5072433593960932</v>
      </c>
      <c r="CB27" s="128">
        <f t="shared" ca="1" si="68"/>
        <v>1.5495664304233658</v>
      </c>
      <c r="CC27" s="128">
        <f t="shared" ca="1" si="60"/>
        <v>1.6056284264204468</v>
      </c>
      <c r="CD27" s="128">
        <f t="shared" ca="1" si="60"/>
        <v>1.6786179041800242</v>
      </c>
      <c r="CE27" s="128">
        <f t="shared" ca="1" si="60"/>
        <v>1.7711844349104444</v>
      </c>
      <c r="CF27" s="128">
        <f t="shared" ca="1" si="60"/>
        <v>1.8847590148869386</v>
      </c>
      <c r="CG27" s="128">
        <f t="shared" ca="1" si="60"/>
        <v>2.0180883456949461</v>
      </c>
      <c r="CI27" s="157">
        <f t="shared" ref="CI27:CI32" si="69">BQ27-DA27</f>
        <v>0</v>
      </c>
      <c r="CJ27" s="157">
        <f t="shared" ref="CJ27:CU32" si="70">BR27-DB27</f>
        <v>0</v>
      </c>
      <c r="CK27" s="157">
        <f t="shared" si="70"/>
        <v>0</v>
      </c>
      <c r="CL27" s="157">
        <f t="shared" ca="1" si="70"/>
        <v>0</v>
      </c>
      <c r="CM27" s="157">
        <f t="shared" ca="1" si="70"/>
        <v>-1.0541094071918833</v>
      </c>
      <c r="CN27" s="157">
        <f t="shared" ca="1" si="70"/>
        <v>-0.47786860190475089</v>
      </c>
      <c r="CO27" s="157">
        <f t="shared" ca="1" si="70"/>
        <v>-0.3150013097532387</v>
      </c>
      <c r="CP27" s="157">
        <f t="shared" ca="1" si="70"/>
        <v>-0.35725373259434257</v>
      </c>
      <c r="CQ27" s="157">
        <f t="shared" ca="1" si="70"/>
        <v>-0.33326804334963267</v>
      </c>
      <c r="CR27" s="157">
        <f t="shared" ca="1" si="70"/>
        <v>0.38478191783666293</v>
      </c>
      <c r="CS27" s="157">
        <f t="shared" ca="1" si="70"/>
        <v>-0.22617327727201264</v>
      </c>
      <c r="CT27" s="157">
        <f t="shared" ca="1" si="70"/>
        <v>-0.24060221122574887</v>
      </c>
      <c r="CU27" s="157">
        <f t="shared" ca="1" si="70"/>
        <v>-0.23532452406294091</v>
      </c>
      <c r="CV27" s="157">
        <f t="shared" ca="1" si="62"/>
        <v>-0.21665477681056533</v>
      </c>
      <c r="CW27" s="157">
        <f t="shared" ca="1" si="63"/>
        <v>-0.19108924962438767</v>
      </c>
      <c r="CX27" s="157">
        <f t="shared" ca="1" si="64"/>
        <v>-0.16101356693920543</v>
      </c>
      <c r="CY27" s="157">
        <f t="shared" ca="1" si="65"/>
        <v>-0.12653720656041756</v>
      </c>
      <c r="DA27" s="104">
        <v>-9.1895790743648949</v>
      </c>
      <c r="DB27" s="104">
        <v>-31.267268294079365</v>
      </c>
      <c r="DC27" s="104">
        <v>104.27100569818451</v>
      </c>
      <c r="DD27" s="104">
        <v>-21.159923883432075</v>
      </c>
      <c r="DE27" s="104">
        <v>3.819862739873181</v>
      </c>
      <c r="DF27" s="104">
        <v>-11.911300787512891</v>
      </c>
      <c r="DG27" s="104">
        <v>-8.0097670556817704</v>
      </c>
      <c r="DH27" s="104">
        <v>1.4739850485227857</v>
      </c>
      <c r="DI27" s="104">
        <v>1.7632165202323691</v>
      </c>
      <c r="DJ27" s="104">
        <v>1.09101313551343</v>
      </c>
      <c r="DK27" s="104">
        <v>1.7334166366681059</v>
      </c>
      <c r="DL27" s="104">
        <v>1.7901686416491147</v>
      </c>
      <c r="DM27" s="104">
        <v>1.8409529504833877</v>
      </c>
      <c r="DN27" s="104">
        <v>1.8952726809905895</v>
      </c>
      <c r="DO27" s="104">
        <v>1.9622736845348321</v>
      </c>
      <c r="DP27" s="104">
        <v>2.0457725818261441</v>
      </c>
      <c r="DQ27" s="104">
        <v>2.1446255522553637</v>
      </c>
    </row>
    <row r="28" spans="1:121">
      <c r="A28" s="107" t="s">
        <v>864</v>
      </c>
      <c r="B28" s="149"/>
      <c r="C28" s="150" t="s">
        <v>1349</v>
      </c>
      <c r="D28" s="102"/>
      <c r="E28" s="149"/>
      <c r="F28" s="149"/>
      <c r="G28" s="128">
        <f t="shared" ref="G28:AL28" si="71">+((G12/F12)/(1+G38/100)-1)*100</f>
        <v>4.2209484106305206</v>
      </c>
      <c r="H28" s="128">
        <f t="shared" si="71"/>
        <v>21.872401776053294</v>
      </c>
      <c r="I28" s="128">
        <f t="shared" si="71"/>
        <v>25.30532668098655</v>
      </c>
      <c r="J28" s="128">
        <f t="shared" si="71"/>
        <v>4.2194134254934124</v>
      </c>
      <c r="K28" s="128">
        <f t="shared" si="71"/>
        <v>10.728741340072624</v>
      </c>
      <c r="L28" s="128">
        <f t="shared" si="71"/>
        <v>17.422337488395389</v>
      </c>
      <c r="M28" s="128">
        <f t="shared" si="71"/>
        <v>-0.17949780181272246</v>
      </c>
      <c r="N28" s="128">
        <f t="shared" si="71"/>
        <v>3.1025603292362591</v>
      </c>
      <c r="O28" s="128">
        <f t="shared" si="71"/>
        <v>7.5075906342498167</v>
      </c>
      <c r="P28" s="128">
        <f t="shared" si="71"/>
        <v>67.26875526616773</v>
      </c>
      <c r="Q28" s="128">
        <f t="shared" si="71"/>
        <v>4.1426136881929532</v>
      </c>
      <c r="R28" s="128">
        <f t="shared" si="71"/>
        <v>-19.066171708378199</v>
      </c>
      <c r="S28" s="128">
        <f t="shared" si="71"/>
        <v>-19.295615264226164</v>
      </c>
      <c r="T28" s="128">
        <f t="shared" si="71"/>
        <v>-1.4677066830661278</v>
      </c>
      <c r="U28" s="128">
        <f t="shared" si="71"/>
        <v>-8.167582365471759</v>
      </c>
      <c r="V28" s="128">
        <f t="shared" si="71"/>
        <v>5.8043029951025282</v>
      </c>
      <c r="W28" s="128">
        <f t="shared" si="71"/>
        <v>5.4037957538616954</v>
      </c>
      <c r="X28" s="128">
        <f t="shared" si="71"/>
        <v>21.282763949500129</v>
      </c>
      <c r="Y28" s="128">
        <f t="shared" si="71"/>
        <v>6.6790350477128335</v>
      </c>
      <c r="Z28" s="128">
        <f t="shared" si="71"/>
        <v>35.324788789530089</v>
      </c>
      <c r="AA28" s="128">
        <f t="shared" si="71"/>
        <v>32.200728847788859</v>
      </c>
      <c r="AB28" s="128">
        <f t="shared" si="71"/>
        <v>-26.210680373738104</v>
      </c>
      <c r="AC28" s="128">
        <f t="shared" si="71"/>
        <v>23.179946384911677</v>
      </c>
      <c r="AD28" s="128">
        <f t="shared" si="71"/>
        <v>-12.017261962822989</v>
      </c>
      <c r="AE28" s="128">
        <f t="shared" si="71"/>
        <v>-17.876309017359425</v>
      </c>
      <c r="AF28" s="128">
        <f t="shared" si="71"/>
        <v>10.837116031616279</v>
      </c>
      <c r="AG28" s="128">
        <f t="shared" si="71"/>
        <v>21.392354078558242</v>
      </c>
      <c r="AH28" s="128">
        <f t="shared" si="71"/>
        <v>-14.808623841680369</v>
      </c>
      <c r="AI28" s="128">
        <f t="shared" si="71"/>
        <v>-47.957144416341691</v>
      </c>
      <c r="AJ28" s="128">
        <f t="shared" si="71"/>
        <v>-28.659969438009103</v>
      </c>
      <c r="AK28" s="128">
        <f t="shared" si="71"/>
        <v>-10.721940031963761</v>
      </c>
      <c r="AL28" s="128">
        <f t="shared" si="71"/>
        <v>-10.76742608839033</v>
      </c>
      <c r="AM28" s="128">
        <f t="shared" ref="AM28:BQ28" si="72">+((AM12/AL12)/(1+AM38/100)-1)*100</f>
        <v>-34.152476572344106</v>
      </c>
      <c r="AN28" s="128">
        <f t="shared" si="72"/>
        <v>6.5720893307100292</v>
      </c>
      <c r="AO28" s="128">
        <f t="shared" si="72"/>
        <v>21.537821357687335</v>
      </c>
      <c r="AP28" s="128">
        <f t="shared" si="72"/>
        <v>79.147982586058248</v>
      </c>
      <c r="AQ28" s="128">
        <f t="shared" si="72"/>
        <v>-0.38978172800185895</v>
      </c>
      <c r="AR28" s="128">
        <f t="shared" si="72"/>
        <v>-2.2988727262610809</v>
      </c>
      <c r="AS28" s="128">
        <f t="shared" si="72"/>
        <v>-7.2653878624694084</v>
      </c>
      <c r="AT28" s="128">
        <f t="shared" si="72"/>
        <v>125.18878112357589</v>
      </c>
      <c r="AU28" s="128">
        <f t="shared" si="72"/>
        <v>27.415516343202249</v>
      </c>
      <c r="AV28" s="128">
        <f t="shared" si="72"/>
        <v>55.864691370986527</v>
      </c>
      <c r="AW28" s="128">
        <f t="shared" si="72"/>
        <v>-19.900283642024142</v>
      </c>
      <c r="AX28" s="128">
        <f t="shared" si="72"/>
        <v>-49.413374564889587</v>
      </c>
      <c r="AY28" s="128">
        <f t="shared" si="72"/>
        <v>-32.34109931883723</v>
      </c>
      <c r="AZ28" s="128">
        <f t="shared" si="72"/>
        <v>-28.593477660674182</v>
      </c>
      <c r="BA28" s="128">
        <f t="shared" si="72"/>
        <v>140.04794161873087</v>
      </c>
      <c r="BB28" s="128">
        <f t="shared" si="72"/>
        <v>0.50764826583560296</v>
      </c>
      <c r="BC28" s="128">
        <f t="shared" si="72"/>
        <v>62.896250821374025</v>
      </c>
      <c r="BD28" s="128">
        <f t="shared" si="72"/>
        <v>-2.2014391284917778</v>
      </c>
      <c r="BE28" s="128">
        <f t="shared" si="72"/>
        <v>66.016510931688302</v>
      </c>
      <c r="BF28" s="128">
        <f t="shared" si="72"/>
        <v>18.405268420733933</v>
      </c>
      <c r="BG28" s="128">
        <f t="shared" si="72"/>
        <v>20.907399805664806</v>
      </c>
      <c r="BH28" s="128">
        <f t="shared" si="72"/>
        <v>0.62569652910429152</v>
      </c>
      <c r="BI28" s="128">
        <f t="shared" si="72"/>
        <v>24.39714557471131</v>
      </c>
      <c r="BJ28" s="128">
        <f t="shared" si="72"/>
        <v>-23.902418515676725</v>
      </c>
      <c r="BK28" s="128">
        <f t="shared" si="72"/>
        <v>9.8959804731200798</v>
      </c>
      <c r="BL28" s="128">
        <f t="shared" si="72"/>
        <v>4.4694212764527119</v>
      </c>
      <c r="BM28" s="128">
        <f t="shared" si="72"/>
        <v>0.70967516302020694</v>
      </c>
      <c r="BN28" s="128">
        <f t="shared" si="72"/>
        <v>0.43908801427963162</v>
      </c>
      <c r="BO28" s="128">
        <f t="shared" si="72"/>
        <v>-3.355502004026889</v>
      </c>
      <c r="BP28" s="128">
        <f t="shared" si="72"/>
        <v>-8.7384731809054266</v>
      </c>
      <c r="BQ28" s="128">
        <f t="shared" si="72"/>
        <v>-34.881356575559948</v>
      </c>
      <c r="BR28" s="128">
        <f t="shared" ref="BR28:CB28" si="73">+((BR12/BQ12)/(1+BR38/100)-1)*100</f>
        <v>11.212915027899228</v>
      </c>
      <c r="BS28" s="128">
        <f t="shared" si="73"/>
        <v>12.450686066093187</v>
      </c>
      <c r="BT28" s="128">
        <f t="shared" ca="1" si="73"/>
        <v>-14.586857128709385</v>
      </c>
      <c r="BU28" s="128">
        <f t="shared" ca="1" si="73"/>
        <v>23.18924787398786</v>
      </c>
      <c r="BV28" s="128">
        <f t="shared" ca="1" si="73"/>
        <v>0.12028399530090716</v>
      </c>
      <c r="BW28" s="128">
        <f t="shared" ca="1" si="73"/>
        <v>1.415510671049458</v>
      </c>
      <c r="BX28" s="128">
        <f t="shared" ca="1" si="73"/>
        <v>1.9703634978515794</v>
      </c>
      <c r="BY28" s="128">
        <f t="shared" ca="1" si="73"/>
        <v>1.9304188285102608</v>
      </c>
      <c r="BZ28" s="128">
        <f t="shared" ca="1" si="73"/>
        <v>1.936865049645653</v>
      </c>
      <c r="CA28" s="128">
        <f t="shared" ca="1" si="73"/>
        <v>1.9565347992464899</v>
      </c>
      <c r="CB28" s="128">
        <f t="shared" ca="1" si="73"/>
        <v>1.9737643695712404</v>
      </c>
      <c r="CC28" s="128">
        <f ca="1">+((CC12/CB12)/(1+CC38/100)-1)*100</f>
        <v>1.9904340117610664</v>
      </c>
      <c r="CD28" s="128">
        <f ca="1">+((CD12/CC12)/(1+CD38/100)-1)*100</f>
        <v>2.0071399702824566</v>
      </c>
      <c r="CE28" s="128">
        <f ca="1">+((CE12/CD12)/(1+CE38/100)-1)*100</f>
        <v>2.0255561642847253</v>
      </c>
      <c r="CF28" s="128">
        <f ca="1">+((CF12/CE12)/(1+CF38/100)-1)*100</f>
        <v>2.0485187408862071</v>
      </c>
      <c r="CG28" s="128">
        <f ca="1">+((CG12/CF12)/(1+CG38/100)-1)*100</f>
        <v>2.0801154101670383</v>
      </c>
      <c r="CI28" s="157">
        <f t="shared" si="69"/>
        <v>0</v>
      </c>
      <c r="CJ28" s="157">
        <f t="shared" si="70"/>
        <v>0</v>
      </c>
      <c r="CK28" s="157">
        <f t="shared" si="70"/>
        <v>0</v>
      </c>
      <c r="CL28" s="157">
        <f t="shared" ca="1" si="70"/>
        <v>0</v>
      </c>
      <c r="CM28" s="157">
        <f t="shared" ca="1" si="70"/>
        <v>-22.390382561236756</v>
      </c>
      <c r="CN28" s="157">
        <f t="shared" ca="1" si="70"/>
        <v>1.2562589062098728</v>
      </c>
      <c r="CO28" s="157">
        <f t="shared" ca="1" si="70"/>
        <v>1.2576936414587792</v>
      </c>
      <c r="CP28" s="157">
        <f t="shared" ca="1" si="70"/>
        <v>0.98691914791830815</v>
      </c>
      <c r="CQ28" s="157">
        <f t="shared" ca="1" si="70"/>
        <v>1.0731989554676691</v>
      </c>
      <c r="CR28" s="157">
        <f t="shared" ca="1" si="70"/>
        <v>11.523183930535374</v>
      </c>
      <c r="CS28" s="157">
        <f t="shared" ca="1" si="70"/>
        <v>5.819386633598711E-2</v>
      </c>
      <c r="CT28" s="157">
        <f t="shared" ca="1" si="70"/>
        <v>2.9143273509446566E-2</v>
      </c>
      <c r="CU28" s="157">
        <f t="shared" ca="1" si="70"/>
        <v>5.4617366275322432E-2</v>
      </c>
      <c r="CV28" s="157">
        <f t="shared" ca="1" si="62"/>
        <v>6.1980240474923676E-2</v>
      </c>
      <c r="CW28" s="157">
        <f t="shared" ca="1" si="63"/>
        <v>6.0927780772046525E-2</v>
      </c>
      <c r="CX28" s="157">
        <f t="shared" ca="1" si="64"/>
        <v>5.4915124923970993E-2</v>
      </c>
      <c r="CY28" s="157">
        <f t="shared" ca="1" si="65"/>
        <v>4.4256394272013111E-2</v>
      </c>
      <c r="DA28" s="104">
        <v>-34.881356575559948</v>
      </c>
      <c r="DB28" s="104">
        <v>11.212915027899228</v>
      </c>
      <c r="DC28" s="104">
        <v>12.450686066093187</v>
      </c>
      <c r="DD28" s="104">
        <v>-14.586857128709385</v>
      </c>
      <c r="DE28" s="104">
        <v>45.579630435224615</v>
      </c>
      <c r="DF28" s="104">
        <v>-1.1359749109089656</v>
      </c>
      <c r="DG28" s="104">
        <v>0.15781702959067889</v>
      </c>
      <c r="DH28" s="104">
        <v>0.98344434993327123</v>
      </c>
      <c r="DI28" s="104">
        <v>0.85721987304259173</v>
      </c>
      <c r="DJ28" s="104">
        <v>-9.5863188808897206</v>
      </c>
      <c r="DK28" s="104">
        <v>1.8983409329105028</v>
      </c>
      <c r="DL28" s="104">
        <v>1.9446210960617938</v>
      </c>
      <c r="DM28" s="104">
        <v>1.9358166454857439</v>
      </c>
      <c r="DN28" s="104">
        <v>1.9451597298075329</v>
      </c>
      <c r="DO28" s="104">
        <v>1.9646283835126788</v>
      </c>
      <c r="DP28" s="104">
        <v>1.9936036159622361</v>
      </c>
      <c r="DQ28" s="104">
        <v>2.0358590158950252</v>
      </c>
    </row>
    <row r="29" spans="1:121">
      <c r="A29" s="131" t="s">
        <v>132</v>
      </c>
      <c r="B29" s="149"/>
      <c r="C29" s="150" t="s">
        <v>1349</v>
      </c>
      <c r="D29" s="102"/>
      <c r="E29" s="149"/>
      <c r="F29" s="149"/>
      <c r="G29" s="525">
        <f t="shared" ref="G29:AL29" si="74">((G15/F15)/(1+G41/100)-1)*100</f>
        <v>-4.7519658366007356</v>
      </c>
      <c r="H29" s="525">
        <f t="shared" si="74"/>
        <v>21.273589263541439</v>
      </c>
      <c r="I29" s="525">
        <f t="shared" si="74"/>
        <v>-2.7429619614736001</v>
      </c>
      <c r="J29" s="525">
        <f t="shared" si="74"/>
        <v>-13.953219681760265</v>
      </c>
      <c r="K29" s="525">
        <f t="shared" si="74"/>
        <v>19.688698779664616</v>
      </c>
      <c r="L29" s="525">
        <f t="shared" si="74"/>
        <v>11.650188680921225</v>
      </c>
      <c r="M29" s="525">
        <f t="shared" si="74"/>
        <v>-4.13972096781694</v>
      </c>
      <c r="N29" s="525">
        <f t="shared" si="74"/>
        <v>-1.0723150863749087</v>
      </c>
      <c r="O29" s="525">
        <f t="shared" si="74"/>
        <v>11.914770259125017</v>
      </c>
      <c r="P29" s="525">
        <f t="shared" si="74"/>
        <v>6.4232873904948917</v>
      </c>
      <c r="Q29" s="525">
        <f t="shared" si="74"/>
        <v>19.752767500409441</v>
      </c>
      <c r="R29" s="525">
        <f t="shared" si="74"/>
        <v>32.990125160301091</v>
      </c>
      <c r="S29" s="525">
        <f t="shared" si="74"/>
        <v>10.72765686984658</v>
      </c>
      <c r="T29" s="525">
        <f t="shared" si="74"/>
        <v>6.7428461130738748</v>
      </c>
      <c r="U29" s="525">
        <f t="shared" si="74"/>
        <v>9.2598086686857872</v>
      </c>
      <c r="V29" s="525">
        <f t="shared" si="74"/>
        <v>-1.6663840033768862</v>
      </c>
      <c r="W29" s="525">
        <f t="shared" si="74"/>
        <v>12.581395546021801</v>
      </c>
      <c r="X29" s="525">
        <f t="shared" si="74"/>
        <v>6.2291404714121867</v>
      </c>
      <c r="Y29" s="525">
        <f t="shared" si="74"/>
        <v>-1.6779345267213475</v>
      </c>
      <c r="Z29" s="525">
        <f t="shared" si="74"/>
        <v>4.6051909454176254</v>
      </c>
      <c r="AA29" s="525">
        <f t="shared" si="74"/>
        <v>-8.2318987460950677</v>
      </c>
      <c r="AB29" s="525">
        <f t="shared" si="74"/>
        <v>-2.8962979305751868</v>
      </c>
      <c r="AC29" s="525">
        <f t="shared" si="74"/>
        <v>2.3867641830146002</v>
      </c>
      <c r="AD29" s="525">
        <f t="shared" si="74"/>
        <v>8.7516136344378168</v>
      </c>
      <c r="AE29" s="525">
        <f t="shared" si="74"/>
        <v>4.9600681918388512</v>
      </c>
      <c r="AF29" s="525">
        <f t="shared" si="74"/>
        <v>0.59374284635675956</v>
      </c>
      <c r="AG29" s="525">
        <f t="shared" si="74"/>
        <v>-15.083367658017599</v>
      </c>
      <c r="AH29" s="525">
        <f t="shared" si="74"/>
        <v>0.23623713355236386</v>
      </c>
      <c r="AI29" s="525">
        <f t="shared" si="74"/>
        <v>-6.7497127060514366</v>
      </c>
      <c r="AJ29" s="525">
        <f t="shared" si="74"/>
        <v>-6.3316222083829254</v>
      </c>
      <c r="AK29" s="525">
        <f t="shared" si="74"/>
        <v>11.773421425621233</v>
      </c>
      <c r="AL29" s="525">
        <f t="shared" si="74"/>
        <v>-7.1599654458608946</v>
      </c>
      <c r="AM29" s="525">
        <f t="shared" ref="AM29:BL29" si="75">((AM15/AL15)/(1+AM41/100)-1)*100</f>
        <v>5.989216119043439</v>
      </c>
      <c r="AN29" s="525">
        <f t="shared" si="75"/>
        <v>-9.4037749424135892</v>
      </c>
      <c r="AO29" s="525">
        <f t="shared" si="75"/>
        <v>-6.7836990772895618</v>
      </c>
      <c r="AP29" s="525">
        <f t="shared" si="75"/>
        <v>-4.5523349569106308</v>
      </c>
      <c r="AQ29" s="525">
        <f t="shared" si="75"/>
        <v>-6.2505433363148066</v>
      </c>
      <c r="AR29" s="525">
        <f t="shared" si="75"/>
        <v>14.139863357625115</v>
      </c>
      <c r="AS29" s="525">
        <f t="shared" si="75"/>
        <v>-6.4706062399103708</v>
      </c>
      <c r="AT29" s="525">
        <f t="shared" si="75"/>
        <v>-2.543715272959024</v>
      </c>
      <c r="AU29" s="525">
        <f t="shared" si="75"/>
        <v>12.259341437409699</v>
      </c>
      <c r="AV29" s="525">
        <f t="shared" si="75"/>
        <v>-9.6434499509393206</v>
      </c>
      <c r="AW29" s="525">
        <f t="shared" si="75"/>
        <v>4.0853942988320346</v>
      </c>
      <c r="AX29" s="525">
        <f t="shared" si="75"/>
        <v>-2.9355014400663682</v>
      </c>
      <c r="AY29" s="525">
        <f t="shared" si="75"/>
        <v>4.4847007455685262</v>
      </c>
      <c r="AZ29" s="525">
        <f t="shared" si="75"/>
        <v>5.9637140780451903</v>
      </c>
      <c r="BA29" s="525">
        <f t="shared" si="75"/>
        <v>8.1471845428759071</v>
      </c>
      <c r="BB29" s="525">
        <f t="shared" si="75"/>
        <v>-10.988329445809741</v>
      </c>
      <c r="BC29" s="525">
        <f t="shared" si="75"/>
        <v>38.593498794911874</v>
      </c>
      <c r="BD29" s="525">
        <f t="shared" si="75"/>
        <v>36.623218085107311</v>
      </c>
      <c r="BE29" s="525">
        <f t="shared" si="75"/>
        <v>9.7682149066656621</v>
      </c>
      <c r="BF29" s="525">
        <f t="shared" si="75"/>
        <v>-4.9191989620640637</v>
      </c>
      <c r="BG29" s="525">
        <f t="shared" si="75"/>
        <v>1.9239817567018758</v>
      </c>
      <c r="BH29" s="525">
        <f t="shared" si="75"/>
        <v>12.499270350128677</v>
      </c>
      <c r="BI29" s="525">
        <f t="shared" si="75"/>
        <v>-3.7663692965276718</v>
      </c>
      <c r="BJ29" s="525">
        <f t="shared" si="75"/>
        <v>2.8903298122046284</v>
      </c>
      <c r="BK29" s="525">
        <f t="shared" si="75"/>
        <v>4.5392522594903451</v>
      </c>
      <c r="BL29" s="525">
        <f t="shared" si="75"/>
        <v>-1.0586760091429115</v>
      </c>
      <c r="BM29" s="128">
        <f t="shared" ref="BM29:CC29" si="76">(BL15-BL126)/BL15*((((BM15-BM126)/(BL15-BL126))/(1+BM40/100)-1)*100)+((BL126/BL15)*((BM126/BL126)/(1+BM39/100)-1)*100)</f>
        <v>1.0122290014969977</v>
      </c>
      <c r="BN29" s="128">
        <f t="shared" si="76"/>
        <v>-2.8195304132343288</v>
      </c>
      <c r="BO29" s="128">
        <f t="shared" si="76"/>
        <v>-13.928969786908137</v>
      </c>
      <c r="BP29" s="128">
        <f t="shared" ca="1" si="76"/>
        <v>-19.130730171573081</v>
      </c>
      <c r="BQ29" s="128">
        <f t="shared" si="76"/>
        <v>34.920971964506975</v>
      </c>
      <c r="BR29" s="128">
        <f t="shared" si="76"/>
        <v>3.065827076125069</v>
      </c>
      <c r="BS29" s="128">
        <f t="shared" si="76"/>
        <v>-2.9814030833395933</v>
      </c>
      <c r="BT29" s="128">
        <f t="shared" ca="1" si="76"/>
        <v>-4.977124131104131</v>
      </c>
      <c r="BU29" s="128">
        <f t="shared" ca="1" si="76"/>
        <v>7.9169352224213565</v>
      </c>
      <c r="BV29" s="128">
        <f t="shared" ca="1" si="76"/>
        <v>2.1534772538903542</v>
      </c>
      <c r="BW29" s="128">
        <f t="shared" ca="1" si="76"/>
        <v>2.1550750678907735</v>
      </c>
      <c r="BX29" s="128">
        <f t="shared" ca="1" si="76"/>
        <v>2.1570331683366843</v>
      </c>
      <c r="BY29" s="128">
        <f t="shared" ca="1" si="76"/>
        <v>2.159468871939211</v>
      </c>
      <c r="BZ29" s="128">
        <f t="shared" ca="1" si="76"/>
        <v>2.1596753927999481</v>
      </c>
      <c r="CA29" s="128">
        <f t="shared" ca="1" si="76"/>
        <v>2.1599841369088089</v>
      </c>
      <c r="CB29" s="128">
        <f t="shared" ca="1" si="76"/>
        <v>2.1604252004663893</v>
      </c>
      <c r="CC29" s="128">
        <f t="shared" ca="1" si="76"/>
        <v>2.1610234716038228</v>
      </c>
      <c r="CD29" s="128">
        <f ca="1">(CC15-CC126)/CC15*((((CD15-CD126)/(CC15-CC126))/(1+CD40/100)-1)*100)+((CC126/CC15)*((CD126/CC126)/(1+CD39/100)-1)*100)</f>
        <v>2.1618137771952295</v>
      </c>
      <c r="CE29" s="128">
        <f ca="1">(CD15-CD126)/CD15*((((CE15-CE126)/(CD15-CD126))/(1+CE40/100)-1)*100)+((CD126/CD15)*((CE126/CD126)/(1+CE39/100)-1)*100)</f>
        <v>2.1628424096392389</v>
      </c>
      <c r="CF29" s="128">
        <f ca="1">(CE15-CE126)/CE15*((((CF15-CF126)/(CE15-CE126))/(1+CF40/100)-1)*100)+((CE126/CE15)*((CF126/CE126)/(1+CF39/100)-1)*100)</f>
        <v>2.1641709681995902</v>
      </c>
      <c r="CG29" s="128">
        <f ca="1">(CF15-CF126)/CF15*((((CG15-CG126)/(CF15-CF126))/(1+CG40/100)-1)*100)+((CF126/CF15)*((CG126/CF126)/(1+CG39/100)-1)*100)</f>
        <v>2.1658814429694022</v>
      </c>
      <c r="CI29" s="157">
        <f t="shared" si="69"/>
        <v>0</v>
      </c>
      <c r="CJ29" s="157">
        <f t="shared" si="70"/>
        <v>0</v>
      </c>
      <c r="CK29" s="157">
        <f t="shared" si="70"/>
        <v>0</v>
      </c>
      <c r="CL29" s="157">
        <f t="shared" ca="1" si="70"/>
        <v>0</v>
      </c>
      <c r="CM29" s="157">
        <f t="shared" ca="1" si="70"/>
        <v>3.3382065643976944E-2</v>
      </c>
      <c r="CN29" s="157">
        <f t="shared" ca="1" si="70"/>
        <v>-2.0408753813011509</v>
      </c>
      <c r="CO29" s="157">
        <f t="shared" ca="1" si="70"/>
        <v>-2.040298443345359</v>
      </c>
      <c r="CP29" s="157">
        <f t="shared" ca="1" si="70"/>
        <v>-2.0396418405568344</v>
      </c>
      <c r="CQ29" s="157">
        <f t="shared" ca="1" si="70"/>
        <v>-2.0390981725226993</v>
      </c>
      <c r="CR29" s="157">
        <f t="shared" ca="1" si="70"/>
        <v>-2.0385994371300526</v>
      </c>
      <c r="CS29" s="157">
        <f t="shared" ca="1" si="70"/>
        <v>-2.0380640039490898</v>
      </c>
      <c r="CT29" s="157">
        <f t="shared" ca="1" si="70"/>
        <v>-2.0375406178659183</v>
      </c>
      <c r="CU29" s="157">
        <f t="shared" ca="1" si="70"/>
        <v>-2.0371224729814736</v>
      </c>
      <c r="CV29" s="157">
        <f t="shared" ca="1" si="62"/>
        <v>-2.0367503540149494</v>
      </c>
      <c r="CW29" s="157">
        <f t="shared" ca="1" si="63"/>
        <v>-2.0364238976821691</v>
      </c>
      <c r="CX29" s="157">
        <f t="shared" ca="1" si="64"/>
        <v>-2.0361445669446221</v>
      </c>
      <c r="CY29" s="157">
        <f t="shared" ca="1" si="65"/>
        <v>-2.0359145239957339</v>
      </c>
      <c r="DA29" s="104">
        <v>34.920971964506975</v>
      </c>
      <c r="DB29" s="104">
        <v>3.065827076125069</v>
      </c>
      <c r="DC29" s="104">
        <v>-2.9814030833395933</v>
      </c>
      <c r="DD29" s="104">
        <v>-4.977124131104131</v>
      </c>
      <c r="DE29" s="104">
        <v>7.8835531567773796</v>
      </c>
      <c r="DF29" s="104">
        <v>4.194352635191505</v>
      </c>
      <c r="DG29" s="104">
        <v>4.1953735112361326</v>
      </c>
      <c r="DH29" s="104">
        <v>4.1966750088935187</v>
      </c>
      <c r="DI29" s="104">
        <v>4.1985670444619103</v>
      </c>
      <c r="DJ29" s="104">
        <v>4.1982748299300008</v>
      </c>
      <c r="DK29" s="104">
        <v>4.1980481408578987</v>
      </c>
      <c r="DL29" s="104">
        <v>4.1979658183323076</v>
      </c>
      <c r="DM29" s="104">
        <v>4.1981459445852964</v>
      </c>
      <c r="DN29" s="104">
        <v>4.1985641312101789</v>
      </c>
      <c r="DO29" s="104">
        <v>4.199266307321408</v>
      </c>
      <c r="DP29" s="104">
        <v>4.2003155351442123</v>
      </c>
      <c r="DQ29" s="104">
        <v>4.2017959669651361</v>
      </c>
    </row>
    <row r="30" spans="1:121">
      <c r="A30" s="131" t="s">
        <v>133</v>
      </c>
      <c r="B30" s="149"/>
      <c r="C30" s="150" t="s">
        <v>1349</v>
      </c>
      <c r="D30" s="102"/>
      <c r="E30" s="149"/>
      <c r="F30" s="149"/>
      <c r="G30" s="128">
        <f t="shared" ref="G30:AL30" si="77">+((G16/F16)/(1+G42/100)-1)*100</f>
        <v>3.0534934759233634</v>
      </c>
      <c r="H30" s="128">
        <f t="shared" si="77"/>
        <v>24.206778889017389</v>
      </c>
      <c r="I30" s="128">
        <f t="shared" si="77"/>
        <v>-0.72397915174229333</v>
      </c>
      <c r="J30" s="128">
        <f t="shared" si="77"/>
        <v>-10.385226063170528</v>
      </c>
      <c r="K30" s="128">
        <f t="shared" si="77"/>
        <v>18.868234320663426</v>
      </c>
      <c r="L30" s="128">
        <f t="shared" si="77"/>
        <v>19.123736058429984</v>
      </c>
      <c r="M30" s="128">
        <f t="shared" si="77"/>
        <v>-4.1582736874477222</v>
      </c>
      <c r="N30" s="128">
        <f t="shared" si="77"/>
        <v>2.5610863214581947</v>
      </c>
      <c r="O30" s="128">
        <f t="shared" si="77"/>
        <v>11.384573461749326</v>
      </c>
      <c r="P30" s="128">
        <f t="shared" si="77"/>
        <v>35.451575639363277</v>
      </c>
      <c r="Q30" s="128">
        <f t="shared" si="77"/>
        <v>12.900259373466195</v>
      </c>
      <c r="R30" s="128">
        <f t="shared" si="77"/>
        <v>-9.7974654975922277</v>
      </c>
      <c r="S30" s="128">
        <f t="shared" si="77"/>
        <v>11.429752453420949</v>
      </c>
      <c r="T30" s="128">
        <f t="shared" si="77"/>
        <v>-3.7215075721091173</v>
      </c>
      <c r="U30" s="128">
        <f t="shared" si="77"/>
        <v>4.1588716406038895</v>
      </c>
      <c r="V30" s="128">
        <f t="shared" si="77"/>
        <v>0.78137567598821622</v>
      </c>
      <c r="W30" s="128">
        <f t="shared" si="77"/>
        <v>6.0208555837591771</v>
      </c>
      <c r="X30" s="128">
        <f t="shared" si="77"/>
        <v>5.3083415600015282</v>
      </c>
      <c r="Y30" s="128">
        <f t="shared" si="77"/>
        <v>16.46644123264549</v>
      </c>
      <c r="Z30" s="128">
        <f t="shared" si="77"/>
        <v>8.4660484622654195</v>
      </c>
      <c r="AA30" s="128">
        <f t="shared" si="77"/>
        <v>-2.7516008872057074</v>
      </c>
      <c r="AB30" s="128">
        <f t="shared" si="77"/>
        <v>-8.9379362617231894</v>
      </c>
      <c r="AC30" s="128">
        <f t="shared" si="77"/>
        <v>36.789721901392205</v>
      </c>
      <c r="AD30" s="128">
        <f t="shared" si="77"/>
        <v>-6.1394974680084484</v>
      </c>
      <c r="AE30" s="128">
        <f t="shared" si="77"/>
        <v>0.87631141189201678</v>
      </c>
      <c r="AF30" s="128">
        <f t="shared" si="77"/>
        <v>3.3995132862961741</v>
      </c>
      <c r="AG30" s="128">
        <f t="shared" si="77"/>
        <v>-6.1611431534675969</v>
      </c>
      <c r="AH30" s="128">
        <f t="shared" si="77"/>
        <v>2.7846721469476199</v>
      </c>
      <c r="AI30" s="128">
        <f t="shared" si="77"/>
        <v>-15.610382472626904</v>
      </c>
      <c r="AJ30" s="128">
        <f t="shared" si="77"/>
        <v>-19.2310773542272</v>
      </c>
      <c r="AK30" s="128">
        <f t="shared" si="77"/>
        <v>-14.418138552966175</v>
      </c>
      <c r="AL30" s="128">
        <f t="shared" si="77"/>
        <v>-19.533269194993906</v>
      </c>
      <c r="AM30" s="128">
        <f t="shared" ref="AM30:BQ30" si="78">+((AM16/AL16)/(1+AM42/100)-1)*100</f>
        <v>-26.378033090799903</v>
      </c>
      <c r="AN30" s="128">
        <f t="shared" si="78"/>
        <v>10.868903819142739</v>
      </c>
      <c r="AO30" s="128">
        <f t="shared" si="78"/>
        <v>45.225711985029605</v>
      </c>
      <c r="AP30" s="128">
        <f t="shared" si="78"/>
        <v>34.473284085708691</v>
      </c>
      <c r="AQ30" s="128">
        <f t="shared" si="78"/>
        <v>8.4320739429084348</v>
      </c>
      <c r="AR30" s="128">
        <f t="shared" si="78"/>
        <v>-4.8486561758092739</v>
      </c>
      <c r="AS30" s="128">
        <f t="shared" si="78"/>
        <v>-19.820689900705478</v>
      </c>
      <c r="AT30" s="128">
        <f t="shared" si="78"/>
        <v>6.41792688020284</v>
      </c>
      <c r="AU30" s="128">
        <f t="shared" si="78"/>
        <v>3.9903713293764076</v>
      </c>
      <c r="AV30" s="128">
        <f t="shared" si="78"/>
        <v>25.97359101077128</v>
      </c>
      <c r="AW30" s="128">
        <f t="shared" si="78"/>
        <v>-10.276807881949356</v>
      </c>
      <c r="AX30" s="128">
        <f t="shared" si="78"/>
        <v>-24.948183406059631</v>
      </c>
      <c r="AY30" s="128">
        <f t="shared" si="78"/>
        <v>-23.052353933649115</v>
      </c>
      <c r="AZ30" s="128">
        <f t="shared" si="78"/>
        <v>-1.7078947645933096</v>
      </c>
      <c r="BA30" s="128">
        <f t="shared" si="78"/>
        <v>9.5930063052400261</v>
      </c>
      <c r="BB30" s="128">
        <f t="shared" si="78"/>
        <v>48.599203962007387</v>
      </c>
      <c r="BC30" s="128">
        <f t="shared" si="78"/>
        <v>41.856281379778551</v>
      </c>
      <c r="BD30" s="128">
        <f t="shared" si="78"/>
        <v>20.0865703398037</v>
      </c>
      <c r="BE30" s="128">
        <f ca="1">+((BE16/BD16)/(1+BE42/100)-1)*100</f>
        <v>29.191570572557946</v>
      </c>
      <c r="BF30" s="128">
        <f ca="1">+((BF16/BE16)/(1+BF42/100)-1)*100</f>
        <v>-7.1443016835438078</v>
      </c>
      <c r="BG30" s="128">
        <f t="shared" si="78"/>
        <v>-1.1151958642282134</v>
      </c>
      <c r="BH30" s="128">
        <f t="shared" si="78"/>
        <v>10.535357726272299</v>
      </c>
      <c r="BI30" s="128">
        <f t="shared" si="78"/>
        <v>12.477025637121431</v>
      </c>
      <c r="BJ30" s="128">
        <f t="shared" si="78"/>
        <v>-27.146040406023431</v>
      </c>
      <c r="BK30" s="128">
        <f t="shared" si="78"/>
        <v>5.1431563325871954</v>
      </c>
      <c r="BL30" s="128">
        <f t="shared" si="78"/>
        <v>24.858950646576638</v>
      </c>
      <c r="BM30" s="128">
        <f t="shared" si="78"/>
        <v>9.4692900581789594</v>
      </c>
      <c r="BN30" s="128">
        <f t="shared" si="78"/>
        <v>2.9108242883326696</v>
      </c>
      <c r="BO30" s="128">
        <f t="shared" si="78"/>
        <v>-14.969478856000951</v>
      </c>
      <c r="BP30" s="128">
        <f ca="1">+((BP16/BO16)/(1+BP42/100)-1)*100</f>
        <v>-44.865685221706663</v>
      </c>
      <c r="BQ30" s="128">
        <f t="shared" si="78"/>
        <v>0.81938719340808319</v>
      </c>
      <c r="BR30" s="128">
        <f t="shared" ref="BR30:CB30" si="79">+((BR16/BQ16)/(1+BR42/100)-1)*100</f>
        <v>13.706334374635487</v>
      </c>
      <c r="BS30" s="128">
        <f t="shared" si="79"/>
        <v>12.988067323095187</v>
      </c>
      <c r="BT30" s="128">
        <f t="shared" si="79"/>
        <v>-23.086158478915706</v>
      </c>
      <c r="BU30" s="128">
        <f t="shared" ca="1" si="79"/>
        <v>5.1871030915254357</v>
      </c>
      <c r="BV30" s="128">
        <f t="shared" ca="1" si="79"/>
        <v>4.6944347627067007</v>
      </c>
      <c r="BW30" s="128">
        <f t="shared" ca="1" si="79"/>
        <v>4.7169259660444496</v>
      </c>
      <c r="BX30" s="128">
        <f t="shared" ca="1" si="79"/>
        <v>4.4929867862366413</v>
      </c>
      <c r="BY30" s="128">
        <f t="shared" ca="1" si="79"/>
        <v>4.548984016187485</v>
      </c>
      <c r="BZ30" s="128">
        <f t="shared" ca="1" si="79"/>
        <v>4.9608142228528385</v>
      </c>
      <c r="CA30" s="128">
        <f t="shared" ca="1" si="79"/>
        <v>5.3201821596553067</v>
      </c>
      <c r="CB30" s="128">
        <f t="shared" ca="1" si="79"/>
        <v>5.7339738980482169</v>
      </c>
      <c r="CC30" s="128">
        <f ca="1">+((CC16/CB16)/(1+CC42/100)-1)*100</f>
        <v>6.221221837303581</v>
      </c>
      <c r="CD30" s="128">
        <f ca="1">+((CD16/CC16)/(1+CD42/100)-1)*100</f>
        <v>6.797777098381852</v>
      </c>
      <c r="CE30" s="128">
        <f ca="1">+((CE16/CD16)/(1+CE42/100)-1)*100</f>
        <v>7.479442355535082</v>
      </c>
      <c r="CF30" s="128">
        <f ca="1">+((CF16/CE16)/(1+CF42/100)-1)*100</f>
        <v>8.2790128210938221</v>
      </c>
      <c r="CG30" s="128">
        <f ca="1">+((CG16/CF16)/(1+CG42/100)-1)*100</f>
        <v>9.2015140704094112</v>
      </c>
      <c r="CI30" s="157">
        <f t="shared" si="69"/>
        <v>0</v>
      </c>
      <c r="CJ30" s="157">
        <f t="shared" si="70"/>
        <v>0</v>
      </c>
      <c r="CK30" s="157">
        <f t="shared" si="70"/>
        <v>0</v>
      </c>
      <c r="CL30" s="157">
        <f t="shared" si="70"/>
        <v>0</v>
      </c>
      <c r="CM30" s="157">
        <f t="shared" ca="1" si="70"/>
        <v>-6.5710197661514878</v>
      </c>
      <c r="CN30" s="157">
        <f t="shared" ca="1" si="70"/>
        <v>-0.52808319240336132</v>
      </c>
      <c r="CO30" s="157">
        <f t="shared" ca="1" si="70"/>
        <v>-0.85564257021157886</v>
      </c>
      <c r="CP30" s="157">
        <f t="shared" ca="1" si="70"/>
        <v>-1.1005085063878983</v>
      </c>
      <c r="CQ30" s="157">
        <f t="shared" ca="1" si="70"/>
        <v>-1.1621165782770948</v>
      </c>
      <c r="CR30" s="157">
        <f t="shared" ca="1" si="70"/>
        <v>1.4949840958929483</v>
      </c>
      <c r="CS30" s="157">
        <f t="shared" ca="1" si="70"/>
        <v>-1.1503558193559194</v>
      </c>
      <c r="CT30" s="157">
        <f t="shared" ca="1" si="70"/>
        <v>-1.2664362105091254</v>
      </c>
      <c r="CU30" s="157">
        <f t="shared" ca="1" si="70"/>
        <v>-1.3382043192001758</v>
      </c>
      <c r="CV30" s="157">
        <f t="shared" ca="1" si="62"/>
        <v>-1.3820336712776484</v>
      </c>
      <c r="CW30" s="157">
        <f t="shared" ca="1" si="63"/>
        <v>-1.3979018048873249</v>
      </c>
      <c r="CX30" s="157">
        <f t="shared" ca="1" si="64"/>
        <v>-1.3965124205915558</v>
      </c>
      <c r="CY30" s="157">
        <f t="shared" ca="1" si="65"/>
        <v>-1.3767504190991051</v>
      </c>
      <c r="DA30" s="104">
        <v>0.81938719340808319</v>
      </c>
      <c r="DB30" s="104">
        <v>13.706334374635487</v>
      </c>
      <c r="DC30" s="104">
        <v>12.988067323095187</v>
      </c>
      <c r="DD30" s="104">
        <v>-23.086158478915706</v>
      </c>
      <c r="DE30" s="104">
        <v>11.758122857676923</v>
      </c>
      <c r="DF30" s="104">
        <v>5.222517955110062</v>
      </c>
      <c r="DG30" s="104">
        <v>5.5725685362560284</v>
      </c>
      <c r="DH30" s="104">
        <v>5.5934952926245396</v>
      </c>
      <c r="DI30" s="104">
        <v>5.7111005944645798</v>
      </c>
      <c r="DJ30" s="104">
        <v>3.4658301269598901</v>
      </c>
      <c r="DK30" s="104">
        <v>6.4705379790112261</v>
      </c>
      <c r="DL30" s="104">
        <v>7.0004101085573422</v>
      </c>
      <c r="DM30" s="104">
        <v>7.5594261565037568</v>
      </c>
      <c r="DN30" s="104">
        <v>8.1798107696595004</v>
      </c>
      <c r="DO30" s="104">
        <v>8.8773441604224068</v>
      </c>
      <c r="DP30" s="104">
        <v>9.6755252416853779</v>
      </c>
      <c r="DQ30" s="104">
        <v>10.578264489508516</v>
      </c>
    </row>
    <row r="31" spans="1:121">
      <c r="A31" s="131" t="s">
        <v>3256</v>
      </c>
      <c r="B31" s="149"/>
      <c r="C31" s="150" t="s">
        <v>1349</v>
      </c>
      <c r="D31" s="102"/>
      <c r="E31" s="149"/>
      <c r="F31" s="149"/>
      <c r="G31" s="128">
        <f t="shared" ref="G31:AL31" si="80">((F8*(1+G26/100)+F9*(1+G27/100)+F12*(1+G28/100)+F15*(1+G29/100))/(F8+F9+F12+F15)-1)*100</f>
        <v>5.3898456323826505</v>
      </c>
      <c r="H31" s="128">
        <f t="shared" si="80"/>
        <v>8.9312589669325639</v>
      </c>
      <c r="I31" s="128">
        <f t="shared" si="80"/>
        <v>1.2591565719868747</v>
      </c>
      <c r="J31" s="128">
        <f t="shared" si="80"/>
        <v>-1.7547026928487752</v>
      </c>
      <c r="K31" s="128">
        <f t="shared" si="80"/>
        <v>13.330280364994994</v>
      </c>
      <c r="L31" s="128">
        <f t="shared" si="80"/>
        <v>10.756878338080945</v>
      </c>
      <c r="M31" s="128">
        <f t="shared" si="80"/>
        <v>2.7604570849473431</v>
      </c>
      <c r="N31" s="128">
        <f t="shared" si="80"/>
        <v>4.475128758056357</v>
      </c>
      <c r="O31" s="128">
        <f t="shared" si="80"/>
        <v>8.1771321827497587</v>
      </c>
      <c r="P31" s="128">
        <f t="shared" si="80"/>
        <v>12.092916405889852</v>
      </c>
      <c r="Q31" s="128">
        <f t="shared" si="80"/>
        <v>12.500864082791363</v>
      </c>
      <c r="R31" s="128">
        <f t="shared" si="80"/>
        <v>9.4335221917751113</v>
      </c>
      <c r="S31" s="128">
        <f t="shared" si="80"/>
        <v>8.8605187005468942</v>
      </c>
      <c r="T31" s="128">
        <f t="shared" si="80"/>
        <v>5.4859034634711534</v>
      </c>
      <c r="U31" s="128">
        <f t="shared" si="80"/>
        <v>5.9574349708932051</v>
      </c>
      <c r="V31" s="128">
        <f t="shared" si="80"/>
        <v>3.0084051428940883</v>
      </c>
      <c r="W31" s="128">
        <f t="shared" si="80"/>
        <v>8.8458745714105937</v>
      </c>
      <c r="X31" s="128">
        <f t="shared" si="80"/>
        <v>2.6528274399649554</v>
      </c>
      <c r="Y31" s="128">
        <f t="shared" si="80"/>
        <v>2.1140699766445614</v>
      </c>
      <c r="Z31" s="128">
        <f t="shared" si="80"/>
        <v>5.8747667297188277</v>
      </c>
      <c r="AA31" s="128">
        <f t="shared" si="80"/>
        <v>2.7491393594448521</v>
      </c>
      <c r="AB31" s="128">
        <f t="shared" si="80"/>
        <v>-2.3805734261234224</v>
      </c>
      <c r="AC31" s="128">
        <f t="shared" si="80"/>
        <v>17.414387715286516</v>
      </c>
      <c r="AD31" s="128">
        <f t="shared" si="80"/>
        <v>3.1544878181970937</v>
      </c>
      <c r="AE31" s="128">
        <f t="shared" si="80"/>
        <v>-4.8280478992787419</v>
      </c>
      <c r="AF31" s="128">
        <f t="shared" si="80"/>
        <v>-3.6291099489454082</v>
      </c>
      <c r="AG31" s="128">
        <f t="shared" si="80"/>
        <v>-0.8185864931741893</v>
      </c>
      <c r="AH31" s="128">
        <f t="shared" si="80"/>
        <v>-2.9906231493860402</v>
      </c>
      <c r="AI31" s="128">
        <f t="shared" si="80"/>
        <v>-8.407710988843176</v>
      </c>
      <c r="AJ31" s="128">
        <f t="shared" si="80"/>
        <v>-6.2203370863920915</v>
      </c>
      <c r="AK31" s="128">
        <f t="shared" si="80"/>
        <v>-5.0565655086834642</v>
      </c>
      <c r="AL31" s="128">
        <f t="shared" si="80"/>
        <v>-7.5413177515512686</v>
      </c>
      <c r="AM31" s="128">
        <f t="shared" ref="AM31:BO31" si="81">((AL8*(1+AM26/100)+AL9*(1+AM27/100)+AL12*(1+AM28/100)+AL15*(1+AM29/100))/(AL8+AL9+AL12+AL15)-1)*100</f>
        <v>-13.380458162315312</v>
      </c>
      <c r="AN31" s="128">
        <f t="shared" si="81"/>
        <v>9.9306699227616804</v>
      </c>
      <c r="AO31" s="128">
        <f t="shared" si="81"/>
        <v>19.80410706059963</v>
      </c>
      <c r="AP31" s="128">
        <f t="shared" si="81"/>
        <v>8.8309176514895107</v>
      </c>
      <c r="AQ31" s="128">
        <f t="shared" si="81"/>
        <v>5.0604972416319338</v>
      </c>
      <c r="AR31" s="128">
        <f t="shared" si="81"/>
        <v>-1.471743163014283</v>
      </c>
      <c r="AS31" s="128">
        <f t="shared" si="81"/>
        <v>-22.194685406002833</v>
      </c>
      <c r="AT31" s="128">
        <f t="shared" si="81"/>
        <v>2.577111375881791</v>
      </c>
      <c r="AU31" s="128">
        <f t="shared" si="81"/>
        <v>6.3577911568239776</v>
      </c>
      <c r="AV31" s="128">
        <f t="shared" si="81"/>
        <v>11.249189853113561</v>
      </c>
      <c r="AW31" s="128">
        <f t="shared" si="81"/>
        <v>-5.3483200856010544</v>
      </c>
      <c r="AX31" s="128">
        <f t="shared" si="81"/>
        <v>-6.7899945026464126</v>
      </c>
      <c r="AY31" s="128">
        <f t="shared" si="81"/>
        <v>-10.504551305193077</v>
      </c>
      <c r="AZ31" s="128">
        <f t="shared" si="81"/>
        <v>0.32794006389904595</v>
      </c>
      <c r="BA31" s="128">
        <f t="shared" si="81"/>
        <v>7.266818784993645</v>
      </c>
      <c r="BB31" s="128">
        <f t="shared" si="81"/>
        <v>12.666324711535193</v>
      </c>
      <c r="BC31" s="128">
        <f t="shared" si="81"/>
        <v>17.106223710960087</v>
      </c>
      <c r="BD31" s="128">
        <f t="shared" si="81"/>
        <v>11.482814449869473</v>
      </c>
      <c r="BE31" s="128">
        <f ca="1">((BD8*(1+BE26/100)+BD9*(1+BE27/100)+BD12*(1+BE28/100)+BD15*(1+BE29/100))/(BD8+BD9+BD12+BD15)-1)*100</f>
        <v>17.790662403802692</v>
      </c>
      <c r="BF31" s="128">
        <f ca="1">((BE8*(1+BF26/100)+BE9*(1+BF27/100)+BE12*(1+BF28/100)+BE15*(1+BF29/100))/(BE8+BE9+BE12+BE15)-1)*100</f>
        <v>2.7239678123561761</v>
      </c>
      <c r="BG31" s="128">
        <f t="shared" si="81"/>
        <v>6.2560617336847368</v>
      </c>
      <c r="BH31" s="128">
        <f t="shared" si="81"/>
        <v>7.6348304042204607</v>
      </c>
      <c r="BI31" s="128">
        <f t="shared" si="81"/>
        <v>6.667515661531187</v>
      </c>
      <c r="BJ31" s="128">
        <f t="shared" si="81"/>
        <v>-6.0440841494311499</v>
      </c>
      <c r="BK31" s="128">
        <f t="shared" si="81"/>
        <v>6.0423782550415694</v>
      </c>
      <c r="BL31" s="128">
        <f t="shared" si="81"/>
        <v>9.6453569561483441</v>
      </c>
      <c r="BM31" s="128">
        <f t="shared" si="81"/>
        <v>5.4541983504839964</v>
      </c>
      <c r="BN31" s="128">
        <f t="shared" si="81"/>
        <v>1.7269221294770709</v>
      </c>
      <c r="BO31" s="128">
        <f t="shared" si="81"/>
        <v>-7.0481748707126979</v>
      </c>
      <c r="BP31" s="128">
        <f t="shared" ref="BP31:CB31" ca="1" si="82">((BO8*(1+BP26/100)+BO9*(1+BP27/100)+BO12*(1+BP28/100)+BO15*(1+BP29/100))/(BO8+BO9+BO12+BO15)-1)*100</f>
        <v>-25.911469681018971</v>
      </c>
      <c r="BQ31" s="128">
        <f t="shared" si="82"/>
        <v>1.8277664757168299</v>
      </c>
      <c r="BR31" s="128">
        <f t="shared" si="82"/>
        <v>5.019200868274587</v>
      </c>
      <c r="BS31" s="128">
        <f t="shared" si="82"/>
        <v>5.0007144762624911</v>
      </c>
      <c r="BT31" s="128">
        <f t="shared" ca="1" si="82"/>
        <v>-12.299642167295378</v>
      </c>
      <c r="BU31" s="128">
        <f t="shared" ca="1" si="82"/>
        <v>6.5352451127210331</v>
      </c>
      <c r="BV31" s="128">
        <f t="shared" ca="1" si="82"/>
        <v>3.2109684369979297</v>
      </c>
      <c r="BW31" s="128">
        <f t="shared" ca="1" si="82"/>
        <v>4.0284982908165512</v>
      </c>
      <c r="BX31" s="128">
        <f t="shared" ca="1" si="82"/>
        <v>4.1736291852690455</v>
      </c>
      <c r="BY31" s="128">
        <f t="shared" ca="1" si="82"/>
        <v>4.1263037287824655</v>
      </c>
      <c r="BZ31" s="128">
        <f t="shared" ca="1" si="82"/>
        <v>4.4592612724292158</v>
      </c>
      <c r="CA31" s="128">
        <f t="shared" ca="1" si="82"/>
        <v>4.7393070697321793</v>
      </c>
      <c r="CB31" s="128">
        <f t="shared" ca="1" si="82"/>
        <v>5.0543491413741704</v>
      </c>
      <c r="CC31" s="128">
        <f ca="1">((CB8*(1+CC26/100)+CB9*(1+CC27/100)+CB12*(1+CC28/100)+CB15*(1+CC29/100))/(CB8+CB9+CB12+CB15)-1)*100</f>
        <v>5.4190122103154881</v>
      </c>
      <c r="CD31" s="128">
        <f ca="1">((CC8*(1+CD26/100)+CC9*(1+CD27/100)+CC12*(1+CD28/100)+CC15*(1+CD29/100))/(CC8+CC9+CC12+CC15)-1)*100</f>
        <v>5.8407361752241593</v>
      </c>
      <c r="CE31" s="128">
        <f ca="1">((CD8*(1+CE26/100)+CD9*(1+CE27/100)+CD12*(1+CE28/100)+CD15*(1+CE29/100))/(CD8+CD9+CD12+CD15)-1)*100</f>
        <v>6.3243339516060093</v>
      </c>
      <c r="CF31" s="128">
        <f ca="1">((CE8*(1+CF26/100)+CE9*(1+CF27/100)+CE12*(1+CF28/100)+CE15*(1+CF29/100))/(CE8+CE9+CE12+CE15)-1)*100</f>
        <v>6.8680246048469007</v>
      </c>
      <c r="CG31" s="128">
        <f ca="1">((CF8*(1+CG26/100)+CF9*(1+CG27/100)+CF12*(1+CG28/100)+CF15*(1+CG29/100))/(CF8+CF9+CF12+CF15)-1)*100</f>
        <v>7.4576123971298092</v>
      </c>
      <c r="CI31" s="157">
        <f t="shared" si="69"/>
        <v>0</v>
      </c>
      <c r="CJ31" s="157">
        <f t="shared" si="70"/>
        <v>0</v>
      </c>
      <c r="CK31" s="157">
        <f t="shared" si="70"/>
        <v>0</v>
      </c>
      <c r="CL31" s="157">
        <f t="shared" ca="1" si="70"/>
        <v>0</v>
      </c>
      <c r="CM31" s="157">
        <f t="shared" ca="1" si="70"/>
        <v>-5.7071845713280611</v>
      </c>
      <c r="CN31" s="157">
        <f t="shared" ca="1" si="70"/>
        <v>-0.94290702602655152</v>
      </c>
      <c r="CO31" s="157">
        <f t="shared" ca="1" si="70"/>
        <v>-0.88954331092936378</v>
      </c>
      <c r="CP31" s="157">
        <f t="shared" ca="1" si="70"/>
        <v>-1.0581003487475593</v>
      </c>
      <c r="CQ31" s="157">
        <f t="shared" ca="1" si="70"/>
        <v>-1.0948644635038196</v>
      </c>
      <c r="CR31" s="157">
        <f t="shared" ca="1" si="70"/>
        <v>1.5687224686657064</v>
      </c>
      <c r="CS31" s="157">
        <f t="shared" ca="1" si="70"/>
        <v>-1.0941134641911932</v>
      </c>
      <c r="CT31" s="157">
        <f t="shared" ca="1" si="70"/>
        <v>-1.2344854523334448</v>
      </c>
      <c r="CU31" s="157">
        <f t="shared" ca="1" si="70"/>
        <v>-1.2600029790962752</v>
      </c>
      <c r="CV31" s="157">
        <f t="shared" ca="1" si="62"/>
        <v>-1.2683784031292999</v>
      </c>
      <c r="CW31" s="157">
        <f t="shared" ca="1" si="63"/>
        <v>-1.2487852016198175</v>
      </c>
      <c r="CX31" s="157">
        <f t="shared" ca="1" si="64"/>
        <v>-1.205235027652507</v>
      </c>
      <c r="CY31" s="157">
        <f t="shared" ca="1" si="65"/>
        <v>-1.1331552861551177</v>
      </c>
      <c r="DA31" s="104">
        <v>1.8277664757168299</v>
      </c>
      <c r="DB31" s="104">
        <v>5.019200868274587</v>
      </c>
      <c r="DC31" s="104">
        <v>5.0007144762624911</v>
      </c>
      <c r="DD31" s="104">
        <v>-12.299642167295378</v>
      </c>
      <c r="DE31" s="104">
        <v>12.242429684049094</v>
      </c>
      <c r="DF31" s="104">
        <v>4.1538754630244812</v>
      </c>
      <c r="DG31" s="104">
        <v>4.918041601745915</v>
      </c>
      <c r="DH31" s="104">
        <v>5.2317295340166048</v>
      </c>
      <c r="DI31" s="104">
        <v>5.2211681922862851</v>
      </c>
      <c r="DJ31" s="104">
        <v>2.8905388037635094</v>
      </c>
      <c r="DK31" s="104">
        <v>5.8334205339233725</v>
      </c>
      <c r="DL31" s="104">
        <v>6.2888345937076151</v>
      </c>
      <c r="DM31" s="104">
        <v>6.6790151894117633</v>
      </c>
      <c r="DN31" s="104">
        <v>7.1091145783534593</v>
      </c>
      <c r="DO31" s="104">
        <v>7.5731191532258268</v>
      </c>
      <c r="DP31" s="104">
        <v>8.0732596324994077</v>
      </c>
      <c r="DQ31" s="104">
        <v>8.5907676832849269</v>
      </c>
    </row>
    <row r="32" spans="1:121">
      <c r="A32" s="131" t="s">
        <v>1775</v>
      </c>
      <c r="B32" s="149"/>
      <c r="C32" s="150" t="s">
        <v>1349</v>
      </c>
      <c r="D32" s="102"/>
      <c r="E32" s="149"/>
      <c r="F32" s="149"/>
      <c r="G32" s="128">
        <f t="shared" ref="G32:AL32" si="83">+((G17/F17)/(1+G45/100)-1)*100</f>
        <v>6.3894230218200843</v>
      </c>
      <c r="H32" s="128">
        <f t="shared" si="83"/>
        <v>3.6860665036648754</v>
      </c>
      <c r="I32" s="128">
        <f t="shared" si="83"/>
        <v>2.047601673503463</v>
      </c>
      <c r="J32" s="128">
        <f t="shared" si="83"/>
        <v>1.8750000000000044</v>
      </c>
      <c r="K32" s="128">
        <f t="shared" si="83"/>
        <v>11.042944785276054</v>
      </c>
      <c r="L32" s="128">
        <f t="shared" si="83"/>
        <v>7.1256551919535394</v>
      </c>
      <c r="M32" s="128">
        <f t="shared" si="83"/>
        <v>6.224399307461681</v>
      </c>
      <c r="N32" s="128">
        <f t="shared" si="83"/>
        <v>5.2535264963781803</v>
      </c>
      <c r="O32" s="128">
        <f t="shared" si="83"/>
        <v>6.8687430478309164</v>
      </c>
      <c r="P32" s="128">
        <f t="shared" si="83"/>
        <v>2.6085886551002746</v>
      </c>
      <c r="Q32" s="128">
        <f t="shared" si="83"/>
        <v>12.259209192294707</v>
      </c>
      <c r="R32" s="128">
        <f t="shared" si="83"/>
        <v>21.460657875670176</v>
      </c>
      <c r="S32" s="128">
        <f t="shared" si="83"/>
        <v>7.709973753280841</v>
      </c>
      <c r="T32" s="128">
        <f t="shared" si="83"/>
        <v>9.5238095238095344</v>
      </c>
      <c r="U32" s="128">
        <f t="shared" si="83"/>
        <v>6.7123581066609539</v>
      </c>
      <c r="V32" s="128">
        <f t="shared" si="83"/>
        <v>3.8249231890850277</v>
      </c>
      <c r="W32" s="128">
        <f t="shared" si="83"/>
        <v>10.108101373098011</v>
      </c>
      <c r="X32" s="128">
        <f t="shared" si="83"/>
        <v>1.188171968954177</v>
      </c>
      <c r="Y32" s="128">
        <f t="shared" si="83"/>
        <v>-2.9207520424368694</v>
      </c>
      <c r="Z32" s="128">
        <f t="shared" si="83"/>
        <v>4.1452143068773983</v>
      </c>
      <c r="AA32" s="128">
        <f t="shared" si="83"/>
        <v>5.623735480068448</v>
      </c>
      <c r="AB32" s="128">
        <f t="shared" si="83"/>
        <v>1.4887017276167702</v>
      </c>
      <c r="AC32" s="128">
        <f t="shared" si="83"/>
        <v>8.6298714144411584</v>
      </c>
      <c r="AD32" s="128">
        <f t="shared" si="83"/>
        <v>8.5730650227922478</v>
      </c>
      <c r="AE32" s="128">
        <f t="shared" si="83"/>
        <v>-7.6085011986117728</v>
      </c>
      <c r="AF32" s="128">
        <f t="shared" si="83"/>
        <v>-7.528074840733856</v>
      </c>
      <c r="AG32" s="128">
        <f t="shared" si="83"/>
        <v>2.8661003955784414</v>
      </c>
      <c r="AH32" s="128">
        <f t="shared" si="83"/>
        <v>-6.1453218942517651</v>
      </c>
      <c r="AI32" s="128">
        <f t="shared" si="83"/>
        <v>-4.5977163764951428</v>
      </c>
      <c r="AJ32" s="128">
        <f t="shared" si="83"/>
        <v>0.70197143641526072</v>
      </c>
      <c r="AK32" s="128">
        <f t="shared" si="83"/>
        <v>-3.191702692136511</v>
      </c>
      <c r="AL32" s="128">
        <f t="shared" si="83"/>
        <v>-1.7535540543946682</v>
      </c>
      <c r="AM32" s="128">
        <f t="shared" ref="AM32:BP32" si="84">+((AM17/AL17)/(1+AM45/100)-1)*100</f>
        <v>-7.2807162121356956</v>
      </c>
      <c r="AN32" s="128">
        <f t="shared" si="84"/>
        <v>8.6487206459924906</v>
      </c>
      <c r="AO32" s="128">
        <f t="shared" si="84"/>
        <v>4.7418836587602042</v>
      </c>
      <c r="AP32" s="128">
        <f t="shared" si="84"/>
        <v>-2.9448751221887615</v>
      </c>
      <c r="AQ32" s="128">
        <f t="shared" si="84"/>
        <v>3.2246613841742544</v>
      </c>
      <c r="AR32" s="128">
        <f t="shared" si="84"/>
        <v>1.0163236813041543</v>
      </c>
      <c r="AS32" s="128">
        <f t="shared" si="84"/>
        <v>-11.927143898146376</v>
      </c>
      <c r="AT32" s="128">
        <f t="shared" si="84"/>
        <v>-1.4433169071376706</v>
      </c>
      <c r="AU32" s="128">
        <f t="shared" si="84"/>
        <v>8.6514322499583685</v>
      </c>
      <c r="AV32" s="128">
        <f t="shared" si="84"/>
        <v>1.8010960101578322</v>
      </c>
      <c r="AW32" s="128">
        <f t="shared" si="84"/>
        <v>-2.1838188263538227</v>
      </c>
      <c r="AX32" s="128">
        <f t="shared" si="84"/>
        <v>9.921141553391033</v>
      </c>
      <c r="AY32" s="128">
        <f t="shared" si="84"/>
        <v>-1.0949796468647355</v>
      </c>
      <c r="AZ32" s="128">
        <f t="shared" si="84"/>
        <v>1.4846530570546079</v>
      </c>
      <c r="BA32" s="128">
        <f t="shared" si="84"/>
        <v>6.0674886437378284</v>
      </c>
      <c r="BB32" s="128">
        <f t="shared" si="84"/>
        <v>2.2025084123584948</v>
      </c>
      <c r="BC32" s="128">
        <f t="shared" si="84"/>
        <v>6.0760251421730027</v>
      </c>
      <c r="BD32" s="128">
        <f t="shared" si="84"/>
        <v>7.674943566591419</v>
      </c>
      <c r="BE32" s="128">
        <f t="shared" si="84"/>
        <v>10.000000000000009</v>
      </c>
      <c r="BF32" s="128">
        <f t="shared" si="84"/>
        <v>5.8000000000000052</v>
      </c>
      <c r="BG32" s="128">
        <f t="shared" si="84"/>
        <v>5.0999999999999934</v>
      </c>
      <c r="BH32" s="128">
        <f t="shared" si="84"/>
        <v>4.0999999999999925</v>
      </c>
      <c r="BI32" s="128">
        <f t="shared" si="84"/>
        <v>2.9999999999999805</v>
      </c>
      <c r="BJ32" s="128">
        <f t="shared" si="84"/>
        <v>5.1000000000000156</v>
      </c>
      <c r="BK32" s="128">
        <f t="shared" si="84"/>
        <v>5.2672091488893846</v>
      </c>
      <c r="BL32" s="128">
        <f t="shared" si="84"/>
        <v>3.2696124516870206</v>
      </c>
      <c r="BM32" s="128">
        <f t="shared" si="84"/>
        <v>2.9334412300222601</v>
      </c>
      <c r="BN32" s="128">
        <f t="shared" si="84"/>
        <v>0.36360062893081579</v>
      </c>
      <c r="BO32" s="128">
        <f t="shared" si="84"/>
        <v>-3.5151277783217472</v>
      </c>
      <c r="BP32" s="128">
        <f t="shared" si="84"/>
        <v>-5.5611934239902627</v>
      </c>
      <c r="BQ32" s="128">
        <f t="shared" ref="BQ32:CB32" si="85">+((BQ17/BP17)/(1+BQ45/100)-1)*100</f>
        <v>1.7623038899634791</v>
      </c>
      <c r="BR32" s="128">
        <f t="shared" si="85"/>
        <v>2.6187961985216557</v>
      </c>
      <c r="BS32" s="164">
        <f t="shared" si="85"/>
        <v>0.30000000000001137</v>
      </c>
      <c r="BT32" s="164">
        <f t="shared" ca="1" si="85"/>
        <v>-15.90796272008912</v>
      </c>
      <c r="BU32" s="164">
        <f t="shared" ca="1" si="85"/>
        <v>7.6329919606266117</v>
      </c>
      <c r="BV32" s="164">
        <f t="shared" ca="1" si="85"/>
        <v>2.3734402833680779</v>
      </c>
      <c r="BW32" s="164">
        <f t="shared" ca="1" si="85"/>
        <v>3.6390672165122595</v>
      </c>
      <c r="BX32" s="164">
        <f t="shared" ca="1" si="85"/>
        <v>4.0267683949501532</v>
      </c>
      <c r="BY32" s="164">
        <f t="shared" ca="1" si="85"/>
        <v>3.9100292732802799</v>
      </c>
      <c r="BZ32" s="164">
        <f t="shared" ca="1" si="85"/>
        <v>4.2229428211751241</v>
      </c>
      <c r="CA32" s="164">
        <f t="shared" ca="1" si="85"/>
        <v>4.4870252104324271</v>
      </c>
      <c r="CB32" s="164">
        <f t="shared" ca="1" si="85"/>
        <v>4.7851228627235232</v>
      </c>
      <c r="CC32" s="164">
        <f ca="1">+((CC17/CB17)/(1+CC45/100)-1)*100</f>
        <v>5.1330647761235637</v>
      </c>
      <c r="CD32" s="164">
        <f ca="1">+((CD17/CC17)/(1+CD45/100)-1)*100</f>
        <v>5.538707047488689</v>
      </c>
      <c r="CE32" s="164">
        <f ca="1">+((CE17/CD17)/(1+CE45/100)-1)*100</f>
        <v>6.0076251585247986</v>
      </c>
      <c r="CF32" s="164">
        <f ca="1">+((CF17/CE17)/(1+CF45/100)-1)*100</f>
        <v>6.5389750736255747</v>
      </c>
      <c r="CG32" s="164">
        <f ca="1">+((CG17/CF17)/(1+CG45/100)-1)*100</f>
        <v>7.1194630405680526</v>
      </c>
      <c r="CI32" s="157">
        <f t="shared" si="69"/>
        <v>0</v>
      </c>
      <c r="CJ32" s="157">
        <f t="shared" si="70"/>
        <v>0</v>
      </c>
      <c r="CK32" s="157">
        <f t="shared" si="70"/>
        <v>0</v>
      </c>
      <c r="CL32" s="157">
        <f t="shared" ca="1" si="70"/>
        <v>0</v>
      </c>
      <c r="CM32" s="157">
        <f t="shared" ca="1" si="70"/>
        <v>-4.9360448872141092</v>
      </c>
      <c r="CN32" s="157">
        <f t="shared" ca="1" si="70"/>
        <v>-1.0817545631193415</v>
      </c>
      <c r="CO32" s="157">
        <f t="shared" ca="1" si="70"/>
        <v>-0.83196507313292312</v>
      </c>
      <c r="CP32" s="157">
        <f t="shared" ca="1" si="70"/>
        <v>-1.0054885364320976</v>
      </c>
      <c r="CQ32" s="157">
        <f t="shared" ca="1" si="70"/>
        <v>-1.0380343891462473</v>
      </c>
      <c r="CR32" s="157">
        <f t="shared" ca="1" si="70"/>
        <v>1.6921936725655895</v>
      </c>
      <c r="CS32" s="157">
        <f t="shared" ca="1" si="70"/>
        <v>-1.0456586469865803</v>
      </c>
      <c r="CT32" s="157">
        <f t="shared" ca="1" si="70"/>
        <v>-1.2002459770327878</v>
      </c>
      <c r="CU32" s="157">
        <f t="shared" ca="1" si="70"/>
        <v>-1.2107341653059267</v>
      </c>
      <c r="CV32" s="157">
        <f t="shared" ca="1" si="62"/>
        <v>-1.2127648554057791</v>
      </c>
      <c r="CW32" s="157">
        <f t="shared" ca="1" si="63"/>
        <v>-1.190315860590796</v>
      </c>
      <c r="CX32" s="157">
        <f t="shared" ca="1" si="64"/>
        <v>-1.1461292469526319</v>
      </c>
      <c r="CY32" s="157">
        <f t="shared" ca="1" si="65"/>
        <v>-1.0756513320525629</v>
      </c>
      <c r="DA32" s="104">
        <v>1.7623038899634791</v>
      </c>
      <c r="DB32" s="104">
        <v>2.6187961985216557</v>
      </c>
      <c r="DC32" s="104">
        <v>0.30000000000001137</v>
      </c>
      <c r="DD32" s="104">
        <v>-15.90796272008912</v>
      </c>
      <c r="DE32" s="104">
        <v>12.569036847840721</v>
      </c>
      <c r="DF32" s="104">
        <v>3.4551948464874194</v>
      </c>
      <c r="DG32" s="104">
        <v>4.4710322896451826</v>
      </c>
      <c r="DH32" s="104">
        <v>5.0322569313822507</v>
      </c>
      <c r="DI32" s="104">
        <v>4.9480636624265273</v>
      </c>
      <c r="DJ32" s="104">
        <v>2.5307491486095346</v>
      </c>
      <c r="DK32" s="104">
        <v>5.5326838574190074</v>
      </c>
      <c r="DL32" s="104">
        <v>5.985368839756311</v>
      </c>
      <c r="DM32" s="104">
        <v>6.3437989414294904</v>
      </c>
      <c r="DN32" s="104">
        <v>6.7514719028944681</v>
      </c>
      <c r="DO32" s="104">
        <v>7.1979410191155946</v>
      </c>
      <c r="DP32" s="104">
        <v>7.6851043205782066</v>
      </c>
      <c r="DQ32" s="104">
        <v>8.1951143726206155</v>
      </c>
    </row>
    <row r="33" spans="1:121">
      <c r="A33" s="123" t="s">
        <v>736</v>
      </c>
      <c r="B33" s="149"/>
      <c r="C33" s="150" t="s">
        <v>1349</v>
      </c>
      <c r="D33" s="102"/>
      <c r="E33" s="149"/>
      <c r="F33" s="149"/>
      <c r="G33" s="128"/>
      <c r="H33" s="128"/>
      <c r="I33" s="177">
        <f>+(SOURCE!I35/SOURCE!H35-1)*100</f>
        <v>8.3591331269350135</v>
      </c>
      <c r="J33" s="177">
        <f>+(SOURCE!J35/SOURCE!I35-1)*100</f>
        <v>1.8750000000000044</v>
      </c>
      <c r="K33" s="177">
        <f>+(SOURCE!K35/SOURCE!J35-1)*100</f>
        <v>11.042944785276077</v>
      </c>
      <c r="L33" s="177">
        <f>+(SOURCE!L35/SOURCE!K35-1)*100</f>
        <v>7.1256551919535394</v>
      </c>
      <c r="M33" s="177">
        <f>+(SOURCE!M35/SOURCE!L35-1)*100</f>
        <v>6.2243993074616588</v>
      </c>
      <c r="N33" s="177">
        <f>+(SOURCE!N35/SOURCE!M35-1)*100</f>
        <v>5.2535264963781803</v>
      </c>
      <c r="O33" s="177">
        <f>+(SOURCE!O35/SOURCE!N35-1)*100</f>
        <v>6.8687430478309386</v>
      </c>
      <c r="P33" s="177">
        <f>+(SOURCE!P35/SOURCE!O35-1)*100</f>
        <v>2.6085886551002968</v>
      </c>
      <c r="Q33" s="177">
        <f>+(SOURCE!Q35/SOURCE!P35-1)*100</f>
        <v>12.259209192294707</v>
      </c>
      <c r="R33" s="177">
        <f>+(SOURCE!R35/SOURCE!Q35-1)*100</f>
        <v>21.460657875670218</v>
      </c>
      <c r="S33" s="177">
        <f>+(SOURCE!S35/SOURCE!R35-1)*100</f>
        <v>7.7099737532808188</v>
      </c>
      <c r="T33" s="177">
        <f>+(SOURCE!T35/SOURCE!S35-1)*100</f>
        <v>9.5238095238095113</v>
      </c>
      <c r="U33" s="177">
        <f>+(SOURCE!U35/SOURCE!T35-1)*100</f>
        <v>6.7123581066609761</v>
      </c>
      <c r="V33" s="177">
        <f>+(SOURCE!V35/SOURCE!U35-1)*100</f>
        <v>3.8249231890850499</v>
      </c>
      <c r="W33" s="177">
        <f>+(SOURCE!W35/SOURCE!V35-1)*100</f>
        <v>10.108101373097988</v>
      </c>
      <c r="X33" s="177">
        <f>+(SOURCE!X35/SOURCE!W35-1)*100</f>
        <v>1.1881719689541548</v>
      </c>
      <c r="Y33" s="177">
        <f>+(SOURCE!Y35/SOURCE!X35-1)*100</f>
        <v>-2.9207520424368583</v>
      </c>
      <c r="Z33" s="177">
        <f>+(SOURCE!Z35/SOURCE!Y35-1)*100</f>
        <v>4.1452143068773761</v>
      </c>
      <c r="AA33" s="177">
        <f>+(SOURCE!AA35/SOURCE!Z35-1)*100</f>
        <v>5.623735480068448</v>
      </c>
      <c r="AB33" s="177">
        <f>+(SOURCE!AB35/SOURCE!AA35-1)*100</f>
        <v>1.4887017276167702</v>
      </c>
      <c r="AC33" s="177">
        <f>+(SOURCE!AC35/SOURCE!AB35-1)*100</f>
        <v>8.6298714144411584</v>
      </c>
      <c r="AD33" s="177">
        <f>+(SOURCE!AD35/SOURCE!AC35-1)*100</f>
        <v>8.5730650227922478</v>
      </c>
      <c r="AE33" s="177">
        <f>+(SOURCE!AE35/SOURCE!AD35-1)*100</f>
        <v>-7.6085011986117834</v>
      </c>
      <c r="AF33" s="177">
        <f>+(SOURCE!AF35/SOURCE!AE35-1)*100</f>
        <v>-7.528074840733856</v>
      </c>
      <c r="AG33" s="177">
        <f>+(SOURCE!AG35/SOURCE!AF35-1)*100</f>
        <v>2.8661003955784636</v>
      </c>
      <c r="AH33" s="177">
        <f>+(SOURCE!AH35/SOURCE!AG35-1)*100</f>
        <v>-6.1453218942517758</v>
      </c>
      <c r="AI33" s="177">
        <f>+(SOURCE!AI35/SOURCE!AH35-1)*100</f>
        <v>-4.5977163764951428</v>
      </c>
      <c r="AJ33" s="177">
        <f>+(SOURCE!AJ35/SOURCE!AI35-1)*100</f>
        <v>0.70197143641526072</v>
      </c>
      <c r="AK33" s="177">
        <f>+(SOURCE!AK35/SOURCE!AJ35-1)*100</f>
        <v>-3.191702692136511</v>
      </c>
      <c r="AL33" s="177">
        <f>+(SOURCE!AL35/SOURCE!AK35-1)*100</f>
        <v>-1.7535540543946682</v>
      </c>
      <c r="AM33" s="177">
        <f>+(SOURCE!AM35/SOURCE!AL35-1)*100</f>
        <v>-7.280716212135685</v>
      </c>
      <c r="AN33" s="177">
        <f>+(SOURCE!AN35/SOURCE!AM35-1)*100</f>
        <v>8.6487206459925137</v>
      </c>
      <c r="AO33" s="177">
        <f>+(SOURCE!AO35/SOURCE!AN35-1)*100</f>
        <v>4.7418836587602042</v>
      </c>
      <c r="AP33" s="177">
        <f>+(SOURCE!AP35/SOURCE!AO35-1)*100</f>
        <v>-4.1600632588540627</v>
      </c>
      <c r="AQ33" s="177">
        <f>+(SOURCE!AQ35/SOURCE!AP35-1)*100</f>
        <v>2.575084036041364</v>
      </c>
      <c r="AR33" s="177">
        <f>+(SOURCE!AR35/SOURCE!AQ35-1)*100</f>
        <v>-8.283072323564955E-2</v>
      </c>
      <c r="AS33" s="177">
        <f>+(SOURCE!AS35/SOURCE!AR35-1)*100</f>
        <v>-10.868751562998524</v>
      </c>
      <c r="AT33" s="177">
        <f>+(SOURCE!AT35/SOURCE!AS35-1)*100</f>
        <v>-1.0730988816473275</v>
      </c>
      <c r="AU33" s="177">
        <f>+(SOURCE!AU35/SOURCE!AT35-1)*100</f>
        <v>7.4955975012726439</v>
      </c>
      <c r="AV33" s="177">
        <f>+(SOURCE!AV35/SOURCE!AU35-1)*100</f>
        <v>4.0597926079733559</v>
      </c>
      <c r="AW33" s="177">
        <f>+(SOURCE!AW35/SOURCE!AV35-1)*100</f>
        <v>-1.965885796604272</v>
      </c>
      <c r="AX33" s="177">
        <f>+(SOURCE!AX35/SOURCE!AW35-1)*100</f>
        <v>11.221397570590996</v>
      </c>
      <c r="AY33" s="177">
        <f>+(SOURCE!AY35/SOURCE!AX35-1)*100</f>
        <v>-0.68172288161614247</v>
      </c>
      <c r="AZ33" s="177">
        <f>+(SOURCE!AZ35/SOURCE!AY35-1)*100</f>
        <v>-2.5998437632590798</v>
      </c>
      <c r="BA33" s="177">
        <f>+(SOURCE!BA35/SOURCE!AZ35-1)*100</f>
        <v>6.0674886437378284</v>
      </c>
      <c r="BB33" s="177">
        <f>+(SOURCE!BB35/SOURCE!BA35-1)*100</f>
        <v>2.2025084123584948</v>
      </c>
      <c r="BC33" s="177">
        <f>+(SOURCE!BC35/SOURCE!BB35-1)*100</f>
        <v>6.0760251421730027</v>
      </c>
      <c r="BD33" s="177">
        <f>+(SOURCE!BD35/SOURCE!BC35-1)*100</f>
        <v>7.674943566591419</v>
      </c>
      <c r="BE33" s="177">
        <f>+(SOURCE!BE35/SOURCE!BD35-1)*100</f>
        <v>10.000000000000009</v>
      </c>
      <c r="BF33" s="177">
        <f>+(SOURCE!BF35/SOURCE!BE35-1)*100</f>
        <v>5.8000000000000052</v>
      </c>
      <c r="BG33" s="177">
        <f>+(SOURCE!BG35/SOURCE!BF35-1)*100</f>
        <v>5.0999999999999934</v>
      </c>
      <c r="BH33" s="177">
        <f>+(SOURCE!BH35/SOURCE!BG35-1)*100</f>
        <v>4.0999999999999925</v>
      </c>
      <c r="BI33" s="177">
        <f>+(SOURCE!BI35/SOURCE!BH35-1)*100</f>
        <v>3.0000000000000027</v>
      </c>
      <c r="BJ33" s="177">
        <f>+(SOURCE!BJ35/SOURCE!BI35-1)*100</f>
        <v>5.0999999999999934</v>
      </c>
      <c r="BK33" s="177">
        <f>+(SOURCE!BK35/SOURCE!BJ35-1)*100</f>
        <v>5.2672091488893846</v>
      </c>
      <c r="BL33" s="177">
        <f>+(SOURCE!BL35/SOURCE!BK35-1)*100</f>
        <v>3.2696124516870428</v>
      </c>
      <c r="BM33" s="177">
        <f>+(SOURCE!BM35/SOURCE!BL35-1)*100</f>
        <v>2.9334412300222601</v>
      </c>
      <c r="BN33" s="177">
        <f>+(SOURCE!BN35/SOURCE!BM35-1)*100</f>
        <v>0.36360062893081579</v>
      </c>
      <c r="BO33" s="177">
        <f>+(SOURCE!BO35/SOURCE!BN35-1)*100</f>
        <v>-3.5151277783217472</v>
      </c>
      <c r="BP33" s="177">
        <f>+(SOURCE!BP35/SOURCE!BO35-1)*100</f>
        <v>-5.5611934239902627</v>
      </c>
      <c r="BQ33" s="177">
        <f>+(SOURCE!BQ35/SOURCE!BP35-1)*100</f>
        <v>1.7623038899634569</v>
      </c>
      <c r="BR33" s="177">
        <f>+(SOURCE!BR35/SOURCE!BQ35-1)*100</f>
        <v>2.6187961985216557</v>
      </c>
      <c r="BS33" s="728">
        <f>+(SOURCE!BS35/SOURCE!BR35-1)*100</f>
        <v>0.29999999999998916</v>
      </c>
      <c r="BT33" s="728">
        <f>+(SOURCE!BT35/SOURCE!BS35-1)*100</f>
        <v>-13.39999999999999</v>
      </c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DA33" s="104">
        <v>1.7623038899634569</v>
      </c>
      <c r="DB33" s="104">
        <v>2.6187961985216557</v>
      </c>
      <c r="DC33" s="104">
        <v>0.29999999999998916</v>
      </c>
      <c r="DD33" s="104">
        <v>-13.39999999999999</v>
      </c>
    </row>
    <row r="34" spans="1:121">
      <c r="A34" s="223" t="s">
        <v>3202</v>
      </c>
      <c r="B34" s="149"/>
      <c r="C34" s="150"/>
      <c r="D34" s="102"/>
      <c r="E34" s="149"/>
      <c r="F34" s="149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518" t="s">
        <v>1344</v>
      </c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DC34" s="104" t="s">
        <v>1344</v>
      </c>
    </row>
    <row r="35" spans="1:121" s="123" customFormat="1">
      <c r="A35" s="141" t="s">
        <v>1868</v>
      </c>
      <c r="B35" s="141"/>
      <c r="C35" s="158" t="s">
        <v>1349</v>
      </c>
      <c r="D35" s="102" t="s">
        <v>2115</v>
      </c>
      <c r="E35" s="141"/>
      <c r="F35" s="123">
        <f t="shared" ref="F35:BS35" si="86">F48</f>
        <v>2</v>
      </c>
      <c r="G35" s="123">
        <f>G48</f>
        <v>1</v>
      </c>
      <c r="H35" s="123">
        <f t="shared" si="86"/>
        <v>1.9801980257034302</v>
      </c>
      <c r="I35" s="123">
        <f t="shared" si="86"/>
        <v>8.6999999999999993</v>
      </c>
      <c r="J35" s="123">
        <f t="shared" si="86"/>
        <v>0</v>
      </c>
      <c r="K35" s="123">
        <f t="shared" si="86"/>
        <v>0</v>
      </c>
      <c r="L35" s="123">
        <f t="shared" si="86"/>
        <v>2.6</v>
      </c>
      <c r="M35" s="123">
        <f t="shared" si="86"/>
        <v>1.7</v>
      </c>
      <c r="N35" s="123">
        <f t="shared" si="86"/>
        <v>2.5</v>
      </c>
      <c r="O35" s="123">
        <f t="shared" si="86"/>
        <v>1.7</v>
      </c>
      <c r="P35" s="123">
        <f t="shared" si="86"/>
        <v>4.0999999999999996</v>
      </c>
      <c r="Q35" s="123">
        <f t="shared" si="86"/>
        <v>2.2999999999999998</v>
      </c>
      <c r="R35" s="123">
        <f t="shared" si="86"/>
        <v>1.5</v>
      </c>
      <c r="S35" s="123">
        <f t="shared" si="86"/>
        <v>7.5</v>
      </c>
      <c r="T35" s="123">
        <f t="shared" si="86"/>
        <v>0</v>
      </c>
      <c r="U35" s="123">
        <f t="shared" si="86"/>
        <v>1</v>
      </c>
      <c r="V35" s="123">
        <f t="shared" si="86"/>
        <v>1.8</v>
      </c>
      <c r="W35" s="123">
        <f t="shared" si="86"/>
        <v>-0.6</v>
      </c>
      <c r="X35" s="123">
        <f t="shared" si="86"/>
        <v>2.4</v>
      </c>
      <c r="Y35" s="123">
        <f t="shared" si="86"/>
        <v>12</v>
      </c>
      <c r="Z35" s="123">
        <f t="shared" si="86"/>
        <v>15.9</v>
      </c>
      <c r="AA35" s="123">
        <f t="shared" si="86"/>
        <v>7.5</v>
      </c>
      <c r="AB35" s="123">
        <f t="shared" si="86"/>
        <v>9.3000000000000007</v>
      </c>
      <c r="AC35" s="123">
        <f t="shared" si="86"/>
        <v>8.8000000000000007</v>
      </c>
      <c r="AD35" s="123">
        <f t="shared" si="86"/>
        <v>8</v>
      </c>
      <c r="AE35" s="123">
        <f t="shared" si="86"/>
        <v>14</v>
      </c>
      <c r="AF35" s="123">
        <f t="shared" si="86"/>
        <v>13.2</v>
      </c>
      <c r="AG35" s="123">
        <f t="shared" si="86"/>
        <v>8.6999999999999993</v>
      </c>
      <c r="AH35" s="123">
        <f t="shared" si="86"/>
        <v>7.3</v>
      </c>
      <c r="AI35" s="123">
        <f t="shared" si="86"/>
        <v>4.4000000000000004</v>
      </c>
      <c r="AJ35" s="123">
        <f t="shared" si="86"/>
        <v>3.7</v>
      </c>
      <c r="AK35" s="123">
        <f t="shared" ref="AK35:AQ35" si="87">AK48</f>
        <v>10.9</v>
      </c>
      <c r="AL35" s="123">
        <f t="shared" si="87"/>
        <v>18.7</v>
      </c>
      <c r="AM35" s="123">
        <f t="shared" si="87"/>
        <v>53.4</v>
      </c>
      <c r="AN35" s="123">
        <f t="shared" si="87"/>
        <v>7.3</v>
      </c>
      <c r="AO35" s="123">
        <f t="shared" si="87"/>
        <v>0.8</v>
      </c>
      <c r="AP35" s="123">
        <f t="shared" si="87"/>
        <v>21.8</v>
      </c>
      <c r="AQ35" s="123">
        <f t="shared" si="87"/>
        <v>26</v>
      </c>
      <c r="AR35" s="123">
        <f t="shared" si="86"/>
        <v>43.7</v>
      </c>
      <c r="AS35" s="123">
        <f t="shared" si="86"/>
        <v>143.5</v>
      </c>
      <c r="AT35" s="123">
        <f t="shared" si="86"/>
        <v>368.5</v>
      </c>
      <c r="AU35" s="123">
        <f t="shared" si="86"/>
        <v>235.6</v>
      </c>
      <c r="AV35" s="123">
        <f t="shared" si="86"/>
        <v>-0.7</v>
      </c>
      <c r="AW35" s="123">
        <f t="shared" si="86"/>
        <v>7.1</v>
      </c>
      <c r="AX35" s="123">
        <f t="shared" si="86"/>
        <v>18.7</v>
      </c>
      <c r="AY35" s="123">
        <f t="shared" si="86"/>
        <v>98.8</v>
      </c>
      <c r="AZ35" s="123">
        <f t="shared" si="86"/>
        <v>59.3</v>
      </c>
      <c r="BA35" s="123">
        <f t="shared" si="86"/>
        <v>38.6</v>
      </c>
      <c r="BB35" s="123">
        <f t="shared" si="86"/>
        <v>15.5</v>
      </c>
      <c r="BC35" s="123">
        <f t="shared" si="86"/>
        <v>23.9</v>
      </c>
      <c r="BD35" s="123">
        <f t="shared" si="86"/>
        <v>9.6</v>
      </c>
      <c r="BE35" s="123">
        <f t="shared" si="86"/>
        <v>9.5</v>
      </c>
      <c r="BF35" s="123">
        <f t="shared" si="86"/>
        <v>11.3</v>
      </c>
      <c r="BG35" s="123">
        <f t="shared" si="86"/>
        <v>6.4</v>
      </c>
      <c r="BH35" s="123">
        <f t="shared" si="86"/>
        <v>14.7</v>
      </c>
      <c r="BI35" s="123">
        <f t="shared" si="86"/>
        <v>-0.1</v>
      </c>
      <c r="BJ35" s="123">
        <f t="shared" si="86"/>
        <v>6.9</v>
      </c>
      <c r="BK35" s="123">
        <f t="shared" si="86"/>
        <v>17.7</v>
      </c>
      <c r="BL35" s="123">
        <f t="shared" si="86"/>
        <v>5</v>
      </c>
      <c r="BM35" s="123">
        <f t="shared" si="86"/>
        <v>1.9</v>
      </c>
      <c r="BN35" s="123">
        <f t="shared" si="86"/>
        <v>3.4</v>
      </c>
      <c r="BO35" s="123">
        <f t="shared" si="86"/>
        <v>6.9</v>
      </c>
      <c r="BP35" s="123">
        <f t="shared" si="86"/>
        <v>55.5</v>
      </c>
      <c r="BQ35" s="123">
        <f t="shared" si="86"/>
        <v>22</v>
      </c>
      <c r="BR35" s="123">
        <f t="shared" si="86"/>
        <v>6.9</v>
      </c>
      <c r="BS35" s="123">
        <f t="shared" si="86"/>
        <v>4.4000000000000004</v>
      </c>
      <c r="BT35" s="109">
        <f ca="1">BS257*(0.9*BT42+0.1*BS42)+BS258*(BT238-BT243)+BS259*(BT240-BT243)+BS260*(0.75*BT48+0.25*BS48)+(BT262-BS262)*100+Assumptions!BT28</f>
        <v>34.244892642942418</v>
      </c>
      <c r="BU35" s="109">
        <f ca="1">BT257*(0.9*BU42+0.1*BT42)+BT258*(BU238-BU243)+BT259*(BU240-BU243)+BT260*(0.75*BU48+0.25*BT48)+(BU262-BT262)*100+Assumptions!BU28</f>
        <v>50.991102337104202</v>
      </c>
      <c r="BV35" s="109">
        <f ca="1">BU257*(0.9*BV42+0.1*BU42)+BU258*(BV238-BV243)+BU259*(BV240-BV243)+BU260*(0.75*BV48+0.25*BU48)+(BV262-BU262)*100+Assumptions!BV28</f>
        <v>16.413728147581516</v>
      </c>
      <c r="BW35" s="109">
        <f ca="1">BV257*(0.9*BW42+0.1*BV42)+BV258*(BW238-BW243)+BV259*(BW240-BW243)+BV260*(0.75*BW48+0.25*BV48)+(BW262-BV262)*100+Assumptions!BW28</f>
        <v>8.6555130940087377</v>
      </c>
      <c r="BX35" s="109">
        <f ca="1">BW257*(0.9*BX42+0.1*BW42)+BW258*(BX238-BX243)+BW259*(BX240-BX243)+BW260*(0.75*BX48+0.25*BW48)+(BX262-BW262)*100+Assumptions!BX28</f>
        <v>5.0998086070868656</v>
      </c>
      <c r="BY35" s="109">
        <f ca="1">BX257*(0.9*BY42+0.1*BX42)+BX258*(BY238-BY243)+BX259*(BY240-BY243)+BX260*(0.75*BY48+0.25*BX48)+(BY262-BX262)*100+Assumptions!BY28</f>
        <v>6.0916649920156747</v>
      </c>
      <c r="BZ35" s="109">
        <f ca="1">BY257*(0.9*BZ42+0.1*BY42)+BY258*(BZ238-BZ243)+BY259*(BZ240-BZ243)+BY260*(0.75*BZ48+0.25*BY48)+(BZ262-BY262)*100+Assumptions!BZ28</f>
        <v>6.833583832782069</v>
      </c>
      <c r="CA35" s="109">
        <f ca="1">BZ257*(0.9*CA42+0.1*BZ42)+BZ258*(CA238-CA243)+BZ259*(CA240-CA243)+BZ260*(0.75*CA48+0.25*BZ48)+(CA262-BZ262)*100+Assumptions!CA28</f>
        <v>7.5774286217089779</v>
      </c>
      <c r="CB35" s="109">
        <f ca="1">CA257*(0.9*CB42+0.1*CA42)+CA258*(CB238-CB243)+CA259*(CB240-CB243)+CA260*(0.75*CB48+0.25*CA48)+(CB262-CA262)*100+Assumptions!CB28</f>
        <v>8.5001783380132991</v>
      </c>
      <c r="CC35" s="109">
        <f ca="1">CB257*(0.9*CC42+0.1*CB42)+CB258*(CC238-CC243)+CB259*(CC240-CC243)+CB260*(0.75*CC48+0.25*CB48)+(CC262-CB262)*100+Assumptions!CC28</f>
        <v>9.6400935707060729</v>
      </c>
      <c r="CD35" s="109">
        <f ca="1">CC257*(0.9*CD42+0.1*CC42)+CC258*(CD238-CD243)+CC259*(CD240-CD243)+CC260*(0.75*CD48+0.25*CC48)+(CD262-CC262)*100+Assumptions!CD28</f>
        <v>11.072158493452394</v>
      </c>
      <c r="CE35" s="109">
        <f ca="1">CD257*(0.9*CE42+0.1*CD42)+CD258*(CE238-CE243)+CD259*(CE240-CE243)+CD260*(0.75*CE48+0.25*CD48)+(CE262-CD262)*100+Assumptions!CE28</f>
        <v>12.893441429610702</v>
      </c>
      <c r="CF35" s="109">
        <f ca="1">CE257*(0.9*CF42+0.1*CE42)+CE258*(CF238-CF243)+CE259*(CF240-CF243)+CE260*(0.75*CF48+0.25*CE48)+(CF262-CE262)*100+Assumptions!CF28</f>
        <v>15.232063947577839</v>
      </c>
      <c r="CG35" s="109">
        <f ca="1">CF257*(0.9*CG42+0.1*CF42)+CF258*(CG238-CG243)+CF259*(CG240-CG243)+CF260*(0.75*CG48+0.25*CF48)+(CG262-CF262)*100+Assumptions!CG28</f>
        <v>18.257179167767255</v>
      </c>
      <c r="CI35" s="159">
        <f t="shared" ref="CI35:CI42" si="88">BQ35-DA35</f>
        <v>0</v>
      </c>
      <c r="CJ35" s="159">
        <f t="shared" ref="CJ35:CU38" si="89">BR35-DB35</f>
        <v>0</v>
      </c>
      <c r="CK35" s="159">
        <f t="shared" si="89"/>
        <v>0</v>
      </c>
      <c r="CL35" s="159">
        <f t="shared" ca="1" si="89"/>
        <v>0</v>
      </c>
      <c r="CM35" s="159">
        <f t="shared" ca="1" si="89"/>
        <v>12.104076297908506</v>
      </c>
      <c r="CN35" s="159">
        <f t="shared" ca="1" si="89"/>
        <v>4.1068083139547706</v>
      </c>
      <c r="CO35" s="159">
        <f t="shared" ca="1" si="89"/>
        <v>0.37176370662928804</v>
      </c>
      <c r="CP35" s="159">
        <f t="shared" ca="1" si="89"/>
        <v>-0.38004004039784078</v>
      </c>
      <c r="CQ35" s="159">
        <f t="shared" ca="1" si="89"/>
        <v>-0.60419967851833434</v>
      </c>
      <c r="CR35" s="159">
        <f t="shared" ca="1" si="89"/>
        <v>-0.78430917036779224</v>
      </c>
      <c r="CS35" s="159">
        <f t="shared" ca="1" si="89"/>
        <v>-0.48064219168878086</v>
      </c>
      <c r="CT35" s="159">
        <f t="shared" ca="1" si="89"/>
        <v>-0.23165179074948661</v>
      </c>
      <c r="CU35" s="159">
        <f t="shared" ca="1" si="89"/>
        <v>-0.64877974496590518</v>
      </c>
      <c r="CV35" s="159">
        <f t="shared" ref="CV35:CV42" ca="1" si="90">CD35-DN35</f>
        <v>-0.95894111913520597</v>
      </c>
      <c r="CW35" s="159">
        <f t="shared" ref="CW35:CW42" ca="1" si="91">CE35-DO35</f>
        <v>-1.264185894287623</v>
      </c>
      <c r="CX35" s="159">
        <f t="shared" ref="CX35:CX42" ca="1" si="92">CF35-DP35</f>
        <v>-1.6259542356837855</v>
      </c>
      <c r="CY35" s="159">
        <f t="shared" ref="CY35:CY42" ca="1" si="93">CG35-DQ35</f>
        <v>-2.0763990673995991</v>
      </c>
      <c r="CZ35" s="134"/>
      <c r="DA35" s="135">
        <v>22</v>
      </c>
      <c r="DB35" s="135">
        <v>6.9</v>
      </c>
      <c r="DC35" s="135">
        <v>4.4000000000000004</v>
      </c>
      <c r="DD35" s="135">
        <v>34.244892642942418</v>
      </c>
      <c r="DE35" s="135">
        <v>38.887026039195696</v>
      </c>
      <c r="DF35" s="135">
        <v>12.306919833626745</v>
      </c>
      <c r="DG35" s="135">
        <v>8.2837493873794497</v>
      </c>
      <c r="DH35" s="135">
        <v>5.4798486474847063</v>
      </c>
      <c r="DI35" s="135">
        <v>6.695864670534009</v>
      </c>
      <c r="DJ35" s="135">
        <v>7.6178930031498613</v>
      </c>
      <c r="DK35" s="135">
        <v>8.0580708133977588</v>
      </c>
      <c r="DL35" s="135">
        <v>8.7318301287627857</v>
      </c>
      <c r="DM35" s="135">
        <v>10.288873315671978</v>
      </c>
      <c r="DN35" s="135">
        <v>12.0310996125876</v>
      </c>
      <c r="DO35" s="135">
        <v>14.157627323898325</v>
      </c>
      <c r="DP35" s="135">
        <v>16.858018183261624</v>
      </c>
      <c r="DQ35" s="135">
        <v>20.333578235166854</v>
      </c>
    </row>
    <row r="36" spans="1:121" s="123" customFormat="1">
      <c r="A36" s="107" t="s">
        <v>3094</v>
      </c>
      <c r="B36" s="107"/>
      <c r="C36" s="136" t="s">
        <v>1349</v>
      </c>
      <c r="D36" s="147"/>
      <c r="E36" s="107"/>
      <c r="F36" s="123">
        <f>F48</f>
        <v>2</v>
      </c>
      <c r="G36" s="123">
        <f>G48</f>
        <v>1</v>
      </c>
      <c r="H36" s="123">
        <f t="shared" ref="H36:BF36" si="94">H48</f>
        <v>1.9801980257034302</v>
      </c>
      <c r="I36" s="123">
        <f t="shared" si="94"/>
        <v>8.6999999999999993</v>
      </c>
      <c r="J36" s="123">
        <f t="shared" si="94"/>
        <v>0</v>
      </c>
      <c r="K36" s="123">
        <f t="shared" si="94"/>
        <v>0</v>
      </c>
      <c r="L36" s="123">
        <f t="shared" si="94"/>
        <v>2.6</v>
      </c>
      <c r="M36" s="123">
        <f t="shared" si="94"/>
        <v>1.7</v>
      </c>
      <c r="N36" s="123">
        <f t="shared" si="94"/>
        <v>2.5</v>
      </c>
      <c r="O36" s="123">
        <f t="shared" si="94"/>
        <v>1.7</v>
      </c>
      <c r="P36" s="123">
        <f t="shared" si="94"/>
        <v>4.0999999999999996</v>
      </c>
      <c r="Q36" s="123">
        <f t="shared" si="94"/>
        <v>2.2999999999999998</v>
      </c>
      <c r="R36" s="123">
        <f t="shared" si="94"/>
        <v>1.5</v>
      </c>
      <c r="S36" s="123">
        <f t="shared" si="94"/>
        <v>7.5</v>
      </c>
      <c r="T36" s="123">
        <f t="shared" si="94"/>
        <v>0</v>
      </c>
      <c r="U36" s="123">
        <f t="shared" si="94"/>
        <v>1</v>
      </c>
      <c r="V36" s="123">
        <f t="shared" si="94"/>
        <v>1.8</v>
      </c>
      <c r="W36" s="123">
        <f t="shared" si="94"/>
        <v>-0.6</v>
      </c>
      <c r="X36" s="123">
        <f t="shared" si="94"/>
        <v>2.4</v>
      </c>
      <c r="Y36" s="123">
        <f t="shared" si="94"/>
        <v>12</v>
      </c>
      <c r="Z36" s="123">
        <f t="shared" si="94"/>
        <v>15.9</v>
      </c>
      <c r="AA36" s="123">
        <f t="shared" si="94"/>
        <v>7.5</v>
      </c>
      <c r="AB36" s="123">
        <f t="shared" si="94"/>
        <v>9.3000000000000007</v>
      </c>
      <c r="AC36" s="123">
        <f t="shared" si="94"/>
        <v>8.8000000000000007</v>
      </c>
      <c r="AD36" s="123">
        <f t="shared" si="94"/>
        <v>8</v>
      </c>
      <c r="AE36" s="123">
        <f t="shared" si="94"/>
        <v>14</v>
      </c>
      <c r="AF36" s="123">
        <f t="shared" si="94"/>
        <v>13.2</v>
      </c>
      <c r="AG36" s="123">
        <f t="shared" si="94"/>
        <v>8.6999999999999993</v>
      </c>
      <c r="AH36" s="123">
        <f t="shared" si="94"/>
        <v>7.3</v>
      </c>
      <c r="AI36" s="123">
        <f t="shared" si="94"/>
        <v>4.4000000000000004</v>
      </c>
      <c r="AJ36" s="123">
        <f t="shared" si="94"/>
        <v>3.7</v>
      </c>
      <c r="AK36" s="123">
        <f t="shared" ref="AK36:AQ36" si="95">AK48</f>
        <v>10.9</v>
      </c>
      <c r="AL36" s="123">
        <f t="shared" si="95"/>
        <v>18.7</v>
      </c>
      <c r="AM36" s="123">
        <f t="shared" si="95"/>
        <v>53.4</v>
      </c>
      <c r="AN36" s="123">
        <f t="shared" si="95"/>
        <v>7.3</v>
      </c>
      <c r="AO36" s="123">
        <f t="shared" si="95"/>
        <v>0.8</v>
      </c>
      <c r="AP36" s="123">
        <f t="shared" si="95"/>
        <v>21.8</v>
      </c>
      <c r="AQ36" s="123">
        <f t="shared" si="95"/>
        <v>26</v>
      </c>
      <c r="AR36" s="123">
        <f t="shared" si="94"/>
        <v>43.7</v>
      </c>
      <c r="AS36" s="123">
        <f t="shared" si="94"/>
        <v>143.5</v>
      </c>
      <c r="AT36" s="123">
        <f t="shared" si="94"/>
        <v>368.5</v>
      </c>
      <c r="AU36" s="123">
        <f t="shared" si="94"/>
        <v>235.6</v>
      </c>
      <c r="AV36" s="123">
        <f t="shared" si="94"/>
        <v>-0.7</v>
      </c>
      <c r="AW36" s="123">
        <f t="shared" si="94"/>
        <v>7.1</v>
      </c>
      <c r="AX36" s="123">
        <f t="shared" si="94"/>
        <v>18.7</v>
      </c>
      <c r="AY36" s="123">
        <f t="shared" si="94"/>
        <v>98.8</v>
      </c>
      <c r="AZ36" s="123">
        <f t="shared" si="94"/>
        <v>59.3</v>
      </c>
      <c r="BA36" s="123">
        <f t="shared" si="94"/>
        <v>38.6</v>
      </c>
      <c r="BB36" s="123">
        <f t="shared" si="94"/>
        <v>15.5</v>
      </c>
      <c r="BC36" s="123">
        <f t="shared" si="94"/>
        <v>23.9</v>
      </c>
      <c r="BD36" s="123">
        <f t="shared" si="94"/>
        <v>9.6</v>
      </c>
      <c r="BE36" s="123">
        <f t="shared" si="94"/>
        <v>9.5</v>
      </c>
      <c r="BF36" s="123">
        <f t="shared" si="94"/>
        <v>11.3</v>
      </c>
      <c r="BG36" s="123">
        <f t="shared" ref="BG36:BN36" si="96">BG48</f>
        <v>6.4</v>
      </c>
      <c r="BH36" s="123">
        <f t="shared" si="96"/>
        <v>14.7</v>
      </c>
      <c r="BI36" s="123">
        <f t="shared" si="96"/>
        <v>-0.1</v>
      </c>
      <c r="BJ36" s="123">
        <f t="shared" si="96"/>
        <v>6.9</v>
      </c>
      <c r="BK36" s="123">
        <f t="shared" si="96"/>
        <v>17.7</v>
      </c>
      <c r="BL36" s="123">
        <f t="shared" si="96"/>
        <v>5</v>
      </c>
      <c r="BM36" s="123">
        <f t="shared" si="96"/>
        <v>1.9</v>
      </c>
      <c r="BN36" s="123">
        <f t="shared" si="96"/>
        <v>3.4</v>
      </c>
      <c r="BO36" s="123">
        <f>BO48</f>
        <v>6.9</v>
      </c>
      <c r="BP36" s="123">
        <f>BP48</f>
        <v>55.5</v>
      </c>
      <c r="BQ36" s="123">
        <f>BQ48</f>
        <v>22</v>
      </c>
      <c r="BR36" s="123">
        <f>BR48</f>
        <v>6.9</v>
      </c>
      <c r="BS36" s="123">
        <f>BS48</f>
        <v>4.4000000000000004</v>
      </c>
      <c r="BT36" s="109">
        <f t="shared" ref="BT36:CC36" ca="1" si="97">BT35+0*BT198</f>
        <v>34.244892642942418</v>
      </c>
      <c r="BU36" s="109">
        <f t="shared" ca="1" si="97"/>
        <v>50.991102337104202</v>
      </c>
      <c r="BV36" s="109">
        <f t="shared" ca="1" si="97"/>
        <v>16.413728147581516</v>
      </c>
      <c r="BW36" s="109">
        <f t="shared" ca="1" si="97"/>
        <v>8.6555130940087377</v>
      </c>
      <c r="BX36" s="109">
        <f t="shared" ca="1" si="97"/>
        <v>5.0998086070868656</v>
      </c>
      <c r="BY36" s="109">
        <f t="shared" ca="1" si="97"/>
        <v>6.0916649920156747</v>
      </c>
      <c r="BZ36" s="109">
        <f t="shared" ca="1" si="97"/>
        <v>6.833583832782069</v>
      </c>
      <c r="CA36" s="109">
        <f t="shared" ca="1" si="97"/>
        <v>7.5774286217089779</v>
      </c>
      <c r="CB36" s="109">
        <f t="shared" ca="1" si="97"/>
        <v>8.5001783380132991</v>
      </c>
      <c r="CC36" s="109">
        <f t="shared" ca="1" si="97"/>
        <v>9.6400935707060729</v>
      </c>
      <c r="CD36" s="109">
        <f ca="1">CD35+0*CD198</f>
        <v>11.072158493452394</v>
      </c>
      <c r="CE36" s="109">
        <f ca="1">CE35+0*CE198</f>
        <v>12.893441429610702</v>
      </c>
      <c r="CF36" s="109">
        <f ca="1">CF35+0*CF198</f>
        <v>15.232063947577839</v>
      </c>
      <c r="CG36" s="109">
        <f ca="1">CG35+0*CG198</f>
        <v>18.257179167767255</v>
      </c>
      <c r="CH36" s="141"/>
      <c r="CI36" s="159">
        <f t="shared" si="88"/>
        <v>0</v>
      </c>
      <c r="CJ36" s="159">
        <f t="shared" si="89"/>
        <v>0</v>
      </c>
      <c r="CK36" s="159">
        <f t="shared" si="89"/>
        <v>0</v>
      </c>
      <c r="CL36" s="159">
        <f t="shared" ca="1" si="89"/>
        <v>0</v>
      </c>
      <c r="CM36" s="159">
        <f t="shared" ca="1" si="89"/>
        <v>12.104076297908506</v>
      </c>
      <c r="CN36" s="159">
        <f t="shared" ca="1" si="89"/>
        <v>4.1068083139547706</v>
      </c>
      <c r="CO36" s="159">
        <f t="shared" ca="1" si="89"/>
        <v>0.37176370662928804</v>
      </c>
      <c r="CP36" s="159">
        <f t="shared" ca="1" si="89"/>
        <v>-0.38004004039784078</v>
      </c>
      <c r="CQ36" s="159">
        <f t="shared" ca="1" si="89"/>
        <v>-0.60419967851833434</v>
      </c>
      <c r="CR36" s="159">
        <f t="shared" ca="1" si="89"/>
        <v>-0.78430917036779224</v>
      </c>
      <c r="CS36" s="159">
        <f t="shared" ca="1" si="89"/>
        <v>-0.48064219168878086</v>
      </c>
      <c r="CT36" s="159">
        <f t="shared" ca="1" si="89"/>
        <v>-0.23165179074948661</v>
      </c>
      <c r="CU36" s="159">
        <f t="shared" ca="1" si="89"/>
        <v>-0.64877974496590518</v>
      </c>
      <c r="CV36" s="159">
        <f t="shared" ca="1" si="90"/>
        <v>-0.95894111913520597</v>
      </c>
      <c r="CW36" s="159">
        <f t="shared" ca="1" si="91"/>
        <v>-1.264185894287623</v>
      </c>
      <c r="CX36" s="159">
        <f t="shared" ca="1" si="92"/>
        <v>-1.6259542356837855</v>
      </c>
      <c r="CY36" s="159">
        <f t="shared" ca="1" si="93"/>
        <v>-2.0763990673995991</v>
      </c>
      <c r="CZ36" s="134"/>
      <c r="DA36" s="135">
        <v>22</v>
      </c>
      <c r="DB36" s="135">
        <v>6.9</v>
      </c>
      <c r="DC36" s="135">
        <v>4.4000000000000004</v>
      </c>
      <c r="DD36" s="135">
        <v>34.244892642942418</v>
      </c>
      <c r="DE36" s="135">
        <v>38.887026039195696</v>
      </c>
      <c r="DF36" s="135">
        <v>12.306919833626745</v>
      </c>
      <c r="DG36" s="135">
        <v>8.2837493873794497</v>
      </c>
      <c r="DH36" s="135">
        <v>5.4798486474847063</v>
      </c>
      <c r="DI36" s="135">
        <v>6.695864670534009</v>
      </c>
      <c r="DJ36" s="135">
        <v>7.6178930031498613</v>
      </c>
      <c r="DK36" s="135">
        <v>8.0580708133977588</v>
      </c>
      <c r="DL36" s="135">
        <v>8.7318301287627857</v>
      </c>
      <c r="DM36" s="135">
        <v>10.288873315671978</v>
      </c>
      <c r="DN36" s="135">
        <v>12.0310996125876</v>
      </c>
      <c r="DO36" s="135">
        <v>14.157627323898325</v>
      </c>
      <c r="DP36" s="135">
        <v>16.858018183261624</v>
      </c>
      <c r="DQ36" s="135">
        <v>20.333578235166854</v>
      </c>
    </row>
    <row r="37" spans="1:121" s="123" customFormat="1">
      <c r="A37" s="107" t="s">
        <v>3081</v>
      </c>
      <c r="B37" s="107"/>
      <c r="C37" s="136" t="s">
        <v>1349</v>
      </c>
      <c r="D37" s="147"/>
      <c r="E37" s="107"/>
      <c r="F37" s="123" t="s">
        <v>1344</v>
      </c>
      <c r="G37" s="123">
        <f t="shared" ref="G37:AL37" si="98">+((F90*(1+G237/100)+F91*(1+G35/100))/(F90+F91)-1)*100</f>
        <v>0.70334928229665028</v>
      </c>
      <c r="H37" s="123">
        <f t="shared" si="98"/>
        <v>1.5358792320289139</v>
      </c>
      <c r="I37" s="123">
        <f t="shared" si="98"/>
        <v>12.164015682365715</v>
      </c>
      <c r="J37" s="123">
        <f t="shared" si="98"/>
        <v>1.7958530479161627</v>
      </c>
      <c r="K37" s="123">
        <f t="shared" si="98"/>
        <v>0.65062903834851582</v>
      </c>
      <c r="L37" s="123">
        <f t="shared" si="98"/>
        <v>3.4288023357817776</v>
      </c>
      <c r="M37" s="123">
        <f t="shared" si="98"/>
        <v>12.462494267412904</v>
      </c>
      <c r="N37" s="123">
        <f t="shared" si="98"/>
        <v>-1.468021313461898</v>
      </c>
      <c r="O37" s="123">
        <f t="shared" si="98"/>
        <v>-1.2965496324275239</v>
      </c>
      <c r="P37" s="123">
        <f t="shared" si="98"/>
        <v>6.0943321995003741</v>
      </c>
      <c r="Q37" s="123">
        <f t="shared" si="98"/>
        <v>2.57482988570501</v>
      </c>
      <c r="R37" s="123">
        <f t="shared" si="98"/>
        <v>8.2010794753071714</v>
      </c>
      <c r="S37" s="123">
        <f t="shared" si="98"/>
        <v>0.21497943177948287</v>
      </c>
      <c r="T37" s="123">
        <f t="shared" si="98"/>
        <v>1.3645927207477593</v>
      </c>
      <c r="U37" s="123">
        <f t="shared" si="98"/>
        <v>2.8909264480526886</v>
      </c>
      <c r="V37" s="123">
        <f t="shared" si="98"/>
        <v>1.1806989155507042</v>
      </c>
      <c r="W37" s="123">
        <f t="shared" si="98"/>
        <v>0.80145807763973842</v>
      </c>
      <c r="X37" s="123">
        <f t="shared" si="98"/>
        <v>11.056076002975912</v>
      </c>
      <c r="Y37" s="123">
        <f t="shared" si="98"/>
        <v>-0.29699877997767521</v>
      </c>
      <c r="Z37" s="123">
        <f t="shared" si="98"/>
        <v>5.4348820905049111</v>
      </c>
      <c r="AA37" s="123">
        <f t="shared" si="98"/>
        <v>16.373812583923186</v>
      </c>
      <c r="AB37" s="123">
        <f t="shared" si="98"/>
        <v>8.2787550428234713</v>
      </c>
      <c r="AC37" s="123">
        <f t="shared" si="98"/>
        <v>14.34983305160964</v>
      </c>
      <c r="AD37" s="123">
        <f t="shared" si="98"/>
        <v>7.142597055971156</v>
      </c>
      <c r="AE37" s="123">
        <f t="shared" si="98"/>
        <v>7.4250889260964792</v>
      </c>
      <c r="AF37" s="123">
        <f t="shared" si="98"/>
        <v>14.226586572025091</v>
      </c>
      <c r="AG37" s="123">
        <f t="shared" si="98"/>
        <v>17.058873495324754</v>
      </c>
      <c r="AH37" s="123">
        <f t="shared" si="98"/>
        <v>18.310104084200972</v>
      </c>
      <c r="AI37" s="123">
        <f t="shared" si="98"/>
        <v>3.4974783256646935</v>
      </c>
      <c r="AJ37" s="123">
        <f t="shared" si="98"/>
        <v>1.3623734215297167</v>
      </c>
      <c r="AK37" s="123">
        <f t="shared" si="98"/>
        <v>3.655164736937655</v>
      </c>
      <c r="AL37" s="123">
        <f t="shared" si="98"/>
        <v>10.579756976309639</v>
      </c>
      <c r="AM37" s="123">
        <f t="shared" ref="AM37:BR37" si="99">+((AL90*(1+AM237/100)+AL91*(1+AM35/100))/(AL90+AL91)-1)*100</f>
        <v>27.416068826796124</v>
      </c>
      <c r="AN37" s="123">
        <f t="shared" si="99"/>
        <v>5.6187892694961272</v>
      </c>
      <c r="AO37" s="123">
        <f t="shared" si="99"/>
        <v>4.2711582020816596</v>
      </c>
      <c r="AP37" s="123">
        <f t="shared" si="99"/>
        <v>3.0898207535025701</v>
      </c>
      <c r="AQ37" s="123">
        <f t="shared" si="99"/>
        <v>29.054493347789357</v>
      </c>
      <c r="AR37" s="123">
        <f t="shared" si="99"/>
        <v>31.776641426063822</v>
      </c>
      <c r="AS37" s="123">
        <f t="shared" si="99"/>
        <v>61.348168119263534</v>
      </c>
      <c r="AT37" s="123">
        <f t="shared" si="99"/>
        <v>295.23018765673129</v>
      </c>
      <c r="AU37" s="123">
        <f t="shared" si="99"/>
        <v>292.55330768917776</v>
      </c>
      <c r="AV37" s="123">
        <f t="shared" si="99"/>
        <v>32.01375444241139</v>
      </c>
      <c r="AW37" s="123">
        <f t="shared" si="99"/>
        <v>14.978927857097402</v>
      </c>
      <c r="AX37" s="123">
        <f t="shared" si="99"/>
        <v>78.803287814433446</v>
      </c>
      <c r="AY37" s="123">
        <f t="shared" si="99"/>
        <v>66.603555572141175</v>
      </c>
      <c r="AZ37" s="123">
        <f t="shared" si="99"/>
        <v>58.293134860079896</v>
      </c>
      <c r="BA37" s="123">
        <f t="shared" si="99"/>
        <v>34.611931144112226</v>
      </c>
      <c r="BB37" s="123">
        <f t="shared" si="99"/>
        <v>39.594525454061525</v>
      </c>
      <c r="BC37" s="123">
        <f t="shared" si="99"/>
        <v>17.268194311808749</v>
      </c>
      <c r="BD37" s="123">
        <f t="shared" si="99"/>
        <v>8.5804280212095296</v>
      </c>
      <c r="BE37" s="123">
        <f t="shared" ca="1" si="99"/>
        <v>9.0796301913999464</v>
      </c>
      <c r="BF37" s="123">
        <f t="shared" ca="1" si="99"/>
        <v>14.022368276375218</v>
      </c>
      <c r="BG37" s="123">
        <f t="shared" si="99"/>
        <v>8.7480977132042383</v>
      </c>
      <c r="BH37" s="123">
        <f t="shared" si="99"/>
        <v>11.712632333100093</v>
      </c>
      <c r="BI37" s="123">
        <f t="shared" si="99"/>
        <v>15.590336024106755</v>
      </c>
      <c r="BJ37" s="123">
        <f t="shared" si="99"/>
        <v>9.5831292324518138</v>
      </c>
      <c r="BK37" s="123">
        <f t="shared" si="99"/>
        <v>13.15098812947728</v>
      </c>
      <c r="BL37" s="123">
        <f t="shared" si="99"/>
        <v>6.1497436218338919</v>
      </c>
      <c r="BM37" s="123">
        <f t="shared" si="99"/>
        <v>9.5003385786615713</v>
      </c>
      <c r="BN37" s="123">
        <f t="shared" si="99"/>
        <v>-2.0065243847876335</v>
      </c>
      <c r="BO37" s="123">
        <f t="shared" si="99"/>
        <v>3.1186838585852694</v>
      </c>
      <c r="BP37" s="123">
        <f t="shared" si="99"/>
        <v>28.993702094769457</v>
      </c>
      <c r="BQ37" s="123">
        <f t="shared" si="99"/>
        <v>20.227021451570181</v>
      </c>
      <c r="BR37" s="123">
        <f t="shared" si="99"/>
        <v>16.877731716516809</v>
      </c>
      <c r="BS37" s="123">
        <f t="shared" ref="BS37:CC37" si="100">+((BR90*(1+BS237/100)+BR91*(1+BS35/100))/(BR90+BR91)-1)*100</f>
        <v>2.3507715929136808</v>
      </c>
      <c r="BT37" s="123">
        <f t="shared" ca="1" si="100"/>
        <v>20.304627485938553</v>
      </c>
      <c r="BU37" s="123">
        <f t="shared" ca="1" si="100"/>
        <v>31.820122033047603</v>
      </c>
      <c r="BV37" s="123">
        <f t="shared" ca="1" si="100"/>
        <v>17.798373428215353</v>
      </c>
      <c r="BW37" s="123">
        <f t="shared" ca="1" si="100"/>
        <v>15.806747922387832</v>
      </c>
      <c r="BX37" s="123">
        <f t="shared" ca="1" si="100"/>
        <v>8.1782361781077348</v>
      </c>
      <c r="BY37" s="123">
        <f t="shared" ca="1" si="100"/>
        <v>11.312958887484159</v>
      </c>
      <c r="BZ37" s="123">
        <f t="shared" ca="1" si="100"/>
        <v>12.452010073480269</v>
      </c>
      <c r="CA37" s="123">
        <f t="shared" ca="1" si="100"/>
        <v>13.536549133182829</v>
      </c>
      <c r="CB37" s="123">
        <f t="shared" ca="1" si="100"/>
        <v>14.879762865157575</v>
      </c>
      <c r="CC37" s="123">
        <f t="shared" ca="1" si="100"/>
        <v>16.4713677176908</v>
      </c>
      <c r="CD37" s="123">
        <f ca="1">+((CC90*(1+CD237/100)+CC91*(1+CD35/100))/(CC90+CC91)-1)*100</f>
        <v>18.395576183734931</v>
      </c>
      <c r="CE37" s="123">
        <f ca="1">+((CD90*(1+CE237/100)+CD91*(1+CE35/100))/(CD90+CD91)-1)*100</f>
        <v>20.745795833165115</v>
      </c>
      <c r="CF37" s="123">
        <f ca="1">+((CE90*(1+CF237/100)+CE91*(1+CF35/100))/(CE90+CE91)-1)*100</f>
        <v>23.637187766501079</v>
      </c>
      <c r="CG37" s="123">
        <f ca="1">+((CF90*(1+CG237/100)+CF91*(1+CG35/100))/(CF90+CF91)-1)*100</f>
        <v>27.213393759201111</v>
      </c>
      <c r="CH37" s="141"/>
      <c r="CI37" s="159">
        <f t="shared" si="88"/>
        <v>0</v>
      </c>
      <c r="CJ37" s="159">
        <f t="shared" si="89"/>
        <v>0</v>
      </c>
      <c r="CK37" s="159">
        <f t="shared" si="89"/>
        <v>0</v>
      </c>
      <c r="CL37" s="159">
        <f t="shared" ca="1" si="89"/>
        <v>0</v>
      </c>
      <c r="CM37" s="159">
        <f t="shared" ca="1" si="89"/>
        <v>5.8103803989964611</v>
      </c>
      <c r="CN37" s="159">
        <f t="shared" ca="1" si="89"/>
        <v>4.1529863164299954</v>
      </c>
      <c r="CO37" s="159">
        <f t="shared" ca="1" si="89"/>
        <v>-0.95202163356691116</v>
      </c>
      <c r="CP37" s="159">
        <f t="shared" ca="1" si="89"/>
        <v>-1.7116712582945883</v>
      </c>
      <c r="CQ37" s="159">
        <f t="shared" ca="1" si="89"/>
        <v>-1.9884806089704554</v>
      </c>
      <c r="CR37" s="159">
        <f t="shared" ca="1" si="89"/>
        <v>-2.2380561526158527</v>
      </c>
      <c r="CS37" s="159">
        <f t="shared" ca="1" si="89"/>
        <v>-1.309922346912872</v>
      </c>
      <c r="CT37" s="159">
        <f t="shared" ca="1" si="89"/>
        <v>-0.79611335175027165</v>
      </c>
      <c r="CU37" s="159">
        <f t="shared" ca="1" si="89"/>
        <v>-1.6368968617447734</v>
      </c>
      <c r="CV37" s="159">
        <f t="shared" ca="1" si="90"/>
        <v>-2.0436827122447525</v>
      </c>
      <c r="CW37" s="159">
        <f t="shared" ca="1" si="91"/>
        <v>-2.3877508796425566</v>
      </c>
      <c r="CX37" s="159">
        <f t="shared" ca="1" si="92"/>
        <v>-2.7560798720568158</v>
      </c>
      <c r="CY37" s="159">
        <f t="shared" ca="1" si="93"/>
        <v>-3.1761976464220965</v>
      </c>
      <c r="CZ37" s="134"/>
      <c r="DA37" s="135">
        <v>20.227021451570181</v>
      </c>
      <c r="DB37" s="135">
        <v>16.877731716516809</v>
      </c>
      <c r="DC37" s="135">
        <v>2.3507715929136808</v>
      </c>
      <c r="DD37" s="135">
        <v>20.304627485938553</v>
      </c>
      <c r="DE37" s="135">
        <v>26.009741634051142</v>
      </c>
      <c r="DF37" s="135">
        <v>13.645387111785357</v>
      </c>
      <c r="DG37" s="135">
        <v>16.758769555954743</v>
      </c>
      <c r="DH37" s="135">
        <v>9.8899074364023232</v>
      </c>
      <c r="DI37" s="135">
        <v>13.301439496454615</v>
      </c>
      <c r="DJ37" s="135">
        <v>14.690066226096121</v>
      </c>
      <c r="DK37" s="135">
        <v>14.846471480095701</v>
      </c>
      <c r="DL37" s="135">
        <v>15.675876216907847</v>
      </c>
      <c r="DM37" s="135">
        <v>18.108264579435573</v>
      </c>
      <c r="DN37" s="135">
        <v>20.439258895979684</v>
      </c>
      <c r="DO37" s="135">
        <v>23.133546712807671</v>
      </c>
      <c r="DP37" s="135">
        <v>26.393267638557894</v>
      </c>
      <c r="DQ37" s="135">
        <v>30.389591405623207</v>
      </c>
    </row>
    <row r="38" spans="1:121" s="123" customFormat="1">
      <c r="A38" s="107" t="s">
        <v>131</v>
      </c>
      <c r="B38" s="107"/>
      <c r="C38" s="136" t="s">
        <v>1349</v>
      </c>
      <c r="D38" s="147"/>
      <c r="E38" s="107"/>
      <c r="F38" s="109">
        <f t="shared" ref="F38:BF38" si="101">+F35</f>
        <v>2</v>
      </c>
      <c r="G38" s="109">
        <f>+G35</f>
        <v>1</v>
      </c>
      <c r="H38" s="109">
        <f t="shared" si="101"/>
        <v>1.9801980257034302</v>
      </c>
      <c r="I38" s="109">
        <f t="shared" si="101"/>
        <v>8.6999999999999993</v>
      </c>
      <c r="J38" s="109">
        <f t="shared" si="101"/>
        <v>0</v>
      </c>
      <c r="K38" s="109">
        <f t="shared" si="101"/>
        <v>0</v>
      </c>
      <c r="L38" s="109">
        <f t="shared" si="101"/>
        <v>2.6</v>
      </c>
      <c r="M38" s="109">
        <f t="shared" si="101"/>
        <v>1.7</v>
      </c>
      <c r="N38" s="109">
        <f t="shared" si="101"/>
        <v>2.5</v>
      </c>
      <c r="O38" s="109">
        <f t="shared" si="101"/>
        <v>1.7</v>
      </c>
      <c r="P38" s="109">
        <f t="shared" si="101"/>
        <v>4.0999999999999996</v>
      </c>
      <c r="Q38" s="109">
        <f t="shared" si="101"/>
        <v>2.2999999999999998</v>
      </c>
      <c r="R38" s="109">
        <f t="shared" si="101"/>
        <v>1.5</v>
      </c>
      <c r="S38" s="109">
        <f t="shared" si="101"/>
        <v>7.5</v>
      </c>
      <c r="T38" s="109">
        <f t="shared" si="101"/>
        <v>0</v>
      </c>
      <c r="U38" s="109">
        <f t="shared" si="101"/>
        <v>1</v>
      </c>
      <c r="V38" s="109">
        <f t="shared" si="101"/>
        <v>1.8</v>
      </c>
      <c r="W38" s="109">
        <f t="shared" si="101"/>
        <v>-0.6</v>
      </c>
      <c r="X38" s="109">
        <f t="shared" si="101"/>
        <v>2.4</v>
      </c>
      <c r="Y38" s="109">
        <f t="shared" si="101"/>
        <v>12</v>
      </c>
      <c r="Z38" s="109">
        <f t="shared" si="101"/>
        <v>15.9</v>
      </c>
      <c r="AA38" s="109">
        <f t="shared" si="101"/>
        <v>7.5</v>
      </c>
      <c r="AB38" s="109">
        <f t="shared" si="101"/>
        <v>9.3000000000000007</v>
      </c>
      <c r="AC38" s="109">
        <f t="shared" si="101"/>
        <v>8.8000000000000007</v>
      </c>
      <c r="AD38" s="109">
        <f t="shared" si="101"/>
        <v>8</v>
      </c>
      <c r="AE38" s="109">
        <f t="shared" si="101"/>
        <v>14</v>
      </c>
      <c r="AF38" s="109">
        <f t="shared" si="101"/>
        <v>13.2</v>
      </c>
      <c r="AG38" s="109">
        <f t="shared" si="101"/>
        <v>8.6999999999999993</v>
      </c>
      <c r="AH38" s="109">
        <f t="shared" si="101"/>
        <v>7.3</v>
      </c>
      <c r="AI38" s="109">
        <f t="shared" si="101"/>
        <v>4.4000000000000004</v>
      </c>
      <c r="AJ38" s="109">
        <f t="shared" si="101"/>
        <v>3.7</v>
      </c>
      <c r="AK38" s="109">
        <f t="shared" si="101"/>
        <v>10.9</v>
      </c>
      <c r="AL38" s="109">
        <f t="shared" si="101"/>
        <v>18.7</v>
      </c>
      <c r="AM38" s="109">
        <f t="shared" si="101"/>
        <v>53.4</v>
      </c>
      <c r="AN38" s="109">
        <f>+AN35</f>
        <v>7.3</v>
      </c>
      <c r="AO38" s="109">
        <f t="shared" si="101"/>
        <v>0.8</v>
      </c>
      <c r="AP38" s="109">
        <f t="shared" si="101"/>
        <v>21.8</v>
      </c>
      <c r="AQ38" s="109">
        <f t="shared" si="101"/>
        <v>26</v>
      </c>
      <c r="AR38" s="109">
        <f t="shared" si="101"/>
        <v>43.7</v>
      </c>
      <c r="AS38" s="109">
        <f t="shared" si="101"/>
        <v>143.5</v>
      </c>
      <c r="AT38" s="109">
        <f t="shared" si="101"/>
        <v>368.5</v>
      </c>
      <c r="AU38" s="109">
        <f t="shared" si="101"/>
        <v>235.6</v>
      </c>
      <c r="AV38" s="109">
        <f t="shared" si="101"/>
        <v>-0.7</v>
      </c>
      <c r="AW38" s="109">
        <f t="shared" si="101"/>
        <v>7.1</v>
      </c>
      <c r="AX38" s="109">
        <f t="shared" si="101"/>
        <v>18.7</v>
      </c>
      <c r="AY38" s="109">
        <f t="shared" si="101"/>
        <v>98.8</v>
      </c>
      <c r="AZ38" s="109">
        <f t="shared" si="101"/>
        <v>59.3</v>
      </c>
      <c r="BA38" s="109">
        <f t="shared" si="101"/>
        <v>38.6</v>
      </c>
      <c r="BB38" s="109">
        <f t="shared" si="101"/>
        <v>15.5</v>
      </c>
      <c r="BC38" s="109">
        <f t="shared" si="101"/>
        <v>23.9</v>
      </c>
      <c r="BD38" s="109">
        <f t="shared" si="101"/>
        <v>9.6</v>
      </c>
      <c r="BE38" s="109">
        <f t="shared" si="101"/>
        <v>9.5</v>
      </c>
      <c r="BF38" s="109">
        <f t="shared" si="101"/>
        <v>11.3</v>
      </c>
      <c r="BG38" s="109">
        <f t="shared" ref="BG38:BQ38" si="102">+BG35</f>
        <v>6.4</v>
      </c>
      <c r="BH38" s="109">
        <f t="shared" si="102"/>
        <v>14.7</v>
      </c>
      <c r="BI38" s="109">
        <f t="shared" si="102"/>
        <v>-0.1</v>
      </c>
      <c r="BJ38" s="109">
        <f t="shared" si="102"/>
        <v>6.9</v>
      </c>
      <c r="BK38" s="109">
        <f t="shared" si="102"/>
        <v>17.7</v>
      </c>
      <c r="BL38" s="109">
        <f t="shared" si="102"/>
        <v>5</v>
      </c>
      <c r="BM38" s="109">
        <f t="shared" si="102"/>
        <v>1.9</v>
      </c>
      <c r="BN38" s="109">
        <f t="shared" si="102"/>
        <v>3.4</v>
      </c>
      <c r="BO38" s="109">
        <f t="shared" si="102"/>
        <v>6.9</v>
      </c>
      <c r="BP38" s="109">
        <f t="shared" si="102"/>
        <v>55.5</v>
      </c>
      <c r="BQ38" s="109">
        <f t="shared" si="102"/>
        <v>22</v>
      </c>
      <c r="BR38" s="109">
        <f t="shared" ref="BR38:CB38" si="103">+BR35</f>
        <v>6.9</v>
      </c>
      <c r="BS38" s="109">
        <f t="shared" si="103"/>
        <v>4.4000000000000004</v>
      </c>
      <c r="BT38" s="109">
        <f t="shared" ca="1" si="103"/>
        <v>34.244892642942418</v>
      </c>
      <c r="BU38" s="109">
        <f t="shared" ca="1" si="103"/>
        <v>50.991102337104202</v>
      </c>
      <c r="BV38" s="109">
        <f t="shared" ca="1" si="103"/>
        <v>16.413728147581516</v>
      </c>
      <c r="BW38" s="109">
        <f t="shared" ca="1" si="103"/>
        <v>8.6555130940087377</v>
      </c>
      <c r="BX38" s="109">
        <f t="shared" ca="1" si="103"/>
        <v>5.0998086070868656</v>
      </c>
      <c r="BY38" s="109">
        <f t="shared" ca="1" si="103"/>
        <v>6.0916649920156747</v>
      </c>
      <c r="BZ38" s="109">
        <f t="shared" ca="1" si="103"/>
        <v>6.833583832782069</v>
      </c>
      <c r="CA38" s="109">
        <f t="shared" ca="1" si="103"/>
        <v>7.5774286217089779</v>
      </c>
      <c r="CB38" s="109">
        <f t="shared" ca="1" si="103"/>
        <v>8.5001783380132991</v>
      </c>
      <c r="CC38" s="109">
        <f ca="1">+CC35</f>
        <v>9.6400935707060729</v>
      </c>
      <c r="CD38" s="109">
        <f ca="1">+CD35</f>
        <v>11.072158493452394</v>
      </c>
      <c r="CE38" s="109">
        <f ca="1">+CE35</f>
        <v>12.893441429610702</v>
      </c>
      <c r="CF38" s="109">
        <f ca="1">+CF35</f>
        <v>15.232063947577839</v>
      </c>
      <c r="CG38" s="109">
        <f ca="1">+CG35</f>
        <v>18.257179167767255</v>
      </c>
      <c r="CH38" s="141"/>
      <c r="CI38" s="159">
        <f t="shared" si="88"/>
        <v>0</v>
      </c>
      <c r="CJ38" s="159">
        <f t="shared" si="89"/>
        <v>0</v>
      </c>
      <c r="CK38" s="159">
        <f t="shared" si="89"/>
        <v>0</v>
      </c>
      <c r="CL38" s="159">
        <f t="shared" ca="1" si="89"/>
        <v>0</v>
      </c>
      <c r="CM38" s="159">
        <f t="shared" ca="1" si="89"/>
        <v>12.104076297908506</v>
      </c>
      <c r="CN38" s="159">
        <f t="shared" ca="1" si="89"/>
        <v>4.1068083139547706</v>
      </c>
      <c r="CO38" s="159">
        <f t="shared" ca="1" si="89"/>
        <v>0.37176370662928804</v>
      </c>
      <c r="CP38" s="159">
        <f t="shared" ca="1" si="89"/>
        <v>-0.38004004039784078</v>
      </c>
      <c r="CQ38" s="159">
        <f t="shared" ca="1" si="89"/>
        <v>-0.60419967851833434</v>
      </c>
      <c r="CR38" s="159">
        <f t="shared" ca="1" si="89"/>
        <v>-0.78430917036779224</v>
      </c>
      <c r="CS38" s="159">
        <f t="shared" ca="1" si="89"/>
        <v>-0.48064219168878086</v>
      </c>
      <c r="CT38" s="159">
        <f t="shared" ca="1" si="89"/>
        <v>-0.23165179074948661</v>
      </c>
      <c r="CU38" s="159">
        <f t="shared" ca="1" si="89"/>
        <v>-0.64877974496590518</v>
      </c>
      <c r="CV38" s="159">
        <f t="shared" ca="1" si="90"/>
        <v>-0.95894111913520597</v>
      </c>
      <c r="CW38" s="159">
        <f t="shared" ca="1" si="91"/>
        <v>-1.264185894287623</v>
      </c>
      <c r="CX38" s="159">
        <f t="shared" ca="1" si="92"/>
        <v>-1.6259542356837855</v>
      </c>
      <c r="CY38" s="159">
        <f t="shared" ca="1" si="93"/>
        <v>-2.0763990673995991</v>
      </c>
      <c r="CZ38" s="134"/>
      <c r="DA38" s="135">
        <v>22</v>
      </c>
      <c r="DB38" s="135">
        <v>6.9</v>
      </c>
      <c r="DC38" s="135">
        <v>4.4000000000000004</v>
      </c>
      <c r="DD38" s="135">
        <v>34.244892642942418</v>
      </c>
      <c r="DE38" s="135">
        <v>38.887026039195696</v>
      </c>
      <c r="DF38" s="135">
        <v>12.306919833626745</v>
      </c>
      <c r="DG38" s="135">
        <v>8.2837493873794497</v>
      </c>
      <c r="DH38" s="135">
        <v>5.4798486474847063</v>
      </c>
      <c r="DI38" s="135">
        <v>6.695864670534009</v>
      </c>
      <c r="DJ38" s="135">
        <v>7.6178930031498613</v>
      </c>
      <c r="DK38" s="135">
        <v>8.0580708133977588</v>
      </c>
      <c r="DL38" s="135">
        <v>8.7318301287627857</v>
      </c>
      <c r="DM38" s="135">
        <v>10.288873315671978</v>
      </c>
      <c r="DN38" s="135">
        <v>12.0310996125876</v>
      </c>
      <c r="DO38" s="135">
        <v>14.157627323898325</v>
      </c>
      <c r="DP38" s="135">
        <v>16.858018183261624</v>
      </c>
      <c r="DQ38" s="135">
        <v>20.333578235166854</v>
      </c>
    </row>
    <row r="39" spans="1:121" s="123" customFormat="1">
      <c r="A39" s="107" t="s">
        <v>2398</v>
      </c>
      <c r="B39" s="107"/>
      <c r="C39" s="136" t="s">
        <v>1349</v>
      </c>
      <c r="D39" s="147"/>
      <c r="E39" s="107"/>
      <c r="F39" s="123" t="s">
        <v>1344</v>
      </c>
      <c r="G39" s="123" t="s">
        <v>1344</v>
      </c>
      <c r="H39" s="123" t="s">
        <v>1344</v>
      </c>
      <c r="I39" s="123" t="s">
        <v>1344</v>
      </c>
      <c r="J39" s="123" t="s">
        <v>1344</v>
      </c>
      <c r="K39" s="123" t="s">
        <v>1344</v>
      </c>
      <c r="L39" s="123" t="s">
        <v>1344</v>
      </c>
      <c r="M39" s="123" t="s">
        <v>1344</v>
      </c>
      <c r="N39" s="123" t="s">
        <v>1344</v>
      </c>
      <c r="O39" s="123" t="s">
        <v>1344</v>
      </c>
      <c r="P39" s="123" t="s">
        <v>1344</v>
      </c>
      <c r="Q39" s="123" t="s">
        <v>1344</v>
      </c>
      <c r="R39" s="123" t="s">
        <v>1344</v>
      </c>
      <c r="S39" s="123" t="s">
        <v>1344</v>
      </c>
      <c r="T39" s="123" t="s">
        <v>1344</v>
      </c>
      <c r="U39" s="123" t="s">
        <v>1344</v>
      </c>
      <c r="V39" s="123" t="s">
        <v>1344</v>
      </c>
      <c r="W39" s="123" t="s">
        <v>1344</v>
      </c>
      <c r="X39" s="123" t="s">
        <v>1344</v>
      </c>
      <c r="Y39" s="123" t="s">
        <v>1344</v>
      </c>
      <c r="Z39" s="123" t="s">
        <v>1344</v>
      </c>
      <c r="AA39" s="123" t="s">
        <v>1344</v>
      </c>
      <c r="AB39" s="123" t="s">
        <v>1344</v>
      </c>
      <c r="AC39" s="123" t="s">
        <v>1344</v>
      </c>
      <c r="AD39" s="123" t="s">
        <v>1344</v>
      </c>
      <c r="AE39" s="123" t="s">
        <v>1344</v>
      </c>
      <c r="AF39" s="123" t="s">
        <v>1344</v>
      </c>
      <c r="AG39" s="123" t="s">
        <v>1344</v>
      </c>
      <c r="AH39" s="123" t="s">
        <v>1344</v>
      </c>
      <c r="AI39" s="123" t="s">
        <v>1344</v>
      </c>
      <c r="AJ39" s="123" t="s">
        <v>1344</v>
      </c>
      <c r="AK39" s="123" t="s">
        <v>1344</v>
      </c>
      <c r="AL39" s="123" t="s">
        <v>1344</v>
      </c>
      <c r="AM39" s="123" t="s">
        <v>1344</v>
      </c>
      <c r="AN39" s="123" t="s">
        <v>1344</v>
      </c>
      <c r="AO39" s="123" t="s">
        <v>1344</v>
      </c>
      <c r="AP39" s="123" t="s">
        <v>1344</v>
      </c>
      <c r="AQ39" s="123" t="s">
        <v>1344</v>
      </c>
      <c r="AR39" s="123" t="s">
        <v>1344</v>
      </c>
      <c r="AS39" s="123" t="s">
        <v>1344</v>
      </c>
      <c r="AT39" s="123" t="s">
        <v>1344</v>
      </c>
      <c r="AU39" s="123" t="s">
        <v>1344</v>
      </c>
      <c r="AV39" s="123" t="s">
        <v>1344</v>
      </c>
      <c r="AW39" s="123">
        <f t="shared" ref="AW39:BF39" si="104">(AW129/AV129-1)*100</f>
        <v>-18.962674124473011</v>
      </c>
      <c r="AX39" s="123">
        <f t="shared" si="104"/>
        <v>0.32667357460862689</v>
      </c>
      <c r="AY39" s="123">
        <f t="shared" si="104"/>
        <v>106.26369504645395</v>
      </c>
      <c r="AZ39" s="123">
        <f t="shared" si="104"/>
        <v>70.578125146327636</v>
      </c>
      <c r="BA39" s="123">
        <f t="shared" si="104"/>
        <v>32.520779753489236</v>
      </c>
      <c r="BB39" s="123">
        <f t="shared" si="104"/>
        <v>13.653272400429195</v>
      </c>
      <c r="BC39" s="123">
        <f t="shared" si="104"/>
        <v>36.256010309924761</v>
      </c>
      <c r="BD39" s="123">
        <f t="shared" si="104"/>
        <v>23.645702623303656</v>
      </c>
      <c r="BE39" s="123">
        <f t="shared" si="104"/>
        <v>4.0276108207711436</v>
      </c>
      <c r="BF39" s="123">
        <f t="shared" si="104"/>
        <v>40.223132314704579</v>
      </c>
      <c r="BG39" s="123">
        <f>(BG129/BF129-1)*100</f>
        <v>16.93609519198116</v>
      </c>
      <c r="BH39" s="123">
        <f>(BH129/BG129-1)*100</f>
        <v>24.148978635414565</v>
      </c>
      <c r="BI39" s="123">
        <f t="shared" ref="BI39:BP39" si="105">(BI129/BH129-1)*100</f>
        <v>11.620970517379847</v>
      </c>
      <c r="BJ39" s="123">
        <f t="shared" si="105"/>
        <v>25.868448098663933</v>
      </c>
      <c r="BK39" s="123">
        <f t="shared" si="105"/>
        <v>28.129337797011502</v>
      </c>
      <c r="BL39" s="123">
        <f t="shared" si="105"/>
        <v>6.391791995921503</v>
      </c>
      <c r="BM39" s="123">
        <f t="shared" si="105"/>
        <v>-15.453728661275834</v>
      </c>
      <c r="BN39" s="123">
        <f t="shared" si="105"/>
        <v>-10.336521431101675</v>
      </c>
      <c r="BO39" s="123">
        <f t="shared" si="105"/>
        <v>-8.3391276864728248</v>
      </c>
      <c r="BP39" s="123">
        <f t="shared" si="105"/>
        <v>153.21230226928785</v>
      </c>
      <c r="BQ39" s="123">
        <f t="shared" ref="BQ39:BZ39" si="106">(BQ129/BP129-1)*100</f>
        <v>15.630966311510752</v>
      </c>
      <c r="BR39" s="123">
        <f t="shared" si="106"/>
        <v>1.7903595206391509</v>
      </c>
      <c r="BS39" s="123">
        <f t="shared" si="106"/>
        <v>20.139353277721781</v>
      </c>
      <c r="BT39" s="123">
        <f t="shared" si="106"/>
        <v>74.704703832752628</v>
      </c>
      <c r="BU39" s="123">
        <f t="shared" si="106"/>
        <v>62.821685173089506</v>
      </c>
      <c r="BV39" s="123">
        <f t="shared" si="106"/>
        <v>1.4120667522464769</v>
      </c>
      <c r="BW39" s="123">
        <f t="shared" si="106"/>
        <v>1.2025316455696045</v>
      </c>
      <c r="BX39" s="123">
        <f t="shared" si="106"/>
        <v>1.2507817385866149</v>
      </c>
      <c r="BY39" s="123">
        <f t="shared" si="106"/>
        <v>3.0000000000000027</v>
      </c>
      <c r="BZ39" s="123">
        <f t="shared" si="106"/>
        <v>3.0000000000000027</v>
      </c>
      <c r="CA39" s="123">
        <f t="shared" ref="CA39:CG39" si="107">(CA129/BZ129-1)*100</f>
        <v>3.0000000000000027</v>
      </c>
      <c r="CB39" s="123">
        <f t="shared" si="107"/>
        <v>3.0000000000000027</v>
      </c>
      <c r="CC39" s="123">
        <f t="shared" si="107"/>
        <v>3.0000000000000027</v>
      </c>
      <c r="CD39" s="123">
        <f t="shared" si="107"/>
        <v>3.0000000000000027</v>
      </c>
      <c r="CE39" s="123">
        <f t="shared" si="107"/>
        <v>3.0000000000000027</v>
      </c>
      <c r="CF39" s="123">
        <f t="shared" si="107"/>
        <v>3.0000000000000027</v>
      </c>
      <c r="CG39" s="123">
        <f t="shared" si="107"/>
        <v>3.0000000000000027</v>
      </c>
      <c r="CH39" s="141"/>
      <c r="CI39" s="159">
        <f t="shared" si="88"/>
        <v>0</v>
      </c>
      <c r="CJ39" s="159">
        <f t="shared" ref="CJ39:CR39" si="108">BR39-DB39</f>
        <v>0</v>
      </c>
      <c r="CK39" s="159">
        <f t="shared" si="108"/>
        <v>0</v>
      </c>
      <c r="CL39" s="159">
        <f t="shared" si="108"/>
        <v>0</v>
      </c>
      <c r="CM39" s="159">
        <f t="shared" si="108"/>
        <v>20.352710646636197</v>
      </c>
      <c r="CN39" s="159">
        <f t="shared" si="108"/>
        <v>0</v>
      </c>
      <c r="CO39" s="159">
        <f t="shared" si="108"/>
        <v>-2.2204460492503131E-14</v>
      </c>
      <c r="CP39" s="159">
        <f t="shared" si="108"/>
        <v>0</v>
      </c>
      <c r="CQ39" s="159">
        <f t="shared" si="108"/>
        <v>0</v>
      </c>
      <c r="CR39" s="159">
        <f t="shared" si="108"/>
        <v>0</v>
      </c>
      <c r="CS39" s="159">
        <f>CA39-DK39</f>
        <v>0</v>
      </c>
      <c r="CT39" s="159">
        <f>CB39-DL39</f>
        <v>0</v>
      </c>
      <c r="CU39" s="159">
        <f>CC39-DM39</f>
        <v>0</v>
      </c>
      <c r="CV39" s="159">
        <f t="shared" si="90"/>
        <v>0</v>
      </c>
      <c r="CW39" s="159">
        <f t="shared" si="91"/>
        <v>0</v>
      </c>
      <c r="CX39" s="159">
        <f t="shared" si="92"/>
        <v>0</v>
      </c>
      <c r="CY39" s="159">
        <f t="shared" si="93"/>
        <v>0</v>
      </c>
      <c r="CZ39" s="134"/>
      <c r="DA39" s="135">
        <v>15.630966311510752</v>
      </c>
      <c r="DB39" s="135">
        <v>1.7903595206391509</v>
      </c>
      <c r="DC39" s="135">
        <v>20.139353277721781</v>
      </c>
      <c r="DD39" s="135">
        <v>74.704703832752628</v>
      </c>
      <c r="DE39" s="135">
        <v>42.468974526453309</v>
      </c>
      <c r="DF39" s="135">
        <v>1.4120667522464769</v>
      </c>
      <c r="DG39" s="135">
        <v>1.2025316455696267</v>
      </c>
      <c r="DH39" s="135">
        <v>1.2507817385866149</v>
      </c>
      <c r="DI39" s="135">
        <v>3.0000000000000027</v>
      </c>
      <c r="DJ39" s="135">
        <v>3.0000000000000027</v>
      </c>
      <c r="DK39" s="135">
        <v>3.0000000000000027</v>
      </c>
      <c r="DL39" s="135">
        <v>3.0000000000000027</v>
      </c>
      <c r="DM39" s="135">
        <v>3.0000000000000027</v>
      </c>
      <c r="DN39" s="135">
        <v>3.0000000000000027</v>
      </c>
      <c r="DO39" s="135">
        <v>3.0000000000000027</v>
      </c>
      <c r="DP39" s="135">
        <v>3.0000000000000027</v>
      </c>
      <c r="DQ39" s="135">
        <v>3.0000000000000027</v>
      </c>
    </row>
    <row r="40" spans="1:121" s="123" customFormat="1">
      <c r="A40" s="107" t="s">
        <v>2397</v>
      </c>
      <c r="B40" s="107"/>
      <c r="C40" s="136"/>
      <c r="D40" s="147"/>
      <c r="E40" s="107"/>
      <c r="F40" s="123" t="s">
        <v>1344</v>
      </c>
      <c r="G40" s="123" t="s">
        <v>1344</v>
      </c>
      <c r="H40" s="123" t="s">
        <v>1344</v>
      </c>
      <c r="I40" s="123" t="s">
        <v>1344</v>
      </c>
      <c r="J40" s="123" t="s">
        <v>1344</v>
      </c>
      <c r="K40" s="123" t="s">
        <v>1344</v>
      </c>
      <c r="L40" s="123" t="s">
        <v>1344</v>
      </c>
      <c r="M40" s="123" t="s">
        <v>1344</v>
      </c>
      <c r="N40" s="123" t="s">
        <v>1344</v>
      </c>
      <c r="O40" s="123" t="s">
        <v>1344</v>
      </c>
      <c r="P40" s="123" t="s">
        <v>1344</v>
      </c>
      <c r="Q40" s="123" t="s">
        <v>1344</v>
      </c>
      <c r="R40" s="123" t="s">
        <v>1344</v>
      </c>
      <c r="S40" s="123" t="s">
        <v>1344</v>
      </c>
      <c r="T40" s="123" t="s">
        <v>1344</v>
      </c>
      <c r="U40" s="123" t="s">
        <v>1344</v>
      </c>
      <c r="V40" s="123" t="s">
        <v>1344</v>
      </c>
      <c r="W40" s="123" t="s">
        <v>1344</v>
      </c>
      <c r="X40" s="123" t="s">
        <v>1344</v>
      </c>
      <c r="Y40" s="123" t="s">
        <v>1344</v>
      </c>
      <c r="Z40" s="123" t="s">
        <v>1344</v>
      </c>
      <c r="AA40" s="123" t="s">
        <v>1344</v>
      </c>
      <c r="AB40" s="123" t="s">
        <v>1344</v>
      </c>
      <c r="AC40" s="123" t="s">
        <v>1344</v>
      </c>
      <c r="AD40" s="123" t="s">
        <v>1344</v>
      </c>
      <c r="AE40" s="123" t="s">
        <v>1344</v>
      </c>
      <c r="AF40" s="123" t="s">
        <v>1344</v>
      </c>
      <c r="AG40" s="123" t="s">
        <v>1344</v>
      </c>
      <c r="AH40" s="123" t="s">
        <v>1344</v>
      </c>
      <c r="AI40" s="123" t="s">
        <v>1344</v>
      </c>
      <c r="AJ40" s="123" t="s">
        <v>1344</v>
      </c>
      <c r="AK40" s="123" t="s">
        <v>1344</v>
      </c>
      <c r="AL40" s="123" t="s">
        <v>1344</v>
      </c>
      <c r="AM40" s="123" t="s">
        <v>1344</v>
      </c>
      <c r="AN40" s="123" t="s">
        <v>1344</v>
      </c>
      <c r="AO40" s="123" t="s">
        <v>1344</v>
      </c>
      <c r="AP40" s="123" t="s">
        <v>1344</v>
      </c>
      <c r="AQ40" s="123" t="s">
        <v>1344</v>
      </c>
      <c r="AR40" s="123" t="s">
        <v>1344</v>
      </c>
      <c r="AS40" s="123" t="s">
        <v>1344</v>
      </c>
      <c r="AT40" s="123" t="s">
        <v>1344</v>
      </c>
      <c r="AU40" s="123" t="s">
        <v>1344</v>
      </c>
      <c r="AV40" s="123" t="s">
        <v>1344</v>
      </c>
      <c r="AW40" s="123" t="s">
        <v>1344</v>
      </c>
      <c r="AX40" s="123" t="s">
        <v>1344</v>
      </c>
      <c r="AY40" s="123" t="s">
        <v>1344</v>
      </c>
      <c r="AZ40" s="123" t="s">
        <v>1344</v>
      </c>
      <c r="BA40" s="123" t="s">
        <v>1344</v>
      </c>
      <c r="BB40" s="123" t="s">
        <v>1344</v>
      </c>
      <c r="BC40" s="123" t="s">
        <v>1344</v>
      </c>
      <c r="BD40" s="123" t="s">
        <v>1344</v>
      </c>
      <c r="BE40" s="123" t="s">
        <v>1344</v>
      </c>
      <c r="BF40" s="123" t="s">
        <v>1344</v>
      </c>
      <c r="BG40" s="108">
        <f>+SOURCE!BG314</f>
        <v>10.372956264038192</v>
      </c>
      <c r="BH40" s="108">
        <f>+SOURCE!BH314</f>
        <v>5.7541066788419837</v>
      </c>
      <c r="BI40" s="108">
        <f>+SOURCE!BI314</f>
        <v>-30.48524381176977</v>
      </c>
      <c r="BJ40" s="108">
        <f>+SOURCE!BJ314</f>
        <v>38.841837708152873</v>
      </c>
      <c r="BK40" s="108">
        <f>+SOURCE!BK314</f>
        <v>3.8449148754656117</v>
      </c>
      <c r="BL40" s="108">
        <f>+SOURCE!BL314</f>
        <v>-3</v>
      </c>
      <c r="BM40" s="108">
        <f>+SOURCE!BM314</f>
        <v>-3</v>
      </c>
      <c r="BN40" s="108">
        <f>+SOURCE!BN314</f>
        <v>-2</v>
      </c>
      <c r="BO40" s="108">
        <f>+SOURCE!BO314</f>
        <v>-10</v>
      </c>
      <c r="BP40" s="109">
        <f ca="1">(0.9*BP42+0.1*BP35)+Assumptions!BP29</f>
        <v>169.32672975063278</v>
      </c>
      <c r="BQ40" s="109">
        <f>(0.9*BQ42+0.1*BQ35)+Assumptions!BQ29</f>
        <v>18.264307692307696</v>
      </c>
      <c r="BR40" s="109">
        <f>(0.9*BR42+0.1*BR35)+Assumptions!BR29</f>
        <v>2.7344740346204981</v>
      </c>
      <c r="BS40" s="109">
        <f>(0.9*BS42+0.1*BS35)+Assumptions!BS29</f>
        <v>-4.5918725099601598</v>
      </c>
      <c r="BT40" s="109">
        <f ca="1">(0.9*BT42+0.1*BT35)+Assumptions!BT29</f>
        <v>60.080586825269862</v>
      </c>
      <c r="BU40" s="109">
        <f ca="1">(0.9*BU42+0.1*BU35)+Assumptions!BU29</f>
        <v>61.979110233710429</v>
      </c>
      <c r="BV40" s="109">
        <f ca="1">(0.9*BV42+0.1*BV35)+Assumptions!BV29</f>
        <v>3.4413728147581533</v>
      </c>
      <c r="BW40" s="109">
        <f ca="1">(0.9*BW42+0.1*BW35)+Assumptions!BW29</f>
        <v>2.6655513094008754</v>
      </c>
      <c r="BX40" s="109">
        <f ca="1">(0.9*BX42+0.1*BX35)+Assumptions!BX29</f>
        <v>2.3099808607086882</v>
      </c>
      <c r="BY40" s="109">
        <f ca="1">(0.9*BY42+0.1*BY35)+Assumptions!BY29</f>
        <v>2.4091664992015689</v>
      </c>
      <c r="BZ40" s="109">
        <f ca="1">(0.9*BZ42+0.1*BZ35)+Assumptions!BZ29</f>
        <v>2.4833583832782087</v>
      </c>
      <c r="CA40" s="109">
        <f ca="1">(0.9*CA42+0.1*CA35)+Assumptions!CA29</f>
        <v>2.5577428621708993</v>
      </c>
      <c r="CB40" s="109">
        <f ca="1">(0.9*CB42+0.1*CB35)+Assumptions!CB29</f>
        <v>2.6500178338013316</v>
      </c>
      <c r="CC40" s="109">
        <f ca="1">(0.9*CC42+0.1*CC35)+Assumptions!CC29</f>
        <v>2.7640093570706088</v>
      </c>
      <c r="CD40" s="109">
        <f ca="1">(0.9*CD42+0.1*CD35)+Assumptions!CD29</f>
        <v>2.9072158493452411</v>
      </c>
      <c r="CE40" s="109">
        <f ca="1">(0.9*CE42+0.1*CE35)+Assumptions!CE29</f>
        <v>3.089344142961072</v>
      </c>
      <c r="CF40" s="109">
        <f ca="1">(0.9*CF42+0.1*CF35)+Assumptions!CF29</f>
        <v>3.3232063947577855</v>
      </c>
      <c r="CG40" s="109">
        <f ca="1">(0.9*CG42+0.1*CG35)+Assumptions!CG29</f>
        <v>3.6257179167767273</v>
      </c>
      <c r="CH40" s="141"/>
      <c r="CI40" s="159">
        <f t="shared" si="88"/>
        <v>0</v>
      </c>
      <c r="CJ40" s="159">
        <f t="shared" ref="CJ40:CU41" si="109">BR40-DB40</f>
        <v>0</v>
      </c>
      <c r="CK40" s="159">
        <f t="shared" si="109"/>
        <v>0</v>
      </c>
      <c r="CL40" s="159">
        <f t="shared" ca="1" si="109"/>
        <v>0</v>
      </c>
      <c r="CM40" s="159">
        <f t="shared" ca="1" si="109"/>
        <v>19.570407629790843</v>
      </c>
      <c r="CN40" s="159">
        <f t="shared" ca="1" si="109"/>
        <v>0.41068083139547706</v>
      </c>
      <c r="CO40" s="159">
        <f t="shared" ca="1" si="109"/>
        <v>3.7176370662928893E-2</v>
      </c>
      <c r="CP40" s="159">
        <f t="shared" ca="1" si="109"/>
        <v>-3.800400403978399E-2</v>
      </c>
      <c r="CQ40" s="159">
        <f t="shared" ca="1" si="109"/>
        <v>-6.0419967851833789E-2</v>
      </c>
      <c r="CR40" s="159">
        <f t="shared" ca="1" si="109"/>
        <v>-7.8430917036778958E-2</v>
      </c>
      <c r="CS40" s="159">
        <f t="shared" ca="1" si="109"/>
        <v>-4.8064219168878264E-2</v>
      </c>
      <c r="CT40" s="159">
        <f t="shared" ca="1" si="109"/>
        <v>-2.316517907494875E-2</v>
      </c>
      <c r="CU40" s="159">
        <f t="shared" ca="1" si="109"/>
        <v>-6.4877974496590607E-2</v>
      </c>
      <c r="CV40" s="159">
        <f t="shared" ca="1" si="90"/>
        <v>-9.5894111913520597E-2</v>
      </c>
      <c r="CW40" s="159">
        <f t="shared" ca="1" si="91"/>
        <v>-0.12641858942876194</v>
      </c>
      <c r="CX40" s="159">
        <f t="shared" ca="1" si="92"/>
        <v>-0.16259542356837864</v>
      </c>
      <c r="CY40" s="159">
        <f t="shared" ca="1" si="93"/>
        <v>-0.20763990673995991</v>
      </c>
      <c r="CZ40" s="134"/>
      <c r="DA40" s="135">
        <v>18.264307692307696</v>
      </c>
      <c r="DB40" s="135">
        <v>2.7344740346204981</v>
      </c>
      <c r="DC40" s="135">
        <v>-4.5918725099601598</v>
      </c>
      <c r="DD40" s="135">
        <v>60.080586825269862</v>
      </c>
      <c r="DE40" s="135">
        <v>42.408702603919586</v>
      </c>
      <c r="DF40" s="135">
        <v>3.0306919833626762</v>
      </c>
      <c r="DG40" s="135">
        <v>2.6283749387379465</v>
      </c>
      <c r="DH40" s="135">
        <v>2.3479848647484722</v>
      </c>
      <c r="DI40" s="135">
        <v>2.4695864670534027</v>
      </c>
      <c r="DJ40" s="135">
        <v>2.5617893003149876</v>
      </c>
      <c r="DK40" s="135">
        <v>2.6058070813397776</v>
      </c>
      <c r="DL40" s="135">
        <v>2.6731830128762804</v>
      </c>
      <c r="DM40" s="135">
        <v>2.8288873315671994</v>
      </c>
      <c r="DN40" s="135">
        <v>3.0031099612587617</v>
      </c>
      <c r="DO40" s="135">
        <v>3.2157627323898339</v>
      </c>
      <c r="DP40" s="135">
        <v>3.4858018183261641</v>
      </c>
      <c r="DQ40" s="135">
        <v>3.8333578235166872</v>
      </c>
    </row>
    <row r="41" spans="1:121" s="123" customFormat="1">
      <c r="A41" s="107" t="s">
        <v>2136</v>
      </c>
      <c r="B41" s="107"/>
      <c r="C41" s="136" t="s">
        <v>1349</v>
      </c>
      <c r="D41" s="147" t="s">
        <v>1344</v>
      </c>
      <c r="E41" s="107"/>
      <c r="F41" s="232">
        <f>+mamiabc!F81</f>
        <v>6</v>
      </c>
      <c r="G41" s="232">
        <f>+mamiabc!G81</f>
        <v>-3.1</v>
      </c>
      <c r="H41" s="232">
        <f>+mamiabc!H81</f>
        <v>-0.33315089344978333</v>
      </c>
      <c r="I41" s="232">
        <f>+mamiabc!I81</f>
        <v>15.395469665527344</v>
      </c>
      <c r="J41" s="232">
        <f>+mamiabc!J81</f>
        <v>8.9151115417480469</v>
      </c>
      <c r="K41" s="232">
        <f>+mamiabc!K81</f>
        <v>2.8660340309143066</v>
      </c>
      <c r="L41" s="232">
        <f>+mamiabc!L81</f>
        <v>-2.3736550807952881</v>
      </c>
      <c r="M41" s="232">
        <f>+mamiabc!M81</f>
        <v>0.38395720720291138</v>
      </c>
      <c r="N41" s="232">
        <f>+mamiabc!N81</f>
        <v>2.0476639270782471</v>
      </c>
      <c r="O41" s="232">
        <f>+mamiabc!O81</f>
        <v>-2.0203309059143066</v>
      </c>
      <c r="P41" s="232">
        <f>+mamiabc!P81</f>
        <v>-2.1691229343414307</v>
      </c>
      <c r="Q41" s="232">
        <f>+mamiabc!Q81</f>
        <v>1.4651679992675781</v>
      </c>
      <c r="R41" s="232">
        <f>+mamiabc!R81</f>
        <v>11.19773006439209</v>
      </c>
      <c r="S41" s="232">
        <f>+mamiabc!S81</f>
        <v>3.3849248886108398</v>
      </c>
      <c r="T41" s="232">
        <f>+mamiabc!T81</f>
        <v>2.6411700248718262</v>
      </c>
      <c r="U41" s="232">
        <f>+mamiabc!U81</f>
        <v>4.4026660919189453</v>
      </c>
      <c r="V41" s="232">
        <f>+mamiabc!V81</f>
        <v>6.7484469413757324</v>
      </c>
      <c r="W41" s="232">
        <f>+mamiabc!W81</f>
        <v>2.8925549983978271</v>
      </c>
      <c r="X41" s="232">
        <f>+mamiabc!X81</f>
        <v>0.80675822496414185</v>
      </c>
      <c r="Y41" s="232">
        <f>+mamiabc!Y81</f>
        <v>0.67330348491668701</v>
      </c>
      <c r="Z41" s="232">
        <f>+mamiabc!Z81</f>
        <v>44.09906005859375</v>
      </c>
      <c r="AA41" s="232">
        <f>+mamiabc!AA81</f>
        <v>15.848649978637695</v>
      </c>
      <c r="AB41" s="232">
        <f>+mamiabc!AB81</f>
        <v>10.148870468139648</v>
      </c>
      <c r="AC41" s="232">
        <f>+mamiabc!AC81</f>
        <v>11.784150123596191</v>
      </c>
      <c r="AD41" s="232">
        <f>+mamiabc!AD81</f>
        <v>5.7871599197387695</v>
      </c>
      <c r="AE41" s="232">
        <f>+mamiabc!AE81</f>
        <v>7.347567081451416</v>
      </c>
      <c r="AF41" s="232">
        <f>+mamiabc!AF81</f>
        <v>18.65839958190918</v>
      </c>
      <c r="AG41" s="232">
        <f>+mamiabc!AG81</f>
        <v>8.6790685653686523</v>
      </c>
      <c r="AH41" s="232">
        <f>+mamiabc!AH81</f>
        <v>-10.144929885864258</v>
      </c>
      <c r="AI41" s="232">
        <f>+mamiabc!AI81</f>
        <v>-8.703028678894043</v>
      </c>
      <c r="AJ41" s="232">
        <f>+mamiabc!AJ81</f>
        <v>4.8706731796264648</v>
      </c>
      <c r="AK41" s="232">
        <f>+mamiabc!AK81</f>
        <v>-21.025569915771484</v>
      </c>
      <c r="AL41" s="232">
        <f>+mamiabc!AL81</f>
        <v>2.4661169052124023</v>
      </c>
      <c r="AM41" s="232">
        <f>+mamiabc!AM81</f>
        <v>2.4000000953674316</v>
      </c>
      <c r="AN41" s="232">
        <f>+mamiabc!AN81</f>
        <v>22.799999237060547</v>
      </c>
      <c r="AO41" s="232">
        <f>+mamiabc!AO81</f>
        <v>39.799999237060547</v>
      </c>
      <c r="AP41" s="232">
        <f>+mamiabc!AP81</f>
        <v>-9.4499999999999993</v>
      </c>
      <c r="AQ41" s="232">
        <f>+mamiabc!AQ81</f>
        <v>-19.281134765627648</v>
      </c>
      <c r="AR41" s="232">
        <f>+mamiabc!AR81</f>
        <v>-13.481171844855556</v>
      </c>
      <c r="AS41" s="232">
        <f>+mamiabc!AS81</f>
        <v>2347.7215053474038</v>
      </c>
      <c r="AT41" s="232">
        <f>+mamiabc!AT81</f>
        <v>422.45525759029238</v>
      </c>
      <c r="AU41" s="232">
        <f>+mamiabc!AU81</f>
        <v>170.16081642928847</v>
      </c>
      <c r="AV41" s="108">
        <f>+SOURCE!AV313</f>
        <v>-6.7599244933730489</v>
      </c>
      <c r="AW41" s="108">
        <f>+SOURCE!AW313</f>
        <v>-2.9192909841230796</v>
      </c>
      <c r="AX41" s="108">
        <f>+SOURCE!AX313</f>
        <v>-11.903977550842558</v>
      </c>
      <c r="AY41" s="108">
        <f>+SOURCE!AY313</f>
        <v>108.66930337321551</v>
      </c>
      <c r="AZ41" s="108">
        <f>+SOURCE!AZ313</f>
        <v>66.10221465011243</v>
      </c>
      <c r="BA41" s="108">
        <f>+SOURCE!BA313</f>
        <v>54.894307933115137</v>
      </c>
      <c r="BB41" s="108">
        <f>+SOURCE!BB313</f>
        <v>-1.5969552135791099</v>
      </c>
      <c r="BC41" s="108">
        <f>+SOURCE!BC313</f>
        <v>19.751999647820639</v>
      </c>
      <c r="BD41" s="108">
        <f>+SOURCE!BD313</f>
        <v>23.974977191511606</v>
      </c>
      <c r="BE41" s="108">
        <f>+SOURCE!BE313</f>
        <v>9.0180532268404168</v>
      </c>
      <c r="BF41" s="108">
        <f>+SOURCE!BF313</f>
        <v>26.348055602624278</v>
      </c>
      <c r="BG41" s="108">
        <f>+SOURCE!BG313</f>
        <v>12.618817243014814</v>
      </c>
      <c r="BH41" s="108">
        <f>+SOURCE!BH313</f>
        <v>12.441200911368899</v>
      </c>
      <c r="BI41" s="108">
        <f>+SOURCE!BI313</f>
        <v>-11.619629054743612</v>
      </c>
      <c r="BJ41" s="108">
        <f>+SOURCE!BJ313</f>
        <v>30.485049374054643</v>
      </c>
      <c r="BK41" s="108">
        <f>+SOURCE!BK313</f>
        <v>17.565187500810996</v>
      </c>
      <c r="BL41" s="123">
        <f t="shared" ref="BL41:CC41" si="110">+(BK126*BL39+(BK15-BK126)*BL40)/BK15</f>
        <v>2.0726347955024824</v>
      </c>
      <c r="BM41" s="123">
        <f t="shared" si="110"/>
        <v>-11.199418552275089</v>
      </c>
      <c r="BN41" s="123">
        <f t="shared" si="110"/>
        <v>-6.9656929804787096</v>
      </c>
      <c r="BO41" s="123">
        <f t="shared" si="110"/>
        <v>-9.0934024535763989</v>
      </c>
      <c r="BP41" s="123">
        <f t="shared" ca="1" si="110"/>
        <v>158.89982808761883</v>
      </c>
      <c r="BQ41" s="123">
        <f t="shared" si="110"/>
        <v>16.386642875463771</v>
      </c>
      <c r="BR41" s="123">
        <f t="shared" si="110"/>
        <v>2.0208574094170597</v>
      </c>
      <c r="BS41" s="123">
        <f t="shared" si="110"/>
        <v>14.09536835300438</v>
      </c>
      <c r="BT41" s="123">
        <f t="shared" ca="1" si="110"/>
        <v>72.622606352589486</v>
      </c>
      <c r="BU41" s="123">
        <f t="shared" ca="1" si="110"/>
        <v>62.745827975801291</v>
      </c>
      <c r="BV41" s="123">
        <f t="shared" ca="1" si="110"/>
        <v>1.6947478117540598</v>
      </c>
      <c r="BW41" s="123">
        <f t="shared" ca="1" si="110"/>
        <v>1.4117485996002905</v>
      </c>
      <c r="BX41" s="123">
        <f t="shared" ca="1" si="110"/>
        <v>1.4055157220732055</v>
      </c>
      <c r="BY41" s="123">
        <f t="shared" ca="1" si="110"/>
        <v>2.9121365025528463</v>
      </c>
      <c r="BZ41" s="123">
        <f t="shared" ca="1" si="110"/>
        <v>2.9228613878114102</v>
      </c>
      <c r="CA41" s="123">
        <f t="shared" ca="1" si="110"/>
        <v>2.9336635717144857</v>
      </c>
      <c r="CB41" s="123">
        <f t="shared" ca="1" si="110"/>
        <v>2.9472316190633232</v>
      </c>
      <c r="CC41" s="123">
        <f t="shared" ca="1" si="110"/>
        <v>2.9642073958379993</v>
      </c>
      <c r="CD41" s="123">
        <f ca="1">+(CC126*CD39+(CC15-CC126)*CD40)/CC15</f>
        <v>2.9858309624000516</v>
      </c>
      <c r="CE41" s="123">
        <f ca="1">+(CD126*CE39+(CD15-CD126)*CE40)/CD15</f>
        <v>3.0137531268640929</v>
      </c>
      <c r="CF41" s="123">
        <f ca="1">+(CE126*CF39+(CE15-CE126)*CF40)/CE15</f>
        <v>3.050225186545148</v>
      </c>
      <c r="CG41" s="123">
        <f ca="1">+(CF126*CG39+(CF15-CF126)*CG40)/CF15</f>
        <v>3.0983431031317039</v>
      </c>
      <c r="CH41" s="141"/>
      <c r="CI41" s="159">
        <f t="shared" si="88"/>
        <v>0</v>
      </c>
      <c r="CJ41" s="159">
        <f t="shared" si="109"/>
        <v>0</v>
      </c>
      <c r="CK41" s="159">
        <f t="shared" si="109"/>
        <v>0</v>
      </c>
      <c r="CL41" s="159">
        <f t="shared" ca="1" si="109"/>
        <v>0</v>
      </c>
      <c r="CM41" s="159">
        <f t="shared" ca="1" si="109"/>
        <v>20.28227974308745</v>
      </c>
      <c r="CN41" s="159">
        <f t="shared" ca="1" si="109"/>
        <v>5.6711881541380071E-2</v>
      </c>
      <c r="CO41" s="159">
        <f t="shared" ca="1" si="109"/>
        <v>5.5956121701881134E-3</v>
      </c>
      <c r="CP41" s="159">
        <f t="shared" ca="1" si="109"/>
        <v>-5.2600565044946812E-3</v>
      </c>
      <c r="CQ41" s="159">
        <f t="shared" ca="1" si="109"/>
        <v>-9.1173983003480785E-3</v>
      </c>
      <c r="CR41" s="159">
        <f t="shared" ca="1" si="109"/>
        <v>-1.1800805987160157E-2</v>
      </c>
      <c r="CS41" s="159">
        <f t="shared" ca="1" si="109"/>
        <v>-7.2666672572303526E-3</v>
      </c>
      <c r="CT41" s="159">
        <f t="shared" ca="1" si="109"/>
        <v>-3.5340221542510264E-3</v>
      </c>
      <c r="CU41" s="159">
        <f t="shared" ca="1" si="109"/>
        <v>-9.8644672950047863E-3</v>
      </c>
      <c r="CV41" s="159">
        <f t="shared" ca="1" si="90"/>
        <v>-1.4643615600689941E-2</v>
      </c>
      <c r="CW41" s="159">
        <f t="shared" ca="1" si="91"/>
        <v>-1.9451202420755376E-2</v>
      </c>
      <c r="CX41" s="159">
        <f t="shared" ca="1" si="92"/>
        <v>-2.5297851858101517E-2</v>
      </c>
      <c r="CY41" s="159">
        <f t="shared" ca="1" si="93"/>
        <v>-3.2813203008871916E-2</v>
      </c>
      <c r="CZ41" s="134"/>
      <c r="DA41" s="135">
        <v>16.386642875463771</v>
      </c>
      <c r="DB41" s="135">
        <v>2.0208574094170597</v>
      </c>
      <c r="DC41" s="135">
        <v>14.09536835300438</v>
      </c>
      <c r="DD41" s="135">
        <v>72.622606352589486</v>
      </c>
      <c r="DE41" s="135">
        <v>42.46354823271384</v>
      </c>
      <c r="DF41" s="135">
        <v>1.6380359302126797</v>
      </c>
      <c r="DG41" s="135">
        <v>1.4061529874301024</v>
      </c>
      <c r="DH41" s="135">
        <v>1.4107757785777002</v>
      </c>
      <c r="DI41" s="135">
        <v>2.9212539008531944</v>
      </c>
      <c r="DJ41" s="135">
        <v>2.9346621937985704</v>
      </c>
      <c r="DK41" s="135">
        <v>2.940930238971716</v>
      </c>
      <c r="DL41" s="135">
        <v>2.9507656412175742</v>
      </c>
      <c r="DM41" s="135">
        <v>2.9740718631330041</v>
      </c>
      <c r="DN41" s="135">
        <v>3.0004745780007416</v>
      </c>
      <c r="DO41" s="135">
        <v>3.0332043292848483</v>
      </c>
      <c r="DP41" s="135">
        <v>3.0755230384032495</v>
      </c>
      <c r="DQ41" s="135">
        <v>3.1311563061405758</v>
      </c>
    </row>
    <row r="42" spans="1:121" s="123" customFormat="1">
      <c r="A42" s="107" t="s">
        <v>477</v>
      </c>
      <c r="B42" s="107"/>
      <c r="C42" s="136" t="s">
        <v>1349</v>
      </c>
      <c r="D42" s="147"/>
      <c r="G42" s="106">
        <f t="shared" ref="G42:AL42" si="111">((F8*(1+G36/100)+F9*(1+G37/100)+F12*(1+G38/100)+F15*(1+G41/100)- (1+G45/100)*F17 )/F16-1)*100</f>
        <v>-3.6463769458858541</v>
      </c>
      <c r="H42" s="106">
        <f t="shared" si="111"/>
        <v>-0.64612115579019136</v>
      </c>
      <c r="I42" s="106">
        <f t="shared" si="111"/>
        <v>17.228017073276035</v>
      </c>
      <c r="J42" s="106">
        <f t="shared" si="111"/>
        <v>9.3845233826113095</v>
      </c>
      <c r="K42" s="106">
        <f t="shared" si="111"/>
        <v>2.9864140989518839</v>
      </c>
      <c r="L42" s="106">
        <f t="shared" si="111"/>
        <v>-1.7171568672082249</v>
      </c>
      <c r="M42" s="106">
        <f t="shared" si="111"/>
        <v>5.1638637651551411</v>
      </c>
      <c r="N42" s="106">
        <f t="shared" si="111"/>
        <v>0.13807967637584628</v>
      </c>
      <c r="O42" s="106">
        <f t="shared" si="111"/>
        <v>-2.7520775638607109</v>
      </c>
      <c r="P42" s="106">
        <f t="shared" si="111"/>
        <v>9.4768262032118855E-2</v>
      </c>
      <c r="Q42" s="106">
        <f t="shared" si="111"/>
        <v>1.8342129481029978</v>
      </c>
      <c r="R42" s="106">
        <f t="shared" si="111"/>
        <v>10.248523885489803</v>
      </c>
      <c r="S42" s="106">
        <f t="shared" si="111"/>
        <v>0.67690203873909116</v>
      </c>
      <c r="T42" s="106">
        <f t="shared" si="111"/>
        <v>3.210057938249089</v>
      </c>
      <c r="U42" s="106">
        <f t="shared" si="111"/>
        <v>6.413401043117406</v>
      </c>
      <c r="V42" s="106">
        <f t="shared" si="111"/>
        <v>6.5325600363198122</v>
      </c>
      <c r="W42" s="106">
        <f t="shared" si="111"/>
        <v>3.8466248087451138</v>
      </c>
      <c r="X42" s="106">
        <f t="shared" si="111"/>
        <v>4.1297638656422331</v>
      </c>
      <c r="Y42" s="106">
        <f t="shared" si="111"/>
        <v>-5.4112581562105184</v>
      </c>
      <c r="Z42" s="106">
        <f t="shared" si="111"/>
        <v>41.488554772570339</v>
      </c>
      <c r="AA42" s="106">
        <f t="shared" si="111"/>
        <v>18.438178319229781</v>
      </c>
      <c r="AB42" s="106">
        <f t="shared" si="111"/>
        <v>13.927285690629954</v>
      </c>
      <c r="AC42" s="106">
        <f t="shared" si="111"/>
        <v>-1.5711018656927922</v>
      </c>
      <c r="AD42" s="106">
        <f t="shared" si="111"/>
        <v>10.126664266606578</v>
      </c>
      <c r="AE42" s="106">
        <f t="shared" si="111"/>
        <v>3.1602201348665204</v>
      </c>
      <c r="AF42" s="106">
        <f t="shared" si="111"/>
        <v>25.645585415563986</v>
      </c>
      <c r="AG42" s="106">
        <f t="shared" si="111"/>
        <v>11.078905180629107</v>
      </c>
      <c r="AH42" s="106">
        <f t="shared" si="111"/>
        <v>-6.6544987022552178</v>
      </c>
      <c r="AI42" s="106">
        <f t="shared" si="111"/>
        <v>-0.12832162417475423</v>
      </c>
      <c r="AJ42" s="106">
        <f t="shared" si="111"/>
        <v>10.611731550616721</v>
      </c>
      <c r="AK42" s="106">
        <f t="shared" si="111"/>
        <v>2.247733880410796</v>
      </c>
      <c r="AL42" s="106">
        <f t="shared" si="111"/>
        <v>37.180136792556404</v>
      </c>
      <c r="AM42" s="106">
        <f t="shared" ref="AM42:BO42" si="112">((AL8*(1+AM36/100)+AL9*(1+AM37/100)+AL12*(1+AM38/100)+AL15*(1+AM41/100)- (1+AM45/100)*AL17 )/AL16-1)*100</f>
        <v>78.799938367915374</v>
      </c>
      <c r="AN42" s="106">
        <f t="shared" si="112"/>
        <v>12.022163868722547</v>
      </c>
      <c r="AO42" s="106">
        <f t="shared" si="112"/>
        <v>3.0999618534205187</v>
      </c>
      <c r="AP42" s="106">
        <f t="shared" si="112"/>
        <v>-2.9078965194845097</v>
      </c>
      <c r="AQ42" s="106">
        <f t="shared" si="112"/>
        <v>32.530706896189507</v>
      </c>
      <c r="AR42" s="106">
        <f t="shared" si="112"/>
        <v>41.897131549640385</v>
      </c>
      <c r="AS42" s="106">
        <f t="shared" si="112"/>
        <v>355.75227440978222</v>
      </c>
      <c r="AT42" s="106">
        <f t="shared" si="112"/>
        <v>332.83152472668257</v>
      </c>
      <c r="AU42" s="106">
        <f t="shared" si="112"/>
        <v>173.88847857086586</v>
      </c>
      <c r="AV42" s="106">
        <f t="shared" si="112"/>
        <v>-14.817454267213604</v>
      </c>
      <c r="AW42" s="106">
        <f t="shared" si="112"/>
        <v>-1.6413282749693336</v>
      </c>
      <c r="AX42" s="106">
        <f t="shared" si="112"/>
        <v>22.78337178743719</v>
      </c>
      <c r="AY42" s="106">
        <f t="shared" si="112"/>
        <v>135.93354328479356</v>
      </c>
      <c r="AZ42" s="106">
        <f t="shared" si="112"/>
        <v>60.367220907208832</v>
      </c>
      <c r="BA42" s="106">
        <f t="shared" si="112"/>
        <v>55.13313908114776</v>
      </c>
      <c r="BB42" s="106">
        <f t="shared" si="112"/>
        <v>-27.347387064831363</v>
      </c>
      <c r="BC42" s="106">
        <f t="shared" si="112"/>
        <v>21.727089731262939</v>
      </c>
      <c r="BD42" s="106">
        <f t="shared" si="112"/>
        <v>13.616886253031701</v>
      </c>
      <c r="BE42" s="106">
        <f ca="1">((BD8*(1+BE36/100)+BD9*(1+BE37/100)+BD12*(1+BE38/100)+BD15*(1+BE41/100)- (1+BE45/100)*BD17 )/BD16-1)*100</f>
        <v>8.5919203359158036</v>
      </c>
      <c r="BF42" s="106">
        <f ca="1">((BE8*(1+BF36/100)+BE9*(1+BF37/100)+BE12*(1+BF38/100)+BE15*(1+BF41/100)- (1+BF45/100)*BE17 )/BE16-1)*100</f>
        <v>-10.650847528032493</v>
      </c>
      <c r="BG42" s="106">
        <f t="shared" si="112"/>
        <v>17.688874538194721</v>
      </c>
      <c r="BH42" s="106">
        <f t="shared" si="112"/>
        <v>20.371705095060676</v>
      </c>
      <c r="BI42" s="106">
        <f t="shared" si="112"/>
        <v>-18.267970897333818</v>
      </c>
      <c r="BJ42" s="106">
        <f t="shared" si="112"/>
        <v>35.728903702938332</v>
      </c>
      <c r="BK42" s="106">
        <f t="shared" si="112"/>
        <v>28.464130421480505</v>
      </c>
      <c r="BL42" s="106">
        <f t="shared" si="112"/>
        <v>-7.395354400134579</v>
      </c>
      <c r="BM42" s="106">
        <f t="shared" si="112"/>
        <v>-3.9972314107575735</v>
      </c>
      <c r="BN42" s="106">
        <f t="shared" si="112"/>
        <v>-1.1520755986664799</v>
      </c>
      <c r="BO42" s="106">
        <f t="shared" si="112"/>
        <v>14.591914347491342</v>
      </c>
      <c r="BP42" s="106">
        <f ca="1">((BO8*(1+BP36/100)+BO9*(1+BP37/100)+BO12*(1+BP38/100)+BO15*(1+BP41/100)- (1+BP45/100)*BO17 )/BO16-1)*100</f>
        <v>181.97414416736973</v>
      </c>
      <c r="BQ42" s="109">
        <f t="shared" ref="BQ42:BZ42" si="113">((1+BQ195/100)*(BQ196/BP196)-1)*100</f>
        <v>17.849230769230772</v>
      </c>
      <c r="BR42" s="109">
        <f t="shared" si="113"/>
        <v>2.2716378162449979</v>
      </c>
      <c r="BS42" s="109">
        <f t="shared" si="113"/>
        <v>11.075697211155378</v>
      </c>
      <c r="BT42" s="109">
        <f t="shared" si="113"/>
        <v>62.951219512195131</v>
      </c>
      <c r="BU42" s="109">
        <f t="shared" si="113"/>
        <v>63.20000000000001</v>
      </c>
      <c r="BV42" s="109">
        <f t="shared" si="113"/>
        <v>2.0000000000000018</v>
      </c>
      <c r="BW42" s="109">
        <f t="shared" si="113"/>
        <v>2.0000000000000018</v>
      </c>
      <c r="BX42" s="109">
        <f t="shared" si="113"/>
        <v>2.0000000000000018</v>
      </c>
      <c r="BY42" s="109">
        <f t="shared" si="113"/>
        <v>2.0000000000000018</v>
      </c>
      <c r="BZ42" s="109">
        <f t="shared" si="113"/>
        <v>2.0000000000000018</v>
      </c>
      <c r="CA42" s="109">
        <f t="shared" ref="CA42:CG42" si="114">((1+CA195/100)*(CA196/BZ196)-1)*100</f>
        <v>2.0000000000000018</v>
      </c>
      <c r="CB42" s="109">
        <f t="shared" si="114"/>
        <v>2.0000000000000018</v>
      </c>
      <c r="CC42" s="109">
        <f t="shared" si="114"/>
        <v>2.0000000000000018</v>
      </c>
      <c r="CD42" s="109">
        <f t="shared" si="114"/>
        <v>2.0000000000000018</v>
      </c>
      <c r="CE42" s="109">
        <f t="shared" si="114"/>
        <v>2.0000000000000018</v>
      </c>
      <c r="CF42" s="109">
        <f t="shared" si="114"/>
        <v>2.0000000000000018</v>
      </c>
      <c r="CG42" s="109">
        <f t="shared" si="114"/>
        <v>2.0000000000000018</v>
      </c>
      <c r="CI42" s="159">
        <f t="shared" si="88"/>
        <v>0</v>
      </c>
      <c r="CJ42" s="159">
        <f t="shared" ref="CJ42:CR42" si="115">BR42-DB42</f>
        <v>0</v>
      </c>
      <c r="CK42" s="159">
        <f t="shared" si="115"/>
        <v>0</v>
      </c>
      <c r="CL42" s="159">
        <f t="shared" si="115"/>
        <v>0</v>
      </c>
      <c r="CM42" s="159">
        <f t="shared" si="115"/>
        <v>20.399999999999991</v>
      </c>
      <c r="CN42" s="159">
        <f t="shared" si="115"/>
        <v>0</v>
      </c>
      <c r="CO42" s="159">
        <f t="shared" si="115"/>
        <v>0</v>
      </c>
      <c r="CP42" s="159">
        <f t="shared" si="115"/>
        <v>0</v>
      </c>
      <c r="CQ42" s="159">
        <f t="shared" si="115"/>
        <v>0</v>
      </c>
      <c r="CR42" s="159">
        <f t="shared" si="115"/>
        <v>0</v>
      </c>
      <c r="CS42" s="159">
        <f>CA42-DK42</f>
        <v>0</v>
      </c>
      <c r="CT42" s="159">
        <f>CB42-DL42</f>
        <v>0</v>
      </c>
      <c r="CU42" s="159">
        <f>CC42-DM42</f>
        <v>0</v>
      </c>
      <c r="CV42" s="159">
        <f t="shared" si="90"/>
        <v>0</v>
      </c>
      <c r="CW42" s="159">
        <f t="shared" si="91"/>
        <v>0</v>
      </c>
      <c r="CX42" s="159">
        <f t="shared" si="92"/>
        <v>0</v>
      </c>
      <c r="CY42" s="159">
        <f t="shared" si="93"/>
        <v>0</v>
      </c>
      <c r="CZ42" s="134"/>
      <c r="DA42" s="135">
        <v>17.849230769230772</v>
      </c>
      <c r="DB42" s="135">
        <v>2.2716378162449979</v>
      </c>
      <c r="DC42" s="135">
        <v>11.075697211155378</v>
      </c>
      <c r="DD42" s="135">
        <v>62.951219512195131</v>
      </c>
      <c r="DE42" s="135">
        <v>42.800000000000018</v>
      </c>
      <c r="DF42" s="135">
        <v>2.0000000000000018</v>
      </c>
      <c r="DG42" s="135">
        <v>2.0000000000000018</v>
      </c>
      <c r="DH42" s="135">
        <v>2.0000000000000018</v>
      </c>
      <c r="DI42" s="135">
        <v>2.0000000000000018</v>
      </c>
      <c r="DJ42" s="135">
        <v>2.0000000000000018</v>
      </c>
      <c r="DK42" s="135">
        <v>2.0000000000000018</v>
      </c>
      <c r="DL42" s="135">
        <v>2.0000000000000018</v>
      </c>
      <c r="DM42" s="135">
        <v>2.0000000000000018</v>
      </c>
      <c r="DN42" s="135">
        <v>2.0000000000000018</v>
      </c>
      <c r="DO42" s="135">
        <v>2.0000000000000018</v>
      </c>
      <c r="DP42" s="135">
        <v>2.0000000000000018</v>
      </c>
      <c r="DQ42" s="135">
        <v>2.0000000000000018</v>
      </c>
    </row>
    <row r="43" spans="1:121" s="123" customFormat="1">
      <c r="A43" s="107" t="s">
        <v>478</v>
      </c>
      <c r="B43" s="107"/>
      <c r="C43" s="136"/>
      <c r="D43" s="147"/>
      <c r="F43" s="232">
        <f>+mamiabc!F82</f>
        <v>1.8</v>
      </c>
      <c r="G43" s="232">
        <f>+mamiabc!G82</f>
        <v>0.5</v>
      </c>
      <c r="H43" s="232">
        <f>+mamiabc!H82</f>
        <v>3.0221829414367676</v>
      </c>
      <c r="I43" s="232">
        <f>+mamiabc!I82</f>
        <v>2.2277793884277344</v>
      </c>
      <c r="J43" s="232">
        <f>+mamiabc!J82</f>
        <v>-1.626257061958313</v>
      </c>
      <c r="K43" s="232">
        <f>+mamiabc!K82</f>
        <v>-0.89552080631256104</v>
      </c>
      <c r="L43" s="232">
        <f>+mamiabc!L82</f>
        <v>0.76559323072433472</v>
      </c>
      <c r="M43" s="232">
        <f>+mamiabc!M82</f>
        <v>1.8154700994491577</v>
      </c>
      <c r="N43" s="232">
        <f>+mamiabc!N82</f>
        <v>0.49572989344596863</v>
      </c>
      <c r="O43" s="232">
        <f>+mamiabc!O82</f>
        <v>0.31003996729850769</v>
      </c>
      <c r="P43" s="232">
        <f>+mamiabc!P82</f>
        <v>2.2613492012023926</v>
      </c>
      <c r="Q43" s="232">
        <f>+mamiabc!Q82</f>
        <v>1.6288275718688965</v>
      </c>
      <c r="R43" s="232">
        <f>+mamiabc!R82</f>
        <v>1.1620020866394043</v>
      </c>
      <c r="S43" s="232">
        <f>+mamiabc!S82</f>
        <v>1.3401436805725098</v>
      </c>
      <c r="T43" s="232">
        <f>+mamiabc!T82</f>
        <v>0.38416191935539246</v>
      </c>
      <c r="U43" s="232">
        <f>+mamiabc!U82</f>
        <v>2.3576428890228271</v>
      </c>
      <c r="V43" s="232">
        <f>+mamiabc!V82</f>
        <v>4.3976931571960449</v>
      </c>
      <c r="W43" s="232">
        <f>+mamiabc!W82</f>
        <v>6.8055276870727539</v>
      </c>
      <c r="X43" s="232">
        <f>+mamiabc!X82</f>
        <v>1.0620815753936768</v>
      </c>
      <c r="Y43" s="232">
        <f>+mamiabc!Y82</f>
        <v>23.262006759643555</v>
      </c>
      <c r="Z43" s="232">
        <f>+mamiabc!Z82</f>
        <v>51.418785095214844</v>
      </c>
      <c r="AA43" s="232">
        <f>+mamiabc!AA82</f>
        <v>9.6750164031982422</v>
      </c>
      <c r="AB43" s="232">
        <f>+mamiabc!AB82</f>
        <v>2.2336657047271729</v>
      </c>
      <c r="AC43" s="232">
        <f>+mamiabc!AC82</f>
        <v>8.1954889297485352</v>
      </c>
      <c r="AD43" s="232">
        <f>+mamiabc!AD82</f>
        <v>8.4418277740478516</v>
      </c>
      <c r="AE43" s="232">
        <f>+mamiabc!AE82</f>
        <v>21.756065368652344</v>
      </c>
      <c r="AF43" s="232">
        <f>+mamiabc!AF82</f>
        <v>29.74290657043457</v>
      </c>
      <c r="AG43" s="232">
        <f>+mamiabc!AG82</f>
        <v>5.1207904815673828</v>
      </c>
      <c r="AH43" s="232">
        <f>+mamiabc!AH82</f>
        <v>-1.4226530790328979</v>
      </c>
      <c r="AI43" s="232">
        <f>+mamiabc!AI82</f>
        <v>-5.799159049987793</v>
      </c>
      <c r="AJ43" s="232">
        <f>+mamiabc!AJ82</f>
        <v>-1.4299999475479126</v>
      </c>
      <c r="AK43" s="232">
        <f>+mamiabc!AK82</f>
        <v>4.3000001907348633</v>
      </c>
      <c r="AL43" s="232">
        <f>+mamiabc!AL82</f>
        <v>2.3299999237060547</v>
      </c>
      <c r="AM43" s="232">
        <f>+mamiabc!AM82</f>
        <v>66.589996337890625</v>
      </c>
      <c r="AN43" s="232">
        <f>+mamiabc!AN82</f>
        <v>12.100000381469727</v>
      </c>
      <c r="AO43" s="232">
        <f>+mamiabc!AO82</f>
        <v>21</v>
      </c>
      <c r="AP43" s="232">
        <f>+mamiabc!AP82</f>
        <v>47</v>
      </c>
      <c r="AQ43" s="232">
        <f>+mamiabc!AQ82</f>
        <v>38.306300283925985</v>
      </c>
      <c r="AR43" s="232">
        <f>+mamiabc!AR82</f>
        <v>30.387615455445705</v>
      </c>
      <c r="AS43" s="232">
        <f>+mamiabc!AS82</f>
        <v>449.54631502796258</v>
      </c>
      <c r="AT43" s="232">
        <f>+mamiabc!AT82</f>
        <v>426.50594858796609</v>
      </c>
      <c r="AU43" s="232">
        <f>+mamiabc!AU82</f>
        <v>113.05936131309264</v>
      </c>
      <c r="AV43" s="232">
        <f>+mamiabc!AV82</f>
        <v>-6.4529559691432929</v>
      </c>
      <c r="AW43" s="232">
        <f>+mamiabc!AW82</f>
        <v>2.2298922185533643</v>
      </c>
      <c r="AX43" s="232">
        <f>+mamiabc!AX82</f>
        <v>1.4999999999999902</v>
      </c>
      <c r="AY43" s="232">
        <f>+mamiabc!AY82</f>
        <v>119.15655860349128</v>
      </c>
      <c r="AZ43" s="232">
        <f>+mamiabc!AZ82</f>
        <v>59.482986393766701</v>
      </c>
      <c r="BA43" s="232">
        <f>+mamiabc!BA82</f>
        <v>68.853049837894886</v>
      </c>
      <c r="BB43" s="232">
        <f>+mamiabc!BB82</f>
        <v>9.4467753041083355</v>
      </c>
      <c r="BC43" s="232">
        <f>+mamiabc!BC82</f>
        <v>13.699360818152728</v>
      </c>
      <c r="BD43" s="232">
        <f>+mamiabc!BD82</f>
        <v>8.970478290041207</v>
      </c>
      <c r="BE43" s="232">
        <f>+mamiabc!BE82</f>
        <v>3.0000000000000027</v>
      </c>
      <c r="BF43" s="232">
        <f>+mamiabc!BF82</f>
        <v>2.4999999999999911</v>
      </c>
      <c r="BG43" s="109">
        <f t="shared" ref="BG43:BP43" si="116">((1+BG195/100)*(BG196/BF196)-1)*100</f>
        <v>5.9940000000000104</v>
      </c>
      <c r="BH43" s="109">
        <f t="shared" si="116"/>
        <v>2.4839999999999973</v>
      </c>
      <c r="BI43" s="109">
        <f t="shared" si="116"/>
        <v>3.5870000000000068</v>
      </c>
      <c r="BJ43" s="109">
        <f t="shared" si="116"/>
        <v>4.8459999999999948</v>
      </c>
      <c r="BK43" s="109">
        <f t="shared" si="116"/>
        <v>3.9770000000000083</v>
      </c>
      <c r="BL43" s="109">
        <f t="shared" si="116"/>
        <v>3.7619999999999987</v>
      </c>
      <c r="BM43" s="109">
        <f t="shared" si="116"/>
        <v>3.7570000000000103</v>
      </c>
      <c r="BN43" s="109">
        <f t="shared" si="116"/>
        <v>3.7570000000000103</v>
      </c>
      <c r="BO43" s="109">
        <f t="shared" si="116"/>
        <v>3.7570000000000103</v>
      </c>
      <c r="BP43" s="109">
        <f t="shared" si="116"/>
        <v>144.01707778169745</v>
      </c>
      <c r="BQ43" s="109">
        <f t="shared" ref="BQ43:BZ43" si="117">((1+BQ195/100)*(BQ196/BP196)-1)*100</f>
        <v>17.849230769230772</v>
      </c>
      <c r="BR43" s="109">
        <f t="shared" si="117"/>
        <v>2.2716378162449979</v>
      </c>
      <c r="BS43" s="109">
        <f t="shared" si="117"/>
        <v>11.075697211155378</v>
      </c>
      <c r="BT43" s="109">
        <f t="shared" si="117"/>
        <v>62.951219512195131</v>
      </c>
      <c r="BU43" s="109">
        <f t="shared" si="117"/>
        <v>63.20000000000001</v>
      </c>
      <c r="BV43" s="109">
        <f t="shared" si="117"/>
        <v>2.0000000000000018</v>
      </c>
      <c r="BW43" s="109">
        <f t="shared" si="117"/>
        <v>2.0000000000000018</v>
      </c>
      <c r="BX43" s="109">
        <f t="shared" si="117"/>
        <v>2.0000000000000018</v>
      </c>
      <c r="BY43" s="109">
        <f t="shared" si="117"/>
        <v>2.0000000000000018</v>
      </c>
      <c r="BZ43" s="109">
        <f t="shared" si="117"/>
        <v>2.0000000000000018</v>
      </c>
      <c r="CA43" s="109">
        <f t="shared" ref="CA43:CG43" si="118">((1+CA195/100)*(CA196/BZ196)-1)*100</f>
        <v>2.0000000000000018</v>
      </c>
      <c r="CB43" s="109">
        <f t="shared" si="118"/>
        <v>2.0000000000000018</v>
      </c>
      <c r="CC43" s="109">
        <f t="shared" si="118"/>
        <v>2.0000000000000018</v>
      </c>
      <c r="CD43" s="109">
        <f t="shared" si="118"/>
        <v>2.0000000000000018</v>
      </c>
      <c r="CE43" s="109">
        <f t="shared" si="118"/>
        <v>2.0000000000000018</v>
      </c>
      <c r="CF43" s="109">
        <f t="shared" si="118"/>
        <v>2.0000000000000018</v>
      </c>
      <c r="CG43" s="109">
        <f t="shared" si="118"/>
        <v>2.0000000000000018</v>
      </c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34"/>
      <c r="DA43" s="135">
        <v>17.849230769230772</v>
      </c>
      <c r="DB43" s="135">
        <v>2.2716378162449979</v>
      </c>
      <c r="DC43" s="135">
        <v>11.075697211155378</v>
      </c>
      <c r="DD43" s="135">
        <v>62.951219512195131</v>
      </c>
      <c r="DE43" s="135">
        <v>42.800000000000018</v>
      </c>
      <c r="DF43" s="135">
        <v>2.0000000000000018</v>
      </c>
      <c r="DG43" s="135">
        <v>2.0000000000000018</v>
      </c>
      <c r="DH43" s="135">
        <v>2.0000000000000018</v>
      </c>
      <c r="DI43" s="135">
        <v>2.0000000000000018</v>
      </c>
      <c r="DJ43" s="135">
        <v>2.0000000000000018</v>
      </c>
      <c r="DK43" s="135">
        <v>2.0000000000000018</v>
      </c>
      <c r="DL43" s="135">
        <v>2.0000000000000018</v>
      </c>
      <c r="DM43" s="135">
        <v>2.0000000000000018</v>
      </c>
      <c r="DN43" s="135">
        <v>2.0000000000000018</v>
      </c>
      <c r="DO43" s="135">
        <v>2.0000000000000018</v>
      </c>
      <c r="DP43" s="135">
        <v>2.0000000000000018</v>
      </c>
      <c r="DQ43" s="135">
        <v>2.0000000000000018</v>
      </c>
    </row>
    <row r="44" spans="1:121" s="123" customFormat="1" ht="14.25" customHeight="1">
      <c r="A44" s="528" t="s">
        <v>1686</v>
      </c>
      <c r="B44" s="107"/>
      <c r="C44" s="136"/>
      <c r="D44" s="147"/>
      <c r="E44" s="107"/>
      <c r="F44" s="107"/>
      <c r="G44" s="106">
        <f>+G42-G43</f>
        <v>-4.1463769458858541</v>
      </c>
      <c r="H44" s="106">
        <f>+H42-H43</f>
        <v>-3.6683040972269589</v>
      </c>
      <c r="I44" s="106">
        <f>+I42-I43</f>
        <v>15.000237684848301</v>
      </c>
      <c r="J44" s="106">
        <f t="shared" ref="J44:BO44" si="119">+J42-J43</f>
        <v>11.010780444569622</v>
      </c>
      <c r="K44" s="106">
        <f t="shared" si="119"/>
        <v>3.881934905264445</v>
      </c>
      <c r="L44" s="106">
        <f t="shared" si="119"/>
        <v>-2.4827500979325596</v>
      </c>
      <c r="M44" s="106">
        <f t="shared" si="119"/>
        <v>3.3483936657059834</v>
      </c>
      <c r="N44" s="106">
        <f t="shared" si="119"/>
        <v>-0.35765021707012234</v>
      </c>
      <c r="O44" s="106">
        <f t="shared" si="119"/>
        <v>-3.0621175311592186</v>
      </c>
      <c r="P44" s="106">
        <f t="shared" si="119"/>
        <v>-2.1665809391702737</v>
      </c>
      <c r="Q44" s="106">
        <f t="shared" si="119"/>
        <v>0.20538537623410136</v>
      </c>
      <c r="R44" s="106">
        <f t="shared" si="119"/>
        <v>9.0865217988503986</v>
      </c>
      <c r="S44" s="106">
        <f t="shared" si="119"/>
        <v>-0.6632416418334186</v>
      </c>
      <c r="T44" s="106">
        <f t="shared" si="119"/>
        <v>2.8258960188936966</v>
      </c>
      <c r="U44" s="106">
        <f t="shared" si="119"/>
        <v>4.0557581540945788</v>
      </c>
      <c r="V44" s="106">
        <f t="shared" si="119"/>
        <v>2.1348668791237673</v>
      </c>
      <c r="W44" s="106">
        <f t="shared" si="119"/>
        <v>-2.9589028783276401</v>
      </c>
      <c r="X44" s="106">
        <f t="shared" si="119"/>
        <v>3.0676822902485563</v>
      </c>
      <c r="Y44" s="106">
        <f t="shared" si="119"/>
        <v>-28.673264915854073</v>
      </c>
      <c r="Z44" s="106">
        <f t="shared" si="119"/>
        <v>-9.9302303226445048</v>
      </c>
      <c r="AA44" s="106">
        <f t="shared" si="119"/>
        <v>8.7631619160315388</v>
      </c>
      <c r="AB44" s="106">
        <f t="shared" si="119"/>
        <v>11.693619985902782</v>
      </c>
      <c r="AC44" s="106">
        <f t="shared" si="119"/>
        <v>-9.7665907954413278</v>
      </c>
      <c r="AD44" s="106">
        <f t="shared" si="119"/>
        <v>1.6848364925587269</v>
      </c>
      <c r="AE44" s="106">
        <f t="shared" si="119"/>
        <v>-18.595845233785823</v>
      </c>
      <c r="AF44" s="106">
        <f t="shared" si="119"/>
        <v>-4.0973211548705848</v>
      </c>
      <c r="AG44" s="106">
        <f t="shared" si="119"/>
        <v>5.9581146990617242</v>
      </c>
      <c r="AH44" s="106">
        <f t="shared" si="119"/>
        <v>-5.2318456232223198</v>
      </c>
      <c r="AI44" s="106">
        <f t="shared" si="119"/>
        <v>5.6708374258130387</v>
      </c>
      <c r="AJ44" s="106">
        <f t="shared" si="119"/>
        <v>12.041731498164634</v>
      </c>
      <c r="AK44" s="106">
        <f t="shared" si="119"/>
        <v>-2.0522663103240673</v>
      </c>
      <c r="AL44" s="106">
        <f t="shared" si="119"/>
        <v>34.850136868850349</v>
      </c>
      <c r="AM44" s="106">
        <f t="shared" si="119"/>
        <v>12.209942030024749</v>
      </c>
      <c r="AN44" s="106">
        <f t="shared" si="119"/>
        <v>-7.7836512747179398E-2</v>
      </c>
      <c r="AO44" s="106">
        <f t="shared" si="119"/>
        <v>-17.900038146579483</v>
      </c>
      <c r="AP44" s="106">
        <f t="shared" si="119"/>
        <v>-49.90789651948451</v>
      </c>
      <c r="AQ44" s="106">
        <f t="shared" si="119"/>
        <v>-5.7755933877364782</v>
      </c>
      <c r="AR44" s="106">
        <f t="shared" si="119"/>
        <v>11.50951609419468</v>
      </c>
      <c r="AS44" s="106">
        <f t="shared" si="119"/>
        <v>-93.794040618180361</v>
      </c>
      <c r="AT44" s="106">
        <f t="shared" si="119"/>
        <v>-93.674423861283515</v>
      </c>
      <c r="AU44" s="106">
        <f t="shared" si="119"/>
        <v>60.82911725777322</v>
      </c>
      <c r="AV44" s="106">
        <f t="shared" si="119"/>
        <v>-8.3644982980703109</v>
      </c>
      <c r="AW44" s="106">
        <f t="shared" si="119"/>
        <v>-3.8712204935226979</v>
      </c>
      <c r="AX44" s="106">
        <f t="shared" si="119"/>
        <v>21.283371787437201</v>
      </c>
      <c r="AY44" s="106">
        <f t="shared" si="119"/>
        <v>16.776984681302281</v>
      </c>
      <c r="AZ44" s="106">
        <f t="shared" si="119"/>
        <v>0.88423451344213078</v>
      </c>
      <c r="BA44" s="106">
        <f t="shared" si="119"/>
        <v>-13.719910756747126</v>
      </c>
      <c r="BB44" s="106">
        <f t="shared" si="119"/>
        <v>-36.794162368939695</v>
      </c>
      <c r="BC44" s="106">
        <f t="shared" si="119"/>
        <v>8.0277289131102112</v>
      </c>
      <c r="BD44" s="106">
        <f t="shared" si="119"/>
        <v>4.6464079629904944</v>
      </c>
      <c r="BE44" s="106">
        <f ca="1">+BE42-BE43</f>
        <v>5.591920335915801</v>
      </c>
      <c r="BF44" s="106">
        <f ca="1">+BF42-BF43</f>
        <v>-13.150847528032484</v>
      </c>
      <c r="BG44" s="106">
        <f t="shared" si="119"/>
        <v>11.694874538194711</v>
      </c>
      <c r="BH44" s="106">
        <f t="shared" si="119"/>
        <v>17.887705095060678</v>
      </c>
      <c r="BI44" s="106">
        <f t="shared" si="119"/>
        <v>-21.854970897333825</v>
      </c>
      <c r="BJ44" s="106">
        <f t="shared" si="119"/>
        <v>30.882903702938336</v>
      </c>
      <c r="BK44" s="106">
        <f t="shared" si="119"/>
        <v>24.487130421480497</v>
      </c>
      <c r="BL44" s="106">
        <f t="shared" si="119"/>
        <v>-11.157354400134578</v>
      </c>
      <c r="BM44" s="106">
        <f t="shared" si="119"/>
        <v>-7.7542314107575834</v>
      </c>
      <c r="BN44" s="106">
        <f t="shared" si="119"/>
        <v>-4.9090755986664902</v>
      </c>
      <c r="BO44" s="106">
        <f t="shared" si="119"/>
        <v>10.834914347491331</v>
      </c>
      <c r="BP44" s="106">
        <f ca="1">+BP42-BP43</f>
        <v>37.957066385672277</v>
      </c>
      <c r="BQ44" s="106">
        <f>+BQ42-BQ43</f>
        <v>0</v>
      </c>
      <c r="BR44" s="106">
        <f>+BR42-BR43</f>
        <v>0</v>
      </c>
      <c r="BS44" s="106">
        <f>+BS42-BS43</f>
        <v>0</v>
      </c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41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34"/>
      <c r="DA44" s="135">
        <v>0</v>
      </c>
      <c r="DB44" s="135">
        <v>0</v>
      </c>
      <c r="DC44" s="135">
        <v>0</v>
      </c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</row>
    <row r="45" spans="1:121" s="123" customFormat="1">
      <c r="A45" s="107" t="s">
        <v>1959</v>
      </c>
      <c r="B45" s="107"/>
      <c r="C45" s="136" t="s">
        <v>1349</v>
      </c>
      <c r="D45" s="147"/>
      <c r="E45" s="107"/>
      <c r="F45" s="107"/>
      <c r="G45" s="514">
        <f>+((SOURCE!G45/SOURCE!F45-1)*100)</f>
        <v>1.0000000000000009</v>
      </c>
      <c r="H45" s="514">
        <f>+((SOURCE!H45/SOURCE!G45-1)*100)</f>
        <v>1.9801980257034391</v>
      </c>
      <c r="I45" s="514">
        <f>+((SOURCE!I45/SOURCE!H45-1)*100)</f>
        <v>8.5714285714285623</v>
      </c>
      <c r="J45" s="514">
        <f>+((SOURCE!J45/SOURCE!I45-1)*100)</f>
        <v>0</v>
      </c>
      <c r="K45" s="514">
        <f>+((SOURCE!K45/SOURCE!J45-1)*100)</f>
        <v>0</v>
      </c>
      <c r="L45" s="514">
        <f>+((SOURCE!L45/SOURCE!K45-1)*100)</f>
        <v>2.6315789473684292</v>
      </c>
      <c r="M45" s="514">
        <f>+((SOURCE!M45/SOURCE!L45-1)*100)</f>
        <v>1.7094017094017033</v>
      </c>
      <c r="N45" s="514">
        <f>+((SOURCE!N45/SOURCE!M45-1)*100)</f>
        <v>2.5210084033613578</v>
      </c>
      <c r="O45" s="514">
        <f>+((SOURCE!O45/SOURCE!N45-1)*100)</f>
        <v>1.6393442622950838</v>
      </c>
      <c r="P45" s="514">
        <f>+((SOURCE!P45/SOURCE!O45-1)*100)</f>
        <v>4.0322580645161255</v>
      </c>
      <c r="Q45" s="514">
        <f>+((SOURCE!Q45/SOURCE!P45-1)*100)</f>
        <v>2.3255813953488191</v>
      </c>
      <c r="R45" s="514">
        <f>+((SOURCE!R45/SOURCE!Q45-1)*100)</f>
        <v>1.5151515151515138</v>
      </c>
      <c r="S45" s="514">
        <f>+((SOURCE!S45/SOURCE!R45-1)*100)</f>
        <v>7.4626865671642006</v>
      </c>
      <c r="T45" s="514">
        <f>+((SOURCE!T45/SOURCE!S45-1)*100)</f>
        <v>0</v>
      </c>
      <c r="U45" s="514">
        <f>+((SOURCE!U45/SOURCE!T45-1)*100)</f>
        <v>0.69444444444444198</v>
      </c>
      <c r="V45" s="514">
        <f>+((SOURCE!V45/SOURCE!U45-1)*100)</f>
        <v>2.0689655172413834</v>
      </c>
      <c r="W45" s="514">
        <f>+((SOURCE!W45/SOURCE!V45-1)*100)</f>
        <v>-0.59355843067169234</v>
      </c>
      <c r="X45" s="514">
        <f>+((SOURCE!X45/SOURCE!W45-1)*100)</f>
        <v>2.4373531341552734</v>
      </c>
      <c r="Y45" s="514">
        <f>+((SOURCE!Y45/SOURCE!X45-1)*100)</f>
        <v>12.087912559509274</v>
      </c>
      <c r="Z45" s="514">
        <f>+((SOURCE!Z45/SOURCE!Y45-1)*100)</f>
        <v>15.959079742431648</v>
      </c>
      <c r="AA45" s="514">
        <f>+((SOURCE!AA45/SOURCE!Z45-1)*100)</f>
        <v>7.4915452003478933</v>
      </c>
      <c r="AB45" s="514">
        <f>+((SOURCE!AB45/SOURCE!AA45-1)*100)</f>
        <v>6.999999999999984</v>
      </c>
      <c r="AC45" s="514">
        <f>+((SOURCE!AC45/SOURCE!AB45-1)*100)</f>
        <v>16.822429906542059</v>
      </c>
      <c r="AD45" s="514">
        <f>+((SOURCE!AD45/SOURCE!AC45-1)*100)</f>
        <v>5.600000000000005</v>
      </c>
      <c r="AE45" s="514">
        <f>+((SOURCE!AE45/SOURCE!AD45-1)*100)</f>
        <v>15.151515151515159</v>
      </c>
      <c r="AF45" s="514">
        <f>+((SOURCE!AF45/SOURCE!AE45-1)*100)</f>
        <v>9.8684210526315717</v>
      </c>
      <c r="AG45" s="514">
        <f>+((SOURCE!AG45/SOURCE!AF45-1)*100)</f>
        <v>8.7082128524780256</v>
      </c>
      <c r="AH45" s="514">
        <f>+((SOURCE!AH45/SOURCE!AG45-1)*100)</f>
        <v>9.6638297610800663</v>
      </c>
      <c r="AI45" s="514">
        <f>+((SOURCE!AI45/SOURCE!AH45-1)*100)</f>
        <v>1.2107607719684221</v>
      </c>
      <c r="AJ45" s="514">
        <f>+((SOURCE!AJ45/SOURCE!AI45-1)*100)</f>
        <v>0.14590081616474571</v>
      </c>
      <c r="AK45" s="514">
        <f>+((SOURCE!AK45/SOURCE!AJ45-1)*100)</f>
        <v>1.2101242398768308</v>
      </c>
      <c r="AL45" s="514">
        <f>+((SOURCE!AL45/SOURCE!AK45-1)*100)</f>
        <v>3.8835091567690716</v>
      </c>
      <c r="AM45" s="514">
        <f>+((SOURCE!AM45/SOURCE!AL45-1)*100)</f>
        <v>18.625567586447801</v>
      </c>
      <c r="AN45" s="514">
        <f>+((SOURCE!AN45/SOURCE!AM45-1)*100)</f>
        <v>9.0389164738607253</v>
      </c>
      <c r="AO45" s="514">
        <f>+((SOURCE!AO45/SOURCE!AN45-1)*100)</f>
        <v>11.549389674776078</v>
      </c>
      <c r="AP45" s="514">
        <f>+((SOURCE!AP45/SOURCE!AO45-1)*100)</f>
        <v>23.954983922829577</v>
      </c>
      <c r="AQ45" s="514">
        <f>+((SOURCE!AQ45/SOURCE!AP45-1)*100)</f>
        <v>11.766655618163746</v>
      </c>
      <c r="AR45" s="514">
        <f>+((SOURCE!AR45/SOURCE!AQ45-1)*100)</f>
        <v>34.075873336272601</v>
      </c>
      <c r="AS45" s="514">
        <f>+((SOURCE!AS45/SOURCE!AR45-1)*100)</f>
        <v>172.73365217444169</v>
      </c>
      <c r="AT45" s="514">
        <f>+((SOURCE!AT45/SOURCE!AS45-1)*100)</f>
        <v>464.71531817839013</v>
      </c>
      <c r="AU45" s="514">
        <f>+((SOURCE!AU45/SOURCE!AT45-1)*100)</f>
        <v>246.75460561683474</v>
      </c>
      <c r="AV45" s="514">
        <f>+((SOURCE!AV45/SOURCE!AU45-1)*100)</f>
        <v>11.002122445195051</v>
      </c>
      <c r="AW45" s="514">
        <f>+((SOURCE!AW45/SOURCE!AV45-1)*100)</f>
        <v>9.6739179722858726</v>
      </c>
      <c r="AX45" s="514">
        <f>+((SOURCE!AX45/SOURCE!AW45-1)*100)</f>
        <v>9.0850148721706159</v>
      </c>
      <c r="AY45" s="514">
        <f>+((SOURCE!AY45/SOURCE!AX45-1)*100)</f>
        <v>73.436657425928303</v>
      </c>
      <c r="AZ45" s="514">
        <f>+((SOURCE!AZ45/SOURCE!AY45-1)*100)</f>
        <v>61.717475366642446</v>
      </c>
      <c r="BA45" s="514">
        <f>+((SOURCE!BA45/SOURCE!AZ45-1)*100)</f>
        <v>37.073574820577825</v>
      </c>
      <c r="BB45" s="514">
        <f>+((SOURCE!BB45/SOURCE!BA45-1)*100)</f>
        <v>38.25685628033564</v>
      </c>
      <c r="BC45" s="514">
        <f>+((SOURCE!BC45/SOURCE!BB45-1)*100)</f>
        <v>21.574135138634375</v>
      </c>
      <c r="BD45" s="514">
        <f>+((SOURCE!BD45/SOURCE!BC45-1)*100)</f>
        <v>13.702293501689656</v>
      </c>
      <c r="BE45" s="514">
        <f>+((SOURCE!BE45/SOURCE!BD45-1)*100)</f>
        <v>9.7630650310872156</v>
      </c>
      <c r="BF45" s="514">
        <f>+((SOURCE!BF45/SOURCE!BE45-1)*100)</f>
        <v>39.033427986344947</v>
      </c>
      <c r="BG45" s="514">
        <f>+((SOURCE!BG45/SOURCE!BF45-1)*100)</f>
        <v>6.425801200247494</v>
      </c>
      <c r="BH45" s="514">
        <f>+((SOURCE!BH45/SOURCE!BG45-1)*100)</f>
        <v>15.577672954906774</v>
      </c>
      <c r="BI45" s="514">
        <f>+((SOURCE!BI45/SOURCE!BH45-1)*100)</f>
        <v>6.5006928091109417</v>
      </c>
      <c r="BJ45" s="514">
        <f>+((SOURCE!BJ45/SOURCE!BI45-1)*100)</f>
        <v>7.2242608469055725</v>
      </c>
      <c r="BK45" s="514">
        <f>+((SOURCE!BK45/SOURCE!BJ45-1)*100)</f>
        <v>14.515098535225256</v>
      </c>
      <c r="BL45" s="514">
        <f>+((SOURCE!BL45/SOURCE!BK45-1)*100)</f>
        <v>10.114061720721136</v>
      </c>
      <c r="BM45" s="514">
        <f>+((SOURCE!BM45/SOURCE!BL45-1)*100)</f>
        <v>0.38376657956391558</v>
      </c>
      <c r="BN45" s="514">
        <f>+((SOURCE!BN45/SOURCE!BM45-1)*100)</f>
        <v>1.4742754547500958</v>
      </c>
      <c r="BO45" s="514">
        <f>+((SOURCE!BO45/SOURCE!BN45-1)*100)</f>
        <v>-1.9722638858547858</v>
      </c>
      <c r="BP45" s="514">
        <f>+((SOURCE!BP45/SOURCE!BO45-1)*100)</f>
        <v>26.163988938986705</v>
      </c>
      <c r="BQ45" s="514">
        <f>+((SOURCE!BQ45/SOURCE!BP45-1)*100)</f>
        <v>21.195280710430264</v>
      </c>
      <c r="BR45" s="514">
        <f>+((SOURCE!BR45/SOURCE!BQ45-1)*100)</f>
        <v>4.6240630821620998</v>
      </c>
      <c r="BS45" s="514">
        <f>+((SOURCE!BS45/SOURCE!BR45-1)*100)</f>
        <v>6.5237983638791297</v>
      </c>
      <c r="BT45" s="106">
        <f t="shared" ref="BT45:CB45" ca="1" si="120">((BS8*(1+BT36/100)+BS9*(1+BT37/100)+BS12*(1+BT38/100)+BS15*(1+BT41/100)-BS16*(1+BT42/100))/BS17-1)*100</f>
        <v>38.683684054992121</v>
      </c>
      <c r="BU45" s="106">
        <f t="shared" ca="1" si="120"/>
        <v>77.033090803103249</v>
      </c>
      <c r="BV45" s="106">
        <f t="shared" ca="1" si="120"/>
        <v>13.339563695377276</v>
      </c>
      <c r="BW45" s="106">
        <f t="shared" ca="1" si="120"/>
        <v>7.6767788399378922</v>
      </c>
      <c r="BX45" s="106">
        <f t="shared" ca="1" si="120"/>
        <v>4.478268618257264</v>
      </c>
      <c r="BY45" s="106">
        <f t="shared" ca="1" si="120"/>
        <v>6.7156042492140244</v>
      </c>
      <c r="BZ45" s="106">
        <f t="shared" ca="1" si="120"/>
        <v>7.4565367282008577</v>
      </c>
      <c r="CA45" s="106">
        <f t="shared" ca="1" si="120"/>
        <v>8.2228753964128884</v>
      </c>
      <c r="CB45" s="106">
        <f t="shared" ca="1" si="120"/>
        <v>9.1925116193251952</v>
      </c>
      <c r="CC45" s="106">
        <f ca="1">((CB8*(1+CC36/100)+CB9*(1+CC37/100)+CB12*(1+CC38/100)+CB15*(1+CC41/100)-CB16*(1+CC42/100))/CB17-1)*100</f>
        <v>10.407873821712865</v>
      </c>
      <c r="CD45" s="106">
        <f ca="1">((CC8*(1+CD36/100)+CC9*(1+CD37/100)+CC12*(1+CD38/100)+CC15*(1+CD41/100)-CC16*(1+CD42/100))/CC17-1)*100</f>
        <v>11.953409578124408</v>
      </c>
      <c r="CE45" s="106">
        <f ca="1">((CD8*(1+CE36/100)+CD9*(1+CE37/100)+CD12*(1+CE38/100)+CD15*(1+CE41/100)-CD16*(1+CE42/100))/CD17-1)*100</f>
        <v>13.936694693872198</v>
      </c>
      <c r="CF45" s="106">
        <f ca="1">((CE8*(1+CF36/100)+CE9*(1+CF37/100)+CE12*(1+CF38/100)+CE15*(1+CF41/100)-CE16*(1+CF42/100))/CE17-1)*100</f>
        <v>16.496260829977039</v>
      </c>
      <c r="CG45" s="106">
        <f ca="1">((CF8*(1+CG36/100)+CF9*(1+CG37/100)+CF12*(1+CG38/100)+CF15*(1+CG41/100)-CF16*(1+CG42/100))/CF17-1)*100</f>
        <v>19.808174947775893</v>
      </c>
      <c r="CI45" s="159">
        <f t="shared" ref="CI45:CU45" si="121">BQ45-DA45</f>
        <v>0</v>
      </c>
      <c r="CJ45" s="159">
        <f t="shared" si="121"/>
        <v>0</v>
      </c>
      <c r="CK45" s="159">
        <f t="shared" si="121"/>
        <v>0</v>
      </c>
      <c r="CL45" s="159">
        <f t="shared" ca="1" si="121"/>
        <v>0</v>
      </c>
      <c r="CM45" s="159">
        <f t="shared" ca="1" si="121"/>
        <v>14.970108098067776</v>
      </c>
      <c r="CN45" s="159">
        <f t="shared" ca="1" si="121"/>
        <v>2.7056447445535472</v>
      </c>
      <c r="CO45" s="159">
        <f t="shared" ca="1" si="121"/>
        <v>-5.5031085861068085E-2</v>
      </c>
      <c r="CP45" s="159">
        <f t="shared" ca="1" si="121"/>
        <v>-0.55009456199575091</v>
      </c>
      <c r="CQ45" s="159">
        <f t="shared" ca="1" si="121"/>
        <v>-0.71824498021133554</v>
      </c>
      <c r="CR45" s="159">
        <f t="shared" ca="1" si="121"/>
        <v>-0.88552829239398889</v>
      </c>
      <c r="CS45" s="159">
        <f t="shared" ca="1" si="121"/>
        <v>-0.46978927457845643</v>
      </c>
      <c r="CT45" s="159">
        <f t="shared" ca="1" si="121"/>
        <v>-0.18689435143648225</v>
      </c>
      <c r="CU45" s="159">
        <f t="shared" ca="1" si="121"/>
        <v>-0.58235077070434293</v>
      </c>
      <c r="CV45" s="159">
        <f ca="1">CD45-DN45</f>
        <v>-0.85714358793789103</v>
      </c>
      <c r="CW45" s="159">
        <f ca="1">CE45-DO45</f>
        <v>-1.1269284019096659</v>
      </c>
      <c r="CX45" s="159">
        <f ca="1">CF45-DP45</f>
        <v>-1.4522880548810448</v>
      </c>
      <c r="CY45" s="159">
        <f ca="1">CG45-DQ45</f>
        <v>-1.8645788583676364</v>
      </c>
      <c r="CZ45" s="134"/>
      <c r="DA45" s="135">
        <v>21.195280710430264</v>
      </c>
      <c r="DB45" s="135">
        <v>4.6240630821620998</v>
      </c>
      <c r="DC45" s="135">
        <v>6.5237983638791297</v>
      </c>
      <c r="DD45" s="135">
        <v>38.683684054992121</v>
      </c>
      <c r="DE45" s="135">
        <v>62.062982705035473</v>
      </c>
      <c r="DF45" s="135">
        <v>10.633918950823729</v>
      </c>
      <c r="DG45" s="135">
        <v>7.7318099257989603</v>
      </c>
      <c r="DH45" s="135">
        <v>5.0283631802530149</v>
      </c>
      <c r="DI45" s="135">
        <v>7.43384922942536</v>
      </c>
      <c r="DJ45" s="135">
        <v>8.3420650205948466</v>
      </c>
      <c r="DK45" s="135">
        <v>8.6926646709913449</v>
      </c>
      <c r="DL45" s="135">
        <v>9.3794059707616775</v>
      </c>
      <c r="DM45" s="135">
        <v>10.990224592417208</v>
      </c>
      <c r="DN45" s="135">
        <v>12.810553166062299</v>
      </c>
      <c r="DO45" s="135">
        <v>15.063623095781864</v>
      </c>
      <c r="DP45" s="135">
        <v>17.948548884858084</v>
      </c>
      <c r="DQ45" s="135">
        <v>21.672753806143529</v>
      </c>
    </row>
    <row r="46" spans="1:121" s="123" customFormat="1">
      <c r="A46" s="107" t="s">
        <v>479</v>
      </c>
      <c r="B46" s="107"/>
      <c r="C46" s="136"/>
      <c r="D46" s="147"/>
      <c r="E46" s="107"/>
      <c r="F46" s="107"/>
      <c r="G46" s="106">
        <f t="shared" ref="G46:AL46" si="122">((F8*(1+G36/100)+F9*(1+G37/100)+F12*(1+G38/100)+F15*(1+G41/100)-F16*(1+G43/100))/F17-1)*100</f>
        <v>-0.55712904234948013</v>
      </c>
      <c r="H46" s="106">
        <f t="shared" si="122"/>
        <v>0.70718720402971336</v>
      </c>
      <c r="I46" s="106">
        <f t="shared" si="122"/>
        <v>14.646603413721571</v>
      </c>
      <c r="J46" s="106">
        <f t="shared" si="122"/>
        <v>4.6842079776602263</v>
      </c>
      <c r="K46" s="106">
        <f t="shared" si="122"/>
        <v>1.5890376442140974</v>
      </c>
      <c r="L46" s="106">
        <f t="shared" si="122"/>
        <v>1.5111773412479268</v>
      </c>
      <c r="M46" s="106">
        <f t="shared" si="122"/>
        <v>3.3184858046084731</v>
      </c>
      <c r="N46" s="106">
        <f t="shared" si="122"/>
        <v>2.3606703888078506</v>
      </c>
      <c r="O46" s="106">
        <f t="shared" si="122"/>
        <v>0.33277568150207326</v>
      </c>
      <c r="P46" s="106">
        <f t="shared" si="122"/>
        <v>3.1103702069369854</v>
      </c>
      <c r="Q46" s="106">
        <f t="shared" si="122"/>
        <v>2.4365797126824296</v>
      </c>
      <c r="R46" s="106">
        <f t="shared" si="122"/>
        <v>6.4301908919659034</v>
      </c>
      <c r="S46" s="106">
        <f t="shared" si="122"/>
        <v>7.1733347980017292</v>
      </c>
      <c r="T46" s="106">
        <f t="shared" si="122"/>
        <v>1.1948900071686142</v>
      </c>
      <c r="U46" s="106">
        <f t="shared" si="122"/>
        <v>2.250361936923273</v>
      </c>
      <c r="V46" s="106">
        <f t="shared" si="122"/>
        <v>2.91377285251051</v>
      </c>
      <c r="W46" s="106">
        <f t="shared" si="122"/>
        <v>-1.7798321275436679</v>
      </c>
      <c r="X46" s="106">
        <f t="shared" si="122"/>
        <v>3.6744806271986175</v>
      </c>
      <c r="Y46" s="106">
        <f t="shared" si="122"/>
        <v>-0.14502573362669136</v>
      </c>
      <c r="Z46" s="106">
        <f t="shared" si="122"/>
        <v>11.669961401754293</v>
      </c>
      <c r="AA46" s="106">
        <f t="shared" si="122"/>
        <v>12.301495562283527</v>
      </c>
      <c r="AB46" s="106">
        <f t="shared" si="122"/>
        <v>13.51129070913284</v>
      </c>
      <c r="AC46" s="106">
        <f t="shared" si="122"/>
        <v>11.626959616497047</v>
      </c>
      <c r="AD46" s="106">
        <f t="shared" si="122"/>
        <v>6.5509117713518528</v>
      </c>
      <c r="AE46" s="106">
        <f t="shared" si="122"/>
        <v>5.6894108819525613</v>
      </c>
      <c r="AF46" s="106">
        <f t="shared" si="122"/>
        <v>7.8291657642610701</v>
      </c>
      <c r="AG46" s="106">
        <f t="shared" si="122"/>
        <v>12.500169791939907</v>
      </c>
      <c r="AH46" s="106">
        <f t="shared" si="122"/>
        <v>6.5600626634376269</v>
      </c>
      <c r="AI46" s="106">
        <f t="shared" si="122"/>
        <v>4.3468168164143117</v>
      </c>
      <c r="AJ46" s="106">
        <f t="shared" si="122"/>
        <v>5.9585145658437977</v>
      </c>
      <c r="AK46" s="106">
        <f t="shared" si="122"/>
        <v>0.33253644972657259</v>
      </c>
      <c r="AL46" s="106">
        <f t="shared" si="122"/>
        <v>17.192962699686333</v>
      </c>
      <c r="AM46" s="106">
        <f t="shared" ref="AM46:BQ46" si="123">((AL8*(1+AM36/100)+AL9*(1+AM37/100)+AL12*(1+AM38/100)+AL15*(1+AM41/100)-AL16*(1+AM43/100))/AL17-1)*100</f>
        <v>23.668852074390244</v>
      </c>
      <c r="AN46" s="106">
        <f t="shared" si="123"/>
        <v>9.0004387259944529</v>
      </c>
      <c r="AO46" s="106">
        <f t="shared" si="123"/>
        <v>2.2728117370732104</v>
      </c>
      <c r="AP46" s="106">
        <f t="shared" si="123"/>
        <v>-9.1899797740500837</v>
      </c>
      <c r="AQ46" s="106">
        <f t="shared" si="123"/>
        <v>7.6038862747987768</v>
      </c>
      <c r="AR46" s="106">
        <f t="shared" si="123"/>
        <v>44.408752670201594</v>
      </c>
      <c r="AS46" s="106">
        <f t="shared" si="123"/>
        <v>88.790381286040159</v>
      </c>
      <c r="AT46" s="106">
        <f t="shared" si="123"/>
        <v>337.17660695317795</v>
      </c>
      <c r="AU46" s="106">
        <f t="shared" si="123"/>
        <v>315.29562180677561</v>
      </c>
      <c r="AV46" s="106">
        <f t="shared" si="123"/>
        <v>3.8770690898787041</v>
      </c>
      <c r="AW46" s="106">
        <f t="shared" si="123"/>
        <v>6.5424893277757024</v>
      </c>
      <c r="AX46" s="106">
        <f t="shared" si="123"/>
        <v>23.247463670854685</v>
      </c>
      <c r="AY46" s="106">
        <f t="shared" si="123"/>
        <v>82.016242166927199</v>
      </c>
      <c r="AZ46" s="106">
        <f t="shared" si="123"/>
        <v>62.196045530797406</v>
      </c>
      <c r="BA46" s="106">
        <f t="shared" si="123"/>
        <v>29.941656516246407</v>
      </c>
      <c r="BB46" s="106">
        <f t="shared" si="123"/>
        <v>15.891007236658661</v>
      </c>
      <c r="BC46" s="106">
        <f t="shared" si="123"/>
        <v>25.302502142594463</v>
      </c>
      <c r="BD46" s="106">
        <f t="shared" si="123"/>
        <v>16.591780070335794</v>
      </c>
      <c r="BE46" s="106">
        <f ca="1">((BD8*(1+BE36/100)+BD9*(1+BE37/100)+BD12*(1+BE38/100)+BD15*(1+BE41/100)-BD16*(1+BE43/100))/BD17-1)*100</f>
        <v>13.638475994635012</v>
      </c>
      <c r="BF46" s="106">
        <f ca="1">((BE8*(1+BF36/100)+BE9*(1+BF37/100)+BE12*(1+BF38/100)+BE15*(1+BF41/100)-BE16*(1+BF43/100))/BE17-1)*100</f>
        <v>28.443492591756648</v>
      </c>
      <c r="BG46" s="106">
        <f t="shared" si="123"/>
        <v>11.737448559296016</v>
      </c>
      <c r="BH46" s="106">
        <f t="shared" si="123"/>
        <v>24.030531798289445</v>
      </c>
      <c r="BI46" s="106">
        <f t="shared" si="123"/>
        <v>-4.9202032950422359</v>
      </c>
      <c r="BJ46" s="106">
        <f t="shared" si="123"/>
        <v>20.749175152815269</v>
      </c>
      <c r="BK46" s="106">
        <f t="shared" si="123"/>
        <v>23.924976991751869</v>
      </c>
      <c r="BL46" s="106">
        <f t="shared" si="123"/>
        <v>5.3099358335770175</v>
      </c>
      <c r="BM46" s="106">
        <f t="shared" si="123"/>
        <v>-3.0111494239290382</v>
      </c>
      <c r="BN46" s="106">
        <f t="shared" si="123"/>
        <v>-0.71170400077833484</v>
      </c>
      <c r="BO46" s="106">
        <f t="shared" si="123"/>
        <v>2.8468618418985292</v>
      </c>
      <c r="BP46" s="106">
        <f ca="1">((BO8*(1+BP36/100)+BO9*(1+BP37/100)+BO12*(1+BP38/100)+BO15*(1+BP41/100)-BO16*(1+BP43/100))/BO17-1)*100</f>
        <v>43.556249388850631</v>
      </c>
      <c r="BQ46" s="106">
        <f t="shared" si="123"/>
        <v>22.295672328555803</v>
      </c>
      <c r="BR46" s="106">
        <f t="shared" ref="BR46:CB46" si="124">((BQ8*(1+BR36/100)+BQ9*(1+BR37/100)+BQ12*(1+BR38/100)+BQ15*(1+BR41/100)-BQ16*(1+BR43/100))/BQ17-1)*100</f>
        <v>8.0813746039954495</v>
      </c>
      <c r="BS46" s="106">
        <f t="shared" si="124"/>
        <v>7.2004476922107763</v>
      </c>
      <c r="BT46" s="106">
        <f t="shared" ca="1" si="124"/>
        <v>38.683684054992121</v>
      </c>
      <c r="BU46" s="106">
        <f t="shared" ca="1" si="124"/>
        <v>77.033090803103249</v>
      </c>
      <c r="BV46" s="106">
        <f t="shared" ca="1" si="124"/>
        <v>13.339563695377276</v>
      </c>
      <c r="BW46" s="106">
        <f t="shared" ca="1" si="124"/>
        <v>7.6767788399378922</v>
      </c>
      <c r="BX46" s="106">
        <f t="shared" ca="1" si="124"/>
        <v>4.478268618257264</v>
      </c>
      <c r="BY46" s="106">
        <f t="shared" ca="1" si="124"/>
        <v>6.7156042492140244</v>
      </c>
      <c r="BZ46" s="106">
        <f t="shared" ca="1" si="124"/>
        <v>7.4565367282008577</v>
      </c>
      <c r="CA46" s="106">
        <f t="shared" ca="1" si="124"/>
        <v>8.2228753964128884</v>
      </c>
      <c r="CB46" s="106">
        <f t="shared" ca="1" si="124"/>
        <v>9.1925116193251952</v>
      </c>
      <c r="CC46" s="106">
        <f ca="1">((CB8*(1+CC36/100)+CB9*(1+CC37/100)+CB12*(1+CC38/100)+CB15*(1+CC41/100)-CB16*(1+CC43/100))/CB17-1)*100</f>
        <v>10.407873821712865</v>
      </c>
      <c r="CD46" s="106">
        <f ca="1">((CC8*(1+CD36/100)+CC9*(1+CD37/100)+CC12*(1+CD38/100)+CC15*(1+CD41/100)-CC16*(1+CD43/100))/CC17-1)*100</f>
        <v>11.953409578124408</v>
      </c>
      <c r="CE46" s="106">
        <f ca="1">((CD8*(1+CE36/100)+CD9*(1+CE37/100)+CD12*(1+CE38/100)+CD15*(1+CE41/100)-CD16*(1+CE43/100))/CD17-1)*100</f>
        <v>13.936694693872198</v>
      </c>
      <c r="CF46" s="106">
        <f ca="1">((CE8*(1+CF36/100)+CE9*(1+CF37/100)+CE12*(1+CF38/100)+CE15*(1+CF41/100)-CE16*(1+CF43/100))/CE17-1)*100</f>
        <v>16.496260829977039</v>
      </c>
      <c r="CG46" s="106">
        <f ca="1">((CF8*(1+CG36/100)+CF9*(1+CG37/100)+CF12*(1+CG38/100)+CF15*(1+CG41/100)-CF16*(1+CG43/100))/CF17-1)*100</f>
        <v>19.808174947775893</v>
      </c>
      <c r="CH46" s="106" t="s">
        <v>1344</v>
      </c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34"/>
      <c r="DA46" s="135">
        <v>22.295672328555803</v>
      </c>
      <c r="DB46" s="135">
        <v>8.0813746039954495</v>
      </c>
      <c r="DC46" s="135">
        <v>7.2004476922107763</v>
      </c>
      <c r="DD46" s="135">
        <v>38.683684054992121</v>
      </c>
      <c r="DE46" s="135">
        <v>62.062982705035473</v>
      </c>
      <c r="DF46" s="135">
        <v>10.633918950823729</v>
      </c>
      <c r="DG46" s="135">
        <v>7.7318099257989603</v>
      </c>
      <c r="DH46" s="135">
        <v>5.0283631802530149</v>
      </c>
      <c r="DI46" s="135">
        <v>7.43384922942536</v>
      </c>
      <c r="DJ46" s="135">
        <v>8.3420650205948466</v>
      </c>
      <c r="DK46" s="135">
        <v>8.6926646709913449</v>
      </c>
      <c r="DL46" s="135">
        <v>9.3794059707616775</v>
      </c>
      <c r="DM46" s="135">
        <v>10.990224592417208</v>
      </c>
      <c r="DN46" s="135">
        <v>12.810553166062299</v>
      </c>
      <c r="DO46" s="135">
        <v>15.063623095781864</v>
      </c>
      <c r="DP46" s="135">
        <v>17.948548884858084</v>
      </c>
      <c r="DQ46" s="135">
        <v>21.672753806143529</v>
      </c>
    </row>
    <row r="47" spans="1:121" s="123" customFormat="1">
      <c r="A47" s="223" t="s">
        <v>1776</v>
      </c>
      <c r="B47" s="154"/>
      <c r="C47" s="154"/>
      <c r="D47" s="642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251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6"/>
      <c r="DA47" s="383"/>
      <c r="DB47" s="383"/>
      <c r="DC47" s="383"/>
      <c r="DD47" s="383"/>
      <c r="DE47" s="383"/>
      <c r="DF47" s="383"/>
      <c r="DG47" s="383"/>
      <c r="DH47" s="383"/>
      <c r="DI47" s="383"/>
      <c r="DJ47" s="383"/>
      <c r="DK47" s="383"/>
      <c r="DL47" s="383"/>
      <c r="DM47" s="383"/>
      <c r="DN47" s="383"/>
      <c r="DO47" s="135"/>
      <c r="DP47" s="135"/>
      <c r="DQ47" s="135"/>
    </row>
    <row r="48" spans="1:121" s="123" customFormat="1">
      <c r="A48" s="107" t="s">
        <v>1345</v>
      </c>
      <c r="B48" s="107"/>
      <c r="C48" s="136" t="s">
        <v>1349</v>
      </c>
      <c r="D48" s="147"/>
      <c r="E48" s="107"/>
      <c r="F48" s="516">
        <f>+mamiabc!F80</f>
        <v>2</v>
      </c>
      <c r="G48" s="516">
        <f>+mamiabc!G80</f>
        <v>1</v>
      </c>
      <c r="H48" s="516">
        <f>+mamiabc!H80</f>
        <v>1.9801980257034302</v>
      </c>
      <c r="I48" s="160">
        <f>SOURCE!I431</f>
        <v>8.6999999999999993</v>
      </c>
      <c r="J48" s="160">
        <f>SOURCE!J431</f>
        <v>0</v>
      </c>
      <c r="K48" s="160">
        <f>SOURCE!K431</f>
        <v>0</v>
      </c>
      <c r="L48" s="160">
        <f>SOURCE!L431</f>
        <v>2.6</v>
      </c>
      <c r="M48" s="160">
        <f>SOURCE!M431</f>
        <v>1.7</v>
      </c>
      <c r="N48" s="160">
        <f>SOURCE!N431</f>
        <v>2.5</v>
      </c>
      <c r="O48" s="160">
        <f>SOURCE!O431</f>
        <v>1.7</v>
      </c>
      <c r="P48" s="160">
        <f>SOURCE!P431</f>
        <v>4.0999999999999996</v>
      </c>
      <c r="Q48" s="160">
        <f>SOURCE!Q431</f>
        <v>2.2999999999999998</v>
      </c>
      <c r="R48" s="160">
        <f>SOURCE!R431</f>
        <v>1.5</v>
      </c>
      <c r="S48" s="160">
        <f>SOURCE!S431</f>
        <v>7.5</v>
      </c>
      <c r="T48" s="160">
        <f>SOURCE!T431</f>
        <v>0</v>
      </c>
      <c r="U48" s="160">
        <f>SOURCE!U431</f>
        <v>1</v>
      </c>
      <c r="V48" s="160">
        <f>SOURCE!V431</f>
        <v>1.8</v>
      </c>
      <c r="W48" s="160">
        <f>SOURCE!W431</f>
        <v>-0.6</v>
      </c>
      <c r="X48" s="160">
        <f>SOURCE!X431</f>
        <v>2.4</v>
      </c>
      <c r="Y48" s="160">
        <f>SOURCE!Y431</f>
        <v>12</v>
      </c>
      <c r="Z48" s="160">
        <f>SOURCE!Z431</f>
        <v>15.9</v>
      </c>
      <c r="AA48" s="160">
        <f>SOURCE!AA431</f>
        <v>7.5</v>
      </c>
      <c r="AB48" s="160">
        <f>SOURCE!AB431</f>
        <v>9.3000000000000007</v>
      </c>
      <c r="AC48" s="160">
        <f>SOURCE!AC431</f>
        <v>8.8000000000000007</v>
      </c>
      <c r="AD48" s="160">
        <f>SOURCE!AD431</f>
        <v>8</v>
      </c>
      <c r="AE48" s="160">
        <f>SOURCE!AE431</f>
        <v>14</v>
      </c>
      <c r="AF48" s="160">
        <f>SOURCE!AF431</f>
        <v>13.2</v>
      </c>
      <c r="AG48" s="160">
        <f>SOURCE!AG431</f>
        <v>8.6999999999999993</v>
      </c>
      <c r="AH48" s="160">
        <f>SOURCE!AH431</f>
        <v>7.3</v>
      </c>
      <c r="AI48" s="160">
        <f>SOURCE!AI431</f>
        <v>4.4000000000000004</v>
      </c>
      <c r="AJ48" s="160">
        <f>SOURCE!AJ431</f>
        <v>3.7</v>
      </c>
      <c r="AK48" s="160">
        <f>SOURCE!AK431</f>
        <v>10.9</v>
      </c>
      <c r="AL48" s="160">
        <f>SOURCE!AL431</f>
        <v>18.7</v>
      </c>
      <c r="AM48" s="160">
        <f>SOURCE!AM431</f>
        <v>53.4</v>
      </c>
      <c r="AN48" s="160">
        <f>SOURCE!AN431</f>
        <v>7.3</v>
      </c>
      <c r="AO48" s="160">
        <f>SOURCE!AO431</f>
        <v>0.8</v>
      </c>
      <c r="AP48" s="160">
        <f>SOURCE!AP431</f>
        <v>21.8</v>
      </c>
      <c r="AQ48" s="160">
        <f>SOURCE!AQ431</f>
        <v>26</v>
      </c>
      <c r="AR48" s="160">
        <f>SOURCE!AR431</f>
        <v>43.7</v>
      </c>
      <c r="AS48" s="160">
        <f>SOURCE!AS431</f>
        <v>143.5</v>
      </c>
      <c r="AT48" s="160">
        <f>SOURCE!AT431</f>
        <v>368.5</v>
      </c>
      <c r="AU48" s="160">
        <f>SOURCE!AU431</f>
        <v>235.6</v>
      </c>
      <c r="AV48" s="160">
        <f>SOURCE!AV431</f>
        <v>-0.7</v>
      </c>
      <c r="AW48" s="160">
        <f>SOURCE!AW431</f>
        <v>7.1</v>
      </c>
      <c r="AX48" s="160">
        <f>SOURCE!AX431</f>
        <v>18.7</v>
      </c>
      <c r="AY48" s="160">
        <f>SOURCE!AY431</f>
        <v>98.8</v>
      </c>
      <c r="AZ48" s="160">
        <f>SOURCE!AZ431</f>
        <v>59.3</v>
      </c>
      <c r="BA48" s="160">
        <f>SOURCE!BA431</f>
        <v>38.6</v>
      </c>
      <c r="BB48" s="160">
        <f>SOURCE!BB431</f>
        <v>15.5</v>
      </c>
      <c r="BC48" s="160">
        <f>SOURCE!BC431</f>
        <v>23.9</v>
      </c>
      <c r="BD48" s="160">
        <f>SOURCE!BD431</f>
        <v>9.6</v>
      </c>
      <c r="BE48" s="160">
        <f>SOURCE!BE431</f>
        <v>9.5</v>
      </c>
      <c r="BF48" s="160">
        <f>SOURCE!BF431</f>
        <v>11.3</v>
      </c>
      <c r="BG48" s="160">
        <f>SOURCE!BG431</f>
        <v>6.4</v>
      </c>
      <c r="BH48" s="160">
        <f>SOURCE!BH431</f>
        <v>14.7</v>
      </c>
      <c r="BI48" s="160">
        <f>SOURCE!BI431</f>
        <v>-0.1</v>
      </c>
      <c r="BJ48" s="160">
        <f>SOURCE!BJ431</f>
        <v>6.9</v>
      </c>
      <c r="BK48" s="160">
        <f>SOURCE!BK431</f>
        <v>17.7</v>
      </c>
      <c r="BL48" s="160">
        <f>SOURCE!BL431</f>
        <v>5</v>
      </c>
      <c r="BM48" s="160">
        <f>SOURCE!BM431</f>
        <v>1.9</v>
      </c>
      <c r="BN48" s="160">
        <f>SOURCE!BN431</f>
        <v>3.4</v>
      </c>
      <c r="BO48" s="160">
        <f>SOURCE!BO431</f>
        <v>6.9</v>
      </c>
      <c r="BP48" s="160">
        <f>SOURCE!BP431</f>
        <v>55.5</v>
      </c>
      <c r="BQ48" s="160">
        <f>SOURCE!BQ431</f>
        <v>22</v>
      </c>
      <c r="BR48" s="160">
        <f>SOURCE!BR431</f>
        <v>6.9</v>
      </c>
      <c r="BS48" s="160">
        <f>SOURCE!BS431</f>
        <v>4.4000000000000004</v>
      </c>
      <c r="BT48" s="161">
        <f t="shared" ref="BT48:CB48" ca="1" si="125">BT36</f>
        <v>34.244892642942418</v>
      </c>
      <c r="BU48" s="161">
        <f t="shared" ca="1" si="125"/>
        <v>50.991102337104202</v>
      </c>
      <c r="BV48" s="161">
        <f t="shared" ca="1" si="125"/>
        <v>16.413728147581516</v>
      </c>
      <c r="BW48" s="161">
        <f t="shared" ca="1" si="125"/>
        <v>8.6555130940087377</v>
      </c>
      <c r="BX48" s="161">
        <f t="shared" ca="1" si="125"/>
        <v>5.0998086070868656</v>
      </c>
      <c r="BY48" s="161">
        <f t="shared" ca="1" si="125"/>
        <v>6.0916649920156747</v>
      </c>
      <c r="BZ48" s="161">
        <f t="shared" ca="1" si="125"/>
        <v>6.833583832782069</v>
      </c>
      <c r="CA48" s="161">
        <f t="shared" ca="1" si="125"/>
        <v>7.5774286217089779</v>
      </c>
      <c r="CB48" s="161">
        <f t="shared" ca="1" si="125"/>
        <v>8.5001783380132991</v>
      </c>
      <c r="CC48" s="161">
        <f ca="1">CC36</f>
        <v>9.6400935707060729</v>
      </c>
      <c r="CD48" s="161">
        <f ca="1">CD36</f>
        <v>11.072158493452394</v>
      </c>
      <c r="CE48" s="161">
        <f ca="1">CE36</f>
        <v>12.893441429610702</v>
      </c>
      <c r="CF48" s="161">
        <f ca="1">CF36</f>
        <v>15.232063947577839</v>
      </c>
      <c r="CG48" s="161">
        <f ca="1">CG36</f>
        <v>18.257179167767255</v>
      </c>
      <c r="CH48" s="162"/>
      <c r="CI48" s="159">
        <f t="shared" ref="CI48:CU48" si="126">BQ48-DA48</f>
        <v>0</v>
      </c>
      <c r="CJ48" s="159">
        <f t="shared" si="126"/>
        <v>0</v>
      </c>
      <c r="CK48" s="159">
        <f t="shared" si="126"/>
        <v>0</v>
      </c>
      <c r="CL48" s="159">
        <f t="shared" ca="1" si="126"/>
        <v>0</v>
      </c>
      <c r="CM48" s="159">
        <f t="shared" ca="1" si="126"/>
        <v>12.104076297908506</v>
      </c>
      <c r="CN48" s="159">
        <f t="shared" ca="1" si="126"/>
        <v>4.1068083139547706</v>
      </c>
      <c r="CO48" s="159">
        <f t="shared" ca="1" si="126"/>
        <v>0.37176370662928804</v>
      </c>
      <c r="CP48" s="159">
        <f t="shared" ca="1" si="126"/>
        <v>-0.38004004039784078</v>
      </c>
      <c r="CQ48" s="159">
        <f t="shared" ca="1" si="126"/>
        <v>-0.60419967851833434</v>
      </c>
      <c r="CR48" s="159">
        <f t="shared" ca="1" si="126"/>
        <v>-0.78430917036779224</v>
      </c>
      <c r="CS48" s="159">
        <f t="shared" ca="1" si="126"/>
        <v>-0.48064219168878086</v>
      </c>
      <c r="CT48" s="159">
        <f t="shared" ca="1" si="126"/>
        <v>-0.23165179074948661</v>
      </c>
      <c r="CU48" s="159">
        <f t="shared" ca="1" si="126"/>
        <v>-0.64877974496590518</v>
      </c>
      <c r="CV48" s="159">
        <f ca="1">CD48-DN48</f>
        <v>-0.95894111913520597</v>
      </c>
      <c r="CW48" s="159">
        <f ca="1">CE48-DO48</f>
        <v>-1.264185894287623</v>
      </c>
      <c r="CX48" s="159">
        <f ca="1">CF48-DP48</f>
        <v>-1.6259542356837855</v>
      </c>
      <c r="CY48" s="159">
        <f ca="1">CG48-DQ48</f>
        <v>-2.0763990673995991</v>
      </c>
      <c r="CZ48" s="134"/>
      <c r="DA48" s="384">
        <v>22</v>
      </c>
      <c r="DB48" s="384">
        <v>6.9</v>
      </c>
      <c r="DC48" s="384">
        <v>4.4000000000000004</v>
      </c>
      <c r="DD48" s="384">
        <v>34.244892642942418</v>
      </c>
      <c r="DE48" s="135">
        <v>38.887026039195696</v>
      </c>
      <c r="DF48" s="135">
        <v>12.306919833626745</v>
      </c>
      <c r="DG48" s="135">
        <v>8.2837493873794497</v>
      </c>
      <c r="DH48" s="135">
        <v>5.4798486474847063</v>
      </c>
      <c r="DI48" s="135">
        <v>6.695864670534009</v>
      </c>
      <c r="DJ48" s="135">
        <v>7.6178930031498613</v>
      </c>
      <c r="DK48" s="135">
        <v>8.0580708133977588</v>
      </c>
      <c r="DL48" s="135">
        <v>8.7318301287627857</v>
      </c>
      <c r="DM48" s="135">
        <v>10.288873315671978</v>
      </c>
      <c r="DN48" s="135">
        <v>12.0310996125876</v>
      </c>
      <c r="DO48" s="135">
        <v>14.157627323898325</v>
      </c>
      <c r="DP48" s="135">
        <v>16.858018183261624</v>
      </c>
      <c r="DQ48" s="135">
        <v>20.333578235166854</v>
      </c>
    </row>
    <row r="49" spans="1:121" s="123" customFormat="1">
      <c r="A49" s="107"/>
      <c r="B49" s="107"/>
      <c r="C49" s="136"/>
      <c r="D49" s="14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2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34"/>
      <c r="DA49" s="384"/>
      <c r="DB49" s="384"/>
      <c r="DC49" s="384"/>
      <c r="DD49" s="384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</row>
    <row r="50" spans="1:121" s="177" customFormat="1">
      <c r="A50" s="227" t="s">
        <v>1406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27"/>
      <c r="BN50" s="227"/>
      <c r="BO50" s="227"/>
      <c r="BP50" s="227"/>
      <c r="BQ50" s="227"/>
      <c r="BR50" s="227"/>
      <c r="BS50" s="227"/>
      <c r="BT50" s="227"/>
      <c r="BU50" s="227"/>
      <c r="BV50" s="227"/>
      <c r="BW50" s="227"/>
      <c r="BX50" s="227"/>
      <c r="BY50" s="227"/>
      <c r="BZ50" s="227"/>
      <c r="CA50" s="227"/>
      <c r="CB50" s="227"/>
      <c r="CC50" s="227"/>
      <c r="CD50" s="227"/>
      <c r="CE50" s="227"/>
      <c r="CF50" s="227"/>
      <c r="CG50" s="227"/>
      <c r="CH50" s="99"/>
      <c r="CI50" s="227"/>
      <c r="CJ50" s="227"/>
      <c r="CK50" s="227"/>
      <c r="CL50" s="227"/>
      <c r="CM50" s="227"/>
      <c r="CN50" s="227"/>
      <c r="CO50" s="227"/>
      <c r="CP50" s="227"/>
      <c r="CQ50" s="227"/>
      <c r="CR50" s="227"/>
      <c r="CS50" s="227"/>
      <c r="CT50" s="227"/>
      <c r="CU50" s="227"/>
      <c r="CV50" s="227"/>
      <c r="CW50" s="227"/>
      <c r="CX50" s="227"/>
      <c r="CY50" s="227"/>
      <c r="CZ50" s="228"/>
      <c r="DA50" s="215"/>
      <c r="DB50" s="215"/>
      <c r="DC50" s="215"/>
      <c r="DD50" s="215"/>
      <c r="DE50" s="215"/>
      <c r="DF50" s="215"/>
      <c r="DG50" s="385"/>
      <c r="DH50" s="385"/>
      <c r="DI50" s="385"/>
      <c r="DJ50" s="385"/>
      <c r="DK50" s="385"/>
      <c r="DL50" s="385"/>
      <c r="DM50" s="385"/>
      <c r="DN50" s="385"/>
      <c r="DO50" s="104"/>
      <c r="DP50" s="104"/>
      <c r="DQ50" s="104"/>
    </row>
    <row r="51" spans="1:121" s="123" customFormat="1">
      <c r="A51" s="100"/>
      <c r="B51" s="107"/>
      <c r="C51" s="136"/>
      <c r="D51" s="14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41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34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</row>
    <row r="52" spans="1:121" s="123" customFormat="1">
      <c r="A52" s="107" t="s">
        <v>562</v>
      </c>
      <c r="B52" s="107"/>
      <c r="C52" s="136" t="s">
        <v>1579</v>
      </c>
      <c r="D52" s="147"/>
      <c r="E52" s="107"/>
      <c r="F52" s="106">
        <f t="shared" ref="F52:BE52" si="127">+F17</f>
        <v>0.15124899999999999</v>
      </c>
      <c r="G52" s="106">
        <f t="shared" si="127"/>
        <v>0.16252206781053538</v>
      </c>
      <c r="H52" s="106">
        <f t="shared" si="127"/>
        <v>0.17184962525010106</v>
      </c>
      <c r="I52" s="106">
        <f t="shared" si="127"/>
        <v>0.19039999999999999</v>
      </c>
      <c r="J52" s="106">
        <f t="shared" si="127"/>
        <v>0.19397</v>
      </c>
      <c r="K52" s="106">
        <f t="shared" si="127"/>
        <v>0.21538999999999997</v>
      </c>
      <c r="L52" s="106">
        <f t="shared" si="127"/>
        <v>0.23680999999999999</v>
      </c>
      <c r="M52" s="106">
        <f t="shared" si="127"/>
        <v>0.25584999999999997</v>
      </c>
      <c r="N52" s="106">
        <f t="shared" si="127"/>
        <v>0.27607999999999999</v>
      </c>
      <c r="O52" s="106">
        <f t="shared" si="127"/>
        <v>0.29987999999999998</v>
      </c>
      <c r="P52" s="106">
        <f t="shared" si="127"/>
        <v>0.32011000000000001</v>
      </c>
      <c r="Q52" s="106">
        <f t="shared" si="127"/>
        <v>0.36770999999999998</v>
      </c>
      <c r="R52" s="106">
        <f t="shared" si="127"/>
        <v>0.45338999999999996</v>
      </c>
      <c r="S52" s="106">
        <f t="shared" si="127"/>
        <v>0.52478999999999998</v>
      </c>
      <c r="T52" s="106">
        <f t="shared" si="127"/>
        <v>0.57477</v>
      </c>
      <c r="U52" s="106">
        <f t="shared" si="127"/>
        <v>0.61760999999999999</v>
      </c>
      <c r="V52" s="106">
        <f t="shared" si="127"/>
        <v>0.65449999999999997</v>
      </c>
      <c r="W52" s="106">
        <f t="shared" si="127"/>
        <v>0.71637999999999991</v>
      </c>
      <c r="X52" s="106">
        <f t="shared" si="127"/>
        <v>0.74256</v>
      </c>
      <c r="Y52" s="106">
        <f t="shared" si="127"/>
        <v>0.80801000000000001</v>
      </c>
      <c r="Z52" s="106">
        <f t="shared" si="127"/>
        <v>0.97579999999999989</v>
      </c>
      <c r="AA52" s="106">
        <f t="shared" si="127"/>
        <v>1.10789</v>
      </c>
      <c r="AB52" s="106">
        <f t="shared" si="127"/>
        <v>1.2030899999999998</v>
      </c>
      <c r="AC52" s="106">
        <f t="shared" si="127"/>
        <v>1.5267699999999997</v>
      </c>
      <c r="AD52" s="106">
        <f t="shared" si="127"/>
        <v>1.7504900000000001</v>
      </c>
      <c r="AE52" s="106">
        <f t="shared" si="127"/>
        <v>1.8623499999999999</v>
      </c>
      <c r="AF52" s="106">
        <f t="shared" si="127"/>
        <v>1.8921000000000001</v>
      </c>
      <c r="AG52" s="106">
        <f t="shared" si="127"/>
        <v>2.1158199999999998</v>
      </c>
      <c r="AH52" s="106">
        <f t="shared" si="127"/>
        <v>2.1777000000000002</v>
      </c>
      <c r="AI52" s="106">
        <f t="shared" si="127"/>
        <v>2.1027299999999998</v>
      </c>
      <c r="AJ52" s="106">
        <f t="shared" si="127"/>
        <v>2.1205799999999999</v>
      </c>
      <c r="AK52" s="106">
        <f t="shared" si="127"/>
        <v>2.0777399999999999</v>
      </c>
      <c r="AL52" s="106">
        <f t="shared" si="127"/>
        <v>2.1205799999999999</v>
      </c>
      <c r="AM52" s="106">
        <f t="shared" si="127"/>
        <v>2.3323999999999998</v>
      </c>
      <c r="AN52" s="106">
        <f t="shared" si="127"/>
        <v>2.7631799999999997</v>
      </c>
      <c r="AO52" s="106">
        <f t="shared" si="127"/>
        <v>3.2284699999999997</v>
      </c>
      <c r="AP52" s="106">
        <f t="shared" si="127"/>
        <v>3.8839999999999999</v>
      </c>
      <c r="AQ52" s="106">
        <f t="shared" si="127"/>
        <v>4.4809999999999999</v>
      </c>
      <c r="AR52" s="106">
        <f t="shared" si="127"/>
        <v>6.069</v>
      </c>
      <c r="AS52" s="106">
        <f t="shared" si="127"/>
        <v>14.577999999999999</v>
      </c>
      <c r="AT52" s="106">
        <f t="shared" si="127"/>
        <v>81.135999999999996</v>
      </c>
      <c r="AU52" s="106">
        <f t="shared" si="127"/>
        <v>305.68299999999999</v>
      </c>
      <c r="AV52" s="106">
        <f t="shared" si="127"/>
        <v>345.42599999999999</v>
      </c>
      <c r="AW52" s="106">
        <f t="shared" si="127"/>
        <v>370.56900000000002</v>
      </c>
      <c r="AX52" s="106">
        <f t="shared" si="127"/>
        <v>444.34</v>
      </c>
      <c r="AY52" s="106">
        <f t="shared" si="127"/>
        <v>762.21</v>
      </c>
      <c r="AZ52" s="106">
        <f t="shared" si="127"/>
        <v>1250.9269999999999</v>
      </c>
      <c r="BA52" s="106">
        <f t="shared" si="127"/>
        <v>1818.729</v>
      </c>
      <c r="BB52" s="106">
        <f t="shared" si="127"/>
        <v>2569.9</v>
      </c>
      <c r="BC52" s="106">
        <f t="shared" si="127"/>
        <v>3314.1689999999999</v>
      </c>
      <c r="BD52" s="106">
        <f t="shared" si="127"/>
        <v>4057.5</v>
      </c>
      <c r="BE52" s="106">
        <f t="shared" si="127"/>
        <v>4899</v>
      </c>
      <c r="BF52" s="106">
        <f t="shared" ref="BF52:BP52" si="128">+BF17</f>
        <v>7206.3</v>
      </c>
      <c r="BG52" s="106">
        <f t="shared" si="128"/>
        <v>8060.5</v>
      </c>
      <c r="BH52" s="106">
        <f t="shared" si="128"/>
        <v>9698.1</v>
      </c>
      <c r="BI52" s="106">
        <f t="shared" si="128"/>
        <v>10638.4</v>
      </c>
      <c r="BJ52" s="106">
        <f t="shared" si="128"/>
        <v>11988.7</v>
      </c>
      <c r="BK52" s="106">
        <f t="shared" si="128"/>
        <v>14452</v>
      </c>
      <c r="BL52" s="106">
        <f t="shared" si="128"/>
        <v>16434</v>
      </c>
      <c r="BM52" s="106">
        <f t="shared" si="128"/>
        <v>16981</v>
      </c>
      <c r="BN52" s="106">
        <f t="shared" si="128"/>
        <v>17294</v>
      </c>
      <c r="BO52" s="106">
        <f t="shared" si="128"/>
        <v>16357</v>
      </c>
      <c r="BP52" s="106">
        <f t="shared" si="128"/>
        <v>19489</v>
      </c>
      <c r="BQ52" s="106">
        <f t="shared" ref="BQ52:CB52" si="129">+BQ17</f>
        <v>24036</v>
      </c>
      <c r="BR52" s="106">
        <f t="shared" si="129"/>
        <v>25806</v>
      </c>
      <c r="BS52" s="106">
        <f t="shared" si="129"/>
        <v>27572</v>
      </c>
      <c r="BT52" s="106">
        <f t="shared" si="129"/>
        <v>32155</v>
      </c>
      <c r="BU52" s="106">
        <f t="shared" ca="1" si="129"/>
        <v>61270.070284568152</v>
      </c>
      <c r="BV52" s="106">
        <f t="shared" ca="1" si="129"/>
        <v>71091.423939256289</v>
      </c>
      <c r="BW52" s="106">
        <f t="shared" ca="1" si="129"/>
        <v>79334.623267204486</v>
      </c>
      <c r="BX52" s="106">
        <f t="shared" ca="1" si="129"/>
        <v>86225.126074086613</v>
      </c>
      <c r="BY52" s="106">
        <f t="shared" ca="1" si="129"/>
        <v>95613.503714921622</v>
      </c>
      <c r="BZ52" s="106">
        <f t="shared" ca="1" si="129"/>
        <v>107081.73617900164</v>
      </c>
      <c r="CA52" s="106">
        <f t="shared" ca="1" si="129"/>
        <v>121086.80985778375</v>
      </c>
      <c r="CB52" s="106">
        <f t="shared" ca="1" si="129"/>
        <v>138544.50969871966</v>
      </c>
      <c r="CC52" s="106">
        <f ca="1">+CC17</f>
        <v>160815.79109512223</v>
      </c>
      <c r="CD52" s="106">
        <f ca="1">+CD17</f>
        <v>190010.58082975267</v>
      </c>
      <c r="CE52" s="106">
        <f ca="1">+CE17</f>
        <v>229497.78972907658</v>
      </c>
      <c r="CF52" s="106">
        <f ca="1">+CF17</f>
        <v>284838.70839554298</v>
      </c>
      <c r="CG52" s="106">
        <f ca="1">+CG17</f>
        <v>365555.94178028265</v>
      </c>
      <c r="CH52" s="141"/>
      <c r="CI52" s="106">
        <f t="shared" ref="CI52:CR53" si="130">BQ52-DA52</f>
        <v>0</v>
      </c>
      <c r="CJ52" s="106">
        <f t="shared" si="130"/>
        <v>0</v>
      </c>
      <c r="CK52" s="106">
        <f t="shared" si="130"/>
        <v>0</v>
      </c>
      <c r="CL52" s="106">
        <f t="shared" si="130"/>
        <v>0</v>
      </c>
      <c r="CM52" s="106">
        <f t="shared" ca="1" si="130"/>
        <v>2608.8231498141831</v>
      </c>
      <c r="CN52" s="106">
        <f t="shared" ca="1" si="130"/>
        <v>3949.7922498708358</v>
      </c>
      <c r="CO52" s="106">
        <f t="shared" ca="1" si="130"/>
        <v>3767.7011415690795</v>
      </c>
      <c r="CP52" s="106">
        <f t="shared" ca="1" si="130"/>
        <v>2864.4883267071564</v>
      </c>
      <c r="CQ52" s="106">
        <f t="shared" ca="1" si="130"/>
        <v>1624.5976542745339</v>
      </c>
      <c r="CR52" s="106">
        <f t="shared" ca="1" si="130"/>
        <v>2675.1647087593155</v>
      </c>
      <c r="CS52" s="106">
        <f t="shared" ref="CS52:CU53" ca="1" si="131">CA52-DK52</f>
        <v>1325.9091928077978</v>
      </c>
      <c r="CT52" s="106">
        <f t="shared" ca="1" si="131"/>
        <v>-289.71183063177159</v>
      </c>
      <c r="CU52" s="106">
        <f t="shared" ca="1" si="131"/>
        <v>-3051.9361377728637</v>
      </c>
      <c r="CV52" s="106">
        <f t="shared" ref="CV52:CV61" ca="1" si="132">CD52-DN52</f>
        <v>-7330.2857281050528</v>
      </c>
      <c r="CW52" s="106">
        <f t="shared" ref="CW52:CW61" ca="1" si="133">CE52-DO52</f>
        <v>-13913.949569064804</v>
      </c>
      <c r="CX52" s="106">
        <f t="shared" ref="CX52:CX61" ca="1" si="134">CF52-DP52</f>
        <v>-24325.887637332838</v>
      </c>
      <c r="CY52" s="106">
        <f t="shared" ref="CY52:CY61" ca="1" si="135">CG52-DQ52</f>
        <v>-41440.622165620734</v>
      </c>
      <c r="CZ52" s="134"/>
      <c r="DA52" s="135">
        <v>24036</v>
      </c>
      <c r="DB52" s="135">
        <v>25806</v>
      </c>
      <c r="DC52" s="135">
        <v>27572</v>
      </c>
      <c r="DD52" s="135">
        <v>32155</v>
      </c>
      <c r="DE52" s="135">
        <v>58661.247134753969</v>
      </c>
      <c r="DF52" s="135">
        <v>67141.631689385453</v>
      </c>
      <c r="DG52" s="135">
        <v>75566.922125635407</v>
      </c>
      <c r="DH52" s="135">
        <v>83360.637747379456</v>
      </c>
      <c r="DI52" s="135">
        <v>93988.906060647088</v>
      </c>
      <c r="DJ52" s="135">
        <v>104406.57147024233</v>
      </c>
      <c r="DK52" s="135">
        <v>119760.90066497595</v>
      </c>
      <c r="DL52" s="135">
        <v>138834.22152935143</v>
      </c>
      <c r="DM52" s="135">
        <v>163867.72723289509</v>
      </c>
      <c r="DN52" s="135">
        <v>197340.86655785772</v>
      </c>
      <c r="DO52" s="135">
        <v>243411.73929814139</v>
      </c>
      <c r="DP52" s="135">
        <v>309164.59603287582</v>
      </c>
      <c r="DQ52" s="135">
        <v>406996.56394590338</v>
      </c>
    </row>
    <row r="53" spans="1:121" s="123" customFormat="1">
      <c r="A53" s="107" t="s">
        <v>1771</v>
      </c>
      <c r="B53" s="107"/>
      <c r="C53" s="136" t="s">
        <v>1579</v>
      </c>
      <c r="D53" s="147"/>
      <c r="E53" s="107"/>
      <c r="F53" s="106">
        <f t="shared" ref="F53:BD53" si="136">+F52-F54</f>
        <v>0.14144899999999999</v>
      </c>
      <c r="G53" s="106">
        <f t="shared" si="136"/>
        <v>0.15122206781053538</v>
      </c>
      <c r="H53" s="106">
        <f t="shared" si="136"/>
        <v>0.15935462536454198</v>
      </c>
      <c r="I53" s="106">
        <f t="shared" si="136"/>
        <v>0.17374000015258786</v>
      </c>
      <c r="J53" s="106">
        <f t="shared" si="136"/>
        <v>0.17656029960632325</v>
      </c>
      <c r="K53" s="106">
        <f t="shared" si="136"/>
        <v>0.19598110069274899</v>
      </c>
      <c r="L53" s="106">
        <f t="shared" si="136"/>
        <v>0.21498539978027342</v>
      </c>
      <c r="M53" s="106">
        <f t="shared" si="136"/>
        <v>0.22677830085754391</v>
      </c>
      <c r="N53" s="106">
        <f t="shared" si="136"/>
        <v>0.24617530067443846</v>
      </c>
      <c r="O53" s="106">
        <f t="shared" si="136"/>
        <v>0.26914230049133298</v>
      </c>
      <c r="P53" s="106">
        <f t="shared" si="136"/>
        <v>0.28495740066528319</v>
      </c>
      <c r="Q53" s="106">
        <f t="shared" si="136"/>
        <v>0.32972520156860352</v>
      </c>
      <c r="R53" s="106">
        <f t="shared" si="136"/>
        <v>0.40824139846801755</v>
      </c>
      <c r="S53" s="106">
        <f t="shared" si="136"/>
        <v>0.47705910018920894</v>
      </c>
      <c r="T53" s="106">
        <f t="shared" si="136"/>
        <v>0.52462340118408202</v>
      </c>
      <c r="U53" s="106">
        <f t="shared" si="136"/>
        <v>0.55888349853515629</v>
      </c>
      <c r="V53" s="106">
        <f t="shared" si="136"/>
        <v>0.58561090087890622</v>
      </c>
      <c r="W53" s="106">
        <f t="shared" si="136"/>
        <v>0.6461580990600585</v>
      </c>
      <c r="X53" s="106">
        <f t="shared" si="136"/>
        <v>0.66167569976806639</v>
      </c>
      <c r="Y53" s="106">
        <f t="shared" si="136"/>
        <v>0.72512650085449215</v>
      </c>
      <c r="Z53" s="106">
        <f t="shared" si="136"/>
        <v>0.88167100219726557</v>
      </c>
      <c r="AA53" s="106">
        <f t="shared" si="136"/>
        <v>0.98954000152587895</v>
      </c>
      <c r="AB53" s="106">
        <f t="shared" si="136"/>
        <v>1.061259998168945</v>
      </c>
      <c r="AC53" s="106">
        <f t="shared" si="136"/>
        <v>1.3445100054931638</v>
      </c>
      <c r="AD53" s="106">
        <f t="shared" si="136"/>
        <v>1.5395499975585938</v>
      </c>
      <c r="AE53" s="106">
        <f t="shared" si="136"/>
        <v>1.6407900024414062</v>
      </c>
      <c r="AF53" s="106">
        <f t="shared" si="136"/>
        <v>1.6662499938964845</v>
      </c>
      <c r="AG53" s="106">
        <f t="shared" si="136"/>
        <v>1.8397300036621091</v>
      </c>
      <c r="AH53" s="106">
        <f t="shared" si="136"/>
        <v>1.8314200012207034</v>
      </c>
      <c r="AI53" s="106">
        <f t="shared" si="136"/>
        <v>1.7288499951171872</v>
      </c>
      <c r="AJ53" s="106">
        <f t="shared" si="136"/>
        <v>1.7465099926757812</v>
      </c>
      <c r="AK53" s="106">
        <f t="shared" si="136"/>
        <v>1.6939100134277343</v>
      </c>
      <c r="AL53" s="106">
        <f t="shared" si="136"/>
        <v>1.7118799877929687</v>
      </c>
      <c r="AM53" s="106">
        <f t="shared" si="136"/>
        <v>1.8623999999999998</v>
      </c>
      <c r="AN53" s="106">
        <f t="shared" si="136"/>
        <v>2.2401799999999996</v>
      </c>
      <c r="AO53" s="106">
        <f t="shared" si="136"/>
        <v>2.66547</v>
      </c>
      <c r="AP53" s="106">
        <f t="shared" si="136"/>
        <v>3.3569100000000001</v>
      </c>
      <c r="AQ53" s="106">
        <f t="shared" si="136"/>
        <v>3.8035099999999997</v>
      </c>
      <c r="AR53" s="106">
        <f t="shared" si="136"/>
        <v>5.2257300000000004</v>
      </c>
      <c r="AS53" s="106">
        <f t="shared" si="136"/>
        <v>13.57958</v>
      </c>
      <c r="AT53" s="106">
        <f t="shared" si="136"/>
        <v>77.715759999999989</v>
      </c>
      <c r="AU53" s="106">
        <f t="shared" si="136"/>
        <v>292.55140999999998</v>
      </c>
      <c r="AV53" s="106">
        <f t="shared" si="136"/>
        <v>319.81642999999997</v>
      </c>
      <c r="AW53" s="106">
        <f t="shared" si="136"/>
        <v>339.28106000000002</v>
      </c>
      <c r="AX53" s="106">
        <f t="shared" si="136"/>
        <v>370.96299999999997</v>
      </c>
      <c r="AY53" s="106">
        <f t="shared" si="136"/>
        <v>660.70900000000006</v>
      </c>
      <c r="AZ53" s="106">
        <f t="shared" si="136"/>
        <v>1088.7099999999998</v>
      </c>
      <c r="BA53" s="106">
        <f t="shared" si="136"/>
        <v>1605.8510000000001</v>
      </c>
      <c r="BB53" s="106">
        <f t="shared" si="136"/>
        <v>2192.2220000000002</v>
      </c>
      <c r="BC53" s="106">
        <f t="shared" si="136"/>
        <v>2887.1859999999997</v>
      </c>
      <c r="BD53" s="106">
        <f t="shared" si="136"/>
        <v>3603.3330000000001</v>
      </c>
      <c r="BE53" s="106">
        <f ca="1">+BE52-BE54</f>
        <v>4391.371521937469</v>
      </c>
      <c r="BF53" s="106">
        <f t="shared" ref="BF53:BP53" si="137">+BF52-BF54</f>
        <v>6603.3</v>
      </c>
      <c r="BG53" s="106">
        <f t="shared" si="137"/>
        <v>7368.1</v>
      </c>
      <c r="BH53" s="106">
        <f t="shared" si="137"/>
        <v>8939.6</v>
      </c>
      <c r="BI53" s="106">
        <f t="shared" si="137"/>
        <v>9670.7999999999993</v>
      </c>
      <c r="BJ53" s="106">
        <f t="shared" si="137"/>
        <v>10913.400000000001</v>
      </c>
      <c r="BK53" s="106">
        <f t="shared" si="137"/>
        <v>13243.2</v>
      </c>
      <c r="BL53" s="106">
        <f t="shared" si="137"/>
        <v>15118.4</v>
      </c>
      <c r="BM53" s="106">
        <f t="shared" si="137"/>
        <v>15555.4</v>
      </c>
      <c r="BN53" s="106">
        <f t="shared" si="137"/>
        <v>15920.7</v>
      </c>
      <c r="BO53" s="106">
        <f t="shared" si="137"/>
        <v>14824.2</v>
      </c>
      <c r="BP53" s="106">
        <f t="shared" si="137"/>
        <v>17887</v>
      </c>
      <c r="BQ53" s="106">
        <f t="shared" ref="BQ53:CB53" si="138">+BQ52-BQ54</f>
        <v>22113.5</v>
      </c>
      <c r="BR53" s="106">
        <f t="shared" si="138"/>
        <v>23392</v>
      </c>
      <c r="BS53" s="106">
        <f t="shared" si="138"/>
        <v>24303</v>
      </c>
      <c r="BT53" s="106">
        <f t="shared" si="138"/>
        <v>28886</v>
      </c>
      <c r="BU53" s="106">
        <f t="shared" ca="1" si="138"/>
        <v>57174.243506091974</v>
      </c>
      <c r="BV53" s="106">
        <f t="shared" ca="1" si="138"/>
        <v>66581.403702714189</v>
      </c>
      <c r="BW53" s="106">
        <f t="shared" ca="1" si="138"/>
        <v>74640.905256392361</v>
      </c>
      <c r="BX53" s="106">
        <f t="shared" ca="1" si="138"/>
        <v>81094.287448427887</v>
      </c>
      <c r="BY53" s="106">
        <f t="shared" ca="1" si="138"/>
        <v>89804.040816628476</v>
      </c>
      <c r="BZ53" s="106">
        <f t="shared" ca="1" si="138"/>
        <v>100431.73408751313</v>
      </c>
      <c r="CA53" s="106">
        <f t="shared" ca="1" si="138"/>
        <v>113397.47646550823</v>
      </c>
      <c r="CB53" s="106">
        <f t="shared" ca="1" si="138"/>
        <v>129542.56963024204</v>
      </c>
      <c r="CC53" s="106">
        <f ca="1">+CC52-CC54</f>
        <v>150124.72332651302</v>
      </c>
      <c r="CD53" s="106">
        <f ca="1">+CD52-CD54</f>
        <v>177096.00903960955</v>
      </c>
      <c r="CE53" s="106">
        <f ca="1">+CE52-CE54</f>
        <v>213578.62670430177</v>
      </c>
      <c r="CF53" s="106">
        <f ca="1">+CF52-CF54</f>
        <v>264736.06363836449</v>
      </c>
      <c r="CG53" s="106">
        <f ca="1">+CG52-CG54</f>
        <v>339426.38305055257</v>
      </c>
      <c r="CH53" s="141"/>
      <c r="CI53" s="106">
        <f t="shared" si="130"/>
        <v>0</v>
      </c>
      <c r="CJ53" s="106">
        <f t="shared" si="130"/>
        <v>0</v>
      </c>
      <c r="CK53" s="106">
        <f t="shared" si="130"/>
        <v>0</v>
      </c>
      <c r="CL53" s="106">
        <f t="shared" si="130"/>
        <v>0</v>
      </c>
      <c r="CM53" s="106">
        <f t="shared" ca="1" si="130"/>
        <v>2488.9306499258819</v>
      </c>
      <c r="CN53" s="106">
        <f t="shared" ca="1" si="130"/>
        <v>3663.1761794307022</v>
      </c>
      <c r="CO53" s="106">
        <f t="shared" ca="1" si="130"/>
        <v>3522.6294373737619</v>
      </c>
      <c r="CP53" s="106">
        <f t="shared" ca="1" si="130"/>
        <v>2694.934373669952</v>
      </c>
      <c r="CQ53" s="106">
        <f t="shared" ca="1" si="130"/>
        <v>1556.4184354873141</v>
      </c>
      <c r="CR53" s="106">
        <f t="shared" ca="1" si="130"/>
        <v>2754.7941590747214</v>
      </c>
      <c r="CS53" s="106">
        <f t="shared" ca="1" si="131"/>
        <v>1519.8749714587902</v>
      </c>
      <c r="CT53" s="106">
        <f t="shared" ca="1" si="131"/>
        <v>8.7723592225811444</v>
      </c>
      <c r="CU53" s="106">
        <f t="shared" ca="1" si="131"/>
        <v>-2521.7023761347518</v>
      </c>
      <c r="CV53" s="106">
        <f t="shared" ca="1" si="132"/>
        <v>-6429.5486467397131</v>
      </c>
      <c r="CW53" s="106">
        <f t="shared" ca="1" si="133"/>
        <v>-12435.569733037963</v>
      </c>
      <c r="CX53" s="106">
        <f t="shared" ca="1" si="134"/>
        <v>-21933.081000561244</v>
      </c>
      <c r="CY53" s="106">
        <f t="shared" ca="1" si="135"/>
        <v>-37560.495740432641</v>
      </c>
      <c r="CZ53" s="134"/>
      <c r="DA53" s="135">
        <v>22113.5</v>
      </c>
      <c r="DB53" s="135">
        <v>23392</v>
      </c>
      <c r="DC53" s="135">
        <v>24303</v>
      </c>
      <c r="DD53" s="135">
        <v>28886</v>
      </c>
      <c r="DE53" s="135">
        <v>54685.312856166092</v>
      </c>
      <c r="DF53" s="135">
        <v>62918.227523283487</v>
      </c>
      <c r="DG53" s="135">
        <v>71118.2758190186</v>
      </c>
      <c r="DH53" s="135">
        <v>78399.353074757935</v>
      </c>
      <c r="DI53" s="135">
        <v>88247.622381141162</v>
      </c>
      <c r="DJ53" s="135">
        <v>97676.939928438413</v>
      </c>
      <c r="DK53" s="135">
        <v>111877.60149404944</v>
      </c>
      <c r="DL53" s="135">
        <v>129533.79727101946</v>
      </c>
      <c r="DM53" s="135">
        <v>152646.42570264777</v>
      </c>
      <c r="DN53" s="135">
        <v>183525.55768634926</v>
      </c>
      <c r="DO53" s="135">
        <v>226014.19643733973</v>
      </c>
      <c r="DP53" s="135">
        <v>286669.14463892573</v>
      </c>
      <c r="DQ53" s="135">
        <v>376986.87879098521</v>
      </c>
    </row>
    <row r="54" spans="1:121" s="123" customFormat="1">
      <c r="A54" s="107" t="s">
        <v>1772</v>
      </c>
      <c r="B54" s="107"/>
      <c r="C54" s="136" t="s">
        <v>1579</v>
      </c>
      <c r="D54" s="147"/>
      <c r="E54" s="107"/>
      <c r="F54" s="106">
        <f t="shared" ref="F54:BD54" si="139">+F90</f>
        <v>9.8000000000000014E-3</v>
      </c>
      <c r="G54" s="106">
        <f t="shared" si="139"/>
        <v>1.1300000000000001E-2</v>
      </c>
      <c r="H54" s="106">
        <f t="shared" si="139"/>
        <v>1.2494999885559082E-2</v>
      </c>
      <c r="I54" s="106">
        <f t="shared" si="139"/>
        <v>1.6659999847412111E-2</v>
      </c>
      <c r="J54" s="106">
        <f t="shared" si="139"/>
        <v>1.7409700393676758E-2</v>
      </c>
      <c r="K54" s="106">
        <f t="shared" si="139"/>
        <v>1.9408899307250975E-2</v>
      </c>
      <c r="L54" s="106">
        <f t="shared" si="139"/>
        <v>2.1824600219726563E-2</v>
      </c>
      <c r="M54" s="106">
        <f t="shared" si="139"/>
        <v>2.9071699142456053E-2</v>
      </c>
      <c r="N54" s="106">
        <f t="shared" si="139"/>
        <v>2.9904699325561522E-2</v>
      </c>
      <c r="O54" s="106">
        <f t="shared" si="139"/>
        <v>3.0737699508666991E-2</v>
      </c>
      <c r="P54" s="106">
        <f t="shared" si="139"/>
        <v>3.5152599334716796E-2</v>
      </c>
      <c r="Q54" s="106">
        <f t="shared" si="139"/>
        <v>3.7984798431396481E-2</v>
      </c>
      <c r="R54" s="106">
        <f t="shared" si="139"/>
        <v>4.514860153198242E-2</v>
      </c>
      <c r="S54" s="106">
        <f t="shared" si="139"/>
        <v>4.7730899810791018E-2</v>
      </c>
      <c r="T54" s="106">
        <f t="shared" si="139"/>
        <v>5.0146598815917966E-2</v>
      </c>
      <c r="U54" s="106">
        <f t="shared" si="139"/>
        <v>5.8726501464843747E-2</v>
      </c>
      <c r="V54" s="106">
        <f t="shared" si="139"/>
        <v>6.8889099121093755E-2</v>
      </c>
      <c r="W54" s="106">
        <f t="shared" si="139"/>
        <v>7.0221900939941406E-2</v>
      </c>
      <c r="X54" s="106">
        <f t="shared" si="139"/>
        <v>8.088430023193359E-2</v>
      </c>
      <c r="Y54" s="106">
        <f t="shared" si="139"/>
        <v>8.2883499145507813E-2</v>
      </c>
      <c r="Z54" s="106">
        <f t="shared" si="139"/>
        <v>9.4128997802734371E-2</v>
      </c>
      <c r="AA54" s="106">
        <f t="shared" si="139"/>
        <v>0.11834999847412109</v>
      </c>
      <c r="AB54" s="106">
        <f t="shared" si="139"/>
        <v>0.14183000183105468</v>
      </c>
      <c r="AC54" s="106">
        <f t="shared" si="139"/>
        <v>0.18225999450683594</v>
      </c>
      <c r="AD54" s="106">
        <f t="shared" si="139"/>
        <v>0.21094000244140626</v>
      </c>
      <c r="AE54" s="106">
        <f t="shared" si="139"/>
        <v>0.22155999755859376</v>
      </c>
      <c r="AF54" s="106">
        <f t="shared" si="139"/>
        <v>0.22585000610351563</v>
      </c>
      <c r="AG54" s="106">
        <f t="shared" si="139"/>
        <v>0.27608999633789061</v>
      </c>
      <c r="AH54" s="106">
        <f t="shared" si="139"/>
        <v>0.34627999877929688</v>
      </c>
      <c r="AI54" s="106">
        <f t="shared" si="139"/>
        <v>0.37388000488281248</v>
      </c>
      <c r="AJ54" s="106">
        <f t="shared" si="139"/>
        <v>0.37407000732421875</v>
      </c>
      <c r="AK54" s="106">
        <f t="shared" si="139"/>
        <v>0.38382998657226564</v>
      </c>
      <c r="AL54" s="106">
        <f t="shared" si="139"/>
        <v>0.40870001220703123</v>
      </c>
      <c r="AM54" s="106">
        <f t="shared" si="139"/>
        <v>0.47</v>
      </c>
      <c r="AN54" s="106">
        <f t="shared" si="139"/>
        <v>0.52300000000000002</v>
      </c>
      <c r="AO54" s="106">
        <f t="shared" si="139"/>
        <v>0.56299999999999994</v>
      </c>
      <c r="AP54" s="106">
        <f t="shared" si="139"/>
        <v>0.52709000000000006</v>
      </c>
      <c r="AQ54" s="106">
        <f t="shared" si="139"/>
        <v>0.67749000000000004</v>
      </c>
      <c r="AR54" s="106">
        <f t="shared" si="139"/>
        <v>0.84326999999999996</v>
      </c>
      <c r="AS54" s="106">
        <f t="shared" si="139"/>
        <v>0.99841999999999997</v>
      </c>
      <c r="AT54" s="106">
        <f t="shared" si="139"/>
        <v>3.4202399999999997</v>
      </c>
      <c r="AU54" s="106">
        <f t="shared" si="139"/>
        <v>13.131590000000001</v>
      </c>
      <c r="AV54" s="106">
        <f t="shared" si="139"/>
        <v>25.609569999999998</v>
      </c>
      <c r="AW54" s="106">
        <f t="shared" si="139"/>
        <v>31.287939999999999</v>
      </c>
      <c r="AX54" s="106">
        <f t="shared" si="139"/>
        <v>73.376999999999995</v>
      </c>
      <c r="AY54" s="106">
        <f t="shared" si="139"/>
        <v>101.501</v>
      </c>
      <c r="AZ54" s="106">
        <f t="shared" si="139"/>
        <v>162.21700000000001</v>
      </c>
      <c r="BA54" s="106">
        <f t="shared" si="139"/>
        <v>212.87799999999999</v>
      </c>
      <c r="BB54" s="106">
        <f t="shared" si="139"/>
        <v>377.678</v>
      </c>
      <c r="BC54" s="106">
        <f t="shared" si="139"/>
        <v>426.983</v>
      </c>
      <c r="BD54" s="106">
        <f t="shared" si="139"/>
        <v>454.16699999999997</v>
      </c>
      <c r="BE54" s="106">
        <f ca="1">+BE90</f>
        <v>507.62847806253075</v>
      </c>
      <c r="BF54" s="106">
        <f t="shared" ref="BF54:BQ54" si="140">+BF90</f>
        <v>603</v>
      </c>
      <c r="BG54" s="106">
        <f t="shared" si="140"/>
        <v>692.4</v>
      </c>
      <c r="BH54" s="106">
        <f t="shared" si="140"/>
        <v>758.5</v>
      </c>
      <c r="BI54" s="106">
        <f t="shared" si="140"/>
        <v>967.6</v>
      </c>
      <c r="BJ54" s="106">
        <f t="shared" si="140"/>
        <v>1075.3</v>
      </c>
      <c r="BK54" s="106">
        <f t="shared" si="140"/>
        <v>1208.8</v>
      </c>
      <c r="BL54" s="106">
        <f t="shared" si="140"/>
        <v>1315.6</v>
      </c>
      <c r="BM54" s="106">
        <f t="shared" si="140"/>
        <v>1425.6</v>
      </c>
      <c r="BN54" s="106">
        <f t="shared" si="140"/>
        <v>1373.3</v>
      </c>
      <c r="BO54" s="106">
        <f t="shared" si="140"/>
        <v>1532.8</v>
      </c>
      <c r="BP54" s="106">
        <f t="shared" si="140"/>
        <v>1602</v>
      </c>
      <c r="BQ54" s="106">
        <f t="shared" si="140"/>
        <v>1922.5</v>
      </c>
      <c r="BR54" s="106">
        <f t="shared" ref="BR54:CB54" si="141">+BR90</f>
        <v>2414</v>
      </c>
      <c r="BS54" s="106">
        <f t="shared" si="141"/>
        <v>3269</v>
      </c>
      <c r="BT54" s="106">
        <f t="shared" si="141"/>
        <v>3269</v>
      </c>
      <c r="BU54" s="106">
        <f t="shared" ca="1" si="141"/>
        <v>4095.8267784761756</v>
      </c>
      <c r="BV54" s="106">
        <f t="shared" ca="1" si="141"/>
        <v>4510.0202365420982</v>
      </c>
      <c r="BW54" s="106">
        <f t="shared" ca="1" si="141"/>
        <v>4693.7180108121265</v>
      </c>
      <c r="BX54" s="106">
        <f t="shared" ca="1" si="141"/>
        <v>5130.8386256587255</v>
      </c>
      <c r="BY54" s="106">
        <f t="shared" ca="1" si="141"/>
        <v>5809.4628982931426</v>
      </c>
      <c r="BZ54" s="106">
        <f t="shared" ca="1" si="141"/>
        <v>6650.0020914885208</v>
      </c>
      <c r="CA54" s="106">
        <f t="shared" ca="1" si="141"/>
        <v>7689.3333922755155</v>
      </c>
      <c r="CB54" s="106">
        <f t="shared" ca="1" si="141"/>
        <v>9001.9400684775992</v>
      </c>
      <c r="CC54" s="106">
        <f ca="1">+CC90</f>
        <v>10691.067768609244</v>
      </c>
      <c r="CD54" s="106">
        <f ca="1">+CD90</f>
        <v>12914.571790143114</v>
      </c>
      <c r="CE54" s="106">
        <f ca="1">+CE90</f>
        <v>15919.163024774731</v>
      </c>
      <c r="CF54" s="106">
        <f ca="1">+CF90</f>
        <v>20102.644757178568</v>
      </c>
      <c r="CG54" s="106">
        <f ca="1">+CG90</f>
        <v>26129.558729730092</v>
      </c>
      <c r="CH54" s="141"/>
      <c r="CI54" s="106">
        <f t="shared" ref="CI54:CI60" si="142">BQ54-DA54</f>
        <v>0</v>
      </c>
      <c r="CJ54" s="106">
        <f t="shared" ref="CJ54:CU54" si="143">BR54-DB54</f>
        <v>0</v>
      </c>
      <c r="CK54" s="106">
        <f t="shared" si="143"/>
        <v>0</v>
      </c>
      <c r="CL54" s="106">
        <f t="shared" si="143"/>
        <v>0</v>
      </c>
      <c r="CM54" s="106">
        <f t="shared" ca="1" si="143"/>
        <v>119.89249988830215</v>
      </c>
      <c r="CN54" s="106">
        <f t="shared" ca="1" si="143"/>
        <v>286.61607044013363</v>
      </c>
      <c r="CO54" s="106">
        <f t="shared" ca="1" si="143"/>
        <v>245.07170419532486</v>
      </c>
      <c r="CP54" s="106">
        <f t="shared" ca="1" si="143"/>
        <v>169.55395303719706</v>
      </c>
      <c r="CQ54" s="106">
        <f t="shared" ca="1" si="143"/>
        <v>68.179218787200625</v>
      </c>
      <c r="CR54" s="106">
        <f t="shared" ca="1" si="143"/>
        <v>-79.6294503154013</v>
      </c>
      <c r="CS54" s="106">
        <f t="shared" ca="1" si="143"/>
        <v>-193.96577865100789</v>
      </c>
      <c r="CT54" s="106">
        <f t="shared" ca="1" si="143"/>
        <v>-298.48418985436729</v>
      </c>
      <c r="CU54" s="106">
        <f t="shared" ca="1" si="143"/>
        <v>-530.23376163811554</v>
      </c>
      <c r="CV54" s="106">
        <f t="shared" ca="1" si="132"/>
        <v>-900.7370813653215</v>
      </c>
      <c r="CW54" s="106">
        <f t="shared" ca="1" si="133"/>
        <v>-1478.3798360268811</v>
      </c>
      <c r="CX54" s="106">
        <f t="shared" ca="1" si="134"/>
        <v>-2392.8066367715692</v>
      </c>
      <c r="CY54" s="106">
        <f t="shared" ca="1" si="135"/>
        <v>-3880.1264251880566</v>
      </c>
      <c r="CZ54" s="134"/>
      <c r="DA54" s="135">
        <v>1922.5</v>
      </c>
      <c r="DB54" s="135">
        <v>2414</v>
      </c>
      <c r="DC54" s="135">
        <v>3269</v>
      </c>
      <c r="DD54" s="135">
        <v>3269</v>
      </c>
      <c r="DE54" s="135">
        <v>3975.9342785878735</v>
      </c>
      <c r="DF54" s="135">
        <v>4223.4041661019646</v>
      </c>
      <c r="DG54" s="135">
        <v>4448.6463066168017</v>
      </c>
      <c r="DH54" s="135">
        <v>4961.2846726215284</v>
      </c>
      <c r="DI54" s="135">
        <v>5741.283679505942</v>
      </c>
      <c r="DJ54" s="135">
        <v>6729.6315418039221</v>
      </c>
      <c r="DK54" s="135">
        <v>7883.2991709265234</v>
      </c>
      <c r="DL54" s="135">
        <v>9300.4242583319665</v>
      </c>
      <c r="DM54" s="135">
        <v>11221.30153024736</v>
      </c>
      <c r="DN54" s="135">
        <v>13815.308871508436</v>
      </c>
      <c r="DO54" s="135">
        <v>17397.542860801612</v>
      </c>
      <c r="DP54" s="135">
        <v>22495.451393950138</v>
      </c>
      <c r="DQ54" s="135">
        <v>30009.685154918148</v>
      </c>
    </row>
    <row r="55" spans="1:121" s="123" customFormat="1">
      <c r="A55" s="107" t="s">
        <v>1773</v>
      </c>
      <c r="B55" s="107"/>
      <c r="C55" s="136" t="s">
        <v>1579</v>
      </c>
      <c r="D55" s="147"/>
      <c r="E55" s="107"/>
      <c r="F55" s="106">
        <f t="shared" ref="F55:BD55" si="144">+F132</f>
        <v>-5.5999999999999999E-3</v>
      </c>
      <c r="G55" s="106">
        <f t="shared" si="144"/>
        <v>-1.7999999999999991E-3</v>
      </c>
      <c r="H55" s="106">
        <f t="shared" si="144"/>
        <v>-8.3289800584316238E-3</v>
      </c>
      <c r="I55" s="106">
        <f t="shared" si="144"/>
        <v>-8.2489998936653153E-3</v>
      </c>
      <c r="J55" s="106">
        <f t="shared" si="144"/>
        <v>-6.4983396232128135E-3</v>
      </c>
      <c r="K55" s="106">
        <f t="shared" si="144"/>
        <v>-2.0263000607490537E-2</v>
      </c>
      <c r="L55" s="106">
        <f t="shared" si="144"/>
        <v>-2.510446000099182E-2</v>
      </c>
      <c r="M55" s="106">
        <f t="shared" si="144"/>
        <v>-2.385839956998825E-2</v>
      </c>
      <c r="N55" s="106">
        <f t="shared" si="144"/>
        <v>-2.5298879325389861E-2</v>
      </c>
      <c r="O55" s="106">
        <f t="shared" si="144"/>
        <v>-2.8747240394353869E-2</v>
      </c>
      <c r="P55" s="106">
        <f t="shared" si="144"/>
        <v>-2.8930500507354732E-2</v>
      </c>
      <c r="Q55" s="106">
        <f t="shared" si="144"/>
        <v>-2.993400049209595E-2</v>
      </c>
      <c r="R55" s="106">
        <f t="shared" si="144"/>
        <v>-3.1511998891830442E-2</v>
      </c>
      <c r="S55" s="106">
        <f t="shared" si="144"/>
        <v>-3.6534000873565668E-2</v>
      </c>
      <c r="T55" s="106">
        <f t="shared" si="144"/>
        <v>-7.0074999690055845E-2</v>
      </c>
      <c r="U55" s="106">
        <f t="shared" si="144"/>
        <v>-7.8240997552871699E-2</v>
      </c>
      <c r="V55" s="106">
        <f t="shared" si="144"/>
        <v>-7.1710997104644791E-2</v>
      </c>
      <c r="W55" s="106">
        <f t="shared" si="144"/>
        <v>-8.21499969959259E-2</v>
      </c>
      <c r="X55" s="106">
        <f t="shared" si="144"/>
        <v>-7.3800001621246336E-2</v>
      </c>
      <c r="Y55" s="106">
        <f t="shared" si="144"/>
        <v>-6.3000000476837154E-2</v>
      </c>
      <c r="Z55" s="106">
        <f t="shared" si="144"/>
        <v>-5.2999998092651365E-2</v>
      </c>
      <c r="AA55" s="106">
        <f t="shared" si="144"/>
        <v>-4.4600001096725468E-2</v>
      </c>
      <c r="AB55" s="106">
        <f t="shared" si="144"/>
        <v>-6.4499996185302735E-2</v>
      </c>
      <c r="AC55" s="106">
        <f t="shared" si="144"/>
        <v>-6.1099997520446772E-2</v>
      </c>
      <c r="AD55" s="106">
        <f t="shared" si="144"/>
        <v>-5.3099998712539676E-2</v>
      </c>
      <c r="AE55" s="106">
        <f t="shared" si="144"/>
        <v>-6.9900001764297476E-2</v>
      </c>
      <c r="AF55" s="106">
        <f t="shared" si="144"/>
        <v>-2.7899998426437388E-2</v>
      </c>
      <c r="AG55" s="106">
        <f t="shared" si="144"/>
        <v>2.5899998545646667E-2</v>
      </c>
      <c r="AH55" s="106">
        <f t="shared" si="144"/>
        <v>1.4000000655651094E-2</v>
      </c>
      <c r="AI55" s="106">
        <f t="shared" si="144"/>
        <v>-1.8899998068809508E-2</v>
      </c>
      <c r="AJ55" s="106">
        <f t="shared" si="144"/>
        <v>3.7999997138977049E-3</v>
      </c>
      <c r="AK55" s="106">
        <f t="shared" si="144"/>
        <v>-9.9999904632568429E-5</v>
      </c>
      <c r="AL55" s="106">
        <f t="shared" si="144"/>
        <v>-3.5000000223517421E-3</v>
      </c>
      <c r="AM55" s="106">
        <f t="shared" si="144"/>
        <v>-8.300000451505184E-3</v>
      </c>
      <c r="AN55" s="106">
        <f t="shared" si="144"/>
        <v>-1.5400000236928462E-2</v>
      </c>
      <c r="AO55" s="106">
        <f t="shared" si="144"/>
        <v>-1.1100000143051146E-2</v>
      </c>
      <c r="AP55" s="106">
        <f t="shared" si="144"/>
        <v>-1.5200000000000002E-2</v>
      </c>
      <c r="AQ55" s="106">
        <f t="shared" si="144"/>
        <v>-1.9999999999999997E-2</v>
      </c>
      <c r="AR55" s="106">
        <f t="shared" si="144"/>
        <v>-1.3299999999999999E-2</v>
      </c>
      <c r="AS55" s="106">
        <f t="shared" si="144"/>
        <v>-0.25420000000000004</v>
      </c>
      <c r="AT55" s="106">
        <f t="shared" si="144"/>
        <v>-0.73760000000000003</v>
      </c>
      <c r="AU55" s="106">
        <f t="shared" si="144"/>
        <v>-1.2630000000000003</v>
      </c>
      <c r="AV55" s="106">
        <f t="shared" si="144"/>
        <v>1.0259</v>
      </c>
      <c r="AW55" s="106">
        <f t="shared" si="144"/>
        <v>-1.1513</v>
      </c>
      <c r="AX55" s="106">
        <f t="shared" si="144"/>
        <v>-0.21350000000000025</v>
      </c>
      <c r="AY55" s="106">
        <f t="shared" si="144"/>
        <v>0.29849999999999977</v>
      </c>
      <c r="AZ55" s="106">
        <f t="shared" si="144"/>
        <v>-63.338999999999992</v>
      </c>
      <c r="BA55" s="106">
        <f t="shared" si="144"/>
        <v>-232.20299999999997</v>
      </c>
      <c r="BB55" s="106">
        <f t="shared" si="144"/>
        <v>-101.86100000000002</v>
      </c>
      <c r="BC55" s="106">
        <f t="shared" si="144"/>
        <v>-128</v>
      </c>
      <c r="BD55" s="106">
        <f t="shared" si="144"/>
        <v>-173.101</v>
      </c>
      <c r="BE55" s="106">
        <f ca="1">+BE132</f>
        <v>-152.97112048308702</v>
      </c>
      <c r="BF55" s="106">
        <f t="shared" ref="BF55:BQ55" si="145">+BF132</f>
        <v>-150.62846250000001</v>
      </c>
      <c r="BG55" s="106">
        <f t="shared" si="145"/>
        <v>-7.1859450000000038</v>
      </c>
      <c r="BH55" s="106">
        <f t="shared" si="145"/>
        <v>56.382030000000007</v>
      </c>
      <c r="BI55" s="106">
        <f t="shared" si="145"/>
        <v>13.266360000000006</v>
      </c>
      <c r="BJ55" s="106">
        <f t="shared" si="145"/>
        <v>-288.26694750000007</v>
      </c>
      <c r="BK55" s="106">
        <f t="shared" si="145"/>
        <v>-724.3985325000001</v>
      </c>
      <c r="BL55" s="106">
        <f t="shared" si="145"/>
        <v>-532.03631250000001</v>
      </c>
      <c r="BM55" s="106">
        <f t="shared" si="145"/>
        <v>-362.6138400000001</v>
      </c>
      <c r="BN55" s="106">
        <f t="shared" si="145"/>
        <v>-192.0858375</v>
      </c>
      <c r="BO55" s="106">
        <f t="shared" si="145"/>
        <v>-77.663482500000015</v>
      </c>
      <c r="BP55" s="106">
        <f t="shared" si="145"/>
        <v>-1141.3999999999999</v>
      </c>
      <c r="BQ55" s="106">
        <f t="shared" si="145"/>
        <v>-3429.8169999999996</v>
      </c>
      <c r="BR55" s="106">
        <f t="shared" ref="BR55:BZ55" si="146">+BR132</f>
        <v>-2916.3690000000001</v>
      </c>
      <c r="BS55" s="106">
        <f t="shared" si="146"/>
        <v>-3387.4199999999996</v>
      </c>
      <c r="BT55" s="106">
        <f t="shared" si="146"/>
        <v>-4930.8399999999992</v>
      </c>
      <c r="BU55" s="106">
        <f t="shared" si="146"/>
        <v>-8026.7356785441416</v>
      </c>
      <c r="BV55" s="106">
        <f t="shared" si="146"/>
        <v>-8166.8751906591669</v>
      </c>
      <c r="BW55" s="106">
        <f t="shared" si="146"/>
        <v>-8309.8174930164932</v>
      </c>
      <c r="BX55" s="106">
        <f t="shared" si="146"/>
        <v>-8455.6186414209642</v>
      </c>
      <c r="BY55" s="106">
        <f t="shared" si="146"/>
        <v>-8604.3358127935262</v>
      </c>
      <c r="BZ55" s="106">
        <f t="shared" si="146"/>
        <v>-8756.0273275935378</v>
      </c>
      <c r="CA55" s="106">
        <f t="shared" ref="CA55:CG55" si="147">+CA132</f>
        <v>-8910.7526726895521</v>
      </c>
      <c r="CB55" s="106">
        <f t="shared" si="147"/>
        <v>-9068.5725246874863</v>
      </c>
      <c r="CC55" s="106">
        <f t="shared" si="147"/>
        <v>-9229.548773725377</v>
      </c>
      <c r="CD55" s="106">
        <f t="shared" si="147"/>
        <v>-9393.7445477440269</v>
      </c>
      <c r="CE55" s="106">
        <f t="shared" si="147"/>
        <v>-9561.2242372430483</v>
      </c>
      <c r="CF55" s="106">
        <f t="shared" si="147"/>
        <v>-9732.0535205320502</v>
      </c>
      <c r="CG55" s="106">
        <f t="shared" si="147"/>
        <v>-9906.2993894868341</v>
      </c>
      <c r="CH55" s="141"/>
      <c r="CI55" s="106">
        <f t="shared" si="142"/>
        <v>0</v>
      </c>
      <c r="CJ55" s="106">
        <f t="shared" ref="CJ55:CU55" si="148">BR55-DB55</f>
        <v>0</v>
      </c>
      <c r="CK55" s="106">
        <f t="shared" si="148"/>
        <v>0</v>
      </c>
      <c r="CL55" s="106">
        <f t="shared" si="148"/>
        <v>0</v>
      </c>
      <c r="CM55" s="106">
        <f t="shared" si="148"/>
        <v>-899.56316892831637</v>
      </c>
      <c r="CN55" s="106">
        <f t="shared" si="148"/>
        <v>-813.30181705299401</v>
      </c>
      <c r="CO55" s="106">
        <f t="shared" si="148"/>
        <v>-727.39081395795893</v>
      </c>
      <c r="CP55" s="106">
        <f t="shared" si="148"/>
        <v>-641.83716661881681</v>
      </c>
      <c r="CQ55" s="106">
        <f t="shared" si="148"/>
        <v>-556.64802215068539</v>
      </c>
      <c r="CR55" s="106">
        <f t="shared" si="148"/>
        <v>-471.83067061098518</v>
      </c>
      <c r="CS55" s="106">
        <f t="shared" si="148"/>
        <v>-387.3925478582878</v>
      </c>
      <c r="CT55" s="106">
        <f t="shared" si="148"/>
        <v>-303.34123846833063</v>
      </c>
      <c r="CU55" s="106">
        <f t="shared" si="148"/>
        <v>-219.68447870836462</v>
      </c>
      <c r="CV55" s="106">
        <f t="shared" si="132"/>
        <v>-136.43015957099487</v>
      </c>
      <c r="CW55" s="106">
        <f t="shared" si="133"/>
        <v>-53.586329868670873</v>
      </c>
      <c r="CX55" s="106">
        <f t="shared" si="134"/>
        <v>28.838800609906684</v>
      </c>
      <c r="CY55" s="106">
        <f t="shared" si="135"/>
        <v>110.83685788026014</v>
      </c>
      <c r="CZ55" s="134"/>
      <c r="DA55" s="135">
        <v>-3429.8169999999996</v>
      </c>
      <c r="DB55" s="135">
        <v>-2916.3690000000001</v>
      </c>
      <c r="DC55" s="135">
        <v>-3387.4199999999996</v>
      </c>
      <c r="DD55" s="135">
        <v>-4930.8399999999992</v>
      </c>
      <c r="DE55" s="135">
        <v>-7127.1725096158252</v>
      </c>
      <c r="DF55" s="135">
        <v>-7353.5733736061729</v>
      </c>
      <c r="DG55" s="135">
        <v>-7582.4266790585343</v>
      </c>
      <c r="DH55" s="135">
        <v>-7813.7814748021474</v>
      </c>
      <c r="DI55" s="135">
        <v>-8047.6877906428408</v>
      </c>
      <c r="DJ55" s="135">
        <v>-8284.1966569825527</v>
      </c>
      <c r="DK55" s="135">
        <v>-8523.3601248312643</v>
      </c>
      <c r="DL55" s="135">
        <v>-8765.2312862191557</v>
      </c>
      <c r="DM55" s="135">
        <v>-9009.8642950170124</v>
      </c>
      <c r="DN55" s="135">
        <v>-9257.3143881730321</v>
      </c>
      <c r="DO55" s="135">
        <v>-9507.6379073743774</v>
      </c>
      <c r="DP55" s="135">
        <v>-9760.8923211419569</v>
      </c>
      <c r="DQ55" s="135">
        <v>-10017.136247367094</v>
      </c>
    </row>
    <row r="56" spans="1:121" s="123" customFormat="1">
      <c r="A56" s="107" t="s">
        <v>2388</v>
      </c>
      <c r="B56" s="107"/>
      <c r="C56" s="136" t="s">
        <v>1579</v>
      </c>
      <c r="D56" s="147"/>
      <c r="E56" s="107"/>
      <c r="F56" s="106">
        <f t="shared" ref="F56:BD56" si="149">F96</f>
        <v>4.1000000000000003E-3</v>
      </c>
      <c r="G56" s="106">
        <f t="shared" si="149"/>
        <v>4.7000000000000002E-3</v>
      </c>
      <c r="H56" s="106">
        <f t="shared" si="149"/>
        <v>4.8292470574378974E-3</v>
      </c>
      <c r="I56" s="106">
        <f t="shared" si="149"/>
        <v>5.9897927641868586E-3</v>
      </c>
      <c r="J56" s="106">
        <f t="shared" si="149"/>
        <v>6.753330677747727E-3</v>
      </c>
      <c r="K56" s="106">
        <f t="shared" si="149"/>
        <v>7.2904055714607232E-3</v>
      </c>
      <c r="L56" s="106">
        <f t="shared" si="149"/>
        <v>8.8194810152053826E-3</v>
      </c>
      <c r="M56" s="106">
        <f t="shared" si="149"/>
        <v>1.004525649547577E-2</v>
      </c>
      <c r="N56" s="106">
        <f t="shared" si="149"/>
        <v>1.0446951687335969E-2</v>
      </c>
      <c r="O56" s="106">
        <f t="shared" si="149"/>
        <v>1.040953904390335E-2</v>
      </c>
      <c r="P56" s="106">
        <f t="shared" si="149"/>
        <v>1.1362777173519134E-2</v>
      </c>
      <c r="Q56" s="106">
        <f t="shared" si="149"/>
        <v>1.2724199533462524E-2</v>
      </c>
      <c r="R56" s="106">
        <f t="shared" si="149"/>
        <v>1.4160399675369263E-2</v>
      </c>
      <c r="S56" s="106">
        <f t="shared" si="149"/>
        <v>1.424910032749176E-2</v>
      </c>
      <c r="T56" s="106">
        <f t="shared" si="149"/>
        <v>1.5318400204181671E-2</v>
      </c>
      <c r="U56" s="106">
        <f t="shared" si="149"/>
        <v>1.7935500204563141E-2</v>
      </c>
      <c r="V56" s="106">
        <f t="shared" si="149"/>
        <v>2.0518899321556091E-2</v>
      </c>
      <c r="W56" s="106">
        <f t="shared" si="149"/>
        <v>2.0279100358486176E-2</v>
      </c>
      <c r="X56" s="106">
        <f t="shared" si="149"/>
        <v>2.431570015102625E-2</v>
      </c>
      <c r="Y56" s="106">
        <f t="shared" si="149"/>
        <v>2.4016500093042851E-2</v>
      </c>
      <c r="Z56" s="106">
        <f t="shared" si="149"/>
        <v>2.8770999908447267E-2</v>
      </c>
      <c r="AA56" s="106">
        <f t="shared" si="149"/>
        <v>2.1100000739097596E-2</v>
      </c>
      <c r="AB56" s="106">
        <f t="shared" si="149"/>
        <v>1.0000000357627868E-2</v>
      </c>
      <c r="AC56" s="106">
        <f t="shared" si="149"/>
        <v>2.6299999594688418E-2</v>
      </c>
      <c r="AD56" s="106">
        <f t="shared" si="149"/>
        <v>4.0400000572204588E-2</v>
      </c>
      <c r="AE56" s="106">
        <f t="shared" si="149"/>
        <v>3.289999997615814E-2</v>
      </c>
      <c r="AF56" s="106">
        <f t="shared" si="149"/>
        <v>3.5000000000000003E-2</v>
      </c>
      <c r="AG56" s="106">
        <f t="shared" si="149"/>
        <v>3.5900001525878911E-2</v>
      </c>
      <c r="AH56" s="106">
        <f t="shared" si="149"/>
        <v>3.2000000000000001E-2</v>
      </c>
      <c r="AI56" s="106">
        <f t="shared" si="149"/>
        <v>3.5799999237060551E-2</v>
      </c>
      <c r="AJ56" s="106">
        <f t="shared" si="149"/>
        <v>5.0200000762939456E-2</v>
      </c>
      <c r="AK56" s="106">
        <f t="shared" si="149"/>
        <v>4.9400001525878909E-2</v>
      </c>
      <c r="AL56" s="106">
        <f t="shared" si="149"/>
        <v>2.8299999237060544E-2</v>
      </c>
      <c r="AM56" s="106">
        <f t="shared" si="149"/>
        <v>2.6899999618530276E-2</v>
      </c>
      <c r="AN56" s="106">
        <f t="shared" si="149"/>
        <v>5.9299999237060551E-2</v>
      </c>
      <c r="AO56" s="106">
        <f t="shared" si="149"/>
        <v>5.2400001525878911E-2</v>
      </c>
      <c r="AP56" s="106">
        <f t="shared" si="149"/>
        <v>0.11</v>
      </c>
      <c r="AQ56" s="106">
        <f t="shared" si="149"/>
        <v>0.20599999999999999</v>
      </c>
      <c r="AR56" s="106">
        <f t="shared" si="149"/>
        <v>0.20599999999999999</v>
      </c>
      <c r="AS56" s="106">
        <f t="shared" si="149"/>
        <v>0.33</v>
      </c>
      <c r="AT56" s="106">
        <f t="shared" si="149"/>
        <v>2.2730000000000001</v>
      </c>
      <c r="AU56" s="106">
        <f t="shared" si="149"/>
        <v>11.994062111801242</v>
      </c>
      <c r="AV56" s="106">
        <f t="shared" si="149"/>
        <v>15.35726</v>
      </c>
      <c r="AW56" s="106">
        <f t="shared" si="149"/>
        <v>10.82249</v>
      </c>
      <c r="AX56" s="106">
        <f t="shared" si="149"/>
        <v>20.556999999999999</v>
      </c>
      <c r="AY56" s="106">
        <f t="shared" si="149"/>
        <v>20.725999999999999</v>
      </c>
      <c r="AZ56" s="106">
        <f t="shared" si="149"/>
        <v>41.378999999999998</v>
      </c>
      <c r="BA56" s="106">
        <f t="shared" si="149"/>
        <v>116.916</v>
      </c>
      <c r="BB56" s="106">
        <f t="shared" si="149"/>
        <v>129.059</v>
      </c>
      <c r="BC56" s="106">
        <f t="shared" si="149"/>
        <v>135.66129999999998</v>
      </c>
      <c r="BD56" s="106">
        <f t="shared" si="149"/>
        <v>189.285</v>
      </c>
      <c r="BE56" s="106">
        <f ca="1">BE96</f>
        <v>209.02081638360252</v>
      </c>
      <c r="BF56" s="106">
        <f t="shared" ref="BF56:BQ56" si="150">BF96</f>
        <v>108.4</v>
      </c>
      <c r="BG56" s="106">
        <f t="shared" si="150"/>
        <v>97.2</v>
      </c>
      <c r="BH56" s="106">
        <f t="shared" si="150"/>
        <v>61.6</v>
      </c>
      <c r="BI56" s="106">
        <f t="shared" si="150"/>
        <v>133.30000000000001</v>
      </c>
      <c r="BJ56" s="106">
        <f t="shared" si="150"/>
        <v>103.6</v>
      </c>
      <c r="BK56" s="106">
        <f t="shared" si="150"/>
        <v>139.80000000000001</v>
      </c>
      <c r="BL56" s="106">
        <f t="shared" si="150"/>
        <v>140.6</v>
      </c>
      <c r="BM56" s="106">
        <f t="shared" si="150"/>
        <v>225.7</v>
      </c>
      <c r="BN56" s="106">
        <f t="shared" si="150"/>
        <v>152.80000000000001</v>
      </c>
      <c r="BO56" s="106">
        <f t="shared" si="150"/>
        <v>248.9</v>
      </c>
      <c r="BP56" s="106">
        <f t="shared" si="150"/>
        <v>516</v>
      </c>
      <c r="BQ56" s="106">
        <f t="shared" si="150"/>
        <v>1031</v>
      </c>
      <c r="BR56" s="106">
        <f t="shared" ref="BR56:CB56" si="151">BR96</f>
        <v>1010</v>
      </c>
      <c r="BS56" s="106">
        <f t="shared" si="151"/>
        <v>893</v>
      </c>
      <c r="BT56" s="106">
        <f t="shared" si="151"/>
        <v>1242</v>
      </c>
      <c r="BU56" s="106">
        <f t="shared" ca="1" si="151"/>
        <v>1662.6612490138846</v>
      </c>
      <c r="BV56" s="106">
        <f t="shared" ca="1" si="151"/>
        <v>1657.9911069580469</v>
      </c>
      <c r="BW56" s="106">
        <f t="shared" ca="1" si="151"/>
        <v>1757.9895763320087</v>
      </c>
      <c r="BX56" s="106">
        <f t="shared" ca="1" si="151"/>
        <v>1864.5389249258133</v>
      </c>
      <c r="BY56" s="106">
        <f t="shared" ca="1" si="151"/>
        <v>1983.1337574409831</v>
      </c>
      <c r="BZ56" s="106">
        <f t="shared" ca="1" si="151"/>
        <v>2118.4585866671478</v>
      </c>
      <c r="CA56" s="106">
        <f t="shared" ca="1" si="151"/>
        <v>2276.4767794769041</v>
      </c>
      <c r="CB56" s="106">
        <f t="shared" ca="1" si="151"/>
        <v>2465.8136505757843</v>
      </c>
      <c r="CC56" s="106">
        <f ca="1">CC96</f>
        <v>2698.0939773909727</v>
      </c>
      <c r="CD56" s="106">
        <f ca="1">CD96</f>
        <v>2989.2539045329754</v>
      </c>
      <c r="CE56" s="106">
        <f ca="1">CE96</f>
        <v>3361.3590972078673</v>
      </c>
      <c r="CF56" s="106">
        <f ca="1">CF96</f>
        <v>3845.2467879633468</v>
      </c>
      <c r="CG56" s="106">
        <f ca="1">CG96</f>
        <v>4484.3767783981693</v>
      </c>
      <c r="CH56" s="141"/>
      <c r="CI56" s="106">
        <f t="shared" si="142"/>
        <v>0</v>
      </c>
      <c r="CJ56" s="106">
        <f t="shared" ref="CJ56:CU61" si="152">BR56-DB56</f>
        <v>0</v>
      </c>
      <c r="CK56" s="106">
        <f t="shared" si="152"/>
        <v>0</v>
      </c>
      <c r="CL56" s="106">
        <f t="shared" si="152"/>
        <v>0</v>
      </c>
      <c r="CM56" s="106">
        <f t="shared" ca="1" si="152"/>
        <v>-19.713549562798107</v>
      </c>
      <c r="CN56" s="106">
        <f t="shared" ca="1" si="152"/>
        <v>-177.66238691185958</v>
      </c>
      <c r="CO56" s="106">
        <f t="shared" ca="1" si="152"/>
        <v>-332.25681136459161</v>
      </c>
      <c r="CP56" s="106">
        <f t="shared" ca="1" si="152"/>
        <v>-495.82581927571937</v>
      </c>
      <c r="CQ56" s="106">
        <f t="shared" ca="1" si="152"/>
        <v>-669.64560292469469</v>
      </c>
      <c r="CR56" s="106">
        <f t="shared" ca="1" si="152"/>
        <v>-722.73573180619906</v>
      </c>
      <c r="CS56" s="106">
        <f t="shared" ca="1" si="152"/>
        <v>-785.79450893755438</v>
      </c>
      <c r="CT56" s="106">
        <f t="shared" ca="1" si="152"/>
        <v>-855.07068710557678</v>
      </c>
      <c r="CU56" s="106">
        <f t="shared" ca="1" si="152"/>
        <v>-938.40285320938938</v>
      </c>
      <c r="CV56" s="106">
        <f t="shared" ca="1" si="132"/>
        <v>-1043.111242751505</v>
      </c>
      <c r="CW56" s="106">
        <f t="shared" ca="1" si="133"/>
        <v>-1179.9384239767178</v>
      </c>
      <c r="CX56" s="106">
        <f t="shared" ca="1" si="134"/>
        <v>-1365.6344397863113</v>
      </c>
      <c r="CY56" s="106">
        <f t="shared" ca="1" si="135"/>
        <v>-1626.9209510734181</v>
      </c>
      <c r="CZ56" s="134"/>
      <c r="DA56" s="135">
        <v>1031</v>
      </c>
      <c r="DB56" s="135">
        <v>1010</v>
      </c>
      <c r="DC56" s="135">
        <v>893</v>
      </c>
      <c r="DD56" s="135">
        <v>1242</v>
      </c>
      <c r="DE56" s="135">
        <v>1682.3747985766827</v>
      </c>
      <c r="DF56" s="135">
        <v>1835.6534938699065</v>
      </c>
      <c r="DG56" s="135">
        <v>2090.2463876966003</v>
      </c>
      <c r="DH56" s="135">
        <v>2360.3647442015326</v>
      </c>
      <c r="DI56" s="135">
        <v>2652.7793603656778</v>
      </c>
      <c r="DJ56" s="135">
        <v>2841.1943184733468</v>
      </c>
      <c r="DK56" s="135">
        <v>3062.2712884144585</v>
      </c>
      <c r="DL56" s="135">
        <v>3320.8843376813611</v>
      </c>
      <c r="DM56" s="135">
        <v>3636.496830600362</v>
      </c>
      <c r="DN56" s="135">
        <v>4032.3651472844804</v>
      </c>
      <c r="DO56" s="135">
        <v>4541.2975211845851</v>
      </c>
      <c r="DP56" s="135">
        <v>5210.8812277496581</v>
      </c>
      <c r="DQ56" s="135">
        <v>6111.2977294715874</v>
      </c>
    </row>
    <row r="57" spans="1:121" s="123" customFormat="1">
      <c r="A57" s="107" t="s">
        <v>1762</v>
      </c>
      <c r="B57" s="107"/>
      <c r="C57" s="136" t="s">
        <v>1579</v>
      </c>
      <c r="D57" s="147"/>
      <c r="E57" s="107"/>
      <c r="F57" s="123">
        <f t="shared" ref="F57:BD57" si="153">+F92</f>
        <v>7.0000000000000001E-3</v>
      </c>
      <c r="G57" s="123">
        <f t="shared" si="153"/>
        <v>8.0999999999999996E-3</v>
      </c>
      <c r="H57" s="123">
        <f t="shared" si="153"/>
        <v>8.1667897701263436E-3</v>
      </c>
      <c r="I57" s="123">
        <f t="shared" si="153"/>
        <v>9.7948088645935065E-3</v>
      </c>
      <c r="J57" s="123">
        <f t="shared" si="153"/>
        <v>1.1438936233520509E-2</v>
      </c>
      <c r="K57" s="123">
        <f t="shared" si="153"/>
        <v>1.2171697616577149E-2</v>
      </c>
      <c r="L57" s="123">
        <f t="shared" si="153"/>
        <v>1.5201036453247069E-2</v>
      </c>
      <c r="M57" s="123">
        <f t="shared" si="153"/>
        <v>1.6100667476654052E-2</v>
      </c>
      <c r="N57" s="123">
        <f t="shared" si="153"/>
        <v>1.6839378356933596E-2</v>
      </c>
      <c r="O57" s="123">
        <f t="shared" si="153"/>
        <v>1.6508435726165772E-2</v>
      </c>
      <c r="P57" s="123">
        <f t="shared" si="153"/>
        <v>1.7559517383575439E-2</v>
      </c>
      <c r="Q57" s="123">
        <f t="shared" si="153"/>
        <v>2.0060199737548828E-2</v>
      </c>
      <c r="R57" s="123">
        <f t="shared" si="153"/>
        <v>2.1496399879455567E-2</v>
      </c>
      <c r="S57" s="123">
        <f t="shared" si="153"/>
        <v>2.0969100475311281E-2</v>
      </c>
      <c r="T57" s="123">
        <f t="shared" si="153"/>
        <v>2.287839984893799E-2</v>
      </c>
      <c r="U57" s="123">
        <f t="shared" si="153"/>
        <v>2.6783499717712402E-2</v>
      </c>
      <c r="V57" s="123">
        <f t="shared" si="153"/>
        <v>3.0150898933410643E-2</v>
      </c>
      <c r="W57" s="123">
        <f t="shared" si="153"/>
        <v>2.9183100700378418E-2</v>
      </c>
      <c r="X57" s="123">
        <f t="shared" si="153"/>
        <v>3.8115699768066405E-2</v>
      </c>
      <c r="Y57" s="123">
        <f t="shared" si="153"/>
        <v>4.1016500473022466E-2</v>
      </c>
      <c r="Z57" s="123">
        <f t="shared" si="153"/>
        <v>5.0770999908447266E-2</v>
      </c>
      <c r="AA57" s="123">
        <f t="shared" si="153"/>
        <v>4.7900001525878907E-2</v>
      </c>
      <c r="AB57" s="123">
        <f t="shared" si="153"/>
        <v>4.2100000381469729E-2</v>
      </c>
      <c r="AC57" s="123">
        <f t="shared" si="153"/>
        <v>6.0399999618530271E-2</v>
      </c>
      <c r="AD57" s="123">
        <f t="shared" si="153"/>
        <v>6.1200000762939452E-2</v>
      </c>
      <c r="AE57" s="123">
        <f t="shared" si="153"/>
        <v>5.6899999618530275E-2</v>
      </c>
      <c r="AF57" s="123">
        <f t="shared" si="153"/>
        <v>5.9100000381469731E-2</v>
      </c>
      <c r="AG57" s="123">
        <f t="shared" si="153"/>
        <v>6.3000001907348641E-2</v>
      </c>
      <c r="AH57" s="123">
        <f t="shared" si="153"/>
        <v>6.2799999237060547E-2</v>
      </c>
      <c r="AI57" s="123">
        <f t="shared" si="153"/>
        <v>6.6599998474121097E-2</v>
      </c>
      <c r="AJ57" s="123">
        <f t="shared" si="153"/>
        <v>7.9300001144409188E-2</v>
      </c>
      <c r="AK57" s="123">
        <f t="shared" si="153"/>
        <v>6.8400001525878912E-2</v>
      </c>
      <c r="AL57" s="123">
        <f t="shared" si="153"/>
        <v>5.7799999237060543E-2</v>
      </c>
      <c r="AM57" s="123">
        <f t="shared" si="153"/>
        <v>4.9899999618530276E-2</v>
      </c>
      <c r="AN57" s="123">
        <f t="shared" si="153"/>
        <v>8.0299999237060549E-2</v>
      </c>
      <c r="AO57" s="123">
        <f t="shared" si="153"/>
        <v>8.240000152587891E-2</v>
      </c>
      <c r="AP57" s="123">
        <f t="shared" si="153"/>
        <v>0.14326</v>
      </c>
      <c r="AQ57" s="123">
        <f t="shared" si="153"/>
        <v>0.23905999999999999</v>
      </c>
      <c r="AR57" s="123">
        <f t="shared" si="153"/>
        <v>0.24507999999999999</v>
      </c>
      <c r="AS57" s="123">
        <f t="shared" si="153"/>
        <v>0.48209999999999997</v>
      </c>
      <c r="AT57" s="123">
        <f t="shared" si="153"/>
        <v>2.7725</v>
      </c>
      <c r="AU57" s="123">
        <f t="shared" si="153"/>
        <v>12.784962111801242</v>
      </c>
      <c r="AV57" s="123">
        <f t="shared" si="153"/>
        <v>20.341999999999999</v>
      </c>
      <c r="AW57" s="123">
        <f t="shared" si="153"/>
        <v>16.562000000000001</v>
      </c>
      <c r="AX57" s="123">
        <f t="shared" si="153"/>
        <v>21.556999999999999</v>
      </c>
      <c r="AY57" s="123">
        <f t="shared" si="153"/>
        <v>24.225999999999999</v>
      </c>
      <c r="AZ57" s="123">
        <f t="shared" si="153"/>
        <v>51.878999999999998</v>
      </c>
      <c r="BA57" s="123">
        <f t="shared" si="153"/>
        <v>133.21600000000001</v>
      </c>
      <c r="BB57" s="123">
        <f t="shared" si="153"/>
        <v>134.65899999999999</v>
      </c>
      <c r="BC57" s="123">
        <f t="shared" si="153"/>
        <v>139.36129999999997</v>
      </c>
      <c r="BD57" s="123">
        <f t="shared" si="153"/>
        <v>193.62799999999999</v>
      </c>
      <c r="BE57" s="123">
        <f ca="1">+BE92</f>
        <v>213.6588182170812</v>
      </c>
      <c r="BF57" s="123">
        <f t="shared" ref="BF57:BQ57" si="154">+BF92</f>
        <v>338.6</v>
      </c>
      <c r="BG57" s="123">
        <f t="shared" si="154"/>
        <v>391.7</v>
      </c>
      <c r="BH57" s="123">
        <f t="shared" si="154"/>
        <v>435.6</v>
      </c>
      <c r="BI57" s="123">
        <f t="shared" si="154"/>
        <v>499.9</v>
      </c>
      <c r="BJ57" s="123">
        <f t="shared" si="154"/>
        <v>535.20000000000005</v>
      </c>
      <c r="BK57" s="123">
        <f t="shared" si="154"/>
        <v>783.6</v>
      </c>
      <c r="BL57" s="123">
        <f t="shared" si="154"/>
        <v>978.6</v>
      </c>
      <c r="BM57" s="123">
        <f t="shared" si="154"/>
        <v>1502.2</v>
      </c>
      <c r="BN57" s="123">
        <f t="shared" si="154"/>
        <v>1375.6</v>
      </c>
      <c r="BO57" s="123">
        <f t="shared" si="154"/>
        <v>1384.9</v>
      </c>
      <c r="BP57" s="123">
        <f t="shared" si="154"/>
        <v>1770</v>
      </c>
      <c r="BQ57" s="123">
        <f t="shared" si="154"/>
        <v>2404</v>
      </c>
      <c r="BR57" s="123">
        <f t="shared" ref="BR57:CB57" si="155">+BR92</f>
        <v>3501</v>
      </c>
      <c r="BS57" s="123">
        <f t="shared" si="155"/>
        <v>3917</v>
      </c>
      <c r="BT57" s="123">
        <f t="shared" si="155"/>
        <v>2919</v>
      </c>
      <c r="BU57" s="123">
        <f t="shared" ca="1" si="155"/>
        <v>3884.9968770204046</v>
      </c>
      <c r="BV57" s="123">
        <f t="shared" ca="1" si="155"/>
        <v>4772.4962946048754</v>
      </c>
      <c r="BW57" s="123">
        <f t="shared" ca="1" si="155"/>
        <v>5852.8910451950942</v>
      </c>
      <c r="BX57" s="123">
        <f t="shared" ca="1" si="155"/>
        <v>6636.0730285986729</v>
      </c>
      <c r="BY57" s="123">
        <f t="shared" ca="1" si="155"/>
        <v>7597.4977257152204</v>
      </c>
      <c r="BZ57" s="123">
        <f t="shared" ca="1" si="155"/>
        <v>8793.8078158234403</v>
      </c>
      <c r="CA57" s="123">
        <f t="shared" ca="1" si="155"/>
        <v>10281.895533672599</v>
      </c>
      <c r="CB57" s="123">
        <f t="shared" ca="1" si="155"/>
        <v>12171.905026810864</v>
      </c>
      <c r="CC57" s="123">
        <f ca="1">+CC92</f>
        <v>14618.069305788966</v>
      </c>
      <c r="CD57" s="123">
        <f ca="1">+CD92</f>
        <v>17856.8115504413</v>
      </c>
      <c r="CE57" s="123">
        <f ca="1">+CE92</f>
        <v>22259.094836143689</v>
      </c>
      <c r="CF57" s="123">
        <f ca="1">+CF92</f>
        <v>28425.764120308799</v>
      </c>
      <c r="CG57" s="123">
        <f ca="1">+CG92</f>
        <v>37365.512390425836</v>
      </c>
      <c r="CH57" s="141"/>
      <c r="CI57" s="106">
        <f t="shared" si="142"/>
        <v>0</v>
      </c>
      <c r="CJ57" s="106">
        <f t="shared" si="152"/>
        <v>0</v>
      </c>
      <c r="CK57" s="106">
        <f t="shared" si="152"/>
        <v>0</v>
      </c>
      <c r="CL57" s="106">
        <f t="shared" si="152"/>
        <v>0</v>
      </c>
      <c r="CM57" s="106">
        <f t="shared" ca="1" si="152"/>
        <v>113.72111488990186</v>
      </c>
      <c r="CN57" s="106">
        <f t="shared" ca="1" si="152"/>
        <v>303.29667327579864</v>
      </c>
      <c r="CO57" s="106">
        <f t="shared" ca="1" si="152"/>
        <v>305.59526149874819</v>
      </c>
      <c r="CP57" s="106">
        <f t="shared" ca="1" si="152"/>
        <v>219.29600533830308</v>
      </c>
      <c r="CQ57" s="106">
        <f t="shared" ca="1" si="152"/>
        <v>89.163399223891247</v>
      </c>
      <c r="CR57" s="106">
        <f t="shared" ca="1" si="152"/>
        <v>-105.30012967206858</v>
      </c>
      <c r="CS57" s="106">
        <f t="shared" ca="1" si="152"/>
        <v>-259.36394892182761</v>
      </c>
      <c r="CT57" s="106">
        <f t="shared" ca="1" si="152"/>
        <v>-403.5931347325859</v>
      </c>
      <c r="CU57" s="106">
        <f t="shared" ca="1" si="152"/>
        <v>-724.99716994157279</v>
      </c>
      <c r="CV57" s="106">
        <f t="shared" ca="1" si="132"/>
        <v>-1245.4375243561444</v>
      </c>
      <c r="CW57" s="106">
        <f t="shared" ca="1" si="133"/>
        <v>-2067.1562269165988</v>
      </c>
      <c r="CX57" s="106">
        <f t="shared" ca="1" si="134"/>
        <v>-3383.5029103863853</v>
      </c>
      <c r="CY57" s="106">
        <f t="shared" ca="1" si="135"/>
        <v>-5548.6169328923279</v>
      </c>
      <c r="CZ57" s="134"/>
      <c r="DA57" s="135">
        <v>2404</v>
      </c>
      <c r="DB57" s="135">
        <v>3501</v>
      </c>
      <c r="DC57" s="135">
        <v>3917</v>
      </c>
      <c r="DD57" s="135">
        <v>2919</v>
      </c>
      <c r="DE57" s="135">
        <v>3771.2757621305027</v>
      </c>
      <c r="DF57" s="135">
        <v>4469.1996213290768</v>
      </c>
      <c r="DG57" s="135">
        <v>5547.295783696346</v>
      </c>
      <c r="DH57" s="135">
        <v>6416.7770232603698</v>
      </c>
      <c r="DI57" s="135">
        <v>7508.3343264913292</v>
      </c>
      <c r="DJ57" s="135">
        <v>8899.1079454955088</v>
      </c>
      <c r="DK57" s="135">
        <v>10541.259482594427</v>
      </c>
      <c r="DL57" s="135">
        <v>12575.49816154345</v>
      </c>
      <c r="DM57" s="135">
        <v>15343.066475730539</v>
      </c>
      <c r="DN57" s="135">
        <v>19102.249074797444</v>
      </c>
      <c r="DO57" s="135">
        <v>24326.251063060288</v>
      </c>
      <c r="DP57" s="135">
        <v>31809.267030695184</v>
      </c>
      <c r="DQ57" s="135">
        <v>42914.129323318164</v>
      </c>
    </row>
    <row r="58" spans="1:121" s="123" customFormat="1">
      <c r="A58" s="107" t="s">
        <v>1763</v>
      </c>
      <c r="B58" s="107"/>
      <c r="C58" s="136" t="s">
        <v>1579</v>
      </c>
      <c r="D58" s="147"/>
      <c r="E58" s="107"/>
      <c r="F58" s="106">
        <f t="shared" ref="F58:BD58" si="156">+F84</f>
        <v>2.9000000000000002E-3</v>
      </c>
      <c r="G58" s="106">
        <f t="shared" si="156"/>
        <v>3.7000000000000002E-3</v>
      </c>
      <c r="H58" s="106">
        <f t="shared" si="156"/>
        <v>3.1919999569654462E-3</v>
      </c>
      <c r="I58" s="106">
        <f t="shared" si="156"/>
        <v>3.6159999519586564E-3</v>
      </c>
      <c r="J58" s="106">
        <f t="shared" si="156"/>
        <v>1.0579999923706056E-2</v>
      </c>
      <c r="K58" s="106">
        <f t="shared" si="156"/>
        <v>1.1524000406265259E-2</v>
      </c>
      <c r="L58" s="106">
        <f t="shared" si="156"/>
        <v>1.52319997549057E-2</v>
      </c>
      <c r="M58" s="106">
        <f t="shared" si="156"/>
        <v>9.4000000953674313E-3</v>
      </c>
      <c r="N58" s="106">
        <f t="shared" si="156"/>
        <v>1.8747999906539917E-2</v>
      </c>
      <c r="O58" s="106">
        <f t="shared" si="156"/>
        <v>9.972000062465668E-3</v>
      </c>
      <c r="P58" s="106">
        <f t="shared" si="156"/>
        <v>1.7683999657630921E-2</v>
      </c>
      <c r="Q58" s="106">
        <f t="shared" si="156"/>
        <v>7.1279999017715458E-3</v>
      </c>
      <c r="R58" s="106">
        <f t="shared" si="156"/>
        <v>7.5679998695850374E-3</v>
      </c>
      <c r="S58" s="106">
        <f t="shared" si="156"/>
        <v>1.0435999751091003E-2</v>
      </c>
      <c r="T58" s="106">
        <f t="shared" si="156"/>
        <v>1.111600023508072E-2</v>
      </c>
      <c r="U58" s="106">
        <f t="shared" si="156"/>
        <v>1.1575999855995178E-2</v>
      </c>
      <c r="V58" s="106">
        <f t="shared" si="156"/>
        <v>1.2420000314712524E-2</v>
      </c>
      <c r="W58" s="106">
        <f t="shared" si="156"/>
        <v>1.6299999952316284E-2</v>
      </c>
      <c r="X58" s="106">
        <f t="shared" si="156"/>
        <v>2.6540000677108766E-2</v>
      </c>
      <c r="Y58" s="106">
        <f t="shared" si="156"/>
        <v>2.7899999260902406E-2</v>
      </c>
      <c r="Z58" s="106">
        <f t="shared" si="156"/>
        <v>1.7799999952316285E-2</v>
      </c>
      <c r="AA58" s="106">
        <f t="shared" si="156"/>
        <v>2.2800000667572023E-2</v>
      </c>
      <c r="AB58" s="106">
        <f t="shared" si="156"/>
        <v>2.919999921321869E-2</v>
      </c>
      <c r="AC58" s="106">
        <f t="shared" si="156"/>
        <v>1.9700000286102293E-2</v>
      </c>
      <c r="AD58" s="106">
        <f t="shared" si="156"/>
        <v>2.3799999237060547E-2</v>
      </c>
      <c r="AE58" s="106">
        <f t="shared" si="156"/>
        <v>2.9399999618530275E-2</v>
      </c>
      <c r="AF58" s="106">
        <f t="shared" si="156"/>
        <v>3.8296099662780761E-2</v>
      </c>
      <c r="AG58" s="106">
        <f t="shared" si="156"/>
        <v>4.4663000106811526E-2</v>
      </c>
      <c r="AH58" s="106">
        <f t="shared" si="156"/>
        <v>8.5629896879196171E-2</v>
      </c>
      <c r="AI58" s="106">
        <f t="shared" si="156"/>
        <v>7.6796802282333376E-2</v>
      </c>
      <c r="AJ58" s="106">
        <f t="shared" si="156"/>
        <v>7.1861699581146243E-2</v>
      </c>
      <c r="AK58" s="106">
        <f t="shared" si="156"/>
        <v>6.3759900093078609E-2</v>
      </c>
      <c r="AL58" s="106">
        <f t="shared" si="156"/>
        <v>7.3461298465728755E-2</v>
      </c>
      <c r="AM58" s="106">
        <f t="shared" si="156"/>
        <v>0.1023000020980835</v>
      </c>
      <c r="AN58" s="106">
        <f t="shared" si="156"/>
        <v>0.10600000047683715</v>
      </c>
      <c r="AO58" s="106">
        <f t="shared" si="156"/>
        <v>0.12979999780654908</v>
      </c>
      <c r="AP58" s="106">
        <f t="shared" si="156"/>
        <v>0.19489999389648438</v>
      </c>
      <c r="AQ58" s="106">
        <f t="shared" si="156"/>
        <v>0.18490000152587888</v>
      </c>
      <c r="AR58" s="106">
        <f t="shared" si="156"/>
        <v>0.22900000000000001</v>
      </c>
      <c r="AS58" s="106">
        <f t="shared" si="156"/>
        <v>0.44399999999999995</v>
      </c>
      <c r="AT58" s="106">
        <f t="shared" si="156"/>
        <v>1.413</v>
      </c>
      <c r="AU58" s="106">
        <f t="shared" si="156"/>
        <v>10.705</v>
      </c>
      <c r="AV58" s="106">
        <f t="shared" si="156"/>
        <v>15.547999999999998</v>
      </c>
      <c r="AW58" s="106">
        <f t="shared" si="156"/>
        <v>12.015000000000002</v>
      </c>
      <c r="AX58" s="106">
        <f t="shared" si="156"/>
        <v>25.266759060992001</v>
      </c>
      <c r="AY58" s="106">
        <f t="shared" si="156"/>
        <v>21.080141449124493</v>
      </c>
      <c r="AZ58" s="106">
        <f t="shared" si="156"/>
        <v>66.546810640166129</v>
      </c>
      <c r="BA58" s="106">
        <f t="shared" si="156"/>
        <v>142.68505153193504</v>
      </c>
      <c r="BB58" s="106">
        <f t="shared" si="156"/>
        <v>97.074185360695552</v>
      </c>
      <c r="BC58" s="106">
        <f t="shared" si="156"/>
        <v>172.35843409968999</v>
      </c>
      <c r="BD58" s="106">
        <f t="shared" si="156"/>
        <v>194.51440904061394</v>
      </c>
      <c r="BE58" s="106">
        <f ca="1">+BE84</f>
        <v>270.12002624668486</v>
      </c>
      <c r="BF58" s="106">
        <f t="shared" ref="BF58:BQ58" si="157">+BF84</f>
        <v>372.8</v>
      </c>
      <c r="BG58" s="106">
        <f t="shared" si="157"/>
        <v>423.6</v>
      </c>
      <c r="BH58" s="106">
        <f t="shared" si="157"/>
        <v>428</v>
      </c>
      <c r="BI58" s="106">
        <f t="shared" si="157"/>
        <v>757.7</v>
      </c>
      <c r="BJ58" s="106">
        <f t="shared" si="157"/>
        <v>578.5</v>
      </c>
      <c r="BK58" s="106">
        <f t="shared" si="157"/>
        <v>754.3</v>
      </c>
      <c r="BL58" s="106">
        <f t="shared" si="157"/>
        <v>1005.4</v>
      </c>
      <c r="BM58" s="106">
        <f t="shared" si="157"/>
        <v>826.6</v>
      </c>
      <c r="BN58" s="106">
        <f t="shared" si="157"/>
        <v>891.8</v>
      </c>
      <c r="BO58" s="106">
        <f t="shared" si="157"/>
        <v>684.8</v>
      </c>
      <c r="BP58" s="106">
        <f t="shared" si="157"/>
        <v>933</v>
      </c>
      <c r="BQ58" s="106">
        <f t="shared" si="157"/>
        <v>1570</v>
      </c>
      <c r="BR58" s="106">
        <f t="shared" ref="BR58:CB58" si="158">+BR84</f>
        <v>1828</v>
      </c>
      <c r="BS58" s="106">
        <f t="shared" si="158"/>
        <v>1979</v>
      </c>
      <c r="BT58" s="106">
        <f t="shared" si="158"/>
        <v>1408</v>
      </c>
      <c r="BU58" s="106">
        <f t="shared" ca="1" si="158"/>
        <v>3353.5123829070844</v>
      </c>
      <c r="BV58" s="106">
        <f t="shared" ca="1" si="158"/>
        <v>6650.6384656010032</v>
      </c>
      <c r="BW58" s="106">
        <f t="shared" ca="1" si="158"/>
        <v>4241.8555874337662</v>
      </c>
      <c r="BX58" s="106">
        <f t="shared" ca="1" si="158"/>
        <v>4591.9275668953669</v>
      </c>
      <c r="BY58" s="106">
        <f t="shared" ca="1" si="158"/>
        <v>5017.8019832750488</v>
      </c>
      <c r="BZ58" s="106">
        <f t="shared" ca="1" si="158"/>
        <v>5521.5186190161039</v>
      </c>
      <c r="CA58" s="106">
        <f t="shared" ca="1" si="158"/>
        <v>6118.1049837426172</v>
      </c>
      <c r="CB58" s="106">
        <f t="shared" ca="1" si="158"/>
        <v>6837.2994628156484</v>
      </c>
      <c r="CC58" s="106">
        <f ca="1">+CC84</f>
        <v>7721.314174602664</v>
      </c>
      <c r="CD58" s="106">
        <f ca="1">+CD84</f>
        <v>8833.5172273258468</v>
      </c>
      <c r="CE58" s="106">
        <f ca="1">+CE84</f>
        <v>10271.635445121865</v>
      </c>
      <c r="CF58" s="106">
        <f ca="1">+CF84</f>
        <v>12191.304050322411</v>
      </c>
      <c r="CG58" s="106">
        <f ca="1">+CG84</f>
        <v>14849.605041887364</v>
      </c>
      <c r="CH58" s="141"/>
      <c r="CI58" s="106">
        <f t="shared" si="142"/>
        <v>0</v>
      </c>
      <c r="CJ58" s="106">
        <f t="shared" si="152"/>
        <v>0</v>
      </c>
      <c r="CK58" s="106">
        <f t="shared" si="152"/>
        <v>0</v>
      </c>
      <c r="CL58" s="106">
        <f t="shared" si="152"/>
        <v>0</v>
      </c>
      <c r="CM58" s="106">
        <f t="shared" ca="1" si="152"/>
        <v>268.83153457654817</v>
      </c>
      <c r="CN58" s="106">
        <f t="shared" ca="1" si="152"/>
        <v>748.95406741026545</v>
      </c>
      <c r="CO58" s="106">
        <f t="shared" ca="1" si="152"/>
        <v>490.57077764274254</v>
      </c>
      <c r="CP58" s="106">
        <f t="shared" ca="1" si="152"/>
        <v>516.37254100060136</v>
      </c>
      <c r="CQ58" s="106">
        <f t="shared" ca="1" si="152"/>
        <v>538.8998480231694</v>
      </c>
      <c r="CR58" s="106">
        <f t="shared" ca="1" si="152"/>
        <v>556.81550815600531</v>
      </c>
      <c r="CS58" s="106">
        <f t="shared" ca="1" si="152"/>
        <v>592.39970843820174</v>
      </c>
      <c r="CT58" s="106">
        <f t="shared" ca="1" si="152"/>
        <v>648.85297525476562</v>
      </c>
      <c r="CU58" s="106">
        <f t="shared" ca="1" si="152"/>
        <v>691.39123052226842</v>
      </c>
      <c r="CV58" s="106">
        <f t="shared" ca="1" si="132"/>
        <v>721.54625186985322</v>
      </c>
      <c r="CW58" s="106">
        <f t="shared" ca="1" si="133"/>
        <v>733.38884249449802</v>
      </c>
      <c r="CX58" s="106">
        <f t="shared" ca="1" si="134"/>
        <v>710.71192258193332</v>
      </c>
      <c r="CY58" s="106">
        <f t="shared" ca="1" si="135"/>
        <v>620.14751269549197</v>
      </c>
      <c r="CZ58" s="134"/>
      <c r="DA58" s="135">
        <v>1570</v>
      </c>
      <c r="DB58" s="135">
        <v>1828</v>
      </c>
      <c r="DC58" s="135">
        <v>1979</v>
      </c>
      <c r="DD58" s="135">
        <v>1408</v>
      </c>
      <c r="DE58" s="135">
        <v>3084.6808483305363</v>
      </c>
      <c r="DF58" s="135">
        <v>5901.6843981907377</v>
      </c>
      <c r="DG58" s="135">
        <v>3751.2848097910237</v>
      </c>
      <c r="DH58" s="135">
        <v>4075.5550258947655</v>
      </c>
      <c r="DI58" s="135">
        <v>4478.9021352518794</v>
      </c>
      <c r="DJ58" s="135">
        <v>4964.7031108600986</v>
      </c>
      <c r="DK58" s="135">
        <v>5525.7052753044154</v>
      </c>
      <c r="DL58" s="135">
        <v>6188.4464875608828</v>
      </c>
      <c r="DM58" s="135">
        <v>7029.9229440803956</v>
      </c>
      <c r="DN58" s="135">
        <v>8111.9709754559935</v>
      </c>
      <c r="DO58" s="135">
        <v>9538.2466026273669</v>
      </c>
      <c r="DP58" s="135">
        <v>11480.592127740478</v>
      </c>
      <c r="DQ58" s="135">
        <v>14229.457529191872</v>
      </c>
    </row>
    <row r="59" spans="1:121" s="123" customFormat="1">
      <c r="A59" s="107" t="s">
        <v>1764</v>
      </c>
      <c r="B59" s="107"/>
      <c r="C59" s="136" t="s">
        <v>1579</v>
      </c>
      <c r="D59" s="147"/>
      <c r="E59" s="107"/>
      <c r="F59" s="106">
        <f t="shared" ref="F59:BD59" si="159">+F83</f>
        <v>1.55E-2</v>
      </c>
      <c r="G59" s="106">
        <f t="shared" si="159"/>
        <v>1.52E-2</v>
      </c>
      <c r="H59" s="106">
        <f t="shared" si="159"/>
        <v>1.6899999618530274E-2</v>
      </c>
      <c r="I59" s="106">
        <f t="shared" si="159"/>
        <v>2.0200000762939454E-2</v>
      </c>
      <c r="J59" s="106">
        <f t="shared" si="159"/>
        <v>2.0500000000000001E-2</v>
      </c>
      <c r="K59" s="106">
        <f t="shared" si="159"/>
        <v>2.2299999237060546E-2</v>
      </c>
      <c r="L59" s="106">
        <f t="shared" si="159"/>
        <v>2.6700000762939453E-2</v>
      </c>
      <c r="M59" s="106">
        <f t="shared" si="159"/>
        <v>2.6899999618530273E-2</v>
      </c>
      <c r="N59" s="106">
        <f t="shared" si="159"/>
        <v>2.7799999237060547E-2</v>
      </c>
      <c r="O59" s="106">
        <f t="shared" si="159"/>
        <v>2.9700000762939452E-2</v>
      </c>
      <c r="P59" s="106">
        <f t="shared" si="159"/>
        <v>3.3500000000000002E-2</v>
      </c>
      <c r="Q59" s="106">
        <f t="shared" si="159"/>
        <v>3.7599998474121092E-2</v>
      </c>
      <c r="R59" s="106">
        <f t="shared" si="159"/>
        <v>4.1299999237060549E-2</v>
      </c>
      <c r="S59" s="106">
        <f t="shared" si="159"/>
        <v>4.5499999999999999E-2</v>
      </c>
      <c r="T59" s="106">
        <f t="shared" si="159"/>
        <v>4.8900001525878908E-2</v>
      </c>
      <c r="U59" s="106">
        <f t="shared" si="159"/>
        <v>5.4099998474121093E-2</v>
      </c>
      <c r="V59" s="106">
        <f t="shared" si="159"/>
        <v>5.909999847412109E-2</v>
      </c>
      <c r="W59" s="106">
        <f t="shared" si="159"/>
        <v>6.4000000000000001E-2</v>
      </c>
      <c r="X59" s="106">
        <f t="shared" si="159"/>
        <v>6.9400001525878913E-2</v>
      </c>
      <c r="Y59" s="106">
        <f t="shared" si="159"/>
        <v>0.08</v>
      </c>
      <c r="Z59" s="106">
        <f t="shared" si="159"/>
        <v>0.11319999694824219</v>
      </c>
      <c r="AA59" s="106">
        <f t="shared" si="159"/>
        <v>0.224</v>
      </c>
      <c r="AB59" s="106">
        <f t="shared" si="159"/>
        <v>0.19260000610351563</v>
      </c>
      <c r="AC59" s="106">
        <f t="shared" si="159"/>
        <v>0.21660000610351562</v>
      </c>
      <c r="AD59" s="106">
        <f t="shared" si="159"/>
        <v>0.26489999389648439</v>
      </c>
      <c r="AE59" s="106">
        <f t="shared" si="159"/>
        <v>0.25119999694824219</v>
      </c>
      <c r="AF59" s="106">
        <f t="shared" si="159"/>
        <v>0.27379998779296877</v>
      </c>
      <c r="AG59" s="106">
        <f t="shared" si="159"/>
        <v>0.29870001220703124</v>
      </c>
      <c r="AH59" s="106">
        <f t="shared" si="159"/>
        <v>0.2778999938964844</v>
      </c>
      <c r="AI59" s="106">
        <f t="shared" si="159"/>
        <v>0.25920001220703126</v>
      </c>
      <c r="AJ59" s="106">
        <f t="shared" si="159"/>
        <v>0.24519999694824218</v>
      </c>
      <c r="AK59" s="106">
        <f t="shared" si="159"/>
        <v>0.20399999999999999</v>
      </c>
      <c r="AL59" s="106">
        <f t="shared" si="159"/>
        <v>0.17799999999999999</v>
      </c>
      <c r="AM59" s="106">
        <f t="shared" si="159"/>
        <v>0.15630000305175781</v>
      </c>
      <c r="AN59" s="106">
        <f t="shared" si="159"/>
        <v>0.19880000305175782</v>
      </c>
      <c r="AO59" s="106">
        <f t="shared" si="159"/>
        <v>0.23</v>
      </c>
      <c r="AP59" s="106">
        <f t="shared" si="159"/>
        <v>0.31851000000000002</v>
      </c>
      <c r="AQ59" s="106">
        <f t="shared" si="159"/>
        <v>0.36616000000000004</v>
      </c>
      <c r="AR59" s="106">
        <f t="shared" si="159"/>
        <v>0.43654000000000004</v>
      </c>
      <c r="AS59" s="106">
        <f t="shared" si="159"/>
        <v>0.39879999999999999</v>
      </c>
      <c r="AT59" s="106">
        <f t="shared" si="159"/>
        <v>4.0976999999999997</v>
      </c>
      <c r="AU59" s="106">
        <f t="shared" si="159"/>
        <v>24.86618</v>
      </c>
      <c r="AV59" s="106">
        <f t="shared" si="159"/>
        <v>40.82837</v>
      </c>
      <c r="AW59" s="106">
        <f t="shared" si="159"/>
        <v>31.105049999999999</v>
      </c>
      <c r="AX59" s="106">
        <f t="shared" si="159"/>
        <v>55.4</v>
      </c>
      <c r="AY59" s="106">
        <f t="shared" si="159"/>
        <v>91.7</v>
      </c>
      <c r="AZ59" s="106">
        <f t="shared" si="159"/>
        <v>123.9</v>
      </c>
      <c r="BA59" s="106">
        <f t="shared" si="159"/>
        <v>267.3</v>
      </c>
      <c r="BB59" s="106">
        <f t="shared" si="159"/>
        <v>313.89999999999998</v>
      </c>
      <c r="BC59" s="106">
        <f t="shared" si="159"/>
        <v>413.89509999999996</v>
      </c>
      <c r="BD59" s="106">
        <f t="shared" si="159"/>
        <v>446.8</v>
      </c>
      <c r="BE59" s="106">
        <f ca="1">+BE83</f>
        <v>497.76679037167895</v>
      </c>
      <c r="BF59" s="106">
        <f t="shared" ref="BF59:BQ59" si="160">+BF83</f>
        <v>615.70000000000005</v>
      </c>
      <c r="BG59" s="106">
        <f t="shared" si="160"/>
        <v>754</v>
      </c>
      <c r="BH59" s="106">
        <f t="shared" si="160"/>
        <v>847.6</v>
      </c>
      <c r="BI59" s="106">
        <f t="shared" si="160"/>
        <v>867.5</v>
      </c>
      <c r="BJ59" s="106">
        <f t="shared" si="160"/>
        <v>907.9</v>
      </c>
      <c r="BK59" s="106">
        <f t="shared" si="160"/>
        <v>1326.8</v>
      </c>
      <c r="BL59" s="106">
        <f t="shared" si="160"/>
        <v>1434.5</v>
      </c>
      <c r="BM59" s="106">
        <f t="shared" si="160"/>
        <v>1447.1</v>
      </c>
      <c r="BN59" s="106">
        <f t="shared" si="160"/>
        <v>1409.1</v>
      </c>
      <c r="BO59" s="106">
        <f t="shared" si="160"/>
        <v>1595.4</v>
      </c>
      <c r="BP59" s="106">
        <f t="shared" si="160"/>
        <v>1360</v>
      </c>
      <c r="BQ59" s="106">
        <f t="shared" si="160"/>
        <v>1542</v>
      </c>
      <c r="BR59" s="106">
        <f t="shared" ref="BR59:CB59" si="161">+BR83</f>
        <v>1952</v>
      </c>
      <c r="BS59" s="106">
        <f t="shared" si="161"/>
        <v>2452</v>
      </c>
      <c r="BT59" s="106">
        <f t="shared" si="161"/>
        <v>1690</v>
      </c>
      <c r="BU59" s="106">
        <f t="shared" ca="1" si="161"/>
        <v>4327.1300199352791</v>
      </c>
      <c r="BV59" s="106">
        <f t="shared" ca="1" si="161"/>
        <v>5003.3176863557364</v>
      </c>
      <c r="BW59" s="106">
        <f t="shared" ca="1" si="161"/>
        <v>5499.4263750996688</v>
      </c>
      <c r="BX59" s="106">
        <f t="shared" ca="1" si="161"/>
        <v>5929.0417659908899</v>
      </c>
      <c r="BY59" s="106">
        <f t="shared" ca="1" si="161"/>
        <v>6469.2469071225987</v>
      </c>
      <c r="BZ59" s="106">
        <f t="shared" ca="1" si="161"/>
        <v>7115.0132355990045</v>
      </c>
      <c r="CA59" s="106">
        <f t="shared" ca="1" si="161"/>
        <v>7886.3434750602473</v>
      </c>
      <c r="CB59" s="106">
        <f t="shared" ca="1" si="161"/>
        <v>8825.0423870916493</v>
      </c>
      <c r="CC59" s="106">
        <f ca="1">+CC83</f>
        <v>9992.9192273688186</v>
      </c>
      <c r="CD59" s="106">
        <f ca="1">+CD83</f>
        <v>11484.481428184226</v>
      </c>
      <c r="CE59" s="106">
        <f ca="1">+CE83</f>
        <v>13448.632578285264</v>
      </c>
      <c r="CF59" s="106">
        <f ca="1">+CF83</f>
        <v>16128.000586027396</v>
      </c>
      <c r="CG59" s="106">
        <f ca="1">+CG83</f>
        <v>19932.953784374586</v>
      </c>
      <c r="CH59" s="141"/>
      <c r="CI59" s="106">
        <f t="shared" si="142"/>
        <v>0</v>
      </c>
      <c r="CJ59" s="106">
        <f t="shared" si="152"/>
        <v>0</v>
      </c>
      <c r="CK59" s="106">
        <f t="shared" si="152"/>
        <v>0</v>
      </c>
      <c r="CL59" s="106">
        <f t="shared" si="152"/>
        <v>0</v>
      </c>
      <c r="CM59" s="106">
        <f t="shared" ca="1" si="152"/>
        <v>238.07924611935914</v>
      </c>
      <c r="CN59" s="106">
        <f t="shared" ca="1" si="152"/>
        <v>296.68914865792976</v>
      </c>
      <c r="CO59" s="106">
        <f t="shared" ca="1" si="152"/>
        <v>282.91654429449773</v>
      </c>
      <c r="CP59" s="106">
        <f t="shared" ca="1" si="152"/>
        <v>231.51568436910929</v>
      </c>
      <c r="CQ59" s="106">
        <f t="shared" ca="1" si="152"/>
        <v>162.27889761733695</v>
      </c>
      <c r="CR59" s="106">
        <f t="shared" ca="1" si="152"/>
        <v>258.42775211713979</v>
      </c>
      <c r="CS59" s="106">
        <f t="shared" ca="1" si="152"/>
        <v>184.28206484340626</v>
      </c>
      <c r="CT59" s="106">
        <f t="shared" ca="1" si="152"/>
        <v>91.160268519264719</v>
      </c>
      <c r="CU59" s="106">
        <f t="shared" ca="1" si="152"/>
        <v>-54.084115715508233</v>
      </c>
      <c r="CV59" s="106">
        <f t="shared" ca="1" si="132"/>
        <v>-268.11784034490665</v>
      </c>
      <c r="CW59" s="106">
        <f t="shared" ca="1" si="133"/>
        <v>-583.87405378059884</v>
      </c>
      <c r="CX59" s="106">
        <f t="shared" ca="1" si="134"/>
        <v>-1064.7727681969227</v>
      </c>
      <c r="CY59" s="106">
        <f t="shared" ca="1" si="135"/>
        <v>-1829.8544518214912</v>
      </c>
      <c r="CZ59" s="134"/>
      <c r="DA59" s="135">
        <v>1542</v>
      </c>
      <c r="DB59" s="135">
        <v>1952</v>
      </c>
      <c r="DC59" s="135">
        <v>2452</v>
      </c>
      <c r="DD59" s="135">
        <v>1690</v>
      </c>
      <c r="DE59" s="135">
        <v>4089.0507738159199</v>
      </c>
      <c r="DF59" s="135">
        <v>4706.6285376978067</v>
      </c>
      <c r="DG59" s="135">
        <v>5216.5098308051711</v>
      </c>
      <c r="DH59" s="135">
        <v>5697.5260816217806</v>
      </c>
      <c r="DI59" s="135">
        <v>6306.9680095052618</v>
      </c>
      <c r="DJ59" s="135">
        <v>6856.5854834818647</v>
      </c>
      <c r="DK59" s="135">
        <v>7702.0614102168411</v>
      </c>
      <c r="DL59" s="135">
        <v>8733.8821185723846</v>
      </c>
      <c r="DM59" s="135">
        <v>10047.003343084327</v>
      </c>
      <c r="DN59" s="135">
        <v>11752.599268529133</v>
      </c>
      <c r="DO59" s="135">
        <v>14032.506632065863</v>
      </c>
      <c r="DP59" s="135">
        <v>17192.773354224319</v>
      </c>
      <c r="DQ59" s="135">
        <v>21762.808236196077</v>
      </c>
    </row>
    <row r="60" spans="1:121" s="123" customFormat="1">
      <c r="A60" s="107" t="s">
        <v>829</v>
      </c>
      <c r="B60" s="107"/>
      <c r="C60" s="136" t="s">
        <v>1579</v>
      </c>
      <c r="D60" s="147"/>
      <c r="E60" s="107"/>
      <c r="F60" s="106">
        <f t="shared" ref="F60:BD60" si="162">F82</f>
        <v>1.12E-2</v>
      </c>
      <c r="G60" s="106">
        <f t="shared" si="162"/>
        <v>1.2199999999999999E-2</v>
      </c>
      <c r="H60" s="106">
        <f t="shared" si="162"/>
        <v>1.3899999618530274E-2</v>
      </c>
      <c r="I60" s="106">
        <f t="shared" si="162"/>
        <v>1.6200000286102294E-2</v>
      </c>
      <c r="J60" s="106">
        <f t="shared" si="162"/>
        <v>1.6800000190734864E-2</v>
      </c>
      <c r="K60" s="106">
        <f t="shared" si="162"/>
        <v>1.7800000190734862E-2</v>
      </c>
      <c r="L60" s="106">
        <f t="shared" si="162"/>
        <v>1.7800000190734862E-2</v>
      </c>
      <c r="M60" s="106">
        <f t="shared" si="162"/>
        <v>1.7400000095367432E-2</v>
      </c>
      <c r="N60" s="106">
        <f t="shared" si="162"/>
        <v>1.9299999713897707E-2</v>
      </c>
      <c r="O60" s="106">
        <f t="shared" si="162"/>
        <v>1.9E-2</v>
      </c>
      <c r="P60" s="106">
        <f t="shared" si="162"/>
        <v>2.1399999618530272E-2</v>
      </c>
      <c r="Q60" s="106">
        <f t="shared" si="162"/>
        <v>2.5199999809265138E-2</v>
      </c>
      <c r="R60" s="106">
        <f t="shared" si="162"/>
        <v>4.0099999427795407E-2</v>
      </c>
      <c r="S60" s="106">
        <f t="shared" si="162"/>
        <v>4.4700000762939451E-2</v>
      </c>
      <c r="T60" s="106">
        <f t="shared" si="162"/>
        <v>4.1799999237060549E-2</v>
      </c>
      <c r="U60" s="106">
        <f t="shared" si="162"/>
        <v>4.8600000381469728E-2</v>
      </c>
      <c r="V60" s="106">
        <f t="shared" si="162"/>
        <v>5.2100002288818364E-2</v>
      </c>
      <c r="W60" s="106">
        <f t="shared" si="162"/>
        <v>5.9700000762939451E-2</v>
      </c>
      <c r="X60" s="106">
        <f t="shared" si="162"/>
        <v>6.3999998092651375E-2</v>
      </c>
      <c r="Y60" s="106">
        <f t="shared" si="162"/>
        <v>5.6100000381469728E-2</v>
      </c>
      <c r="Z60" s="106">
        <f t="shared" si="162"/>
        <v>5.6100000381469728E-2</v>
      </c>
      <c r="AA60" s="106">
        <f t="shared" si="162"/>
        <v>4.8399999618530275E-2</v>
      </c>
      <c r="AB60" s="106">
        <f t="shared" si="162"/>
        <v>6.8399997711181632E-2</v>
      </c>
      <c r="AC60" s="106">
        <f t="shared" si="162"/>
        <v>8.7400001525878901E-2</v>
      </c>
      <c r="AD60" s="106">
        <f t="shared" si="162"/>
        <v>0.11729999923706054</v>
      </c>
      <c r="AE60" s="106">
        <f t="shared" si="162"/>
        <v>0.123</v>
      </c>
      <c r="AF60" s="106">
        <f t="shared" si="162"/>
        <v>0.14140000152587889</v>
      </c>
      <c r="AG60" s="106">
        <f t="shared" si="162"/>
        <v>0.13540000152587889</v>
      </c>
      <c r="AH60" s="106">
        <f t="shared" si="162"/>
        <v>0.1515</v>
      </c>
      <c r="AI60" s="106">
        <f t="shared" si="162"/>
        <v>0.14850000381469727</v>
      </c>
      <c r="AJ60" s="106">
        <f t="shared" si="162"/>
        <v>0.18849999618530272</v>
      </c>
      <c r="AK60" s="106">
        <f t="shared" si="162"/>
        <v>0.19739999771118164</v>
      </c>
      <c r="AL60" s="106">
        <f t="shared" si="162"/>
        <v>0.18840000152587891</v>
      </c>
      <c r="AM60" s="106">
        <f t="shared" si="162"/>
        <v>0.1947000045776367</v>
      </c>
      <c r="AN60" s="106">
        <f t="shared" si="162"/>
        <v>0.26060000610351564</v>
      </c>
      <c r="AO60" s="106">
        <f t="shared" si="162"/>
        <v>0.31690000915527344</v>
      </c>
      <c r="AP60" s="106">
        <f t="shared" si="162"/>
        <v>0.38939999389648439</v>
      </c>
      <c r="AQ60" s="106">
        <f t="shared" si="162"/>
        <v>0.45560000610351564</v>
      </c>
      <c r="AR60" s="106">
        <f t="shared" si="162"/>
        <v>0.41885659790039065</v>
      </c>
      <c r="AS60" s="106">
        <f t="shared" si="162"/>
        <v>0.65349999999999997</v>
      </c>
      <c r="AT60" s="106">
        <f t="shared" si="162"/>
        <v>5.5880999999999998</v>
      </c>
      <c r="AU60" s="106">
        <f t="shared" si="162"/>
        <v>34.753</v>
      </c>
      <c r="AV60" s="106">
        <f t="shared" si="162"/>
        <v>45.752000000000002</v>
      </c>
      <c r="AW60" s="106">
        <f t="shared" si="162"/>
        <v>50.945</v>
      </c>
      <c r="AX60" s="106">
        <f t="shared" si="162"/>
        <v>46.97</v>
      </c>
      <c r="AY60" s="106">
        <f t="shared" si="162"/>
        <v>50.182000000000002</v>
      </c>
      <c r="AZ60" s="106">
        <f t="shared" si="162"/>
        <v>111.39100000000001</v>
      </c>
      <c r="BA60" s="106">
        <f t="shared" si="162"/>
        <v>216.5</v>
      </c>
      <c r="BB60" s="106">
        <f t="shared" si="162"/>
        <v>227.4</v>
      </c>
      <c r="BC60" s="106">
        <f t="shared" si="162"/>
        <v>295.5</v>
      </c>
      <c r="BD60" s="106">
        <f t="shared" si="162"/>
        <v>399.86599999999999</v>
      </c>
      <c r="BE60" s="106">
        <f ca="1">BE82</f>
        <v>419.50406088055854</v>
      </c>
      <c r="BF60" s="106">
        <f t="shared" ref="BF60:BQ60" si="163">BF82</f>
        <v>591.79999999999995</v>
      </c>
      <c r="BG60" s="106">
        <f t="shared" si="163"/>
        <v>767.2</v>
      </c>
      <c r="BH60" s="106">
        <f t="shared" si="163"/>
        <v>835.6</v>
      </c>
      <c r="BI60" s="106">
        <f t="shared" si="163"/>
        <v>965.4</v>
      </c>
      <c r="BJ60" s="106">
        <f t="shared" si="163"/>
        <v>970.6</v>
      </c>
      <c r="BK60" s="106">
        <f t="shared" si="163"/>
        <v>1341</v>
      </c>
      <c r="BL60" s="106">
        <f t="shared" si="163"/>
        <v>1584.6</v>
      </c>
      <c r="BM60" s="106">
        <f t="shared" si="163"/>
        <v>1686.6</v>
      </c>
      <c r="BN60" s="106">
        <f t="shared" si="163"/>
        <v>1450</v>
      </c>
      <c r="BO60" s="106">
        <f t="shared" si="163"/>
        <v>1118.5</v>
      </c>
      <c r="BP60" s="106">
        <f t="shared" si="163"/>
        <v>1226</v>
      </c>
      <c r="BQ60" s="106">
        <f t="shared" si="163"/>
        <v>2002</v>
      </c>
      <c r="BR60" s="106">
        <f t="shared" ref="BR60:CB60" si="164">BR82</f>
        <v>2190</v>
      </c>
      <c r="BS60" s="106">
        <f t="shared" si="164"/>
        <v>1979</v>
      </c>
      <c r="BT60" s="106">
        <f t="shared" si="164"/>
        <v>1408</v>
      </c>
      <c r="BU60" s="106">
        <f t="shared" ca="1" si="164"/>
        <v>5729.5884814169649</v>
      </c>
      <c r="BV60" s="106">
        <f t="shared" ca="1" si="164"/>
        <v>4792.0732790851253</v>
      </c>
      <c r="BW60" s="106">
        <f t="shared" ca="1" si="164"/>
        <v>5568.4813446458593</v>
      </c>
      <c r="BX60" s="106">
        <f t="shared" ca="1" si="164"/>
        <v>6098.164256329308</v>
      </c>
      <c r="BY60" s="106">
        <f t="shared" ca="1" si="164"/>
        <v>6787.0237047228948</v>
      </c>
      <c r="BZ60" s="106">
        <f t="shared" ca="1" si="164"/>
        <v>7631.4143154817339</v>
      </c>
      <c r="CA60" s="106">
        <f t="shared" ca="1" si="164"/>
        <v>8673.2579933921243</v>
      </c>
      <c r="CB60" s="106">
        <f t="shared" ca="1" si="164"/>
        <v>9986.0734079259637</v>
      </c>
      <c r="CC60" s="106">
        <f ca="1">CC82</f>
        <v>11687.817040150881</v>
      </c>
      <c r="CD60" s="106">
        <f ca="1">CD82</f>
        <v>13966.442650390267</v>
      </c>
      <c r="CE60" s="106">
        <f ca="1">CE82</f>
        <v>17131.573161579847</v>
      </c>
      <c r="CF60" s="106">
        <f ca="1">CF82</f>
        <v>21711.101433023505</v>
      </c>
      <c r="CG60" s="106">
        <f ca="1">CG82</f>
        <v>28638.717235952965</v>
      </c>
      <c r="CH60" s="141"/>
      <c r="CI60" s="106">
        <f t="shared" si="142"/>
        <v>0</v>
      </c>
      <c r="CJ60" s="106">
        <f t="shared" si="152"/>
        <v>0</v>
      </c>
      <c r="CK60" s="106">
        <f t="shared" si="152"/>
        <v>0</v>
      </c>
      <c r="CL60" s="106">
        <f t="shared" si="152"/>
        <v>0</v>
      </c>
      <c r="CM60" s="106">
        <f t="shared" ca="1" si="152"/>
        <v>108.25131983874508</v>
      </c>
      <c r="CN60" s="106">
        <f t="shared" ca="1" si="152"/>
        <v>53.800432575998457</v>
      </c>
      <c r="CO60" s="106">
        <f t="shared" ca="1" si="152"/>
        <v>42.253256378372498</v>
      </c>
      <c r="CP60" s="106">
        <f t="shared" ca="1" si="152"/>
        <v>-47.429146154635418</v>
      </c>
      <c r="CQ60" s="106">
        <f t="shared" ca="1" si="152"/>
        <v>-170.60626554798819</v>
      </c>
      <c r="CR60" s="106">
        <f t="shared" ca="1" si="152"/>
        <v>84.568952757287661</v>
      </c>
      <c r="CS60" s="106">
        <f t="shared" ca="1" si="152"/>
        <v>17.503097159366007</v>
      </c>
      <c r="CT60" s="106">
        <f t="shared" ca="1" si="152"/>
        <v>-139.88238920502408</v>
      </c>
      <c r="CU60" s="106">
        <f t="shared" ca="1" si="152"/>
        <v>-373.98325315407237</v>
      </c>
      <c r="CV60" s="106">
        <f t="shared" ca="1" si="132"/>
        <v>-731.69956670339707</v>
      </c>
      <c r="CW60" s="106">
        <f t="shared" ca="1" si="133"/>
        <v>-1285.1175449887705</v>
      </c>
      <c r="CX60" s="106">
        <f t="shared" ca="1" si="134"/>
        <v>-2173.739316362</v>
      </c>
      <c r="CY60" s="106">
        <f t="shared" ca="1" si="135"/>
        <v>-3669.4795924935606</v>
      </c>
      <c r="CZ60" s="134"/>
      <c r="DA60" s="135">
        <v>2002</v>
      </c>
      <c r="DB60" s="135">
        <v>2190</v>
      </c>
      <c r="DC60" s="135">
        <v>1979</v>
      </c>
      <c r="DD60" s="135">
        <v>1408</v>
      </c>
      <c r="DE60" s="135">
        <v>5621.3371615782198</v>
      </c>
      <c r="DF60" s="135">
        <v>4738.2728465091268</v>
      </c>
      <c r="DG60" s="135">
        <v>5526.2280882674868</v>
      </c>
      <c r="DH60" s="135">
        <v>6145.5934024839435</v>
      </c>
      <c r="DI60" s="135">
        <v>6957.6299702708829</v>
      </c>
      <c r="DJ60" s="135">
        <v>7546.8453627244462</v>
      </c>
      <c r="DK60" s="135">
        <v>8655.7548962327583</v>
      </c>
      <c r="DL60" s="135">
        <v>10125.955797130988</v>
      </c>
      <c r="DM60" s="135">
        <v>12061.800293304954</v>
      </c>
      <c r="DN60" s="135">
        <v>14698.142217093664</v>
      </c>
      <c r="DO60" s="135">
        <v>18416.690706568617</v>
      </c>
      <c r="DP60" s="135">
        <v>23884.840749385505</v>
      </c>
      <c r="DQ60" s="135">
        <v>32308.196828446526</v>
      </c>
    </row>
    <row r="61" spans="1:121" s="123" customFormat="1">
      <c r="A61" s="107" t="s">
        <v>560</v>
      </c>
      <c r="B61" s="107"/>
      <c r="C61" s="136" t="s">
        <v>1579</v>
      </c>
      <c r="D61" s="147"/>
      <c r="E61" s="107"/>
      <c r="F61" s="106">
        <f t="shared" ref="F61:BD61" si="165">+F53+F54+F55+F56+F57-F58-F59-F60</f>
        <v>0.12714900000000001</v>
      </c>
      <c r="G61" s="106">
        <f t="shared" si="165"/>
        <v>0.1424220678105354</v>
      </c>
      <c r="H61" s="106">
        <f t="shared" si="165"/>
        <v>0.14252468282520764</v>
      </c>
      <c r="I61" s="106">
        <f t="shared" si="165"/>
        <v>0.1579196007341146</v>
      </c>
      <c r="J61" s="106">
        <f t="shared" si="165"/>
        <v>0.15778392717361453</v>
      </c>
      <c r="K61" s="106">
        <f t="shared" si="165"/>
        <v>0.16296510274648665</v>
      </c>
      <c r="L61" s="106">
        <f t="shared" si="165"/>
        <v>0.17599405675888063</v>
      </c>
      <c r="M61" s="106">
        <f t="shared" si="165"/>
        <v>0.20443752459287642</v>
      </c>
      <c r="N61" s="106">
        <f t="shared" si="165"/>
        <v>0.2122194518613815</v>
      </c>
      <c r="O61" s="106">
        <f t="shared" si="165"/>
        <v>0.23937873355031011</v>
      </c>
      <c r="P61" s="106">
        <f t="shared" si="165"/>
        <v>0.24751779477357866</v>
      </c>
      <c r="Q61" s="106">
        <f t="shared" si="165"/>
        <v>0.30063240059375768</v>
      </c>
      <c r="R61" s="106">
        <f t="shared" si="165"/>
        <v>0.36856680212855331</v>
      </c>
      <c r="S61" s="106">
        <f t="shared" si="165"/>
        <v>0.42283819941520695</v>
      </c>
      <c r="T61" s="106">
        <f t="shared" si="165"/>
        <v>0.4410757993650436</v>
      </c>
      <c r="U61" s="106">
        <f t="shared" si="165"/>
        <v>0.46981200365781783</v>
      </c>
      <c r="V61" s="106">
        <f t="shared" si="165"/>
        <v>0.5098388000726698</v>
      </c>
      <c r="W61" s="106">
        <f t="shared" si="165"/>
        <v>0.54369220334768287</v>
      </c>
      <c r="X61" s="106">
        <f t="shared" si="165"/>
        <v>0.57125139800220737</v>
      </c>
      <c r="Y61" s="106">
        <f t="shared" si="165"/>
        <v>0.64604300044685625</v>
      </c>
      <c r="Z61" s="106">
        <f t="shared" si="165"/>
        <v>0.81524200444221506</v>
      </c>
      <c r="AA61" s="106">
        <f t="shared" si="165"/>
        <v>0.83709000088214869</v>
      </c>
      <c r="AB61" s="106">
        <f t="shared" si="165"/>
        <v>0.90049000152587888</v>
      </c>
      <c r="AC61" s="106">
        <f t="shared" si="165"/>
        <v>1.2286699937772749</v>
      </c>
      <c r="AD61" s="106">
        <f t="shared" si="165"/>
        <v>1.3929900102519988</v>
      </c>
      <c r="AE61" s="106">
        <f t="shared" si="165"/>
        <v>1.4786500012636183</v>
      </c>
      <c r="AF61" s="106">
        <f t="shared" si="165"/>
        <v>1.5048039129734039</v>
      </c>
      <c r="AG61" s="106">
        <f t="shared" si="165"/>
        <v>1.7618569881391524</v>
      </c>
      <c r="AH61" s="106">
        <f t="shared" si="165"/>
        <v>1.7714701091170313</v>
      </c>
      <c r="AI61" s="106">
        <f t="shared" si="165"/>
        <v>1.7017331813383101</v>
      </c>
      <c r="AJ61" s="106">
        <f t="shared" si="165"/>
        <v>1.7483183089065555</v>
      </c>
      <c r="AK61" s="106">
        <f t="shared" si="165"/>
        <v>1.7302801053428654</v>
      </c>
      <c r="AL61" s="106">
        <f t="shared" si="165"/>
        <v>1.7633186984601619</v>
      </c>
      <c r="AM61" s="106">
        <f t="shared" si="165"/>
        <v>1.9475999890580771</v>
      </c>
      <c r="AN61" s="106">
        <f t="shared" si="165"/>
        <v>2.321979988605082</v>
      </c>
      <c r="AO61" s="106">
        <f t="shared" si="165"/>
        <v>2.6754699959468837</v>
      </c>
      <c r="AP61" s="106">
        <f t="shared" si="165"/>
        <v>3.2192500122070316</v>
      </c>
      <c r="AQ61" s="106">
        <f t="shared" si="165"/>
        <v>3.8993999923706069</v>
      </c>
      <c r="AR61" s="106">
        <f t="shared" si="165"/>
        <v>5.4223834020996104</v>
      </c>
      <c r="AS61" s="106">
        <f t="shared" si="165"/>
        <v>13.639600000000002</v>
      </c>
      <c r="AT61" s="106">
        <f t="shared" si="165"/>
        <v>74.345099999999988</v>
      </c>
      <c r="AU61" s="106">
        <f t="shared" si="165"/>
        <v>258.87484422360257</v>
      </c>
      <c r="AV61" s="106">
        <f t="shared" si="165"/>
        <v>280.02278999999993</v>
      </c>
      <c r="AW61" s="106">
        <f t="shared" si="165"/>
        <v>302.73714000000007</v>
      </c>
      <c r="AX61" s="106">
        <f t="shared" si="165"/>
        <v>358.60374093900805</v>
      </c>
      <c r="AY61" s="106">
        <f t="shared" si="165"/>
        <v>644.49835855087542</v>
      </c>
      <c r="AZ61" s="106">
        <f t="shared" si="165"/>
        <v>979.00818935983364</v>
      </c>
      <c r="BA61" s="106">
        <f t="shared" si="165"/>
        <v>1210.172948468065</v>
      </c>
      <c r="BB61" s="106">
        <f t="shared" si="165"/>
        <v>2093.3828146393048</v>
      </c>
      <c r="BC61" s="106">
        <f t="shared" si="165"/>
        <v>2579.43806590031</v>
      </c>
      <c r="BD61" s="106">
        <f t="shared" si="165"/>
        <v>3226.1315909593859</v>
      </c>
      <c r="BE61" s="106">
        <f ca="1">+BE53+BE54+BE55+BE56+BE57-BE58-BE59-BE60</f>
        <v>3981.3176366186735</v>
      </c>
      <c r="BF61" s="106">
        <f>+BF53+BF54+BF55+BF56+BF57-BF58-BF59-BF60</f>
        <v>5922.3715375000002</v>
      </c>
      <c r="BG61" s="106">
        <f>+BG53+BG54+BG55+BG56+BG57-BG58-BG59-BG60</f>
        <v>6597.4140550000002</v>
      </c>
      <c r="BH61" s="106">
        <f>+BH53+BH54+BH55+BH56+BH57-BH58-BH59-BH60</f>
        <v>8140.482030000001</v>
      </c>
      <c r="BI61" s="106">
        <f>+BI53+BI54+BI55+BI56+BI57-BI58-BI59-BI60</f>
        <v>8694.2663599999978</v>
      </c>
      <c r="BJ61" s="106">
        <f t="shared" ref="BJ61:BP61" si="166">+BJ53+BJ54+BJ55+BJ56+BJ57-BJ58-BJ59-BJ60</f>
        <v>9882.2330525000016</v>
      </c>
      <c r="BK61" s="106">
        <f t="shared" si="166"/>
        <v>11228.901467500002</v>
      </c>
      <c r="BL61" s="106">
        <f t="shared" si="166"/>
        <v>12996.6636875</v>
      </c>
      <c r="BM61" s="106">
        <f t="shared" si="166"/>
        <v>14385.98616</v>
      </c>
      <c r="BN61" s="106">
        <f t="shared" si="166"/>
        <v>14879.414162499999</v>
      </c>
      <c r="BO61" s="106">
        <f t="shared" si="166"/>
        <v>14514.436517500004</v>
      </c>
      <c r="BP61" s="106">
        <f t="shared" si="166"/>
        <v>17114.599999999999</v>
      </c>
      <c r="BQ61" s="106">
        <f t="shared" ref="BQ61:CB61" si="167">+BQ53+BQ54+BQ55+BQ56+BQ57-BQ58-BQ59-BQ60</f>
        <v>18927.183000000001</v>
      </c>
      <c r="BR61" s="106">
        <f t="shared" si="167"/>
        <v>21430.631000000001</v>
      </c>
      <c r="BS61" s="106">
        <f t="shared" si="167"/>
        <v>22584.58</v>
      </c>
      <c r="BT61" s="106">
        <f t="shared" si="167"/>
        <v>26879.16</v>
      </c>
      <c r="BU61" s="106">
        <f t="shared" ca="1" si="167"/>
        <v>45380.761847798974</v>
      </c>
      <c r="BV61" s="106">
        <f t="shared" ca="1" si="167"/>
        <v>52909.006719118173</v>
      </c>
      <c r="BW61" s="106">
        <f t="shared" ca="1" si="167"/>
        <v>63325.923088535797</v>
      </c>
      <c r="BX61" s="106">
        <f t="shared" ca="1" si="167"/>
        <v>69650.985796974579</v>
      </c>
      <c r="BY61" s="106">
        <f t="shared" ca="1" si="167"/>
        <v>78315.726790163782</v>
      </c>
      <c r="BZ61" s="106">
        <f t="shared" ca="1" si="167"/>
        <v>88970.02908380187</v>
      </c>
      <c r="CA61" s="106">
        <f t="shared" ca="1" si="167"/>
        <v>102056.72304604872</v>
      </c>
      <c r="CB61" s="106">
        <f t="shared" ca="1" si="167"/>
        <v>118465.24059358553</v>
      </c>
      <c r="CC61" s="106">
        <f ca="1">+CC53+CC54+CC55+CC56+CC57-CC58-CC59-CC60</f>
        <v>139500.35516245448</v>
      </c>
      <c r="CD61" s="106">
        <f ca="1">+CD53+CD54+CD55+CD56+CD57-CD58-CD59-CD60</f>
        <v>167178.46043108258</v>
      </c>
      <c r="CE61" s="106">
        <f ca="1">+CE53+CE54+CE55+CE56+CE57-CE58-CE59-CE60</f>
        <v>204705.17824019803</v>
      </c>
      <c r="CF61" s="106">
        <f ca="1">+CF53+CF54+CF55+CF56+CF57-CF58-CF59-CF60</f>
        <v>257347.25971390982</v>
      </c>
      <c r="CG61" s="106">
        <f ca="1">+CG53+CG54+CG55+CG56+CG57-CG58-CG59-CG60</f>
        <v>334078.2554974049</v>
      </c>
      <c r="CH61" s="141"/>
      <c r="CI61" s="106">
        <f>BQ61-DA61</f>
        <v>0</v>
      </c>
      <c r="CJ61" s="106">
        <f t="shared" si="152"/>
        <v>0</v>
      </c>
      <c r="CK61" s="106">
        <f t="shared" si="152"/>
        <v>0</v>
      </c>
      <c r="CL61" s="106">
        <f t="shared" si="152"/>
        <v>0</v>
      </c>
      <c r="CM61" s="106">
        <f t="shared" ca="1" si="152"/>
        <v>1188.1054456783313</v>
      </c>
      <c r="CN61" s="106">
        <f t="shared" ca="1" si="152"/>
        <v>2162.6810705375829</v>
      </c>
      <c r="CO61" s="106">
        <f t="shared" ca="1" si="152"/>
        <v>2197.9081994296503</v>
      </c>
      <c r="CP61" s="106">
        <f t="shared" ca="1" si="152"/>
        <v>1245.6622669358476</v>
      </c>
      <c r="CQ61" s="106">
        <f t="shared" ca="1" si="152"/>
        <v>-43.105051669466775</v>
      </c>
      <c r="CR61" s="106">
        <f t="shared" ca="1" si="152"/>
        <v>475.48596363962861</v>
      </c>
      <c r="CS61" s="106">
        <f t="shared" ca="1" si="152"/>
        <v>-900.82668335083872</v>
      </c>
      <c r="CT61" s="106">
        <f t="shared" ca="1" si="152"/>
        <v>-2451.8477455073153</v>
      </c>
      <c r="CU61" s="106">
        <f t="shared" ca="1" si="152"/>
        <v>-5198.3445012848533</v>
      </c>
      <c r="CV61" s="106">
        <f t="shared" ca="1" si="132"/>
        <v>-9476.9934996052179</v>
      </c>
      <c r="CW61" s="106">
        <f t="shared" ca="1" si="133"/>
        <v>-16079.027793551941</v>
      </c>
      <c r="CX61" s="106">
        <f t="shared" ca="1" si="134"/>
        <v>-26518.386024918524</v>
      </c>
      <c r="CY61" s="106">
        <f t="shared" ca="1" si="135"/>
        <v>-43626.13666008669</v>
      </c>
      <c r="CZ61" s="134"/>
      <c r="DA61" s="135">
        <v>18927.183000000001</v>
      </c>
      <c r="DB61" s="135">
        <v>21430.631000000001</v>
      </c>
      <c r="DC61" s="135">
        <v>22584.58</v>
      </c>
      <c r="DD61" s="135">
        <v>26879.16</v>
      </c>
      <c r="DE61" s="135">
        <v>44192.656402120643</v>
      </c>
      <c r="DF61" s="135">
        <v>50746.32564858059</v>
      </c>
      <c r="DG61" s="135">
        <v>61128.014889106147</v>
      </c>
      <c r="DH61" s="135">
        <v>68405.323530038731</v>
      </c>
      <c r="DI61" s="135">
        <v>78358.831841833249</v>
      </c>
      <c r="DJ61" s="135">
        <v>88494.543120162241</v>
      </c>
      <c r="DK61" s="135">
        <v>102957.54972939956</v>
      </c>
      <c r="DL61" s="135">
        <v>120917.08833909285</v>
      </c>
      <c r="DM61" s="135">
        <v>144698.69966373933</v>
      </c>
      <c r="DN61" s="135">
        <v>176655.4539306878</v>
      </c>
      <c r="DO61" s="135">
        <v>220784.20603374997</v>
      </c>
      <c r="DP61" s="135">
        <v>283865.64573882835</v>
      </c>
      <c r="DQ61" s="135">
        <v>377704.39215749159</v>
      </c>
    </row>
    <row r="62" spans="1:121" s="123" customFormat="1">
      <c r="A62" s="107" t="s">
        <v>561</v>
      </c>
      <c r="B62" s="107"/>
      <c r="C62" s="136"/>
      <c r="D62" s="147"/>
      <c r="E62" s="107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141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34"/>
      <c r="DA62" s="135"/>
      <c r="DB62" s="135"/>
      <c r="DC62" s="135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</row>
    <row r="63" spans="1:121" s="123" customFormat="1">
      <c r="A63" s="107" t="s">
        <v>1931</v>
      </c>
      <c r="B63" s="107"/>
      <c r="C63" s="136" t="s">
        <v>1579</v>
      </c>
      <c r="D63" s="147"/>
      <c r="E63" s="107"/>
      <c r="F63" s="512">
        <f>+mamiabc!F53</f>
        <v>9.8000000000000014E-3</v>
      </c>
      <c r="G63" s="232">
        <f>+mamiabc!G53</f>
        <v>1.1300000000000001E-2</v>
      </c>
      <c r="H63" s="232">
        <f>+mamiabc!H53</f>
        <v>1.2494999885559082E-2</v>
      </c>
      <c r="I63" s="232">
        <f>+mamiabc!I53</f>
        <v>1.6659999847412111E-2</v>
      </c>
      <c r="J63" s="232">
        <f>+mamiabc!J53</f>
        <v>1.7409700393676758E-2</v>
      </c>
      <c r="K63" s="232">
        <f>+mamiabc!K53</f>
        <v>1.9408899307250975E-2</v>
      </c>
      <c r="L63" s="232">
        <f>+mamiabc!L53</f>
        <v>2.1824600219726563E-2</v>
      </c>
      <c r="M63" s="232">
        <f>+mamiabc!M53</f>
        <v>2.9071699142456053E-2</v>
      </c>
      <c r="N63" s="232">
        <f>+mamiabc!N53</f>
        <v>2.9904699325561522E-2</v>
      </c>
      <c r="O63" s="232">
        <f>+mamiabc!O53</f>
        <v>3.0737699508666991E-2</v>
      </c>
      <c r="P63" s="232">
        <f>+mamiabc!P53</f>
        <v>3.5152599334716796E-2</v>
      </c>
      <c r="Q63" s="232">
        <f>+mamiabc!Q53</f>
        <v>3.7984798431396481E-2</v>
      </c>
      <c r="R63" s="232">
        <f>+mamiabc!R53</f>
        <v>4.514860153198242E-2</v>
      </c>
      <c r="S63" s="232">
        <f>+mamiabc!S53</f>
        <v>4.7730899810791018E-2</v>
      </c>
      <c r="T63" s="232">
        <f>+mamiabc!T53</f>
        <v>5.0146598815917966E-2</v>
      </c>
      <c r="U63" s="232">
        <f>+mamiabc!U53</f>
        <v>5.8726501464843747E-2</v>
      </c>
      <c r="V63" s="232">
        <f>+mamiabc!V53</f>
        <v>6.8889099121093755E-2</v>
      </c>
      <c r="W63" s="232">
        <f>+mamiabc!W53</f>
        <v>7.0221900939941406E-2</v>
      </c>
      <c r="X63" s="232">
        <f>+mamiabc!X53</f>
        <v>8.088430023193359E-2</v>
      </c>
      <c r="Y63" s="232">
        <f>+mamiabc!Y53</f>
        <v>8.2883499145507813E-2</v>
      </c>
      <c r="Z63" s="232">
        <f>+mamiabc!Z53</f>
        <v>9.4128997802734371E-2</v>
      </c>
      <c r="AA63" s="232">
        <f>+mamiabc!AA53</f>
        <v>0.11834999847412109</v>
      </c>
      <c r="AB63" s="232">
        <f>+mamiabc!AB53</f>
        <v>0.14183000183105468</v>
      </c>
      <c r="AC63" s="232">
        <f>+mamiabc!AC53</f>
        <v>0.18225999450683594</v>
      </c>
      <c r="AD63" s="232">
        <f>+mamiabc!AD53</f>
        <v>0.21094000244140626</v>
      </c>
      <c r="AE63" s="232">
        <f>+mamiabc!AE53</f>
        <v>0.22155999755859376</v>
      </c>
      <c r="AF63" s="232">
        <f>+mamiabc!AF53</f>
        <v>0.22585000610351563</v>
      </c>
      <c r="AG63" s="232">
        <f>+mamiabc!AG53</f>
        <v>0.27608999633789061</v>
      </c>
      <c r="AH63" s="232">
        <f>+mamiabc!AH53</f>
        <v>0.34627999877929688</v>
      </c>
      <c r="AI63" s="232">
        <f>+mamiabc!AI53</f>
        <v>0.37388000488281248</v>
      </c>
      <c r="AJ63" s="232">
        <f>+mamiabc!AJ53</f>
        <v>0.37407000732421875</v>
      </c>
      <c r="AK63" s="232">
        <f>+mamiabc!AK53</f>
        <v>0.38382998657226564</v>
      </c>
      <c r="AL63" s="232">
        <f>+mamiabc!AL53</f>
        <v>0.40870001220703123</v>
      </c>
      <c r="AM63" s="232">
        <f>+mamiabc!AM53</f>
        <v>0.47</v>
      </c>
      <c r="AN63" s="232">
        <f>+mamiabc!AN53</f>
        <v>0.52300000000000002</v>
      </c>
      <c r="AO63" s="232">
        <f>+mamiabc!AO53</f>
        <v>0.56299999999999994</v>
      </c>
      <c r="AP63" s="232">
        <f>+mamiabc!AP53</f>
        <v>0.52709000000000006</v>
      </c>
      <c r="AQ63" s="232">
        <f>+mamiabc!AQ53</f>
        <v>0.67749000000000004</v>
      </c>
      <c r="AR63" s="232">
        <f>+mamiabc!AR53</f>
        <v>0.84326999999999996</v>
      </c>
      <c r="AS63" s="232">
        <f>+mamiabc!AS53</f>
        <v>0.99841999999999997</v>
      </c>
      <c r="AT63" s="232">
        <f>+mamiabc!AT53</f>
        <v>3.4202399999999997</v>
      </c>
      <c r="AU63" s="232">
        <f>+mamiabc!AU53</f>
        <v>13.131590000000001</v>
      </c>
      <c r="AV63" s="232">
        <f>+mamiabc!AV53</f>
        <v>25.609569999999998</v>
      </c>
      <c r="AW63" s="232">
        <f>+mamiabc!AW53</f>
        <v>31.287939999999999</v>
      </c>
      <c r="AX63" s="232">
        <f>+mamiabc!AX53</f>
        <v>73.376999999999995</v>
      </c>
      <c r="AY63" s="232">
        <f>+mamiabc!AY53</f>
        <v>101.501</v>
      </c>
      <c r="AZ63" s="232">
        <f>+mamiabc!AZ53</f>
        <v>162.21700000000001</v>
      </c>
      <c r="BA63" s="123">
        <f t="shared" ref="BA63:BQ63" si="168">(BA203*BA228)/1000000</f>
        <v>239.48083500000001</v>
      </c>
      <c r="BB63" s="123">
        <f t="shared" si="168"/>
        <v>342.45611018364383</v>
      </c>
      <c r="BC63" s="123">
        <f t="shared" si="168"/>
        <v>382.8186427473467</v>
      </c>
      <c r="BD63" s="123">
        <f t="shared" si="168"/>
        <v>411.94976486193684</v>
      </c>
      <c r="BE63" s="123">
        <f t="shared" si="168"/>
        <v>460.12768170590579</v>
      </c>
      <c r="BF63" s="123">
        <f t="shared" si="168"/>
        <v>552.30961103536367</v>
      </c>
      <c r="BG63" s="123">
        <f t="shared" si="168"/>
        <v>622.04337205760351</v>
      </c>
      <c r="BH63" s="123">
        <f t="shared" si="168"/>
        <v>693.13924950385353</v>
      </c>
      <c r="BI63" s="123">
        <f t="shared" si="168"/>
        <v>884.66130049861272</v>
      </c>
      <c r="BJ63" s="123">
        <f t="shared" si="168"/>
        <v>1051.7564503087156</v>
      </c>
      <c r="BK63" s="123">
        <f t="shared" si="168"/>
        <v>1232.538498831726</v>
      </c>
      <c r="BL63" s="123">
        <f t="shared" si="168"/>
        <v>1334.93724</v>
      </c>
      <c r="BM63" s="123">
        <f t="shared" si="168"/>
        <v>1582.9311359999999</v>
      </c>
      <c r="BN63" s="123">
        <f t="shared" si="168"/>
        <v>1519.1521419999999</v>
      </c>
      <c r="BO63" s="123">
        <f t="shared" si="168"/>
        <v>1658.6737787745367</v>
      </c>
      <c r="BP63" s="123">
        <f t="shared" si="168"/>
        <v>1716.5104734266997</v>
      </c>
      <c r="BQ63" s="123">
        <f t="shared" si="168"/>
        <v>2044.9402752014835</v>
      </c>
      <c r="BR63" s="123">
        <f t="shared" ref="BR63:CB63" si="169">(BR203*BR228)/1000000</f>
        <v>2484.5372351077203</v>
      </c>
      <c r="BS63" s="123">
        <f t="shared" si="169"/>
        <v>2545.5161411772251</v>
      </c>
      <c r="BT63" s="123">
        <f t="shared" ca="1" si="169"/>
        <v>2916.6988929477207</v>
      </c>
      <c r="BU63" s="123">
        <f t="shared" ca="1" si="169"/>
        <v>3654.4183023821015</v>
      </c>
      <c r="BV63" s="123">
        <f t="shared" ca="1" si="169"/>
        <v>4023.974007676401</v>
      </c>
      <c r="BW63" s="123">
        <f t="shared" ca="1" si="169"/>
        <v>4187.8746179089958</v>
      </c>
      <c r="BX63" s="123">
        <f t="shared" ca="1" si="169"/>
        <v>4577.8866134451537</v>
      </c>
      <c r="BY63" s="123">
        <f t="shared" ca="1" si="169"/>
        <v>5183.3753453877225</v>
      </c>
      <c r="BZ63" s="123">
        <f t="shared" ca="1" si="169"/>
        <v>5933.3293785085889</v>
      </c>
      <c r="CA63" s="123">
        <f t="shared" ca="1" si="169"/>
        <v>6860.6516343701314</v>
      </c>
      <c r="CB63" s="123">
        <f t="shared" ca="1" si="169"/>
        <v>8031.7982967605949</v>
      </c>
      <c r="CC63" s="123">
        <f ca="1">(CC203*CC228)/1000000</f>
        <v>9538.8881997955214</v>
      </c>
      <c r="CD63" s="123">
        <f ca="1">(CD203*CD228)/1000000</f>
        <v>11522.764528358601</v>
      </c>
      <c r="CE63" s="123">
        <f ca="1">(CE203*CE228)/1000000</f>
        <v>14203.550067609352</v>
      </c>
      <c r="CF63" s="123">
        <f ca="1">(CF203*CF228)/1000000</f>
        <v>17936.176723335542</v>
      </c>
      <c r="CG63" s="123">
        <f ca="1">(CG203*CG228)/1000000</f>
        <v>23313.568375716153</v>
      </c>
      <c r="CH63" s="141"/>
      <c r="CI63" s="106">
        <f t="shared" ref="CI63:CR70" si="170">BQ63-DA63</f>
        <v>0</v>
      </c>
      <c r="CJ63" s="106">
        <f t="shared" si="170"/>
        <v>0</v>
      </c>
      <c r="CK63" s="106">
        <f t="shared" si="170"/>
        <v>0</v>
      </c>
      <c r="CL63" s="106">
        <f t="shared" ca="1" si="170"/>
        <v>0</v>
      </c>
      <c r="CM63" s="106">
        <f t="shared" ca="1" si="170"/>
        <v>106.97164934137209</v>
      </c>
      <c r="CN63" s="106">
        <f t="shared" ca="1" si="170"/>
        <v>255.72737086379993</v>
      </c>
      <c r="CO63" s="106">
        <f t="shared" ca="1" si="170"/>
        <v>218.66025338614691</v>
      </c>
      <c r="CP63" s="106">
        <f t="shared" ca="1" si="170"/>
        <v>151.28107284138878</v>
      </c>
      <c r="CQ63" s="106">
        <f t="shared" ca="1" si="170"/>
        <v>60.831524000826903</v>
      </c>
      <c r="CR63" s="106">
        <f t="shared" ca="1" si="170"/>
        <v>-71.047760654926606</v>
      </c>
      <c r="CS63" s="106">
        <f t="shared" ref="CS63:CU70" ca="1" si="171">CA63-DK63</f>
        <v>-173.06202871248843</v>
      </c>
      <c r="CT63" s="106">
        <f t="shared" ca="1" si="171"/>
        <v>-266.31645950155689</v>
      </c>
      <c r="CU63" s="106">
        <f t="shared" ca="1" si="171"/>
        <v>-473.09031066791431</v>
      </c>
      <c r="CV63" s="106">
        <f t="shared" ref="CV63:CV70" ca="1" si="172">CD63-DN63</f>
        <v>-803.66437689057238</v>
      </c>
      <c r="CW63" s="106">
        <f t="shared" ref="CW63:CW70" ca="1" si="173">CE63-DO63</f>
        <v>-1319.0543992339281</v>
      </c>
      <c r="CX63" s="106">
        <f t="shared" ref="CX63:CX70" ca="1" si="174">CF63-DP63</f>
        <v>-2134.9331503547037</v>
      </c>
      <c r="CY63" s="106">
        <f t="shared" ref="CY63:CY70" ca="1" si="175">CG63-DQ63</f>
        <v>-3461.9640406373146</v>
      </c>
      <c r="CZ63" s="134"/>
      <c r="DA63" s="135">
        <v>2044.9402752014835</v>
      </c>
      <c r="DB63" s="135">
        <v>2484.5372351077203</v>
      </c>
      <c r="DC63" s="135">
        <v>2545.5161411772251</v>
      </c>
      <c r="DD63" s="135">
        <v>2916.6988929477207</v>
      </c>
      <c r="DE63" s="135">
        <v>3547.4466530407294</v>
      </c>
      <c r="DF63" s="135">
        <v>3768.2466368126011</v>
      </c>
      <c r="DG63" s="135">
        <v>3969.2143645228489</v>
      </c>
      <c r="DH63" s="135">
        <v>4426.6055406037649</v>
      </c>
      <c r="DI63" s="135">
        <v>5122.5438213868956</v>
      </c>
      <c r="DJ63" s="135">
        <v>6004.3771391635155</v>
      </c>
      <c r="DK63" s="135">
        <v>7033.7136630826199</v>
      </c>
      <c r="DL63" s="135">
        <v>8298.1147562621518</v>
      </c>
      <c r="DM63" s="135">
        <v>10011.978510463436</v>
      </c>
      <c r="DN63" s="135">
        <v>12326.428905249173</v>
      </c>
      <c r="DO63" s="135">
        <v>15522.604466843281</v>
      </c>
      <c r="DP63" s="135">
        <v>20071.109873690246</v>
      </c>
      <c r="DQ63" s="135">
        <v>26775.532416353468</v>
      </c>
    </row>
    <row r="64" spans="1:121" s="123" customFormat="1">
      <c r="A64" s="107" t="s">
        <v>1107</v>
      </c>
      <c r="B64" s="107"/>
      <c r="C64" s="136" t="s">
        <v>1579</v>
      </c>
      <c r="D64" s="147"/>
      <c r="E64" s="107"/>
      <c r="F64" s="512">
        <f>+mamiabc!F13</f>
        <v>4.1500000000000002E-2</v>
      </c>
      <c r="G64" s="232">
        <f>+mamiabc!G13</f>
        <v>4.3400000000000001E-2</v>
      </c>
      <c r="H64" s="232">
        <f>+mamiabc!H13</f>
        <v>4.6439998626708986E-2</v>
      </c>
      <c r="I64" s="232">
        <f>+mamiabc!I13</f>
        <v>5.241699981689453E-2</v>
      </c>
      <c r="J64" s="232">
        <f>+mamiabc!J13</f>
        <v>5.6544998168945315E-2</v>
      </c>
      <c r="K64" s="232">
        <f>+mamiabc!K13</f>
        <v>6.2349998474121093E-2</v>
      </c>
      <c r="L64" s="232">
        <f>+mamiabc!L13</f>
        <v>6.665000152587891E-2</v>
      </c>
      <c r="M64" s="232">
        <f>+mamiabc!M13</f>
        <v>6.7080001831054684E-2</v>
      </c>
      <c r="N64" s="232">
        <f>+mamiabc!N13</f>
        <v>7.1165000915527341E-2</v>
      </c>
      <c r="O64" s="232">
        <f>+mamiabc!O13</f>
        <v>7.6110000610351558E-2</v>
      </c>
      <c r="P64" s="232">
        <f>+mamiabc!P13</f>
        <v>8.243099975585938E-2</v>
      </c>
      <c r="Q64" s="232">
        <f>+mamiabc!Q13</f>
        <v>8.608599853515625E-2</v>
      </c>
      <c r="R64" s="232">
        <f>+mamiabc!R13</f>
        <v>9.8396003723144526E-2</v>
      </c>
      <c r="S64" s="232">
        <f>+mamiabc!S13</f>
        <v>0.10769999694824219</v>
      </c>
      <c r="T64" s="232">
        <f>+mamiabc!T13</f>
        <v>0.12057599639892579</v>
      </c>
      <c r="U64" s="232">
        <f>+mamiabc!U13</f>
        <v>0.13096800231933595</v>
      </c>
      <c r="V64" s="232">
        <f>+mamiabc!V13</f>
        <v>0.1467790069580078</v>
      </c>
      <c r="W64" s="232">
        <f>+mamiabc!W13</f>
        <v>0.15624000549316405</v>
      </c>
      <c r="X64" s="232">
        <f>+mamiabc!X13</f>
        <v>0.17239999389648439</v>
      </c>
      <c r="Y64" s="232">
        <f>+mamiabc!Y13</f>
        <v>0.192</v>
      </c>
      <c r="Z64" s="232">
        <f>+mamiabc!Z13</f>
        <v>0.2175</v>
      </c>
      <c r="AA64" s="232">
        <f>+mamiabc!AA13</f>
        <v>0.27389999389648439</v>
      </c>
      <c r="AB64" s="232">
        <f>+mamiabc!AB13</f>
        <v>0.32139999389648438</v>
      </c>
      <c r="AC64" s="232">
        <f>+mamiabc!AC13</f>
        <v>0.4126000061035156</v>
      </c>
      <c r="AD64" s="232">
        <f>+mamiabc!AD13</f>
        <v>0.49049999999999999</v>
      </c>
      <c r="AE64" s="232">
        <f>+mamiabc!AE13</f>
        <v>0.50420001220703126</v>
      </c>
      <c r="AF64" s="232">
        <f>+mamiabc!AF13</f>
        <v>0.60074401855468751</v>
      </c>
      <c r="AG64" s="232">
        <f>+mamiabc!AG13</f>
        <v>0.6944051513671875</v>
      </c>
      <c r="AH64" s="232">
        <f>+mamiabc!AH13</f>
        <v>0.77085192871093755</v>
      </c>
      <c r="AI64" s="232">
        <f>+mamiabc!AI13</f>
        <v>0.81893273925781251</v>
      </c>
      <c r="AJ64" s="232">
        <f>+mamiabc!AJ13</f>
        <v>0.84596643066406252</v>
      </c>
      <c r="AK64" s="232">
        <f>+mamiabc!AK13</f>
        <v>0.8725950927734375</v>
      </c>
      <c r="AL64" s="232">
        <f>+mamiabc!AL13</f>
        <v>0.80781958007812504</v>
      </c>
      <c r="AM64" s="232">
        <f>+mamiabc!AM13</f>
        <v>0.71</v>
      </c>
      <c r="AN64" s="232">
        <f>+mamiabc!AN13</f>
        <v>0.747</v>
      </c>
      <c r="AO64" s="232">
        <f>+mamiabc!AO13</f>
        <v>0.80829998779296874</v>
      </c>
      <c r="AP64" s="232">
        <f>+mamiabc!AP13</f>
        <v>0.90961999999999998</v>
      </c>
      <c r="AQ64" s="232">
        <f>+mamiabc!AQ13</f>
        <v>1.0680000000000001</v>
      </c>
      <c r="AR64" s="232">
        <f>+mamiabc!AR13</f>
        <v>1.3939999999999999</v>
      </c>
      <c r="AS64" s="232">
        <f>+mamiabc!AS13</f>
        <v>2.4820000000000002</v>
      </c>
      <c r="AT64" s="232">
        <f>+mamiabc!AT13</f>
        <v>15.302</v>
      </c>
      <c r="AU64" s="232">
        <f>+mamiabc!AU13</f>
        <v>65.677000000000007</v>
      </c>
      <c r="AV64" s="232">
        <f>+mamiabc!AV13</f>
        <v>100.84399999999999</v>
      </c>
      <c r="AW64" s="232">
        <f>+mamiabc!AW13</f>
        <v>133.77799999999999</v>
      </c>
      <c r="AX64" s="232">
        <f>+mamiabc!AX13</f>
        <v>159.37317000000002</v>
      </c>
      <c r="AY64" s="232">
        <f>+mamiabc!AY13</f>
        <v>286.04847999999998</v>
      </c>
      <c r="AZ64" s="232">
        <f>+mamiabc!AZ13</f>
        <v>389.363</v>
      </c>
      <c r="BA64" s="544">
        <f>+SOURCE!BA59</f>
        <v>622.38099999999997</v>
      </c>
      <c r="BB64" s="544">
        <f>+SOURCE!BB59</f>
        <v>697.09900000000005</v>
      </c>
      <c r="BC64" s="544">
        <f>+SOURCE!BC59</f>
        <v>852.40300000000002</v>
      </c>
      <c r="BD64" s="544">
        <f>+SOURCE!BD59</f>
        <v>1036.923</v>
      </c>
      <c r="BE64" s="544">
        <f>+SOURCE!BE59</f>
        <v>1188.636</v>
      </c>
      <c r="BF64" s="544">
        <f>+SOURCE!BF59</f>
        <v>1291.8219999999999</v>
      </c>
      <c r="BG64" s="232">
        <f t="shared" ref="BG64:CC64" si="176">BF64*(BG204*BG229)/(BF204*BF229)</f>
        <v>1401.8156751953579</v>
      </c>
      <c r="BH64" s="232">
        <f t="shared" si="176"/>
        <v>1533.3623876659663</v>
      </c>
      <c r="BI64" s="232">
        <f t="shared" si="176"/>
        <v>1684.8267560076633</v>
      </c>
      <c r="BJ64" s="232">
        <f t="shared" si="176"/>
        <v>1880.4947041550474</v>
      </c>
      <c r="BK64" s="232">
        <f t="shared" si="176"/>
        <v>2392.6867936471826</v>
      </c>
      <c r="BL64" s="232">
        <f t="shared" si="176"/>
        <v>2855.5126584506334</v>
      </c>
      <c r="BM64" s="232">
        <f t="shared" si="176"/>
        <v>2901.0659287396738</v>
      </c>
      <c r="BN64" s="232">
        <f t="shared" si="176"/>
        <v>3252.3582514250547</v>
      </c>
      <c r="BO64" s="232">
        <f t="shared" si="176"/>
        <v>3280.5925982778608</v>
      </c>
      <c r="BP64" s="232">
        <f t="shared" si="176"/>
        <v>3945.8412151877365</v>
      </c>
      <c r="BQ64" s="232">
        <f t="shared" si="176"/>
        <v>4579.5283761205492</v>
      </c>
      <c r="BR64" s="232">
        <f t="shared" si="176"/>
        <v>5893.7946350159145</v>
      </c>
      <c r="BS64" s="232">
        <f t="shared" si="176"/>
        <v>6220.7968873003119</v>
      </c>
      <c r="BT64" s="232">
        <f t="shared" ca="1" si="176"/>
        <v>6536.0029952204013</v>
      </c>
      <c r="BU64" s="232">
        <f t="shared" ca="1" si="176"/>
        <v>7809.3807493581116</v>
      </c>
      <c r="BV64" s="232">
        <f t="shared" ca="1" si="176"/>
        <v>9662.7382368564504</v>
      </c>
      <c r="BW64" s="232">
        <f t="shared" ca="1" si="176"/>
        <v>11714.032059932768</v>
      </c>
      <c r="BX64" s="232">
        <f t="shared" ca="1" si="176"/>
        <v>13231.724872904024</v>
      </c>
      <c r="BY64" s="232">
        <f t="shared" ca="1" si="176"/>
        <v>15501.431925628111</v>
      </c>
      <c r="BZ64" s="232">
        <f t="shared" ca="1" si="176"/>
        <v>18377.094897882573</v>
      </c>
      <c r="CA64" s="232">
        <f t="shared" ca="1" si="176"/>
        <v>22068.413391418551</v>
      </c>
      <c r="CB64" s="232">
        <f t="shared" ca="1" si="176"/>
        <v>26904.178591247728</v>
      </c>
      <c r="CC64" s="232">
        <f t="shared" ca="1" si="176"/>
        <v>33377.281107465264</v>
      </c>
      <c r="CD64" s="232">
        <f ca="1">CC64*(CD204*CD229)/(CC204*CC229)</f>
        <v>42268.793751231351</v>
      </c>
      <c r="CE64" s="232">
        <f ca="1">CD64*(CE204*CE229)/(CD204*CD229)</f>
        <v>54850.142268085241</v>
      </c>
      <c r="CF64" s="232">
        <f ca="1">CE64*(CF204*CF229)/(CE204*CE229)</f>
        <v>73263.35128384878</v>
      </c>
      <c r="CG64" s="232">
        <f ca="1">CF64*(CG204*CG229)/(CF204*CF229)</f>
        <v>101255.42066922651</v>
      </c>
      <c r="CH64" s="123" t="s">
        <v>1344</v>
      </c>
      <c r="CI64" s="106">
        <f t="shared" si="170"/>
        <v>0</v>
      </c>
      <c r="CJ64" s="106">
        <f t="shared" si="170"/>
        <v>0</v>
      </c>
      <c r="CK64" s="106">
        <f t="shared" si="170"/>
        <v>0</v>
      </c>
      <c r="CL64" s="106">
        <f t="shared" ca="1" si="170"/>
        <v>0</v>
      </c>
      <c r="CM64" s="106">
        <f t="shared" ca="1" si="170"/>
        <v>111.89560187695679</v>
      </c>
      <c r="CN64" s="106">
        <f t="shared" ca="1" si="170"/>
        <v>298.15681577257601</v>
      </c>
      <c r="CO64" s="106">
        <f t="shared" ca="1" si="170"/>
        <v>228.83421517233728</v>
      </c>
      <c r="CP64" s="106">
        <f t="shared" ca="1" si="170"/>
        <v>6.5407345919484214</v>
      </c>
      <c r="CQ64" s="106">
        <f t="shared" ca="1" si="170"/>
        <v>-337.12632713773382</v>
      </c>
      <c r="CR64" s="106">
        <f t="shared" ca="1" si="170"/>
        <v>-603.78084176929042</v>
      </c>
      <c r="CS64" s="106">
        <f t="shared" ca="1" si="171"/>
        <v>-729.29508510285814</v>
      </c>
      <c r="CT64" s="106">
        <f t="shared" ca="1" si="171"/>
        <v>-1137.2162506473214</v>
      </c>
      <c r="CU64" s="106">
        <f t="shared" ca="1" si="171"/>
        <v>-2033.8530019617756</v>
      </c>
      <c r="CV64" s="106">
        <f t="shared" ca="1" si="172"/>
        <v>-3528.8868099556857</v>
      </c>
      <c r="CW64" s="106">
        <f t="shared" ca="1" si="173"/>
        <v>-5980.0410294290632</v>
      </c>
      <c r="CX64" s="106">
        <f t="shared" ca="1" si="174"/>
        <v>-10064.874083660878</v>
      </c>
      <c r="CY64" s="106">
        <f t="shared" ca="1" si="175"/>
        <v>-17066.216927024871</v>
      </c>
      <c r="CZ64" s="134"/>
      <c r="DA64" s="135">
        <v>4579.5283761205492</v>
      </c>
      <c r="DB64" s="135">
        <v>5893.7946350159145</v>
      </c>
      <c r="DC64" s="135">
        <v>6220.7968873003119</v>
      </c>
      <c r="DD64" s="135">
        <v>6536.0029952204013</v>
      </c>
      <c r="DE64" s="135">
        <v>7697.4851474811549</v>
      </c>
      <c r="DF64" s="135">
        <v>9364.5814210838744</v>
      </c>
      <c r="DG64" s="135">
        <v>11485.197844760431</v>
      </c>
      <c r="DH64" s="135">
        <v>13225.184138312075</v>
      </c>
      <c r="DI64" s="135">
        <v>15838.558252765844</v>
      </c>
      <c r="DJ64" s="135">
        <v>18980.875739651863</v>
      </c>
      <c r="DK64" s="135">
        <v>22797.708476521409</v>
      </c>
      <c r="DL64" s="135">
        <v>28041.394841895049</v>
      </c>
      <c r="DM64" s="135">
        <v>35411.134109427039</v>
      </c>
      <c r="DN64" s="135">
        <v>45797.680561187037</v>
      </c>
      <c r="DO64" s="135">
        <v>60830.183297514304</v>
      </c>
      <c r="DP64" s="135">
        <v>83328.225367509658</v>
      </c>
      <c r="DQ64" s="135">
        <v>118321.63759625138</v>
      </c>
    </row>
    <row r="65" spans="1:121" s="123" customFormat="1">
      <c r="A65" s="107" t="s">
        <v>1108</v>
      </c>
      <c r="B65" s="107"/>
      <c r="C65" s="136" t="s">
        <v>1579</v>
      </c>
      <c r="D65" s="147"/>
      <c r="E65" s="107"/>
      <c r="F65" s="123">
        <f t="shared" ref="F65:AK65" si="177">(F205*F230)/1000000</f>
        <v>0</v>
      </c>
      <c r="G65" s="123">
        <f t="shared" si="177"/>
        <v>0</v>
      </c>
      <c r="H65" s="123">
        <f t="shared" si="177"/>
        <v>0</v>
      </c>
      <c r="I65" s="123">
        <f t="shared" si="177"/>
        <v>0</v>
      </c>
      <c r="J65" s="123">
        <f t="shared" si="177"/>
        <v>0</v>
      </c>
      <c r="K65" s="123">
        <f t="shared" si="177"/>
        <v>0</v>
      </c>
      <c r="L65" s="123">
        <f t="shared" si="177"/>
        <v>0</v>
      </c>
      <c r="M65" s="123">
        <f t="shared" si="177"/>
        <v>0</v>
      </c>
      <c r="N65" s="123">
        <f t="shared" si="177"/>
        <v>0</v>
      </c>
      <c r="O65" s="123">
        <f t="shared" si="177"/>
        <v>0</v>
      </c>
      <c r="P65" s="123">
        <f t="shared" si="177"/>
        <v>0</v>
      </c>
      <c r="Q65" s="123">
        <f t="shared" si="177"/>
        <v>0</v>
      </c>
      <c r="R65" s="123">
        <f t="shared" si="177"/>
        <v>0</v>
      </c>
      <c r="S65" s="123">
        <f t="shared" si="177"/>
        <v>0</v>
      </c>
      <c r="T65" s="123">
        <f t="shared" si="177"/>
        <v>0</v>
      </c>
      <c r="U65" s="123">
        <f t="shared" si="177"/>
        <v>0</v>
      </c>
      <c r="V65" s="123">
        <f t="shared" si="177"/>
        <v>0</v>
      </c>
      <c r="W65" s="123">
        <f t="shared" si="177"/>
        <v>0</v>
      </c>
      <c r="X65" s="123">
        <f t="shared" si="177"/>
        <v>0</v>
      </c>
      <c r="Y65" s="123">
        <f t="shared" si="177"/>
        <v>0</v>
      </c>
      <c r="Z65" s="123">
        <f t="shared" si="177"/>
        <v>0</v>
      </c>
      <c r="AA65" s="123">
        <f t="shared" si="177"/>
        <v>0</v>
      </c>
      <c r="AB65" s="123">
        <f t="shared" si="177"/>
        <v>0</v>
      </c>
      <c r="AC65" s="123">
        <f t="shared" si="177"/>
        <v>0</v>
      </c>
      <c r="AD65" s="123">
        <f t="shared" si="177"/>
        <v>0</v>
      </c>
      <c r="AE65" s="123">
        <f t="shared" si="177"/>
        <v>0</v>
      </c>
      <c r="AF65" s="123">
        <f t="shared" si="177"/>
        <v>0</v>
      </c>
      <c r="AG65" s="123">
        <f t="shared" si="177"/>
        <v>0</v>
      </c>
      <c r="AH65" s="123">
        <f t="shared" si="177"/>
        <v>0</v>
      </c>
      <c r="AI65" s="123">
        <f t="shared" si="177"/>
        <v>0</v>
      </c>
      <c r="AJ65" s="123">
        <f t="shared" si="177"/>
        <v>0</v>
      </c>
      <c r="AK65" s="123">
        <f t="shared" si="177"/>
        <v>0</v>
      </c>
      <c r="AL65" s="123">
        <f t="shared" ref="AL65:BP65" si="178">(AL205*AL230)/1000000</f>
        <v>0</v>
      </c>
      <c r="AM65" s="123">
        <f t="shared" si="178"/>
        <v>0</v>
      </c>
      <c r="AN65" s="123">
        <f t="shared" si="178"/>
        <v>0</v>
      </c>
      <c r="AO65" s="123">
        <f t="shared" si="178"/>
        <v>0</v>
      </c>
      <c r="AP65" s="123">
        <f t="shared" si="178"/>
        <v>0</v>
      </c>
      <c r="AQ65" s="123">
        <f t="shared" si="178"/>
        <v>0</v>
      </c>
      <c r="AR65" s="123">
        <f t="shared" si="178"/>
        <v>0</v>
      </c>
      <c r="AS65" s="123">
        <f t="shared" si="178"/>
        <v>0</v>
      </c>
      <c r="AT65" s="123">
        <f t="shared" si="178"/>
        <v>0</v>
      </c>
      <c r="AU65" s="123">
        <f t="shared" si="178"/>
        <v>0</v>
      </c>
      <c r="AV65" s="123">
        <f t="shared" si="178"/>
        <v>0</v>
      </c>
      <c r="AW65" s="123">
        <f t="shared" si="178"/>
        <v>0</v>
      </c>
      <c r="AX65" s="123">
        <f t="shared" si="178"/>
        <v>0</v>
      </c>
      <c r="AY65" s="123">
        <f t="shared" si="178"/>
        <v>0</v>
      </c>
      <c r="AZ65" s="123">
        <f t="shared" si="178"/>
        <v>0</v>
      </c>
      <c r="BA65" s="123">
        <f t="shared" si="178"/>
        <v>0</v>
      </c>
      <c r="BB65" s="123">
        <f t="shared" si="178"/>
        <v>0</v>
      </c>
      <c r="BC65" s="123">
        <f t="shared" si="178"/>
        <v>0</v>
      </c>
      <c r="BD65" s="123">
        <f ca="1">(BD205*BD230)/1000000</f>
        <v>0</v>
      </c>
      <c r="BE65" s="123">
        <f ca="1">(BE205*BE230)/1000000</f>
        <v>0</v>
      </c>
      <c r="BF65" s="123">
        <f t="shared" si="178"/>
        <v>436.70012154263651</v>
      </c>
      <c r="BG65" s="123">
        <f t="shared" si="178"/>
        <v>418.06066424331004</v>
      </c>
      <c r="BH65" s="123">
        <f t="shared" si="178"/>
        <v>397.35962255602323</v>
      </c>
      <c r="BI65" s="123">
        <f t="shared" si="178"/>
        <v>428.14689341459587</v>
      </c>
      <c r="BJ65" s="123">
        <f t="shared" si="178"/>
        <v>365.32957835732344</v>
      </c>
      <c r="BK65" s="123">
        <f t="shared" si="178"/>
        <v>459.72561843684389</v>
      </c>
      <c r="BL65" s="123">
        <f t="shared" si="178"/>
        <v>543.42766741861294</v>
      </c>
      <c r="BM65" s="123">
        <f t="shared" si="178"/>
        <v>461.12666229386258</v>
      </c>
      <c r="BN65" s="123">
        <f t="shared" si="178"/>
        <v>389.42206031445954</v>
      </c>
      <c r="BO65" s="123">
        <f t="shared" si="178"/>
        <v>508.76442003556582</v>
      </c>
      <c r="BP65" s="123">
        <f t="shared" si="178"/>
        <v>871.79837165833464</v>
      </c>
      <c r="BQ65" s="123">
        <f t="shared" ref="BQ65:CB65" si="179">(BQ205*BQ230)/1000000</f>
        <v>807.2529557472252</v>
      </c>
      <c r="BR65" s="123">
        <f t="shared" si="179"/>
        <v>1303.6138857526855</v>
      </c>
      <c r="BS65" s="123">
        <f t="shared" si="179"/>
        <v>1392.7312945384028</v>
      </c>
      <c r="BT65" s="123">
        <f t="shared" ca="1" si="179"/>
        <v>1748.3317878787725</v>
      </c>
      <c r="BU65" s="123">
        <f t="shared" ca="1" si="179"/>
        <v>2317.8313289825101</v>
      </c>
      <c r="BV65" s="123">
        <f t="shared" ca="1" si="179"/>
        <v>2818.3544031208139</v>
      </c>
      <c r="BW65" s="123">
        <f t="shared" ca="1" si="179"/>
        <v>3512.5873861827604</v>
      </c>
      <c r="BX65" s="123">
        <f t="shared" ca="1" si="179"/>
        <v>3858.2937980696288</v>
      </c>
      <c r="BY65" s="123">
        <f t="shared" ca="1" si="179"/>
        <v>4384.5467538735302</v>
      </c>
      <c r="BZ65" s="123">
        <f t="shared" ca="1" si="179"/>
        <v>5031.9998587977016</v>
      </c>
      <c r="CA65" s="123">
        <f t="shared" ca="1" si="179"/>
        <v>5819.8735541240803</v>
      </c>
      <c r="CB65" s="123">
        <f t="shared" ca="1" si="179"/>
        <v>6797.7101293212936</v>
      </c>
      <c r="CC65" s="123">
        <f t="shared" ref="CC65:CG67" ca="1" si="180">(CC205*CC230)/1000000</f>
        <v>8029.5768286056737</v>
      </c>
      <c r="CD65" s="123">
        <f t="shared" ca="1" si="180"/>
        <v>9609.3193804049242</v>
      </c>
      <c r="CE65" s="123">
        <f t="shared" ca="1" si="180"/>
        <v>11676.457620032834</v>
      </c>
      <c r="CF65" s="123">
        <f t="shared" ca="1" si="180"/>
        <v>14443.049166465013</v>
      </c>
      <c r="CG65" s="123">
        <f t="shared" ca="1" si="180"/>
        <v>18239.688405866411</v>
      </c>
      <c r="CH65" s="141"/>
      <c r="CI65" s="106">
        <f t="shared" si="170"/>
        <v>0</v>
      </c>
      <c r="CJ65" s="106">
        <f t="shared" si="170"/>
        <v>0</v>
      </c>
      <c r="CK65" s="106">
        <f t="shared" si="170"/>
        <v>0</v>
      </c>
      <c r="CL65" s="106">
        <f t="shared" ca="1" si="170"/>
        <v>0</v>
      </c>
      <c r="CM65" s="106">
        <f t="shared" ca="1" si="170"/>
        <v>88.668953932480235</v>
      </c>
      <c r="CN65" s="106">
        <f t="shared" ca="1" si="170"/>
        <v>235.47588583460674</v>
      </c>
      <c r="CO65" s="106">
        <f t="shared" ca="1" si="170"/>
        <v>251.69909519491557</v>
      </c>
      <c r="CP65" s="106">
        <f t="shared" ca="1" si="170"/>
        <v>204.35024889173383</v>
      </c>
      <c r="CQ65" s="106">
        <f t="shared" ca="1" si="170"/>
        <v>144.06609909815143</v>
      </c>
      <c r="CR65" s="106">
        <f t="shared" ca="1" si="170"/>
        <v>8.2102074342201377</v>
      </c>
      <c r="CS65" s="106">
        <f t="shared" ca="1" si="171"/>
        <v>-116.01029264262434</v>
      </c>
      <c r="CT65" s="106">
        <f t="shared" ca="1" si="171"/>
        <v>-181.65971903634818</v>
      </c>
      <c r="CU65" s="106">
        <f t="shared" ca="1" si="171"/>
        <v>-330.70656463086016</v>
      </c>
      <c r="CV65" s="106">
        <f t="shared" ca="1" si="172"/>
        <v>-566.57957353792335</v>
      </c>
      <c r="CW65" s="106">
        <f t="shared" ca="1" si="173"/>
        <v>-926.2476409835981</v>
      </c>
      <c r="CX65" s="106">
        <f t="shared" ca="1" si="174"/>
        <v>-1479.2822625722638</v>
      </c>
      <c r="CY65" s="106">
        <f t="shared" ca="1" si="175"/>
        <v>-2346.2791715009371</v>
      </c>
      <c r="CZ65" s="134"/>
      <c r="DA65" s="135">
        <v>807.2529557472252</v>
      </c>
      <c r="DB65" s="135">
        <v>1303.6138857526855</v>
      </c>
      <c r="DC65" s="135">
        <v>1392.7312945384028</v>
      </c>
      <c r="DD65" s="135">
        <v>1748.3317878787725</v>
      </c>
      <c r="DE65" s="135">
        <v>2229.1623750500298</v>
      </c>
      <c r="DF65" s="135">
        <v>2582.8785172862072</v>
      </c>
      <c r="DG65" s="135">
        <v>3260.8882909878448</v>
      </c>
      <c r="DH65" s="135">
        <v>3653.943549177895</v>
      </c>
      <c r="DI65" s="135">
        <v>4240.4806547753788</v>
      </c>
      <c r="DJ65" s="135">
        <v>5023.7896513634814</v>
      </c>
      <c r="DK65" s="135">
        <v>5935.8838467667047</v>
      </c>
      <c r="DL65" s="135">
        <v>6979.3698483576418</v>
      </c>
      <c r="DM65" s="135">
        <v>8360.2833932365338</v>
      </c>
      <c r="DN65" s="135">
        <v>10175.898953942848</v>
      </c>
      <c r="DO65" s="135">
        <v>12602.705261016432</v>
      </c>
      <c r="DP65" s="135">
        <v>15922.331429037276</v>
      </c>
      <c r="DQ65" s="135">
        <v>20585.967577367348</v>
      </c>
    </row>
    <row r="66" spans="1:121" s="123" customFormat="1">
      <c r="A66" s="107" t="s">
        <v>2321</v>
      </c>
      <c r="B66" s="107"/>
      <c r="C66" s="136" t="s">
        <v>1579</v>
      </c>
      <c r="D66" s="147"/>
      <c r="E66" s="107"/>
      <c r="F66" s="123">
        <f t="shared" ref="F66:AK66" si="181">(F206*F231)/1000000</f>
        <v>0</v>
      </c>
      <c r="G66" s="123">
        <f t="shared" si="181"/>
        <v>0</v>
      </c>
      <c r="H66" s="123">
        <f t="shared" si="181"/>
        <v>0</v>
      </c>
      <c r="I66" s="123">
        <f t="shared" si="181"/>
        <v>0</v>
      </c>
      <c r="J66" s="123">
        <f t="shared" si="181"/>
        <v>0</v>
      </c>
      <c r="K66" s="123">
        <f t="shared" si="181"/>
        <v>0</v>
      </c>
      <c r="L66" s="123">
        <f t="shared" si="181"/>
        <v>0</v>
      </c>
      <c r="M66" s="123">
        <f t="shared" si="181"/>
        <v>0</v>
      </c>
      <c r="N66" s="123">
        <f t="shared" si="181"/>
        <v>0</v>
      </c>
      <c r="O66" s="123">
        <f t="shared" si="181"/>
        <v>0</v>
      </c>
      <c r="P66" s="123">
        <f t="shared" si="181"/>
        <v>0</v>
      </c>
      <c r="Q66" s="123">
        <f t="shared" si="181"/>
        <v>0</v>
      </c>
      <c r="R66" s="123">
        <f t="shared" si="181"/>
        <v>0</v>
      </c>
      <c r="S66" s="123">
        <f t="shared" si="181"/>
        <v>0</v>
      </c>
      <c r="T66" s="123">
        <f t="shared" si="181"/>
        <v>0</v>
      </c>
      <c r="U66" s="123">
        <f t="shared" si="181"/>
        <v>0</v>
      </c>
      <c r="V66" s="123">
        <f t="shared" si="181"/>
        <v>0</v>
      </c>
      <c r="W66" s="123">
        <f t="shared" si="181"/>
        <v>0</v>
      </c>
      <c r="X66" s="123">
        <f t="shared" si="181"/>
        <v>0</v>
      </c>
      <c r="Y66" s="123">
        <f t="shared" si="181"/>
        <v>0</v>
      </c>
      <c r="Z66" s="123">
        <f t="shared" si="181"/>
        <v>0</v>
      </c>
      <c r="AA66" s="123">
        <f t="shared" si="181"/>
        <v>0</v>
      </c>
      <c r="AB66" s="123">
        <f t="shared" si="181"/>
        <v>0</v>
      </c>
      <c r="AC66" s="123">
        <f t="shared" si="181"/>
        <v>0</v>
      </c>
      <c r="AD66" s="123">
        <f t="shared" si="181"/>
        <v>0</v>
      </c>
      <c r="AE66" s="123">
        <f t="shared" si="181"/>
        <v>0</v>
      </c>
      <c r="AF66" s="123">
        <f t="shared" si="181"/>
        <v>0</v>
      </c>
      <c r="AG66" s="123">
        <f t="shared" si="181"/>
        <v>0</v>
      </c>
      <c r="AH66" s="123">
        <f t="shared" si="181"/>
        <v>0</v>
      </c>
      <c r="AI66" s="123">
        <f t="shared" si="181"/>
        <v>0</v>
      </c>
      <c r="AJ66" s="123">
        <f t="shared" si="181"/>
        <v>0</v>
      </c>
      <c r="AK66" s="123">
        <f t="shared" si="181"/>
        <v>0</v>
      </c>
      <c r="AL66" s="123">
        <f t="shared" ref="AL66:BP66" si="182">(AL206*AL231)/1000000</f>
        <v>0</v>
      </c>
      <c r="AM66" s="123">
        <f t="shared" si="182"/>
        <v>0</v>
      </c>
      <c r="AN66" s="123">
        <f t="shared" si="182"/>
        <v>0</v>
      </c>
      <c r="AO66" s="123">
        <f t="shared" si="182"/>
        <v>0</v>
      </c>
      <c r="AP66" s="123">
        <f t="shared" si="182"/>
        <v>0</v>
      </c>
      <c r="AQ66" s="123">
        <f t="shared" si="182"/>
        <v>0</v>
      </c>
      <c r="AR66" s="123">
        <f t="shared" si="182"/>
        <v>0</v>
      </c>
      <c r="AS66" s="123">
        <f t="shared" si="182"/>
        <v>0</v>
      </c>
      <c r="AT66" s="123">
        <f t="shared" si="182"/>
        <v>0</v>
      </c>
      <c r="AU66" s="123">
        <f t="shared" si="182"/>
        <v>0</v>
      </c>
      <c r="AV66" s="123">
        <f t="shared" si="182"/>
        <v>0</v>
      </c>
      <c r="AW66" s="123">
        <f t="shared" si="182"/>
        <v>0</v>
      </c>
      <c r="AX66" s="123">
        <f t="shared" si="182"/>
        <v>0</v>
      </c>
      <c r="AY66" s="123">
        <f t="shared" si="182"/>
        <v>0</v>
      </c>
      <c r="AZ66" s="123">
        <f t="shared" si="182"/>
        <v>0</v>
      </c>
      <c r="BA66" s="123">
        <f t="shared" si="182"/>
        <v>0</v>
      </c>
      <c r="BB66" s="123">
        <f t="shared" si="182"/>
        <v>0</v>
      </c>
      <c r="BC66" s="123">
        <f t="shared" si="182"/>
        <v>0</v>
      </c>
      <c r="BD66" s="123">
        <f ca="1">(BD206*BD231)/1000000</f>
        <v>0</v>
      </c>
      <c r="BE66" s="123">
        <f ca="1">(BE206*BE231)/1000000</f>
        <v>0</v>
      </c>
      <c r="BF66" s="123">
        <f t="shared" si="182"/>
        <v>2170.5636118394141</v>
      </c>
      <c r="BG66" s="123">
        <f t="shared" si="182"/>
        <v>2506.5796180630723</v>
      </c>
      <c r="BH66" s="123">
        <f t="shared" si="182"/>
        <v>2778.55009263598</v>
      </c>
      <c r="BI66" s="123">
        <f t="shared" si="182"/>
        <v>3403.9783483836909</v>
      </c>
      <c r="BJ66" s="123">
        <f t="shared" si="182"/>
        <v>3403.7261964809209</v>
      </c>
      <c r="BK66" s="123">
        <f t="shared" si="182"/>
        <v>3765.8043168328791</v>
      </c>
      <c r="BL66" s="123">
        <f t="shared" si="182"/>
        <v>3802.4142050574633</v>
      </c>
      <c r="BM66" s="123">
        <f t="shared" si="182"/>
        <v>4212.2846285221694</v>
      </c>
      <c r="BN66" s="123">
        <f t="shared" si="182"/>
        <v>4076.4748841898158</v>
      </c>
      <c r="BO66" s="123">
        <f t="shared" si="182"/>
        <v>3265.2348159832591</v>
      </c>
      <c r="BP66" s="123">
        <f t="shared" si="182"/>
        <v>4392.9955262192452</v>
      </c>
      <c r="BQ66" s="123">
        <f t="shared" ref="BQ66:CB66" si="183">(BQ206*BQ231)/1000000</f>
        <v>5840.8978427654865</v>
      </c>
      <c r="BR66" s="123">
        <f t="shared" si="183"/>
        <v>7131.7238951113777</v>
      </c>
      <c r="BS66" s="123">
        <f t="shared" si="183"/>
        <v>7619.2614709638719</v>
      </c>
      <c r="BT66" s="123">
        <f t="shared" ca="1" si="183"/>
        <v>9564.6569313724867</v>
      </c>
      <c r="BU66" s="123">
        <f t="shared" ca="1" si="183"/>
        <v>12680.237035215452</v>
      </c>
      <c r="BV66" s="123">
        <f t="shared" ca="1" si="183"/>
        <v>15418.465284315243</v>
      </c>
      <c r="BW66" s="123">
        <f t="shared" ca="1" si="183"/>
        <v>19216.428782700859</v>
      </c>
      <c r="BX66" s="123">
        <f t="shared" ca="1" si="183"/>
        <v>21107.696362229031</v>
      </c>
      <c r="BY66" s="123">
        <f t="shared" ca="1" si="183"/>
        <v>23986.685931761516</v>
      </c>
      <c r="BZ66" s="123">
        <f t="shared" ca="1" si="183"/>
        <v>27528.729193049472</v>
      </c>
      <c r="CA66" s="123">
        <f t="shared" ca="1" si="183"/>
        <v>31838.976054254523</v>
      </c>
      <c r="CB66" s="123">
        <f t="shared" ca="1" si="183"/>
        <v>37188.459168130335</v>
      </c>
      <c r="CC66" s="123">
        <f t="shared" ca="1" si="180"/>
        <v>43927.673341049165</v>
      </c>
      <c r="CD66" s="123">
        <f t="shared" ca="1" si="180"/>
        <v>52570.023524581935</v>
      </c>
      <c r="CE66" s="123">
        <f t="shared" ca="1" si="180"/>
        <v>63878.785527789252</v>
      </c>
      <c r="CF66" s="123">
        <f t="shared" ca="1" si="180"/>
        <v>79014.070028315546</v>
      </c>
      <c r="CG66" s="123">
        <f t="shared" ca="1" si="180"/>
        <v>99784.470743341037</v>
      </c>
      <c r="CH66" s="141"/>
      <c r="CI66" s="106">
        <f t="shared" si="170"/>
        <v>0</v>
      </c>
      <c r="CJ66" s="106">
        <f t="shared" si="170"/>
        <v>0</v>
      </c>
      <c r="CK66" s="106">
        <f t="shared" si="170"/>
        <v>0</v>
      </c>
      <c r="CL66" s="106">
        <f t="shared" ca="1" si="170"/>
        <v>0</v>
      </c>
      <c r="CM66" s="106">
        <f t="shared" ca="1" si="170"/>
        <v>485.08419895333464</v>
      </c>
      <c r="CN66" s="106">
        <f t="shared" ca="1" si="170"/>
        <v>1288.225769979088</v>
      </c>
      <c r="CO66" s="106">
        <f t="shared" ca="1" si="170"/>
        <v>1376.978621659171</v>
      </c>
      <c r="CP66" s="106">
        <f t="shared" ca="1" si="170"/>
        <v>1117.94571147241</v>
      </c>
      <c r="CQ66" s="106">
        <f t="shared" ca="1" si="170"/>
        <v>788.1472057353385</v>
      </c>
      <c r="CR66" s="106">
        <f t="shared" ca="1" si="170"/>
        <v>44.915855210172595</v>
      </c>
      <c r="CS66" s="106">
        <f t="shared" ca="1" si="171"/>
        <v>-634.66137110115596</v>
      </c>
      <c r="CT66" s="106">
        <f t="shared" ca="1" si="171"/>
        <v>-993.81187419821799</v>
      </c>
      <c r="CU66" s="106">
        <f t="shared" ca="1" si="171"/>
        <v>-1809.2074156499293</v>
      </c>
      <c r="CV66" s="106">
        <f t="shared" ca="1" si="172"/>
        <v>-3099.6057400459395</v>
      </c>
      <c r="CW66" s="106">
        <f t="shared" ca="1" si="173"/>
        <v>-5067.2538135625218</v>
      </c>
      <c r="CX66" s="106">
        <f t="shared" ca="1" si="174"/>
        <v>-8092.7587339324527</v>
      </c>
      <c r="CY66" s="106">
        <f t="shared" ca="1" si="175"/>
        <v>-12835.867594594311</v>
      </c>
      <c r="CZ66" s="134"/>
      <c r="DA66" s="135">
        <v>5840.8978427654865</v>
      </c>
      <c r="DB66" s="135">
        <v>7131.7238951113777</v>
      </c>
      <c r="DC66" s="135">
        <v>7619.2614709638719</v>
      </c>
      <c r="DD66" s="135">
        <v>9564.6569313724867</v>
      </c>
      <c r="DE66" s="135">
        <v>12195.152836262117</v>
      </c>
      <c r="DF66" s="135">
        <v>14130.239514336155</v>
      </c>
      <c r="DG66" s="135">
        <v>17839.450161041688</v>
      </c>
      <c r="DH66" s="135">
        <v>19989.750650756621</v>
      </c>
      <c r="DI66" s="135">
        <v>23198.538726026178</v>
      </c>
      <c r="DJ66" s="135">
        <v>27483.813337839299</v>
      </c>
      <c r="DK66" s="135">
        <v>32473.637425355679</v>
      </c>
      <c r="DL66" s="135">
        <v>38182.271042328553</v>
      </c>
      <c r="DM66" s="135">
        <v>45736.880756699094</v>
      </c>
      <c r="DN66" s="135">
        <v>55669.629264627874</v>
      </c>
      <c r="DO66" s="135">
        <v>68946.039341351774</v>
      </c>
      <c r="DP66" s="135">
        <v>87106.828762247998</v>
      </c>
      <c r="DQ66" s="135">
        <v>112620.33833793535</v>
      </c>
    </row>
    <row r="67" spans="1:121" s="123" customFormat="1">
      <c r="A67" s="107" t="s">
        <v>828</v>
      </c>
      <c r="B67" s="107"/>
      <c r="C67" s="136" t="s">
        <v>1579</v>
      </c>
      <c r="D67" s="147"/>
      <c r="E67" s="107"/>
      <c r="F67" s="123">
        <f t="shared" ref="F67:AK67" si="184">(F207*F232)/1000000</f>
        <v>0</v>
      </c>
      <c r="G67" s="123">
        <f t="shared" si="184"/>
        <v>0</v>
      </c>
      <c r="H67" s="123">
        <f t="shared" si="184"/>
        <v>0</v>
      </c>
      <c r="I67" s="123">
        <f t="shared" si="184"/>
        <v>0</v>
      </c>
      <c r="J67" s="123">
        <f t="shared" si="184"/>
        <v>0</v>
      </c>
      <c r="K67" s="123">
        <f t="shared" si="184"/>
        <v>0</v>
      </c>
      <c r="L67" s="123">
        <f t="shared" si="184"/>
        <v>0</v>
      </c>
      <c r="M67" s="123">
        <f t="shared" si="184"/>
        <v>0</v>
      </c>
      <c r="N67" s="123">
        <f t="shared" si="184"/>
        <v>0</v>
      </c>
      <c r="O67" s="123">
        <f t="shared" si="184"/>
        <v>0</v>
      </c>
      <c r="P67" s="123">
        <f t="shared" si="184"/>
        <v>0</v>
      </c>
      <c r="Q67" s="123">
        <f t="shared" si="184"/>
        <v>0</v>
      </c>
      <c r="R67" s="123">
        <f t="shared" si="184"/>
        <v>0</v>
      </c>
      <c r="S67" s="123">
        <f t="shared" si="184"/>
        <v>0</v>
      </c>
      <c r="T67" s="123">
        <f t="shared" si="184"/>
        <v>0</v>
      </c>
      <c r="U67" s="123">
        <f t="shared" si="184"/>
        <v>0</v>
      </c>
      <c r="V67" s="123">
        <f t="shared" si="184"/>
        <v>0</v>
      </c>
      <c r="W67" s="123">
        <f t="shared" si="184"/>
        <v>0</v>
      </c>
      <c r="X67" s="123">
        <f t="shared" si="184"/>
        <v>0</v>
      </c>
      <c r="Y67" s="123">
        <f t="shared" si="184"/>
        <v>0</v>
      </c>
      <c r="Z67" s="123">
        <f t="shared" si="184"/>
        <v>0</v>
      </c>
      <c r="AA67" s="123">
        <f t="shared" si="184"/>
        <v>0</v>
      </c>
      <c r="AB67" s="123">
        <f t="shared" si="184"/>
        <v>0</v>
      </c>
      <c r="AC67" s="123">
        <f t="shared" si="184"/>
        <v>0</v>
      </c>
      <c r="AD67" s="123">
        <f t="shared" si="184"/>
        <v>0</v>
      </c>
      <c r="AE67" s="123">
        <f t="shared" si="184"/>
        <v>0</v>
      </c>
      <c r="AF67" s="123">
        <f t="shared" si="184"/>
        <v>0</v>
      </c>
      <c r="AG67" s="123">
        <f t="shared" si="184"/>
        <v>0</v>
      </c>
      <c r="AH67" s="123">
        <f t="shared" si="184"/>
        <v>0</v>
      </c>
      <c r="AI67" s="123">
        <f t="shared" si="184"/>
        <v>0</v>
      </c>
      <c r="AJ67" s="123">
        <f t="shared" si="184"/>
        <v>0</v>
      </c>
      <c r="AK67" s="123">
        <f t="shared" si="184"/>
        <v>0</v>
      </c>
      <c r="AL67" s="123">
        <f t="shared" ref="AL67:BQ67" si="185">(AL207*AL232)/1000000</f>
        <v>0</v>
      </c>
      <c r="AM67" s="123">
        <f t="shared" si="185"/>
        <v>0</v>
      </c>
      <c r="AN67" s="123">
        <f t="shared" si="185"/>
        <v>0</v>
      </c>
      <c r="AO67" s="123">
        <f t="shared" si="185"/>
        <v>0</v>
      </c>
      <c r="AP67" s="123">
        <f t="shared" si="185"/>
        <v>0</v>
      </c>
      <c r="AQ67" s="123">
        <f t="shared" si="185"/>
        <v>0</v>
      </c>
      <c r="AR67" s="123">
        <f t="shared" si="185"/>
        <v>0</v>
      </c>
      <c r="AS67" s="123">
        <f t="shared" si="185"/>
        <v>0</v>
      </c>
      <c r="AT67" s="123">
        <f t="shared" si="185"/>
        <v>0</v>
      </c>
      <c r="AU67" s="123">
        <f t="shared" si="185"/>
        <v>0</v>
      </c>
      <c r="AV67" s="123">
        <f t="shared" si="185"/>
        <v>0</v>
      </c>
      <c r="AW67" s="123">
        <f t="shared" si="185"/>
        <v>0</v>
      </c>
      <c r="AX67" s="123">
        <f t="shared" si="185"/>
        <v>0</v>
      </c>
      <c r="AY67" s="123">
        <f t="shared" si="185"/>
        <v>0</v>
      </c>
      <c r="AZ67" s="123">
        <f t="shared" si="185"/>
        <v>0</v>
      </c>
      <c r="BA67" s="123">
        <f t="shared" si="185"/>
        <v>0</v>
      </c>
      <c r="BB67" s="123">
        <f t="shared" si="185"/>
        <v>0</v>
      </c>
      <c r="BC67" s="123">
        <f t="shared" si="185"/>
        <v>0</v>
      </c>
      <c r="BD67" s="123">
        <f t="shared" si="185"/>
        <v>0</v>
      </c>
      <c r="BE67" s="123">
        <f t="shared" si="185"/>
        <v>0</v>
      </c>
      <c r="BF67" s="123">
        <f t="shared" si="185"/>
        <v>110.9646</v>
      </c>
      <c r="BG67" s="123">
        <f t="shared" si="185"/>
        <v>115.29649999999999</v>
      </c>
      <c r="BH67" s="123">
        <f t="shared" si="185"/>
        <v>141.29939999999999</v>
      </c>
      <c r="BI67" s="123">
        <f t="shared" si="185"/>
        <v>143.4675</v>
      </c>
      <c r="BJ67" s="123">
        <f t="shared" si="185"/>
        <v>150.68700000000001</v>
      </c>
      <c r="BK67" s="123">
        <f t="shared" si="185"/>
        <v>227.48175000000001</v>
      </c>
      <c r="BL67" s="123">
        <f t="shared" si="185"/>
        <v>296.66699999999997</v>
      </c>
      <c r="BM67" s="123">
        <f t="shared" si="185"/>
        <v>309.22919999999999</v>
      </c>
      <c r="BN67" s="123">
        <f t="shared" si="185"/>
        <v>336.82491215285489</v>
      </c>
      <c r="BO67" s="123">
        <f t="shared" si="185"/>
        <v>341.95950992640167</v>
      </c>
      <c r="BP67" s="123">
        <f t="shared" si="185"/>
        <v>347.0663791841485</v>
      </c>
      <c r="BQ67" s="123">
        <f t="shared" si="185"/>
        <v>351.66991560074587</v>
      </c>
      <c r="BR67" s="123">
        <f t="shared" ref="BR67:CB67" si="186">(BR207*BR232)/1000000</f>
        <v>355.70863420637659</v>
      </c>
      <c r="BS67" s="123">
        <f t="shared" si="186"/>
        <v>360.33284645105954</v>
      </c>
      <c r="BT67" s="123">
        <f t="shared" si="186"/>
        <v>547.52576018238483</v>
      </c>
      <c r="BU67" s="123">
        <f t="shared" ca="1" si="186"/>
        <v>857.3892237934715</v>
      </c>
      <c r="BV67" s="123">
        <f t="shared" ca="1" si="186"/>
        <v>1060.487096432779</v>
      </c>
      <c r="BW67" s="123">
        <f t="shared" ca="1" si="186"/>
        <v>1308.9879326477517</v>
      </c>
      <c r="BX67" s="123">
        <f t="shared" ca="1" si="186"/>
        <v>1493.4181543301277</v>
      </c>
      <c r="BY67" s="123">
        <f t="shared" ca="1" si="186"/>
        <v>1712.9255948407051</v>
      </c>
      <c r="BZ67" s="123">
        <f t="shared" ca="1" si="186"/>
        <v>1986.249237583125</v>
      </c>
      <c r="CA67" s="123">
        <f t="shared" ca="1" si="186"/>
        <v>2326.537721149758</v>
      </c>
      <c r="CB67" s="123">
        <f t="shared" ca="1" si="186"/>
        <v>2759.097003763959</v>
      </c>
      <c r="CC67" s="123">
        <f t="shared" ca="1" si="180"/>
        <v>3319.4136852409456</v>
      </c>
      <c r="CD67" s="123">
        <f t="shared" ca="1" si="180"/>
        <v>4061.9049248891706</v>
      </c>
      <c r="CE67" s="123">
        <f t="shared" ca="1" si="180"/>
        <v>5072.0020300956767</v>
      </c>
      <c r="CF67" s="123">
        <f t="shared" ca="1" si="180"/>
        <v>6488.1641938839202</v>
      </c>
      <c r="CG67" s="123">
        <f t="shared" ca="1" si="180"/>
        <v>8542.995048772098</v>
      </c>
      <c r="CH67" s="141"/>
      <c r="CI67" s="106">
        <f t="shared" si="170"/>
        <v>0</v>
      </c>
      <c r="CJ67" s="106">
        <f t="shared" si="170"/>
        <v>0</v>
      </c>
      <c r="CK67" s="106">
        <f t="shared" si="170"/>
        <v>0</v>
      </c>
      <c r="CL67" s="106">
        <f t="shared" si="170"/>
        <v>0</v>
      </c>
      <c r="CM67" s="106">
        <f t="shared" ca="1" si="170"/>
        <v>25.097383990475919</v>
      </c>
      <c r="CN67" s="106">
        <f t="shared" ca="1" si="170"/>
        <v>67.394962414863699</v>
      </c>
      <c r="CO67" s="106">
        <f t="shared" ca="1" si="170"/>
        <v>68.345798082913234</v>
      </c>
      <c r="CP67" s="106">
        <f t="shared" ca="1" si="170"/>
        <v>49.351571951198821</v>
      </c>
      <c r="CQ67" s="106">
        <f t="shared" ca="1" si="170"/>
        <v>20.102706728908288</v>
      </c>
      <c r="CR67" s="106">
        <f t="shared" ca="1" si="170"/>
        <v>-23.784042892341404</v>
      </c>
      <c r="CS67" s="106">
        <f t="shared" ca="1" si="171"/>
        <v>-58.687623181623167</v>
      </c>
      <c r="CT67" s="106">
        <f t="shared" ca="1" si="171"/>
        <v>-91.485482866287384</v>
      </c>
      <c r="CU67" s="106">
        <f t="shared" ca="1" si="171"/>
        <v>-164.62950594385211</v>
      </c>
      <c r="CV67" s="106">
        <f t="shared" ca="1" si="172"/>
        <v>-283.30078970335489</v>
      </c>
      <c r="CW67" s="106">
        <f t="shared" ca="1" si="173"/>
        <v>-471.02636727263962</v>
      </c>
      <c r="CX67" s="106">
        <f t="shared" ca="1" si="174"/>
        <v>-772.28257928823405</v>
      </c>
      <c r="CY67" s="106">
        <f t="shared" ca="1" si="175"/>
        <v>-1268.5978045728061</v>
      </c>
      <c r="CZ67" s="134"/>
      <c r="DA67" s="135">
        <v>351.66991560074587</v>
      </c>
      <c r="DB67" s="135">
        <v>355.70863420637659</v>
      </c>
      <c r="DC67" s="135">
        <v>360.33284645105954</v>
      </c>
      <c r="DD67" s="135">
        <v>547.52576018238483</v>
      </c>
      <c r="DE67" s="135">
        <v>832.29183980299558</v>
      </c>
      <c r="DF67" s="135">
        <v>993.09213401791533</v>
      </c>
      <c r="DG67" s="135">
        <v>1240.6421345648384</v>
      </c>
      <c r="DH67" s="135">
        <v>1444.0665823789288</v>
      </c>
      <c r="DI67" s="135">
        <v>1692.8228881117968</v>
      </c>
      <c r="DJ67" s="135">
        <v>2010.0332804754664</v>
      </c>
      <c r="DK67" s="135">
        <v>2385.2253443313812</v>
      </c>
      <c r="DL67" s="135">
        <v>2850.5824866302464</v>
      </c>
      <c r="DM67" s="135">
        <v>3484.0431911847977</v>
      </c>
      <c r="DN67" s="135">
        <v>4345.2057145925255</v>
      </c>
      <c r="DO67" s="135">
        <v>5543.0283973683163</v>
      </c>
      <c r="DP67" s="135">
        <v>7260.4467731721543</v>
      </c>
      <c r="DQ67" s="135">
        <v>9811.5928533449041</v>
      </c>
    </row>
    <row r="68" spans="1:121" s="123" customFormat="1">
      <c r="A68" s="107" t="s">
        <v>3420</v>
      </c>
      <c r="B68" s="107"/>
      <c r="C68" s="136"/>
      <c r="D68" s="147"/>
      <c r="E68" s="107"/>
      <c r="CH68" s="141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34"/>
      <c r="DA68" s="135"/>
      <c r="DB68" s="135"/>
      <c r="DC68" s="13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</row>
    <row r="69" spans="1:121" s="123" customFormat="1">
      <c r="A69" s="107" t="s">
        <v>354</v>
      </c>
      <c r="B69" s="107"/>
      <c r="C69" s="136" t="s">
        <v>1579</v>
      </c>
      <c r="D69" s="147"/>
      <c r="E69" s="107"/>
      <c r="F69" s="123">
        <f t="shared" ref="F69:BQ69" si="187">+F92-F67</f>
        <v>7.0000000000000001E-3</v>
      </c>
      <c r="G69" s="123">
        <f t="shared" si="187"/>
        <v>8.0999999999999996E-3</v>
      </c>
      <c r="H69" s="123">
        <f t="shared" si="187"/>
        <v>8.1667897701263436E-3</v>
      </c>
      <c r="I69" s="123">
        <f t="shared" si="187"/>
        <v>9.7948088645935065E-3</v>
      </c>
      <c r="J69" s="123">
        <f t="shared" si="187"/>
        <v>1.1438936233520509E-2</v>
      </c>
      <c r="K69" s="123">
        <f t="shared" si="187"/>
        <v>1.2171697616577149E-2</v>
      </c>
      <c r="L69" s="123">
        <f t="shared" si="187"/>
        <v>1.5201036453247069E-2</v>
      </c>
      <c r="M69" s="123">
        <f t="shared" si="187"/>
        <v>1.6100667476654052E-2</v>
      </c>
      <c r="N69" s="123">
        <f t="shared" si="187"/>
        <v>1.6839378356933596E-2</v>
      </c>
      <c r="O69" s="123">
        <f t="shared" si="187"/>
        <v>1.6508435726165772E-2</v>
      </c>
      <c r="P69" s="123">
        <f t="shared" si="187"/>
        <v>1.7559517383575439E-2</v>
      </c>
      <c r="Q69" s="123">
        <f t="shared" si="187"/>
        <v>2.0060199737548828E-2</v>
      </c>
      <c r="R69" s="123">
        <f t="shared" si="187"/>
        <v>2.1496399879455567E-2</v>
      </c>
      <c r="S69" s="123">
        <f t="shared" si="187"/>
        <v>2.0969100475311281E-2</v>
      </c>
      <c r="T69" s="123">
        <f t="shared" si="187"/>
        <v>2.287839984893799E-2</v>
      </c>
      <c r="U69" s="123">
        <f t="shared" si="187"/>
        <v>2.6783499717712402E-2</v>
      </c>
      <c r="V69" s="123">
        <f t="shared" si="187"/>
        <v>3.0150898933410643E-2</v>
      </c>
      <c r="W69" s="123">
        <f t="shared" si="187"/>
        <v>2.9183100700378418E-2</v>
      </c>
      <c r="X69" s="123">
        <f t="shared" si="187"/>
        <v>3.8115699768066405E-2</v>
      </c>
      <c r="Y69" s="123">
        <f t="shared" si="187"/>
        <v>4.1016500473022466E-2</v>
      </c>
      <c r="Z69" s="123">
        <f t="shared" si="187"/>
        <v>5.0770999908447266E-2</v>
      </c>
      <c r="AA69" s="123">
        <f t="shared" si="187"/>
        <v>4.7900001525878907E-2</v>
      </c>
      <c r="AB69" s="123">
        <f t="shared" si="187"/>
        <v>4.2100000381469729E-2</v>
      </c>
      <c r="AC69" s="123">
        <f t="shared" si="187"/>
        <v>6.0399999618530271E-2</v>
      </c>
      <c r="AD69" s="123">
        <f t="shared" si="187"/>
        <v>6.1200000762939452E-2</v>
      </c>
      <c r="AE69" s="123">
        <f t="shared" si="187"/>
        <v>5.6899999618530275E-2</v>
      </c>
      <c r="AF69" s="123">
        <f t="shared" si="187"/>
        <v>5.9100000381469731E-2</v>
      </c>
      <c r="AG69" s="123">
        <f t="shared" si="187"/>
        <v>6.3000001907348641E-2</v>
      </c>
      <c r="AH69" s="123">
        <f t="shared" si="187"/>
        <v>6.2799999237060547E-2</v>
      </c>
      <c r="AI69" s="123">
        <f t="shared" si="187"/>
        <v>6.6599998474121097E-2</v>
      </c>
      <c r="AJ69" s="123">
        <f t="shared" si="187"/>
        <v>7.9300001144409188E-2</v>
      </c>
      <c r="AK69" s="123">
        <f t="shared" si="187"/>
        <v>6.8400001525878912E-2</v>
      </c>
      <c r="AL69" s="123">
        <f t="shared" si="187"/>
        <v>5.7799999237060543E-2</v>
      </c>
      <c r="AM69" s="123">
        <f t="shared" si="187"/>
        <v>4.9899999618530276E-2</v>
      </c>
      <c r="AN69" s="123">
        <f t="shared" si="187"/>
        <v>8.0299999237060549E-2</v>
      </c>
      <c r="AO69" s="123">
        <f t="shared" si="187"/>
        <v>8.240000152587891E-2</v>
      </c>
      <c r="AP69" s="123">
        <f t="shared" si="187"/>
        <v>0.14326</v>
      </c>
      <c r="AQ69" s="123">
        <f t="shared" si="187"/>
        <v>0.23905999999999999</v>
      </c>
      <c r="AR69" s="123">
        <f t="shared" si="187"/>
        <v>0.24507999999999999</v>
      </c>
      <c r="AS69" s="123">
        <f t="shared" si="187"/>
        <v>0.48209999999999997</v>
      </c>
      <c r="AT69" s="123">
        <f t="shared" si="187"/>
        <v>2.7725</v>
      </c>
      <c r="AU69" s="123">
        <f t="shared" si="187"/>
        <v>12.784962111801242</v>
      </c>
      <c r="AV69" s="123">
        <f t="shared" si="187"/>
        <v>20.341999999999999</v>
      </c>
      <c r="AW69" s="123">
        <f t="shared" si="187"/>
        <v>16.562000000000001</v>
      </c>
      <c r="AX69" s="123">
        <f t="shared" si="187"/>
        <v>21.556999999999999</v>
      </c>
      <c r="AY69" s="123">
        <f t="shared" si="187"/>
        <v>24.225999999999999</v>
      </c>
      <c r="AZ69" s="123">
        <f t="shared" si="187"/>
        <v>51.878999999999998</v>
      </c>
      <c r="BA69" s="123">
        <f t="shared" si="187"/>
        <v>133.21600000000001</v>
      </c>
      <c r="BB69" s="123">
        <f t="shared" si="187"/>
        <v>134.65899999999999</v>
      </c>
      <c r="BC69" s="123">
        <f t="shared" si="187"/>
        <v>139.36129999999997</v>
      </c>
      <c r="BD69" s="123">
        <f t="shared" si="187"/>
        <v>193.62799999999999</v>
      </c>
      <c r="BE69" s="123">
        <f t="shared" ca="1" si="187"/>
        <v>213.6588182170812</v>
      </c>
      <c r="BF69" s="123">
        <f t="shared" si="187"/>
        <v>227.6354</v>
      </c>
      <c r="BG69" s="123">
        <f t="shared" si="187"/>
        <v>276.40350000000001</v>
      </c>
      <c r="BH69" s="123">
        <f t="shared" si="187"/>
        <v>294.30060000000003</v>
      </c>
      <c r="BI69" s="123">
        <f t="shared" si="187"/>
        <v>356.4325</v>
      </c>
      <c r="BJ69" s="123">
        <f t="shared" si="187"/>
        <v>384.51300000000003</v>
      </c>
      <c r="BK69" s="123">
        <f t="shared" si="187"/>
        <v>556.11824999999999</v>
      </c>
      <c r="BL69" s="123">
        <f t="shared" si="187"/>
        <v>681.93299999999999</v>
      </c>
      <c r="BM69" s="123">
        <f t="shared" si="187"/>
        <v>1192.9708000000001</v>
      </c>
      <c r="BN69" s="123">
        <f t="shared" si="187"/>
        <v>1038.775087847145</v>
      </c>
      <c r="BO69" s="123">
        <f t="shared" si="187"/>
        <v>1042.9404900735985</v>
      </c>
      <c r="BP69" s="123">
        <f t="shared" si="187"/>
        <v>1422.9336208158516</v>
      </c>
      <c r="BQ69" s="123">
        <f t="shared" si="187"/>
        <v>2052.3300843992542</v>
      </c>
      <c r="BR69" s="123">
        <f>+BR92-BR67</f>
        <v>3145.2913657936233</v>
      </c>
      <c r="BS69" s="123">
        <f>+BS92-BS67</f>
        <v>3556.6671535489404</v>
      </c>
      <c r="BT69" s="123">
        <f>+BT92-BT67</f>
        <v>2371.4742398176149</v>
      </c>
      <c r="BU69" s="123">
        <f t="shared" ref="BU69:CC69" ca="1" si="188">+BU92-BU67</f>
        <v>3027.6076532269331</v>
      </c>
      <c r="BV69" s="123">
        <f t="shared" ca="1" si="188"/>
        <v>3712.0091981720961</v>
      </c>
      <c r="BW69" s="123">
        <f t="shared" ca="1" si="188"/>
        <v>4543.903112547343</v>
      </c>
      <c r="BX69" s="123">
        <f t="shared" ca="1" si="188"/>
        <v>5142.6548742685454</v>
      </c>
      <c r="BY69" s="123">
        <f t="shared" ca="1" si="188"/>
        <v>5884.5721308745151</v>
      </c>
      <c r="BZ69" s="123">
        <f t="shared" ca="1" si="188"/>
        <v>6807.558578240315</v>
      </c>
      <c r="CA69" s="123">
        <f t="shared" ca="1" si="188"/>
        <v>7955.3578125228414</v>
      </c>
      <c r="CB69" s="123">
        <f t="shared" ca="1" si="188"/>
        <v>9412.8080230469059</v>
      </c>
      <c r="CC69" s="123">
        <f t="shared" ca="1" si="188"/>
        <v>11298.655620548019</v>
      </c>
      <c r="CD69" s="123">
        <f ca="1">+CD92-CD67</f>
        <v>13794.906625552128</v>
      </c>
      <c r="CE69" s="123">
        <f ca="1">+CE92-CE67</f>
        <v>17187.092806048015</v>
      </c>
      <c r="CF69" s="123">
        <f ca="1">+CF92-CF67</f>
        <v>21937.599926424879</v>
      </c>
      <c r="CG69" s="123">
        <f ca="1">+CG92-CG67</f>
        <v>28822.517341653736</v>
      </c>
      <c r="CH69" s="141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34"/>
      <c r="DA69" s="135">
        <v>2052.3300843992542</v>
      </c>
      <c r="DB69" s="135">
        <v>3145.2913657936233</v>
      </c>
      <c r="DC69" s="135">
        <v>3556.6671535489404</v>
      </c>
      <c r="DD69" s="135">
        <v>2371.4742398176149</v>
      </c>
      <c r="DE69" s="135">
        <v>2938.9839223275071</v>
      </c>
      <c r="DF69" s="135">
        <v>3476.1074873111615</v>
      </c>
      <c r="DG69" s="135">
        <v>4306.6536491315073</v>
      </c>
      <c r="DH69" s="135">
        <v>4972.7104408814412</v>
      </c>
      <c r="DI69" s="135">
        <v>5815.5114383795326</v>
      </c>
      <c r="DJ69" s="135">
        <v>6889.0746650200426</v>
      </c>
      <c r="DK69" s="135">
        <v>8156.0341382630459</v>
      </c>
      <c r="DL69" s="135">
        <v>9724.9156749132035</v>
      </c>
      <c r="DM69" s="135">
        <v>11859.023284545741</v>
      </c>
      <c r="DN69" s="135">
        <v>14757.04336020492</v>
      </c>
      <c r="DO69" s="135">
        <v>18783.222665691974</v>
      </c>
      <c r="DP69" s="135">
        <v>24548.820257523032</v>
      </c>
      <c r="DQ69" s="135">
        <v>33102.53646997326</v>
      </c>
    </row>
    <row r="70" spans="1:121" s="123" customFormat="1">
      <c r="A70" s="107" t="s">
        <v>2108</v>
      </c>
      <c r="B70" s="107"/>
      <c r="C70" s="136" t="s">
        <v>1579</v>
      </c>
      <c r="D70" s="147"/>
      <c r="E70" s="107"/>
      <c r="F70" s="123">
        <f t="shared" ref="F70:BC70" si="189">F63+F64+F65+F66+F67</f>
        <v>5.1300000000000005E-2</v>
      </c>
      <c r="G70" s="123">
        <f t="shared" si="189"/>
        <v>5.4699999999999999E-2</v>
      </c>
      <c r="H70" s="123">
        <f t="shared" si="189"/>
        <v>5.8934998512268071E-2</v>
      </c>
      <c r="I70" s="123">
        <f t="shared" si="189"/>
        <v>6.9076999664306638E-2</v>
      </c>
      <c r="J70" s="123">
        <f t="shared" si="189"/>
        <v>7.3954698562622073E-2</v>
      </c>
      <c r="K70" s="123">
        <f t="shared" si="189"/>
        <v>8.1758897781372075E-2</v>
      </c>
      <c r="L70" s="123">
        <f t="shared" si="189"/>
        <v>8.847460174560548E-2</v>
      </c>
      <c r="M70" s="123">
        <f t="shared" si="189"/>
        <v>9.6151700973510737E-2</v>
      </c>
      <c r="N70" s="123">
        <f t="shared" si="189"/>
        <v>0.10106970024108886</v>
      </c>
      <c r="O70" s="123">
        <f t="shared" si="189"/>
        <v>0.10684770011901855</v>
      </c>
      <c r="P70" s="123">
        <f t="shared" si="189"/>
        <v>0.11758359909057617</v>
      </c>
      <c r="Q70" s="123">
        <f t="shared" si="189"/>
        <v>0.12407079696655274</v>
      </c>
      <c r="R70" s="123">
        <f t="shared" si="189"/>
        <v>0.14354460525512694</v>
      </c>
      <c r="S70" s="123">
        <f t="shared" si="189"/>
        <v>0.15543089675903321</v>
      </c>
      <c r="T70" s="123">
        <f t="shared" si="189"/>
        <v>0.17072259521484376</v>
      </c>
      <c r="U70" s="123">
        <f t="shared" si="189"/>
        <v>0.18969450378417968</v>
      </c>
      <c r="V70" s="123">
        <f t="shared" si="189"/>
        <v>0.21566810607910156</v>
      </c>
      <c r="W70" s="123">
        <f t="shared" si="189"/>
        <v>0.22646190643310546</v>
      </c>
      <c r="X70" s="123">
        <f t="shared" si="189"/>
        <v>0.25328429412841796</v>
      </c>
      <c r="Y70" s="123">
        <f t="shared" si="189"/>
        <v>0.2748834991455078</v>
      </c>
      <c r="Z70" s="123">
        <f t="shared" si="189"/>
        <v>0.31162899780273434</v>
      </c>
      <c r="AA70" s="123">
        <f t="shared" si="189"/>
        <v>0.39224999237060548</v>
      </c>
      <c r="AB70" s="123">
        <f t="shared" si="189"/>
        <v>0.46322999572753909</v>
      </c>
      <c r="AC70" s="123">
        <f t="shared" si="189"/>
        <v>0.59486000061035149</v>
      </c>
      <c r="AD70" s="123">
        <f t="shared" si="189"/>
        <v>0.70144000244140625</v>
      </c>
      <c r="AE70" s="123">
        <f t="shared" si="189"/>
        <v>0.72576000976562505</v>
      </c>
      <c r="AF70" s="123">
        <f t="shared" si="189"/>
        <v>0.82659402465820309</v>
      </c>
      <c r="AG70" s="123">
        <f t="shared" si="189"/>
        <v>0.97049514770507805</v>
      </c>
      <c r="AH70" s="123">
        <f t="shared" si="189"/>
        <v>1.1171319274902345</v>
      </c>
      <c r="AI70" s="123">
        <f t="shared" si="189"/>
        <v>1.1928127441406251</v>
      </c>
      <c r="AJ70" s="123">
        <f t="shared" si="189"/>
        <v>1.2200364379882813</v>
      </c>
      <c r="AK70" s="123">
        <f t="shared" si="189"/>
        <v>1.256425079345703</v>
      </c>
      <c r="AL70" s="123">
        <f t="shared" si="189"/>
        <v>1.2165195922851564</v>
      </c>
      <c r="AM70" s="123">
        <f t="shared" si="189"/>
        <v>1.18</v>
      </c>
      <c r="AN70" s="123">
        <f t="shared" si="189"/>
        <v>1.27</v>
      </c>
      <c r="AO70" s="123">
        <f t="shared" si="189"/>
        <v>1.3712999877929688</v>
      </c>
      <c r="AP70" s="123">
        <f t="shared" si="189"/>
        <v>1.4367100000000002</v>
      </c>
      <c r="AQ70" s="123">
        <f t="shared" si="189"/>
        <v>1.7454900000000002</v>
      </c>
      <c r="AR70" s="123">
        <f t="shared" si="189"/>
        <v>2.2372699999999996</v>
      </c>
      <c r="AS70" s="123">
        <f t="shared" si="189"/>
        <v>3.4804200000000001</v>
      </c>
      <c r="AT70" s="123">
        <f t="shared" si="189"/>
        <v>18.722239999999999</v>
      </c>
      <c r="AU70" s="123">
        <f t="shared" si="189"/>
        <v>78.808590000000009</v>
      </c>
      <c r="AV70" s="123">
        <f t="shared" si="189"/>
        <v>126.45356999999998</v>
      </c>
      <c r="AW70" s="123">
        <f t="shared" si="189"/>
        <v>165.06593999999998</v>
      </c>
      <c r="AX70" s="123">
        <f t="shared" si="189"/>
        <v>232.75017000000003</v>
      </c>
      <c r="AY70" s="123">
        <f t="shared" si="189"/>
        <v>387.54948000000002</v>
      </c>
      <c r="AZ70" s="123">
        <f t="shared" si="189"/>
        <v>551.58000000000004</v>
      </c>
      <c r="BA70" s="123">
        <f t="shared" si="189"/>
        <v>861.86183499999993</v>
      </c>
      <c r="BB70" s="123">
        <f t="shared" si="189"/>
        <v>1039.5551101836438</v>
      </c>
      <c r="BC70" s="123">
        <f t="shared" si="189"/>
        <v>1235.2216427473468</v>
      </c>
      <c r="BD70" s="123">
        <f ca="1">BD63+BD64+BD65+BD66+BD67</f>
        <v>1448.872764861937</v>
      </c>
      <c r="BE70" s="123">
        <f ca="1">BE63+BE64+BE65+BE66+BE67</f>
        <v>1648.7636817059058</v>
      </c>
      <c r="BF70" s="123">
        <f>BF63+BF64+BF65+BF66+BF67</f>
        <v>4562.3599444174151</v>
      </c>
      <c r="BG70" s="123">
        <f>BG63+BG64+BG65+BG66+BG67</f>
        <v>5063.7958295593435</v>
      </c>
      <c r="BH70" s="123">
        <f>BH63+BH64+BH65+BH66+BH67</f>
        <v>5543.7107523618233</v>
      </c>
      <c r="BI70" s="123">
        <f t="shared" ref="BI70:BP70" si="190">BI63+BI64+BI65+BI66+BI67</f>
        <v>6545.0807983045624</v>
      </c>
      <c r="BJ70" s="123">
        <f t="shared" si="190"/>
        <v>6851.993929302007</v>
      </c>
      <c r="BK70" s="123">
        <f t="shared" si="190"/>
        <v>8078.2369777486319</v>
      </c>
      <c r="BL70" s="123">
        <f t="shared" si="190"/>
        <v>8832.9587709267089</v>
      </c>
      <c r="BM70" s="123">
        <f t="shared" si="190"/>
        <v>9466.6375555557061</v>
      </c>
      <c r="BN70" s="123">
        <f t="shared" si="190"/>
        <v>9574.2322500821847</v>
      </c>
      <c r="BO70" s="123">
        <f t="shared" si="190"/>
        <v>9055.2251229976264</v>
      </c>
      <c r="BP70" s="123">
        <f t="shared" si="190"/>
        <v>11274.211965676166</v>
      </c>
      <c r="BQ70" s="123">
        <f>BQ63+BQ64+BQ65+BQ66+BQ67</f>
        <v>13624.28936543549</v>
      </c>
      <c r="BR70" s="123">
        <f>BR63+BR64+BR65+BR66+BR67</f>
        <v>17169.378285194078</v>
      </c>
      <c r="BS70" s="123">
        <f>BS63+BS64+BS65+BS66+BS67</f>
        <v>18138.638640430872</v>
      </c>
      <c r="BT70" s="123">
        <f ca="1">BT63+BT64+BT65+BT66+BT67+BT69</f>
        <v>23684.690607419383</v>
      </c>
      <c r="BU70" s="123">
        <f t="shared" ref="BU70:CC70" ca="1" si="191">BU63+BU64+BU65+BU66+BU67+BU69</f>
        <v>30346.86429295858</v>
      </c>
      <c r="BV70" s="123">
        <f t="shared" ca="1" si="191"/>
        <v>36696.028226573784</v>
      </c>
      <c r="BW70" s="123">
        <f t="shared" ca="1" si="191"/>
        <v>44483.813891920479</v>
      </c>
      <c r="BX70" s="123">
        <f t="shared" ca="1" si="191"/>
        <v>49411.674675246519</v>
      </c>
      <c r="BY70" s="123">
        <f t="shared" ca="1" si="191"/>
        <v>56653.537682366099</v>
      </c>
      <c r="BZ70" s="123">
        <f t="shared" ca="1" si="191"/>
        <v>65664.961144061774</v>
      </c>
      <c r="CA70" s="123">
        <f t="shared" ca="1" si="191"/>
        <v>76869.810167839882</v>
      </c>
      <c r="CB70" s="123">
        <f t="shared" ca="1" si="191"/>
        <v>91094.051212270817</v>
      </c>
      <c r="CC70" s="123">
        <f t="shared" ca="1" si="191"/>
        <v>109491.48878270457</v>
      </c>
      <c r="CD70" s="123">
        <f ca="1">CD63+CD64+CD65+CD66+CD67+CD69</f>
        <v>133827.71273501811</v>
      </c>
      <c r="CE70" s="123">
        <f ca="1">CE63+CE64+CE65+CE66+CE67+CE69</f>
        <v>166868.03031966035</v>
      </c>
      <c r="CF70" s="123">
        <f ca="1">CF63+CF64+CF65+CF66+CF67+CF69</f>
        <v>213082.41132227369</v>
      </c>
      <c r="CG70" s="123">
        <f ca="1">CG63+CG64+CG65+CG66+CG67+CG69</f>
        <v>279958.66058457596</v>
      </c>
      <c r="CH70" s="141"/>
      <c r="CI70" s="106">
        <f t="shared" si="170"/>
        <v>0</v>
      </c>
      <c r="CJ70" s="106">
        <f t="shared" si="170"/>
        <v>0</v>
      </c>
      <c r="CK70" s="106">
        <f t="shared" si="170"/>
        <v>0</v>
      </c>
      <c r="CL70" s="106">
        <f t="shared" ca="1" si="170"/>
        <v>0</v>
      </c>
      <c r="CM70" s="106">
        <f t="shared" ca="1" si="170"/>
        <v>906.34151899404606</v>
      </c>
      <c r="CN70" s="106">
        <f t="shared" ca="1" si="170"/>
        <v>2380.8825157258689</v>
      </c>
      <c r="CO70" s="106">
        <f t="shared" ca="1" si="170"/>
        <v>2381.767446911319</v>
      </c>
      <c r="CP70" s="106">
        <f t="shared" ca="1" si="170"/>
        <v>1699.4137731357914</v>
      </c>
      <c r="CQ70" s="106">
        <f t="shared" ca="1" si="170"/>
        <v>745.0819009204788</v>
      </c>
      <c r="CR70" s="106">
        <f t="shared" ca="1" si="170"/>
        <v>-727.00266945188923</v>
      </c>
      <c r="CS70" s="106">
        <f t="shared" ca="1" si="171"/>
        <v>-1912.3927264809608</v>
      </c>
      <c r="CT70" s="106">
        <f t="shared" ca="1" si="171"/>
        <v>-2982.597438116034</v>
      </c>
      <c r="CU70" s="106">
        <f t="shared" ca="1" si="171"/>
        <v>-5371.8544628520613</v>
      </c>
      <c r="CV70" s="106">
        <f t="shared" ca="1" si="172"/>
        <v>-9244.1740247862763</v>
      </c>
      <c r="CW70" s="106">
        <f t="shared" ca="1" si="173"/>
        <v>-15359.753110125748</v>
      </c>
      <c r="CX70" s="106">
        <f t="shared" ca="1" si="174"/>
        <v>-25155.351140906685</v>
      </c>
      <c r="CY70" s="106">
        <f t="shared" ca="1" si="175"/>
        <v>-41258.944666649797</v>
      </c>
      <c r="CZ70" s="134"/>
      <c r="DA70" s="135">
        <v>13624.28936543549</v>
      </c>
      <c r="DB70" s="135">
        <v>17169.378285194078</v>
      </c>
      <c r="DC70" s="135">
        <v>18138.638640430872</v>
      </c>
      <c r="DD70" s="135">
        <v>23684.690607419383</v>
      </c>
      <c r="DE70" s="135">
        <v>29440.522773964534</v>
      </c>
      <c r="DF70" s="135">
        <v>34315.145710847915</v>
      </c>
      <c r="DG70" s="135">
        <v>42102.04644500916</v>
      </c>
      <c r="DH70" s="135">
        <v>47712.260902110727</v>
      </c>
      <c r="DI70" s="135">
        <v>55908.45578144562</v>
      </c>
      <c r="DJ70" s="135">
        <v>66391.963813513663</v>
      </c>
      <c r="DK70" s="135">
        <v>78782.202894320842</v>
      </c>
      <c r="DL70" s="135">
        <v>94076.648650386851</v>
      </c>
      <c r="DM70" s="135">
        <v>114863.34324555664</v>
      </c>
      <c r="DN70" s="135">
        <v>143071.88675980439</v>
      </c>
      <c r="DO70" s="135">
        <v>182227.7834297861</v>
      </c>
      <c r="DP70" s="135">
        <v>238237.76246318038</v>
      </c>
      <c r="DQ70" s="135">
        <v>321217.60525122576</v>
      </c>
    </row>
    <row r="71" spans="1:121" s="123" customFormat="1">
      <c r="A71" s="107" t="s">
        <v>3200</v>
      </c>
      <c r="B71" s="107"/>
      <c r="C71" s="136" t="s">
        <v>1579</v>
      </c>
      <c r="D71" s="147"/>
      <c r="E71" s="107"/>
      <c r="F71" s="106">
        <f t="shared" ref="F71:BC71" si="192">+F61-F70</f>
        <v>7.5849E-2</v>
      </c>
      <c r="G71" s="106">
        <f t="shared" si="192"/>
        <v>8.7722067810535403E-2</v>
      </c>
      <c r="H71" s="106">
        <f t="shared" si="192"/>
        <v>8.3589684312939561E-2</v>
      </c>
      <c r="I71" s="106">
        <f t="shared" si="192"/>
        <v>8.8842601069807958E-2</v>
      </c>
      <c r="J71" s="106">
        <f t="shared" si="192"/>
        <v>8.3829228610992457E-2</v>
      </c>
      <c r="K71" s="106">
        <f t="shared" si="192"/>
        <v>8.1206204965114576E-2</v>
      </c>
      <c r="L71" s="106">
        <f t="shared" si="192"/>
        <v>8.7519455013275155E-2</v>
      </c>
      <c r="M71" s="106">
        <f t="shared" si="192"/>
        <v>0.10828582361936569</v>
      </c>
      <c r="N71" s="106">
        <f t="shared" si="192"/>
        <v>0.11114975162029264</v>
      </c>
      <c r="O71" s="106">
        <f t="shared" si="192"/>
        <v>0.13253103343129158</v>
      </c>
      <c r="P71" s="106">
        <f t="shared" si="192"/>
        <v>0.12993419568300249</v>
      </c>
      <c r="Q71" s="106">
        <f t="shared" si="192"/>
        <v>0.17656160362720494</v>
      </c>
      <c r="R71" s="106">
        <f t="shared" si="192"/>
        <v>0.22502219687342637</v>
      </c>
      <c r="S71" s="106">
        <f t="shared" si="192"/>
        <v>0.26740730265617374</v>
      </c>
      <c r="T71" s="106">
        <f t="shared" si="192"/>
        <v>0.27035320415019981</v>
      </c>
      <c r="U71" s="106">
        <f t="shared" si="192"/>
        <v>0.28011749987363815</v>
      </c>
      <c r="V71" s="106">
        <f t="shared" si="192"/>
        <v>0.29417069399356821</v>
      </c>
      <c r="W71" s="106">
        <f t="shared" si="192"/>
        <v>0.31723029691457738</v>
      </c>
      <c r="X71" s="106">
        <f t="shared" si="192"/>
        <v>0.3179671038737894</v>
      </c>
      <c r="Y71" s="106">
        <f t="shared" si="192"/>
        <v>0.37115950130134845</v>
      </c>
      <c r="Z71" s="106">
        <f t="shared" si="192"/>
        <v>0.50361300663948072</v>
      </c>
      <c r="AA71" s="106">
        <f t="shared" si="192"/>
        <v>0.44484000851154321</v>
      </c>
      <c r="AB71" s="106">
        <f t="shared" si="192"/>
        <v>0.43726000579833979</v>
      </c>
      <c r="AC71" s="106">
        <f t="shared" si="192"/>
        <v>0.63380999316692344</v>
      </c>
      <c r="AD71" s="106">
        <f t="shared" si="192"/>
        <v>0.6915500078105925</v>
      </c>
      <c r="AE71" s="106">
        <f t="shared" si="192"/>
        <v>0.75288999149799329</v>
      </c>
      <c r="AF71" s="106">
        <f t="shared" si="192"/>
        <v>0.67820988831520079</v>
      </c>
      <c r="AG71" s="106">
        <f t="shared" si="192"/>
        <v>0.79136184043407432</v>
      </c>
      <c r="AH71" s="106">
        <f t="shared" si="192"/>
        <v>0.6543381816267968</v>
      </c>
      <c r="AI71" s="106">
        <f t="shared" si="192"/>
        <v>0.50892043719768498</v>
      </c>
      <c r="AJ71" s="106">
        <f t="shared" si="192"/>
        <v>0.52828187091827417</v>
      </c>
      <c r="AK71" s="106">
        <f t="shared" si="192"/>
        <v>0.47385502599716234</v>
      </c>
      <c r="AL71" s="106">
        <f t="shared" si="192"/>
        <v>0.54679910617500549</v>
      </c>
      <c r="AM71" s="106">
        <f t="shared" si="192"/>
        <v>0.76759998905807714</v>
      </c>
      <c r="AN71" s="106">
        <f t="shared" si="192"/>
        <v>1.051979988605082</v>
      </c>
      <c r="AO71" s="106">
        <f t="shared" si="192"/>
        <v>1.3041700081539149</v>
      </c>
      <c r="AP71" s="106">
        <f t="shared" si="192"/>
        <v>1.7825400122070314</v>
      </c>
      <c r="AQ71" s="106">
        <f t="shared" si="192"/>
        <v>2.1539099923706067</v>
      </c>
      <c r="AR71" s="106">
        <f t="shared" si="192"/>
        <v>3.1851134020996108</v>
      </c>
      <c r="AS71" s="106">
        <f t="shared" si="192"/>
        <v>10.159180000000001</v>
      </c>
      <c r="AT71" s="106">
        <f t="shared" si="192"/>
        <v>55.622859999999989</v>
      </c>
      <c r="AU71" s="106">
        <f t="shared" si="192"/>
        <v>180.06625422360256</v>
      </c>
      <c r="AV71" s="106">
        <f t="shared" si="192"/>
        <v>153.56921999999994</v>
      </c>
      <c r="AW71" s="106">
        <f t="shared" si="192"/>
        <v>137.67120000000008</v>
      </c>
      <c r="AX71" s="106">
        <f t="shared" si="192"/>
        <v>125.85357093900802</v>
      </c>
      <c r="AY71" s="106">
        <f t="shared" si="192"/>
        <v>256.94887855087541</v>
      </c>
      <c r="AZ71" s="106">
        <f t="shared" si="192"/>
        <v>427.4281893598336</v>
      </c>
      <c r="BA71" s="106">
        <f t="shared" si="192"/>
        <v>348.31111346806506</v>
      </c>
      <c r="BB71" s="106">
        <f t="shared" si="192"/>
        <v>1053.827704455661</v>
      </c>
      <c r="BC71" s="106">
        <f t="shared" si="192"/>
        <v>1344.2164231529632</v>
      </c>
      <c r="BD71" s="106">
        <f ca="1">+BD61-BD70</f>
        <v>1777.2588260974489</v>
      </c>
      <c r="BE71" s="106">
        <f ca="1">+BE61-BE70</f>
        <v>2332.5539549127679</v>
      </c>
      <c r="BF71" s="106">
        <f>+BF61-BF70</f>
        <v>1360.011593082585</v>
      </c>
      <c r="BG71" s="106">
        <f>+BG61-BG70</f>
        <v>1533.6182254406567</v>
      </c>
      <c r="BH71" s="106">
        <f>+BH61-BH70</f>
        <v>2596.7712776381777</v>
      </c>
      <c r="BI71" s="106">
        <f t="shared" ref="BI71:BP71" si="193">+BI61-BI70</f>
        <v>2149.1855616954354</v>
      </c>
      <c r="BJ71" s="106">
        <f t="shared" si="193"/>
        <v>3030.2391231979946</v>
      </c>
      <c r="BK71" s="106">
        <f t="shared" si="193"/>
        <v>3150.6644897513697</v>
      </c>
      <c r="BL71" s="106">
        <f t="shared" si="193"/>
        <v>4163.7049165732915</v>
      </c>
      <c r="BM71" s="106">
        <f t="shared" si="193"/>
        <v>4919.3486044442943</v>
      </c>
      <c r="BN71" s="106">
        <f t="shared" si="193"/>
        <v>5305.1819124178146</v>
      </c>
      <c r="BO71" s="106">
        <f t="shared" si="193"/>
        <v>5459.2113945023775</v>
      </c>
      <c r="BP71" s="106">
        <f t="shared" si="193"/>
        <v>5840.3880343238325</v>
      </c>
      <c r="BQ71" s="106">
        <f t="shared" ref="BQ71:CB71" si="194">+BQ61-BQ70</f>
        <v>5302.8936345645106</v>
      </c>
      <c r="BR71" s="106">
        <f t="shared" si="194"/>
        <v>4261.2527148059235</v>
      </c>
      <c r="BS71" s="106">
        <f t="shared" si="194"/>
        <v>4445.9413595691294</v>
      </c>
      <c r="BT71" s="106">
        <f t="shared" ca="1" si="194"/>
        <v>3194.4693925806168</v>
      </c>
      <c r="BU71" s="106">
        <f t="shared" ca="1" si="194"/>
        <v>15033.897554840394</v>
      </c>
      <c r="BV71" s="106">
        <f t="shared" ca="1" si="194"/>
        <v>16212.978492544389</v>
      </c>
      <c r="BW71" s="106">
        <f t="shared" ca="1" si="194"/>
        <v>18842.109196615318</v>
      </c>
      <c r="BX71" s="106">
        <f t="shared" ca="1" si="194"/>
        <v>20239.31112172806</v>
      </c>
      <c r="BY71" s="106">
        <f t="shared" ca="1" si="194"/>
        <v>21662.189107797683</v>
      </c>
      <c r="BZ71" s="106">
        <f t="shared" ca="1" si="194"/>
        <v>23305.067939740096</v>
      </c>
      <c r="CA71" s="106">
        <f t="shared" ca="1" si="194"/>
        <v>25186.912878208837</v>
      </c>
      <c r="CB71" s="106">
        <f t="shared" ca="1" si="194"/>
        <v>27371.189381314718</v>
      </c>
      <c r="CC71" s="106">
        <f ca="1">+CC61-CC70</f>
        <v>30008.866379749903</v>
      </c>
      <c r="CD71" s="106">
        <f ca="1">+CD61-CD70</f>
        <v>33350.747696064471</v>
      </c>
      <c r="CE71" s="106">
        <f ca="1">+CE61-CE70</f>
        <v>37837.147920537682</v>
      </c>
      <c r="CF71" s="106">
        <f ca="1">+CF61-CF70</f>
        <v>44264.848391636129</v>
      </c>
      <c r="CG71" s="106">
        <f ca="1">+CG61-CG70</f>
        <v>54119.594912828936</v>
      </c>
      <c r="CH71" s="141"/>
      <c r="CI71" s="106">
        <f t="shared" ref="CI71:CU71" si="195">BQ71-DA71</f>
        <v>0</v>
      </c>
      <c r="CJ71" s="106">
        <f t="shared" si="195"/>
        <v>0</v>
      </c>
      <c r="CK71" s="106">
        <f t="shared" si="195"/>
        <v>0</v>
      </c>
      <c r="CL71" s="106">
        <f t="shared" ca="1" si="195"/>
        <v>0</v>
      </c>
      <c r="CM71" s="106">
        <f t="shared" ca="1" si="195"/>
        <v>281.76392668428525</v>
      </c>
      <c r="CN71" s="106">
        <f t="shared" ca="1" si="195"/>
        <v>-218.20144518828602</v>
      </c>
      <c r="CO71" s="106">
        <f t="shared" ca="1" si="195"/>
        <v>-183.85924748166872</v>
      </c>
      <c r="CP71" s="106">
        <f t="shared" ca="1" si="195"/>
        <v>-453.75150619994383</v>
      </c>
      <c r="CQ71" s="106">
        <f t="shared" ca="1" si="195"/>
        <v>-788.18695258994558</v>
      </c>
      <c r="CR71" s="106">
        <f t="shared" ca="1" si="195"/>
        <v>1202.4886330915178</v>
      </c>
      <c r="CS71" s="106">
        <f t="shared" ca="1" si="195"/>
        <v>1011.5660431301221</v>
      </c>
      <c r="CT71" s="106">
        <f t="shared" ca="1" si="195"/>
        <v>530.74969260871876</v>
      </c>
      <c r="CU71" s="106">
        <f t="shared" ca="1" si="195"/>
        <v>173.50996156720794</v>
      </c>
      <c r="CV71" s="106">
        <f ca="1">CD71-DN71</f>
        <v>-232.81947481894167</v>
      </c>
      <c r="CW71" s="106">
        <f ca="1">CE71-DO71</f>
        <v>-719.2746834261925</v>
      </c>
      <c r="CX71" s="106">
        <f ca="1">CF71-DP71</f>
        <v>-1363.0348840118386</v>
      </c>
      <c r="CY71" s="106">
        <f ca="1">CG71-DQ71</f>
        <v>-2367.1919934368925</v>
      </c>
      <c r="CZ71" s="134"/>
      <c r="DA71" s="135">
        <v>5302.8936345645106</v>
      </c>
      <c r="DB71" s="135">
        <v>4261.2527148059235</v>
      </c>
      <c r="DC71" s="135">
        <v>4445.9413595691294</v>
      </c>
      <c r="DD71" s="135">
        <v>3194.4693925806168</v>
      </c>
      <c r="DE71" s="135">
        <v>14752.133628156109</v>
      </c>
      <c r="DF71" s="135">
        <v>16431.179937732675</v>
      </c>
      <c r="DG71" s="135">
        <v>19025.968444096987</v>
      </c>
      <c r="DH71" s="135">
        <v>20693.062627928004</v>
      </c>
      <c r="DI71" s="135">
        <v>22450.376060387629</v>
      </c>
      <c r="DJ71" s="135">
        <v>22102.579306648578</v>
      </c>
      <c r="DK71" s="135">
        <v>24175.346835078715</v>
      </c>
      <c r="DL71" s="135">
        <v>26840.439688705999</v>
      </c>
      <c r="DM71" s="135">
        <v>29835.356418182695</v>
      </c>
      <c r="DN71" s="135">
        <v>33583.567170883412</v>
      </c>
      <c r="DO71" s="135">
        <v>38556.422603963874</v>
      </c>
      <c r="DP71" s="135">
        <v>45627.883275647968</v>
      </c>
      <c r="DQ71" s="135">
        <v>56486.786906265828</v>
      </c>
    </row>
    <row r="72" spans="1:121" s="123" customFormat="1" ht="15" customHeight="1">
      <c r="A72" s="107"/>
      <c r="B72" s="107"/>
      <c r="C72" s="136" t="s">
        <v>1344</v>
      </c>
      <c r="D72" s="14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41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34"/>
      <c r="DA72" s="135"/>
      <c r="DB72" s="135"/>
      <c r="DC72" s="135"/>
      <c r="DD72" s="135"/>
      <c r="DE72" s="135"/>
      <c r="DF72" s="135"/>
      <c r="DG72" s="135"/>
      <c r="DH72" s="135"/>
      <c r="DI72" s="135"/>
      <c r="DJ72" s="135"/>
      <c r="DK72" s="135"/>
      <c r="DL72" s="135"/>
      <c r="DM72" s="135"/>
      <c r="DN72" s="135"/>
      <c r="DO72" s="135"/>
      <c r="DP72" s="135"/>
      <c r="DQ72" s="135"/>
    </row>
    <row r="73" spans="1:121" s="123" customFormat="1" ht="15" customHeight="1">
      <c r="A73" s="107" t="s">
        <v>2621</v>
      </c>
      <c r="B73" s="107"/>
      <c r="C73" s="136"/>
      <c r="D73" s="147"/>
      <c r="E73" s="107"/>
      <c r="F73" s="107"/>
      <c r="G73" s="107">
        <f t="shared" ref="G73:BP73" si="196">+G13/(G17-F17)</f>
        <v>2.2354163412774848</v>
      </c>
      <c r="H73" s="107">
        <f t="shared" si="196"/>
        <v>3.0232996093190017</v>
      </c>
      <c r="I73" s="107">
        <f t="shared" si="196"/>
        <v>2.0808204143871221</v>
      </c>
      <c r="J73" s="107">
        <f t="shared" si="196"/>
        <v>11.120448392980185</v>
      </c>
      <c r="K73" s="107">
        <f t="shared" si="196"/>
        <v>1.9187674357666273</v>
      </c>
      <c r="L73" s="107">
        <f t="shared" si="196"/>
        <v>2.1288514693800673</v>
      </c>
      <c r="M73" s="107">
        <f t="shared" si="196"/>
        <v>2.5787814324643468</v>
      </c>
      <c r="N73" s="107">
        <f t="shared" si="196"/>
        <v>2.7533366664824213</v>
      </c>
      <c r="O73" s="107">
        <f t="shared" si="196"/>
        <v>2.6638656103310479</v>
      </c>
      <c r="P73" s="107">
        <f t="shared" si="196"/>
        <v>5.96144332546322</v>
      </c>
      <c r="Q73" s="107">
        <f t="shared" si="196"/>
        <v>2.6743698120117201</v>
      </c>
      <c r="R73" s="107">
        <f t="shared" si="196"/>
        <v>1.1204481792717089</v>
      </c>
      <c r="S73" s="107">
        <f t="shared" si="196"/>
        <v>1.0882352513759408</v>
      </c>
      <c r="T73" s="107">
        <f t="shared" si="196"/>
        <v>1.6386554927146633</v>
      </c>
      <c r="U73" s="107">
        <f t="shared" si="196"/>
        <v>1.6129784891251429</v>
      </c>
      <c r="V73" s="107">
        <f t="shared" si="196"/>
        <v>1.8731363099517793</v>
      </c>
      <c r="W73" s="107">
        <f t="shared" si="196"/>
        <v>1.2443438914027163</v>
      </c>
      <c r="X73" s="107">
        <f t="shared" si="196"/>
        <v>3.4377387318563666</v>
      </c>
      <c r="Y73" s="107">
        <f t="shared" si="196"/>
        <v>1.7570664629488157</v>
      </c>
      <c r="Z73" s="107">
        <f t="shared" si="196"/>
        <v>1.203885809643007</v>
      </c>
      <c r="AA73" s="107">
        <f t="shared" si="196"/>
        <v>2.0834280581954046</v>
      </c>
      <c r="AB73" s="107">
        <f t="shared" si="196"/>
        <v>1.6901259863076139</v>
      </c>
      <c r="AC73" s="107">
        <f t="shared" si="196"/>
        <v>0.73869255469449968</v>
      </c>
      <c r="AD73" s="107">
        <f t="shared" si="196"/>
        <v>0.97845518459004122</v>
      </c>
      <c r="AE73" s="107">
        <f t="shared" si="196"/>
        <v>1.7834793491864855</v>
      </c>
      <c r="AF73" s="107">
        <f t="shared" si="196"/>
        <v>9.8181511374080337</v>
      </c>
      <c r="AG73" s="107">
        <f t="shared" si="196"/>
        <v>1.6960039007499632</v>
      </c>
      <c r="AH73" s="107">
        <f t="shared" si="196"/>
        <v>5.2094373844790001</v>
      </c>
      <c r="AI73" s="107">
        <f t="shared" si="196"/>
        <v>-2.0832331956219869</v>
      </c>
      <c r="AJ73" s="107">
        <f t="shared" si="196"/>
        <v>6.6560222721900733</v>
      </c>
      <c r="AK73" s="107">
        <f t="shared" si="196"/>
        <v>-3.4080298786181147</v>
      </c>
      <c r="AL73" s="107">
        <f t="shared" si="196"/>
        <v>4.0382819794584508</v>
      </c>
      <c r="AM73" s="107">
        <f t="shared" si="196"/>
        <v>0.81673118685676549</v>
      </c>
      <c r="AN73" s="107">
        <f t="shared" si="196"/>
        <v>0.51070151817633136</v>
      </c>
      <c r="AO73" s="107">
        <f t="shared" si="196"/>
        <v>0.47841132649211382</v>
      </c>
      <c r="AP73" s="107">
        <f t="shared" si="196"/>
        <v>0.86406419233292109</v>
      </c>
      <c r="AQ73" s="107">
        <f t="shared" si="196"/>
        <v>1.1912060301507539</v>
      </c>
      <c r="AR73" s="107">
        <f t="shared" si="196"/>
        <v>0.65927581863979856</v>
      </c>
      <c r="AS73" s="107">
        <f t="shared" si="196"/>
        <v>0.26181689975320244</v>
      </c>
      <c r="AT73" s="107">
        <f t="shared" si="196"/>
        <v>0.30858454280477182</v>
      </c>
      <c r="AU73" s="107">
        <f t="shared" si="196"/>
        <v>0.14595514524798817</v>
      </c>
      <c r="AV73" s="107">
        <f t="shared" si="196"/>
        <v>3.3959074554009523</v>
      </c>
      <c r="AW73" s="107">
        <f t="shared" si="196"/>
        <v>4.1250797438650872</v>
      </c>
      <c r="AX73" s="107">
        <f t="shared" si="196"/>
        <v>0.61494354150004782</v>
      </c>
      <c r="AY73" s="107">
        <f t="shared" si="196"/>
        <v>0.26336867272784464</v>
      </c>
      <c r="AZ73" s="107">
        <f t="shared" si="196"/>
        <v>0.23955990890433529</v>
      </c>
      <c r="BA73" s="107">
        <f t="shared" si="196"/>
        <v>0.77812159872631637</v>
      </c>
      <c r="BB73" s="107">
        <f t="shared" si="196"/>
        <v>0.65290326703240675</v>
      </c>
      <c r="BC73" s="107">
        <f t="shared" si="196"/>
        <v>1.3261334275644965</v>
      </c>
      <c r="BD73" s="107">
        <f t="shared" si="196"/>
        <v>1.3452957027219365</v>
      </c>
      <c r="BE73" s="107">
        <f t="shared" si="196"/>
        <v>2.3493761140819966</v>
      </c>
      <c r="BF73" s="107">
        <f t="shared" si="196"/>
        <v>0.97819962726996912</v>
      </c>
      <c r="BG73" s="107">
        <f t="shared" si="196"/>
        <v>3.6068836338094132</v>
      </c>
      <c r="BH73" s="107">
        <f t="shared" si="196"/>
        <v>2.2258182706399605</v>
      </c>
      <c r="BI73" s="107">
        <f t="shared" si="196"/>
        <v>4.3305328086780852</v>
      </c>
      <c r="BJ73" s="107">
        <f t="shared" si="196"/>
        <v>2.4631563356291175</v>
      </c>
      <c r="BK73" s="107">
        <f t="shared" si="196"/>
        <v>1.9981156976789272</v>
      </c>
      <c r="BL73" s="107">
        <f t="shared" si="196"/>
        <v>2.7417196232957246</v>
      </c>
      <c r="BM73" s="107">
        <f t="shared" si="196"/>
        <v>10.181291390687743</v>
      </c>
      <c r="BN73" s="107">
        <f t="shared" si="196"/>
        <v>18.133991626550181</v>
      </c>
      <c r="BO73" s="107">
        <f t="shared" si="196"/>
        <v>-6.7795797888754654</v>
      </c>
      <c r="BP73" s="107">
        <f t="shared" si="196"/>
        <v>2.8400159015317143</v>
      </c>
      <c r="BQ73" s="107">
        <f t="shared" ref="BQ73:CB73" si="197">+BQ13/(BQ17-BP17)</f>
        <v>1.4106592525754247</v>
      </c>
      <c r="BR73" s="107">
        <f t="shared" si="197"/>
        <v>4.44990531284882</v>
      </c>
      <c r="BS73" s="107">
        <f t="shared" si="197"/>
        <v>5.4790256372789106</v>
      </c>
      <c r="BT73" s="107">
        <f t="shared" ca="1" si="197"/>
        <v>2.4529329671780742</v>
      </c>
      <c r="BU73" s="107">
        <f t="shared" ca="1" si="197"/>
        <v>0.65052980119460302</v>
      </c>
      <c r="BV73" s="107">
        <f t="shared" ca="1" si="197"/>
        <v>2.3123582111421612</v>
      </c>
      <c r="BW73" s="107">
        <f t="shared" ca="1" si="197"/>
        <v>3.0833274690515315</v>
      </c>
      <c r="BX73" s="107">
        <f t="shared" ca="1" si="197"/>
        <v>3.9930402646363534</v>
      </c>
      <c r="BY73" s="107">
        <f t="shared" ca="1" si="197"/>
        <v>3.2024513652661875</v>
      </c>
      <c r="BZ73" s="107">
        <f t="shared" ca="1" si="197"/>
        <v>2.8848393144048541</v>
      </c>
      <c r="CA73" s="107">
        <f t="shared" ca="1" si="197"/>
        <v>2.6175265872204148</v>
      </c>
      <c r="CB73" s="107">
        <f t="shared" ca="1" si="197"/>
        <v>2.3466977349338038</v>
      </c>
      <c r="CC73" s="107">
        <f ca="1">+CC13/(CC17-CB17)</f>
        <v>2.0773304794281642</v>
      </c>
      <c r="CD73" s="107">
        <f ca="1">+CD13/(CD17-CC17)</f>
        <v>1.8129585848561367</v>
      </c>
      <c r="CE73" s="107">
        <f ca="1">+CE13/(CE17-CD17)</f>
        <v>1.5586289356703407</v>
      </c>
      <c r="CF73" s="107">
        <f ca="1">+CF13/(CF17-CE17)</f>
        <v>1.3199679098625432</v>
      </c>
      <c r="CG73" s="107">
        <f ca="1">+CG13/(CG17-CF17)</f>
        <v>1.1023213259171158</v>
      </c>
      <c r="CH73" s="141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34"/>
      <c r="DA73" s="135">
        <v>1.4106592525754247</v>
      </c>
      <c r="DB73" s="135">
        <v>4.44990531284882</v>
      </c>
      <c r="DC73" s="135">
        <v>5.4790256372789106</v>
      </c>
      <c r="DD73" s="135">
        <v>2.4529329671780742</v>
      </c>
      <c r="DE73" s="135">
        <v>0.66281030732957869</v>
      </c>
      <c r="DF73" s="135">
        <v>2.3937230620654599</v>
      </c>
      <c r="DG73" s="135">
        <v>2.6852232299712617</v>
      </c>
      <c r="DH73" s="135">
        <v>3.1521239944337411</v>
      </c>
      <c r="DI73" s="135">
        <v>2.5388468790331324</v>
      </c>
      <c r="DJ73" s="135">
        <v>2.869585663813043</v>
      </c>
      <c r="DK73" s="135">
        <v>2.1658916645185031</v>
      </c>
      <c r="DL73" s="135">
        <v>1.9517758546897355</v>
      </c>
      <c r="DM73" s="135">
        <v>1.6884903205894635</v>
      </c>
      <c r="DN73" s="135">
        <v>1.4564597846566081</v>
      </c>
      <c r="DO73" s="135">
        <v>1.2436986924073656</v>
      </c>
      <c r="DP73" s="135">
        <v>1.0484181866598359</v>
      </c>
      <c r="DQ73" s="135">
        <v>0.87299918724815362</v>
      </c>
    </row>
    <row r="74" spans="1:121" s="123" customFormat="1" ht="15" customHeight="1">
      <c r="A74" s="107"/>
      <c r="B74" s="107"/>
      <c r="C74" s="136"/>
      <c r="D74" s="14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3"/>
      <c r="CE74" s="213"/>
      <c r="CF74" s="213"/>
      <c r="CG74" s="213"/>
      <c r="CH74" s="207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34"/>
      <c r="DA74" s="208"/>
      <c r="DB74" s="208"/>
      <c r="DC74" s="208"/>
      <c r="DD74" s="208"/>
      <c r="DE74" s="135"/>
      <c r="DF74" s="135"/>
      <c r="DG74" s="135"/>
      <c r="DH74" s="135"/>
      <c r="DI74" s="135"/>
      <c r="DJ74" s="135"/>
      <c r="DK74" s="135"/>
      <c r="DL74" s="135"/>
      <c r="DM74" s="135"/>
      <c r="DN74" s="135"/>
      <c r="DO74" s="135"/>
      <c r="DP74" s="135"/>
      <c r="DQ74" s="135"/>
    </row>
    <row r="75" spans="1:121" s="123" customFormat="1" ht="15" customHeight="1">
      <c r="A75" s="180" t="s">
        <v>414</v>
      </c>
      <c r="B75" s="141"/>
      <c r="C75" s="158" t="s">
        <v>1579</v>
      </c>
      <c r="D75" s="102"/>
      <c r="E75" s="141"/>
      <c r="F75" s="141"/>
      <c r="G75" s="552"/>
      <c r="H75" s="552"/>
      <c r="I75" s="552"/>
      <c r="J75" s="552"/>
      <c r="K75" s="552"/>
      <c r="L75" s="552"/>
      <c r="M75" s="552"/>
      <c r="N75" s="552"/>
      <c r="O75" s="552"/>
      <c r="P75" s="552"/>
      <c r="Q75" s="552"/>
      <c r="R75" s="552"/>
      <c r="S75" s="552"/>
      <c r="T75" s="552"/>
      <c r="U75" s="552"/>
      <c r="V75" s="552"/>
      <c r="W75" s="552"/>
      <c r="X75" s="552"/>
      <c r="Y75" s="552"/>
      <c r="Z75" s="552"/>
      <c r="AA75" s="552"/>
      <c r="AB75" s="552"/>
      <c r="AC75" s="552"/>
      <c r="AD75" s="552"/>
      <c r="AE75" s="552"/>
      <c r="AF75" s="552"/>
      <c r="AG75" s="552"/>
      <c r="AH75" s="552"/>
      <c r="AI75" s="552"/>
      <c r="AJ75" s="552"/>
      <c r="AK75" s="552"/>
      <c r="AL75" s="552"/>
      <c r="AM75" s="552"/>
      <c r="AN75" s="552"/>
      <c r="AO75" s="552"/>
      <c r="AP75" s="552"/>
      <c r="AQ75" s="552"/>
      <c r="AR75" s="552"/>
      <c r="AS75" s="552"/>
      <c r="AT75" s="552"/>
      <c r="AU75" s="552"/>
      <c r="AV75" s="552"/>
      <c r="AW75" s="552"/>
      <c r="AX75" s="552"/>
      <c r="AY75" s="552"/>
      <c r="AZ75" s="552"/>
      <c r="BA75" s="143">
        <f t="shared" ref="BA75:BQ75" si="198">BA90-BA203*BA228/1000000</f>
        <v>-26.602835000000027</v>
      </c>
      <c r="BB75" s="143">
        <f t="shared" si="198"/>
        <v>35.221889816356168</v>
      </c>
      <c r="BC75" s="143">
        <f t="shared" si="198"/>
        <v>44.164357252653303</v>
      </c>
      <c r="BD75" s="143">
        <f t="shared" si="198"/>
        <v>42.217235138063131</v>
      </c>
      <c r="BE75" s="143">
        <f ca="1">BE90-BE203*BE228/1000000</f>
        <v>47.50079635662496</v>
      </c>
      <c r="BF75" s="143">
        <f t="shared" si="198"/>
        <v>50.690388964636327</v>
      </c>
      <c r="BG75" s="143">
        <f t="shared" si="198"/>
        <v>70.356627942396472</v>
      </c>
      <c r="BH75" s="143">
        <f t="shared" si="198"/>
        <v>65.360750496146466</v>
      </c>
      <c r="BI75" s="143">
        <f t="shared" si="198"/>
        <v>82.938699501387305</v>
      </c>
      <c r="BJ75" s="143">
        <f t="shared" si="198"/>
        <v>23.543549691284397</v>
      </c>
      <c r="BK75" s="143">
        <f t="shared" si="198"/>
        <v>-23.738498831726019</v>
      </c>
      <c r="BL75" s="143">
        <f t="shared" si="198"/>
        <v>-19.337240000000065</v>
      </c>
      <c r="BM75" s="143">
        <f t="shared" si="198"/>
        <v>-157.33113600000001</v>
      </c>
      <c r="BN75" s="143">
        <f t="shared" si="198"/>
        <v>-145.85214199999996</v>
      </c>
      <c r="BO75" s="143">
        <f t="shared" si="198"/>
        <v>-125.87377877453673</v>
      </c>
      <c r="BP75" s="143">
        <f t="shared" si="198"/>
        <v>-114.51047342669972</v>
      </c>
      <c r="BQ75" s="143">
        <f t="shared" si="198"/>
        <v>-122.44027520148347</v>
      </c>
      <c r="BR75" s="143">
        <f t="shared" ref="BR75:CB75" si="199">BR90-BR203*BR228/1000000</f>
        <v>-70.537235107720335</v>
      </c>
      <c r="BS75" s="143">
        <f t="shared" si="199"/>
        <v>723.48385882277489</v>
      </c>
      <c r="BT75" s="143">
        <f t="shared" ca="1" si="199"/>
        <v>352.30110705227935</v>
      </c>
      <c r="BU75" s="143">
        <f t="shared" ca="1" si="199"/>
        <v>441.4084760940741</v>
      </c>
      <c r="BV75" s="143">
        <f t="shared" ca="1" si="199"/>
        <v>486.04622886569723</v>
      </c>
      <c r="BW75" s="143">
        <f t="shared" ca="1" si="199"/>
        <v>505.84339290313073</v>
      </c>
      <c r="BX75" s="143">
        <f t="shared" ca="1" si="199"/>
        <v>552.95201221357183</v>
      </c>
      <c r="BY75" s="143">
        <f t="shared" ca="1" si="199"/>
        <v>626.08755290542013</v>
      </c>
      <c r="BZ75" s="143">
        <f t="shared" ca="1" si="199"/>
        <v>716.67271297993193</v>
      </c>
      <c r="CA75" s="143">
        <f t="shared" ca="1" si="199"/>
        <v>828.68175790538407</v>
      </c>
      <c r="CB75" s="143">
        <f t="shared" ca="1" si="199"/>
        <v>970.1417717170043</v>
      </c>
      <c r="CC75" s="143">
        <f ca="1">CC90-CC203*CC228/1000000</f>
        <v>1152.1795688137227</v>
      </c>
      <c r="CD75" s="143">
        <f ca="1">CD90-CD203*CD228/1000000</f>
        <v>1391.8072617845137</v>
      </c>
      <c r="CE75" s="143">
        <f ca="1">CE90-CE203*CE228/1000000</f>
        <v>1715.6129571653782</v>
      </c>
      <c r="CF75" s="143">
        <f ca="1">CF90-CF203*CF228/1000000</f>
        <v>2166.4680338430262</v>
      </c>
      <c r="CG75" s="143">
        <f ca="1">CG90-CG203*CG228/1000000</f>
        <v>2815.9903540139385</v>
      </c>
      <c r="CH75" s="141"/>
      <c r="CZ75" s="181"/>
      <c r="DA75" s="135">
        <v>-122.44027520148347</v>
      </c>
      <c r="DB75" s="135">
        <v>-70.537235107720335</v>
      </c>
      <c r="DC75" s="135">
        <v>723.48385882277489</v>
      </c>
      <c r="DD75" s="135">
        <v>352.30110705227935</v>
      </c>
      <c r="DE75" s="135">
        <v>428.48762554714403</v>
      </c>
      <c r="DF75" s="135">
        <v>455.15752928936354</v>
      </c>
      <c r="DG75" s="135">
        <v>479.43194209395278</v>
      </c>
      <c r="DH75" s="135">
        <v>534.67913201776355</v>
      </c>
      <c r="DI75" s="135">
        <v>618.7398581190464</v>
      </c>
      <c r="DJ75" s="135">
        <v>725.25440264040662</v>
      </c>
      <c r="DK75" s="135">
        <v>849.58550784390354</v>
      </c>
      <c r="DL75" s="135">
        <v>1002.3095020698147</v>
      </c>
      <c r="DM75" s="135">
        <v>1209.3230197839239</v>
      </c>
      <c r="DN75" s="135">
        <v>1488.8799662592628</v>
      </c>
      <c r="DO75" s="135">
        <v>1874.9383939583313</v>
      </c>
      <c r="DP75" s="135">
        <v>2424.3415202598917</v>
      </c>
      <c r="DQ75" s="135">
        <v>3234.1527385646805</v>
      </c>
    </row>
    <row r="76" spans="1:121">
      <c r="A76" s="124" t="s">
        <v>2140</v>
      </c>
      <c r="B76" s="125"/>
      <c r="C76" s="125"/>
      <c r="D76" s="124" t="s">
        <v>1875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7"/>
      <c r="DA76" s="381"/>
      <c r="DB76" s="381"/>
      <c r="DC76" s="381"/>
      <c r="DD76" s="381"/>
      <c r="DE76" s="381"/>
      <c r="DF76" s="381"/>
      <c r="DG76" s="182"/>
      <c r="DH76" s="182"/>
      <c r="DI76" s="182"/>
      <c r="DJ76" s="182"/>
      <c r="DK76" s="182"/>
      <c r="DL76" s="182"/>
      <c r="DM76" s="182"/>
      <c r="DN76" s="182"/>
    </row>
    <row r="77" spans="1:121" s="163" customFormat="1">
      <c r="A77" s="129" t="s">
        <v>1760</v>
      </c>
      <c r="B77" s="129"/>
      <c r="C77" s="129"/>
      <c r="D77" s="643" t="s">
        <v>1874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4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30"/>
      <c r="DA77" s="386"/>
      <c r="DB77" s="386"/>
      <c r="DC77" s="386"/>
      <c r="DD77" s="386"/>
      <c r="DE77" s="386"/>
      <c r="DF77" s="386"/>
      <c r="DG77" s="182"/>
      <c r="DH77" s="182"/>
      <c r="DI77" s="182"/>
      <c r="DJ77" s="182"/>
      <c r="DK77" s="182"/>
      <c r="DL77" s="182"/>
      <c r="DM77" s="182"/>
      <c r="DN77" s="182"/>
      <c r="DO77" s="549"/>
      <c r="DP77" s="549"/>
      <c r="DQ77" s="549"/>
    </row>
    <row r="78" spans="1:121">
      <c r="A78" s="99" t="s">
        <v>1883</v>
      </c>
      <c r="B78" s="149"/>
      <c r="C78" s="150"/>
      <c r="D78" s="102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206" t="s">
        <v>1344</v>
      </c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I78" s="164"/>
      <c r="CJ78" s="164"/>
      <c r="CK78" s="164"/>
      <c r="CL78" s="164"/>
      <c r="CM78" s="164"/>
      <c r="CN78" s="164"/>
      <c r="CO78" s="164"/>
      <c r="CP78" s="164"/>
      <c r="CQ78" s="164"/>
      <c r="CR78" s="164"/>
      <c r="CS78" s="164"/>
      <c r="CT78" s="164"/>
      <c r="CU78" s="164"/>
      <c r="CV78" s="164"/>
      <c r="CW78" s="164"/>
      <c r="CX78" s="164"/>
      <c r="CY78" s="164"/>
      <c r="CZ78" s="165"/>
      <c r="DD78" s="104" t="s">
        <v>1344</v>
      </c>
    </row>
    <row r="79" spans="1:121" s="168" customFormat="1">
      <c r="A79" s="166" t="s">
        <v>1334</v>
      </c>
      <c r="B79" s="166"/>
      <c r="C79" s="167" t="s">
        <v>1579</v>
      </c>
      <c r="D79" s="147"/>
      <c r="E79" s="166"/>
      <c r="F79" s="168">
        <f t="shared" ref="F79:BD79" si="200">+F80+F85</f>
        <v>3.1600000000000003E-2</v>
      </c>
      <c r="G79" s="168">
        <f t="shared" si="200"/>
        <v>3.27E-2</v>
      </c>
      <c r="H79" s="168">
        <f t="shared" si="200"/>
        <v>3.8891999289393422E-2</v>
      </c>
      <c r="I79" s="168">
        <f t="shared" si="200"/>
        <v>4.6816001191735269E-2</v>
      </c>
      <c r="J79" s="168">
        <f t="shared" si="200"/>
        <v>5.2579999923706058E-2</v>
      </c>
      <c r="K79" s="168">
        <f t="shared" si="200"/>
        <v>5.7123999834060663E-2</v>
      </c>
      <c r="L79" s="168">
        <f t="shared" si="200"/>
        <v>6.603200089931488E-2</v>
      </c>
      <c r="M79" s="168">
        <f t="shared" si="200"/>
        <v>6.2E-2</v>
      </c>
      <c r="N79" s="168">
        <f t="shared" si="200"/>
        <v>7.3147999048233034E-2</v>
      </c>
      <c r="O79" s="168">
        <f t="shared" si="200"/>
        <v>7.1672000825405119E-2</v>
      </c>
      <c r="P79" s="168">
        <f t="shared" si="200"/>
        <v>7.8683999180793759E-2</v>
      </c>
      <c r="Q79" s="168">
        <f t="shared" si="200"/>
        <v>7.5927998185157775E-2</v>
      </c>
      <c r="R79" s="168">
        <f t="shared" si="200"/>
        <v>0.10146799853444098</v>
      </c>
      <c r="S79" s="168">
        <f t="shared" si="200"/>
        <v>0.11363600051403046</v>
      </c>
      <c r="T79" s="168">
        <f t="shared" si="200"/>
        <v>0.11421600061655046</v>
      </c>
      <c r="U79" s="168">
        <f t="shared" si="200"/>
        <v>0.13467599833011629</v>
      </c>
      <c r="V79" s="168">
        <f t="shared" si="200"/>
        <v>0.14752000069618226</v>
      </c>
      <c r="W79" s="168">
        <f t="shared" si="200"/>
        <v>0.16420000147819519</v>
      </c>
      <c r="X79" s="168">
        <f t="shared" si="200"/>
        <v>0.18283999991416933</v>
      </c>
      <c r="Y79" s="168">
        <f t="shared" si="200"/>
        <v>0.18829999887943272</v>
      </c>
      <c r="Z79" s="168">
        <f t="shared" si="200"/>
        <v>0.22779999804496764</v>
      </c>
      <c r="AA79" s="168">
        <f t="shared" si="200"/>
        <v>0.35120000028610232</v>
      </c>
      <c r="AB79" s="168">
        <f t="shared" si="200"/>
        <v>0.44939999997615809</v>
      </c>
      <c r="AC79" s="168">
        <f t="shared" si="200"/>
        <v>0.46210000181198119</v>
      </c>
      <c r="AD79" s="168">
        <f t="shared" si="200"/>
        <v>0.50489999389648443</v>
      </c>
      <c r="AE79" s="168">
        <f t="shared" si="200"/>
        <v>0.5475999965667725</v>
      </c>
      <c r="AF79" s="168">
        <f t="shared" si="200"/>
        <v>0.58505059337615961</v>
      </c>
      <c r="AG79" s="168">
        <f t="shared" si="200"/>
        <v>0.64780251884460449</v>
      </c>
      <c r="AH79" s="168">
        <f t="shared" si="200"/>
        <v>0.68799639773368848</v>
      </c>
      <c r="AI79" s="168">
        <f t="shared" si="200"/>
        <v>0.48895931839942935</v>
      </c>
      <c r="AJ79" s="168">
        <f t="shared" si="200"/>
        <v>0.50916169261932365</v>
      </c>
      <c r="AK79" s="168">
        <f t="shared" si="200"/>
        <v>0.46915989780426026</v>
      </c>
      <c r="AL79" s="168">
        <f t="shared" si="200"/>
        <v>0.44186129999160767</v>
      </c>
      <c r="AM79" s="168">
        <f t="shared" si="200"/>
        <v>0.46150000953674314</v>
      </c>
      <c r="AN79" s="168">
        <f t="shared" si="200"/>
        <v>0.58440000963211058</v>
      </c>
      <c r="AO79" s="168">
        <f t="shared" si="200"/>
        <v>0.71970000696182257</v>
      </c>
      <c r="AP79" s="168">
        <f t="shared" si="200"/>
        <v>0.96420998779296874</v>
      </c>
      <c r="AQ79" s="168">
        <f t="shared" si="200"/>
        <v>1.0410600076293945</v>
      </c>
      <c r="AR79" s="168">
        <f t="shared" si="200"/>
        <v>1.1439965979003908</v>
      </c>
      <c r="AS79" s="168">
        <f t="shared" si="200"/>
        <v>1.9233</v>
      </c>
      <c r="AT79" s="168">
        <f t="shared" si="200"/>
        <v>12.502600000000001</v>
      </c>
      <c r="AU79" s="168">
        <f t="shared" si="200"/>
        <v>79.664779999999993</v>
      </c>
      <c r="AV79" s="168">
        <f t="shared" si="200"/>
        <v>145.40737000000001</v>
      </c>
      <c r="AW79" s="168">
        <f t="shared" si="200"/>
        <v>122.70805</v>
      </c>
      <c r="AX79" s="168">
        <f t="shared" si="200"/>
        <v>154.10275906099201</v>
      </c>
      <c r="AY79" s="168">
        <f t="shared" si="200"/>
        <v>183.2621414491245</v>
      </c>
      <c r="AZ79" s="168">
        <f t="shared" si="200"/>
        <v>324.33781064016614</v>
      </c>
      <c r="BA79" s="168">
        <f t="shared" si="200"/>
        <v>648.98505153193503</v>
      </c>
      <c r="BB79" s="168">
        <f t="shared" si="200"/>
        <v>668.37218536069554</v>
      </c>
      <c r="BC79" s="168">
        <f t="shared" si="200"/>
        <v>893.09463409968987</v>
      </c>
      <c r="BD79" s="168">
        <f t="shared" si="200"/>
        <v>1096.7254090406141</v>
      </c>
      <c r="BE79" s="168">
        <f ca="1">+BE80+BE85</f>
        <v>1242.9358774989223</v>
      </c>
      <c r="BF79" s="168">
        <f t="shared" ref="BF79:BP79" si="201">+BF80+BF85</f>
        <v>1740</v>
      </c>
      <c r="BG79" s="168">
        <f t="shared" si="201"/>
        <v>2368</v>
      </c>
      <c r="BH79" s="168">
        <f t="shared" si="201"/>
        <v>2354.7999999999997</v>
      </c>
      <c r="BI79" s="168">
        <f t="shared" si="201"/>
        <v>2944.7000000000003</v>
      </c>
      <c r="BJ79" s="168">
        <f t="shared" si="201"/>
        <v>2606.1</v>
      </c>
      <c r="BK79" s="168">
        <f t="shared" si="201"/>
        <v>3537.5000000000005</v>
      </c>
      <c r="BL79" s="168">
        <f t="shared" si="201"/>
        <v>4024.5</v>
      </c>
      <c r="BM79" s="168">
        <f t="shared" si="201"/>
        <v>3960.2999999999997</v>
      </c>
      <c r="BN79" s="168">
        <f t="shared" si="201"/>
        <v>3750.8999999999996</v>
      </c>
      <c r="BO79" s="168">
        <f t="shared" si="201"/>
        <v>3398.7</v>
      </c>
      <c r="BP79" s="168">
        <f t="shared" si="201"/>
        <v>3519</v>
      </c>
      <c r="BQ79" s="168">
        <f t="shared" ref="BQ79:CB79" si="202">+BQ80+BQ85</f>
        <v>5114</v>
      </c>
      <c r="BR79" s="168">
        <f t="shared" si="202"/>
        <v>5970</v>
      </c>
      <c r="BS79" s="168">
        <f t="shared" si="202"/>
        <v>6410</v>
      </c>
      <c r="BT79" s="168">
        <f t="shared" si="202"/>
        <v>4506</v>
      </c>
      <c r="BU79" s="168">
        <f t="shared" ca="1" si="202"/>
        <v>13410.230884259327</v>
      </c>
      <c r="BV79" s="168">
        <f t="shared" ca="1" si="202"/>
        <v>16446.029431041865</v>
      </c>
      <c r="BW79" s="168">
        <f t="shared" ca="1" si="202"/>
        <v>15309.763307179295</v>
      </c>
      <c r="BX79" s="168">
        <f t="shared" ca="1" si="202"/>
        <v>16619.133589215566</v>
      </c>
      <c r="BY79" s="168">
        <f t="shared" ca="1" si="202"/>
        <v>18274.072595120542</v>
      </c>
      <c r="BZ79" s="168">
        <f t="shared" ca="1" si="202"/>
        <v>20267.946170096842</v>
      </c>
      <c r="CA79" s="168">
        <f t="shared" ca="1" si="202"/>
        <v>22677.706452194987</v>
      </c>
      <c r="CB79" s="168">
        <f t="shared" ca="1" si="202"/>
        <v>25648.415257833258</v>
      </c>
      <c r="CC79" s="168">
        <f ca="1">+CC80+CC85</f>
        <v>29402.05044212237</v>
      </c>
      <c r="CD79" s="168">
        <f ca="1">+CD80+CD85</f>
        <v>34284.441305900342</v>
      </c>
      <c r="CE79" s="168">
        <f ca="1">+CE80+CE85</f>
        <v>40851.841184986959</v>
      </c>
      <c r="CF79" s="168">
        <f ca="1">+CF80+CF85</f>
        <v>50030.406069373326</v>
      </c>
      <c r="CG79" s="168">
        <f ca="1">+CG80+CG85</f>
        <v>63421.276062214922</v>
      </c>
      <c r="CH79" s="100"/>
      <c r="CI79" s="105">
        <f t="shared" ref="CI79:CI85" si="203">BQ79-DA79</f>
        <v>0</v>
      </c>
      <c r="CJ79" s="105">
        <f t="shared" ref="CJ79:CU84" si="204">BR79-DB79</f>
        <v>0</v>
      </c>
      <c r="CK79" s="105">
        <f t="shared" si="204"/>
        <v>0</v>
      </c>
      <c r="CL79" s="105">
        <f t="shared" si="204"/>
        <v>0</v>
      </c>
      <c r="CM79" s="105">
        <f t="shared" ca="1" si="204"/>
        <v>615.16210053465147</v>
      </c>
      <c r="CN79" s="105">
        <f t="shared" ca="1" si="204"/>
        <v>1099.4436486441955</v>
      </c>
      <c r="CO79" s="105">
        <f t="shared" ca="1" si="204"/>
        <v>815.74057831561367</v>
      </c>
      <c r="CP79" s="105">
        <f t="shared" ca="1" si="204"/>
        <v>700.45907921507569</v>
      </c>
      <c r="CQ79" s="105">
        <f t="shared" ca="1" si="204"/>
        <v>530.57248009251634</v>
      </c>
      <c r="CR79" s="105">
        <f t="shared" ca="1" si="204"/>
        <v>899.81221303043276</v>
      </c>
      <c r="CS79" s="105">
        <f t="shared" ca="1" si="204"/>
        <v>794.18487044097492</v>
      </c>
      <c r="CT79" s="105">
        <f t="shared" ca="1" si="204"/>
        <v>600.13085456900444</v>
      </c>
      <c r="CU79" s="105">
        <f t="shared" ca="1" si="204"/>
        <v>263.32386165269054</v>
      </c>
      <c r="CV79" s="105">
        <f t="shared" ref="CV79:CV85" ca="1" si="205">CD79-DN79</f>
        <v>-278.27115517844504</v>
      </c>
      <c r="CW79" s="105">
        <f t="shared" ref="CW79:CW85" ca="1" si="206">CE79-DO79</f>
        <v>-1135.6027562748786</v>
      </c>
      <c r="CX79" s="105">
        <f t="shared" ref="CX79:CX85" ca="1" si="207">CF79-DP79</f>
        <v>-2527.800161976993</v>
      </c>
      <c r="CY79" s="105">
        <f t="shared" ref="CY79:CY85" ca="1" si="208">CG79-DQ79</f>
        <v>-4879.1865316195326</v>
      </c>
      <c r="CZ79" s="169"/>
      <c r="DA79" s="387">
        <v>5114</v>
      </c>
      <c r="DB79" s="387">
        <v>5970</v>
      </c>
      <c r="DC79" s="387">
        <v>6410</v>
      </c>
      <c r="DD79" s="387">
        <v>4506</v>
      </c>
      <c r="DE79" s="387">
        <v>12795.068783724675</v>
      </c>
      <c r="DF79" s="387">
        <v>15346.585782397669</v>
      </c>
      <c r="DG79" s="387">
        <v>14494.022728863682</v>
      </c>
      <c r="DH79" s="387">
        <v>15918.67451000049</v>
      </c>
      <c r="DI79" s="387">
        <v>17743.500115028026</v>
      </c>
      <c r="DJ79" s="387">
        <v>19368.133957066409</v>
      </c>
      <c r="DK79" s="387">
        <v>21883.521581754012</v>
      </c>
      <c r="DL79" s="387">
        <v>25048.284403264253</v>
      </c>
      <c r="DM79" s="387">
        <v>29138.72658046968</v>
      </c>
      <c r="DN79" s="387">
        <v>34562.712461078787</v>
      </c>
      <c r="DO79" s="387">
        <v>41987.443941261838</v>
      </c>
      <c r="DP79" s="387">
        <v>52558.206231350319</v>
      </c>
      <c r="DQ79" s="387">
        <v>68300.462593834454</v>
      </c>
    </row>
    <row r="80" spans="1:121" s="123" customFormat="1">
      <c r="A80" s="138" t="s">
        <v>3098</v>
      </c>
      <c r="B80" s="107"/>
      <c r="C80" s="136" t="s">
        <v>1579</v>
      </c>
      <c r="D80" s="147"/>
      <c r="E80" s="107"/>
      <c r="F80" s="123">
        <f t="shared" ref="F80:BD80" si="209">+F81+F84</f>
        <v>2.9600000000000001E-2</v>
      </c>
      <c r="G80" s="123">
        <f t="shared" si="209"/>
        <v>3.1100000000000003E-2</v>
      </c>
      <c r="H80" s="123">
        <f t="shared" si="209"/>
        <v>3.3991999194025992E-2</v>
      </c>
      <c r="I80" s="123">
        <f t="shared" si="209"/>
        <v>4.0016001001000404E-2</v>
      </c>
      <c r="J80" s="123">
        <f t="shared" si="209"/>
        <v>4.7880000114440921E-2</v>
      </c>
      <c r="K80" s="123">
        <f t="shared" si="209"/>
        <v>5.1623999834060665E-2</v>
      </c>
      <c r="L80" s="123">
        <f t="shared" si="209"/>
        <v>5.9732000708580021E-2</v>
      </c>
      <c r="M80" s="123">
        <f t="shared" si="209"/>
        <v>5.3699999809265139E-2</v>
      </c>
      <c r="N80" s="123">
        <f t="shared" si="209"/>
        <v>6.5847998857498174E-2</v>
      </c>
      <c r="O80" s="123">
        <f t="shared" si="209"/>
        <v>5.8672000825405121E-2</v>
      </c>
      <c r="P80" s="123">
        <f t="shared" si="209"/>
        <v>7.2583999276161187E-2</v>
      </c>
      <c r="Q80" s="123">
        <f t="shared" si="209"/>
        <v>6.9927998185157769E-2</v>
      </c>
      <c r="R80" s="123">
        <f t="shared" si="209"/>
        <v>8.8967998534440984E-2</v>
      </c>
      <c r="S80" s="123">
        <f t="shared" si="209"/>
        <v>0.10063600051403046</v>
      </c>
      <c r="T80" s="123">
        <f t="shared" si="209"/>
        <v>0.10181600099802018</v>
      </c>
      <c r="U80" s="123">
        <f t="shared" si="209"/>
        <v>0.114275998711586</v>
      </c>
      <c r="V80" s="123">
        <f t="shared" si="209"/>
        <v>0.12362000107765198</v>
      </c>
      <c r="W80" s="123">
        <f t="shared" si="209"/>
        <v>0.14000000071525573</v>
      </c>
      <c r="X80" s="123">
        <f t="shared" si="209"/>
        <v>0.15994000029563904</v>
      </c>
      <c r="Y80" s="123">
        <f t="shared" si="209"/>
        <v>0.16399999964237216</v>
      </c>
      <c r="Z80" s="123">
        <f t="shared" si="209"/>
        <v>0.1870999972820282</v>
      </c>
      <c r="AA80" s="123">
        <f t="shared" si="209"/>
        <v>0.29520000028610233</v>
      </c>
      <c r="AB80" s="123">
        <f t="shared" si="209"/>
        <v>0.29020000302791593</v>
      </c>
      <c r="AC80" s="123">
        <f t="shared" si="209"/>
        <v>0.3237000079154968</v>
      </c>
      <c r="AD80" s="123">
        <f t="shared" si="209"/>
        <v>0.40599999237060547</v>
      </c>
      <c r="AE80" s="123">
        <f t="shared" si="209"/>
        <v>0.40359999656677248</v>
      </c>
      <c r="AF80" s="123">
        <f t="shared" si="209"/>
        <v>0.45349608898162841</v>
      </c>
      <c r="AG80" s="123">
        <f t="shared" si="209"/>
        <v>0.47876301383972164</v>
      </c>
      <c r="AH80" s="123">
        <f t="shared" si="209"/>
        <v>0.51502989077568062</v>
      </c>
      <c r="AI80" s="123">
        <f t="shared" si="209"/>
        <v>0.48449681830406194</v>
      </c>
      <c r="AJ80" s="123">
        <f t="shared" si="209"/>
        <v>0.50556169271469109</v>
      </c>
      <c r="AK80" s="123">
        <f t="shared" si="209"/>
        <v>0.46515989780426026</v>
      </c>
      <c r="AL80" s="123">
        <f t="shared" si="209"/>
        <v>0.43986129999160767</v>
      </c>
      <c r="AM80" s="123">
        <f t="shared" si="209"/>
        <v>0.45330000972747803</v>
      </c>
      <c r="AN80" s="123">
        <f t="shared" si="209"/>
        <v>0.56540000963211057</v>
      </c>
      <c r="AO80" s="123">
        <f t="shared" si="209"/>
        <v>0.67670000696182253</v>
      </c>
      <c r="AP80" s="123">
        <f t="shared" si="209"/>
        <v>0.90280998779296873</v>
      </c>
      <c r="AQ80" s="123">
        <f t="shared" si="209"/>
        <v>1.0066600076293946</v>
      </c>
      <c r="AR80" s="123">
        <f t="shared" si="209"/>
        <v>1.0843965979003907</v>
      </c>
      <c r="AS80" s="123">
        <f t="shared" si="209"/>
        <v>1.4963</v>
      </c>
      <c r="AT80" s="123">
        <f t="shared" si="209"/>
        <v>11.098800000000001</v>
      </c>
      <c r="AU80" s="123">
        <f t="shared" si="209"/>
        <v>70.324179999999998</v>
      </c>
      <c r="AV80" s="123">
        <f t="shared" si="209"/>
        <v>102.12837</v>
      </c>
      <c r="AW80" s="123">
        <f t="shared" si="209"/>
        <v>94.065049999999999</v>
      </c>
      <c r="AX80" s="123">
        <f t="shared" si="209"/>
        <v>127.63675906099201</v>
      </c>
      <c r="AY80" s="123">
        <f t="shared" si="209"/>
        <v>162.96214144912449</v>
      </c>
      <c r="AZ80" s="123">
        <f t="shared" si="209"/>
        <v>301.83781064016614</v>
      </c>
      <c r="BA80" s="123">
        <f t="shared" si="209"/>
        <v>626.48505153193503</v>
      </c>
      <c r="BB80" s="123">
        <f t="shared" si="209"/>
        <v>638.37418536069549</v>
      </c>
      <c r="BC80" s="123">
        <f t="shared" si="209"/>
        <v>881.75353409968989</v>
      </c>
      <c r="BD80" s="123">
        <f t="shared" si="209"/>
        <v>1041.180409040614</v>
      </c>
      <c r="BE80" s="123">
        <f ca="1">+BE81+BE84</f>
        <v>1187.3908774989222</v>
      </c>
      <c r="BF80" s="123">
        <f t="shared" ref="BF80:BP80" si="210">+BF81+BF84</f>
        <v>1580.3</v>
      </c>
      <c r="BG80" s="123">
        <f t="shared" si="210"/>
        <v>1944.8000000000002</v>
      </c>
      <c r="BH80" s="123">
        <f t="shared" si="210"/>
        <v>2111.1999999999998</v>
      </c>
      <c r="BI80" s="123">
        <f t="shared" si="210"/>
        <v>2590.6000000000004</v>
      </c>
      <c r="BJ80" s="123">
        <f t="shared" si="210"/>
        <v>2457</v>
      </c>
      <c r="BK80" s="123">
        <f t="shared" si="210"/>
        <v>3422.1000000000004</v>
      </c>
      <c r="BL80" s="123">
        <f t="shared" si="210"/>
        <v>4024.5</v>
      </c>
      <c r="BM80" s="123">
        <f t="shared" si="210"/>
        <v>3960.2999999999997</v>
      </c>
      <c r="BN80" s="123">
        <f t="shared" si="210"/>
        <v>3750.8999999999996</v>
      </c>
      <c r="BO80" s="123">
        <f t="shared" si="210"/>
        <v>3398.7</v>
      </c>
      <c r="BP80" s="123">
        <f t="shared" si="210"/>
        <v>3519</v>
      </c>
      <c r="BQ80" s="123">
        <f t="shared" ref="BQ80:CB80" si="211">+BQ81+BQ84</f>
        <v>5114</v>
      </c>
      <c r="BR80" s="123">
        <f t="shared" si="211"/>
        <v>5970</v>
      </c>
      <c r="BS80" s="123">
        <f t="shared" si="211"/>
        <v>6410</v>
      </c>
      <c r="BT80" s="123">
        <f t="shared" si="211"/>
        <v>4506</v>
      </c>
      <c r="BU80" s="123">
        <f t="shared" ca="1" si="211"/>
        <v>13410.230884259327</v>
      </c>
      <c r="BV80" s="123">
        <f t="shared" ca="1" si="211"/>
        <v>16446.029431041865</v>
      </c>
      <c r="BW80" s="123">
        <f t="shared" ca="1" si="211"/>
        <v>15309.763307179295</v>
      </c>
      <c r="BX80" s="123">
        <f t="shared" ca="1" si="211"/>
        <v>16619.133589215562</v>
      </c>
      <c r="BY80" s="123">
        <f t="shared" ca="1" si="211"/>
        <v>18274.072595120546</v>
      </c>
      <c r="BZ80" s="123">
        <f t="shared" ca="1" si="211"/>
        <v>20267.94617009686</v>
      </c>
      <c r="CA80" s="123">
        <f t="shared" ca="1" si="211"/>
        <v>22677.706452194987</v>
      </c>
      <c r="CB80" s="123">
        <f t="shared" ca="1" si="211"/>
        <v>25648.415257833251</v>
      </c>
      <c r="CC80" s="123">
        <f ca="1">+CC81+CC84</f>
        <v>29402.050442122381</v>
      </c>
      <c r="CD80" s="123">
        <f ca="1">+CD81+CD84</f>
        <v>34284.441305900327</v>
      </c>
      <c r="CE80" s="123">
        <f ca="1">+CE81+CE84</f>
        <v>40851.841184986872</v>
      </c>
      <c r="CF80" s="123">
        <f ca="1">+CF81+CF84</f>
        <v>50030.406069373319</v>
      </c>
      <c r="CG80" s="123">
        <f ca="1">+CG81+CG84</f>
        <v>63421.2760622149</v>
      </c>
      <c r="CH80" s="141"/>
      <c r="CI80" s="106">
        <f t="shared" si="203"/>
        <v>0</v>
      </c>
      <c r="CJ80" s="106">
        <f t="shared" si="204"/>
        <v>0</v>
      </c>
      <c r="CK80" s="106">
        <f t="shared" si="204"/>
        <v>0</v>
      </c>
      <c r="CL80" s="106">
        <f t="shared" si="204"/>
        <v>0</v>
      </c>
      <c r="CM80" s="106">
        <f t="shared" ca="1" si="204"/>
        <v>615.16210053465329</v>
      </c>
      <c r="CN80" s="106">
        <f t="shared" ca="1" si="204"/>
        <v>1099.4436486441991</v>
      </c>
      <c r="CO80" s="106">
        <f t="shared" ca="1" si="204"/>
        <v>815.74057831561731</v>
      </c>
      <c r="CP80" s="106">
        <f t="shared" ca="1" si="204"/>
        <v>700.45907921507933</v>
      </c>
      <c r="CQ80" s="106">
        <f t="shared" ca="1" si="204"/>
        <v>530.57248009252726</v>
      </c>
      <c r="CR80" s="106">
        <f t="shared" ca="1" si="204"/>
        <v>899.81221303045459</v>
      </c>
      <c r="CS80" s="106">
        <f t="shared" ca="1" si="204"/>
        <v>794.18487044100038</v>
      </c>
      <c r="CT80" s="106">
        <f t="shared" ca="1" si="204"/>
        <v>600.13085456901899</v>
      </c>
      <c r="CU80" s="106">
        <f t="shared" ca="1" si="204"/>
        <v>263.32386165270145</v>
      </c>
      <c r="CV80" s="106">
        <f t="shared" ca="1" si="205"/>
        <v>-278.27115517843049</v>
      </c>
      <c r="CW80" s="106">
        <f t="shared" ca="1" si="206"/>
        <v>-1135.6027562749077</v>
      </c>
      <c r="CX80" s="106">
        <f t="shared" ca="1" si="207"/>
        <v>-2527.8001619769857</v>
      </c>
      <c r="CY80" s="106">
        <f t="shared" ca="1" si="208"/>
        <v>-4879.1865316194235</v>
      </c>
      <c r="CZ80" s="134"/>
      <c r="DA80" s="135">
        <v>5114</v>
      </c>
      <c r="DB80" s="135">
        <v>5970</v>
      </c>
      <c r="DC80" s="135">
        <v>6410</v>
      </c>
      <c r="DD80" s="135">
        <v>4506</v>
      </c>
      <c r="DE80" s="135">
        <v>12795.068783724673</v>
      </c>
      <c r="DF80" s="135">
        <v>15346.585782397666</v>
      </c>
      <c r="DG80" s="135">
        <v>14494.022728863678</v>
      </c>
      <c r="DH80" s="135">
        <v>15918.674510000483</v>
      </c>
      <c r="DI80" s="135">
        <v>17743.500115028019</v>
      </c>
      <c r="DJ80" s="135">
        <v>19368.133957066406</v>
      </c>
      <c r="DK80" s="135">
        <v>21883.521581753987</v>
      </c>
      <c r="DL80" s="135">
        <v>25048.284403264232</v>
      </c>
      <c r="DM80" s="135">
        <v>29138.72658046968</v>
      </c>
      <c r="DN80" s="135">
        <v>34562.712461078758</v>
      </c>
      <c r="DO80" s="135">
        <v>41987.443941261779</v>
      </c>
      <c r="DP80" s="135">
        <v>52558.206231350305</v>
      </c>
      <c r="DQ80" s="135">
        <v>68300.462593834323</v>
      </c>
    </row>
    <row r="81" spans="1:121" s="123" customFormat="1">
      <c r="A81" s="142" t="s">
        <v>3099</v>
      </c>
      <c r="B81" s="107"/>
      <c r="C81" s="136" t="s">
        <v>1579</v>
      </c>
      <c r="D81" s="147"/>
      <c r="E81" s="107"/>
      <c r="F81" s="123">
        <f t="shared" ref="F81:BD81" si="212">F82+F83</f>
        <v>2.6700000000000002E-2</v>
      </c>
      <c r="G81" s="123">
        <f t="shared" si="212"/>
        <v>2.7400000000000001E-2</v>
      </c>
      <c r="H81" s="123">
        <f t="shared" si="212"/>
        <v>3.0799999237060546E-2</v>
      </c>
      <c r="I81" s="123">
        <f t="shared" si="212"/>
        <v>3.6400001049041744E-2</v>
      </c>
      <c r="J81" s="123">
        <f t="shared" si="212"/>
        <v>3.7300000190734865E-2</v>
      </c>
      <c r="K81" s="123">
        <f t="shared" si="212"/>
        <v>4.0099999427795407E-2</v>
      </c>
      <c r="L81" s="123">
        <f t="shared" si="212"/>
        <v>4.4500000953674318E-2</v>
      </c>
      <c r="M81" s="123">
        <f t="shared" si="212"/>
        <v>4.4299999713897704E-2</v>
      </c>
      <c r="N81" s="123">
        <f t="shared" si="212"/>
        <v>4.7099998950958254E-2</v>
      </c>
      <c r="O81" s="123">
        <f t="shared" si="212"/>
        <v>4.8700000762939455E-2</v>
      </c>
      <c r="P81" s="123">
        <f t="shared" si="212"/>
        <v>5.4899999618530274E-2</v>
      </c>
      <c r="Q81" s="123">
        <f t="shared" si="212"/>
        <v>6.2799998283386227E-2</v>
      </c>
      <c r="R81" s="123">
        <f t="shared" si="212"/>
        <v>8.1399998664855949E-2</v>
      </c>
      <c r="S81" s="123">
        <f t="shared" si="212"/>
        <v>9.020000076293945E-2</v>
      </c>
      <c r="T81" s="123">
        <f t="shared" si="212"/>
        <v>9.0700000762939464E-2</v>
      </c>
      <c r="U81" s="123">
        <f t="shared" si="212"/>
        <v>0.10269999885559082</v>
      </c>
      <c r="V81" s="123">
        <f t="shared" si="212"/>
        <v>0.11120000076293945</v>
      </c>
      <c r="W81" s="123">
        <f t="shared" si="212"/>
        <v>0.12370000076293945</v>
      </c>
      <c r="X81" s="123">
        <f t="shared" si="212"/>
        <v>0.13339999961853027</v>
      </c>
      <c r="Y81" s="123">
        <f t="shared" si="212"/>
        <v>0.13610000038146974</v>
      </c>
      <c r="Z81" s="123">
        <f t="shared" si="212"/>
        <v>0.1692999973297119</v>
      </c>
      <c r="AA81" s="123">
        <f t="shared" si="212"/>
        <v>0.27239999961853029</v>
      </c>
      <c r="AB81" s="123">
        <f t="shared" si="212"/>
        <v>0.26100000381469723</v>
      </c>
      <c r="AC81" s="123">
        <f t="shared" si="212"/>
        <v>0.3040000076293945</v>
      </c>
      <c r="AD81" s="123">
        <f t="shared" si="212"/>
        <v>0.38219999313354491</v>
      </c>
      <c r="AE81" s="123">
        <f t="shared" si="212"/>
        <v>0.37419999694824219</v>
      </c>
      <c r="AF81" s="123">
        <f t="shared" si="212"/>
        <v>0.41519998931884766</v>
      </c>
      <c r="AG81" s="123">
        <f t="shared" si="212"/>
        <v>0.43410001373291013</v>
      </c>
      <c r="AH81" s="123">
        <f t="shared" si="212"/>
        <v>0.42939999389648442</v>
      </c>
      <c r="AI81" s="123">
        <f t="shared" si="212"/>
        <v>0.40770001602172856</v>
      </c>
      <c r="AJ81" s="123">
        <f t="shared" si="212"/>
        <v>0.4336999931335449</v>
      </c>
      <c r="AK81" s="123">
        <f t="shared" si="212"/>
        <v>0.40139999771118162</v>
      </c>
      <c r="AL81" s="123">
        <f t="shared" si="212"/>
        <v>0.36640000152587893</v>
      </c>
      <c r="AM81" s="123">
        <f t="shared" si="212"/>
        <v>0.35100000762939454</v>
      </c>
      <c r="AN81" s="123">
        <f t="shared" si="212"/>
        <v>0.45940000915527346</v>
      </c>
      <c r="AO81" s="123">
        <f t="shared" si="212"/>
        <v>0.54690000915527348</v>
      </c>
      <c r="AP81" s="123">
        <f t="shared" si="212"/>
        <v>0.70790999389648435</v>
      </c>
      <c r="AQ81" s="123">
        <f t="shared" si="212"/>
        <v>0.82176000610351574</v>
      </c>
      <c r="AR81" s="123">
        <f t="shared" si="212"/>
        <v>0.85539659790039069</v>
      </c>
      <c r="AS81" s="123">
        <f t="shared" si="212"/>
        <v>1.0523</v>
      </c>
      <c r="AT81" s="123">
        <f t="shared" si="212"/>
        <v>9.6858000000000004</v>
      </c>
      <c r="AU81" s="123">
        <f t="shared" si="212"/>
        <v>59.61918</v>
      </c>
      <c r="AV81" s="123">
        <f t="shared" si="212"/>
        <v>86.580370000000002</v>
      </c>
      <c r="AW81" s="123">
        <f t="shared" si="212"/>
        <v>82.050049999999999</v>
      </c>
      <c r="AX81" s="123">
        <f t="shared" si="212"/>
        <v>102.37</v>
      </c>
      <c r="AY81" s="123">
        <f t="shared" si="212"/>
        <v>141.88200000000001</v>
      </c>
      <c r="AZ81" s="123">
        <f t="shared" si="212"/>
        <v>235.291</v>
      </c>
      <c r="BA81" s="123">
        <f t="shared" si="212"/>
        <v>483.8</v>
      </c>
      <c r="BB81" s="123">
        <f t="shared" si="212"/>
        <v>541.29999999999995</v>
      </c>
      <c r="BC81" s="123">
        <f t="shared" si="212"/>
        <v>709.39509999999996</v>
      </c>
      <c r="BD81" s="123">
        <f t="shared" si="212"/>
        <v>846.66599999999994</v>
      </c>
      <c r="BE81" s="123">
        <f ca="1">BE82+BE83</f>
        <v>917.27085125223743</v>
      </c>
      <c r="BF81" s="123">
        <f t="shared" ref="BF81:BP81" si="213">BF82+BF83</f>
        <v>1207.5</v>
      </c>
      <c r="BG81" s="123">
        <f t="shared" si="213"/>
        <v>1521.2</v>
      </c>
      <c r="BH81" s="123">
        <f t="shared" si="213"/>
        <v>1683.2</v>
      </c>
      <c r="BI81" s="123">
        <f t="shared" si="213"/>
        <v>1832.9</v>
      </c>
      <c r="BJ81" s="123">
        <f t="shared" si="213"/>
        <v>1878.5</v>
      </c>
      <c r="BK81" s="123">
        <f t="shared" si="213"/>
        <v>2667.8</v>
      </c>
      <c r="BL81" s="123">
        <f t="shared" si="213"/>
        <v>3019.1</v>
      </c>
      <c r="BM81" s="123">
        <f t="shared" si="213"/>
        <v>3133.7</v>
      </c>
      <c r="BN81" s="123">
        <f t="shared" si="213"/>
        <v>2859.1</v>
      </c>
      <c r="BO81" s="123">
        <f t="shared" si="213"/>
        <v>2713.9</v>
      </c>
      <c r="BP81" s="123">
        <f t="shared" si="213"/>
        <v>2586</v>
      </c>
      <c r="BQ81" s="123">
        <f t="shared" ref="BQ81:CB81" si="214">BQ82+BQ83</f>
        <v>3544</v>
      </c>
      <c r="BR81" s="123">
        <f t="shared" si="214"/>
        <v>4142</v>
      </c>
      <c r="BS81" s="123">
        <f t="shared" si="214"/>
        <v>4431</v>
      </c>
      <c r="BT81" s="123">
        <f t="shared" si="214"/>
        <v>3098</v>
      </c>
      <c r="BU81" s="123">
        <f t="shared" ca="1" si="214"/>
        <v>10056.718501352243</v>
      </c>
      <c r="BV81" s="123">
        <f t="shared" ca="1" si="214"/>
        <v>9795.3909654408617</v>
      </c>
      <c r="BW81" s="123">
        <f t="shared" ca="1" si="214"/>
        <v>11067.907719745528</v>
      </c>
      <c r="BX81" s="123">
        <f t="shared" ca="1" si="214"/>
        <v>12027.206022320199</v>
      </c>
      <c r="BY81" s="123">
        <f t="shared" ca="1" si="214"/>
        <v>13256.270611845493</v>
      </c>
      <c r="BZ81" s="123">
        <f t="shared" ca="1" si="214"/>
        <v>14746.427551080738</v>
      </c>
      <c r="CA81" s="123">
        <f t="shared" ca="1" si="214"/>
        <v>16559.601468452373</v>
      </c>
      <c r="CB81" s="123">
        <f t="shared" ca="1" si="214"/>
        <v>18811.115795017613</v>
      </c>
      <c r="CC81" s="123">
        <f ca="1">CC82+CC83</f>
        <v>21680.7362675197</v>
      </c>
      <c r="CD81" s="123">
        <f ca="1">CD82+CD83</f>
        <v>25450.924078574491</v>
      </c>
      <c r="CE81" s="123">
        <f ca="1">CE82+CE83</f>
        <v>30580.205739865109</v>
      </c>
      <c r="CF81" s="123">
        <f ca="1">CF82+CF83</f>
        <v>37839.102019050901</v>
      </c>
      <c r="CG81" s="123">
        <f ca="1">CG82+CG83</f>
        <v>48571.671020327551</v>
      </c>
      <c r="CH81" s="141"/>
      <c r="CI81" s="106">
        <f t="shared" si="203"/>
        <v>0</v>
      </c>
      <c r="CJ81" s="106">
        <f t="shared" si="204"/>
        <v>0</v>
      </c>
      <c r="CK81" s="106">
        <f t="shared" si="204"/>
        <v>0</v>
      </c>
      <c r="CL81" s="106">
        <f t="shared" si="204"/>
        <v>0</v>
      </c>
      <c r="CM81" s="106">
        <f t="shared" ca="1" si="204"/>
        <v>346.33056595810376</v>
      </c>
      <c r="CN81" s="106">
        <f t="shared" ca="1" si="204"/>
        <v>350.48958123392913</v>
      </c>
      <c r="CO81" s="106">
        <f t="shared" ca="1" si="204"/>
        <v>325.16980067287113</v>
      </c>
      <c r="CP81" s="106">
        <f t="shared" ca="1" si="204"/>
        <v>184.08653821447479</v>
      </c>
      <c r="CQ81" s="106">
        <f t="shared" ca="1" si="204"/>
        <v>-8.3273679306512349</v>
      </c>
      <c r="CR81" s="106">
        <f t="shared" ca="1" si="204"/>
        <v>342.99670487442745</v>
      </c>
      <c r="CS81" s="106">
        <f t="shared" ca="1" si="204"/>
        <v>201.78516200277227</v>
      </c>
      <c r="CT81" s="106">
        <f t="shared" ca="1" si="204"/>
        <v>-48.722120685757545</v>
      </c>
      <c r="CU81" s="106">
        <f t="shared" ca="1" si="204"/>
        <v>-428.06736886958242</v>
      </c>
      <c r="CV81" s="106">
        <f t="shared" ca="1" si="205"/>
        <v>-999.81740704830736</v>
      </c>
      <c r="CW81" s="106">
        <f t="shared" ca="1" si="206"/>
        <v>-1868.9915987693712</v>
      </c>
      <c r="CX81" s="106">
        <f t="shared" ca="1" si="207"/>
        <v>-3238.5120845589263</v>
      </c>
      <c r="CY81" s="106">
        <f t="shared" ca="1" si="208"/>
        <v>-5499.3340443150519</v>
      </c>
      <c r="CZ81" s="134"/>
      <c r="DA81" s="135">
        <v>3544</v>
      </c>
      <c r="DB81" s="135">
        <v>4142</v>
      </c>
      <c r="DC81" s="135">
        <v>4431</v>
      </c>
      <c r="DD81" s="135">
        <v>3098</v>
      </c>
      <c r="DE81" s="135">
        <v>9710.3879353941393</v>
      </c>
      <c r="DF81" s="135">
        <v>9444.9013842069326</v>
      </c>
      <c r="DG81" s="135">
        <v>10742.737919072657</v>
      </c>
      <c r="DH81" s="135">
        <v>11843.119484105724</v>
      </c>
      <c r="DI81" s="135">
        <v>13264.597979776145</v>
      </c>
      <c r="DJ81" s="135">
        <v>14403.430846206311</v>
      </c>
      <c r="DK81" s="135">
        <v>16357.8163064496</v>
      </c>
      <c r="DL81" s="135">
        <v>18859.837915703371</v>
      </c>
      <c r="DM81" s="135">
        <v>22108.803636389282</v>
      </c>
      <c r="DN81" s="135">
        <v>26450.741485622799</v>
      </c>
      <c r="DO81" s="135">
        <v>32449.19733863448</v>
      </c>
      <c r="DP81" s="135">
        <v>41077.614103609827</v>
      </c>
      <c r="DQ81" s="135">
        <v>54071.005064642603</v>
      </c>
    </row>
    <row r="82" spans="1:121" s="123" customFormat="1">
      <c r="A82" s="170" t="s">
        <v>3100</v>
      </c>
      <c r="B82" s="107"/>
      <c r="C82" s="136" t="s">
        <v>1579</v>
      </c>
      <c r="D82" s="147"/>
      <c r="E82" s="107"/>
      <c r="F82" s="512">
        <f>+mamiabc!F41+mamiabc!F42</f>
        <v>1.12E-2</v>
      </c>
      <c r="G82" s="232">
        <f>+mamiabc!G41+mamiabc!G42</f>
        <v>1.2199999999999999E-2</v>
      </c>
      <c r="H82" s="232">
        <f>+mamiabc!H41+mamiabc!H42</f>
        <v>1.3899999618530274E-2</v>
      </c>
      <c r="I82" s="232">
        <f>+mamiabc!I41+mamiabc!I42</f>
        <v>1.6200000286102294E-2</v>
      </c>
      <c r="J82" s="232">
        <f>+mamiabc!J41+mamiabc!J42</f>
        <v>1.6800000190734864E-2</v>
      </c>
      <c r="K82" s="232">
        <f>+mamiabc!K41+mamiabc!K42</f>
        <v>1.7800000190734862E-2</v>
      </c>
      <c r="L82" s="232">
        <f>+mamiabc!L41+mamiabc!L42</f>
        <v>1.7800000190734862E-2</v>
      </c>
      <c r="M82" s="232">
        <f>+mamiabc!M41+mamiabc!M42</f>
        <v>1.7400000095367432E-2</v>
      </c>
      <c r="N82" s="232">
        <f>+mamiabc!N41+mamiabc!N42</f>
        <v>1.9299999713897707E-2</v>
      </c>
      <c r="O82" s="232">
        <f>+mamiabc!O41+mamiabc!O42</f>
        <v>1.9E-2</v>
      </c>
      <c r="P82" s="232">
        <f>+mamiabc!P41+mamiabc!P42</f>
        <v>2.1399999618530272E-2</v>
      </c>
      <c r="Q82" s="232">
        <f>+mamiabc!Q41+mamiabc!Q42</f>
        <v>2.5199999809265138E-2</v>
      </c>
      <c r="R82" s="232">
        <f>+mamiabc!R41+mamiabc!R42</f>
        <v>4.0099999427795407E-2</v>
      </c>
      <c r="S82" s="232">
        <f>+mamiabc!S41+mamiabc!S42</f>
        <v>4.4700000762939451E-2</v>
      </c>
      <c r="T82" s="232">
        <f>+mamiabc!T41+mamiabc!T42</f>
        <v>4.1799999237060549E-2</v>
      </c>
      <c r="U82" s="232">
        <f>+mamiabc!U41+mamiabc!U42</f>
        <v>4.8600000381469728E-2</v>
      </c>
      <c r="V82" s="232">
        <f>+mamiabc!V41+mamiabc!V42</f>
        <v>5.2100002288818364E-2</v>
      </c>
      <c r="W82" s="232">
        <f>+mamiabc!W41+mamiabc!W42</f>
        <v>5.9700000762939451E-2</v>
      </c>
      <c r="X82" s="232">
        <f>+mamiabc!X41+mamiabc!X42</f>
        <v>6.3999998092651375E-2</v>
      </c>
      <c r="Y82" s="232">
        <f>+mamiabc!Y41+mamiabc!Y42</f>
        <v>5.6100000381469728E-2</v>
      </c>
      <c r="Z82" s="232">
        <f>+mamiabc!Z41+mamiabc!Z42</f>
        <v>5.6100000381469728E-2</v>
      </c>
      <c r="AA82" s="232">
        <f>+mamiabc!AA41+mamiabc!AA42</f>
        <v>4.8399999618530275E-2</v>
      </c>
      <c r="AB82" s="232">
        <f>+mamiabc!AB41+mamiabc!AB42</f>
        <v>6.8399997711181632E-2</v>
      </c>
      <c r="AC82" s="232">
        <f>+mamiabc!AC41+mamiabc!AC42</f>
        <v>8.7400001525878901E-2</v>
      </c>
      <c r="AD82" s="232">
        <f>+mamiabc!AD41+mamiabc!AD42</f>
        <v>0.11729999923706054</v>
      </c>
      <c r="AE82" s="232">
        <f>+mamiabc!AE41+mamiabc!AE42</f>
        <v>0.123</v>
      </c>
      <c r="AF82" s="232">
        <f>+mamiabc!AF41+mamiabc!AF42</f>
        <v>0.14140000152587889</v>
      </c>
      <c r="AG82" s="232">
        <f>+mamiabc!AG41+mamiabc!AG42</f>
        <v>0.13540000152587889</v>
      </c>
      <c r="AH82" s="232">
        <f>+mamiabc!AH41+mamiabc!AH42</f>
        <v>0.1515</v>
      </c>
      <c r="AI82" s="232">
        <f>+mamiabc!AI41+mamiabc!AI42</f>
        <v>0.14850000381469727</v>
      </c>
      <c r="AJ82" s="232">
        <f>+mamiabc!AJ41+mamiabc!AJ42</f>
        <v>0.18849999618530272</v>
      </c>
      <c r="AK82" s="232">
        <f>+mamiabc!AK41+mamiabc!AK42</f>
        <v>0.19739999771118164</v>
      </c>
      <c r="AL82" s="232">
        <f>+mamiabc!AL41+mamiabc!AL42</f>
        <v>0.18840000152587891</v>
      </c>
      <c r="AM82" s="232">
        <f>+mamiabc!AM41+mamiabc!AM42</f>
        <v>0.1947000045776367</v>
      </c>
      <c r="AN82" s="232">
        <f>+mamiabc!AN41+mamiabc!AN42</f>
        <v>0.26060000610351564</v>
      </c>
      <c r="AO82" s="232">
        <f>+mamiabc!AO41+mamiabc!AO42</f>
        <v>0.31690000915527344</v>
      </c>
      <c r="AP82" s="232">
        <f>+mamiabc!AP41+mamiabc!AP42</f>
        <v>0.38939999389648439</v>
      </c>
      <c r="AQ82" s="232">
        <f>+mamiabc!AQ41+mamiabc!AQ42</f>
        <v>0.45560000610351564</v>
      </c>
      <c r="AR82" s="232">
        <f>+mamiabc!AR41+mamiabc!AR42</f>
        <v>0.41885659790039065</v>
      </c>
      <c r="AS82" s="232">
        <f>+mamiabc!AS41+mamiabc!AS42</f>
        <v>0.65349999999999997</v>
      </c>
      <c r="AT82" s="232">
        <f>+mamiabc!AT41+mamiabc!AT42</f>
        <v>5.5880999999999998</v>
      </c>
      <c r="AU82" s="232">
        <f>+mamiabc!AU41+mamiabc!AU42</f>
        <v>34.753</v>
      </c>
      <c r="AV82" s="232">
        <f>+mamiabc!AV41+mamiabc!AV42</f>
        <v>45.752000000000002</v>
      </c>
      <c r="AW82" s="232">
        <f>+mamiabc!AW41+mamiabc!AW42</f>
        <v>50.945</v>
      </c>
      <c r="AX82" s="232">
        <f>+mamiabc!AX41+mamiabc!AX42</f>
        <v>46.97</v>
      </c>
      <c r="AY82" s="232">
        <f>+mamiabc!AY41+mamiabc!AY42</f>
        <v>50.182000000000002</v>
      </c>
      <c r="AZ82" s="232">
        <f>+mamiabc!AZ41+mamiabc!AZ42</f>
        <v>111.39100000000001</v>
      </c>
      <c r="BA82" s="232">
        <f>+mamiabc!BA41+mamiabc!BA42</f>
        <v>216.5</v>
      </c>
      <c r="BB82" s="232">
        <f>+mamiabc!BB41+mamiabc!BB42</f>
        <v>227.4</v>
      </c>
      <c r="BC82" s="232">
        <f>+mamiabc!BC41+mamiabc!BC42</f>
        <v>295.5</v>
      </c>
      <c r="BD82" s="232">
        <f>+mamiabc!BD41+mamiabc!BD42</f>
        <v>399.86599999999999</v>
      </c>
      <c r="BE82" s="232">
        <f ca="1">+mamiabc!BE41+mamiabc!BE42</f>
        <v>419.50406088055854</v>
      </c>
      <c r="BF82" s="108">
        <f>SOURCE!BF322</f>
        <v>591.79999999999995</v>
      </c>
      <c r="BG82" s="108">
        <f>SOURCE!BG322</f>
        <v>767.2</v>
      </c>
      <c r="BH82" s="108">
        <f>SOURCE!BH322</f>
        <v>835.6</v>
      </c>
      <c r="BI82" s="108">
        <f>SOURCE!BI322</f>
        <v>965.4</v>
      </c>
      <c r="BJ82" s="108">
        <f>SOURCE!BJ322</f>
        <v>970.6</v>
      </c>
      <c r="BK82" s="108">
        <f>SOURCE!BK322</f>
        <v>1341</v>
      </c>
      <c r="BL82" s="108">
        <f>SOURCE!BL322</f>
        <v>1584.6</v>
      </c>
      <c r="BM82" s="108">
        <f>SOURCE!BM322</f>
        <v>1686.6</v>
      </c>
      <c r="BN82" s="108">
        <f>SOURCE!BN322</f>
        <v>1450</v>
      </c>
      <c r="BO82" s="108">
        <f>SOURCE!BO322</f>
        <v>1118.5</v>
      </c>
      <c r="BP82" s="108">
        <f>SOURCE!BP322</f>
        <v>1226</v>
      </c>
      <c r="BQ82" s="108">
        <f>SOURCE!BQ322</f>
        <v>2002</v>
      </c>
      <c r="BR82" s="108">
        <f>SOURCE!BR322</f>
        <v>2190</v>
      </c>
      <c r="BS82" s="108">
        <f>SOURCE!BS322</f>
        <v>1979</v>
      </c>
      <c r="BT82" s="108">
        <f>SOURCE!BT322</f>
        <v>1408</v>
      </c>
      <c r="BU82" s="109">
        <f ca="1">(BT82/(BT63+BT64+BT71))*(BU63+BU64+BU71)*(1+Assumptions!BU51/100)</f>
        <v>5729.5884814169649</v>
      </c>
      <c r="BV82" s="109">
        <f ca="1">(BU82/(BU63+BU64+BU71))*(BV63+BV64+BV71)*(1+Assumptions!BV51/100)</f>
        <v>4792.0732790851253</v>
      </c>
      <c r="BW82" s="109">
        <f ca="1">(BV82/(BV63+BV64+BV71))*(BW63+BW64+BW71)*(1+Assumptions!BW51/100)</f>
        <v>5568.4813446458593</v>
      </c>
      <c r="BX82" s="109">
        <f ca="1">(BW82/(BW63+BW64+BW71))*(BX63+BX64+BX71)*(1+Assumptions!BX51/100)</f>
        <v>6098.1642563293053</v>
      </c>
      <c r="BY82" s="109">
        <f ca="1">(BX82/(BX63+BX64+BX71))*(BY63+BY64+BY71)*(1+Assumptions!BY51/100)</f>
        <v>6787.0237047228975</v>
      </c>
      <c r="BZ82" s="109">
        <f ca="1">(BY82/(BY63+BY64+BY71))*(BZ63+BZ64+BZ71)*(1+Assumptions!BZ51/100)</f>
        <v>7631.4143154817521</v>
      </c>
      <c r="CA82" s="109">
        <f ca="1">(BZ82/(BZ63+BZ64+BZ71))*(CA63+CA64+CA71)*(1+Assumptions!CA51/100)</f>
        <v>8673.2579933921243</v>
      </c>
      <c r="CB82" s="109">
        <f ca="1">(CA82/(CA63+CA64+CA71))*(CB63+CB64+CB71)*(1+Assumptions!CB51/100)</f>
        <v>9986.0734079259564</v>
      </c>
      <c r="CC82" s="109">
        <f ca="1">(CB82/(CB63+CB64+CB71))*(CC63+CC64+CC71)*(1+Assumptions!CC51/100)</f>
        <v>11687.817040150894</v>
      </c>
      <c r="CD82" s="109">
        <f ca="1">(CC82/(CC63+CC64+CC71))*(CD63+CD64+CD71)*(1+Assumptions!CD51/100)</f>
        <v>13966.442650390245</v>
      </c>
      <c r="CE82" s="109">
        <f ca="1">(CD82/(CD63+CD64+CD71))*(CE63+CE64+CE71)*(1+Assumptions!CE51/100)</f>
        <v>17131.573161579763</v>
      </c>
      <c r="CF82" s="109">
        <f ca="1">(CE82/(CE63+CE64+CE71))*(CF63+CF64+CF71)*(1+Assumptions!CF51/100)</f>
        <v>21711.101433023508</v>
      </c>
      <c r="CG82" s="109">
        <f ca="1">(CF82/(CF63+CF64+CF71))*(CG63+CG64+CG71)*(1+Assumptions!CG51/100)</f>
        <v>28638.717235952943</v>
      </c>
      <c r="CH82" s="141"/>
      <c r="CI82" s="106">
        <f t="shared" si="203"/>
        <v>0</v>
      </c>
      <c r="CJ82" s="106">
        <f t="shared" si="204"/>
        <v>0</v>
      </c>
      <c r="CK82" s="106">
        <f t="shared" si="204"/>
        <v>0</v>
      </c>
      <c r="CL82" s="106">
        <f t="shared" si="204"/>
        <v>0</v>
      </c>
      <c r="CM82" s="106">
        <f t="shared" ca="1" si="204"/>
        <v>108.25131983874689</v>
      </c>
      <c r="CN82" s="106">
        <f t="shared" ca="1" si="204"/>
        <v>53.800432576002095</v>
      </c>
      <c r="CO82" s="106">
        <f t="shared" ca="1" si="204"/>
        <v>42.253256378377046</v>
      </c>
      <c r="CP82" s="106">
        <f t="shared" ca="1" si="204"/>
        <v>-47.42914615463269</v>
      </c>
      <c r="CQ82" s="106">
        <f t="shared" ca="1" si="204"/>
        <v>-170.60626554797727</v>
      </c>
      <c r="CR82" s="106">
        <f t="shared" ca="1" si="204"/>
        <v>84.56895275730858</v>
      </c>
      <c r="CS82" s="106">
        <f t="shared" ca="1" si="204"/>
        <v>17.503097159393292</v>
      </c>
      <c r="CT82" s="106">
        <f t="shared" ca="1" si="204"/>
        <v>-139.88238920501317</v>
      </c>
      <c r="CU82" s="106">
        <f t="shared" ca="1" si="204"/>
        <v>-373.98325315405964</v>
      </c>
      <c r="CV82" s="106">
        <f t="shared" ca="1" si="205"/>
        <v>-731.69956670339161</v>
      </c>
      <c r="CW82" s="106">
        <f t="shared" ca="1" si="206"/>
        <v>-1285.1175449888033</v>
      </c>
      <c r="CX82" s="106">
        <f t="shared" ca="1" si="207"/>
        <v>-2173.7393163619927</v>
      </c>
      <c r="CY82" s="106">
        <f t="shared" ca="1" si="208"/>
        <v>-3669.4795924934588</v>
      </c>
      <c r="CZ82" s="134"/>
      <c r="DA82" s="135">
        <v>2002</v>
      </c>
      <c r="DB82" s="135">
        <v>2190</v>
      </c>
      <c r="DC82" s="135">
        <v>1979</v>
      </c>
      <c r="DD82" s="135">
        <v>1408</v>
      </c>
      <c r="DE82" s="135">
        <v>5621.337161578218</v>
      </c>
      <c r="DF82" s="135">
        <v>4738.2728465091232</v>
      </c>
      <c r="DG82" s="135">
        <v>5526.2280882674822</v>
      </c>
      <c r="DH82" s="135">
        <v>6145.593402483938</v>
      </c>
      <c r="DI82" s="135">
        <v>6957.6299702708748</v>
      </c>
      <c r="DJ82" s="135">
        <v>7546.8453627244435</v>
      </c>
      <c r="DK82" s="135">
        <v>8655.754896232731</v>
      </c>
      <c r="DL82" s="135">
        <v>10125.95579713097</v>
      </c>
      <c r="DM82" s="135">
        <v>12061.800293304954</v>
      </c>
      <c r="DN82" s="135">
        <v>14698.142217093637</v>
      </c>
      <c r="DO82" s="135">
        <v>18416.690706568566</v>
      </c>
      <c r="DP82" s="135">
        <v>23884.840749385501</v>
      </c>
      <c r="DQ82" s="135">
        <v>32308.196828446402</v>
      </c>
    </row>
    <row r="83" spans="1:121" s="123" customFormat="1">
      <c r="A83" s="170" t="s">
        <v>3101</v>
      </c>
      <c r="B83" s="107"/>
      <c r="C83" s="136" t="s">
        <v>1579</v>
      </c>
      <c r="D83" s="644" t="s">
        <v>1344</v>
      </c>
      <c r="E83" s="171"/>
      <c r="F83" s="513">
        <f>+mamiabc!F39</f>
        <v>1.55E-2</v>
      </c>
      <c r="G83" s="509">
        <f>+mamiabc!G39</f>
        <v>1.52E-2</v>
      </c>
      <c r="H83" s="509">
        <f>+mamiabc!H39</f>
        <v>1.6899999618530274E-2</v>
      </c>
      <c r="I83" s="509">
        <f>+mamiabc!I39</f>
        <v>2.0200000762939454E-2</v>
      </c>
      <c r="J83" s="509">
        <f>+mamiabc!J39</f>
        <v>2.0500000000000001E-2</v>
      </c>
      <c r="K83" s="509">
        <f>+mamiabc!K39</f>
        <v>2.2299999237060546E-2</v>
      </c>
      <c r="L83" s="509">
        <f>+mamiabc!L39</f>
        <v>2.6700000762939453E-2</v>
      </c>
      <c r="M83" s="509">
        <f>+mamiabc!M39</f>
        <v>2.6899999618530273E-2</v>
      </c>
      <c r="N83" s="509">
        <f>+mamiabc!N39</f>
        <v>2.7799999237060547E-2</v>
      </c>
      <c r="O83" s="509">
        <f>+mamiabc!O39</f>
        <v>2.9700000762939452E-2</v>
      </c>
      <c r="P83" s="509">
        <f>+mamiabc!P39</f>
        <v>3.3500000000000002E-2</v>
      </c>
      <c r="Q83" s="509">
        <f>+mamiabc!Q39</f>
        <v>3.7599998474121092E-2</v>
      </c>
      <c r="R83" s="509">
        <f>+mamiabc!R39</f>
        <v>4.1299999237060549E-2</v>
      </c>
      <c r="S83" s="509">
        <f>+mamiabc!S39</f>
        <v>4.5499999999999999E-2</v>
      </c>
      <c r="T83" s="509">
        <f>+mamiabc!T39</f>
        <v>4.8900001525878908E-2</v>
      </c>
      <c r="U83" s="509">
        <f>+mamiabc!U39</f>
        <v>5.4099998474121093E-2</v>
      </c>
      <c r="V83" s="509">
        <f>+mamiabc!V39</f>
        <v>5.909999847412109E-2</v>
      </c>
      <c r="W83" s="509">
        <f>+mamiabc!W39</f>
        <v>6.4000000000000001E-2</v>
      </c>
      <c r="X83" s="509">
        <f>+mamiabc!X39</f>
        <v>6.9400001525878913E-2</v>
      </c>
      <c r="Y83" s="509">
        <f>+mamiabc!Y39</f>
        <v>0.08</v>
      </c>
      <c r="Z83" s="509">
        <f>+mamiabc!Z39</f>
        <v>0.11319999694824219</v>
      </c>
      <c r="AA83" s="509">
        <f>+mamiabc!AA39</f>
        <v>0.224</v>
      </c>
      <c r="AB83" s="509">
        <f>+mamiabc!AB39</f>
        <v>0.19260000610351563</v>
      </c>
      <c r="AC83" s="509">
        <f>+mamiabc!AC39</f>
        <v>0.21660000610351562</v>
      </c>
      <c r="AD83" s="509">
        <f>+mamiabc!AD39</f>
        <v>0.26489999389648439</v>
      </c>
      <c r="AE83" s="509">
        <f>+mamiabc!AE39</f>
        <v>0.25119999694824219</v>
      </c>
      <c r="AF83" s="509">
        <f>+mamiabc!AF39</f>
        <v>0.27379998779296877</v>
      </c>
      <c r="AG83" s="509">
        <f>+mamiabc!AG39</f>
        <v>0.29870001220703124</v>
      </c>
      <c r="AH83" s="509">
        <f>+mamiabc!AH39</f>
        <v>0.2778999938964844</v>
      </c>
      <c r="AI83" s="509">
        <f>+mamiabc!AI39</f>
        <v>0.25920001220703126</v>
      </c>
      <c r="AJ83" s="509">
        <f>+mamiabc!AJ39</f>
        <v>0.24519999694824218</v>
      </c>
      <c r="AK83" s="509">
        <f>+mamiabc!AK39</f>
        <v>0.20399999999999999</v>
      </c>
      <c r="AL83" s="509">
        <f>+mamiabc!AL39</f>
        <v>0.17799999999999999</v>
      </c>
      <c r="AM83" s="509">
        <f>+mamiabc!AM39</f>
        <v>0.15630000305175781</v>
      </c>
      <c r="AN83" s="509">
        <f>+mamiabc!AN39</f>
        <v>0.19880000305175782</v>
      </c>
      <c r="AO83" s="509">
        <f>+mamiabc!AO39</f>
        <v>0.23</v>
      </c>
      <c r="AP83" s="509">
        <f>+mamiabc!AP39</f>
        <v>0.31851000000000002</v>
      </c>
      <c r="AQ83" s="509">
        <f>+mamiabc!AQ39</f>
        <v>0.36616000000000004</v>
      </c>
      <c r="AR83" s="509">
        <f>+mamiabc!AR39</f>
        <v>0.43654000000000004</v>
      </c>
      <c r="AS83" s="509">
        <f>+mamiabc!AS39</f>
        <v>0.39879999999999999</v>
      </c>
      <c r="AT83" s="509">
        <f>+mamiabc!AT39</f>
        <v>4.0976999999999997</v>
      </c>
      <c r="AU83" s="509">
        <f>+mamiabc!AU39</f>
        <v>24.86618</v>
      </c>
      <c r="AV83" s="509">
        <f>+mamiabc!AV39</f>
        <v>40.82837</v>
      </c>
      <c r="AW83" s="509">
        <f>+mamiabc!AW39</f>
        <v>31.105049999999999</v>
      </c>
      <c r="AX83" s="509">
        <f>+mamiabc!AX39</f>
        <v>55.4</v>
      </c>
      <c r="AY83" s="509">
        <f>+mamiabc!AY39</f>
        <v>91.7</v>
      </c>
      <c r="AZ83" s="509">
        <f>+mamiabc!AZ39</f>
        <v>123.9</v>
      </c>
      <c r="BA83" s="509">
        <f>+mamiabc!BA39</f>
        <v>267.3</v>
      </c>
      <c r="BB83" s="509">
        <f>+mamiabc!BB39</f>
        <v>313.89999999999998</v>
      </c>
      <c r="BC83" s="509">
        <f>+mamiabc!BC39</f>
        <v>413.89509999999996</v>
      </c>
      <c r="BD83" s="509">
        <f>+mamiabc!BD39</f>
        <v>446.8</v>
      </c>
      <c r="BE83" s="509">
        <f ca="1">+mamiabc!BE39</f>
        <v>497.76679037167895</v>
      </c>
      <c r="BF83" s="140">
        <f>SOURCE!BF323</f>
        <v>615.70000000000005</v>
      </c>
      <c r="BG83" s="140">
        <f>SOURCE!BG323</f>
        <v>754</v>
      </c>
      <c r="BH83" s="140">
        <f>SOURCE!BH323</f>
        <v>847.6</v>
      </c>
      <c r="BI83" s="140">
        <f>SOURCE!BI323</f>
        <v>867.5</v>
      </c>
      <c r="BJ83" s="140">
        <f>SOURCE!BJ323</f>
        <v>907.9</v>
      </c>
      <c r="BK83" s="140">
        <f>SOURCE!BK323</f>
        <v>1326.8</v>
      </c>
      <c r="BL83" s="140">
        <f>SOURCE!BL323</f>
        <v>1434.5</v>
      </c>
      <c r="BM83" s="140">
        <f>SOURCE!BM323</f>
        <v>1447.1</v>
      </c>
      <c r="BN83" s="140">
        <f>SOURCE!BN323</f>
        <v>1409.1</v>
      </c>
      <c r="BO83" s="140">
        <f>SOURCE!BO323</f>
        <v>1595.4</v>
      </c>
      <c r="BP83" s="140">
        <f>SOURCE!BP323</f>
        <v>1360</v>
      </c>
      <c r="BQ83" s="140">
        <f>SOURCE!BQ323</f>
        <v>1542</v>
      </c>
      <c r="BR83" s="140">
        <f>SOURCE!BR323</f>
        <v>1952</v>
      </c>
      <c r="BS83" s="140">
        <f>SOURCE!BS323</f>
        <v>2452</v>
      </c>
      <c r="BT83" s="140">
        <f>SOURCE!BT323</f>
        <v>1690</v>
      </c>
      <c r="BU83" s="172">
        <f ca="1">(BT83/(BT8+BT12+BT15+BT91))*(BU8+BU12+BU15+BU91)*(1+Assumptions!BU54/100)</f>
        <v>4327.1300199352791</v>
      </c>
      <c r="BV83" s="172">
        <f ca="1">(BU83/(BU8+BU12+BU15+BU91))*(BV8+BV12+BV15+BV91)*(1+Assumptions!BV54/100)</f>
        <v>5003.3176863557364</v>
      </c>
      <c r="BW83" s="172">
        <f ca="1">(BV83/(BV8+BV12+BV15+BV91))*(BW8+BW12+BW15+BW91)*(1+Assumptions!BW54/100)</f>
        <v>5499.4263750996688</v>
      </c>
      <c r="BX83" s="172">
        <f ca="1">(BW83/(BW8+BW12+BW15+BW91))*(BX8+BX12+BX15+BX91)*(1+Assumptions!BX54/100)</f>
        <v>5929.0417659908899</v>
      </c>
      <c r="BY83" s="172">
        <f ca="1">(BX83/(BX8+BX12+BX15+BX91))*(BY8+BY12+BY15+BY91)*(1+Assumptions!BY54/100)</f>
        <v>6469.2469071226005</v>
      </c>
      <c r="BZ83" s="172">
        <f ca="1">(BY83/(BY8+BY12+BY15+BY91))*(BZ8+BZ12+BZ15+BZ91)*(1+Assumptions!BZ54/100)</f>
        <v>7115.0132355990054</v>
      </c>
      <c r="CA83" s="172">
        <f ca="1">(BZ83/(BZ8+BZ12+BZ15+BZ91))*(CA8+CA12+CA15+CA91)*(1+Assumptions!CA54/100)</f>
        <v>7886.3434750602464</v>
      </c>
      <c r="CB83" s="172">
        <f ca="1">(CA83/(CA8+CA12+CA15+CA91))*(CB8+CB12+CB15+CB91)*(1+Assumptions!CB54/100)</f>
        <v>8825.0423870916457</v>
      </c>
      <c r="CC83" s="172">
        <f ca="1">(CB83/(CB8+CB12+CB15+CB91))*(CC8+CC12+CC15+CC91)*(1+Assumptions!CC54/100)</f>
        <v>9992.9192273688241</v>
      </c>
      <c r="CD83" s="172">
        <f ca="1">(CC83/(CC8+CC12+CC15+CC91))*(CD8+CD12+CD15+CD91)*(1+Assumptions!CD54/100)</f>
        <v>11484.481428184234</v>
      </c>
      <c r="CE83" s="172">
        <f ca="1">(CD83/(CD8+CD12+CD15+CD91))*(CE8+CE12+CE15+CE91)*(1+Assumptions!CE54/100)</f>
        <v>13448.63257828524</v>
      </c>
      <c r="CF83" s="172">
        <f ca="1">(CE83/(CE8+CE12+CE15+CE91))*(CF8+CF12+CF15+CF91)*(1+Assumptions!CF54/100)</f>
        <v>16128.000586027398</v>
      </c>
      <c r="CG83" s="172">
        <f ca="1">(CF83/(CF8+CF12+CF15+CF91))*(CG8+CG12+CG15+CG91)*(1+Assumptions!CG54/100)</f>
        <v>19932.953784374607</v>
      </c>
      <c r="CH83" s="252"/>
      <c r="CI83" s="106">
        <f t="shared" si="203"/>
        <v>0</v>
      </c>
      <c r="CJ83" s="106">
        <f t="shared" si="204"/>
        <v>0</v>
      </c>
      <c r="CK83" s="106">
        <f t="shared" si="204"/>
        <v>0</v>
      </c>
      <c r="CL83" s="106">
        <f t="shared" si="204"/>
        <v>0</v>
      </c>
      <c r="CM83" s="106">
        <f t="shared" ca="1" si="204"/>
        <v>238.07924611935914</v>
      </c>
      <c r="CN83" s="106">
        <f t="shared" ca="1" si="204"/>
        <v>296.68914865792976</v>
      </c>
      <c r="CO83" s="106">
        <f t="shared" ca="1" si="204"/>
        <v>282.91654429449773</v>
      </c>
      <c r="CP83" s="106">
        <f t="shared" ca="1" si="204"/>
        <v>231.51568436911111</v>
      </c>
      <c r="CQ83" s="106">
        <f t="shared" ca="1" si="204"/>
        <v>162.27889761733695</v>
      </c>
      <c r="CR83" s="106">
        <f t="shared" ca="1" si="204"/>
        <v>258.42775211713888</v>
      </c>
      <c r="CS83" s="106">
        <f t="shared" ca="1" si="204"/>
        <v>184.28206484340808</v>
      </c>
      <c r="CT83" s="106">
        <f t="shared" ca="1" si="204"/>
        <v>91.160268519264719</v>
      </c>
      <c r="CU83" s="106">
        <f t="shared" ca="1" si="204"/>
        <v>-54.084115715504595</v>
      </c>
      <c r="CV83" s="106">
        <f t="shared" ca="1" si="205"/>
        <v>-268.11784034489574</v>
      </c>
      <c r="CW83" s="106">
        <f t="shared" ca="1" si="206"/>
        <v>-583.87405378060612</v>
      </c>
      <c r="CX83" s="106">
        <f t="shared" ca="1" si="207"/>
        <v>-1064.7727681969318</v>
      </c>
      <c r="CY83" s="106">
        <f t="shared" ca="1" si="208"/>
        <v>-1829.8544518214658</v>
      </c>
      <c r="CZ83" s="134"/>
      <c r="DA83" s="135">
        <v>1542</v>
      </c>
      <c r="DB83" s="135">
        <v>1952</v>
      </c>
      <c r="DC83" s="135">
        <v>2452</v>
      </c>
      <c r="DD83" s="135">
        <v>1690</v>
      </c>
      <c r="DE83" s="135">
        <v>4089.0507738159199</v>
      </c>
      <c r="DF83" s="135">
        <v>4706.6285376978067</v>
      </c>
      <c r="DG83" s="135">
        <v>5216.5098308051711</v>
      </c>
      <c r="DH83" s="135">
        <v>5697.5260816217788</v>
      </c>
      <c r="DI83" s="135">
        <v>6306.9680095052636</v>
      </c>
      <c r="DJ83" s="135">
        <v>6856.5854834818665</v>
      </c>
      <c r="DK83" s="135">
        <v>7702.0614102168383</v>
      </c>
      <c r="DL83" s="135">
        <v>8733.8821185723809</v>
      </c>
      <c r="DM83" s="135">
        <v>10047.003343084329</v>
      </c>
      <c r="DN83" s="135">
        <v>11752.599268529129</v>
      </c>
      <c r="DO83" s="135">
        <v>14032.506632065846</v>
      </c>
      <c r="DP83" s="135">
        <v>17192.77335422433</v>
      </c>
      <c r="DQ83" s="135">
        <v>21762.808236196073</v>
      </c>
    </row>
    <row r="84" spans="1:121" s="123" customFormat="1">
      <c r="A84" s="170" t="s">
        <v>3095</v>
      </c>
      <c r="B84" s="107"/>
      <c r="C84" s="136" t="s">
        <v>1579</v>
      </c>
      <c r="D84" s="147"/>
      <c r="E84" s="107"/>
      <c r="F84" s="513">
        <f>+mamiabc!F37+mamiabc!F38+mamiabc!F43+mamiabc!F44</f>
        <v>2.9000000000000002E-3</v>
      </c>
      <c r="G84" s="509">
        <f>+mamiabc!G37+mamiabc!G38+mamiabc!G43+mamiabc!G44</f>
        <v>3.7000000000000002E-3</v>
      </c>
      <c r="H84" s="509">
        <f>+mamiabc!H37+mamiabc!H38+mamiabc!H43+mamiabc!H44</f>
        <v>3.1919999569654462E-3</v>
      </c>
      <c r="I84" s="509">
        <f>+mamiabc!I37+mamiabc!I38+mamiabc!I43+mamiabc!I44</f>
        <v>3.6159999519586564E-3</v>
      </c>
      <c r="J84" s="509">
        <f>+mamiabc!J37+mamiabc!J38+mamiabc!J43+mamiabc!J44</f>
        <v>1.0579999923706056E-2</v>
      </c>
      <c r="K84" s="509">
        <f>+mamiabc!K37+mamiabc!K38+mamiabc!K43+mamiabc!K44</f>
        <v>1.1524000406265259E-2</v>
      </c>
      <c r="L84" s="509">
        <f>+mamiabc!L37+mamiabc!L38+mamiabc!L43+mamiabc!L44</f>
        <v>1.52319997549057E-2</v>
      </c>
      <c r="M84" s="509">
        <f>+mamiabc!M37+mamiabc!M38+mamiabc!M43+mamiabc!M44</f>
        <v>9.4000000953674313E-3</v>
      </c>
      <c r="N84" s="509">
        <f>+mamiabc!N37+mamiabc!N38+mamiabc!N43+mamiabc!N44</f>
        <v>1.8747999906539917E-2</v>
      </c>
      <c r="O84" s="509">
        <f>+mamiabc!O37+mamiabc!O38+mamiabc!O43+mamiabc!O44</f>
        <v>9.972000062465668E-3</v>
      </c>
      <c r="P84" s="509">
        <f>+mamiabc!P37+mamiabc!P38+mamiabc!P43+mamiabc!P44</f>
        <v>1.7683999657630921E-2</v>
      </c>
      <c r="Q84" s="509">
        <f>+mamiabc!Q37+mamiabc!Q38+mamiabc!Q43+mamiabc!Q44</f>
        <v>7.1279999017715458E-3</v>
      </c>
      <c r="R84" s="509">
        <f>+mamiabc!R37+mamiabc!R38+mamiabc!R43+mamiabc!R44</f>
        <v>7.5679998695850374E-3</v>
      </c>
      <c r="S84" s="509">
        <f>+mamiabc!S37+mamiabc!S38+mamiabc!S43+mamiabc!S44</f>
        <v>1.0435999751091003E-2</v>
      </c>
      <c r="T84" s="509">
        <f>+mamiabc!T37+mamiabc!T38+mamiabc!T43+mamiabc!T44</f>
        <v>1.111600023508072E-2</v>
      </c>
      <c r="U84" s="509">
        <f>+mamiabc!U37+mamiabc!U38+mamiabc!U43+mamiabc!U44</f>
        <v>1.1575999855995178E-2</v>
      </c>
      <c r="V84" s="509">
        <f>+mamiabc!V37+mamiabc!V38+mamiabc!V43+mamiabc!V44</f>
        <v>1.2420000314712524E-2</v>
      </c>
      <c r="W84" s="509">
        <f>+mamiabc!W37+mamiabc!W38+mamiabc!W43+mamiabc!W44</f>
        <v>1.6299999952316284E-2</v>
      </c>
      <c r="X84" s="509">
        <f>+mamiabc!X37+mamiabc!X38+mamiabc!X43+mamiabc!X44</f>
        <v>2.6540000677108766E-2</v>
      </c>
      <c r="Y84" s="509">
        <f>+mamiabc!Y37+mamiabc!Y38+mamiabc!Y43+mamiabc!Y44</f>
        <v>2.7899999260902406E-2</v>
      </c>
      <c r="Z84" s="509">
        <f>+mamiabc!Z37+mamiabc!Z38+mamiabc!Z43+mamiabc!Z44</f>
        <v>1.7799999952316285E-2</v>
      </c>
      <c r="AA84" s="509">
        <f>+mamiabc!AA37+mamiabc!AA38+mamiabc!AA43+mamiabc!AA44</f>
        <v>2.2800000667572023E-2</v>
      </c>
      <c r="AB84" s="509">
        <f>+mamiabc!AB37+mamiabc!AB38+mamiabc!AB43+mamiabc!AB44</f>
        <v>2.919999921321869E-2</v>
      </c>
      <c r="AC84" s="509">
        <f>+mamiabc!AC37+mamiabc!AC38+mamiabc!AC43+mamiabc!AC44</f>
        <v>1.9700000286102293E-2</v>
      </c>
      <c r="AD84" s="509">
        <f>+mamiabc!AD37+mamiabc!AD38+mamiabc!AD43+mamiabc!AD44</f>
        <v>2.3799999237060547E-2</v>
      </c>
      <c r="AE84" s="509">
        <f>+mamiabc!AE37+mamiabc!AE38+mamiabc!AE43+mamiabc!AE44</f>
        <v>2.9399999618530275E-2</v>
      </c>
      <c r="AF84" s="509">
        <f>+mamiabc!AF37+mamiabc!AF38+mamiabc!AF43+mamiabc!AF44</f>
        <v>3.8296099662780761E-2</v>
      </c>
      <c r="AG84" s="509">
        <f>+mamiabc!AG37+mamiabc!AG38+mamiabc!AG43+mamiabc!AG44</f>
        <v>4.4663000106811526E-2</v>
      </c>
      <c r="AH84" s="509">
        <f>+mamiabc!AH37+mamiabc!AH38+mamiabc!AH43+mamiabc!AH44</f>
        <v>8.5629896879196171E-2</v>
      </c>
      <c r="AI84" s="509">
        <f>+mamiabc!AI37+mamiabc!AI38+mamiabc!AI43+mamiabc!AI44</f>
        <v>7.6796802282333376E-2</v>
      </c>
      <c r="AJ84" s="509">
        <f>+mamiabc!AJ37+mamiabc!AJ38+mamiabc!AJ43+mamiabc!AJ44</f>
        <v>7.1861699581146243E-2</v>
      </c>
      <c r="AK84" s="509">
        <f>+mamiabc!AK37+mamiabc!AK38+mamiabc!AK43+mamiabc!AK44</f>
        <v>6.3759900093078609E-2</v>
      </c>
      <c r="AL84" s="509">
        <f>+mamiabc!AL37+mamiabc!AL38+mamiabc!AL43+mamiabc!AL44</f>
        <v>7.3461298465728755E-2</v>
      </c>
      <c r="AM84" s="509">
        <f>+mamiabc!AM37+mamiabc!AM38+mamiabc!AM43+mamiabc!AM44</f>
        <v>0.1023000020980835</v>
      </c>
      <c r="AN84" s="509">
        <f>+mamiabc!AN37+mamiabc!AN38+mamiabc!AN43+mamiabc!AN44</f>
        <v>0.10600000047683715</v>
      </c>
      <c r="AO84" s="509">
        <f>+mamiabc!AO37+mamiabc!AO38+mamiabc!AO43+mamiabc!AO44</f>
        <v>0.12979999780654908</v>
      </c>
      <c r="AP84" s="509">
        <f>+mamiabc!AP37+mamiabc!AP38+mamiabc!AP43+mamiabc!AP44</f>
        <v>0.19489999389648438</v>
      </c>
      <c r="AQ84" s="509">
        <f>+mamiabc!AQ37+mamiabc!AQ38+mamiabc!AQ43+mamiabc!AQ44</f>
        <v>0.18490000152587888</v>
      </c>
      <c r="AR84" s="509">
        <f>+mamiabc!AR37+mamiabc!AR38+mamiabc!AR43+mamiabc!AR44</f>
        <v>0.22900000000000001</v>
      </c>
      <c r="AS84" s="509">
        <f>+mamiabc!AS37+mamiabc!AS38+mamiabc!AS43+mamiabc!AS44</f>
        <v>0.44399999999999995</v>
      </c>
      <c r="AT84" s="509">
        <f>+mamiabc!AT37+mamiabc!AT38+mamiabc!AT43+mamiabc!AT44</f>
        <v>1.413</v>
      </c>
      <c r="AU84" s="509">
        <f>+mamiabc!AU37+mamiabc!AU38+mamiabc!AU43+mamiabc!AU44</f>
        <v>10.705</v>
      </c>
      <c r="AV84" s="509">
        <f>+mamiabc!AV37+mamiabc!AV38+mamiabc!AV43+mamiabc!AV44</f>
        <v>15.547999999999998</v>
      </c>
      <c r="AW84" s="509">
        <f>+mamiabc!AW37+mamiabc!AW38+mamiabc!AW43+mamiabc!AW44</f>
        <v>12.015000000000002</v>
      </c>
      <c r="AX84" s="509">
        <f>+mamiabc!AX37+mamiabc!AX38+mamiabc!AX43+mamiabc!AX44</f>
        <v>25.266759060992001</v>
      </c>
      <c r="AY84" s="509">
        <f>+mamiabc!AY37+mamiabc!AY38+mamiabc!AY43+mamiabc!AY44</f>
        <v>21.080141449124493</v>
      </c>
      <c r="AZ84" s="509">
        <f>+mamiabc!AZ37+mamiabc!AZ38+mamiabc!AZ43+mamiabc!AZ44</f>
        <v>66.546810640166129</v>
      </c>
      <c r="BA84" s="509">
        <f>+mamiabc!BA37+mamiabc!BA38+mamiabc!BA43+mamiabc!BA44</f>
        <v>142.68505153193504</v>
      </c>
      <c r="BB84" s="509">
        <f>+mamiabc!BB37+mamiabc!BB38+mamiabc!BB43+mamiabc!BB44</f>
        <v>97.074185360695552</v>
      </c>
      <c r="BC84" s="509">
        <f>+mamiabc!BC37+mamiabc!BC38+mamiabc!BC43+mamiabc!BC44</f>
        <v>172.35843409968999</v>
      </c>
      <c r="BD84" s="509">
        <f>+mamiabc!BD37+mamiabc!BD38+mamiabc!BD43+mamiabc!BD44</f>
        <v>194.51440904061394</v>
      </c>
      <c r="BE84" s="509">
        <f ca="1">+mamiabc!BE37+mamiabc!BE38+mamiabc!BE43+mamiabc!BE44</f>
        <v>270.12002624668486</v>
      </c>
      <c r="BF84" s="108">
        <f>SOURCE!BF324</f>
        <v>372.8</v>
      </c>
      <c r="BG84" s="108">
        <f>SOURCE!BG324</f>
        <v>423.6</v>
      </c>
      <c r="BH84" s="108">
        <f>SOURCE!BH324</f>
        <v>428</v>
      </c>
      <c r="BI84" s="108">
        <f>SOURCE!BI324</f>
        <v>757.7</v>
      </c>
      <c r="BJ84" s="108">
        <f>SOURCE!BJ324</f>
        <v>578.5</v>
      </c>
      <c r="BK84" s="108">
        <f>SOURCE!BK324</f>
        <v>754.3</v>
      </c>
      <c r="BL84" s="108">
        <f>SOURCE!BL324</f>
        <v>1005.4</v>
      </c>
      <c r="BM84" s="108">
        <f>SOURCE!BM324</f>
        <v>826.6</v>
      </c>
      <c r="BN84" s="108">
        <f>SOURCE!BN324</f>
        <v>891.8</v>
      </c>
      <c r="BO84" s="108">
        <f>SOURCE!BO324</f>
        <v>684.8</v>
      </c>
      <c r="BP84" s="108">
        <f>SOURCE!BP324</f>
        <v>933</v>
      </c>
      <c r="BQ84" s="108">
        <f>SOURCE!BQ324</f>
        <v>1570</v>
      </c>
      <c r="BR84" s="108">
        <f>SOURCE!BR324</f>
        <v>1828</v>
      </c>
      <c r="BS84" s="108">
        <f>SOURCE!BS324</f>
        <v>1979</v>
      </c>
      <c r="BT84" s="108">
        <f>SOURCE!BT324</f>
        <v>1408</v>
      </c>
      <c r="BU84" s="172">
        <f ca="1">BT84*(1+BU48/100)*(1+Assumptions!BU36/100)</f>
        <v>3353.5123829070844</v>
      </c>
      <c r="BV84" s="172">
        <f ca="1">BU84*(1+BV48/100)*(1+Assumptions!BV36/100)</f>
        <v>6650.6384656010032</v>
      </c>
      <c r="BW84" s="172">
        <f ca="1">BV84*(1+BW48/100)*(1+Assumptions!BW36/100)</f>
        <v>4241.8555874337662</v>
      </c>
      <c r="BX84" s="172">
        <f ca="1">BW84*(1+BX48/100)*(1+Assumptions!BX36/100)</f>
        <v>4591.9275668953669</v>
      </c>
      <c r="BY84" s="172">
        <f ca="1">BX84*(1+BY48/100)*(1+Assumptions!BY36/100)</f>
        <v>5017.8019832750488</v>
      </c>
      <c r="BZ84" s="172">
        <f ca="1">BY84*(1+BZ48/100)*(1+Assumptions!BZ36/100)</f>
        <v>5521.5186190161048</v>
      </c>
      <c r="CA84" s="172">
        <f ca="1">BZ84*(1+CA48/100)*(1+Assumptions!CA36/100)</f>
        <v>6118.1049837426144</v>
      </c>
      <c r="CB84" s="172">
        <f ca="1">CA84*(1+CB48/100)*(1+Assumptions!CB36/100)</f>
        <v>6837.2994628156457</v>
      </c>
      <c r="CC84" s="172">
        <f ca="1">CB84*(1+CC48/100)*(1+Assumptions!CC36/100)</f>
        <v>7721.3141746026713</v>
      </c>
      <c r="CD84" s="172">
        <f ca="1">CC84*(1+CD48/100)*(1+Assumptions!CD36/100)</f>
        <v>8833.5172273258486</v>
      </c>
      <c r="CE84" s="172">
        <f ca="1">CD84*(1+CE48/100)*(1+Assumptions!CE36/100)</f>
        <v>10271.635445121849</v>
      </c>
      <c r="CF84" s="172">
        <f ca="1">CE84*(1+CF48/100)*(1+Assumptions!CF36/100)</f>
        <v>12191.304050322426</v>
      </c>
      <c r="CG84" s="172">
        <f ca="1">CF84*(1+CG48/100)*(1+Assumptions!CG36/100)</f>
        <v>14849.605041887369</v>
      </c>
      <c r="CH84" s="141"/>
      <c r="CI84" s="106">
        <f t="shared" si="203"/>
        <v>0</v>
      </c>
      <c r="CJ84" s="106">
        <f t="shared" si="204"/>
        <v>0</v>
      </c>
      <c r="CK84" s="106">
        <f t="shared" si="204"/>
        <v>0</v>
      </c>
      <c r="CL84" s="106">
        <f t="shared" si="204"/>
        <v>0</v>
      </c>
      <c r="CM84" s="106">
        <f t="shared" ca="1" si="204"/>
        <v>268.83153457654817</v>
      </c>
      <c r="CN84" s="106">
        <f t="shared" ca="1" si="204"/>
        <v>748.95406741026545</v>
      </c>
      <c r="CO84" s="106">
        <f t="shared" ca="1" si="204"/>
        <v>490.57077764274254</v>
      </c>
      <c r="CP84" s="106">
        <f t="shared" ca="1" si="204"/>
        <v>516.37254100060136</v>
      </c>
      <c r="CQ84" s="106">
        <f t="shared" ca="1" si="204"/>
        <v>538.89984802316758</v>
      </c>
      <c r="CR84" s="106">
        <f t="shared" ca="1" si="204"/>
        <v>556.81550815600531</v>
      </c>
      <c r="CS84" s="106">
        <f t="shared" ca="1" si="204"/>
        <v>592.39970843820174</v>
      </c>
      <c r="CT84" s="106">
        <f t="shared" ca="1" si="204"/>
        <v>648.85297525476471</v>
      </c>
      <c r="CU84" s="106">
        <f t="shared" ca="1" si="204"/>
        <v>691.39123052227296</v>
      </c>
      <c r="CV84" s="106">
        <f t="shared" ca="1" si="205"/>
        <v>721.54625186986141</v>
      </c>
      <c r="CW84" s="106">
        <f t="shared" ca="1" si="206"/>
        <v>733.38884249448893</v>
      </c>
      <c r="CX84" s="106">
        <f t="shared" ca="1" si="207"/>
        <v>710.71192258193332</v>
      </c>
      <c r="CY84" s="106">
        <f t="shared" ca="1" si="208"/>
        <v>620.14751269550652</v>
      </c>
      <c r="CZ84" s="134"/>
      <c r="DA84" s="135">
        <v>1570</v>
      </c>
      <c r="DB84" s="135">
        <v>1828</v>
      </c>
      <c r="DC84" s="135">
        <v>1979</v>
      </c>
      <c r="DD84" s="135">
        <v>1408</v>
      </c>
      <c r="DE84" s="135">
        <v>3084.6808483305363</v>
      </c>
      <c r="DF84" s="135">
        <v>5901.6843981907377</v>
      </c>
      <c r="DG84" s="135">
        <v>3751.2848097910237</v>
      </c>
      <c r="DH84" s="135">
        <v>4075.5550258947655</v>
      </c>
      <c r="DI84" s="135">
        <v>4478.9021352518812</v>
      </c>
      <c r="DJ84" s="135">
        <v>4964.7031108600995</v>
      </c>
      <c r="DK84" s="135">
        <v>5525.7052753044127</v>
      </c>
      <c r="DL84" s="135">
        <v>6188.446487560881</v>
      </c>
      <c r="DM84" s="135">
        <v>7029.9229440803983</v>
      </c>
      <c r="DN84" s="135">
        <v>8111.9709754559872</v>
      </c>
      <c r="DO84" s="135">
        <v>9538.2466026273596</v>
      </c>
      <c r="DP84" s="135">
        <v>11480.592127740492</v>
      </c>
      <c r="DQ84" s="135">
        <v>14229.457529191863</v>
      </c>
    </row>
    <row r="85" spans="1:121" s="123" customFormat="1">
      <c r="A85" s="170" t="s">
        <v>3145</v>
      </c>
      <c r="B85" s="107"/>
      <c r="C85" s="136" t="s">
        <v>1579</v>
      </c>
      <c r="D85" s="645"/>
      <c r="E85" s="173"/>
      <c r="F85" s="509">
        <f>+mamiabc!F44+mamiabc!F47</f>
        <v>2E-3</v>
      </c>
      <c r="G85" s="509">
        <f>+mamiabc!G44+mamiabc!G47</f>
        <v>1.6000000000000001E-3</v>
      </c>
      <c r="H85" s="509">
        <f>+mamiabc!H44+mamiabc!H47</f>
        <v>4.9000000953674317E-3</v>
      </c>
      <c r="I85" s="509">
        <f>+mamiabc!I44+mamiabc!I47</f>
        <v>6.8000001907348633E-3</v>
      </c>
      <c r="J85" s="509">
        <f>+mamiabc!J44+mamiabc!J47</f>
        <v>4.6999998092651365E-3</v>
      </c>
      <c r="K85" s="509">
        <f>+mamiabc!K44+mamiabc!K47</f>
        <v>5.4999999999999997E-3</v>
      </c>
      <c r="L85" s="509">
        <f>+mamiabc!L44+mamiabc!L47</f>
        <v>6.3000001907348637E-3</v>
      </c>
      <c r="M85" s="509">
        <f>+mamiabc!M44+mamiabc!M47</f>
        <v>8.3000001907348638E-3</v>
      </c>
      <c r="N85" s="509">
        <f>+mamiabc!N44+mamiabc!N47</f>
        <v>7.3000001907348629E-3</v>
      </c>
      <c r="O85" s="509">
        <f>+mamiabc!O44+mamiabc!O47</f>
        <v>1.2999999999999999E-2</v>
      </c>
      <c r="P85" s="509">
        <f>+mamiabc!P44+mamiabc!P47</f>
        <v>6.0999999046325686E-3</v>
      </c>
      <c r="Q85" s="509">
        <f>+mamiabc!Q44+mamiabc!Q47</f>
        <v>6.0000000000000001E-3</v>
      </c>
      <c r="R85" s="509">
        <f>+mamiabc!R44+mamiabc!R47</f>
        <v>1.2500000000000001E-2</v>
      </c>
      <c r="S85" s="509">
        <f>+mamiabc!S44+mamiabc!S47</f>
        <v>1.2999999999999999E-2</v>
      </c>
      <c r="T85" s="509">
        <f>+mamiabc!T44+mamiabc!T47</f>
        <v>1.2399999618530274E-2</v>
      </c>
      <c r="U85" s="509">
        <f>+mamiabc!U44+mamiabc!U47</f>
        <v>2.0399999618530274E-2</v>
      </c>
      <c r="V85" s="509">
        <f>+mamiabc!V44+mamiabc!V47</f>
        <v>2.3899999618530274E-2</v>
      </c>
      <c r="W85" s="509">
        <f>+mamiabc!W44+mamiabc!W47</f>
        <v>2.4200000762939454E-2</v>
      </c>
      <c r="X85" s="509">
        <f>+mamiabc!X44+mamiabc!X47</f>
        <v>2.2899999618530273E-2</v>
      </c>
      <c r="Y85" s="509">
        <f>+mamiabc!Y44+mamiabc!Y47</f>
        <v>2.4299999237060547E-2</v>
      </c>
      <c r="Z85" s="509">
        <f>+mamiabc!Z44+mamiabc!Z47</f>
        <v>4.0700000762939455E-2</v>
      </c>
      <c r="AA85" s="509">
        <f>+mamiabc!AA44+mamiabc!AA47</f>
        <v>5.6000000000000001E-2</v>
      </c>
      <c r="AB85" s="509">
        <f>+mamiabc!AB44+mamiabc!AB47</f>
        <v>0.15919999694824219</v>
      </c>
      <c r="AC85" s="509">
        <f>+mamiabc!AC44+mamiabc!AC47</f>
        <v>0.13839999389648439</v>
      </c>
      <c r="AD85" s="509">
        <f>+mamiabc!AD44+mamiabc!AD47</f>
        <v>9.8900001525878911E-2</v>
      </c>
      <c r="AE85" s="509">
        <f>+mamiabc!AE44+mamiabc!AE47</f>
        <v>0.14399999999999999</v>
      </c>
      <c r="AF85" s="509">
        <f>+mamiabc!AF44+mamiabc!AF47</f>
        <v>0.13155450439453126</v>
      </c>
      <c r="AG85" s="509">
        <f>+mamiabc!AG44+mamiabc!AG47</f>
        <v>0.16903950500488282</v>
      </c>
      <c r="AH85" s="509">
        <f>+mamiabc!AH44+mamiabc!AH47</f>
        <v>0.1729665069580078</v>
      </c>
      <c r="AI85" s="509">
        <f>+mamiabc!AI44+mamiabc!AI47</f>
        <v>4.4625000953674313E-3</v>
      </c>
      <c r="AJ85" s="509">
        <f>+mamiabc!AJ44+mamiabc!AJ47</f>
        <v>3.5999999046325685E-3</v>
      </c>
      <c r="AK85" s="509">
        <f>+mamiabc!AK44+mamiabc!AK47</f>
        <v>4.0000000000000001E-3</v>
      </c>
      <c r="AL85" s="509">
        <f>+mamiabc!AL44+mamiabc!AL47</f>
        <v>2E-3</v>
      </c>
      <c r="AM85" s="509">
        <f>+mamiabc!AM44+mamiabc!AM47</f>
        <v>8.199999809265137E-3</v>
      </c>
      <c r="AN85" s="509">
        <f>+mamiabc!AN44+mamiabc!AN47</f>
        <v>1.9E-2</v>
      </c>
      <c r="AO85" s="509">
        <f>+mamiabc!AO44+mamiabc!AO47</f>
        <v>4.2999999999999997E-2</v>
      </c>
      <c r="AP85" s="509">
        <f>+mamiabc!AP44+mamiabc!AP47</f>
        <v>6.1399999999999996E-2</v>
      </c>
      <c r="AQ85" s="509">
        <f>+mamiabc!AQ44+mamiabc!AQ47</f>
        <v>3.44E-2</v>
      </c>
      <c r="AR85" s="509">
        <f>+mamiabc!AR44+mamiabc!AR47</f>
        <v>5.96E-2</v>
      </c>
      <c r="AS85" s="509">
        <f>+mamiabc!AS44+mamiabc!AS47</f>
        <v>0.42699999999999999</v>
      </c>
      <c r="AT85" s="509">
        <f>+mamiabc!AT44+mamiabc!AT47</f>
        <v>1.4037999999999999</v>
      </c>
      <c r="AU85" s="509">
        <f>+mamiabc!AU44+mamiabc!AU47</f>
        <v>9.3406000000000002</v>
      </c>
      <c r="AV85" s="509">
        <f>+mamiabc!AV44+mamiabc!AV47</f>
        <v>43.279000000000003</v>
      </c>
      <c r="AW85" s="509">
        <f>+mamiabc!AW44+mamiabc!AW47</f>
        <v>28.643000000000001</v>
      </c>
      <c r="AX85" s="509">
        <f>+mamiabc!AX44+mamiabc!AX47</f>
        <v>26.466000000000001</v>
      </c>
      <c r="AY85" s="509">
        <f>+mamiabc!AY44+mamiabc!AY47</f>
        <v>20.3</v>
      </c>
      <c r="AZ85" s="509">
        <f>+mamiabc!AZ44+mamiabc!AZ47</f>
        <v>22.5</v>
      </c>
      <c r="BA85" s="509">
        <f>+mamiabc!BA44+mamiabc!BA47</f>
        <v>22.5</v>
      </c>
      <c r="BB85" s="509">
        <f>+mamiabc!BB44+mamiabc!BB47</f>
        <v>29.998000000000001</v>
      </c>
      <c r="BC85" s="509">
        <f>+mamiabc!BC44+mamiabc!BC47</f>
        <v>11.341100000000001</v>
      </c>
      <c r="BD85" s="509">
        <f>+mamiabc!BD44+mamiabc!BD47</f>
        <v>55.545000000000002</v>
      </c>
      <c r="BE85" s="509">
        <f>+mamiabc!BE44+mamiabc!BE47</f>
        <v>55.545000000000002</v>
      </c>
      <c r="BF85" s="140">
        <f>SOURCE!BF326</f>
        <v>159.69999999999999</v>
      </c>
      <c r="BG85" s="140">
        <f>SOURCE!BG326</f>
        <v>423.2</v>
      </c>
      <c r="BH85" s="140">
        <f>SOURCE!BH326</f>
        <v>243.6</v>
      </c>
      <c r="BI85" s="140">
        <f>SOURCE!BI326</f>
        <v>354.1</v>
      </c>
      <c r="BJ85" s="140">
        <f>SOURCE!BJ326</f>
        <v>149.1</v>
      </c>
      <c r="BK85" s="140">
        <f>SOURCE!BK326</f>
        <v>115.4</v>
      </c>
      <c r="BL85" s="140">
        <f>SOURCE!BL326</f>
        <v>0</v>
      </c>
      <c r="BM85" s="140">
        <f>SOURCE!BM326</f>
        <v>0</v>
      </c>
      <c r="BN85" s="140">
        <f>SOURCE!BN326</f>
        <v>0</v>
      </c>
      <c r="BO85" s="140">
        <f>SOURCE!BO326</f>
        <v>0</v>
      </c>
      <c r="BP85" s="140">
        <f>SOURCE!BP326</f>
        <v>0</v>
      </c>
      <c r="BQ85" s="140">
        <f>SOURCE!BQ326</f>
        <v>0</v>
      </c>
      <c r="BR85" s="140">
        <f>SOURCE!BR326</f>
        <v>0</v>
      </c>
      <c r="BS85" s="140">
        <f>SOURCE!BS326</f>
        <v>0</v>
      </c>
      <c r="BT85" s="140">
        <f>SOURCE!BT326</f>
        <v>0</v>
      </c>
      <c r="BU85" s="172">
        <f t="shared" ref="BU85:BZ85" si="215">BT85</f>
        <v>0</v>
      </c>
      <c r="BV85" s="172">
        <f t="shared" si="215"/>
        <v>0</v>
      </c>
      <c r="BW85" s="172">
        <f t="shared" si="215"/>
        <v>0</v>
      </c>
      <c r="BX85" s="172">
        <f t="shared" si="215"/>
        <v>0</v>
      </c>
      <c r="BY85" s="172">
        <f t="shared" si="215"/>
        <v>0</v>
      </c>
      <c r="BZ85" s="172">
        <f t="shared" si="215"/>
        <v>0</v>
      </c>
      <c r="CA85" s="172">
        <f t="shared" ref="CA85:CG85" si="216">BZ85</f>
        <v>0</v>
      </c>
      <c r="CB85" s="172">
        <f t="shared" si="216"/>
        <v>0</v>
      </c>
      <c r="CC85" s="172">
        <f t="shared" si="216"/>
        <v>0</v>
      </c>
      <c r="CD85" s="172">
        <f t="shared" si="216"/>
        <v>0</v>
      </c>
      <c r="CE85" s="172">
        <f t="shared" si="216"/>
        <v>0</v>
      </c>
      <c r="CF85" s="172">
        <f t="shared" si="216"/>
        <v>0</v>
      </c>
      <c r="CG85" s="172">
        <f t="shared" si="216"/>
        <v>0</v>
      </c>
      <c r="CH85" s="141"/>
      <c r="CI85" s="106">
        <f t="shared" si="203"/>
        <v>0</v>
      </c>
      <c r="CJ85" s="106">
        <f t="shared" ref="CJ85:CR85" si="217">BR85-DB85</f>
        <v>0</v>
      </c>
      <c r="CK85" s="106">
        <f t="shared" si="217"/>
        <v>0</v>
      </c>
      <c r="CL85" s="106">
        <f t="shared" si="217"/>
        <v>0</v>
      </c>
      <c r="CM85" s="106">
        <f t="shared" si="217"/>
        <v>0</v>
      </c>
      <c r="CN85" s="106">
        <f t="shared" si="217"/>
        <v>0</v>
      </c>
      <c r="CO85" s="106">
        <f t="shared" si="217"/>
        <v>0</v>
      </c>
      <c r="CP85" s="106">
        <f t="shared" si="217"/>
        <v>0</v>
      </c>
      <c r="CQ85" s="106">
        <f t="shared" si="217"/>
        <v>0</v>
      </c>
      <c r="CR85" s="106">
        <f t="shared" si="217"/>
        <v>0</v>
      </c>
      <c r="CS85" s="106">
        <f>CA85-DK85</f>
        <v>0</v>
      </c>
      <c r="CT85" s="106">
        <f>CB85-DL85</f>
        <v>0</v>
      </c>
      <c r="CU85" s="106">
        <f>CC85-DM85</f>
        <v>0</v>
      </c>
      <c r="CV85" s="106">
        <f t="shared" si="205"/>
        <v>0</v>
      </c>
      <c r="CW85" s="106">
        <f t="shared" si="206"/>
        <v>0</v>
      </c>
      <c r="CX85" s="106">
        <f t="shared" si="207"/>
        <v>0</v>
      </c>
      <c r="CY85" s="106">
        <f t="shared" si="208"/>
        <v>0</v>
      </c>
      <c r="CZ85" s="134"/>
      <c r="DA85" s="135">
        <v>0</v>
      </c>
      <c r="DB85" s="135">
        <v>0</v>
      </c>
      <c r="DC85" s="135">
        <v>0</v>
      </c>
      <c r="DD85" s="135">
        <v>0</v>
      </c>
      <c r="DE85" s="135">
        <v>0</v>
      </c>
      <c r="DF85" s="135">
        <v>0</v>
      </c>
      <c r="DG85" s="135">
        <v>0</v>
      </c>
      <c r="DH85" s="135">
        <v>0</v>
      </c>
      <c r="DI85" s="135">
        <v>0</v>
      </c>
      <c r="DJ85" s="135">
        <v>0</v>
      </c>
      <c r="DK85" s="135">
        <v>0</v>
      </c>
      <c r="DL85" s="135">
        <v>0</v>
      </c>
      <c r="DM85" s="135">
        <v>0</v>
      </c>
      <c r="DN85" s="135">
        <v>0</v>
      </c>
      <c r="DO85" s="135">
        <v>0</v>
      </c>
      <c r="DP85" s="135">
        <v>0</v>
      </c>
      <c r="DQ85" s="135">
        <v>0</v>
      </c>
    </row>
    <row r="86" spans="1:121">
      <c r="A86" s="174" t="s">
        <v>1884</v>
      </c>
      <c r="B86" s="175"/>
      <c r="C86" s="176"/>
      <c r="D86" s="641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434" t="s">
        <v>1344</v>
      </c>
      <c r="BR86" s="177"/>
      <c r="BS86" s="177"/>
      <c r="BT86" s="177"/>
      <c r="BU86" s="177"/>
      <c r="BV86" s="177"/>
      <c r="BW86" s="177"/>
      <c r="BX86" s="177"/>
      <c r="BY86" s="177"/>
      <c r="BZ86" s="177"/>
      <c r="CA86" s="177"/>
      <c r="CB86" s="177"/>
      <c r="CC86" s="177"/>
      <c r="CD86" s="177"/>
      <c r="CE86" s="177"/>
      <c r="CF86" s="177"/>
      <c r="CG86" s="17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DA86" s="104" t="s">
        <v>1344</v>
      </c>
    </row>
    <row r="87" spans="1:121" s="168" customFormat="1">
      <c r="A87" s="167" t="s">
        <v>2968</v>
      </c>
      <c r="B87" s="166"/>
      <c r="C87" s="167" t="s">
        <v>1579</v>
      </c>
      <c r="D87" s="147"/>
      <c r="E87" s="166"/>
      <c r="F87" s="168">
        <f t="shared" ref="F87:BC87" si="218">+F88+F97+F98</f>
        <v>4.2700000000000002E-2</v>
      </c>
      <c r="G87" s="168">
        <f t="shared" si="218"/>
        <v>4.9599999999999998E-2</v>
      </c>
      <c r="H87" s="168">
        <f t="shared" si="218"/>
        <v>5.0230967819690706E-2</v>
      </c>
      <c r="I87" s="168">
        <f t="shared" si="218"/>
        <v>6.0649734914302825E-2</v>
      </c>
      <c r="J87" s="168">
        <f t="shared" si="218"/>
        <v>7.0334572285413746E-2</v>
      </c>
      <c r="K87" s="168">
        <f t="shared" si="218"/>
        <v>7.5054157555103307E-2</v>
      </c>
      <c r="L87" s="168">
        <f t="shared" si="218"/>
        <v>9.3149152874946586E-2</v>
      </c>
      <c r="M87" s="168">
        <f t="shared" si="218"/>
        <v>0.10010407483577728</v>
      </c>
      <c r="N87" s="168">
        <f t="shared" si="218"/>
        <v>0.104575650036335</v>
      </c>
      <c r="O87" s="168">
        <f t="shared" si="218"/>
        <v>0.10286446791887284</v>
      </c>
      <c r="P87" s="168">
        <f t="shared" si="218"/>
        <v>0.11000896447896959</v>
      </c>
      <c r="Q87" s="168">
        <f t="shared" si="218"/>
        <v>0.11806919693946838</v>
      </c>
      <c r="R87" s="168">
        <f t="shared" si="218"/>
        <v>0.13460540032386778</v>
      </c>
      <c r="S87" s="168">
        <f t="shared" si="218"/>
        <v>0.14854909908771516</v>
      </c>
      <c r="T87" s="168">
        <f t="shared" si="218"/>
        <v>0.15414340192079545</v>
      </c>
      <c r="U87" s="168">
        <f t="shared" si="218"/>
        <v>0.1680454998612404</v>
      </c>
      <c r="V87" s="168">
        <f t="shared" si="218"/>
        <v>0.18605889737606049</v>
      </c>
      <c r="W87" s="168">
        <f t="shared" si="218"/>
        <v>0.20128410047292708</v>
      </c>
      <c r="X87" s="168">
        <f t="shared" si="218"/>
        <v>0.21111570320278406</v>
      </c>
      <c r="Y87" s="168">
        <f t="shared" si="218"/>
        <v>0.21991649971157312</v>
      </c>
      <c r="Z87" s="168">
        <f t="shared" si="218"/>
        <v>0.27087099456787112</v>
      </c>
      <c r="AA87" s="168">
        <f t="shared" si="218"/>
        <v>0.32254999768733983</v>
      </c>
      <c r="AB87" s="168">
        <f t="shared" si="218"/>
        <v>0.38323000562191006</v>
      </c>
      <c r="AC87" s="168">
        <f t="shared" si="218"/>
        <v>0.53555999982357028</v>
      </c>
      <c r="AD87" s="168">
        <f t="shared" si="218"/>
        <v>0.57943999767303467</v>
      </c>
      <c r="AE87" s="168">
        <f t="shared" si="218"/>
        <v>0.54455999410152445</v>
      </c>
      <c r="AF87" s="168">
        <f t="shared" si="218"/>
        <v>0.56990000343322755</v>
      </c>
      <c r="AG87" s="168">
        <f t="shared" si="218"/>
        <v>0.73779999732971191</v>
      </c>
      <c r="AH87" s="168">
        <f t="shared" si="218"/>
        <v>0.81319999313354496</v>
      </c>
      <c r="AI87" s="168">
        <f t="shared" si="218"/>
        <v>0.80550000381469733</v>
      </c>
      <c r="AJ87" s="168">
        <f t="shared" si="218"/>
        <v>0.78210000801086432</v>
      </c>
      <c r="AK87" s="168">
        <f t="shared" si="218"/>
        <v>0.81669999694824214</v>
      </c>
      <c r="AL87" s="168">
        <f t="shared" si="218"/>
        <v>0.8550999984741211</v>
      </c>
      <c r="AM87" s="168">
        <f t="shared" si="218"/>
        <v>0.85979999923706063</v>
      </c>
      <c r="AN87" s="168">
        <f t="shared" si="218"/>
        <v>1.0075999984741211</v>
      </c>
      <c r="AO87" s="168">
        <f t="shared" si="218"/>
        <v>0.99580000305175764</v>
      </c>
      <c r="AP87" s="168">
        <f t="shared" si="218"/>
        <v>1.1102400000000001</v>
      </c>
      <c r="AQ87" s="168">
        <f t="shared" si="218"/>
        <v>1.63558</v>
      </c>
      <c r="AR87" s="168">
        <f t="shared" si="218"/>
        <v>1.7906299999999997</v>
      </c>
      <c r="AS87" s="168">
        <f t="shared" si="218"/>
        <v>2.67333</v>
      </c>
      <c r="AT87" s="168">
        <f t="shared" si="218"/>
        <v>15.9909</v>
      </c>
      <c r="AU87" s="168">
        <f t="shared" si="218"/>
        <v>150.0127242236025</v>
      </c>
      <c r="AV87" s="168">
        <f t="shared" si="218"/>
        <v>132.86632799999998</v>
      </c>
      <c r="AW87" s="168">
        <f t="shared" si="218"/>
        <v>137.976936016</v>
      </c>
      <c r="AX87" s="168">
        <f t="shared" si="218"/>
        <v>230.40885906099194</v>
      </c>
      <c r="AY87" s="168">
        <f t="shared" si="218"/>
        <v>281.4856414491245</v>
      </c>
      <c r="AZ87" s="168">
        <f t="shared" si="218"/>
        <v>522.85068564016626</v>
      </c>
      <c r="BA87" s="168">
        <f t="shared" si="218"/>
        <v>803.044051531935</v>
      </c>
      <c r="BB87" s="168">
        <f t="shared" si="218"/>
        <v>1035.7577103606957</v>
      </c>
      <c r="BC87" s="168">
        <f t="shared" si="218"/>
        <v>1112.8870590996898</v>
      </c>
      <c r="BD87" s="168">
        <f ca="1">+BD88+BD97+BD98</f>
        <v>1328.7403145685942</v>
      </c>
      <c r="BE87" s="168">
        <f ca="1">+BE88+BE97+BE98</f>
        <v>1457.7255240216875</v>
      </c>
      <c r="BF87" s="168">
        <f t="shared" ref="BF87:BQ87" si="219">+BF88+BF97+BF98</f>
        <v>1772.4000000000003</v>
      </c>
      <c r="BG87" s="168">
        <f t="shared" si="219"/>
        <v>2017.1000000000001</v>
      </c>
      <c r="BH87" s="168">
        <f t="shared" si="219"/>
        <v>2209.6999999999998</v>
      </c>
      <c r="BI87" s="168">
        <f t="shared" si="219"/>
        <v>2859.5000000000005</v>
      </c>
      <c r="BJ87" s="168">
        <f t="shared" si="219"/>
        <v>2955.4000000000005</v>
      </c>
      <c r="BK87" s="168">
        <f t="shared" si="219"/>
        <v>3551.1000000000004</v>
      </c>
      <c r="BL87" s="168">
        <f t="shared" si="219"/>
        <v>4410.5999999999995</v>
      </c>
      <c r="BM87" s="168">
        <f t="shared" si="219"/>
        <v>4728.5</v>
      </c>
      <c r="BN87" s="168">
        <f t="shared" si="219"/>
        <v>5196.7</v>
      </c>
      <c r="BO87" s="168">
        <f t="shared" si="219"/>
        <v>5075.7000000000007</v>
      </c>
      <c r="BP87" s="168">
        <f t="shared" si="219"/>
        <v>5612</v>
      </c>
      <c r="BQ87" s="168">
        <f t="shared" si="219"/>
        <v>7484.5</v>
      </c>
      <c r="BR87" s="168">
        <f t="shared" ref="BR87:CB87" si="220">+BR88+BR97+BR98</f>
        <v>8023</v>
      </c>
      <c r="BS87" s="168">
        <f t="shared" si="220"/>
        <v>10424</v>
      </c>
      <c r="BT87" s="168">
        <f t="shared" si="220"/>
        <v>9546</v>
      </c>
      <c r="BU87" s="168">
        <f t="shared" ca="1" si="220"/>
        <v>15260.617683563441</v>
      </c>
      <c r="BV87" s="168">
        <f t="shared" ca="1" si="220"/>
        <v>16326.447179450601</v>
      </c>
      <c r="BW87" s="168">
        <f t="shared" ca="1" si="220"/>
        <v>17870.294010623511</v>
      </c>
      <c r="BX87" s="168">
        <f t="shared" ca="1" si="220"/>
        <v>19347.404133899079</v>
      </c>
      <c r="BY87" s="168">
        <f t="shared" ca="1" si="220"/>
        <v>21310.776174945411</v>
      </c>
      <c r="BZ87" s="168">
        <f t="shared" ca="1" si="220"/>
        <v>23733.033009337654</v>
      </c>
      <c r="CA87" s="168">
        <f t="shared" ca="1" si="220"/>
        <v>26723.87272779104</v>
      </c>
      <c r="CB87" s="168">
        <f t="shared" ca="1" si="220"/>
        <v>30496.518181586387</v>
      </c>
      <c r="CC87" s="168">
        <f ca="1">+CC88+CC97+CC98</f>
        <v>35349.750565332608</v>
      </c>
      <c r="CD87" s="168">
        <f ca="1">+CD88+CD97+CD98</f>
        <v>41739.794750078181</v>
      </c>
      <c r="CE87" s="168">
        <f ca="1">+CE88+CE97+CE98</f>
        <v>50379.854730794046</v>
      </c>
      <c r="CF87" s="168">
        <f ca="1">+CF88+CF97+CF98</f>
        <v>62420.688610245328</v>
      </c>
      <c r="CG87" s="168">
        <f ca="1">+CG88+CG97+CG98</f>
        <v>79786.646194835106</v>
      </c>
      <c r="CH87" s="100"/>
      <c r="CI87" s="105">
        <f t="shared" ref="CI87:CI98" si="221">BQ87-DA87</f>
        <v>0</v>
      </c>
      <c r="CJ87" s="105">
        <f t="shared" ref="CJ87:CU96" si="222">BR87-DB87</f>
        <v>0</v>
      </c>
      <c r="CK87" s="105">
        <f t="shared" si="222"/>
        <v>0</v>
      </c>
      <c r="CL87" s="105">
        <f t="shared" si="222"/>
        <v>0</v>
      </c>
      <c r="CM87" s="105">
        <f t="shared" ca="1" si="222"/>
        <v>-3063.8473165533924</v>
      </c>
      <c r="CN87" s="105">
        <f t="shared" ca="1" si="222"/>
        <v>-2855.2182537483477</v>
      </c>
      <c r="CO87" s="105">
        <f t="shared" ca="1" si="222"/>
        <v>-3053.0292372594849</v>
      </c>
      <c r="CP87" s="105">
        <f t="shared" ca="1" si="222"/>
        <v>-3398.1112187044891</v>
      </c>
      <c r="CQ87" s="105">
        <f t="shared" ca="1" si="222"/>
        <v>-3830.4760954966878</v>
      </c>
      <c r="CR87" s="105">
        <f t="shared" ca="1" si="222"/>
        <v>-369.86916680424838</v>
      </c>
      <c r="CS87" s="105">
        <f t="shared" ca="1" si="222"/>
        <v>-730.75071553682574</v>
      </c>
      <c r="CT87" s="105">
        <f t="shared" ca="1" si="222"/>
        <v>-1084.0056306793267</v>
      </c>
      <c r="CU87" s="105">
        <f t="shared" ca="1" si="222"/>
        <v>-1780.7260192920949</v>
      </c>
      <c r="CV87" s="105">
        <f t="shared" ref="CV87:CV98" ca="1" si="223">CD87-DN87</f>
        <v>-2869.6741784275728</v>
      </c>
      <c r="CW87" s="105">
        <f t="shared" ref="CW87:CW98" ca="1" si="224">CE87-DO87</f>
        <v>-4549.4298903825547</v>
      </c>
      <c r="CX87" s="105">
        <f t="shared" ref="CX87:CX98" ca="1" si="225">CF87-DP87</f>
        <v>-7192.9479630730493</v>
      </c>
      <c r="CY87" s="105">
        <f t="shared" ref="CY87:CY98" ca="1" si="226">CG87-DQ87</f>
        <v>-11479.881804296427</v>
      </c>
      <c r="CZ87" s="169"/>
      <c r="DA87" s="387">
        <v>7484.5</v>
      </c>
      <c r="DB87" s="387">
        <v>8023</v>
      </c>
      <c r="DC87" s="387">
        <v>10424</v>
      </c>
      <c r="DD87" s="387">
        <v>9546</v>
      </c>
      <c r="DE87" s="387">
        <v>18324.465000116834</v>
      </c>
      <c r="DF87" s="387">
        <v>19181.665433198948</v>
      </c>
      <c r="DG87" s="387">
        <v>20923.323247882996</v>
      </c>
      <c r="DH87" s="387">
        <v>22745.515352603568</v>
      </c>
      <c r="DI87" s="387">
        <v>25141.252270442099</v>
      </c>
      <c r="DJ87" s="387">
        <v>24102.902176141903</v>
      </c>
      <c r="DK87" s="387">
        <v>27454.623443327866</v>
      </c>
      <c r="DL87" s="387">
        <v>31580.523812265714</v>
      </c>
      <c r="DM87" s="387">
        <v>37130.476584624703</v>
      </c>
      <c r="DN87" s="387">
        <v>44609.468928505754</v>
      </c>
      <c r="DO87" s="387">
        <v>54929.284621176601</v>
      </c>
      <c r="DP87" s="387">
        <v>69613.636573318377</v>
      </c>
      <c r="DQ87" s="387">
        <v>91266.527999131533</v>
      </c>
    </row>
    <row r="88" spans="1:121" s="123" customFormat="1">
      <c r="A88" s="138" t="s">
        <v>3102</v>
      </c>
      <c r="B88" s="107"/>
      <c r="C88" s="136" t="s">
        <v>1579</v>
      </c>
      <c r="D88" s="147"/>
      <c r="E88" s="107"/>
      <c r="F88" s="123">
        <f t="shared" ref="F88:BC88" si="227">+F89+F96</f>
        <v>3.9699999999999999E-2</v>
      </c>
      <c r="G88" s="123">
        <f t="shared" si="227"/>
        <v>4.6800000000000001E-2</v>
      </c>
      <c r="H88" s="123">
        <f t="shared" si="227"/>
        <v>4.363096791505814E-2</v>
      </c>
      <c r="I88" s="123">
        <f t="shared" si="227"/>
        <v>5.1849734723567964E-2</v>
      </c>
      <c r="J88" s="123">
        <f t="shared" si="227"/>
        <v>6.0634572476148611E-2</v>
      </c>
      <c r="K88" s="123">
        <f t="shared" si="227"/>
        <v>6.1454157173633575E-2</v>
      </c>
      <c r="L88" s="123">
        <f t="shared" si="227"/>
        <v>7.2849153637886035E-2</v>
      </c>
      <c r="M88" s="123">
        <f t="shared" si="227"/>
        <v>8.2304075598716733E-2</v>
      </c>
      <c r="N88" s="123">
        <f t="shared" si="227"/>
        <v>8.9575650036334997E-2</v>
      </c>
      <c r="O88" s="123">
        <f t="shared" si="227"/>
        <v>8.8964468300342561E-2</v>
      </c>
      <c r="P88" s="123">
        <f t="shared" si="227"/>
        <v>9.6008964478969588E-2</v>
      </c>
      <c r="Q88" s="123">
        <f t="shared" si="227"/>
        <v>0.10196919655799866</v>
      </c>
      <c r="R88" s="123">
        <f t="shared" si="227"/>
        <v>0.11280540108680724</v>
      </c>
      <c r="S88" s="123">
        <f t="shared" si="227"/>
        <v>0.12404909908771515</v>
      </c>
      <c r="T88" s="123">
        <f t="shared" si="227"/>
        <v>0.1353434026837349</v>
      </c>
      <c r="U88" s="123">
        <f t="shared" si="227"/>
        <v>0.14374550062417984</v>
      </c>
      <c r="V88" s="123">
        <f t="shared" si="227"/>
        <v>0.15455889737606049</v>
      </c>
      <c r="W88" s="123">
        <f t="shared" si="227"/>
        <v>0.17288410085439682</v>
      </c>
      <c r="X88" s="123">
        <f t="shared" si="227"/>
        <v>0.17021570167690514</v>
      </c>
      <c r="Y88" s="123">
        <f t="shared" si="227"/>
        <v>0.17851649818569421</v>
      </c>
      <c r="Z88" s="123">
        <f t="shared" si="227"/>
        <v>0.22757099533081054</v>
      </c>
      <c r="AA88" s="123">
        <f t="shared" si="227"/>
        <v>0.24913999402523043</v>
      </c>
      <c r="AB88" s="123">
        <f t="shared" si="227"/>
        <v>0.26297000348567962</v>
      </c>
      <c r="AC88" s="123">
        <f t="shared" si="227"/>
        <v>0.39784999310970309</v>
      </c>
      <c r="AD88" s="123">
        <f t="shared" si="227"/>
        <v>0.44029000377655031</v>
      </c>
      <c r="AE88" s="123">
        <f t="shared" si="227"/>
        <v>0.40884998738765721</v>
      </c>
      <c r="AF88" s="123">
        <f t="shared" si="227"/>
        <v>0.44140999794006353</v>
      </c>
      <c r="AG88" s="123">
        <f t="shared" si="227"/>
        <v>0.56226000404357912</v>
      </c>
      <c r="AH88" s="123">
        <f t="shared" si="227"/>
        <v>0.62825999069213878</v>
      </c>
      <c r="AI88" s="123">
        <f t="shared" si="227"/>
        <v>0.68605000686645512</v>
      </c>
      <c r="AJ88" s="123">
        <f t="shared" si="227"/>
        <v>0.69700000953674324</v>
      </c>
      <c r="AK88" s="123">
        <f t="shared" si="227"/>
        <v>0.76080999755859369</v>
      </c>
      <c r="AL88" s="123">
        <f t="shared" si="227"/>
        <v>0.81425999832153317</v>
      </c>
      <c r="AM88" s="123">
        <f t="shared" si="227"/>
        <v>0.81679999923706059</v>
      </c>
      <c r="AN88" s="123">
        <f t="shared" si="227"/>
        <v>0.98059999847412105</v>
      </c>
      <c r="AO88" s="123">
        <f t="shared" si="227"/>
        <v>0.91580000305175768</v>
      </c>
      <c r="AP88" s="123">
        <f t="shared" si="227"/>
        <v>1.0163800000000001</v>
      </c>
      <c r="AQ88" s="123">
        <f t="shared" si="227"/>
        <v>1.5180200000000001</v>
      </c>
      <c r="AR88" s="123">
        <f t="shared" si="227"/>
        <v>1.6740799999999998</v>
      </c>
      <c r="AS88" s="123">
        <f t="shared" si="227"/>
        <v>2.2738900000000002</v>
      </c>
      <c r="AT88" s="123">
        <f t="shared" si="227"/>
        <v>8.8120399999999997</v>
      </c>
      <c r="AU88" s="123">
        <f t="shared" si="227"/>
        <v>64.264134223602497</v>
      </c>
      <c r="AV88" s="123">
        <f t="shared" si="227"/>
        <v>84.388477999999992</v>
      </c>
      <c r="AW88" s="123">
        <f t="shared" si="227"/>
        <v>84.325316016000002</v>
      </c>
      <c r="AX88" s="123">
        <f t="shared" si="227"/>
        <v>181.27985906099195</v>
      </c>
      <c r="AY88" s="123">
        <f t="shared" si="227"/>
        <v>238.10264144912449</v>
      </c>
      <c r="AZ88" s="123">
        <f t="shared" si="227"/>
        <v>495.35068564016626</v>
      </c>
      <c r="BA88" s="123">
        <f t="shared" si="227"/>
        <v>763.84605153193502</v>
      </c>
      <c r="BB88" s="123">
        <f t="shared" si="227"/>
        <v>967.80471036069559</v>
      </c>
      <c r="BC88" s="123">
        <f t="shared" si="227"/>
        <v>1065.2200590996899</v>
      </c>
      <c r="BD88" s="123">
        <f ca="1">+BD89+BD96</f>
        <v>1230.5373668064881</v>
      </c>
      <c r="BE88" s="123">
        <f ca="1">+BE89+BE96</f>
        <v>1355.1458146821587</v>
      </c>
      <c r="BF88" s="123">
        <f t="shared" ref="BF88:BO88" si="228">+BF89+BF96</f>
        <v>1466.7000000000003</v>
      </c>
      <c r="BG88" s="123">
        <f t="shared" si="228"/>
        <v>1662.1000000000001</v>
      </c>
      <c r="BH88" s="123">
        <f t="shared" si="228"/>
        <v>1743.6999999999998</v>
      </c>
      <c r="BI88" s="123">
        <f t="shared" si="228"/>
        <v>2253.1000000000004</v>
      </c>
      <c r="BJ88" s="123">
        <f t="shared" si="228"/>
        <v>2402.7000000000003</v>
      </c>
      <c r="BK88" s="123">
        <f t="shared" si="228"/>
        <v>2854.2000000000003</v>
      </c>
      <c r="BL88" s="123">
        <f t="shared" si="228"/>
        <v>3681.2</v>
      </c>
      <c r="BM88" s="123">
        <f t="shared" si="228"/>
        <v>3972.5</v>
      </c>
      <c r="BN88" s="123">
        <f t="shared" si="228"/>
        <v>4303.7</v>
      </c>
      <c r="BO88" s="123">
        <f t="shared" si="228"/>
        <v>4641.6000000000004</v>
      </c>
      <c r="BP88" s="123">
        <f t="shared" ref="BP88:CB88" si="229">+BP89+BP96</f>
        <v>4876</v>
      </c>
      <c r="BQ88" s="123">
        <f t="shared" si="229"/>
        <v>6247.5</v>
      </c>
      <c r="BR88" s="123">
        <f t="shared" si="229"/>
        <v>6803</v>
      </c>
      <c r="BS88" s="123">
        <f t="shared" si="229"/>
        <v>9421</v>
      </c>
      <c r="BT88" s="123">
        <f t="shared" si="229"/>
        <v>8543</v>
      </c>
      <c r="BU88" s="123">
        <f t="shared" ca="1" si="229"/>
        <v>11424.937683563441</v>
      </c>
      <c r="BV88" s="123">
        <f t="shared" ca="1" si="229"/>
        <v>12490.7671794506</v>
      </c>
      <c r="BW88" s="123">
        <f t="shared" ca="1" si="229"/>
        <v>14034.614010623513</v>
      </c>
      <c r="BX88" s="123">
        <f t="shared" ca="1" si="229"/>
        <v>15511.724133899081</v>
      </c>
      <c r="BY88" s="123">
        <f t="shared" ca="1" si="229"/>
        <v>17475.096174945411</v>
      </c>
      <c r="BZ88" s="123">
        <f t="shared" ca="1" si="229"/>
        <v>19897.353009337661</v>
      </c>
      <c r="CA88" s="123">
        <f t="shared" ca="1" si="229"/>
        <v>22888.192727791033</v>
      </c>
      <c r="CB88" s="123">
        <f t="shared" ca="1" si="229"/>
        <v>26660.838181586372</v>
      </c>
      <c r="CC88" s="123">
        <f ca="1">+CC89+CC96</f>
        <v>31514.070565332611</v>
      </c>
      <c r="CD88" s="123">
        <f ca="1">+CD89+CD96</f>
        <v>37904.114750078174</v>
      </c>
      <c r="CE88" s="123">
        <f ca="1">+CE89+CE96</f>
        <v>46544.17473079398</v>
      </c>
      <c r="CF88" s="123">
        <f ca="1">+CF89+CF96</f>
        <v>58585.008610245335</v>
      </c>
      <c r="CG88" s="123">
        <f ca="1">+CG89+CG96</f>
        <v>75950.966194835128</v>
      </c>
      <c r="CH88" s="141"/>
      <c r="CI88" s="106">
        <f t="shared" si="221"/>
        <v>0</v>
      </c>
      <c r="CJ88" s="106">
        <f t="shared" si="222"/>
        <v>0</v>
      </c>
      <c r="CK88" s="106">
        <f t="shared" si="222"/>
        <v>0</v>
      </c>
      <c r="CL88" s="106">
        <f t="shared" si="222"/>
        <v>0</v>
      </c>
      <c r="CM88" s="106">
        <f t="shared" ca="1" si="222"/>
        <v>289.75268344660799</v>
      </c>
      <c r="CN88" s="106">
        <f t="shared" ca="1" si="222"/>
        <v>498.38174625165266</v>
      </c>
      <c r="CO88" s="106">
        <f t="shared" ca="1" si="222"/>
        <v>300.57076274051906</v>
      </c>
      <c r="CP88" s="106">
        <f t="shared" ca="1" si="222"/>
        <v>-44.511218704485145</v>
      </c>
      <c r="CQ88" s="106">
        <f t="shared" ca="1" si="222"/>
        <v>-476.87609549669651</v>
      </c>
      <c r="CR88" s="106">
        <f t="shared" ca="1" si="222"/>
        <v>-849.32916680424387</v>
      </c>
      <c r="CS88" s="106">
        <f t="shared" ca="1" si="222"/>
        <v>-1210.2107155368321</v>
      </c>
      <c r="CT88" s="106">
        <f t="shared" ca="1" si="222"/>
        <v>-1563.465630679344</v>
      </c>
      <c r="CU88" s="106">
        <f t="shared" ca="1" si="222"/>
        <v>-2260.1860192921122</v>
      </c>
      <c r="CV88" s="106">
        <f t="shared" ca="1" si="223"/>
        <v>-3349.1341784275646</v>
      </c>
      <c r="CW88" s="106">
        <f t="shared" ca="1" si="224"/>
        <v>-5028.8898903826193</v>
      </c>
      <c r="CX88" s="106">
        <f t="shared" ca="1" si="225"/>
        <v>-7672.4079630730994</v>
      </c>
      <c r="CY88" s="106">
        <f t="shared" ca="1" si="226"/>
        <v>-11959.341804296419</v>
      </c>
      <c r="CZ88" s="134"/>
      <c r="DA88" s="135">
        <v>6247.5</v>
      </c>
      <c r="DB88" s="135">
        <v>6803</v>
      </c>
      <c r="DC88" s="135">
        <v>9421</v>
      </c>
      <c r="DD88" s="135">
        <v>8543</v>
      </c>
      <c r="DE88" s="135">
        <v>11135.185000116833</v>
      </c>
      <c r="DF88" s="135">
        <v>11992.385433198948</v>
      </c>
      <c r="DG88" s="135">
        <v>13734.043247882993</v>
      </c>
      <c r="DH88" s="135">
        <v>15556.235352603566</v>
      </c>
      <c r="DI88" s="135">
        <v>17951.972270442107</v>
      </c>
      <c r="DJ88" s="135">
        <v>20746.682176141905</v>
      </c>
      <c r="DK88" s="135">
        <v>24098.403443327865</v>
      </c>
      <c r="DL88" s="135">
        <v>28224.303812265716</v>
      </c>
      <c r="DM88" s="135">
        <v>33774.256584624723</v>
      </c>
      <c r="DN88" s="135">
        <v>41253.248928505738</v>
      </c>
      <c r="DO88" s="135">
        <v>51573.0646211766</v>
      </c>
      <c r="DP88" s="135">
        <v>66257.416573318435</v>
      </c>
      <c r="DQ88" s="135">
        <v>87910.307999131546</v>
      </c>
    </row>
    <row r="89" spans="1:121" s="123" customFormat="1">
      <c r="A89" s="142" t="s">
        <v>3103</v>
      </c>
      <c r="B89" s="107"/>
      <c r="C89" s="136" t="s">
        <v>1579</v>
      </c>
      <c r="D89" s="147"/>
      <c r="E89" s="107"/>
      <c r="F89" s="123">
        <f t="shared" ref="F89:BC89" si="230">+F90+F91+F92</f>
        <v>3.56E-2</v>
      </c>
      <c r="G89" s="123">
        <f t="shared" si="230"/>
        <v>4.2099999999999999E-2</v>
      </c>
      <c r="H89" s="123">
        <f t="shared" si="230"/>
        <v>3.8801720857620244E-2</v>
      </c>
      <c r="I89" s="123">
        <f t="shared" si="230"/>
        <v>4.5859941959381104E-2</v>
      </c>
      <c r="J89" s="123">
        <f t="shared" si="230"/>
        <v>5.3881241798400883E-2</v>
      </c>
      <c r="K89" s="123">
        <f t="shared" si="230"/>
        <v>5.4163751602172849E-2</v>
      </c>
      <c r="L89" s="123">
        <f t="shared" si="230"/>
        <v>6.4029672622680653E-2</v>
      </c>
      <c r="M89" s="123">
        <f t="shared" si="230"/>
        <v>7.2258819103240959E-2</v>
      </c>
      <c r="N89" s="123">
        <f t="shared" si="230"/>
        <v>7.9128698348999021E-2</v>
      </c>
      <c r="O89" s="123">
        <f t="shared" si="230"/>
        <v>7.8554929256439213E-2</v>
      </c>
      <c r="P89" s="123">
        <f t="shared" si="230"/>
        <v>8.4646187305450454E-2</v>
      </c>
      <c r="Q89" s="123">
        <f t="shared" si="230"/>
        <v>8.924499702453613E-2</v>
      </c>
      <c r="R89" s="123">
        <f t="shared" si="230"/>
        <v>9.8645001411437977E-2</v>
      </c>
      <c r="S89" s="123">
        <f t="shared" si="230"/>
        <v>0.10979999876022339</v>
      </c>
      <c r="T89" s="123">
        <f t="shared" si="230"/>
        <v>0.12002500247955322</v>
      </c>
      <c r="U89" s="123">
        <f t="shared" si="230"/>
        <v>0.12581000041961671</v>
      </c>
      <c r="V89" s="123">
        <f t="shared" si="230"/>
        <v>0.13403999805450439</v>
      </c>
      <c r="W89" s="123">
        <f t="shared" si="230"/>
        <v>0.15260500049591064</v>
      </c>
      <c r="X89" s="123">
        <f t="shared" si="230"/>
        <v>0.1459000015258789</v>
      </c>
      <c r="Y89" s="123">
        <f t="shared" si="230"/>
        <v>0.15449999809265136</v>
      </c>
      <c r="Z89" s="123">
        <f t="shared" si="230"/>
        <v>0.19879999542236329</v>
      </c>
      <c r="AA89" s="123">
        <f t="shared" si="230"/>
        <v>0.22803999328613284</v>
      </c>
      <c r="AB89" s="123">
        <f t="shared" si="230"/>
        <v>0.25297000312805173</v>
      </c>
      <c r="AC89" s="123">
        <f t="shared" si="230"/>
        <v>0.37154999351501466</v>
      </c>
      <c r="AD89" s="123">
        <f t="shared" si="230"/>
        <v>0.3998900032043457</v>
      </c>
      <c r="AE89" s="123">
        <f t="shared" si="230"/>
        <v>0.37594998741149904</v>
      </c>
      <c r="AF89" s="123">
        <f t="shared" si="230"/>
        <v>0.40640999794006349</v>
      </c>
      <c r="AG89" s="123">
        <f t="shared" si="230"/>
        <v>0.52636000251770021</v>
      </c>
      <c r="AH89" s="123">
        <f t="shared" si="230"/>
        <v>0.59625999069213875</v>
      </c>
      <c r="AI89" s="123">
        <f t="shared" si="230"/>
        <v>0.65025000762939456</v>
      </c>
      <c r="AJ89" s="123">
        <f t="shared" si="230"/>
        <v>0.64680000877380373</v>
      </c>
      <c r="AK89" s="123">
        <f t="shared" si="230"/>
        <v>0.71140999603271482</v>
      </c>
      <c r="AL89" s="123">
        <f t="shared" si="230"/>
        <v>0.78595999908447267</v>
      </c>
      <c r="AM89" s="123">
        <f t="shared" si="230"/>
        <v>0.7898999996185303</v>
      </c>
      <c r="AN89" s="123">
        <f t="shared" si="230"/>
        <v>0.92129999923706052</v>
      </c>
      <c r="AO89" s="123">
        <f t="shared" si="230"/>
        <v>0.86340000152587881</v>
      </c>
      <c r="AP89" s="123">
        <f t="shared" si="230"/>
        <v>0.90637999999999996</v>
      </c>
      <c r="AQ89" s="123">
        <f t="shared" si="230"/>
        <v>1.3120200000000002</v>
      </c>
      <c r="AR89" s="123">
        <f t="shared" si="230"/>
        <v>1.4680799999999998</v>
      </c>
      <c r="AS89" s="123">
        <f t="shared" si="230"/>
        <v>1.9438900000000001</v>
      </c>
      <c r="AT89" s="123">
        <f t="shared" si="230"/>
        <v>6.5390399999999991</v>
      </c>
      <c r="AU89" s="123">
        <f t="shared" si="230"/>
        <v>52.270072111801248</v>
      </c>
      <c r="AV89" s="123">
        <f t="shared" si="230"/>
        <v>69.031217999999996</v>
      </c>
      <c r="AW89" s="123">
        <f t="shared" si="230"/>
        <v>73.502826016</v>
      </c>
      <c r="AX89" s="123">
        <f t="shared" si="230"/>
        <v>160.72285906099196</v>
      </c>
      <c r="AY89" s="123">
        <f t="shared" si="230"/>
        <v>217.37664144912449</v>
      </c>
      <c r="AZ89" s="123">
        <f t="shared" si="230"/>
        <v>453.97168564016624</v>
      </c>
      <c r="BA89" s="123">
        <f t="shared" si="230"/>
        <v>646.93005153193508</v>
      </c>
      <c r="BB89" s="123">
        <f t="shared" si="230"/>
        <v>838.74571036069563</v>
      </c>
      <c r="BC89" s="123">
        <f t="shared" si="230"/>
        <v>929.55875909968995</v>
      </c>
      <c r="BD89" s="123">
        <f ca="1">+BD90+BD91+BD92</f>
        <v>1041.252366806488</v>
      </c>
      <c r="BE89" s="123">
        <f ca="1">+BE90+BE91+BE92</f>
        <v>1146.1249982985562</v>
      </c>
      <c r="BF89" s="123">
        <f t="shared" ref="BF89:BO89" si="231">+BF90+BF91+BF92</f>
        <v>1358.3000000000002</v>
      </c>
      <c r="BG89" s="123">
        <f t="shared" si="231"/>
        <v>1564.9</v>
      </c>
      <c r="BH89" s="123">
        <f t="shared" si="231"/>
        <v>1682.1</v>
      </c>
      <c r="BI89" s="123">
        <f t="shared" si="231"/>
        <v>2119.8000000000002</v>
      </c>
      <c r="BJ89" s="123">
        <f t="shared" si="231"/>
        <v>2299.1000000000004</v>
      </c>
      <c r="BK89" s="123">
        <f t="shared" si="231"/>
        <v>2714.4</v>
      </c>
      <c r="BL89" s="123">
        <f t="shared" si="231"/>
        <v>3540.6</v>
      </c>
      <c r="BM89" s="123">
        <f t="shared" si="231"/>
        <v>3746.8</v>
      </c>
      <c r="BN89" s="123">
        <f t="shared" si="231"/>
        <v>4150.8999999999996</v>
      </c>
      <c r="BO89" s="123">
        <f t="shared" si="231"/>
        <v>4392.7000000000007</v>
      </c>
      <c r="BP89" s="123">
        <f t="shared" ref="BP89:CB89" si="232">+BP90+BP91+BP92</f>
        <v>4360</v>
      </c>
      <c r="BQ89" s="123">
        <f t="shared" si="232"/>
        <v>5216.5</v>
      </c>
      <c r="BR89" s="123">
        <f t="shared" si="232"/>
        <v>5793</v>
      </c>
      <c r="BS89" s="123">
        <f t="shared" si="232"/>
        <v>8528</v>
      </c>
      <c r="BT89" s="123">
        <f t="shared" si="232"/>
        <v>7301</v>
      </c>
      <c r="BU89" s="123">
        <f t="shared" ca="1" si="232"/>
        <v>9762.2764345495561</v>
      </c>
      <c r="BV89" s="123">
        <f t="shared" ca="1" si="232"/>
        <v>10832.776072492554</v>
      </c>
      <c r="BW89" s="123">
        <f t="shared" ca="1" si="232"/>
        <v>12276.624434291503</v>
      </c>
      <c r="BX89" s="123">
        <f t="shared" ca="1" si="232"/>
        <v>13647.185208973267</v>
      </c>
      <c r="BY89" s="123">
        <f t="shared" ca="1" si="232"/>
        <v>15491.962417504426</v>
      </c>
      <c r="BZ89" s="123">
        <f t="shared" ca="1" si="232"/>
        <v>17778.894422670506</v>
      </c>
      <c r="CA89" s="123">
        <f t="shared" ca="1" si="232"/>
        <v>20611.715948314137</v>
      </c>
      <c r="CB89" s="123">
        <f t="shared" ca="1" si="232"/>
        <v>24195.024531010604</v>
      </c>
      <c r="CC89" s="123">
        <f ca="1">+CC90+CC91+CC92</f>
        <v>28815.97658794163</v>
      </c>
      <c r="CD89" s="123">
        <f ca="1">+CD90+CD91+CD92</f>
        <v>34914.860845545205</v>
      </c>
      <c r="CE89" s="123">
        <f ca="1">+CE90+CE91+CE92</f>
        <v>43182.815633586179</v>
      </c>
      <c r="CF89" s="123">
        <f ca="1">+CF90+CF91+CF92</f>
        <v>54739.76182228198</v>
      </c>
      <c r="CG89" s="123">
        <f ca="1">+CG90+CG91+CG92</f>
        <v>71466.589416436938</v>
      </c>
      <c r="CH89" s="141"/>
      <c r="CI89" s="106">
        <f t="shared" si="221"/>
        <v>0</v>
      </c>
      <c r="CJ89" s="106">
        <f t="shared" si="222"/>
        <v>0</v>
      </c>
      <c r="CK89" s="106">
        <f t="shared" si="222"/>
        <v>0</v>
      </c>
      <c r="CL89" s="106">
        <f t="shared" si="222"/>
        <v>0</v>
      </c>
      <c r="CM89" s="106">
        <f t="shared" ca="1" si="222"/>
        <v>309.46623300940519</v>
      </c>
      <c r="CN89" s="106">
        <f t="shared" ca="1" si="222"/>
        <v>676.04413316351202</v>
      </c>
      <c r="CO89" s="106">
        <f t="shared" ca="1" si="222"/>
        <v>632.82757410510567</v>
      </c>
      <c r="CP89" s="106">
        <f t="shared" ca="1" si="222"/>
        <v>451.31460057122968</v>
      </c>
      <c r="CQ89" s="106">
        <f t="shared" ca="1" si="222"/>
        <v>192.76950742800182</v>
      </c>
      <c r="CR89" s="106">
        <f t="shared" ca="1" si="222"/>
        <v>-126.59343499804891</v>
      </c>
      <c r="CS89" s="106">
        <f t="shared" ca="1" si="222"/>
        <v>-424.41620659927139</v>
      </c>
      <c r="CT89" s="106">
        <f t="shared" ca="1" si="222"/>
        <v>-708.39494357375224</v>
      </c>
      <c r="CU89" s="106">
        <f t="shared" ca="1" si="222"/>
        <v>-1321.7831660827178</v>
      </c>
      <c r="CV89" s="106">
        <f t="shared" ca="1" si="223"/>
        <v>-2306.0229356760683</v>
      </c>
      <c r="CW89" s="106">
        <f t="shared" ca="1" si="224"/>
        <v>-3848.9514664058443</v>
      </c>
      <c r="CX89" s="106">
        <f t="shared" ca="1" si="225"/>
        <v>-6306.7735232867417</v>
      </c>
      <c r="CY89" s="106">
        <f t="shared" ca="1" si="226"/>
        <v>-10332.42085322304</v>
      </c>
      <c r="CZ89" s="134"/>
      <c r="DA89" s="135">
        <v>5216.5</v>
      </c>
      <c r="DB89" s="135">
        <v>5793</v>
      </c>
      <c r="DC89" s="135">
        <v>8528</v>
      </c>
      <c r="DD89" s="135">
        <v>7301</v>
      </c>
      <c r="DE89" s="135">
        <v>9452.810201540151</v>
      </c>
      <c r="DF89" s="135">
        <v>10156.731939329042</v>
      </c>
      <c r="DG89" s="135">
        <v>11643.796860186398</v>
      </c>
      <c r="DH89" s="135">
        <v>13195.870608402038</v>
      </c>
      <c r="DI89" s="135">
        <v>15299.192910076425</v>
      </c>
      <c r="DJ89" s="135">
        <v>17905.487857668555</v>
      </c>
      <c r="DK89" s="135">
        <v>21036.132154913408</v>
      </c>
      <c r="DL89" s="135">
        <v>24903.419474584356</v>
      </c>
      <c r="DM89" s="135">
        <v>30137.759754024348</v>
      </c>
      <c r="DN89" s="135">
        <v>37220.883781221273</v>
      </c>
      <c r="DO89" s="135">
        <v>47031.767099992023</v>
      </c>
      <c r="DP89" s="135">
        <v>61046.535345568722</v>
      </c>
      <c r="DQ89" s="135">
        <v>81799.010269659979</v>
      </c>
    </row>
    <row r="90" spans="1:121" s="123" customFormat="1">
      <c r="A90" s="178" t="s">
        <v>3104</v>
      </c>
      <c r="B90" s="107"/>
      <c r="C90" s="136" t="s">
        <v>1579</v>
      </c>
      <c r="D90" s="147"/>
      <c r="E90" s="107"/>
      <c r="F90" s="513">
        <f>+mamiabc!F53</f>
        <v>9.8000000000000014E-3</v>
      </c>
      <c r="G90" s="509">
        <f>+mamiabc!G53</f>
        <v>1.1300000000000001E-2</v>
      </c>
      <c r="H90" s="509">
        <f>+mamiabc!H53</f>
        <v>1.2494999885559082E-2</v>
      </c>
      <c r="I90" s="509">
        <f>+mamiabc!I53</f>
        <v>1.6659999847412111E-2</v>
      </c>
      <c r="J90" s="509">
        <f>+mamiabc!J53</f>
        <v>1.7409700393676758E-2</v>
      </c>
      <c r="K90" s="509">
        <f>+mamiabc!K53</f>
        <v>1.9408899307250975E-2</v>
      </c>
      <c r="L90" s="509">
        <f>+mamiabc!L53</f>
        <v>2.1824600219726563E-2</v>
      </c>
      <c r="M90" s="509">
        <f>+mamiabc!M53</f>
        <v>2.9071699142456053E-2</v>
      </c>
      <c r="N90" s="509">
        <f>+mamiabc!N53</f>
        <v>2.9904699325561522E-2</v>
      </c>
      <c r="O90" s="509">
        <f>+mamiabc!O53</f>
        <v>3.0737699508666991E-2</v>
      </c>
      <c r="P90" s="509">
        <f>+mamiabc!P53</f>
        <v>3.5152599334716796E-2</v>
      </c>
      <c r="Q90" s="509">
        <f>+mamiabc!Q53</f>
        <v>3.7984798431396481E-2</v>
      </c>
      <c r="R90" s="509">
        <f>+mamiabc!R53</f>
        <v>4.514860153198242E-2</v>
      </c>
      <c r="S90" s="509">
        <f>+mamiabc!S53</f>
        <v>4.7730899810791018E-2</v>
      </c>
      <c r="T90" s="509">
        <f>+mamiabc!T53</f>
        <v>5.0146598815917966E-2</v>
      </c>
      <c r="U90" s="509">
        <f>+mamiabc!U53</f>
        <v>5.8726501464843747E-2</v>
      </c>
      <c r="V90" s="509">
        <f>+mamiabc!V53</f>
        <v>6.8889099121093755E-2</v>
      </c>
      <c r="W90" s="509">
        <f>+mamiabc!W53</f>
        <v>7.0221900939941406E-2</v>
      </c>
      <c r="X90" s="509">
        <f>+mamiabc!X53</f>
        <v>8.088430023193359E-2</v>
      </c>
      <c r="Y90" s="509">
        <f>+mamiabc!Y53</f>
        <v>8.2883499145507813E-2</v>
      </c>
      <c r="Z90" s="509">
        <f>+mamiabc!Z53</f>
        <v>9.4128997802734371E-2</v>
      </c>
      <c r="AA90" s="509">
        <f>+mamiabc!AA53</f>
        <v>0.11834999847412109</v>
      </c>
      <c r="AB90" s="509">
        <f>+mamiabc!AB53</f>
        <v>0.14183000183105468</v>
      </c>
      <c r="AC90" s="509">
        <f>+mamiabc!AC53</f>
        <v>0.18225999450683594</v>
      </c>
      <c r="AD90" s="509">
        <f>+mamiabc!AD53</f>
        <v>0.21094000244140626</v>
      </c>
      <c r="AE90" s="509">
        <f>+mamiabc!AE53</f>
        <v>0.22155999755859376</v>
      </c>
      <c r="AF90" s="509">
        <f>+mamiabc!AF53</f>
        <v>0.22585000610351563</v>
      </c>
      <c r="AG90" s="509">
        <f>+mamiabc!AG53</f>
        <v>0.27608999633789061</v>
      </c>
      <c r="AH90" s="509">
        <f>+mamiabc!AH53</f>
        <v>0.34627999877929688</v>
      </c>
      <c r="AI90" s="509">
        <f>+mamiabc!AI53</f>
        <v>0.37388000488281248</v>
      </c>
      <c r="AJ90" s="509">
        <f>+mamiabc!AJ53</f>
        <v>0.37407000732421875</v>
      </c>
      <c r="AK90" s="509">
        <f>+mamiabc!AK53</f>
        <v>0.38382998657226564</v>
      </c>
      <c r="AL90" s="509">
        <f>+mamiabc!AL53</f>
        <v>0.40870001220703123</v>
      </c>
      <c r="AM90" s="509">
        <f>+mamiabc!AM53</f>
        <v>0.47</v>
      </c>
      <c r="AN90" s="509">
        <f>+mamiabc!AN53</f>
        <v>0.52300000000000002</v>
      </c>
      <c r="AO90" s="509">
        <f>+mamiabc!AO53</f>
        <v>0.56299999999999994</v>
      </c>
      <c r="AP90" s="509">
        <f>+mamiabc!AP53</f>
        <v>0.52709000000000006</v>
      </c>
      <c r="AQ90" s="509">
        <f>+mamiabc!AQ53</f>
        <v>0.67749000000000004</v>
      </c>
      <c r="AR90" s="509">
        <f>+mamiabc!AR53</f>
        <v>0.84326999999999996</v>
      </c>
      <c r="AS90" s="509">
        <f>+mamiabc!AS53</f>
        <v>0.99841999999999997</v>
      </c>
      <c r="AT90" s="509">
        <f>+mamiabc!AT53</f>
        <v>3.4202399999999997</v>
      </c>
      <c r="AU90" s="509">
        <f>+mamiabc!AU53</f>
        <v>13.131590000000001</v>
      </c>
      <c r="AV90" s="509">
        <f>+mamiabc!AV53</f>
        <v>25.609569999999998</v>
      </c>
      <c r="AW90" s="509">
        <f>+mamiabc!AW53</f>
        <v>31.287939999999999</v>
      </c>
      <c r="AX90" s="509">
        <f>+mamiabc!AX53</f>
        <v>73.376999999999995</v>
      </c>
      <c r="AY90" s="509">
        <f>+mamiabc!AY53</f>
        <v>101.501</v>
      </c>
      <c r="AZ90" s="509">
        <f>+mamiabc!AZ53</f>
        <v>162.21700000000001</v>
      </c>
      <c r="BA90" s="509">
        <f>+mamiabc!BA53</f>
        <v>212.87799999999999</v>
      </c>
      <c r="BB90" s="509">
        <f>+mamiabc!BB53</f>
        <v>377.678</v>
      </c>
      <c r="BC90" s="509">
        <f>+mamiabc!BC53</f>
        <v>426.983</v>
      </c>
      <c r="BD90" s="509">
        <f>+mamiabc!BD53</f>
        <v>454.16699999999997</v>
      </c>
      <c r="BE90" s="509">
        <f ca="1">+mamiabc!BE53</f>
        <v>507.62847806253075</v>
      </c>
      <c r="BF90" s="140">
        <f>SOURCE!BF330</f>
        <v>603</v>
      </c>
      <c r="BG90" s="140">
        <f>SOURCE!BG330</f>
        <v>692.4</v>
      </c>
      <c r="BH90" s="140">
        <f>SOURCE!BH330</f>
        <v>758.5</v>
      </c>
      <c r="BI90" s="140">
        <f>SOURCE!BI330</f>
        <v>967.6</v>
      </c>
      <c r="BJ90" s="140">
        <f>SOURCE!BJ330</f>
        <v>1075.3</v>
      </c>
      <c r="BK90" s="140">
        <f>SOURCE!BK330</f>
        <v>1208.8</v>
      </c>
      <c r="BL90" s="140">
        <f>SOURCE!BL330</f>
        <v>1315.6</v>
      </c>
      <c r="BM90" s="140">
        <f>SOURCE!BM330</f>
        <v>1425.6</v>
      </c>
      <c r="BN90" s="140">
        <f>SOURCE!BN330</f>
        <v>1373.3</v>
      </c>
      <c r="BO90" s="140">
        <f>SOURCE!BO330</f>
        <v>1532.8</v>
      </c>
      <c r="BP90" s="140">
        <f>SOURCE!BP330</f>
        <v>1602</v>
      </c>
      <c r="BQ90" s="140">
        <f>SOURCE!BQ330</f>
        <v>1922.5</v>
      </c>
      <c r="BR90" s="140">
        <f>SOURCE!BR330</f>
        <v>2414</v>
      </c>
      <c r="BS90" s="140">
        <f>SOURCE!BS330</f>
        <v>3269</v>
      </c>
      <c r="BT90" s="140">
        <f>SOURCE!BT330</f>
        <v>3269</v>
      </c>
      <c r="BU90" s="109">
        <f t="shared" ref="BU90:CC90" ca="1" si="233">BT90*(BU63/BT63)</f>
        <v>4095.8267784761756</v>
      </c>
      <c r="BV90" s="109">
        <f t="shared" ca="1" si="233"/>
        <v>4510.0202365420982</v>
      </c>
      <c r="BW90" s="109">
        <f t="shared" ca="1" si="233"/>
        <v>4693.7180108121265</v>
      </c>
      <c r="BX90" s="109">
        <f t="shared" ca="1" si="233"/>
        <v>5130.8386256587255</v>
      </c>
      <c r="BY90" s="109">
        <f t="shared" ca="1" si="233"/>
        <v>5809.4628982931426</v>
      </c>
      <c r="BZ90" s="109">
        <f t="shared" ca="1" si="233"/>
        <v>6650.0020914885145</v>
      </c>
      <c r="CA90" s="109">
        <f t="shared" ca="1" si="233"/>
        <v>7689.3333922755228</v>
      </c>
      <c r="CB90" s="109">
        <f t="shared" ca="1" si="233"/>
        <v>9001.9400684776137</v>
      </c>
      <c r="CC90" s="109">
        <f t="shared" ca="1" si="233"/>
        <v>10691.067768609217</v>
      </c>
      <c r="CD90" s="109">
        <f ca="1">CC90*(CD63/CC63)</f>
        <v>12914.571790143107</v>
      </c>
      <c r="CE90" s="109">
        <f ca="1">CD90*(CE63/CD63)</f>
        <v>15919.163024774809</v>
      </c>
      <c r="CF90" s="109">
        <f ca="1">CE90*(CF63/CE63)</f>
        <v>20102.644757178521</v>
      </c>
      <c r="CG90" s="109">
        <f ca="1">CF90*(CG63/CF63)</f>
        <v>26129.558729730063</v>
      </c>
      <c r="CI90" s="106">
        <f t="shared" si="221"/>
        <v>0</v>
      </c>
      <c r="CJ90" s="106">
        <f t="shared" si="222"/>
        <v>0</v>
      </c>
      <c r="CK90" s="106">
        <f t="shared" si="222"/>
        <v>0</v>
      </c>
      <c r="CL90" s="106">
        <f t="shared" si="222"/>
        <v>0</v>
      </c>
      <c r="CM90" s="106">
        <f t="shared" ca="1" si="222"/>
        <v>119.89249988830215</v>
      </c>
      <c r="CN90" s="106">
        <f t="shared" ca="1" si="222"/>
        <v>286.61607044013363</v>
      </c>
      <c r="CO90" s="106">
        <f t="shared" ca="1" si="222"/>
        <v>245.07170419532486</v>
      </c>
      <c r="CP90" s="106">
        <f t="shared" ca="1" si="222"/>
        <v>169.55395303719706</v>
      </c>
      <c r="CQ90" s="106">
        <f t="shared" ca="1" si="222"/>
        <v>68.179218787213358</v>
      </c>
      <c r="CR90" s="106">
        <f t="shared" ca="1" si="222"/>
        <v>-79.629450315396753</v>
      </c>
      <c r="CS90" s="106">
        <f t="shared" ca="1" si="222"/>
        <v>-193.96577865100244</v>
      </c>
      <c r="CT90" s="106">
        <f t="shared" ca="1" si="222"/>
        <v>-298.48418985435273</v>
      </c>
      <c r="CU90" s="106">
        <f t="shared" ca="1" si="222"/>
        <v>-530.23376163811918</v>
      </c>
      <c r="CV90" s="106">
        <f t="shared" ca="1" si="223"/>
        <v>-900.73708136535242</v>
      </c>
      <c r="CW90" s="106">
        <f t="shared" ca="1" si="224"/>
        <v>-1478.3798360268393</v>
      </c>
      <c r="CX90" s="106">
        <f t="shared" ca="1" si="225"/>
        <v>-2392.8066367715437</v>
      </c>
      <c r="CY90" s="106">
        <f t="shared" ca="1" si="226"/>
        <v>-3880.1264251881075</v>
      </c>
      <c r="CZ90" s="134"/>
      <c r="DA90" s="135">
        <v>1922.5</v>
      </c>
      <c r="DB90" s="135">
        <v>2414</v>
      </c>
      <c r="DC90" s="135">
        <v>3269</v>
      </c>
      <c r="DD90" s="135">
        <v>3269</v>
      </c>
      <c r="DE90" s="135">
        <v>3975.9342785878735</v>
      </c>
      <c r="DF90" s="135">
        <v>4223.4041661019646</v>
      </c>
      <c r="DG90" s="135">
        <v>4448.6463066168017</v>
      </c>
      <c r="DH90" s="135">
        <v>4961.2846726215284</v>
      </c>
      <c r="DI90" s="135">
        <v>5741.2836795059293</v>
      </c>
      <c r="DJ90" s="135">
        <v>6729.6315418039112</v>
      </c>
      <c r="DK90" s="135">
        <v>7883.2991709265252</v>
      </c>
      <c r="DL90" s="135">
        <v>9300.4242583319665</v>
      </c>
      <c r="DM90" s="135">
        <v>11221.301530247336</v>
      </c>
      <c r="DN90" s="135">
        <v>13815.30887150846</v>
      </c>
      <c r="DO90" s="135">
        <v>17397.542860801648</v>
      </c>
      <c r="DP90" s="135">
        <v>22495.451393950065</v>
      </c>
      <c r="DQ90" s="135">
        <v>30009.68515491817</v>
      </c>
    </row>
    <row r="91" spans="1:121" s="123" customFormat="1">
      <c r="A91" s="178" t="s">
        <v>3105</v>
      </c>
      <c r="B91" s="107"/>
      <c r="C91" s="136" t="s">
        <v>1579</v>
      </c>
      <c r="D91" s="147"/>
      <c r="E91" s="107"/>
      <c r="F91" s="513">
        <f>+mamiabc!F49-mamiabc!F50</f>
        <v>1.8800000000000001E-2</v>
      </c>
      <c r="G91" s="509">
        <f>+mamiabc!G49-mamiabc!G50</f>
        <v>2.2699999999999998E-2</v>
      </c>
      <c r="H91" s="509">
        <f>+mamiabc!H49-mamiabc!H50</f>
        <v>1.8139931201934814E-2</v>
      </c>
      <c r="I91" s="509">
        <f>+mamiabc!I49-mamiabc!I50</f>
        <v>1.9405133247375486E-2</v>
      </c>
      <c r="J91" s="509">
        <f>+mamiabc!J49-mamiabc!J50</f>
        <v>2.5032605171203613E-2</v>
      </c>
      <c r="K91" s="509">
        <f>+mamiabc!K49-mamiabc!K50</f>
        <v>2.2583154678344729E-2</v>
      </c>
      <c r="L91" s="509">
        <f>+mamiabc!L49-mamiabc!L50</f>
        <v>2.7004035949707027E-2</v>
      </c>
      <c r="M91" s="509">
        <f>+mamiabc!M49-mamiabc!M50</f>
        <v>2.7086452484130861E-2</v>
      </c>
      <c r="N91" s="509">
        <f>+mamiabc!N49-mamiabc!N50</f>
        <v>3.2384620666503904E-2</v>
      </c>
      <c r="O91" s="509">
        <f>+mamiabc!O49-mamiabc!O50</f>
        <v>3.1308794021606447E-2</v>
      </c>
      <c r="P91" s="509">
        <f>+mamiabc!P49-mamiabc!P50</f>
        <v>3.1934070587158206E-2</v>
      </c>
      <c r="Q91" s="509">
        <f>+mamiabc!Q49-mamiabc!Q50</f>
        <v>3.119999885559082E-2</v>
      </c>
      <c r="R91" s="509">
        <f>+mamiabc!R49-mamiabc!R50</f>
        <v>3.2000000000000001E-2</v>
      </c>
      <c r="S91" s="509">
        <f>+mamiabc!S49-mamiabc!S50</f>
        <v>4.1099998474121095E-2</v>
      </c>
      <c r="T91" s="509">
        <f>+mamiabc!T49-mamiabc!T50</f>
        <v>4.7000003814697267E-2</v>
      </c>
      <c r="U91" s="509">
        <f>+mamiabc!U49-mamiabc!U50</f>
        <v>4.0299999237060548E-2</v>
      </c>
      <c r="V91" s="509">
        <f>+mamiabc!V49-mamiabc!V50</f>
        <v>3.5000000000000003E-2</v>
      </c>
      <c r="W91" s="509">
        <f>+mamiabc!W49-mamiabc!W50</f>
        <v>5.3199998855590819E-2</v>
      </c>
      <c r="X91" s="509">
        <f>+mamiabc!X49-mamiabc!X50</f>
        <v>2.690000152587891E-2</v>
      </c>
      <c r="Y91" s="509">
        <f>+mamiabc!Y49-mamiabc!Y50</f>
        <v>3.0599998474121086E-2</v>
      </c>
      <c r="Z91" s="509">
        <f>+mamiabc!Z49-mamiabc!Z50</f>
        <v>5.3899997711181646E-2</v>
      </c>
      <c r="AA91" s="509">
        <f>+mamiabc!AA49-mamiabc!AA50</f>
        <v>6.1789993286132827E-2</v>
      </c>
      <c r="AB91" s="509">
        <f>+mamiabc!AB49-mamiabc!AB50</f>
        <v>6.9040000915527353E-2</v>
      </c>
      <c r="AC91" s="509">
        <f>+mamiabc!AC49-mamiabc!AC50</f>
        <v>0.12888999938964846</v>
      </c>
      <c r="AD91" s="509">
        <f>+mamiabc!AD49-mamiabc!AD50</f>
        <v>0.12775</v>
      </c>
      <c r="AE91" s="509">
        <f>+mamiabc!AE49-mamiabc!AE50</f>
        <v>9.7489990234375018E-2</v>
      </c>
      <c r="AF91" s="509">
        <f>+mamiabc!AF49-mamiabc!AF50</f>
        <v>0.12145999145507813</v>
      </c>
      <c r="AG91" s="509">
        <f>+mamiabc!AG49-mamiabc!AG50</f>
        <v>0.18727000427246096</v>
      </c>
      <c r="AH91" s="509">
        <f>+mamiabc!AH49-mamiabc!AH50</f>
        <v>0.18717999267578128</v>
      </c>
      <c r="AI91" s="509">
        <f>+mamiabc!AI49-mamiabc!AI50</f>
        <v>0.20977000427246092</v>
      </c>
      <c r="AJ91" s="509">
        <f>+mamiabc!AJ49-mamiabc!AJ50</f>
        <v>0.19343000030517576</v>
      </c>
      <c r="AK91" s="509">
        <f>+mamiabc!AK49-mamiabc!AK50</f>
        <v>0.2591800079345703</v>
      </c>
      <c r="AL91" s="509">
        <f>+mamiabc!AL49-mamiabc!AL50</f>
        <v>0.31945998764038086</v>
      </c>
      <c r="AM91" s="509">
        <f>+mamiabc!AM49-mamiabc!AM50</f>
        <v>0.27</v>
      </c>
      <c r="AN91" s="509">
        <f>+mamiabc!AN49-mamiabc!AN50</f>
        <v>0.31799999999999995</v>
      </c>
      <c r="AO91" s="509">
        <f>+mamiabc!AO49-mamiabc!AO50</f>
        <v>0.21799999999999997</v>
      </c>
      <c r="AP91" s="509">
        <f>+mamiabc!AP49-mamiabc!AP50</f>
        <v>0.23602999999999996</v>
      </c>
      <c r="AQ91" s="509">
        <f>+mamiabc!AQ49-mamiabc!AQ50</f>
        <v>0.39546999999999999</v>
      </c>
      <c r="AR91" s="509">
        <f>+mamiabc!AR49-mamiabc!AR50</f>
        <v>0.37973000000000001</v>
      </c>
      <c r="AS91" s="509">
        <f>+mamiabc!AS49-mamiabc!AS50</f>
        <v>0.46337000000000006</v>
      </c>
      <c r="AT91" s="509">
        <f>+mamiabc!AT49-mamiabc!AT50</f>
        <v>0.34629999999999939</v>
      </c>
      <c r="AU91" s="509">
        <f>+mamiabc!AU49-mamiabc!AU50</f>
        <v>26.353520000000003</v>
      </c>
      <c r="AV91" s="509">
        <f>+mamiabc!AV49-mamiabc!AV50</f>
        <v>23.079647999999999</v>
      </c>
      <c r="AW91" s="509">
        <f>+mamiabc!AW49-mamiabc!AW50</f>
        <v>25.652886016000004</v>
      </c>
      <c r="AX91" s="509">
        <f>+mamiabc!AX49-mamiabc!AX50</f>
        <v>65.788859060991996</v>
      </c>
      <c r="AY91" s="509">
        <f>+mamiabc!AY49-mamiabc!AY50</f>
        <v>91.649641449124488</v>
      </c>
      <c r="AZ91" s="509">
        <f>+mamiabc!AZ49-mamiabc!AZ50</f>
        <v>239.87568564016618</v>
      </c>
      <c r="BA91" s="509">
        <f>+mamiabc!BA49-mamiabc!BA50</f>
        <v>300.83605153193508</v>
      </c>
      <c r="BB91" s="509">
        <f>+mamiabc!BB49-mamiabc!BB50</f>
        <v>326.40871036069564</v>
      </c>
      <c r="BC91" s="509">
        <f>+mamiabc!BC49-mamiabc!BC50</f>
        <v>363.21445909968998</v>
      </c>
      <c r="BD91" s="509">
        <f ca="1">+mamiabc!BD49-mamiabc!BD50</f>
        <v>393.45736680648815</v>
      </c>
      <c r="BE91" s="509">
        <f ca="1">+mamiabc!BE49-mamiabc!BE50</f>
        <v>424.83770201894413</v>
      </c>
      <c r="BF91" s="140">
        <f>SOURCE!BF331</f>
        <v>416.7</v>
      </c>
      <c r="BG91" s="140">
        <f>SOURCE!BG331</f>
        <v>480.8</v>
      </c>
      <c r="BH91" s="140">
        <f>SOURCE!BH331</f>
        <v>488</v>
      </c>
      <c r="BI91" s="140">
        <f>SOURCE!BI331</f>
        <v>652.29999999999995</v>
      </c>
      <c r="BJ91" s="140">
        <f>SOURCE!BJ331</f>
        <v>688.6</v>
      </c>
      <c r="BK91" s="140">
        <f>SOURCE!BK331</f>
        <v>722</v>
      </c>
      <c r="BL91" s="140">
        <f>SOURCE!BL331</f>
        <v>1246.4000000000001</v>
      </c>
      <c r="BM91" s="140">
        <f>SOURCE!BM331</f>
        <v>819</v>
      </c>
      <c r="BN91" s="140">
        <f>SOURCE!BN331</f>
        <v>1402</v>
      </c>
      <c r="BO91" s="140">
        <f>SOURCE!BO331</f>
        <v>1475</v>
      </c>
      <c r="BP91" s="140">
        <f>SOURCE!BP331</f>
        <v>988</v>
      </c>
      <c r="BQ91" s="140">
        <f>SOURCE!BQ331</f>
        <v>890</v>
      </c>
      <c r="BR91" s="140">
        <f>SOURCE!BR331</f>
        <v>-122</v>
      </c>
      <c r="BS91" s="140">
        <f>SOURCE!BS331</f>
        <v>1342</v>
      </c>
      <c r="BT91" s="140">
        <f>SOURCE!BT331</f>
        <v>1113</v>
      </c>
      <c r="BU91" s="109">
        <f ca="1">BT91*(BU17/BT17)*(1+Assumptions!BU38/100)</f>
        <v>1781.4527790529764</v>
      </c>
      <c r="BV91" s="109">
        <f ca="1">BU91*(BV17/BU17)*(1+Assumptions!BV38/100)</f>
        <v>1550.2595413455797</v>
      </c>
      <c r="BW91" s="109">
        <f ca="1">BV91*(BW17/BV17)*(1+Assumptions!BW38/100)</f>
        <v>1730.0153782842826</v>
      </c>
      <c r="BX91" s="109">
        <f ca="1">BW91*(BX17/BW17)*(1+Assumptions!BX38/100)</f>
        <v>1880.2735547158697</v>
      </c>
      <c r="BY91" s="109">
        <f ca="1">BX91*(BY17/BX17)*(1+Assumptions!BY38/100)</f>
        <v>2085.0017934960624</v>
      </c>
      <c r="BZ91" s="109">
        <f ca="1">BY91*(BZ17/BY17)*(1+Assumptions!BZ38/100)</f>
        <v>2335.0845153585492</v>
      </c>
      <c r="CA91" s="109">
        <f ca="1">BZ91*(CA17/BZ17)*(1+Assumptions!CA38/100)</f>
        <v>2640.48702236602</v>
      </c>
      <c r="CB91" s="109">
        <f ca="1">CA91*(CB17/CA17)*(1+Assumptions!CB38/100)</f>
        <v>3021.1794357221338</v>
      </c>
      <c r="CC91" s="109">
        <f ca="1">CB91*(CC17/CB17)*(1+Assumptions!CC38/100)</f>
        <v>3506.8395135434216</v>
      </c>
      <c r="CD91" s="109">
        <f ca="1">CC91*(CD17/CC17)*(1+Assumptions!CD38/100)</f>
        <v>4143.4775049607906</v>
      </c>
      <c r="CE91" s="109">
        <f ca="1">CD91*(CE17/CD17)*(1+Assumptions!CE38/100)</f>
        <v>5004.5577726677393</v>
      </c>
      <c r="CF91" s="109">
        <f ca="1">CE91*(CF17/CE17)*(1+Assumptions!CF38/100)</f>
        <v>6211.3529447946112</v>
      </c>
      <c r="CG91" s="109">
        <f ca="1">CF91*(CG17/CF17)*(1+Assumptions!CG38/100)</f>
        <v>7971.518296281024</v>
      </c>
      <c r="CH91" s="141"/>
      <c r="CI91" s="106">
        <f t="shared" si="221"/>
        <v>0</v>
      </c>
      <c r="CJ91" s="106">
        <f t="shared" si="222"/>
        <v>0</v>
      </c>
      <c r="CK91" s="106">
        <f t="shared" si="222"/>
        <v>0</v>
      </c>
      <c r="CL91" s="106">
        <f t="shared" si="222"/>
        <v>0</v>
      </c>
      <c r="CM91" s="106">
        <f t="shared" ca="1" si="222"/>
        <v>75.852618231201404</v>
      </c>
      <c r="CN91" s="106">
        <f t="shared" ca="1" si="222"/>
        <v>86.131389447579977</v>
      </c>
      <c r="CO91" s="106">
        <f t="shared" ca="1" si="222"/>
        <v>82.1606084110349</v>
      </c>
      <c r="CP91" s="106">
        <f t="shared" ca="1" si="222"/>
        <v>62.464642195733177</v>
      </c>
      <c r="CQ91" s="106">
        <f t="shared" ca="1" si="222"/>
        <v>35.426889416910853</v>
      </c>
      <c r="CR91" s="106">
        <f t="shared" ca="1" si="222"/>
        <v>58.336144989424611</v>
      </c>
      <c r="CS91" s="106">
        <f t="shared" ca="1" si="222"/>
        <v>28.913520973562299</v>
      </c>
      <c r="CT91" s="106">
        <f t="shared" ca="1" si="222"/>
        <v>-6.3176189868045185</v>
      </c>
      <c r="CU91" s="106">
        <f t="shared" ca="1" si="222"/>
        <v>-66.552234503030832</v>
      </c>
      <c r="CV91" s="106">
        <f t="shared" ca="1" si="223"/>
        <v>-159.84832995459419</v>
      </c>
      <c r="CW91" s="106">
        <f t="shared" ca="1" si="224"/>
        <v>-303.4154034623707</v>
      </c>
      <c r="CX91" s="106">
        <f t="shared" ca="1" si="225"/>
        <v>-530.46397612879446</v>
      </c>
      <c r="CY91" s="106">
        <f t="shared" ca="1" si="226"/>
        <v>-903.67749514263869</v>
      </c>
      <c r="CZ91" s="134"/>
      <c r="DA91" s="135">
        <v>890</v>
      </c>
      <c r="DB91" s="135">
        <v>-122</v>
      </c>
      <c r="DC91" s="135">
        <v>1342</v>
      </c>
      <c r="DD91" s="135">
        <v>1113</v>
      </c>
      <c r="DE91" s="135">
        <v>1705.600160821775</v>
      </c>
      <c r="DF91" s="135">
        <v>1464.1281518979997</v>
      </c>
      <c r="DG91" s="135">
        <v>1647.8547698732477</v>
      </c>
      <c r="DH91" s="135">
        <v>1817.8089125201366</v>
      </c>
      <c r="DI91" s="135">
        <v>2049.5749040791516</v>
      </c>
      <c r="DJ91" s="135">
        <v>2276.7483703691246</v>
      </c>
      <c r="DK91" s="135">
        <v>2611.5735013924577</v>
      </c>
      <c r="DL91" s="135">
        <v>3027.4970547089383</v>
      </c>
      <c r="DM91" s="135">
        <v>3573.3917480464524</v>
      </c>
      <c r="DN91" s="135">
        <v>4303.3258349153848</v>
      </c>
      <c r="DO91" s="135">
        <v>5307.97317613011</v>
      </c>
      <c r="DP91" s="135">
        <v>6741.8169209234056</v>
      </c>
      <c r="DQ91" s="135">
        <v>8875.1957914236627</v>
      </c>
    </row>
    <row r="92" spans="1:121" s="123" customFormat="1">
      <c r="A92" s="178" t="s">
        <v>2112</v>
      </c>
      <c r="B92" s="107"/>
      <c r="C92" s="136" t="s">
        <v>1579</v>
      </c>
      <c r="D92" s="147"/>
      <c r="E92" s="107"/>
      <c r="F92" s="513">
        <f>+mamiabc!F56+mamiabc!F57</f>
        <v>7.0000000000000001E-3</v>
      </c>
      <c r="G92" s="509">
        <f>+mamiabc!G56+mamiabc!G57</f>
        <v>8.0999999999999996E-3</v>
      </c>
      <c r="H92" s="509">
        <f>+mamiabc!H56+mamiabc!H57</f>
        <v>8.1667897701263436E-3</v>
      </c>
      <c r="I92" s="509">
        <f>+mamiabc!I56+mamiabc!I57</f>
        <v>9.7948088645935065E-3</v>
      </c>
      <c r="J92" s="509">
        <f>+mamiabc!J56+mamiabc!J57</f>
        <v>1.1438936233520509E-2</v>
      </c>
      <c r="K92" s="509">
        <f>+mamiabc!K56+mamiabc!K57</f>
        <v>1.2171697616577149E-2</v>
      </c>
      <c r="L92" s="509">
        <f>+mamiabc!L56+mamiabc!L57</f>
        <v>1.5201036453247069E-2</v>
      </c>
      <c r="M92" s="509">
        <f>+mamiabc!M56+mamiabc!M57</f>
        <v>1.6100667476654052E-2</v>
      </c>
      <c r="N92" s="509">
        <f>+mamiabc!N56+mamiabc!N57</f>
        <v>1.6839378356933596E-2</v>
      </c>
      <c r="O92" s="509">
        <f>+mamiabc!O56+mamiabc!O57</f>
        <v>1.6508435726165772E-2</v>
      </c>
      <c r="P92" s="509">
        <f>+mamiabc!P56+mamiabc!P57</f>
        <v>1.7559517383575439E-2</v>
      </c>
      <c r="Q92" s="509">
        <f>+mamiabc!Q56+mamiabc!Q57</f>
        <v>2.0060199737548828E-2</v>
      </c>
      <c r="R92" s="509">
        <f>+mamiabc!R56+mamiabc!R57</f>
        <v>2.1496399879455567E-2</v>
      </c>
      <c r="S92" s="509">
        <f>+mamiabc!S56+mamiabc!S57</f>
        <v>2.0969100475311281E-2</v>
      </c>
      <c r="T92" s="509">
        <f>+mamiabc!T56+mamiabc!T57</f>
        <v>2.287839984893799E-2</v>
      </c>
      <c r="U92" s="509">
        <f>+mamiabc!U56+mamiabc!U57</f>
        <v>2.6783499717712402E-2</v>
      </c>
      <c r="V92" s="509">
        <f>+mamiabc!V56+mamiabc!V57</f>
        <v>3.0150898933410643E-2</v>
      </c>
      <c r="W92" s="509">
        <f>+mamiabc!W56+mamiabc!W57</f>
        <v>2.9183100700378418E-2</v>
      </c>
      <c r="X92" s="509">
        <f>+mamiabc!X56+mamiabc!X57</f>
        <v>3.8115699768066405E-2</v>
      </c>
      <c r="Y92" s="509">
        <f>+mamiabc!Y56+mamiabc!Y57</f>
        <v>4.1016500473022466E-2</v>
      </c>
      <c r="Z92" s="509">
        <f>+mamiabc!Z56+mamiabc!Z57</f>
        <v>5.0770999908447266E-2</v>
      </c>
      <c r="AA92" s="509">
        <f>+mamiabc!AA56+mamiabc!AA57</f>
        <v>4.7900001525878907E-2</v>
      </c>
      <c r="AB92" s="509">
        <f>+mamiabc!AB56+mamiabc!AB57</f>
        <v>4.2100000381469729E-2</v>
      </c>
      <c r="AC92" s="509">
        <f>+mamiabc!AC56+mamiabc!AC57</f>
        <v>6.0399999618530271E-2</v>
      </c>
      <c r="AD92" s="509">
        <f>+mamiabc!AD56+mamiabc!AD57</f>
        <v>6.1200000762939452E-2</v>
      </c>
      <c r="AE92" s="509">
        <f>+mamiabc!AE56+mamiabc!AE57</f>
        <v>5.6899999618530275E-2</v>
      </c>
      <c r="AF92" s="509">
        <f>+mamiabc!AF56+mamiabc!AF57</f>
        <v>5.9100000381469731E-2</v>
      </c>
      <c r="AG92" s="509">
        <f>+mamiabc!AG56+mamiabc!AG57</f>
        <v>6.3000001907348641E-2</v>
      </c>
      <c r="AH92" s="509">
        <f>+mamiabc!AH56+mamiabc!AH57</f>
        <v>6.2799999237060547E-2</v>
      </c>
      <c r="AI92" s="509">
        <f>+mamiabc!AI56+mamiabc!AI57</f>
        <v>6.6599998474121097E-2</v>
      </c>
      <c r="AJ92" s="509">
        <f>+mamiabc!AJ56+mamiabc!AJ57</f>
        <v>7.9300001144409188E-2</v>
      </c>
      <c r="AK92" s="509">
        <f>+mamiabc!AK56+mamiabc!AK57</f>
        <v>6.8400001525878912E-2</v>
      </c>
      <c r="AL92" s="509">
        <f>+mamiabc!AL56+mamiabc!AL57</f>
        <v>5.7799999237060543E-2</v>
      </c>
      <c r="AM92" s="509">
        <f>+mamiabc!AM56+mamiabc!AM57</f>
        <v>4.9899999618530276E-2</v>
      </c>
      <c r="AN92" s="509">
        <f>+mamiabc!AN56+mamiabc!AN57</f>
        <v>8.0299999237060549E-2</v>
      </c>
      <c r="AO92" s="509">
        <f>+mamiabc!AO56+mamiabc!AO57</f>
        <v>8.240000152587891E-2</v>
      </c>
      <c r="AP92" s="509">
        <f>+mamiabc!AP56+mamiabc!AP57</f>
        <v>0.14326</v>
      </c>
      <c r="AQ92" s="509">
        <f>+mamiabc!AQ56+mamiabc!AQ57</f>
        <v>0.23905999999999999</v>
      </c>
      <c r="AR92" s="509">
        <f>+mamiabc!AR56+mamiabc!AR57</f>
        <v>0.24507999999999999</v>
      </c>
      <c r="AS92" s="509">
        <f>+mamiabc!AS56+mamiabc!AS57</f>
        <v>0.48209999999999997</v>
      </c>
      <c r="AT92" s="509">
        <f>+mamiabc!AT56+mamiabc!AT57</f>
        <v>2.7725</v>
      </c>
      <c r="AU92" s="509">
        <f>+mamiabc!AU56+mamiabc!AU57</f>
        <v>12.784962111801242</v>
      </c>
      <c r="AV92" s="509">
        <f>+mamiabc!AV56+mamiabc!AV57</f>
        <v>20.341999999999999</v>
      </c>
      <c r="AW92" s="509">
        <f>+mamiabc!AW56+mamiabc!AW57</f>
        <v>16.562000000000001</v>
      </c>
      <c r="AX92" s="509">
        <f>+mamiabc!AX56+mamiabc!AX57</f>
        <v>21.556999999999999</v>
      </c>
      <c r="AY92" s="509">
        <f>+mamiabc!AY56+mamiabc!AY57</f>
        <v>24.225999999999999</v>
      </c>
      <c r="AZ92" s="509">
        <f>+mamiabc!AZ56+mamiabc!AZ57</f>
        <v>51.878999999999998</v>
      </c>
      <c r="BA92" s="509">
        <f>+mamiabc!BA56+mamiabc!BA57</f>
        <v>133.21600000000001</v>
      </c>
      <c r="BB92" s="509">
        <f>+mamiabc!BB56+mamiabc!BB57</f>
        <v>134.65899999999999</v>
      </c>
      <c r="BC92" s="509">
        <f>+mamiabc!BC56+mamiabc!BC57</f>
        <v>139.36129999999997</v>
      </c>
      <c r="BD92" s="509">
        <f>+mamiabc!BD56+mamiabc!BD57</f>
        <v>193.62799999999999</v>
      </c>
      <c r="BE92" s="509">
        <f ca="1">+mamiabc!BE56+mamiabc!BE57</f>
        <v>213.6588182170812</v>
      </c>
      <c r="BF92" s="140">
        <f>SOURCE!BF332</f>
        <v>338.6</v>
      </c>
      <c r="BG92" s="140">
        <f>SOURCE!BG332</f>
        <v>391.7</v>
      </c>
      <c r="BH92" s="140">
        <f>SOURCE!BH332</f>
        <v>435.6</v>
      </c>
      <c r="BI92" s="140">
        <f>SOURCE!BI332</f>
        <v>499.9</v>
      </c>
      <c r="BJ92" s="140">
        <f>SOURCE!BJ332</f>
        <v>535.20000000000005</v>
      </c>
      <c r="BK92" s="140">
        <f>SOURCE!BK332</f>
        <v>783.6</v>
      </c>
      <c r="BL92" s="140">
        <f>SOURCE!BL332</f>
        <v>978.6</v>
      </c>
      <c r="BM92" s="140">
        <f>SOURCE!BM332</f>
        <v>1502.2</v>
      </c>
      <c r="BN92" s="140">
        <f>SOURCE!BN332</f>
        <v>1375.6</v>
      </c>
      <c r="BO92" s="140">
        <f>SOURCE!BO332</f>
        <v>1384.9</v>
      </c>
      <c r="BP92" s="140">
        <f>SOURCE!BP332</f>
        <v>1770</v>
      </c>
      <c r="BQ92" s="140">
        <f>SOURCE!BQ332</f>
        <v>2404</v>
      </c>
      <c r="BR92" s="140">
        <f>SOURCE!BR332</f>
        <v>3501</v>
      </c>
      <c r="BS92" s="140">
        <f>SOURCE!BS332</f>
        <v>3917</v>
      </c>
      <c r="BT92" s="140">
        <f>SOURCE!BT332</f>
        <v>2919</v>
      </c>
      <c r="BU92" s="123">
        <f t="shared" ref="BU92:CG92" ca="1" si="234">BU93+BU94+BU95</f>
        <v>3884.9968770204046</v>
      </c>
      <c r="BV92" s="123">
        <f t="shared" ca="1" si="234"/>
        <v>4772.4962946048754</v>
      </c>
      <c r="BW92" s="123">
        <f t="shared" ca="1" si="234"/>
        <v>5852.8910451950942</v>
      </c>
      <c r="BX92" s="123">
        <f t="shared" ca="1" si="234"/>
        <v>6636.0730285986729</v>
      </c>
      <c r="BY92" s="123">
        <f t="shared" ca="1" si="234"/>
        <v>7597.4977257152204</v>
      </c>
      <c r="BZ92" s="123">
        <f t="shared" ca="1" si="234"/>
        <v>8793.8078158234493</v>
      </c>
      <c r="CA92" s="123">
        <f t="shared" ca="1" si="234"/>
        <v>10281.895533672585</v>
      </c>
      <c r="CB92" s="123">
        <f t="shared" ca="1" si="234"/>
        <v>12171.90502681084</v>
      </c>
      <c r="CC92" s="123">
        <f t="shared" ca="1" si="234"/>
        <v>14618.069305788998</v>
      </c>
      <c r="CD92" s="123">
        <f t="shared" ca="1" si="234"/>
        <v>17856.8115504413</v>
      </c>
      <c r="CE92" s="123">
        <f t="shared" ca="1" si="234"/>
        <v>22259.094836143562</v>
      </c>
      <c r="CF92" s="123">
        <f t="shared" ca="1" si="234"/>
        <v>28425.764120308857</v>
      </c>
      <c r="CG92" s="123">
        <f t="shared" ca="1" si="234"/>
        <v>37365.512390425865</v>
      </c>
      <c r="CH92" s="141"/>
      <c r="CI92" s="106">
        <f t="shared" si="221"/>
        <v>0</v>
      </c>
      <c r="CJ92" s="106">
        <f t="shared" si="222"/>
        <v>0</v>
      </c>
      <c r="CK92" s="106">
        <f t="shared" si="222"/>
        <v>0</v>
      </c>
      <c r="CL92" s="106">
        <f t="shared" si="222"/>
        <v>0</v>
      </c>
      <c r="CM92" s="106">
        <f t="shared" ca="1" si="222"/>
        <v>113.72111488990186</v>
      </c>
      <c r="CN92" s="106">
        <f t="shared" ca="1" si="222"/>
        <v>303.29667327579864</v>
      </c>
      <c r="CO92" s="106">
        <f t="shared" ca="1" si="222"/>
        <v>305.59526149874819</v>
      </c>
      <c r="CP92" s="106">
        <f t="shared" ca="1" si="222"/>
        <v>219.29600533830308</v>
      </c>
      <c r="CQ92" s="106">
        <f t="shared" ca="1" si="222"/>
        <v>89.163399223873967</v>
      </c>
      <c r="CR92" s="106">
        <f t="shared" ca="1" si="222"/>
        <v>-105.30012967207585</v>
      </c>
      <c r="CS92" s="106">
        <f t="shared" ca="1" si="222"/>
        <v>-259.36394892184035</v>
      </c>
      <c r="CT92" s="106">
        <f t="shared" ca="1" si="222"/>
        <v>-403.59313473261318</v>
      </c>
      <c r="CU92" s="106">
        <f t="shared" ca="1" si="222"/>
        <v>-724.99716994157279</v>
      </c>
      <c r="CV92" s="106">
        <f t="shared" ca="1" si="223"/>
        <v>-1245.437524356119</v>
      </c>
      <c r="CW92" s="106">
        <f t="shared" ca="1" si="224"/>
        <v>-2067.1562269166934</v>
      </c>
      <c r="CX92" s="106">
        <f t="shared" ca="1" si="225"/>
        <v>-3383.5029103864472</v>
      </c>
      <c r="CY92" s="106">
        <f t="shared" ca="1" si="226"/>
        <v>-5548.6169328922842</v>
      </c>
      <c r="CZ92" s="134"/>
      <c r="DA92" s="135">
        <v>2404</v>
      </c>
      <c r="DB92" s="135">
        <v>3501</v>
      </c>
      <c r="DC92" s="135">
        <v>3917</v>
      </c>
      <c r="DD92" s="135">
        <v>2919</v>
      </c>
      <c r="DE92" s="135">
        <v>3771.2757621305027</v>
      </c>
      <c r="DF92" s="135">
        <v>4469.1996213290768</v>
      </c>
      <c r="DG92" s="135">
        <v>5547.295783696346</v>
      </c>
      <c r="DH92" s="135">
        <v>6416.7770232603698</v>
      </c>
      <c r="DI92" s="135">
        <v>7508.3343264913465</v>
      </c>
      <c r="DJ92" s="135">
        <v>8899.1079454955252</v>
      </c>
      <c r="DK92" s="135">
        <v>10541.259482594425</v>
      </c>
      <c r="DL92" s="135">
        <v>12575.498161543454</v>
      </c>
      <c r="DM92" s="135">
        <v>15343.066475730571</v>
      </c>
      <c r="DN92" s="135">
        <v>19102.249074797419</v>
      </c>
      <c r="DO92" s="135">
        <v>24326.251063060256</v>
      </c>
      <c r="DP92" s="135">
        <v>31809.267030695304</v>
      </c>
      <c r="DQ92" s="135">
        <v>42914.12932331815</v>
      </c>
    </row>
    <row r="93" spans="1:121" s="123" customFormat="1">
      <c r="A93" s="178" t="s">
        <v>3424</v>
      </c>
      <c r="B93" s="107"/>
      <c r="C93" s="136" t="s">
        <v>1579</v>
      </c>
      <c r="D93" s="147"/>
      <c r="E93" s="107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>
        <f t="shared" ref="BF93:BR93" si="235">BF67</f>
        <v>110.9646</v>
      </c>
      <c r="BG93" s="143">
        <f t="shared" si="235"/>
        <v>115.29649999999999</v>
      </c>
      <c r="BH93" s="143">
        <f t="shared" si="235"/>
        <v>141.29939999999999</v>
      </c>
      <c r="BI93" s="143">
        <f t="shared" si="235"/>
        <v>143.4675</v>
      </c>
      <c r="BJ93" s="143">
        <f t="shared" si="235"/>
        <v>150.68700000000001</v>
      </c>
      <c r="BK93" s="143">
        <f t="shared" si="235"/>
        <v>227.48175000000001</v>
      </c>
      <c r="BL93" s="143">
        <f t="shared" si="235"/>
        <v>296.66699999999997</v>
      </c>
      <c r="BM93" s="143">
        <f t="shared" si="235"/>
        <v>309.22919999999999</v>
      </c>
      <c r="BN93" s="143">
        <f t="shared" si="235"/>
        <v>336.82491215285489</v>
      </c>
      <c r="BO93" s="143">
        <f t="shared" si="235"/>
        <v>341.95950992640167</v>
      </c>
      <c r="BP93" s="143">
        <f t="shared" si="235"/>
        <v>347.0663791841485</v>
      </c>
      <c r="BQ93" s="143">
        <f t="shared" si="235"/>
        <v>351.66991560074587</v>
      </c>
      <c r="BR93" s="143">
        <f t="shared" si="235"/>
        <v>355.70863420637659</v>
      </c>
      <c r="BS93" s="143">
        <f t="shared" ref="BS93:CG93" si="236">BS67</f>
        <v>360.33284645105954</v>
      </c>
      <c r="BT93" s="143">
        <f t="shared" si="236"/>
        <v>547.52576018238483</v>
      </c>
      <c r="BU93" s="143">
        <f t="shared" ca="1" si="236"/>
        <v>857.3892237934715</v>
      </c>
      <c r="BV93" s="143">
        <f t="shared" ca="1" si="236"/>
        <v>1060.487096432779</v>
      </c>
      <c r="BW93" s="143">
        <f t="shared" ca="1" si="236"/>
        <v>1308.9879326477517</v>
      </c>
      <c r="BX93" s="143">
        <f t="shared" ca="1" si="236"/>
        <v>1493.4181543301277</v>
      </c>
      <c r="BY93" s="143">
        <f t="shared" ca="1" si="236"/>
        <v>1712.9255948407051</v>
      </c>
      <c r="BZ93" s="143">
        <f t="shared" ca="1" si="236"/>
        <v>1986.249237583125</v>
      </c>
      <c r="CA93" s="143">
        <f t="shared" ca="1" si="236"/>
        <v>2326.537721149758</v>
      </c>
      <c r="CB93" s="143">
        <f t="shared" ca="1" si="236"/>
        <v>2759.097003763959</v>
      </c>
      <c r="CC93" s="143">
        <f t="shared" ca="1" si="236"/>
        <v>3319.4136852409456</v>
      </c>
      <c r="CD93" s="143">
        <f t="shared" ca="1" si="236"/>
        <v>4061.9049248891706</v>
      </c>
      <c r="CE93" s="143">
        <f t="shared" ca="1" si="236"/>
        <v>5072.0020300956767</v>
      </c>
      <c r="CF93" s="143">
        <f t="shared" ca="1" si="236"/>
        <v>6488.1641938839202</v>
      </c>
      <c r="CG93" s="143">
        <f t="shared" ca="1" si="236"/>
        <v>8542.995048772098</v>
      </c>
      <c r="CH93" s="141"/>
      <c r="CI93" s="106">
        <f t="shared" si="221"/>
        <v>0</v>
      </c>
      <c r="CJ93" s="106">
        <f t="shared" si="222"/>
        <v>0</v>
      </c>
      <c r="CK93" s="106">
        <f t="shared" si="222"/>
        <v>0</v>
      </c>
      <c r="CL93" s="106">
        <f t="shared" si="222"/>
        <v>0</v>
      </c>
      <c r="CM93" s="106">
        <f t="shared" ca="1" si="222"/>
        <v>25.097383990475919</v>
      </c>
      <c r="CN93" s="106">
        <f t="shared" ca="1" si="222"/>
        <v>67.394962414863699</v>
      </c>
      <c r="CO93" s="106">
        <f t="shared" ca="1" si="222"/>
        <v>68.345798082913234</v>
      </c>
      <c r="CP93" s="106">
        <f t="shared" ca="1" si="222"/>
        <v>49.351571951198821</v>
      </c>
      <c r="CQ93" s="106">
        <f t="shared" ca="1" si="222"/>
        <v>20.102706728908288</v>
      </c>
      <c r="CR93" s="106">
        <f t="shared" ca="1" si="222"/>
        <v>-23.784042892341404</v>
      </c>
      <c r="CS93" s="106">
        <f t="shared" ca="1" si="222"/>
        <v>-58.687623181623167</v>
      </c>
      <c r="CT93" s="106">
        <f t="shared" ca="1" si="222"/>
        <v>-91.485482866287384</v>
      </c>
      <c r="CU93" s="106">
        <f t="shared" ca="1" si="222"/>
        <v>-164.62950594385211</v>
      </c>
      <c r="CV93" s="106">
        <f t="shared" ca="1" si="223"/>
        <v>-283.30078970335489</v>
      </c>
      <c r="CW93" s="106">
        <f t="shared" ca="1" si="224"/>
        <v>-471.02636727263962</v>
      </c>
      <c r="CX93" s="106">
        <f t="shared" ca="1" si="225"/>
        <v>-772.28257928823405</v>
      </c>
      <c r="CY93" s="106">
        <f t="shared" ca="1" si="226"/>
        <v>-1268.5978045728061</v>
      </c>
      <c r="CZ93" s="134"/>
      <c r="DA93" s="135">
        <v>351.66991560074587</v>
      </c>
      <c r="DB93" s="135">
        <v>355.70863420637659</v>
      </c>
      <c r="DC93" s="135">
        <v>360.33284645105954</v>
      </c>
      <c r="DD93" s="135">
        <v>547.52576018238483</v>
      </c>
      <c r="DE93" s="135">
        <v>832.29183980299558</v>
      </c>
      <c r="DF93" s="135">
        <v>993.09213401791533</v>
      </c>
      <c r="DG93" s="135">
        <v>1240.6421345648384</v>
      </c>
      <c r="DH93" s="135">
        <v>1444.0665823789288</v>
      </c>
      <c r="DI93" s="135">
        <v>1692.8228881117968</v>
      </c>
      <c r="DJ93" s="135">
        <v>2010.0332804754664</v>
      </c>
      <c r="DK93" s="135">
        <v>2385.2253443313812</v>
      </c>
      <c r="DL93" s="135">
        <v>2850.5824866302464</v>
      </c>
      <c r="DM93" s="135">
        <v>3484.0431911847977</v>
      </c>
      <c r="DN93" s="135">
        <v>4345.2057145925255</v>
      </c>
      <c r="DO93" s="135">
        <v>5543.0283973683163</v>
      </c>
      <c r="DP93" s="135">
        <v>7260.4467731721543</v>
      </c>
      <c r="DQ93" s="135">
        <v>9811.5928533449041</v>
      </c>
    </row>
    <row r="94" spans="1:121" s="123" customFormat="1">
      <c r="A94" s="178" t="s">
        <v>3425</v>
      </c>
      <c r="B94" s="107"/>
      <c r="C94" s="136" t="s">
        <v>1579</v>
      </c>
      <c r="D94" s="147"/>
      <c r="E94" s="107"/>
      <c r="F94" s="513"/>
      <c r="G94" s="509"/>
      <c r="H94" s="509"/>
      <c r="I94" s="509"/>
      <c r="J94" s="509"/>
      <c r="K94" s="509"/>
      <c r="L94" s="509"/>
      <c r="M94" s="509"/>
      <c r="N94" s="509"/>
      <c r="O94" s="509"/>
      <c r="P94" s="509"/>
      <c r="Q94" s="509"/>
      <c r="R94" s="509"/>
      <c r="S94" s="509"/>
      <c r="T94" s="509"/>
      <c r="U94" s="509"/>
      <c r="V94" s="509"/>
      <c r="W94" s="509"/>
      <c r="X94" s="509"/>
      <c r="Y94" s="509"/>
      <c r="Z94" s="509"/>
      <c r="AA94" s="509"/>
      <c r="AB94" s="509"/>
      <c r="AC94" s="509"/>
      <c r="AD94" s="509"/>
      <c r="AE94" s="509"/>
      <c r="AF94" s="509"/>
      <c r="AG94" s="509"/>
      <c r="AH94" s="509"/>
      <c r="AI94" s="509"/>
      <c r="AJ94" s="509"/>
      <c r="AK94" s="509"/>
      <c r="AL94" s="509"/>
      <c r="AM94" s="509"/>
      <c r="AN94" s="509"/>
      <c r="AO94" s="509"/>
      <c r="AP94" s="509"/>
      <c r="AQ94" s="509"/>
      <c r="AR94" s="509"/>
      <c r="AS94" s="509"/>
      <c r="AT94" s="509"/>
      <c r="AU94" s="509"/>
      <c r="AV94" s="509"/>
      <c r="AW94" s="509"/>
      <c r="AX94" s="509"/>
      <c r="AY94" s="509"/>
      <c r="AZ94" s="509"/>
      <c r="BA94" s="509"/>
      <c r="BB94" s="509"/>
      <c r="BC94" s="509"/>
      <c r="BD94" s="509"/>
      <c r="BE94" s="509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>
        <f>SOURCE!BR134-BR93</f>
        <v>614.29136579362341</v>
      </c>
      <c r="BS94" s="109">
        <f>BR94*(BS93/BR93)*(1+Assumptions!BS41/100)</f>
        <v>622.27715354894065</v>
      </c>
      <c r="BT94" s="109">
        <f>BS94*(BT93/BS93)*(1+Assumptions!BT41/100)</f>
        <v>945.55013481761512</v>
      </c>
      <c r="BU94" s="109">
        <f ca="1">BT94*(BU93/BT93)*(1+Assumptions!BU41/100)</f>
        <v>2407.7020891139337</v>
      </c>
      <c r="BV94" s="109">
        <f ca="1">BU94*(BV93/BU93)*(1+Assumptions!BV41/100)</f>
        <v>2978.0371932626731</v>
      </c>
      <c r="BW94" s="109">
        <f ca="1">BV94*(BW93/BV93)*(1+Assumptions!BW41/100)</f>
        <v>3675.8719291066027</v>
      </c>
      <c r="BX94" s="109">
        <f ca="1">BW94*(BX93/BW93)*(1+Assumptions!BX41/100)</f>
        <v>4193.7849349124308</v>
      </c>
      <c r="BY94" s="109">
        <f ca="1">BX94*(BY93/BX93)*(1+Assumptions!BY41/100)</f>
        <v>4810.2010367559005</v>
      </c>
      <c r="BZ94" s="109">
        <f ca="1">BY94*(BZ93/BY93)*(1+Assumptions!BZ41/100)</f>
        <v>5577.7426472318375</v>
      </c>
      <c r="CA94" s="109">
        <f ca="1">BZ94*(CA93/BZ93)*(1+Assumptions!CA41/100)</f>
        <v>6533.3334921456426</v>
      </c>
      <c r="CB94" s="109">
        <f ca="1">CA94*(CB93/CA93)*(1+Assumptions!CB41/100)</f>
        <v>7748.0372223930235</v>
      </c>
      <c r="CC94" s="109">
        <f ca="1">CB94*(CC93/CB93)*(1+Assumptions!CC41/100)</f>
        <v>9321.5065489476729</v>
      </c>
      <c r="CD94" s="109">
        <f ca="1">CC94*(CD93/CC93)*(1+Assumptions!CD41/100)</f>
        <v>11406.554575257423</v>
      </c>
      <c r="CE94" s="109">
        <f ca="1">CD94*(CE93/CD93)*(1+Assumptions!CE41/100)</f>
        <v>14243.087672388427</v>
      </c>
      <c r="CF94" s="109">
        <f ca="1">CE94*(CF93/CE93)*(1+Assumptions!CF41/100)</f>
        <v>18219.923986228536</v>
      </c>
      <c r="CG94" s="109">
        <f ca="1">CF94*(CG93/CF93)*(1+Assumptions!CG41/100)</f>
        <v>23990.256065048521</v>
      </c>
      <c r="CH94" s="141"/>
      <c r="CI94" s="106">
        <f t="shared" si="221"/>
        <v>0</v>
      </c>
      <c r="CJ94" s="106">
        <f t="shared" si="222"/>
        <v>0</v>
      </c>
      <c r="CK94" s="106">
        <f t="shared" si="222"/>
        <v>0</v>
      </c>
      <c r="CL94" s="106">
        <f t="shared" si="222"/>
        <v>0</v>
      </c>
      <c r="CM94" s="106">
        <f t="shared" ca="1" si="222"/>
        <v>70.47793719380752</v>
      </c>
      <c r="CN94" s="106">
        <f t="shared" ca="1" si="222"/>
        <v>189.25709269365598</v>
      </c>
      <c r="CO94" s="106">
        <f t="shared" ca="1" si="222"/>
        <v>191.92720908984529</v>
      </c>
      <c r="CP94" s="106">
        <f t="shared" ca="1" si="222"/>
        <v>138.5880293225855</v>
      </c>
      <c r="CQ94" s="106">
        <f t="shared" ca="1" si="222"/>
        <v>56.451991283362077</v>
      </c>
      <c r="CR94" s="106">
        <f t="shared" ca="1" si="222"/>
        <v>-66.789840798442128</v>
      </c>
      <c r="CS94" s="106">
        <f t="shared" ca="1" si="222"/>
        <v>-164.80532880310875</v>
      </c>
      <c r="CT94" s="106">
        <f t="shared" ca="1" si="222"/>
        <v>-256.90757722167928</v>
      </c>
      <c r="CU94" s="106">
        <f t="shared" ca="1" si="222"/>
        <v>-462.30905916574375</v>
      </c>
      <c r="CV94" s="106">
        <f t="shared" ca="1" si="223"/>
        <v>-795.55922128162638</v>
      </c>
      <c r="CW94" s="106">
        <f t="shared" ca="1" si="224"/>
        <v>-1322.7261750414273</v>
      </c>
      <c r="CX94" s="106">
        <f t="shared" ca="1" si="225"/>
        <v>-2168.7074294118647</v>
      </c>
      <c r="CY94" s="106">
        <f t="shared" ca="1" si="226"/>
        <v>-3562.4492349008506</v>
      </c>
      <c r="CZ94" s="134"/>
      <c r="DA94" s="135"/>
      <c r="DB94" s="135">
        <v>614.29136579362341</v>
      </c>
      <c r="DC94" s="135">
        <v>622.27715354894065</v>
      </c>
      <c r="DD94" s="135">
        <v>945.55013481761512</v>
      </c>
      <c r="DE94" s="135">
        <v>2337.2241519201261</v>
      </c>
      <c r="DF94" s="135">
        <v>2788.7801005690171</v>
      </c>
      <c r="DG94" s="135">
        <v>3483.9447200167574</v>
      </c>
      <c r="DH94" s="135">
        <v>4055.1969055898453</v>
      </c>
      <c r="DI94" s="135">
        <v>4753.7490454725385</v>
      </c>
      <c r="DJ94" s="135">
        <v>5644.5324880302796</v>
      </c>
      <c r="DK94" s="135">
        <v>6698.1388209487513</v>
      </c>
      <c r="DL94" s="135">
        <v>8004.9447996147028</v>
      </c>
      <c r="DM94" s="135">
        <v>9783.8156081134166</v>
      </c>
      <c r="DN94" s="135">
        <v>12202.11379653905</v>
      </c>
      <c r="DO94" s="135">
        <v>15565.813847429854</v>
      </c>
      <c r="DP94" s="135">
        <v>20388.631415640401</v>
      </c>
      <c r="DQ94" s="135">
        <v>27552.705299949372</v>
      </c>
    </row>
    <row r="95" spans="1:121" s="123" customFormat="1">
      <c r="A95" s="178" t="s">
        <v>3426</v>
      </c>
      <c r="B95" s="107"/>
      <c r="C95" s="136" t="s">
        <v>1579</v>
      </c>
      <c r="D95" s="147"/>
      <c r="E95" s="107"/>
      <c r="F95" s="513"/>
      <c r="G95" s="509"/>
      <c r="H95" s="509"/>
      <c r="I95" s="509"/>
      <c r="J95" s="509"/>
      <c r="K95" s="509"/>
      <c r="L95" s="509"/>
      <c r="M95" s="509"/>
      <c r="N95" s="509"/>
      <c r="O95" s="509"/>
      <c r="P95" s="509"/>
      <c r="Q95" s="509"/>
      <c r="R95" s="509"/>
      <c r="S95" s="509"/>
      <c r="T95" s="509"/>
      <c r="U95" s="509"/>
      <c r="V95" s="509"/>
      <c r="W95" s="509"/>
      <c r="X95" s="509"/>
      <c r="Y95" s="509"/>
      <c r="Z95" s="509"/>
      <c r="AA95" s="509"/>
      <c r="AB95" s="509"/>
      <c r="AC95" s="509"/>
      <c r="AD95" s="509"/>
      <c r="AE95" s="509"/>
      <c r="AF95" s="509"/>
      <c r="AG95" s="509"/>
      <c r="AH95" s="509"/>
      <c r="AI95" s="509"/>
      <c r="AJ95" s="509"/>
      <c r="AK95" s="509"/>
      <c r="AL95" s="509"/>
      <c r="AM95" s="509"/>
      <c r="AN95" s="509"/>
      <c r="AO95" s="509"/>
      <c r="AP95" s="509"/>
      <c r="AQ95" s="509"/>
      <c r="AR95" s="509"/>
      <c r="AS95" s="509"/>
      <c r="AT95" s="509"/>
      <c r="AU95" s="509"/>
      <c r="AV95" s="509"/>
      <c r="AW95" s="509"/>
      <c r="AX95" s="509"/>
      <c r="AY95" s="509"/>
      <c r="AZ95" s="509"/>
      <c r="BA95" s="509"/>
      <c r="BB95" s="509"/>
      <c r="BC95" s="509"/>
      <c r="BD95" s="509"/>
      <c r="BE95" s="509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3">
        <f>BR92-BR93-BR94</f>
        <v>2531</v>
      </c>
      <c r="BS95" s="143">
        <f>BS92-BS93-BS94</f>
        <v>2934.39</v>
      </c>
      <c r="BT95" s="143">
        <f>BT92-BT93-BT94</f>
        <v>1425.9241049999998</v>
      </c>
      <c r="BU95" s="109">
        <f ca="1">BT95*(1+BU237/100)*(1+Assumptions!BU42/100)</f>
        <v>619.9055641129994</v>
      </c>
      <c r="BV95" s="109">
        <f ca="1">BU95*(1+BV237/100)*(1+Assumptions!BV42/100)</f>
        <v>733.97200490942339</v>
      </c>
      <c r="BW95" s="109">
        <f ca="1">BV95*(1+BW237/100)*(1+Assumptions!BW42/100)</f>
        <v>868.03118344074062</v>
      </c>
      <c r="BX95" s="109">
        <f ca="1">BW95*(1+BX237/100)*(1+Assumptions!BX42/100)</f>
        <v>948.86993935611486</v>
      </c>
      <c r="BY95" s="109">
        <f ca="1">BX95*(1+BY237/100)*(1+Assumptions!BY42/100)</f>
        <v>1074.3710941186146</v>
      </c>
      <c r="BZ95" s="109">
        <f ca="1">BY95*(1+BZ237/100)*(1+Assumptions!BZ42/100)</f>
        <v>1229.8159310084777</v>
      </c>
      <c r="CA95" s="109">
        <f ca="1">BZ95*(1+CA237/100)*(1+Assumptions!CA42/100)</f>
        <v>1422.0243203771979</v>
      </c>
      <c r="CB95" s="109">
        <f ca="1">CA95*(1+CB237/100)*(1+Assumptions!CB42/100)</f>
        <v>1664.770800653881</v>
      </c>
      <c r="CC95" s="109">
        <f ca="1">CB95*(1+CC237/100)*(1+Assumptions!CC42/100)</f>
        <v>1977.1490716003455</v>
      </c>
      <c r="CD95" s="109">
        <f ca="1">CC95*(1+CD237/100)*(1+Assumptions!CD42/100)</f>
        <v>2388.3520502947054</v>
      </c>
      <c r="CE95" s="109">
        <f ca="1">CD95*(1+CE237/100)*(1+Assumptions!CE42/100)</f>
        <v>2944.0051336595861</v>
      </c>
      <c r="CF95" s="109">
        <f ca="1">CE95*(1+CF237/100)*(1+Assumptions!CF42/100)</f>
        <v>3717.6759401963418</v>
      </c>
      <c r="CG95" s="109">
        <f ca="1">CF95*(1+CG237/100)*(1+Assumptions!CG42/100)</f>
        <v>4832.2612766052207</v>
      </c>
      <c r="CH95" s="141"/>
      <c r="CI95" s="106">
        <f t="shared" si="221"/>
        <v>0</v>
      </c>
      <c r="CJ95" s="106">
        <f t="shared" si="222"/>
        <v>0</v>
      </c>
      <c r="CK95" s="106">
        <f t="shared" si="222"/>
        <v>0</v>
      </c>
      <c r="CL95" s="106">
        <f t="shared" si="222"/>
        <v>0</v>
      </c>
      <c r="CM95" s="106">
        <f t="shared" ca="1" si="222"/>
        <v>18.145793705618303</v>
      </c>
      <c r="CN95" s="106">
        <f t="shared" ca="1" si="222"/>
        <v>46.644618167278509</v>
      </c>
      <c r="CO95" s="106">
        <f t="shared" ca="1" si="222"/>
        <v>45.322254325989888</v>
      </c>
      <c r="CP95" s="106">
        <f t="shared" ca="1" si="222"/>
        <v>31.356404064518642</v>
      </c>
      <c r="CQ95" s="106">
        <f t="shared" ca="1" si="222"/>
        <v>12.608701211619973</v>
      </c>
      <c r="CR95" s="106">
        <f t="shared" ca="1" si="222"/>
        <v>-14.726245981285501</v>
      </c>
      <c r="CS95" s="106">
        <f t="shared" ca="1" si="222"/>
        <v>-35.870996937095924</v>
      </c>
      <c r="CT95" s="106">
        <f t="shared" ca="1" si="222"/>
        <v>-55.200074644619235</v>
      </c>
      <c r="CU95" s="106">
        <f t="shared" ca="1" si="222"/>
        <v>-98.058604831980119</v>
      </c>
      <c r="CV95" s="106">
        <f t="shared" ca="1" si="223"/>
        <v>-166.57751337116179</v>
      </c>
      <c r="CW95" s="106">
        <f t="shared" ca="1" si="224"/>
        <v>-273.40368460253103</v>
      </c>
      <c r="CX95" s="106">
        <f t="shared" ca="1" si="225"/>
        <v>-442.51290168628566</v>
      </c>
      <c r="CY95" s="106">
        <f t="shared" ca="1" si="226"/>
        <v>-717.56989341866392</v>
      </c>
      <c r="CZ95" s="134"/>
      <c r="DA95" s="135"/>
      <c r="DB95" s="135">
        <v>2531</v>
      </c>
      <c r="DC95" s="135">
        <v>2934.39</v>
      </c>
      <c r="DD95" s="135">
        <v>1425.9241049999998</v>
      </c>
      <c r="DE95" s="135">
        <v>601.7597704073811</v>
      </c>
      <c r="DF95" s="135">
        <v>687.32738674214488</v>
      </c>
      <c r="DG95" s="135">
        <v>822.70892911475073</v>
      </c>
      <c r="DH95" s="135">
        <v>917.51353529159621</v>
      </c>
      <c r="DI95" s="135">
        <v>1061.7623929069946</v>
      </c>
      <c r="DJ95" s="135">
        <v>1244.5421769897632</v>
      </c>
      <c r="DK95" s="135">
        <v>1457.8953173142938</v>
      </c>
      <c r="DL95" s="135">
        <v>1719.9708752985002</v>
      </c>
      <c r="DM95" s="135">
        <v>2075.2076764323256</v>
      </c>
      <c r="DN95" s="135">
        <v>2554.9295636658671</v>
      </c>
      <c r="DO95" s="135">
        <v>3217.4088182621172</v>
      </c>
      <c r="DP95" s="135">
        <v>4160.1888418826275</v>
      </c>
      <c r="DQ95" s="135">
        <v>5549.8311700238846</v>
      </c>
    </row>
    <row r="96" spans="1:121" s="123" customFormat="1">
      <c r="A96" s="179" t="s">
        <v>3069</v>
      </c>
      <c r="B96" s="107"/>
      <c r="C96" s="136" t="s">
        <v>1579</v>
      </c>
      <c r="D96" s="147"/>
      <c r="E96" s="107"/>
      <c r="F96" s="513">
        <f>+mamiabc!F57+mamiabc!F58</f>
        <v>4.1000000000000003E-3</v>
      </c>
      <c r="G96" s="509">
        <f>+mamiabc!G57+mamiabc!G58</f>
        <v>4.7000000000000002E-3</v>
      </c>
      <c r="H96" s="509">
        <f>+mamiabc!H57+mamiabc!H58</f>
        <v>4.8292470574378974E-3</v>
      </c>
      <c r="I96" s="509">
        <f>+mamiabc!I57+mamiabc!I58</f>
        <v>5.9897927641868586E-3</v>
      </c>
      <c r="J96" s="509">
        <f>+mamiabc!J57+mamiabc!J58</f>
        <v>6.753330677747727E-3</v>
      </c>
      <c r="K96" s="509">
        <f>+mamiabc!K57+mamiabc!K58</f>
        <v>7.2904055714607232E-3</v>
      </c>
      <c r="L96" s="509">
        <f>+mamiabc!L57+mamiabc!L58</f>
        <v>8.8194810152053826E-3</v>
      </c>
      <c r="M96" s="509">
        <f>+mamiabc!M57+mamiabc!M58</f>
        <v>1.004525649547577E-2</v>
      </c>
      <c r="N96" s="509">
        <f>+mamiabc!N57+mamiabc!N58</f>
        <v>1.0446951687335969E-2</v>
      </c>
      <c r="O96" s="509">
        <f>+mamiabc!O57+mamiabc!O58</f>
        <v>1.040953904390335E-2</v>
      </c>
      <c r="P96" s="509">
        <f>+mamiabc!P57+mamiabc!P58</f>
        <v>1.1362777173519134E-2</v>
      </c>
      <c r="Q96" s="509">
        <f>+mamiabc!Q57+mamiabc!Q58</f>
        <v>1.2724199533462524E-2</v>
      </c>
      <c r="R96" s="509">
        <f>+mamiabc!R57+mamiabc!R58</f>
        <v>1.4160399675369263E-2</v>
      </c>
      <c r="S96" s="509">
        <f>+mamiabc!S57+mamiabc!S58</f>
        <v>1.424910032749176E-2</v>
      </c>
      <c r="T96" s="509">
        <f>+mamiabc!T57+mamiabc!T58</f>
        <v>1.5318400204181671E-2</v>
      </c>
      <c r="U96" s="509">
        <f>+mamiabc!U57+mamiabc!U58</f>
        <v>1.7935500204563141E-2</v>
      </c>
      <c r="V96" s="509">
        <f>+mamiabc!V57+mamiabc!V58</f>
        <v>2.0518899321556091E-2</v>
      </c>
      <c r="W96" s="509">
        <f>+mamiabc!W57+mamiabc!W58</f>
        <v>2.0279100358486176E-2</v>
      </c>
      <c r="X96" s="509">
        <f>+mamiabc!X57+mamiabc!X58</f>
        <v>2.431570015102625E-2</v>
      </c>
      <c r="Y96" s="509">
        <f>+mamiabc!Y57+mamiabc!Y58</f>
        <v>2.4016500093042851E-2</v>
      </c>
      <c r="Z96" s="509">
        <f>+mamiabc!Z57+mamiabc!Z58</f>
        <v>2.8770999908447267E-2</v>
      </c>
      <c r="AA96" s="509">
        <f>+mamiabc!AA57+mamiabc!AA58</f>
        <v>2.1100000739097596E-2</v>
      </c>
      <c r="AB96" s="509">
        <f>+mamiabc!AB57+mamiabc!AB58</f>
        <v>1.0000000357627868E-2</v>
      </c>
      <c r="AC96" s="509">
        <f>+mamiabc!AC57+mamiabc!AC58</f>
        <v>2.6299999594688418E-2</v>
      </c>
      <c r="AD96" s="509">
        <f>+mamiabc!AD57+mamiabc!AD58</f>
        <v>4.0400000572204588E-2</v>
      </c>
      <c r="AE96" s="509">
        <f>+mamiabc!AE57+mamiabc!AE58</f>
        <v>3.289999997615814E-2</v>
      </c>
      <c r="AF96" s="509">
        <f>+mamiabc!AF57+mamiabc!AF58</f>
        <v>3.5000000000000003E-2</v>
      </c>
      <c r="AG96" s="509">
        <f>+mamiabc!AG57+mamiabc!AG58</f>
        <v>3.5900001525878911E-2</v>
      </c>
      <c r="AH96" s="509">
        <f>+mamiabc!AH57+mamiabc!AH58</f>
        <v>3.2000000000000001E-2</v>
      </c>
      <c r="AI96" s="509">
        <f>+mamiabc!AI57+mamiabc!AI58</f>
        <v>3.5799999237060551E-2</v>
      </c>
      <c r="AJ96" s="509">
        <f>+mamiabc!AJ57+mamiabc!AJ58</f>
        <v>5.0200000762939456E-2</v>
      </c>
      <c r="AK96" s="509">
        <f>+mamiabc!AK57+mamiabc!AK58</f>
        <v>4.9400001525878909E-2</v>
      </c>
      <c r="AL96" s="509">
        <f>+mamiabc!AL57+mamiabc!AL58</f>
        <v>2.8299999237060544E-2</v>
      </c>
      <c r="AM96" s="509">
        <f>+mamiabc!AM57+mamiabc!AM58</f>
        <v>2.6899999618530276E-2</v>
      </c>
      <c r="AN96" s="509">
        <f>+mamiabc!AN57+mamiabc!AN58</f>
        <v>5.9299999237060551E-2</v>
      </c>
      <c r="AO96" s="509">
        <f>+mamiabc!AO57+mamiabc!AO58</f>
        <v>5.2400001525878911E-2</v>
      </c>
      <c r="AP96" s="509">
        <f>+mamiabc!AP57+mamiabc!AP58</f>
        <v>0.11</v>
      </c>
      <c r="AQ96" s="509">
        <f>+mamiabc!AQ57+mamiabc!AQ58</f>
        <v>0.20599999999999999</v>
      </c>
      <c r="AR96" s="509">
        <f>+mamiabc!AR57+mamiabc!AR58</f>
        <v>0.20599999999999999</v>
      </c>
      <c r="AS96" s="509">
        <f>+mamiabc!AS57+mamiabc!AS58</f>
        <v>0.33</v>
      </c>
      <c r="AT96" s="509">
        <f>+mamiabc!AT57+mamiabc!AT58</f>
        <v>2.2730000000000001</v>
      </c>
      <c r="AU96" s="509">
        <f>+mamiabc!AU57+mamiabc!AU58</f>
        <v>11.994062111801242</v>
      </c>
      <c r="AV96" s="509">
        <f>+mamiabc!AV57+mamiabc!AV58</f>
        <v>15.35726</v>
      </c>
      <c r="AW96" s="509">
        <f>+mamiabc!AW57+mamiabc!AW58</f>
        <v>10.82249</v>
      </c>
      <c r="AX96" s="509">
        <f>+mamiabc!AX57+mamiabc!AX58</f>
        <v>20.556999999999999</v>
      </c>
      <c r="AY96" s="509">
        <f>+mamiabc!AY57+mamiabc!AY58</f>
        <v>20.725999999999999</v>
      </c>
      <c r="AZ96" s="509">
        <f>+mamiabc!AZ57+mamiabc!AZ58</f>
        <v>41.378999999999998</v>
      </c>
      <c r="BA96" s="509">
        <f>+mamiabc!BA57+mamiabc!BA58</f>
        <v>116.916</v>
      </c>
      <c r="BB96" s="509">
        <f>+mamiabc!BB57+mamiabc!BB58</f>
        <v>129.059</v>
      </c>
      <c r="BC96" s="509">
        <f>+mamiabc!BC57+mamiabc!BC58</f>
        <v>135.66129999999998</v>
      </c>
      <c r="BD96" s="509">
        <f>+mamiabc!BD57+mamiabc!BD58</f>
        <v>189.285</v>
      </c>
      <c r="BE96" s="509">
        <f ca="1">+mamiabc!BE57+mamiabc!BE58</f>
        <v>209.02081638360252</v>
      </c>
      <c r="BF96" s="140">
        <f>SOURCE!BF333</f>
        <v>108.4</v>
      </c>
      <c r="BG96" s="140">
        <f>SOURCE!BG333</f>
        <v>97.2</v>
      </c>
      <c r="BH96" s="140">
        <f>SOURCE!BH333</f>
        <v>61.6</v>
      </c>
      <c r="BI96" s="140">
        <f>SOURCE!BI333</f>
        <v>133.30000000000001</v>
      </c>
      <c r="BJ96" s="140">
        <f>SOURCE!BJ333</f>
        <v>103.6</v>
      </c>
      <c r="BK96" s="140">
        <f>SOURCE!BK333</f>
        <v>139.80000000000001</v>
      </c>
      <c r="BL96" s="140">
        <f>SOURCE!BL333</f>
        <v>140.6</v>
      </c>
      <c r="BM96" s="140">
        <f>SOURCE!BM333</f>
        <v>225.7</v>
      </c>
      <c r="BN96" s="140">
        <f>SOURCE!BN333</f>
        <v>152.80000000000001</v>
      </c>
      <c r="BO96" s="140">
        <f>SOURCE!BO333</f>
        <v>248.9</v>
      </c>
      <c r="BP96" s="140">
        <f>SOURCE!BP333</f>
        <v>516</v>
      </c>
      <c r="BQ96" s="140">
        <f>SOURCE!BQ333</f>
        <v>1031</v>
      </c>
      <c r="BR96" s="140">
        <f>SOURCE!BR333</f>
        <v>1010</v>
      </c>
      <c r="BS96" s="140">
        <f>SOURCE!BS333</f>
        <v>893</v>
      </c>
      <c r="BT96" s="140">
        <f>SOURCE!BT333</f>
        <v>1242</v>
      </c>
      <c r="BU96" s="123">
        <f t="shared" ref="BU96:CB96" ca="1" si="237">+BU109+BU110</f>
        <v>1662.6612490138846</v>
      </c>
      <c r="BV96" s="123">
        <f t="shared" ca="1" si="237"/>
        <v>1657.9911069580469</v>
      </c>
      <c r="BW96" s="123">
        <f t="shared" ca="1" si="237"/>
        <v>1757.9895763320087</v>
      </c>
      <c r="BX96" s="123">
        <f t="shared" ca="1" si="237"/>
        <v>1864.5389249258128</v>
      </c>
      <c r="BY96" s="123">
        <f t="shared" ca="1" si="237"/>
        <v>1983.1337574409831</v>
      </c>
      <c r="BZ96" s="123">
        <f t="shared" ca="1" si="237"/>
        <v>2118.4585866671482</v>
      </c>
      <c r="CA96" s="123">
        <f t="shared" ca="1" si="237"/>
        <v>2276.4767794769045</v>
      </c>
      <c r="CB96" s="123">
        <f t="shared" ca="1" si="237"/>
        <v>2465.8136505757843</v>
      </c>
      <c r="CC96" s="123">
        <f ca="1">+CC109+CC110</f>
        <v>2698.0939773909736</v>
      </c>
      <c r="CD96" s="123">
        <f ca="1">+CD109+CD110</f>
        <v>2989.2539045329759</v>
      </c>
      <c r="CE96" s="123">
        <f ca="1">+CE109+CE110</f>
        <v>3361.3590972078669</v>
      </c>
      <c r="CF96" s="123">
        <f ca="1">+CF109+CF110</f>
        <v>3845.2467879633455</v>
      </c>
      <c r="CG96" s="123">
        <f ca="1">+CG109+CG110</f>
        <v>4484.3767783981675</v>
      </c>
      <c r="CI96" s="106">
        <f t="shared" si="221"/>
        <v>0</v>
      </c>
      <c r="CJ96" s="106">
        <f t="shared" si="222"/>
        <v>0</v>
      </c>
      <c r="CK96" s="106">
        <f t="shared" si="222"/>
        <v>0</v>
      </c>
      <c r="CL96" s="106">
        <f t="shared" si="222"/>
        <v>0</v>
      </c>
      <c r="CM96" s="106">
        <f t="shared" ca="1" si="222"/>
        <v>-19.713549562798107</v>
      </c>
      <c r="CN96" s="106">
        <f t="shared" ca="1" si="222"/>
        <v>-177.66238691185936</v>
      </c>
      <c r="CO96" s="106">
        <f t="shared" ca="1" si="222"/>
        <v>-332.25681136459161</v>
      </c>
      <c r="CP96" s="106">
        <f t="shared" ca="1" si="222"/>
        <v>-495.82581927571937</v>
      </c>
      <c r="CQ96" s="106">
        <f t="shared" ca="1" si="222"/>
        <v>-669.64560292469378</v>
      </c>
      <c r="CR96" s="106">
        <f t="shared" ca="1" si="222"/>
        <v>-722.73573180619769</v>
      </c>
      <c r="CS96" s="106">
        <f t="shared" ca="1" si="222"/>
        <v>-785.79450893755211</v>
      </c>
      <c r="CT96" s="106">
        <f t="shared" ca="1" si="222"/>
        <v>-855.0706871055736</v>
      </c>
      <c r="CU96" s="106">
        <f t="shared" ca="1" si="222"/>
        <v>-938.40285320938392</v>
      </c>
      <c r="CV96" s="106">
        <f t="shared" ca="1" si="223"/>
        <v>-1043.1112427515004</v>
      </c>
      <c r="CW96" s="106">
        <f t="shared" ca="1" si="224"/>
        <v>-1179.9384239767119</v>
      </c>
      <c r="CX96" s="106">
        <f t="shared" ca="1" si="225"/>
        <v>-1365.6344397863036</v>
      </c>
      <c r="CY96" s="106">
        <f t="shared" ca="1" si="226"/>
        <v>-1626.9209510734072</v>
      </c>
      <c r="CZ96" s="134"/>
      <c r="DA96" s="135">
        <v>1031</v>
      </c>
      <c r="DB96" s="135">
        <v>1010</v>
      </c>
      <c r="DC96" s="135">
        <v>893</v>
      </c>
      <c r="DD96" s="135">
        <v>1242</v>
      </c>
      <c r="DE96" s="135">
        <v>1682.3747985766827</v>
      </c>
      <c r="DF96" s="135">
        <v>1835.6534938699062</v>
      </c>
      <c r="DG96" s="135">
        <v>2090.2463876966003</v>
      </c>
      <c r="DH96" s="135">
        <v>2360.3647442015322</v>
      </c>
      <c r="DI96" s="135">
        <v>2652.7793603656769</v>
      </c>
      <c r="DJ96" s="135">
        <v>2841.1943184733459</v>
      </c>
      <c r="DK96" s="135">
        <v>3062.2712884144566</v>
      </c>
      <c r="DL96" s="135">
        <v>3320.8843376813579</v>
      </c>
      <c r="DM96" s="135">
        <v>3636.4968306003575</v>
      </c>
      <c r="DN96" s="135">
        <v>4032.3651472844763</v>
      </c>
      <c r="DO96" s="135">
        <v>4541.2975211845787</v>
      </c>
      <c r="DP96" s="135">
        <v>5210.881227749649</v>
      </c>
      <c r="DQ96" s="135">
        <v>6111.2977294715747</v>
      </c>
    </row>
    <row r="97" spans="1:121" s="123" customFormat="1">
      <c r="A97" s="138" t="s">
        <v>1335</v>
      </c>
      <c r="B97" s="107"/>
      <c r="C97" s="136" t="s">
        <v>1579</v>
      </c>
      <c r="D97" s="147"/>
      <c r="E97" s="107"/>
      <c r="F97" s="513">
        <f>+mamiabc!F50</f>
        <v>3.0000000000000001E-3</v>
      </c>
      <c r="G97" s="509">
        <f>+mamiabc!G50</f>
        <v>2.8E-3</v>
      </c>
      <c r="H97" s="509">
        <f>+mamiabc!H50</f>
        <v>6.5999999046325681E-3</v>
      </c>
      <c r="I97" s="509">
        <f>+mamiabc!I50</f>
        <v>8.8000001907348625E-3</v>
      </c>
      <c r="J97" s="509">
        <f>+mamiabc!J50</f>
        <v>9.6999998092651366E-3</v>
      </c>
      <c r="K97" s="509">
        <f>+mamiabc!K50</f>
        <v>1.3600000381469727E-2</v>
      </c>
      <c r="L97" s="509">
        <f>+mamiabc!L50</f>
        <v>2.0299999237060547E-2</v>
      </c>
      <c r="M97" s="509">
        <f>+mamiabc!M50</f>
        <v>1.7799999237060545E-2</v>
      </c>
      <c r="N97" s="509">
        <f>+mamiabc!N50</f>
        <v>1.4999999999999999E-2</v>
      </c>
      <c r="O97" s="509">
        <f>+mamiabc!O50</f>
        <v>1.3899999618530274E-2</v>
      </c>
      <c r="P97" s="509">
        <f>+mamiabc!P50</f>
        <v>1.4E-2</v>
      </c>
      <c r="Q97" s="509">
        <f>+mamiabc!Q50</f>
        <v>1.6100000381469727E-2</v>
      </c>
      <c r="R97" s="509">
        <f>+mamiabc!R50</f>
        <v>2.1799999237060545E-2</v>
      </c>
      <c r="S97" s="509">
        <f>+mamiabc!S50</f>
        <v>2.4500000000000001E-2</v>
      </c>
      <c r="T97" s="509">
        <f>+mamiabc!T50</f>
        <v>1.8799999237060546E-2</v>
      </c>
      <c r="U97" s="509">
        <f>+mamiabc!U50</f>
        <v>2.4299999237060547E-2</v>
      </c>
      <c r="V97" s="509">
        <f>+mamiabc!V50</f>
        <v>3.15E-2</v>
      </c>
      <c r="W97" s="509">
        <f>+mamiabc!W50</f>
        <v>2.8399999618530274E-2</v>
      </c>
      <c r="X97" s="509">
        <f>+mamiabc!X50</f>
        <v>4.0900001525878908E-2</v>
      </c>
      <c r="Y97" s="509">
        <f>+mamiabc!Y50</f>
        <v>4.1400001525878909E-2</v>
      </c>
      <c r="Z97" s="509">
        <f>+mamiabc!Z50</f>
        <v>4.3299999237060544E-2</v>
      </c>
      <c r="AA97" s="509">
        <f>+mamiabc!AA50</f>
        <v>7.3410003662109369E-2</v>
      </c>
      <c r="AB97" s="509">
        <f>+mamiabc!AB50</f>
        <v>0.12026000213623046</v>
      </c>
      <c r="AC97" s="509">
        <f>+mamiabc!AC50</f>
        <v>0.13771000671386718</v>
      </c>
      <c r="AD97" s="509">
        <f>+mamiabc!AD50</f>
        <v>0.13914999389648439</v>
      </c>
      <c r="AE97" s="509">
        <f>+mamiabc!AE50</f>
        <v>0.13571000671386718</v>
      </c>
      <c r="AF97" s="509">
        <f>+mamiabc!AF50</f>
        <v>0.12849000549316406</v>
      </c>
      <c r="AG97" s="509">
        <f>+mamiabc!AG50</f>
        <v>0.17553999328613282</v>
      </c>
      <c r="AH97" s="509">
        <f>+mamiabc!AH50</f>
        <v>0.18494000244140624</v>
      </c>
      <c r="AI97" s="509">
        <f>+mamiabc!AI50</f>
        <v>0.11944999694824218</v>
      </c>
      <c r="AJ97" s="509">
        <f>+mamiabc!AJ50</f>
        <v>8.50999984741211E-2</v>
      </c>
      <c r="AK97" s="509">
        <f>+mamiabc!AK50</f>
        <v>5.5889999389648434E-2</v>
      </c>
      <c r="AL97" s="509">
        <f>+mamiabc!AL50</f>
        <v>4.0840000152587888E-2</v>
      </c>
      <c r="AM97" s="509">
        <f>+mamiabc!AM50</f>
        <v>4.2999999999999997E-2</v>
      </c>
      <c r="AN97" s="509">
        <f>+mamiabc!AN50</f>
        <v>2.7E-2</v>
      </c>
      <c r="AO97" s="509">
        <f>+mamiabc!AO50</f>
        <v>0.08</v>
      </c>
      <c r="AP97" s="509">
        <f>+mamiabc!AP50</f>
        <v>9.3859999999999999E-2</v>
      </c>
      <c r="AQ97" s="509">
        <f>+mamiabc!AQ50</f>
        <v>0.11756</v>
      </c>
      <c r="AR97" s="509">
        <f>+mamiabc!AR50</f>
        <v>0.11655</v>
      </c>
      <c r="AS97" s="509">
        <f>+mamiabc!AS50</f>
        <v>0.39944000000000002</v>
      </c>
      <c r="AT97" s="509">
        <f>+mamiabc!AT50</f>
        <v>7.1788599999999994</v>
      </c>
      <c r="AU97" s="509">
        <f>+mamiabc!AU50</f>
        <v>85.748589999999993</v>
      </c>
      <c r="AV97" s="509">
        <f>+mamiabc!AV50</f>
        <v>48.477849999999997</v>
      </c>
      <c r="AW97" s="509">
        <f>+mamiabc!AW50</f>
        <v>53.651620000000001</v>
      </c>
      <c r="AX97" s="509">
        <f>+mamiabc!AX50</f>
        <v>49.128999999999998</v>
      </c>
      <c r="AY97" s="509">
        <f>+mamiabc!AY50</f>
        <v>43.383000000000003</v>
      </c>
      <c r="AZ97" s="509">
        <f>+mamiabc!AZ50</f>
        <v>27.5</v>
      </c>
      <c r="BA97" s="509">
        <f>+mamiabc!BA50</f>
        <v>39.198</v>
      </c>
      <c r="BB97" s="509">
        <f>+mamiabc!BB50</f>
        <v>67.953000000000003</v>
      </c>
      <c r="BC97" s="509">
        <f>+mamiabc!BC50</f>
        <v>47.667000000000002</v>
      </c>
      <c r="BD97" s="509">
        <f ca="1">+mamiabc!BD50</f>
        <v>98.202947762106049</v>
      </c>
      <c r="BE97" s="509">
        <f ca="1">+mamiabc!BE50</f>
        <v>102.5797093395288</v>
      </c>
      <c r="BF97" s="140">
        <f>SOURCE!BF335</f>
        <v>305.7</v>
      </c>
      <c r="BG97" s="140">
        <f>SOURCE!BG335</f>
        <v>355</v>
      </c>
      <c r="BH97" s="140">
        <f>SOURCE!BH335</f>
        <v>466</v>
      </c>
      <c r="BI97" s="140">
        <f>SOURCE!BI335</f>
        <v>606.4</v>
      </c>
      <c r="BJ97" s="140">
        <f>SOURCE!BJ335</f>
        <v>552.70000000000005</v>
      </c>
      <c r="BK97" s="140">
        <f>SOURCE!BK335</f>
        <v>696.9</v>
      </c>
      <c r="BL97" s="140">
        <f>SOURCE!BL335</f>
        <v>729.4</v>
      </c>
      <c r="BM97" s="140">
        <f>SOURCE!BM335</f>
        <v>756</v>
      </c>
      <c r="BN97" s="140">
        <f>SOURCE!BN335</f>
        <v>893</v>
      </c>
      <c r="BO97" s="140">
        <f>SOURCE!BO335</f>
        <v>434.1</v>
      </c>
      <c r="BP97" s="140">
        <f>SOURCE!BP335</f>
        <v>736</v>
      </c>
      <c r="BQ97" s="140">
        <f>SOURCE!BQ335</f>
        <v>1237</v>
      </c>
      <c r="BR97" s="140">
        <f>SOURCE!BR335</f>
        <v>1220</v>
      </c>
      <c r="BS97" s="140">
        <f>SOURCE!BS335</f>
        <v>1003</v>
      </c>
      <c r="BT97" s="140">
        <f>SOURCE!BT335</f>
        <v>1003</v>
      </c>
      <c r="BU97" s="109">
        <f>+Assumptions!BU37*BU196</f>
        <v>3835.6800000000003</v>
      </c>
      <c r="BV97" s="109">
        <f>+Assumptions!BV37*BV196</f>
        <v>3835.6800000000003</v>
      </c>
      <c r="BW97" s="109">
        <f>+Assumptions!BW37*BW196</f>
        <v>3835.6800000000003</v>
      </c>
      <c r="BX97" s="109">
        <f>+Assumptions!BX37*BX196</f>
        <v>3835.6800000000003</v>
      </c>
      <c r="BY97" s="109">
        <f>+Assumptions!BY37*BY196</f>
        <v>3835.6800000000003</v>
      </c>
      <c r="BZ97" s="109">
        <f>+Assumptions!BZ37*BZ196</f>
        <v>3835.6800000000003</v>
      </c>
      <c r="CA97" s="109">
        <f>+Assumptions!CA37*CA196</f>
        <v>3835.6800000000003</v>
      </c>
      <c r="CB97" s="109">
        <f>+Assumptions!CB37*CB196</f>
        <v>3835.6800000000003</v>
      </c>
      <c r="CC97" s="109">
        <f>+Assumptions!CC37*CC196</f>
        <v>3835.6800000000003</v>
      </c>
      <c r="CD97" s="109">
        <f>+Assumptions!CD37*CD196</f>
        <v>3835.6800000000003</v>
      </c>
      <c r="CE97" s="109">
        <f>+Assumptions!CE37*CE196</f>
        <v>3835.6800000000003</v>
      </c>
      <c r="CF97" s="109">
        <f>+Assumptions!CF37*CF196</f>
        <v>3835.6800000000003</v>
      </c>
      <c r="CG97" s="109">
        <f>+Assumptions!CG37*CG196</f>
        <v>3835.6800000000003</v>
      </c>
      <c r="CH97" s="141"/>
      <c r="CI97" s="106">
        <f t="shared" si="221"/>
        <v>0</v>
      </c>
      <c r="CJ97" s="106">
        <f t="shared" ref="CJ97:CU98" si="238">BR97-DB97</f>
        <v>0</v>
      </c>
      <c r="CK97" s="106">
        <f t="shared" si="238"/>
        <v>0</v>
      </c>
      <c r="CL97" s="106">
        <f t="shared" si="238"/>
        <v>0</v>
      </c>
      <c r="CM97" s="106">
        <f t="shared" si="238"/>
        <v>-3353.5999999999995</v>
      </c>
      <c r="CN97" s="106">
        <f t="shared" si="238"/>
        <v>-3353.5999999999995</v>
      </c>
      <c r="CO97" s="106">
        <f t="shared" si="238"/>
        <v>-3353.5999999999995</v>
      </c>
      <c r="CP97" s="106">
        <f t="shared" si="238"/>
        <v>-3353.5999999999995</v>
      </c>
      <c r="CQ97" s="106">
        <f t="shared" si="238"/>
        <v>-3353.5999999999995</v>
      </c>
      <c r="CR97" s="106">
        <f t="shared" si="238"/>
        <v>479.46000000000049</v>
      </c>
      <c r="CS97" s="106">
        <f t="shared" si="238"/>
        <v>479.46000000000049</v>
      </c>
      <c r="CT97" s="106">
        <f t="shared" si="238"/>
        <v>479.46000000000049</v>
      </c>
      <c r="CU97" s="106">
        <f t="shared" si="238"/>
        <v>479.46000000000049</v>
      </c>
      <c r="CV97" s="106">
        <f t="shared" si="223"/>
        <v>479.46000000000049</v>
      </c>
      <c r="CW97" s="106">
        <f t="shared" si="224"/>
        <v>479.46000000000049</v>
      </c>
      <c r="CX97" s="106">
        <f t="shared" si="225"/>
        <v>479.46000000000049</v>
      </c>
      <c r="CY97" s="106">
        <f t="shared" si="226"/>
        <v>479.46000000000049</v>
      </c>
      <c r="CZ97" s="134"/>
      <c r="DA97" s="135">
        <v>1237</v>
      </c>
      <c r="DB97" s="135">
        <v>1220</v>
      </c>
      <c r="DC97" s="135">
        <v>1003</v>
      </c>
      <c r="DD97" s="135">
        <v>1003</v>
      </c>
      <c r="DE97" s="135">
        <v>7189.28</v>
      </c>
      <c r="DF97" s="135">
        <v>7189.28</v>
      </c>
      <c r="DG97" s="135">
        <v>7189.28</v>
      </c>
      <c r="DH97" s="135">
        <v>7189.28</v>
      </c>
      <c r="DI97" s="135">
        <v>7189.28</v>
      </c>
      <c r="DJ97" s="135">
        <v>3356.22</v>
      </c>
      <c r="DK97" s="135">
        <v>3356.22</v>
      </c>
      <c r="DL97" s="135">
        <v>3356.22</v>
      </c>
      <c r="DM97" s="135">
        <v>3356.22</v>
      </c>
      <c r="DN97" s="135">
        <v>3356.22</v>
      </c>
      <c r="DO97" s="135">
        <v>3356.22</v>
      </c>
      <c r="DP97" s="135">
        <v>3356.22</v>
      </c>
      <c r="DQ97" s="135">
        <v>3356.22</v>
      </c>
    </row>
    <row r="98" spans="1:121">
      <c r="A98" s="107" t="s">
        <v>511</v>
      </c>
      <c r="C98" s="136" t="s">
        <v>1579</v>
      </c>
      <c r="BI98" s="133"/>
      <c r="BJ98" s="133"/>
      <c r="BK98" s="133"/>
      <c r="BL98" s="133"/>
      <c r="BM98" s="133"/>
      <c r="BN98" s="133"/>
      <c r="BO98" s="133"/>
      <c r="BP98" s="133"/>
      <c r="BQ98" s="133"/>
      <c r="BR98" s="133">
        <f>+(Assumptions!BR55/100)*Model!BR126</f>
        <v>0</v>
      </c>
      <c r="BS98" s="133">
        <f>+(Assumptions!BS55/100)*Model!BS126</f>
        <v>0</v>
      </c>
      <c r="BT98" s="133">
        <f>+(Assumptions!BT55/100)*Model!BT126</f>
        <v>0</v>
      </c>
      <c r="BU98" s="133">
        <f>+(Assumptions!BU55/100)*Model!BU126</f>
        <v>0</v>
      </c>
      <c r="BV98" s="133">
        <f>+(Assumptions!BV55/100)*Model!BV126</f>
        <v>0</v>
      </c>
      <c r="BW98" s="133">
        <f>+(Assumptions!BW55/100)*Model!BW126</f>
        <v>0</v>
      </c>
      <c r="BX98" s="133">
        <f>+(Assumptions!BX55/100)*Model!BX126</f>
        <v>0</v>
      </c>
      <c r="BY98" s="133">
        <f>+(Assumptions!BY55/100)*Model!BY126</f>
        <v>0</v>
      </c>
      <c r="BZ98" s="133">
        <f>+(Assumptions!BZ55/100)*Model!BZ126</f>
        <v>0</v>
      </c>
      <c r="CA98" s="133">
        <f>+(Assumptions!CA55/100)*Model!CA126</f>
        <v>0</v>
      </c>
      <c r="CB98" s="133">
        <f>+(Assumptions!CB55/100)*Model!CB126</f>
        <v>0</v>
      </c>
      <c r="CC98" s="133">
        <f>+(Assumptions!CC55/100)*Model!CC126</f>
        <v>0</v>
      </c>
      <c r="CD98" s="133">
        <f>+(Assumptions!CD55/100)*Model!CD126</f>
        <v>0</v>
      </c>
      <c r="CE98" s="133">
        <f>+(Assumptions!CE55/100)*Model!CE126</f>
        <v>0</v>
      </c>
      <c r="CF98" s="133">
        <f>+(Assumptions!CF55/100)*Model!CF126</f>
        <v>0</v>
      </c>
      <c r="CG98" s="133">
        <f>+(Assumptions!CG55/100)*Model!CG126</f>
        <v>0</v>
      </c>
      <c r="CH98" s="133"/>
      <c r="CI98" s="106">
        <f t="shared" si="221"/>
        <v>0</v>
      </c>
      <c r="CJ98" s="106">
        <f t="shared" si="238"/>
        <v>0</v>
      </c>
      <c r="CK98" s="106">
        <f t="shared" si="238"/>
        <v>0</v>
      </c>
      <c r="CL98" s="106">
        <f t="shared" si="238"/>
        <v>0</v>
      </c>
      <c r="CM98" s="106">
        <f t="shared" si="238"/>
        <v>0</v>
      </c>
      <c r="CN98" s="106">
        <f t="shared" si="238"/>
        <v>0</v>
      </c>
      <c r="CO98" s="106">
        <f t="shared" si="238"/>
        <v>0</v>
      </c>
      <c r="CP98" s="106">
        <f t="shared" si="238"/>
        <v>0</v>
      </c>
      <c r="CQ98" s="106">
        <f t="shared" si="238"/>
        <v>0</v>
      </c>
      <c r="CR98" s="106">
        <f t="shared" si="238"/>
        <v>0</v>
      </c>
      <c r="CS98" s="106">
        <f t="shared" si="238"/>
        <v>0</v>
      </c>
      <c r="CT98" s="106">
        <f t="shared" si="238"/>
        <v>0</v>
      </c>
      <c r="CU98" s="106">
        <f t="shared" si="238"/>
        <v>0</v>
      </c>
      <c r="CV98" s="106">
        <f t="shared" si="223"/>
        <v>0</v>
      </c>
      <c r="CW98" s="106">
        <f t="shared" si="224"/>
        <v>0</v>
      </c>
      <c r="CX98" s="106">
        <f t="shared" si="225"/>
        <v>0</v>
      </c>
      <c r="CY98" s="106">
        <f t="shared" si="226"/>
        <v>0</v>
      </c>
      <c r="DB98" s="104">
        <v>0</v>
      </c>
      <c r="DC98" s="104">
        <v>0</v>
      </c>
      <c r="DD98" s="104">
        <v>0</v>
      </c>
      <c r="DE98" s="104">
        <v>0</v>
      </c>
      <c r="DF98" s="104">
        <v>0</v>
      </c>
      <c r="DG98" s="104">
        <v>0</v>
      </c>
      <c r="DH98" s="104">
        <v>0</v>
      </c>
      <c r="DI98" s="104">
        <v>0</v>
      </c>
      <c r="DJ98" s="104">
        <v>0</v>
      </c>
      <c r="DK98" s="104">
        <v>0</v>
      </c>
      <c r="DL98" s="104">
        <v>0</v>
      </c>
      <c r="DM98" s="104">
        <v>0</v>
      </c>
      <c r="DN98" s="104">
        <v>0</v>
      </c>
      <c r="DO98" s="104">
        <v>0</v>
      </c>
      <c r="DP98" s="104">
        <v>0</v>
      </c>
      <c r="DQ98" s="104">
        <v>0</v>
      </c>
    </row>
    <row r="99" spans="1:121">
      <c r="A99" s="174" t="s">
        <v>1885</v>
      </c>
      <c r="B99" s="175"/>
      <c r="C99" s="176"/>
      <c r="D99" s="641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232" t="s">
        <v>1344</v>
      </c>
      <c r="BJ99" s="177"/>
      <c r="BK99" s="177"/>
      <c r="BL99" s="177"/>
      <c r="BM99" s="177"/>
      <c r="BN99" s="177"/>
      <c r="BO99" s="177">
        <f t="shared" ref="BO99:BS99" si="239">BO97/BO160</f>
        <v>109.59539720162091</v>
      </c>
      <c r="BP99" s="177">
        <f t="shared" si="239"/>
        <v>100.13551818928279</v>
      </c>
      <c r="BQ99" s="177">
        <f t="shared" si="239"/>
        <v>167.26655196584463</v>
      </c>
      <c r="BR99" s="177">
        <f t="shared" si="239"/>
        <v>164.91398775576715</v>
      </c>
      <c r="BS99" s="177">
        <f t="shared" si="239"/>
        <v>135.58298538622128</v>
      </c>
      <c r="BT99" s="177">
        <f>BT97/BT160</f>
        <v>71.535285285285283</v>
      </c>
      <c r="BU99" s="177"/>
      <c r="BV99" s="177"/>
      <c r="BW99" s="177"/>
      <c r="BX99" s="177"/>
      <c r="BY99" s="177"/>
      <c r="BZ99" s="177"/>
      <c r="CA99" s="177"/>
      <c r="CB99" s="177"/>
      <c r="CC99" s="177"/>
      <c r="CD99" s="177"/>
      <c r="CE99" s="177"/>
      <c r="CF99" s="177"/>
      <c r="CG99" s="177"/>
      <c r="CI99" s="157"/>
      <c r="CJ99" s="157"/>
      <c r="CK99" s="157"/>
      <c r="CL99" s="157"/>
      <c r="CM99" s="157"/>
      <c r="CN99" s="157"/>
      <c r="CO99" s="157"/>
      <c r="CP99" s="157"/>
      <c r="CQ99" s="157"/>
      <c r="CR99" s="157"/>
      <c r="CS99" s="157"/>
      <c r="CT99" s="157"/>
      <c r="CU99" s="157"/>
      <c r="CV99" s="157"/>
      <c r="CW99" s="157"/>
      <c r="CX99" s="157"/>
      <c r="CY99" s="157"/>
      <c r="DA99" s="104">
        <v>167.26655196584463</v>
      </c>
      <c r="DB99" s="104">
        <v>164.91398775576715</v>
      </c>
      <c r="DC99" s="104">
        <v>135.58298538622128</v>
      </c>
      <c r="DD99" s="104">
        <v>71.535285285285283</v>
      </c>
    </row>
    <row r="100" spans="1:121">
      <c r="A100" s="107" t="s">
        <v>124</v>
      </c>
      <c r="C100" s="132" t="s">
        <v>1579</v>
      </c>
      <c r="F100" s="128">
        <f t="shared" ref="F100:BC100" si="240">+F79-F87</f>
        <v>-1.1099999999999999E-2</v>
      </c>
      <c r="G100" s="128">
        <f t="shared" si="240"/>
        <v>-1.6899999999999998E-2</v>
      </c>
      <c r="H100" s="128">
        <f t="shared" si="240"/>
        <v>-1.1338968530297283E-2</v>
      </c>
      <c r="I100" s="128">
        <f t="shared" si="240"/>
        <v>-1.3833733722567555E-2</v>
      </c>
      <c r="J100" s="128">
        <f t="shared" si="240"/>
        <v>-1.7754572361707688E-2</v>
      </c>
      <c r="K100" s="128">
        <f t="shared" si="240"/>
        <v>-1.7930157721042644E-2</v>
      </c>
      <c r="L100" s="128">
        <f t="shared" si="240"/>
        <v>-2.7117151975631706E-2</v>
      </c>
      <c r="M100" s="128">
        <f t="shared" si="240"/>
        <v>-3.8104074835777282E-2</v>
      </c>
      <c r="N100" s="128">
        <f t="shared" si="240"/>
        <v>-3.1427650988101963E-2</v>
      </c>
      <c r="O100" s="128">
        <f t="shared" si="240"/>
        <v>-3.1192467093467721E-2</v>
      </c>
      <c r="P100" s="128">
        <f t="shared" si="240"/>
        <v>-3.1324965298175828E-2</v>
      </c>
      <c r="Q100" s="128">
        <f t="shared" si="240"/>
        <v>-4.2141198754310605E-2</v>
      </c>
      <c r="R100" s="128">
        <f t="shared" si="240"/>
        <v>-3.3137401789426799E-2</v>
      </c>
      <c r="S100" s="128">
        <f t="shared" si="240"/>
        <v>-3.49130985736847E-2</v>
      </c>
      <c r="T100" s="128">
        <f t="shared" si="240"/>
        <v>-3.9927401304244992E-2</v>
      </c>
      <c r="U100" s="128">
        <f t="shared" si="240"/>
        <v>-3.3369501531124113E-2</v>
      </c>
      <c r="V100" s="128">
        <f t="shared" si="240"/>
        <v>-3.8538896679878226E-2</v>
      </c>
      <c r="W100" s="128">
        <f t="shared" si="240"/>
        <v>-3.708409899473189E-2</v>
      </c>
      <c r="X100" s="128">
        <f t="shared" si="240"/>
        <v>-2.8275703288614729E-2</v>
      </c>
      <c r="Y100" s="128">
        <f t="shared" si="240"/>
        <v>-3.1616500832140404E-2</v>
      </c>
      <c r="Z100" s="128">
        <f t="shared" si="240"/>
        <v>-4.3070996522903471E-2</v>
      </c>
      <c r="AA100" s="128">
        <f t="shared" si="240"/>
        <v>2.8650002598762492E-2</v>
      </c>
      <c r="AB100" s="128">
        <f t="shared" si="240"/>
        <v>6.616999435424803E-2</v>
      </c>
      <c r="AC100" s="128">
        <f t="shared" si="240"/>
        <v>-7.3459998011589089E-2</v>
      </c>
      <c r="AD100" s="128">
        <f t="shared" si="240"/>
        <v>-7.4540003776550234E-2</v>
      </c>
      <c r="AE100" s="128">
        <f t="shared" si="240"/>
        <v>3.0400024652480484E-3</v>
      </c>
      <c r="AF100" s="128">
        <f t="shared" si="240"/>
        <v>1.5150589942932058E-2</v>
      </c>
      <c r="AG100" s="128">
        <f t="shared" si="240"/>
        <v>-8.9997478485107418E-2</v>
      </c>
      <c r="AH100" s="128">
        <f t="shared" si="240"/>
        <v>-0.12520359539985648</v>
      </c>
      <c r="AI100" s="128">
        <f t="shared" si="240"/>
        <v>-0.31654068541526797</v>
      </c>
      <c r="AJ100" s="128">
        <f t="shared" si="240"/>
        <v>-0.27293831539154068</v>
      </c>
      <c r="AK100" s="128">
        <f t="shared" si="240"/>
        <v>-0.34754009914398187</v>
      </c>
      <c r="AL100" s="128">
        <f t="shared" si="240"/>
        <v>-0.41323869848251343</v>
      </c>
      <c r="AM100" s="128">
        <f t="shared" si="240"/>
        <v>-0.39829998970031749</v>
      </c>
      <c r="AN100" s="128">
        <f t="shared" si="240"/>
        <v>-0.42319998884201049</v>
      </c>
      <c r="AO100" s="128">
        <f t="shared" si="240"/>
        <v>-0.27609999608993507</v>
      </c>
      <c r="AP100" s="128">
        <f t="shared" si="240"/>
        <v>-0.14603001220703138</v>
      </c>
      <c r="AQ100" s="128">
        <f t="shared" si="240"/>
        <v>-0.59451999237060549</v>
      </c>
      <c r="AR100" s="128">
        <f t="shared" si="240"/>
        <v>-0.64663340209960896</v>
      </c>
      <c r="AS100" s="128">
        <f t="shared" si="240"/>
        <v>-0.75002999999999997</v>
      </c>
      <c r="AT100" s="128">
        <f t="shared" si="240"/>
        <v>-3.4882999999999988</v>
      </c>
      <c r="AU100" s="128">
        <f t="shared" si="240"/>
        <v>-70.347944223602511</v>
      </c>
      <c r="AV100" s="128">
        <f t="shared" si="240"/>
        <v>12.541042000000033</v>
      </c>
      <c r="AW100" s="128">
        <f t="shared" si="240"/>
        <v>-15.268886015999996</v>
      </c>
      <c r="AX100" s="128">
        <f t="shared" si="240"/>
        <v>-76.30609999999993</v>
      </c>
      <c r="AY100" s="128">
        <f t="shared" si="240"/>
        <v>-98.223500000000001</v>
      </c>
      <c r="AZ100" s="128">
        <f t="shared" si="240"/>
        <v>-198.51287500000012</v>
      </c>
      <c r="BA100" s="128">
        <f t="shared" si="240"/>
        <v>-154.05899999999997</v>
      </c>
      <c r="BB100" s="128">
        <f t="shared" si="240"/>
        <v>-367.38552500000014</v>
      </c>
      <c r="BC100" s="128">
        <f t="shared" si="240"/>
        <v>-219.79242499999998</v>
      </c>
      <c r="BD100" s="128">
        <f ca="1">+BD79-BD87</f>
        <v>-232.01490552798009</v>
      </c>
      <c r="BE100" s="128">
        <f ca="1">+BE79-BE87</f>
        <v>-214.78964652276522</v>
      </c>
      <c r="BF100" s="128">
        <f t="shared" ref="BF100:BP100" si="241">+BF79-BF87</f>
        <v>-32.400000000000318</v>
      </c>
      <c r="BG100" s="128">
        <f t="shared" si="241"/>
        <v>350.89999999999986</v>
      </c>
      <c r="BH100" s="128">
        <f t="shared" si="241"/>
        <v>145.09999999999991</v>
      </c>
      <c r="BI100" s="128">
        <f t="shared" si="241"/>
        <v>85.199999999999818</v>
      </c>
      <c r="BJ100" s="128">
        <f t="shared" si="241"/>
        <v>-349.30000000000064</v>
      </c>
      <c r="BK100" s="128">
        <f t="shared" si="241"/>
        <v>-13.599999999999909</v>
      </c>
      <c r="BL100" s="128">
        <f t="shared" si="241"/>
        <v>-386.09999999999945</v>
      </c>
      <c r="BM100" s="128">
        <f t="shared" si="241"/>
        <v>-768.20000000000027</v>
      </c>
      <c r="BN100" s="128">
        <f t="shared" si="241"/>
        <v>-1445.8000000000002</v>
      </c>
      <c r="BO100" s="128">
        <f t="shared" si="241"/>
        <v>-1677.0000000000009</v>
      </c>
      <c r="BP100" s="128">
        <f t="shared" si="241"/>
        <v>-2093</v>
      </c>
      <c r="BQ100" s="128">
        <f t="shared" ref="BQ100:CB100" si="242">+BQ79-BQ87</f>
        <v>-2370.5</v>
      </c>
      <c r="BR100" s="128">
        <f t="shared" si="242"/>
        <v>-2053</v>
      </c>
      <c r="BS100" s="128">
        <f t="shared" si="242"/>
        <v>-4014</v>
      </c>
      <c r="BT100" s="128">
        <f t="shared" si="242"/>
        <v>-5040</v>
      </c>
      <c r="BU100" s="128">
        <f t="shared" ca="1" si="242"/>
        <v>-1850.3867993041149</v>
      </c>
      <c r="BV100" s="128">
        <f t="shared" ca="1" si="242"/>
        <v>119.58225159126414</v>
      </c>
      <c r="BW100" s="128">
        <f t="shared" ca="1" si="242"/>
        <v>-2560.5307034442158</v>
      </c>
      <c r="BX100" s="128">
        <f t="shared" ca="1" si="242"/>
        <v>-2728.2705446835134</v>
      </c>
      <c r="BY100" s="128">
        <f t="shared" ca="1" si="242"/>
        <v>-3036.7035798248689</v>
      </c>
      <c r="BZ100" s="128">
        <f t="shared" ca="1" si="242"/>
        <v>-3465.086839240812</v>
      </c>
      <c r="CA100" s="128">
        <f t="shared" ca="1" si="242"/>
        <v>-4046.1662755960533</v>
      </c>
      <c r="CB100" s="128">
        <f t="shared" ca="1" si="242"/>
        <v>-4848.1029237531293</v>
      </c>
      <c r="CC100" s="128">
        <f ca="1">+CC79-CC87</f>
        <v>-5947.7001232102375</v>
      </c>
      <c r="CD100" s="128">
        <f ca="1">+CD79-CD87</f>
        <v>-7455.3534441778393</v>
      </c>
      <c r="CE100" s="128">
        <f ca="1">+CE79-CE87</f>
        <v>-9528.0135458070872</v>
      </c>
      <c r="CF100" s="128">
        <f ca="1">+CF79-CF87</f>
        <v>-12390.282540872002</v>
      </c>
      <c r="CG100" s="128">
        <f ca="1">+CG79-CG87</f>
        <v>-16365.370132620184</v>
      </c>
      <c r="CI100" s="133">
        <f t="shared" ref="CI100:CI110" si="243">BQ100-DA100</f>
        <v>0</v>
      </c>
      <c r="CJ100" s="133">
        <f t="shared" ref="CJ100:CU100" si="244">BR100-DB100</f>
        <v>0</v>
      </c>
      <c r="CK100" s="133">
        <f t="shared" si="244"/>
        <v>0</v>
      </c>
      <c r="CL100" s="133">
        <f t="shared" si="244"/>
        <v>0</v>
      </c>
      <c r="CM100" s="133">
        <f t="shared" ca="1" si="244"/>
        <v>3679.0094170880438</v>
      </c>
      <c r="CN100" s="133">
        <f t="shared" ca="1" si="244"/>
        <v>3954.6619023925432</v>
      </c>
      <c r="CO100" s="133">
        <f t="shared" ca="1" si="244"/>
        <v>3868.7698155750986</v>
      </c>
      <c r="CP100" s="133">
        <f t="shared" ca="1" si="244"/>
        <v>4098.5702979195648</v>
      </c>
      <c r="CQ100" s="133">
        <f t="shared" ca="1" si="244"/>
        <v>4361.0485755892041</v>
      </c>
      <c r="CR100" s="133">
        <f t="shared" ca="1" si="244"/>
        <v>1269.6813798346811</v>
      </c>
      <c r="CS100" s="133">
        <f t="shared" ca="1" si="244"/>
        <v>1524.9355859778007</v>
      </c>
      <c r="CT100" s="133">
        <f t="shared" ca="1" si="244"/>
        <v>1684.1364852483312</v>
      </c>
      <c r="CU100" s="133">
        <f t="shared" ca="1" si="244"/>
        <v>2044.0498809447854</v>
      </c>
      <c r="CV100" s="133">
        <f t="shared" ref="CV100:CV106" ca="1" si="245">CD100-DN100</f>
        <v>2591.4030232491277</v>
      </c>
      <c r="CW100" s="133">
        <f t="shared" ref="CW100:CW106" ca="1" si="246">CE100-DO100</f>
        <v>3413.8271341076761</v>
      </c>
      <c r="CX100" s="133">
        <f t="shared" ref="CX100:CX106" ca="1" si="247">CF100-DP100</f>
        <v>4665.1478010960564</v>
      </c>
      <c r="CY100" s="133">
        <f t="shared" ref="CY100:CY106" ca="1" si="248">CG100-DQ100</f>
        <v>6600.6952726768941</v>
      </c>
      <c r="DA100" s="104">
        <v>-2370.5</v>
      </c>
      <c r="DB100" s="104">
        <v>-2053</v>
      </c>
      <c r="DC100" s="104">
        <v>-4014</v>
      </c>
      <c r="DD100" s="104">
        <v>-5040</v>
      </c>
      <c r="DE100" s="104">
        <v>-5529.3962163921587</v>
      </c>
      <c r="DF100" s="104">
        <v>-3835.0796508012791</v>
      </c>
      <c r="DG100" s="104">
        <v>-6429.3005190193144</v>
      </c>
      <c r="DH100" s="104">
        <v>-6826.8408426030783</v>
      </c>
      <c r="DI100" s="104">
        <v>-7397.7521554140731</v>
      </c>
      <c r="DJ100" s="104">
        <v>-4734.7682190754931</v>
      </c>
      <c r="DK100" s="104">
        <v>-5571.101861573854</v>
      </c>
      <c r="DL100" s="104">
        <v>-6532.2394090014604</v>
      </c>
      <c r="DM100" s="104">
        <v>-7991.7500041550229</v>
      </c>
      <c r="DN100" s="104">
        <v>-10046.756467426967</v>
      </c>
      <c r="DO100" s="104">
        <v>-12941.840679914763</v>
      </c>
      <c r="DP100" s="104">
        <v>-17055.430341968058</v>
      </c>
      <c r="DQ100" s="104">
        <v>-22966.065405297079</v>
      </c>
    </row>
    <row r="101" spans="1:121">
      <c r="A101" s="182" t="s">
        <v>1341</v>
      </c>
      <c r="B101" s="182"/>
      <c r="C101" s="182"/>
      <c r="D101" s="646"/>
      <c r="E101" s="182"/>
      <c r="F101" s="128">
        <f t="shared" ref="F101:BC101" si="249">+F100+F102</f>
        <v>-9.0999999999999987E-3</v>
      </c>
      <c r="G101" s="128">
        <f t="shared" si="249"/>
        <v>-1.5299999999999998E-2</v>
      </c>
      <c r="H101" s="128">
        <f t="shared" si="249"/>
        <v>-8.6389685720205354E-3</v>
      </c>
      <c r="I101" s="128">
        <f t="shared" si="249"/>
        <v>-9.7337338179349867E-3</v>
      </c>
      <c r="J101" s="128">
        <f t="shared" si="249"/>
        <v>-1.3154572553932667E-2</v>
      </c>
      <c r="K101" s="128">
        <f t="shared" si="249"/>
        <v>-8.8301578164100766E-3</v>
      </c>
      <c r="L101" s="128">
        <f t="shared" si="249"/>
        <v>-1.9317151904106135E-2</v>
      </c>
      <c r="M101" s="128">
        <f t="shared" si="249"/>
        <v>-2.7604075074195863E-2</v>
      </c>
      <c r="N101" s="128">
        <f t="shared" si="249"/>
        <v>-2.2527650892734532E-2</v>
      </c>
      <c r="O101" s="128">
        <f t="shared" si="249"/>
        <v>-1.859246689081193E-2</v>
      </c>
      <c r="P101" s="128">
        <f t="shared" si="249"/>
        <v>-1.4524965703487411E-2</v>
      </c>
      <c r="Q101" s="128">
        <f t="shared" si="249"/>
        <v>-2.5641198374330994E-2</v>
      </c>
      <c r="R101" s="128">
        <f t="shared" si="249"/>
        <v>-2.6837401777505869E-2</v>
      </c>
      <c r="S101" s="128">
        <f t="shared" si="249"/>
        <v>-2.4513098478317268E-2</v>
      </c>
      <c r="T101" s="128">
        <f t="shared" si="249"/>
        <v>-2.7827400922775265E-2</v>
      </c>
      <c r="U101" s="128">
        <f t="shared" si="249"/>
        <v>-1.5969501435756681E-2</v>
      </c>
      <c r="V101" s="128">
        <f t="shared" si="249"/>
        <v>-1.533889687061309E-2</v>
      </c>
      <c r="W101" s="128">
        <f t="shared" si="249"/>
        <v>-2.558409899473189E-2</v>
      </c>
      <c r="X101" s="128">
        <f t="shared" si="249"/>
        <v>-6.3757017627358199E-3</v>
      </c>
      <c r="Y101" s="128">
        <f t="shared" si="249"/>
        <v>-2.1916500546038109E-2</v>
      </c>
      <c r="Z101" s="128">
        <f t="shared" si="249"/>
        <v>-2.7970996141433745E-2</v>
      </c>
      <c r="AA101" s="128">
        <f t="shared" si="249"/>
        <v>5.0950002789497358E-2</v>
      </c>
      <c r="AB101" s="128">
        <f t="shared" si="249"/>
        <v>6.0869994163513165E-2</v>
      </c>
      <c r="AC101" s="128">
        <f t="shared" si="249"/>
        <v>-7.395999801158909E-2</v>
      </c>
      <c r="AD101" s="128">
        <f t="shared" si="249"/>
        <v>-4.1640003681182799E-2</v>
      </c>
      <c r="AE101" s="128">
        <f t="shared" si="249"/>
        <v>3.0400024652480488E-3</v>
      </c>
      <c r="AF101" s="128">
        <f t="shared" si="249"/>
        <v>1.155059003829949E-2</v>
      </c>
      <c r="AG101" s="128">
        <f t="shared" si="249"/>
        <v>-9.0197478488087651E-2</v>
      </c>
      <c r="AH101" s="128">
        <f t="shared" si="249"/>
        <v>-0.12980359530448904</v>
      </c>
      <c r="AI101" s="128">
        <f t="shared" si="249"/>
        <v>-0.32514068579673772</v>
      </c>
      <c r="AJ101" s="128">
        <f t="shared" si="249"/>
        <v>-0.27443831539154068</v>
      </c>
      <c r="AK101" s="128">
        <f t="shared" si="249"/>
        <v>-0.34964009904861443</v>
      </c>
      <c r="AL101" s="128">
        <f t="shared" si="249"/>
        <v>-0.41533869838714599</v>
      </c>
      <c r="AM101" s="128">
        <f t="shared" si="249"/>
        <v>-0.41339998912811288</v>
      </c>
      <c r="AN101" s="128">
        <f t="shared" si="249"/>
        <v>-0.39239998865127562</v>
      </c>
      <c r="AO101" s="128">
        <f t="shared" si="249"/>
        <v>-0.23889999628066994</v>
      </c>
      <c r="AP101" s="128">
        <f t="shared" si="249"/>
        <v>-0.14923001220703139</v>
      </c>
      <c r="AQ101" s="128">
        <f t="shared" si="249"/>
        <v>-0.58441999237060549</v>
      </c>
      <c r="AR101" s="128">
        <f t="shared" si="249"/>
        <v>-0.63043340209960896</v>
      </c>
      <c r="AS101" s="128">
        <f t="shared" si="249"/>
        <v>-0.54352999999999996</v>
      </c>
      <c r="AT101" s="128">
        <f t="shared" si="249"/>
        <v>-2.7411999999999987</v>
      </c>
      <c r="AU101" s="128">
        <f t="shared" si="249"/>
        <v>-73.20794422360251</v>
      </c>
      <c r="AV101" s="128">
        <f t="shared" si="249"/>
        <v>11.826442000000032</v>
      </c>
      <c r="AW101" s="128">
        <f t="shared" si="249"/>
        <v>-7.3685860159999956</v>
      </c>
      <c r="AX101" s="128">
        <f t="shared" si="249"/>
        <v>-51.320199999999929</v>
      </c>
      <c r="AY101" s="128">
        <f t="shared" si="249"/>
        <v>-78.669460000000001</v>
      </c>
      <c r="AZ101" s="128">
        <f t="shared" si="249"/>
        <v>-170.20850500000012</v>
      </c>
      <c r="BA101" s="128">
        <f t="shared" si="249"/>
        <v>-9.0412999999999499</v>
      </c>
      <c r="BB101" s="128">
        <f t="shared" si="249"/>
        <v>-414.51960000000014</v>
      </c>
      <c r="BC101" s="128">
        <f t="shared" si="249"/>
        <v>-242.69452499999997</v>
      </c>
      <c r="BD101" s="128">
        <f t="shared" ref="BD101:BI101" ca="1" si="250">+BD100+BD102</f>
        <v>-213.69582218665929</v>
      </c>
      <c r="BE101" s="128">
        <f t="shared" ca="1" si="250"/>
        <v>-192.59606318144441</v>
      </c>
      <c r="BF101" s="128">
        <f t="shared" si="250"/>
        <v>-117.60000000000032</v>
      </c>
      <c r="BG101" s="128">
        <f t="shared" si="250"/>
        <v>-107.40000000000009</v>
      </c>
      <c r="BH101" s="128">
        <f t="shared" si="250"/>
        <v>-11.10000000000008</v>
      </c>
      <c r="BI101" s="128">
        <f t="shared" si="250"/>
        <v>307.5999999999998</v>
      </c>
      <c r="BJ101" s="128">
        <f t="shared" ref="BJ101:BP101" si="251">+BJ100+BJ102</f>
        <v>-43.600000000000648</v>
      </c>
      <c r="BK101" s="128">
        <f t="shared" si="251"/>
        <v>271.10000000000002</v>
      </c>
      <c r="BL101" s="128">
        <f t="shared" si="251"/>
        <v>59.000000000000512</v>
      </c>
      <c r="BM101" s="128">
        <f t="shared" si="251"/>
        <v>259.29999999999973</v>
      </c>
      <c r="BN101" s="128">
        <f t="shared" si="251"/>
        <v>-0.3000000000001819</v>
      </c>
      <c r="BO101" s="128">
        <f t="shared" si="251"/>
        <v>-0.30000000000109139</v>
      </c>
      <c r="BP101" s="128">
        <f t="shared" si="251"/>
        <v>568</v>
      </c>
      <c r="BQ101" s="128">
        <f>+BQ100+BQ102</f>
        <v>27.400000000000091</v>
      </c>
      <c r="BR101" s="128">
        <f>+BR100+BR102</f>
        <v>410</v>
      </c>
      <c r="BS101" s="128">
        <f>+BS100+BS102</f>
        <v>-1078.7999999999993</v>
      </c>
      <c r="BT101" s="184">
        <v>0</v>
      </c>
      <c r="BU101" s="184">
        <f t="shared" ref="BU101:BZ101" si="252">BT101</f>
        <v>0</v>
      </c>
      <c r="BV101" s="184">
        <f t="shared" si="252"/>
        <v>0</v>
      </c>
      <c r="BW101" s="184">
        <f t="shared" si="252"/>
        <v>0</v>
      </c>
      <c r="BX101" s="184">
        <f t="shared" si="252"/>
        <v>0</v>
      </c>
      <c r="BY101" s="184">
        <f t="shared" si="252"/>
        <v>0</v>
      </c>
      <c r="BZ101" s="184">
        <f t="shared" si="252"/>
        <v>0</v>
      </c>
      <c r="CA101" s="184">
        <f t="shared" ref="CA101:CG101" si="253">BZ101</f>
        <v>0</v>
      </c>
      <c r="CB101" s="184">
        <f t="shared" si="253"/>
        <v>0</v>
      </c>
      <c r="CC101" s="184">
        <f t="shared" si="253"/>
        <v>0</v>
      </c>
      <c r="CD101" s="184">
        <f t="shared" si="253"/>
        <v>0</v>
      </c>
      <c r="CE101" s="184">
        <f t="shared" si="253"/>
        <v>0</v>
      </c>
      <c r="CF101" s="184">
        <f t="shared" si="253"/>
        <v>0</v>
      </c>
      <c r="CG101" s="184">
        <f t="shared" si="253"/>
        <v>0</v>
      </c>
      <c r="CI101" s="133">
        <f t="shared" si="243"/>
        <v>0</v>
      </c>
      <c r="CJ101" s="133">
        <f t="shared" ref="CJ101:CJ110" si="254">BR101-DB101</f>
        <v>0</v>
      </c>
      <c r="CK101" s="133">
        <f t="shared" ref="CK101:CK110" si="255">BS101-DC101</f>
        <v>0</v>
      </c>
      <c r="CL101" s="133">
        <f t="shared" ref="CL101:CL110" si="256">BT101-DD101</f>
        <v>0</v>
      </c>
      <c r="CM101" s="133">
        <f t="shared" ref="CM101:CM110" si="257">BU101-DE101</f>
        <v>0</v>
      </c>
      <c r="CN101" s="133">
        <f t="shared" ref="CN101:CN110" si="258">BV101-DF101</f>
        <v>0</v>
      </c>
      <c r="CO101" s="133">
        <f t="shared" ref="CO101:CO110" si="259">BW101-DG101</f>
        <v>0</v>
      </c>
      <c r="CP101" s="133">
        <f t="shared" ref="CP101:CP110" si="260">BX101-DH101</f>
        <v>0</v>
      </c>
      <c r="CQ101" s="133">
        <f t="shared" ref="CQ101:CQ110" si="261">BY101-DI101</f>
        <v>0</v>
      </c>
      <c r="CR101" s="133">
        <f t="shared" ref="CR101:CR110" si="262">BZ101-DJ101</f>
        <v>0</v>
      </c>
      <c r="CS101" s="133">
        <f t="shared" ref="CS101:CS110" si="263">CA101-DK101</f>
        <v>0</v>
      </c>
      <c r="CT101" s="133">
        <f t="shared" ref="CT101:CT110" si="264">CB101-DL101</f>
        <v>0</v>
      </c>
      <c r="CU101" s="133">
        <f t="shared" ref="CU101:CU110" si="265">CC101-DM101</f>
        <v>0</v>
      </c>
      <c r="CV101" s="133">
        <f t="shared" si="245"/>
        <v>0</v>
      </c>
      <c r="CW101" s="133">
        <f t="shared" si="246"/>
        <v>0</v>
      </c>
      <c r="CX101" s="133">
        <f t="shared" si="247"/>
        <v>0</v>
      </c>
      <c r="CY101" s="133">
        <f t="shared" si="248"/>
        <v>0</v>
      </c>
      <c r="DA101" s="104">
        <v>27.400000000000091</v>
      </c>
      <c r="DB101" s="104">
        <v>410</v>
      </c>
      <c r="DC101" s="104">
        <v>-1078.7999999999993</v>
      </c>
      <c r="DD101" s="104">
        <v>0</v>
      </c>
      <c r="DE101" s="104">
        <v>0</v>
      </c>
      <c r="DF101" s="104">
        <v>0</v>
      </c>
      <c r="DG101" s="104">
        <v>0</v>
      </c>
      <c r="DH101" s="104">
        <v>0</v>
      </c>
      <c r="DI101" s="104">
        <v>0</v>
      </c>
      <c r="DJ101" s="104">
        <v>0</v>
      </c>
      <c r="DK101" s="104">
        <v>0</v>
      </c>
      <c r="DL101" s="104">
        <v>0</v>
      </c>
      <c r="DM101" s="104">
        <v>0</v>
      </c>
      <c r="DN101" s="104">
        <v>0</v>
      </c>
      <c r="DO101" s="104">
        <v>0</v>
      </c>
      <c r="DP101" s="104">
        <v>0</v>
      </c>
      <c r="DQ101" s="104">
        <v>0</v>
      </c>
    </row>
    <row r="102" spans="1:121">
      <c r="A102" s="131" t="s">
        <v>2969</v>
      </c>
      <c r="C102" s="132" t="s">
        <v>1579</v>
      </c>
      <c r="F102" s="128">
        <f t="shared" ref="F102:BE102" si="266">+F103+F106</f>
        <v>2E-3</v>
      </c>
      <c r="G102" s="128">
        <f t="shared" si="266"/>
        <v>1.6000000000000001E-3</v>
      </c>
      <c r="H102" s="128">
        <f t="shared" si="266"/>
        <v>2.6999999582767486E-3</v>
      </c>
      <c r="I102" s="128">
        <f t="shared" si="266"/>
        <v>4.0999999046325685E-3</v>
      </c>
      <c r="J102" s="128">
        <f t="shared" si="266"/>
        <v>4.5999998077750201E-3</v>
      </c>
      <c r="K102" s="128">
        <f t="shared" si="266"/>
        <v>9.0999999046325677E-3</v>
      </c>
      <c r="L102" s="128">
        <f t="shared" si="266"/>
        <v>7.8000000715255733E-3</v>
      </c>
      <c r="M102" s="128">
        <f t="shared" si="266"/>
        <v>1.0499999761581421E-2</v>
      </c>
      <c r="N102" s="128">
        <f t="shared" si="266"/>
        <v>8.9000000953674309E-3</v>
      </c>
      <c r="O102" s="128">
        <f t="shared" si="266"/>
        <v>1.2600000202655792E-2</v>
      </c>
      <c r="P102" s="128">
        <f t="shared" si="266"/>
        <v>1.6799999594688416E-2</v>
      </c>
      <c r="Q102" s="128">
        <f t="shared" si="266"/>
        <v>1.6500000379979611E-2</v>
      </c>
      <c r="R102" s="128">
        <f t="shared" si="266"/>
        <v>6.3000000119209287E-3</v>
      </c>
      <c r="S102" s="128">
        <f t="shared" si="266"/>
        <v>1.0400000095367432E-2</v>
      </c>
      <c r="T102" s="128">
        <f t="shared" si="266"/>
        <v>1.2100000381469727E-2</v>
      </c>
      <c r="U102" s="128">
        <f t="shared" si="266"/>
        <v>1.7400000095367432E-2</v>
      </c>
      <c r="V102" s="128">
        <f t="shared" si="266"/>
        <v>2.3199999809265136E-2</v>
      </c>
      <c r="W102" s="128">
        <f t="shared" si="266"/>
        <v>1.15E-2</v>
      </c>
      <c r="X102" s="128">
        <f t="shared" si="266"/>
        <v>2.1900001525878909E-2</v>
      </c>
      <c r="Y102" s="128">
        <f t="shared" si="266"/>
        <v>9.7000002861022949E-3</v>
      </c>
      <c r="Z102" s="128">
        <f t="shared" si="266"/>
        <v>1.5100000381469726E-2</v>
      </c>
      <c r="AA102" s="128">
        <f t="shared" si="266"/>
        <v>2.2300000190734866E-2</v>
      </c>
      <c r="AB102" s="128">
        <f t="shared" si="266"/>
        <v>-5.3000001907348637E-3</v>
      </c>
      <c r="AC102" s="128">
        <f t="shared" si="266"/>
        <v>-5.0000000000000001E-4</v>
      </c>
      <c r="AD102" s="128">
        <f t="shared" si="266"/>
        <v>3.2900000095367435E-2</v>
      </c>
      <c r="AE102" s="128">
        <f t="shared" si="266"/>
        <v>2.2204460492503131E-19</v>
      </c>
      <c r="AF102" s="128">
        <f t="shared" si="266"/>
        <v>-3.5999999046325685E-3</v>
      </c>
      <c r="AG102" s="128">
        <f t="shared" si="266"/>
        <v>-2.0000000298023223E-4</v>
      </c>
      <c r="AH102" s="128">
        <f t="shared" si="266"/>
        <v>-4.5999999046325681E-3</v>
      </c>
      <c r="AI102" s="128">
        <f t="shared" si="266"/>
        <v>-8.6000003814697273E-3</v>
      </c>
      <c r="AJ102" s="128">
        <f t="shared" si="266"/>
        <v>-1.5E-3</v>
      </c>
      <c r="AK102" s="128">
        <f t="shared" si="266"/>
        <v>-2.0999999046325685E-3</v>
      </c>
      <c r="AL102" s="128">
        <f t="shared" si="266"/>
        <v>-2.0999999046325685E-3</v>
      </c>
      <c r="AM102" s="128">
        <f t="shared" si="266"/>
        <v>-1.509999942779541E-2</v>
      </c>
      <c r="AN102" s="128">
        <f t="shared" si="266"/>
        <v>3.0800000190734863E-2</v>
      </c>
      <c r="AO102" s="128">
        <f t="shared" si="266"/>
        <v>3.7199999809265132E-2</v>
      </c>
      <c r="AP102" s="128">
        <f t="shared" si="266"/>
        <v>-3.2000000000000002E-3</v>
      </c>
      <c r="AQ102" s="128">
        <f t="shared" si="266"/>
        <v>1.01E-2</v>
      </c>
      <c r="AR102" s="128">
        <f t="shared" si="266"/>
        <v>1.6199999999999999E-2</v>
      </c>
      <c r="AS102" s="128">
        <f t="shared" si="266"/>
        <v>0.20649999999999999</v>
      </c>
      <c r="AT102" s="128">
        <f t="shared" si="266"/>
        <v>0.74709999999999999</v>
      </c>
      <c r="AU102" s="128">
        <f t="shared" si="266"/>
        <v>-2.86</v>
      </c>
      <c r="AV102" s="128">
        <f t="shared" si="266"/>
        <v>-0.71460000000000001</v>
      </c>
      <c r="AW102" s="128">
        <f t="shared" si="266"/>
        <v>7.9003000000000005</v>
      </c>
      <c r="AX102" s="128">
        <f t="shared" si="266"/>
        <v>24.985900000000001</v>
      </c>
      <c r="AY102" s="128">
        <f t="shared" si="266"/>
        <v>19.554040000000004</v>
      </c>
      <c r="AZ102" s="128">
        <f t="shared" si="266"/>
        <v>28.304370000000006</v>
      </c>
      <c r="BA102" s="128">
        <f t="shared" si="266"/>
        <v>145.01770000000002</v>
      </c>
      <c r="BB102" s="128">
        <f t="shared" si="266"/>
        <v>-47.134074999999996</v>
      </c>
      <c r="BC102" s="128">
        <f t="shared" si="266"/>
        <v>-22.902100000000001</v>
      </c>
      <c r="BD102" s="128">
        <f t="shared" si="266"/>
        <v>18.319083341320805</v>
      </c>
      <c r="BE102" s="128">
        <f t="shared" si="266"/>
        <v>22.19358334132081</v>
      </c>
      <c r="BF102" s="128">
        <f t="shared" ref="BF102:BP102" si="267">+BF103+BF106</f>
        <v>-85.2</v>
      </c>
      <c r="BG102" s="128">
        <f t="shared" si="267"/>
        <v>-458.29999999999995</v>
      </c>
      <c r="BH102" s="128">
        <f t="shared" si="267"/>
        <v>-156.19999999999999</v>
      </c>
      <c r="BI102" s="128">
        <f t="shared" si="267"/>
        <v>222.39999999999998</v>
      </c>
      <c r="BJ102" s="128">
        <f t="shared" si="267"/>
        <v>305.7</v>
      </c>
      <c r="BK102" s="128">
        <f t="shared" si="267"/>
        <v>284.69999999999993</v>
      </c>
      <c r="BL102" s="128">
        <f t="shared" si="267"/>
        <v>445.09999999999997</v>
      </c>
      <c r="BM102" s="128">
        <f t="shared" si="267"/>
        <v>1027.5</v>
      </c>
      <c r="BN102" s="128">
        <f t="shared" si="267"/>
        <v>1445.5</v>
      </c>
      <c r="BO102" s="128">
        <f t="shared" si="267"/>
        <v>1676.6999999999998</v>
      </c>
      <c r="BP102" s="128">
        <f t="shared" si="267"/>
        <v>2661</v>
      </c>
      <c r="BQ102" s="128">
        <f>+BQ103+BQ106</f>
        <v>2397.9</v>
      </c>
      <c r="BR102" s="128">
        <f>+BR103+BR106</f>
        <v>2463</v>
      </c>
      <c r="BS102" s="128">
        <f>+BS103+BS106</f>
        <v>2935.2000000000007</v>
      </c>
      <c r="BT102" s="184">
        <f t="shared" ref="BT102:CB102" si="268">BT101-BT100</f>
        <v>5040</v>
      </c>
      <c r="BU102" s="184">
        <f t="shared" ca="1" si="268"/>
        <v>1850.3867993041149</v>
      </c>
      <c r="BV102" s="184">
        <f t="shared" ca="1" si="268"/>
        <v>-119.58225159126414</v>
      </c>
      <c r="BW102" s="184">
        <f t="shared" ca="1" si="268"/>
        <v>2560.5307034442158</v>
      </c>
      <c r="BX102" s="184">
        <f t="shared" ca="1" si="268"/>
        <v>2728.2705446835134</v>
      </c>
      <c r="BY102" s="184">
        <f t="shared" ca="1" si="268"/>
        <v>3036.7035798248689</v>
      </c>
      <c r="BZ102" s="184">
        <f t="shared" ca="1" si="268"/>
        <v>3465.086839240812</v>
      </c>
      <c r="CA102" s="184">
        <f t="shared" ca="1" si="268"/>
        <v>4046.1662755960533</v>
      </c>
      <c r="CB102" s="184">
        <f t="shared" ca="1" si="268"/>
        <v>4848.1029237531293</v>
      </c>
      <c r="CC102" s="184">
        <f ca="1">CC101-CC100</f>
        <v>5947.7001232102375</v>
      </c>
      <c r="CD102" s="184">
        <f ca="1">CD101-CD100</f>
        <v>7455.3534441778393</v>
      </c>
      <c r="CE102" s="184">
        <f ca="1">CE101-CE100</f>
        <v>9528.0135458070872</v>
      </c>
      <c r="CF102" s="184">
        <f ca="1">CF101-CF100</f>
        <v>12390.282540872002</v>
      </c>
      <c r="CG102" s="184">
        <f ca="1">CG101-CG100</f>
        <v>16365.370132620184</v>
      </c>
      <c r="CI102" s="133">
        <f t="shared" si="243"/>
        <v>0</v>
      </c>
      <c r="CJ102" s="133">
        <f t="shared" ref="CJ102:CU102" si="269">BR102-DB102</f>
        <v>0</v>
      </c>
      <c r="CK102" s="133">
        <f t="shared" si="269"/>
        <v>0</v>
      </c>
      <c r="CL102" s="133">
        <f t="shared" si="269"/>
        <v>0</v>
      </c>
      <c r="CM102" s="133">
        <f t="shared" ca="1" si="269"/>
        <v>-3679.0094170880438</v>
      </c>
      <c r="CN102" s="133">
        <f t="shared" ca="1" si="269"/>
        <v>-3954.6619023925432</v>
      </c>
      <c r="CO102" s="133">
        <f t="shared" ca="1" si="269"/>
        <v>-3868.7698155750986</v>
      </c>
      <c r="CP102" s="133">
        <f t="shared" ca="1" si="269"/>
        <v>-4098.5702979195648</v>
      </c>
      <c r="CQ102" s="133">
        <f t="shared" ca="1" si="269"/>
        <v>-4361.0485755892041</v>
      </c>
      <c r="CR102" s="133">
        <f t="shared" ca="1" si="269"/>
        <v>-1269.6813798346811</v>
      </c>
      <c r="CS102" s="133">
        <f t="shared" ca="1" si="269"/>
        <v>-1524.9355859778007</v>
      </c>
      <c r="CT102" s="133">
        <f t="shared" ca="1" si="269"/>
        <v>-1684.1364852483312</v>
      </c>
      <c r="CU102" s="133">
        <f t="shared" ca="1" si="269"/>
        <v>-2044.0498809447854</v>
      </c>
      <c r="CV102" s="133">
        <f t="shared" ca="1" si="245"/>
        <v>-2591.4030232491277</v>
      </c>
      <c r="CW102" s="133">
        <f t="shared" ca="1" si="246"/>
        <v>-3413.8271341076761</v>
      </c>
      <c r="CX102" s="133">
        <f t="shared" ca="1" si="247"/>
        <v>-4665.1478010960564</v>
      </c>
      <c r="CY102" s="133">
        <f t="shared" ca="1" si="248"/>
        <v>-6600.6952726768941</v>
      </c>
      <c r="DA102" s="104">
        <v>2397.9</v>
      </c>
      <c r="DB102" s="104">
        <v>2463</v>
      </c>
      <c r="DC102" s="104">
        <v>2935.2000000000007</v>
      </c>
      <c r="DD102" s="104">
        <v>5040</v>
      </c>
      <c r="DE102" s="104">
        <v>5529.3962163921587</v>
      </c>
      <c r="DF102" s="104">
        <v>3835.0796508012791</v>
      </c>
      <c r="DG102" s="104">
        <v>6429.3005190193144</v>
      </c>
      <c r="DH102" s="104">
        <v>6826.8408426030783</v>
      </c>
      <c r="DI102" s="104">
        <v>7397.7521554140731</v>
      </c>
      <c r="DJ102" s="104">
        <v>4734.7682190754931</v>
      </c>
      <c r="DK102" s="104">
        <v>5571.101861573854</v>
      </c>
      <c r="DL102" s="104">
        <v>6532.2394090014604</v>
      </c>
      <c r="DM102" s="104">
        <v>7991.7500041550229</v>
      </c>
      <c r="DN102" s="104">
        <v>10046.756467426967</v>
      </c>
      <c r="DO102" s="104">
        <v>12941.840679914763</v>
      </c>
      <c r="DP102" s="104">
        <v>17055.430341968058</v>
      </c>
      <c r="DQ102" s="104">
        <v>22966.065405297079</v>
      </c>
    </row>
    <row r="103" spans="1:121">
      <c r="A103" s="131" t="s">
        <v>3235</v>
      </c>
      <c r="C103" s="132" t="s">
        <v>1579</v>
      </c>
      <c r="F103" s="128">
        <f t="shared" ref="F103:BE103" si="270">+F104+F105</f>
        <v>2E-3</v>
      </c>
      <c r="G103" s="128">
        <f t="shared" si="270"/>
        <v>1.6000000000000001E-3</v>
      </c>
      <c r="H103" s="128">
        <f t="shared" si="270"/>
        <v>2.299999952316284E-3</v>
      </c>
      <c r="I103" s="128">
        <f t="shared" si="270"/>
        <v>3.5999999046325685E-3</v>
      </c>
      <c r="J103" s="128">
        <f t="shared" si="270"/>
        <v>4.6999998092651365E-3</v>
      </c>
      <c r="K103" s="128">
        <f t="shared" si="270"/>
        <v>4.6999998092651365E-3</v>
      </c>
      <c r="L103" s="128">
        <f t="shared" si="270"/>
        <v>6.4000000953674313E-3</v>
      </c>
      <c r="M103" s="128">
        <f t="shared" si="270"/>
        <v>8.199999809265137E-3</v>
      </c>
      <c r="N103" s="128">
        <f t="shared" si="270"/>
        <v>7.4000000953674313E-3</v>
      </c>
      <c r="O103" s="128">
        <f t="shared" si="270"/>
        <v>1.1800000190734863E-2</v>
      </c>
      <c r="P103" s="128">
        <f t="shared" si="270"/>
        <v>1.5399999618530273E-2</v>
      </c>
      <c r="Q103" s="128">
        <f t="shared" si="270"/>
        <v>1.6600000381469728E-2</v>
      </c>
      <c r="R103" s="128">
        <f t="shared" si="270"/>
        <v>6.0000000000000001E-3</v>
      </c>
      <c r="S103" s="128">
        <f t="shared" si="270"/>
        <v>4.4000000953674312E-3</v>
      </c>
      <c r="T103" s="128">
        <f t="shared" si="270"/>
        <v>6.8000001907348633E-3</v>
      </c>
      <c r="U103" s="128">
        <f t="shared" si="270"/>
        <v>6.9000000953674317E-3</v>
      </c>
      <c r="V103" s="128">
        <f t="shared" si="270"/>
        <v>1.5399999618530273E-2</v>
      </c>
      <c r="W103" s="128">
        <f t="shared" si="270"/>
        <v>7.199999809265137E-3</v>
      </c>
      <c r="X103" s="128">
        <f t="shared" si="270"/>
        <v>3.2900001525878908E-2</v>
      </c>
      <c r="Y103" s="128">
        <f t="shared" si="270"/>
        <v>1.2300000190734864E-2</v>
      </c>
      <c r="Z103" s="128">
        <f t="shared" si="270"/>
        <v>1.8100000381469725E-2</v>
      </c>
      <c r="AA103" s="128">
        <f t="shared" si="270"/>
        <v>1.7100000381469728E-2</v>
      </c>
      <c r="AB103" s="128">
        <f t="shared" si="270"/>
        <v>0</v>
      </c>
      <c r="AC103" s="128">
        <f t="shared" si="270"/>
        <v>0</v>
      </c>
      <c r="AD103" s="128">
        <f t="shared" si="270"/>
        <v>0.04</v>
      </c>
      <c r="AE103" s="128">
        <f t="shared" si="270"/>
        <v>0</v>
      </c>
      <c r="AF103" s="128">
        <f t="shared" si="270"/>
        <v>0</v>
      </c>
      <c r="AG103" s="128">
        <f t="shared" si="270"/>
        <v>0</v>
      </c>
      <c r="AH103" s="128">
        <f t="shared" si="270"/>
        <v>0</v>
      </c>
      <c r="AI103" s="128">
        <f t="shared" si="270"/>
        <v>0</v>
      </c>
      <c r="AJ103" s="128">
        <f t="shared" si="270"/>
        <v>0</v>
      </c>
      <c r="AK103" s="128">
        <f t="shared" si="270"/>
        <v>0</v>
      </c>
      <c r="AL103" s="128">
        <f t="shared" si="270"/>
        <v>0</v>
      </c>
      <c r="AM103" s="128">
        <f t="shared" si="270"/>
        <v>8.199999809265137E-3</v>
      </c>
      <c r="AN103" s="128">
        <f t="shared" si="270"/>
        <v>1.9E-2</v>
      </c>
      <c r="AO103" s="128">
        <f t="shared" si="270"/>
        <v>4.2999999999999997E-2</v>
      </c>
      <c r="AP103" s="128">
        <f t="shared" si="270"/>
        <v>0</v>
      </c>
      <c r="AQ103" s="128">
        <f t="shared" si="270"/>
        <v>0</v>
      </c>
      <c r="AR103" s="128">
        <f t="shared" si="270"/>
        <v>0</v>
      </c>
      <c r="AS103" s="128">
        <f t="shared" si="270"/>
        <v>0</v>
      </c>
      <c r="AT103" s="128">
        <f t="shared" si="270"/>
        <v>0</v>
      </c>
      <c r="AU103" s="128">
        <f t="shared" si="270"/>
        <v>0</v>
      </c>
      <c r="AV103" s="128">
        <f t="shared" si="270"/>
        <v>0</v>
      </c>
      <c r="AW103" s="128">
        <f t="shared" si="270"/>
        <v>0</v>
      </c>
      <c r="AX103" s="128">
        <f t="shared" si="270"/>
        <v>10.385899999999999</v>
      </c>
      <c r="AY103" s="128">
        <f t="shared" si="270"/>
        <v>16.854040000000005</v>
      </c>
      <c r="AZ103" s="128">
        <f t="shared" si="270"/>
        <v>-13.395629999999999</v>
      </c>
      <c r="BA103" s="128">
        <f t="shared" si="270"/>
        <v>113.71770000000001</v>
      </c>
      <c r="BB103" s="128">
        <f t="shared" si="270"/>
        <v>-58.434075</v>
      </c>
      <c r="BC103" s="128">
        <f t="shared" si="270"/>
        <v>-38.6021</v>
      </c>
      <c r="BD103" s="128">
        <f t="shared" si="270"/>
        <v>1.6604999999999941</v>
      </c>
      <c r="BE103" s="128">
        <f t="shared" si="270"/>
        <v>5.5350000000000001</v>
      </c>
      <c r="BF103" s="128">
        <f>+BF104+BF105</f>
        <v>-79.900000000000006</v>
      </c>
      <c r="BG103" s="128">
        <f>+BG104+BG105</f>
        <v>-272.89999999999998</v>
      </c>
      <c r="BH103" s="128">
        <f>+BH104+BH105</f>
        <v>33.800000000000004</v>
      </c>
      <c r="BI103" s="128">
        <f>+BI104+BI105</f>
        <v>-16.300000000000011</v>
      </c>
      <c r="BJ103" s="128">
        <f t="shared" ref="BJ103:BQ103" si="271">+BJ104+BJ105</f>
        <v>184.5</v>
      </c>
      <c r="BK103" s="128">
        <f t="shared" si="271"/>
        <v>413.59999999999997</v>
      </c>
      <c r="BL103" s="128">
        <f t="shared" si="271"/>
        <v>347.59999999999997</v>
      </c>
      <c r="BM103" s="128">
        <f t="shared" si="271"/>
        <v>554.4</v>
      </c>
      <c r="BN103" s="128">
        <f t="shared" si="271"/>
        <v>258.3</v>
      </c>
      <c r="BO103" s="128">
        <f t="shared" si="271"/>
        <v>267.89999999999998</v>
      </c>
      <c r="BP103" s="128">
        <f t="shared" si="271"/>
        <v>4713</v>
      </c>
      <c r="BQ103" s="128">
        <f t="shared" si="271"/>
        <v>983.7</v>
      </c>
      <c r="BR103" s="128">
        <f>+BR104+BR105</f>
        <v>327</v>
      </c>
      <c r="BS103" s="128">
        <f>+BS104+BS105</f>
        <v>412.8</v>
      </c>
      <c r="BT103" s="109">
        <f>Assumptions!BT33*BT196</f>
        <v>0</v>
      </c>
      <c r="BU103" s="109">
        <f>Assumptions!BU33*BU196</f>
        <v>0</v>
      </c>
      <c r="BV103" s="109">
        <f>Assumptions!BV33*BV196</f>
        <v>0</v>
      </c>
      <c r="BW103" s="109">
        <f>Assumptions!BW33*BW196</f>
        <v>0</v>
      </c>
      <c r="BX103" s="109">
        <f>Assumptions!BX33*BX196</f>
        <v>0</v>
      </c>
      <c r="BY103" s="109">
        <f>Assumptions!BY33*BY196</f>
        <v>0</v>
      </c>
      <c r="BZ103" s="109">
        <f>Assumptions!BZ33*BZ196</f>
        <v>0</v>
      </c>
      <c r="CA103" s="109">
        <f>Assumptions!CA33*CA196</f>
        <v>0</v>
      </c>
      <c r="CB103" s="109">
        <f>Assumptions!CB33*CB196</f>
        <v>0</v>
      </c>
      <c r="CC103" s="109">
        <f>Assumptions!CC33*CC196</f>
        <v>0</v>
      </c>
      <c r="CD103" s="109">
        <f>Assumptions!CD33*CD196</f>
        <v>0</v>
      </c>
      <c r="CE103" s="109">
        <f>Assumptions!CE33*CE196</f>
        <v>0</v>
      </c>
      <c r="CF103" s="109">
        <f>Assumptions!CF33*CF196</f>
        <v>0</v>
      </c>
      <c r="CG103" s="109">
        <f>Assumptions!CG33*CG196</f>
        <v>0</v>
      </c>
      <c r="CI103" s="133">
        <f t="shared" si="243"/>
        <v>0</v>
      </c>
      <c r="CJ103" s="133">
        <f t="shared" si="254"/>
        <v>0</v>
      </c>
      <c r="CK103" s="133">
        <f t="shared" si="255"/>
        <v>0</v>
      </c>
      <c r="CL103" s="133">
        <f t="shared" si="256"/>
        <v>0</v>
      </c>
      <c r="CM103" s="133">
        <f t="shared" si="257"/>
        <v>-2567.6</v>
      </c>
      <c r="CN103" s="133">
        <f t="shared" si="258"/>
        <v>-2567.6</v>
      </c>
      <c r="CO103" s="133">
        <f t="shared" si="259"/>
        <v>-2567.6</v>
      </c>
      <c r="CP103" s="133">
        <f t="shared" si="260"/>
        <v>-2567.6</v>
      </c>
      <c r="CQ103" s="133">
        <f t="shared" si="261"/>
        <v>-2567.6</v>
      </c>
      <c r="CR103" s="133">
        <f t="shared" si="262"/>
        <v>-2567.6</v>
      </c>
      <c r="CS103" s="133">
        <f t="shared" si="263"/>
        <v>-2567.6</v>
      </c>
      <c r="CT103" s="133">
        <f t="shared" si="264"/>
        <v>-2567.6</v>
      </c>
      <c r="CU103" s="133">
        <f t="shared" si="265"/>
        <v>-2567.6</v>
      </c>
      <c r="CV103" s="133">
        <f t="shared" si="245"/>
        <v>-2567.6</v>
      </c>
      <c r="CW103" s="133">
        <f t="shared" si="246"/>
        <v>-2567.6</v>
      </c>
      <c r="CX103" s="133">
        <f t="shared" si="247"/>
        <v>-2567.6</v>
      </c>
      <c r="CY103" s="133">
        <f t="shared" si="248"/>
        <v>-2567.6</v>
      </c>
      <c r="DA103" s="104">
        <v>983.7</v>
      </c>
      <c r="DB103" s="104">
        <v>327</v>
      </c>
      <c r="DC103" s="104">
        <v>412.8</v>
      </c>
      <c r="DD103" s="104">
        <v>0</v>
      </c>
      <c r="DE103" s="104">
        <v>2567.6</v>
      </c>
      <c r="DF103" s="104">
        <v>2567.6</v>
      </c>
      <c r="DG103" s="104">
        <v>2567.6</v>
      </c>
      <c r="DH103" s="104">
        <v>2567.6</v>
      </c>
      <c r="DI103" s="104">
        <v>2567.6</v>
      </c>
      <c r="DJ103" s="104">
        <v>2567.6</v>
      </c>
      <c r="DK103" s="104">
        <v>2567.6</v>
      </c>
      <c r="DL103" s="104">
        <v>2567.6</v>
      </c>
      <c r="DM103" s="104">
        <v>2567.6</v>
      </c>
      <c r="DN103" s="104">
        <v>2567.6</v>
      </c>
      <c r="DO103" s="104">
        <v>2567.6</v>
      </c>
      <c r="DP103" s="104">
        <v>2567.6</v>
      </c>
      <c r="DQ103" s="104">
        <v>2567.6</v>
      </c>
    </row>
    <row r="104" spans="1:121" s="123" customFormat="1">
      <c r="A104" s="131" t="s">
        <v>3236</v>
      </c>
      <c r="B104" s="131"/>
      <c r="C104" s="132" t="s">
        <v>1579</v>
      </c>
      <c r="D104" s="147"/>
      <c r="E104" s="131"/>
      <c r="F104" s="140">
        <f>+mamiabc!F71</f>
        <v>2E-3</v>
      </c>
      <c r="G104" s="140">
        <f>+mamiabc!G71</f>
        <v>1.6000000000000001E-3</v>
      </c>
      <c r="H104" s="140">
        <f>+mamiabc!H71</f>
        <v>2.299999952316284E-3</v>
      </c>
      <c r="I104" s="140">
        <f>+mamiabc!I71</f>
        <v>3.5999999046325685E-3</v>
      </c>
      <c r="J104" s="140">
        <f>+mamiabc!J71</f>
        <v>4.6999998092651365E-3</v>
      </c>
      <c r="K104" s="140">
        <f>+mamiabc!K71</f>
        <v>4.6999998092651365E-3</v>
      </c>
      <c r="L104" s="140">
        <f>+mamiabc!L71</f>
        <v>6.4000000953674313E-3</v>
      </c>
      <c r="M104" s="140">
        <f>+mamiabc!M71</f>
        <v>8.199999809265137E-3</v>
      </c>
      <c r="N104" s="140">
        <f>+mamiabc!N71</f>
        <v>7.4000000953674313E-3</v>
      </c>
      <c r="O104" s="140">
        <f>+mamiabc!O71</f>
        <v>1.1800000190734863E-2</v>
      </c>
      <c r="P104" s="140">
        <f>+mamiabc!P71</f>
        <v>1.5399999618530273E-2</v>
      </c>
      <c r="Q104" s="140">
        <f>+mamiabc!Q71</f>
        <v>1.6600000381469728E-2</v>
      </c>
      <c r="R104" s="140">
        <f>+mamiabc!R71</f>
        <v>6.0000000000000001E-3</v>
      </c>
      <c r="S104" s="140">
        <f>+mamiabc!S71</f>
        <v>4.4000000953674312E-3</v>
      </c>
      <c r="T104" s="140">
        <f>+mamiabc!T71</f>
        <v>6.8000001907348633E-3</v>
      </c>
      <c r="U104" s="140">
        <f>+mamiabc!U71</f>
        <v>6.9000000953674317E-3</v>
      </c>
      <c r="V104" s="140">
        <f>+mamiabc!V71</f>
        <v>1.5399999618530273E-2</v>
      </c>
      <c r="W104" s="140">
        <f>+mamiabc!W71</f>
        <v>7.199999809265137E-3</v>
      </c>
      <c r="X104" s="140">
        <f>+mamiabc!X71</f>
        <v>3.2900001525878908E-2</v>
      </c>
      <c r="Y104" s="140">
        <f>+mamiabc!Y71</f>
        <v>1.2300000190734864E-2</v>
      </c>
      <c r="Z104" s="140">
        <f>+mamiabc!Z71</f>
        <v>1.8100000381469725E-2</v>
      </c>
      <c r="AA104" s="140">
        <f>+mamiabc!AA71</f>
        <v>1.7100000381469728E-2</v>
      </c>
      <c r="AB104" s="140">
        <f>+mamiabc!AB71</f>
        <v>0</v>
      </c>
      <c r="AC104" s="140">
        <f>+mamiabc!AC71</f>
        <v>0</v>
      </c>
      <c r="AD104" s="140">
        <f>+mamiabc!AD71</f>
        <v>0.04</v>
      </c>
      <c r="AE104" s="140">
        <f>+mamiabc!AE71</f>
        <v>0</v>
      </c>
      <c r="AF104" s="140">
        <f>+mamiabc!AF71</f>
        <v>0</v>
      </c>
      <c r="AG104" s="140">
        <f>+mamiabc!AG71</f>
        <v>0</v>
      </c>
      <c r="AH104" s="140">
        <f>+mamiabc!AH71</f>
        <v>0</v>
      </c>
      <c r="AI104" s="140">
        <f>+mamiabc!AI71</f>
        <v>0</v>
      </c>
      <c r="AJ104" s="140">
        <f>+mamiabc!AJ71</f>
        <v>0</v>
      </c>
      <c r="AK104" s="140">
        <f>+mamiabc!AK71</f>
        <v>0</v>
      </c>
      <c r="AL104" s="140">
        <f>+mamiabc!AL71</f>
        <v>0</v>
      </c>
      <c r="AM104" s="140">
        <f>+mamiabc!AM71</f>
        <v>8.199999809265137E-3</v>
      </c>
      <c r="AN104" s="140">
        <f>+mamiabc!AN71</f>
        <v>1.9E-2</v>
      </c>
      <c r="AO104" s="140">
        <f>+mamiabc!AO71</f>
        <v>4.2999999999999997E-2</v>
      </c>
      <c r="AP104" s="140">
        <f>+mamiabc!AP71</f>
        <v>0</v>
      </c>
      <c r="AQ104" s="140">
        <f>+mamiabc!AQ71</f>
        <v>0</v>
      </c>
      <c r="AR104" s="140">
        <f>+mamiabc!AR71</f>
        <v>0</v>
      </c>
      <c r="AS104" s="140">
        <f>+mamiabc!AS71</f>
        <v>0</v>
      </c>
      <c r="AT104" s="140">
        <f>+mamiabc!AT71</f>
        <v>0</v>
      </c>
      <c r="AU104" s="140">
        <f>+mamiabc!AU71</f>
        <v>0</v>
      </c>
      <c r="AV104" s="140">
        <f>+mamiabc!AV71</f>
        <v>0</v>
      </c>
      <c r="AW104" s="140">
        <f>+mamiabc!AW71</f>
        <v>0</v>
      </c>
      <c r="AX104" s="140">
        <f>+mamiabc!AX71</f>
        <v>10.385899999999999</v>
      </c>
      <c r="AY104" s="140">
        <f>+mamiabc!AY71</f>
        <v>16.854040000000005</v>
      </c>
      <c r="AZ104" s="140">
        <f>+mamiabc!AZ71</f>
        <v>-13.395629999999999</v>
      </c>
      <c r="BA104" s="140">
        <f>+mamiabc!BA71</f>
        <v>113.71770000000001</v>
      </c>
      <c r="BB104" s="140">
        <f>+mamiabc!BB71</f>
        <v>-58.434075</v>
      </c>
      <c r="BC104" s="140">
        <f>+mamiabc!BC71</f>
        <v>-38.6021</v>
      </c>
      <c r="BD104" s="140">
        <f>+mamiabc!BD71</f>
        <v>1.6604999999999941</v>
      </c>
      <c r="BE104" s="140">
        <f>+mamiabc!BE71</f>
        <v>5.5350000000000001</v>
      </c>
      <c r="BF104" s="140">
        <f>SOURCE!BF345</f>
        <v>49.9</v>
      </c>
      <c r="BG104" s="140">
        <f>SOURCE!BG345</f>
        <v>80</v>
      </c>
      <c r="BH104" s="140">
        <f>SOURCE!BH345</f>
        <v>74.400000000000006</v>
      </c>
      <c r="BI104" s="140">
        <f>SOURCE!BI345</f>
        <v>233.2</v>
      </c>
      <c r="BJ104" s="140">
        <f>SOURCE!BJ345</f>
        <v>231.4</v>
      </c>
      <c r="BK104" s="140">
        <f>SOURCE!BK345</f>
        <v>482.9</v>
      </c>
      <c r="BL104" s="140">
        <f>SOURCE!BL345</f>
        <v>497.9</v>
      </c>
      <c r="BM104" s="140">
        <f>SOURCE!BM345</f>
        <v>614.6</v>
      </c>
      <c r="BN104" s="140">
        <f>SOURCE!BN345</f>
        <v>371.6</v>
      </c>
      <c r="BO104" s="140">
        <f>SOURCE!BO345</f>
        <v>387.9</v>
      </c>
      <c r="BP104" s="140">
        <f>SOURCE!BP345</f>
        <v>5887</v>
      </c>
      <c r="BQ104" s="140">
        <f>SOURCE!BQ345</f>
        <v>1382</v>
      </c>
      <c r="BR104" s="140">
        <f>SOURCE!BR345</f>
        <v>1381</v>
      </c>
      <c r="BS104" s="140">
        <f>SOURCE!BS345</f>
        <v>864</v>
      </c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06">
        <f t="shared" si="243"/>
        <v>0</v>
      </c>
      <c r="CJ104" s="106">
        <f t="shared" si="254"/>
        <v>0</v>
      </c>
      <c r="CK104" s="106">
        <f t="shared" si="255"/>
        <v>0</v>
      </c>
      <c r="CL104" s="106">
        <f t="shared" si="256"/>
        <v>0</v>
      </c>
      <c r="CM104" s="106">
        <f t="shared" si="257"/>
        <v>0</v>
      </c>
      <c r="CN104" s="106">
        <f t="shared" si="258"/>
        <v>0</v>
      </c>
      <c r="CO104" s="106">
        <f t="shared" si="259"/>
        <v>0</v>
      </c>
      <c r="CP104" s="106">
        <f t="shared" si="260"/>
        <v>0</v>
      </c>
      <c r="CQ104" s="106">
        <f t="shared" si="261"/>
        <v>0</v>
      </c>
      <c r="CR104" s="106">
        <f t="shared" si="262"/>
        <v>0</v>
      </c>
      <c r="CS104" s="106">
        <f t="shared" si="263"/>
        <v>0</v>
      </c>
      <c r="CT104" s="106">
        <f t="shared" si="264"/>
        <v>0</v>
      </c>
      <c r="CU104" s="106">
        <f t="shared" si="265"/>
        <v>0</v>
      </c>
      <c r="CV104" s="106">
        <f t="shared" si="245"/>
        <v>0</v>
      </c>
      <c r="CW104" s="106">
        <f t="shared" si="246"/>
        <v>0</v>
      </c>
      <c r="CX104" s="106">
        <f t="shared" si="247"/>
        <v>0</v>
      </c>
      <c r="CY104" s="106">
        <f t="shared" si="248"/>
        <v>0</v>
      </c>
      <c r="CZ104" s="134"/>
      <c r="DA104" s="135">
        <v>1382</v>
      </c>
      <c r="DB104" s="135">
        <v>1381</v>
      </c>
      <c r="DC104" s="135">
        <v>864</v>
      </c>
      <c r="DD104" s="135"/>
      <c r="DE104" s="135"/>
      <c r="DF104" s="135"/>
      <c r="DG104" s="135"/>
      <c r="DH104" s="135"/>
      <c r="DI104" s="135"/>
      <c r="DJ104" s="135"/>
      <c r="DK104" s="135"/>
      <c r="DL104" s="135"/>
      <c r="DM104" s="135"/>
      <c r="DN104" s="135"/>
      <c r="DO104" s="135"/>
      <c r="DP104" s="135"/>
      <c r="DQ104" s="135"/>
    </row>
    <row r="105" spans="1:121" s="123" customFormat="1">
      <c r="A105" s="107" t="s">
        <v>3237</v>
      </c>
      <c r="B105" s="107"/>
      <c r="C105" s="136" t="s">
        <v>1579</v>
      </c>
      <c r="D105" s="147"/>
      <c r="E105" s="107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40">
        <f>-SOURCE!BF346</f>
        <v>-129.80000000000001</v>
      </c>
      <c r="BG105" s="140">
        <f>-SOURCE!BG346</f>
        <v>-352.9</v>
      </c>
      <c r="BH105" s="140">
        <f>-SOURCE!BH346</f>
        <v>-40.6</v>
      </c>
      <c r="BI105" s="140">
        <f>-SOURCE!BI346</f>
        <v>-249.5</v>
      </c>
      <c r="BJ105" s="140">
        <f>-SOURCE!BJ346</f>
        <v>-46.9</v>
      </c>
      <c r="BK105" s="140">
        <f>-SOURCE!BK346</f>
        <v>-69.3</v>
      </c>
      <c r="BL105" s="140">
        <f>-SOURCE!BL346</f>
        <v>-150.30000000000001</v>
      </c>
      <c r="BM105" s="140">
        <f>-SOURCE!BM346</f>
        <v>-60.2</v>
      </c>
      <c r="BN105" s="140">
        <f>-SOURCE!BN346</f>
        <v>-113.3</v>
      </c>
      <c r="BO105" s="140">
        <f>-SOURCE!BO346</f>
        <v>-120</v>
      </c>
      <c r="BP105" s="140">
        <f>-SOURCE!BP346</f>
        <v>-1174</v>
      </c>
      <c r="BQ105" s="140">
        <f>-SOURCE!BQ346</f>
        <v>-398.3</v>
      </c>
      <c r="BR105" s="140">
        <f>-SOURCE!BR346</f>
        <v>-1054</v>
      </c>
      <c r="BS105" s="140">
        <f>-SOURCE!BS346</f>
        <v>-451.2</v>
      </c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06">
        <f t="shared" si="243"/>
        <v>0</v>
      </c>
      <c r="CJ105" s="106">
        <f t="shared" si="254"/>
        <v>0</v>
      </c>
      <c r="CK105" s="106">
        <f t="shared" si="255"/>
        <v>0</v>
      </c>
      <c r="CL105" s="106">
        <f t="shared" si="256"/>
        <v>0</v>
      </c>
      <c r="CM105" s="106">
        <f t="shared" si="257"/>
        <v>0</v>
      </c>
      <c r="CN105" s="106">
        <f t="shared" si="258"/>
        <v>0</v>
      </c>
      <c r="CO105" s="106">
        <f t="shared" si="259"/>
        <v>0</v>
      </c>
      <c r="CP105" s="106">
        <f t="shared" si="260"/>
        <v>0</v>
      </c>
      <c r="CQ105" s="106">
        <f t="shared" si="261"/>
        <v>0</v>
      </c>
      <c r="CR105" s="106">
        <f t="shared" si="262"/>
        <v>0</v>
      </c>
      <c r="CS105" s="106">
        <f t="shared" si="263"/>
        <v>0</v>
      </c>
      <c r="CT105" s="106">
        <f t="shared" si="264"/>
        <v>0</v>
      </c>
      <c r="CU105" s="106">
        <f t="shared" si="265"/>
        <v>0</v>
      </c>
      <c r="CV105" s="106">
        <f t="shared" si="245"/>
        <v>0</v>
      </c>
      <c r="CW105" s="106">
        <f t="shared" si="246"/>
        <v>0</v>
      </c>
      <c r="CX105" s="106">
        <f t="shared" si="247"/>
        <v>0</v>
      </c>
      <c r="CY105" s="106">
        <f t="shared" si="248"/>
        <v>0</v>
      </c>
      <c r="CZ105" s="134"/>
      <c r="DA105" s="135">
        <v>-398.3</v>
      </c>
      <c r="DB105" s="135">
        <v>-1054</v>
      </c>
      <c r="DC105" s="135">
        <v>-451.2</v>
      </c>
      <c r="DD105" s="135"/>
      <c r="DE105" s="135"/>
      <c r="DF105" s="135"/>
      <c r="DG105" s="135"/>
      <c r="DH105" s="135"/>
      <c r="DI105" s="135"/>
      <c r="DJ105" s="135"/>
      <c r="DK105" s="135"/>
      <c r="DL105" s="135"/>
      <c r="DM105" s="135"/>
      <c r="DN105" s="135"/>
      <c r="DO105" s="135"/>
      <c r="DP105" s="135"/>
      <c r="DQ105" s="135"/>
    </row>
    <row r="106" spans="1:121" s="123" customFormat="1">
      <c r="A106" s="107" t="s">
        <v>3238</v>
      </c>
      <c r="B106" s="107"/>
      <c r="C106" s="136" t="s">
        <v>1579</v>
      </c>
      <c r="D106" s="147"/>
      <c r="E106" s="107"/>
      <c r="F106" s="140">
        <f>+mamiabc!F72</f>
        <v>0</v>
      </c>
      <c r="G106" s="140">
        <f>+mamiabc!G72</f>
        <v>0</v>
      </c>
      <c r="H106" s="140">
        <f>+mamiabc!H72</f>
        <v>4.0000000596046445E-4</v>
      </c>
      <c r="I106" s="140">
        <f>+mamiabc!I72</f>
        <v>5.0000000000000001E-4</v>
      </c>
      <c r="J106" s="140">
        <f>+mamiabc!J72</f>
        <v>-1.0000000149011611E-4</v>
      </c>
      <c r="K106" s="140">
        <f>+mamiabc!K72</f>
        <v>4.4000000953674312E-3</v>
      </c>
      <c r="L106" s="140">
        <f>+mamiabc!L72</f>
        <v>1.399999976158142E-3</v>
      </c>
      <c r="M106" s="140">
        <f>+mamiabc!M72</f>
        <v>2.299999952316284E-3</v>
      </c>
      <c r="N106" s="140">
        <f>+mamiabc!N72</f>
        <v>1.5E-3</v>
      </c>
      <c r="O106" s="140">
        <f>+mamiabc!O72</f>
        <v>8.0000001192092891E-4</v>
      </c>
      <c r="P106" s="140">
        <f>+mamiabc!P72</f>
        <v>1.399999976158142E-3</v>
      </c>
      <c r="Q106" s="140">
        <f>+mamiabc!Q72</f>
        <v>-1.0000000149011611E-4</v>
      </c>
      <c r="R106" s="140">
        <f>+mamiabc!R72</f>
        <v>3.0000001192092895E-4</v>
      </c>
      <c r="S106" s="140">
        <f>+mamiabc!S72</f>
        <v>6.0000000000000001E-3</v>
      </c>
      <c r="T106" s="140">
        <f>+mamiabc!T72</f>
        <v>5.3000001907348637E-3</v>
      </c>
      <c r="U106" s="140">
        <f>+mamiabc!U72</f>
        <v>1.0500000000000001E-2</v>
      </c>
      <c r="V106" s="140">
        <f>+mamiabc!V72</f>
        <v>7.8000001907348633E-3</v>
      </c>
      <c r="W106" s="140">
        <f>+mamiabc!W72</f>
        <v>4.3000001907348637E-3</v>
      </c>
      <c r="X106" s="140">
        <f>+mamiabc!X72</f>
        <v>-1.0999999999999999E-2</v>
      </c>
      <c r="Y106" s="140">
        <f>+mamiabc!Y72</f>
        <v>-2.5999999046325685E-3</v>
      </c>
      <c r="Z106" s="140">
        <f>+mamiabc!Z72</f>
        <v>-3.0000000000000001E-3</v>
      </c>
      <c r="AA106" s="140">
        <f>+mamiabc!AA72</f>
        <v>5.199999809265137E-3</v>
      </c>
      <c r="AB106" s="140">
        <f>+mamiabc!AB72</f>
        <v>-5.3000001907348637E-3</v>
      </c>
      <c r="AC106" s="140">
        <f>+mamiabc!AC72</f>
        <v>-5.0000000000000001E-4</v>
      </c>
      <c r="AD106" s="140">
        <f>+mamiabc!AD72</f>
        <v>-7.0999999046325686E-3</v>
      </c>
      <c r="AE106" s="140">
        <f>+mamiabc!AE72</f>
        <v>2.2204460492503131E-19</v>
      </c>
      <c r="AF106" s="140">
        <f>+mamiabc!AF72</f>
        <v>-3.5999999046325685E-3</v>
      </c>
      <c r="AG106" s="140">
        <f>+mamiabc!AG72</f>
        <v>-2.0000000298023223E-4</v>
      </c>
      <c r="AH106" s="140">
        <f>+mamiabc!AH72</f>
        <v>-4.5999999046325681E-3</v>
      </c>
      <c r="AI106" s="140">
        <f>+mamiabc!AI72</f>
        <v>-8.6000003814697273E-3</v>
      </c>
      <c r="AJ106" s="140">
        <f>+mamiabc!AJ72</f>
        <v>-1.5E-3</v>
      </c>
      <c r="AK106" s="140">
        <f>+mamiabc!AK72</f>
        <v>-2.0999999046325685E-3</v>
      </c>
      <c r="AL106" s="140">
        <f>+mamiabc!AL72</f>
        <v>-2.0999999046325685E-3</v>
      </c>
      <c r="AM106" s="140">
        <f>+mamiabc!AM72</f>
        <v>-2.3299999237060547E-2</v>
      </c>
      <c r="AN106" s="140">
        <f>+mamiabc!AN72</f>
        <v>1.1800000190734863E-2</v>
      </c>
      <c r="AO106" s="140">
        <f>+mamiabc!AO72</f>
        <v>-5.8000001907348633E-3</v>
      </c>
      <c r="AP106" s="140">
        <f>+mamiabc!AP72</f>
        <v>-3.2000000000000002E-3</v>
      </c>
      <c r="AQ106" s="140">
        <f>+mamiabc!AQ72</f>
        <v>1.01E-2</v>
      </c>
      <c r="AR106" s="140">
        <f>+mamiabc!AR72</f>
        <v>1.6199999999999999E-2</v>
      </c>
      <c r="AS106" s="140">
        <f>+mamiabc!AS72</f>
        <v>0.20649999999999999</v>
      </c>
      <c r="AT106" s="140">
        <f>+mamiabc!AT72</f>
        <v>0.74709999999999999</v>
      </c>
      <c r="AU106" s="140">
        <f>+mamiabc!AU72</f>
        <v>-2.86</v>
      </c>
      <c r="AV106" s="140">
        <f>+mamiabc!AV72</f>
        <v>-0.71460000000000001</v>
      </c>
      <c r="AW106" s="140">
        <f>+mamiabc!AW72</f>
        <v>7.9003000000000005</v>
      </c>
      <c r="AX106" s="140">
        <f>+mamiabc!AX72</f>
        <v>14.6</v>
      </c>
      <c r="AY106" s="140">
        <f>+mamiabc!AY72</f>
        <v>2.7</v>
      </c>
      <c r="AZ106" s="140">
        <f>+mamiabc!AZ72</f>
        <v>41.7</v>
      </c>
      <c r="BA106" s="140">
        <f>+mamiabc!BA72</f>
        <v>31.3</v>
      </c>
      <c r="BB106" s="140">
        <f>+mamiabc!BB72</f>
        <v>11.3</v>
      </c>
      <c r="BC106" s="140">
        <f>+mamiabc!BC72</f>
        <v>15.7</v>
      </c>
      <c r="BD106" s="140">
        <f>+mamiabc!BD72</f>
        <v>16.65858334132081</v>
      </c>
      <c r="BE106" s="140">
        <f>+mamiabc!BE72</f>
        <v>16.65858334132081</v>
      </c>
      <c r="BF106" s="140">
        <f>SOURCE!BF347</f>
        <v>-5.3</v>
      </c>
      <c r="BG106" s="140">
        <f>SOURCE!BG347</f>
        <v>-185.4</v>
      </c>
      <c r="BH106" s="140">
        <f>SOURCE!BH347</f>
        <v>-190</v>
      </c>
      <c r="BI106" s="140">
        <f>SOURCE!BI347</f>
        <v>238.7</v>
      </c>
      <c r="BJ106" s="140">
        <f>SOURCE!BJ347</f>
        <v>121.2</v>
      </c>
      <c r="BK106" s="140">
        <f>SOURCE!BK347</f>
        <v>-128.9</v>
      </c>
      <c r="BL106" s="140">
        <f>SOURCE!BL347</f>
        <v>97.5</v>
      </c>
      <c r="BM106" s="140">
        <f>SOURCE!BM347</f>
        <v>473.1</v>
      </c>
      <c r="BN106" s="140">
        <f>SOURCE!BN347</f>
        <v>1187.2</v>
      </c>
      <c r="BO106" s="140">
        <f>SOURCE!BO347</f>
        <v>1408.8</v>
      </c>
      <c r="BP106" s="140">
        <f>SOURCE!BP347</f>
        <v>-2052</v>
      </c>
      <c r="BQ106" s="140">
        <f>SOURCE!BQ347</f>
        <v>1414.2</v>
      </c>
      <c r="BR106" s="140">
        <f>SOURCE!BR347</f>
        <v>2136</v>
      </c>
      <c r="BS106" s="140">
        <f>SOURCE!BS347</f>
        <v>2522.4000000000005</v>
      </c>
      <c r="BT106" s="123">
        <f t="shared" ref="BT106:CB106" si="272">BT102-BT103</f>
        <v>5040</v>
      </c>
      <c r="BU106" s="123">
        <f t="shared" ca="1" si="272"/>
        <v>1850.3867993041149</v>
      </c>
      <c r="BV106" s="123">
        <f t="shared" ca="1" si="272"/>
        <v>-119.58225159126414</v>
      </c>
      <c r="BW106" s="123">
        <f t="shared" ca="1" si="272"/>
        <v>2560.5307034442158</v>
      </c>
      <c r="BX106" s="123">
        <f t="shared" ca="1" si="272"/>
        <v>2728.2705446835134</v>
      </c>
      <c r="BY106" s="123">
        <f t="shared" ca="1" si="272"/>
        <v>3036.7035798248689</v>
      </c>
      <c r="BZ106" s="123">
        <f t="shared" ca="1" si="272"/>
        <v>3465.086839240812</v>
      </c>
      <c r="CA106" s="123">
        <f t="shared" ca="1" si="272"/>
        <v>4046.1662755960533</v>
      </c>
      <c r="CB106" s="123">
        <f t="shared" ca="1" si="272"/>
        <v>4848.1029237531293</v>
      </c>
      <c r="CC106" s="123">
        <f ca="1">CC102-CC103</f>
        <v>5947.7001232102375</v>
      </c>
      <c r="CD106" s="123">
        <f ca="1">CD102-CD103</f>
        <v>7455.3534441778393</v>
      </c>
      <c r="CE106" s="123">
        <f ca="1">CE102-CE103</f>
        <v>9528.0135458070872</v>
      </c>
      <c r="CF106" s="123">
        <f ca="1">CF102-CF103</f>
        <v>12390.282540872002</v>
      </c>
      <c r="CG106" s="123">
        <f ca="1">CG102-CG103</f>
        <v>16365.370132620184</v>
      </c>
      <c r="CH106" s="141"/>
      <c r="CI106" s="106">
        <f t="shared" si="243"/>
        <v>0</v>
      </c>
      <c r="CJ106" s="106">
        <f t="shared" ref="CJ106:CU106" si="273">BR106-DB106</f>
        <v>0</v>
      </c>
      <c r="CK106" s="106">
        <f t="shared" si="273"/>
        <v>0</v>
      </c>
      <c r="CL106" s="106">
        <f t="shared" si="273"/>
        <v>0</v>
      </c>
      <c r="CM106" s="106">
        <f t="shared" ca="1" si="273"/>
        <v>-1111.4094170880439</v>
      </c>
      <c r="CN106" s="106">
        <f t="shared" ca="1" si="273"/>
        <v>-1387.0619023925433</v>
      </c>
      <c r="CO106" s="106">
        <f t="shared" ca="1" si="273"/>
        <v>-1301.1698155750987</v>
      </c>
      <c r="CP106" s="106">
        <f t="shared" ca="1" si="273"/>
        <v>-1530.9702979195645</v>
      </c>
      <c r="CQ106" s="106">
        <f t="shared" ca="1" si="273"/>
        <v>-1793.4485755892038</v>
      </c>
      <c r="CR106" s="106">
        <f t="shared" ca="1" si="273"/>
        <v>1297.9186201653188</v>
      </c>
      <c r="CS106" s="106">
        <f t="shared" ca="1" si="273"/>
        <v>1042.6644140221993</v>
      </c>
      <c r="CT106" s="106">
        <f t="shared" ca="1" si="273"/>
        <v>883.46351475166875</v>
      </c>
      <c r="CU106" s="106">
        <f t="shared" ca="1" si="273"/>
        <v>523.55011905521496</v>
      </c>
      <c r="CV106" s="106">
        <f t="shared" ca="1" si="245"/>
        <v>-23.803023249127364</v>
      </c>
      <c r="CW106" s="106">
        <f t="shared" ca="1" si="246"/>
        <v>-846.22713410767574</v>
      </c>
      <c r="CX106" s="106">
        <f t="shared" ca="1" si="247"/>
        <v>-2097.547801096056</v>
      </c>
      <c r="CY106" s="106">
        <f t="shared" ca="1" si="248"/>
        <v>-4033.0952726768955</v>
      </c>
      <c r="CZ106" s="134"/>
      <c r="DA106" s="135">
        <v>1414.2</v>
      </c>
      <c r="DB106" s="135">
        <v>2136</v>
      </c>
      <c r="DC106" s="135">
        <v>2522.4000000000005</v>
      </c>
      <c r="DD106" s="135">
        <v>5040</v>
      </c>
      <c r="DE106" s="135">
        <v>2961.7962163921588</v>
      </c>
      <c r="DF106" s="135">
        <v>1267.4796508012791</v>
      </c>
      <c r="DG106" s="135">
        <v>3861.7005190193145</v>
      </c>
      <c r="DH106" s="135">
        <v>4259.2408426030779</v>
      </c>
      <c r="DI106" s="135">
        <v>4830.1521554140727</v>
      </c>
      <c r="DJ106" s="135">
        <v>2167.1682190754932</v>
      </c>
      <c r="DK106" s="135">
        <v>3003.5018615738541</v>
      </c>
      <c r="DL106" s="135">
        <v>3964.6394090014605</v>
      </c>
      <c r="DM106" s="135">
        <v>5424.1500041550225</v>
      </c>
      <c r="DN106" s="135">
        <v>7479.1564674269666</v>
      </c>
      <c r="DO106" s="135">
        <v>10374.240679914763</v>
      </c>
      <c r="DP106" s="135">
        <v>14487.830341968058</v>
      </c>
      <c r="DQ106" s="135">
        <v>20398.46540529708</v>
      </c>
    </row>
    <row r="107" spans="1:121" s="123" customFormat="1">
      <c r="A107" s="107" t="s">
        <v>1507</v>
      </c>
      <c r="B107" s="107"/>
      <c r="C107" s="136"/>
      <c r="D107" s="147"/>
      <c r="E107" s="107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23">
        <f t="shared" ref="BF107:BQ107" si="274">BF106-BF108</f>
        <v>-25.6</v>
      </c>
      <c r="BG107" s="123">
        <f t="shared" si="274"/>
        <v>-196.8</v>
      </c>
      <c r="BH107" s="123">
        <f t="shared" si="274"/>
        <v>-197.9</v>
      </c>
      <c r="BI107" s="123">
        <f t="shared" si="274"/>
        <v>189.6</v>
      </c>
      <c r="BJ107" s="123">
        <f t="shared" si="274"/>
        <v>76.300000000000011</v>
      </c>
      <c r="BK107" s="123">
        <f t="shared" si="274"/>
        <v>-181.8</v>
      </c>
      <c r="BL107" s="123">
        <f t="shared" si="274"/>
        <v>64.400000000000006</v>
      </c>
      <c r="BM107" s="123">
        <f t="shared" si="274"/>
        <v>551.30000000000007</v>
      </c>
      <c r="BN107" s="123">
        <f t="shared" si="274"/>
        <v>1208.2</v>
      </c>
      <c r="BO107" s="123">
        <f t="shared" si="274"/>
        <v>1290.8</v>
      </c>
      <c r="BP107" s="123">
        <f t="shared" si="274"/>
        <v>32</v>
      </c>
      <c r="BQ107" s="123">
        <f t="shared" si="274"/>
        <v>1363.2</v>
      </c>
      <c r="BR107" s="123">
        <f t="shared" ref="BR107:CB107" si="275">BR106-BR108</f>
        <v>-99</v>
      </c>
      <c r="BS107" s="123">
        <f t="shared" si="275"/>
        <v>2829.6000000000004</v>
      </c>
      <c r="BT107" s="123">
        <f t="shared" si="275"/>
        <v>5040</v>
      </c>
      <c r="BU107" s="123">
        <f t="shared" ca="1" si="275"/>
        <v>1850.3867993041149</v>
      </c>
      <c r="BV107" s="123">
        <f t="shared" ca="1" si="275"/>
        <v>-119.58225159126414</v>
      </c>
      <c r="BW107" s="123">
        <f t="shared" ca="1" si="275"/>
        <v>2560.5307034442158</v>
      </c>
      <c r="BX107" s="123">
        <f t="shared" ca="1" si="275"/>
        <v>2728.2705446835134</v>
      </c>
      <c r="BY107" s="123">
        <f t="shared" ca="1" si="275"/>
        <v>3036.7035798248689</v>
      </c>
      <c r="BZ107" s="123">
        <f t="shared" ca="1" si="275"/>
        <v>3465.086839240812</v>
      </c>
      <c r="CA107" s="123">
        <f t="shared" ca="1" si="275"/>
        <v>4046.1662755960533</v>
      </c>
      <c r="CB107" s="123">
        <f t="shared" ca="1" si="275"/>
        <v>4848.1029237531293</v>
      </c>
      <c r="CC107" s="123">
        <f ca="1">CC106-CC108</f>
        <v>5947.7001232102375</v>
      </c>
      <c r="CD107" s="123">
        <f ca="1">CD106-CD108</f>
        <v>7455.3534441778393</v>
      </c>
      <c r="CE107" s="123">
        <f ca="1">CE106-CE108</f>
        <v>9528.0135458070872</v>
      </c>
      <c r="CF107" s="123">
        <f ca="1">CF106-CF108</f>
        <v>12390.282540872002</v>
      </c>
      <c r="CG107" s="123">
        <f ca="1">CG106-CG108</f>
        <v>16365.370132620184</v>
      </c>
      <c r="CH107" s="141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34"/>
      <c r="DA107" s="135">
        <v>1363.2</v>
      </c>
      <c r="DB107" s="135">
        <v>-99</v>
      </c>
      <c r="DC107" s="135">
        <v>2829.6000000000004</v>
      </c>
      <c r="DD107" s="135">
        <v>5040</v>
      </c>
      <c r="DE107" s="135">
        <v>2961.7962163921588</v>
      </c>
      <c r="DF107" s="135">
        <v>1267.4796508012791</v>
      </c>
      <c r="DG107" s="135">
        <v>3861.7005190193145</v>
      </c>
      <c r="DH107" s="135">
        <v>4259.2408426030779</v>
      </c>
      <c r="DI107" s="135">
        <v>4830.1521554140727</v>
      </c>
      <c r="DJ107" s="135">
        <v>2167.1682190754932</v>
      </c>
      <c r="DK107" s="135">
        <v>3003.5018615738541</v>
      </c>
      <c r="DL107" s="135">
        <v>3964.6394090014605</v>
      </c>
      <c r="DM107" s="135">
        <v>5424.1500041550225</v>
      </c>
      <c r="DN107" s="135">
        <v>7479.1564674269666</v>
      </c>
      <c r="DO107" s="135">
        <v>10374.240679914763</v>
      </c>
      <c r="DP107" s="135">
        <v>14487.830341968058</v>
      </c>
      <c r="DQ107" s="135">
        <v>20398.46540529708</v>
      </c>
    </row>
    <row r="108" spans="1:121" s="123" customFormat="1">
      <c r="A108" s="107" t="s">
        <v>735</v>
      </c>
      <c r="B108" s="107"/>
      <c r="C108" s="136"/>
      <c r="D108" s="147"/>
      <c r="E108" s="107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>
        <f>SOURCE!BF358</f>
        <v>20.3</v>
      </c>
      <c r="BG108" s="140">
        <f>SOURCE!BG358</f>
        <v>11.4</v>
      </c>
      <c r="BH108" s="140">
        <f>SOURCE!BH358</f>
        <v>7.9</v>
      </c>
      <c r="BI108" s="140">
        <f>SOURCE!BI358</f>
        <v>49.1</v>
      </c>
      <c r="BJ108" s="140">
        <f>SOURCE!BJ358</f>
        <v>44.9</v>
      </c>
      <c r="BK108" s="140">
        <f>SOURCE!BK358</f>
        <v>52.9</v>
      </c>
      <c r="BL108" s="140">
        <f>SOURCE!BL358</f>
        <v>33.1</v>
      </c>
      <c r="BM108" s="140">
        <f>SOURCE!BM358</f>
        <v>-78.2</v>
      </c>
      <c r="BN108" s="140">
        <f>SOURCE!BN358</f>
        <v>-21</v>
      </c>
      <c r="BO108" s="140">
        <f>SOURCE!BO358</f>
        <v>118</v>
      </c>
      <c r="BP108" s="140">
        <f>SOURCE!BP358</f>
        <v>-2084</v>
      </c>
      <c r="BQ108" s="140">
        <f>SOURCE!BQ358</f>
        <v>51</v>
      </c>
      <c r="BR108" s="140">
        <f>SOURCE!BR358</f>
        <v>2235</v>
      </c>
      <c r="BS108" s="140">
        <f>SOURCE!BS358</f>
        <v>-307.2</v>
      </c>
      <c r="BT108" s="109">
        <v>0</v>
      </c>
      <c r="BU108" s="109">
        <f t="shared" ref="BU108:CB108" si="276">BT108</f>
        <v>0</v>
      </c>
      <c r="BV108" s="109">
        <f t="shared" si="276"/>
        <v>0</v>
      </c>
      <c r="BW108" s="109">
        <f t="shared" si="276"/>
        <v>0</v>
      </c>
      <c r="BX108" s="109">
        <f t="shared" si="276"/>
        <v>0</v>
      </c>
      <c r="BY108" s="109">
        <f t="shared" si="276"/>
        <v>0</v>
      </c>
      <c r="BZ108" s="109">
        <f t="shared" si="276"/>
        <v>0</v>
      </c>
      <c r="CA108" s="109">
        <f t="shared" si="276"/>
        <v>0</v>
      </c>
      <c r="CB108" s="109">
        <f t="shared" si="276"/>
        <v>0</v>
      </c>
      <c r="CC108" s="109">
        <f>CB108</f>
        <v>0</v>
      </c>
      <c r="CD108" s="109">
        <f>CC108</f>
        <v>0</v>
      </c>
      <c r="CE108" s="109">
        <f>CD108</f>
        <v>0</v>
      </c>
      <c r="CF108" s="109">
        <f>CE108</f>
        <v>0</v>
      </c>
      <c r="CG108" s="109">
        <f>CF108</f>
        <v>0</v>
      </c>
      <c r="CH108" s="141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34"/>
      <c r="DA108" s="135">
        <v>51</v>
      </c>
      <c r="DB108" s="135">
        <v>2235</v>
      </c>
      <c r="DC108" s="135">
        <v>-307.2</v>
      </c>
      <c r="DD108" s="135">
        <v>0</v>
      </c>
      <c r="DE108" s="135">
        <v>0</v>
      </c>
      <c r="DF108" s="135">
        <v>0</v>
      </c>
      <c r="DG108" s="135">
        <v>0</v>
      </c>
      <c r="DH108" s="135">
        <v>0</v>
      </c>
      <c r="DI108" s="135">
        <v>0</v>
      </c>
      <c r="DJ108" s="135">
        <v>0</v>
      </c>
      <c r="DK108" s="135">
        <v>0</v>
      </c>
      <c r="DL108" s="135">
        <v>0</v>
      </c>
      <c r="DM108" s="135">
        <v>0</v>
      </c>
      <c r="DN108" s="135">
        <v>0</v>
      </c>
      <c r="DO108" s="135">
        <v>0</v>
      </c>
      <c r="DP108" s="135">
        <v>0</v>
      </c>
      <c r="DQ108" s="135">
        <v>0</v>
      </c>
    </row>
    <row r="109" spans="1:121" s="123" customFormat="1">
      <c r="A109" s="107" t="s">
        <v>520</v>
      </c>
      <c r="B109" s="107"/>
      <c r="C109" s="136" t="s">
        <v>1579</v>
      </c>
      <c r="D109" s="14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6"/>
      <c r="BA109" s="139"/>
      <c r="BB109" s="139"/>
      <c r="BC109" s="139"/>
      <c r="BD109" s="139"/>
      <c r="BE109" s="139"/>
      <c r="BP109" s="123">
        <f>+BP96-BP110</f>
        <v>156</v>
      </c>
      <c r="BQ109" s="123">
        <f>+BQ96-BQ110</f>
        <v>766</v>
      </c>
      <c r="BR109" s="123">
        <f>+BR96-BR110</f>
        <v>324</v>
      </c>
      <c r="BS109" s="123">
        <f>+BS96-BS110</f>
        <v>289</v>
      </c>
      <c r="BT109" s="551">
        <f t="shared" ref="BT109:CB109" si="277">BS109*((BT192/100)*BT114)/((BS192/100)*BS114)</f>
        <v>570.63652911820532</v>
      </c>
      <c r="BU109" s="551">
        <f t="shared" ca="1" si="277"/>
        <v>642.90117622097216</v>
      </c>
      <c r="BV109" s="551">
        <f t="shared" ca="1" si="277"/>
        <v>638.23103416513447</v>
      </c>
      <c r="BW109" s="551">
        <f t="shared" ca="1" si="277"/>
        <v>738.2295035390963</v>
      </c>
      <c r="BX109" s="551">
        <f t="shared" ca="1" si="277"/>
        <v>844.77885213290074</v>
      </c>
      <c r="BY109" s="551">
        <f t="shared" ca="1" si="277"/>
        <v>963.37368464807082</v>
      </c>
      <c r="BZ109" s="551">
        <f t="shared" ca="1" si="277"/>
        <v>1098.6985138742355</v>
      </c>
      <c r="CA109" s="551">
        <f t="shared" ca="1" si="277"/>
        <v>1256.7167066839916</v>
      </c>
      <c r="CB109" s="551">
        <f t="shared" ca="1" si="277"/>
        <v>1446.0535777828718</v>
      </c>
      <c r="CC109" s="551">
        <f ca="1">CB109*((CC192/100)*CC114)/((CB192/100)*CB114)</f>
        <v>1678.3339045980604</v>
      </c>
      <c r="CD109" s="551">
        <f ca="1">CC109*((CD192/100)*CD114)/((CC192/100)*CC114)</f>
        <v>1969.4938317400631</v>
      </c>
      <c r="CE109" s="551">
        <f ca="1">CD109*((CE192/100)*CE114)/((CD192/100)*CD114)</f>
        <v>2341.5990244149548</v>
      </c>
      <c r="CF109" s="551">
        <f ca="1">CE109*((CF192/100)*CF114)/((CE192/100)*CE114)</f>
        <v>2825.4867151704348</v>
      </c>
      <c r="CG109" s="551">
        <f ca="1">CF109*((CG192/100)*CG114)/((CF192/100)*CF114)</f>
        <v>3464.6167056052577</v>
      </c>
      <c r="CI109" s="106">
        <f t="shared" si="243"/>
        <v>0</v>
      </c>
      <c r="CJ109" s="106">
        <f t="shared" ref="CJ109:CU109" si="278">BR109-DB109</f>
        <v>0</v>
      </c>
      <c r="CK109" s="106">
        <f t="shared" si="278"/>
        <v>0</v>
      </c>
      <c r="CL109" s="106">
        <f t="shared" si="278"/>
        <v>0</v>
      </c>
      <c r="CM109" s="106">
        <f t="shared" ca="1" si="278"/>
        <v>-43.404767772210789</v>
      </c>
      <c r="CN109" s="106">
        <f t="shared" ca="1" si="278"/>
        <v>-97.574814231570599</v>
      </c>
      <c r="CO109" s="106">
        <f t="shared" ca="1" si="278"/>
        <v>-148.39044779460119</v>
      </c>
      <c r="CP109" s="106">
        <f t="shared" ca="1" si="278"/>
        <v>-208.1806648160275</v>
      </c>
      <c r="CQ109" s="106">
        <f t="shared" ca="1" si="278"/>
        <v>-278.22165757530115</v>
      </c>
      <c r="CR109" s="106">
        <f t="shared" ca="1" si="278"/>
        <v>-227.53299556710408</v>
      </c>
      <c r="CS109" s="106">
        <f t="shared" ca="1" si="278"/>
        <v>-186.8129818087582</v>
      </c>
      <c r="CT109" s="106">
        <f t="shared" ca="1" si="278"/>
        <v>-152.31036908707893</v>
      </c>
      <c r="CU109" s="106">
        <f t="shared" ca="1" si="278"/>
        <v>-131.86374430118963</v>
      </c>
      <c r="CV109" s="106">
        <f t="shared" ref="CV109:CY110" ca="1" si="279">CD109-DN109</f>
        <v>-132.79334295360354</v>
      </c>
      <c r="CW109" s="106">
        <f t="shared" ca="1" si="279"/>
        <v>-165.84173328911493</v>
      </c>
      <c r="CX109" s="106">
        <f t="shared" ca="1" si="279"/>
        <v>-247.75895820900723</v>
      </c>
      <c r="CY109" s="106">
        <f t="shared" ca="1" si="279"/>
        <v>-405.26667860641101</v>
      </c>
      <c r="CZ109" s="134"/>
      <c r="DA109" s="135">
        <v>766</v>
      </c>
      <c r="DB109" s="135">
        <v>324</v>
      </c>
      <c r="DC109" s="135">
        <v>289</v>
      </c>
      <c r="DD109" s="135">
        <v>570.63652911820532</v>
      </c>
      <c r="DE109" s="135">
        <v>686.30594399318295</v>
      </c>
      <c r="DF109" s="135">
        <v>735.80584839670507</v>
      </c>
      <c r="DG109" s="135">
        <v>886.61995133369749</v>
      </c>
      <c r="DH109" s="135">
        <v>1052.9595169489282</v>
      </c>
      <c r="DI109" s="135">
        <v>1241.595342223372</v>
      </c>
      <c r="DJ109" s="135">
        <v>1326.2315094413395</v>
      </c>
      <c r="DK109" s="135">
        <v>1443.5296884927498</v>
      </c>
      <c r="DL109" s="135">
        <v>1598.3639468699507</v>
      </c>
      <c r="DM109" s="135">
        <v>1810.19764889925</v>
      </c>
      <c r="DN109" s="135">
        <v>2102.2871746936667</v>
      </c>
      <c r="DO109" s="135">
        <v>2507.4407577040697</v>
      </c>
      <c r="DP109" s="135">
        <v>3073.245673379442</v>
      </c>
      <c r="DQ109" s="135">
        <v>3869.8833842116687</v>
      </c>
    </row>
    <row r="110" spans="1:121" s="123" customFormat="1">
      <c r="A110" s="107" t="s">
        <v>521</v>
      </c>
      <c r="B110" s="107"/>
      <c r="C110" s="136" t="s">
        <v>1579</v>
      </c>
      <c r="D110" s="14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6"/>
      <c r="BA110" s="139"/>
      <c r="BB110" s="139"/>
      <c r="BC110" s="139"/>
      <c r="BD110" s="135">
        <f>42*BD196</f>
        <v>116.08065000000001</v>
      </c>
      <c r="BE110" s="135">
        <f>42*BE196</f>
        <v>116.08065000000001</v>
      </c>
      <c r="BF110" s="135">
        <f>42*BF196</f>
        <v>116.08065000000001</v>
      </c>
      <c r="BG110" s="135">
        <f>42*BG196</f>
        <v>116.08065000000001</v>
      </c>
      <c r="BH110" s="135">
        <f t="shared" ref="BH110:BO110" si="280">42*BH196</f>
        <v>116.08065000000001</v>
      </c>
      <c r="BI110" s="135">
        <f t="shared" si="280"/>
        <v>116.08065000000001</v>
      </c>
      <c r="BJ110" s="135">
        <f t="shared" si="280"/>
        <v>116.08065000000001</v>
      </c>
      <c r="BK110" s="135">
        <f t="shared" si="280"/>
        <v>116.08065000000001</v>
      </c>
      <c r="BL110" s="135">
        <f t="shared" si="280"/>
        <v>116.08065000000001</v>
      </c>
      <c r="BM110" s="135">
        <f t="shared" si="280"/>
        <v>116.08065000000001</v>
      </c>
      <c r="BN110" s="135">
        <f t="shared" si="280"/>
        <v>116.08065000000001</v>
      </c>
      <c r="BO110" s="135">
        <f t="shared" si="280"/>
        <v>116.08065000000001</v>
      </c>
      <c r="BP110" s="514">
        <f>+SOURCE!BP334</f>
        <v>360</v>
      </c>
      <c r="BQ110" s="514">
        <f>+SOURCE!BQ334</f>
        <v>265</v>
      </c>
      <c r="BR110" s="514">
        <f>+SOURCE!BR334</f>
        <v>686</v>
      </c>
      <c r="BS110" s="514">
        <f>+SOURCE!BS334</f>
        <v>604</v>
      </c>
      <c r="BT110" s="551">
        <f>(BS110)*((BT194/100)*BT117)/((BS194/100)*BS117)</f>
        <v>637.35004549557016</v>
      </c>
      <c r="BU110" s="551">
        <f t="shared" ref="BU110:CB110" si="281">(BT110)*((BU194/100)*BU117)/((BT194/100)*BT117)</f>
        <v>1019.7600727929124</v>
      </c>
      <c r="BV110" s="551">
        <f t="shared" si="281"/>
        <v>1019.7600727929124</v>
      </c>
      <c r="BW110" s="551">
        <f t="shared" si="281"/>
        <v>1019.7600727929124</v>
      </c>
      <c r="BX110" s="551">
        <f t="shared" si="281"/>
        <v>1019.7600727929124</v>
      </c>
      <c r="BY110" s="551">
        <f t="shared" si="281"/>
        <v>1019.7600727929124</v>
      </c>
      <c r="BZ110" s="551">
        <f t="shared" si="281"/>
        <v>1019.7600727929124</v>
      </c>
      <c r="CA110" s="551">
        <f t="shared" si="281"/>
        <v>1019.7600727929124</v>
      </c>
      <c r="CB110" s="551">
        <f t="shared" si="281"/>
        <v>1019.7600727929124</v>
      </c>
      <c r="CC110" s="551">
        <f>(CB110)*((CC194/100)*CC117)/((CB194/100)*CB117)</f>
        <v>1019.7600727929124</v>
      </c>
      <c r="CD110" s="551">
        <f>(CC110)*((CD194/100)*CD117)/((CC194/100)*CC117)</f>
        <v>1019.7600727929124</v>
      </c>
      <c r="CE110" s="551">
        <f>(CD110)*((CE194/100)*CE117)/((CD194/100)*CD117)</f>
        <v>1019.7600727929124</v>
      </c>
      <c r="CF110" s="551">
        <f>(CE110)*((CF194/100)*CF117)/((CE194/100)*CE117)</f>
        <v>1019.7600727929124</v>
      </c>
      <c r="CG110" s="551">
        <f>(CF110)*((CG194/100)*CG117)/((CF194/100)*CF117)</f>
        <v>1019.7600727929124</v>
      </c>
      <c r="CI110" s="106">
        <f t="shared" si="243"/>
        <v>0</v>
      </c>
      <c r="CJ110" s="106">
        <f t="shared" si="254"/>
        <v>0</v>
      </c>
      <c r="CK110" s="106">
        <f t="shared" si="255"/>
        <v>0</v>
      </c>
      <c r="CL110" s="106">
        <f t="shared" si="256"/>
        <v>0</v>
      </c>
      <c r="CM110" s="106">
        <f t="shared" si="257"/>
        <v>23.691218209412568</v>
      </c>
      <c r="CN110" s="106">
        <f t="shared" si="258"/>
        <v>-80.087572680288872</v>
      </c>
      <c r="CO110" s="106">
        <f t="shared" si="259"/>
        <v>-183.86636356999054</v>
      </c>
      <c r="CP110" s="106">
        <f t="shared" si="260"/>
        <v>-287.64515445969198</v>
      </c>
      <c r="CQ110" s="106">
        <f t="shared" si="261"/>
        <v>-391.42394534939342</v>
      </c>
      <c r="CR110" s="106">
        <f t="shared" si="262"/>
        <v>-495.20273623909486</v>
      </c>
      <c r="CS110" s="106">
        <f t="shared" si="263"/>
        <v>-598.98152712879653</v>
      </c>
      <c r="CT110" s="106">
        <f t="shared" si="264"/>
        <v>-702.76031801849797</v>
      </c>
      <c r="CU110" s="106">
        <f t="shared" si="265"/>
        <v>-806.53910890819964</v>
      </c>
      <c r="CV110" s="106">
        <f t="shared" si="279"/>
        <v>-910.3178997979013</v>
      </c>
      <c r="CW110" s="106">
        <f t="shared" si="279"/>
        <v>-1014.0966906876027</v>
      </c>
      <c r="CX110" s="106">
        <f t="shared" si="279"/>
        <v>-1117.8754815773041</v>
      </c>
      <c r="CY110" s="106">
        <f t="shared" si="279"/>
        <v>-1221.6542724670057</v>
      </c>
      <c r="CZ110" s="134"/>
      <c r="DA110" s="135">
        <v>265</v>
      </c>
      <c r="DB110" s="135">
        <v>686</v>
      </c>
      <c r="DC110" s="135">
        <v>604</v>
      </c>
      <c r="DD110" s="135">
        <v>637.35004549557016</v>
      </c>
      <c r="DE110" s="135">
        <v>996.06885458349984</v>
      </c>
      <c r="DF110" s="135">
        <v>1099.8476454732013</v>
      </c>
      <c r="DG110" s="135">
        <v>1203.626436362903</v>
      </c>
      <c r="DH110" s="135">
        <v>1307.4052272526044</v>
      </c>
      <c r="DI110" s="135">
        <v>1411.1840181423058</v>
      </c>
      <c r="DJ110" s="135">
        <v>1514.9628090320073</v>
      </c>
      <c r="DK110" s="135">
        <v>1618.7415999217089</v>
      </c>
      <c r="DL110" s="135">
        <v>1722.5203908114104</v>
      </c>
      <c r="DM110" s="135">
        <v>1826.299181701112</v>
      </c>
      <c r="DN110" s="135">
        <v>1930.0779725908137</v>
      </c>
      <c r="DO110" s="135">
        <v>2033.8567634805152</v>
      </c>
      <c r="DP110" s="135">
        <v>2137.6355543702166</v>
      </c>
      <c r="DQ110" s="135">
        <v>2241.4143452599183</v>
      </c>
    </row>
    <row r="111" spans="1:121">
      <c r="A111" s="174" t="s">
        <v>2987</v>
      </c>
      <c r="B111" s="175"/>
      <c r="C111" s="176"/>
      <c r="D111" s="641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7"/>
      <c r="AP111" s="177"/>
      <c r="AQ111" s="177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7"/>
      <c r="BC111" s="177"/>
      <c r="BD111" s="177"/>
      <c r="BE111" s="177"/>
      <c r="BF111" s="177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  <c r="BV111" s="177"/>
      <c r="BW111" s="177"/>
      <c r="BX111" s="177"/>
      <c r="BY111" s="177"/>
      <c r="BZ111" s="177"/>
      <c r="CA111" s="177"/>
      <c r="CB111" s="177"/>
      <c r="CC111" s="177"/>
      <c r="CD111" s="177"/>
      <c r="CE111" s="177"/>
      <c r="CF111" s="177"/>
      <c r="CG111" s="177"/>
      <c r="CI111" s="157"/>
      <c r="CJ111" s="157"/>
      <c r="CK111" s="157"/>
      <c r="CL111" s="157"/>
      <c r="CM111" s="157"/>
      <c r="CN111" s="157"/>
      <c r="CO111" s="157"/>
      <c r="CP111" s="157"/>
      <c r="CQ111" s="157"/>
      <c r="CR111" s="157"/>
      <c r="CS111" s="157"/>
      <c r="CT111" s="157"/>
      <c r="CU111" s="157"/>
      <c r="CV111" s="157"/>
      <c r="CW111" s="157"/>
      <c r="CX111" s="157"/>
      <c r="CY111" s="157"/>
    </row>
    <row r="112" spans="1:121" s="123" customFormat="1">
      <c r="A112" s="107"/>
      <c r="B112" s="107"/>
      <c r="C112" s="136"/>
      <c r="D112" s="14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6"/>
      <c r="BA112" s="139"/>
      <c r="BB112" s="139"/>
      <c r="BC112" s="139"/>
      <c r="BD112" s="139"/>
      <c r="BE112" s="139"/>
      <c r="BT112" s="123" t="s">
        <v>223</v>
      </c>
      <c r="CH112" s="141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34"/>
      <c r="DA112" s="135"/>
      <c r="DB112" s="135"/>
      <c r="DC112" s="135"/>
      <c r="DD112" s="135" t="s">
        <v>223</v>
      </c>
      <c r="DE112" s="135"/>
      <c r="DF112" s="135"/>
      <c r="DG112" s="135"/>
      <c r="DH112" s="135"/>
      <c r="DI112" s="135"/>
      <c r="DJ112" s="135"/>
      <c r="DK112" s="135"/>
      <c r="DL112" s="135"/>
      <c r="DM112" s="135"/>
      <c r="DN112" s="135"/>
      <c r="DO112" s="135"/>
      <c r="DP112" s="135"/>
      <c r="DQ112" s="135"/>
    </row>
    <row r="113" spans="1:121" s="123" customFormat="1">
      <c r="A113" s="210" t="s">
        <v>1342</v>
      </c>
      <c r="B113" s="210"/>
      <c r="C113" s="210" t="s">
        <v>1579</v>
      </c>
      <c r="D113" s="646"/>
      <c r="E113" s="210"/>
      <c r="AO113" s="123">
        <f t="shared" ref="AO113:BG113" si="282">+AO114-AN114</f>
        <v>2.8063999063968659</v>
      </c>
      <c r="AP113" s="123">
        <f t="shared" si="282"/>
        <v>0.33749999594688429</v>
      </c>
      <c r="AQ113" s="123">
        <f t="shared" si="282"/>
        <v>0.64549999999999974</v>
      </c>
      <c r="AR113" s="123">
        <f t="shared" si="282"/>
        <v>0.41140009765625019</v>
      </c>
      <c r="AS113" s="123">
        <f t="shared" si="282"/>
        <v>1.7741999999999996</v>
      </c>
      <c r="AT113" s="123">
        <f t="shared" si="282"/>
        <v>-3.2999999999999474E-2</v>
      </c>
      <c r="AU113" s="123">
        <f t="shared" si="282"/>
        <v>-0.79499999999999993</v>
      </c>
      <c r="AV113" s="123">
        <f t="shared" si="282"/>
        <v>0.78960000000000008</v>
      </c>
      <c r="AW113" s="123">
        <f t="shared" si="282"/>
        <v>5.260490740607553</v>
      </c>
      <c r="AX113" s="123">
        <f t="shared" si="282"/>
        <v>13.421909259392447</v>
      </c>
      <c r="AY113" s="123">
        <f t="shared" si="282"/>
        <v>72.968000000000004</v>
      </c>
      <c r="AZ113" s="123">
        <f t="shared" si="282"/>
        <v>140.02300000000002</v>
      </c>
      <c r="BA113" s="123">
        <f t="shared" si="282"/>
        <v>-111.50000000000001</v>
      </c>
      <c r="BB113" s="123">
        <f t="shared" si="282"/>
        <v>230.24599999999998</v>
      </c>
      <c r="BC113" s="123">
        <f t="shared" si="282"/>
        <v>52.33499999999998</v>
      </c>
      <c r="BD113" s="123">
        <f t="shared" si="282"/>
        <v>103.23200000000003</v>
      </c>
      <c r="BE113" s="123">
        <f ca="1">+BE114-BD114</f>
        <v>119.94272657900251</v>
      </c>
      <c r="BF113" s="123">
        <f ca="1">+BF114-BE114</f>
        <v>88.834273420997533</v>
      </c>
      <c r="BG113" s="123">
        <f t="shared" si="282"/>
        <v>-88.200000000000045</v>
      </c>
      <c r="BH113" s="123">
        <f t="shared" ref="BH113:BP113" si="283">BH106-(BH114-BG114)</f>
        <v>-471.79999999999995</v>
      </c>
      <c r="BI113" s="123">
        <f t="shared" si="283"/>
        <v>8.9000000000000341</v>
      </c>
      <c r="BJ113" s="123">
        <f t="shared" si="283"/>
        <v>-232.50000000000006</v>
      </c>
      <c r="BK113" s="123">
        <f t="shared" si="283"/>
        <v>-163.00000000000014</v>
      </c>
      <c r="BL113" s="123">
        <f t="shared" si="283"/>
        <v>-140.29999999999995</v>
      </c>
      <c r="BM113" s="123">
        <f t="shared" si="283"/>
        <v>-506.29999999999984</v>
      </c>
      <c r="BN113" s="123">
        <f t="shared" si="283"/>
        <v>1831.1000000000001</v>
      </c>
      <c r="BO113" s="123">
        <f t="shared" si="283"/>
        <v>-303.60000000000014</v>
      </c>
      <c r="BP113" s="123">
        <f t="shared" si="283"/>
        <v>-2031.5</v>
      </c>
      <c r="BQ113" s="123">
        <f>BQ106-(BQ114-BP114)</f>
        <v>-32.145999999999958</v>
      </c>
      <c r="BR113" s="123">
        <f>BR106-(BR114-BQ114)</f>
        <v>1569.0770000000002</v>
      </c>
      <c r="BS113" s="123">
        <f>BS106-(BS114-BR114)</f>
        <v>932.72200000000066</v>
      </c>
      <c r="BT113" s="123">
        <f>BT106-(BT114-BS114)</f>
        <v>-2171.5001812857709</v>
      </c>
      <c r="BU113" s="109">
        <v>0</v>
      </c>
      <c r="BV113" s="109">
        <f t="shared" ref="BV113:BZ113" si="284">BU113</f>
        <v>0</v>
      </c>
      <c r="BW113" s="109">
        <f t="shared" si="284"/>
        <v>0</v>
      </c>
      <c r="BX113" s="109">
        <f t="shared" si="284"/>
        <v>0</v>
      </c>
      <c r="BY113" s="109">
        <f t="shared" si="284"/>
        <v>0</v>
      </c>
      <c r="BZ113" s="109">
        <f t="shared" si="284"/>
        <v>0</v>
      </c>
      <c r="CA113" s="109">
        <f t="shared" ref="CA113:CG113" si="285">BZ113</f>
        <v>0</v>
      </c>
      <c r="CB113" s="109">
        <f t="shared" si="285"/>
        <v>0</v>
      </c>
      <c r="CC113" s="109">
        <f t="shared" si="285"/>
        <v>0</v>
      </c>
      <c r="CD113" s="109">
        <f t="shared" si="285"/>
        <v>0</v>
      </c>
      <c r="CE113" s="109">
        <f t="shared" si="285"/>
        <v>0</v>
      </c>
      <c r="CF113" s="109">
        <f t="shared" si="285"/>
        <v>0</v>
      </c>
      <c r="CG113" s="109">
        <f t="shared" si="285"/>
        <v>0</v>
      </c>
      <c r="CH113" s="141"/>
      <c r="CI113" s="106">
        <f t="shared" ref="CI113:CR119" si="286">BQ113-DA113</f>
        <v>0</v>
      </c>
      <c r="CJ113" s="106">
        <f t="shared" si="286"/>
        <v>0</v>
      </c>
      <c r="CK113" s="106">
        <f t="shared" si="286"/>
        <v>0</v>
      </c>
      <c r="CL113" s="106">
        <f t="shared" si="286"/>
        <v>0</v>
      </c>
      <c r="CM113" s="106">
        <f t="shared" si="286"/>
        <v>0</v>
      </c>
      <c r="CN113" s="106">
        <f t="shared" si="286"/>
        <v>0</v>
      </c>
      <c r="CO113" s="106">
        <f t="shared" si="286"/>
        <v>0</v>
      </c>
      <c r="CP113" s="106">
        <f t="shared" si="286"/>
        <v>0</v>
      </c>
      <c r="CQ113" s="106">
        <f t="shared" si="286"/>
        <v>0</v>
      </c>
      <c r="CR113" s="106">
        <f t="shared" si="286"/>
        <v>0</v>
      </c>
      <c r="CS113" s="106">
        <f>CA113-DK113</f>
        <v>0</v>
      </c>
      <c r="CT113" s="106">
        <f>CB113-DL113</f>
        <v>0</v>
      </c>
      <c r="CU113" s="106">
        <f>CC113-DM113</f>
        <v>0</v>
      </c>
      <c r="CV113" s="106">
        <f t="shared" ref="CV113:CV119" si="287">CD113-DN113</f>
        <v>0</v>
      </c>
      <c r="CW113" s="106">
        <f t="shared" ref="CW113:CW119" si="288">CE113-DO113</f>
        <v>0</v>
      </c>
      <c r="CX113" s="106">
        <f t="shared" ref="CX113:CX119" si="289">CF113-DP113</f>
        <v>0</v>
      </c>
      <c r="CY113" s="106">
        <f t="shared" ref="CY113:CY119" si="290">CG113-DQ113</f>
        <v>0</v>
      </c>
      <c r="CZ113" s="134"/>
      <c r="DA113" s="135">
        <v>-32.145999999999958</v>
      </c>
      <c r="DB113" s="135">
        <v>1569.0770000000002</v>
      </c>
      <c r="DC113" s="135">
        <v>932.72200000000066</v>
      </c>
      <c r="DD113" s="135">
        <v>-2171.5001812857709</v>
      </c>
      <c r="DE113" s="135">
        <v>0</v>
      </c>
      <c r="DF113" s="135">
        <v>0</v>
      </c>
      <c r="DG113" s="135">
        <v>0</v>
      </c>
      <c r="DH113" s="135">
        <v>0</v>
      </c>
      <c r="DI113" s="135">
        <v>0</v>
      </c>
      <c r="DJ113" s="135">
        <v>0</v>
      </c>
      <c r="DK113" s="135">
        <v>0</v>
      </c>
      <c r="DL113" s="135">
        <v>0</v>
      </c>
      <c r="DM113" s="135">
        <v>0</v>
      </c>
      <c r="DN113" s="135">
        <v>0</v>
      </c>
      <c r="DO113" s="135">
        <v>0</v>
      </c>
      <c r="DP113" s="135">
        <v>0</v>
      </c>
      <c r="DQ113" s="135">
        <v>0</v>
      </c>
    </row>
    <row r="114" spans="1:121" s="123" customFormat="1">
      <c r="A114" s="141" t="s">
        <v>3020</v>
      </c>
      <c r="B114" s="141"/>
      <c r="C114" s="158" t="s">
        <v>1579</v>
      </c>
      <c r="D114" s="102"/>
      <c r="E114" s="141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>
        <f>+mamiabc!AO145</f>
        <v>2.8063999063968659</v>
      </c>
      <c r="AP114" s="108">
        <f>+mamiabc!AP145</f>
        <v>3.1438999023437502</v>
      </c>
      <c r="AQ114" s="108">
        <f>+mamiabc!AQ145</f>
        <v>3.7893999023437499</v>
      </c>
      <c r="AR114" s="108">
        <f>+mamiabc!AR145</f>
        <v>4.2008000000000001</v>
      </c>
      <c r="AS114" s="108">
        <f>+mamiabc!AS145</f>
        <v>5.9749999999999996</v>
      </c>
      <c r="AT114" s="108">
        <f>+mamiabc!AT145</f>
        <v>5.9420000000000002</v>
      </c>
      <c r="AU114" s="108">
        <f>+mamiabc!AU145</f>
        <v>5.1470000000000002</v>
      </c>
      <c r="AV114" s="108">
        <f>+mamiabc!AV145</f>
        <v>5.9366000000000003</v>
      </c>
      <c r="AW114" s="108">
        <f>+mamiabc!AW145</f>
        <v>11.197090740607553</v>
      </c>
      <c r="AX114" s="108">
        <f>+mamiabc!AX145</f>
        <v>24.619</v>
      </c>
      <c r="AY114" s="108">
        <f>+mamiabc!AY145</f>
        <v>97.587000000000003</v>
      </c>
      <c r="AZ114" s="108">
        <f>+mamiabc!AZ145</f>
        <v>237.61</v>
      </c>
      <c r="BA114" s="108">
        <f>+mamiabc!BA145</f>
        <v>126.11</v>
      </c>
      <c r="BB114" s="108">
        <f>+mamiabc!BB145</f>
        <v>356.35599999999999</v>
      </c>
      <c r="BC114" s="108">
        <f>+mamiabc!BC145</f>
        <v>408.69099999999997</v>
      </c>
      <c r="BD114" s="108">
        <f>+mamiabc!BD145</f>
        <v>511.923</v>
      </c>
      <c r="BE114" s="108">
        <f ca="1">+mamiabc!BE145</f>
        <v>631.86572657900251</v>
      </c>
      <c r="BF114" s="144">
        <f>SOURCE!BF366</f>
        <v>720.7</v>
      </c>
      <c r="BG114" s="144">
        <f>SOURCE!BG366</f>
        <v>632.5</v>
      </c>
      <c r="BH114" s="144">
        <f>SOURCE!BH366</f>
        <v>914.3</v>
      </c>
      <c r="BI114" s="144">
        <f>SOURCE!BI366</f>
        <v>1144.0999999999999</v>
      </c>
      <c r="BJ114" s="144">
        <f>SOURCE!BJ366</f>
        <v>1497.8</v>
      </c>
      <c r="BK114" s="144">
        <f>SOURCE!BK366</f>
        <v>1531.9</v>
      </c>
      <c r="BL114" s="144">
        <f>SOURCE!BL366</f>
        <v>1769.7</v>
      </c>
      <c r="BM114" s="144">
        <f>SOURCE!BM366</f>
        <v>2749.1</v>
      </c>
      <c r="BN114" s="144">
        <f>SOURCE!BN366</f>
        <v>2105.1999999999998</v>
      </c>
      <c r="BO114" s="144">
        <f>SOURCE!BO366</f>
        <v>3817.6</v>
      </c>
      <c r="BP114" s="144">
        <f>SOURCE!BP366</f>
        <v>3797.1</v>
      </c>
      <c r="BQ114" s="144">
        <f>SOURCE!BQ366</f>
        <v>5243.4459999999999</v>
      </c>
      <c r="BR114" s="144">
        <f>SOURCE!BR366</f>
        <v>5810.3689999999997</v>
      </c>
      <c r="BS114" s="144">
        <f>SOURCE!BS366</f>
        <v>7400.0469999999996</v>
      </c>
      <c r="BT114" s="144">
        <f>SOURCE!BT366</f>
        <v>14611.54718128577</v>
      </c>
      <c r="BU114" s="123">
        <f t="shared" ref="BU114:CB114" ca="1" si="291">BT114+BU106-BU113</f>
        <v>16461.933980589885</v>
      </c>
      <c r="BV114" s="123">
        <f t="shared" ca="1" si="291"/>
        <v>16342.351728998621</v>
      </c>
      <c r="BW114" s="123">
        <f t="shared" ca="1" si="291"/>
        <v>18902.882432442835</v>
      </c>
      <c r="BX114" s="123">
        <f t="shared" ca="1" si="291"/>
        <v>21631.152977126349</v>
      </c>
      <c r="BY114" s="123">
        <f t="shared" ca="1" si="291"/>
        <v>24667.856556951217</v>
      </c>
      <c r="BZ114" s="123">
        <f t="shared" ca="1" si="291"/>
        <v>28132.943396192029</v>
      </c>
      <c r="CA114" s="123">
        <f t="shared" ca="1" si="291"/>
        <v>32179.109671788083</v>
      </c>
      <c r="CB114" s="123">
        <f t="shared" ca="1" si="291"/>
        <v>37027.212595541212</v>
      </c>
      <c r="CC114" s="123">
        <f ca="1">CB114+CC106-CC113</f>
        <v>42974.912718751453</v>
      </c>
      <c r="CD114" s="123">
        <f ca="1">CC114+CD106-CD113</f>
        <v>50430.266162929292</v>
      </c>
      <c r="CE114" s="123">
        <f ca="1">CD114+CE106-CE113</f>
        <v>59958.27970873638</v>
      </c>
      <c r="CF114" s="123">
        <f ca="1">CE114+CF106-CF113</f>
        <v>72348.562249608382</v>
      </c>
      <c r="CG114" s="123">
        <f ca="1">CF114+CG106-CG113</f>
        <v>88713.932382228566</v>
      </c>
      <c r="CH114" s="141"/>
      <c r="CI114" s="106">
        <f t="shared" si="286"/>
        <v>0</v>
      </c>
      <c r="CJ114" s="106">
        <f t="shared" ref="CJ114:CU114" si="292">BR114-DB114</f>
        <v>0</v>
      </c>
      <c r="CK114" s="106">
        <f t="shared" si="292"/>
        <v>0</v>
      </c>
      <c r="CL114" s="106">
        <f t="shared" si="292"/>
        <v>0</v>
      </c>
      <c r="CM114" s="106">
        <f t="shared" ca="1" si="292"/>
        <v>-1111.4094170880453</v>
      </c>
      <c r="CN114" s="106">
        <f t="shared" ca="1" si="292"/>
        <v>-2498.47131948059</v>
      </c>
      <c r="CO114" s="106">
        <f t="shared" ca="1" si="292"/>
        <v>-3799.6411350556918</v>
      </c>
      <c r="CP114" s="106">
        <f t="shared" ca="1" si="292"/>
        <v>-5330.6114329752563</v>
      </c>
      <c r="CQ114" s="106">
        <f t="shared" ca="1" si="292"/>
        <v>-7124.0600085644583</v>
      </c>
      <c r="CR114" s="106">
        <f t="shared" ca="1" si="292"/>
        <v>-5826.1413883991409</v>
      </c>
      <c r="CS114" s="106">
        <f t="shared" ca="1" si="292"/>
        <v>-4783.4769743769393</v>
      </c>
      <c r="CT114" s="106">
        <f t="shared" ca="1" si="292"/>
        <v>-3900.0134596252683</v>
      </c>
      <c r="CU114" s="106">
        <f t="shared" ca="1" si="292"/>
        <v>-3376.4633405700515</v>
      </c>
      <c r="CV114" s="106">
        <f t="shared" ca="1" si="287"/>
        <v>-3400.2663638191807</v>
      </c>
      <c r="CW114" s="106">
        <f t="shared" ca="1" si="288"/>
        <v>-4246.4934979268583</v>
      </c>
      <c r="CX114" s="106">
        <f t="shared" ca="1" si="289"/>
        <v>-6344.0412990229088</v>
      </c>
      <c r="CY114" s="106">
        <f t="shared" ca="1" si="290"/>
        <v>-10377.136571699797</v>
      </c>
      <c r="CZ114" s="134"/>
      <c r="DA114" s="135">
        <v>5243.4459999999999</v>
      </c>
      <c r="DB114" s="135">
        <v>5810.3689999999997</v>
      </c>
      <c r="DC114" s="135">
        <v>7400.0469999999996</v>
      </c>
      <c r="DD114" s="135">
        <v>14611.54718128577</v>
      </c>
      <c r="DE114" s="135">
        <v>17573.343397677931</v>
      </c>
      <c r="DF114" s="135">
        <v>18840.823048479211</v>
      </c>
      <c r="DG114" s="135">
        <v>22702.523567498527</v>
      </c>
      <c r="DH114" s="135">
        <v>26961.764410101605</v>
      </c>
      <c r="DI114" s="135">
        <v>31791.916565515676</v>
      </c>
      <c r="DJ114" s="135">
        <v>33959.08478459117</v>
      </c>
      <c r="DK114" s="135">
        <v>36962.586646165022</v>
      </c>
      <c r="DL114" s="135">
        <v>40927.22605516648</v>
      </c>
      <c r="DM114" s="135">
        <v>46351.376059321505</v>
      </c>
      <c r="DN114" s="135">
        <v>53830.532526748473</v>
      </c>
      <c r="DO114" s="135">
        <v>64204.773206663238</v>
      </c>
      <c r="DP114" s="135">
        <v>78692.60354863129</v>
      </c>
      <c r="DQ114" s="135">
        <v>99091.068953928363</v>
      </c>
    </row>
    <row r="115" spans="1:121" s="123" customFormat="1">
      <c r="A115" s="210" t="s">
        <v>1343</v>
      </c>
      <c r="B115" s="210"/>
      <c r="C115" s="210" t="s">
        <v>1579</v>
      </c>
      <c r="D115" s="646"/>
      <c r="E115" s="210"/>
      <c r="AO115" s="123">
        <f t="shared" ref="AO115:BF115" si="293">+AO103-(AO117-AN117)</f>
        <v>-0.11380000638961794</v>
      </c>
      <c r="AP115" s="123">
        <f t="shared" si="293"/>
        <v>-3.4799999713897689E-2</v>
      </c>
      <c r="AQ115" s="123">
        <f t="shared" si="293"/>
        <v>0</v>
      </c>
      <c r="AR115" s="123">
        <f t="shared" si="293"/>
        <v>0</v>
      </c>
      <c r="AS115" s="123">
        <f t="shared" si="293"/>
        <v>3.7900006103515654E-2</v>
      </c>
      <c r="AT115" s="123">
        <f t="shared" si="293"/>
        <v>-4.300000000000026E-3</v>
      </c>
      <c r="AU115" s="123">
        <f t="shared" si="293"/>
        <v>-70.242000000000004</v>
      </c>
      <c r="AV115" s="123">
        <f t="shared" si="293"/>
        <v>9.7673475000000067</v>
      </c>
      <c r="AW115" s="123">
        <f t="shared" si="293"/>
        <v>-3.0246919068562406</v>
      </c>
      <c r="AX115" s="123">
        <f t="shared" si="293"/>
        <v>-10.968755593143761</v>
      </c>
      <c r="AY115" s="123">
        <f t="shared" si="293"/>
        <v>-119.90216999999998</v>
      </c>
      <c r="AZ115" s="123">
        <f t="shared" si="293"/>
        <v>-51.197593000000026</v>
      </c>
      <c r="BA115" s="123">
        <f t="shared" si="293"/>
        <v>-214.79820199999992</v>
      </c>
      <c r="BB115" s="123">
        <f t="shared" si="293"/>
        <v>-127.50840249999999</v>
      </c>
      <c r="BC115" s="123">
        <f t="shared" si="293"/>
        <v>-86.89507500000019</v>
      </c>
      <c r="BD115" s="123">
        <f t="shared" si="293"/>
        <v>55.035527500000093</v>
      </c>
      <c r="BE115" s="123">
        <f t="shared" si="293"/>
        <v>-3.3326005992306271</v>
      </c>
      <c r="BF115" s="123">
        <f t="shared" si="293"/>
        <v>-802.55404940076926</v>
      </c>
      <c r="BG115" s="123">
        <f t="shared" ref="BG115:BP115" si="294">+BG103-(BG117-BF117)</f>
        <v>-108.60000000000002</v>
      </c>
      <c r="BH115" s="123">
        <f t="shared" si="294"/>
        <v>-535.30000000000018</v>
      </c>
      <c r="BI115" s="123">
        <f t="shared" si="294"/>
        <v>-22.89999999999992</v>
      </c>
      <c r="BJ115" s="123">
        <f t="shared" si="294"/>
        <v>177.59999999999991</v>
      </c>
      <c r="BK115" s="123">
        <f t="shared" si="294"/>
        <v>-132.49999999999994</v>
      </c>
      <c r="BL115" s="123">
        <f t="shared" si="294"/>
        <v>-20.499999999999943</v>
      </c>
      <c r="BM115" s="123">
        <f t="shared" si="294"/>
        <v>-26.699999999999932</v>
      </c>
      <c r="BN115" s="123">
        <f t="shared" si="294"/>
        <v>-89.900000000000261</v>
      </c>
      <c r="BO115" s="123">
        <f t="shared" si="294"/>
        <v>-992.89999999999975</v>
      </c>
      <c r="BP115" s="123">
        <f t="shared" si="294"/>
        <v>3860.5</v>
      </c>
      <c r="BQ115" s="123">
        <f>+BQ103-(BQ117-BP117)</f>
        <v>-5752.0490000000009</v>
      </c>
      <c r="BR115" s="123">
        <f>+BR103-(BR117-BQ117)</f>
        <v>-78.704999999999927</v>
      </c>
      <c r="BS115" s="123">
        <f>+BS103-(BS117-BR117)</f>
        <v>-1630.6619999999996</v>
      </c>
      <c r="BT115" s="123">
        <f>+BT103-(BT117-BS117)</f>
        <v>-825.11634680187126</v>
      </c>
      <c r="BU115" s="109">
        <v>0</v>
      </c>
      <c r="BV115" s="109">
        <v>0</v>
      </c>
      <c r="BW115" s="109">
        <v>0</v>
      </c>
      <c r="BX115" s="109">
        <v>0</v>
      </c>
      <c r="BY115" s="109">
        <f t="shared" ref="BY115:CG115" si="295">+BX115</f>
        <v>0</v>
      </c>
      <c r="BZ115" s="109">
        <f t="shared" si="295"/>
        <v>0</v>
      </c>
      <c r="CA115" s="109">
        <f t="shared" si="295"/>
        <v>0</v>
      </c>
      <c r="CB115" s="109">
        <f t="shared" si="295"/>
        <v>0</v>
      </c>
      <c r="CC115" s="109">
        <f t="shared" si="295"/>
        <v>0</v>
      </c>
      <c r="CD115" s="109">
        <f t="shared" si="295"/>
        <v>0</v>
      </c>
      <c r="CE115" s="109">
        <f t="shared" si="295"/>
        <v>0</v>
      </c>
      <c r="CF115" s="109">
        <f t="shared" si="295"/>
        <v>0</v>
      </c>
      <c r="CG115" s="109">
        <f t="shared" si="295"/>
        <v>0</v>
      </c>
      <c r="CH115" s="141"/>
      <c r="CI115" s="106">
        <f t="shared" si="286"/>
        <v>0</v>
      </c>
      <c r="CJ115" s="106">
        <f t="shared" si="286"/>
        <v>0</v>
      </c>
      <c r="CK115" s="106">
        <f t="shared" si="286"/>
        <v>0</v>
      </c>
      <c r="CL115" s="106">
        <f t="shared" si="286"/>
        <v>0</v>
      </c>
      <c r="CM115" s="106">
        <f t="shared" si="286"/>
        <v>0</v>
      </c>
      <c r="CN115" s="106">
        <f t="shared" si="286"/>
        <v>0</v>
      </c>
      <c r="CO115" s="106">
        <f t="shared" si="286"/>
        <v>0</v>
      </c>
      <c r="CP115" s="106">
        <f t="shared" si="286"/>
        <v>0</v>
      </c>
      <c r="CQ115" s="106">
        <f t="shared" si="286"/>
        <v>0</v>
      </c>
      <c r="CR115" s="106">
        <f t="shared" si="286"/>
        <v>0</v>
      </c>
      <c r="CS115" s="106">
        <f t="shared" ref="CS115:CU117" si="296">CA115-DK115</f>
        <v>0</v>
      </c>
      <c r="CT115" s="106">
        <f t="shared" si="296"/>
        <v>0</v>
      </c>
      <c r="CU115" s="106">
        <f t="shared" si="296"/>
        <v>0</v>
      </c>
      <c r="CV115" s="106">
        <f t="shared" si="287"/>
        <v>0</v>
      </c>
      <c r="CW115" s="106">
        <f t="shared" si="288"/>
        <v>0</v>
      </c>
      <c r="CX115" s="106">
        <f t="shared" si="289"/>
        <v>0</v>
      </c>
      <c r="CY115" s="106">
        <f t="shared" si="290"/>
        <v>0</v>
      </c>
      <c r="CZ115" s="134"/>
      <c r="DA115" s="135">
        <v>-5752.0490000000009</v>
      </c>
      <c r="DB115" s="135">
        <v>-78.704999999999927</v>
      </c>
      <c r="DC115" s="135">
        <v>-1630.6619999999996</v>
      </c>
      <c r="DD115" s="135">
        <v>-825.11634680187126</v>
      </c>
      <c r="DE115" s="135">
        <v>0</v>
      </c>
      <c r="DF115" s="135">
        <v>0</v>
      </c>
      <c r="DG115" s="135">
        <v>0</v>
      </c>
      <c r="DH115" s="135">
        <v>0</v>
      </c>
      <c r="DI115" s="135">
        <v>0</v>
      </c>
      <c r="DJ115" s="135">
        <v>0</v>
      </c>
      <c r="DK115" s="135">
        <v>0</v>
      </c>
      <c r="DL115" s="135">
        <v>0</v>
      </c>
      <c r="DM115" s="135">
        <v>0</v>
      </c>
      <c r="DN115" s="135">
        <v>0</v>
      </c>
      <c r="DO115" s="135">
        <v>0</v>
      </c>
      <c r="DP115" s="135">
        <v>0</v>
      </c>
      <c r="DQ115" s="135">
        <v>0</v>
      </c>
    </row>
    <row r="116" spans="1:121" s="123" customFormat="1">
      <c r="A116" s="107" t="s">
        <v>1758</v>
      </c>
      <c r="B116" s="141"/>
      <c r="C116" s="136" t="s">
        <v>1579</v>
      </c>
      <c r="D116" s="102"/>
      <c r="E116" s="141"/>
      <c r="AO116" s="123">
        <f t="shared" ref="AO116:BD116" si="297">+AO117-AN117</f>
        <v>0.15680000638961794</v>
      </c>
      <c r="AP116" s="123">
        <f t="shared" si="297"/>
        <v>3.4799999713897689E-2</v>
      </c>
      <c r="AQ116" s="123">
        <f t="shared" si="297"/>
        <v>0</v>
      </c>
      <c r="AR116" s="123">
        <f t="shared" si="297"/>
        <v>0</v>
      </c>
      <c r="AS116" s="123">
        <f t="shared" si="297"/>
        <v>-3.7900006103515654E-2</v>
      </c>
      <c r="AT116" s="123">
        <f t="shared" si="297"/>
        <v>4.300000000000026E-3</v>
      </c>
      <c r="AU116" s="123">
        <f t="shared" si="297"/>
        <v>70.242000000000004</v>
      </c>
      <c r="AV116" s="123">
        <f t="shared" si="297"/>
        <v>-9.7673475000000067</v>
      </c>
      <c r="AW116" s="123">
        <f t="shared" si="297"/>
        <v>3.0246919068562406</v>
      </c>
      <c r="AX116" s="123">
        <f t="shared" si="297"/>
        <v>21.354655593143761</v>
      </c>
      <c r="AY116" s="123">
        <f t="shared" si="297"/>
        <v>136.75620999999998</v>
      </c>
      <c r="AZ116" s="123">
        <f t="shared" si="297"/>
        <v>37.801963000000029</v>
      </c>
      <c r="BA116" s="123">
        <f t="shared" si="297"/>
        <v>328.51590199999993</v>
      </c>
      <c r="BB116" s="123">
        <f t="shared" si="297"/>
        <v>69.074327499999981</v>
      </c>
      <c r="BC116" s="123">
        <f t="shared" si="297"/>
        <v>48.292975000000183</v>
      </c>
      <c r="BD116" s="123">
        <f t="shared" si="297"/>
        <v>-53.375027500000101</v>
      </c>
      <c r="BE116" s="123">
        <f t="shared" ref="BE116:BQ116" si="298">+BE117-BD117</f>
        <v>8.8676005992306273</v>
      </c>
      <c r="BF116" s="123">
        <f t="shared" si="298"/>
        <v>722.65404940076928</v>
      </c>
      <c r="BG116" s="123">
        <f t="shared" si="298"/>
        <v>-164.29999999999995</v>
      </c>
      <c r="BH116" s="123">
        <f t="shared" si="298"/>
        <v>569.10000000000014</v>
      </c>
      <c r="BI116" s="123">
        <f t="shared" si="298"/>
        <v>6.5999999999999091</v>
      </c>
      <c r="BJ116" s="123">
        <f t="shared" si="298"/>
        <v>6.9000000000000909</v>
      </c>
      <c r="BK116" s="123">
        <f t="shared" si="298"/>
        <v>546.09999999999991</v>
      </c>
      <c r="BL116" s="123">
        <f t="shared" si="298"/>
        <v>368.09999999999991</v>
      </c>
      <c r="BM116" s="123">
        <f t="shared" si="298"/>
        <v>581.09999999999991</v>
      </c>
      <c r="BN116" s="123">
        <f t="shared" si="298"/>
        <v>348.20000000000027</v>
      </c>
      <c r="BO116" s="123">
        <f t="shared" si="298"/>
        <v>1260.7999999999997</v>
      </c>
      <c r="BP116" s="123">
        <f t="shared" si="298"/>
        <v>852.5</v>
      </c>
      <c r="BQ116" s="123">
        <f t="shared" si="298"/>
        <v>6735.7490000000007</v>
      </c>
      <c r="BR116" s="123">
        <f t="shared" ref="BR116:BZ116" si="299">+BR117-BQ117</f>
        <v>405.70499999999993</v>
      </c>
      <c r="BS116" s="123">
        <f t="shared" si="299"/>
        <v>2043.4619999999995</v>
      </c>
      <c r="BT116" s="123">
        <f t="shared" si="299"/>
        <v>825.11634680187126</v>
      </c>
      <c r="BU116" s="123">
        <f t="shared" si="299"/>
        <v>9461.2394080811227</v>
      </c>
      <c r="BV116" s="123">
        <f t="shared" si="299"/>
        <v>0</v>
      </c>
      <c r="BW116" s="123">
        <f t="shared" si="299"/>
        <v>0</v>
      </c>
      <c r="BX116" s="123">
        <f t="shared" si="299"/>
        <v>0</v>
      </c>
      <c r="BY116" s="123">
        <f t="shared" si="299"/>
        <v>0</v>
      </c>
      <c r="BZ116" s="123">
        <f t="shared" si="299"/>
        <v>0</v>
      </c>
      <c r="CA116" s="123">
        <f t="shared" ref="CA116:CG116" si="300">+CA117-BZ117</f>
        <v>0</v>
      </c>
      <c r="CB116" s="123">
        <f t="shared" si="300"/>
        <v>0</v>
      </c>
      <c r="CC116" s="123">
        <f t="shared" si="300"/>
        <v>0</v>
      </c>
      <c r="CD116" s="123">
        <f t="shared" si="300"/>
        <v>0</v>
      </c>
      <c r="CE116" s="123">
        <f t="shared" si="300"/>
        <v>0</v>
      </c>
      <c r="CF116" s="123">
        <f t="shared" si="300"/>
        <v>0</v>
      </c>
      <c r="CG116" s="123">
        <f t="shared" si="300"/>
        <v>0</v>
      </c>
      <c r="CH116" s="141"/>
      <c r="CI116" s="106">
        <f t="shared" si="286"/>
        <v>0</v>
      </c>
      <c r="CJ116" s="106">
        <f t="shared" si="286"/>
        <v>0</v>
      </c>
      <c r="CK116" s="106">
        <f t="shared" si="286"/>
        <v>0</v>
      </c>
      <c r="CL116" s="106">
        <f t="shared" si="286"/>
        <v>0</v>
      </c>
      <c r="CM116" s="106">
        <f t="shared" si="286"/>
        <v>586.14646936037389</v>
      </c>
      <c r="CN116" s="106">
        <f t="shared" si="286"/>
        <v>-2567.5999999999985</v>
      </c>
      <c r="CO116" s="106">
        <f t="shared" si="286"/>
        <v>-2567.5999999999985</v>
      </c>
      <c r="CP116" s="106">
        <f t="shared" si="286"/>
        <v>-2567.5999999999949</v>
      </c>
      <c r="CQ116" s="106">
        <f t="shared" si="286"/>
        <v>-2567.5999999999985</v>
      </c>
      <c r="CR116" s="106">
        <f t="shared" si="286"/>
        <v>-2567.5999999999985</v>
      </c>
      <c r="CS116" s="106">
        <f t="shared" si="296"/>
        <v>-2567.5999999999985</v>
      </c>
      <c r="CT116" s="106">
        <f t="shared" si="296"/>
        <v>-2567.5999999999985</v>
      </c>
      <c r="CU116" s="106">
        <f t="shared" si="296"/>
        <v>-2567.5999999999985</v>
      </c>
      <c r="CV116" s="106">
        <f t="shared" si="287"/>
        <v>-2567.5999999999985</v>
      </c>
      <c r="CW116" s="106">
        <f t="shared" si="288"/>
        <v>-2567.5999999999985</v>
      </c>
      <c r="CX116" s="106">
        <f t="shared" si="289"/>
        <v>-2567.5999999999985</v>
      </c>
      <c r="CY116" s="106">
        <f t="shared" si="290"/>
        <v>-2567.5999999999985</v>
      </c>
      <c r="CZ116" s="134"/>
      <c r="DA116" s="135">
        <v>6735.7490000000007</v>
      </c>
      <c r="DB116" s="135">
        <v>405.70499999999993</v>
      </c>
      <c r="DC116" s="135">
        <v>2043.4619999999995</v>
      </c>
      <c r="DD116" s="135">
        <v>825.11634680187126</v>
      </c>
      <c r="DE116" s="135">
        <v>8875.0929387207489</v>
      </c>
      <c r="DF116" s="135">
        <v>2567.5999999999985</v>
      </c>
      <c r="DG116" s="135">
        <v>2567.5999999999985</v>
      </c>
      <c r="DH116" s="135">
        <v>2567.5999999999949</v>
      </c>
      <c r="DI116" s="135">
        <v>2567.5999999999985</v>
      </c>
      <c r="DJ116" s="135">
        <v>2567.5999999999985</v>
      </c>
      <c r="DK116" s="135">
        <v>2567.5999999999985</v>
      </c>
      <c r="DL116" s="135">
        <v>2567.5999999999985</v>
      </c>
      <c r="DM116" s="135">
        <v>2567.5999999999985</v>
      </c>
      <c r="DN116" s="135">
        <v>2567.5999999999985</v>
      </c>
      <c r="DO116" s="135">
        <v>2567.5999999999985</v>
      </c>
      <c r="DP116" s="135">
        <v>2567.5999999999985</v>
      </c>
      <c r="DQ116" s="135">
        <v>2567.5999999999985</v>
      </c>
    </row>
    <row r="117" spans="1:121" s="123" customFormat="1">
      <c r="A117" s="107" t="s">
        <v>1759</v>
      </c>
      <c r="B117" s="107"/>
      <c r="C117" s="136" t="s">
        <v>1579</v>
      </c>
      <c r="D117" s="147"/>
      <c r="E117" s="107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>
        <f>+mamiabc!AO146</f>
        <v>0.15680000638961794</v>
      </c>
      <c r="AP117" s="108">
        <f>+mamiabc!AP146</f>
        <v>0.19160000610351563</v>
      </c>
      <c r="AQ117" s="108">
        <f>+mamiabc!AQ146</f>
        <v>0.19160000610351563</v>
      </c>
      <c r="AR117" s="108">
        <f>+mamiabc!AR146</f>
        <v>0.19160000610351563</v>
      </c>
      <c r="AS117" s="108">
        <f>+mamiabc!AS146</f>
        <v>0.15369999999999998</v>
      </c>
      <c r="AT117" s="108">
        <f>+mamiabc!AT146</f>
        <v>0.158</v>
      </c>
      <c r="AU117" s="108">
        <f>+mamiabc!AU146</f>
        <v>70.400000000000006</v>
      </c>
      <c r="AV117" s="108">
        <f>+mamiabc!AV146</f>
        <v>60.632652499999999</v>
      </c>
      <c r="AW117" s="108">
        <f>+mamiabc!AW146</f>
        <v>63.65734440685624</v>
      </c>
      <c r="AX117" s="108">
        <f>+mamiabc!AX146</f>
        <v>85.012</v>
      </c>
      <c r="AY117" s="108">
        <f>+mamiabc!AY146</f>
        <v>221.76820999999998</v>
      </c>
      <c r="AZ117" s="108">
        <f>+mamiabc!AZ146</f>
        <v>259.57017300000001</v>
      </c>
      <c r="BA117" s="108">
        <f>+mamiabc!BA146</f>
        <v>588.08607499999994</v>
      </c>
      <c r="BB117" s="108">
        <f>+mamiabc!BB146</f>
        <v>657.16040249999992</v>
      </c>
      <c r="BC117" s="108">
        <f>+mamiabc!BC146</f>
        <v>705.4533775000001</v>
      </c>
      <c r="BD117" s="108">
        <f>+mamiabc!BD146</f>
        <v>652.07835</v>
      </c>
      <c r="BE117" s="108">
        <f>+mamiabc!BE146</f>
        <v>660.94595059923063</v>
      </c>
      <c r="BF117" s="144">
        <f>SOURCE!BF373</f>
        <v>1383.6</v>
      </c>
      <c r="BG117" s="144">
        <f>SOURCE!BG373</f>
        <v>1219.3</v>
      </c>
      <c r="BH117" s="144">
        <f>SOURCE!BH373</f>
        <v>1788.4</v>
      </c>
      <c r="BI117" s="144">
        <f>SOURCE!BI373</f>
        <v>1795</v>
      </c>
      <c r="BJ117" s="144">
        <f>SOURCE!BJ373</f>
        <v>1801.9</v>
      </c>
      <c r="BK117" s="144">
        <f>SOURCE!BK373</f>
        <v>2348</v>
      </c>
      <c r="BL117" s="144">
        <f>SOURCE!BL373</f>
        <v>2716.1</v>
      </c>
      <c r="BM117" s="144">
        <f>SOURCE!BM373</f>
        <v>3297.2</v>
      </c>
      <c r="BN117" s="144">
        <f>SOURCE!BN373</f>
        <v>3645.4</v>
      </c>
      <c r="BO117" s="144">
        <f>SOURCE!BO373</f>
        <v>4906.2</v>
      </c>
      <c r="BP117" s="144">
        <f>SOURCE!BP373</f>
        <v>5758.7</v>
      </c>
      <c r="BQ117" s="144">
        <f>SOURCE!BQ373</f>
        <v>12494.449000000001</v>
      </c>
      <c r="BR117" s="144">
        <f>SOURCE!BR373</f>
        <v>12900.154</v>
      </c>
      <c r="BS117" s="144">
        <f>SOURCE!BS373</f>
        <v>14943.616</v>
      </c>
      <c r="BT117" s="144">
        <f>SOURCE!BT373</f>
        <v>15768.732346801871</v>
      </c>
      <c r="BU117" s="109">
        <f t="shared" ref="BU117:BZ117" si="301">BT117*BU196/BT196+BU103-BU115</f>
        <v>25229.971754882994</v>
      </c>
      <c r="BV117" s="109">
        <f t="shared" si="301"/>
        <v>25229.971754882994</v>
      </c>
      <c r="BW117" s="109">
        <f t="shared" si="301"/>
        <v>25229.971754882994</v>
      </c>
      <c r="BX117" s="109">
        <f t="shared" si="301"/>
        <v>25229.971754882994</v>
      </c>
      <c r="BY117" s="109">
        <f t="shared" si="301"/>
        <v>25229.971754882994</v>
      </c>
      <c r="BZ117" s="109">
        <f t="shared" si="301"/>
        <v>25229.971754882994</v>
      </c>
      <c r="CA117" s="109">
        <f t="shared" ref="CA117:CG117" si="302">BZ117*CA196/BZ196+CA103-CA115</f>
        <v>25229.971754882994</v>
      </c>
      <c r="CB117" s="109">
        <f t="shared" si="302"/>
        <v>25229.971754882994</v>
      </c>
      <c r="CC117" s="109">
        <f t="shared" si="302"/>
        <v>25229.971754882994</v>
      </c>
      <c r="CD117" s="109">
        <f t="shared" si="302"/>
        <v>25229.971754882994</v>
      </c>
      <c r="CE117" s="109">
        <f t="shared" si="302"/>
        <v>25229.971754882994</v>
      </c>
      <c r="CF117" s="109">
        <f t="shared" si="302"/>
        <v>25229.971754882994</v>
      </c>
      <c r="CG117" s="109">
        <f t="shared" si="302"/>
        <v>25229.971754882994</v>
      </c>
      <c r="CH117" s="141"/>
      <c r="CI117" s="106">
        <f t="shared" si="286"/>
        <v>0</v>
      </c>
      <c r="CJ117" s="106">
        <f t="shared" si="286"/>
        <v>0</v>
      </c>
      <c r="CK117" s="106">
        <f t="shared" si="286"/>
        <v>0</v>
      </c>
      <c r="CL117" s="106">
        <f t="shared" si="286"/>
        <v>0</v>
      </c>
      <c r="CM117" s="106">
        <f t="shared" si="286"/>
        <v>586.14646936037389</v>
      </c>
      <c r="CN117" s="106">
        <f t="shared" si="286"/>
        <v>-1981.4535306396247</v>
      </c>
      <c r="CO117" s="106">
        <f t="shared" si="286"/>
        <v>-4549.0535306396232</v>
      </c>
      <c r="CP117" s="106">
        <f t="shared" si="286"/>
        <v>-7116.6535306396181</v>
      </c>
      <c r="CQ117" s="106">
        <f t="shared" si="286"/>
        <v>-9684.2535306396167</v>
      </c>
      <c r="CR117" s="106">
        <f t="shared" si="286"/>
        <v>-12251.853530639615</v>
      </c>
      <c r="CS117" s="106">
        <f t="shared" si="296"/>
        <v>-14819.453530639614</v>
      </c>
      <c r="CT117" s="106">
        <f t="shared" si="296"/>
        <v>-17387.053530639612</v>
      </c>
      <c r="CU117" s="106">
        <f t="shared" si="296"/>
        <v>-19954.653530639611</v>
      </c>
      <c r="CV117" s="106">
        <f t="shared" si="287"/>
        <v>-22522.253530639609</v>
      </c>
      <c r="CW117" s="106">
        <f t="shared" si="288"/>
        <v>-25089.853530639608</v>
      </c>
      <c r="CX117" s="106">
        <f t="shared" si="289"/>
        <v>-27657.453530639606</v>
      </c>
      <c r="CY117" s="106">
        <f t="shared" si="290"/>
        <v>-30225.053530639605</v>
      </c>
      <c r="CZ117" s="134"/>
      <c r="DA117" s="135">
        <v>12494.449000000001</v>
      </c>
      <c r="DB117" s="135">
        <v>12900.154</v>
      </c>
      <c r="DC117" s="135">
        <v>14943.616</v>
      </c>
      <c r="DD117" s="135">
        <v>15768.732346801871</v>
      </c>
      <c r="DE117" s="135">
        <v>24643.82528552262</v>
      </c>
      <c r="DF117" s="135">
        <v>27211.425285522619</v>
      </c>
      <c r="DG117" s="135">
        <v>29779.025285522617</v>
      </c>
      <c r="DH117" s="135">
        <v>32346.625285522612</v>
      </c>
      <c r="DI117" s="135">
        <v>34914.225285522611</v>
      </c>
      <c r="DJ117" s="135">
        <v>37481.825285522609</v>
      </c>
      <c r="DK117" s="135">
        <v>40049.425285522608</v>
      </c>
      <c r="DL117" s="135">
        <v>42617.025285522606</v>
      </c>
      <c r="DM117" s="135">
        <v>45184.625285522605</v>
      </c>
      <c r="DN117" s="135">
        <v>47752.225285522603</v>
      </c>
      <c r="DO117" s="135">
        <v>50319.825285522602</v>
      </c>
      <c r="DP117" s="135">
        <v>52887.4252855226</v>
      </c>
      <c r="DQ117" s="135">
        <v>55455.025285522599</v>
      </c>
    </row>
    <row r="118" spans="1:121" s="123" customFormat="1">
      <c r="A118" s="107" t="s">
        <v>1315</v>
      </c>
      <c r="B118" s="107"/>
      <c r="C118" s="136" t="s">
        <v>1579</v>
      </c>
      <c r="D118" s="147"/>
      <c r="E118" s="107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>
        <f t="shared" ref="AO118:BF118" si="303">AO114+AO117</f>
        <v>2.9631999127864836</v>
      </c>
      <c r="AP118" s="106">
        <f t="shared" si="303"/>
        <v>3.3354999084472658</v>
      </c>
      <c r="AQ118" s="106">
        <f t="shared" si="303"/>
        <v>3.9809999084472656</v>
      </c>
      <c r="AR118" s="106">
        <f t="shared" si="303"/>
        <v>4.3924000061035153</v>
      </c>
      <c r="AS118" s="106">
        <f t="shared" si="303"/>
        <v>6.1286999999999994</v>
      </c>
      <c r="AT118" s="106">
        <f t="shared" si="303"/>
        <v>6.1000000000000005</v>
      </c>
      <c r="AU118" s="106">
        <f t="shared" si="303"/>
        <v>75.547000000000011</v>
      </c>
      <c r="AV118" s="106">
        <f t="shared" si="303"/>
        <v>66.569252500000005</v>
      </c>
      <c r="AW118" s="106">
        <f t="shared" si="303"/>
        <v>74.854435147463789</v>
      </c>
      <c r="AX118" s="106">
        <f t="shared" si="303"/>
        <v>109.631</v>
      </c>
      <c r="AY118" s="106">
        <f t="shared" si="303"/>
        <v>319.35521</v>
      </c>
      <c r="AZ118" s="106">
        <f t="shared" si="303"/>
        <v>497.18017300000002</v>
      </c>
      <c r="BA118" s="106">
        <f t="shared" si="303"/>
        <v>714.19607499999995</v>
      </c>
      <c r="BB118" s="106">
        <f t="shared" si="303"/>
        <v>1013.5164024999999</v>
      </c>
      <c r="BC118" s="106">
        <f t="shared" si="303"/>
        <v>1114.1443775</v>
      </c>
      <c r="BD118" s="106">
        <f t="shared" si="303"/>
        <v>1164.00135</v>
      </c>
      <c r="BE118" s="106">
        <f ca="1">BE114+BE117</f>
        <v>1292.8116771782331</v>
      </c>
      <c r="BF118" s="106">
        <f t="shared" si="303"/>
        <v>2104.3000000000002</v>
      </c>
      <c r="BG118" s="106">
        <f t="shared" ref="BG118:BP118" si="304">BG114+BG117</f>
        <v>1851.8</v>
      </c>
      <c r="BH118" s="106">
        <f t="shared" si="304"/>
        <v>2702.7</v>
      </c>
      <c r="BI118" s="106">
        <f t="shared" si="304"/>
        <v>2939.1</v>
      </c>
      <c r="BJ118" s="106">
        <f t="shared" si="304"/>
        <v>3299.7</v>
      </c>
      <c r="BK118" s="106">
        <f t="shared" si="304"/>
        <v>3879.9</v>
      </c>
      <c r="BL118" s="106">
        <f t="shared" si="304"/>
        <v>4485.8</v>
      </c>
      <c r="BM118" s="106">
        <f t="shared" si="304"/>
        <v>6046.2999999999993</v>
      </c>
      <c r="BN118" s="106">
        <f t="shared" si="304"/>
        <v>5750.6</v>
      </c>
      <c r="BO118" s="106">
        <f t="shared" si="304"/>
        <v>8723.7999999999993</v>
      </c>
      <c r="BP118" s="106">
        <f t="shared" si="304"/>
        <v>9555.7999999999993</v>
      </c>
      <c r="BQ118" s="106">
        <f t="shared" ref="BQ118:CB118" si="305">BQ114+BQ117</f>
        <v>17737.895</v>
      </c>
      <c r="BR118" s="106">
        <f t="shared" si="305"/>
        <v>18710.523000000001</v>
      </c>
      <c r="BS118" s="106">
        <f t="shared" si="305"/>
        <v>22343.663</v>
      </c>
      <c r="BT118" s="106">
        <f t="shared" si="305"/>
        <v>30380.279528087642</v>
      </c>
      <c r="BU118" s="106">
        <f t="shared" ca="1" si="305"/>
        <v>41691.905735472879</v>
      </c>
      <c r="BV118" s="106">
        <f t="shared" ca="1" si="305"/>
        <v>41572.323483881613</v>
      </c>
      <c r="BW118" s="106">
        <f t="shared" ca="1" si="305"/>
        <v>44132.854187325829</v>
      </c>
      <c r="BX118" s="106">
        <f t="shared" ca="1" si="305"/>
        <v>46861.124732009339</v>
      </c>
      <c r="BY118" s="106">
        <f t="shared" ca="1" si="305"/>
        <v>49897.828311834208</v>
      </c>
      <c r="BZ118" s="106">
        <f t="shared" ca="1" si="305"/>
        <v>53362.915151075023</v>
      </c>
      <c r="CA118" s="106">
        <f t="shared" ca="1" si="305"/>
        <v>57409.08142667108</v>
      </c>
      <c r="CB118" s="106">
        <f t="shared" ca="1" si="305"/>
        <v>62257.184350424206</v>
      </c>
      <c r="CC118" s="106">
        <f ca="1">CC114+CC117</f>
        <v>68204.884473634447</v>
      </c>
      <c r="CD118" s="106">
        <f ca="1">CD114+CD117</f>
        <v>75660.237917812279</v>
      </c>
      <c r="CE118" s="106">
        <f ca="1">CE114+CE117</f>
        <v>85188.251463619381</v>
      </c>
      <c r="CF118" s="106">
        <f ca="1">CF114+CF117</f>
        <v>97578.534004491376</v>
      </c>
      <c r="CG118" s="106">
        <f ca="1">CG114+CG117</f>
        <v>113943.90413711156</v>
      </c>
      <c r="CH118" s="141"/>
      <c r="CI118" s="106">
        <f t="shared" si="286"/>
        <v>0</v>
      </c>
      <c r="CJ118" s="106">
        <f t="shared" ref="CJ118:CU118" si="306">BR118-DB118</f>
        <v>0</v>
      </c>
      <c r="CK118" s="106">
        <f t="shared" si="306"/>
        <v>0</v>
      </c>
      <c r="CL118" s="106">
        <f t="shared" si="306"/>
        <v>0</v>
      </c>
      <c r="CM118" s="106">
        <f t="shared" ca="1" si="306"/>
        <v>-525.26294772767142</v>
      </c>
      <c r="CN118" s="106">
        <f t="shared" ca="1" si="306"/>
        <v>-4479.9248501202164</v>
      </c>
      <c r="CO118" s="106">
        <f t="shared" ca="1" si="306"/>
        <v>-8348.6946656953151</v>
      </c>
      <c r="CP118" s="106">
        <f t="shared" ca="1" si="306"/>
        <v>-12447.264963614878</v>
      </c>
      <c r="CQ118" s="106">
        <f t="shared" ca="1" si="306"/>
        <v>-16808.313539204086</v>
      </c>
      <c r="CR118" s="106">
        <f t="shared" ca="1" si="306"/>
        <v>-18077.994919038756</v>
      </c>
      <c r="CS118" s="106">
        <f t="shared" ca="1" si="306"/>
        <v>-19602.930505016542</v>
      </c>
      <c r="CT118" s="106">
        <f t="shared" ca="1" si="306"/>
        <v>-21287.066990264873</v>
      </c>
      <c r="CU118" s="106">
        <f t="shared" ca="1" si="306"/>
        <v>-23331.11687120967</v>
      </c>
      <c r="CV118" s="106">
        <f t="shared" ca="1" si="287"/>
        <v>-25922.51989445879</v>
      </c>
      <c r="CW118" s="106">
        <f t="shared" ca="1" si="288"/>
        <v>-29336.347028566466</v>
      </c>
      <c r="CX118" s="106">
        <f t="shared" ca="1" si="289"/>
        <v>-34001.494829662523</v>
      </c>
      <c r="CY118" s="106">
        <f t="shared" ca="1" si="290"/>
        <v>-40602.190102339402</v>
      </c>
      <c r="CZ118" s="134"/>
      <c r="DA118" s="135">
        <v>17737.895</v>
      </c>
      <c r="DB118" s="135">
        <v>18710.523000000001</v>
      </c>
      <c r="DC118" s="135">
        <v>22343.663</v>
      </c>
      <c r="DD118" s="135">
        <v>30380.279528087642</v>
      </c>
      <c r="DE118" s="135">
        <v>42217.168683200551</v>
      </c>
      <c r="DF118" s="135">
        <v>46052.24833400183</v>
      </c>
      <c r="DG118" s="135">
        <v>52481.548853021144</v>
      </c>
      <c r="DH118" s="135">
        <v>59308.389695624217</v>
      </c>
      <c r="DI118" s="135">
        <v>66706.141851038294</v>
      </c>
      <c r="DJ118" s="135">
        <v>71440.91007011378</v>
      </c>
      <c r="DK118" s="135">
        <v>77012.011931687623</v>
      </c>
      <c r="DL118" s="135">
        <v>83544.251340689079</v>
      </c>
      <c r="DM118" s="135">
        <v>91536.001344844117</v>
      </c>
      <c r="DN118" s="135">
        <v>101582.75781227107</v>
      </c>
      <c r="DO118" s="135">
        <v>114524.59849218585</v>
      </c>
      <c r="DP118" s="135">
        <v>131580.0288341539</v>
      </c>
      <c r="DQ118" s="135">
        <v>154546.09423945096</v>
      </c>
    </row>
    <row r="119" spans="1:121" s="123" customFormat="1">
      <c r="A119" s="107" t="s">
        <v>512</v>
      </c>
      <c r="B119" s="107"/>
      <c r="C119" s="136" t="s">
        <v>1579</v>
      </c>
      <c r="D119" s="14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8">
        <v>0</v>
      </c>
      <c r="BQ119" s="106">
        <f t="shared" ref="BQ119:BZ119" si="307">+BP119*(1+BQ192/100)+BQ98</f>
        <v>0</v>
      </c>
      <c r="BR119" s="106">
        <f t="shared" si="307"/>
        <v>0</v>
      </c>
      <c r="BS119" s="106">
        <f t="shared" si="307"/>
        <v>0</v>
      </c>
      <c r="BT119" s="106">
        <f t="shared" si="307"/>
        <v>0</v>
      </c>
      <c r="BU119" s="106">
        <f t="shared" si="307"/>
        <v>0</v>
      </c>
      <c r="BV119" s="106">
        <f t="shared" si="307"/>
        <v>0</v>
      </c>
      <c r="BW119" s="106">
        <f t="shared" si="307"/>
        <v>0</v>
      </c>
      <c r="BX119" s="106">
        <f t="shared" si="307"/>
        <v>0</v>
      </c>
      <c r="BY119" s="106">
        <f t="shared" si="307"/>
        <v>0</v>
      </c>
      <c r="BZ119" s="106">
        <f t="shared" si="307"/>
        <v>0</v>
      </c>
      <c r="CA119" s="106">
        <f t="shared" ref="CA119:CG119" si="308">+BZ119*(1+CA192/100)+CA98</f>
        <v>0</v>
      </c>
      <c r="CB119" s="106">
        <f t="shared" si="308"/>
        <v>0</v>
      </c>
      <c r="CC119" s="106">
        <f t="shared" si="308"/>
        <v>0</v>
      </c>
      <c r="CD119" s="106">
        <f t="shared" si="308"/>
        <v>0</v>
      </c>
      <c r="CE119" s="106">
        <f t="shared" si="308"/>
        <v>0</v>
      </c>
      <c r="CF119" s="106">
        <f t="shared" si="308"/>
        <v>0</v>
      </c>
      <c r="CG119" s="106">
        <f t="shared" si="308"/>
        <v>0</v>
      </c>
      <c r="CH119" s="141"/>
      <c r="CI119" s="106">
        <f t="shared" si="286"/>
        <v>0</v>
      </c>
      <c r="CJ119" s="106">
        <f t="shared" si="286"/>
        <v>0</v>
      </c>
      <c r="CK119" s="106">
        <f t="shared" si="286"/>
        <v>0</v>
      </c>
      <c r="CL119" s="106">
        <f t="shared" si="286"/>
        <v>0</v>
      </c>
      <c r="CM119" s="106">
        <f t="shared" si="286"/>
        <v>0</v>
      </c>
      <c r="CN119" s="106">
        <f t="shared" si="286"/>
        <v>0</v>
      </c>
      <c r="CO119" s="106">
        <f t="shared" si="286"/>
        <v>0</v>
      </c>
      <c r="CP119" s="106">
        <f t="shared" si="286"/>
        <v>0</v>
      </c>
      <c r="CQ119" s="106">
        <f t="shared" si="286"/>
        <v>0</v>
      </c>
      <c r="CR119" s="106">
        <f t="shared" si="286"/>
        <v>0</v>
      </c>
      <c r="CS119" s="106">
        <f>CA119-DK119</f>
        <v>0</v>
      </c>
      <c r="CT119" s="106">
        <f>CB119-DL119</f>
        <v>0</v>
      </c>
      <c r="CU119" s="106">
        <f>CC119-DM119</f>
        <v>0</v>
      </c>
      <c r="CV119" s="106">
        <f t="shared" si="287"/>
        <v>0</v>
      </c>
      <c r="CW119" s="106">
        <f t="shared" si="288"/>
        <v>0</v>
      </c>
      <c r="CX119" s="106">
        <f t="shared" si="289"/>
        <v>0</v>
      </c>
      <c r="CY119" s="106">
        <f t="shared" si="290"/>
        <v>0</v>
      </c>
      <c r="CZ119" s="134"/>
      <c r="DA119" s="135">
        <v>0</v>
      </c>
      <c r="DB119" s="135">
        <v>0</v>
      </c>
      <c r="DC119" s="135">
        <v>0</v>
      </c>
      <c r="DD119" s="135">
        <v>0</v>
      </c>
      <c r="DE119" s="135">
        <v>0</v>
      </c>
      <c r="DF119" s="135">
        <v>0</v>
      </c>
      <c r="DG119" s="135">
        <v>0</v>
      </c>
      <c r="DH119" s="135">
        <v>0</v>
      </c>
      <c r="DI119" s="135">
        <v>0</v>
      </c>
      <c r="DJ119" s="135">
        <v>0</v>
      </c>
      <c r="DK119" s="135">
        <v>0</v>
      </c>
      <c r="DL119" s="135">
        <v>0</v>
      </c>
      <c r="DM119" s="135">
        <v>0</v>
      </c>
      <c r="DN119" s="135">
        <v>0</v>
      </c>
      <c r="DO119" s="135">
        <v>0</v>
      </c>
      <c r="DP119" s="135">
        <v>0</v>
      </c>
      <c r="DQ119" s="135">
        <v>0</v>
      </c>
    </row>
    <row r="120" spans="1:121">
      <c r="A120" s="185" t="s">
        <v>2113</v>
      </c>
      <c r="B120" s="186"/>
      <c r="C120" s="187"/>
      <c r="D120" s="64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8"/>
      <c r="DA120" s="388"/>
      <c r="DB120" s="388"/>
      <c r="DC120" s="388"/>
      <c r="DD120" s="388"/>
      <c r="DE120" s="388"/>
      <c r="DF120" s="388"/>
      <c r="DG120" s="182"/>
      <c r="DH120" s="182"/>
      <c r="DI120" s="182"/>
      <c r="DJ120" s="182"/>
      <c r="DK120" s="182"/>
      <c r="DL120" s="182"/>
      <c r="DM120" s="182"/>
      <c r="DN120" s="182"/>
    </row>
    <row r="121" spans="1:121">
      <c r="A121" s="189" t="s">
        <v>3203</v>
      </c>
      <c r="B121" s="149"/>
      <c r="C121" s="150"/>
      <c r="D121" s="102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 t="s">
        <v>1344</v>
      </c>
      <c r="BH121" s="128" t="s">
        <v>1344</v>
      </c>
      <c r="BI121" s="128" t="s">
        <v>1344</v>
      </c>
      <c r="BJ121" s="128" t="s">
        <v>1344</v>
      </c>
      <c r="BK121" s="190"/>
      <c r="BL121" s="128" t="s">
        <v>1344</v>
      </c>
      <c r="BM121" s="128" t="s">
        <v>1344</v>
      </c>
      <c r="BN121" s="128" t="s">
        <v>1344</v>
      </c>
      <c r="BO121" s="271" t="s">
        <v>1344</v>
      </c>
      <c r="BP121" s="271" t="s">
        <v>1344</v>
      </c>
      <c r="BQ121" s="128" t="s">
        <v>1344</v>
      </c>
      <c r="BR121" s="128" t="s">
        <v>1344</v>
      </c>
      <c r="BS121" s="271"/>
      <c r="BT121" s="128" t="s">
        <v>1344</v>
      </c>
      <c r="BU121" s="128" t="s">
        <v>1344</v>
      </c>
      <c r="BV121" s="128" t="s">
        <v>1344</v>
      </c>
      <c r="BW121" s="128" t="s">
        <v>1344</v>
      </c>
      <c r="BX121" s="128" t="s">
        <v>1344</v>
      </c>
      <c r="BY121" s="128" t="s">
        <v>1344</v>
      </c>
      <c r="BZ121" s="128" t="s">
        <v>1344</v>
      </c>
      <c r="CA121" s="128" t="s">
        <v>1344</v>
      </c>
      <c r="CB121" s="128" t="s">
        <v>1344</v>
      </c>
      <c r="CC121" s="128" t="s">
        <v>1344</v>
      </c>
      <c r="CD121" s="128" t="s">
        <v>1344</v>
      </c>
      <c r="CE121" s="128" t="s">
        <v>1344</v>
      </c>
      <c r="CF121" s="128" t="s">
        <v>1344</v>
      </c>
      <c r="CG121" s="128" t="s">
        <v>1344</v>
      </c>
      <c r="DA121" s="104" t="s">
        <v>1344</v>
      </c>
      <c r="DB121" s="104" t="s">
        <v>1344</v>
      </c>
      <c r="DD121" s="104" t="s">
        <v>1344</v>
      </c>
      <c r="DE121" s="104" t="s">
        <v>1344</v>
      </c>
      <c r="DF121" s="104" t="s">
        <v>1344</v>
      </c>
      <c r="DG121" s="104" t="s">
        <v>1344</v>
      </c>
      <c r="DH121" s="104" t="s">
        <v>1344</v>
      </c>
      <c r="DI121" s="104" t="s">
        <v>1344</v>
      </c>
      <c r="DJ121" s="104" t="s">
        <v>1344</v>
      </c>
      <c r="DK121" s="104" t="s">
        <v>1344</v>
      </c>
      <c r="DL121" s="104" t="s">
        <v>1344</v>
      </c>
      <c r="DM121" s="104" t="s">
        <v>1344</v>
      </c>
      <c r="DN121" s="104" t="s">
        <v>1344</v>
      </c>
      <c r="DO121" s="104" t="s">
        <v>1344</v>
      </c>
      <c r="DP121" s="104" t="s">
        <v>1344</v>
      </c>
      <c r="DQ121" s="104" t="s">
        <v>1344</v>
      </c>
    </row>
    <row r="122" spans="1:121">
      <c r="A122" s="182" t="s">
        <v>1895</v>
      </c>
      <c r="B122" s="182"/>
      <c r="C122" s="182"/>
      <c r="D122" s="646"/>
      <c r="E122" s="182"/>
      <c r="F122" s="190">
        <f t="shared" ref="F122:AK122" si="309">+F15-F125</f>
        <v>0</v>
      </c>
      <c r="G122" s="128">
        <f t="shared" si="309"/>
        <v>0</v>
      </c>
      <c r="H122" s="128">
        <f t="shared" si="309"/>
        <v>0</v>
      </c>
      <c r="I122" s="128">
        <f t="shared" si="309"/>
        <v>0</v>
      </c>
      <c r="J122" s="128">
        <f t="shared" si="309"/>
        <v>0</v>
      </c>
      <c r="K122" s="128">
        <f t="shared" si="309"/>
        <v>0</v>
      </c>
      <c r="L122" s="128">
        <f t="shared" si="309"/>
        <v>0</v>
      </c>
      <c r="M122" s="128">
        <f t="shared" si="309"/>
        <v>0</v>
      </c>
      <c r="N122" s="128">
        <f t="shared" si="309"/>
        <v>0</v>
      </c>
      <c r="O122" s="128">
        <f t="shared" si="309"/>
        <v>0</v>
      </c>
      <c r="P122" s="128">
        <f t="shared" si="309"/>
        <v>0</v>
      </c>
      <c r="Q122" s="128">
        <f t="shared" si="309"/>
        <v>0</v>
      </c>
      <c r="R122" s="128">
        <f t="shared" si="309"/>
        <v>0</v>
      </c>
      <c r="S122" s="128">
        <f t="shared" si="309"/>
        <v>0</v>
      </c>
      <c r="T122" s="128">
        <f t="shared" si="309"/>
        <v>0</v>
      </c>
      <c r="U122" s="128">
        <f t="shared" si="309"/>
        <v>0</v>
      </c>
      <c r="V122" s="128">
        <f t="shared" si="309"/>
        <v>0</v>
      </c>
      <c r="W122" s="128">
        <f t="shared" si="309"/>
        <v>0</v>
      </c>
      <c r="X122" s="128">
        <f t="shared" si="309"/>
        <v>0</v>
      </c>
      <c r="Y122" s="128">
        <f t="shared" si="309"/>
        <v>0</v>
      </c>
      <c r="Z122" s="128">
        <f t="shared" si="309"/>
        <v>0</v>
      </c>
      <c r="AA122" s="128">
        <f t="shared" si="309"/>
        <v>0</v>
      </c>
      <c r="AB122" s="128">
        <f t="shared" si="309"/>
        <v>0</v>
      </c>
      <c r="AC122" s="128">
        <f t="shared" si="309"/>
        <v>0</v>
      </c>
      <c r="AD122" s="128">
        <f t="shared" si="309"/>
        <v>0</v>
      </c>
      <c r="AE122" s="128">
        <f t="shared" si="309"/>
        <v>0</v>
      </c>
      <c r="AF122" s="128">
        <f t="shared" si="309"/>
        <v>0</v>
      </c>
      <c r="AG122" s="128">
        <f t="shared" si="309"/>
        <v>0</v>
      </c>
      <c r="AH122" s="128">
        <f t="shared" si="309"/>
        <v>0</v>
      </c>
      <c r="AI122" s="128">
        <f t="shared" si="309"/>
        <v>0</v>
      </c>
      <c r="AJ122" s="128">
        <f t="shared" si="309"/>
        <v>0</v>
      </c>
      <c r="AK122" s="128">
        <f t="shared" si="309"/>
        <v>0</v>
      </c>
      <c r="AL122" s="128">
        <f t="shared" ref="AL122:BJ122" si="310">+AL15-AL125</f>
        <v>0</v>
      </c>
      <c r="AM122" s="128">
        <f t="shared" si="310"/>
        <v>0</v>
      </c>
      <c r="AN122" s="128">
        <f t="shared" si="310"/>
        <v>0</v>
      </c>
      <c r="AO122" s="128">
        <f t="shared" si="310"/>
        <v>0</v>
      </c>
      <c r="AP122" s="128">
        <f t="shared" si="310"/>
        <v>0</v>
      </c>
      <c r="AQ122" s="128">
        <f t="shared" si="310"/>
        <v>0</v>
      </c>
      <c r="AR122" s="128">
        <f t="shared" si="310"/>
        <v>0</v>
      </c>
      <c r="AS122" s="128">
        <f t="shared" si="310"/>
        <v>0</v>
      </c>
      <c r="AT122" s="128">
        <f t="shared" si="310"/>
        <v>0</v>
      </c>
      <c r="AU122" s="128">
        <f t="shared" si="310"/>
        <v>0</v>
      </c>
      <c r="AV122" s="128">
        <f t="shared" si="310"/>
        <v>0</v>
      </c>
      <c r="AW122" s="128">
        <f t="shared" si="310"/>
        <v>0</v>
      </c>
      <c r="AX122" s="128">
        <f t="shared" si="310"/>
        <v>0</v>
      </c>
      <c r="AY122" s="128">
        <f t="shared" si="310"/>
        <v>0</v>
      </c>
      <c r="AZ122" s="128">
        <f t="shared" si="310"/>
        <v>0</v>
      </c>
      <c r="BA122" s="128">
        <f t="shared" si="310"/>
        <v>0</v>
      </c>
      <c r="BB122" s="128">
        <f t="shared" si="310"/>
        <v>0</v>
      </c>
      <c r="BC122" s="128">
        <f t="shared" si="310"/>
        <v>123.56600000000003</v>
      </c>
      <c r="BD122" s="128">
        <f t="shared" si="310"/>
        <v>509.82400000000007</v>
      </c>
      <c r="BE122" s="128">
        <f t="shared" si="310"/>
        <v>841.05271752642739</v>
      </c>
      <c r="BF122" s="128">
        <f t="shared" si="310"/>
        <v>-99.033457500000168</v>
      </c>
      <c r="BG122" s="128">
        <f t="shared" si="310"/>
        <v>-93.391430000000582</v>
      </c>
      <c r="BH122" s="128">
        <f t="shared" si="310"/>
        <v>-85.207952500000829</v>
      </c>
      <c r="BI122" s="128">
        <f t="shared" si="310"/>
        <v>27.281487499999457</v>
      </c>
      <c r="BJ122" s="128">
        <f t="shared" si="310"/>
        <v>-125.27503750000051</v>
      </c>
      <c r="BK122" s="184">
        <f t="shared" ref="BK122:BV122" si="311">BJ122</f>
        <v>-125.27503750000051</v>
      </c>
      <c r="BL122" s="184">
        <f t="shared" si="311"/>
        <v>-125.27503750000051</v>
      </c>
      <c r="BM122" s="184">
        <f t="shared" si="311"/>
        <v>-125.27503750000051</v>
      </c>
      <c r="BN122" s="184">
        <f t="shared" si="311"/>
        <v>-125.27503750000051</v>
      </c>
      <c r="BO122" s="184">
        <f t="shared" si="311"/>
        <v>-125.27503750000051</v>
      </c>
      <c r="BP122" s="184">
        <f t="shared" si="311"/>
        <v>-125.27503750000051</v>
      </c>
      <c r="BQ122" s="184">
        <f t="shared" si="311"/>
        <v>-125.27503750000051</v>
      </c>
      <c r="BR122" s="184">
        <f t="shared" si="311"/>
        <v>-125.27503750000051</v>
      </c>
      <c r="BS122" s="184">
        <f t="shared" si="311"/>
        <v>-125.27503750000051</v>
      </c>
      <c r="BT122" s="184">
        <f t="shared" si="311"/>
        <v>-125.27503750000051</v>
      </c>
      <c r="BU122" s="184">
        <f t="shared" si="311"/>
        <v>-125.27503750000051</v>
      </c>
      <c r="BV122" s="184">
        <f t="shared" si="311"/>
        <v>-125.27503750000051</v>
      </c>
      <c r="BW122" s="184">
        <f t="shared" ref="BW122:BZ123" si="312">BV122</f>
        <v>-125.27503750000051</v>
      </c>
      <c r="BX122" s="184">
        <f t="shared" si="312"/>
        <v>-125.27503750000051</v>
      </c>
      <c r="BY122" s="184">
        <f t="shared" si="312"/>
        <v>-125.27503750000051</v>
      </c>
      <c r="BZ122" s="184">
        <f t="shared" si="312"/>
        <v>-125.27503750000051</v>
      </c>
      <c r="CA122" s="184">
        <f t="shared" ref="CA122:CG123" si="313">BZ122</f>
        <v>-125.27503750000051</v>
      </c>
      <c r="CB122" s="184">
        <f t="shared" si="313"/>
        <v>-125.27503750000051</v>
      </c>
      <c r="CC122" s="184">
        <f t="shared" si="313"/>
        <v>-125.27503750000051</v>
      </c>
      <c r="CD122" s="184">
        <f t="shared" si="313"/>
        <v>-125.27503750000051</v>
      </c>
      <c r="CE122" s="184">
        <f t="shared" si="313"/>
        <v>-125.27503750000051</v>
      </c>
      <c r="CF122" s="184">
        <f t="shared" si="313"/>
        <v>-125.27503750000051</v>
      </c>
      <c r="CG122" s="184">
        <f t="shared" si="313"/>
        <v>-125.27503750000051</v>
      </c>
      <c r="CH122" s="128"/>
      <c r="CI122" s="133">
        <f t="shared" ref="CI122:CI144" si="314">BQ122-DA122</f>
        <v>0</v>
      </c>
      <c r="CJ122" s="133">
        <f t="shared" ref="CJ122:CJ143" si="315">BR122-DB122</f>
        <v>0</v>
      </c>
      <c r="CK122" s="133">
        <f t="shared" ref="CK122:CK143" si="316">BS122-DC122</f>
        <v>0</v>
      </c>
      <c r="CL122" s="133">
        <f t="shared" ref="CL122:CL143" si="317">BT122-DD122</f>
        <v>0</v>
      </c>
      <c r="CM122" s="133">
        <f t="shared" ref="CM122:CM143" si="318">BU122-DE122</f>
        <v>0</v>
      </c>
      <c r="CN122" s="133">
        <f t="shared" ref="CN122:CN143" si="319">BV122-DF122</f>
        <v>0</v>
      </c>
      <c r="CO122" s="133">
        <f t="shared" ref="CO122:CO143" si="320">BW122-DG122</f>
        <v>0</v>
      </c>
      <c r="CP122" s="133">
        <f t="shared" ref="CP122:CP143" si="321">BX122-DH122</f>
        <v>0</v>
      </c>
      <c r="CQ122" s="133">
        <f t="shared" ref="CQ122:CQ143" si="322">BY122-DI122</f>
        <v>0</v>
      </c>
      <c r="CR122" s="133">
        <f t="shared" ref="CR122:CR143" si="323">BZ122-DJ122</f>
        <v>0</v>
      </c>
      <c r="CS122" s="133">
        <f t="shared" ref="CS122:CS143" si="324">CA122-DK122</f>
        <v>0</v>
      </c>
      <c r="CT122" s="133">
        <f t="shared" ref="CT122:CT143" si="325">CB122-DL122</f>
        <v>0</v>
      </c>
      <c r="CU122" s="133">
        <f t="shared" ref="CU122:CU143" si="326">CC122-DM122</f>
        <v>0</v>
      </c>
      <c r="CV122" s="133">
        <f t="shared" ref="CV122:CV144" si="327">CD122-DN122</f>
        <v>0</v>
      </c>
      <c r="CW122" s="133">
        <f t="shared" ref="CW122:CW144" si="328">CE122-DO122</f>
        <v>0</v>
      </c>
      <c r="CX122" s="133">
        <f t="shared" ref="CX122:CX144" si="329">CF122-DP122</f>
        <v>0</v>
      </c>
      <c r="CY122" s="133">
        <f t="shared" ref="CY122:CY144" si="330">CG122-DQ122</f>
        <v>0</v>
      </c>
      <c r="DA122" s="104">
        <v>-125.27503750000051</v>
      </c>
      <c r="DB122" s="104">
        <v>-125.27503750000051</v>
      </c>
      <c r="DC122" s="104">
        <v>-125.27503750000051</v>
      </c>
      <c r="DD122" s="104">
        <v>-125.27503750000051</v>
      </c>
      <c r="DE122" s="104">
        <v>-125.27503750000051</v>
      </c>
      <c r="DF122" s="104">
        <v>-125.27503750000051</v>
      </c>
      <c r="DG122" s="104">
        <v>-125.27503750000051</v>
      </c>
      <c r="DH122" s="104">
        <v>-125.27503750000051</v>
      </c>
      <c r="DI122" s="104">
        <v>-125.27503750000051</v>
      </c>
      <c r="DJ122" s="104">
        <v>-125.27503750000051</v>
      </c>
      <c r="DK122" s="104">
        <v>-125.27503750000051</v>
      </c>
      <c r="DL122" s="104">
        <v>-125.27503750000051</v>
      </c>
      <c r="DM122" s="104">
        <v>-125.27503750000051</v>
      </c>
      <c r="DN122" s="104">
        <v>-125.27503750000051</v>
      </c>
      <c r="DO122" s="104">
        <v>-125.27503750000051</v>
      </c>
      <c r="DP122" s="104">
        <v>-125.27503750000051</v>
      </c>
      <c r="DQ122" s="104">
        <v>-125.27503750000051</v>
      </c>
    </row>
    <row r="123" spans="1:121">
      <c r="A123" s="182" t="s">
        <v>1896</v>
      </c>
      <c r="B123" s="182"/>
      <c r="C123" s="182"/>
      <c r="D123" s="646"/>
      <c r="E123" s="182"/>
      <c r="F123" s="190">
        <f t="shared" ref="F123:AK123" si="331">+F16-F131</f>
        <v>0</v>
      </c>
      <c r="G123" s="128">
        <f t="shared" si="331"/>
        <v>0</v>
      </c>
      <c r="H123" s="128">
        <f t="shared" si="331"/>
        <v>0</v>
      </c>
      <c r="I123" s="128">
        <f t="shared" si="331"/>
        <v>0</v>
      </c>
      <c r="J123" s="128">
        <f t="shared" si="331"/>
        <v>0</v>
      </c>
      <c r="K123" s="128">
        <f t="shared" si="331"/>
        <v>0</v>
      </c>
      <c r="L123" s="128">
        <f t="shared" si="331"/>
        <v>0</v>
      </c>
      <c r="M123" s="128">
        <f t="shared" si="331"/>
        <v>0</v>
      </c>
      <c r="N123" s="128">
        <f t="shared" si="331"/>
        <v>0</v>
      </c>
      <c r="O123" s="128">
        <f t="shared" si="331"/>
        <v>0</v>
      </c>
      <c r="P123" s="128">
        <f t="shared" si="331"/>
        <v>0</v>
      </c>
      <c r="Q123" s="128">
        <f t="shared" si="331"/>
        <v>0</v>
      </c>
      <c r="R123" s="128">
        <f t="shared" si="331"/>
        <v>0</v>
      </c>
      <c r="S123" s="128">
        <f t="shared" si="331"/>
        <v>0</v>
      </c>
      <c r="T123" s="128">
        <f t="shared" si="331"/>
        <v>0</v>
      </c>
      <c r="U123" s="128">
        <f t="shared" si="331"/>
        <v>0</v>
      </c>
      <c r="V123" s="128">
        <f t="shared" si="331"/>
        <v>0</v>
      </c>
      <c r="W123" s="128">
        <f t="shared" si="331"/>
        <v>0</v>
      </c>
      <c r="X123" s="128">
        <f t="shared" si="331"/>
        <v>0</v>
      </c>
      <c r="Y123" s="128">
        <f t="shared" si="331"/>
        <v>0</v>
      </c>
      <c r="Z123" s="128">
        <f t="shared" si="331"/>
        <v>0</v>
      </c>
      <c r="AA123" s="128">
        <f t="shared" si="331"/>
        <v>0</v>
      </c>
      <c r="AB123" s="128">
        <f t="shared" si="331"/>
        <v>0</v>
      </c>
      <c r="AC123" s="128">
        <f t="shared" si="331"/>
        <v>0</v>
      </c>
      <c r="AD123" s="128">
        <f t="shared" si="331"/>
        <v>0</v>
      </c>
      <c r="AE123" s="128">
        <f t="shared" si="331"/>
        <v>0</v>
      </c>
      <c r="AF123" s="128">
        <f t="shared" si="331"/>
        <v>0</v>
      </c>
      <c r="AG123" s="128">
        <f t="shared" si="331"/>
        <v>0</v>
      </c>
      <c r="AH123" s="128">
        <f t="shared" si="331"/>
        <v>0</v>
      </c>
      <c r="AI123" s="128">
        <f t="shared" si="331"/>
        <v>0</v>
      </c>
      <c r="AJ123" s="128">
        <f t="shared" si="331"/>
        <v>0</v>
      </c>
      <c r="AK123" s="128">
        <f t="shared" si="331"/>
        <v>0</v>
      </c>
      <c r="AL123" s="128">
        <f t="shared" ref="AL123:BJ123" si="332">+AL16-AL131</f>
        <v>0</v>
      </c>
      <c r="AM123" s="128">
        <f t="shared" si="332"/>
        <v>0</v>
      </c>
      <c r="AN123" s="128">
        <f t="shared" si="332"/>
        <v>0</v>
      </c>
      <c r="AO123" s="128">
        <f t="shared" si="332"/>
        <v>0</v>
      </c>
      <c r="AP123" s="128">
        <f t="shared" si="332"/>
        <v>0</v>
      </c>
      <c r="AQ123" s="128">
        <f t="shared" si="332"/>
        <v>0</v>
      </c>
      <c r="AR123" s="128">
        <f t="shared" si="332"/>
        <v>0</v>
      </c>
      <c r="AS123" s="128">
        <f t="shared" si="332"/>
        <v>0</v>
      </c>
      <c r="AT123" s="128">
        <f t="shared" si="332"/>
        <v>0</v>
      </c>
      <c r="AU123" s="128">
        <f t="shared" si="332"/>
        <v>0</v>
      </c>
      <c r="AV123" s="128">
        <f t="shared" si="332"/>
        <v>0</v>
      </c>
      <c r="AW123" s="128">
        <f t="shared" si="332"/>
        <v>0</v>
      </c>
      <c r="AX123" s="128">
        <f t="shared" si="332"/>
        <v>0</v>
      </c>
      <c r="AY123" s="128">
        <f t="shared" si="332"/>
        <v>0</v>
      </c>
      <c r="AZ123" s="128">
        <f t="shared" si="332"/>
        <v>0</v>
      </c>
      <c r="BA123" s="128">
        <f t="shared" si="332"/>
        <v>0</v>
      </c>
      <c r="BB123" s="128">
        <f t="shared" si="332"/>
        <v>0</v>
      </c>
      <c r="BC123" s="128">
        <f t="shared" ca="1" si="332"/>
        <v>259.80447823017585</v>
      </c>
      <c r="BD123" s="128">
        <f t="shared" ca="1" si="332"/>
        <v>349.84335226800795</v>
      </c>
      <c r="BE123" s="128">
        <f t="shared" ca="1" si="332"/>
        <v>1183.4039147909989</v>
      </c>
      <c r="BF123" s="128">
        <f t="shared" si="332"/>
        <v>34.0734824999995</v>
      </c>
      <c r="BG123" s="128">
        <f t="shared" si="332"/>
        <v>42.735672500000419</v>
      </c>
      <c r="BH123" s="128">
        <f t="shared" si="332"/>
        <v>54.697832499999095</v>
      </c>
      <c r="BI123" s="128">
        <f t="shared" si="332"/>
        <v>26.829299999999421</v>
      </c>
      <c r="BJ123" s="128">
        <f t="shared" si="332"/>
        <v>27.341974999999366</v>
      </c>
      <c r="BK123" s="184">
        <f t="shared" ref="BK123:BV123" si="333">BJ123</f>
        <v>27.341974999999366</v>
      </c>
      <c r="BL123" s="184">
        <f t="shared" si="333"/>
        <v>27.341974999999366</v>
      </c>
      <c r="BM123" s="184">
        <f t="shared" si="333"/>
        <v>27.341974999999366</v>
      </c>
      <c r="BN123" s="184">
        <f t="shared" si="333"/>
        <v>27.341974999999366</v>
      </c>
      <c r="BO123" s="184">
        <f t="shared" si="333"/>
        <v>27.341974999999366</v>
      </c>
      <c r="BP123" s="184">
        <f t="shared" si="333"/>
        <v>27.341974999999366</v>
      </c>
      <c r="BQ123" s="184">
        <f t="shared" si="333"/>
        <v>27.341974999999366</v>
      </c>
      <c r="BR123" s="184">
        <f t="shared" si="333"/>
        <v>27.341974999999366</v>
      </c>
      <c r="BS123" s="184">
        <f t="shared" si="333"/>
        <v>27.341974999999366</v>
      </c>
      <c r="BT123" s="184">
        <f t="shared" si="333"/>
        <v>27.341974999999366</v>
      </c>
      <c r="BU123" s="184">
        <f t="shared" si="333"/>
        <v>27.341974999999366</v>
      </c>
      <c r="BV123" s="184">
        <f t="shared" si="333"/>
        <v>27.341974999999366</v>
      </c>
      <c r="BW123" s="184">
        <f t="shared" si="312"/>
        <v>27.341974999999366</v>
      </c>
      <c r="BX123" s="184">
        <f t="shared" si="312"/>
        <v>27.341974999999366</v>
      </c>
      <c r="BY123" s="184">
        <f t="shared" si="312"/>
        <v>27.341974999999366</v>
      </c>
      <c r="BZ123" s="184">
        <f t="shared" si="312"/>
        <v>27.341974999999366</v>
      </c>
      <c r="CA123" s="184">
        <f t="shared" si="313"/>
        <v>27.341974999999366</v>
      </c>
      <c r="CB123" s="184">
        <f t="shared" si="313"/>
        <v>27.341974999999366</v>
      </c>
      <c r="CC123" s="184">
        <f t="shared" si="313"/>
        <v>27.341974999999366</v>
      </c>
      <c r="CD123" s="184">
        <f t="shared" si="313"/>
        <v>27.341974999999366</v>
      </c>
      <c r="CE123" s="184">
        <f t="shared" si="313"/>
        <v>27.341974999999366</v>
      </c>
      <c r="CF123" s="184">
        <f t="shared" si="313"/>
        <v>27.341974999999366</v>
      </c>
      <c r="CG123" s="184">
        <f t="shared" si="313"/>
        <v>27.341974999999366</v>
      </c>
      <c r="CH123" s="128"/>
      <c r="CI123" s="133">
        <f t="shared" si="314"/>
        <v>0</v>
      </c>
      <c r="CJ123" s="133">
        <f t="shared" si="315"/>
        <v>0</v>
      </c>
      <c r="CK123" s="133">
        <f t="shared" si="316"/>
        <v>0</v>
      </c>
      <c r="CL123" s="133">
        <f t="shared" si="317"/>
        <v>0</v>
      </c>
      <c r="CM123" s="133">
        <f t="shared" si="318"/>
        <v>0</v>
      </c>
      <c r="CN123" s="133">
        <f t="shared" si="319"/>
        <v>0</v>
      </c>
      <c r="CO123" s="133">
        <f t="shared" si="320"/>
        <v>0</v>
      </c>
      <c r="CP123" s="133">
        <f t="shared" si="321"/>
        <v>0</v>
      </c>
      <c r="CQ123" s="133">
        <f t="shared" si="322"/>
        <v>0</v>
      </c>
      <c r="CR123" s="133">
        <f t="shared" si="323"/>
        <v>0</v>
      </c>
      <c r="CS123" s="133">
        <f t="shared" si="324"/>
        <v>0</v>
      </c>
      <c r="CT123" s="133">
        <f t="shared" si="325"/>
        <v>0</v>
      </c>
      <c r="CU123" s="133">
        <f t="shared" si="326"/>
        <v>0</v>
      </c>
      <c r="CV123" s="133">
        <f t="shared" si="327"/>
        <v>0</v>
      </c>
      <c r="CW123" s="133">
        <f t="shared" si="328"/>
        <v>0</v>
      </c>
      <c r="CX123" s="133">
        <f t="shared" si="329"/>
        <v>0</v>
      </c>
      <c r="CY123" s="133">
        <f t="shared" si="330"/>
        <v>0</v>
      </c>
      <c r="DA123" s="104">
        <v>27.341974999999366</v>
      </c>
      <c r="DB123" s="104">
        <v>27.341974999999366</v>
      </c>
      <c r="DC123" s="104">
        <v>27.341974999999366</v>
      </c>
      <c r="DD123" s="104">
        <v>27.341974999999366</v>
      </c>
      <c r="DE123" s="104">
        <v>27.341974999999366</v>
      </c>
      <c r="DF123" s="104">
        <v>27.341974999999366</v>
      </c>
      <c r="DG123" s="104">
        <v>27.341974999999366</v>
      </c>
      <c r="DH123" s="104">
        <v>27.341974999999366</v>
      </c>
      <c r="DI123" s="104">
        <v>27.341974999999366</v>
      </c>
      <c r="DJ123" s="104">
        <v>27.341974999999366</v>
      </c>
      <c r="DK123" s="104">
        <v>27.341974999999366</v>
      </c>
      <c r="DL123" s="104">
        <v>27.341974999999366</v>
      </c>
      <c r="DM123" s="104">
        <v>27.341974999999366</v>
      </c>
      <c r="DN123" s="104">
        <v>27.341974999999366</v>
      </c>
      <c r="DO123" s="104">
        <v>27.341974999999366</v>
      </c>
      <c r="DP123" s="104">
        <v>27.341974999999366</v>
      </c>
      <c r="DQ123" s="104">
        <v>27.341974999999366</v>
      </c>
    </row>
    <row r="124" spans="1:121" s="168" customFormat="1">
      <c r="A124" s="166" t="s">
        <v>2143</v>
      </c>
      <c r="B124" s="166"/>
      <c r="C124" s="167" t="s">
        <v>1579</v>
      </c>
      <c r="D124" s="147"/>
      <c r="E124" s="166"/>
      <c r="F124" s="519">
        <f t="shared" ref="F124:BB124" si="334">+F125-F131+F132+F135</f>
        <v>-6.0000000000000201E-4</v>
      </c>
      <c r="G124" s="105">
        <f t="shared" si="334"/>
        <v>-1.1999999999999884E-3</v>
      </c>
      <c r="H124" s="105">
        <f t="shared" si="334"/>
        <v>-1.0151363939046858E-2</v>
      </c>
      <c r="I124" s="105">
        <f t="shared" si="334"/>
        <v>-1.3319625079631806E-2</v>
      </c>
      <c r="J124" s="105">
        <f t="shared" si="334"/>
        <v>-1.4993682593107231E-2</v>
      </c>
      <c r="K124" s="105">
        <f t="shared" si="334"/>
        <v>-2.9930106997489932E-2</v>
      </c>
      <c r="L124" s="105">
        <f t="shared" si="334"/>
        <v>-4.3562408924102784E-2</v>
      </c>
      <c r="M124" s="105">
        <f t="shared" si="334"/>
        <v>-4.7952107369899744E-2</v>
      </c>
      <c r="N124" s="105">
        <f t="shared" si="334"/>
        <v>-5.1956824719905849E-2</v>
      </c>
      <c r="O124" s="105">
        <f t="shared" si="334"/>
        <v>-5.4831537336111076E-2</v>
      </c>
      <c r="P124" s="105">
        <f t="shared" si="334"/>
        <v>-9.6226092100143421E-2</v>
      </c>
      <c r="Q124" s="105">
        <f t="shared" si="334"/>
        <v>-9.8878997206687913E-2</v>
      </c>
      <c r="R124" s="105">
        <f t="shared" si="334"/>
        <v>-3.5957001686096182E-2</v>
      </c>
      <c r="S124" s="105">
        <f t="shared" si="334"/>
        <v>-3.6933997869491558E-2</v>
      </c>
      <c r="T124" s="105">
        <f t="shared" si="334"/>
        <v>-4.7500008702278149E-2</v>
      </c>
      <c r="U124" s="105">
        <f t="shared" si="334"/>
        <v>-4.5250982046127361E-2</v>
      </c>
      <c r="V124" s="105">
        <f t="shared" si="334"/>
        <v>-4.2950997591018739E-2</v>
      </c>
      <c r="W124" s="105">
        <f t="shared" si="334"/>
        <v>-3.3754984378814676E-2</v>
      </c>
      <c r="X124" s="105">
        <f t="shared" si="334"/>
        <v>-3.0700000762939425E-2</v>
      </c>
      <c r="Y124" s="105">
        <f t="shared" si="334"/>
        <v>-5.5100013256072986E-2</v>
      </c>
      <c r="Z124" s="105">
        <f t="shared" si="334"/>
        <v>-5.0999978542327858E-2</v>
      </c>
      <c r="AA124" s="105">
        <f t="shared" si="334"/>
        <v>-8.6999962568283046E-2</v>
      </c>
      <c r="AB124" s="105">
        <f t="shared" si="334"/>
        <v>-8.3599996566772375E-2</v>
      </c>
      <c r="AC124" s="105">
        <f t="shared" si="334"/>
        <v>-0.20989996051788343</v>
      </c>
      <c r="AD124" s="105">
        <f t="shared" si="334"/>
        <v>-0.11399999928474423</v>
      </c>
      <c r="AE124" s="105">
        <f t="shared" si="334"/>
        <v>-6.6700016260147071E-2</v>
      </c>
      <c r="AF124" s="105">
        <f t="shared" si="334"/>
        <v>-0.12420004916191081</v>
      </c>
      <c r="AG124" s="105">
        <f t="shared" si="334"/>
        <v>-0.21089999115467087</v>
      </c>
      <c r="AH124" s="105">
        <f t="shared" si="334"/>
        <v>-0.28349995166063302</v>
      </c>
      <c r="AI124" s="105">
        <f t="shared" si="334"/>
        <v>-0.27189999616146082</v>
      </c>
      <c r="AJ124" s="105">
        <f t="shared" si="334"/>
        <v>-0.13282503652572628</v>
      </c>
      <c r="AK124" s="105">
        <f t="shared" si="334"/>
        <v>-4.1900986194610509E-2</v>
      </c>
      <c r="AL124" s="105">
        <f t="shared" si="334"/>
        <v>-2.1779785379767713E-3</v>
      </c>
      <c r="AM124" s="105">
        <f t="shared" si="334"/>
        <v>0.17590003750473254</v>
      </c>
      <c r="AN124" s="105">
        <f t="shared" si="334"/>
        <v>0.26165003619343075</v>
      </c>
      <c r="AO124" s="105">
        <f t="shared" si="334"/>
        <v>3.4080003976822093E-2</v>
      </c>
      <c r="AP124" s="105">
        <f t="shared" si="334"/>
        <v>-3.2999999999998586E-3</v>
      </c>
      <c r="AQ124" s="105">
        <f t="shared" si="334"/>
        <v>-0.1696999999999993</v>
      </c>
      <c r="AR124" s="105">
        <f t="shared" si="334"/>
        <v>-4.4800000000000395E-2</v>
      </c>
      <c r="AS124" s="105">
        <f t="shared" si="334"/>
        <v>2.8863000000000012</v>
      </c>
      <c r="AT124" s="105">
        <f t="shared" si="334"/>
        <v>10.700199999999999</v>
      </c>
      <c r="AU124" s="105">
        <f t="shared" si="334"/>
        <v>26.99629999999997</v>
      </c>
      <c r="AV124" s="105">
        <f t="shared" si="334"/>
        <v>-31.25600000000005</v>
      </c>
      <c r="AW124" s="105">
        <f t="shared" si="334"/>
        <v>-26.999000000000006</v>
      </c>
      <c r="AX124" s="105">
        <f t="shared" si="334"/>
        <v>-61.271200000000007</v>
      </c>
      <c r="AY124" s="105">
        <f t="shared" si="334"/>
        <v>-49.522600000000054</v>
      </c>
      <c r="AZ124" s="105">
        <f t="shared" si="334"/>
        <v>-75.175699999999949</v>
      </c>
      <c r="BA124" s="105">
        <f t="shared" si="334"/>
        <v>-265.67599999999987</v>
      </c>
      <c r="BB124" s="105">
        <f t="shared" si="334"/>
        <v>-375.50330000000002</v>
      </c>
      <c r="BC124" s="105">
        <f ca="1">+BC125-BC131+BC132+BC135</f>
        <v>-506.74352176982416</v>
      </c>
      <c r="BD124" s="105">
        <f ca="1">+BD125-BD131+BD132+BD135</f>
        <v>-465.85564773199212</v>
      </c>
      <c r="BE124" s="105">
        <f ca="1">+BE125-BE131+BE132+BE135</f>
        <v>-568.17063007580271</v>
      </c>
      <c r="BF124" s="105">
        <f t="shared" ref="BF124:BQ124" si="335">+BF125-BF131+BF132+BF135</f>
        <v>609.69979499999965</v>
      </c>
      <c r="BG124" s="105">
        <f t="shared" si="335"/>
        <v>896.8612125000011</v>
      </c>
      <c r="BH124" s="105">
        <f t="shared" si="335"/>
        <v>897.41397749999987</v>
      </c>
      <c r="BI124" s="105">
        <f t="shared" si="335"/>
        <v>307.61372249999999</v>
      </c>
      <c r="BJ124" s="105">
        <f t="shared" si="335"/>
        <v>1798.4209274999998</v>
      </c>
      <c r="BK124" s="105">
        <f t="shared" si="335"/>
        <v>1192.0377225000011</v>
      </c>
      <c r="BL124" s="105">
        <f t="shared" si="335"/>
        <v>448.84518000000025</v>
      </c>
      <c r="BM124" s="105">
        <f t="shared" si="335"/>
        <v>-541.43331750000027</v>
      </c>
      <c r="BN124" s="105">
        <f t="shared" si="335"/>
        <v>-1148.3692875000002</v>
      </c>
      <c r="BO124" s="105">
        <f t="shared" si="335"/>
        <v>-2233.7233649999994</v>
      </c>
      <c r="BP124" s="105">
        <f t="shared" si="335"/>
        <v>-1549.6000000000013</v>
      </c>
      <c r="BQ124" s="105">
        <f t="shared" si="335"/>
        <v>-12.767000000001531</v>
      </c>
      <c r="BR124" s="105">
        <f t="shared" ref="BR124:CB124" si="336">+BR125-BR131+BR132+BR135</f>
        <v>-887.0340000000017</v>
      </c>
      <c r="BS124" s="105">
        <f t="shared" si="336"/>
        <v>-3367.7400000000007</v>
      </c>
      <c r="BT124" s="105">
        <f t="shared" si="336"/>
        <v>3265.8300000000017</v>
      </c>
      <c r="BU124" s="105">
        <f t="shared" ca="1" si="336"/>
        <v>7093.1846053310055</v>
      </c>
      <c r="BV124" s="105">
        <f t="shared" ca="1" si="336"/>
        <v>6267.333812219882</v>
      </c>
      <c r="BW124" s="105">
        <f t="shared" ca="1" si="336"/>
        <v>5148.1489113072093</v>
      </c>
      <c r="BX124" s="105">
        <f t="shared" ca="1" si="336"/>
        <v>3999.7434510140306</v>
      </c>
      <c r="BY124" s="105">
        <f t="shared" ca="1" si="336"/>
        <v>3644.2003836184608</v>
      </c>
      <c r="BZ124" s="105">
        <f t="shared" ca="1" si="336"/>
        <v>2991.3140302402066</v>
      </c>
      <c r="CA124" s="105">
        <f t="shared" ca="1" si="336"/>
        <v>2018.5274373405091</v>
      </c>
      <c r="CB124" s="105">
        <f t="shared" ca="1" si="336"/>
        <v>633.94923333745055</v>
      </c>
      <c r="CC124" s="105">
        <f ca="1">+CC125-CC131+CC132+CC135</f>
        <v>-1288.8220324100798</v>
      </c>
      <c r="CD124" s="105">
        <f ca="1">+CD125-CD131+CD132+CD135</f>
        <v>-3919.1272722664075</v>
      </c>
      <c r="CE124" s="105">
        <f ca="1">+CE125-CE131+CE132+CE135</f>
        <v>-7483.5024606100978</v>
      </c>
      <c r="CF124" s="105">
        <f ca="1">+CF125-CF131+CF132+CF135</f>
        <v>-12282.964715248854</v>
      </c>
      <c r="CG124" s="105">
        <f ca="1">+CG125-CG131+CG132+CG135</f>
        <v>-18712.26558163283</v>
      </c>
      <c r="CH124" s="100"/>
      <c r="CI124" s="105">
        <f t="shared" si="314"/>
        <v>0</v>
      </c>
      <c r="CJ124" s="105">
        <f t="shared" ref="CJ124:CU125" si="337">BR124-DB124</f>
        <v>0</v>
      </c>
      <c r="CK124" s="105">
        <f t="shared" si="337"/>
        <v>0</v>
      </c>
      <c r="CL124" s="105">
        <f t="shared" si="337"/>
        <v>0</v>
      </c>
      <c r="CM124" s="105">
        <f t="shared" ca="1" si="337"/>
        <v>3330.1426015024645</v>
      </c>
      <c r="CN124" s="105">
        <f t="shared" ca="1" si="337"/>
        <v>2722.5845477351595</v>
      </c>
      <c r="CO124" s="105">
        <f t="shared" ca="1" si="337"/>
        <v>2147.3249757040603</v>
      </c>
      <c r="CP124" s="105">
        <f t="shared" ca="1" si="337"/>
        <v>1639.1063948534638</v>
      </c>
      <c r="CQ124" s="105">
        <f t="shared" ca="1" si="337"/>
        <v>1174.3991271653176</v>
      </c>
      <c r="CR124" s="105">
        <f t="shared" ca="1" si="337"/>
        <v>-834.51751429533169</v>
      </c>
      <c r="CS124" s="105">
        <f t="shared" ca="1" si="337"/>
        <v>-1574.2690878729718</v>
      </c>
      <c r="CT124" s="105">
        <f t="shared" ca="1" si="337"/>
        <v>-2325.4959960545443</v>
      </c>
      <c r="CU124" s="105">
        <f t="shared" ca="1" si="337"/>
        <v>-3105.8992168686909</v>
      </c>
      <c r="CV124" s="105">
        <f t="shared" ca="1" si="327"/>
        <v>-3914.7808165401052</v>
      </c>
      <c r="CW124" s="105">
        <f t="shared" ca="1" si="328"/>
        <v>-4749.7512729490027</v>
      </c>
      <c r="CX124" s="105">
        <f t="shared" ca="1" si="329"/>
        <v>-5595.2208189709681</v>
      </c>
      <c r="CY124" s="105">
        <f t="shared" ca="1" si="330"/>
        <v>-6427.2191972553337</v>
      </c>
      <c r="CZ124" s="169"/>
      <c r="DA124" s="387">
        <v>-12.767000000001531</v>
      </c>
      <c r="DB124" s="387">
        <v>-887.0340000000017</v>
      </c>
      <c r="DC124" s="387">
        <v>-3367.7400000000007</v>
      </c>
      <c r="DD124" s="387">
        <v>3265.8300000000017</v>
      </c>
      <c r="DE124" s="387">
        <v>3763.0420038285411</v>
      </c>
      <c r="DF124" s="387">
        <v>3544.7492644847225</v>
      </c>
      <c r="DG124" s="387">
        <v>3000.823935603149</v>
      </c>
      <c r="DH124" s="387">
        <v>2360.6370561605668</v>
      </c>
      <c r="DI124" s="387">
        <v>2469.8012564531432</v>
      </c>
      <c r="DJ124" s="387">
        <v>3825.8315445355383</v>
      </c>
      <c r="DK124" s="387">
        <v>3592.7965252134809</v>
      </c>
      <c r="DL124" s="387">
        <v>2959.4452293919949</v>
      </c>
      <c r="DM124" s="387">
        <v>1817.0771844586111</v>
      </c>
      <c r="DN124" s="387">
        <v>-4.346455726302338</v>
      </c>
      <c r="DO124" s="387">
        <v>-2733.7511876610947</v>
      </c>
      <c r="DP124" s="387">
        <v>-6687.7438962778861</v>
      </c>
      <c r="DQ124" s="387">
        <v>-12285.046384377496</v>
      </c>
    </row>
    <row r="125" spans="1:121" s="123" customFormat="1">
      <c r="A125" s="107" t="s">
        <v>1929</v>
      </c>
      <c r="B125" s="107"/>
      <c r="C125" s="136" t="s">
        <v>1579</v>
      </c>
      <c r="D125" s="147"/>
      <c r="E125" s="107"/>
      <c r="F125" s="434">
        <f>+mamiabc!F19</f>
        <v>6.2299999999999994E-2</v>
      </c>
      <c r="G125" s="232">
        <f>+mamiabc!G19</f>
        <v>5.7500000000000002E-2</v>
      </c>
      <c r="H125" s="232">
        <f>+mamiabc!H19</f>
        <v>6.9500000000000006E-2</v>
      </c>
      <c r="I125" s="232">
        <f>+mamiabc!I19</f>
        <v>7.8E-2</v>
      </c>
      <c r="J125" s="232">
        <f>+mamiabc!J19</f>
        <v>7.3099998474121089E-2</v>
      </c>
      <c r="K125" s="232">
        <f>+mamiabc!K19</f>
        <v>0.09</v>
      </c>
      <c r="L125" s="232">
        <f>+mamiabc!L19</f>
        <v>9.8099998474121097E-2</v>
      </c>
      <c r="M125" s="232">
        <f>+mamiabc!M19</f>
        <v>9.4400001525878907E-2</v>
      </c>
      <c r="N125" s="232">
        <f>+mamiabc!N19</f>
        <v>9.5300003051757814E-2</v>
      </c>
      <c r="O125" s="232">
        <f>+mamiabc!O19</f>
        <v>0.1045</v>
      </c>
      <c r="P125" s="232">
        <f>+mamiabc!P19</f>
        <v>0.10880000305175781</v>
      </c>
      <c r="Q125" s="232">
        <f>+mamiabc!Q19</f>
        <v>0.13219999694824219</v>
      </c>
      <c r="R125" s="232">
        <f>+mamiabc!R19</f>
        <v>0.19550000000000001</v>
      </c>
      <c r="S125" s="232">
        <f>+mamiabc!S19</f>
        <v>0.22380000305175782</v>
      </c>
      <c r="T125" s="232">
        <f>+mamiabc!T19</f>
        <v>0.24519999694824218</v>
      </c>
      <c r="U125" s="232">
        <f>+mamiabc!U19</f>
        <v>0.27970001220703122</v>
      </c>
      <c r="V125" s="232">
        <f>+mamiabc!V19</f>
        <v>0.29360000610351561</v>
      </c>
      <c r="W125" s="232">
        <f>+mamiabc!W19</f>
        <v>0.34010000610351565</v>
      </c>
      <c r="X125" s="232">
        <f>+mamiabc!X19</f>
        <v>0.36420001220703124</v>
      </c>
      <c r="Y125" s="232">
        <f>+mamiabc!Y19</f>
        <v>0.36049999999999999</v>
      </c>
      <c r="Z125" s="232">
        <f>+mamiabc!Z19</f>
        <v>0.54340002441406254</v>
      </c>
      <c r="AA125" s="232">
        <f>+mamiabc!AA19</f>
        <v>0.57770001220703127</v>
      </c>
      <c r="AB125" s="232">
        <f>+mamiabc!AB19</f>
        <v>0.61790002441406255</v>
      </c>
      <c r="AC125" s="232">
        <f>+mamiabc!AC19</f>
        <v>0.70720001220703121</v>
      </c>
      <c r="AD125" s="232">
        <f>+mamiabc!AD19</f>
        <v>0.81359997558593755</v>
      </c>
      <c r="AE125" s="232">
        <f>+mamiabc!AE19</f>
        <v>0.91670001220703123</v>
      </c>
      <c r="AF125" s="232">
        <f>+mamiabc!AF19</f>
        <v>1.094199951171875</v>
      </c>
      <c r="AG125" s="232">
        <f>+mamiabc!AG19</f>
        <v>1.0097999877929686</v>
      </c>
      <c r="AH125" s="232">
        <f>+mamiabc!AH19</f>
        <v>0.90949999999999998</v>
      </c>
      <c r="AI125" s="232">
        <f>+mamiabc!AI19</f>
        <v>0.77429998779296871</v>
      </c>
      <c r="AJ125" s="232">
        <f>+mamiabc!AJ19</f>
        <v>0.7605999755859375</v>
      </c>
      <c r="AK125" s="232">
        <f>+mamiabc!AK19</f>
        <v>0.67140002441406255</v>
      </c>
      <c r="AL125" s="232">
        <f>+mamiabc!AL19</f>
        <v>0.63870001220703121</v>
      </c>
      <c r="AM125" s="232">
        <f>+mamiabc!AM19</f>
        <v>0.6932000122070312</v>
      </c>
      <c r="AN125" s="232">
        <f>+mamiabc!AN19</f>
        <v>0.77120001220703127</v>
      </c>
      <c r="AO125" s="232">
        <f>+mamiabc!AO19</f>
        <v>1.0049999999999999</v>
      </c>
      <c r="AP125" s="232">
        <f>+mamiabc!AP19</f>
        <v>0.86860000000000004</v>
      </c>
      <c r="AQ125" s="232">
        <f>+mamiabc!AQ19</f>
        <v>0.6573</v>
      </c>
      <c r="AR125" s="232">
        <f>+mamiabc!AR19</f>
        <v>0.64910000000000001</v>
      </c>
      <c r="AS125" s="232">
        <f>+mamiabc!AS19</f>
        <v>14.860100000000001</v>
      </c>
      <c r="AT125" s="232">
        <f>+mamiabc!AT19</f>
        <v>75.662499999999994</v>
      </c>
      <c r="AU125" s="232">
        <f>+mamiabc!AU19</f>
        <v>229.46979999999999</v>
      </c>
      <c r="AV125" s="232">
        <f>+mamiabc!AV19</f>
        <v>193.32489999999999</v>
      </c>
      <c r="AW125" s="232">
        <f>+mamiabc!AW19</f>
        <v>195.34870000000001</v>
      </c>
      <c r="AX125" s="232">
        <f>+mamiabc!AX19</f>
        <v>167.04259999999999</v>
      </c>
      <c r="AY125" s="232">
        <f>+mamiabc!AY19</f>
        <v>364.19880000000001</v>
      </c>
      <c r="AZ125" s="232">
        <f>+mamiabc!AZ19</f>
        <v>641.01930000000004</v>
      </c>
      <c r="BA125" s="232">
        <f>+mamiabc!BA19</f>
        <v>1073.796</v>
      </c>
      <c r="BB125" s="232">
        <f>+mamiabc!BB19</f>
        <v>940.54</v>
      </c>
      <c r="BC125" s="232">
        <f>+mamiabc!BC19</f>
        <v>1437.434</v>
      </c>
      <c r="BD125" s="232">
        <f>+mamiabc!BD19</f>
        <v>2134.1759999999999</v>
      </c>
      <c r="BE125" s="232">
        <f>+mamiabc!BE19</f>
        <v>2322.9472824735726</v>
      </c>
      <c r="BF125" s="108">
        <f>(SOURCE!BF214+SOURCE!BF217)*BF196</f>
        <v>3900.0334575000002</v>
      </c>
      <c r="BG125" s="108">
        <f>(SOURCE!BG214+SOURCE!BG217)*BG196</f>
        <v>4456.3914300000006</v>
      </c>
      <c r="BH125" s="108">
        <f>(SOURCE!BH214+SOURCE!BH217)*BH196</f>
        <v>5604.2079525000008</v>
      </c>
      <c r="BI125" s="108">
        <f>(SOURCE!BI214+SOURCE!BI217)*BI196</f>
        <v>4666.7185125000005</v>
      </c>
      <c r="BJ125" s="108">
        <f>(SOURCE!BJ214+SOURCE!BJ217)*BJ196</f>
        <v>6427.2750375000005</v>
      </c>
      <c r="BK125" s="108">
        <f>(SOURCE!BK214+SOURCE!BK217)*BK196</f>
        <v>7870.5444525000012</v>
      </c>
      <c r="BL125" s="108">
        <f>(SOURCE!BL214+SOURCE!BL217)*BL196</f>
        <v>7947.3787875000007</v>
      </c>
      <c r="BM125" s="108">
        <f>(SOURCE!BM214+SOURCE!BM217)*BM196</f>
        <v>7171.2967275000001</v>
      </c>
      <c r="BN125" s="108">
        <f>(SOURCE!BN214+SOURCE!BN217)*BN196</f>
        <v>6511.5717000000004</v>
      </c>
      <c r="BO125" s="108">
        <f>(SOURCE!BO214+SOURCE!BO217)*BO196</f>
        <v>5131.0411125000001</v>
      </c>
      <c r="BP125" s="108">
        <f>(SOURCE!BP214+SOURCE!BP217)*BP196</f>
        <v>10554.699999999999</v>
      </c>
      <c r="BQ125" s="108">
        <f>(SOURCE!BQ214+SOURCE!BQ217)*BQ196</f>
        <v>16485.200999999997</v>
      </c>
      <c r="BR125" s="108">
        <f>(SOURCE!BR214+SOURCE!BR217)*BR196</f>
        <v>17327.282999999999</v>
      </c>
      <c r="BS125" s="108">
        <f>(SOURCE!BS214+SOURCE!BS217)*BS196</f>
        <v>19461.879999999997</v>
      </c>
      <c r="BT125" s="108">
        <f>(SOURCE!BT214+SOURCE!BT217)*BT196</f>
        <v>31964</v>
      </c>
      <c r="BU125" s="123">
        <f t="shared" ref="BU125:CB125" ca="1" si="338">BU126+BU130</f>
        <v>56029.282293670665</v>
      </c>
      <c r="BV125" s="123">
        <f t="shared" ca="1" si="338"/>
        <v>58202.495648038814</v>
      </c>
      <c r="BW125" s="123">
        <f t="shared" ca="1" si="338"/>
        <v>60292.806468356619</v>
      </c>
      <c r="BX125" s="123">
        <f t="shared" ca="1" si="338"/>
        <v>62455.400012786282</v>
      </c>
      <c r="BY125" s="123">
        <f t="shared" ca="1" si="338"/>
        <v>65655.235390161295</v>
      </c>
      <c r="BZ125" s="123">
        <f t="shared" ca="1" si="338"/>
        <v>69026.725193124599</v>
      </c>
      <c r="CA125" s="123">
        <f t="shared" ca="1" si="338"/>
        <v>72579.568500575289</v>
      </c>
      <c r="CB125" s="123">
        <f t="shared" ca="1" si="338"/>
        <v>76326.073325396152</v>
      </c>
      <c r="CC125" s="123">
        <f ca="1">CC126+CC130</f>
        <v>80280.106626297187</v>
      </c>
      <c r="CD125" s="123">
        <f ca="1">CD126+CD130</f>
        <v>84457.829058024683</v>
      </c>
      <c r="CE125" s="123">
        <f ca="1">CE126+CE130</f>
        <v>88878.458355401701</v>
      </c>
      <c r="CF125" s="123">
        <f ca="1">CF126+CF130</f>
        <v>93565.386515596678</v>
      </c>
      <c r="CG125" s="123">
        <f ca="1">CG126+CG130</f>
        <v>98547.80556063095</v>
      </c>
      <c r="CH125" s="141"/>
      <c r="CI125" s="106">
        <f t="shared" si="314"/>
        <v>0</v>
      </c>
      <c r="CJ125" s="106">
        <f t="shared" si="337"/>
        <v>0</v>
      </c>
      <c r="CK125" s="106">
        <f t="shared" si="337"/>
        <v>0</v>
      </c>
      <c r="CL125" s="106">
        <f t="shared" si="337"/>
        <v>0</v>
      </c>
      <c r="CM125" s="106">
        <f t="shared" ca="1" si="337"/>
        <v>6970.5898052500997</v>
      </c>
      <c r="CN125" s="106">
        <f t="shared" ca="1" si="337"/>
        <v>6255.14453613558</v>
      </c>
      <c r="CO125" s="106">
        <f t="shared" ca="1" si="337"/>
        <v>5411.0723379541087</v>
      </c>
      <c r="CP125" s="106">
        <f t="shared" ca="1" si="337"/>
        <v>4470.0014260891621</v>
      </c>
      <c r="CQ125" s="106">
        <f t="shared" ca="1" si="337"/>
        <v>3479.7480932629187</v>
      </c>
      <c r="CR125" s="106">
        <f t="shared" ca="1" si="337"/>
        <v>2349.1524523230037</v>
      </c>
      <c r="CS125" s="106">
        <f t="shared" ca="1" si="337"/>
        <v>1069.0275373215554</v>
      </c>
      <c r="CT125" s="106">
        <f t="shared" ca="1" si="337"/>
        <v>-375.72203796151734</v>
      </c>
      <c r="CU125" s="106">
        <f t="shared" ca="1" si="337"/>
        <v>-2009.358028338218</v>
      </c>
      <c r="CV125" s="106">
        <f t="shared" ca="1" si="327"/>
        <v>-3850.1787031254498</v>
      </c>
      <c r="CW125" s="106">
        <f t="shared" ca="1" si="328"/>
        <v>-5919.9164504533692</v>
      </c>
      <c r="CX125" s="106">
        <f t="shared" ca="1" si="329"/>
        <v>-8244.1731985979713</v>
      </c>
      <c r="CY125" s="106">
        <f t="shared" ca="1" si="330"/>
        <v>-10853.150212763023</v>
      </c>
      <c r="CZ125" s="134"/>
      <c r="DA125" s="135">
        <v>16485.200999999997</v>
      </c>
      <c r="DB125" s="135">
        <v>17327.282999999999</v>
      </c>
      <c r="DC125" s="135">
        <v>19461.879999999997</v>
      </c>
      <c r="DD125" s="135">
        <v>31964</v>
      </c>
      <c r="DE125" s="135">
        <v>49058.692488420565</v>
      </c>
      <c r="DF125" s="135">
        <v>51947.351111903234</v>
      </c>
      <c r="DG125" s="135">
        <v>54881.73413040251</v>
      </c>
      <c r="DH125" s="135">
        <v>57985.39858669712</v>
      </c>
      <c r="DI125" s="135">
        <v>62175.487296898376</v>
      </c>
      <c r="DJ125" s="135">
        <v>66677.572740801596</v>
      </c>
      <c r="DK125" s="135">
        <v>71510.540963253734</v>
      </c>
      <c r="DL125" s="135">
        <v>76701.795363357669</v>
      </c>
      <c r="DM125" s="135">
        <v>82289.464654635405</v>
      </c>
      <c r="DN125" s="135">
        <v>88308.007761150133</v>
      </c>
      <c r="DO125" s="135">
        <v>94798.37480585507</v>
      </c>
      <c r="DP125" s="135">
        <v>101809.55971419465</v>
      </c>
      <c r="DQ125" s="135">
        <v>109400.95577339397</v>
      </c>
    </row>
    <row r="126" spans="1:121" s="123" customFormat="1">
      <c r="A126" s="191" t="s">
        <v>2393</v>
      </c>
      <c r="B126" s="107"/>
      <c r="C126" s="136" t="s">
        <v>1579</v>
      </c>
      <c r="D126" s="147"/>
      <c r="E126" s="107"/>
      <c r="F126" s="432">
        <v>1</v>
      </c>
      <c r="G126" s="432">
        <v>1</v>
      </c>
      <c r="H126" s="432">
        <v>1</v>
      </c>
      <c r="I126" s="432">
        <v>1</v>
      </c>
      <c r="J126" s="432">
        <v>1</v>
      </c>
      <c r="K126" s="432">
        <v>1</v>
      </c>
      <c r="L126" s="432">
        <v>1</v>
      </c>
      <c r="M126" s="432">
        <v>1</v>
      </c>
      <c r="N126" s="432">
        <v>1</v>
      </c>
      <c r="O126" s="432">
        <v>1</v>
      </c>
      <c r="P126" s="432">
        <v>1</v>
      </c>
      <c r="Q126" s="432">
        <v>1</v>
      </c>
      <c r="R126" s="432">
        <v>1</v>
      </c>
      <c r="S126" s="432">
        <v>1</v>
      </c>
      <c r="T126" s="432">
        <v>1</v>
      </c>
      <c r="U126" s="432">
        <v>1</v>
      </c>
      <c r="V126" s="432">
        <v>1</v>
      </c>
      <c r="W126" s="432">
        <v>1</v>
      </c>
      <c r="X126" s="432">
        <v>1</v>
      </c>
      <c r="Y126" s="432">
        <v>1</v>
      </c>
      <c r="Z126" s="432">
        <v>1</v>
      </c>
      <c r="AA126" s="432">
        <v>1</v>
      </c>
      <c r="AB126" s="432">
        <v>1</v>
      </c>
      <c r="AC126" s="432">
        <v>1</v>
      </c>
      <c r="AD126" s="432">
        <v>1</v>
      </c>
      <c r="AE126" s="432">
        <v>1</v>
      </c>
      <c r="AF126" s="432">
        <v>1</v>
      </c>
      <c r="AG126" s="432">
        <v>1</v>
      </c>
      <c r="AH126" s="432">
        <v>1</v>
      </c>
      <c r="AI126" s="432">
        <v>1</v>
      </c>
      <c r="AJ126" s="432">
        <v>1</v>
      </c>
      <c r="AK126" s="432">
        <v>1</v>
      </c>
      <c r="AL126" s="432">
        <v>1</v>
      </c>
      <c r="AM126" s="432">
        <v>1</v>
      </c>
      <c r="AN126" s="432">
        <v>1</v>
      </c>
      <c r="AO126" s="432">
        <v>1</v>
      </c>
      <c r="AP126" s="432">
        <v>1</v>
      </c>
      <c r="AQ126" s="432">
        <v>1</v>
      </c>
      <c r="AR126" s="432">
        <v>1</v>
      </c>
      <c r="AS126" s="432">
        <v>1</v>
      </c>
      <c r="AT126" s="432">
        <v>1</v>
      </c>
      <c r="AU126" s="432">
        <v>1</v>
      </c>
      <c r="AV126" s="432">
        <v>1</v>
      </c>
      <c r="AW126" s="144">
        <f>SOURCE!AW293*AW196</f>
        <v>18.984857250000001</v>
      </c>
      <c r="AX126" s="144">
        <f>SOURCE!AX293*AX196</f>
        <v>26.266130700000001</v>
      </c>
      <c r="AY126" s="144">
        <f>SOURCE!AY293*AY196</f>
        <v>92.324183000000005</v>
      </c>
      <c r="AZ126" s="144">
        <f>SOURCE!AZ293*AZ196</f>
        <v>48.904531200000008</v>
      </c>
      <c r="BA126" s="144">
        <f>SOURCE!BA293*BA196</f>
        <v>108.30751165000001</v>
      </c>
      <c r="BB126" s="144">
        <f>SOURCE!BB293*BB196</f>
        <v>61.954368000000002</v>
      </c>
      <c r="BC126" s="144">
        <f>SOURCE!BC293*BC196</f>
        <v>341.87465224999994</v>
      </c>
      <c r="BD126" s="144">
        <f>SOURCE!BD293*BD196</f>
        <v>727.71512250000012</v>
      </c>
      <c r="BE126" s="144">
        <f>SOURCE!BE293*BE196</f>
        <v>799.57457250000004</v>
      </c>
      <c r="BF126" s="144">
        <f>SOURCE!BF293*BF196</f>
        <v>1113.8214750000002</v>
      </c>
      <c r="BG126" s="144">
        <f>SOURCE!BG293*BG196</f>
        <v>1333.26918</v>
      </c>
      <c r="BH126" s="144">
        <f>SOURCE!BH293*BH196</f>
        <v>1977.5167875000002</v>
      </c>
      <c r="BI126" s="144">
        <f>SOURCE!BI293*BI196</f>
        <v>2409.7790175</v>
      </c>
      <c r="BJ126" s="144">
        <f>SOURCE!BJ293*BJ196</f>
        <v>3205.2078525000002</v>
      </c>
      <c r="BK126" s="144">
        <f>SOURCE!BK293*BK196</f>
        <v>4183.3255200000003</v>
      </c>
      <c r="BL126" s="144">
        <f>SOURCE!BL293*BL196</f>
        <v>5150</v>
      </c>
      <c r="BM126" s="144">
        <f>SOURCE!BM293*BM196</f>
        <v>4197</v>
      </c>
      <c r="BN126" s="144">
        <f>SOURCE!BN293*BN196</f>
        <v>3486</v>
      </c>
      <c r="BO126" s="144">
        <f>SOURCE!BO293*BO196</f>
        <v>3239</v>
      </c>
      <c r="BP126" s="109">
        <f t="shared" ref="BP126:BZ126" si="339">BO126*(BP129/BO129)*(BP127/BO127)</f>
        <v>7436.5459999999994</v>
      </c>
      <c r="BQ126" s="109">
        <f t="shared" si="339"/>
        <v>12365.782943749997</v>
      </c>
      <c r="BR126" s="109">
        <f t="shared" si="339"/>
        <v>12998.064425984996</v>
      </c>
      <c r="BS126" s="109">
        <f t="shared" si="339"/>
        <v>16583.570611999996</v>
      </c>
      <c r="BT126" s="109">
        <f t="shared" si="339"/>
        <v>28972.277922589994</v>
      </c>
      <c r="BU126" s="109">
        <f t="shared" si="339"/>
        <v>48116.61416952384</v>
      </c>
      <c r="BV126" s="109">
        <f t="shared" si="339"/>
        <v>49771.973938128773</v>
      </c>
      <c r="BW126" s="109">
        <f t="shared" si="339"/>
        <v>51377.907628866611</v>
      </c>
      <c r="BX126" s="109">
        <f t="shared" si="339"/>
        <v>53060.943777459499</v>
      </c>
      <c r="BY126" s="109">
        <f t="shared" si="339"/>
        <v>55745.827532598953</v>
      </c>
      <c r="BZ126" s="109">
        <f t="shared" si="339"/>
        <v>58566.566405748461</v>
      </c>
      <c r="CA126" s="109">
        <f t="shared" ref="CA126:CG126" si="340">BZ126*(CA129/BZ129)*(CA127/BZ127)</f>
        <v>61530.034665879335</v>
      </c>
      <c r="CB126" s="109">
        <f t="shared" si="340"/>
        <v>64643.454419972826</v>
      </c>
      <c r="CC126" s="109">
        <f t="shared" si="340"/>
        <v>67914.413213623455</v>
      </c>
      <c r="CD126" s="109">
        <f t="shared" si="340"/>
        <v>71350.882522232801</v>
      </c>
      <c r="CE126" s="109">
        <f t="shared" si="340"/>
        <v>74961.237177857794</v>
      </c>
      <c r="CF126" s="109">
        <f t="shared" si="340"/>
        <v>78754.275779057396</v>
      </c>
      <c r="CG126" s="109">
        <f t="shared" si="340"/>
        <v>82739.242133477703</v>
      </c>
      <c r="CH126" s="141"/>
      <c r="CI126" s="106">
        <f t="shared" si="314"/>
        <v>0</v>
      </c>
      <c r="CJ126" s="106">
        <f t="shared" si="315"/>
        <v>0</v>
      </c>
      <c r="CK126" s="106">
        <f t="shared" si="316"/>
        <v>0</v>
      </c>
      <c r="CL126" s="106">
        <f t="shared" si="317"/>
        <v>0</v>
      </c>
      <c r="CM126" s="106">
        <f t="shared" si="318"/>
        <v>6014.5767711904846</v>
      </c>
      <c r="CN126" s="106">
        <f t="shared" si="319"/>
        <v>5350.4871983488483</v>
      </c>
      <c r="CO126" s="106">
        <f t="shared" si="320"/>
        <v>4606.0294189278866</v>
      </c>
      <c r="CP126" s="106">
        <f t="shared" si="321"/>
        <v>3790.8330062930254</v>
      </c>
      <c r="CQ126" s="106">
        <f t="shared" si="322"/>
        <v>2947.3855888877079</v>
      </c>
      <c r="CR126" s="106">
        <f t="shared" si="323"/>
        <v>1987.1224375641614</v>
      </c>
      <c r="CS126" s="106">
        <f t="shared" si="324"/>
        <v>898.82355624541378</v>
      </c>
      <c r="CT126" s="106">
        <f t="shared" si="325"/>
        <v>-329.67897964420263</v>
      </c>
      <c r="CU126" s="106">
        <f t="shared" si="326"/>
        <v>-1711.5762150069495</v>
      </c>
      <c r="CV126" s="106">
        <f t="shared" si="327"/>
        <v>-3261.1632613607071</v>
      </c>
      <c r="CW126" s="106">
        <f t="shared" si="328"/>
        <v>-4993.926428390434</v>
      </c>
      <c r="CX126" s="106">
        <f t="shared" si="329"/>
        <v>-6926.6370033614949</v>
      </c>
      <c r="CY126" s="106">
        <f t="shared" si="330"/>
        <v>-9077.4521751157736</v>
      </c>
      <c r="CZ126" s="134"/>
      <c r="DA126" s="135">
        <v>12365.782943749997</v>
      </c>
      <c r="DB126" s="135">
        <v>12998.064425984996</v>
      </c>
      <c r="DC126" s="135">
        <v>16583.570611999996</v>
      </c>
      <c r="DD126" s="135">
        <v>28972.277922589994</v>
      </c>
      <c r="DE126" s="135">
        <v>42102.037398333356</v>
      </c>
      <c r="DF126" s="135">
        <v>44421.486739779924</v>
      </c>
      <c r="DG126" s="135">
        <v>46771.878209938724</v>
      </c>
      <c r="DH126" s="135">
        <v>49270.110771166474</v>
      </c>
      <c r="DI126" s="135">
        <v>52798.441943711245</v>
      </c>
      <c r="DJ126" s="135">
        <v>56579.4439681843</v>
      </c>
      <c r="DK126" s="135">
        <v>60631.211109633921</v>
      </c>
      <c r="DL126" s="135">
        <v>64973.133399617029</v>
      </c>
      <c r="DM126" s="135">
        <v>69625.989428630404</v>
      </c>
      <c r="DN126" s="135">
        <v>74612.045783593509</v>
      </c>
      <c r="DO126" s="135">
        <v>79955.163606248228</v>
      </c>
      <c r="DP126" s="135">
        <v>85680.912782418891</v>
      </c>
      <c r="DQ126" s="135">
        <v>91816.694308593476</v>
      </c>
    </row>
    <row r="127" spans="1:121" s="123" customFormat="1">
      <c r="A127" s="192" t="s">
        <v>2394</v>
      </c>
      <c r="B127" s="107"/>
      <c r="C127" s="136" t="s">
        <v>2395</v>
      </c>
      <c r="D127" s="14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6"/>
      <c r="AV127" s="114">
        <f t="shared" ref="AV127:BC127" si="341">AV126/AV129*1000</f>
        <v>6.3801473259450745</v>
      </c>
      <c r="AW127" s="114">
        <f t="shared" si="341"/>
        <v>149.46962391513983</v>
      </c>
      <c r="AX127" s="114">
        <f t="shared" si="341"/>
        <v>206.12244897959184</v>
      </c>
      <c r="AY127" s="114">
        <f t="shared" si="341"/>
        <v>351.25448028673839</v>
      </c>
      <c r="AZ127" s="114">
        <f t="shared" si="341"/>
        <v>109.0767432800935</v>
      </c>
      <c r="BA127" s="114">
        <f t="shared" si="341"/>
        <v>182.28782287822878</v>
      </c>
      <c r="BB127" s="114">
        <f t="shared" si="341"/>
        <v>91.746407196358817</v>
      </c>
      <c r="BC127" s="114">
        <f t="shared" si="341"/>
        <v>371.55949913896262</v>
      </c>
      <c r="BD127" s="114">
        <f>BD126/BD129*1000</f>
        <v>639.6521147632584</v>
      </c>
      <c r="BE127" s="114">
        <f>BE126/BE129*1000</f>
        <v>675.60489936811382</v>
      </c>
      <c r="BF127" s="114">
        <f>BF126/BF129*1000</f>
        <v>671.16567670417851</v>
      </c>
      <c r="BG127" s="114">
        <f>BG126/BG129*1000</f>
        <v>687.04218531288268</v>
      </c>
      <c r="BH127" s="114">
        <f t="shared" ref="BH127:BO127" si="342">BH126/BH129*1000</f>
        <v>820.80991166685794</v>
      </c>
      <c r="BI127" s="114">
        <f t="shared" si="342"/>
        <v>896.09455292908524</v>
      </c>
      <c r="BJ127" s="114">
        <f t="shared" si="342"/>
        <v>946.92577774148765</v>
      </c>
      <c r="BK127" s="114">
        <f t="shared" si="342"/>
        <v>964.56793270456285</v>
      </c>
      <c r="BL127" s="114">
        <f t="shared" si="342"/>
        <v>1116.1183920633882</v>
      </c>
      <c r="BM127" s="114">
        <f t="shared" si="342"/>
        <v>1075.839649253204</v>
      </c>
      <c r="BN127" s="114">
        <f t="shared" si="342"/>
        <v>996.59883630876107</v>
      </c>
      <c r="BO127" s="114">
        <f t="shared" si="342"/>
        <v>1010.2292874918069</v>
      </c>
      <c r="BP127" s="110">
        <f>+Assumptions!BP13</f>
        <v>916</v>
      </c>
      <c r="BQ127" s="110">
        <f>+Assumptions!BQ13</f>
        <v>1317.2604999999999</v>
      </c>
      <c r="BR127" s="110">
        <f>+Assumptions!BR13</f>
        <v>1360.2604999999999</v>
      </c>
      <c r="BS127" s="110">
        <f>+Assumptions!BS13</f>
        <v>1444.5619000000002</v>
      </c>
      <c r="BT127" s="110">
        <f>+Assumptions!BT13</f>
        <v>1444.5619000000002</v>
      </c>
      <c r="BU127" s="110">
        <f>+Assumptions!BU13</f>
        <v>1473.4531380000001</v>
      </c>
      <c r="BV127" s="110">
        <f>+Assumptions!BV13</f>
        <v>1502.9222007600001</v>
      </c>
      <c r="BW127" s="110">
        <f>+Assumptions!BW13</f>
        <v>1532.9806447752001</v>
      </c>
      <c r="BX127" s="110">
        <f>+Assumptions!BX13</f>
        <v>1563.6402576707042</v>
      </c>
      <c r="BY127" s="110">
        <f>+Assumptions!BY13</f>
        <v>1594.9130628241182</v>
      </c>
      <c r="BZ127" s="110">
        <f>+Assumptions!BZ13</f>
        <v>1626.8113240806006</v>
      </c>
      <c r="CA127" s="110">
        <f>+Assumptions!CA13</f>
        <v>1659.3475505622125</v>
      </c>
      <c r="CB127" s="110">
        <f>+Assumptions!CB13</f>
        <v>1692.5345015734567</v>
      </c>
      <c r="CC127" s="110">
        <f>+Assumptions!CC13</f>
        <v>1726.3851916049259</v>
      </c>
      <c r="CD127" s="110">
        <f>+Assumptions!CD13</f>
        <v>1760.9128954370244</v>
      </c>
      <c r="CE127" s="110">
        <f>+Assumptions!CE13</f>
        <v>1796.1311533457649</v>
      </c>
      <c r="CF127" s="110">
        <f>+Assumptions!CF13</f>
        <v>1832.0537764126802</v>
      </c>
      <c r="CG127" s="110">
        <f>+Assumptions!CG13</f>
        <v>1868.6948519409339</v>
      </c>
      <c r="CH127" s="141"/>
      <c r="CI127" s="106">
        <f t="shared" si="314"/>
        <v>0</v>
      </c>
      <c r="CJ127" s="106">
        <f t="shared" si="315"/>
        <v>0</v>
      </c>
      <c r="CK127" s="106">
        <f t="shared" si="316"/>
        <v>0</v>
      </c>
      <c r="CL127" s="106">
        <f t="shared" si="317"/>
        <v>0</v>
      </c>
      <c r="CM127" s="159">
        <f t="shared" si="318"/>
        <v>0</v>
      </c>
      <c r="CN127" s="106">
        <f t="shared" si="319"/>
        <v>-30.058444015199939</v>
      </c>
      <c r="CO127" s="106">
        <f t="shared" si="320"/>
        <v>-61.93241804891818</v>
      </c>
      <c r="CP127" s="106">
        <f t="shared" si="321"/>
        <v>-95.707292891508359</v>
      </c>
      <c r="CQ127" s="106">
        <f t="shared" si="322"/>
        <v>-131.47212878080768</v>
      </c>
      <c r="CR127" s="106">
        <f t="shared" si="323"/>
        <v>-169.31982926516434</v>
      </c>
      <c r="CS127" s="106">
        <f t="shared" si="324"/>
        <v>-209.34730137872134</v>
      </c>
      <c r="CT127" s="106">
        <f t="shared" si="325"/>
        <v>-251.65562238589087</v>
      </c>
      <c r="CU127" s="106">
        <f t="shared" si="326"/>
        <v>-296.35021336237924</v>
      </c>
      <c r="CV127" s="106">
        <f t="shared" si="327"/>
        <v>-343.54101989096034</v>
      </c>
      <c r="CW127" s="106">
        <f t="shared" si="328"/>
        <v>-393.3427001614707</v>
      </c>
      <c r="CX127" s="106">
        <f t="shared" si="329"/>
        <v>-445.87482077624782</v>
      </c>
      <c r="CY127" s="106">
        <f t="shared" si="330"/>
        <v>-501.26206057442687</v>
      </c>
      <c r="CZ127" s="134"/>
      <c r="DA127" s="135">
        <v>1317.2604999999999</v>
      </c>
      <c r="DB127" s="135">
        <v>1360.2604999999999</v>
      </c>
      <c r="DC127" s="135">
        <v>1444.5619000000002</v>
      </c>
      <c r="DD127" s="135">
        <v>1444.5619000000002</v>
      </c>
      <c r="DE127" s="135">
        <v>1473.4531380000001</v>
      </c>
      <c r="DF127" s="135">
        <v>1532.9806447752001</v>
      </c>
      <c r="DG127" s="135">
        <v>1594.9130628241182</v>
      </c>
      <c r="DH127" s="135">
        <v>1659.3475505622125</v>
      </c>
      <c r="DI127" s="135">
        <v>1726.3851916049259</v>
      </c>
      <c r="DJ127" s="135">
        <v>1796.1311533457649</v>
      </c>
      <c r="DK127" s="135">
        <v>1868.6948519409339</v>
      </c>
      <c r="DL127" s="135">
        <v>1944.1901239593476</v>
      </c>
      <c r="DM127" s="135">
        <v>2022.7354049673052</v>
      </c>
      <c r="DN127" s="135">
        <v>2104.4539153279848</v>
      </c>
      <c r="DO127" s="135">
        <v>2189.4738535072356</v>
      </c>
      <c r="DP127" s="135">
        <v>2277.9285971889281</v>
      </c>
      <c r="DQ127" s="135">
        <v>2369.9569125153607</v>
      </c>
    </row>
    <row r="128" spans="1:121" s="123" customFormat="1">
      <c r="A128" s="192" t="s">
        <v>838</v>
      </c>
      <c r="B128" s="107"/>
      <c r="C128" s="136" t="s">
        <v>835</v>
      </c>
      <c r="D128" s="14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6"/>
      <c r="AV128" s="144">
        <f>SOURCE!AV315</f>
        <v>387.82</v>
      </c>
      <c r="AW128" s="144">
        <f>SOURCE!AW315</f>
        <v>311.10000000000002</v>
      </c>
      <c r="AX128" s="144">
        <f>SOURCE!AX315</f>
        <v>294</v>
      </c>
      <c r="AY128" s="144">
        <f>SOURCE!AY315</f>
        <v>279</v>
      </c>
      <c r="AZ128" s="144">
        <f>SOURCE!AZ315</f>
        <v>308.04000000000002</v>
      </c>
      <c r="BA128" s="144">
        <f>SOURCE!BA315</f>
        <v>271</v>
      </c>
      <c r="BB128" s="144">
        <f>SOURCE!BB315</f>
        <v>279.02999999999997</v>
      </c>
      <c r="BC128" s="144">
        <f>SOURCE!BC315</f>
        <v>342.61</v>
      </c>
      <c r="BD128" s="144">
        <f>SOURCE!BD315</f>
        <v>411.63</v>
      </c>
      <c r="BE128" s="144">
        <f>SOURCE!BE315</f>
        <v>428.2088544215402</v>
      </c>
      <c r="BF128" s="144">
        <f>SOURCE!BF315</f>
        <v>600.44786851879712</v>
      </c>
      <c r="BG128" s="144">
        <f>SOURCE!BG315</f>
        <v>702.14029110936247</v>
      </c>
      <c r="BH128" s="144">
        <f>SOURCE!BH315</f>
        <v>871.7</v>
      </c>
      <c r="BI128" s="144">
        <f>SOURCE!BI315</f>
        <v>973</v>
      </c>
      <c r="BJ128" s="144">
        <f>SOURCE!BJ315</f>
        <v>1224.7</v>
      </c>
      <c r="BK128" s="144">
        <f>SOURCE!BK315</f>
        <v>1569.2</v>
      </c>
      <c r="BL128" s="144">
        <f>SOURCE!BL315</f>
        <v>1669.5</v>
      </c>
      <c r="BM128" s="144">
        <f>SOURCE!BM315</f>
        <v>1411.5</v>
      </c>
      <c r="BN128" s="144">
        <f>SOURCE!BN315</f>
        <v>1265.5999999999999</v>
      </c>
      <c r="BO128" s="144">
        <f>SOURCE!BO315</f>
        <v>1160.06</v>
      </c>
      <c r="BP128" s="144">
        <f>SOURCE!BP315</f>
        <v>1249</v>
      </c>
      <c r="BQ128" s="144">
        <f>SOURCE!BQ315</f>
        <v>1250</v>
      </c>
      <c r="BR128" s="144">
        <f>SOURCE!BR315</f>
        <v>1269</v>
      </c>
      <c r="BS128" s="144">
        <f>SOURCE!BS315</f>
        <v>1400</v>
      </c>
      <c r="BT128" s="144">
        <f>SOURCE!BT315</f>
        <v>1531</v>
      </c>
      <c r="BU128" s="144">
        <f>SOURCE!BU315</f>
        <v>1558</v>
      </c>
      <c r="BV128" s="144">
        <f>SOURCE!BV315</f>
        <v>1580</v>
      </c>
      <c r="BW128" s="144">
        <f>SOURCE!BW315</f>
        <v>1599</v>
      </c>
      <c r="BX128" s="144">
        <f>SOURCE!BX315</f>
        <v>1619</v>
      </c>
      <c r="BY128" s="144">
        <f>SOURCE!BY315</f>
        <v>1667.57</v>
      </c>
      <c r="BZ128" s="144">
        <f>SOURCE!BZ315</f>
        <v>1717.5971</v>
      </c>
      <c r="CA128" s="144">
        <f>SOURCE!CA315</f>
        <v>1769.1250130000001</v>
      </c>
      <c r="CB128" s="144">
        <f>SOURCE!CB315</f>
        <v>1822.1987633900001</v>
      </c>
      <c r="CC128" s="144">
        <f>SOURCE!CC315</f>
        <v>1876.8647262917002</v>
      </c>
      <c r="CD128" s="144">
        <f>SOURCE!CD315</f>
        <v>1933.1706680804514</v>
      </c>
      <c r="CE128" s="144">
        <f>SOURCE!CE315</f>
        <v>1991.165788122865</v>
      </c>
      <c r="CF128" s="144">
        <f>SOURCE!CF315</f>
        <v>2050.9007617665511</v>
      </c>
      <c r="CG128" s="144">
        <f>SOURCE!CG315</f>
        <v>2112.4277846195478</v>
      </c>
      <c r="CH128" s="141"/>
      <c r="CI128" s="106">
        <f t="shared" si="314"/>
        <v>0</v>
      </c>
      <c r="CJ128" s="106">
        <f t="shared" si="315"/>
        <v>0</v>
      </c>
      <c r="CK128" s="106">
        <f t="shared" si="316"/>
        <v>0</v>
      </c>
      <c r="CL128" s="106">
        <f t="shared" si="317"/>
        <v>0</v>
      </c>
      <c r="CM128" s="106">
        <f t="shared" si="318"/>
        <v>0</v>
      </c>
      <c r="CN128" s="106">
        <f t="shared" si="319"/>
        <v>0</v>
      </c>
      <c r="CO128" s="106">
        <f t="shared" si="320"/>
        <v>0</v>
      </c>
      <c r="CP128" s="106">
        <f t="shared" si="321"/>
        <v>0</v>
      </c>
      <c r="CQ128" s="106">
        <f t="shared" si="322"/>
        <v>0</v>
      </c>
      <c r="CR128" s="106">
        <f t="shared" si="323"/>
        <v>0</v>
      </c>
      <c r="CS128" s="106">
        <f t="shared" si="324"/>
        <v>0</v>
      </c>
      <c r="CT128" s="106">
        <f t="shared" si="325"/>
        <v>0</v>
      </c>
      <c r="CU128" s="106">
        <f t="shared" si="326"/>
        <v>0</v>
      </c>
      <c r="CV128" s="106">
        <f t="shared" si="327"/>
        <v>0</v>
      </c>
      <c r="CW128" s="106">
        <f t="shared" si="328"/>
        <v>0</v>
      </c>
      <c r="CX128" s="106">
        <f t="shared" si="329"/>
        <v>0</v>
      </c>
      <c r="CY128" s="106">
        <f t="shared" si="330"/>
        <v>0</v>
      </c>
      <c r="CZ128" s="134"/>
      <c r="DA128" s="135">
        <v>1250</v>
      </c>
      <c r="DB128" s="135">
        <v>1269</v>
      </c>
      <c r="DC128" s="135">
        <v>1400</v>
      </c>
      <c r="DD128" s="135">
        <v>1531</v>
      </c>
      <c r="DE128" s="135">
        <v>1558</v>
      </c>
      <c r="DF128" s="135">
        <v>1580</v>
      </c>
      <c r="DG128" s="135">
        <v>1599</v>
      </c>
      <c r="DH128" s="135">
        <v>1619</v>
      </c>
      <c r="DI128" s="135">
        <v>1667.57</v>
      </c>
      <c r="DJ128" s="135">
        <v>1717.5971</v>
      </c>
      <c r="DK128" s="135">
        <v>1769.1250130000001</v>
      </c>
      <c r="DL128" s="135">
        <v>1822.1987633900001</v>
      </c>
      <c r="DM128" s="135">
        <v>1876.8647262917002</v>
      </c>
      <c r="DN128" s="135">
        <v>1933.1706680804514</v>
      </c>
      <c r="DO128" s="135">
        <v>1991.165788122865</v>
      </c>
      <c r="DP128" s="135">
        <v>2050.9007617665511</v>
      </c>
      <c r="DQ128" s="135">
        <v>2112.4277846195478</v>
      </c>
    </row>
    <row r="129" spans="1:121" s="123" customFormat="1">
      <c r="A129" s="192" t="s">
        <v>839</v>
      </c>
      <c r="B129" s="107"/>
      <c r="C129" s="136" t="s">
        <v>2396</v>
      </c>
      <c r="D129" s="14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6"/>
      <c r="AV129" s="114">
        <f t="shared" ref="AV129:BZ129" si="343">AV128*AV196</f>
        <v>156.736192585</v>
      </c>
      <c r="AW129" s="114">
        <f t="shared" si="343"/>
        <v>127.01481915000002</v>
      </c>
      <c r="AX129" s="114">
        <f t="shared" si="343"/>
        <v>127.429743</v>
      </c>
      <c r="AY129" s="114">
        <f t="shared" si="343"/>
        <v>262.8412965</v>
      </c>
      <c r="AZ129" s="114">
        <f t="shared" si="343"/>
        <v>448.3497556800001</v>
      </c>
      <c r="BA129" s="114">
        <f t="shared" si="343"/>
        <v>594.15659225000002</v>
      </c>
      <c r="BB129" s="114">
        <f t="shared" si="343"/>
        <v>675.27841027499994</v>
      </c>
      <c r="BC129" s="114">
        <f t="shared" si="343"/>
        <v>920.10742032499991</v>
      </c>
      <c r="BD129" s="114">
        <f t="shared" si="343"/>
        <v>1137.67328475</v>
      </c>
      <c r="BE129" s="114">
        <f t="shared" si="343"/>
        <v>1183.4943370716135</v>
      </c>
      <c r="BF129" s="114">
        <f t="shared" si="343"/>
        <v>1659.5328302089645</v>
      </c>
      <c r="BG129" s="114">
        <f t="shared" si="343"/>
        <v>1940.5928900753338</v>
      </c>
      <c r="BH129" s="114">
        <f t="shared" si="343"/>
        <v>2409.2262525000001</v>
      </c>
      <c r="BI129" s="114">
        <f t="shared" si="343"/>
        <v>2689.2017250000004</v>
      </c>
      <c r="BJ129" s="114">
        <f t="shared" si="343"/>
        <v>3384.8564775000004</v>
      </c>
      <c r="BK129" s="114">
        <f t="shared" si="343"/>
        <v>4336.9941900000003</v>
      </c>
      <c r="BL129" s="114">
        <f t="shared" si="343"/>
        <v>4614.2058375000006</v>
      </c>
      <c r="BM129" s="114">
        <f t="shared" si="343"/>
        <v>3901.1389875000004</v>
      </c>
      <c r="BN129" s="114">
        <f t="shared" si="343"/>
        <v>3497.8969200000001</v>
      </c>
      <c r="BO129" s="114">
        <f t="shared" si="343"/>
        <v>3206.2028295</v>
      </c>
      <c r="BP129" s="114">
        <f t="shared" si="343"/>
        <v>8118.5</v>
      </c>
      <c r="BQ129" s="114">
        <f t="shared" si="343"/>
        <v>9387.5</v>
      </c>
      <c r="BR129" s="114">
        <f t="shared" si="343"/>
        <v>9555.57</v>
      </c>
      <c r="BS129" s="114">
        <f t="shared" si="343"/>
        <v>11479.999999999998</v>
      </c>
      <c r="BT129" s="114">
        <f t="shared" si="343"/>
        <v>20056.099999999999</v>
      </c>
      <c r="BU129" s="114">
        <f t="shared" si="343"/>
        <v>32655.68</v>
      </c>
      <c r="BV129" s="114">
        <f t="shared" si="343"/>
        <v>33116.800000000003</v>
      </c>
      <c r="BW129" s="114">
        <f t="shared" si="343"/>
        <v>33515.040000000001</v>
      </c>
      <c r="BX129" s="114">
        <f t="shared" si="343"/>
        <v>33934.239999999998</v>
      </c>
      <c r="BY129" s="114">
        <f t="shared" si="343"/>
        <v>34952.267200000002</v>
      </c>
      <c r="BZ129" s="114">
        <f t="shared" si="343"/>
        <v>36000.835215999999</v>
      </c>
      <c r="CA129" s="114">
        <f t="shared" ref="CA129:CG129" si="344">CA128*CA196</f>
        <v>37080.86027248</v>
      </c>
      <c r="CB129" s="114">
        <f t="shared" si="344"/>
        <v>38193.286080654405</v>
      </c>
      <c r="CC129" s="114">
        <f t="shared" si="344"/>
        <v>39339.084663074042</v>
      </c>
      <c r="CD129" s="114">
        <f t="shared" si="344"/>
        <v>40519.257202966262</v>
      </c>
      <c r="CE129" s="114">
        <f t="shared" si="344"/>
        <v>41734.834919055254</v>
      </c>
      <c r="CF129" s="114">
        <f t="shared" si="344"/>
        <v>42986.879966626911</v>
      </c>
      <c r="CG129" s="114">
        <f t="shared" si="344"/>
        <v>44276.486365625722</v>
      </c>
      <c r="CH129" s="141"/>
      <c r="CI129" s="106">
        <f t="shared" si="314"/>
        <v>0</v>
      </c>
      <c r="CJ129" s="106">
        <f t="shared" si="315"/>
        <v>0</v>
      </c>
      <c r="CK129" s="106">
        <f t="shared" si="316"/>
        <v>0</v>
      </c>
      <c r="CL129" s="106">
        <f t="shared" si="317"/>
        <v>0</v>
      </c>
      <c r="CM129" s="106">
        <f t="shared" si="318"/>
        <v>4081.9599999999991</v>
      </c>
      <c r="CN129" s="106">
        <f t="shared" si="319"/>
        <v>4139.6000000000022</v>
      </c>
      <c r="CO129" s="106">
        <f t="shared" si="320"/>
        <v>4189.380000000001</v>
      </c>
      <c r="CP129" s="106">
        <f t="shared" si="321"/>
        <v>4241.7799999999988</v>
      </c>
      <c r="CQ129" s="106">
        <f t="shared" si="322"/>
        <v>4369.0334000000039</v>
      </c>
      <c r="CR129" s="106">
        <f t="shared" si="323"/>
        <v>4500.1044020000008</v>
      </c>
      <c r="CS129" s="106">
        <f t="shared" si="324"/>
        <v>4635.10753406</v>
      </c>
      <c r="CT129" s="106">
        <f t="shared" si="325"/>
        <v>4774.1607600818024</v>
      </c>
      <c r="CU129" s="106">
        <f t="shared" si="326"/>
        <v>4917.385582884257</v>
      </c>
      <c r="CV129" s="106">
        <f t="shared" si="327"/>
        <v>5064.9071503707819</v>
      </c>
      <c r="CW129" s="106">
        <f t="shared" si="328"/>
        <v>5216.8543648819104</v>
      </c>
      <c r="CX129" s="106">
        <f t="shared" si="329"/>
        <v>5373.3599958283667</v>
      </c>
      <c r="CY129" s="106">
        <f t="shared" si="330"/>
        <v>5534.5607957032189</v>
      </c>
      <c r="CZ129" s="134"/>
      <c r="DA129" s="135">
        <v>9387.5</v>
      </c>
      <c r="DB129" s="135">
        <v>9555.57</v>
      </c>
      <c r="DC129" s="135">
        <v>11479.999999999998</v>
      </c>
      <c r="DD129" s="135">
        <v>20056.099999999999</v>
      </c>
      <c r="DE129" s="135">
        <v>28573.72</v>
      </c>
      <c r="DF129" s="135">
        <v>28977.200000000001</v>
      </c>
      <c r="DG129" s="135">
        <v>29325.66</v>
      </c>
      <c r="DH129" s="135">
        <v>29692.46</v>
      </c>
      <c r="DI129" s="135">
        <v>30583.233799999998</v>
      </c>
      <c r="DJ129" s="135">
        <v>31500.730813999999</v>
      </c>
      <c r="DK129" s="135">
        <v>32445.75273842</v>
      </c>
      <c r="DL129" s="135">
        <v>33419.125320572603</v>
      </c>
      <c r="DM129" s="135">
        <v>34421.699080189785</v>
      </c>
      <c r="DN129" s="135">
        <v>35454.350052595481</v>
      </c>
      <c r="DO129" s="135">
        <v>36517.980554173344</v>
      </c>
      <c r="DP129" s="135">
        <v>37613.519970798545</v>
      </c>
      <c r="DQ129" s="135">
        <v>38741.925569922503</v>
      </c>
    </row>
    <row r="130" spans="1:121" s="123" customFormat="1">
      <c r="A130" s="191" t="s">
        <v>825</v>
      </c>
      <c r="B130" s="141"/>
      <c r="C130" s="136" t="s">
        <v>1579</v>
      </c>
      <c r="D130" s="102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V130" s="114">
        <f t="shared" ref="AV130:BD130" si="345">AV125-AV126</f>
        <v>192.32489999999999</v>
      </c>
      <c r="AW130" s="114">
        <f t="shared" si="345"/>
        <v>176.36384275</v>
      </c>
      <c r="AX130" s="114">
        <f t="shared" si="345"/>
        <v>140.7764693</v>
      </c>
      <c r="AY130" s="114">
        <f t="shared" si="345"/>
        <v>271.874617</v>
      </c>
      <c r="AZ130" s="114">
        <f t="shared" si="345"/>
        <v>592.11476880000009</v>
      </c>
      <c r="BA130" s="114">
        <f t="shared" si="345"/>
        <v>965.48848835000001</v>
      </c>
      <c r="BB130" s="114">
        <f t="shared" si="345"/>
        <v>878.58563199999992</v>
      </c>
      <c r="BC130" s="114">
        <f t="shared" si="345"/>
        <v>1095.5593477500001</v>
      </c>
      <c r="BD130" s="114">
        <f t="shared" si="345"/>
        <v>1406.4608774999997</v>
      </c>
      <c r="BE130" s="114">
        <f t="shared" ref="BE130:BS130" si="346">BE125-BE126</f>
        <v>1523.3727099735725</v>
      </c>
      <c r="BF130" s="114">
        <f t="shared" si="346"/>
        <v>2786.2119825</v>
      </c>
      <c r="BG130" s="114">
        <f t="shared" si="346"/>
        <v>3123.1222500000003</v>
      </c>
      <c r="BH130" s="114">
        <f t="shared" si="346"/>
        <v>3626.6911650000006</v>
      </c>
      <c r="BI130" s="114">
        <f t="shared" si="346"/>
        <v>2256.9394950000005</v>
      </c>
      <c r="BJ130" s="114">
        <f t="shared" si="346"/>
        <v>3222.0671850000003</v>
      </c>
      <c r="BK130" s="114">
        <f t="shared" si="346"/>
        <v>3687.2189325000008</v>
      </c>
      <c r="BL130" s="114">
        <f t="shared" si="346"/>
        <v>2797.3787875000007</v>
      </c>
      <c r="BM130" s="114">
        <f t="shared" si="346"/>
        <v>2974.2967275000001</v>
      </c>
      <c r="BN130" s="114">
        <f t="shared" si="346"/>
        <v>3025.5717000000004</v>
      </c>
      <c r="BO130" s="114">
        <f t="shared" si="346"/>
        <v>1892.0411125000001</v>
      </c>
      <c r="BP130" s="114">
        <f t="shared" si="346"/>
        <v>3118.1539999999995</v>
      </c>
      <c r="BQ130" s="114">
        <f t="shared" si="346"/>
        <v>4119.4180562500005</v>
      </c>
      <c r="BR130" s="114">
        <f t="shared" si="346"/>
        <v>4329.2185740150035</v>
      </c>
      <c r="BS130" s="114">
        <f t="shared" si="346"/>
        <v>2878.3093880000015</v>
      </c>
      <c r="BT130" s="109">
        <f ca="1">BS130*(1+Assumptions!BT15/100)*(1+BT40/100)</f>
        <v>2856.7210265534864</v>
      </c>
      <c r="BU130" s="109">
        <f ca="1">BT130*(1+Assumptions!BU15/100)*(1+BU40/100)</f>
        <v>7912.6681241468223</v>
      </c>
      <c r="BV130" s="109">
        <f ca="1">BU130*(1+Assumptions!BV15/100)*(1+BV40/100)</f>
        <v>8430.5217099100428</v>
      </c>
      <c r="BW130" s="109">
        <f ca="1">BV130*(1+Assumptions!BW15/100)*(1+BW40/100)</f>
        <v>8914.8988394900116</v>
      </c>
      <c r="BX130" s="109">
        <f ca="1">BW130*(1+Assumptions!BX15/100)*(1+BX40/100)</f>
        <v>9394.4562353267847</v>
      </c>
      <c r="BY130" s="109">
        <f ca="1">BX130*(1+Assumptions!BY15/100)*(1+BY40/100)</f>
        <v>9909.4078575623444</v>
      </c>
      <c r="BZ130" s="109">
        <f ca="1">BY130*(1+Assumptions!BZ15/100)*(1+BZ40/100)</f>
        <v>10460.158787376138</v>
      </c>
      <c r="CA130" s="109">
        <f ca="1">BZ130*(1+Assumptions!CA15/100)*(1+CA40/100)</f>
        <v>11049.533834695954</v>
      </c>
      <c r="CB130" s="109">
        <f ca="1">CA130*(1+Assumptions!CB15/100)*(1+CB40/100)</f>
        <v>11682.618905423327</v>
      </c>
      <c r="CC130" s="109">
        <f ca="1">CB130*(1+Assumptions!CC15/100)*(1+CC40/100)</f>
        <v>12365.693412673732</v>
      </c>
      <c r="CD130" s="109">
        <f ca="1">CC130*(1+Assumptions!CD15/100)*(1+CD40/100)</f>
        <v>13106.946535791876</v>
      </c>
      <c r="CE130" s="109">
        <f ca="1">CD130*(1+Assumptions!CE15/100)*(1+CE40/100)</f>
        <v>13917.221177543894</v>
      </c>
      <c r="CF130" s="109">
        <f ca="1">CE130*(1+Assumptions!CF15/100)*(1+CF40/100)</f>
        <v>14811.110736539276</v>
      </c>
      <c r="CG130" s="109">
        <f ca="1">CF130*(1+Assumptions!CG15/100)*(1+CG40/100)</f>
        <v>15808.563427153253</v>
      </c>
      <c r="CH130" s="141"/>
      <c r="CI130" s="106">
        <f t="shared" si="314"/>
        <v>0</v>
      </c>
      <c r="CJ130" s="106">
        <f t="shared" ref="CJ130:CU131" si="347">BR130-DB130</f>
        <v>0</v>
      </c>
      <c r="CK130" s="106">
        <f t="shared" si="347"/>
        <v>0</v>
      </c>
      <c r="CL130" s="106">
        <f t="shared" ca="1" si="347"/>
        <v>0</v>
      </c>
      <c r="CM130" s="106">
        <f t="shared" ca="1" si="347"/>
        <v>956.01303405961244</v>
      </c>
      <c r="CN130" s="106">
        <f t="shared" ca="1" si="347"/>
        <v>904.65733778673348</v>
      </c>
      <c r="CO130" s="106">
        <f t="shared" ca="1" si="347"/>
        <v>805.0429190262239</v>
      </c>
      <c r="CP130" s="106">
        <f t="shared" ca="1" si="347"/>
        <v>679.16841979614037</v>
      </c>
      <c r="CQ130" s="106">
        <f t="shared" ca="1" si="347"/>
        <v>532.36250437521448</v>
      </c>
      <c r="CR130" s="106">
        <f t="shared" ca="1" si="347"/>
        <v>362.03001475883866</v>
      </c>
      <c r="CS130" s="106">
        <f t="shared" ca="1" si="347"/>
        <v>170.20398107613437</v>
      </c>
      <c r="CT130" s="106">
        <f t="shared" ca="1" si="347"/>
        <v>-46.043058317314717</v>
      </c>
      <c r="CU130" s="106">
        <f t="shared" ca="1" si="347"/>
        <v>-297.78181333127395</v>
      </c>
      <c r="CV130" s="106">
        <f t="shared" ca="1" si="327"/>
        <v>-589.01544176475909</v>
      </c>
      <c r="CW130" s="106">
        <f t="shared" ca="1" si="328"/>
        <v>-925.99002206294972</v>
      </c>
      <c r="CX130" s="106">
        <f t="shared" ca="1" si="329"/>
        <v>-1317.536195236491</v>
      </c>
      <c r="CY130" s="106">
        <f t="shared" ca="1" si="330"/>
        <v>-1775.6980376472438</v>
      </c>
      <c r="CZ130" s="134"/>
      <c r="DA130" s="135">
        <v>4119.4180562500005</v>
      </c>
      <c r="DB130" s="135">
        <v>4329.2185740150035</v>
      </c>
      <c r="DC130" s="135">
        <v>2878.3093880000015</v>
      </c>
      <c r="DD130" s="135">
        <v>2856.7210265534864</v>
      </c>
      <c r="DE130" s="135">
        <v>6956.6550900872098</v>
      </c>
      <c r="DF130" s="135">
        <v>7525.8643721233093</v>
      </c>
      <c r="DG130" s="135">
        <v>8109.8559204637877</v>
      </c>
      <c r="DH130" s="135">
        <v>8715.2878155306444</v>
      </c>
      <c r="DI130" s="135">
        <v>9377.0453531871299</v>
      </c>
      <c r="DJ130" s="135">
        <v>10098.1287726173</v>
      </c>
      <c r="DK130" s="135">
        <v>10879.32985361982</v>
      </c>
      <c r="DL130" s="135">
        <v>11728.661963740642</v>
      </c>
      <c r="DM130" s="135">
        <v>12663.475226005006</v>
      </c>
      <c r="DN130" s="135">
        <v>13695.961977556635</v>
      </c>
      <c r="DO130" s="135">
        <v>14843.211199606843</v>
      </c>
      <c r="DP130" s="135">
        <v>16128.646931775767</v>
      </c>
      <c r="DQ130" s="135">
        <v>17584.261464800496</v>
      </c>
    </row>
    <row r="131" spans="1:121" s="123" customFormat="1">
      <c r="A131" s="136" t="s">
        <v>1930</v>
      </c>
      <c r="B131" s="107"/>
      <c r="C131" s="136" t="s">
        <v>1579</v>
      </c>
      <c r="D131" s="147"/>
      <c r="E131" s="107"/>
      <c r="F131" s="512">
        <f>+mamiabc!F25+mamiabc!F26+mamiabc!F27</f>
        <v>5.6799999999999996E-2</v>
      </c>
      <c r="G131" s="232">
        <f>+mamiabc!G25+mamiabc!G26+mamiabc!G27</f>
        <v>5.6399999999999992E-2</v>
      </c>
      <c r="H131" s="232">
        <f>+mamiabc!H25+mamiabc!H26+mamiabc!H27</f>
        <v>6.95999984741211E-2</v>
      </c>
      <c r="I131" s="232">
        <f>+mamiabc!I25+mamiabc!I26+mamiabc!I27</f>
        <v>8.0999998450279234E-2</v>
      </c>
      <c r="J131" s="232">
        <f>+mamiabc!J25+mamiabc!J26+mamiabc!J27</f>
        <v>7.9400000095367435E-2</v>
      </c>
      <c r="K131" s="232">
        <f>+mamiabc!K25+mamiabc!K26+mamiabc!K27</f>
        <v>9.719999694824219E-2</v>
      </c>
      <c r="L131" s="232">
        <f>+mamiabc!L25+mamiabc!L26+mamiabc!L27</f>
        <v>0.11380000162124634</v>
      </c>
      <c r="M131" s="232">
        <f>+mamiabc!M25+mamiabc!M26+mamiabc!M27</f>
        <v>0.11470000314712524</v>
      </c>
      <c r="N131" s="232">
        <f>+mamiabc!N25+mamiabc!N26+mamiabc!N27</f>
        <v>0.11780000281333923</v>
      </c>
      <c r="O131" s="232">
        <f>+mamiabc!O25+mamiabc!O26+mamiabc!O27</f>
        <v>0.12760000133514404</v>
      </c>
      <c r="P131" s="232">
        <f>+mamiabc!P25+mamiabc!P26+mamiabc!P27</f>
        <v>0.17300000619888306</v>
      </c>
      <c r="Q131" s="232">
        <f>+mamiabc!Q25+mamiabc!Q26+mamiabc!Q27</f>
        <v>0.19889999377727507</v>
      </c>
      <c r="R131" s="232">
        <f>+mamiabc!R25+mamiabc!R26+mamiabc!R27</f>
        <v>0.19780000281333923</v>
      </c>
      <c r="S131" s="232">
        <f>+mamiabc!S25+mamiabc!S26+mamiabc!S27</f>
        <v>0.22190000009536742</v>
      </c>
      <c r="T131" s="232">
        <f>+mamiabc!T25+mamiabc!T26+mamiabc!T27</f>
        <v>0.22050000596046448</v>
      </c>
      <c r="U131" s="232">
        <f>+mamiabc!U25+mamiabc!U26+mamiabc!U27</f>
        <v>0.24439999675750734</v>
      </c>
      <c r="V131" s="232">
        <f>+mamiabc!V25+mamiabc!V26+mamiabc!V27</f>
        <v>0.26240000653266909</v>
      </c>
      <c r="W131" s="232">
        <f>+mamiabc!W25+mamiabc!W26+mamiabc!W27</f>
        <v>0.28889999341964723</v>
      </c>
      <c r="X131" s="232">
        <f>+mamiabc!X25+mamiabc!X26+mamiabc!X27</f>
        <v>0.31680001163482663</v>
      </c>
      <c r="Y131" s="232">
        <f>+mamiabc!Y25+mamiabc!Y26+mamiabc!Y27</f>
        <v>0.34900001287460325</v>
      </c>
      <c r="Z131" s="232">
        <f>+mamiabc!Z25+mamiabc!Z26+mamiabc!Z27</f>
        <v>0.53560000467300417</v>
      </c>
      <c r="AA131" s="232">
        <f>+mamiabc!AA25+mamiabc!AA26+mamiabc!AA27</f>
        <v>0.61689997386932371</v>
      </c>
      <c r="AB131" s="232">
        <f>+mamiabc!AB25+mamiabc!AB26+mamiabc!AB27</f>
        <v>0.6400000247955322</v>
      </c>
      <c r="AC131" s="232">
        <f>+mamiabc!AC25+mamiabc!AC26+mamiabc!AC27</f>
        <v>0.86169997596740733</v>
      </c>
      <c r="AD131" s="232">
        <f>+mamiabc!AD25+mamiabc!AD26+mamiabc!AD27</f>
        <v>0.89069997596740724</v>
      </c>
      <c r="AE131" s="232">
        <f>+mamiabc!AE25+mamiabc!AE26+mamiabc!AE27</f>
        <v>0.92690002632141111</v>
      </c>
      <c r="AF131" s="232">
        <f>+mamiabc!AF25+mamiabc!AF26+mamiabc!AF27</f>
        <v>1.2042000007629392</v>
      </c>
      <c r="AG131" s="232">
        <f>+mamiabc!AG25+mamiabc!AG26+mamiabc!AG27</f>
        <v>1.2551999759674073</v>
      </c>
      <c r="AH131" s="232">
        <f>+mamiabc!AH25+mamiabc!AH26+mamiabc!AH27</f>
        <v>1.2042999534606933</v>
      </c>
      <c r="AI131" s="232">
        <f>+mamiabc!AI25+mamiabc!AI26+mamiabc!AI27</f>
        <v>1.0149999866485595</v>
      </c>
      <c r="AJ131" s="232">
        <f>+mamiabc!AJ25+mamiabc!AJ26+mamiabc!AJ27</f>
        <v>0.90680001258850096</v>
      </c>
      <c r="AK131" s="232">
        <f>+mamiabc!AK25+mamiabc!AK26+mamiabc!AK27</f>
        <v>0.79350001144409177</v>
      </c>
      <c r="AL131" s="232">
        <f>+mamiabc!AL25+mamiabc!AL26+mamiabc!AL27</f>
        <v>0.87589999961853027</v>
      </c>
      <c r="AM131" s="232">
        <f>+mamiabc!AM25+mamiabc!AM26+mamiabc!AM27</f>
        <v>1.1529999990463258</v>
      </c>
      <c r="AN131" s="232">
        <f>+mamiabc!AN25+mamiabc!AN26+mamiabc!AN27</f>
        <v>1.4319999999999997</v>
      </c>
      <c r="AO131" s="232">
        <f>+mamiabc!AO25+mamiabc!AO26+mamiabc!AO27</f>
        <v>2.1441000003814694</v>
      </c>
      <c r="AP131" s="232">
        <f>+mamiabc!AP25+mamiabc!AP26+mamiabc!AP27</f>
        <v>2.7993999999999999</v>
      </c>
      <c r="AQ131" s="232">
        <f>+mamiabc!AQ25+mamiabc!AQ26+mamiabc!AQ27</f>
        <v>4.0228999999999999</v>
      </c>
      <c r="AR131" s="232">
        <f>+mamiabc!AR25+mamiabc!AR26+mamiabc!AR27</f>
        <v>5.4316000000000004</v>
      </c>
      <c r="AS131" s="232">
        <f>+mamiabc!AS25+mamiabc!AS26+mamiabc!AS27</f>
        <v>19.848099999999999</v>
      </c>
      <c r="AT131" s="232">
        <f>+mamiabc!AT25+mamiabc!AT26+mamiabc!AT27</f>
        <v>91.422399999999996</v>
      </c>
      <c r="AU131" s="232">
        <f>+mamiabc!AU25+mamiabc!AU26+mamiabc!AU27</f>
        <v>260.38712750000002</v>
      </c>
      <c r="AV131" s="232">
        <f>+mamiabc!AV25+mamiabc!AV26+mamiabc!AV27</f>
        <v>279.41494750000004</v>
      </c>
      <c r="AW131" s="232">
        <f>+mamiabc!AW25+mamiabc!AW26+mamiabc!AW27</f>
        <v>246.58520000000001</v>
      </c>
      <c r="AX131" s="232">
        <f>+mamiabc!AX25+mamiabc!AX26+mamiabc!AX27</f>
        <v>227.2311</v>
      </c>
      <c r="AY131" s="232">
        <f>+mamiabc!AY25+mamiabc!AY26+mamiabc!AY27</f>
        <v>412.52740000000006</v>
      </c>
      <c r="AZ131" s="232">
        <f>+mamiabc!AZ25+mamiabc!AZ26+mamiabc!AZ27</f>
        <v>650.26</v>
      </c>
      <c r="BA131" s="232">
        <f>+mamiabc!BA25+mamiabc!BA26+mamiabc!BA27</f>
        <v>1105.54</v>
      </c>
      <c r="BB131" s="232">
        <f>+mamiabc!BB25+mamiabc!BB26+mamiabc!BB27</f>
        <v>1193.5543</v>
      </c>
      <c r="BC131" s="232">
        <f ca="1">+mamiabc!BC25+mamiabc!BC26+mamiabc!BC27</f>
        <v>1801.1955217698242</v>
      </c>
      <c r="BD131" s="232">
        <f ca="1">+mamiabc!BD25+mamiabc!BD26+mamiabc!BD27</f>
        <v>2462.1566477319921</v>
      </c>
      <c r="BE131" s="232">
        <f ca="1">+mamiabc!BE25+mamiabc!BE26+mamiabc!BE27</f>
        <v>2761.5960852090011</v>
      </c>
      <c r="BF131" s="144">
        <f>(-SOURCE!BF215-SOURCE!BF220)*BF196</f>
        <v>3238.9265175000005</v>
      </c>
      <c r="BG131" s="144">
        <f>(-SOURCE!BG215-SOURCE!BG220)*BG196</f>
        <v>3766.2643274999996</v>
      </c>
      <c r="BH131" s="144">
        <f>(-SOURCE!BH215-SOURCE!BH220)*BH196</f>
        <v>5013.3021675000009</v>
      </c>
      <c r="BI131" s="144">
        <f>(-SOURCE!BI215-SOURCE!BI220)*BI196</f>
        <v>4632.1707000000006</v>
      </c>
      <c r="BJ131" s="144">
        <f>(-SOURCE!BJ215-SOURCE!BJ220)*BJ196</f>
        <v>4579.6580250000006</v>
      </c>
      <c r="BK131" s="144">
        <f>(-SOURCE!BK215-SOURCE!BK220)*BK196</f>
        <v>6195.39012</v>
      </c>
      <c r="BL131" s="144">
        <f>(-SOURCE!BL215-SOURCE!BL220)*BL196</f>
        <v>7167.7037550000005</v>
      </c>
      <c r="BM131" s="144">
        <f>(-SOURCE!BM215-SOURCE!BM220)*BM196</f>
        <v>7534.1869500000003</v>
      </c>
      <c r="BN131" s="144">
        <f>(-SOURCE!BN215-SOURCE!BN220)*BN196</f>
        <v>7664.6394900000005</v>
      </c>
      <c r="BO131" s="144">
        <f>(-SOURCE!BO215-SOURCE!BO220)*BO196</f>
        <v>7467.5787674999992</v>
      </c>
      <c r="BP131" s="144">
        <f>(-SOURCE!BP215-SOURCE!BP220)*BP196</f>
        <v>11624.6</v>
      </c>
      <c r="BQ131" s="144">
        <f>(-SOURCE!BQ215-SOURCE!BQ220)*BQ196</f>
        <v>13816.897999999999</v>
      </c>
      <c r="BR131" s="144">
        <f>(-SOURCE!BR215-SOURCE!BR220)*BR196</f>
        <v>16072.032000000001</v>
      </c>
      <c r="BS131" s="144">
        <f>(-SOURCE!BS215-SOURCE!BS220)*BS196</f>
        <v>20177.739999999998</v>
      </c>
      <c r="BT131" s="144">
        <f>(-SOURCE!BT215-SOURCE!BT220)*BT196</f>
        <v>25296.1</v>
      </c>
      <c r="BU131" s="109">
        <f ca="1">BT131*(1+BU42/100)*(1-0.1*(BU42-BU35)/100)*(1+Assumptions!BU18/100)*(1+BU31/100)+Assumptions!BU17*BU196</f>
        <v>43444.233892035518</v>
      </c>
      <c r="BV131" s="109">
        <f ca="1">BU131*(1+BV42/100)*(1-0.1*(BV42-BV35)/100)*(1+Assumptions!BV18/100)*(1+BV31/100)+Assumptions!BV17*BV196</f>
        <v>46395.225074162721</v>
      </c>
      <c r="BW131" s="109">
        <f ca="1">BV131*(1+BW42/100)*(1-0.1*(BW42-BW35)/100)*(1+Assumptions!BW18/100)*(1+BW31/100)+Assumptions!BW17*BW196</f>
        <v>49557.188896777261</v>
      </c>
      <c r="BX131" s="109">
        <f ca="1">BW131*(1+BX42/100)*(1-0.1*(BX42-BX35)/100)*(1+Assumptions!BX18/100)*(1+BX31/100)+Assumptions!BX17*BX196</f>
        <v>52821.262462700906</v>
      </c>
      <c r="BY131" s="109">
        <f ca="1">BX131*(1+BY42/100)*(1-0.1*(BY42-BY35)/100)*(1+Assumptions!BY18/100)*(1+BY31/100)+Assumptions!BY17*BY196</f>
        <v>56330.390611477065</v>
      </c>
      <c r="BZ131" s="109">
        <f ca="1">BY131*(1+BZ42/100)*(1-0.1*(BZ42-BZ35)/100)*(1+Assumptions!BZ18/100)*(1+BZ31/100)+Assumptions!BZ17*BZ196</f>
        <v>60309.26372531052</v>
      </c>
      <c r="CA131" s="109">
        <f ca="1">BZ131*(1+CA42/100)*(1-0.1*(CA42-CA35)/100)*(1+Assumptions!CA18/100)*(1+CA31/100)+Assumptions!CA17*CA196</f>
        <v>64790.213518170356</v>
      </c>
      <c r="CB131" s="109">
        <f ca="1">CA131*(1+CB42/100)*(1-0.1*(CB42-CB35)/100)*(1+Assumptions!CB18/100)*(1+CB31/100)+Assumptions!CB17*CB196</f>
        <v>69877.518775631645</v>
      </c>
      <c r="CC131" s="109">
        <f ca="1">CB131*(1+CC42/100)*(1-0.1*(CC42-CC35)/100)*(1+Assumptions!CC18/100)*(1+CC31/100)+Assumptions!CC17*CC196</f>
        <v>75711.531182246457</v>
      </c>
      <c r="CD131" s="109">
        <f ca="1">CC131*(1+CD42/100)*(1-0.1*(CD42-CD35)/100)*(1+Assumptions!CD18/100)*(1+CD31/100)+Assumptions!CD17*CD196</f>
        <v>82477.839614928263</v>
      </c>
      <c r="CE131" s="109">
        <f ca="1">CD131*(1+CE42/100)*(1-0.1*(CE42-CE35)/100)*(1+Assumptions!CE18/100)*(1+CE31/100)+Assumptions!CE17*CE196</f>
        <v>90422.289294021757</v>
      </c>
      <c r="CF131" s="109">
        <f ca="1">CE131*(1+CF42/100)*(1-0.1*(CF42-CF35)/100)*(1+Assumptions!CF18/100)*(1+CF31/100)+Assumptions!CF17*CF196</f>
        <v>99869.385220184806</v>
      </c>
      <c r="CG131" s="109">
        <f ca="1">CF131*(1+CG42/100)*(1-0.1*(CG42-CG35)/100)*(1+Assumptions!CG18/100)*(1+CG31/100)+Assumptions!CG17*CG196</f>
        <v>111243.17140100691</v>
      </c>
      <c r="CH131" s="141"/>
      <c r="CI131" s="106">
        <f t="shared" si="314"/>
        <v>0</v>
      </c>
      <c r="CJ131" s="106">
        <f t="shared" si="347"/>
        <v>0</v>
      </c>
      <c r="CK131" s="106">
        <f t="shared" si="347"/>
        <v>0</v>
      </c>
      <c r="CL131" s="106">
        <f t="shared" si="347"/>
        <v>0</v>
      </c>
      <c r="CM131" s="106">
        <f t="shared" ca="1" si="347"/>
        <v>3057.7430200993185</v>
      </c>
      <c r="CN131" s="106">
        <f t="shared" ca="1" si="347"/>
        <v>3047.6254749728032</v>
      </c>
      <c r="CO131" s="106">
        <f t="shared" ca="1" si="347"/>
        <v>2876.6501523851621</v>
      </c>
      <c r="CP131" s="106">
        <f t="shared" ca="1" si="347"/>
        <v>2541.7109324106277</v>
      </c>
      <c r="CQ131" s="106">
        <f t="shared" ca="1" si="347"/>
        <v>2114.1623711629145</v>
      </c>
      <c r="CR131" s="106">
        <f t="shared" ca="1" si="347"/>
        <v>3090.574282259855</v>
      </c>
      <c r="CS131" s="106">
        <f t="shared" ca="1" si="347"/>
        <v>2648.3947182894262</v>
      </c>
      <c r="CT131" s="106">
        <f t="shared" ca="1" si="347"/>
        <v>2053.1786206572287</v>
      </c>
      <c r="CU131" s="106">
        <f t="shared" ca="1" si="347"/>
        <v>1298.3756219801871</v>
      </c>
      <c r="CV131" s="106">
        <f t="shared" ca="1" si="327"/>
        <v>365.0004328913783</v>
      </c>
      <c r="CW131" s="106">
        <f t="shared" ca="1" si="328"/>
        <v>-771.05741796648363</v>
      </c>
      <c r="CX131" s="106">
        <f t="shared" ca="1" si="329"/>
        <v>-2150.9776402832795</v>
      </c>
      <c r="CY131" s="106">
        <f t="shared" ca="1" si="330"/>
        <v>-3828.9192015984736</v>
      </c>
      <c r="CZ131" s="134"/>
      <c r="DA131" s="135">
        <v>13816.897999999999</v>
      </c>
      <c r="DB131" s="135">
        <v>16072.032000000001</v>
      </c>
      <c r="DC131" s="135">
        <v>20177.739999999998</v>
      </c>
      <c r="DD131" s="135">
        <v>25296.1</v>
      </c>
      <c r="DE131" s="135">
        <v>40386.490871936199</v>
      </c>
      <c r="DF131" s="135">
        <v>43347.599599189918</v>
      </c>
      <c r="DG131" s="135">
        <v>46680.538744392099</v>
      </c>
      <c r="DH131" s="135">
        <v>50279.551530290279</v>
      </c>
      <c r="DI131" s="135">
        <v>54216.228240314151</v>
      </c>
      <c r="DJ131" s="135">
        <v>57218.689443050665</v>
      </c>
      <c r="DK131" s="135">
        <v>62141.81879988093</v>
      </c>
      <c r="DL131" s="135">
        <v>67824.340154974416</v>
      </c>
      <c r="DM131" s="135">
        <v>74413.15556026627</v>
      </c>
      <c r="DN131" s="135">
        <v>82112.839182036885</v>
      </c>
      <c r="DO131" s="135">
        <v>91193.346711988241</v>
      </c>
      <c r="DP131" s="135">
        <v>102020.36286046809</v>
      </c>
      <c r="DQ131" s="135">
        <v>115072.09060260539</v>
      </c>
    </row>
    <row r="132" spans="1:121" s="123" customFormat="1">
      <c r="A132" s="107" t="s">
        <v>1844</v>
      </c>
      <c r="B132" s="107"/>
      <c r="C132" s="136" t="s">
        <v>1579</v>
      </c>
      <c r="D132" s="147"/>
      <c r="E132" s="107"/>
      <c r="F132" s="518">
        <f t="shared" ref="F132:BD132" si="348">F133-F134</f>
        <v>-5.5999999999999999E-3</v>
      </c>
      <c r="G132" s="123">
        <f t="shared" si="348"/>
        <v>-1.7999999999999991E-3</v>
      </c>
      <c r="H132" s="123">
        <f t="shared" si="348"/>
        <v>-8.3289800584316238E-3</v>
      </c>
      <c r="I132" s="123">
        <f t="shared" si="348"/>
        <v>-8.2489998936653153E-3</v>
      </c>
      <c r="J132" s="123">
        <f t="shared" si="348"/>
        <v>-6.4983396232128135E-3</v>
      </c>
      <c r="K132" s="123">
        <f t="shared" si="348"/>
        <v>-2.0263000607490537E-2</v>
      </c>
      <c r="L132" s="123">
        <f t="shared" si="348"/>
        <v>-2.510446000099182E-2</v>
      </c>
      <c r="M132" s="123">
        <f t="shared" si="348"/>
        <v>-2.385839956998825E-2</v>
      </c>
      <c r="N132" s="123">
        <f t="shared" si="348"/>
        <v>-2.5298879325389861E-2</v>
      </c>
      <c r="O132" s="123">
        <f t="shared" si="348"/>
        <v>-2.8747240394353869E-2</v>
      </c>
      <c r="P132" s="123">
        <f t="shared" si="348"/>
        <v>-2.8930500507354732E-2</v>
      </c>
      <c r="Q132" s="123">
        <f t="shared" si="348"/>
        <v>-2.993400049209595E-2</v>
      </c>
      <c r="R132" s="123">
        <f t="shared" si="348"/>
        <v>-3.1511998891830442E-2</v>
      </c>
      <c r="S132" s="123">
        <f t="shared" si="348"/>
        <v>-3.6534000873565668E-2</v>
      </c>
      <c r="T132" s="123">
        <f t="shared" si="348"/>
        <v>-7.0074999690055845E-2</v>
      </c>
      <c r="U132" s="123">
        <f t="shared" si="348"/>
        <v>-7.8240997552871699E-2</v>
      </c>
      <c r="V132" s="123">
        <f t="shared" si="348"/>
        <v>-7.1710997104644791E-2</v>
      </c>
      <c r="W132" s="123">
        <f t="shared" si="348"/>
        <v>-8.21499969959259E-2</v>
      </c>
      <c r="X132" s="123">
        <f t="shared" si="348"/>
        <v>-7.3800001621246336E-2</v>
      </c>
      <c r="Y132" s="123">
        <f t="shared" si="348"/>
        <v>-6.3000000476837154E-2</v>
      </c>
      <c r="Z132" s="123">
        <f t="shared" si="348"/>
        <v>-5.2999998092651365E-2</v>
      </c>
      <c r="AA132" s="123">
        <f t="shared" si="348"/>
        <v>-4.4600001096725468E-2</v>
      </c>
      <c r="AB132" s="123">
        <f t="shared" si="348"/>
        <v>-6.4499996185302735E-2</v>
      </c>
      <c r="AC132" s="123">
        <f t="shared" si="348"/>
        <v>-6.1099997520446772E-2</v>
      </c>
      <c r="AD132" s="123">
        <f t="shared" si="348"/>
        <v>-5.3099998712539676E-2</v>
      </c>
      <c r="AE132" s="123">
        <f t="shared" si="348"/>
        <v>-6.9900001764297476E-2</v>
      </c>
      <c r="AF132" s="123">
        <f t="shared" si="348"/>
        <v>-2.7899998426437388E-2</v>
      </c>
      <c r="AG132" s="123">
        <f t="shared" si="348"/>
        <v>2.5899998545646667E-2</v>
      </c>
      <c r="AH132" s="123">
        <f t="shared" si="348"/>
        <v>1.4000000655651094E-2</v>
      </c>
      <c r="AI132" s="123">
        <f t="shared" si="348"/>
        <v>-1.8899998068809508E-2</v>
      </c>
      <c r="AJ132" s="123">
        <f t="shared" si="348"/>
        <v>3.7999997138977049E-3</v>
      </c>
      <c r="AK132" s="123">
        <f t="shared" si="348"/>
        <v>-9.9999904632568429E-5</v>
      </c>
      <c r="AL132" s="123">
        <f t="shared" si="348"/>
        <v>-3.5000000223517421E-3</v>
      </c>
      <c r="AM132" s="123">
        <f t="shared" si="348"/>
        <v>-8.300000451505184E-3</v>
      </c>
      <c r="AN132" s="123">
        <f t="shared" si="348"/>
        <v>-1.5400000236928462E-2</v>
      </c>
      <c r="AO132" s="123">
        <f t="shared" si="348"/>
        <v>-1.1100000143051146E-2</v>
      </c>
      <c r="AP132" s="123">
        <f t="shared" si="348"/>
        <v>-1.5200000000000002E-2</v>
      </c>
      <c r="AQ132" s="123">
        <f t="shared" si="348"/>
        <v>-1.9999999999999997E-2</v>
      </c>
      <c r="AR132" s="123">
        <f t="shared" si="348"/>
        <v>-1.3299999999999999E-2</v>
      </c>
      <c r="AS132" s="123">
        <f t="shared" si="348"/>
        <v>-0.25420000000000004</v>
      </c>
      <c r="AT132" s="123">
        <f t="shared" si="348"/>
        <v>-0.73760000000000003</v>
      </c>
      <c r="AU132" s="123">
        <f t="shared" si="348"/>
        <v>-1.2630000000000003</v>
      </c>
      <c r="AV132" s="123">
        <f t="shared" si="348"/>
        <v>1.0259</v>
      </c>
      <c r="AW132" s="123">
        <f t="shared" si="348"/>
        <v>-1.1513</v>
      </c>
      <c r="AX132" s="123">
        <f t="shared" si="348"/>
        <v>-0.21350000000000025</v>
      </c>
      <c r="AY132" s="123">
        <f t="shared" si="348"/>
        <v>0.29849999999999977</v>
      </c>
      <c r="AZ132" s="123">
        <f t="shared" si="348"/>
        <v>-63.338999999999992</v>
      </c>
      <c r="BA132" s="123">
        <f t="shared" si="348"/>
        <v>-232.20299999999997</v>
      </c>
      <c r="BB132" s="123">
        <f t="shared" si="348"/>
        <v>-101.86100000000002</v>
      </c>
      <c r="BC132" s="123">
        <f t="shared" si="348"/>
        <v>-128</v>
      </c>
      <c r="BD132" s="123">
        <f t="shared" si="348"/>
        <v>-173.101</v>
      </c>
      <c r="BE132" s="123">
        <f ca="1">BE133-BE134</f>
        <v>-152.97112048308702</v>
      </c>
      <c r="BF132" s="123">
        <f>BF133-BF134</f>
        <v>-150.62846250000001</v>
      </c>
      <c r="BG132" s="123">
        <f t="shared" ref="BG132:BO132" si="349">BG133-BG134</f>
        <v>-7.1859450000000038</v>
      </c>
      <c r="BH132" s="123">
        <f t="shared" si="349"/>
        <v>56.382030000000007</v>
      </c>
      <c r="BI132" s="123">
        <f t="shared" si="349"/>
        <v>13.266360000000006</v>
      </c>
      <c r="BJ132" s="123">
        <f t="shared" si="349"/>
        <v>-288.26694750000007</v>
      </c>
      <c r="BK132" s="123">
        <f t="shared" si="349"/>
        <v>-724.3985325000001</v>
      </c>
      <c r="BL132" s="123">
        <f t="shared" si="349"/>
        <v>-532.03631250000001</v>
      </c>
      <c r="BM132" s="123">
        <f t="shared" si="349"/>
        <v>-362.6138400000001</v>
      </c>
      <c r="BN132" s="123">
        <f t="shared" si="349"/>
        <v>-192.0858375</v>
      </c>
      <c r="BO132" s="123">
        <f t="shared" si="349"/>
        <v>-77.663482500000015</v>
      </c>
      <c r="BP132" s="123">
        <f t="shared" ref="BP132:BV132" si="350">BP133-BP134</f>
        <v>-1141.3999999999999</v>
      </c>
      <c r="BQ132" s="123">
        <f t="shared" si="350"/>
        <v>-3429.8169999999996</v>
      </c>
      <c r="BR132" s="123">
        <f t="shared" si="350"/>
        <v>-2916.3690000000001</v>
      </c>
      <c r="BS132" s="123">
        <f t="shared" si="350"/>
        <v>-3387.4199999999996</v>
      </c>
      <c r="BT132" s="123">
        <f t="shared" si="350"/>
        <v>-4930.8399999999992</v>
      </c>
      <c r="BU132" s="123">
        <f t="shared" si="350"/>
        <v>-8026.7356785441416</v>
      </c>
      <c r="BV132" s="123">
        <f t="shared" si="350"/>
        <v>-8166.8751906591669</v>
      </c>
      <c r="BW132" s="123">
        <f t="shared" ref="BW132:CC132" si="351">BW133-BW134</f>
        <v>-8309.8174930164932</v>
      </c>
      <c r="BX132" s="123">
        <f t="shared" si="351"/>
        <v>-8455.6186414209642</v>
      </c>
      <c r="BY132" s="123">
        <f t="shared" si="351"/>
        <v>-8604.3358127935262</v>
      </c>
      <c r="BZ132" s="123">
        <f t="shared" si="351"/>
        <v>-8756.0273275935378</v>
      </c>
      <c r="CA132" s="123">
        <f t="shared" si="351"/>
        <v>-8910.7526726895521</v>
      </c>
      <c r="CB132" s="123">
        <f t="shared" si="351"/>
        <v>-9068.5725246874863</v>
      </c>
      <c r="CC132" s="123">
        <f t="shared" si="351"/>
        <v>-9229.548773725377</v>
      </c>
      <c r="CD132" s="123">
        <f>CD133-CD134</f>
        <v>-9393.7445477440269</v>
      </c>
      <c r="CE132" s="123">
        <f>CE133-CE134</f>
        <v>-9561.2242372430483</v>
      </c>
      <c r="CF132" s="123">
        <f>CF133-CF134</f>
        <v>-9732.0535205320502</v>
      </c>
      <c r="CG132" s="123">
        <f>CG133-CG134</f>
        <v>-9906.2993894868341</v>
      </c>
      <c r="CH132" s="141"/>
      <c r="CI132" s="106">
        <f t="shared" si="314"/>
        <v>0</v>
      </c>
      <c r="CJ132" s="106">
        <f t="shared" si="315"/>
        <v>0</v>
      </c>
      <c r="CK132" s="106">
        <f t="shared" si="316"/>
        <v>0</v>
      </c>
      <c r="CL132" s="106">
        <f t="shared" si="317"/>
        <v>0</v>
      </c>
      <c r="CM132" s="106">
        <f t="shared" si="318"/>
        <v>-899.56316892831637</v>
      </c>
      <c r="CN132" s="106">
        <f t="shared" si="319"/>
        <v>-813.30181705299401</v>
      </c>
      <c r="CO132" s="106">
        <f t="shared" si="320"/>
        <v>-727.39081395795893</v>
      </c>
      <c r="CP132" s="106">
        <f t="shared" si="321"/>
        <v>-641.83716661881681</v>
      </c>
      <c r="CQ132" s="106">
        <f t="shared" si="322"/>
        <v>-556.64802215068539</v>
      </c>
      <c r="CR132" s="106">
        <f t="shared" si="323"/>
        <v>-471.83067061098518</v>
      </c>
      <c r="CS132" s="106">
        <f t="shared" si="324"/>
        <v>-387.3925478582878</v>
      </c>
      <c r="CT132" s="106">
        <f t="shared" si="325"/>
        <v>-303.34123846833063</v>
      </c>
      <c r="CU132" s="106">
        <f t="shared" si="326"/>
        <v>-219.68447870836462</v>
      </c>
      <c r="CV132" s="106">
        <f t="shared" si="327"/>
        <v>-136.43015957099487</v>
      </c>
      <c r="CW132" s="106">
        <f t="shared" si="328"/>
        <v>-53.586329868670873</v>
      </c>
      <c r="CX132" s="106">
        <f t="shared" si="329"/>
        <v>28.838800609906684</v>
      </c>
      <c r="CY132" s="106">
        <f t="shared" si="330"/>
        <v>110.83685788026014</v>
      </c>
      <c r="CZ132" s="134"/>
      <c r="DA132" s="135">
        <v>-3429.8169999999996</v>
      </c>
      <c r="DB132" s="135">
        <v>-2916.3690000000001</v>
      </c>
      <c r="DC132" s="135">
        <v>-3387.4199999999996</v>
      </c>
      <c r="DD132" s="135">
        <v>-4930.8399999999992</v>
      </c>
      <c r="DE132" s="135">
        <v>-7127.1725096158252</v>
      </c>
      <c r="DF132" s="135">
        <v>-7353.5733736061729</v>
      </c>
      <c r="DG132" s="135">
        <v>-7582.4266790585343</v>
      </c>
      <c r="DH132" s="135">
        <v>-7813.7814748021474</v>
      </c>
      <c r="DI132" s="135">
        <v>-8047.6877906428408</v>
      </c>
      <c r="DJ132" s="135">
        <v>-8284.1966569825527</v>
      </c>
      <c r="DK132" s="135">
        <v>-8523.3601248312643</v>
      </c>
      <c r="DL132" s="135">
        <v>-8765.2312862191557</v>
      </c>
      <c r="DM132" s="135">
        <v>-9009.8642950170124</v>
      </c>
      <c r="DN132" s="135">
        <v>-9257.3143881730321</v>
      </c>
      <c r="DO132" s="135">
        <v>-9507.6379073743774</v>
      </c>
      <c r="DP132" s="135">
        <v>-9760.8923211419569</v>
      </c>
      <c r="DQ132" s="135">
        <v>-10017.136247367094</v>
      </c>
    </row>
    <row r="133" spans="1:121" s="123" customFormat="1">
      <c r="A133" s="178" t="s">
        <v>1845</v>
      </c>
      <c r="B133" s="107"/>
      <c r="C133" s="136" t="s">
        <v>1579</v>
      </c>
      <c r="D133" s="147"/>
      <c r="E133" s="107"/>
      <c r="F133" s="512">
        <f>+mamiabc!F20+mamiabc!F21</f>
        <v>2.4000000000000002E-3</v>
      </c>
      <c r="G133" s="232">
        <f>+mamiabc!G20+mamiabc!G21</f>
        <v>2.5000000000000001E-3</v>
      </c>
      <c r="H133" s="232">
        <f>+mamiabc!H20+mamiabc!H21</f>
        <v>2.8000000119209291E-3</v>
      </c>
      <c r="I133" s="232">
        <f>+mamiabc!I20+mamiabc!I21</f>
        <v>3.2999998927116395E-3</v>
      </c>
      <c r="J133" s="232">
        <f>+mamiabc!J20+mamiabc!J21</f>
        <v>3.4000000059604646E-3</v>
      </c>
      <c r="K133" s="232">
        <f>+mamiabc!K20+mamiabc!K21</f>
        <v>3.1999999284744265E-3</v>
      </c>
      <c r="L133" s="232">
        <f>+mamiabc!L20+mamiabc!L21</f>
        <v>3.9000000953674317E-3</v>
      </c>
      <c r="M133" s="232">
        <f>+mamiabc!M20+mamiabc!M21</f>
        <v>3.8999999165534975E-3</v>
      </c>
      <c r="N133" s="232">
        <f>+mamiabc!N20+mamiabc!N21</f>
        <v>3.3999999165534975E-3</v>
      </c>
      <c r="O133" s="232">
        <f>+mamiabc!O20+mamiabc!O21</f>
        <v>3.6000000536441801E-3</v>
      </c>
      <c r="P133" s="232">
        <f>+mamiabc!P20+mamiabc!P21</f>
        <v>4.599999904632569E-3</v>
      </c>
      <c r="Q133" s="232">
        <f>+mamiabc!Q20+mamiabc!Q21</f>
        <v>5.9000000953674317E-3</v>
      </c>
      <c r="R133" s="232">
        <f>+mamiabc!R20+mamiabc!R21</f>
        <v>6.8999998569488526E-3</v>
      </c>
      <c r="S133" s="232">
        <f>+mamiabc!S20+mamiabc!S21</f>
        <v>1.0700000286102296E-2</v>
      </c>
      <c r="T133" s="232">
        <f>+mamiabc!T20+mamiabc!T21</f>
        <v>7.90000021457672E-3</v>
      </c>
      <c r="U133" s="232">
        <f>+mamiabc!U20+mamiabc!U21</f>
        <v>9.2999999523162846E-3</v>
      </c>
      <c r="V133" s="232">
        <f>+mamiabc!V20+mamiabc!V21</f>
        <v>9.5000000000000015E-3</v>
      </c>
      <c r="W133" s="232">
        <f>+mamiabc!W20+mamiabc!W21</f>
        <v>8.5000000000000006E-3</v>
      </c>
      <c r="X133" s="232">
        <f>+mamiabc!X20+mamiabc!X21</f>
        <v>1.0099999904632569E-2</v>
      </c>
      <c r="Y133" s="232">
        <f>+mamiabc!Y20+mamiabc!Y21</f>
        <v>1.1299999713897706E-2</v>
      </c>
      <c r="Z133" s="232">
        <f>+mamiabc!Z20+mamiabc!Z21</f>
        <v>1.7900000572204592E-2</v>
      </c>
      <c r="AA133" s="232">
        <f>+mamiabc!AA20+mamiabc!AA21</f>
        <v>2.0800000429153441E-2</v>
      </c>
      <c r="AB133" s="232">
        <f>+mamiabc!AB20+mamiabc!AB21</f>
        <v>2.1800000667572022E-2</v>
      </c>
      <c r="AC133" s="232">
        <f>+mamiabc!AC20+mamiabc!AC21</f>
        <v>1.2899999618530274E-2</v>
      </c>
      <c r="AD133" s="232">
        <f>+mamiabc!AD20+mamiabc!AD21</f>
        <v>1.4900000333786011E-2</v>
      </c>
      <c r="AE133" s="232">
        <f>+mamiabc!AE20+mamiabc!AE21</f>
        <v>2.5199999570846558E-2</v>
      </c>
      <c r="AF133" s="232">
        <f>+mamiabc!AF20+mamiabc!AF21</f>
        <v>4.5700000047683716E-2</v>
      </c>
      <c r="AG133" s="232">
        <f>+mamiabc!AG20+mamiabc!AG21</f>
        <v>6.4699999213218687E-2</v>
      </c>
      <c r="AH133" s="232">
        <f>+mamiabc!AH20+mamiabc!AH21</f>
        <v>6.3900000751018524E-2</v>
      </c>
      <c r="AI133" s="232">
        <f>+mamiabc!AI20+mamiabc!AI21</f>
        <v>2.950000035762787E-2</v>
      </c>
      <c r="AJ133" s="232">
        <f>+mamiabc!AJ20+mamiabc!AJ21</f>
        <v>8.8999998569488526E-3</v>
      </c>
      <c r="AK133" s="232">
        <f>+mamiabc!AK20+mamiabc!AK21</f>
        <v>4.9000000953674317E-3</v>
      </c>
      <c r="AL133" s="232">
        <f>+mamiabc!AL20+mamiabc!AL21</f>
        <v>2.8999999538064001E-3</v>
      </c>
      <c r="AM133" s="232">
        <f>+mamiabc!AM20+mamiabc!AM21</f>
        <v>2.1999999061226845E-3</v>
      </c>
      <c r="AN133" s="232">
        <f>+mamiabc!AN20+mamiabc!AN21</f>
        <v>2.3999999538064001E-3</v>
      </c>
      <c r="AO133" s="232">
        <f>+mamiabc!AO20+mamiabc!AO21</f>
        <v>1.7000000476837158E-3</v>
      </c>
      <c r="AP133" s="232">
        <f>+mamiabc!AP20+mamiabc!AP21</f>
        <v>4.0000000000000001E-3</v>
      </c>
      <c r="AQ133" s="232">
        <f>+mamiabc!AQ20+mamiabc!AQ21</f>
        <v>2.5000000000000001E-3</v>
      </c>
      <c r="AR133" s="232">
        <f>+mamiabc!AR20+mamiabc!AR21</f>
        <v>1.2999999999999999E-3</v>
      </c>
      <c r="AS133" s="232">
        <f>+mamiabc!AS20+mamiabc!AS21</f>
        <v>1.3600000000000001E-2</v>
      </c>
      <c r="AT133" s="232">
        <f>+mamiabc!AT20+mamiabc!AT21</f>
        <v>0.2661</v>
      </c>
      <c r="AU133" s="232">
        <f>+mamiabc!AU20+mamiabc!AU21</f>
        <v>1.222</v>
      </c>
      <c r="AV133" s="232">
        <f>+mamiabc!AV20+mamiabc!AV21</f>
        <v>2.7805999999999997</v>
      </c>
      <c r="AW133" s="232">
        <f>+mamiabc!AW20+mamiabc!AW21</f>
        <v>2.8186999999999998</v>
      </c>
      <c r="AX133" s="232">
        <f>+mamiabc!AX20+mamiabc!AX21</f>
        <v>2.5804999999999998</v>
      </c>
      <c r="AY133" s="232">
        <f>+mamiabc!AY20+mamiabc!AY21</f>
        <v>7.8605</v>
      </c>
      <c r="AZ133" s="232">
        <f>+mamiabc!AZ20+mamiabc!AZ21</f>
        <v>22.161999999999999</v>
      </c>
      <c r="BA133" s="232">
        <f>+mamiabc!BA20+mamiabc!BA21</f>
        <v>11.448</v>
      </c>
      <c r="BB133" s="232">
        <f>+mamiabc!BB20+mamiabc!BB21</f>
        <v>16.54</v>
      </c>
      <c r="BC133" s="232">
        <f>+mamiabc!BC20+mamiabc!BC21</f>
        <v>30.225999999999999</v>
      </c>
      <c r="BD133" s="232">
        <f>+mamiabc!BD20+mamiabc!BD21</f>
        <v>42.930999999999997</v>
      </c>
      <c r="BE133" s="232">
        <f ca="1">+mamiabc!BE20+mamiabc!BE21</f>
        <v>27.046684915280508</v>
      </c>
      <c r="BF133" s="144">
        <f>SOURCE!BF224*BF196</f>
        <v>69.095624999999998</v>
      </c>
      <c r="BG133" s="144">
        <f>SOURCE!BG224*BG196</f>
        <v>120.50277000000001</v>
      </c>
      <c r="BH133" s="144">
        <f>SOURCE!BH224*BH196</f>
        <v>116.63341500000001</v>
      </c>
      <c r="BI133" s="144">
        <f>SOURCE!BI224*BI196</f>
        <v>82.361985000000004</v>
      </c>
      <c r="BJ133" s="144">
        <f>SOURCE!BJ224*BJ196</f>
        <v>72.135832500000006</v>
      </c>
      <c r="BK133" s="144">
        <f>SOURCE!BK224*BK196</f>
        <v>44.773965000000004</v>
      </c>
      <c r="BL133" s="144">
        <f>SOURCE!BL224*BL196</f>
        <v>74.899657500000004</v>
      </c>
      <c r="BM133" s="144">
        <f>SOURCE!BM224*BM196</f>
        <v>74.899657500000004</v>
      </c>
      <c r="BN133" s="144">
        <f>SOURCE!BN224*BN196</f>
        <v>59.698620000000005</v>
      </c>
      <c r="BO133" s="144">
        <f>SOURCE!BO224*BO196</f>
        <v>40.0754625</v>
      </c>
      <c r="BP133" s="144">
        <f>SOURCE!BP224*BP196</f>
        <v>133.9</v>
      </c>
      <c r="BQ133" s="144">
        <f>SOURCE!BQ224*BQ196</f>
        <v>206.52500000000001</v>
      </c>
      <c r="BR133" s="144">
        <f>SOURCE!BR224*BR196</f>
        <v>267.315</v>
      </c>
      <c r="BS133" s="144">
        <f>SOURCE!BS224*BS196</f>
        <v>173.02</v>
      </c>
      <c r="BT133" s="144">
        <f>SOURCE!BT224*BT196</f>
        <v>104.8</v>
      </c>
      <c r="BU133" s="109">
        <f t="shared" ref="BU133:CC133" si="352">BT133*(1+BU42/100)</f>
        <v>171.03360000000001</v>
      </c>
      <c r="BV133" s="109">
        <f t="shared" si="352"/>
        <v>174.454272</v>
      </c>
      <c r="BW133" s="109">
        <f t="shared" si="352"/>
        <v>177.94335744</v>
      </c>
      <c r="BX133" s="109">
        <f t="shared" si="352"/>
        <v>181.5022245888</v>
      </c>
      <c r="BY133" s="109">
        <f t="shared" si="352"/>
        <v>185.13226908057601</v>
      </c>
      <c r="BZ133" s="109">
        <f t="shared" si="352"/>
        <v>188.83491446218753</v>
      </c>
      <c r="CA133" s="109">
        <f t="shared" si="352"/>
        <v>192.61161275143127</v>
      </c>
      <c r="CB133" s="109">
        <f t="shared" si="352"/>
        <v>196.46384500645991</v>
      </c>
      <c r="CC133" s="109">
        <f t="shared" si="352"/>
        <v>200.3931219065891</v>
      </c>
      <c r="CD133" s="109">
        <f>CC133*(1+CD42/100)</f>
        <v>204.40098434472088</v>
      </c>
      <c r="CE133" s="109">
        <f>CD133*(1+CE42/100)</f>
        <v>208.48900403161531</v>
      </c>
      <c r="CF133" s="109">
        <f>CE133*(1+CF42/100)</f>
        <v>212.65878411224762</v>
      </c>
      <c r="CG133" s="109">
        <f>CF133*(1+CG42/100)</f>
        <v>216.91195979449256</v>
      </c>
      <c r="CH133" s="141"/>
      <c r="CI133" s="106">
        <f t="shared" si="314"/>
        <v>0</v>
      </c>
      <c r="CJ133" s="106">
        <f t="shared" si="315"/>
        <v>0</v>
      </c>
      <c r="CK133" s="106">
        <f t="shared" si="316"/>
        <v>0</v>
      </c>
      <c r="CL133" s="106">
        <f t="shared" si="317"/>
        <v>0</v>
      </c>
      <c r="CM133" s="106">
        <f t="shared" si="318"/>
        <v>21.379199999999997</v>
      </c>
      <c r="CN133" s="106">
        <f t="shared" si="319"/>
        <v>21.806783999999993</v>
      </c>
      <c r="CO133" s="106">
        <f t="shared" si="320"/>
        <v>22.24291968</v>
      </c>
      <c r="CP133" s="106">
        <f t="shared" si="321"/>
        <v>22.687778073600015</v>
      </c>
      <c r="CQ133" s="106">
        <f t="shared" si="322"/>
        <v>23.141533635072022</v>
      </c>
      <c r="CR133" s="106">
        <f t="shared" si="323"/>
        <v>23.604364307773466</v>
      </c>
      <c r="CS133" s="106">
        <f t="shared" si="324"/>
        <v>24.076451593928908</v>
      </c>
      <c r="CT133" s="106">
        <f t="shared" si="325"/>
        <v>24.557980625807488</v>
      </c>
      <c r="CU133" s="106">
        <f t="shared" si="326"/>
        <v>25.049140238323645</v>
      </c>
      <c r="CV133" s="106">
        <f t="shared" si="327"/>
        <v>25.55012304309011</v>
      </c>
      <c r="CW133" s="106">
        <f t="shared" si="328"/>
        <v>26.061125503951928</v>
      </c>
      <c r="CX133" s="106">
        <f t="shared" si="329"/>
        <v>26.58234801403097</v>
      </c>
      <c r="CY133" s="106">
        <f t="shared" si="330"/>
        <v>27.113994974311566</v>
      </c>
      <c r="CZ133" s="134"/>
      <c r="DA133" s="135">
        <v>206.52500000000001</v>
      </c>
      <c r="DB133" s="135">
        <v>267.315</v>
      </c>
      <c r="DC133" s="135">
        <v>173.02</v>
      </c>
      <c r="DD133" s="135">
        <v>104.8</v>
      </c>
      <c r="DE133" s="135">
        <v>149.65440000000001</v>
      </c>
      <c r="DF133" s="135">
        <v>152.64748800000001</v>
      </c>
      <c r="DG133" s="135">
        <v>155.70043776</v>
      </c>
      <c r="DH133" s="135">
        <v>158.81444651519999</v>
      </c>
      <c r="DI133" s="135">
        <v>161.99073544550399</v>
      </c>
      <c r="DJ133" s="135">
        <v>165.23055015441406</v>
      </c>
      <c r="DK133" s="135">
        <v>168.53516115750236</v>
      </c>
      <c r="DL133" s="135">
        <v>171.90586438065242</v>
      </c>
      <c r="DM133" s="135">
        <v>175.34398166826546</v>
      </c>
      <c r="DN133" s="135">
        <v>178.85086130163077</v>
      </c>
      <c r="DO133" s="135">
        <v>182.42787852766338</v>
      </c>
      <c r="DP133" s="135">
        <v>186.07643609821665</v>
      </c>
      <c r="DQ133" s="135">
        <v>189.79796482018099</v>
      </c>
    </row>
    <row r="134" spans="1:121" s="123" customFormat="1">
      <c r="A134" s="178" t="s">
        <v>1846</v>
      </c>
      <c r="B134" s="107"/>
      <c r="C134" s="136" t="s">
        <v>1579</v>
      </c>
      <c r="D134" s="147"/>
      <c r="E134" s="107"/>
      <c r="F134" s="512">
        <f>+mamiabc!F28+mamiabc!F29</f>
        <v>8.0000000000000002E-3</v>
      </c>
      <c r="G134" s="232">
        <f>+mamiabc!G28+mamiabc!G29</f>
        <v>4.2999999999999991E-3</v>
      </c>
      <c r="H134" s="232">
        <f>+mamiabc!H28+mamiabc!H29</f>
        <v>1.1128980070352554E-2</v>
      </c>
      <c r="I134" s="232">
        <f>+mamiabc!I28+mamiabc!I29</f>
        <v>1.1548999786376954E-2</v>
      </c>
      <c r="J134" s="232">
        <f>+mamiabc!J28+mamiabc!J29</f>
        <v>9.8983396291732785E-3</v>
      </c>
      <c r="K134" s="232">
        <f>+mamiabc!K28+mamiabc!K29</f>
        <v>2.3463000535964965E-2</v>
      </c>
      <c r="L134" s="232">
        <f>+mamiabc!L28+mamiabc!L29</f>
        <v>2.9004460096359253E-2</v>
      </c>
      <c r="M134" s="232">
        <f>+mamiabc!M28+mamiabc!M29</f>
        <v>2.7758399486541747E-2</v>
      </c>
      <c r="N134" s="232">
        <f>+mamiabc!N28+mamiabc!N29</f>
        <v>2.8698879241943358E-2</v>
      </c>
      <c r="O134" s="232">
        <f>+mamiabc!O28+mamiabc!O29</f>
        <v>3.2347240447998048E-2</v>
      </c>
      <c r="P134" s="232">
        <f>+mamiabc!P28+mamiabc!P29</f>
        <v>3.3530500411987303E-2</v>
      </c>
      <c r="Q134" s="232">
        <f>+mamiabc!Q28+mamiabc!Q29</f>
        <v>3.5834000587463381E-2</v>
      </c>
      <c r="R134" s="232">
        <f>+mamiabc!R28+mamiabc!R29</f>
        <v>3.8411998748779298E-2</v>
      </c>
      <c r="S134" s="232">
        <f>+mamiabc!S28+mamiabc!S29</f>
        <v>4.7234001159667964E-2</v>
      </c>
      <c r="T134" s="232">
        <f>+mamiabc!T28+mamiabc!T29</f>
        <v>7.7974999904632566E-2</v>
      </c>
      <c r="U134" s="232">
        <f>+mamiabc!U28+mamiabc!U29</f>
        <v>8.7540997505187984E-2</v>
      </c>
      <c r="V134" s="232">
        <f>+mamiabc!V28+mamiabc!V29</f>
        <v>8.1210997104644786E-2</v>
      </c>
      <c r="W134" s="232">
        <f>+mamiabc!W28+mamiabc!W29</f>
        <v>9.0649996995925894E-2</v>
      </c>
      <c r="X134" s="232">
        <f>+mamiabc!X28+mamiabc!X29</f>
        <v>8.3900001525878912E-2</v>
      </c>
      <c r="Y134" s="232">
        <f>+mamiabc!Y28+mamiabc!Y29</f>
        <v>7.4300000190734863E-2</v>
      </c>
      <c r="Z134" s="232">
        <f>+mamiabc!Z28+mamiabc!Z29</f>
        <v>7.0899998664855954E-2</v>
      </c>
      <c r="AA134" s="232">
        <f>+mamiabc!AA28+mamiabc!AA29</f>
        <v>6.5400001525878909E-2</v>
      </c>
      <c r="AB134" s="232">
        <f>+mamiabc!AB28+mamiabc!AB29</f>
        <v>8.6299996852874761E-2</v>
      </c>
      <c r="AC134" s="232">
        <f>+mamiabc!AC28+mamiabc!AC29</f>
        <v>7.399999713897705E-2</v>
      </c>
      <c r="AD134" s="232">
        <f>+mamiabc!AD28+mamiabc!AD29</f>
        <v>6.7999999046325685E-2</v>
      </c>
      <c r="AE134" s="232">
        <f>+mamiabc!AE28+mamiabc!AE29</f>
        <v>9.5100001335144041E-2</v>
      </c>
      <c r="AF134" s="232">
        <f>+mamiabc!AF28+mamiabc!AF29</f>
        <v>7.3599998474121103E-2</v>
      </c>
      <c r="AG134" s="232">
        <f>+mamiabc!AG28+mamiabc!AG29</f>
        <v>3.880000066757202E-2</v>
      </c>
      <c r="AH134" s="232">
        <f>+mamiabc!AH28+mamiabc!AH29</f>
        <v>4.9900000095367429E-2</v>
      </c>
      <c r="AI134" s="232">
        <f>+mamiabc!AI28+mamiabc!AI29</f>
        <v>4.8399998426437378E-2</v>
      </c>
      <c r="AJ134" s="232">
        <f>+mamiabc!AJ28+mamiabc!AJ29</f>
        <v>5.1000001430511477E-3</v>
      </c>
      <c r="AK134" s="232">
        <f>+mamiabc!AK28+mamiabc!AK29</f>
        <v>5.0000000000000001E-3</v>
      </c>
      <c r="AL134" s="232">
        <f>+mamiabc!AL28+mamiabc!AL29</f>
        <v>6.3999999761581421E-3</v>
      </c>
      <c r="AM134" s="232">
        <f>+mamiabc!AM28+mamiabc!AM29</f>
        <v>1.0500000357627869E-2</v>
      </c>
      <c r="AN134" s="232">
        <f>+mamiabc!AN28+mamiabc!AN29</f>
        <v>1.7800000190734862E-2</v>
      </c>
      <c r="AO134" s="232">
        <f>+mamiabc!AO28+mamiabc!AO29</f>
        <v>1.2800000190734863E-2</v>
      </c>
      <c r="AP134" s="232">
        <f>+mamiabc!AP28+mamiabc!AP29</f>
        <v>1.9200000000000002E-2</v>
      </c>
      <c r="AQ134" s="232">
        <f>+mamiabc!AQ28+mamiabc!AQ29</f>
        <v>2.2499999999999996E-2</v>
      </c>
      <c r="AR134" s="232">
        <f>+mamiabc!AR28+mamiabc!AR29</f>
        <v>1.4599999999999998E-2</v>
      </c>
      <c r="AS134" s="232">
        <f>+mamiabc!AS28+mamiabc!AS29</f>
        <v>0.26780000000000004</v>
      </c>
      <c r="AT134" s="232">
        <f>+mamiabc!AT28+mamiabc!AT29</f>
        <v>1.0037</v>
      </c>
      <c r="AU134" s="232">
        <f>+mamiabc!AU28+mamiabc!AU29</f>
        <v>2.4850000000000003</v>
      </c>
      <c r="AV134" s="232">
        <f>+mamiabc!AV28+mamiabc!AV29</f>
        <v>1.7546999999999997</v>
      </c>
      <c r="AW134" s="232">
        <f>+mamiabc!AW28+mamiabc!AW29</f>
        <v>3.9699999999999998</v>
      </c>
      <c r="AX134" s="232">
        <f>+mamiabc!AX28+mamiabc!AX29</f>
        <v>2.794</v>
      </c>
      <c r="AY134" s="232">
        <f>+mamiabc!AY28+mamiabc!AY29</f>
        <v>7.5620000000000003</v>
      </c>
      <c r="AZ134" s="232">
        <f>+mamiabc!AZ28+mamiabc!AZ29</f>
        <v>85.500999999999991</v>
      </c>
      <c r="BA134" s="232">
        <f>+mamiabc!BA28+mamiabc!BA29</f>
        <v>243.65099999999998</v>
      </c>
      <c r="BB134" s="232">
        <f>+mamiabc!BB28+mamiabc!BB29</f>
        <v>118.40100000000001</v>
      </c>
      <c r="BC134" s="232">
        <f>+mamiabc!BC28+mamiabc!BC29</f>
        <v>158.226</v>
      </c>
      <c r="BD134" s="232">
        <f>+mamiabc!BD28+mamiabc!BD29</f>
        <v>216.03200000000001</v>
      </c>
      <c r="BE134" s="232">
        <f ca="1">+mamiabc!BE28+mamiabc!BE29</f>
        <v>180.01780539836753</v>
      </c>
      <c r="BF134" s="144">
        <f>-SOURCE!BF225*BF196</f>
        <v>219.72408750000002</v>
      </c>
      <c r="BG134" s="144">
        <f>-SOURCE!BG225*BG196</f>
        <v>127.68871500000002</v>
      </c>
      <c r="BH134" s="144">
        <f>-SOURCE!BH225*BH196</f>
        <v>60.251385000000006</v>
      </c>
      <c r="BI134" s="144">
        <f>-SOURCE!BI225*BI196</f>
        <v>69.095624999999998</v>
      </c>
      <c r="BJ134" s="144">
        <f>-SOURCE!BJ225*BJ196</f>
        <v>360.40278000000006</v>
      </c>
      <c r="BK134" s="144">
        <f>-SOURCE!BK225*BK196</f>
        <v>769.17249750000008</v>
      </c>
      <c r="BL134" s="144">
        <f>-SOURCE!BL225*BL196</f>
        <v>606.93597</v>
      </c>
      <c r="BM134" s="144">
        <f>-SOURCE!BM225*BM196</f>
        <v>437.51349750000008</v>
      </c>
      <c r="BN134" s="144">
        <f>-SOURCE!BN225*BN196</f>
        <v>251.7844575</v>
      </c>
      <c r="BO134" s="144">
        <f>-SOURCE!BO225*BO196</f>
        <v>117.73894500000002</v>
      </c>
      <c r="BP134" s="144">
        <f>-SOURCE!BP225*BP196</f>
        <v>1275.3</v>
      </c>
      <c r="BQ134" s="144">
        <f>-SOURCE!BQ225*BQ196</f>
        <v>3636.3419999999996</v>
      </c>
      <c r="BR134" s="144">
        <f>-SOURCE!BR225*BR196</f>
        <v>3183.6840000000002</v>
      </c>
      <c r="BS134" s="144">
        <f>-SOURCE!BS225*BS196</f>
        <v>3560.4399999999996</v>
      </c>
      <c r="BT134" s="144">
        <f>-SOURCE!BT225*BT196</f>
        <v>5035.6399999999994</v>
      </c>
      <c r="BU134" s="109">
        <f>(BT134-BT110)*(1+BU42/100)+BU110+Assumptions!BU48*BU196</f>
        <v>8197.7692785441413</v>
      </c>
      <c r="BV134" s="109">
        <f>(BU134-BU110)*(1+BV42/100)+BV110+Assumptions!BV48*BV196</f>
        <v>8341.3294626591669</v>
      </c>
      <c r="BW134" s="109">
        <f>(BV134-BV110)*(1+BW42/100)+BW110+Assumptions!BW48*BW196</f>
        <v>8487.7608504564923</v>
      </c>
      <c r="BX134" s="109">
        <f>(BW134-BW110)*(1+BX42/100)+BX110+Assumptions!BX48*BX196</f>
        <v>8637.1208660097636</v>
      </c>
      <c r="BY134" s="109">
        <f>(BX134-BX110)*(1+BY42/100)+BY110+Assumptions!BY48*BY196</f>
        <v>8789.4680818741017</v>
      </c>
      <c r="BZ134" s="109">
        <f>(BY134-BY110)*(1+BZ42/100)+BZ110+Assumptions!BZ48*BZ196</f>
        <v>8944.8622420557258</v>
      </c>
      <c r="CA134" s="109">
        <f>(BZ134-BZ110)*(1+CA42/100)+CA110+Assumptions!CA48*CA196</f>
        <v>9103.3642854409827</v>
      </c>
      <c r="CB134" s="109">
        <f>(CA134-CA110)*(1+CB42/100)+CB110+Assumptions!CB48*CB196</f>
        <v>9265.0363696939457</v>
      </c>
      <c r="CC134" s="109">
        <f>(CB134-CB110)*(1+CC42/100)+CC110+Assumptions!CC48*CC196</f>
        <v>9429.941895631966</v>
      </c>
      <c r="CD134" s="109">
        <f>(CC134-CC110)*(1+CD42/100)+CD110+Assumptions!CD48*CD196</f>
        <v>9598.1455320887471</v>
      </c>
      <c r="CE134" s="109">
        <f>(CD134-CD110)*(1+CE42/100)+CE110+Assumptions!CE48*CE196</f>
        <v>9769.7132412746632</v>
      </c>
      <c r="CF134" s="109">
        <f>(CE134-CE110)*(1+CF42/100)+CF110+Assumptions!CF48*CF196</f>
        <v>9944.7123046442975</v>
      </c>
      <c r="CG134" s="109">
        <f>(CF134-CF110)*(1+CG42/100)+CG110+Assumptions!CG48*CG196</f>
        <v>10123.211349281326</v>
      </c>
      <c r="CH134" s="141"/>
      <c r="CI134" s="106">
        <f t="shared" si="314"/>
        <v>0</v>
      </c>
      <c r="CJ134" s="106">
        <f t="shared" si="315"/>
        <v>0</v>
      </c>
      <c r="CK134" s="106">
        <f t="shared" si="316"/>
        <v>0</v>
      </c>
      <c r="CL134" s="106">
        <f t="shared" si="317"/>
        <v>0</v>
      </c>
      <c r="CM134" s="106">
        <f t="shared" si="318"/>
        <v>920.94236892831577</v>
      </c>
      <c r="CN134" s="106">
        <f t="shared" si="319"/>
        <v>835.10860105299435</v>
      </c>
      <c r="CO134" s="106">
        <f t="shared" si="320"/>
        <v>749.63373363795836</v>
      </c>
      <c r="CP134" s="106">
        <f t="shared" si="321"/>
        <v>664.52494469241628</v>
      </c>
      <c r="CQ134" s="106">
        <f t="shared" si="322"/>
        <v>579.78955578575733</v>
      </c>
      <c r="CR134" s="106">
        <f t="shared" si="323"/>
        <v>495.4350349187589</v>
      </c>
      <c r="CS134" s="106">
        <f t="shared" si="324"/>
        <v>411.46899945221594</v>
      </c>
      <c r="CT134" s="106">
        <f t="shared" si="325"/>
        <v>327.89921909413715</v>
      </c>
      <c r="CU134" s="106">
        <f t="shared" si="326"/>
        <v>244.73361894668778</v>
      </c>
      <c r="CV134" s="106">
        <f t="shared" si="327"/>
        <v>161.98028261408399</v>
      </c>
      <c r="CW134" s="106">
        <f t="shared" si="328"/>
        <v>79.647455372622062</v>
      </c>
      <c r="CX134" s="106">
        <f t="shared" si="329"/>
        <v>-2.2564525958769082</v>
      </c>
      <c r="CY134" s="106">
        <f t="shared" si="330"/>
        <v>-83.722862905950024</v>
      </c>
      <c r="CZ134" s="134"/>
      <c r="DA134" s="135">
        <v>3636.3419999999996</v>
      </c>
      <c r="DB134" s="135">
        <v>3183.6840000000002</v>
      </c>
      <c r="DC134" s="135">
        <v>3560.4399999999996</v>
      </c>
      <c r="DD134" s="135">
        <v>5035.6399999999994</v>
      </c>
      <c r="DE134" s="135">
        <v>7276.8269096158256</v>
      </c>
      <c r="DF134" s="135">
        <v>7506.2208616061725</v>
      </c>
      <c r="DG134" s="135">
        <v>7738.127116818534</v>
      </c>
      <c r="DH134" s="135">
        <v>7972.5959213173473</v>
      </c>
      <c r="DI134" s="135">
        <v>8209.6785260883444</v>
      </c>
      <c r="DJ134" s="135">
        <v>8449.4272071369669</v>
      </c>
      <c r="DK134" s="135">
        <v>8691.8952859887668</v>
      </c>
      <c r="DL134" s="135">
        <v>8937.1371505998086</v>
      </c>
      <c r="DM134" s="135">
        <v>9185.2082766852782</v>
      </c>
      <c r="DN134" s="135">
        <v>9436.1652494746631</v>
      </c>
      <c r="DO134" s="135">
        <v>9690.0657859020412</v>
      </c>
      <c r="DP134" s="135">
        <v>9946.9687572401745</v>
      </c>
      <c r="DQ134" s="135">
        <v>10206.934212187276</v>
      </c>
    </row>
    <row r="135" spans="1:121" s="123" customFormat="1">
      <c r="A135" s="138" t="s">
        <v>1847</v>
      </c>
      <c r="B135" s="107"/>
      <c r="C135" s="136" t="s">
        <v>1579</v>
      </c>
      <c r="D135" s="147"/>
      <c r="E135" s="107"/>
      <c r="F135" s="512">
        <f>+mamiabc!F22-mamiabc!F30</f>
        <v>-5.0000000000000001E-4</v>
      </c>
      <c r="G135" s="232">
        <f>+mamiabc!G22-mamiabc!G30</f>
        <v>-5.0000000000000001E-4</v>
      </c>
      <c r="H135" s="232">
        <f>+mamiabc!H22-mamiabc!H30</f>
        <v>-1.7223854064941405E-3</v>
      </c>
      <c r="I135" s="232">
        <f>+mamiabc!I22-mamiabc!I30</f>
        <v>-2.0706267356872558E-3</v>
      </c>
      <c r="J135" s="232">
        <f>+mamiabc!J22-mamiabc!J30</f>
        <v>-2.1953413486480713E-3</v>
      </c>
      <c r="K135" s="232">
        <f>+mamiabc!K22-mamiabc!K30</f>
        <v>-2.4671094417572023E-3</v>
      </c>
      <c r="L135" s="232">
        <f>+mamiabc!L22-mamiabc!L30</f>
        <v>-2.7579457759857179E-3</v>
      </c>
      <c r="M135" s="232">
        <f>+mamiabc!M22-mamiabc!M30</f>
        <v>-3.7937061786651612E-3</v>
      </c>
      <c r="N135" s="232">
        <f>+mamiabc!N22-mamiabc!N30</f>
        <v>-4.1579456329345699E-3</v>
      </c>
      <c r="O135" s="232">
        <f>+mamiabc!O22-mamiabc!O30</f>
        <v>-2.9842956066131591E-3</v>
      </c>
      <c r="P135" s="232">
        <f>+mamiabc!P22-mamiabc!P30</f>
        <v>-3.0955884456634521E-3</v>
      </c>
      <c r="Q135" s="232">
        <f>+mamiabc!Q22-mamiabc!Q30</f>
        <v>-2.2449998855590819E-3</v>
      </c>
      <c r="R135" s="232">
        <f>+mamiabc!R22-mamiabc!R30</f>
        <v>-2.1449999809265135E-3</v>
      </c>
      <c r="S135" s="232">
        <f>+mamiabc!S22-mamiabc!S30</f>
        <v>-2.299999952316284E-3</v>
      </c>
      <c r="T135" s="232">
        <f>+mamiabc!T22-mamiabc!T30</f>
        <v>-2.1250000000000002E-3</v>
      </c>
      <c r="U135" s="232">
        <f>+mamiabc!U22-mamiabc!U30</f>
        <v>-2.3099999427795411E-3</v>
      </c>
      <c r="V135" s="232">
        <f>+mamiabc!V22-mamiabc!V30</f>
        <v>-2.4400000572204592E-3</v>
      </c>
      <c r="W135" s="232">
        <f>+mamiabc!W22-mamiabc!W30</f>
        <v>-2.805000066757202E-3</v>
      </c>
      <c r="X135" s="232">
        <f>+mamiabc!X22-mamiabc!X30</f>
        <v>-4.2999997138977045E-3</v>
      </c>
      <c r="Y135" s="232">
        <f>+mamiabc!Y22-mamiabc!Y30</f>
        <v>-3.5999999046325689E-3</v>
      </c>
      <c r="Z135" s="232">
        <f>+mamiabc!Z22-mamiabc!Z30</f>
        <v>-5.8000001907348633E-3</v>
      </c>
      <c r="AA135" s="232">
        <f>+mamiabc!AA22-mamiabc!AA30</f>
        <v>-3.1999998092651361E-3</v>
      </c>
      <c r="AB135" s="232">
        <f>+mamiabc!AB22-mamiabc!AB30</f>
        <v>3.0000000000000009E-3</v>
      </c>
      <c r="AC135" s="232">
        <f>+mamiabc!AC22-mamiabc!AC30</f>
        <v>5.7000007629394531E-3</v>
      </c>
      <c r="AD135" s="232">
        <f>+mamiabc!AD22-mamiabc!AD30</f>
        <v>1.6199999809265137E-2</v>
      </c>
      <c r="AE135" s="232">
        <f>+mamiabc!AE22-mamiabc!AE30</f>
        <v>1.3399999618530275E-2</v>
      </c>
      <c r="AF135" s="232">
        <f>+mamiabc!AF22-mamiabc!AF30</f>
        <v>1.3699998855590822E-2</v>
      </c>
      <c r="AG135" s="232">
        <f>+mamiabc!AG22-mamiabc!AG30</f>
        <v>8.5999984741210941E-3</v>
      </c>
      <c r="AH135" s="232">
        <f>+mamiabc!AH22-mamiabc!AH30</f>
        <v>-2.699998855590819E-3</v>
      </c>
      <c r="AI135" s="232">
        <f>+mamiabc!AI22-mamiabc!AI30</f>
        <v>-1.2299999237060544E-2</v>
      </c>
      <c r="AJ135" s="232">
        <f>+mamiabc!AJ22-mamiabc!AJ30</f>
        <v>9.5750007629394548E-3</v>
      </c>
      <c r="AK135" s="232">
        <f>+mamiabc!AK22-mamiabc!AK30</f>
        <v>8.029900074005128E-2</v>
      </c>
      <c r="AL135" s="232">
        <f>+mamiabc!AL22-mamiabc!AL30</f>
        <v>0.23852200889587402</v>
      </c>
      <c r="AM135" s="232">
        <f>+mamiabc!AM22-mamiabc!AM30</f>
        <v>0.64400002479553231</v>
      </c>
      <c r="AN135" s="232">
        <f>+mamiabc!AN22-mamiabc!AN30</f>
        <v>0.93785002422332764</v>
      </c>
      <c r="AO135" s="232">
        <f>+mamiabc!AO22-mamiabc!AO30</f>
        <v>1.1842800045013429</v>
      </c>
      <c r="AP135" s="232">
        <f>+mamiabc!AP22-mamiabc!AP30</f>
        <v>1.9427000000000001</v>
      </c>
      <c r="AQ135" s="232">
        <f>+mamiabc!AQ22-mamiabc!AQ30</f>
        <v>3.2159000000000004</v>
      </c>
      <c r="AR135" s="232">
        <f>+mamiabc!AR22-mamiabc!AR30</f>
        <v>4.7510000000000003</v>
      </c>
      <c r="AS135" s="232">
        <f>+mamiabc!AS22-mamiabc!AS30</f>
        <v>8.1284999999999989</v>
      </c>
      <c r="AT135" s="232">
        <f>+mamiabc!AT22-mamiabc!AT30</f>
        <v>27.197700000000001</v>
      </c>
      <c r="AU135" s="232">
        <f>+mamiabc!AU22-mamiabc!AU30</f>
        <v>59.176627499999995</v>
      </c>
      <c r="AV135" s="232">
        <f>+mamiabc!AV22-mamiabc!AV30</f>
        <v>53.808147499999997</v>
      </c>
      <c r="AW135" s="232">
        <f>+mamiabc!AW22-mamiabc!AW30</f>
        <v>25.3888</v>
      </c>
      <c r="AX135" s="232">
        <f>+mamiabc!AX22-mamiabc!AX30</f>
        <v>-0.86919999999999997</v>
      </c>
      <c r="AY135" s="232">
        <f>+mamiabc!AY22-mamiabc!AY30</f>
        <v>-1.4925000000000002</v>
      </c>
      <c r="AZ135" s="232">
        <f>+mamiabc!AZ22-mamiabc!AZ30</f>
        <v>-2.5960000000000001</v>
      </c>
      <c r="BA135" s="232">
        <f>+mamiabc!BA22-mamiabc!BA30</f>
        <v>-1.7290000000000001</v>
      </c>
      <c r="BB135" s="232">
        <f>+mamiabc!BB22-mamiabc!BB30</f>
        <v>-20.628</v>
      </c>
      <c r="BC135" s="232">
        <f>+mamiabc!BC22-mamiabc!BC30</f>
        <v>-14.981999999999999</v>
      </c>
      <c r="BD135" s="232">
        <f>+mamiabc!BD22-mamiabc!BD30</f>
        <v>35.225999999999999</v>
      </c>
      <c r="BE135" s="232">
        <f ca="1">+mamiabc!BE22-mamiabc!BE30</f>
        <v>23.449293142712804</v>
      </c>
      <c r="BF135" s="144">
        <f>SOURCE!BF226*BF196</f>
        <v>99.221317499999998</v>
      </c>
      <c r="BG135" s="144">
        <f>SOURCE!BG226*BG196</f>
        <v>213.92005500000002</v>
      </c>
      <c r="BH135" s="144">
        <f>SOURCE!BH226*BH196</f>
        <v>250.12616250000002</v>
      </c>
      <c r="BI135" s="144">
        <f>SOURCE!BI226*BI196</f>
        <v>259.79955000000001</v>
      </c>
      <c r="BJ135" s="144">
        <f>SOURCE!BJ226*BJ196</f>
        <v>239.0708625</v>
      </c>
      <c r="BK135" s="144">
        <f>SOURCE!BK226*BK196</f>
        <v>241.28192250000001</v>
      </c>
      <c r="BL135" s="144">
        <f>SOURCE!BL226*BL196</f>
        <v>201.20645999999999</v>
      </c>
      <c r="BM135" s="144">
        <f>SOURCE!BM226*BM196</f>
        <v>184.07074499999999</v>
      </c>
      <c r="BN135" s="144">
        <f>SOURCE!BN226*BN196</f>
        <v>196.78434000000001</v>
      </c>
      <c r="BO135" s="144">
        <f>SOURCE!BO226*BO196</f>
        <v>180.47777250000001</v>
      </c>
      <c r="BP135" s="144">
        <f>SOURCE!BP226*BP196</f>
        <v>661.69999999999993</v>
      </c>
      <c r="BQ135" s="144">
        <f>SOURCE!BQ226*BQ196</f>
        <v>748.74699999999996</v>
      </c>
      <c r="BR135" s="144">
        <f>SOURCE!BR226*BR196</f>
        <v>774.08400000000006</v>
      </c>
      <c r="BS135" s="144">
        <f>SOURCE!BS226*BS196</f>
        <v>735.54</v>
      </c>
      <c r="BT135" s="144">
        <f>SOURCE!BT226*BT196</f>
        <v>1528.7699999999998</v>
      </c>
      <c r="BU135" s="109">
        <f>BT135*(1+BU42/100)*(1+Assumptions!BU32/100)</f>
        <v>2534.8718822400001</v>
      </c>
      <c r="BV135" s="109">
        <f>BU135*(1+BV42/100)*(1+Assumptions!BV32/100)</f>
        <v>2626.938429002957</v>
      </c>
      <c r="BW135" s="109">
        <f>BV135*(1+BW42/100)*(1+Assumptions!BW32/100)</f>
        <v>2722.3488327443447</v>
      </c>
      <c r="BX135" s="109">
        <f>BW135*(1+BX42/100)*(1+Assumptions!BX32/100)</f>
        <v>2821.2245423496192</v>
      </c>
      <c r="BY135" s="109">
        <f>BX135*(1+BY42/100)*(1+Assumptions!BY32/100)</f>
        <v>2923.6914177277572</v>
      </c>
      <c r="BZ135" s="109">
        <f>BY135*(1+BZ42/100)*(1+Assumptions!BZ32/100)</f>
        <v>3029.8798900196293</v>
      </c>
      <c r="CA135" s="109">
        <f>BZ135*(1+CA42/100)*(1+Assumptions!CA32/100)</f>
        <v>3139.9251276251425</v>
      </c>
      <c r="CB135" s="109">
        <f>CA135*(1+CB42/100)*(1+Assumptions!CB32/100)</f>
        <v>3253.967208260488</v>
      </c>
      <c r="CC135" s="109">
        <f>CB135*(1+CC42/100)*(1+Assumptions!CC32/100)</f>
        <v>3372.1512972645091</v>
      </c>
      <c r="CD135" s="109">
        <f>CC135*(1+CD42/100)*(1+Assumptions!CD32/100)</f>
        <v>3494.6278323811562</v>
      </c>
      <c r="CE135" s="109">
        <f>CD135*(1+CE42/100)*(1+Assumptions!CE32/100)</f>
        <v>3621.55271525324</v>
      </c>
      <c r="CF135" s="109">
        <f>CE135*(1+CF42/100)*(1+Assumptions!CF32/100)</f>
        <v>3753.0875098712377</v>
      </c>
      <c r="CG135" s="109">
        <f>CF135*(1+CG42/100)*(1+Assumptions!CG32/100)</f>
        <v>3889.3996482297612</v>
      </c>
      <c r="CH135" s="141"/>
      <c r="CI135" s="106">
        <f t="shared" si="314"/>
        <v>0</v>
      </c>
      <c r="CJ135" s="106">
        <f t="shared" si="315"/>
        <v>0</v>
      </c>
      <c r="CK135" s="106">
        <f t="shared" si="316"/>
        <v>0</v>
      </c>
      <c r="CL135" s="106">
        <f t="shared" si="317"/>
        <v>0</v>
      </c>
      <c r="CM135" s="106">
        <f t="shared" si="318"/>
        <v>316.85898528000007</v>
      </c>
      <c r="CN135" s="106">
        <f t="shared" si="319"/>
        <v>328.36730362536991</v>
      </c>
      <c r="CO135" s="106">
        <f t="shared" si="320"/>
        <v>340.29360409304354</v>
      </c>
      <c r="CP135" s="106">
        <f t="shared" si="321"/>
        <v>352.65306779370258</v>
      </c>
      <c r="CQ135" s="106">
        <f t="shared" si="322"/>
        <v>365.46142721596971</v>
      </c>
      <c r="CR135" s="106">
        <f t="shared" si="323"/>
        <v>378.73498625245384</v>
      </c>
      <c r="CS135" s="106">
        <f t="shared" si="324"/>
        <v>392.49064095314316</v>
      </c>
      <c r="CT135" s="106">
        <f t="shared" si="325"/>
        <v>406.74590103256151</v>
      </c>
      <c r="CU135" s="106">
        <f t="shared" si="326"/>
        <v>421.51891215806427</v>
      </c>
      <c r="CV135" s="106">
        <f t="shared" si="327"/>
        <v>436.82847904764503</v>
      </c>
      <c r="CW135" s="106">
        <f t="shared" si="328"/>
        <v>452.69408940665562</v>
      </c>
      <c r="CX135" s="106">
        <f t="shared" si="329"/>
        <v>469.13593873390528</v>
      </c>
      <c r="CY135" s="106">
        <f t="shared" si="330"/>
        <v>486.17495602872077</v>
      </c>
      <c r="CZ135" s="134"/>
      <c r="DA135" s="135">
        <v>748.74699999999996</v>
      </c>
      <c r="DB135" s="135">
        <v>774.08400000000006</v>
      </c>
      <c r="DC135" s="135">
        <v>735.54</v>
      </c>
      <c r="DD135" s="135">
        <v>1528.7699999999998</v>
      </c>
      <c r="DE135" s="135">
        <v>2218.01289696</v>
      </c>
      <c r="DF135" s="135">
        <v>2298.5711253775871</v>
      </c>
      <c r="DG135" s="135">
        <v>2382.0552286513011</v>
      </c>
      <c r="DH135" s="135">
        <v>2468.5714745559167</v>
      </c>
      <c r="DI135" s="135">
        <v>2558.2299905117875</v>
      </c>
      <c r="DJ135" s="135">
        <v>2651.1449037671755</v>
      </c>
      <c r="DK135" s="135">
        <v>2747.4344866719994</v>
      </c>
      <c r="DL135" s="135">
        <v>2847.2213072279264</v>
      </c>
      <c r="DM135" s="135">
        <v>2950.6323851064449</v>
      </c>
      <c r="DN135" s="135">
        <v>3057.7993533335111</v>
      </c>
      <c r="DO135" s="135">
        <v>3168.8586258465843</v>
      </c>
      <c r="DP135" s="135">
        <v>3283.9515711373324</v>
      </c>
      <c r="DQ135" s="135">
        <v>3403.2246922010404</v>
      </c>
    </row>
    <row r="136" spans="1:121" s="112" customFormat="1">
      <c r="A136" s="145" t="s">
        <v>2144</v>
      </c>
      <c r="B136" s="145"/>
      <c r="C136" s="146" t="s">
        <v>1579</v>
      </c>
      <c r="D136" s="147"/>
      <c r="E136" s="145"/>
      <c r="F136" s="600">
        <f>mamiabc!F67</f>
        <v>2.8999999999999998E-3</v>
      </c>
      <c r="G136" s="599">
        <f>mamiabc!G67</f>
        <v>2.8999999999999998E-3</v>
      </c>
      <c r="H136" s="599">
        <f>mamiabc!H67</f>
        <v>8.8000001907348625E-3</v>
      </c>
      <c r="I136" s="599">
        <f>mamiabc!I67</f>
        <v>1.4300000190734864E-2</v>
      </c>
      <c r="J136" s="599">
        <f>mamiabc!J67</f>
        <v>1.4500000000000001E-2</v>
      </c>
      <c r="K136" s="599">
        <f>mamiabc!K67</f>
        <v>3.5099998474121097E-2</v>
      </c>
      <c r="L136" s="599">
        <f>mamiabc!L67</f>
        <v>3.2299999237060548E-2</v>
      </c>
      <c r="M136" s="599">
        <f>mamiabc!M67</f>
        <v>4.1599998474121096E-2</v>
      </c>
      <c r="N136" s="599">
        <f>mamiabc!N67</f>
        <v>5.0500000000000003E-2</v>
      </c>
      <c r="O136" s="599">
        <f>mamiabc!O67</f>
        <v>5.8500000000000003E-2</v>
      </c>
      <c r="P136" s="599">
        <f>mamiabc!P67</f>
        <v>9.1199996948242185E-2</v>
      </c>
      <c r="Q136" s="599">
        <f>mamiabc!Q67</f>
        <v>9.0999999999999998E-2</v>
      </c>
      <c r="R136" s="599">
        <f>mamiabc!R67</f>
        <v>3.1100000381469727E-2</v>
      </c>
      <c r="S136" s="599">
        <f>mamiabc!S67</f>
        <v>2.3700000762939454E-2</v>
      </c>
      <c r="T136" s="599">
        <f>mamiabc!T67</f>
        <v>4.2000000000000003E-2</v>
      </c>
      <c r="U136" s="599">
        <f>mamiabc!U67</f>
        <v>3.2900001525878908E-2</v>
      </c>
      <c r="V136" s="599">
        <f>mamiabc!V67</f>
        <v>4.0099998474121094E-2</v>
      </c>
      <c r="W136" s="599">
        <f>mamiabc!W67</f>
        <v>1.4899999618530273E-2</v>
      </c>
      <c r="X136" s="599">
        <f>mamiabc!X67</f>
        <v>3.9E-2</v>
      </c>
      <c r="Y136" s="599">
        <f>mamiabc!Y67</f>
        <v>7.3300003051757809E-2</v>
      </c>
      <c r="Z136" s="599">
        <f>mamiabc!Z67</f>
        <v>6.0599998474121092E-2</v>
      </c>
      <c r="AA136" s="599">
        <f>mamiabc!AA67</f>
        <v>0.16350000000000001</v>
      </c>
      <c r="AB136" s="599">
        <f>mamiabc!AB67</f>
        <v>0.10309999847412109</v>
      </c>
      <c r="AC136" s="599">
        <f>mamiabc!AC67</f>
        <v>0.11290000152587891</v>
      </c>
      <c r="AD136" s="599">
        <f>mamiabc!AD67</f>
        <v>0.1275999984741211</v>
      </c>
      <c r="AE136" s="599">
        <f>mamiabc!AE67</f>
        <v>0.11269999694824219</v>
      </c>
      <c r="AF136" s="599">
        <f>mamiabc!AF67</f>
        <v>0.1605</v>
      </c>
      <c r="AG136" s="599">
        <f>mamiabc!AG67</f>
        <v>0.24069999694824218</v>
      </c>
      <c r="AH136" s="599">
        <f>mamiabc!AH67</f>
        <v>0.20699999999999999</v>
      </c>
      <c r="AI136" s="599">
        <f>mamiabc!AI67</f>
        <v>6.590000152587891E-2</v>
      </c>
      <c r="AJ136" s="599">
        <f>mamiabc!AJ67</f>
        <v>5.4000000953674313E-3</v>
      </c>
      <c r="AK136" s="599">
        <f>mamiabc!AK67</f>
        <v>3.9799999237060547E-2</v>
      </c>
      <c r="AL136" s="599">
        <f>mamiabc!AL67</f>
        <v>-5.7599998474121096E-2</v>
      </c>
      <c r="AM136" s="599">
        <f>mamiabc!AM67</f>
        <v>-0.11190000152587891</v>
      </c>
      <c r="AN136" s="599">
        <f>mamiabc!AN67</f>
        <v>-0.13830000305175782</v>
      </c>
      <c r="AO136" s="599">
        <f>mamiabc!AO67</f>
        <v>-0.26500000000000001</v>
      </c>
      <c r="AP136" s="599">
        <f>mamiabc!AP67</f>
        <v>1.55E-2</v>
      </c>
      <c r="AQ136" s="599">
        <f>mamiabc!AQ67</f>
        <v>9.290000000000001E-2</v>
      </c>
      <c r="AR136" s="599">
        <f>mamiabc!AR67</f>
        <v>3.8899999999999997E-2</v>
      </c>
      <c r="AS136" s="599">
        <f>mamiabc!AS67</f>
        <v>-1.6172</v>
      </c>
      <c r="AT136" s="599">
        <f>mamiabc!AT67</f>
        <v>-1.4397</v>
      </c>
      <c r="AU136" s="599">
        <f>mamiabc!AU67</f>
        <v>7.0614999999999997</v>
      </c>
      <c r="AV136" s="599">
        <f>mamiabc!AV67</f>
        <v>27.740400000000001</v>
      </c>
      <c r="AW136" s="599">
        <f>mamiabc!AW67</f>
        <v>16.5946</v>
      </c>
      <c r="AX136" s="599">
        <f>mamiabc!AX67</f>
        <v>13.152799999999999</v>
      </c>
      <c r="AY136" s="599">
        <f>mamiabc!AY67</f>
        <v>16.42409</v>
      </c>
      <c r="AZ136" s="599">
        <f>mamiabc!AZ67</f>
        <v>-95.228340000000003</v>
      </c>
      <c r="BA136" s="599">
        <f>mamiabc!BA67</f>
        <v>228.30680000000001</v>
      </c>
      <c r="BB136" s="599">
        <f>mamiabc!BB67</f>
        <v>-88.003124999999997</v>
      </c>
      <c r="BC136" s="599">
        <f>mamiabc!BC67</f>
        <v>-59.989750000000001</v>
      </c>
      <c r="BD136" s="599">
        <f>mamiabc!BD67</f>
        <v>-36.254250000000006</v>
      </c>
      <c r="BE136" s="599">
        <f>mamiabc!BE67</f>
        <v>-32.449899400769326</v>
      </c>
      <c r="BF136" s="112">
        <f>BF137+BF140</f>
        <v>-652.81546500000002</v>
      </c>
      <c r="BG136" s="112">
        <f t="shared" ref="BG136:BO136" si="353">BG137+BG140</f>
        <v>-990.27849749999996</v>
      </c>
      <c r="BH136" s="112">
        <f t="shared" si="353"/>
        <v>-45.050347500000044</v>
      </c>
      <c r="BI136" s="112">
        <f t="shared" si="353"/>
        <v>-145.92996000000002</v>
      </c>
      <c r="BJ136" s="112">
        <f t="shared" si="353"/>
        <v>-1237.3644525</v>
      </c>
      <c r="BK136" s="112">
        <f t="shared" si="353"/>
        <v>-137.91486750000004</v>
      </c>
      <c r="BL136" s="112">
        <f t="shared" si="353"/>
        <v>1370.0280525000001</v>
      </c>
      <c r="BM136" s="112">
        <f t="shared" si="353"/>
        <v>1186.23369</v>
      </c>
      <c r="BN136" s="112">
        <f t="shared" si="353"/>
        <v>1905.3809550000001</v>
      </c>
      <c r="BO136" s="112">
        <f t="shared" si="353"/>
        <v>2041.0847625000004</v>
      </c>
      <c r="BP136" s="112">
        <f>BP137+BP140</f>
        <v>2807.9999999999995</v>
      </c>
      <c r="BQ136" s="112">
        <f>BQ137+BQ140</f>
        <v>1998.1606666666664</v>
      </c>
      <c r="BR136" s="112">
        <f t="shared" ref="BR136:BZ136" si="354">BR137+BR140</f>
        <v>2252.223</v>
      </c>
      <c r="BS136" s="112">
        <f t="shared" si="354"/>
        <v>6376.32</v>
      </c>
      <c r="BT136" s="112">
        <f t="shared" si="354"/>
        <v>-3950.96</v>
      </c>
      <c r="BU136" s="112">
        <f t="shared" si="354"/>
        <v>-3882.7300699300695</v>
      </c>
      <c r="BV136" s="112">
        <f t="shared" si="354"/>
        <v>-3882.7300699300695</v>
      </c>
      <c r="BW136" s="112">
        <f t="shared" si="354"/>
        <v>-3882.7300699300695</v>
      </c>
      <c r="BX136" s="112">
        <f t="shared" si="354"/>
        <v>-3882.7300699300695</v>
      </c>
      <c r="BY136" s="112">
        <f t="shared" si="354"/>
        <v>-3882.7300699300695</v>
      </c>
      <c r="BZ136" s="112">
        <f t="shared" si="354"/>
        <v>-3882.7300699300695</v>
      </c>
      <c r="CA136" s="112">
        <f t="shared" ref="CA136:CG136" si="355">CA137+CA140</f>
        <v>-3882.7300699300695</v>
      </c>
      <c r="CB136" s="112">
        <f t="shared" si="355"/>
        <v>-3882.7300699300695</v>
      </c>
      <c r="CC136" s="112">
        <f t="shared" si="355"/>
        <v>-3882.7300699300695</v>
      </c>
      <c r="CD136" s="112">
        <f t="shared" si="355"/>
        <v>-3882.7300699300695</v>
      </c>
      <c r="CE136" s="112">
        <f t="shared" si="355"/>
        <v>-3882.7300699300695</v>
      </c>
      <c r="CF136" s="112">
        <f t="shared" si="355"/>
        <v>-3882.7300699300695</v>
      </c>
      <c r="CG136" s="112">
        <f t="shared" si="355"/>
        <v>-3882.7300699300695</v>
      </c>
      <c r="CH136" s="99"/>
      <c r="CI136" s="103">
        <f t="shared" si="314"/>
        <v>0</v>
      </c>
      <c r="CJ136" s="103">
        <f t="shared" ref="CJ136:CU136" si="356">BR136-DB136</f>
        <v>0</v>
      </c>
      <c r="CK136" s="103">
        <f t="shared" si="356"/>
        <v>0</v>
      </c>
      <c r="CL136" s="103">
        <f t="shared" si="356"/>
        <v>0</v>
      </c>
      <c r="CM136" s="103">
        <f t="shared" si="356"/>
        <v>-3199.6612587412583</v>
      </c>
      <c r="CN136" s="103">
        <f t="shared" si="356"/>
        <v>-3199.6612587412583</v>
      </c>
      <c r="CO136" s="103">
        <f t="shared" si="356"/>
        <v>-3199.6612587412583</v>
      </c>
      <c r="CP136" s="103">
        <f t="shared" si="356"/>
        <v>-3199.6612587412583</v>
      </c>
      <c r="CQ136" s="103">
        <f t="shared" si="356"/>
        <v>-3199.6612587412583</v>
      </c>
      <c r="CR136" s="103">
        <f t="shared" si="356"/>
        <v>-3199.6612587412583</v>
      </c>
      <c r="CS136" s="103">
        <f t="shared" si="356"/>
        <v>-3199.6612587412583</v>
      </c>
      <c r="CT136" s="103">
        <f t="shared" si="356"/>
        <v>-3199.6612587412583</v>
      </c>
      <c r="CU136" s="103">
        <f t="shared" si="356"/>
        <v>-3199.6612587412583</v>
      </c>
      <c r="CV136" s="103">
        <f t="shared" si="327"/>
        <v>-3199.6612587412583</v>
      </c>
      <c r="CW136" s="103">
        <f t="shared" si="328"/>
        <v>-3199.6612587412583</v>
      </c>
      <c r="CX136" s="103">
        <f t="shared" si="329"/>
        <v>-3199.6612587412583</v>
      </c>
      <c r="CY136" s="103">
        <f t="shared" si="330"/>
        <v>-3199.6612587412583</v>
      </c>
      <c r="CZ136" s="148"/>
      <c r="DA136" s="375">
        <v>1998.1606666666664</v>
      </c>
      <c r="DB136" s="375">
        <v>2252.223</v>
      </c>
      <c r="DC136" s="375">
        <v>6376.32</v>
      </c>
      <c r="DD136" s="375">
        <v>-3950.96</v>
      </c>
      <c r="DE136" s="375">
        <v>-683.06881118881097</v>
      </c>
      <c r="DF136" s="375">
        <v>-683.06881118881097</v>
      </c>
      <c r="DG136" s="375">
        <v>-683.06881118881097</v>
      </c>
      <c r="DH136" s="375">
        <v>-683.06881118881097</v>
      </c>
      <c r="DI136" s="375">
        <v>-683.06881118881097</v>
      </c>
      <c r="DJ136" s="375">
        <v>-683.06881118881097</v>
      </c>
      <c r="DK136" s="375">
        <v>-683.06881118881097</v>
      </c>
      <c r="DL136" s="375">
        <v>-683.06881118881097</v>
      </c>
      <c r="DM136" s="375">
        <v>-683.06881118881097</v>
      </c>
      <c r="DN136" s="375">
        <v>-683.06881118881097</v>
      </c>
      <c r="DO136" s="375">
        <v>-683.06881118881097</v>
      </c>
      <c r="DP136" s="375">
        <v>-683.06881118881097</v>
      </c>
      <c r="DQ136" s="375">
        <v>-683.06881118881097</v>
      </c>
    </row>
    <row r="137" spans="1:121">
      <c r="A137" s="194" t="s">
        <v>1848</v>
      </c>
      <c r="C137" s="132" t="s">
        <v>1579</v>
      </c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>
        <f>BF138-BF139</f>
        <v>53.341822500000006</v>
      </c>
      <c r="BG137" s="128">
        <f t="shared" ref="BG137:BO137" si="357">BG138-BG139</f>
        <v>22.386982500000002</v>
      </c>
      <c r="BH137" s="128">
        <f t="shared" si="357"/>
        <v>88.166017500000009</v>
      </c>
      <c r="BI137" s="128">
        <f t="shared" si="357"/>
        <v>244.32213000000004</v>
      </c>
      <c r="BJ137" s="128">
        <f t="shared" si="357"/>
        <v>148.9701675</v>
      </c>
      <c r="BK137" s="128">
        <f t="shared" si="357"/>
        <v>96.733875000000012</v>
      </c>
      <c r="BL137" s="128">
        <f t="shared" si="357"/>
        <v>23.768895000000001</v>
      </c>
      <c r="BM137" s="128">
        <f t="shared" si="357"/>
        <v>0.27638250000000003</v>
      </c>
      <c r="BN137" s="128">
        <f t="shared" si="357"/>
        <v>1.9346775</v>
      </c>
      <c r="BO137" s="128">
        <f t="shared" si="357"/>
        <v>3.8693550000000005</v>
      </c>
      <c r="BP137" s="128">
        <f t="shared" ref="BP137:BV137" si="358">BP138-BP139</f>
        <v>126.1</v>
      </c>
      <c r="BQ137" s="128">
        <f t="shared" si="358"/>
        <v>50.066666666666663</v>
      </c>
      <c r="BR137" s="128">
        <f t="shared" si="358"/>
        <v>6.7770000000000001</v>
      </c>
      <c r="BS137" s="128">
        <f t="shared" si="358"/>
        <v>33.619999999999997</v>
      </c>
      <c r="BT137" s="128">
        <f t="shared" si="358"/>
        <v>0</v>
      </c>
      <c r="BU137" s="128">
        <f t="shared" si="358"/>
        <v>0</v>
      </c>
      <c r="BV137" s="128">
        <f t="shared" si="358"/>
        <v>0</v>
      </c>
      <c r="BW137" s="128">
        <f t="shared" ref="BW137:CC137" si="359">BW138-BW139</f>
        <v>0</v>
      </c>
      <c r="BX137" s="128">
        <f t="shared" si="359"/>
        <v>0</v>
      </c>
      <c r="BY137" s="128">
        <f t="shared" si="359"/>
        <v>0</v>
      </c>
      <c r="BZ137" s="128">
        <f t="shared" si="359"/>
        <v>0</v>
      </c>
      <c r="CA137" s="128">
        <f t="shared" si="359"/>
        <v>0</v>
      </c>
      <c r="CB137" s="128">
        <f t="shared" si="359"/>
        <v>0</v>
      </c>
      <c r="CC137" s="128">
        <f t="shared" si="359"/>
        <v>0</v>
      </c>
      <c r="CD137" s="128">
        <f>CD138-CD139</f>
        <v>0</v>
      </c>
      <c r="CE137" s="128">
        <f>CE138-CE139</f>
        <v>0</v>
      </c>
      <c r="CF137" s="128">
        <f>CF138-CF139</f>
        <v>0</v>
      </c>
      <c r="CG137" s="128">
        <f>CG138-CG139</f>
        <v>0</v>
      </c>
      <c r="CI137" s="133">
        <f t="shared" si="314"/>
        <v>0</v>
      </c>
      <c r="CJ137" s="133">
        <f t="shared" si="315"/>
        <v>0</v>
      </c>
      <c r="CK137" s="133">
        <f t="shared" si="316"/>
        <v>0</v>
      </c>
      <c r="CL137" s="133">
        <f t="shared" si="317"/>
        <v>0</v>
      </c>
      <c r="CM137" s="133">
        <f t="shared" si="318"/>
        <v>0</v>
      </c>
      <c r="CN137" s="133">
        <f t="shared" si="319"/>
        <v>0</v>
      </c>
      <c r="CO137" s="133">
        <f t="shared" si="320"/>
        <v>0</v>
      </c>
      <c r="CP137" s="133">
        <f t="shared" si="321"/>
        <v>0</v>
      </c>
      <c r="CQ137" s="133">
        <f t="shared" si="322"/>
        <v>0</v>
      </c>
      <c r="CR137" s="133">
        <f t="shared" si="323"/>
        <v>0</v>
      </c>
      <c r="CS137" s="133">
        <f t="shared" si="324"/>
        <v>0</v>
      </c>
      <c r="CT137" s="133">
        <f t="shared" si="325"/>
        <v>0</v>
      </c>
      <c r="CU137" s="133">
        <f t="shared" si="326"/>
        <v>0</v>
      </c>
      <c r="CV137" s="133">
        <f t="shared" si="327"/>
        <v>0</v>
      </c>
      <c r="CW137" s="133">
        <f t="shared" si="328"/>
        <v>0</v>
      </c>
      <c r="CX137" s="133">
        <f t="shared" si="329"/>
        <v>0</v>
      </c>
      <c r="CY137" s="133">
        <f t="shared" si="330"/>
        <v>0</v>
      </c>
      <c r="DA137" s="104">
        <v>50.066666666666663</v>
      </c>
      <c r="DB137" s="104">
        <v>6.7770000000000001</v>
      </c>
      <c r="DC137" s="104">
        <v>33.619999999999997</v>
      </c>
      <c r="DD137" s="104">
        <v>0</v>
      </c>
      <c r="DE137" s="104">
        <v>0</v>
      </c>
      <c r="DF137" s="104">
        <v>0</v>
      </c>
      <c r="DG137" s="104">
        <v>0</v>
      </c>
      <c r="DH137" s="104">
        <v>0</v>
      </c>
      <c r="DI137" s="104">
        <v>0</v>
      </c>
      <c r="DJ137" s="104">
        <v>0</v>
      </c>
      <c r="DK137" s="104">
        <v>0</v>
      </c>
      <c r="DL137" s="104">
        <v>0</v>
      </c>
      <c r="DM137" s="104">
        <v>0</v>
      </c>
      <c r="DN137" s="104">
        <v>0</v>
      </c>
      <c r="DO137" s="104">
        <v>0</v>
      </c>
      <c r="DP137" s="104">
        <v>0</v>
      </c>
      <c r="DQ137" s="104">
        <v>0</v>
      </c>
    </row>
    <row r="138" spans="1:121" s="123" customFormat="1">
      <c r="A138" s="195" t="s">
        <v>1845</v>
      </c>
      <c r="B138" s="131"/>
      <c r="C138" s="132" t="s">
        <v>1579</v>
      </c>
      <c r="D138" s="147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3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44">
        <f>SOURCE!BF231*BF196</f>
        <v>53.341822500000006</v>
      </c>
      <c r="BG138" s="144">
        <f>SOURCE!BG231*BG196</f>
        <v>22.386982500000002</v>
      </c>
      <c r="BH138" s="144">
        <f>SOURCE!BH231*BH196</f>
        <v>88.166017500000009</v>
      </c>
      <c r="BI138" s="144">
        <f>SOURCE!BI231*BI196</f>
        <v>242.94021750000005</v>
      </c>
      <c r="BJ138" s="144">
        <f>SOURCE!BJ231*BJ196</f>
        <v>148.9701675</v>
      </c>
      <c r="BK138" s="144">
        <f>SOURCE!BK231*BK196</f>
        <v>96.733875000000012</v>
      </c>
      <c r="BL138" s="144">
        <f>SOURCE!BL231*BL196</f>
        <v>2.2110600000000002</v>
      </c>
      <c r="BM138" s="144">
        <f>SOURCE!BM231*BM196</f>
        <v>0.27638250000000003</v>
      </c>
      <c r="BN138" s="144">
        <f>SOURCE!BN231*BN196</f>
        <v>0.27638250000000003</v>
      </c>
      <c r="BO138" s="144">
        <f>SOURCE!BO231*BO196</f>
        <v>3.5929725000000006</v>
      </c>
      <c r="BP138" s="144">
        <f>SOURCE!BP231*BP196</f>
        <v>126.1</v>
      </c>
      <c r="BQ138" s="144">
        <f>SOURCE!BQ231*BQ196</f>
        <v>8.0106666666666655</v>
      </c>
      <c r="BR138" s="144">
        <f>SOURCE!BR231*BR196</f>
        <v>1.5060000000000002</v>
      </c>
      <c r="BS138" s="144">
        <f>SOURCE!BS231*BS196</f>
        <v>4.919999999999999</v>
      </c>
      <c r="BT138" s="144">
        <f>SOURCE!BT231*BT196</f>
        <v>0</v>
      </c>
      <c r="BU138" s="109">
        <f>BT138*(1+Assumptions!BU31/100)</f>
        <v>0</v>
      </c>
      <c r="BV138" s="109">
        <f>BU138*(1+Assumptions!BV31/100)</f>
        <v>0</v>
      </c>
      <c r="BW138" s="109">
        <f>BV138*(1+Assumptions!BW31/100)</f>
        <v>0</v>
      </c>
      <c r="BX138" s="109">
        <f>BW138*(1+Assumptions!BX31/100)</f>
        <v>0</v>
      </c>
      <c r="BY138" s="109">
        <f>BX138*(1+Assumptions!BY31/100)</f>
        <v>0</v>
      </c>
      <c r="BZ138" s="109">
        <f>BY138*(1+Assumptions!BZ31/100)</f>
        <v>0</v>
      </c>
      <c r="CA138" s="109">
        <f>BZ138*(1+Assumptions!CA31/100)</f>
        <v>0</v>
      </c>
      <c r="CB138" s="109">
        <f>CA138*(1+Assumptions!CB31/100)</f>
        <v>0</v>
      </c>
      <c r="CC138" s="109">
        <f>CB138*(1+Assumptions!CC31/100)</f>
        <v>0</v>
      </c>
      <c r="CD138" s="109">
        <f>CC138*(1+Assumptions!CD31/100)</f>
        <v>0</v>
      </c>
      <c r="CE138" s="109">
        <f>CD138*(1+Assumptions!CE31/100)</f>
        <v>0</v>
      </c>
      <c r="CF138" s="109">
        <f>CE138*(1+Assumptions!CF31/100)</f>
        <v>0</v>
      </c>
      <c r="CG138" s="109">
        <f>CF138*(1+Assumptions!CG31/100)</f>
        <v>0</v>
      </c>
      <c r="CH138" s="141"/>
      <c r="CI138" s="106">
        <f t="shared" si="314"/>
        <v>0</v>
      </c>
      <c r="CJ138" s="106">
        <f t="shared" si="315"/>
        <v>0</v>
      </c>
      <c r="CK138" s="106">
        <f t="shared" si="316"/>
        <v>0</v>
      </c>
      <c r="CL138" s="106">
        <f t="shared" si="317"/>
        <v>0</v>
      </c>
      <c r="CM138" s="106">
        <f t="shared" si="318"/>
        <v>0</v>
      </c>
      <c r="CN138" s="106">
        <f t="shared" si="319"/>
        <v>0</v>
      </c>
      <c r="CO138" s="106">
        <f t="shared" si="320"/>
        <v>0</v>
      </c>
      <c r="CP138" s="106">
        <f t="shared" si="321"/>
        <v>0</v>
      </c>
      <c r="CQ138" s="106">
        <f t="shared" si="322"/>
        <v>0</v>
      </c>
      <c r="CR138" s="106">
        <f t="shared" si="323"/>
        <v>0</v>
      </c>
      <c r="CS138" s="106">
        <f t="shared" si="324"/>
        <v>0</v>
      </c>
      <c r="CT138" s="106">
        <f t="shared" si="325"/>
        <v>0</v>
      </c>
      <c r="CU138" s="106">
        <f t="shared" si="326"/>
        <v>0</v>
      </c>
      <c r="CV138" s="106">
        <f t="shared" si="327"/>
        <v>0</v>
      </c>
      <c r="CW138" s="106">
        <f t="shared" si="328"/>
        <v>0</v>
      </c>
      <c r="CX138" s="106">
        <f t="shared" si="329"/>
        <v>0</v>
      </c>
      <c r="CY138" s="106">
        <f t="shared" si="330"/>
        <v>0</v>
      </c>
      <c r="CZ138" s="134"/>
      <c r="DA138" s="135">
        <v>8.0106666666666655</v>
      </c>
      <c r="DB138" s="135">
        <v>1.5060000000000002</v>
      </c>
      <c r="DC138" s="135">
        <v>4.919999999999999</v>
      </c>
      <c r="DD138" s="135">
        <v>0</v>
      </c>
      <c r="DE138" s="135">
        <v>0</v>
      </c>
      <c r="DF138" s="135">
        <v>0</v>
      </c>
      <c r="DG138" s="135">
        <v>0</v>
      </c>
      <c r="DH138" s="135">
        <v>0</v>
      </c>
      <c r="DI138" s="135">
        <v>0</v>
      </c>
      <c r="DJ138" s="135">
        <v>0</v>
      </c>
      <c r="DK138" s="135">
        <v>0</v>
      </c>
      <c r="DL138" s="135">
        <v>0</v>
      </c>
      <c r="DM138" s="135">
        <v>0</v>
      </c>
      <c r="DN138" s="135">
        <v>0</v>
      </c>
      <c r="DO138" s="135">
        <v>0</v>
      </c>
      <c r="DP138" s="135">
        <v>0</v>
      </c>
      <c r="DQ138" s="135">
        <v>0</v>
      </c>
    </row>
    <row r="139" spans="1:121" s="123" customFormat="1">
      <c r="A139" s="178" t="s">
        <v>1846</v>
      </c>
      <c r="B139" s="107"/>
      <c r="C139" s="136" t="s">
        <v>1579</v>
      </c>
      <c r="D139" s="14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6"/>
      <c r="BF139" s="144">
        <f>SOURCE!BF232*BF196</f>
        <v>0</v>
      </c>
      <c r="BG139" s="144">
        <f>SOURCE!BG232*BG196</f>
        <v>0</v>
      </c>
      <c r="BH139" s="144">
        <f>SOURCE!BH232*BH196</f>
        <v>0</v>
      </c>
      <c r="BI139" s="144">
        <f>SOURCE!BI232*BI196</f>
        <v>-1.3819125000000001</v>
      </c>
      <c r="BJ139" s="144">
        <f>SOURCE!BJ232*BJ196</f>
        <v>0</v>
      </c>
      <c r="BK139" s="144">
        <f>SOURCE!BK232*BK196</f>
        <v>0</v>
      </c>
      <c r="BL139" s="144">
        <f>SOURCE!BL232*BL196</f>
        <v>-21.557835000000001</v>
      </c>
      <c r="BM139" s="144">
        <f>SOURCE!BM232*BM196</f>
        <v>0</v>
      </c>
      <c r="BN139" s="144">
        <f>SOURCE!BN232*BN196</f>
        <v>-1.6582950000000001</v>
      </c>
      <c r="BO139" s="144">
        <f>SOURCE!BO232*BO196</f>
        <v>-0.27638250000000003</v>
      </c>
      <c r="BP139" s="144">
        <f>SOURCE!BP232*BP196</f>
        <v>0</v>
      </c>
      <c r="BQ139" s="144">
        <f>SOURCE!BQ232*BQ196</f>
        <v>-42.055999999999997</v>
      </c>
      <c r="BR139" s="144">
        <f>SOURCE!BR232*BR196</f>
        <v>-5.2709999999999999</v>
      </c>
      <c r="BS139" s="144">
        <f>SOURCE!BS232*BS196</f>
        <v>-28.699999999999996</v>
      </c>
      <c r="BT139" s="144">
        <f>SOURCE!BT232*BT196</f>
        <v>0</v>
      </c>
      <c r="BU139" s="109">
        <f>BT139*(1+Assumptions!BU31/100)</f>
        <v>0</v>
      </c>
      <c r="BV139" s="109">
        <f>BU139*(1+Assumptions!BV31/100)</f>
        <v>0</v>
      </c>
      <c r="BW139" s="109">
        <f>BV139*(1+Assumptions!BW31/100)</f>
        <v>0</v>
      </c>
      <c r="BX139" s="109">
        <f>BW139*(1+Assumptions!BX31/100)</f>
        <v>0</v>
      </c>
      <c r="BY139" s="109">
        <f>BX139*(1+Assumptions!BY31/100)</f>
        <v>0</v>
      </c>
      <c r="BZ139" s="109">
        <f>BY139*(1+Assumptions!BZ31/100)</f>
        <v>0</v>
      </c>
      <c r="CA139" s="109">
        <f>BZ139*(1+Assumptions!CA31/100)</f>
        <v>0</v>
      </c>
      <c r="CB139" s="109">
        <f>CA139*(1+Assumptions!CB31/100)</f>
        <v>0</v>
      </c>
      <c r="CC139" s="109">
        <f>CB139*(1+Assumptions!CC31/100)</f>
        <v>0</v>
      </c>
      <c r="CD139" s="109">
        <f>CC139*(1+Assumptions!CD31/100)</f>
        <v>0</v>
      </c>
      <c r="CE139" s="109">
        <f>CD139*(1+Assumptions!CE31/100)</f>
        <v>0</v>
      </c>
      <c r="CF139" s="109">
        <f>CE139*(1+Assumptions!CF31/100)</f>
        <v>0</v>
      </c>
      <c r="CG139" s="109">
        <f>CF139*(1+Assumptions!CG31/100)</f>
        <v>0</v>
      </c>
      <c r="CH139" s="196"/>
      <c r="CI139" s="106">
        <f t="shared" si="314"/>
        <v>0</v>
      </c>
      <c r="CJ139" s="106">
        <f t="shared" si="315"/>
        <v>0</v>
      </c>
      <c r="CK139" s="106">
        <f t="shared" si="316"/>
        <v>0</v>
      </c>
      <c r="CL139" s="106">
        <f t="shared" si="317"/>
        <v>0</v>
      </c>
      <c r="CM139" s="106">
        <f t="shared" si="318"/>
        <v>0</v>
      </c>
      <c r="CN139" s="106">
        <f t="shared" si="319"/>
        <v>0</v>
      </c>
      <c r="CO139" s="106">
        <f t="shared" si="320"/>
        <v>0</v>
      </c>
      <c r="CP139" s="106">
        <f t="shared" si="321"/>
        <v>0</v>
      </c>
      <c r="CQ139" s="106">
        <f t="shared" si="322"/>
        <v>0</v>
      </c>
      <c r="CR139" s="106">
        <f t="shared" si="323"/>
        <v>0</v>
      </c>
      <c r="CS139" s="106">
        <f t="shared" si="324"/>
        <v>0</v>
      </c>
      <c r="CT139" s="106">
        <f t="shared" si="325"/>
        <v>0</v>
      </c>
      <c r="CU139" s="106">
        <f t="shared" si="326"/>
        <v>0</v>
      </c>
      <c r="CV139" s="106">
        <f t="shared" si="327"/>
        <v>0</v>
      </c>
      <c r="CW139" s="106">
        <f t="shared" si="328"/>
        <v>0</v>
      </c>
      <c r="CX139" s="106">
        <f t="shared" si="329"/>
        <v>0</v>
      </c>
      <c r="CY139" s="106">
        <f t="shared" si="330"/>
        <v>0</v>
      </c>
      <c r="CZ139" s="134"/>
      <c r="DA139" s="135">
        <v>-42.055999999999997</v>
      </c>
      <c r="DB139" s="135">
        <v>-5.2709999999999999</v>
      </c>
      <c r="DC139" s="135">
        <v>-28.699999999999996</v>
      </c>
      <c r="DD139" s="135">
        <v>0</v>
      </c>
      <c r="DE139" s="135">
        <v>0</v>
      </c>
      <c r="DF139" s="135">
        <v>0</v>
      </c>
      <c r="DG139" s="135">
        <v>0</v>
      </c>
      <c r="DH139" s="135">
        <v>0</v>
      </c>
      <c r="DI139" s="135">
        <v>0</v>
      </c>
      <c r="DJ139" s="135">
        <v>0</v>
      </c>
      <c r="DK139" s="135">
        <v>0</v>
      </c>
      <c r="DL139" s="135">
        <v>0</v>
      </c>
      <c r="DM139" s="135">
        <v>0</v>
      </c>
      <c r="DN139" s="135">
        <v>0</v>
      </c>
      <c r="DO139" s="135">
        <v>0</v>
      </c>
      <c r="DP139" s="135">
        <v>0</v>
      </c>
      <c r="DQ139" s="135">
        <v>0</v>
      </c>
    </row>
    <row r="140" spans="1:121" s="114" customFormat="1">
      <c r="A140" s="138" t="s">
        <v>1849</v>
      </c>
      <c r="B140" s="107"/>
      <c r="C140" s="136" t="s">
        <v>1579</v>
      </c>
      <c r="D140" s="648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BF140" s="114">
        <f>BF141+BF142</f>
        <v>-706.15728750000005</v>
      </c>
      <c r="BG140" s="114">
        <f t="shared" ref="BG140:BO140" si="360">BG141+BG142</f>
        <v>-1012.66548</v>
      </c>
      <c r="BH140" s="114">
        <f t="shared" si="360"/>
        <v>-133.21636500000005</v>
      </c>
      <c r="BI140" s="114">
        <f t="shared" si="360"/>
        <v>-390.25209000000007</v>
      </c>
      <c r="BJ140" s="114">
        <f t="shared" si="360"/>
        <v>-1386.3346200000001</v>
      </c>
      <c r="BK140" s="114">
        <f t="shared" si="360"/>
        <v>-234.64874250000005</v>
      </c>
      <c r="BL140" s="114">
        <f t="shared" si="360"/>
        <v>1346.2591575000001</v>
      </c>
      <c r="BM140" s="114">
        <f t="shared" si="360"/>
        <v>1185.9573075000001</v>
      </c>
      <c r="BN140" s="114">
        <f t="shared" si="360"/>
        <v>1903.4462775000002</v>
      </c>
      <c r="BO140" s="114">
        <f t="shared" si="360"/>
        <v>2037.2154075000003</v>
      </c>
      <c r="BP140" s="114">
        <f>BP141+BP142</f>
        <v>2681.8999999999996</v>
      </c>
      <c r="BQ140" s="114">
        <f>BQ141+BQ142</f>
        <v>1948.0939999999998</v>
      </c>
      <c r="BR140" s="114">
        <f t="shared" ref="BR140:BZ140" si="361">BR141+BR142</f>
        <v>2245.4459999999999</v>
      </c>
      <c r="BS140" s="114">
        <f t="shared" si="361"/>
        <v>6342.7</v>
      </c>
      <c r="BT140" s="114">
        <f t="shared" si="361"/>
        <v>-3950.96</v>
      </c>
      <c r="BU140" s="114">
        <f t="shared" si="361"/>
        <v>-3882.7300699300695</v>
      </c>
      <c r="BV140" s="114">
        <f t="shared" si="361"/>
        <v>-3882.7300699300695</v>
      </c>
      <c r="BW140" s="114">
        <f t="shared" si="361"/>
        <v>-3882.7300699300695</v>
      </c>
      <c r="BX140" s="114">
        <f t="shared" si="361"/>
        <v>-3882.7300699300695</v>
      </c>
      <c r="BY140" s="114">
        <f t="shared" si="361"/>
        <v>-3882.7300699300695</v>
      </c>
      <c r="BZ140" s="114">
        <f t="shared" si="361"/>
        <v>-3882.7300699300695</v>
      </c>
      <c r="CA140" s="114">
        <f t="shared" ref="CA140:CG140" si="362">CA141+CA142</f>
        <v>-3882.7300699300695</v>
      </c>
      <c r="CB140" s="114">
        <f t="shared" si="362"/>
        <v>-3882.7300699300695</v>
      </c>
      <c r="CC140" s="114">
        <f t="shared" si="362"/>
        <v>-3882.7300699300695</v>
      </c>
      <c r="CD140" s="114">
        <f t="shared" si="362"/>
        <v>-3882.7300699300695</v>
      </c>
      <c r="CE140" s="114">
        <f t="shared" si="362"/>
        <v>-3882.7300699300695</v>
      </c>
      <c r="CF140" s="114">
        <f t="shared" si="362"/>
        <v>-3882.7300699300695</v>
      </c>
      <c r="CG140" s="114">
        <f t="shared" si="362"/>
        <v>-3882.7300699300695</v>
      </c>
      <c r="CH140" s="137"/>
      <c r="CI140" s="106">
        <f t="shared" si="314"/>
        <v>0</v>
      </c>
      <c r="CJ140" s="106">
        <f t="shared" ref="CJ140:CU140" si="363">BR140-DB140</f>
        <v>0</v>
      </c>
      <c r="CK140" s="106">
        <f t="shared" si="363"/>
        <v>0</v>
      </c>
      <c r="CL140" s="106">
        <f t="shared" si="363"/>
        <v>0</v>
      </c>
      <c r="CM140" s="106">
        <f t="shared" si="363"/>
        <v>-3199.6612587412583</v>
      </c>
      <c r="CN140" s="106">
        <f t="shared" si="363"/>
        <v>-3199.6612587412583</v>
      </c>
      <c r="CO140" s="106">
        <f t="shared" si="363"/>
        <v>-3199.6612587412583</v>
      </c>
      <c r="CP140" s="106">
        <f t="shared" si="363"/>
        <v>-3199.6612587412583</v>
      </c>
      <c r="CQ140" s="106">
        <f t="shared" si="363"/>
        <v>-3199.6612587412583</v>
      </c>
      <c r="CR140" s="106">
        <f t="shared" si="363"/>
        <v>-3199.6612587412583</v>
      </c>
      <c r="CS140" s="106">
        <f t="shared" si="363"/>
        <v>-3199.6612587412583</v>
      </c>
      <c r="CT140" s="106">
        <f t="shared" si="363"/>
        <v>-3199.6612587412583</v>
      </c>
      <c r="CU140" s="106">
        <f t="shared" si="363"/>
        <v>-3199.6612587412583</v>
      </c>
      <c r="CV140" s="106">
        <f t="shared" si="327"/>
        <v>-3199.6612587412583</v>
      </c>
      <c r="CW140" s="106">
        <f t="shared" si="328"/>
        <v>-3199.6612587412583</v>
      </c>
      <c r="CX140" s="106">
        <f t="shared" si="329"/>
        <v>-3199.6612587412583</v>
      </c>
      <c r="CY140" s="106">
        <f t="shared" si="330"/>
        <v>-3199.6612587412583</v>
      </c>
      <c r="CZ140" s="197"/>
      <c r="DA140" s="389">
        <v>1948.0939999999998</v>
      </c>
      <c r="DB140" s="389">
        <v>2245.4459999999999</v>
      </c>
      <c r="DC140" s="389">
        <v>6342.7</v>
      </c>
      <c r="DD140" s="389">
        <v>-3950.96</v>
      </c>
      <c r="DE140" s="389">
        <v>-683.06881118881097</v>
      </c>
      <c r="DF140" s="389">
        <v>-683.06881118881097</v>
      </c>
      <c r="DG140" s="389">
        <v>-683.06881118881097</v>
      </c>
      <c r="DH140" s="389">
        <v>-683.06881118881097</v>
      </c>
      <c r="DI140" s="389">
        <v>-683.06881118881097</v>
      </c>
      <c r="DJ140" s="389">
        <v>-683.06881118881097</v>
      </c>
      <c r="DK140" s="389">
        <v>-683.06881118881097</v>
      </c>
      <c r="DL140" s="389">
        <v>-683.06881118881097</v>
      </c>
      <c r="DM140" s="389">
        <v>-683.06881118881097</v>
      </c>
      <c r="DN140" s="389">
        <v>-683.06881118881097</v>
      </c>
      <c r="DO140" s="389">
        <v>-683.06881118881097</v>
      </c>
      <c r="DP140" s="389">
        <v>-683.06881118881097</v>
      </c>
      <c r="DQ140" s="389">
        <v>-683.06881118881097</v>
      </c>
    </row>
    <row r="141" spans="1:121" s="123" customFormat="1">
      <c r="A141" s="178" t="s">
        <v>826</v>
      </c>
      <c r="B141" s="107"/>
      <c r="C141" s="136" t="s">
        <v>1579</v>
      </c>
      <c r="D141" s="644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98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44">
        <f>SOURCE!BF237*BF196</f>
        <v>-451.60900500000002</v>
      </c>
      <c r="BG141" s="144">
        <f>SOURCE!BG237*BG196</f>
        <v>-681.83562749999999</v>
      </c>
      <c r="BH141" s="144">
        <f>SOURCE!BH237*BH196</f>
        <v>-639.54910500000005</v>
      </c>
      <c r="BI141" s="144">
        <f>SOURCE!BI237*BI196</f>
        <v>-258.14125500000006</v>
      </c>
      <c r="BJ141" s="144">
        <f>SOURCE!BJ237*BJ196</f>
        <v>-684.59945249999998</v>
      </c>
      <c r="BK141" s="144">
        <f>SOURCE!BK237*BK196</f>
        <v>201.48284250000003</v>
      </c>
      <c r="BL141" s="144">
        <f>SOURCE!BL237*BL196</f>
        <v>477.58896000000004</v>
      </c>
      <c r="BM141" s="144">
        <f>SOURCE!BM237*BM196</f>
        <v>518.49356999999998</v>
      </c>
      <c r="BN141" s="144">
        <f>SOURCE!BN237*BN196</f>
        <v>453.54368249999999</v>
      </c>
      <c r="BO141" s="144">
        <f>SOURCE!BO237*BO196</f>
        <v>769.7252625000001</v>
      </c>
      <c r="BP141" s="144">
        <f>SOURCE!BP237*BP196</f>
        <v>1950</v>
      </c>
      <c r="BQ141" s="144">
        <f>SOURCE!BQ237*BQ196</f>
        <v>737.48199999999997</v>
      </c>
      <c r="BR141" s="144">
        <f>SOURCE!BR237*BR196</f>
        <v>897.57600000000002</v>
      </c>
      <c r="BS141" s="144">
        <f>SOURCE!BS237*BS196</f>
        <v>-159.89999999999998</v>
      </c>
      <c r="BT141" s="144">
        <f>SOURCE!BT237*BT196</f>
        <v>-1302.1400000000001</v>
      </c>
      <c r="BU141" s="551">
        <f>Assumptions!BU20*BU196</f>
        <v>0</v>
      </c>
      <c r="BV141" s="551">
        <f>Assumptions!BV20*BV196</f>
        <v>0</v>
      </c>
      <c r="BW141" s="551">
        <f>Assumptions!BW20*BW196</f>
        <v>0</v>
      </c>
      <c r="BX141" s="551">
        <f>Assumptions!BX20*BX196</f>
        <v>0</v>
      </c>
      <c r="BY141" s="551">
        <f>Assumptions!BY20*BY196</f>
        <v>0</v>
      </c>
      <c r="BZ141" s="551">
        <f>Assumptions!BZ20*BZ196</f>
        <v>0</v>
      </c>
      <c r="CA141" s="551">
        <f>Assumptions!CA20*CA196</f>
        <v>0</v>
      </c>
      <c r="CB141" s="551">
        <f>Assumptions!CB20*CB196</f>
        <v>0</v>
      </c>
      <c r="CC141" s="551">
        <f>Assumptions!CC20*CC196</f>
        <v>0</v>
      </c>
      <c r="CD141" s="551">
        <f>Assumptions!CD20*CD196</f>
        <v>0</v>
      </c>
      <c r="CE141" s="551">
        <f>Assumptions!CE20*CE196</f>
        <v>0</v>
      </c>
      <c r="CF141" s="551">
        <f>Assumptions!CF20*CF196</f>
        <v>0</v>
      </c>
      <c r="CG141" s="551">
        <f>Assumptions!CG20*CG196</f>
        <v>0</v>
      </c>
      <c r="CH141" s="141"/>
      <c r="CI141" s="106">
        <f t="shared" si="314"/>
        <v>0</v>
      </c>
      <c r="CJ141" s="106">
        <f t="shared" si="315"/>
        <v>0</v>
      </c>
      <c r="CK141" s="106">
        <f t="shared" si="316"/>
        <v>0</v>
      </c>
      <c r="CL141" s="106">
        <f t="shared" si="317"/>
        <v>0</v>
      </c>
      <c r="CM141" s="106">
        <f t="shared" si="318"/>
        <v>-146.72</v>
      </c>
      <c r="CN141" s="106">
        <f t="shared" si="319"/>
        <v>-146.72</v>
      </c>
      <c r="CO141" s="106">
        <f t="shared" si="320"/>
        <v>-146.72</v>
      </c>
      <c r="CP141" s="106">
        <f t="shared" si="321"/>
        <v>-146.72</v>
      </c>
      <c r="CQ141" s="106">
        <f t="shared" si="322"/>
        <v>-146.72</v>
      </c>
      <c r="CR141" s="106">
        <f t="shared" si="323"/>
        <v>-146.72</v>
      </c>
      <c r="CS141" s="106">
        <f t="shared" si="324"/>
        <v>-146.72</v>
      </c>
      <c r="CT141" s="106">
        <f t="shared" si="325"/>
        <v>-146.72</v>
      </c>
      <c r="CU141" s="106">
        <f t="shared" si="326"/>
        <v>-146.72</v>
      </c>
      <c r="CV141" s="106">
        <f t="shared" si="327"/>
        <v>-146.72</v>
      </c>
      <c r="CW141" s="106">
        <f t="shared" si="328"/>
        <v>-146.72</v>
      </c>
      <c r="CX141" s="106">
        <f t="shared" si="329"/>
        <v>-146.72</v>
      </c>
      <c r="CY141" s="106">
        <f t="shared" si="330"/>
        <v>-146.72</v>
      </c>
      <c r="CZ141" s="134"/>
      <c r="DA141" s="135">
        <v>737.48199999999997</v>
      </c>
      <c r="DB141" s="135">
        <v>897.57600000000002</v>
      </c>
      <c r="DC141" s="135">
        <v>-159.89999999999998</v>
      </c>
      <c r="DD141" s="135">
        <v>-1302.1400000000001</v>
      </c>
      <c r="DE141" s="135">
        <v>146.72</v>
      </c>
      <c r="DF141" s="135">
        <v>146.72</v>
      </c>
      <c r="DG141" s="135">
        <v>146.72</v>
      </c>
      <c r="DH141" s="135">
        <v>146.72</v>
      </c>
      <c r="DI141" s="135">
        <v>146.72</v>
      </c>
      <c r="DJ141" s="135">
        <v>146.72</v>
      </c>
      <c r="DK141" s="135">
        <v>146.72</v>
      </c>
      <c r="DL141" s="135">
        <v>146.72</v>
      </c>
      <c r="DM141" s="135">
        <v>146.72</v>
      </c>
      <c r="DN141" s="135">
        <v>146.72</v>
      </c>
      <c r="DO141" s="135">
        <v>146.72</v>
      </c>
      <c r="DP141" s="135">
        <v>146.72</v>
      </c>
      <c r="DQ141" s="135">
        <v>146.72</v>
      </c>
    </row>
    <row r="142" spans="1:121" s="123" customFormat="1">
      <c r="A142" s="178" t="s">
        <v>3068</v>
      </c>
      <c r="B142" s="107"/>
      <c r="C142" s="136" t="s">
        <v>1579</v>
      </c>
      <c r="D142" s="644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98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44">
        <f>(SOURCE!BF240+SOURCE!BF243+SOURCE!BF246+SOURCE!BF250)*BF196</f>
        <v>-254.5482825</v>
      </c>
      <c r="BG142" s="144">
        <f>(SOURCE!BG240+SOURCE!BG243+SOURCE!BG246+SOURCE!BG250)*BG196</f>
        <v>-330.82985250000002</v>
      </c>
      <c r="BH142" s="144">
        <f>(SOURCE!BH240+SOURCE!BH243+SOURCE!BH246+SOURCE!BH250)*BH196</f>
        <v>506.33274</v>
      </c>
      <c r="BI142" s="144">
        <f>(SOURCE!BI240+SOURCE!BI243+SOURCE!BI246+SOURCE!BI250)*BI196</f>
        <v>-132.11083500000004</v>
      </c>
      <c r="BJ142" s="144">
        <f>(SOURCE!BJ240+SOURCE!BJ243+SOURCE!BJ246+SOURCE!BJ250)*BJ196</f>
        <v>-701.73516749999999</v>
      </c>
      <c r="BK142" s="144">
        <f>(SOURCE!BK240+SOURCE!BK243+SOURCE!BK246+SOURCE!BK250)*BK196</f>
        <v>-436.13158500000009</v>
      </c>
      <c r="BL142" s="144">
        <f>(SOURCE!BL240+SOURCE!BL243+SOURCE!BL246+SOURCE!BL250)*BL196</f>
        <v>868.67019749999997</v>
      </c>
      <c r="BM142" s="144">
        <f>(SOURCE!BM240+SOURCE!BM243+SOURCE!BM246+SOURCE!BM250)*BM196</f>
        <v>667.46373750000009</v>
      </c>
      <c r="BN142" s="144">
        <f>(SOURCE!BN240+SOURCE!BN243+SOURCE!BN246+SOURCE!BN250)*BN196</f>
        <v>1449.9025950000002</v>
      </c>
      <c r="BO142" s="144">
        <f>(SOURCE!BO240+SOURCE!BO243+SOURCE!BO246+SOURCE!BO250)*BO196</f>
        <v>1267.4901450000002</v>
      </c>
      <c r="BP142" s="144">
        <f>(SOURCE!BP240+SOURCE!BP243+SOURCE!BP246+SOURCE!BP250)*BP196</f>
        <v>731.89999999999964</v>
      </c>
      <c r="BQ142" s="144">
        <f>(SOURCE!BQ240+SOURCE!BQ243+SOURCE!BQ246+SOURCE!BQ250)*BQ196</f>
        <v>1210.6119999999999</v>
      </c>
      <c r="BR142" s="144">
        <f>(SOURCE!BR240+SOURCE!BR243+SOURCE!BR246+SOURCE!BR250)*BR196</f>
        <v>1347.8700000000001</v>
      </c>
      <c r="BS142" s="144">
        <f>(SOURCE!BS240+SOURCE!BS243+SOURCE!BS246+SOURCE!BS250)*BS196</f>
        <v>6502.5999999999995</v>
      </c>
      <c r="BT142" s="144">
        <f>(SOURCE!BT240+SOURCE!BT243+SOURCE!BT246+SOURCE!BT250)*BT196</f>
        <v>-2648.82</v>
      </c>
      <c r="BU142" s="123">
        <f t="shared" ref="BU142:BZ142" si="364">+BU143+BU144</f>
        <v>-3882.7300699300695</v>
      </c>
      <c r="BV142" s="123">
        <f t="shared" si="364"/>
        <v>-3882.7300699300695</v>
      </c>
      <c r="BW142" s="123">
        <f t="shared" si="364"/>
        <v>-3882.7300699300695</v>
      </c>
      <c r="BX142" s="123">
        <f t="shared" si="364"/>
        <v>-3882.7300699300695</v>
      </c>
      <c r="BY142" s="123">
        <f t="shared" si="364"/>
        <v>-3882.7300699300695</v>
      </c>
      <c r="BZ142" s="123">
        <f t="shared" si="364"/>
        <v>-3882.7300699300695</v>
      </c>
      <c r="CA142" s="123">
        <f t="shared" ref="CA142:CG142" si="365">+CA143+CA144</f>
        <v>-3882.7300699300695</v>
      </c>
      <c r="CB142" s="123">
        <f t="shared" si="365"/>
        <v>-3882.7300699300695</v>
      </c>
      <c r="CC142" s="123">
        <f t="shared" si="365"/>
        <v>-3882.7300699300695</v>
      </c>
      <c r="CD142" s="123">
        <f t="shared" si="365"/>
        <v>-3882.7300699300695</v>
      </c>
      <c r="CE142" s="123">
        <f t="shared" si="365"/>
        <v>-3882.7300699300695</v>
      </c>
      <c r="CF142" s="123">
        <f t="shared" si="365"/>
        <v>-3882.7300699300695</v>
      </c>
      <c r="CG142" s="123">
        <f t="shared" si="365"/>
        <v>-3882.7300699300695</v>
      </c>
      <c r="CI142" s="106">
        <f t="shared" si="314"/>
        <v>0</v>
      </c>
      <c r="CJ142" s="106">
        <f t="shared" ref="CJ142:CU142" si="366">BR142-DB142</f>
        <v>0</v>
      </c>
      <c r="CK142" s="106">
        <f t="shared" si="366"/>
        <v>0</v>
      </c>
      <c r="CL142" s="106">
        <f t="shared" si="366"/>
        <v>0</v>
      </c>
      <c r="CM142" s="106">
        <f t="shared" si="366"/>
        <v>-3052.9412587412585</v>
      </c>
      <c r="CN142" s="106">
        <f t="shared" si="366"/>
        <v>-3052.9412587412585</v>
      </c>
      <c r="CO142" s="106">
        <f t="shared" si="366"/>
        <v>-3052.9412587412585</v>
      </c>
      <c r="CP142" s="106">
        <f t="shared" si="366"/>
        <v>-3052.9412587412585</v>
      </c>
      <c r="CQ142" s="106">
        <f t="shared" si="366"/>
        <v>-3052.9412587412585</v>
      </c>
      <c r="CR142" s="106">
        <f t="shared" si="366"/>
        <v>-3052.9412587412585</v>
      </c>
      <c r="CS142" s="106">
        <f t="shared" si="366"/>
        <v>-3052.9412587412585</v>
      </c>
      <c r="CT142" s="106">
        <f t="shared" si="366"/>
        <v>-3052.9412587412585</v>
      </c>
      <c r="CU142" s="106">
        <f t="shared" si="366"/>
        <v>-3052.9412587412585</v>
      </c>
      <c r="CV142" s="106">
        <f t="shared" si="327"/>
        <v>-3052.9412587412585</v>
      </c>
      <c r="CW142" s="106">
        <f t="shared" si="328"/>
        <v>-3052.9412587412585</v>
      </c>
      <c r="CX142" s="106">
        <f t="shared" si="329"/>
        <v>-3052.9412587412585</v>
      </c>
      <c r="CY142" s="106">
        <f t="shared" si="330"/>
        <v>-3052.9412587412585</v>
      </c>
      <c r="CZ142" s="134"/>
      <c r="DA142" s="135">
        <v>1210.6119999999999</v>
      </c>
      <c r="DB142" s="135">
        <v>1347.8700000000001</v>
      </c>
      <c r="DC142" s="135">
        <v>6502.5999999999995</v>
      </c>
      <c r="DD142" s="135">
        <v>-2648.82</v>
      </c>
      <c r="DE142" s="135">
        <v>-829.788811188811</v>
      </c>
      <c r="DF142" s="135">
        <v>-829.788811188811</v>
      </c>
      <c r="DG142" s="135">
        <v>-829.788811188811</v>
      </c>
      <c r="DH142" s="135">
        <v>-829.788811188811</v>
      </c>
      <c r="DI142" s="135">
        <v>-829.788811188811</v>
      </c>
      <c r="DJ142" s="135">
        <v>-829.788811188811</v>
      </c>
      <c r="DK142" s="135">
        <v>-829.788811188811</v>
      </c>
      <c r="DL142" s="135">
        <v>-829.788811188811</v>
      </c>
      <c r="DM142" s="135">
        <v>-829.788811188811</v>
      </c>
      <c r="DN142" s="135">
        <v>-829.788811188811</v>
      </c>
      <c r="DO142" s="135">
        <v>-829.788811188811</v>
      </c>
      <c r="DP142" s="135">
        <v>-829.788811188811</v>
      </c>
      <c r="DQ142" s="135">
        <v>-829.788811188811</v>
      </c>
    </row>
    <row r="143" spans="1:121" s="123" customFormat="1">
      <c r="A143" s="178" t="s">
        <v>2988</v>
      </c>
      <c r="B143" s="107"/>
      <c r="C143" s="136" t="s">
        <v>1579</v>
      </c>
      <c r="D143" s="644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171"/>
      <c r="AN143" s="171"/>
      <c r="AO143" s="198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>
        <f t="shared" ref="BF143:BN143" si="367">+BF103</f>
        <v>-79.900000000000006</v>
      </c>
      <c r="BG143" s="114">
        <f t="shared" si="367"/>
        <v>-272.89999999999998</v>
      </c>
      <c r="BH143" s="114">
        <f t="shared" si="367"/>
        <v>33.800000000000004</v>
      </c>
      <c r="BI143" s="114">
        <f t="shared" si="367"/>
        <v>-16.300000000000011</v>
      </c>
      <c r="BJ143" s="114">
        <f t="shared" si="367"/>
        <v>184.5</v>
      </c>
      <c r="BK143" s="114">
        <f t="shared" si="367"/>
        <v>413.59999999999997</v>
      </c>
      <c r="BL143" s="114">
        <f t="shared" si="367"/>
        <v>347.59999999999997</v>
      </c>
      <c r="BM143" s="114">
        <f t="shared" si="367"/>
        <v>554.4</v>
      </c>
      <c r="BN143" s="114">
        <f t="shared" si="367"/>
        <v>258.3</v>
      </c>
      <c r="BO143" s="114">
        <f t="shared" ref="BO143:BV143" si="368">+BO103</f>
        <v>267.89999999999998</v>
      </c>
      <c r="BP143" s="114">
        <f t="shared" si="368"/>
        <v>4713</v>
      </c>
      <c r="BQ143" s="114">
        <f t="shared" si="368"/>
        <v>983.7</v>
      </c>
      <c r="BR143" s="114">
        <f t="shared" si="368"/>
        <v>327</v>
      </c>
      <c r="BS143" s="114">
        <f t="shared" si="368"/>
        <v>412.8</v>
      </c>
      <c r="BT143" s="114">
        <f t="shared" si="368"/>
        <v>0</v>
      </c>
      <c r="BU143" s="114">
        <f t="shared" si="368"/>
        <v>0</v>
      </c>
      <c r="BV143" s="114">
        <f t="shared" si="368"/>
        <v>0</v>
      </c>
      <c r="BW143" s="114">
        <f t="shared" ref="BW143:CC143" si="369">+BW103</f>
        <v>0</v>
      </c>
      <c r="BX143" s="114">
        <f t="shared" si="369"/>
        <v>0</v>
      </c>
      <c r="BY143" s="114">
        <f t="shared" si="369"/>
        <v>0</v>
      </c>
      <c r="BZ143" s="114">
        <f t="shared" si="369"/>
        <v>0</v>
      </c>
      <c r="CA143" s="114">
        <f t="shared" si="369"/>
        <v>0</v>
      </c>
      <c r="CB143" s="114">
        <f t="shared" si="369"/>
        <v>0</v>
      </c>
      <c r="CC143" s="114">
        <f t="shared" si="369"/>
        <v>0</v>
      </c>
      <c r="CD143" s="114">
        <f>+CD103</f>
        <v>0</v>
      </c>
      <c r="CE143" s="114">
        <f>+CE103</f>
        <v>0</v>
      </c>
      <c r="CF143" s="114">
        <f>+CF103</f>
        <v>0</v>
      </c>
      <c r="CG143" s="114">
        <f>+CG103</f>
        <v>0</v>
      </c>
      <c r="CI143" s="106">
        <f t="shared" si="314"/>
        <v>0</v>
      </c>
      <c r="CJ143" s="106">
        <f t="shared" si="315"/>
        <v>0</v>
      </c>
      <c r="CK143" s="106">
        <f t="shared" si="316"/>
        <v>0</v>
      </c>
      <c r="CL143" s="106">
        <f t="shared" si="317"/>
        <v>0</v>
      </c>
      <c r="CM143" s="106">
        <f t="shared" si="318"/>
        <v>-2567.6</v>
      </c>
      <c r="CN143" s="106">
        <f t="shared" si="319"/>
        <v>-2567.6</v>
      </c>
      <c r="CO143" s="106">
        <f t="shared" si="320"/>
        <v>-2567.6</v>
      </c>
      <c r="CP143" s="106">
        <f t="shared" si="321"/>
        <v>-2567.6</v>
      </c>
      <c r="CQ143" s="106">
        <f t="shared" si="322"/>
        <v>-2567.6</v>
      </c>
      <c r="CR143" s="106">
        <f t="shared" si="323"/>
        <v>-2567.6</v>
      </c>
      <c r="CS143" s="106">
        <f t="shared" si="324"/>
        <v>-2567.6</v>
      </c>
      <c r="CT143" s="106">
        <f t="shared" si="325"/>
        <v>-2567.6</v>
      </c>
      <c r="CU143" s="106">
        <f t="shared" si="326"/>
        <v>-2567.6</v>
      </c>
      <c r="CV143" s="106">
        <f t="shared" si="327"/>
        <v>-2567.6</v>
      </c>
      <c r="CW143" s="106">
        <f t="shared" si="328"/>
        <v>-2567.6</v>
      </c>
      <c r="CX143" s="106">
        <f t="shared" si="329"/>
        <v>-2567.6</v>
      </c>
      <c r="CY143" s="106">
        <f t="shared" si="330"/>
        <v>-2567.6</v>
      </c>
      <c r="CZ143" s="134"/>
      <c r="DA143" s="135">
        <v>983.7</v>
      </c>
      <c r="DB143" s="135">
        <v>327</v>
      </c>
      <c r="DC143" s="135">
        <v>412.8</v>
      </c>
      <c r="DD143" s="135">
        <v>0</v>
      </c>
      <c r="DE143" s="135">
        <v>2567.6</v>
      </c>
      <c r="DF143" s="135">
        <v>2567.6</v>
      </c>
      <c r="DG143" s="135">
        <v>2567.6</v>
      </c>
      <c r="DH143" s="135">
        <v>2567.6</v>
      </c>
      <c r="DI143" s="135">
        <v>2567.6</v>
      </c>
      <c r="DJ143" s="135">
        <v>2567.6</v>
      </c>
      <c r="DK143" s="135">
        <v>2567.6</v>
      </c>
      <c r="DL143" s="135">
        <v>2567.6</v>
      </c>
      <c r="DM143" s="135">
        <v>2567.6</v>
      </c>
      <c r="DN143" s="135">
        <v>2567.6</v>
      </c>
      <c r="DO143" s="135">
        <v>2567.6</v>
      </c>
      <c r="DP143" s="135">
        <v>2567.6</v>
      </c>
      <c r="DQ143" s="135">
        <v>2567.6</v>
      </c>
    </row>
    <row r="144" spans="1:121" s="123" customFormat="1">
      <c r="A144" s="178" t="s">
        <v>2989</v>
      </c>
      <c r="B144" s="107"/>
      <c r="C144" s="136" t="s">
        <v>1579</v>
      </c>
      <c r="D144" s="644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171"/>
      <c r="AN144" s="171"/>
      <c r="AO144" s="198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>
        <f t="shared" ref="BF144:BN144" si="370">+BF142-BF143</f>
        <v>-174.64828249999999</v>
      </c>
      <c r="BG144" s="114">
        <f t="shared" si="370"/>
        <v>-57.929852500000038</v>
      </c>
      <c r="BH144" s="114">
        <f t="shared" si="370"/>
        <v>472.53273999999999</v>
      </c>
      <c r="BI144" s="114">
        <f t="shared" si="370"/>
        <v>-115.81083500000003</v>
      </c>
      <c r="BJ144" s="114">
        <f t="shared" si="370"/>
        <v>-886.23516749999999</v>
      </c>
      <c r="BK144" s="114">
        <f t="shared" si="370"/>
        <v>-849.731585</v>
      </c>
      <c r="BL144" s="114">
        <f t="shared" si="370"/>
        <v>521.07019749999995</v>
      </c>
      <c r="BM144" s="114">
        <f t="shared" si="370"/>
        <v>113.06373750000012</v>
      </c>
      <c r="BN144" s="114">
        <f t="shared" si="370"/>
        <v>1191.6025950000003</v>
      </c>
      <c r="BO144" s="114">
        <f t="shared" ref="BO144:BT144" si="371">+BO142-BO143</f>
        <v>999.59014500000023</v>
      </c>
      <c r="BP144" s="114">
        <f t="shared" si="371"/>
        <v>-3981.1000000000004</v>
      </c>
      <c r="BQ144" s="114">
        <f t="shared" si="371"/>
        <v>226.91199999999981</v>
      </c>
      <c r="BR144" s="114">
        <f t="shared" si="371"/>
        <v>1020.8700000000001</v>
      </c>
      <c r="BS144" s="114">
        <f t="shared" si="371"/>
        <v>6089.7999999999993</v>
      </c>
      <c r="BT144" s="114">
        <f t="shared" si="371"/>
        <v>-2648.82</v>
      </c>
      <c r="BU144" s="193">
        <f>+Assumptions!BU59*BU196</f>
        <v>-3882.7300699300695</v>
      </c>
      <c r="BV144" s="193">
        <f>+Assumptions!BV59*BV196</f>
        <v>-3882.7300699300695</v>
      </c>
      <c r="BW144" s="193">
        <f>+Assumptions!BW59*BW196</f>
        <v>-3882.7300699300695</v>
      </c>
      <c r="BX144" s="193">
        <f>+Assumptions!BX59*BX196</f>
        <v>-3882.7300699300695</v>
      </c>
      <c r="BY144" s="193">
        <f>+Assumptions!BY59*BY196</f>
        <v>-3882.7300699300695</v>
      </c>
      <c r="BZ144" s="193">
        <f>+Assumptions!BZ59*BZ196</f>
        <v>-3882.7300699300695</v>
      </c>
      <c r="CA144" s="193">
        <f>+Assumptions!CA59*CA196</f>
        <v>-3882.7300699300695</v>
      </c>
      <c r="CB144" s="193">
        <f>+Assumptions!CB59*CB196</f>
        <v>-3882.7300699300695</v>
      </c>
      <c r="CC144" s="193">
        <f>+Assumptions!CC59*CC196</f>
        <v>-3882.7300699300695</v>
      </c>
      <c r="CD144" s="193">
        <f>+Assumptions!CD59*CD196</f>
        <v>-3882.7300699300695</v>
      </c>
      <c r="CE144" s="193">
        <f>+Assumptions!CE59*CE196</f>
        <v>-3882.7300699300695</v>
      </c>
      <c r="CF144" s="193">
        <f>+Assumptions!CF59*CF196</f>
        <v>-3882.7300699300695</v>
      </c>
      <c r="CG144" s="193">
        <f>+Assumptions!CG59*CG196</f>
        <v>-3882.7300699300695</v>
      </c>
      <c r="CI144" s="106">
        <f t="shared" si="314"/>
        <v>0</v>
      </c>
      <c r="CJ144" s="106">
        <f t="shared" ref="CJ144:CU144" si="372">BR144-DB144</f>
        <v>0</v>
      </c>
      <c r="CK144" s="106">
        <f t="shared" si="372"/>
        <v>0</v>
      </c>
      <c r="CL144" s="106">
        <f t="shared" si="372"/>
        <v>0</v>
      </c>
      <c r="CM144" s="106">
        <f t="shared" si="372"/>
        <v>-485.34125874125857</v>
      </c>
      <c r="CN144" s="106">
        <f t="shared" si="372"/>
        <v>-485.34125874125857</v>
      </c>
      <c r="CO144" s="106">
        <f t="shared" si="372"/>
        <v>-485.34125874125857</v>
      </c>
      <c r="CP144" s="106">
        <f t="shared" si="372"/>
        <v>-485.34125874125857</v>
      </c>
      <c r="CQ144" s="106">
        <f t="shared" si="372"/>
        <v>-485.34125874125857</v>
      </c>
      <c r="CR144" s="106">
        <f t="shared" si="372"/>
        <v>-485.34125874125857</v>
      </c>
      <c r="CS144" s="106">
        <f t="shared" si="372"/>
        <v>-485.34125874125857</v>
      </c>
      <c r="CT144" s="106">
        <f t="shared" si="372"/>
        <v>-485.34125874125857</v>
      </c>
      <c r="CU144" s="106">
        <f t="shared" si="372"/>
        <v>-485.34125874125857</v>
      </c>
      <c r="CV144" s="106">
        <f t="shared" si="327"/>
        <v>-485.34125874125857</v>
      </c>
      <c r="CW144" s="106">
        <f t="shared" si="328"/>
        <v>-485.34125874125857</v>
      </c>
      <c r="CX144" s="106">
        <f t="shared" si="329"/>
        <v>-485.34125874125857</v>
      </c>
      <c r="CY144" s="106">
        <f t="shared" si="330"/>
        <v>-485.34125874125857</v>
      </c>
      <c r="CZ144" s="134"/>
      <c r="DA144" s="135">
        <v>226.91199999999981</v>
      </c>
      <c r="DB144" s="135">
        <v>1020.8700000000001</v>
      </c>
      <c r="DC144" s="135">
        <v>6089.7999999999993</v>
      </c>
      <c r="DD144" s="135">
        <v>-2648.82</v>
      </c>
      <c r="DE144" s="135">
        <v>-3397.3888111888109</v>
      </c>
      <c r="DF144" s="135">
        <v>-3397.3888111888109</v>
      </c>
      <c r="DG144" s="135">
        <v>-3397.3888111888109</v>
      </c>
      <c r="DH144" s="135">
        <v>-3397.3888111888109</v>
      </c>
      <c r="DI144" s="135">
        <v>-3397.3888111888109</v>
      </c>
      <c r="DJ144" s="135">
        <v>-3397.3888111888109</v>
      </c>
      <c r="DK144" s="135">
        <v>-3397.3888111888109</v>
      </c>
      <c r="DL144" s="135">
        <v>-3397.3888111888109</v>
      </c>
      <c r="DM144" s="135">
        <v>-3397.3888111888109</v>
      </c>
      <c r="DN144" s="135">
        <v>-3397.3888111888109</v>
      </c>
      <c r="DO144" s="135">
        <v>-3397.3888111888109</v>
      </c>
      <c r="DP144" s="135">
        <v>-3397.3888111888109</v>
      </c>
      <c r="DQ144" s="135">
        <v>-3397.3888111888109</v>
      </c>
    </row>
    <row r="145" spans="1:121" s="123" customFormat="1">
      <c r="A145" s="178"/>
      <c r="B145" s="107"/>
      <c r="C145" s="136"/>
      <c r="D145" s="644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  <c r="AM145" s="171"/>
      <c r="AN145" s="171"/>
      <c r="AO145" s="198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4"/>
      <c r="CE145" s="114"/>
      <c r="CF145" s="114"/>
      <c r="CG145" s="114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34"/>
      <c r="DA145" s="135"/>
      <c r="DB145" s="135"/>
      <c r="DC145" s="135"/>
      <c r="DD145" s="135"/>
      <c r="DE145" s="135"/>
      <c r="DF145" s="135"/>
      <c r="DG145" s="135"/>
      <c r="DH145" s="135"/>
      <c r="DI145" s="135"/>
      <c r="DJ145" s="135"/>
      <c r="DK145" s="135"/>
      <c r="DL145" s="135"/>
      <c r="DM145" s="135"/>
      <c r="DN145" s="135"/>
      <c r="DO145" s="135"/>
      <c r="DP145" s="135"/>
      <c r="DQ145" s="135"/>
    </row>
    <row r="146" spans="1:121" s="168" customFormat="1">
      <c r="A146" s="385" t="s">
        <v>2970</v>
      </c>
      <c r="B146" s="145"/>
      <c r="C146" s="146" t="s">
        <v>1579</v>
      </c>
      <c r="D146" s="147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03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99">
        <f>SOURCE!BF258*BF196</f>
        <v>219.72408750000002</v>
      </c>
      <c r="BG146" s="199">
        <f>SOURCE!BG258*BG196</f>
        <v>496.93573500000008</v>
      </c>
      <c r="BH146" s="199">
        <f>SOURCE!BH258*BH196</f>
        <v>-276.38249999999999</v>
      </c>
      <c r="BI146" s="199">
        <f>SOURCE!BI258*BI196</f>
        <v>-52.236292499999998</v>
      </c>
      <c r="BJ146" s="199">
        <f>SOURCE!BJ258*BJ196</f>
        <v>-464.59898250000003</v>
      </c>
      <c r="BK146" s="199">
        <f>SOURCE!BK258*BK196</f>
        <v>-701.18240249999997</v>
      </c>
      <c r="BL146" s="199">
        <f>SOURCE!BL258*BL196</f>
        <v>-1277.9926800000001</v>
      </c>
      <c r="BM146" s="199">
        <f>SOURCE!BM258*BM196</f>
        <v>-1053.5700899999999</v>
      </c>
      <c r="BN146" s="199">
        <f>SOURCE!BN258*BN196</f>
        <v>-1168.8215925</v>
      </c>
      <c r="BO146" s="199">
        <f>SOURCE!BO258*BO196</f>
        <v>-541.7097</v>
      </c>
      <c r="BP146" s="199">
        <f>SOURCE!BP258*BP196</f>
        <v>-763.75</v>
      </c>
      <c r="BQ146" s="199">
        <f>SOURCE!BQ258*BQ196</f>
        <v>-1738.3146666666662</v>
      </c>
      <c r="BR146" s="199">
        <f>SOURCE!BR258*BR196</f>
        <v>-240.96000000000024</v>
      </c>
      <c r="BS146" s="199">
        <f>SOURCE!BS258*BS196</f>
        <v>-2583.8200000000015</v>
      </c>
      <c r="BT146" s="199">
        <f>SOURCE!BT258*BT196</f>
        <v>-611.76999999999987</v>
      </c>
      <c r="BU146" s="567">
        <f t="shared" ref="BU146:BZ146" si="373">BT146</f>
        <v>-611.76999999999987</v>
      </c>
      <c r="BV146" s="567">
        <f t="shared" si="373"/>
        <v>-611.76999999999987</v>
      </c>
      <c r="BW146" s="567">
        <f t="shared" si="373"/>
        <v>-611.76999999999987</v>
      </c>
      <c r="BX146" s="567">
        <f t="shared" si="373"/>
        <v>-611.76999999999987</v>
      </c>
      <c r="BY146" s="567">
        <f t="shared" si="373"/>
        <v>-611.76999999999987</v>
      </c>
      <c r="BZ146" s="567">
        <f t="shared" si="373"/>
        <v>-611.76999999999987</v>
      </c>
      <c r="CA146" s="567">
        <f t="shared" ref="CA146:CG146" si="374">BZ146</f>
        <v>-611.76999999999987</v>
      </c>
      <c r="CB146" s="567">
        <f t="shared" si="374"/>
        <v>-611.76999999999987</v>
      </c>
      <c r="CC146" s="567">
        <f t="shared" si="374"/>
        <v>-611.76999999999987</v>
      </c>
      <c r="CD146" s="567">
        <f t="shared" si="374"/>
        <v>-611.76999999999987</v>
      </c>
      <c r="CE146" s="567">
        <f t="shared" si="374"/>
        <v>-611.76999999999987</v>
      </c>
      <c r="CF146" s="567">
        <f t="shared" si="374"/>
        <v>-611.76999999999987</v>
      </c>
      <c r="CG146" s="567">
        <f t="shared" si="374"/>
        <v>-611.76999999999987</v>
      </c>
      <c r="CH146" s="100"/>
      <c r="CI146" s="105">
        <f t="shared" ref="CI146:CU146" si="375">BQ146-DA146</f>
        <v>0</v>
      </c>
      <c r="CJ146" s="105">
        <f t="shared" si="375"/>
        <v>0</v>
      </c>
      <c r="CK146" s="105">
        <f t="shared" si="375"/>
        <v>0</v>
      </c>
      <c r="CL146" s="105">
        <f t="shared" si="375"/>
        <v>0</v>
      </c>
      <c r="CM146" s="105">
        <f t="shared" si="375"/>
        <v>0</v>
      </c>
      <c r="CN146" s="105">
        <f t="shared" si="375"/>
        <v>0</v>
      </c>
      <c r="CO146" s="105">
        <f t="shared" si="375"/>
        <v>0</v>
      </c>
      <c r="CP146" s="105">
        <f t="shared" si="375"/>
        <v>0</v>
      </c>
      <c r="CQ146" s="105">
        <f t="shared" si="375"/>
        <v>0</v>
      </c>
      <c r="CR146" s="105">
        <f t="shared" si="375"/>
        <v>0</v>
      </c>
      <c r="CS146" s="105">
        <f t="shared" si="375"/>
        <v>0</v>
      </c>
      <c r="CT146" s="105">
        <f t="shared" si="375"/>
        <v>0</v>
      </c>
      <c r="CU146" s="105">
        <f t="shared" si="375"/>
        <v>0</v>
      </c>
      <c r="CV146" s="105">
        <f>CD146-DN146</f>
        <v>0</v>
      </c>
      <c r="CW146" s="105">
        <f>CE146-DO146</f>
        <v>0</v>
      </c>
      <c r="CX146" s="105">
        <f>CF146-DP146</f>
        <v>0</v>
      </c>
      <c r="CY146" s="105">
        <f>CG146-DQ146</f>
        <v>0</v>
      </c>
      <c r="CZ146" s="169"/>
      <c r="DA146" s="387">
        <v>-1738.3146666666662</v>
      </c>
      <c r="DB146" s="387">
        <v>-240.96000000000024</v>
      </c>
      <c r="DC146" s="387">
        <v>-2583.8200000000015</v>
      </c>
      <c r="DD146" s="387">
        <v>-611.76999999999987</v>
      </c>
      <c r="DE146" s="387">
        <v>-611.76999999999987</v>
      </c>
      <c r="DF146" s="387">
        <v>-611.76999999999987</v>
      </c>
      <c r="DG146" s="387">
        <v>-611.76999999999987</v>
      </c>
      <c r="DH146" s="387">
        <v>-611.76999999999987</v>
      </c>
      <c r="DI146" s="387">
        <v>-611.76999999999987</v>
      </c>
      <c r="DJ146" s="387">
        <v>-611.76999999999987</v>
      </c>
      <c r="DK146" s="387">
        <v>-611.76999999999987</v>
      </c>
      <c r="DL146" s="387">
        <v>-611.76999999999987</v>
      </c>
      <c r="DM146" s="387">
        <v>-611.76999999999987</v>
      </c>
      <c r="DN146" s="387">
        <v>-611.76999999999987</v>
      </c>
      <c r="DO146" s="387">
        <v>-611.76999999999987</v>
      </c>
      <c r="DP146" s="387">
        <v>-611.76999999999987</v>
      </c>
      <c r="DQ146" s="387">
        <v>-611.76999999999987</v>
      </c>
    </row>
    <row r="147" spans="1:121" s="123" customFormat="1">
      <c r="A147" s="141"/>
      <c r="B147" s="141"/>
      <c r="C147" s="158"/>
      <c r="D147" s="102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CH147" s="141"/>
      <c r="CZ147" s="181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5"/>
      <c r="DK147" s="135"/>
      <c r="DL147" s="135"/>
      <c r="DM147" s="135"/>
      <c r="DN147" s="135"/>
      <c r="DO147" s="135"/>
      <c r="DP147" s="135"/>
      <c r="DQ147" s="135"/>
    </row>
    <row r="148" spans="1:121" s="112" customFormat="1">
      <c r="A148" s="145" t="s">
        <v>124</v>
      </c>
      <c r="B148" s="99"/>
      <c r="C148" s="146" t="s">
        <v>1579</v>
      </c>
      <c r="D148" s="102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BF148" s="112">
        <f t="shared" ref="BF148:BQ148" si="376">BF146+BF136+BF124</f>
        <v>176.60841749999963</v>
      </c>
      <c r="BG148" s="112">
        <f t="shared" si="376"/>
        <v>403.51845000000122</v>
      </c>
      <c r="BH148" s="112">
        <f t="shared" si="376"/>
        <v>575.98112999999989</v>
      </c>
      <c r="BI148" s="112">
        <f t="shared" si="376"/>
        <v>109.44746999999998</v>
      </c>
      <c r="BJ148" s="112">
        <f t="shared" si="376"/>
        <v>96.457492499999717</v>
      </c>
      <c r="BK148" s="112">
        <f t="shared" si="376"/>
        <v>352.94045250000113</v>
      </c>
      <c r="BL148" s="112">
        <f t="shared" si="376"/>
        <v>540.88055250000025</v>
      </c>
      <c r="BM148" s="112">
        <f t="shared" si="376"/>
        <v>-408.76971750000018</v>
      </c>
      <c r="BN148" s="112">
        <f t="shared" si="376"/>
        <v>-411.80992500000002</v>
      </c>
      <c r="BO148" s="112">
        <f t="shared" si="376"/>
        <v>-734.34830249999914</v>
      </c>
      <c r="BP148" s="112">
        <f t="shared" si="376"/>
        <v>494.64999999999827</v>
      </c>
      <c r="BQ148" s="112">
        <f t="shared" si="376"/>
        <v>247.0789999999987</v>
      </c>
      <c r="BR148" s="112">
        <f t="shared" ref="BR148:CB148" si="377">BR146+BR136+BR124</f>
        <v>1124.228999999998</v>
      </c>
      <c r="BS148" s="112">
        <f t="shared" si="377"/>
        <v>424.75999999999749</v>
      </c>
      <c r="BT148" s="112">
        <f t="shared" si="377"/>
        <v>-1296.8999999999978</v>
      </c>
      <c r="BU148" s="112">
        <f t="shared" ca="1" si="377"/>
        <v>2598.6845354009365</v>
      </c>
      <c r="BV148" s="112">
        <f t="shared" ca="1" si="377"/>
        <v>1772.833742289813</v>
      </c>
      <c r="BW148" s="112">
        <f t="shared" ca="1" si="377"/>
        <v>653.64884137714034</v>
      </c>
      <c r="BX148" s="112">
        <f t="shared" ca="1" si="377"/>
        <v>-494.75661891603841</v>
      </c>
      <c r="BY148" s="112">
        <f t="shared" ca="1" si="377"/>
        <v>-850.29968631160818</v>
      </c>
      <c r="BZ148" s="112">
        <f t="shared" ca="1" si="377"/>
        <v>-1503.1860396898624</v>
      </c>
      <c r="CA148" s="112">
        <f t="shared" ca="1" si="377"/>
        <v>-2475.9726325895599</v>
      </c>
      <c r="CB148" s="112">
        <f t="shared" ca="1" si="377"/>
        <v>-3860.5508365926185</v>
      </c>
      <c r="CC148" s="112">
        <f ca="1">CC146+CC136+CC124</f>
        <v>-5783.3221023401493</v>
      </c>
      <c r="CD148" s="112">
        <f ca="1">CD146+CD136+CD124</f>
        <v>-8413.6273421964761</v>
      </c>
      <c r="CE148" s="112">
        <f ca="1">CE146+CE136+CE124</f>
        <v>-11978.002530540167</v>
      </c>
      <c r="CF148" s="112">
        <f ca="1">CF146+CF136+CF124</f>
        <v>-16777.464785178923</v>
      </c>
      <c r="CG148" s="112">
        <f ca="1">CG146+CG136+CG124</f>
        <v>-23206.765651562899</v>
      </c>
      <c r="CH148" s="99"/>
      <c r="CI148" s="103">
        <f t="shared" ref="CI148:CU148" si="378">BQ148-DA148</f>
        <v>0</v>
      </c>
      <c r="CJ148" s="103">
        <f t="shared" si="378"/>
        <v>0</v>
      </c>
      <c r="CK148" s="103">
        <f t="shared" si="378"/>
        <v>0</v>
      </c>
      <c r="CL148" s="103">
        <f t="shared" si="378"/>
        <v>0</v>
      </c>
      <c r="CM148" s="103">
        <f t="shared" ca="1" si="378"/>
        <v>130.48134276120618</v>
      </c>
      <c r="CN148" s="103">
        <f t="shared" ca="1" si="378"/>
        <v>-477.07671100609878</v>
      </c>
      <c r="CO148" s="103">
        <f t="shared" ca="1" si="378"/>
        <v>-1052.336283037198</v>
      </c>
      <c r="CP148" s="103">
        <f t="shared" ca="1" si="378"/>
        <v>-1560.5548638877945</v>
      </c>
      <c r="CQ148" s="103">
        <f t="shared" ca="1" si="378"/>
        <v>-2025.2621315759407</v>
      </c>
      <c r="CR148" s="103">
        <f t="shared" ca="1" si="378"/>
        <v>-4034.17877303659</v>
      </c>
      <c r="CS148" s="103">
        <f t="shared" ca="1" si="378"/>
        <v>-4773.9303466142301</v>
      </c>
      <c r="CT148" s="103">
        <f t="shared" ca="1" si="378"/>
        <v>-5525.1572547958021</v>
      </c>
      <c r="CU148" s="103">
        <f t="shared" ca="1" si="378"/>
        <v>-6305.5604756099492</v>
      </c>
      <c r="CV148" s="103">
        <f ca="1">CD148-DN148</f>
        <v>-7114.442075281363</v>
      </c>
      <c r="CW148" s="103">
        <f ca="1">CE148-DO148</f>
        <v>-7949.4125316902609</v>
      </c>
      <c r="CX148" s="103">
        <f ca="1">CF148-DP148</f>
        <v>-8794.8820777122273</v>
      </c>
      <c r="CY148" s="103">
        <f ca="1">CG148-DQ148</f>
        <v>-9626.880455996592</v>
      </c>
      <c r="CZ148" s="148"/>
      <c r="DA148" s="375">
        <v>247.0789999999987</v>
      </c>
      <c r="DB148" s="375">
        <v>1124.228999999998</v>
      </c>
      <c r="DC148" s="375">
        <v>424.75999999999749</v>
      </c>
      <c r="DD148" s="375">
        <v>-1296.8999999999978</v>
      </c>
      <c r="DE148" s="375">
        <v>2468.2031926397303</v>
      </c>
      <c r="DF148" s="375">
        <v>2249.9104532959118</v>
      </c>
      <c r="DG148" s="375">
        <v>1705.9851244143383</v>
      </c>
      <c r="DH148" s="375">
        <v>1065.798244971756</v>
      </c>
      <c r="DI148" s="375">
        <v>1174.9624452643325</v>
      </c>
      <c r="DJ148" s="375">
        <v>2530.9927333467276</v>
      </c>
      <c r="DK148" s="375">
        <v>2297.9577140246702</v>
      </c>
      <c r="DL148" s="375">
        <v>1664.6064182031841</v>
      </c>
      <c r="DM148" s="375">
        <v>522.23837326980038</v>
      </c>
      <c r="DN148" s="375">
        <v>-1299.1852669151131</v>
      </c>
      <c r="DO148" s="375">
        <v>-4028.5899988499054</v>
      </c>
      <c r="DP148" s="375">
        <v>-7982.5827074666968</v>
      </c>
      <c r="DQ148" s="375">
        <v>-13579.885195566307</v>
      </c>
    </row>
    <row r="149" spans="1:121">
      <c r="A149" s="149"/>
      <c r="B149" s="149"/>
      <c r="C149" s="132" t="s">
        <v>1344</v>
      </c>
      <c r="D149" s="102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</row>
    <row r="150" spans="1:121">
      <c r="A150" s="107" t="s">
        <v>2045</v>
      </c>
      <c r="C150" s="132" t="s">
        <v>1579</v>
      </c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>
        <f>-BF148</f>
        <v>-176.60841749999963</v>
      </c>
      <c r="BG150" s="128">
        <f>-BG148</f>
        <v>-403.51845000000122</v>
      </c>
      <c r="BH150" s="128">
        <f>-BH148</f>
        <v>-575.98112999999989</v>
      </c>
      <c r="BI150" s="128">
        <f t="shared" ref="BI150:BP150" si="379">-BI148</f>
        <v>-109.44746999999998</v>
      </c>
      <c r="BJ150" s="128">
        <f t="shared" si="379"/>
        <v>-96.457492499999717</v>
      </c>
      <c r="BK150" s="128">
        <f t="shared" si="379"/>
        <v>-352.94045250000113</v>
      </c>
      <c r="BL150" s="128">
        <f t="shared" si="379"/>
        <v>-540.88055250000025</v>
      </c>
      <c r="BM150" s="128">
        <f t="shared" si="379"/>
        <v>408.76971750000018</v>
      </c>
      <c r="BN150" s="128">
        <f t="shared" si="379"/>
        <v>411.80992500000002</v>
      </c>
      <c r="BO150" s="128">
        <f t="shared" si="379"/>
        <v>734.34830249999914</v>
      </c>
      <c r="BP150" s="128">
        <f t="shared" si="379"/>
        <v>-494.64999999999827</v>
      </c>
      <c r="BQ150" s="128">
        <f t="shared" ref="BQ150:CB150" si="380">-BQ148</f>
        <v>-247.0789999999987</v>
      </c>
      <c r="BR150" s="128">
        <f t="shared" si="380"/>
        <v>-1124.228999999998</v>
      </c>
      <c r="BS150" s="128">
        <f t="shared" si="380"/>
        <v>-424.75999999999749</v>
      </c>
      <c r="BT150" s="128">
        <f t="shared" si="380"/>
        <v>1296.8999999999978</v>
      </c>
      <c r="BU150" s="128">
        <f t="shared" ca="1" si="380"/>
        <v>-2598.6845354009365</v>
      </c>
      <c r="BV150" s="128">
        <f t="shared" ca="1" si="380"/>
        <v>-1772.833742289813</v>
      </c>
      <c r="BW150" s="128">
        <f t="shared" ca="1" si="380"/>
        <v>-653.64884137714034</v>
      </c>
      <c r="BX150" s="128">
        <f t="shared" ca="1" si="380"/>
        <v>494.75661891603841</v>
      </c>
      <c r="BY150" s="128">
        <f t="shared" ca="1" si="380"/>
        <v>850.29968631160818</v>
      </c>
      <c r="BZ150" s="128">
        <f t="shared" ca="1" si="380"/>
        <v>1503.1860396898624</v>
      </c>
      <c r="CA150" s="128">
        <f t="shared" ca="1" si="380"/>
        <v>2475.9726325895599</v>
      </c>
      <c r="CB150" s="128">
        <f t="shared" ca="1" si="380"/>
        <v>3860.5508365926185</v>
      </c>
      <c r="CC150" s="128">
        <f ca="1">-CC148</f>
        <v>5783.3221023401493</v>
      </c>
      <c r="CD150" s="128">
        <f ca="1">-CD148</f>
        <v>8413.6273421964761</v>
      </c>
      <c r="CE150" s="128">
        <f ca="1">-CE148</f>
        <v>11978.002530540167</v>
      </c>
      <c r="CF150" s="128">
        <f ca="1">-CF148</f>
        <v>16777.464785178923</v>
      </c>
      <c r="CG150" s="128">
        <f ca="1">-CG148</f>
        <v>23206.765651562899</v>
      </c>
      <c r="CI150" s="133">
        <f t="shared" ref="CI150:CU150" si="381">BQ150-DA150</f>
        <v>0</v>
      </c>
      <c r="CJ150" s="133">
        <f t="shared" si="381"/>
        <v>0</v>
      </c>
      <c r="CK150" s="133">
        <f t="shared" si="381"/>
        <v>0</v>
      </c>
      <c r="CL150" s="133">
        <f t="shared" si="381"/>
        <v>0</v>
      </c>
      <c r="CM150" s="133">
        <f t="shared" ca="1" si="381"/>
        <v>-130.48134276120618</v>
      </c>
      <c r="CN150" s="133">
        <f t="shared" ca="1" si="381"/>
        <v>477.07671100609878</v>
      </c>
      <c r="CO150" s="133">
        <f t="shared" ca="1" si="381"/>
        <v>1052.336283037198</v>
      </c>
      <c r="CP150" s="133">
        <f t="shared" ca="1" si="381"/>
        <v>1560.5548638877945</v>
      </c>
      <c r="CQ150" s="133">
        <f t="shared" ca="1" si="381"/>
        <v>2025.2621315759407</v>
      </c>
      <c r="CR150" s="133">
        <f t="shared" ca="1" si="381"/>
        <v>4034.17877303659</v>
      </c>
      <c r="CS150" s="133">
        <f t="shared" ca="1" si="381"/>
        <v>4773.9303466142301</v>
      </c>
      <c r="CT150" s="133">
        <f t="shared" ca="1" si="381"/>
        <v>5525.1572547958021</v>
      </c>
      <c r="CU150" s="133">
        <f t="shared" ca="1" si="381"/>
        <v>6305.5604756099492</v>
      </c>
      <c r="CV150" s="133">
        <f ca="1">CD150-DN150</f>
        <v>7114.442075281363</v>
      </c>
      <c r="CW150" s="133">
        <f ca="1">CE150-DO150</f>
        <v>7949.4125316902609</v>
      </c>
      <c r="CX150" s="133">
        <f ca="1">CF150-DP150</f>
        <v>8794.8820777122273</v>
      </c>
      <c r="CY150" s="133">
        <f ca="1">CG150-DQ150</f>
        <v>9626.880455996592</v>
      </c>
      <c r="DA150" s="104">
        <v>-247.0789999999987</v>
      </c>
      <c r="DB150" s="104">
        <v>-1124.228999999998</v>
      </c>
      <c r="DC150" s="104">
        <v>-424.75999999999749</v>
      </c>
      <c r="DD150" s="104">
        <v>1296.8999999999978</v>
      </c>
      <c r="DE150" s="104">
        <v>-2468.2031926397303</v>
      </c>
      <c r="DF150" s="104">
        <v>-2249.9104532959118</v>
      </c>
      <c r="DG150" s="104">
        <v>-1705.9851244143383</v>
      </c>
      <c r="DH150" s="104">
        <v>-1065.798244971756</v>
      </c>
      <c r="DI150" s="104">
        <v>-1174.9624452643325</v>
      </c>
      <c r="DJ150" s="104">
        <v>-2530.9927333467276</v>
      </c>
      <c r="DK150" s="104">
        <v>-2297.9577140246702</v>
      </c>
      <c r="DL150" s="104">
        <v>-1664.6064182031841</v>
      </c>
      <c r="DM150" s="104">
        <v>-522.23837326980038</v>
      </c>
      <c r="DN150" s="104">
        <v>1299.1852669151131</v>
      </c>
      <c r="DO150" s="104">
        <v>4028.5899988499054</v>
      </c>
      <c r="DP150" s="104">
        <v>7982.5827074666968</v>
      </c>
      <c r="DQ150" s="104">
        <v>13579.885195566307</v>
      </c>
    </row>
    <row r="151" spans="1:121"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3" t="s">
        <v>1344</v>
      </c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DD151" s="104" t="s">
        <v>1344</v>
      </c>
    </row>
    <row r="152" spans="1:121" s="123" customFormat="1">
      <c r="A152" s="200" t="s">
        <v>2142</v>
      </c>
      <c r="B152" s="201"/>
      <c r="C152" s="202"/>
      <c r="D152" s="647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1"/>
      <c r="AT152" s="201"/>
      <c r="AU152" s="201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  <c r="BI152" s="201"/>
      <c r="BJ152" s="201"/>
      <c r="BK152" s="201"/>
      <c r="BL152" s="201"/>
      <c r="BM152" s="201"/>
      <c r="BN152" s="201"/>
      <c r="BO152" s="201"/>
      <c r="BP152" s="201"/>
      <c r="BQ152" s="201"/>
      <c r="BR152" s="201"/>
      <c r="BS152" s="201"/>
      <c r="BT152" s="201"/>
      <c r="BU152" s="201"/>
      <c r="BV152" s="201"/>
      <c r="BW152" s="201"/>
      <c r="BX152" s="201"/>
      <c r="BY152" s="201"/>
      <c r="BZ152" s="201"/>
      <c r="CA152" s="201"/>
      <c r="CB152" s="201"/>
      <c r="CC152" s="201"/>
      <c r="CD152" s="201"/>
      <c r="CE152" s="201"/>
      <c r="CF152" s="201"/>
      <c r="CG152" s="201"/>
      <c r="CH152" s="201"/>
      <c r="CI152" s="201"/>
      <c r="CJ152" s="201"/>
      <c r="CK152" s="201"/>
      <c r="CL152" s="201"/>
      <c r="CM152" s="201"/>
      <c r="CN152" s="201"/>
      <c r="CO152" s="201"/>
      <c r="CP152" s="201"/>
      <c r="CQ152" s="201"/>
      <c r="CR152" s="201"/>
      <c r="CS152" s="201"/>
      <c r="CT152" s="201"/>
      <c r="CU152" s="201"/>
      <c r="CV152" s="201"/>
      <c r="CW152" s="201"/>
      <c r="CX152" s="201"/>
      <c r="CY152" s="201"/>
      <c r="CZ152" s="203"/>
      <c r="DA152" s="390"/>
      <c r="DB152" s="390"/>
      <c r="DC152" s="390"/>
      <c r="DD152" s="390"/>
      <c r="DE152" s="390"/>
      <c r="DF152" s="390"/>
      <c r="DG152" s="210"/>
      <c r="DH152" s="210"/>
      <c r="DI152" s="210"/>
      <c r="DJ152" s="210"/>
      <c r="DK152" s="210"/>
      <c r="DL152" s="210"/>
      <c r="DM152" s="210"/>
      <c r="DN152" s="210"/>
      <c r="DO152" s="135"/>
      <c r="DP152" s="135"/>
      <c r="DQ152" s="135"/>
    </row>
    <row r="153" spans="1:121">
      <c r="BH153" s="128"/>
      <c r="BI153" s="128"/>
      <c r="BJ153" s="128"/>
      <c r="BK153" s="128"/>
      <c r="BL153" s="128"/>
      <c r="BM153" s="151"/>
      <c r="BN153" s="128"/>
      <c r="BO153" s="128"/>
      <c r="BP153" s="128"/>
      <c r="BQ153" s="128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  <c r="CH153" s="123"/>
    </row>
    <row r="154" spans="1:121">
      <c r="A154" s="182" t="s">
        <v>2686</v>
      </c>
      <c r="B154" s="182"/>
      <c r="C154" s="182" t="s">
        <v>1579</v>
      </c>
      <c r="D154" s="646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33">
        <f ca="1">+BF150+(BF164-BE164)-BF156</f>
        <v>-36.454499130486511</v>
      </c>
      <c r="BG154" s="133">
        <f t="shared" ref="BG154:BP154" si="382">+BG150+(BG164-BF164)-BG156</f>
        <v>301.96453870764668</v>
      </c>
      <c r="BH154" s="133">
        <f t="shared" si="382"/>
        <v>-97.691449523795328</v>
      </c>
      <c r="BI154" s="133">
        <f t="shared" si="382"/>
        <v>123.45155275497956</v>
      </c>
      <c r="BJ154" s="133">
        <f t="shared" si="382"/>
        <v>22.730258588883174</v>
      </c>
      <c r="BK154" s="133">
        <f t="shared" si="382"/>
        <v>485.46270033654127</v>
      </c>
      <c r="BL154" s="133">
        <f t="shared" si="382"/>
        <v>151.066212185957</v>
      </c>
      <c r="BM154" s="133">
        <f t="shared" si="382"/>
        <v>-94.714172014545625</v>
      </c>
      <c r="BN154" s="133">
        <f t="shared" si="382"/>
        <v>-337.82676830112547</v>
      </c>
      <c r="BO154" s="133">
        <f t="shared" si="382"/>
        <v>-944.9749869808054</v>
      </c>
      <c r="BP154" s="133">
        <f t="shared" si="382"/>
        <v>393.37322358152915</v>
      </c>
      <c r="BQ154" s="133">
        <f>+BQ150+(BQ164-BP164)-BQ156</f>
        <v>-371.16161456528135</v>
      </c>
      <c r="BR154" s="133">
        <f>+BR150+(BR164-BQ164)-BR156</f>
        <v>935.39345871197054</v>
      </c>
      <c r="BS154" s="133">
        <f>+BS150+(BS164-BR164)-BS156</f>
        <v>-2987.8320133887191</v>
      </c>
      <c r="BT154" s="133">
        <f>+BT150+(BT164-BS164)-BT156</f>
        <v>879.57913416107931</v>
      </c>
      <c r="BU154" s="368">
        <f>+BT154/2</f>
        <v>439.78956708053965</v>
      </c>
      <c r="BV154" s="368">
        <f>+Assumptions!BV47</f>
        <v>0</v>
      </c>
      <c r="BW154" s="368">
        <f>+Assumptions!BW47</f>
        <v>0</v>
      </c>
      <c r="BX154" s="368">
        <f>+Assumptions!BX47</f>
        <v>0</v>
      </c>
      <c r="BY154" s="368">
        <f>+Assumptions!BY47</f>
        <v>0</v>
      </c>
      <c r="BZ154" s="368">
        <f>+Assumptions!BZ47</f>
        <v>0</v>
      </c>
      <c r="CA154" s="368">
        <f>+Assumptions!CA47</f>
        <v>0</v>
      </c>
      <c r="CB154" s="368">
        <f>+Assumptions!CB47</f>
        <v>0</v>
      </c>
      <c r="CC154" s="368">
        <f>+Assumptions!CC47</f>
        <v>0</v>
      </c>
      <c r="CD154" s="368">
        <f>+Assumptions!CD47</f>
        <v>0</v>
      </c>
      <c r="CE154" s="368">
        <f>+Assumptions!CE47</f>
        <v>0</v>
      </c>
      <c r="CF154" s="368">
        <f>+Assumptions!CF47</f>
        <v>0</v>
      </c>
      <c r="CG154" s="368">
        <f>+Assumptions!CG47</f>
        <v>0</v>
      </c>
      <c r="CI154" s="133">
        <f t="shared" ref="CI154:CR155" si="383">BQ154-DA154</f>
        <v>0</v>
      </c>
      <c r="CJ154" s="133">
        <f t="shared" si="383"/>
        <v>0</v>
      </c>
      <c r="CK154" s="133">
        <f t="shared" si="383"/>
        <v>0</v>
      </c>
      <c r="CL154" s="133">
        <f t="shared" si="383"/>
        <v>0</v>
      </c>
      <c r="CM154" s="133">
        <f t="shared" si="383"/>
        <v>0</v>
      </c>
      <c r="CN154" s="133">
        <f t="shared" si="383"/>
        <v>0</v>
      </c>
      <c r="CO154" s="133">
        <f t="shared" si="383"/>
        <v>0</v>
      </c>
      <c r="CP154" s="133">
        <f t="shared" si="383"/>
        <v>0</v>
      </c>
      <c r="CQ154" s="133">
        <f t="shared" si="383"/>
        <v>0</v>
      </c>
      <c r="CR154" s="133">
        <f t="shared" si="383"/>
        <v>0</v>
      </c>
      <c r="CS154" s="133">
        <f t="shared" ref="CS154:CU155" si="384">CA154-DK154</f>
        <v>0</v>
      </c>
      <c r="CT154" s="133">
        <f t="shared" si="384"/>
        <v>0</v>
      </c>
      <c r="CU154" s="133">
        <f t="shared" si="384"/>
        <v>0</v>
      </c>
      <c r="CV154" s="133">
        <f t="shared" ref="CV154:CV161" si="385">CD154-DN154</f>
        <v>0</v>
      </c>
      <c r="CW154" s="133">
        <f t="shared" ref="CW154:CW161" si="386">CE154-DO154</f>
        <v>0</v>
      </c>
      <c r="CX154" s="133">
        <f t="shared" ref="CX154:CX161" si="387">CF154-DP154</f>
        <v>0</v>
      </c>
      <c r="CY154" s="133">
        <f t="shared" ref="CY154:CY161" si="388">CG154-DQ154</f>
        <v>0</v>
      </c>
      <c r="DA154" s="104">
        <v>-371.16161456528135</v>
      </c>
      <c r="DB154" s="104">
        <v>935.39345871197054</v>
      </c>
      <c r="DC154" s="104">
        <v>-2987.8320133887191</v>
      </c>
      <c r="DD154" s="104">
        <v>879.57913416107931</v>
      </c>
      <c r="DE154" s="104">
        <v>439.78956708053965</v>
      </c>
      <c r="DF154" s="104">
        <v>0</v>
      </c>
      <c r="DG154" s="104">
        <v>0</v>
      </c>
      <c r="DH154" s="104">
        <v>0</v>
      </c>
      <c r="DI154" s="104">
        <v>0</v>
      </c>
      <c r="DJ154" s="104">
        <v>0</v>
      </c>
      <c r="DK154" s="104">
        <v>0</v>
      </c>
      <c r="DL154" s="104">
        <v>0</v>
      </c>
      <c r="DM154" s="104">
        <v>0</v>
      </c>
      <c r="DN154" s="104">
        <v>0</v>
      </c>
      <c r="DO154" s="104">
        <v>0</v>
      </c>
      <c r="DP154" s="104">
        <v>0</v>
      </c>
      <c r="DQ154" s="104">
        <v>0</v>
      </c>
    </row>
    <row r="155" spans="1:121" s="123" customFormat="1">
      <c r="A155" s="182" t="s">
        <v>922</v>
      </c>
      <c r="B155" s="182"/>
      <c r="C155" s="182" t="s">
        <v>1579</v>
      </c>
      <c r="D155" s="646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143"/>
      <c r="BG155" s="123">
        <f t="shared" ref="BG155:BQ155" si="389">+BG107-(BG165-BF165)</f>
        <v>-5.5</v>
      </c>
      <c r="BH155" s="123">
        <f t="shared" si="389"/>
        <v>14.299999999999955</v>
      </c>
      <c r="BI155" s="123">
        <f t="shared" si="389"/>
        <v>0.80000000000001137</v>
      </c>
      <c r="BJ155" s="123">
        <f t="shared" si="389"/>
        <v>0.59999999999999432</v>
      </c>
      <c r="BK155" s="123">
        <f t="shared" si="389"/>
        <v>73.099999999999994</v>
      </c>
      <c r="BL155" s="123">
        <f t="shared" si="389"/>
        <v>10.300000000000011</v>
      </c>
      <c r="BM155" s="123">
        <f t="shared" si="389"/>
        <v>16.399999999999977</v>
      </c>
      <c r="BN155" s="123">
        <f t="shared" si="389"/>
        <v>442.20000000000016</v>
      </c>
      <c r="BO155" s="123">
        <f t="shared" si="389"/>
        <v>-53.399999999999409</v>
      </c>
      <c r="BP155" s="123">
        <f t="shared" si="389"/>
        <v>317.29999999999927</v>
      </c>
      <c r="BQ155" s="123">
        <f t="shared" si="389"/>
        <v>-133.7999999999995</v>
      </c>
      <c r="BR155" s="123">
        <f>+BR107-(BR165-BQ165)</f>
        <v>252.29999999999973</v>
      </c>
      <c r="BS155" s="123">
        <f>+BS107-(BS165-BR165)</f>
        <v>1348.5000000000005</v>
      </c>
      <c r="BT155" s="109">
        <v>0</v>
      </c>
      <c r="BU155" s="109">
        <v>0</v>
      </c>
      <c r="BV155" s="109">
        <f t="shared" ref="BV155:CC155" si="390">BU155</f>
        <v>0</v>
      </c>
      <c r="BW155" s="109">
        <f t="shared" si="390"/>
        <v>0</v>
      </c>
      <c r="BX155" s="109">
        <f t="shared" si="390"/>
        <v>0</v>
      </c>
      <c r="BY155" s="109">
        <f t="shared" si="390"/>
        <v>0</v>
      </c>
      <c r="BZ155" s="109">
        <f t="shared" si="390"/>
        <v>0</v>
      </c>
      <c r="CA155" s="109">
        <f t="shared" si="390"/>
        <v>0</v>
      </c>
      <c r="CB155" s="109">
        <f t="shared" si="390"/>
        <v>0</v>
      </c>
      <c r="CC155" s="109">
        <f t="shared" si="390"/>
        <v>0</v>
      </c>
      <c r="CD155" s="109">
        <f>CC155</f>
        <v>0</v>
      </c>
      <c r="CE155" s="109">
        <f>CD155</f>
        <v>0</v>
      </c>
      <c r="CF155" s="109">
        <f>CE155</f>
        <v>0</v>
      </c>
      <c r="CG155" s="109">
        <f>CF155</f>
        <v>0</v>
      </c>
      <c r="CI155" s="106">
        <f t="shared" si="383"/>
        <v>0</v>
      </c>
      <c r="CJ155" s="106">
        <f t="shared" si="383"/>
        <v>0</v>
      </c>
      <c r="CK155" s="106">
        <f t="shared" si="383"/>
        <v>0</v>
      </c>
      <c r="CL155" s="106">
        <f t="shared" si="383"/>
        <v>0</v>
      </c>
      <c r="CM155" s="106">
        <f t="shared" si="383"/>
        <v>0</v>
      </c>
      <c r="CN155" s="106">
        <f t="shared" si="383"/>
        <v>0</v>
      </c>
      <c r="CO155" s="106">
        <f t="shared" si="383"/>
        <v>0</v>
      </c>
      <c r="CP155" s="106">
        <f t="shared" si="383"/>
        <v>0</v>
      </c>
      <c r="CQ155" s="106">
        <f t="shared" si="383"/>
        <v>0</v>
      </c>
      <c r="CR155" s="106">
        <f t="shared" si="383"/>
        <v>0</v>
      </c>
      <c r="CS155" s="106">
        <f t="shared" si="384"/>
        <v>0</v>
      </c>
      <c r="CT155" s="106">
        <f t="shared" si="384"/>
        <v>0</v>
      </c>
      <c r="CU155" s="106">
        <f t="shared" si="384"/>
        <v>0</v>
      </c>
      <c r="CV155" s="106">
        <f t="shared" si="385"/>
        <v>0</v>
      </c>
      <c r="CW155" s="106">
        <f t="shared" si="386"/>
        <v>0</v>
      </c>
      <c r="CX155" s="106">
        <f t="shared" si="387"/>
        <v>0</v>
      </c>
      <c r="CY155" s="106">
        <f t="shared" si="388"/>
        <v>0</v>
      </c>
      <c r="CZ155" s="134"/>
      <c r="DA155" s="135">
        <v>-133.7999999999995</v>
      </c>
      <c r="DB155" s="135">
        <v>252.29999999999973</v>
      </c>
      <c r="DC155" s="135">
        <v>1348.5000000000005</v>
      </c>
      <c r="DD155" s="135">
        <v>0</v>
      </c>
      <c r="DE155" s="135">
        <v>0</v>
      </c>
      <c r="DF155" s="135">
        <v>0</v>
      </c>
      <c r="DG155" s="135">
        <v>0</v>
      </c>
      <c r="DH155" s="135">
        <v>0</v>
      </c>
      <c r="DI155" s="135">
        <v>0</v>
      </c>
      <c r="DJ155" s="135">
        <v>0</v>
      </c>
      <c r="DK155" s="135">
        <v>0</v>
      </c>
      <c r="DL155" s="135">
        <v>0</v>
      </c>
      <c r="DM155" s="135">
        <v>0</v>
      </c>
      <c r="DN155" s="135">
        <v>0</v>
      </c>
      <c r="DO155" s="135">
        <v>0</v>
      </c>
      <c r="DP155" s="135">
        <v>0</v>
      </c>
      <c r="DQ155" s="135">
        <v>0</v>
      </c>
    </row>
    <row r="156" spans="1:121" s="123" customFormat="1">
      <c r="A156" s="149" t="s">
        <v>923</v>
      </c>
      <c r="B156" s="149"/>
      <c r="C156" s="149"/>
      <c r="D156" s="102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143"/>
      <c r="BG156" s="123">
        <f t="shared" ref="BG156:BO156" si="391">+BF164*(BG160/BF160-1)</f>
        <v>-3.4829887076479067</v>
      </c>
      <c r="BH156" s="123">
        <f t="shared" si="391"/>
        <v>7.8103195237953482</v>
      </c>
      <c r="BI156" s="123">
        <f t="shared" si="391"/>
        <v>-1.5990227549793647</v>
      </c>
      <c r="BJ156" s="123">
        <f t="shared" si="391"/>
        <v>1.3122489111171094</v>
      </c>
      <c r="BK156" s="123">
        <f t="shared" si="391"/>
        <v>593.39684716345732</v>
      </c>
      <c r="BL156" s="123">
        <f t="shared" si="391"/>
        <v>-1.3467646859568967</v>
      </c>
      <c r="BM156" s="123">
        <f t="shared" si="391"/>
        <v>-1.3161104854543786</v>
      </c>
      <c r="BN156" s="123">
        <f t="shared" si="391"/>
        <v>0.73669330112538511</v>
      </c>
      <c r="BO156" s="123">
        <f t="shared" si="391"/>
        <v>839.42328948080444</v>
      </c>
      <c r="BP156" s="123">
        <f t="shared" ref="BP156:CB156" si="392">+BO164*(BP160/BO160-1)</f>
        <v>2564.0767764184729</v>
      </c>
      <c r="BQ156" s="123">
        <f t="shared" si="392"/>
        <v>39.782614565282458</v>
      </c>
      <c r="BR156" s="123">
        <f t="shared" si="392"/>
        <v>2.0775412880321955</v>
      </c>
      <c r="BS156" s="123">
        <f t="shared" si="392"/>
        <v>-0.12798661127905336</v>
      </c>
      <c r="BT156" s="123">
        <f t="shared" si="392"/>
        <v>5249.3208658389185</v>
      </c>
      <c r="BU156" s="123">
        <f t="shared" si="392"/>
        <v>5292.9009009009023</v>
      </c>
      <c r="BV156" s="123">
        <f t="shared" ca="1" si="392"/>
        <v>0</v>
      </c>
      <c r="BW156" s="123">
        <f t="shared" ca="1" si="392"/>
        <v>0</v>
      </c>
      <c r="BX156" s="123">
        <f t="shared" ca="1" si="392"/>
        <v>0</v>
      </c>
      <c r="BY156" s="123">
        <f t="shared" ca="1" si="392"/>
        <v>0</v>
      </c>
      <c r="BZ156" s="123">
        <f t="shared" ca="1" si="392"/>
        <v>0</v>
      </c>
      <c r="CA156" s="123">
        <f t="shared" ca="1" si="392"/>
        <v>0</v>
      </c>
      <c r="CB156" s="123">
        <f t="shared" ca="1" si="392"/>
        <v>0</v>
      </c>
      <c r="CC156" s="123">
        <f ca="1">+CB164*(CC160/CB160-1)</f>
        <v>0</v>
      </c>
      <c r="CD156" s="123">
        <f ca="1">+CC164*(CD160/CC160-1)</f>
        <v>0</v>
      </c>
      <c r="CE156" s="123">
        <f ca="1">+CD164*(CE160/CD160-1)</f>
        <v>0</v>
      </c>
      <c r="CF156" s="123">
        <f ca="1">+CE164*(CF160/CE160-1)</f>
        <v>0</v>
      </c>
      <c r="CG156" s="123">
        <f ca="1">+CF164*(CG160/CF160-1)</f>
        <v>0</v>
      </c>
      <c r="CH156" s="141"/>
      <c r="CI156" s="106">
        <f t="shared" ref="CI156:CJ160" si="393">BQ156-DA156</f>
        <v>0</v>
      </c>
      <c r="CJ156" s="106">
        <f t="shared" si="393"/>
        <v>0</v>
      </c>
      <c r="CK156" s="106">
        <f t="shared" ref="CK156:CU159" si="394">BS156-DC156</f>
        <v>0</v>
      </c>
      <c r="CL156" s="106">
        <f t="shared" si="394"/>
        <v>0</v>
      </c>
      <c r="CM156" s="106">
        <f t="shared" si="394"/>
        <v>1998.4876126126123</v>
      </c>
      <c r="CN156" s="106">
        <f t="shared" ca="1" si="394"/>
        <v>0</v>
      </c>
      <c r="CO156" s="106">
        <f t="shared" ca="1" si="394"/>
        <v>0</v>
      </c>
      <c r="CP156" s="106">
        <f t="shared" ca="1" si="394"/>
        <v>0</v>
      </c>
      <c r="CQ156" s="106">
        <f t="shared" ca="1" si="394"/>
        <v>0</v>
      </c>
      <c r="CR156" s="106">
        <f t="shared" ca="1" si="394"/>
        <v>0</v>
      </c>
      <c r="CS156" s="106">
        <f t="shared" ca="1" si="394"/>
        <v>0</v>
      </c>
      <c r="CT156" s="106">
        <f t="shared" ca="1" si="394"/>
        <v>0</v>
      </c>
      <c r="CU156" s="106">
        <f t="shared" ca="1" si="394"/>
        <v>0</v>
      </c>
      <c r="CV156" s="106">
        <f t="shared" ca="1" si="385"/>
        <v>0</v>
      </c>
      <c r="CW156" s="106">
        <f t="shared" ca="1" si="386"/>
        <v>0</v>
      </c>
      <c r="CX156" s="106">
        <f t="shared" ca="1" si="387"/>
        <v>0</v>
      </c>
      <c r="CY156" s="106">
        <f t="shared" ca="1" si="388"/>
        <v>0</v>
      </c>
      <c r="CZ156" s="181"/>
      <c r="DA156" s="135">
        <v>39.782614565282458</v>
      </c>
      <c r="DB156" s="135">
        <v>2.0775412880321955</v>
      </c>
      <c r="DC156" s="135">
        <v>-0.12798661127905336</v>
      </c>
      <c r="DD156" s="135">
        <v>5249.3208658389185</v>
      </c>
      <c r="DE156" s="135">
        <v>3294.41328828829</v>
      </c>
      <c r="DF156" s="135">
        <v>0</v>
      </c>
      <c r="DG156" s="135">
        <v>0</v>
      </c>
      <c r="DH156" s="135">
        <v>0</v>
      </c>
      <c r="DI156" s="135">
        <v>0</v>
      </c>
      <c r="DJ156" s="135">
        <v>0</v>
      </c>
      <c r="DK156" s="135">
        <v>0</v>
      </c>
      <c r="DL156" s="135">
        <v>0</v>
      </c>
      <c r="DM156" s="135">
        <v>0</v>
      </c>
      <c r="DN156" s="135">
        <v>0</v>
      </c>
      <c r="DO156" s="135">
        <v>0</v>
      </c>
      <c r="DP156" s="135">
        <v>0</v>
      </c>
      <c r="DQ156" s="135">
        <v>0</v>
      </c>
    </row>
    <row r="157" spans="1:121">
      <c r="A157" s="131" t="s">
        <v>1282</v>
      </c>
      <c r="C157" s="132" t="s">
        <v>1579</v>
      </c>
      <c r="BF157" s="133">
        <f ca="1">+BF164-BE164</f>
        <v>140.15391836951312</v>
      </c>
      <c r="BG157" s="133">
        <f t="shared" ref="BG157:BQ157" si="395">+BG164-BF164</f>
        <v>702</v>
      </c>
      <c r="BH157" s="133">
        <f t="shared" si="395"/>
        <v>486.09999999999991</v>
      </c>
      <c r="BI157" s="133">
        <f t="shared" si="395"/>
        <v>231.30000000000018</v>
      </c>
      <c r="BJ157" s="133">
        <f t="shared" si="395"/>
        <v>120.5</v>
      </c>
      <c r="BK157" s="133">
        <f t="shared" si="395"/>
        <v>1431.7999999999997</v>
      </c>
      <c r="BL157" s="133">
        <f t="shared" si="395"/>
        <v>690.60000000000036</v>
      </c>
      <c r="BM157" s="133">
        <f t="shared" si="395"/>
        <v>-504.80000000000018</v>
      </c>
      <c r="BN157" s="133">
        <f t="shared" si="395"/>
        <v>-748.90000000000009</v>
      </c>
      <c r="BO157" s="133">
        <f t="shared" si="395"/>
        <v>-839.90000000000009</v>
      </c>
      <c r="BP157" s="133">
        <f t="shared" si="395"/>
        <v>3452.1000000000004</v>
      </c>
      <c r="BQ157" s="133">
        <f t="shared" si="395"/>
        <v>-84.300000000000182</v>
      </c>
      <c r="BR157" s="133">
        <f t="shared" ref="BR157:CB157" si="396">+BR164-BQ164</f>
        <v>2061.7000000000007</v>
      </c>
      <c r="BS157" s="133">
        <f t="shared" si="396"/>
        <v>-2563.2000000000007</v>
      </c>
      <c r="BT157" s="133">
        <f t="shared" si="396"/>
        <v>4832</v>
      </c>
      <c r="BU157" s="133">
        <f t="shared" ca="1" si="396"/>
        <v>8331.3750033823817</v>
      </c>
      <c r="BV157" s="133">
        <f t="shared" ca="1" si="396"/>
        <v>1772.8337422898112</v>
      </c>
      <c r="BW157" s="133">
        <f t="shared" ca="1" si="396"/>
        <v>653.64884137714034</v>
      </c>
      <c r="BX157" s="133">
        <f t="shared" ca="1" si="396"/>
        <v>-494.75661891603886</v>
      </c>
      <c r="BY157" s="133">
        <f t="shared" ca="1" si="396"/>
        <v>-850.29968631160955</v>
      </c>
      <c r="BZ157" s="133">
        <f t="shared" ca="1" si="396"/>
        <v>-1503.1860396898992</v>
      </c>
      <c r="CA157" s="133">
        <f t="shared" ca="1" si="396"/>
        <v>-2475.9726325895463</v>
      </c>
      <c r="CB157" s="133">
        <f t="shared" ca="1" si="396"/>
        <v>-3860.550836592558</v>
      </c>
      <c r="CC157" s="133">
        <f ca="1">+CC164-CB164</f>
        <v>-5783.3221023402075</v>
      </c>
      <c r="CD157" s="133">
        <f ca="1">+CD164-CC164</f>
        <v>-8413.6273421965197</v>
      </c>
      <c r="CE157" s="133">
        <f ca="1">+CE164-CD164</f>
        <v>-11978.002530539934</v>
      </c>
      <c r="CF157" s="133">
        <f ca="1">+CF164-CE164</f>
        <v>-16777.464785179011</v>
      </c>
      <c r="CG157" s="133">
        <f ca="1">+CG164-CF164</f>
        <v>-23206.765651563102</v>
      </c>
      <c r="CI157" s="133">
        <f t="shared" si="393"/>
        <v>0</v>
      </c>
      <c r="CJ157" s="133">
        <f t="shared" si="393"/>
        <v>0</v>
      </c>
      <c r="CK157" s="133">
        <f t="shared" si="394"/>
        <v>0</v>
      </c>
      <c r="CL157" s="133">
        <f t="shared" si="394"/>
        <v>0</v>
      </c>
      <c r="CM157" s="133">
        <f t="shared" ca="1" si="394"/>
        <v>2128.9689553738244</v>
      </c>
      <c r="CN157" s="133">
        <f t="shared" ca="1" si="394"/>
        <v>-477.07671100610969</v>
      </c>
      <c r="CO157" s="133">
        <f t="shared" ca="1" si="394"/>
        <v>-1052.336283037228</v>
      </c>
      <c r="CP157" s="133">
        <f t="shared" ca="1" si="394"/>
        <v>-1560.554863887839</v>
      </c>
      <c r="CQ157" s="133">
        <f t="shared" ca="1" si="394"/>
        <v>-2025.2621315759716</v>
      </c>
      <c r="CR157" s="133">
        <f t="shared" ca="1" si="394"/>
        <v>-4034.1787730366414</v>
      </c>
      <c r="CS157" s="133">
        <f t="shared" ca="1" si="394"/>
        <v>-4773.9303466142737</v>
      </c>
      <c r="CT157" s="133">
        <f t="shared" ca="1" si="394"/>
        <v>-5525.1572547957712</v>
      </c>
      <c r="CU157" s="133">
        <f t="shared" ca="1" si="394"/>
        <v>-6305.5604756099601</v>
      </c>
      <c r="CV157" s="133">
        <f t="shared" ca="1" si="385"/>
        <v>-7114.4420752814367</v>
      </c>
      <c r="CW157" s="133">
        <f t="shared" ca="1" si="386"/>
        <v>-7949.4125316901609</v>
      </c>
      <c r="CX157" s="133">
        <f t="shared" ca="1" si="387"/>
        <v>-8794.88207771214</v>
      </c>
      <c r="CY157" s="133">
        <f t="shared" ca="1" si="388"/>
        <v>-9626.8804559968394</v>
      </c>
      <c r="DA157" s="104">
        <v>-84.300000000000182</v>
      </c>
      <c r="DB157" s="104">
        <v>2061.7000000000007</v>
      </c>
      <c r="DC157" s="104">
        <v>-2563.2000000000007</v>
      </c>
      <c r="DD157" s="104">
        <v>4832</v>
      </c>
      <c r="DE157" s="104">
        <v>6202.4060480085573</v>
      </c>
      <c r="DF157" s="104">
        <v>2249.9104532959209</v>
      </c>
      <c r="DG157" s="104">
        <v>1705.9851244143683</v>
      </c>
      <c r="DH157" s="104">
        <v>1065.7982449718002</v>
      </c>
      <c r="DI157" s="104">
        <v>1174.962445264362</v>
      </c>
      <c r="DJ157" s="104">
        <v>2530.9927333467422</v>
      </c>
      <c r="DK157" s="104">
        <v>2297.9577140247275</v>
      </c>
      <c r="DL157" s="104">
        <v>1664.6064182032133</v>
      </c>
      <c r="DM157" s="104">
        <v>522.23837326975263</v>
      </c>
      <c r="DN157" s="104">
        <v>-1299.185266915083</v>
      </c>
      <c r="DO157" s="104">
        <v>-4028.5899988497731</v>
      </c>
      <c r="DP157" s="104">
        <v>-7982.5827074668705</v>
      </c>
      <c r="DQ157" s="104">
        <v>-13579.885195566263</v>
      </c>
    </row>
    <row r="158" spans="1:121" s="123" customFormat="1">
      <c r="A158" s="352" t="s">
        <v>1992</v>
      </c>
      <c r="B158" s="107"/>
      <c r="C158" s="136" t="s">
        <v>1349</v>
      </c>
      <c r="D158" s="14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>
        <f t="shared" ref="BF158:BQ158" si="397">100*BF161/BF164</f>
        <v>44.957983193277308</v>
      </c>
      <c r="BG158" s="106">
        <f t="shared" si="397"/>
        <v>51.122065727699535</v>
      </c>
      <c r="BH158" s="106">
        <f t="shared" si="397"/>
        <v>62.409693819043618</v>
      </c>
      <c r="BI158" s="106">
        <f t="shared" si="397"/>
        <v>62.488586078527774</v>
      </c>
      <c r="BJ158" s="106">
        <f t="shared" si="397"/>
        <v>63.064793288183559</v>
      </c>
      <c r="BK158" s="106">
        <f t="shared" si="397"/>
        <v>60.365479464508944</v>
      </c>
      <c r="BL158" s="106">
        <f t="shared" si="397"/>
        <v>64.387167750427281</v>
      </c>
      <c r="BM158" s="106">
        <f t="shared" si="397"/>
        <v>55.187002507905355</v>
      </c>
      <c r="BN158" s="106">
        <f t="shared" si="397"/>
        <v>52.95052911431997</v>
      </c>
      <c r="BO158" s="106">
        <f t="shared" si="397"/>
        <v>43.644675810057741</v>
      </c>
      <c r="BP158" s="106">
        <f t="shared" si="397"/>
        <v>43.435988090807591</v>
      </c>
      <c r="BQ158" s="106">
        <f t="shared" si="397"/>
        <v>49.314164506245582</v>
      </c>
      <c r="BR158" s="106">
        <f t="shared" ref="BR158:CB158" si="398">100*BR161/BR164</f>
        <v>50.982649355581387</v>
      </c>
      <c r="BS158" s="106">
        <f t="shared" si="398"/>
        <v>81.698789015862189</v>
      </c>
      <c r="BT158" s="106">
        <f t="shared" si="398"/>
        <v>74.726507713884999</v>
      </c>
      <c r="BU158" s="106">
        <f t="shared" ca="1" si="398"/>
        <v>74.726507713884985</v>
      </c>
      <c r="BV158" s="106">
        <f t="shared" ca="1" si="398"/>
        <v>74.726507713884985</v>
      </c>
      <c r="BW158" s="106">
        <f t="shared" ca="1" si="398"/>
        <v>74.726507713884985</v>
      </c>
      <c r="BX158" s="106">
        <f t="shared" ca="1" si="398"/>
        <v>74.72650771388497</v>
      </c>
      <c r="BY158" s="106">
        <f t="shared" ca="1" si="398"/>
        <v>74.726507713884985</v>
      </c>
      <c r="BZ158" s="106">
        <f t="shared" ca="1" si="398"/>
        <v>74.726507713884999</v>
      </c>
      <c r="CA158" s="106">
        <f t="shared" ca="1" si="398"/>
        <v>74.726507713885027</v>
      </c>
      <c r="CB158" s="106">
        <f t="shared" ca="1" si="398"/>
        <v>74.726507713885042</v>
      </c>
      <c r="CC158" s="106">
        <f ca="1">100*CC161/CC164</f>
        <v>74.726507713884828</v>
      </c>
      <c r="CD158" s="106">
        <f ca="1">100*CD161/CD164</f>
        <v>74.726507713883905</v>
      </c>
      <c r="CE158" s="106">
        <f ca="1">100*CE161/CE164</f>
        <v>74.726507713885965</v>
      </c>
      <c r="CF158" s="106">
        <f ca="1">100*CF161/CF164</f>
        <v>74.726507713885482</v>
      </c>
      <c r="CG158" s="106">
        <f ca="1">100*CG161/CG164</f>
        <v>74.726507713885383</v>
      </c>
      <c r="CH158" s="141"/>
      <c r="CI158" s="133">
        <f t="shared" si="393"/>
        <v>0</v>
      </c>
      <c r="CJ158" s="133">
        <f t="shared" si="393"/>
        <v>0</v>
      </c>
      <c r="CK158" s="133">
        <f t="shared" si="394"/>
        <v>0</v>
      </c>
      <c r="CL158" s="133">
        <f t="shared" si="394"/>
        <v>0</v>
      </c>
      <c r="CM158" s="133">
        <f t="shared" ca="1" si="394"/>
        <v>0</v>
      </c>
      <c r="CN158" s="133">
        <f t="shared" ca="1" si="394"/>
        <v>0</v>
      </c>
      <c r="CO158" s="133">
        <f t="shared" ca="1" si="394"/>
        <v>0</v>
      </c>
      <c r="CP158" s="133">
        <f t="shared" ca="1" si="394"/>
        <v>0</v>
      </c>
      <c r="CQ158" s="133">
        <f t="shared" ca="1" si="394"/>
        <v>0</v>
      </c>
      <c r="CR158" s="133">
        <f t="shared" ca="1" si="394"/>
        <v>0</v>
      </c>
      <c r="CS158" s="133">
        <f t="shared" ca="1" si="394"/>
        <v>0</v>
      </c>
      <c r="CT158" s="133">
        <f t="shared" ca="1" si="394"/>
        <v>0</v>
      </c>
      <c r="CU158" s="133">
        <f t="shared" ca="1" si="394"/>
        <v>-2.9842794901924208E-13</v>
      </c>
      <c r="CV158" s="133">
        <f t="shared" ca="1" si="385"/>
        <v>-1.1937117960769683E-12</v>
      </c>
      <c r="CW158" s="133">
        <f t="shared" ca="1" si="386"/>
        <v>9.5212726591853425E-13</v>
      </c>
      <c r="CX158" s="133">
        <f t="shared" ca="1" si="387"/>
        <v>9.3791641120333225E-13</v>
      </c>
      <c r="CY158" s="133">
        <f t="shared" ca="1" si="388"/>
        <v>3.709033080667723E-12</v>
      </c>
      <c r="CZ158" s="134"/>
      <c r="DA158" s="135">
        <v>49.314164506245582</v>
      </c>
      <c r="DB158" s="135">
        <v>50.982649355581387</v>
      </c>
      <c r="DC158" s="135">
        <v>81.698789015862189</v>
      </c>
      <c r="DD158" s="135">
        <v>74.726507713884999</v>
      </c>
      <c r="DE158" s="135">
        <v>74.726507713885013</v>
      </c>
      <c r="DF158" s="135">
        <v>74.726507713884999</v>
      </c>
      <c r="DG158" s="135">
        <v>74.726507713884999</v>
      </c>
      <c r="DH158" s="135">
        <v>74.726507713884999</v>
      </c>
      <c r="DI158" s="135">
        <v>74.726507713885013</v>
      </c>
      <c r="DJ158" s="135">
        <v>74.726507713885042</v>
      </c>
      <c r="DK158" s="135">
        <v>74.726507713885084</v>
      </c>
      <c r="DL158" s="135">
        <v>74.726507713885098</v>
      </c>
      <c r="DM158" s="135">
        <v>74.726507713885127</v>
      </c>
      <c r="DN158" s="135">
        <v>74.726507713885098</v>
      </c>
      <c r="DO158" s="135">
        <v>74.726507713885013</v>
      </c>
      <c r="DP158" s="135">
        <v>74.726507713884544</v>
      </c>
      <c r="DQ158" s="135">
        <v>74.726507713881674</v>
      </c>
    </row>
    <row r="159" spans="1:121">
      <c r="A159" s="149" t="s">
        <v>954</v>
      </c>
      <c r="B159" s="149"/>
      <c r="C159" s="150" t="s">
        <v>837</v>
      </c>
      <c r="D159" s="102" t="s">
        <v>2773</v>
      </c>
      <c r="E159" s="149"/>
      <c r="F159" s="149"/>
      <c r="G159" s="149"/>
      <c r="H159" s="149"/>
      <c r="I159" s="368">
        <f>+SOURCE!I429</f>
        <v>15.1</v>
      </c>
      <c r="J159" s="368">
        <f>+SOURCE!J429</f>
        <v>15.1</v>
      </c>
      <c r="K159" s="368">
        <f>+SOURCE!K429</f>
        <v>19.5</v>
      </c>
      <c r="L159" s="368">
        <f>+SOURCE!L429</f>
        <v>17.2</v>
      </c>
      <c r="M159" s="368">
        <f>+SOURCE!M429</f>
        <v>16.2</v>
      </c>
      <c r="N159" s="368">
        <f>+SOURCE!N429</f>
        <v>15.8</v>
      </c>
      <c r="O159" s="368">
        <f>+SOURCE!O429</f>
        <v>17.899999999999999</v>
      </c>
      <c r="P159" s="368">
        <f>+SOURCE!P429</f>
        <v>20</v>
      </c>
      <c r="Q159" s="368">
        <f>+SOURCE!Q429</f>
        <v>24.7</v>
      </c>
      <c r="R159" s="368">
        <f>+SOURCE!R429</f>
        <v>27</v>
      </c>
      <c r="S159" s="368">
        <f>+SOURCE!S429</f>
        <v>27.1</v>
      </c>
      <c r="T159" s="368">
        <f>+SOURCE!T429</f>
        <v>27.8</v>
      </c>
      <c r="U159" s="368">
        <f>+SOURCE!U429</f>
        <v>32.5</v>
      </c>
      <c r="V159" s="368">
        <f>+SOURCE!V429</f>
        <v>37.1</v>
      </c>
      <c r="W159" s="368">
        <f>+SOURCE!W429</f>
        <v>40.299999999999997</v>
      </c>
      <c r="X159" s="368">
        <f>+SOURCE!X429</f>
        <v>44.6</v>
      </c>
      <c r="Y159" s="368">
        <f>+SOURCE!Y429</f>
        <v>59.3</v>
      </c>
      <c r="Z159" s="368">
        <f>+SOURCE!Z429</f>
        <v>69.900000000000006</v>
      </c>
      <c r="AA159" s="368">
        <f>+SOURCE!AA429</f>
        <v>92.6</v>
      </c>
      <c r="AB159" s="368">
        <f>+SOURCE!AB429</f>
        <v>110.4</v>
      </c>
      <c r="AC159" s="368">
        <f>+SOURCE!AC429</f>
        <v>95.1</v>
      </c>
      <c r="AD159" s="368">
        <f>+SOURCE!AD429</f>
        <v>123.1</v>
      </c>
      <c r="AE159" s="368">
        <f>+SOURCE!AE429</f>
        <v>157.6</v>
      </c>
      <c r="AF159" s="368">
        <f>+SOURCE!AF429</f>
        <v>181.9</v>
      </c>
      <c r="AG159" s="368">
        <f>+SOURCE!AG429</f>
        <v>199.8</v>
      </c>
      <c r="AH159" s="368">
        <f>+SOURCE!AH429</f>
        <v>169.5</v>
      </c>
      <c r="AI159" s="368">
        <f>+SOURCE!AI429</f>
        <v>74.900000000000006</v>
      </c>
      <c r="AJ159" s="368">
        <f>+SOURCE!AJ429</f>
        <v>37.700000000000003</v>
      </c>
      <c r="AK159" s="368">
        <f>+SOURCE!AK429</f>
        <v>37.200000000000003</v>
      </c>
      <c r="AL159" s="368">
        <f>+SOURCE!AL429</f>
        <v>38.200000000000003</v>
      </c>
      <c r="AM159" s="368">
        <f>+SOURCE!AM429</f>
        <v>36.799999999999997</v>
      </c>
      <c r="AN159" s="368">
        <f>+SOURCE!AN429</f>
        <v>30.9</v>
      </c>
      <c r="AO159" s="368">
        <f>+SOURCE!AO429</f>
        <v>27.1</v>
      </c>
      <c r="AP159" s="368">
        <f>+SOURCE!AP429</f>
        <v>37.4</v>
      </c>
      <c r="AQ159" s="368">
        <f>+SOURCE!AQ429</f>
        <v>3.6</v>
      </c>
      <c r="AR159" s="368">
        <f>+SOURCE!AR429</f>
        <v>2.1</v>
      </c>
      <c r="AS159" s="368">
        <f>+SOURCE!AS429</f>
        <v>13</v>
      </c>
      <c r="AT159" s="368">
        <f>+SOURCE!AT429</f>
        <v>46.5</v>
      </c>
      <c r="AU159" s="368">
        <f>+SOURCE!AU429</f>
        <v>163.6</v>
      </c>
      <c r="AV159" s="368">
        <f>+SOURCE!AV429</f>
        <v>148.4</v>
      </c>
      <c r="AW159" s="368">
        <f>+SOURCE!AW429</f>
        <v>127.3</v>
      </c>
      <c r="AX159" s="368">
        <f>+SOURCE!AX429</f>
        <v>56.8</v>
      </c>
      <c r="AY159" s="368">
        <f>+SOURCE!AY429</f>
        <v>7.2</v>
      </c>
      <c r="AZ159" s="368">
        <f>+SOURCE!AZ429</f>
        <v>6.2</v>
      </c>
      <c r="BA159" s="368">
        <f>+SOURCE!BA429</f>
        <v>95.3</v>
      </c>
      <c r="BB159" s="368">
        <f>+SOURCE!BB429</f>
        <v>85.8</v>
      </c>
      <c r="BC159" s="368">
        <f>+SOURCE!BC429</f>
        <v>81.900000000000006</v>
      </c>
      <c r="BD159" s="368">
        <f>+SOURCE!BD429</f>
        <v>112.3</v>
      </c>
      <c r="BE159" s="368">
        <f>+SOURCE!BE429</f>
        <v>138.1</v>
      </c>
      <c r="BF159" s="368">
        <f>+SOURCE!BF429</f>
        <v>237.2</v>
      </c>
      <c r="BG159" s="368">
        <f>+SOURCE!BG429</f>
        <v>403.3</v>
      </c>
      <c r="BH159" s="368">
        <f>+SOURCE!BH429</f>
        <v>602.5</v>
      </c>
      <c r="BI159" s="368">
        <f>+SOURCE!BI429</f>
        <v>657</v>
      </c>
      <c r="BJ159" s="368">
        <f>+SOURCE!BJ429</f>
        <v>690.8</v>
      </c>
      <c r="BK159" s="368">
        <f>+SOURCE!BK429</f>
        <v>816.9</v>
      </c>
      <c r="BL159" s="368">
        <f>+SOURCE!BL429</f>
        <v>1008.4</v>
      </c>
      <c r="BM159" s="368">
        <f>+SOURCE!BM429</f>
        <v>778.8</v>
      </c>
      <c r="BN159" s="368">
        <f>+SOURCE!BN429</f>
        <v>625.1</v>
      </c>
      <c r="BO159" s="368">
        <f>+SOURCE!BO429</f>
        <v>330.2</v>
      </c>
      <c r="BP159" s="368">
        <f>+SOURCE!BP429</f>
        <v>381.1</v>
      </c>
      <c r="BQ159" s="368">
        <f>+SOURCE!BQ429</f>
        <v>424.4</v>
      </c>
      <c r="BR159" s="368">
        <f>+SOURCE!BR429</f>
        <v>580.70000000000005</v>
      </c>
      <c r="BS159" s="368">
        <f>+SOURCE!BS429</f>
        <v>647.5</v>
      </c>
      <c r="BT159" s="368">
        <f>+SOURCE!BT429</f>
        <v>570</v>
      </c>
      <c r="BU159" s="128">
        <f t="shared" ref="BU159:CB159" ca="1" si="399">+BU161/BU160</f>
        <v>678.32755651599325</v>
      </c>
      <c r="BV159" s="128">
        <f t="shared" ca="1" si="399"/>
        <v>741.53255380542805</v>
      </c>
      <c r="BW159" s="128">
        <f t="shared" ca="1" si="399"/>
        <v>764.83641601312877</v>
      </c>
      <c r="BX159" s="128">
        <f t="shared" ca="1" si="399"/>
        <v>747.19737293110336</v>
      </c>
      <c r="BY159" s="128">
        <f t="shared" ca="1" si="399"/>
        <v>716.88252270768828</v>
      </c>
      <c r="BZ159" s="128">
        <f t="shared" ca="1" si="399"/>
        <v>663.29099446804537</v>
      </c>
      <c r="CA159" s="128">
        <f t="shared" ca="1" si="399"/>
        <v>575.01771773685721</v>
      </c>
      <c r="CB159" s="128">
        <f t="shared" ca="1" si="399"/>
        <v>437.38151455437685</v>
      </c>
      <c r="CC159" s="128">
        <f ca="1">+CC161/CC160</f>
        <v>231.19474752555593</v>
      </c>
      <c r="CD159" s="128">
        <f ca="1">+CD161/CD160</f>
        <v>-68.767556142573255</v>
      </c>
      <c r="CE159" s="128">
        <f ca="1">+CE161/CE160</f>
        <v>-495.80682069187765</v>
      </c>
      <c r="CF159" s="128">
        <f ca="1">+CF161/CF160</f>
        <v>-1093.9563205435543</v>
      </c>
      <c r="CG159" s="128">
        <f ca="1">+CG161/CG160</f>
        <v>-1921.3229963431045</v>
      </c>
      <c r="CI159" s="133">
        <f t="shared" si="393"/>
        <v>0</v>
      </c>
      <c r="CJ159" s="133">
        <f t="shared" si="393"/>
        <v>0</v>
      </c>
      <c r="CK159" s="133">
        <f t="shared" si="394"/>
        <v>0</v>
      </c>
      <c r="CL159" s="133">
        <f t="shared" si="394"/>
        <v>0</v>
      </c>
      <c r="CM159" s="133">
        <f t="shared" ca="1" si="394"/>
        <v>-10.158890262173941</v>
      </c>
      <c r="CN159" s="133">
        <f t="shared" ca="1" si="394"/>
        <v>-38.626712407727155</v>
      </c>
      <c r="CO159" s="133">
        <f t="shared" ca="1" si="394"/>
        <v>-84.833379403583308</v>
      </c>
      <c r="CP159" s="133">
        <f t="shared" ca="1" si="394"/>
        <v>-145.89847525241919</v>
      </c>
      <c r="CQ159" s="133">
        <f t="shared" ca="1" si="394"/>
        <v>-224.08728416153372</v>
      </c>
      <c r="CR159" s="133">
        <f t="shared" ca="1" si="394"/>
        <v>-380.80435657359942</v>
      </c>
      <c r="CS159" s="133">
        <f t="shared" ca="1" si="394"/>
        <v>-562.70814303393206</v>
      </c>
      <c r="CT159" s="133">
        <f t="shared" ca="1" si="394"/>
        <v>-768.1688960258158</v>
      </c>
      <c r="CU159" s="133">
        <f t="shared" ca="1" si="394"/>
        <v>-995.634316178208</v>
      </c>
      <c r="CV159" s="133">
        <f t="shared" ca="1" si="385"/>
        <v>-1242.6611902553359</v>
      </c>
      <c r="CW159" s="133">
        <f t="shared" ca="1" si="386"/>
        <v>-1505.5551649327044</v>
      </c>
      <c r="CX159" s="133">
        <f t="shared" ca="1" si="387"/>
        <v>-1778.4535588594867</v>
      </c>
      <c r="CY159" s="133">
        <f t="shared" ca="1" si="388"/>
        <v>-2052.5064964801068</v>
      </c>
      <c r="CZ159" s="165"/>
      <c r="DA159" s="104">
        <v>424.4</v>
      </c>
      <c r="DB159" s="104">
        <v>580.70000000000005</v>
      </c>
      <c r="DC159" s="104">
        <v>647.5</v>
      </c>
      <c r="DD159" s="104">
        <v>570</v>
      </c>
      <c r="DE159" s="104">
        <v>688.48644677816719</v>
      </c>
      <c r="DF159" s="104">
        <v>780.15926621315521</v>
      </c>
      <c r="DG159" s="104">
        <v>849.66979541671208</v>
      </c>
      <c r="DH159" s="104">
        <v>893.09584818352255</v>
      </c>
      <c r="DI159" s="104">
        <v>940.969806869222</v>
      </c>
      <c r="DJ159" s="104">
        <v>1044.0953510416448</v>
      </c>
      <c r="DK159" s="104">
        <v>1137.7258607707893</v>
      </c>
      <c r="DL159" s="104">
        <v>1205.5504105801926</v>
      </c>
      <c r="DM159" s="104">
        <v>1226.8290637037639</v>
      </c>
      <c r="DN159" s="104">
        <v>1173.8936341127626</v>
      </c>
      <c r="DO159" s="104">
        <v>1009.7483442408268</v>
      </c>
      <c r="DP159" s="104">
        <v>684.49723831593246</v>
      </c>
      <c r="DQ159" s="104">
        <v>131.18350013700223</v>
      </c>
    </row>
    <row r="160" spans="1:121">
      <c r="A160" s="149" t="s">
        <v>2107</v>
      </c>
      <c r="B160" s="149"/>
      <c r="C160" s="150" t="s">
        <v>918</v>
      </c>
      <c r="D160" s="102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64">
        <f t="shared" ref="BF160:BO160" si="400">+BF161/BF159</f>
        <v>2.7065767284991571</v>
      </c>
      <c r="BG160" s="164">
        <f t="shared" si="400"/>
        <v>2.6999752045623606</v>
      </c>
      <c r="BH160" s="164">
        <f t="shared" si="400"/>
        <v>2.7098755186721992</v>
      </c>
      <c r="BI160" s="164">
        <f t="shared" si="400"/>
        <v>2.7082191780821918</v>
      </c>
      <c r="BJ160" s="164">
        <f t="shared" si="400"/>
        <v>2.7094672843080487</v>
      </c>
      <c r="BK160" s="164">
        <f t="shared" si="400"/>
        <v>3.2511935365405806</v>
      </c>
      <c r="BL160" s="164">
        <f t="shared" si="400"/>
        <v>3.2501983339944469</v>
      </c>
      <c r="BM160" s="164">
        <f t="shared" si="400"/>
        <v>3.2493579866461224</v>
      </c>
      <c r="BN160" s="164">
        <f t="shared" si="400"/>
        <v>3.2498800191969286</v>
      </c>
      <c r="BO160" s="164">
        <f t="shared" si="400"/>
        <v>3.9609327680193824</v>
      </c>
      <c r="BP160" s="164">
        <f>+BP161/BP159</f>
        <v>7.3500393597480969</v>
      </c>
      <c r="BQ160" s="164">
        <f>+BQ161/BQ159</f>
        <v>7.3953817153628654</v>
      </c>
      <c r="BR160" s="164">
        <f>+BR161/BR159</f>
        <v>7.3977957637334244</v>
      </c>
      <c r="BS160" s="164">
        <f>+BS161/BS159</f>
        <v>7.397683397683398</v>
      </c>
      <c r="BT160" s="164">
        <f>+BT161/BT159</f>
        <v>14.021052631578947</v>
      </c>
      <c r="BU160" s="370">
        <f t="shared" ref="BU160:BZ160" si="401">BU196</f>
        <v>20.96</v>
      </c>
      <c r="BV160" s="370">
        <f t="shared" si="401"/>
        <v>20.96</v>
      </c>
      <c r="BW160" s="370">
        <f t="shared" si="401"/>
        <v>20.96</v>
      </c>
      <c r="BX160" s="370">
        <f t="shared" si="401"/>
        <v>20.96</v>
      </c>
      <c r="BY160" s="370">
        <f t="shared" si="401"/>
        <v>20.96</v>
      </c>
      <c r="BZ160" s="370">
        <f t="shared" si="401"/>
        <v>20.96</v>
      </c>
      <c r="CA160" s="370">
        <f t="shared" ref="CA160:CG160" si="402">CA196</f>
        <v>20.96</v>
      </c>
      <c r="CB160" s="370">
        <f t="shared" si="402"/>
        <v>20.96</v>
      </c>
      <c r="CC160" s="370">
        <f t="shared" si="402"/>
        <v>20.96</v>
      </c>
      <c r="CD160" s="370">
        <f t="shared" si="402"/>
        <v>20.96</v>
      </c>
      <c r="CE160" s="370">
        <f t="shared" si="402"/>
        <v>20.96</v>
      </c>
      <c r="CF160" s="370">
        <f t="shared" si="402"/>
        <v>20.96</v>
      </c>
      <c r="CG160" s="370">
        <f t="shared" si="402"/>
        <v>20.96</v>
      </c>
      <c r="CI160" s="157">
        <f t="shared" si="393"/>
        <v>0</v>
      </c>
      <c r="CJ160" s="157">
        <f t="shared" si="393"/>
        <v>0</v>
      </c>
      <c r="CK160" s="157">
        <f t="shared" ref="CK160:CU160" si="403">BS160-DC160</f>
        <v>0</v>
      </c>
      <c r="CL160" s="157">
        <f t="shared" si="403"/>
        <v>0</v>
      </c>
      <c r="CM160" s="157">
        <f t="shared" si="403"/>
        <v>2.620000000000001</v>
      </c>
      <c r="CN160" s="157">
        <f t="shared" si="403"/>
        <v>2.620000000000001</v>
      </c>
      <c r="CO160" s="157">
        <f t="shared" si="403"/>
        <v>2.620000000000001</v>
      </c>
      <c r="CP160" s="157">
        <f t="shared" si="403"/>
        <v>2.620000000000001</v>
      </c>
      <c r="CQ160" s="157">
        <f t="shared" si="403"/>
        <v>2.620000000000001</v>
      </c>
      <c r="CR160" s="157">
        <f t="shared" si="403"/>
        <v>2.620000000000001</v>
      </c>
      <c r="CS160" s="157">
        <f t="shared" si="403"/>
        <v>2.620000000000001</v>
      </c>
      <c r="CT160" s="157">
        <f t="shared" si="403"/>
        <v>2.620000000000001</v>
      </c>
      <c r="CU160" s="157">
        <f t="shared" si="403"/>
        <v>2.620000000000001</v>
      </c>
      <c r="CV160" s="157">
        <f t="shared" si="385"/>
        <v>2.620000000000001</v>
      </c>
      <c r="CW160" s="157">
        <f t="shared" si="386"/>
        <v>2.620000000000001</v>
      </c>
      <c r="CX160" s="157">
        <f t="shared" si="387"/>
        <v>2.620000000000001</v>
      </c>
      <c r="CY160" s="157">
        <f t="shared" si="388"/>
        <v>2.620000000000001</v>
      </c>
      <c r="CZ160" s="165"/>
      <c r="DA160" s="104">
        <v>7.3953817153628654</v>
      </c>
      <c r="DB160" s="104">
        <v>7.3977957637334244</v>
      </c>
      <c r="DC160" s="104">
        <v>7.397683397683398</v>
      </c>
      <c r="DD160" s="104">
        <v>14.021052631578947</v>
      </c>
      <c r="DE160" s="104">
        <v>18.34</v>
      </c>
      <c r="DF160" s="104">
        <v>18.34</v>
      </c>
      <c r="DG160" s="104">
        <v>18.34</v>
      </c>
      <c r="DH160" s="104">
        <v>18.34</v>
      </c>
      <c r="DI160" s="104">
        <v>18.34</v>
      </c>
      <c r="DJ160" s="104">
        <v>18.34</v>
      </c>
      <c r="DK160" s="104">
        <v>18.34</v>
      </c>
      <c r="DL160" s="104">
        <v>18.34</v>
      </c>
      <c r="DM160" s="104">
        <v>18.34</v>
      </c>
      <c r="DN160" s="104">
        <v>18.34</v>
      </c>
      <c r="DO160" s="104">
        <v>18.34</v>
      </c>
      <c r="DP160" s="104">
        <v>18.34</v>
      </c>
      <c r="DQ160" s="104">
        <v>18.34</v>
      </c>
    </row>
    <row r="161" spans="1:121" s="123" customFormat="1">
      <c r="A161" s="107" t="s">
        <v>953</v>
      </c>
      <c r="B161" s="107"/>
      <c r="C161" s="136" t="s">
        <v>1579</v>
      </c>
      <c r="D161" s="147" t="s">
        <v>2770</v>
      </c>
      <c r="E161" s="107"/>
      <c r="F161" s="107"/>
      <c r="G161" s="107"/>
      <c r="H161" s="107"/>
      <c r="I161" s="510">
        <f>SOURCE!I428</f>
        <v>2.8463499999999999E-2</v>
      </c>
      <c r="J161" s="510">
        <f>SOURCE!J428</f>
        <v>2.8463499999999999E-2</v>
      </c>
      <c r="K161" s="510">
        <f>SOURCE!K428</f>
        <v>3.6757499999999999E-2</v>
      </c>
      <c r="L161" s="510">
        <f>SOURCE!L428</f>
        <v>3.2421999999999999E-2</v>
      </c>
      <c r="M161" s="510">
        <f>SOURCE!M428</f>
        <v>3.0536999999999998E-2</v>
      </c>
      <c r="N161" s="510">
        <f>SOURCE!N428</f>
        <v>2.9783E-2</v>
      </c>
      <c r="O161" s="510">
        <f>SOURCE!O428</f>
        <v>3.3741499999999994E-2</v>
      </c>
      <c r="P161" s="510">
        <f>SOURCE!P428</f>
        <v>3.7699999999999997E-2</v>
      </c>
      <c r="Q161" s="510">
        <f>SOURCE!Q428</f>
        <v>4.6559499999999997E-2</v>
      </c>
      <c r="R161" s="510">
        <f>SOURCE!R428</f>
        <v>5.0894999999999996E-2</v>
      </c>
      <c r="S161" s="510">
        <f>SOURCE!S428</f>
        <v>5.1083500000000004E-2</v>
      </c>
      <c r="T161" s="510">
        <f>SOURCE!T428</f>
        <v>5.2402999999999998E-2</v>
      </c>
      <c r="U161" s="510">
        <f>SOURCE!U428</f>
        <v>6.1262499999999998E-2</v>
      </c>
      <c r="V161" s="510">
        <f>SOURCE!V428</f>
        <v>6.9933499999999996E-2</v>
      </c>
      <c r="W161" s="510">
        <f>SOURCE!W428</f>
        <v>7.5965499999999991E-2</v>
      </c>
      <c r="X161" s="510">
        <f>SOURCE!X428</f>
        <v>7.9611000000000001E-2</v>
      </c>
      <c r="Y161" s="510">
        <f>SOURCE!Y428</f>
        <v>0.10585049999999999</v>
      </c>
      <c r="Z161" s="510">
        <f>SOURCE!Z428</f>
        <v>0.12477150000000001</v>
      </c>
      <c r="AA161" s="510">
        <f>SOURCE!AA428</f>
        <v>0.16529099999999999</v>
      </c>
      <c r="AB161" s="510">
        <f>SOURCE!AB428</f>
        <v>0.19706399999999999</v>
      </c>
      <c r="AC161" s="510">
        <f>SOURCE!AC428</f>
        <v>0.16975349999999997</v>
      </c>
      <c r="AD161" s="510">
        <f>SOURCE!AD428</f>
        <v>0.21973349999999997</v>
      </c>
      <c r="AE161" s="510">
        <f>SOURCE!AE428</f>
        <v>0.28131599999999995</v>
      </c>
      <c r="AF161" s="510">
        <f>SOURCE!AF428</f>
        <v>0.32469150000000002</v>
      </c>
      <c r="AG161" s="510">
        <f>SOURCE!AG428</f>
        <v>0.35664299999999999</v>
      </c>
      <c r="AH161" s="510">
        <f>SOURCE!AH428</f>
        <v>0.30255749999999998</v>
      </c>
      <c r="AI161" s="510">
        <f>SOURCE!AI428</f>
        <v>0.1336965</v>
      </c>
      <c r="AJ161" s="510">
        <f>SOURCE!AJ428</f>
        <v>6.7294500000000007E-2</v>
      </c>
      <c r="AK161" s="510">
        <f>SOURCE!AK428</f>
        <v>7.5893580000000016E-2</v>
      </c>
      <c r="AL161" s="510">
        <f>SOURCE!AL428</f>
        <v>9.3977730000000009E-2</v>
      </c>
      <c r="AM161" s="510">
        <f>SOURCE!AM428</f>
        <v>0.13033272000000001</v>
      </c>
      <c r="AN161" s="510">
        <f>SOURCE!AN428</f>
        <v>0.10781473499999999</v>
      </c>
      <c r="AO161" s="510">
        <f>SOURCE!AO428</f>
        <v>0.122669505</v>
      </c>
      <c r="AP161" s="510">
        <f>SOURCE!AP428</f>
        <v>0.18500096999999999</v>
      </c>
      <c r="AQ161" s="510">
        <f>SOURCE!AQ428</f>
        <v>2.2706460000000001E-2</v>
      </c>
      <c r="AR161" s="510">
        <f>SOURCE!AR428</f>
        <v>1.6796955000000002E-2</v>
      </c>
      <c r="AS161" s="510">
        <f>SOURCE!AS428</f>
        <v>0.24306555000000002</v>
      </c>
      <c r="AT161" s="510">
        <f>SOURCE!AT428</f>
        <v>3.1208451750000004</v>
      </c>
      <c r="AU161" s="510">
        <f>SOURCE!AU428</f>
        <v>74.180992579999995</v>
      </c>
      <c r="AV161" s="510">
        <f>SOURCE!AV428</f>
        <v>59.975377700000003</v>
      </c>
      <c r="AW161" s="510">
        <f>SOURCE!AW428</f>
        <v>51.973598450000004</v>
      </c>
      <c r="AX161" s="510">
        <f>SOURCE!AX428</f>
        <v>24.619079599999999</v>
      </c>
      <c r="AY161" s="510">
        <f>SOURCE!AY428</f>
        <v>6.7830012000000011</v>
      </c>
      <c r="AZ161" s="510">
        <f>SOURCE!AZ428</f>
        <v>9.0240504000000019</v>
      </c>
      <c r="BA161" s="510">
        <f>SOURCE!BA428</f>
        <v>208.94141417500001</v>
      </c>
      <c r="BB161" s="510">
        <f>SOURCE!BB428</f>
        <v>207.6439365</v>
      </c>
      <c r="BC161" s="510">
        <f>SOURCE!BC428</f>
        <v>219.94920675</v>
      </c>
      <c r="BD161" s="510">
        <f>SOURCE!BD428</f>
        <v>310.37754749999999</v>
      </c>
      <c r="BE161" s="510">
        <f>SOURCE!BE428</f>
        <v>381.68423250000001</v>
      </c>
      <c r="BF161" s="510">
        <f>SOURCE!BF428</f>
        <v>642</v>
      </c>
      <c r="BG161" s="144">
        <f>SOURCE!BG428</f>
        <v>1088.9000000000001</v>
      </c>
      <c r="BH161" s="144">
        <f>SOURCE!BH428</f>
        <v>1632.7</v>
      </c>
      <c r="BI161" s="144">
        <f>SOURCE!BI428</f>
        <v>1779.3</v>
      </c>
      <c r="BJ161" s="144">
        <f>SOURCE!BJ428</f>
        <v>1871.7</v>
      </c>
      <c r="BK161" s="144">
        <f>SOURCE!BK428</f>
        <v>2655.9</v>
      </c>
      <c r="BL161" s="144">
        <f>SOURCE!BL428</f>
        <v>3277.5</v>
      </c>
      <c r="BM161" s="144">
        <f>SOURCE!BM428</f>
        <v>2530.6</v>
      </c>
      <c r="BN161" s="144">
        <f>SOURCE!BN428</f>
        <v>2031.5</v>
      </c>
      <c r="BO161" s="144">
        <f>SOURCE!BO428</f>
        <v>1307.9000000000001</v>
      </c>
      <c r="BP161" s="144">
        <f>SOURCE!BP428</f>
        <v>2801.1</v>
      </c>
      <c r="BQ161" s="144">
        <f>SOURCE!BQ428</f>
        <v>3138.6</v>
      </c>
      <c r="BR161" s="144">
        <f>SOURCE!BR428</f>
        <v>4295.8999999999996</v>
      </c>
      <c r="BS161" s="144">
        <f>SOURCE!BS428</f>
        <v>4790</v>
      </c>
      <c r="BT161" s="144">
        <f>SOURCE!BT428</f>
        <v>7992</v>
      </c>
      <c r="BU161" s="109">
        <f t="shared" ref="BU161:CC161" ca="1" si="404">BT161*BU160/BT160+(BT161/BT164)*(BU154-BU150)</f>
        <v>14217.745584575219</v>
      </c>
      <c r="BV161" s="109">
        <f t="shared" ca="1" si="404"/>
        <v>15542.522327761772</v>
      </c>
      <c r="BW161" s="109">
        <f t="shared" ca="1" si="404"/>
        <v>16030.97127963518</v>
      </c>
      <c r="BX161" s="109">
        <f t="shared" ca="1" si="404"/>
        <v>15661.256936635928</v>
      </c>
      <c r="BY161" s="109">
        <f t="shared" ca="1" si="404"/>
        <v>15025.857675953146</v>
      </c>
      <c r="BZ161" s="109">
        <f t="shared" ca="1" si="404"/>
        <v>13902.579244050259</v>
      </c>
      <c r="CA161" s="109">
        <f t="shared" ca="1" si="404"/>
        <v>12052.371363764534</v>
      </c>
      <c r="CB161" s="109">
        <f t="shared" ca="1" si="404"/>
        <v>9167.5165450596978</v>
      </c>
      <c r="CC161" s="109">
        <f t="shared" ca="1" si="404"/>
        <v>4845.8419081356869</v>
      </c>
      <c r="CD161" s="109">
        <f ca="1">CC161*CD160/CC160+(CC161/CC164)*(CD154-CD150)</f>
        <v>-1441.3679767483309</v>
      </c>
      <c r="CE161" s="109">
        <f ca="1">CD161*CE160/CD160+(CD161/CD164)*(CE154-CE150)</f>
        <v>-10392.110961701612</v>
      </c>
      <c r="CF161" s="109">
        <f ca="1">CE161*CF160/CE160+(CE161/CE164)*(CF154-CF150)</f>
        <v>-22929.324478592669</v>
      </c>
      <c r="CG161" s="109">
        <f ca="1">CF161*CG160/CF160+(CF161/CF164)*(CG154-CG150)</f>
        <v>-40270.930003350964</v>
      </c>
      <c r="CI161" s="106">
        <f t="shared" ref="CI161:CU161" si="405">BQ161-DA161</f>
        <v>0</v>
      </c>
      <c r="CJ161" s="106">
        <f t="shared" si="405"/>
        <v>0</v>
      </c>
      <c r="CK161" s="106">
        <f t="shared" si="405"/>
        <v>0</v>
      </c>
      <c r="CL161" s="106">
        <f t="shared" si="405"/>
        <v>0</v>
      </c>
      <c r="CM161" s="106">
        <f t="shared" ca="1" si="405"/>
        <v>1590.9041506636331</v>
      </c>
      <c r="CN161" s="106">
        <f t="shared" ca="1" si="405"/>
        <v>1234.4013854125114</v>
      </c>
      <c r="CO161" s="106">
        <f t="shared" ca="1" si="405"/>
        <v>448.02723169271121</v>
      </c>
      <c r="CP161" s="106">
        <f t="shared" ca="1" si="405"/>
        <v>-718.12091904981025</v>
      </c>
      <c r="CQ161" s="106">
        <f t="shared" ca="1" si="405"/>
        <v>-2231.5285820282916</v>
      </c>
      <c r="CR161" s="106">
        <f t="shared" ca="1" si="405"/>
        <v>-5246.1294940533808</v>
      </c>
      <c r="CS161" s="106">
        <f t="shared" ca="1" si="405"/>
        <v>-8813.5209227715568</v>
      </c>
      <c r="CT161" s="106">
        <f t="shared" ca="1" si="405"/>
        <v>-12942.27798498081</v>
      </c>
      <c r="CU161" s="106">
        <f t="shared" ca="1" si="405"/>
        <v>-17654.203120191141</v>
      </c>
      <c r="CV161" s="106">
        <f t="shared" ca="1" si="385"/>
        <v>-22970.577226376186</v>
      </c>
      <c r="CW161" s="106">
        <f t="shared" ca="1" si="386"/>
        <v>-28910.89559507812</v>
      </c>
      <c r="CX161" s="106">
        <f t="shared" ca="1" si="387"/>
        <v>-35483.003829306908</v>
      </c>
      <c r="CY161" s="106">
        <f t="shared" ca="1" si="388"/>
        <v>-42676.835395863651</v>
      </c>
      <c r="CZ161" s="134"/>
      <c r="DA161" s="135">
        <v>3138.6</v>
      </c>
      <c r="DB161" s="135">
        <v>4295.8999999999996</v>
      </c>
      <c r="DC161" s="135">
        <v>4790</v>
      </c>
      <c r="DD161" s="135">
        <v>7992</v>
      </c>
      <c r="DE161" s="135">
        <v>12626.841433911586</v>
      </c>
      <c r="DF161" s="135">
        <v>14308.12094234926</v>
      </c>
      <c r="DG161" s="135">
        <v>15582.944047942468</v>
      </c>
      <c r="DH161" s="135">
        <v>16379.377855685738</v>
      </c>
      <c r="DI161" s="135">
        <v>17257.386257981438</v>
      </c>
      <c r="DJ161" s="135">
        <v>19148.70873810364</v>
      </c>
      <c r="DK161" s="135">
        <v>20865.892286536091</v>
      </c>
      <c r="DL161" s="135">
        <v>22109.794530040508</v>
      </c>
      <c r="DM161" s="135">
        <v>22500.045028326829</v>
      </c>
      <c r="DN161" s="135">
        <v>21529.209249627856</v>
      </c>
      <c r="DO161" s="135">
        <v>18518.784633376508</v>
      </c>
      <c r="DP161" s="135">
        <v>12553.679350714239</v>
      </c>
      <c r="DQ161" s="135">
        <v>2405.9053925126882</v>
      </c>
    </row>
    <row r="162" spans="1:121" s="612" customFormat="1">
      <c r="A162" s="610" t="s">
        <v>2866</v>
      </c>
      <c r="B162" s="610"/>
      <c r="C162" s="611"/>
      <c r="D162" s="649"/>
      <c r="E162" s="610"/>
      <c r="F162" s="610"/>
      <c r="G162" s="610"/>
      <c r="H162" s="610"/>
      <c r="I162" s="610"/>
      <c r="J162" s="610"/>
      <c r="K162" s="610"/>
      <c r="L162" s="610"/>
      <c r="M162" s="610"/>
      <c r="N162" s="610"/>
      <c r="O162" s="610"/>
      <c r="P162" s="610"/>
      <c r="Q162" s="610"/>
      <c r="R162" s="610"/>
      <c r="S162" s="610"/>
      <c r="T162" s="610"/>
      <c r="U162" s="610"/>
      <c r="V162" s="610"/>
      <c r="W162" s="610"/>
      <c r="X162" s="610"/>
      <c r="Y162" s="610"/>
      <c r="Z162" s="610"/>
      <c r="AA162" s="610"/>
      <c r="AB162" s="610"/>
      <c r="AC162" s="610"/>
      <c r="AD162" s="610"/>
      <c r="AE162" s="610"/>
      <c r="AF162" s="610"/>
      <c r="AG162" s="610"/>
      <c r="AH162" s="610"/>
      <c r="AI162" s="610"/>
      <c r="AJ162" s="610"/>
      <c r="AK162" s="610"/>
      <c r="AL162" s="610"/>
      <c r="AM162" s="610"/>
      <c r="AN162" s="610"/>
      <c r="BF162" s="613"/>
      <c r="BG162" s="613"/>
      <c r="BH162" s="613"/>
      <c r="BI162" s="613"/>
      <c r="BJ162" s="613"/>
      <c r="BK162" s="613"/>
      <c r="BL162" s="613"/>
      <c r="BM162" s="613"/>
      <c r="BN162" s="613"/>
      <c r="BO162" s="613"/>
      <c r="BP162" s="613"/>
      <c r="BQ162" s="613"/>
      <c r="CZ162" s="614"/>
    </row>
    <row r="163" spans="1:121" s="123" customFormat="1">
      <c r="A163" s="373" t="s">
        <v>2913</v>
      </c>
      <c r="B163" s="141"/>
      <c r="C163" s="158"/>
      <c r="D163" s="102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BT163" s="123" t="s">
        <v>222</v>
      </c>
      <c r="CZ163" s="181"/>
      <c r="DA163" s="135"/>
      <c r="DB163" s="135"/>
      <c r="DC163" s="135"/>
      <c r="DD163" s="135" t="s">
        <v>222</v>
      </c>
      <c r="DE163" s="135"/>
      <c r="DF163" s="135"/>
      <c r="DG163" s="135"/>
      <c r="DH163" s="135"/>
      <c r="DI163" s="135"/>
      <c r="DJ163" s="135"/>
      <c r="DK163" s="135"/>
      <c r="DL163" s="135"/>
      <c r="DM163" s="135"/>
      <c r="DN163" s="135"/>
      <c r="DO163" s="135"/>
      <c r="DP163" s="135"/>
      <c r="DQ163" s="135"/>
    </row>
    <row r="164" spans="1:121" s="123" customFormat="1">
      <c r="A164" s="107" t="s">
        <v>952</v>
      </c>
      <c r="B164" s="107"/>
      <c r="C164" s="136" t="s">
        <v>1579</v>
      </c>
      <c r="D164" s="147" t="s">
        <v>2774</v>
      </c>
      <c r="E164" s="107"/>
      <c r="F164" s="736">
        <f>+mamiabc!F143</f>
        <v>0.30430901372581703</v>
      </c>
      <c r="G164" s="736">
        <f>+mamiabc!G143</f>
        <v>0.30740901372581703</v>
      </c>
      <c r="H164" s="736">
        <f>+mamiabc!H143</f>
        <v>0.30990901372581703</v>
      </c>
      <c r="I164" s="736">
        <f>+mamiabc!I143</f>
        <v>0.31057800764590487</v>
      </c>
      <c r="J164" s="736">
        <f>+mamiabc!J143</f>
        <v>0.31396871728450043</v>
      </c>
      <c r="K164" s="736">
        <f>+mamiabc!K143</f>
        <v>0.31608870191127048</v>
      </c>
      <c r="L164" s="736">
        <f>+mamiabc!L143</f>
        <v>0.32416149938851579</v>
      </c>
      <c r="M164" s="736">
        <f>+mamiabc!M143</f>
        <v>0.31622677398473009</v>
      </c>
      <c r="N164" s="736">
        <f>+mamiabc!N143</f>
        <v>0.31420899195224034</v>
      </c>
      <c r="O164" s="736">
        <f>+mamiabc!O143</f>
        <v>0.31748082191497073</v>
      </c>
      <c r="P164" s="736">
        <f>+mamiabc!P143</f>
        <v>0.32467808321863401</v>
      </c>
      <c r="Q164" s="736">
        <f>+mamiabc!Q143</f>
        <v>0.32330081484466777</v>
      </c>
      <c r="R164" s="736">
        <f>+mamiabc!R143</f>
        <v>0.31832181749492872</v>
      </c>
      <c r="S164" s="736">
        <f>+mamiabc!S143</f>
        <v>0.31626481614261853</v>
      </c>
      <c r="T164" s="736">
        <f>+mamiabc!T143</f>
        <v>0.30593081901222458</v>
      </c>
      <c r="U164" s="736">
        <f>+mamiabc!U143</f>
        <v>0.30323081032186733</v>
      </c>
      <c r="V164" s="736">
        <f>+mamiabc!V143</f>
        <v>0.29397982976585613</v>
      </c>
      <c r="W164" s="736">
        <f>+mamiabc!W143</f>
        <v>0.29442883072048404</v>
      </c>
      <c r="X164" s="736">
        <f>+mamiabc!X143</f>
        <v>0.27917384604364615</v>
      </c>
      <c r="Y164" s="736">
        <f>+mamiabc!Y143</f>
        <v>0.29847384490072709</v>
      </c>
      <c r="Z164" s="736">
        <f>+mamiabc!Z143</f>
        <v>0.3269738345071671</v>
      </c>
      <c r="AA164" s="736">
        <f>+mamiabc!AA143</f>
        <v>0.34857385443896038</v>
      </c>
      <c r="AB164" s="736">
        <f>+mamiabc!AB143</f>
        <v>0.44127389203757028</v>
      </c>
      <c r="AC164" s="736">
        <f>+mamiabc!AC143</f>
        <v>0.47197389430552716</v>
      </c>
      <c r="AD164" s="736">
        <f>+mamiabc!AD143</f>
        <v>0.38967393530160183</v>
      </c>
      <c r="AE164" s="736">
        <f>+mamiabc!AE143</f>
        <v>0.39847393334656955</v>
      </c>
      <c r="AF164" s="736">
        <f>+mamiabc!AF143</f>
        <v>0.45267391372472049</v>
      </c>
      <c r="AG164" s="736">
        <f>+mamiabc!AG143</f>
        <v>0.51647386503964665</v>
      </c>
      <c r="AH164" s="108">
        <f>+mamiabc!AH143</f>
        <v>0.55977387178689242</v>
      </c>
      <c r="AI164" s="108">
        <f>+mamiabc!AI143</f>
        <v>0.52017391974478955</v>
      </c>
      <c r="AJ164" s="108">
        <f>+mamiabc!AJ143</f>
        <v>0.28917392510920764</v>
      </c>
      <c r="AK164" s="108">
        <f>+mamiabc!AK143</f>
        <v>0.19164888782054185</v>
      </c>
      <c r="AL164" s="108">
        <f>+mamiabc!AL143</f>
        <v>0.19564790029078721</v>
      </c>
      <c r="AM164" s="108">
        <f>+mamiabc!AM143</f>
        <v>0.10066992442309856</v>
      </c>
      <c r="AN164" s="108">
        <f>+mamiabc!AN143</f>
        <v>0.16026996078342198</v>
      </c>
      <c r="AO164" s="108">
        <f>+mamiabc!AO143</f>
        <v>0.26641999411582945</v>
      </c>
      <c r="AP164" s="108">
        <f>+mamiabc!AP143</f>
        <v>3.4599998474121096E-2</v>
      </c>
      <c r="AQ164" s="108">
        <f>+mamiabc!AQ143</f>
        <v>-4.5900001525878906E-2</v>
      </c>
      <c r="AR164" s="108">
        <f>+mamiabc!AR143</f>
        <v>-5.16E-2</v>
      </c>
      <c r="AS164" s="108">
        <f>+mamiabc!AS143</f>
        <v>2.2983000000000002</v>
      </c>
      <c r="AT164" s="108">
        <f>+mamiabc!AT143</f>
        <v>24.573900000000002</v>
      </c>
      <c r="AU164" s="108">
        <f>+mamiabc!AU143</f>
        <v>73.843199999999996</v>
      </c>
      <c r="AV164" s="108">
        <f>+mamiabc!AV143</f>
        <v>70.451999999999998</v>
      </c>
      <c r="AW164" s="108">
        <f>+mamiabc!AW143</f>
        <v>72.0715</v>
      </c>
      <c r="AX164" s="108">
        <f>+mamiabc!AX143</f>
        <v>70.177000000000007</v>
      </c>
      <c r="AY164" s="108">
        <f>+mamiabc!AY143</f>
        <v>114.714</v>
      </c>
      <c r="AZ164" s="108">
        <f>+mamiabc!AZ143</f>
        <v>227.31800000000001</v>
      </c>
      <c r="BA164" s="108">
        <f>+mamiabc!BA143</f>
        <v>481.27600000000001</v>
      </c>
      <c r="BB164" s="108">
        <f>+mamiabc!BB143</f>
        <v>598.5</v>
      </c>
      <c r="BC164" s="108">
        <f>+mamiabc!BC143</f>
        <v>751.7</v>
      </c>
      <c r="BD164" s="108">
        <f>+mamiabc!BD143</f>
        <v>999.4</v>
      </c>
      <c r="BE164" s="108">
        <f ca="1">+mamiabc!BE143</f>
        <v>1287.8460816304869</v>
      </c>
      <c r="BF164" s="144">
        <f>SOURCE!BF435</f>
        <v>1428</v>
      </c>
      <c r="BG164" s="144">
        <f>SOURCE!BG435</f>
        <v>2130</v>
      </c>
      <c r="BH164" s="144">
        <f>SOURCE!BH435</f>
        <v>2616.1</v>
      </c>
      <c r="BI164" s="144">
        <f>SOURCE!BI435</f>
        <v>2847.4</v>
      </c>
      <c r="BJ164" s="144">
        <f>SOURCE!BJ435</f>
        <v>2967.9</v>
      </c>
      <c r="BK164" s="144">
        <f>SOURCE!BK435</f>
        <v>4399.7</v>
      </c>
      <c r="BL164" s="144">
        <f>SOURCE!BL435</f>
        <v>5090.3</v>
      </c>
      <c r="BM164" s="144">
        <f>SOURCE!BM435</f>
        <v>4585.5</v>
      </c>
      <c r="BN164" s="144">
        <f>SOURCE!BN435</f>
        <v>3836.6</v>
      </c>
      <c r="BO164" s="144">
        <f>SOURCE!BO435</f>
        <v>2996.7</v>
      </c>
      <c r="BP164" s="144">
        <f>SOURCE!BP435</f>
        <v>6448.8</v>
      </c>
      <c r="BQ164" s="144">
        <f>SOURCE!BQ435</f>
        <v>6364.5</v>
      </c>
      <c r="BR164" s="144">
        <f>SOURCE!BR435</f>
        <v>8426.2000000000007</v>
      </c>
      <c r="BS164" s="144">
        <f>SOURCE!BS435</f>
        <v>5863</v>
      </c>
      <c r="BT164" s="144">
        <f>SOURCE!BT435</f>
        <v>10695</v>
      </c>
      <c r="BU164" s="109">
        <f t="shared" ref="BU164:CB164" ca="1" si="406">BT164*BU160/BT160+BU154-BU150</f>
        <v>19026.375003382382</v>
      </c>
      <c r="BV164" s="109">
        <f t="shared" ca="1" si="406"/>
        <v>20799.208745672193</v>
      </c>
      <c r="BW164" s="109">
        <f t="shared" ca="1" si="406"/>
        <v>21452.857587049333</v>
      </c>
      <c r="BX164" s="109">
        <f t="shared" ca="1" si="406"/>
        <v>20958.100968133294</v>
      </c>
      <c r="BY164" s="109">
        <f t="shared" ca="1" si="406"/>
        <v>20107.801281821685</v>
      </c>
      <c r="BZ164" s="109">
        <f t="shared" ca="1" si="406"/>
        <v>18604.615242131822</v>
      </c>
      <c r="CA164" s="109">
        <f t="shared" ca="1" si="406"/>
        <v>16128.642609542261</v>
      </c>
      <c r="CB164" s="109">
        <f t="shared" ca="1" si="406"/>
        <v>12268.091772949641</v>
      </c>
      <c r="CC164" s="109">
        <f ca="1">CB164*CC160/CB160+CC154-CC150</f>
        <v>6484.7696706094921</v>
      </c>
      <c r="CD164" s="109">
        <f ca="1">CC164*CD160/CC160+CD154-CD150</f>
        <v>-1928.857671586984</v>
      </c>
      <c r="CE164" s="109">
        <f ca="1">CD164*CE160/CD160+CE154-CE150</f>
        <v>-13906.860202127151</v>
      </c>
      <c r="CF164" s="109">
        <f ca="1">CE164*CF160/CE160+CF154-CF150</f>
        <v>-30684.324987306078</v>
      </c>
      <c r="CG164" s="109">
        <f ca="1">CF164*CG160/CF160+CG154-CG150</f>
        <v>-53891.090638868976</v>
      </c>
      <c r="CI164" s="106">
        <f t="shared" ref="CI164:CI176" si="407">BQ164-DA164</f>
        <v>0</v>
      </c>
      <c r="CJ164" s="106">
        <f t="shared" ref="CJ164:CU165" si="408">BR164-DB164</f>
        <v>0</v>
      </c>
      <c r="CK164" s="106">
        <f t="shared" si="408"/>
        <v>0</v>
      </c>
      <c r="CL164" s="106">
        <f t="shared" si="408"/>
        <v>0</v>
      </c>
      <c r="CM164" s="106">
        <f t="shared" ca="1" si="408"/>
        <v>2128.9689553738244</v>
      </c>
      <c r="CN164" s="106">
        <f t="shared" ca="1" si="408"/>
        <v>1651.892244367722</v>
      </c>
      <c r="CO164" s="106">
        <f t="shared" ca="1" si="408"/>
        <v>599.55596133052313</v>
      </c>
      <c r="CP164" s="106">
        <f t="shared" ca="1" si="408"/>
        <v>-960.99890255727223</v>
      </c>
      <c r="CQ164" s="106">
        <f t="shared" ca="1" si="408"/>
        <v>-2986.2610341332147</v>
      </c>
      <c r="CR164" s="106">
        <f t="shared" ca="1" si="408"/>
        <v>-7020.4398071698051</v>
      </c>
      <c r="CS164" s="106">
        <f t="shared" ca="1" si="408"/>
        <v>-11794.370153784035</v>
      </c>
      <c r="CT164" s="106">
        <f t="shared" ca="1" si="408"/>
        <v>-17319.527408579837</v>
      </c>
      <c r="CU164" s="106">
        <f t="shared" ca="1" si="408"/>
        <v>-23625.087884189787</v>
      </c>
      <c r="CV164" s="106">
        <f t="shared" ref="CV164:CY168" ca="1" si="409">CD164-DN164</f>
        <v>-30739.529959471154</v>
      </c>
      <c r="CW164" s="106">
        <f t="shared" ca="1" si="409"/>
        <v>-38688.942491161411</v>
      </c>
      <c r="CX164" s="106">
        <f t="shared" ca="1" si="409"/>
        <v>-47483.824568873642</v>
      </c>
      <c r="CY164" s="106">
        <f t="shared" ca="1" si="409"/>
        <v>-57110.705024870236</v>
      </c>
      <c r="CZ164" s="134"/>
      <c r="DA164" s="135">
        <v>6364.5</v>
      </c>
      <c r="DB164" s="135">
        <v>8426.2000000000007</v>
      </c>
      <c r="DC164" s="135">
        <v>5863</v>
      </c>
      <c r="DD164" s="135">
        <v>10695</v>
      </c>
      <c r="DE164" s="135">
        <v>16897.406048008557</v>
      </c>
      <c r="DF164" s="135">
        <v>19147.316501304471</v>
      </c>
      <c r="DG164" s="135">
        <v>20853.30162571881</v>
      </c>
      <c r="DH164" s="135">
        <v>21919.099870690567</v>
      </c>
      <c r="DI164" s="135">
        <v>23094.0623159549</v>
      </c>
      <c r="DJ164" s="135">
        <v>25625.055049301627</v>
      </c>
      <c r="DK164" s="135">
        <v>27923.012763326296</v>
      </c>
      <c r="DL164" s="135">
        <v>29587.619181529481</v>
      </c>
      <c r="DM164" s="135">
        <v>30109.85755479928</v>
      </c>
      <c r="DN164" s="135">
        <v>28810.672287884168</v>
      </c>
      <c r="DO164" s="135">
        <v>24782.082289034261</v>
      </c>
      <c r="DP164" s="135">
        <v>16799.499581567565</v>
      </c>
      <c r="DQ164" s="135">
        <v>3219.614386001258</v>
      </c>
    </row>
    <row r="165" spans="1:121" s="123" customFormat="1">
      <c r="A165" s="107" t="s">
        <v>2677</v>
      </c>
      <c r="B165" s="107"/>
      <c r="C165" s="136" t="s">
        <v>1579</v>
      </c>
      <c r="D165" s="14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14">
        <f t="shared" ref="BF165:BM165" si="410">+BF166+BF167</f>
        <v>330.4</v>
      </c>
      <c r="BG165" s="114">
        <f t="shared" si="410"/>
        <v>139.09999999999997</v>
      </c>
      <c r="BH165" s="114">
        <f t="shared" si="410"/>
        <v>-73.099999999999994</v>
      </c>
      <c r="BI165" s="114">
        <f t="shared" si="410"/>
        <v>115.69999999999999</v>
      </c>
      <c r="BJ165" s="114">
        <f t="shared" si="410"/>
        <v>191.4</v>
      </c>
      <c r="BK165" s="114">
        <f t="shared" si="410"/>
        <v>-63.5</v>
      </c>
      <c r="BL165" s="114">
        <f t="shared" si="410"/>
        <v>-9.4000000000000057</v>
      </c>
      <c r="BM165" s="114">
        <f t="shared" si="410"/>
        <v>525.50000000000011</v>
      </c>
      <c r="BN165" s="114">
        <f t="shared" ref="BN165:CB165" si="411">+BN166+BN167</f>
        <v>1291.5</v>
      </c>
      <c r="BO165" s="114">
        <f t="shared" si="411"/>
        <v>2635.6999999999994</v>
      </c>
      <c r="BP165" s="114">
        <f t="shared" si="411"/>
        <v>2350.4</v>
      </c>
      <c r="BQ165" s="114">
        <f t="shared" si="411"/>
        <v>3847.3999999999996</v>
      </c>
      <c r="BR165" s="114">
        <f t="shared" si="411"/>
        <v>3496.1</v>
      </c>
      <c r="BS165" s="114">
        <f t="shared" si="411"/>
        <v>4977.2</v>
      </c>
      <c r="BT165" s="114">
        <f t="shared" ref="BT165" si="412">+BT166+BT167</f>
        <v>11532</v>
      </c>
      <c r="BU165" s="114">
        <f t="shared" ca="1" si="411"/>
        <v>13382.386799304115</v>
      </c>
      <c r="BV165" s="114">
        <f t="shared" ca="1" si="411"/>
        <v>13262.804547712851</v>
      </c>
      <c r="BW165" s="114">
        <f t="shared" ca="1" si="411"/>
        <v>15823.335251157067</v>
      </c>
      <c r="BX165" s="114">
        <f t="shared" ca="1" si="411"/>
        <v>18551.605795840584</v>
      </c>
      <c r="BY165" s="114">
        <f t="shared" ca="1" si="411"/>
        <v>21588.309375665445</v>
      </c>
      <c r="BZ165" s="114">
        <f t="shared" ca="1" si="411"/>
        <v>25053.396214906254</v>
      </c>
      <c r="CA165" s="114">
        <f t="shared" ca="1" si="411"/>
        <v>29099.562490502303</v>
      </c>
      <c r="CB165" s="114">
        <f t="shared" ca="1" si="411"/>
        <v>33947.665414255433</v>
      </c>
      <c r="CC165" s="114">
        <f ca="1">+CC166+CC167</f>
        <v>39895.365537465659</v>
      </c>
      <c r="CD165" s="114">
        <f ca="1">+CD166+CD167</f>
        <v>47350.718981643513</v>
      </c>
      <c r="CE165" s="114">
        <f ca="1">+CE166+CE167</f>
        <v>56878.732527450607</v>
      </c>
      <c r="CF165" s="114">
        <f ca="1">+CF166+CF167</f>
        <v>69269.015068322624</v>
      </c>
      <c r="CG165" s="114">
        <f ca="1">+CG166+CG167</f>
        <v>85634.385200942808</v>
      </c>
      <c r="CI165" s="106">
        <f t="shared" si="407"/>
        <v>0</v>
      </c>
      <c r="CJ165" s="106">
        <f t="shared" si="408"/>
        <v>0</v>
      </c>
      <c r="CK165" s="106">
        <f t="shared" si="408"/>
        <v>0</v>
      </c>
      <c r="CL165" s="106">
        <f t="shared" si="408"/>
        <v>0</v>
      </c>
      <c r="CM165" s="106">
        <f t="shared" ca="1" si="408"/>
        <v>-1111.4094170880453</v>
      </c>
      <c r="CN165" s="106">
        <f t="shared" ca="1" si="408"/>
        <v>-2498.47131948059</v>
      </c>
      <c r="CO165" s="106">
        <f t="shared" ca="1" si="408"/>
        <v>-3799.6411350556882</v>
      </c>
      <c r="CP165" s="106">
        <f t="shared" ca="1" si="408"/>
        <v>-5330.6114329752527</v>
      </c>
      <c r="CQ165" s="106">
        <f t="shared" ca="1" si="408"/>
        <v>-7124.0600085644728</v>
      </c>
      <c r="CR165" s="106">
        <f t="shared" ca="1" si="408"/>
        <v>-5826.141388399159</v>
      </c>
      <c r="CS165" s="106">
        <f t="shared" ca="1" si="408"/>
        <v>-4783.4769743769903</v>
      </c>
      <c r="CT165" s="106">
        <f t="shared" ca="1" si="408"/>
        <v>-3900.0134596253192</v>
      </c>
      <c r="CU165" s="106">
        <f t="shared" ca="1" si="408"/>
        <v>-3376.4633405701388</v>
      </c>
      <c r="CV165" s="106">
        <f t="shared" ca="1" si="409"/>
        <v>-3400.2663638192462</v>
      </c>
      <c r="CW165" s="106">
        <f t="shared" ca="1" si="409"/>
        <v>-4246.4934979269819</v>
      </c>
      <c r="CX165" s="106">
        <f t="shared" ca="1" si="409"/>
        <v>-6344.0412990230252</v>
      </c>
      <c r="CY165" s="106">
        <f t="shared" ca="1" si="409"/>
        <v>-10377.136571700015</v>
      </c>
      <c r="CZ165" s="134"/>
      <c r="DA165" s="135">
        <v>3847.3999999999996</v>
      </c>
      <c r="DB165" s="135">
        <v>3496.1</v>
      </c>
      <c r="DC165" s="135">
        <v>4977.2</v>
      </c>
      <c r="DD165" s="135">
        <v>11532</v>
      </c>
      <c r="DE165" s="135">
        <v>14493.79621639216</v>
      </c>
      <c r="DF165" s="135">
        <v>15761.275867193441</v>
      </c>
      <c r="DG165" s="135">
        <v>19622.976386212755</v>
      </c>
      <c r="DH165" s="135">
        <v>23882.217228815836</v>
      </c>
      <c r="DI165" s="135">
        <v>28712.369384229918</v>
      </c>
      <c r="DJ165" s="135">
        <v>30879.537603305413</v>
      </c>
      <c r="DK165" s="135">
        <v>33883.039464879294</v>
      </c>
      <c r="DL165" s="135">
        <v>37847.678873880752</v>
      </c>
      <c r="DM165" s="135">
        <v>43271.828878035798</v>
      </c>
      <c r="DN165" s="135">
        <v>50750.985345462759</v>
      </c>
      <c r="DO165" s="135">
        <v>61125.226025377589</v>
      </c>
      <c r="DP165" s="135">
        <v>75613.056367345649</v>
      </c>
      <c r="DQ165" s="135">
        <v>96011.521772642824</v>
      </c>
    </row>
    <row r="166" spans="1:121" s="123" customFormat="1">
      <c r="A166" s="107" t="s">
        <v>2851</v>
      </c>
      <c r="B166" s="107"/>
      <c r="C166" s="136" t="s">
        <v>1579</v>
      </c>
      <c r="D166" s="147" t="s">
        <v>2771</v>
      </c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44">
        <f>+SOURCE!BF441-SOURCE!BF443</f>
        <v>-88.4</v>
      </c>
      <c r="BG166" s="144">
        <f>+SOURCE!BG441-SOURCE!BG443</f>
        <v>-98.8</v>
      </c>
      <c r="BH166" s="144">
        <f>+SOURCE!BH441-SOURCE!BH443</f>
        <v>-141.9</v>
      </c>
      <c r="BI166" s="144">
        <f>+SOURCE!BI441-SOURCE!BI443</f>
        <v>-180.5</v>
      </c>
      <c r="BJ166" s="144">
        <f>+SOURCE!BJ441-SOURCE!BJ443</f>
        <v>-188.6</v>
      </c>
      <c r="BK166" s="144">
        <f>+SOURCE!BK441-SOURCE!BK443</f>
        <v>-415.2</v>
      </c>
      <c r="BL166" s="144">
        <f>+SOURCE!BL441-SOURCE!BL443</f>
        <v>-227.3</v>
      </c>
      <c r="BM166" s="144">
        <f>+SOURCE!BM441-SOURCE!BM443</f>
        <v>-629.4</v>
      </c>
      <c r="BN166" s="144">
        <f>+SOURCE!BN441-SOURCE!BN443</f>
        <v>-58.000000000000007</v>
      </c>
      <c r="BO166" s="144">
        <f>+SOURCE!BO441-SOURCE!BO443</f>
        <v>-224.79999999999998</v>
      </c>
      <c r="BP166" s="144">
        <f>+SOURCE!BP441-SOURCE!BP443</f>
        <v>-722.90000000000009</v>
      </c>
      <c r="BQ166" s="144">
        <f>+SOURCE!BQ441-SOURCE!BQ443</f>
        <v>181.20000000000005</v>
      </c>
      <c r="BR166" s="144">
        <f>+SOURCE!BR441-SOURCE!BR443</f>
        <v>9.5</v>
      </c>
      <c r="BS166" s="144">
        <f>+SOURCE!BS441-SOURCE!BS443</f>
        <v>1350.2</v>
      </c>
      <c r="BT166" s="144">
        <f>+SOURCE!BT441-SOURCE!BT443</f>
        <v>1114</v>
      </c>
      <c r="BU166" s="109">
        <f t="shared" ref="BU166:BZ166" si="413">BT166*BU160/BT160</f>
        <v>1665.3129129129131</v>
      </c>
      <c r="BV166" s="109">
        <f t="shared" si="413"/>
        <v>1665.3129129129134</v>
      </c>
      <c r="BW166" s="109">
        <f t="shared" si="413"/>
        <v>1665.3129129129134</v>
      </c>
      <c r="BX166" s="109">
        <f t="shared" si="413"/>
        <v>1665.3129129129134</v>
      </c>
      <c r="BY166" s="109">
        <f t="shared" si="413"/>
        <v>1665.3129129129134</v>
      </c>
      <c r="BZ166" s="109">
        <f t="shared" si="413"/>
        <v>1665.3129129129134</v>
      </c>
      <c r="CA166" s="109">
        <f t="shared" ref="CA166:CG166" si="414">BZ166*CA160/BZ160</f>
        <v>1665.3129129129134</v>
      </c>
      <c r="CB166" s="109">
        <f t="shared" si="414"/>
        <v>1665.3129129129134</v>
      </c>
      <c r="CC166" s="109">
        <f t="shared" si="414"/>
        <v>1665.3129129129134</v>
      </c>
      <c r="CD166" s="109">
        <f t="shared" si="414"/>
        <v>1665.3129129129134</v>
      </c>
      <c r="CE166" s="109">
        <f t="shared" si="414"/>
        <v>1665.3129129129134</v>
      </c>
      <c r="CF166" s="109">
        <f t="shared" si="414"/>
        <v>1665.3129129129134</v>
      </c>
      <c r="CG166" s="109">
        <f t="shared" si="414"/>
        <v>1665.3129129129134</v>
      </c>
      <c r="CI166" s="106">
        <f t="shared" si="407"/>
        <v>0</v>
      </c>
      <c r="CJ166" s="106">
        <f t="shared" ref="CJ166:CU166" si="415">BR166-DB166</f>
        <v>0</v>
      </c>
      <c r="CK166" s="106">
        <f t="shared" si="415"/>
        <v>0</v>
      </c>
      <c r="CL166" s="106">
        <f t="shared" si="415"/>
        <v>0</v>
      </c>
      <c r="CM166" s="106">
        <f t="shared" si="415"/>
        <v>208.16411411411445</v>
      </c>
      <c r="CN166" s="106">
        <f t="shared" si="415"/>
        <v>208.16411411411468</v>
      </c>
      <c r="CO166" s="106">
        <f t="shared" si="415"/>
        <v>208.16411411411468</v>
      </c>
      <c r="CP166" s="106">
        <f t="shared" si="415"/>
        <v>208.16411411411468</v>
      </c>
      <c r="CQ166" s="106">
        <f t="shared" si="415"/>
        <v>208.16411411411468</v>
      </c>
      <c r="CR166" s="106">
        <f t="shared" si="415"/>
        <v>208.16411411411468</v>
      </c>
      <c r="CS166" s="106">
        <f t="shared" si="415"/>
        <v>208.16411411411468</v>
      </c>
      <c r="CT166" s="106">
        <f t="shared" si="415"/>
        <v>208.16411411411468</v>
      </c>
      <c r="CU166" s="106">
        <f t="shared" si="415"/>
        <v>208.16411411411468</v>
      </c>
      <c r="CV166" s="106">
        <f t="shared" si="409"/>
        <v>208.16411411411468</v>
      </c>
      <c r="CW166" s="106">
        <f t="shared" si="409"/>
        <v>208.16411411411468</v>
      </c>
      <c r="CX166" s="106">
        <f t="shared" si="409"/>
        <v>208.16411411411468</v>
      </c>
      <c r="CY166" s="106">
        <f t="shared" si="409"/>
        <v>208.16411411411468</v>
      </c>
      <c r="CZ166" s="134"/>
      <c r="DA166" s="135">
        <v>181.20000000000005</v>
      </c>
      <c r="DB166" s="135">
        <v>9.5</v>
      </c>
      <c r="DC166" s="135">
        <v>1350.2</v>
      </c>
      <c r="DD166" s="135">
        <v>1114</v>
      </c>
      <c r="DE166" s="135">
        <v>1457.1487987987987</v>
      </c>
      <c r="DF166" s="135">
        <v>1457.1487987987987</v>
      </c>
      <c r="DG166" s="135">
        <v>1457.1487987987987</v>
      </c>
      <c r="DH166" s="135">
        <v>1457.1487987987987</v>
      </c>
      <c r="DI166" s="135">
        <v>1457.1487987987987</v>
      </c>
      <c r="DJ166" s="135">
        <v>1457.1487987987987</v>
      </c>
      <c r="DK166" s="135">
        <v>1457.1487987987987</v>
      </c>
      <c r="DL166" s="135">
        <v>1457.1487987987987</v>
      </c>
      <c r="DM166" s="135">
        <v>1457.1487987987987</v>
      </c>
      <c r="DN166" s="135">
        <v>1457.1487987987987</v>
      </c>
      <c r="DO166" s="135">
        <v>1457.1487987987987</v>
      </c>
      <c r="DP166" s="135">
        <v>1457.1487987987987</v>
      </c>
      <c r="DQ166" s="135">
        <v>1457.1487987987987</v>
      </c>
    </row>
    <row r="167" spans="1:121" s="123" customFormat="1">
      <c r="A167" s="107" t="s">
        <v>2852</v>
      </c>
      <c r="B167" s="107"/>
      <c r="C167" s="136" t="s">
        <v>1579</v>
      </c>
      <c r="D167" s="147" t="s">
        <v>2771</v>
      </c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44">
        <f>+SOURCE!BF439-SOURCE!BF441+SOURCE!BF443</f>
        <v>418.79999999999995</v>
      </c>
      <c r="BG167" s="144">
        <f>+SOURCE!BG439-SOURCE!BG441+SOURCE!BG443</f>
        <v>237.89999999999998</v>
      </c>
      <c r="BH167" s="144">
        <f>+SOURCE!BH439-SOURCE!BH441+SOURCE!BH443</f>
        <v>68.800000000000011</v>
      </c>
      <c r="BI167" s="144">
        <f>+SOURCE!BI439-SOURCE!BI441+SOURCE!BI443</f>
        <v>296.2</v>
      </c>
      <c r="BJ167" s="144">
        <f>+SOURCE!BJ439-SOURCE!BJ441+SOURCE!BJ443</f>
        <v>380</v>
      </c>
      <c r="BK167" s="144">
        <f>+SOURCE!BK439-SOURCE!BK441+SOURCE!BK443</f>
        <v>351.7</v>
      </c>
      <c r="BL167" s="144">
        <f>+SOURCE!BL439-SOURCE!BL441+SOURCE!BL443</f>
        <v>217.9</v>
      </c>
      <c r="BM167" s="144">
        <f>+SOURCE!BM439-SOURCE!BM441+SOURCE!BM443</f>
        <v>1154.9000000000001</v>
      </c>
      <c r="BN167" s="144">
        <f>+SOURCE!BN439-SOURCE!BN441+SOURCE!BN443</f>
        <v>1349.5</v>
      </c>
      <c r="BO167" s="144">
        <f>+SOURCE!BO439-SOURCE!BO441+SOURCE!BO443</f>
        <v>2860.4999999999995</v>
      </c>
      <c r="BP167" s="144">
        <f>+SOURCE!BP439-SOURCE!BP441+SOURCE!BP443</f>
        <v>3073.3</v>
      </c>
      <c r="BQ167" s="144">
        <f>+SOURCE!BQ439-SOURCE!BQ441+SOURCE!BQ443</f>
        <v>3666.2</v>
      </c>
      <c r="BR167" s="144">
        <f>+SOURCE!BR439-SOURCE!BR441+SOURCE!BR443</f>
        <v>3486.6</v>
      </c>
      <c r="BS167" s="144">
        <f>+SOURCE!BS439-SOURCE!BS441+SOURCE!BS443</f>
        <v>3626.9999999999995</v>
      </c>
      <c r="BT167" s="144">
        <f>+SOURCE!BT439-SOURCE!BT441+SOURCE!BT443</f>
        <v>10418</v>
      </c>
      <c r="BU167" s="123">
        <f t="shared" ref="BU167:CC167" ca="1" si="416">BT165+BU107-BU155-BU166</f>
        <v>11717.073886391201</v>
      </c>
      <c r="BV167" s="123">
        <f t="shared" ca="1" si="416"/>
        <v>11597.491634799937</v>
      </c>
      <c r="BW167" s="123">
        <f t="shared" ca="1" si="416"/>
        <v>14158.022338244153</v>
      </c>
      <c r="BX167" s="123">
        <f t="shared" ca="1" si="416"/>
        <v>16886.292882927668</v>
      </c>
      <c r="BY167" s="123">
        <f t="shared" ca="1" si="416"/>
        <v>19922.996462752541</v>
      </c>
      <c r="BZ167" s="123">
        <f t="shared" ca="1" si="416"/>
        <v>23388.083301993345</v>
      </c>
      <c r="CA167" s="123">
        <f t="shared" ca="1" si="416"/>
        <v>27434.249577589395</v>
      </c>
      <c r="CB167" s="123">
        <f t="shared" ca="1" si="416"/>
        <v>32282.352501342521</v>
      </c>
      <c r="CC167" s="123">
        <f t="shared" ca="1" si="416"/>
        <v>38230.052624552751</v>
      </c>
      <c r="CD167" s="123">
        <f ca="1">CC165+CD107-CD155-CD166</f>
        <v>45685.406068730583</v>
      </c>
      <c r="CE167" s="123">
        <f ca="1">CD165+CE107-CE155-CE166</f>
        <v>55213.419614537685</v>
      </c>
      <c r="CF167" s="123">
        <f ca="1">CE165+CF107-CF155-CF166</f>
        <v>67603.702155409701</v>
      </c>
      <c r="CG167" s="123">
        <f ca="1">CF165+CG107-CG155-CG166</f>
        <v>83969.0722880299</v>
      </c>
      <c r="CI167" s="106">
        <f t="shared" si="407"/>
        <v>0</v>
      </c>
      <c r="CJ167" s="106">
        <f>BR167-DB167</f>
        <v>0</v>
      </c>
      <c r="CK167" s="106">
        <f t="shared" ref="CK167:CU168" si="417">BS167-DC167</f>
        <v>0</v>
      </c>
      <c r="CL167" s="106">
        <f t="shared" si="417"/>
        <v>0</v>
      </c>
      <c r="CM167" s="106">
        <f t="shared" ca="1" si="417"/>
        <v>-1319.5735312021588</v>
      </c>
      <c r="CN167" s="106">
        <f t="shared" ca="1" si="417"/>
        <v>-2706.6354335947035</v>
      </c>
      <c r="CO167" s="106">
        <f t="shared" ca="1" si="417"/>
        <v>-4007.8052491698018</v>
      </c>
      <c r="CP167" s="106">
        <f t="shared" ca="1" si="417"/>
        <v>-5538.7755470893644</v>
      </c>
      <c r="CQ167" s="106">
        <f t="shared" ca="1" si="417"/>
        <v>-7332.22412267857</v>
      </c>
      <c r="CR167" s="106">
        <f t="shared" ca="1" si="417"/>
        <v>-6034.3055025132671</v>
      </c>
      <c r="CS167" s="106">
        <f t="shared" ca="1" si="417"/>
        <v>-4991.6410884910692</v>
      </c>
      <c r="CT167" s="106">
        <f t="shared" ca="1" si="417"/>
        <v>-4108.177573739431</v>
      </c>
      <c r="CU167" s="106">
        <f t="shared" ca="1" si="417"/>
        <v>-3584.6274546842251</v>
      </c>
      <c r="CV167" s="106">
        <f t="shared" ca="1" si="409"/>
        <v>-3608.4304779333834</v>
      </c>
      <c r="CW167" s="106">
        <f t="shared" ca="1" si="409"/>
        <v>-4454.6576120410391</v>
      </c>
      <c r="CX167" s="106">
        <f t="shared" ca="1" si="409"/>
        <v>-6552.2054131371551</v>
      </c>
      <c r="CY167" s="106">
        <f t="shared" ca="1" si="409"/>
        <v>-10585.300685814043</v>
      </c>
      <c r="CZ167" s="134"/>
      <c r="DA167" s="135">
        <v>3666.2</v>
      </c>
      <c r="DB167" s="135">
        <v>3486.6</v>
      </c>
      <c r="DC167" s="135">
        <v>3626.9999999999995</v>
      </c>
      <c r="DD167" s="135">
        <v>10418</v>
      </c>
      <c r="DE167" s="135">
        <v>13036.64741759336</v>
      </c>
      <c r="DF167" s="135">
        <v>14304.12706839464</v>
      </c>
      <c r="DG167" s="135">
        <v>18165.827587413954</v>
      </c>
      <c r="DH167" s="135">
        <v>22425.068430017032</v>
      </c>
      <c r="DI167" s="135">
        <v>27255.220585431111</v>
      </c>
      <c r="DJ167" s="135">
        <v>29422.388804506612</v>
      </c>
      <c r="DK167" s="135">
        <v>32425.890666080464</v>
      </c>
      <c r="DL167" s="135">
        <v>36390.530075081952</v>
      </c>
      <c r="DM167" s="135">
        <v>41814.680079236976</v>
      </c>
      <c r="DN167" s="135">
        <v>49293.836546663966</v>
      </c>
      <c r="DO167" s="135">
        <v>59668.077226578724</v>
      </c>
      <c r="DP167" s="135">
        <v>74155.907568546856</v>
      </c>
      <c r="DQ167" s="135">
        <v>94554.372973843943</v>
      </c>
    </row>
    <row r="168" spans="1:121" s="123" customFormat="1">
      <c r="A168" s="107" t="str">
        <f>+SOURCE!A445</f>
        <v>Claims on other resident sectors</v>
      </c>
      <c r="B168" s="107"/>
      <c r="C168" s="136" t="s">
        <v>1579</v>
      </c>
      <c r="D168" s="14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14">
        <f t="shared" ref="BF168:BP168" si="418">+BF169+BF170</f>
        <v>1334.4</v>
      </c>
      <c r="BG168" s="114">
        <f t="shared" si="418"/>
        <v>1786.5000000000002</v>
      </c>
      <c r="BH168" s="114">
        <f t="shared" si="418"/>
        <v>2412.6999999999998</v>
      </c>
      <c r="BI168" s="114">
        <f t="shared" si="418"/>
        <v>2713</v>
      </c>
      <c r="BJ168" s="114">
        <f t="shared" si="418"/>
        <v>3059</v>
      </c>
      <c r="BK168" s="114">
        <f t="shared" si="418"/>
        <v>3669.4000000000005</v>
      </c>
      <c r="BL168" s="114">
        <f t="shared" si="418"/>
        <v>4241.6000000000004</v>
      </c>
      <c r="BM168" s="114">
        <f t="shared" si="418"/>
        <v>5001.3999999999996</v>
      </c>
      <c r="BN168" s="114">
        <f t="shared" si="418"/>
        <v>5427.7</v>
      </c>
      <c r="BO168" s="114">
        <f t="shared" si="418"/>
        <v>6311.1</v>
      </c>
      <c r="BP168" s="114">
        <f t="shared" si="418"/>
        <v>8154.1999999999989</v>
      </c>
      <c r="BQ168" s="114">
        <f t="shared" ref="BQ168:CB168" si="419">+BQ169+BQ170</f>
        <v>8216.1</v>
      </c>
      <c r="BR168" s="114">
        <f t="shared" si="419"/>
        <v>8165.4</v>
      </c>
      <c r="BS168" s="114">
        <f t="shared" si="419"/>
        <v>8282</v>
      </c>
      <c r="BT168" s="114">
        <f t="shared" ref="BT168" si="420">+BT169+BT170</f>
        <v>10794</v>
      </c>
      <c r="BU168" s="114">
        <f t="shared" ca="1" si="419"/>
        <v>18377.171080730059</v>
      </c>
      <c r="BV168" s="114">
        <f t="shared" ca="1" si="419"/>
        <v>20044.556233923729</v>
      </c>
      <c r="BW168" s="114">
        <f t="shared" ca="1" si="419"/>
        <v>21444.015886583322</v>
      </c>
      <c r="BX168" s="114">
        <f t="shared" ca="1" si="419"/>
        <v>22613.826330457356</v>
      </c>
      <c r="BY168" s="114">
        <f t="shared" ca="1" si="419"/>
        <v>24207.704531089246</v>
      </c>
      <c r="BZ168" s="114">
        <f t="shared" ca="1" si="419"/>
        <v>26154.682637803977</v>
      </c>
      <c r="CA168" s="114">
        <f t="shared" ca="1" si="419"/>
        <v>28532.343879056414</v>
      </c>
      <c r="CB168" s="114">
        <f t="shared" ca="1" si="419"/>
        <v>31496.162365502376</v>
      </c>
      <c r="CC168" s="114">
        <f ca="1">+CC169+CC170</f>
        <v>35277.189426393699</v>
      </c>
      <c r="CD168" s="114">
        <f ca="1">+CD169+CD170</f>
        <v>40233.630327073137</v>
      </c>
      <c r="CE168" s="114">
        <f ca="1">+CE169+CE170</f>
        <v>46937.42984134506</v>
      </c>
      <c r="CF168" s="114">
        <f ca="1">+CF169+CF170</f>
        <v>56332.736170072669</v>
      </c>
      <c r="CG168" s="114">
        <f ca="1">+CG169+CG170</f>
        <v>70036.215474917612</v>
      </c>
      <c r="CI168" s="106">
        <f t="shared" si="407"/>
        <v>0</v>
      </c>
      <c r="CJ168" s="106">
        <f>BR168-DB168</f>
        <v>0</v>
      </c>
      <c r="CK168" s="106">
        <f t="shared" si="417"/>
        <v>0</v>
      </c>
      <c r="CL168" s="106">
        <f t="shared" si="417"/>
        <v>0</v>
      </c>
      <c r="CM168" s="106">
        <f t="shared" ca="1" si="417"/>
        <v>1439.8116428864196</v>
      </c>
      <c r="CN168" s="106">
        <f t="shared" ca="1" si="417"/>
        <v>1667.4698707579519</v>
      </c>
      <c r="CO168" s="106">
        <f t="shared" ca="1" si="417"/>
        <v>1636.5560047893814</v>
      </c>
      <c r="CP168" s="106">
        <f t="shared" ca="1" si="417"/>
        <v>1483.2162829317749</v>
      </c>
      <c r="CQ168" s="106">
        <f t="shared" ca="1" si="417"/>
        <v>1272.7182832176004</v>
      </c>
      <c r="CR168" s="106">
        <f t="shared" ca="1" si="417"/>
        <v>1451.0745435326971</v>
      </c>
      <c r="CS168" s="106">
        <f t="shared" ca="1" si="417"/>
        <v>1222.0095190705797</v>
      </c>
      <c r="CT168" s="106">
        <f t="shared" ca="1" si="417"/>
        <v>947.72324424688486</v>
      </c>
      <c r="CU168" s="106">
        <f t="shared" ca="1" si="417"/>
        <v>478.77650213265588</v>
      </c>
      <c r="CV168" s="106">
        <f t="shared" ca="1" si="409"/>
        <v>-247.56498173066211</v>
      </c>
      <c r="CW168" s="106">
        <f t="shared" ca="1" si="409"/>
        <v>-1365.2829387450183</v>
      </c>
      <c r="CX168" s="106">
        <f t="shared" ca="1" si="409"/>
        <v>-3132.9324462764853</v>
      </c>
      <c r="CY168" s="106">
        <f t="shared" ca="1" si="409"/>
        <v>-6038.5252246913733</v>
      </c>
      <c r="CZ168" s="134"/>
      <c r="DA168" s="135">
        <v>8216.1</v>
      </c>
      <c r="DB168" s="135">
        <v>8165.4</v>
      </c>
      <c r="DC168" s="135">
        <v>8282</v>
      </c>
      <c r="DD168" s="135">
        <v>10794</v>
      </c>
      <c r="DE168" s="135">
        <v>16937.359437843639</v>
      </c>
      <c r="DF168" s="135">
        <v>18377.086363165778</v>
      </c>
      <c r="DG168" s="135">
        <v>19807.45988179394</v>
      </c>
      <c r="DH168" s="135">
        <v>21130.610047525581</v>
      </c>
      <c r="DI168" s="135">
        <v>22934.986247871646</v>
      </c>
      <c r="DJ168" s="135">
        <v>24703.60809427128</v>
      </c>
      <c r="DK168" s="135">
        <v>27310.334359985834</v>
      </c>
      <c r="DL168" s="135">
        <v>30548.439121255491</v>
      </c>
      <c r="DM168" s="135">
        <v>34798.412924261043</v>
      </c>
      <c r="DN168" s="135">
        <v>40481.195308803799</v>
      </c>
      <c r="DO168" s="135">
        <v>48302.712780090078</v>
      </c>
      <c r="DP168" s="135">
        <v>59465.668616349154</v>
      </c>
      <c r="DQ168" s="135">
        <v>76074.740699608985</v>
      </c>
    </row>
    <row r="169" spans="1:121" s="123" customFormat="1">
      <c r="A169" s="107" t="s">
        <v>2851</v>
      </c>
      <c r="B169" s="107"/>
      <c r="C169" s="136" t="s">
        <v>1579</v>
      </c>
      <c r="D169" s="147" t="s">
        <v>2771</v>
      </c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44">
        <f>+SOURCE!BF447+SOURCE!BF449+SOURCE!BF451</f>
        <v>692.3</v>
      </c>
      <c r="BG169" s="144">
        <f>+SOURCE!BG447+SOURCE!BG449+SOURCE!BG451</f>
        <v>880.1</v>
      </c>
      <c r="BH169" s="144">
        <f>+SOURCE!BH447+SOURCE!BH449+SOURCE!BH451</f>
        <v>1101.8</v>
      </c>
      <c r="BI169" s="144">
        <f>+SOURCE!BI447+SOURCE!BI449+SOURCE!BI451</f>
        <v>1112.6000000000001</v>
      </c>
      <c r="BJ169" s="144">
        <f>+SOURCE!BJ447+SOURCE!BJ449+SOURCE!BJ451</f>
        <v>1121.9000000000001</v>
      </c>
      <c r="BK169" s="144">
        <f>+SOURCE!BK447+SOURCE!BK449+SOURCE!BK451</f>
        <v>1476.3999999999999</v>
      </c>
      <c r="BL169" s="144">
        <f>+SOURCE!BL447+SOURCE!BL449+SOURCE!BL451</f>
        <v>1757.3</v>
      </c>
      <c r="BM169" s="144">
        <f>+SOURCE!BM447+SOURCE!BM449+SOURCE!BM451</f>
        <v>1991.4</v>
      </c>
      <c r="BN169" s="144">
        <f>+SOURCE!BN447+SOURCE!BN449+SOURCE!BN451</f>
        <v>2055.8000000000002</v>
      </c>
      <c r="BO169" s="144">
        <f>+SOURCE!BO447+SOURCE!BO449+SOURCE!BO451</f>
        <v>2447.5</v>
      </c>
      <c r="BP169" s="144">
        <f>+SOURCE!BP447+SOURCE!BP449+SOURCE!BP451</f>
        <v>4311.7</v>
      </c>
      <c r="BQ169" s="144">
        <f>+SOURCE!BQ447+SOURCE!BQ449+SOURCE!BQ451</f>
        <v>4340</v>
      </c>
      <c r="BR169" s="144">
        <f>+SOURCE!BR447+SOURCE!BR449+SOURCE!BR451</f>
        <v>3865.9</v>
      </c>
      <c r="BS169" s="144">
        <f>+SOURCE!BS447+SOURCE!BS449+SOURCE!BS451</f>
        <v>3270.8</v>
      </c>
      <c r="BT169" s="144">
        <f>+SOURCE!BT447+SOURCE!BT449+SOURCE!BT451</f>
        <v>5335</v>
      </c>
      <c r="BU169" s="109">
        <f t="shared" ref="BU169:BZ169" si="421">+BT169*BU160/BT160</f>
        <v>7975.264264264265</v>
      </c>
      <c r="BV169" s="109">
        <f t="shared" si="421"/>
        <v>7975.264264264265</v>
      </c>
      <c r="BW169" s="109">
        <f t="shared" si="421"/>
        <v>7975.264264264265</v>
      </c>
      <c r="BX169" s="109">
        <f t="shared" si="421"/>
        <v>7975.264264264265</v>
      </c>
      <c r="BY169" s="109">
        <f t="shared" si="421"/>
        <v>7975.264264264265</v>
      </c>
      <c r="BZ169" s="109">
        <f t="shared" si="421"/>
        <v>7975.264264264265</v>
      </c>
      <c r="CA169" s="109">
        <f t="shared" ref="CA169:CG169" si="422">+BZ169*CA160/BZ160</f>
        <v>7975.264264264265</v>
      </c>
      <c r="CB169" s="109">
        <f t="shared" si="422"/>
        <v>7975.264264264265</v>
      </c>
      <c r="CC169" s="109">
        <f t="shared" si="422"/>
        <v>7975.264264264265</v>
      </c>
      <c r="CD169" s="109">
        <f t="shared" si="422"/>
        <v>7975.264264264265</v>
      </c>
      <c r="CE169" s="109">
        <f t="shared" si="422"/>
        <v>7975.264264264265</v>
      </c>
      <c r="CF169" s="109">
        <f t="shared" si="422"/>
        <v>7975.264264264265</v>
      </c>
      <c r="CG169" s="109">
        <f t="shared" si="422"/>
        <v>7975.264264264265</v>
      </c>
      <c r="CI169" s="106"/>
      <c r="CJ169" s="106"/>
      <c r="CK169" s="106"/>
      <c r="CL169" s="106"/>
      <c r="CM169" s="106"/>
      <c r="CN169" s="106"/>
      <c r="CO169" s="106"/>
      <c r="CP169" s="106"/>
      <c r="CQ169" s="106"/>
      <c r="CR169" s="106"/>
      <c r="CS169" s="106"/>
      <c r="CT169" s="106"/>
      <c r="CU169" s="106"/>
      <c r="CV169" s="106"/>
      <c r="CW169" s="106"/>
      <c r="CX169" s="106"/>
      <c r="CY169" s="106"/>
      <c r="CZ169" s="134"/>
      <c r="DA169" s="135">
        <v>4340</v>
      </c>
      <c r="DB169" s="135">
        <v>3865.9</v>
      </c>
      <c r="DC169" s="135">
        <v>3270.8</v>
      </c>
      <c r="DD169" s="135">
        <v>5335</v>
      </c>
      <c r="DE169" s="135">
        <v>6978.3562312312315</v>
      </c>
      <c r="DF169" s="135">
        <v>6978.3562312312315</v>
      </c>
      <c r="DG169" s="135">
        <v>6978.3562312312315</v>
      </c>
      <c r="DH169" s="135">
        <v>6978.3562312312315</v>
      </c>
      <c r="DI169" s="135">
        <v>6978.3562312312315</v>
      </c>
      <c r="DJ169" s="135">
        <v>6978.3562312312315</v>
      </c>
      <c r="DK169" s="135">
        <v>6978.3562312312315</v>
      </c>
      <c r="DL169" s="135">
        <v>6978.3562312312315</v>
      </c>
      <c r="DM169" s="135">
        <v>6978.3562312312315</v>
      </c>
      <c r="DN169" s="135">
        <v>6978.3562312312315</v>
      </c>
      <c r="DO169" s="135">
        <v>6978.3562312312315</v>
      </c>
      <c r="DP169" s="135">
        <v>6978.3562312312315</v>
      </c>
      <c r="DQ169" s="135">
        <v>6978.3562312312315</v>
      </c>
    </row>
    <row r="170" spans="1:121" s="123" customFormat="1">
      <c r="A170" s="107" t="s">
        <v>2852</v>
      </c>
      <c r="B170" s="107"/>
      <c r="C170" s="136" t="s">
        <v>1579</v>
      </c>
      <c r="D170" s="147" t="s">
        <v>2771</v>
      </c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44">
        <f>+SOURCE!BF445-SOURCE!BF447-SOURCE!BF449-SOURCE!BF451</f>
        <v>642.10000000000014</v>
      </c>
      <c r="BG170" s="144">
        <f>+SOURCE!BG445-SOURCE!BG447-SOURCE!BG449-SOURCE!BG451</f>
        <v>906.4000000000002</v>
      </c>
      <c r="BH170" s="144">
        <f>+SOURCE!BH445-SOURCE!BH447-SOURCE!BH449-SOURCE!BH451</f>
        <v>1310.9</v>
      </c>
      <c r="BI170" s="144">
        <f>+SOURCE!BI445-SOURCE!BI447-SOURCE!BI449-SOURCE!BI451</f>
        <v>1600.3999999999999</v>
      </c>
      <c r="BJ170" s="144">
        <f>+SOURCE!BJ445-SOURCE!BJ447-SOURCE!BJ449-SOURCE!BJ451</f>
        <v>1937.1</v>
      </c>
      <c r="BK170" s="144">
        <f>+SOURCE!BK445-SOURCE!BK447-SOURCE!BK449-SOURCE!BK451</f>
        <v>2193.0000000000005</v>
      </c>
      <c r="BL170" s="144">
        <f>+SOURCE!BL445-SOURCE!BL447-SOURCE!BL449-SOURCE!BL451</f>
        <v>2484.3000000000002</v>
      </c>
      <c r="BM170" s="144">
        <f>+SOURCE!BM445-SOURCE!BM447-SOURCE!BM449-SOURCE!BM451</f>
        <v>3009.9999999999995</v>
      </c>
      <c r="BN170" s="144">
        <f>+SOURCE!BN445-SOURCE!BN447-SOURCE!BN449-SOURCE!BN451</f>
        <v>3371.8999999999996</v>
      </c>
      <c r="BO170" s="144">
        <f>+SOURCE!BO445-SOURCE!BO447-SOURCE!BO449-SOURCE!BO451</f>
        <v>3863.6000000000008</v>
      </c>
      <c r="BP170" s="144">
        <f>+SOURCE!BP445-SOURCE!BP447-SOURCE!BP449-SOURCE!BP451</f>
        <v>3842.4999999999995</v>
      </c>
      <c r="BQ170" s="144">
        <f>+SOURCE!BQ445-SOURCE!BQ447-SOURCE!BQ449-SOURCE!BQ451</f>
        <v>3876.1000000000004</v>
      </c>
      <c r="BR170" s="144">
        <f>+SOURCE!BR445-SOURCE!BR447-SOURCE!BR449-SOURCE!BR451</f>
        <v>4299.5</v>
      </c>
      <c r="BS170" s="144">
        <f>+SOURCE!BS445-SOURCE!BS447-SOURCE!BS449-SOURCE!BS451</f>
        <v>5011.2000000000007</v>
      </c>
      <c r="BT170" s="144">
        <f>+SOURCE!BT445-SOURCE!BT447-SOURCE!BT449-SOURCE!BT451</f>
        <v>5459</v>
      </c>
      <c r="BU170" s="109">
        <f t="shared" ref="BU170:CC170" ca="1" si="423">+BT170*(1+BU18/100)</f>
        <v>10401.906816465793</v>
      </c>
      <c r="BV170" s="109">
        <f t="shared" ca="1" si="423"/>
        <v>12069.291969659464</v>
      </c>
      <c r="BW170" s="109">
        <f t="shared" ca="1" si="423"/>
        <v>13468.751622319056</v>
      </c>
      <c r="BX170" s="109">
        <f t="shared" ca="1" si="423"/>
        <v>14638.56206619309</v>
      </c>
      <c r="BY170" s="109">
        <f t="shared" ca="1" si="423"/>
        <v>16232.440266824975</v>
      </c>
      <c r="BZ170" s="109">
        <f t="shared" ca="1" si="423"/>
        <v>18179.418373539727</v>
      </c>
      <c r="CA170" s="109">
        <f t="shared" ca="1" si="423"/>
        <v>20557.079614792146</v>
      </c>
      <c r="CB170" s="109">
        <f t="shared" ca="1" si="423"/>
        <v>23520.898101238083</v>
      </c>
      <c r="CC170" s="109">
        <f t="shared" ca="1" si="423"/>
        <v>27301.925162129439</v>
      </c>
      <c r="CD170" s="109">
        <f ca="1">+CC170*(1+CD18/100)</f>
        <v>32258.366062808884</v>
      </c>
      <c r="CE170" s="109">
        <f ca="1">+CD170*(1+CE18/100)</f>
        <v>38962.165577080668</v>
      </c>
      <c r="CF170" s="109">
        <f ca="1">+CE170*(1+CF18/100)</f>
        <v>48357.471905808394</v>
      </c>
      <c r="CG170" s="109">
        <f ca="1">+CF170*(1+CG18/100)</f>
        <v>62060.951210653482</v>
      </c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/>
      <c r="CS170" s="106"/>
      <c r="CT170" s="106"/>
      <c r="CU170" s="106"/>
      <c r="CV170" s="106"/>
      <c r="CW170" s="106"/>
      <c r="CX170" s="106"/>
      <c r="CY170" s="106"/>
      <c r="CZ170" s="134"/>
      <c r="DA170" s="135">
        <v>3876.1000000000004</v>
      </c>
      <c r="DB170" s="135">
        <v>4299.5</v>
      </c>
      <c r="DC170" s="135">
        <v>5011.2000000000007</v>
      </c>
      <c r="DD170" s="135">
        <v>5459</v>
      </c>
      <c r="DE170" s="135">
        <v>9959.0032066124058</v>
      </c>
      <c r="DF170" s="135">
        <v>11398.730131934541</v>
      </c>
      <c r="DG170" s="135">
        <v>12829.1036505627</v>
      </c>
      <c r="DH170" s="135">
        <v>14152.253816294337</v>
      </c>
      <c r="DI170" s="135">
        <v>15956.630016640409</v>
      </c>
      <c r="DJ170" s="135">
        <v>17725.251863040048</v>
      </c>
      <c r="DK170" s="135">
        <v>20331.978128754585</v>
      </c>
      <c r="DL170" s="135">
        <v>23570.082890024238</v>
      </c>
      <c r="DM170" s="135">
        <v>27820.05669302983</v>
      </c>
      <c r="DN170" s="135">
        <v>33502.839077572542</v>
      </c>
      <c r="DO170" s="135">
        <v>41324.356548858763</v>
      </c>
      <c r="DP170" s="135">
        <v>52487.312385117984</v>
      </c>
      <c r="DQ170" s="135">
        <v>69096.384468377742</v>
      </c>
    </row>
    <row r="171" spans="1:121">
      <c r="A171" s="149" t="s">
        <v>2678</v>
      </c>
      <c r="B171" s="149"/>
      <c r="C171" s="136" t="s">
        <v>1579</v>
      </c>
      <c r="D171" s="102" t="s">
        <v>2771</v>
      </c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368">
        <f>+SOURCE!BF453+SOURCE!BF455</f>
        <v>325.89999999999998</v>
      </c>
      <c r="BG171" s="368">
        <f>+SOURCE!BG453+SOURCE!BG455</f>
        <v>482.3</v>
      </c>
      <c r="BH171" s="368">
        <f>+SOURCE!BH453+SOURCE!BH455</f>
        <v>639</v>
      </c>
      <c r="BI171" s="368">
        <f>+SOURCE!BI453+SOURCE!BI455</f>
        <v>699.40000000000009</v>
      </c>
      <c r="BJ171" s="368">
        <f>+SOURCE!BJ453+SOURCE!BJ455</f>
        <v>710.19999999999993</v>
      </c>
      <c r="BK171" s="368">
        <f>+SOURCE!BK453+SOURCE!BK455</f>
        <v>1311.8</v>
      </c>
      <c r="BL171" s="368">
        <f>+SOURCE!BL453+SOURCE!BL455</f>
        <v>1207.9000000000001</v>
      </c>
      <c r="BM171" s="368">
        <f>+SOURCE!BM453+SOURCE!BM455</f>
        <v>1101.6000000000001</v>
      </c>
      <c r="BN171" s="368">
        <f>+SOURCE!BN453+SOURCE!BN455</f>
        <v>1055.7</v>
      </c>
      <c r="BO171" s="368">
        <f>+SOURCE!BO453+SOURCE!BO455</f>
        <v>1324.8</v>
      </c>
      <c r="BP171" s="368">
        <f>+SOURCE!BP453+SOURCE!BP455</f>
        <v>779.8</v>
      </c>
      <c r="BQ171" s="368">
        <f>+SOURCE!BQ453+SOURCE!BQ455</f>
        <v>841.7</v>
      </c>
      <c r="BR171" s="368">
        <f>+SOURCE!BR453+SOURCE!BR455</f>
        <v>903.4</v>
      </c>
      <c r="BS171" s="368">
        <f>+SOURCE!BS453+SOURCE!BS455</f>
        <v>-1154</v>
      </c>
      <c r="BT171" s="368">
        <f>+SOURCE!BT453+SOURCE!BT455</f>
        <v>587</v>
      </c>
      <c r="BU171" s="109">
        <f t="shared" ref="BU171:CC171" ca="1" si="424">BT171*(1+BU18/100)+(BT164+BT166+BT169-BT188)*(BU160-BT160)/BT160</f>
        <v>-330.05226461776806</v>
      </c>
      <c r="BV171" s="109">
        <f t="shared" ca="1" si="424"/>
        <v>-382.95835727094146</v>
      </c>
      <c r="BW171" s="109">
        <f t="shared" ca="1" si="424"/>
        <v>-427.36317993964036</v>
      </c>
      <c r="BX171" s="109">
        <f t="shared" ca="1" si="424"/>
        <v>-464.48123848280699</v>
      </c>
      <c r="BY171" s="109">
        <f t="shared" ca="1" si="424"/>
        <v>-515.05495721779039</v>
      </c>
      <c r="BZ171" s="109">
        <f t="shared" ca="1" si="424"/>
        <v>-576.83252787100957</v>
      </c>
      <c r="CA171" s="109">
        <f t="shared" ca="1" si="424"/>
        <v>-652.27566450121117</v>
      </c>
      <c r="CB171" s="109">
        <f t="shared" ca="1" si="424"/>
        <v>-746.31755707219747</v>
      </c>
      <c r="CC171" s="109">
        <f t="shared" ca="1" si="424"/>
        <v>-866.28945895972674</v>
      </c>
      <c r="CD171" s="109">
        <f ca="1">CC171*(1+CD18/100)+(CC164+CC166+CC169-CC188)*(CD160-CC160)/CC160</f>
        <v>-1023.5572150142073</v>
      </c>
      <c r="CE171" s="109">
        <f ca="1">CD171*(1+CE18/100)+(CD164+CD166+CD169-CD188)*(CE160-CD160)/CD160</f>
        <v>-1236.2686197853434</v>
      </c>
      <c r="CF171" s="109">
        <f ca="1">CE171*(1+CF18/100)+(CE164+CE166+CE169-CE188)*(CF160-CE160)/CE160</f>
        <v>-1534.3814740233347</v>
      </c>
      <c r="CG171" s="109">
        <f ca="1">CF171*(1+CG18/100)+(CF164+CF166+CF169-CF188)*(CG160-CF160)/CF160</f>
        <v>-1969.1925579437684</v>
      </c>
      <c r="CI171" s="106">
        <f t="shared" si="407"/>
        <v>0</v>
      </c>
      <c r="CJ171" s="106">
        <f t="shared" ref="CJ171:CU172" si="425">BR171-DB171</f>
        <v>0</v>
      </c>
      <c r="CK171" s="106">
        <f t="shared" si="425"/>
        <v>0</v>
      </c>
      <c r="CL171" s="106">
        <f t="shared" si="425"/>
        <v>0</v>
      </c>
      <c r="CM171" s="106">
        <f t="shared" ca="1" si="425"/>
        <v>-499.3197532043946</v>
      </c>
      <c r="CN171" s="106">
        <f t="shared" ca="1" si="425"/>
        <v>-576.69606198703127</v>
      </c>
      <c r="CO171" s="106">
        <f t="shared" ca="1" si="425"/>
        <v>-645.41212627459504</v>
      </c>
      <c r="CP171" s="106">
        <f t="shared" ca="1" si="425"/>
        <v>-705.01901235701462</v>
      </c>
      <c r="CQ171" s="106">
        <f t="shared" ca="1" si="425"/>
        <v>-786.26068264916489</v>
      </c>
      <c r="CR171" s="106">
        <f t="shared" ca="1" si="425"/>
        <v>-878.0985085296079</v>
      </c>
      <c r="CS171" s="106">
        <f t="shared" ca="1" si="425"/>
        <v>-997.84668244881573</v>
      </c>
      <c r="CT171" s="106">
        <f t="shared" ca="1" si="425"/>
        <v>-1146.9247919332165</v>
      </c>
      <c r="CU171" s="106">
        <f t="shared" ca="1" si="425"/>
        <v>-1339.1310708230615</v>
      </c>
      <c r="CV171" s="106">
        <f t="shared" ref="CV171:CY172" ca="1" si="426">CD171-DN171</f>
        <v>-1592.9858328719965</v>
      </c>
      <c r="CW171" s="106">
        <f t="shared" ca="1" si="426"/>
        <v>-1938.6351021898577</v>
      </c>
      <c r="CX171" s="106">
        <f t="shared" ca="1" si="426"/>
        <v>-2426.4783401225195</v>
      </c>
      <c r="CY171" s="106">
        <f t="shared" ca="1" si="426"/>
        <v>-3143.5843345838975</v>
      </c>
      <c r="CZ171" s="165"/>
      <c r="DA171" s="104">
        <v>841.7</v>
      </c>
      <c r="DB171" s="104">
        <v>903.4</v>
      </c>
      <c r="DC171" s="104">
        <v>-1154</v>
      </c>
      <c r="DD171" s="104">
        <v>587</v>
      </c>
      <c r="DE171" s="104">
        <v>169.26748858662654</v>
      </c>
      <c r="DF171" s="104">
        <v>193.73770471608981</v>
      </c>
      <c r="DG171" s="104">
        <v>218.04894633495473</v>
      </c>
      <c r="DH171" s="104">
        <v>240.53777387420763</v>
      </c>
      <c r="DI171" s="104">
        <v>271.20572543137456</v>
      </c>
      <c r="DJ171" s="104">
        <v>301.26598065859838</v>
      </c>
      <c r="DK171" s="104">
        <v>345.57101794760456</v>
      </c>
      <c r="DL171" s="104">
        <v>400.60723486101915</v>
      </c>
      <c r="DM171" s="104">
        <v>472.84161186333478</v>
      </c>
      <c r="DN171" s="104">
        <v>569.42861785778939</v>
      </c>
      <c r="DO171" s="104">
        <v>702.36648240451439</v>
      </c>
      <c r="DP171" s="104">
        <v>892.09686609918469</v>
      </c>
      <c r="DQ171" s="104">
        <v>1174.3917766401291</v>
      </c>
    </row>
    <row r="172" spans="1:121" s="123" customFormat="1">
      <c r="A172" s="99" t="str">
        <f>+SOURCE!A457</f>
        <v>Broad money liabilities (I+II+III-IV-V)</v>
      </c>
      <c r="B172" s="141"/>
      <c r="C172" s="136" t="s">
        <v>1579</v>
      </c>
      <c r="D172" s="102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23">
        <f t="shared" ref="BF172:BO172" si="427">+BF164+BF165+BF168-BF171</f>
        <v>2766.9</v>
      </c>
      <c r="BG172" s="123">
        <f t="shared" si="427"/>
        <v>3573.3</v>
      </c>
      <c r="BH172" s="123">
        <f t="shared" si="427"/>
        <v>4316.7</v>
      </c>
      <c r="BI172" s="123">
        <f t="shared" si="427"/>
        <v>4976.7000000000007</v>
      </c>
      <c r="BJ172" s="123">
        <f t="shared" si="427"/>
        <v>5508.1</v>
      </c>
      <c r="BK172" s="123">
        <f t="shared" si="427"/>
        <v>6693.8</v>
      </c>
      <c r="BL172" s="123">
        <f t="shared" si="427"/>
        <v>8114.6</v>
      </c>
      <c r="BM172" s="123">
        <f t="shared" si="427"/>
        <v>9010.7999999999993</v>
      </c>
      <c r="BN172" s="123">
        <f t="shared" si="427"/>
        <v>9500.0999999999985</v>
      </c>
      <c r="BO172" s="123">
        <f t="shared" si="427"/>
        <v>10618.7</v>
      </c>
      <c r="BP172" s="123">
        <f t="shared" ref="BP172:CB172" si="428">+BP164+BP165+BP168-BP171</f>
        <v>16173.600000000002</v>
      </c>
      <c r="BQ172" s="123">
        <f t="shared" si="428"/>
        <v>17586.3</v>
      </c>
      <c r="BR172" s="123">
        <f t="shared" si="428"/>
        <v>19184.3</v>
      </c>
      <c r="BS172" s="123">
        <f t="shared" si="428"/>
        <v>20276.2</v>
      </c>
      <c r="BT172" s="123">
        <f t="shared" si="428"/>
        <v>32434</v>
      </c>
      <c r="BU172" s="123">
        <f t="shared" ca="1" si="428"/>
        <v>51115.98514803432</v>
      </c>
      <c r="BV172" s="123">
        <f t="shared" ca="1" si="428"/>
        <v>54489.527884579707</v>
      </c>
      <c r="BW172" s="123">
        <f t="shared" ca="1" si="428"/>
        <v>59147.571904729361</v>
      </c>
      <c r="BX172" s="123">
        <f t="shared" ca="1" si="428"/>
        <v>62588.014332914041</v>
      </c>
      <c r="BY172" s="123">
        <f t="shared" ca="1" si="428"/>
        <v>66418.870145794164</v>
      </c>
      <c r="BZ172" s="123">
        <f t="shared" ca="1" si="428"/>
        <v>70389.526622713063</v>
      </c>
      <c r="CA172" s="123">
        <f t="shared" ca="1" si="428"/>
        <v>74412.824643602187</v>
      </c>
      <c r="CB172" s="123">
        <f t="shared" ca="1" si="428"/>
        <v>78458.237109779642</v>
      </c>
      <c r="CC172" s="123">
        <f ca="1">+CC164+CC165+CC168-CC171</f>
        <v>82523.61409342858</v>
      </c>
      <c r="CD172" s="123">
        <f ca="1">+CD164+CD165+CD168-CD171</f>
        <v>86679.048852143867</v>
      </c>
      <c r="CE172" s="123">
        <f ca="1">+CE164+CE165+CE168-CE171</f>
        <v>91145.570786453871</v>
      </c>
      <c r="CF172" s="123">
        <f ca="1">+CF164+CF165+CF168-CF171</f>
        <v>96451.807725112551</v>
      </c>
      <c r="CG172" s="123">
        <f ca="1">+CG164+CG165+CG168-CG171</f>
        <v>103748.70259493521</v>
      </c>
      <c r="CH172" s="141"/>
      <c r="CI172" s="106">
        <f t="shared" si="407"/>
        <v>0</v>
      </c>
      <c r="CJ172" s="106">
        <f t="shared" si="425"/>
        <v>0</v>
      </c>
      <c r="CK172" s="106">
        <f t="shared" si="425"/>
        <v>0</v>
      </c>
      <c r="CL172" s="106">
        <f t="shared" si="425"/>
        <v>0</v>
      </c>
      <c r="CM172" s="106">
        <f t="shared" ca="1" si="425"/>
        <v>2956.6909343765947</v>
      </c>
      <c r="CN172" s="106">
        <f t="shared" ca="1" si="425"/>
        <v>1397.5868576321081</v>
      </c>
      <c r="CO172" s="106">
        <f t="shared" ca="1" si="425"/>
        <v>-918.11704266119341</v>
      </c>
      <c r="CP172" s="106">
        <f t="shared" ca="1" si="425"/>
        <v>-4103.375040243729</v>
      </c>
      <c r="CQ172" s="106">
        <f t="shared" ca="1" si="425"/>
        <v>-8051.3420768309297</v>
      </c>
      <c r="CR172" s="106">
        <f t="shared" ca="1" si="425"/>
        <v>-10517.408143506647</v>
      </c>
      <c r="CS172" s="106">
        <f t="shared" ca="1" si="425"/>
        <v>-14357.990926641636</v>
      </c>
      <c r="CT172" s="106">
        <f t="shared" ca="1" si="425"/>
        <v>-19124.892832025071</v>
      </c>
      <c r="CU172" s="106">
        <f t="shared" ca="1" si="425"/>
        <v>-25183.643651804217</v>
      </c>
      <c r="CV172" s="106">
        <f t="shared" ca="1" si="426"/>
        <v>-32794.37547214907</v>
      </c>
      <c r="CW172" s="106">
        <f t="shared" ca="1" si="426"/>
        <v>-42362.083825643524</v>
      </c>
      <c r="CX172" s="106">
        <f t="shared" ca="1" si="426"/>
        <v>-54534.319974050639</v>
      </c>
      <c r="CY172" s="106">
        <f t="shared" ca="1" si="426"/>
        <v>-70382.782486677708</v>
      </c>
      <c r="CZ172" s="134"/>
      <c r="DA172" s="135">
        <v>17586.3</v>
      </c>
      <c r="DB172" s="135">
        <v>19184.3</v>
      </c>
      <c r="DC172" s="135">
        <v>20276.2</v>
      </c>
      <c r="DD172" s="135">
        <v>32434</v>
      </c>
      <c r="DE172" s="135">
        <v>48159.294213657726</v>
      </c>
      <c r="DF172" s="135">
        <v>53091.941026947599</v>
      </c>
      <c r="DG172" s="135">
        <v>60065.688947390554</v>
      </c>
      <c r="DH172" s="135">
        <v>66691.38937315777</v>
      </c>
      <c r="DI172" s="135">
        <v>74470.212222625094</v>
      </c>
      <c r="DJ172" s="135">
        <v>80906.934766219711</v>
      </c>
      <c r="DK172" s="135">
        <v>88770.815570243823</v>
      </c>
      <c r="DL172" s="135">
        <v>97583.129941804713</v>
      </c>
      <c r="DM172" s="135">
        <v>107707.2577452328</v>
      </c>
      <c r="DN172" s="135">
        <v>119473.42432429294</v>
      </c>
      <c r="DO172" s="135">
        <v>133507.65461209739</v>
      </c>
      <c r="DP172" s="135">
        <v>150986.12769916319</v>
      </c>
      <c r="DQ172" s="135">
        <v>174131.48508161292</v>
      </c>
    </row>
    <row r="173" spans="1:121" s="123" customFormat="1">
      <c r="A173" s="99"/>
      <c r="B173" s="141"/>
      <c r="C173" s="136"/>
      <c r="D173" s="102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CH173" s="141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34"/>
      <c r="DA173" s="135"/>
      <c r="DB173" s="135"/>
      <c r="DC173" s="135"/>
      <c r="DD173" s="135"/>
      <c r="DE173" s="135"/>
      <c r="DF173" s="135"/>
      <c r="DG173" s="135"/>
      <c r="DH173" s="135"/>
      <c r="DI173" s="135"/>
      <c r="DJ173" s="135"/>
      <c r="DK173" s="135"/>
      <c r="DL173" s="135"/>
      <c r="DM173" s="135"/>
      <c r="DN173" s="135"/>
      <c r="DO173" s="135"/>
      <c r="DP173" s="135"/>
      <c r="DQ173" s="135"/>
    </row>
    <row r="174" spans="1:121" s="123" customFormat="1">
      <c r="A174" s="141" t="str">
        <f>+SOURCE!A380</f>
        <v>munten en muntbiljetten</v>
      </c>
      <c r="B174" s="141"/>
      <c r="C174" s="136" t="s">
        <v>1579</v>
      </c>
      <c r="D174" s="102" t="s">
        <v>2775</v>
      </c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371">
        <f>+SOURCE!BF380</f>
        <v>26.5</v>
      </c>
      <c r="BG174" s="371">
        <f>+SOURCE!BG380</f>
        <v>23.6</v>
      </c>
      <c r="BH174" s="371">
        <f>+SOURCE!BH380</f>
        <v>20</v>
      </c>
      <c r="BI174" s="371">
        <f>+SOURCE!BI380</f>
        <v>18</v>
      </c>
      <c r="BJ174" s="371">
        <f>+SOURCE!BJ380</f>
        <v>17.100000000000001</v>
      </c>
      <c r="BK174" s="371">
        <f>+SOURCE!BK380</f>
        <v>16.2</v>
      </c>
      <c r="BL174" s="371">
        <f>+SOURCE!BL380</f>
        <v>13.9</v>
      </c>
      <c r="BM174" s="371">
        <f>+SOURCE!BM380</f>
        <v>17.3</v>
      </c>
      <c r="BN174" s="371">
        <f>+SOURCE!BN380</f>
        <v>20</v>
      </c>
      <c r="BO174" s="371">
        <f>+SOURCE!BO380</f>
        <v>20.6</v>
      </c>
      <c r="BP174" s="371">
        <f>+SOURCE!BP380</f>
        <v>19.5</v>
      </c>
      <c r="BQ174" s="371">
        <f>+SOURCE!BQ380</f>
        <v>15.1</v>
      </c>
      <c r="BR174" s="371">
        <f>+SOURCE!BR380</f>
        <v>12</v>
      </c>
      <c r="BS174" s="371">
        <f>+SOURCE!BS380</f>
        <v>12.7</v>
      </c>
      <c r="BT174" s="371">
        <f>+SOURCE!BT380</f>
        <v>11.2</v>
      </c>
      <c r="BU174" s="109">
        <f t="shared" ref="BU174:CC174" ca="1" si="429">BT174*(1+BU18/100)</f>
        <v>21.341153387876325</v>
      </c>
      <c r="BV174" s="109">
        <f t="shared" ca="1" si="429"/>
        <v>24.762057164349876</v>
      </c>
      <c r="BW174" s="109">
        <f t="shared" ca="1" si="429"/>
        <v>27.633269494408026</v>
      </c>
      <c r="BX174" s="109">
        <f t="shared" ca="1" si="429"/>
        <v>30.033320231061108</v>
      </c>
      <c r="BY174" s="109">
        <f t="shared" ca="1" si="429"/>
        <v>33.303412894017164</v>
      </c>
      <c r="BZ174" s="109">
        <f t="shared" ca="1" si="429"/>
        <v>37.297945737982218</v>
      </c>
      <c r="CA174" s="109">
        <f t="shared" ca="1" si="429"/>
        <v>42.176092999756733</v>
      </c>
      <c r="CB174" s="109">
        <f t="shared" ca="1" si="429"/>
        <v>48.256834353153778</v>
      </c>
      <c r="CC174" s="109">
        <f t="shared" ca="1" si="429"/>
        <v>56.014208062987663</v>
      </c>
      <c r="CD174" s="109">
        <f ca="1">CC174*(1+CD18/100)</f>
        <v>66.183128760479832</v>
      </c>
      <c r="CE174" s="109">
        <f ca="1">CD174*(1+CE18/100)</f>
        <v>79.937031409288039</v>
      </c>
      <c r="CF174" s="109">
        <f ca="1">CE174*(1+CF18/100)</f>
        <v>99.212985042142137</v>
      </c>
      <c r="CG174" s="109">
        <f ca="1">CF174*(1+CG18/100)</f>
        <v>127.3278354202819</v>
      </c>
      <c r="CH174" s="207"/>
      <c r="CI174" s="106">
        <f t="shared" si="407"/>
        <v>0</v>
      </c>
      <c r="CJ174" s="106">
        <f t="shared" ref="CJ174:CU174" si="430">BR174-DB174</f>
        <v>0</v>
      </c>
      <c r="CK174" s="106">
        <f t="shared" si="430"/>
        <v>0</v>
      </c>
      <c r="CL174" s="106">
        <f t="shared" si="430"/>
        <v>0</v>
      </c>
      <c r="CM174" s="106">
        <f t="shared" ca="1" si="430"/>
        <v>0.90868665146691896</v>
      </c>
      <c r="CN174" s="106">
        <f t="shared" ca="1" si="430"/>
        <v>1.3757634333246251</v>
      </c>
      <c r="CO174" s="106">
        <f t="shared" ca="1" si="430"/>
        <v>1.3123387586867885</v>
      </c>
      <c r="CP174" s="106">
        <f t="shared" ca="1" si="430"/>
        <v>0.99773812032717046</v>
      </c>
      <c r="CQ174" s="106">
        <f t="shared" ca="1" si="430"/>
        <v>0.5658682546376852</v>
      </c>
      <c r="CR174" s="106">
        <f t="shared" ca="1" si="430"/>
        <v>0.93179426957252076</v>
      </c>
      <c r="CS174" s="106">
        <f t="shared" ca="1" si="430"/>
        <v>0.46183122249874486</v>
      </c>
      <c r="CT174" s="106">
        <f t="shared" ca="1" si="430"/>
        <v>-0.10091035618336264</v>
      </c>
      <c r="CU174" s="106">
        <f t="shared" ca="1" si="430"/>
        <v>-1.0630286034226799</v>
      </c>
      <c r="CV174" s="106">
        <f ca="1">CD174-DN174</f>
        <v>-2.553232783541489</v>
      </c>
      <c r="CW174" s="106">
        <f ca="1">CE174-DO174</f>
        <v>-4.8464075625416001</v>
      </c>
      <c r="CX174" s="106">
        <f ca="1">CF174-DP174</f>
        <v>-8.4730194849363158</v>
      </c>
      <c r="CY174" s="106">
        <f ca="1">CG174-DQ174</f>
        <v>-14.434301609545997</v>
      </c>
      <c r="CZ174" s="134"/>
      <c r="DA174" s="208">
        <v>15.1</v>
      </c>
      <c r="DB174" s="208">
        <v>12</v>
      </c>
      <c r="DC174" s="208">
        <v>12.7</v>
      </c>
      <c r="DD174" s="208">
        <v>11.2</v>
      </c>
      <c r="DE174" s="135">
        <v>20.432466736409406</v>
      </c>
      <c r="DF174" s="135">
        <v>23.386293731025251</v>
      </c>
      <c r="DG174" s="135">
        <v>26.320930735721237</v>
      </c>
      <c r="DH174" s="135">
        <v>29.035582110733937</v>
      </c>
      <c r="DI174" s="135">
        <v>32.737544639379479</v>
      </c>
      <c r="DJ174" s="135">
        <v>36.366151468409697</v>
      </c>
      <c r="DK174" s="135">
        <v>41.714261777257988</v>
      </c>
      <c r="DL174" s="135">
        <v>48.35774470933714</v>
      </c>
      <c r="DM174" s="135">
        <v>57.077236666410343</v>
      </c>
      <c r="DN174" s="135">
        <v>68.736361544021321</v>
      </c>
      <c r="DO174" s="135">
        <v>84.783438971829639</v>
      </c>
      <c r="DP174" s="135">
        <v>107.68600452707845</v>
      </c>
      <c r="DQ174" s="135">
        <v>141.7621370298279</v>
      </c>
    </row>
    <row r="175" spans="1:121" s="123" customFormat="1">
      <c r="A175" s="141" t="s">
        <v>3133</v>
      </c>
      <c r="B175" s="141"/>
      <c r="C175" s="136" t="s">
        <v>1579</v>
      </c>
      <c r="D175" s="102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41">
        <f t="shared" ref="BF175:BP175" si="431">+BF172+BF174</f>
        <v>2793.4</v>
      </c>
      <c r="BG175" s="141">
        <f t="shared" si="431"/>
        <v>3596.9</v>
      </c>
      <c r="BH175" s="141">
        <f t="shared" si="431"/>
        <v>4336.7</v>
      </c>
      <c r="BI175" s="141">
        <f t="shared" si="431"/>
        <v>4994.7000000000007</v>
      </c>
      <c r="BJ175" s="141">
        <f t="shared" si="431"/>
        <v>5525.2000000000007</v>
      </c>
      <c r="BK175" s="141">
        <f t="shared" si="431"/>
        <v>6710</v>
      </c>
      <c r="BL175" s="141">
        <f t="shared" si="431"/>
        <v>8128.5</v>
      </c>
      <c r="BM175" s="141">
        <f t="shared" si="431"/>
        <v>9028.0999999999985</v>
      </c>
      <c r="BN175" s="141">
        <f t="shared" si="431"/>
        <v>9520.0999999999985</v>
      </c>
      <c r="BO175" s="141">
        <f t="shared" si="431"/>
        <v>10639.300000000001</v>
      </c>
      <c r="BP175" s="141">
        <f t="shared" si="431"/>
        <v>16193.100000000002</v>
      </c>
      <c r="BQ175" s="141">
        <f t="shared" ref="BQ175:CB175" si="432">+BQ172+BQ174</f>
        <v>17601.399999999998</v>
      </c>
      <c r="BR175" s="141">
        <f t="shared" si="432"/>
        <v>19196.3</v>
      </c>
      <c r="BS175" s="141">
        <f t="shared" si="432"/>
        <v>20288.900000000001</v>
      </c>
      <c r="BT175" s="141">
        <f t="shared" si="432"/>
        <v>32445.200000000001</v>
      </c>
      <c r="BU175" s="141">
        <f t="shared" ca="1" si="432"/>
        <v>51137.326301422196</v>
      </c>
      <c r="BV175" s="141">
        <f t="shared" ca="1" si="432"/>
        <v>54514.289941744057</v>
      </c>
      <c r="BW175" s="141">
        <f t="shared" ca="1" si="432"/>
        <v>59175.205174223767</v>
      </c>
      <c r="BX175" s="141">
        <f t="shared" ca="1" si="432"/>
        <v>62618.047653145099</v>
      </c>
      <c r="BY175" s="141">
        <f t="shared" ca="1" si="432"/>
        <v>66452.173558688184</v>
      </c>
      <c r="BZ175" s="141">
        <f t="shared" ca="1" si="432"/>
        <v>70426.824568451048</v>
      </c>
      <c r="CA175" s="141">
        <f t="shared" ca="1" si="432"/>
        <v>74455.000736601942</v>
      </c>
      <c r="CB175" s="141">
        <f t="shared" ca="1" si="432"/>
        <v>78506.493944132802</v>
      </c>
      <c r="CC175" s="141">
        <f ca="1">+CC172+CC174</f>
        <v>82579.628301491568</v>
      </c>
      <c r="CD175" s="141">
        <f ca="1">+CD172+CD174</f>
        <v>86745.23198090434</v>
      </c>
      <c r="CE175" s="141">
        <f ca="1">+CE172+CE174</f>
        <v>91225.507817863152</v>
      </c>
      <c r="CF175" s="141">
        <f ca="1">+CF172+CF174</f>
        <v>96551.020710154698</v>
      </c>
      <c r="CG175" s="141">
        <f ca="1">+CG172+CG174</f>
        <v>103876.03043035549</v>
      </c>
      <c r="CH175" s="207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34"/>
      <c r="DA175" s="135">
        <v>17601.399999999998</v>
      </c>
      <c r="DB175" s="135">
        <v>19196.3</v>
      </c>
      <c r="DC175" s="135">
        <v>20288.900000000001</v>
      </c>
      <c r="DD175" s="135">
        <v>32445.200000000001</v>
      </c>
      <c r="DE175" s="135">
        <v>48179.726680394138</v>
      </c>
      <c r="DF175" s="135">
        <v>53115.327320678625</v>
      </c>
      <c r="DG175" s="135">
        <v>60092.009878126279</v>
      </c>
      <c r="DH175" s="135">
        <v>66720.424955268507</v>
      </c>
      <c r="DI175" s="135">
        <v>74502.949767264479</v>
      </c>
      <c r="DJ175" s="135">
        <v>80943.300917688117</v>
      </c>
      <c r="DK175" s="135">
        <v>88812.529832021086</v>
      </c>
      <c r="DL175" s="135">
        <v>97631.487686514054</v>
      </c>
      <c r="DM175" s="135">
        <v>107764.33498189921</v>
      </c>
      <c r="DN175" s="135">
        <v>119542.16068583696</v>
      </c>
      <c r="DO175" s="135">
        <v>133592.43805106921</v>
      </c>
      <c r="DP175" s="135">
        <v>151093.81370369028</v>
      </c>
      <c r="DQ175" s="135">
        <v>174273.24721864273</v>
      </c>
    </row>
    <row r="176" spans="1:121" s="123" customFormat="1">
      <c r="A176" s="210" t="s">
        <v>2859</v>
      </c>
      <c r="B176" s="141"/>
      <c r="C176" s="136" t="s">
        <v>1579</v>
      </c>
      <c r="D176" s="102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41">
        <f t="shared" ref="BF176:BR176" si="433">+BF172+BF174-BF178</f>
        <v>9.9999999999909051E-2</v>
      </c>
      <c r="BG176" s="141">
        <f t="shared" si="433"/>
        <v>-9.9999999999909051E-2</v>
      </c>
      <c r="BH176" s="141">
        <f t="shared" si="433"/>
        <v>9.9999999999454303E-2</v>
      </c>
      <c r="BI176" s="141">
        <f t="shared" si="433"/>
        <v>-9.9999999999454303E-2</v>
      </c>
      <c r="BJ176" s="141">
        <f t="shared" si="433"/>
        <v>0.1000000000003638</v>
      </c>
      <c r="BK176" s="141">
        <f t="shared" si="433"/>
        <v>-0.1000000000003638</v>
      </c>
      <c r="BL176" s="141">
        <f t="shared" si="433"/>
        <v>-0.1000000000003638</v>
      </c>
      <c r="BM176" s="141">
        <f t="shared" si="433"/>
        <v>0</v>
      </c>
      <c r="BN176" s="141">
        <f t="shared" si="433"/>
        <v>-0.10000000000218279</v>
      </c>
      <c r="BO176" s="141">
        <f t="shared" si="433"/>
        <v>0</v>
      </c>
      <c r="BP176" s="141">
        <f t="shared" si="433"/>
        <v>0</v>
      </c>
      <c r="BQ176" s="141">
        <f t="shared" si="433"/>
        <v>-0.10000000000218279</v>
      </c>
      <c r="BR176" s="141">
        <f t="shared" si="433"/>
        <v>-0.2999999999992724</v>
      </c>
      <c r="BS176" s="141">
        <f t="shared" ref="BS176:CB176" si="434">+BS172+BS174-BS178</f>
        <v>0.7000000000007276</v>
      </c>
      <c r="BT176" s="141">
        <f t="shared" si="434"/>
        <v>0.40000000000145519</v>
      </c>
      <c r="BU176" s="141">
        <f t="shared" ca="1" si="434"/>
        <v>0</v>
      </c>
      <c r="BV176" s="141">
        <f t="shared" ca="1" si="434"/>
        <v>0</v>
      </c>
      <c r="BW176" s="141">
        <f t="shared" ca="1" si="434"/>
        <v>0</v>
      </c>
      <c r="BX176" s="141">
        <f t="shared" ca="1" si="434"/>
        <v>0</v>
      </c>
      <c r="BY176" s="141">
        <f t="shared" ca="1" si="434"/>
        <v>0</v>
      </c>
      <c r="BZ176" s="141">
        <f t="shared" ca="1" si="434"/>
        <v>0</v>
      </c>
      <c r="CA176" s="141">
        <f t="shared" ca="1" si="434"/>
        <v>0</v>
      </c>
      <c r="CB176" s="141">
        <f t="shared" ca="1" si="434"/>
        <v>0</v>
      </c>
      <c r="CC176" s="141">
        <f ca="1">+CC172+CC174-CC178</f>
        <v>0</v>
      </c>
      <c r="CD176" s="141">
        <f ca="1">+CD172+CD174-CD178</f>
        <v>0</v>
      </c>
      <c r="CE176" s="141">
        <f ca="1">+CE172+CE174-CE178</f>
        <v>0</v>
      </c>
      <c r="CF176" s="141">
        <f ca="1">+CF172+CF174-CF178</f>
        <v>0</v>
      </c>
      <c r="CG176" s="141">
        <f ca="1">+CG172+CG174-CG178</f>
        <v>0</v>
      </c>
      <c r="CH176" s="207"/>
      <c r="CI176" s="106">
        <f t="shared" si="407"/>
        <v>0</v>
      </c>
      <c r="CJ176" s="106">
        <f t="shared" ref="CJ176:CU176" si="435">BR176-DB176</f>
        <v>0</v>
      </c>
      <c r="CK176" s="106">
        <f t="shared" si="435"/>
        <v>0</v>
      </c>
      <c r="CL176" s="106">
        <f t="shared" si="435"/>
        <v>0</v>
      </c>
      <c r="CM176" s="106">
        <f t="shared" ca="1" si="435"/>
        <v>0</v>
      </c>
      <c r="CN176" s="106">
        <f t="shared" ca="1" si="435"/>
        <v>0</v>
      </c>
      <c r="CO176" s="106">
        <f t="shared" ca="1" si="435"/>
        <v>0</v>
      </c>
      <c r="CP176" s="106">
        <f t="shared" ca="1" si="435"/>
        <v>0</v>
      </c>
      <c r="CQ176" s="106">
        <f t="shared" ca="1" si="435"/>
        <v>0</v>
      </c>
      <c r="CR176" s="106">
        <f t="shared" ca="1" si="435"/>
        <v>1.3096723705530167E-10</v>
      </c>
      <c r="CS176" s="106">
        <f t="shared" ca="1" si="435"/>
        <v>1.3096723705530167E-10</v>
      </c>
      <c r="CT176" s="106">
        <f t="shared" ca="1" si="435"/>
        <v>1.8917489796876907E-10</v>
      </c>
      <c r="CU176" s="106">
        <f t="shared" ca="1" si="435"/>
        <v>1.6007106751203537E-10</v>
      </c>
      <c r="CV176" s="106">
        <f ca="1">CD176-DN176</f>
        <v>1.7462298274040222E-10</v>
      </c>
      <c r="CW176" s="106">
        <f ca="1">CE176-DO176</f>
        <v>0</v>
      </c>
      <c r="CX176" s="106">
        <f ca="1">CF176-DP176</f>
        <v>0</v>
      </c>
      <c r="CY176" s="106">
        <f ca="1">CG176-DQ176</f>
        <v>0</v>
      </c>
      <c r="CZ176" s="134"/>
      <c r="DA176" s="208">
        <v>-0.10000000000218279</v>
      </c>
      <c r="DB176" s="208">
        <v>-0.2999999999992724</v>
      </c>
      <c r="DC176" s="208">
        <v>0.7000000000007276</v>
      </c>
      <c r="DD176" s="208">
        <v>0.40000000000145519</v>
      </c>
      <c r="DE176" s="135">
        <v>0</v>
      </c>
      <c r="DF176" s="135">
        <v>0</v>
      </c>
      <c r="DG176" s="135">
        <v>0</v>
      </c>
      <c r="DH176" s="135">
        <v>0</v>
      </c>
      <c r="DI176" s="135">
        <v>0</v>
      </c>
      <c r="DJ176" s="135">
        <v>-1.3096723705530167E-10</v>
      </c>
      <c r="DK176" s="135">
        <v>-1.3096723705530167E-10</v>
      </c>
      <c r="DL176" s="135">
        <v>-1.8917489796876907E-10</v>
      </c>
      <c r="DM176" s="135">
        <v>-1.6007106751203537E-10</v>
      </c>
      <c r="DN176" s="135">
        <v>-1.7462298274040222E-10</v>
      </c>
      <c r="DO176" s="135">
        <v>0</v>
      </c>
      <c r="DP176" s="135">
        <v>0</v>
      </c>
      <c r="DQ176" s="135">
        <v>0</v>
      </c>
    </row>
    <row r="177" spans="1:121" s="123" customFormat="1">
      <c r="A177" s="373" t="s">
        <v>2914</v>
      </c>
      <c r="B177" s="141"/>
      <c r="C177" s="136"/>
      <c r="D177" s="102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1"/>
      <c r="BS177" s="141"/>
      <c r="BT177" s="252" t="s">
        <v>222</v>
      </c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207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34"/>
      <c r="DA177" s="208"/>
      <c r="DB177" s="208"/>
      <c r="DC177" s="208"/>
      <c r="DD177" s="208" t="s">
        <v>222</v>
      </c>
      <c r="DE177" s="135"/>
      <c r="DF177" s="135"/>
      <c r="DG177" s="135"/>
      <c r="DH177" s="135"/>
      <c r="DI177" s="135"/>
      <c r="DJ177" s="135"/>
      <c r="DK177" s="135"/>
      <c r="DL177" s="135"/>
      <c r="DM177" s="135"/>
      <c r="DN177" s="135"/>
      <c r="DO177" s="135"/>
      <c r="DP177" s="135"/>
      <c r="DQ177" s="135"/>
    </row>
    <row r="178" spans="1:121" s="123" customFormat="1">
      <c r="A178" s="145" t="s">
        <v>3140</v>
      </c>
      <c r="B178" s="107"/>
      <c r="C178" s="136" t="s">
        <v>1579</v>
      </c>
      <c r="D178" s="147"/>
      <c r="E178" s="107"/>
      <c r="F178" s="107"/>
      <c r="G178" s="107"/>
      <c r="H178" s="107"/>
      <c r="I178" s="706">
        <f>+SOURCE!I387</f>
        <v>0.03</v>
      </c>
      <c r="J178" s="706">
        <f>+SOURCE!J387</f>
        <v>0.03</v>
      </c>
      <c r="K178" s="706">
        <f>+SOURCE!K387</f>
        <v>0.04</v>
      </c>
      <c r="L178" s="706">
        <f>+SOURCE!L387</f>
        <v>0.04</v>
      </c>
      <c r="M178" s="706">
        <f>+SOURCE!M387</f>
        <v>0.05</v>
      </c>
      <c r="N178" s="706">
        <f>+SOURCE!N387</f>
        <v>0.05</v>
      </c>
      <c r="O178" s="706">
        <f>+SOURCE!O387</f>
        <v>0.06</v>
      </c>
      <c r="P178" s="706">
        <f>+SOURCE!P387</f>
        <v>7.0000000000000007E-2</v>
      </c>
      <c r="Q178" s="706">
        <f>+SOURCE!Q387</f>
        <v>0.08</v>
      </c>
      <c r="R178" s="706">
        <f>+SOURCE!R387</f>
        <v>0.09</v>
      </c>
      <c r="S178" s="706">
        <f>+SOURCE!S387</f>
        <v>0.1</v>
      </c>
      <c r="T178" s="706">
        <f>+SOURCE!T387</f>
        <v>0.1</v>
      </c>
      <c r="U178" s="706">
        <f>+SOURCE!U387</f>
        <v>0.1</v>
      </c>
      <c r="V178" s="706">
        <f>+SOURCE!V387</f>
        <v>0.1</v>
      </c>
      <c r="W178" s="706">
        <f>+SOURCE!W387</f>
        <v>0.2</v>
      </c>
      <c r="X178" s="706">
        <f>+SOURCE!X387</f>
        <v>0.2</v>
      </c>
      <c r="Y178" s="706">
        <f>+SOURCE!Y387</f>
        <v>0.2</v>
      </c>
      <c r="Z178" s="706">
        <f>+SOURCE!Z387</f>
        <v>0.2</v>
      </c>
      <c r="AA178" s="706">
        <f>+SOURCE!AA387</f>
        <v>0.3</v>
      </c>
      <c r="AB178" s="706">
        <f>+SOURCE!AB387</f>
        <v>0.4</v>
      </c>
      <c r="AC178" s="706">
        <f>+SOURCE!AC387</f>
        <v>0.5</v>
      </c>
      <c r="AD178" s="706">
        <f>+SOURCE!AD387</f>
        <v>0.6</v>
      </c>
      <c r="AE178" s="706">
        <f>+SOURCE!AE387</f>
        <v>0.6</v>
      </c>
      <c r="AF178" s="706">
        <f>+SOURCE!AF387</f>
        <v>0.7</v>
      </c>
      <c r="AG178" s="706">
        <f>+SOURCE!AG387</f>
        <v>0.8</v>
      </c>
      <c r="AH178" s="706">
        <f>+SOURCE!AH387</f>
        <v>0.9</v>
      </c>
      <c r="AI178" s="704">
        <f>+SOURCE!AI387</f>
        <v>1.1000000000000001</v>
      </c>
      <c r="AJ178" s="704">
        <f>+SOURCE!AJ387</f>
        <v>1.2</v>
      </c>
      <c r="AK178" s="704">
        <f>+SOURCE!AK387</f>
        <v>1.6</v>
      </c>
      <c r="AL178" s="704">
        <f>+SOURCE!AL387</f>
        <v>1.97</v>
      </c>
      <c r="AM178" s="704">
        <f>+SOURCE!AM387</f>
        <v>2.5</v>
      </c>
      <c r="AN178" s="704">
        <f>+SOURCE!AN387</f>
        <v>3</v>
      </c>
      <c r="AO178" s="704">
        <f>+SOURCE!AO387</f>
        <v>3.7</v>
      </c>
      <c r="AP178" s="704">
        <f>+SOURCE!AP387</f>
        <v>3.8</v>
      </c>
      <c r="AQ178" s="704">
        <f>+SOURCE!AQ387</f>
        <v>4.7</v>
      </c>
      <c r="AR178" s="704">
        <f>+SOURCE!AR387</f>
        <v>5.6</v>
      </c>
      <c r="AS178" s="704">
        <f>+SOURCE!AS387</f>
        <v>9.5</v>
      </c>
      <c r="AT178" s="704">
        <f>+SOURCE!AT387</f>
        <v>37.299999999999997</v>
      </c>
      <c r="AU178" s="704">
        <f>+SOURCE!AU387</f>
        <v>92.1</v>
      </c>
      <c r="AV178" s="704">
        <f>+SOURCE!AV387</f>
        <v>129.1</v>
      </c>
      <c r="AW178" s="704">
        <f>+SOURCE!AW387</f>
        <v>163.80000000000001</v>
      </c>
      <c r="AX178" s="704">
        <f>+SOURCE!AX387</f>
        <v>209.3</v>
      </c>
      <c r="AY178" s="704">
        <f>+SOURCE!AY387</f>
        <v>347.5</v>
      </c>
      <c r="AZ178" s="704">
        <f>+SOURCE!AZ387</f>
        <v>695.5</v>
      </c>
      <c r="BA178" s="704">
        <f>+SOURCE!BA387</f>
        <v>938.4</v>
      </c>
      <c r="BB178" s="703">
        <f>+SOURCE!BB387</f>
        <v>1257.5999999999999</v>
      </c>
      <c r="BC178" s="703">
        <f>+SOURCE!BC387</f>
        <v>1497.1</v>
      </c>
      <c r="BD178" s="703">
        <f>+SOURCE!BD387</f>
        <v>1958.1</v>
      </c>
      <c r="BE178" s="703">
        <f>+SOURCE!BE387</f>
        <v>2175.9</v>
      </c>
      <c r="BF178" s="114">
        <f t="shared" ref="BF178:BS178" si="436">+BF179+BF180</f>
        <v>2793.3</v>
      </c>
      <c r="BG178" s="114">
        <f t="shared" si="436"/>
        <v>3597</v>
      </c>
      <c r="BH178" s="114">
        <f t="shared" si="436"/>
        <v>4336.6000000000004</v>
      </c>
      <c r="BI178" s="114">
        <f t="shared" si="436"/>
        <v>4994.8</v>
      </c>
      <c r="BJ178" s="114">
        <f t="shared" si="436"/>
        <v>5525.1</v>
      </c>
      <c r="BK178" s="114">
        <f t="shared" si="436"/>
        <v>6710.1</v>
      </c>
      <c r="BL178" s="114">
        <f t="shared" si="436"/>
        <v>8128.6</v>
      </c>
      <c r="BM178" s="114">
        <f t="shared" si="436"/>
        <v>9028.0999999999985</v>
      </c>
      <c r="BN178" s="114">
        <f t="shared" si="436"/>
        <v>9520.2000000000007</v>
      </c>
      <c r="BO178" s="114">
        <f t="shared" si="436"/>
        <v>10639.3</v>
      </c>
      <c r="BP178" s="114">
        <f t="shared" si="436"/>
        <v>16193.1</v>
      </c>
      <c r="BQ178" s="114">
        <f t="shared" si="436"/>
        <v>17601.5</v>
      </c>
      <c r="BR178" s="114">
        <f t="shared" si="436"/>
        <v>19196.599999999999</v>
      </c>
      <c r="BS178" s="114">
        <f t="shared" si="436"/>
        <v>20288.2</v>
      </c>
      <c r="BT178" s="114">
        <f t="shared" ref="BT178" si="437">+BT179+BT180</f>
        <v>32444.799999999999</v>
      </c>
      <c r="BU178" s="372">
        <f t="shared" ref="BU178:CB178" ca="1" si="438">+BU172+BU174</f>
        <v>51137.326301422196</v>
      </c>
      <c r="BV178" s="372">
        <f t="shared" ca="1" si="438"/>
        <v>54514.289941744057</v>
      </c>
      <c r="BW178" s="372">
        <f t="shared" ca="1" si="438"/>
        <v>59175.205174223767</v>
      </c>
      <c r="BX178" s="372">
        <f t="shared" ca="1" si="438"/>
        <v>62618.047653145099</v>
      </c>
      <c r="BY178" s="372">
        <f t="shared" ca="1" si="438"/>
        <v>66452.173558688184</v>
      </c>
      <c r="BZ178" s="372">
        <f t="shared" ca="1" si="438"/>
        <v>70426.824568451048</v>
      </c>
      <c r="CA178" s="372">
        <f t="shared" ca="1" si="438"/>
        <v>74455.000736601942</v>
      </c>
      <c r="CB178" s="372">
        <f t="shared" ca="1" si="438"/>
        <v>78506.493944132802</v>
      </c>
      <c r="CC178" s="372">
        <f ca="1">+CC172+CC174</f>
        <v>82579.628301491568</v>
      </c>
      <c r="CD178" s="372">
        <f ca="1">+CD172+CD174</f>
        <v>86745.23198090434</v>
      </c>
      <c r="CE178" s="372">
        <f ca="1">+CE172+CE174</f>
        <v>91225.507817863152</v>
      </c>
      <c r="CF178" s="372">
        <f ca="1">+CF172+CF174</f>
        <v>96551.020710154698</v>
      </c>
      <c r="CG178" s="372">
        <f ca="1">+CG172+CG174</f>
        <v>103876.03043035549</v>
      </c>
      <c r="CH178" s="141"/>
      <c r="CI178" s="106">
        <f t="shared" ref="CI178:CR180" si="439">BQ178-DA178</f>
        <v>0</v>
      </c>
      <c r="CJ178" s="106">
        <f t="shared" si="439"/>
        <v>0</v>
      </c>
      <c r="CK178" s="106">
        <f t="shared" si="439"/>
        <v>0</v>
      </c>
      <c r="CL178" s="106">
        <f t="shared" si="439"/>
        <v>0</v>
      </c>
      <c r="CM178" s="106">
        <f t="shared" ca="1" si="439"/>
        <v>2957.5996210280573</v>
      </c>
      <c r="CN178" s="106">
        <f t="shared" ca="1" si="439"/>
        <v>1398.9626210654314</v>
      </c>
      <c r="CO178" s="106">
        <f t="shared" ca="1" si="439"/>
        <v>-916.80470390251139</v>
      </c>
      <c r="CP178" s="106">
        <f t="shared" ca="1" si="439"/>
        <v>-4102.3773021234083</v>
      </c>
      <c r="CQ178" s="106">
        <f t="shared" ca="1" si="439"/>
        <v>-8050.7762085762952</v>
      </c>
      <c r="CR178" s="106">
        <f t="shared" ca="1" si="439"/>
        <v>-10516.476349237069</v>
      </c>
      <c r="CS178" s="106">
        <f t="shared" ref="CS178:CY180" ca="1" si="440">CA178-DK178</f>
        <v>-14357.529095419144</v>
      </c>
      <c r="CT178" s="106">
        <f t="shared" ca="1" si="440"/>
        <v>-19124.993742381252</v>
      </c>
      <c r="CU178" s="106">
        <f t="shared" ca="1" si="440"/>
        <v>-25184.706680407646</v>
      </c>
      <c r="CV178" s="106">
        <f t="shared" ca="1" si="440"/>
        <v>-32796.928704932623</v>
      </c>
      <c r="CW178" s="106">
        <f t="shared" ca="1" si="440"/>
        <v>-42366.930233206062</v>
      </c>
      <c r="CX178" s="106">
        <f t="shared" ca="1" si="440"/>
        <v>-54542.792993535579</v>
      </c>
      <c r="CY178" s="106">
        <f t="shared" ca="1" si="440"/>
        <v>-70397.216788287245</v>
      </c>
      <c r="CZ178" s="134"/>
      <c r="DA178" s="135">
        <v>17601.5</v>
      </c>
      <c r="DB178" s="135">
        <v>19196.599999999999</v>
      </c>
      <c r="DC178" s="135">
        <v>20288.2</v>
      </c>
      <c r="DD178" s="135">
        <v>32444.799999999999</v>
      </c>
      <c r="DE178" s="135">
        <v>48179.726680394138</v>
      </c>
      <c r="DF178" s="135">
        <v>53115.327320678625</v>
      </c>
      <c r="DG178" s="135">
        <v>60092.009878126279</v>
      </c>
      <c r="DH178" s="135">
        <v>66720.424955268507</v>
      </c>
      <c r="DI178" s="135">
        <v>74502.949767264479</v>
      </c>
      <c r="DJ178" s="135">
        <v>80943.300917688117</v>
      </c>
      <c r="DK178" s="135">
        <v>88812.529832021086</v>
      </c>
      <c r="DL178" s="135">
        <v>97631.487686514054</v>
      </c>
      <c r="DM178" s="135">
        <v>107764.33498189921</v>
      </c>
      <c r="DN178" s="135">
        <v>119542.16068583696</v>
      </c>
      <c r="DO178" s="135">
        <v>133592.43805106921</v>
      </c>
      <c r="DP178" s="135">
        <v>151093.81370369028</v>
      </c>
      <c r="DQ178" s="135">
        <v>174273.24721864273</v>
      </c>
    </row>
    <row r="179" spans="1:121" s="123" customFormat="1">
      <c r="A179" s="107" t="s">
        <v>1766</v>
      </c>
      <c r="B179" s="107"/>
      <c r="C179" s="136" t="s">
        <v>1579</v>
      </c>
      <c r="D179" s="147" t="s">
        <v>2772</v>
      </c>
      <c r="E179" s="107"/>
      <c r="F179" s="705">
        <f>+mamiabc!F144</f>
        <v>5.3400001657009089E-2</v>
      </c>
      <c r="G179" s="705">
        <f>+mamiabc!G144</f>
        <v>5.1700001657009088E-2</v>
      </c>
      <c r="H179" s="705">
        <f>+mamiabc!H144</f>
        <v>5.150000165700909E-2</v>
      </c>
      <c r="I179" s="707">
        <f>+mamiabc!I144</f>
        <v>5.610000156164166E-2</v>
      </c>
      <c r="J179" s="707">
        <f>+mamiabc!J144</f>
        <v>5.8400001513957946E-2</v>
      </c>
      <c r="K179" s="707">
        <f>+mamiabc!K144</f>
        <v>5.8700001525878877E-2</v>
      </c>
      <c r="L179" s="707">
        <f>+mamiabc!L144</f>
        <v>6.6200001525878877E-2</v>
      </c>
      <c r="M179" s="707">
        <f>+mamiabc!M144</f>
        <v>7.0300001430511447E-2</v>
      </c>
      <c r="N179" s="707">
        <f>+mamiabc!N144</f>
        <v>7.2700001525878882E-2</v>
      </c>
      <c r="O179" s="707">
        <f>+mamiabc!O144</f>
        <v>7.4200001525878884E-2</v>
      </c>
      <c r="P179" s="707">
        <f>+mamiabc!P144</f>
        <v>8.6000001716613747E-2</v>
      </c>
      <c r="Q179" s="707">
        <f>+mamiabc!Q144</f>
        <v>9.0600001621246318E-2</v>
      </c>
      <c r="R179" s="707">
        <f>+mamiabc!R144</f>
        <v>0.10230000143051145</v>
      </c>
      <c r="S179" s="707">
        <f>+mamiabc!S144</f>
        <v>0.11250000123977659</v>
      </c>
      <c r="T179" s="707">
        <f>+mamiabc!T144</f>
        <v>0.12040000133514402</v>
      </c>
      <c r="U179" s="707">
        <f>+mamiabc!U144</f>
        <v>0.13470000152587888</v>
      </c>
      <c r="V179" s="707">
        <f>+mamiabc!V144</f>
        <v>0.14590000133514403</v>
      </c>
      <c r="W179" s="707">
        <f>+mamiabc!W144</f>
        <v>0.1588000009536743</v>
      </c>
      <c r="X179" s="707">
        <f>+mamiabc!X144</f>
        <v>0.16690000133514402</v>
      </c>
      <c r="Y179" s="707">
        <f>+mamiabc!Y144</f>
        <v>0.17170000152587889</v>
      </c>
      <c r="Z179" s="707">
        <f>+mamiabc!Z144</f>
        <v>0.20379999999999998</v>
      </c>
      <c r="AA179" s="707">
        <f>+mamiabc!AA144</f>
        <v>0.21190000038146972</v>
      </c>
      <c r="AB179" s="707">
        <f>+mamiabc!AB144</f>
        <v>0.24510000114440919</v>
      </c>
      <c r="AC179" s="707">
        <f>+mamiabc!AC144</f>
        <v>0.2811000011444092</v>
      </c>
      <c r="AD179" s="707">
        <f>+mamiabc!AD144</f>
        <v>0.30690000038146975</v>
      </c>
      <c r="AE179" s="707">
        <f>+mamiabc!AE144</f>
        <v>0.33730000000000004</v>
      </c>
      <c r="AF179" s="707">
        <f>+mamiabc!AF144</f>
        <v>0.36680000000000001</v>
      </c>
      <c r="AG179" s="707">
        <f>+mamiabc!AG144</f>
        <v>0.53959999999999997</v>
      </c>
      <c r="AH179" s="707">
        <f>+mamiabc!AH144</f>
        <v>0.80120000000000002</v>
      </c>
      <c r="AI179" s="705">
        <f>+mamiabc!AI144</f>
        <v>0.84650000000000003</v>
      </c>
      <c r="AJ179" s="705">
        <f>+mamiabc!AJ144</f>
        <v>1.0449000000000002</v>
      </c>
      <c r="AK179" s="705">
        <f>+mamiabc!AK144</f>
        <v>1.425</v>
      </c>
      <c r="AL179" s="705">
        <f>+mamiabc!AL144</f>
        <v>1.8463000000000001</v>
      </c>
      <c r="AM179" s="705">
        <f>+mamiabc!AM144</f>
        <v>2.1394000000000002</v>
      </c>
      <c r="AN179" s="705">
        <f>+mamiabc!AN144</f>
        <v>2.3875000000000002</v>
      </c>
      <c r="AO179" s="705">
        <f>+mamiabc!AO144</f>
        <v>1.6391</v>
      </c>
      <c r="AP179" s="705">
        <f>+mamiabc!AP144</f>
        <v>2.4173</v>
      </c>
      <c r="AQ179" s="705">
        <f>+mamiabc!AQ144</f>
        <v>3.1721999999999997</v>
      </c>
      <c r="AR179" s="705">
        <f>+mamiabc!AR144</f>
        <v>3.5365000000000002</v>
      </c>
      <c r="AS179" s="705">
        <f>+mamiabc!AS144</f>
        <v>6.6513999999999998</v>
      </c>
      <c r="AT179" s="705">
        <f>+mamiabc!AT144</f>
        <v>23.300799999999999</v>
      </c>
      <c r="AU179" s="705">
        <f>+mamiabc!AU144</f>
        <v>61.806599999999996</v>
      </c>
      <c r="AV179" s="705">
        <f>+mamiabc!AV144</f>
        <v>78.461399999999998</v>
      </c>
      <c r="AW179" s="705">
        <f>+mamiabc!AW144</f>
        <v>90.620100000000008</v>
      </c>
      <c r="AX179" s="705">
        <f>+mamiabc!AX144</f>
        <v>91.6</v>
      </c>
      <c r="AY179" s="705">
        <f>+mamiabc!AY144</f>
        <v>136.029</v>
      </c>
      <c r="AZ179" s="705">
        <f>+mamiabc!AZ144</f>
        <v>269.42399999999998</v>
      </c>
      <c r="BA179" s="705">
        <f>+mamiabc!BA144</f>
        <v>382.21899999999999</v>
      </c>
      <c r="BB179" s="514">
        <f>+mamiabc!BB144</f>
        <v>505.8</v>
      </c>
      <c r="BC179" s="514">
        <f>+mamiabc!BC144</f>
        <v>498.2</v>
      </c>
      <c r="BD179" s="514">
        <f>+mamiabc!BD144</f>
        <v>621.5</v>
      </c>
      <c r="BE179" s="514">
        <f ca="1">+mamiabc!BE144</f>
        <v>1016.5628254673994</v>
      </c>
      <c r="BF179" s="144">
        <f>SOURCE!BF388</f>
        <v>1549.5</v>
      </c>
      <c r="BG179" s="144">
        <f>SOURCE!BG388</f>
        <v>1939</v>
      </c>
      <c r="BH179" s="144">
        <f>SOURCE!BH388</f>
        <v>2434.1</v>
      </c>
      <c r="BI179" s="144">
        <f>SOURCE!BI388</f>
        <v>2677.9</v>
      </c>
      <c r="BJ179" s="144">
        <f>SOURCE!BJ388</f>
        <v>3003.8</v>
      </c>
      <c r="BK179" s="144">
        <f>SOURCE!BK388</f>
        <v>3546.5</v>
      </c>
      <c r="BL179" s="144">
        <f>SOURCE!BL388</f>
        <v>4305.3</v>
      </c>
      <c r="BM179" s="144">
        <f>SOURCE!BM388</f>
        <v>4466.5</v>
      </c>
      <c r="BN179" s="144">
        <f>SOURCE!BN388</f>
        <v>4650.3999999999996</v>
      </c>
      <c r="BO179" s="144">
        <f>SOURCE!BO388</f>
        <v>4926.3999999999996</v>
      </c>
      <c r="BP179" s="144">
        <f>SOURCE!BP388</f>
        <v>6840.1</v>
      </c>
      <c r="BQ179" s="144">
        <f>SOURCE!BQ388</f>
        <v>7754.5</v>
      </c>
      <c r="BR179" s="144">
        <f>SOURCE!BR388</f>
        <v>8801</v>
      </c>
      <c r="BS179" s="144">
        <f>SOURCE!BS388</f>
        <v>9909</v>
      </c>
      <c r="BT179" s="144">
        <f>SOURCE!BT388</f>
        <v>15974</v>
      </c>
      <c r="BU179" s="109">
        <f t="shared" ref="BU179:CB179" ca="1" si="441">+BT179*BU$172/BT$172</f>
        <v>25175.024565415926</v>
      </c>
      <c r="BV179" s="109">
        <f t="shared" ca="1" si="441"/>
        <v>26836.520886362341</v>
      </c>
      <c r="BW179" s="109">
        <f t="shared" ca="1" si="441"/>
        <v>29130.644188387087</v>
      </c>
      <c r="BX179" s="109">
        <f t="shared" ca="1" si="441"/>
        <v>30825.089133439258</v>
      </c>
      <c r="BY179" s="109">
        <f t="shared" ca="1" si="441"/>
        <v>32711.815739930815</v>
      </c>
      <c r="BZ179" s="109">
        <f t="shared" ca="1" si="441"/>
        <v>34667.395272591064</v>
      </c>
      <c r="CA179" s="109">
        <f t="shared" ca="1" si="441"/>
        <v>36648.901179530789</v>
      </c>
      <c r="CB179" s="109">
        <f t="shared" ca="1" si="441"/>
        <v>38641.298624641437</v>
      </c>
      <c r="CC179" s="109">
        <f ca="1">+CB179*CC$172/CB$172</f>
        <v>40643.528751570215</v>
      </c>
      <c r="CD179" s="109">
        <f ca="1">+CC179*CD$172/CC$172</f>
        <v>42690.113040764212</v>
      </c>
      <c r="CE179" s="109">
        <f ca="1">+CD179*CE$172/CD$172</f>
        <v>44889.910209743306</v>
      </c>
      <c r="CF179" s="109">
        <f ca="1">+CE179*CF$172/CE$172</f>
        <v>47503.273620304251</v>
      </c>
      <c r="CG179" s="109">
        <f ca="1">+CF179*CG$172/CF$172</f>
        <v>51097.05171275499</v>
      </c>
      <c r="CH179" s="141"/>
      <c r="CI179" s="106">
        <f t="shared" si="439"/>
        <v>0</v>
      </c>
      <c r="CJ179" s="106">
        <f t="shared" si="439"/>
        <v>0</v>
      </c>
      <c r="CK179" s="106">
        <f t="shared" si="439"/>
        <v>0</v>
      </c>
      <c r="CL179" s="106">
        <f t="shared" si="439"/>
        <v>0</v>
      </c>
      <c r="CM179" s="106">
        <f t="shared" ca="1" si="439"/>
        <v>1456.1935310393928</v>
      </c>
      <c r="CN179" s="106">
        <f t="shared" ca="1" si="439"/>
        <v>688.3225153793901</v>
      </c>
      <c r="CO179" s="106">
        <f t="shared" ca="1" si="439"/>
        <v>-452.17986185700283</v>
      </c>
      <c r="CP179" s="106">
        <f t="shared" ca="1" si="439"/>
        <v>-2020.9444685470007</v>
      </c>
      <c r="CQ179" s="106">
        <f t="shared" ca="1" si="439"/>
        <v>-3965.3492734567808</v>
      </c>
      <c r="CR179" s="106">
        <f t="shared" ca="1" si="439"/>
        <v>-5179.9061998019097</v>
      </c>
      <c r="CS179" s="106">
        <f t="shared" ca="1" si="440"/>
        <v>-7071.4234156185848</v>
      </c>
      <c r="CT179" s="106">
        <f t="shared" ca="1" si="440"/>
        <v>-9419.1600819747182</v>
      </c>
      <c r="CU179" s="106">
        <f t="shared" ca="1" si="440"/>
        <v>-12403.142495341934</v>
      </c>
      <c r="CV179" s="106">
        <f t="shared" ca="1" si="440"/>
        <v>-16151.487753348614</v>
      </c>
      <c r="CW179" s="106">
        <f t="shared" ca="1" si="440"/>
        <v>-20863.659339915801</v>
      </c>
      <c r="CX179" s="106">
        <f t="shared" ca="1" si="440"/>
        <v>-26858.581342587546</v>
      </c>
      <c r="CY179" s="106">
        <f t="shared" ca="1" si="440"/>
        <v>-34664.073732570418</v>
      </c>
      <c r="CZ179" s="134"/>
      <c r="DA179" s="135">
        <v>7754.5</v>
      </c>
      <c r="DB179" s="135">
        <v>8801</v>
      </c>
      <c r="DC179" s="135">
        <v>9909</v>
      </c>
      <c r="DD179" s="135">
        <v>15974</v>
      </c>
      <c r="DE179" s="135">
        <v>23718.831034376533</v>
      </c>
      <c r="DF179" s="135">
        <v>26148.198370982951</v>
      </c>
      <c r="DG179" s="135">
        <v>29582.824050244089</v>
      </c>
      <c r="DH179" s="135">
        <v>32846.033601986259</v>
      </c>
      <c r="DI179" s="135">
        <v>36677.165013387596</v>
      </c>
      <c r="DJ179" s="135">
        <v>39847.301472392974</v>
      </c>
      <c r="DK179" s="135">
        <v>43720.324595149374</v>
      </c>
      <c r="DL179" s="135">
        <v>48060.458706616155</v>
      </c>
      <c r="DM179" s="135">
        <v>53046.671246912148</v>
      </c>
      <c r="DN179" s="135">
        <v>58841.600794112826</v>
      </c>
      <c r="DO179" s="135">
        <v>65753.569549659107</v>
      </c>
      <c r="DP179" s="135">
        <v>74361.854962891797</v>
      </c>
      <c r="DQ179" s="135">
        <v>85761.125445325408</v>
      </c>
    </row>
    <row r="180" spans="1:121" s="123" customFormat="1">
      <c r="A180" s="107" t="s">
        <v>1767</v>
      </c>
      <c r="B180" s="107"/>
      <c r="C180" s="136" t="s">
        <v>1579</v>
      </c>
      <c r="D180" s="147" t="s">
        <v>2772</v>
      </c>
      <c r="E180" s="107"/>
      <c r="F180" s="106">
        <f t="shared" ref="F180:BD180" si="442">+F178-F179</f>
        <v>-5.3400001657009089E-2</v>
      </c>
      <c r="G180" s="106">
        <f t="shared" si="442"/>
        <v>-5.1700001657009088E-2</v>
      </c>
      <c r="H180" s="106">
        <f t="shared" si="442"/>
        <v>-5.150000165700909E-2</v>
      </c>
      <c r="I180" s="106">
        <f t="shared" si="442"/>
        <v>-2.6100001561641661E-2</v>
      </c>
      <c r="J180" s="106">
        <f t="shared" si="442"/>
        <v>-2.8400001513957947E-2</v>
      </c>
      <c r="K180" s="106">
        <f t="shared" si="442"/>
        <v>-1.8700001525878876E-2</v>
      </c>
      <c r="L180" s="106">
        <f t="shared" si="442"/>
        <v>-2.6200001525878876E-2</v>
      </c>
      <c r="M180" s="106">
        <f t="shared" si="442"/>
        <v>-2.0300001430511444E-2</v>
      </c>
      <c r="N180" s="106">
        <f t="shared" si="442"/>
        <v>-2.270000152587888E-2</v>
      </c>
      <c r="O180" s="106">
        <f t="shared" si="442"/>
        <v>-1.4200001525878886E-2</v>
      </c>
      <c r="P180" s="106">
        <f t="shared" si="442"/>
        <v>-1.600000171661374E-2</v>
      </c>
      <c r="Q180" s="106">
        <f t="shared" si="442"/>
        <v>-1.0600001621246316E-2</v>
      </c>
      <c r="R180" s="106">
        <f t="shared" si="442"/>
        <v>-1.2300001430511451E-2</v>
      </c>
      <c r="S180" s="106">
        <f t="shared" si="442"/>
        <v>-1.2500001239776584E-2</v>
      </c>
      <c r="T180" s="106">
        <f t="shared" si="442"/>
        <v>-2.0400001335144011E-2</v>
      </c>
      <c r="U180" s="106">
        <f t="shared" si="442"/>
        <v>-3.4700001525878876E-2</v>
      </c>
      <c r="V180" s="106">
        <f t="shared" si="442"/>
        <v>-4.5900001335144019E-2</v>
      </c>
      <c r="W180" s="106">
        <f t="shared" si="442"/>
        <v>4.1199999046325708E-2</v>
      </c>
      <c r="X180" s="106">
        <f t="shared" si="442"/>
        <v>3.3099998664855995E-2</v>
      </c>
      <c r="Y180" s="106">
        <f t="shared" si="442"/>
        <v>2.8299998474121124E-2</v>
      </c>
      <c r="Z180" s="106">
        <f t="shared" si="442"/>
        <v>-3.7999999999999701E-3</v>
      </c>
      <c r="AA180" s="106">
        <f t="shared" si="442"/>
        <v>8.8099999618530267E-2</v>
      </c>
      <c r="AB180" s="106">
        <f t="shared" si="442"/>
        <v>0.15489999885559083</v>
      </c>
      <c r="AC180" s="106">
        <f t="shared" si="442"/>
        <v>0.2188999988555908</v>
      </c>
      <c r="AD180" s="106">
        <f t="shared" si="442"/>
        <v>0.29309999961853023</v>
      </c>
      <c r="AE180" s="106">
        <f t="shared" si="442"/>
        <v>0.26269999999999993</v>
      </c>
      <c r="AF180" s="106">
        <f t="shared" si="442"/>
        <v>0.33319999999999994</v>
      </c>
      <c r="AG180" s="106">
        <f t="shared" si="442"/>
        <v>0.26040000000000008</v>
      </c>
      <c r="AH180" s="106">
        <f t="shared" si="442"/>
        <v>9.8799999999999999E-2</v>
      </c>
      <c r="AI180" s="106">
        <f t="shared" si="442"/>
        <v>0.25350000000000006</v>
      </c>
      <c r="AJ180" s="106">
        <f t="shared" si="442"/>
        <v>0.15509999999999979</v>
      </c>
      <c r="AK180" s="106">
        <f t="shared" si="442"/>
        <v>0.17500000000000004</v>
      </c>
      <c r="AL180" s="106">
        <f t="shared" si="442"/>
        <v>0.12369999999999992</v>
      </c>
      <c r="AM180" s="106">
        <f t="shared" si="442"/>
        <v>0.36059999999999981</v>
      </c>
      <c r="AN180" s="106">
        <f t="shared" si="442"/>
        <v>0.61249999999999982</v>
      </c>
      <c r="AO180" s="106">
        <f t="shared" si="442"/>
        <v>2.0609000000000002</v>
      </c>
      <c r="AP180" s="106">
        <f t="shared" si="442"/>
        <v>1.3826999999999998</v>
      </c>
      <c r="AQ180" s="106">
        <f t="shared" si="442"/>
        <v>1.5278000000000005</v>
      </c>
      <c r="AR180" s="106">
        <f t="shared" si="442"/>
        <v>2.0634999999999994</v>
      </c>
      <c r="AS180" s="106">
        <f t="shared" si="442"/>
        <v>2.8486000000000002</v>
      </c>
      <c r="AT180" s="106">
        <f t="shared" si="442"/>
        <v>13.999199999999998</v>
      </c>
      <c r="AU180" s="106">
        <f t="shared" si="442"/>
        <v>30.293399999999998</v>
      </c>
      <c r="AV180" s="106">
        <f t="shared" si="442"/>
        <v>50.638599999999997</v>
      </c>
      <c r="AW180" s="106">
        <f t="shared" si="442"/>
        <v>73.179900000000004</v>
      </c>
      <c r="AX180" s="106">
        <f t="shared" si="442"/>
        <v>117.70000000000002</v>
      </c>
      <c r="AY180" s="106">
        <f t="shared" si="442"/>
        <v>211.471</v>
      </c>
      <c r="AZ180" s="106">
        <f t="shared" si="442"/>
        <v>426.07600000000002</v>
      </c>
      <c r="BA180" s="106">
        <f t="shared" si="442"/>
        <v>556.18100000000004</v>
      </c>
      <c r="BB180" s="106">
        <f t="shared" si="442"/>
        <v>751.8</v>
      </c>
      <c r="BC180" s="106">
        <f t="shared" si="442"/>
        <v>998.89999999999986</v>
      </c>
      <c r="BD180" s="106">
        <f t="shared" si="442"/>
        <v>1336.6</v>
      </c>
      <c r="BE180" s="106">
        <f ca="1">+BE178-BE179</f>
        <v>1159.3371745326008</v>
      </c>
      <c r="BF180" s="144">
        <f>SOURCE!BF389+SOURCE!BF390</f>
        <v>1243.8</v>
      </c>
      <c r="BG180" s="144">
        <f>SOURCE!BG389+SOURCE!BG390</f>
        <v>1658</v>
      </c>
      <c r="BH180" s="144">
        <f>SOURCE!BH389+SOURCE!BH390</f>
        <v>1902.5</v>
      </c>
      <c r="BI180" s="144">
        <f>SOURCE!BI389+SOURCE!BI390</f>
        <v>2316.9</v>
      </c>
      <c r="BJ180" s="144">
        <f>SOURCE!BJ389+SOURCE!BJ390</f>
        <v>2521.3000000000002</v>
      </c>
      <c r="BK180" s="144">
        <f>SOURCE!BK389+SOURCE!BK390</f>
        <v>3163.6</v>
      </c>
      <c r="BL180" s="144">
        <f>SOURCE!BL389+SOURCE!BL390</f>
        <v>3823.2999999999997</v>
      </c>
      <c r="BM180" s="144">
        <f>SOURCE!BM389+SOURCE!BM390</f>
        <v>4561.5999999999995</v>
      </c>
      <c r="BN180" s="144">
        <f>SOURCE!BN389+SOURCE!BN390</f>
        <v>4869.8</v>
      </c>
      <c r="BO180" s="144">
        <f>SOURCE!BO389+SOURCE!BO390</f>
        <v>5712.9</v>
      </c>
      <c r="BP180" s="144">
        <f>SOURCE!BP389+SOURCE!BP390</f>
        <v>9353</v>
      </c>
      <c r="BQ180" s="144">
        <f>SOURCE!BQ389+SOURCE!BQ390</f>
        <v>9847</v>
      </c>
      <c r="BR180" s="144">
        <f>SOURCE!BR389+SOURCE!BR390</f>
        <v>10395.6</v>
      </c>
      <c r="BS180" s="144">
        <f>SOURCE!BS389+SOURCE!BS390</f>
        <v>10379.200000000001</v>
      </c>
      <c r="BT180" s="144">
        <f>SOURCE!BT389+SOURCE!BT390</f>
        <v>16470.8</v>
      </c>
      <c r="BU180" s="123">
        <f t="shared" ref="BU180:CB180" ca="1" si="443">+BU178-BU179</f>
        <v>25962.301736006269</v>
      </c>
      <c r="BV180" s="123">
        <f t="shared" ca="1" si="443"/>
        <v>27677.769055381716</v>
      </c>
      <c r="BW180" s="123">
        <f t="shared" ca="1" si="443"/>
        <v>30044.560985836681</v>
      </c>
      <c r="BX180" s="123">
        <f t="shared" ca="1" si="443"/>
        <v>31792.95851970584</v>
      </c>
      <c r="BY180" s="123">
        <f t="shared" ca="1" si="443"/>
        <v>33740.357818757373</v>
      </c>
      <c r="BZ180" s="123">
        <f t="shared" ca="1" si="443"/>
        <v>35759.429295859984</v>
      </c>
      <c r="CA180" s="123">
        <f t="shared" ca="1" si="443"/>
        <v>37806.099557071153</v>
      </c>
      <c r="CB180" s="123">
        <f t="shared" ca="1" si="443"/>
        <v>39865.195319491366</v>
      </c>
      <c r="CC180" s="123">
        <f ca="1">+CC178-CC179</f>
        <v>41936.099549921353</v>
      </c>
      <c r="CD180" s="123">
        <f ca="1">+CD178-CD179</f>
        <v>44055.118940140128</v>
      </c>
      <c r="CE180" s="123">
        <f ca="1">+CE178-CE179</f>
        <v>46335.597608119846</v>
      </c>
      <c r="CF180" s="123">
        <f ca="1">+CF178-CF179</f>
        <v>49047.747089850447</v>
      </c>
      <c r="CG180" s="123">
        <f ca="1">+CG178-CG179</f>
        <v>52778.978717600497</v>
      </c>
      <c r="CH180" s="141"/>
      <c r="CI180" s="106">
        <f t="shared" si="439"/>
        <v>0</v>
      </c>
      <c r="CJ180" s="106">
        <f t="shared" si="439"/>
        <v>0</v>
      </c>
      <c r="CK180" s="106">
        <f t="shared" si="439"/>
        <v>0</v>
      </c>
      <c r="CL180" s="106">
        <f t="shared" si="439"/>
        <v>0</v>
      </c>
      <c r="CM180" s="106">
        <f t="shared" ca="1" si="439"/>
        <v>1501.4060899886645</v>
      </c>
      <c r="CN180" s="106">
        <f t="shared" ca="1" si="439"/>
        <v>710.64010568604135</v>
      </c>
      <c r="CO180" s="106">
        <f t="shared" ca="1" si="439"/>
        <v>-464.62484204550856</v>
      </c>
      <c r="CP180" s="106">
        <f t="shared" ca="1" si="439"/>
        <v>-2081.4328335764076</v>
      </c>
      <c r="CQ180" s="106">
        <f t="shared" ca="1" si="439"/>
        <v>-4085.4269351195107</v>
      </c>
      <c r="CR180" s="106">
        <f t="shared" ca="1" si="439"/>
        <v>-5336.5701494351597</v>
      </c>
      <c r="CS180" s="106">
        <f t="shared" ca="1" si="440"/>
        <v>-7286.1056798005593</v>
      </c>
      <c r="CT180" s="106">
        <f t="shared" ca="1" si="440"/>
        <v>-9705.8336604065335</v>
      </c>
      <c r="CU180" s="106">
        <f t="shared" ca="1" si="440"/>
        <v>-12781.564185065712</v>
      </c>
      <c r="CV180" s="106">
        <f t="shared" ca="1" si="440"/>
        <v>-16645.440951584009</v>
      </c>
      <c r="CW180" s="106">
        <f t="shared" ca="1" si="440"/>
        <v>-21503.270893290261</v>
      </c>
      <c r="CX180" s="106">
        <f t="shared" ca="1" si="440"/>
        <v>-27684.211650948033</v>
      </c>
      <c r="CY180" s="106">
        <f t="shared" ca="1" si="440"/>
        <v>-35733.143055716828</v>
      </c>
      <c r="CZ180" s="134"/>
      <c r="DA180" s="135">
        <v>9847</v>
      </c>
      <c r="DB180" s="135">
        <v>10395.6</v>
      </c>
      <c r="DC180" s="135">
        <v>10379.200000000001</v>
      </c>
      <c r="DD180" s="135">
        <v>16470.8</v>
      </c>
      <c r="DE180" s="135">
        <v>24460.895646017605</v>
      </c>
      <c r="DF180" s="135">
        <v>26967.128949695674</v>
      </c>
      <c r="DG180" s="135">
        <v>30509.185827882189</v>
      </c>
      <c r="DH180" s="135">
        <v>33874.391353282248</v>
      </c>
      <c r="DI180" s="135">
        <v>37825.784753876884</v>
      </c>
      <c r="DJ180" s="135">
        <v>41095.999445295143</v>
      </c>
      <c r="DK180" s="135">
        <v>45092.205236871712</v>
      </c>
      <c r="DL180" s="135">
        <v>49571.028979897899</v>
      </c>
      <c r="DM180" s="135">
        <v>54717.663734987065</v>
      </c>
      <c r="DN180" s="135">
        <v>60700.559891724137</v>
      </c>
      <c r="DO180" s="135">
        <v>67838.868501410107</v>
      </c>
      <c r="DP180" s="135">
        <v>76731.95874079848</v>
      </c>
      <c r="DQ180" s="135">
        <v>88512.121773317325</v>
      </c>
    </row>
    <row r="181" spans="1:121" s="123" customFormat="1">
      <c r="A181" s="141"/>
      <c r="B181" s="141"/>
      <c r="C181" s="158"/>
      <c r="D181" s="102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CH181" s="141"/>
      <c r="CZ181" s="181"/>
    </row>
    <row r="182" spans="1:121" s="612" customFormat="1">
      <c r="A182" s="610" t="s">
        <v>2858</v>
      </c>
      <c r="B182" s="610"/>
      <c r="C182" s="611"/>
      <c r="D182" s="649"/>
      <c r="E182" s="610"/>
      <c r="F182" s="610"/>
      <c r="G182" s="610"/>
      <c r="H182" s="610"/>
      <c r="I182" s="610"/>
      <c r="J182" s="610"/>
      <c r="K182" s="610"/>
      <c r="L182" s="610"/>
      <c r="M182" s="610"/>
      <c r="N182" s="610"/>
      <c r="O182" s="610"/>
      <c r="P182" s="610"/>
      <c r="Q182" s="610"/>
      <c r="R182" s="610"/>
      <c r="S182" s="610"/>
      <c r="T182" s="610"/>
      <c r="U182" s="610"/>
      <c r="V182" s="610"/>
      <c r="W182" s="610"/>
      <c r="X182" s="610"/>
      <c r="Y182" s="610"/>
      <c r="Z182" s="610"/>
      <c r="AA182" s="610"/>
      <c r="AB182" s="610"/>
      <c r="AC182" s="610"/>
      <c r="AD182" s="610"/>
      <c r="AE182" s="610"/>
      <c r="AF182" s="610"/>
      <c r="AG182" s="610"/>
      <c r="AH182" s="610"/>
      <c r="AI182" s="610"/>
      <c r="AJ182" s="610"/>
      <c r="AK182" s="610"/>
      <c r="AL182" s="610"/>
      <c r="AM182" s="610"/>
      <c r="AN182" s="610"/>
      <c r="BF182" s="613"/>
      <c r="BG182" s="613"/>
      <c r="BH182" s="613"/>
      <c r="BI182" s="613"/>
      <c r="BJ182" s="613"/>
      <c r="BK182" s="613"/>
      <c r="BL182" s="613"/>
      <c r="BM182" s="613"/>
      <c r="BN182" s="613"/>
      <c r="BO182" s="613"/>
      <c r="BP182" s="613"/>
      <c r="BQ182" s="613"/>
      <c r="CH182" s="610"/>
      <c r="CZ182" s="614"/>
    </row>
    <row r="183" spans="1:121" s="123" customFormat="1">
      <c r="A183" s="141" t="s">
        <v>2857</v>
      </c>
      <c r="B183" s="141"/>
      <c r="C183" s="158" t="s">
        <v>2682</v>
      </c>
      <c r="D183" s="102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BF183" s="114">
        <f t="shared" ref="BF183:BP183" si="444">+BF184/BF160</f>
        <v>223.12317757009342</v>
      </c>
      <c r="BG183" s="114">
        <f t="shared" si="444"/>
        <v>289.3730278262467</v>
      </c>
      <c r="BH183" s="114">
        <f t="shared" si="444"/>
        <v>354.22291296625218</v>
      </c>
      <c r="BI183" s="114">
        <f t="shared" si="444"/>
        <v>344.17450682852814</v>
      </c>
      <c r="BJ183" s="114">
        <f t="shared" si="444"/>
        <v>344.45885558583109</v>
      </c>
      <c r="BK183" s="114">
        <f t="shared" si="444"/>
        <v>326.40320795210653</v>
      </c>
      <c r="BL183" s="114">
        <f t="shared" si="444"/>
        <v>470.74050343249422</v>
      </c>
      <c r="BM183" s="114">
        <f t="shared" si="444"/>
        <v>419.15972496641109</v>
      </c>
      <c r="BN183" s="114">
        <f t="shared" si="444"/>
        <v>614.73038641397989</v>
      </c>
      <c r="BO183" s="114">
        <f t="shared" si="444"/>
        <v>561.15569997706234</v>
      </c>
      <c r="BP183" s="114">
        <f t="shared" si="444"/>
        <v>488.26949412730715</v>
      </c>
      <c r="BQ183" s="114">
        <f>+BQ184/BQ160</f>
        <v>611.35451475180014</v>
      </c>
      <c r="BR183" s="114">
        <f t="shared" ref="BR183:BZ183" si="445">+BR184/BR160</f>
        <v>523.85874438418034</v>
      </c>
      <c r="BS183" s="114">
        <f t="shared" si="445"/>
        <v>624.65501043841334</v>
      </c>
      <c r="BT183" s="114">
        <f t="shared" si="445"/>
        <v>459.95120120120123</v>
      </c>
      <c r="BU183" s="114">
        <f t="shared" si="445"/>
        <v>459.95120120120123</v>
      </c>
      <c r="BV183" s="114">
        <f t="shared" si="445"/>
        <v>459.95120120120123</v>
      </c>
      <c r="BW183" s="114">
        <f t="shared" si="445"/>
        <v>459.95120120120123</v>
      </c>
      <c r="BX183" s="114">
        <f t="shared" si="445"/>
        <v>459.95120120120123</v>
      </c>
      <c r="BY183" s="114">
        <f t="shared" si="445"/>
        <v>459.95120120120123</v>
      </c>
      <c r="BZ183" s="114">
        <f t="shared" si="445"/>
        <v>459.95120120120123</v>
      </c>
      <c r="CA183" s="114">
        <f t="shared" ref="CA183:CG183" si="446">+CA184/CA160</f>
        <v>459.95120120120123</v>
      </c>
      <c r="CB183" s="114">
        <f t="shared" si="446"/>
        <v>459.95120120120123</v>
      </c>
      <c r="CC183" s="114">
        <f t="shared" si="446"/>
        <v>459.95120120120123</v>
      </c>
      <c r="CD183" s="114">
        <f t="shared" si="446"/>
        <v>459.95120120120123</v>
      </c>
      <c r="CE183" s="114">
        <f t="shared" si="446"/>
        <v>459.95120120120123</v>
      </c>
      <c r="CF183" s="114">
        <f t="shared" si="446"/>
        <v>459.95120120120123</v>
      </c>
      <c r="CG183" s="114">
        <f t="shared" si="446"/>
        <v>459.95120120120123</v>
      </c>
      <c r="CH183" s="141"/>
      <c r="CZ183" s="181"/>
      <c r="DA183" s="123">
        <v>611.35451475180014</v>
      </c>
      <c r="DB183" s="123">
        <v>523.85874438418034</v>
      </c>
      <c r="DC183" s="123">
        <v>624.65501043841334</v>
      </c>
      <c r="DD183" s="123">
        <v>459.95120120120123</v>
      </c>
      <c r="DE183" s="123">
        <v>459.95120120120117</v>
      </c>
      <c r="DF183" s="123">
        <v>459.95120120120117</v>
      </c>
      <c r="DG183" s="123">
        <v>459.95120120120117</v>
      </c>
      <c r="DH183" s="123">
        <v>459.95120120120117</v>
      </c>
      <c r="DI183" s="123">
        <v>459.95120120120117</v>
      </c>
      <c r="DJ183" s="123">
        <v>459.95120120120117</v>
      </c>
      <c r="DK183" s="123">
        <v>459.95120120120117</v>
      </c>
      <c r="DL183" s="123">
        <v>459.95120120120117</v>
      </c>
      <c r="DM183" s="123">
        <v>459.95120120120117</v>
      </c>
      <c r="DN183" s="123">
        <v>459.95120120120117</v>
      </c>
      <c r="DO183" s="123">
        <v>459.95120120120117</v>
      </c>
      <c r="DP183" s="123">
        <v>459.95120120120117</v>
      </c>
      <c r="DQ183" s="123">
        <v>459.95120120120117</v>
      </c>
    </row>
    <row r="184" spans="1:121" s="123" customFormat="1">
      <c r="A184" s="141" t="s">
        <v>2857</v>
      </c>
      <c r="B184" s="141"/>
      <c r="C184" s="136" t="s">
        <v>1579</v>
      </c>
      <c r="D184" s="102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23">
        <f t="shared" ref="BF184:BZ184" si="447">+BF166+BF169</f>
        <v>603.9</v>
      </c>
      <c r="BG184" s="123">
        <f t="shared" si="447"/>
        <v>781.30000000000007</v>
      </c>
      <c r="BH184" s="123">
        <f t="shared" si="447"/>
        <v>959.9</v>
      </c>
      <c r="BI184" s="123">
        <f t="shared" si="447"/>
        <v>932.10000000000014</v>
      </c>
      <c r="BJ184" s="123">
        <f t="shared" si="447"/>
        <v>933.30000000000007</v>
      </c>
      <c r="BK184" s="123">
        <f t="shared" si="447"/>
        <v>1061.1999999999998</v>
      </c>
      <c r="BL184" s="123">
        <f t="shared" si="447"/>
        <v>1530</v>
      </c>
      <c r="BM184" s="123">
        <f t="shared" si="447"/>
        <v>1362</v>
      </c>
      <c r="BN184" s="123">
        <f t="shared" si="447"/>
        <v>1997.8000000000002</v>
      </c>
      <c r="BO184" s="123">
        <f t="shared" si="447"/>
        <v>2222.6999999999998</v>
      </c>
      <c r="BP184" s="123">
        <f t="shared" si="447"/>
        <v>3588.7999999999997</v>
      </c>
      <c r="BQ184" s="123">
        <f t="shared" si="447"/>
        <v>4521.2</v>
      </c>
      <c r="BR184" s="123">
        <f t="shared" si="447"/>
        <v>3875.4</v>
      </c>
      <c r="BS184" s="123">
        <f t="shared" si="447"/>
        <v>4621</v>
      </c>
      <c r="BT184" s="123">
        <f t="shared" si="447"/>
        <v>6449</v>
      </c>
      <c r="BU184" s="123">
        <f t="shared" si="447"/>
        <v>9640.5771771771779</v>
      </c>
      <c r="BV184" s="123">
        <f t="shared" si="447"/>
        <v>9640.5771771771779</v>
      </c>
      <c r="BW184" s="123">
        <f t="shared" si="447"/>
        <v>9640.5771771771779</v>
      </c>
      <c r="BX184" s="123">
        <f t="shared" si="447"/>
        <v>9640.5771771771779</v>
      </c>
      <c r="BY184" s="123">
        <f t="shared" si="447"/>
        <v>9640.5771771771779</v>
      </c>
      <c r="BZ184" s="123">
        <f t="shared" si="447"/>
        <v>9640.5771771771779</v>
      </c>
      <c r="CA184" s="123">
        <f t="shared" ref="CA184:CG184" si="448">+CA166+CA169</f>
        <v>9640.5771771771779</v>
      </c>
      <c r="CB184" s="123">
        <f t="shared" si="448"/>
        <v>9640.5771771771779</v>
      </c>
      <c r="CC184" s="123">
        <f t="shared" si="448"/>
        <v>9640.5771771771779</v>
      </c>
      <c r="CD184" s="123">
        <f t="shared" si="448"/>
        <v>9640.5771771771779</v>
      </c>
      <c r="CE184" s="123">
        <f t="shared" si="448"/>
        <v>9640.5771771771779</v>
      </c>
      <c r="CF184" s="123">
        <f t="shared" si="448"/>
        <v>9640.5771771771779</v>
      </c>
      <c r="CG184" s="123">
        <f t="shared" si="448"/>
        <v>9640.5771771771779</v>
      </c>
      <c r="CH184" s="141"/>
      <c r="CI184" s="106">
        <f t="shared" ref="CI184:CU184" si="449">BQ184-DA184</f>
        <v>0</v>
      </c>
      <c r="CJ184" s="106">
        <f t="shared" si="449"/>
        <v>0</v>
      </c>
      <c r="CK184" s="106">
        <f t="shared" si="449"/>
        <v>0</v>
      </c>
      <c r="CL184" s="106">
        <f t="shared" si="449"/>
        <v>0</v>
      </c>
      <c r="CM184" s="106">
        <f t="shared" si="449"/>
        <v>1205.0721471471479</v>
      </c>
      <c r="CN184" s="106">
        <f t="shared" si="449"/>
        <v>1205.0721471471479</v>
      </c>
      <c r="CO184" s="106">
        <f t="shared" si="449"/>
        <v>1205.0721471471479</v>
      </c>
      <c r="CP184" s="106">
        <f t="shared" si="449"/>
        <v>1205.0721471471479</v>
      </c>
      <c r="CQ184" s="106">
        <f t="shared" si="449"/>
        <v>1205.0721471471479</v>
      </c>
      <c r="CR184" s="106">
        <f t="shared" si="449"/>
        <v>1205.0721471471479</v>
      </c>
      <c r="CS184" s="106">
        <f t="shared" si="449"/>
        <v>1205.0721471471479</v>
      </c>
      <c r="CT184" s="106">
        <f t="shared" si="449"/>
        <v>1205.0721471471479</v>
      </c>
      <c r="CU184" s="106">
        <f t="shared" si="449"/>
        <v>1205.0721471471479</v>
      </c>
      <c r="CV184" s="106">
        <f t="shared" ref="CV184:CY185" si="450">CD184-DN184</f>
        <v>1205.0721471471479</v>
      </c>
      <c r="CW184" s="106">
        <f t="shared" si="450"/>
        <v>1205.0721471471479</v>
      </c>
      <c r="CX184" s="106">
        <f t="shared" si="450"/>
        <v>1205.0721471471479</v>
      </c>
      <c r="CY184" s="106">
        <f t="shared" si="450"/>
        <v>1205.0721471471479</v>
      </c>
      <c r="CZ184" s="134"/>
      <c r="DA184" s="135">
        <v>4521.2</v>
      </c>
      <c r="DB184" s="135">
        <v>3875.4</v>
      </c>
      <c r="DC184" s="135">
        <v>4621</v>
      </c>
      <c r="DD184" s="135">
        <v>6449</v>
      </c>
      <c r="DE184" s="135">
        <v>8435.50503003003</v>
      </c>
      <c r="DF184" s="135">
        <v>8435.50503003003</v>
      </c>
      <c r="DG184" s="135">
        <v>8435.50503003003</v>
      </c>
      <c r="DH184" s="135">
        <v>8435.50503003003</v>
      </c>
      <c r="DI184" s="135">
        <v>8435.50503003003</v>
      </c>
      <c r="DJ184" s="135">
        <v>8435.50503003003</v>
      </c>
      <c r="DK184" s="135">
        <v>8435.50503003003</v>
      </c>
      <c r="DL184" s="135">
        <v>8435.50503003003</v>
      </c>
      <c r="DM184" s="135">
        <v>8435.50503003003</v>
      </c>
      <c r="DN184" s="135">
        <v>8435.50503003003</v>
      </c>
      <c r="DO184" s="135">
        <v>8435.50503003003</v>
      </c>
      <c r="DP184" s="135">
        <v>8435.50503003003</v>
      </c>
      <c r="DQ184" s="135">
        <v>8435.50503003003</v>
      </c>
    </row>
    <row r="185" spans="1:121" s="123" customFormat="1">
      <c r="A185" s="141" t="s">
        <v>925</v>
      </c>
      <c r="B185" s="141"/>
      <c r="C185" s="158" t="s">
        <v>918</v>
      </c>
      <c r="D185" s="102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BF185" s="206">
        <f t="shared" ref="BF185:BR185" si="451">+BF184/BF172</f>
        <v>0.21825870107340342</v>
      </c>
      <c r="BG185" s="206">
        <f t="shared" si="451"/>
        <v>0.21864942769988527</v>
      </c>
      <c r="BH185" s="206">
        <f t="shared" si="451"/>
        <v>0.22236893923599046</v>
      </c>
      <c r="BI185" s="206">
        <f t="shared" si="451"/>
        <v>0.18729278437518837</v>
      </c>
      <c r="BJ185" s="206">
        <f t="shared" si="451"/>
        <v>0.16944136816688149</v>
      </c>
      <c r="BK185" s="206">
        <f t="shared" si="451"/>
        <v>0.15853476351250409</v>
      </c>
      <c r="BL185" s="206">
        <f t="shared" si="451"/>
        <v>0.18854903507258522</v>
      </c>
      <c r="BM185" s="206">
        <f t="shared" si="451"/>
        <v>0.15115195099214276</v>
      </c>
      <c r="BN185" s="206">
        <f t="shared" si="451"/>
        <v>0.21029252323659756</v>
      </c>
      <c r="BO185" s="206">
        <f t="shared" si="451"/>
        <v>0.20931940821381145</v>
      </c>
      <c r="BP185" s="206">
        <f t="shared" si="451"/>
        <v>0.22189246673591528</v>
      </c>
      <c r="BQ185" s="206">
        <f t="shared" si="451"/>
        <v>0.25708648209117324</v>
      </c>
      <c r="BR185" s="206">
        <f t="shared" si="451"/>
        <v>0.20200893438905773</v>
      </c>
      <c r="BS185" s="206">
        <f t="shared" ref="BS185:CB185" si="452">+BS184/BS172</f>
        <v>0.22790266420729721</v>
      </c>
      <c r="BT185" s="206">
        <f t="shared" si="452"/>
        <v>0.1988345563297774</v>
      </c>
      <c r="BU185" s="206">
        <f t="shared" ca="1" si="452"/>
        <v>0.18860200286187595</v>
      </c>
      <c r="BV185" s="206">
        <f t="shared" ca="1" si="452"/>
        <v>0.17692532035876601</v>
      </c>
      <c r="BW185" s="206">
        <f t="shared" ca="1" si="452"/>
        <v>0.16299193469354117</v>
      </c>
      <c r="BX185" s="206">
        <f t="shared" ca="1" si="452"/>
        <v>0.15403232200174391</v>
      </c>
      <c r="BY185" s="206">
        <f t="shared" ca="1" si="452"/>
        <v>0.14514816581515799</v>
      </c>
      <c r="BZ185" s="206">
        <f t="shared" ca="1" si="452"/>
        <v>0.13696039225907208</v>
      </c>
      <c r="CA185" s="206">
        <f t="shared" ca="1" si="452"/>
        <v>0.12955531823110344</v>
      </c>
      <c r="CB185" s="206">
        <f t="shared" ca="1" si="452"/>
        <v>0.12287527138403549</v>
      </c>
      <c r="CC185" s="206">
        <f ca="1">+CC184/CC172</f>
        <v>0.11682204279447408</v>
      </c>
      <c r="CD185" s="206">
        <f ca="1">+CD184/CD172</f>
        <v>0.11122153859373751</v>
      </c>
      <c r="CE185" s="206">
        <f ca="1">+CE184/CE172</f>
        <v>0.10577120856222635</v>
      </c>
      <c r="CF185" s="206">
        <f ca="1">+CF184/CF172</f>
        <v>9.9952270512677202E-2</v>
      </c>
      <c r="CG185" s="206">
        <f ca="1">+CG184/CG172</f>
        <v>9.2922387808710871E-2</v>
      </c>
      <c r="CH185" s="141"/>
      <c r="CI185" s="106">
        <f t="shared" ref="CI185:CU185" si="453">BQ185-DA185</f>
        <v>0</v>
      </c>
      <c r="CJ185" s="106">
        <f t="shared" si="453"/>
        <v>0</v>
      </c>
      <c r="CK185" s="106">
        <f t="shared" si="453"/>
        <v>0</v>
      </c>
      <c r="CL185" s="106">
        <f t="shared" si="453"/>
        <v>0</v>
      </c>
      <c r="CM185" s="106">
        <f t="shared" ca="1" si="453"/>
        <v>1.3443600568725983E-2</v>
      </c>
      <c r="CN185" s="106">
        <f t="shared" ca="1" si="453"/>
        <v>1.8040471418161924E-2</v>
      </c>
      <c r="CO185" s="106">
        <f t="shared" ca="1" si="453"/>
        <v>2.2553937929391921E-2</v>
      </c>
      <c r="CP185" s="106">
        <f t="shared" ca="1" si="453"/>
        <v>2.7546652572502911E-2</v>
      </c>
      <c r="CQ185" s="106">
        <f t="shared" ca="1" si="453"/>
        <v>3.18746195438986E-2</v>
      </c>
      <c r="CR185" s="106">
        <f t="shared" ca="1" si="453"/>
        <v>3.2698562857125385E-2</v>
      </c>
      <c r="CS185" s="106">
        <f t="shared" ca="1" si="453"/>
        <v>3.4529661703761247E-2</v>
      </c>
      <c r="CT185" s="106">
        <f t="shared" ca="1" si="453"/>
        <v>3.6430974761651275E-2</v>
      </c>
      <c r="CU185" s="106">
        <f t="shared" ca="1" si="453"/>
        <v>3.8503225598486276E-2</v>
      </c>
      <c r="CV185" s="106">
        <f t="shared" ca="1" si="450"/>
        <v>4.0615836298530009E-2</v>
      </c>
      <c r="CW185" s="106">
        <f t="shared" ca="1" si="450"/>
        <v>4.2587527787224022E-2</v>
      </c>
      <c r="CX185" s="106">
        <f t="shared" ca="1" si="450"/>
        <v>4.4082866094030192E-2</v>
      </c>
      <c r="CY185" s="106">
        <f t="shared" ca="1" si="450"/>
        <v>4.4479080579829029E-2</v>
      </c>
      <c r="CZ185" s="181"/>
      <c r="DA185" s="135">
        <v>0.25708648209117324</v>
      </c>
      <c r="DB185" s="135">
        <v>0.20200893438905773</v>
      </c>
      <c r="DC185" s="135">
        <v>0.22790266420729721</v>
      </c>
      <c r="DD185" s="135">
        <v>0.1988345563297774</v>
      </c>
      <c r="DE185" s="135">
        <v>0.17515840229314997</v>
      </c>
      <c r="DF185" s="135">
        <v>0.15888484894060409</v>
      </c>
      <c r="DG185" s="135">
        <v>0.14043799676414925</v>
      </c>
      <c r="DH185" s="135">
        <v>0.126485669429241</v>
      </c>
      <c r="DI185" s="135">
        <v>0.11327354627125939</v>
      </c>
      <c r="DJ185" s="135">
        <v>0.1042618294019467</v>
      </c>
      <c r="DK185" s="135">
        <v>9.5025656527342198E-2</v>
      </c>
      <c r="DL185" s="135">
        <v>8.6444296622384217E-2</v>
      </c>
      <c r="DM185" s="135">
        <v>7.8318817195987808E-2</v>
      </c>
      <c r="DN185" s="135">
        <v>7.0605702295207504E-2</v>
      </c>
      <c r="DO185" s="135">
        <v>6.3183680775002332E-2</v>
      </c>
      <c r="DP185" s="135">
        <v>5.586940441864701E-2</v>
      </c>
      <c r="DQ185" s="135">
        <v>4.8443307228881842E-2</v>
      </c>
    </row>
    <row r="186" spans="1:121" s="123" customFormat="1">
      <c r="A186" s="141" t="s">
        <v>2860</v>
      </c>
      <c r="B186" s="141"/>
      <c r="C186" s="158" t="s">
        <v>918</v>
      </c>
      <c r="D186" s="102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BF186" s="206">
        <f t="shared" ref="BF186:BP186" si="454">+BF184/BF188</f>
        <v>0.45297029702970293</v>
      </c>
      <c r="BG186" s="206">
        <f t="shared" si="454"/>
        <v>0.45324283559577683</v>
      </c>
      <c r="BH186" s="206">
        <f t="shared" si="454"/>
        <v>0.44030090362827395</v>
      </c>
      <c r="BI186" s="206">
        <f t="shared" si="454"/>
        <v>0.40609070709711154</v>
      </c>
      <c r="BJ186" s="206">
        <f t="shared" si="454"/>
        <v>0.39217581309353727</v>
      </c>
      <c r="BK186" s="206">
        <f t="shared" si="454"/>
        <v>0.32239640296512329</v>
      </c>
      <c r="BL186" s="206">
        <f t="shared" si="454"/>
        <v>0.40893783075853957</v>
      </c>
      <c r="BM186" s="206">
        <f t="shared" si="454"/>
        <v>0.31864866761808952</v>
      </c>
      <c r="BN186" s="206">
        <f t="shared" si="454"/>
        <v>0.44035443484394288</v>
      </c>
      <c r="BO186" s="206">
        <f t="shared" si="454"/>
        <v>0.39901265595547974</v>
      </c>
      <c r="BP186" s="206">
        <f t="shared" si="454"/>
        <v>0.34271089974980423</v>
      </c>
      <c r="BQ186" s="206">
        <f>+BQ184/BQ188</f>
        <v>0.40426692418430388</v>
      </c>
      <c r="BR186" s="206">
        <f t="shared" ref="BR186:BZ186" si="455">+BR184/BR188</f>
        <v>0.33796110578180866</v>
      </c>
      <c r="BS186" s="206">
        <f t="shared" si="455"/>
        <v>0.42794962030005557</v>
      </c>
      <c r="BT186" s="206">
        <f t="shared" si="455"/>
        <v>0.32130935180110609</v>
      </c>
      <c r="BU186" s="206">
        <f t="shared" si="455"/>
        <v>0.30020231855591328</v>
      </c>
      <c r="BV186" s="206">
        <f t="shared" si="455"/>
        <v>0.30020231855591328</v>
      </c>
      <c r="BW186" s="206">
        <f t="shared" si="455"/>
        <v>0.30020231855591328</v>
      </c>
      <c r="BX186" s="206">
        <f t="shared" si="455"/>
        <v>0.30020231855591328</v>
      </c>
      <c r="BY186" s="206">
        <f t="shared" si="455"/>
        <v>0.30020231855591328</v>
      </c>
      <c r="BZ186" s="206">
        <f t="shared" si="455"/>
        <v>0.30020231855591328</v>
      </c>
      <c r="CA186" s="206">
        <f t="shared" ref="CA186:CG186" si="456">+CA184/CA188</f>
        <v>0.30020231855591328</v>
      </c>
      <c r="CB186" s="206">
        <f t="shared" si="456"/>
        <v>0.30020231855591328</v>
      </c>
      <c r="CC186" s="206">
        <f t="shared" si="456"/>
        <v>0.30020231855591328</v>
      </c>
      <c r="CD186" s="206">
        <f t="shared" si="456"/>
        <v>0.30020231855591328</v>
      </c>
      <c r="CE186" s="206">
        <f t="shared" si="456"/>
        <v>0.30020231855591328</v>
      </c>
      <c r="CF186" s="206">
        <f t="shared" si="456"/>
        <v>0.30020231855591328</v>
      </c>
      <c r="CG186" s="206">
        <f t="shared" si="456"/>
        <v>0.30020231855591328</v>
      </c>
      <c r="CH186" s="141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81"/>
      <c r="DA186" s="135">
        <v>0.40426692418430388</v>
      </c>
      <c r="DB186" s="135">
        <v>0.33796110578180866</v>
      </c>
      <c r="DC186" s="135">
        <v>0.42794962030005557</v>
      </c>
      <c r="DD186" s="135">
        <v>0.32130935180110609</v>
      </c>
      <c r="DE186" s="135">
        <v>0.30020231855591328</v>
      </c>
      <c r="DF186" s="135">
        <v>0.30020231855591328</v>
      </c>
      <c r="DG186" s="135">
        <v>0.30020231855591328</v>
      </c>
      <c r="DH186" s="135">
        <v>0.30020231855591328</v>
      </c>
      <c r="DI186" s="135">
        <v>0.30020231855591328</v>
      </c>
      <c r="DJ186" s="135">
        <v>0.30020231855591328</v>
      </c>
      <c r="DK186" s="135">
        <v>0.30020231855591328</v>
      </c>
      <c r="DL186" s="135">
        <v>0.30020231855591328</v>
      </c>
      <c r="DM186" s="135">
        <v>0.30020231855591328</v>
      </c>
      <c r="DN186" s="135">
        <v>0.30020231855591328</v>
      </c>
      <c r="DO186" s="135">
        <v>0.30020231855591328</v>
      </c>
      <c r="DP186" s="135">
        <v>0.30020231855591328</v>
      </c>
      <c r="DQ186" s="135">
        <v>0.30020231855591328</v>
      </c>
    </row>
    <row r="187" spans="1:121" s="123" customFormat="1">
      <c r="A187" s="107" t="s">
        <v>950</v>
      </c>
      <c r="B187" s="141"/>
      <c r="C187" s="158" t="s">
        <v>2682</v>
      </c>
      <c r="D187" s="102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BF187" s="123">
        <f t="shared" ref="BF187:BQ187" si="457">+BF188/BF160</f>
        <v>492.57794392523363</v>
      </c>
      <c r="BG187" s="123">
        <f t="shared" si="457"/>
        <v>638.45030764992191</v>
      </c>
      <c r="BH187" s="123">
        <f t="shared" si="457"/>
        <v>804.50189869541248</v>
      </c>
      <c r="BI187" s="123">
        <f t="shared" si="457"/>
        <v>847.53110773899857</v>
      </c>
      <c r="BJ187" s="123">
        <f t="shared" si="457"/>
        <v>878.32763797617145</v>
      </c>
      <c r="BK187" s="123">
        <f t="shared" si="457"/>
        <v>1012.4281938325989</v>
      </c>
      <c r="BL187" s="123">
        <f t="shared" si="457"/>
        <v>1151.1297513348588</v>
      </c>
      <c r="BM187" s="123">
        <f t="shared" si="457"/>
        <v>1315.4290840116969</v>
      </c>
      <c r="BN187" s="123">
        <f t="shared" si="457"/>
        <v>1395.9899975387646</v>
      </c>
      <c r="BO187" s="123">
        <f t="shared" si="457"/>
        <v>1406.3606544842878</v>
      </c>
      <c r="BP187" s="123">
        <f t="shared" si="457"/>
        <v>1424.7270643675699</v>
      </c>
      <c r="BQ187" s="123">
        <f t="shared" si="457"/>
        <v>1512.2545975912828</v>
      </c>
      <c r="BR187" s="123">
        <f t="shared" ref="BR187:BZ187" si="458">+BR188/BR160</f>
        <v>1550.0563095044113</v>
      </c>
      <c r="BS187" s="123">
        <f t="shared" si="458"/>
        <v>1459.6461377870562</v>
      </c>
      <c r="BT187" s="123">
        <f t="shared" si="458"/>
        <v>1431.4902402402404</v>
      </c>
      <c r="BU187" s="123">
        <f t="shared" si="458"/>
        <v>1532.1374045801526</v>
      </c>
      <c r="BV187" s="123">
        <f t="shared" si="458"/>
        <v>1532.1374045801526</v>
      </c>
      <c r="BW187" s="123">
        <f t="shared" si="458"/>
        <v>1532.1374045801526</v>
      </c>
      <c r="BX187" s="123">
        <f t="shared" si="458"/>
        <v>1532.1374045801526</v>
      </c>
      <c r="BY187" s="123">
        <f t="shared" si="458"/>
        <v>1532.1374045801526</v>
      </c>
      <c r="BZ187" s="123">
        <f t="shared" si="458"/>
        <v>1532.1374045801526</v>
      </c>
      <c r="CA187" s="123">
        <f t="shared" ref="CA187:CG187" si="459">+CA188/CA160</f>
        <v>1532.1374045801526</v>
      </c>
      <c r="CB187" s="123">
        <f t="shared" si="459"/>
        <v>1532.1374045801526</v>
      </c>
      <c r="CC187" s="123">
        <f t="shared" si="459"/>
        <v>1532.1374045801526</v>
      </c>
      <c r="CD187" s="123">
        <f t="shared" si="459"/>
        <v>1532.1374045801526</v>
      </c>
      <c r="CE187" s="123">
        <f t="shared" si="459"/>
        <v>1532.1374045801526</v>
      </c>
      <c r="CF187" s="123">
        <f t="shared" si="459"/>
        <v>1532.1374045801526</v>
      </c>
      <c r="CG187" s="123">
        <f t="shared" si="459"/>
        <v>1532.1374045801526</v>
      </c>
      <c r="CH187" s="141"/>
      <c r="CZ187" s="181"/>
      <c r="DA187" s="135">
        <v>1512.2545975912828</v>
      </c>
      <c r="DB187" s="135">
        <v>1550.0563095044113</v>
      </c>
      <c r="DC187" s="135">
        <v>1459.6461377870562</v>
      </c>
      <c r="DD187" s="135">
        <v>1431.4902402402404</v>
      </c>
      <c r="DE187" s="135">
        <v>1532.1374045801529</v>
      </c>
      <c r="DF187" s="135">
        <v>1532.1374045801529</v>
      </c>
      <c r="DG187" s="135">
        <v>1532.1374045801529</v>
      </c>
      <c r="DH187" s="135">
        <v>1532.1374045801529</v>
      </c>
      <c r="DI187" s="135">
        <v>1532.1374045801529</v>
      </c>
      <c r="DJ187" s="135">
        <v>1532.1374045801529</v>
      </c>
      <c r="DK187" s="135">
        <v>1532.1374045801529</v>
      </c>
      <c r="DL187" s="135">
        <v>1532.1374045801529</v>
      </c>
      <c r="DM187" s="135">
        <v>1532.1374045801529</v>
      </c>
      <c r="DN187" s="135">
        <v>1532.1374045801529</v>
      </c>
      <c r="DO187" s="135">
        <v>1532.1374045801529</v>
      </c>
      <c r="DP187" s="135">
        <v>1532.1374045801529</v>
      </c>
      <c r="DQ187" s="135">
        <v>1532.1374045801529</v>
      </c>
    </row>
    <row r="188" spans="1:121" s="123" customFormat="1">
      <c r="A188" s="107" t="s">
        <v>950</v>
      </c>
      <c r="B188" s="107"/>
      <c r="C188" s="136" t="s">
        <v>1579</v>
      </c>
      <c r="D188" s="147" t="s">
        <v>2772</v>
      </c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6"/>
      <c r="AP188" s="106"/>
      <c r="AQ188" s="106"/>
      <c r="AR188" s="209">
        <f>SOURCE!AR392</f>
        <v>0</v>
      </c>
      <c r="AS188" s="209">
        <f>SOURCE!AS392</f>
        <v>0.2</v>
      </c>
      <c r="AT188" s="144">
        <f>SOURCE!AT392</f>
        <v>9</v>
      </c>
      <c r="AU188" s="144">
        <f>SOURCE!AU392</f>
        <v>13</v>
      </c>
      <c r="AV188" s="144">
        <f>SOURCE!AV392</f>
        <v>20</v>
      </c>
      <c r="AW188" s="144">
        <f>SOURCE!AW392</f>
        <v>28</v>
      </c>
      <c r="AX188" s="144">
        <f>SOURCE!AX392</f>
        <v>34</v>
      </c>
      <c r="AY188" s="144">
        <f>SOURCE!AY392</f>
        <v>105</v>
      </c>
      <c r="AZ188" s="144">
        <f>SOURCE!AZ392</f>
        <v>255</v>
      </c>
      <c r="BA188" s="144">
        <f>SOURCE!BA392</f>
        <v>368</v>
      </c>
      <c r="BB188" s="144">
        <f>SOURCE!BB392</f>
        <v>487</v>
      </c>
      <c r="BC188" s="144">
        <f>SOURCE!BC392</f>
        <v>699</v>
      </c>
      <c r="BD188" s="144">
        <f>SOURCE!BD392</f>
        <v>969.4</v>
      </c>
      <c r="BE188" s="144">
        <f>SOURCE!BE392</f>
        <v>1050.9000000000001</v>
      </c>
      <c r="BF188" s="144">
        <f>SOURCE!BF392</f>
        <v>1333.2</v>
      </c>
      <c r="BG188" s="144">
        <f>SOURCE!BG392</f>
        <v>1723.8</v>
      </c>
      <c r="BH188" s="144">
        <f>SOURCE!BH392</f>
        <v>2180.1</v>
      </c>
      <c r="BI188" s="144">
        <f>SOURCE!BI392</f>
        <v>2295.3000000000002</v>
      </c>
      <c r="BJ188" s="144">
        <f>SOURCE!BJ392</f>
        <v>2379.8000000000002</v>
      </c>
      <c r="BK188" s="144">
        <f>SOURCE!BK392</f>
        <v>3291.6</v>
      </c>
      <c r="BL188" s="144">
        <f>SOURCE!BL392</f>
        <v>3741.4</v>
      </c>
      <c r="BM188" s="144">
        <f>SOURCE!BM392</f>
        <v>4274.3</v>
      </c>
      <c r="BN188" s="144">
        <f>SOURCE!BN392</f>
        <v>4536.8</v>
      </c>
      <c r="BO188" s="144">
        <f>SOURCE!BO392</f>
        <v>5570.5</v>
      </c>
      <c r="BP188" s="144">
        <f>SOURCE!BP392</f>
        <v>10471.799999999999</v>
      </c>
      <c r="BQ188" s="144">
        <f>SOURCE!BQ392</f>
        <v>11183.7</v>
      </c>
      <c r="BR188" s="144">
        <f>SOURCE!BR392</f>
        <v>11467</v>
      </c>
      <c r="BS188" s="144">
        <f>SOURCE!BS392</f>
        <v>10798</v>
      </c>
      <c r="BT188" s="144">
        <f>SOURCE!BT392</f>
        <v>20071</v>
      </c>
      <c r="BU188" s="109">
        <f t="shared" ref="BU188:BZ188" si="460">+BT188*BU$196/BT$196</f>
        <v>32113.600000000002</v>
      </c>
      <c r="BV188" s="109">
        <f t="shared" si="460"/>
        <v>32113.600000000002</v>
      </c>
      <c r="BW188" s="109">
        <f t="shared" si="460"/>
        <v>32113.600000000002</v>
      </c>
      <c r="BX188" s="109">
        <f t="shared" si="460"/>
        <v>32113.600000000002</v>
      </c>
      <c r="BY188" s="109">
        <f t="shared" si="460"/>
        <v>32113.600000000002</v>
      </c>
      <c r="BZ188" s="109">
        <f t="shared" si="460"/>
        <v>32113.600000000002</v>
      </c>
      <c r="CA188" s="109">
        <f t="shared" ref="CA188:CG188" si="461">+BZ188*CA$196/BZ$196</f>
        <v>32113.600000000002</v>
      </c>
      <c r="CB188" s="109">
        <f t="shared" si="461"/>
        <v>32113.600000000002</v>
      </c>
      <c r="CC188" s="109">
        <f t="shared" si="461"/>
        <v>32113.600000000002</v>
      </c>
      <c r="CD188" s="109">
        <f t="shared" si="461"/>
        <v>32113.600000000002</v>
      </c>
      <c r="CE188" s="109">
        <f t="shared" si="461"/>
        <v>32113.600000000002</v>
      </c>
      <c r="CF188" s="109">
        <f t="shared" si="461"/>
        <v>32113.600000000002</v>
      </c>
      <c r="CG188" s="109">
        <f t="shared" si="461"/>
        <v>32113.600000000002</v>
      </c>
      <c r="CH188" s="141"/>
      <c r="CI188" s="106">
        <f t="shared" ref="CI188:CR196" si="462">BQ188-DA188</f>
        <v>0</v>
      </c>
      <c r="CJ188" s="106">
        <f t="shared" si="462"/>
        <v>0</v>
      </c>
      <c r="CK188" s="106">
        <f t="shared" si="462"/>
        <v>0</v>
      </c>
      <c r="CL188" s="106">
        <f t="shared" si="462"/>
        <v>0</v>
      </c>
      <c r="CM188" s="106">
        <f t="shared" si="462"/>
        <v>4014.2000000000007</v>
      </c>
      <c r="CN188" s="106">
        <f t="shared" si="462"/>
        <v>4014.2000000000007</v>
      </c>
      <c r="CO188" s="106">
        <f t="shared" si="462"/>
        <v>4014.2000000000007</v>
      </c>
      <c r="CP188" s="106">
        <f t="shared" si="462"/>
        <v>4014.2000000000007</v>
      </c>
      <c r="CQ188" s="106">
        <f t="shared" si="462"/>
        <v>4014.2000000000007</v>
      </c>
      <c r="CR188" s="106">
        <f t="shared" si="462"/>
        <v>4014.2000000000007</v>
      </c>
      <c r="CS188" s="106">
        <f t="shared" ref="CS188:CY190" si="463">CA188-DK188</f>
        <v>4014.2000000000007</v>
      </c>
      <c r="CT188" s="106">
        <f t="shared" si="463"/>
        <v>4014.2000000000007</v>
      </c>
      <c r="CU188" s="106">
        <f t="shared" si="463"/>
        <v>4014.2000000000007</v>
      </c>
      <c r="CV188" s="106">
        <f t="shared" si="463"/>
        <v>4014.2000000000007</v>
      </c>
      <c r="CW188" s="106">
        <f t="shared" si="463"/>
        <v>4014.2000000000007</v>
      </c>
      <c r="CX188" s="106">
        <f t="shared" si="463"/>
        <v>4014.2000000000007</v>
      </c>
      <c r="CY188" s="106">
        <f t="shared" si="463"/>
        <v>4014.2000000000007</v>
      </c>
      <c r="CZ188" s="134"/>
      <c r="DA188" s="135">
        <v>11183.7</v>
      </c>
      <c r="DB188" s="135">
        <v>11467</v>
      </c>
      <c r="DC188" s="135">
        <v>10798</v>
      </c>
      <c r="DD188" s="135">
        <v>20071</v>
      </c>
      <c r="DE188" s="135">
        <v>28099.4</v>
      </c>
      <c r="DF188" s="135">
        <v>28099.4</v>
      </c>
      <c r="DG188" s="135">
        <v>28099.4</v>
      </c>
      <c r="DH188" s="135">
        <v>28099.4</v>
      </c>
      <c r="DI188" s="135">
        <v>28099.4</v>
      </c>
      <c r="DJ188" s="135">
        <v>28099.4</v>
      </c>
      <c r="DK188" s="135">
        <v>28099.4</v>
      </c>
      <c r="DL188" s="135">
        <v>28099.4</v>
      </c>
      <c r="DM188" s="135">
        <v>28099.4</v>
      </c>
      <c r="DN188" s="135">
        <v>28099.4</v>
      </c>
      <c r="DO188" s="135">
        <v>28099.4</v>
      </c>
      <c r="DP188" s="135">
        <v>28099.4</v>
      </c>
      <c r="DQ188" s="135">
        <v>28099.4</v>
      </c>
    </row>
    <row r="189" spans="1:121" s="123" customFormat="1">
      <c r="A189" s="141" t="s">
        <v>1655</v>
      </c>
      <c r="B189" s="141"/>
      <c r="C189" s="136" t="s">
        <v>1579</v>
      </c>
      <c r="D189" s="102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R189" s="114">
        <f t="shared" ref="AR189:BE189" si="464">+AR178-AR188</f>
        <v>5.6</v>
      </c>
      <c r="AS189" s="114">
        <f t="shared" si="464"/>
        <v>9.3000000000000007</v>
      </c>
      <c r="AT189" s="114">
        <f t="shared" si="464"/>
        <v>28.299999999999997</v>
      </c>
      <c r="AU189" s="114">
        <f t="shared" si="464"/>
        <v>79.099999999999994</v>
      </c>
      <c r="AV189" s="114">
        <f t="shared" si="464"/>
        <v>109.1</v>
      </c>
      <c r="AW189" s="114">
        <f t="shared" si="464"/>
        <v>135.80000000000001</v>
      </c>
      <c r="AX189" s="114">
        <f t="shared" si="464"/>
        <v>175.3</v>
      </c>
      <c r="AY189" s="114">
        <f t="shared" si="464"/>
        <v>242.5</v>
      </c>
      <c r="AZ189" s="114">
        <f t="shared" si="464"/>
        <v>440.5</v>
      </c>
      <c r="BA189" s="114">
        <f t="shared" si="464"/>
        <v>570.4</v>
      </c>
      <c r="BB189" s="114">
        <f t="shared" si="464"/>
        <v>770.59999999999991</v>
      </c>
      <c r="BC189" s="114">
        <f t="shared" si="464"/>
        <v>798.09999999999991</v>
      </c>
      <c r="BD189" s="114">
        <f t="shared" si="464"/>
        <v>988.69999999999993</v>
      </c>
      <c r="BE189" s="114">
        <f t="shared" si="464"/>
        <v>1125</v>
      </c>
      <c r="BF189" s="114">
        <f t="shared" ref="BF189:BP189" si="465">+BF178-BF188</f>
        <v>1460.1000000000001</v>
      </c>
      <c r="BG189" s="114">
        <f t="shared" si="465"/>
        <v>1873.2</v>
      </c>
      <c r="BH189" s="114">
        <f t="shared" si="465"/>
        <v>2156.5000000000005</v>
      </c>
      <c r="BI189" s="114">
        <f t="shared" si="465"/>
        <v>2699.5</v>
      </c>
      <c r="BJ189" s="114">
        <f t="shared" si="465"/>
        <v>3145.3</v>
      </c>
      <c r="BK189" s="114">
        <f t="shared" si="465"/>
        <v>3418.5000000000005</v>
      </c>
      <c r="BL189" s="114">
        <f t="shared" si="465"/>
        <v>4387.2000000000007</v>
      </c>
      <c r="BM189" s="114">
        <f t="shared" si="465"/>
        <v>4753.7999999999984</v>
      </c>
      <c r="BN189" s="114">
        <f t="shared" si="465"/>
        <v>4983.4000000000005</v>
      </c>
      <c r="BO189" s="114">
        <f t="shared" si="465"/>
        <v>5068.7999999999993</v>
      </c>
      <c r="BP189" s="114">
        <f t="shared" si="465"/>
        <v>5721.3000000000011</v>
      </c>
      <c r="BQ189" s="114">
        <f t="shared" ref="BQ189:CB189" si="466">+BQ178-BQ188</f>
        <v>6417.7999999999993</v>
      </c>
      <c r="BR189" s="114">
        <f t="shared" si="466"/>
        <v>7729.5999999999985</v>
      </c>
      <c r="BS189" s="114">
        <f t="shared" si="466"/>
        <v>9490.2000000000007</v>
      </c>
      <c r="BT189" s="114">
        <f t="shared" si="466"/>
        <v>12373.8</v>
      </c>
      <c r="BU189" s="114">
        <f t="shared" ca="1" si="466"/>
        <v>19023.726301422194</v>
      </c>
      <c r="BV189" s="114">
        <f t="shared" ca="1" si="466"/>
        <v>22400.689941744055</v>
      </c>
      <c r="BW189" s="114">
        <f t="shared" ca="1" si="466"/>
        <v>27061.605174223765</v>
      </c>
      <c r="BX189" s="114">
        <f t="shared" ca="1" si="466"/>
        <v>30504.447653145096</v>
      </c>
      <c r="BY189" s="114">
        <f t="shared" ca="1" si="466"/>
        <v>34338.573558688178</v>
      </c>
      <c r="BZ189" s="114">
        <f t="shared" ca="1" si="466"/>
        <v>38313.224568451042</v>
      </c>
      <c r="CA189" s="114">
        <f t="shared" ca="1" si="466"/>
        <v>42341.400736601936</v>
      </c>
      <c r="CB189" s="114">
        <f t="shared" ca="1" si="466"/>
        <v>46392.893944132797</v>
      </c>
      <c r="CC189" s="114">
        <f ca="1">+CC178-CC188</f>
        <v>50466.028301491562</v>
      </c>
      <c r="CD189" s="114">
        <f ca="1">+CD178-CD188</f>
        <v>54631.631980904334</v>
      </c>
      <c r="CE189" s="114">
        <f ca="1">+CE178-CE188</f>
        <v>59111.907817863146</v>
      </c>
      <c r="CF189" s="114">
        <f ca="1">+CF178-CF188</f>
        <v>64437.420710154693</v>
      </c>
      <c r="CG189" s="114">
        <f ca="1">+CG178-CG188</f>
        <v>71762.430430355482</v>
      </c>
      <c r="CH189" s="141"/>
      <c r="CI189" s="106">
        <f t="shared" si="462"/>
        <v>0</v>
      </c>
      <c r="CJ189" s="106">
        <f t="shared" ref="CJ189:CR190" si="467">BR189-DB189</f>
        <v>0</v>
      </c>
      <c r="CK189" s="106">
        <f t="shared" si="467"/>
        <v>0</v>
      </c>
      <c r="CL189" s="106">
        <f t="shared" si="467"/>
        <v>0</v>
      </c>
      <c r="CM189" s="106">
        <f t="shared" ca="1" si="467"/>
        <v>-1056.6003789719434</v>
      </c>
      <c r="CN189" s="106">
        <f t="shared" ca="1" si="467"/>
        <v>-2615.2373789345693</v>
      </c>
      <c r="CO189" s="106">
        <f t="shared" ca="1" si="467"/>
        <v>-4931.0047039025121</v>
      </c>
      <c r="CP189" s="106">
        <f t="shared" ca="1" si="467"/>
        <v>-8116.577302123409</v>
      </c>
      <c r="CQ189" s="106">
        <f t="shared" ca="1" si="467"/>
        <v>-12064.9762085763</v>
      </c>
      <c r="CR189" s="106">
        <f t="shared" ca="1" si="467"/>
        <v>-14530.676349237074</v>
      </c>
      <c r="CS189" s="106">
        <f t="shared" ca="1" si="463"/>
        <v>-18371.729095419149</v>
      </c>
      <c r="CT189" s="106">
        <f t="shared" ca="1" si="463"/>
        <v>-23139.193742381249</v>
      </c>
      <c r="CU189" s="106">
        <f t="shared" ca="1" si="463"/>
        <v>-29198.906680407657</v>
      </c>
      <c r="CV189" s="106">
        <f t="shared" ca="1" si="463"/>
        <v>-36811.12870493262</v>
      </c>
      <c r="CW189" s="106">
        <f t="shared" ca="1" si="463"/>
        <v>-46381.130233206073</v>
      </c>
      <c r="CX189" s="106">
        <f t="shared" ca="1" si="463"/>
        <v>-58556.99299353559</v>
      </c>
      <c r="CY189" s="106">
        <f t="shared" ca="1" si="463"/>
        <v>-74411.416788287257</v>
      </c>
      <c r="CZ189" s="181"/>
      <c r="DA189" s="123">
        <v>6417.7999999999993</v>
      </c>
      <c r="DB189" s="123">
        <v>7729.5999999999985</v>
      </c>
      <c r="DC189" s="123">
        <v>9490.2000000000007</v>
      </c>
      <c r="DD189" s="123">
        <v>12373.8</v>
      </c>
      <c r="DE189" s="123">
        <v>20080.326680394137</v>
      </c>
      <c r="DF189" s="123">
        <v>25015.927320678624</v>
      </c>
      <c r="DG189" s="123">
        <v>31992.609878126277</v>
      </c>
      <c r="DH189" s="123">
        <v>38621.024955268505</v>
      </c>
      <c r="DI189" s="123">
        <v>46403.549767264478</v>
      </c>
      <c r="DJ189" s="123">
        <v>52843.900917688115</v>
      </c>
      <c r="DK189" s="123">
        <v>60713.129832021084</v>
      </c>
      <c r="DL189" s="123">
        <v>69532.087686514045</v>
      </c>
      <c r="DM189" s="123">
        <v>79664.93498189922</v>
      </c>
      <c r="DN189" s="123">
        <v>91442.760685836955</v>
      </c>
      <c r="DO189" s="123">
        <v>105493.03805106922</v>
      </c>
      <c r="DP189" s="123">
        <v>122994.41370369028</v>
      </c>
      <c r="DQ189" s="123">
        <v>146173.84721864274</v>
      </c>
    </row>
    <row r="190" spans="1:121" s="123" customFormat="1">
      <c r="A190" s="141" t="s">
        <v>1656</v>
      </c>
      <c r="B190" s="141"/>
      <c r="C190" s="158" t="s">
        <v>918</v>
      </c>
      <c r="D190" s="102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R190" s="374">
        <f t="shared" ref="AR190:CC190" si="468">+AR189/AR17</f>
        <v>0.92272202998846597</v>
      </c>
      <c r="AS190" s="374">
        <f t="shared" si="468"/>
        <v>0.63794759226231312</v>
      </c>
      <c r="AT190" s="374">
        <f t="shared" si="468"/>
        <v>0.34879708144350224</v>
      </c>
      <c r="AU190" s="374">
        <f t="shared" si="468"/>
        <v>0.25876479882754355</v>
      </c>
      <c r="AV190" s="374">
        <f t="shared" si="468"/>
        <v>0.31584188798758633</v>
      </c>
      <c r="AW190" s="374">
        <f t="shared" si="468"/>
        <v>0.36646346564337545</v>
      </c>
      <c r="AX190" s="374">
        <f t="shared" si="468"/>
        <v>0.3945177116622407</v>
      </c>
      <c r="AY190" s="374">
        <f t="shared" si="468"/>
        <v>0.31815378963802626</v>
      </c>
      <c r="AZ190" s="374">
        <f t="shared" si="468"/>
        <v>0.35213885382600268</v>
      </c>
      <c r="BA190" s="374">
        <f t="shared" si="468"/>
        <v>0.31362561437135494</v>
      </c>
      <c r="BB190" s="374">
        <f t="shared" si="468"/>
        <v>0.29985602552628504</v>
      </c>
      <c r="BC190" s="374">
        <f t="shared" si="468"/>
        <v>0.24081451489045971</v>
      </c>
      <c r="BD190" s="374">
        <f t="shared" si="468"/>
        <v>0.24367221195317312</v>
      </c>
      <c r="BE190" s="374">
        <f t="shared" si="468"/>
        <v>0.22963870177587262</v>
      </c>
      <c r="BF190" s="374">
        <f t="shared" si="468"/>
        <v>0.20261437908496732</v>
      </c>
      <c r="BG190" s="374">
        <f t="shared" si="468"/>
        <v>0.23239253148067737</v>
      </c>
      <c r="BH190" s="374">
        <f t="shared" si="468"/>
        <v>0.22236314329610959</v>
      </c>
      <c r="BI190" s="374">
        <f t="shared" si="468"/>
        <v>0.25375056399458568</v>
      </c>
      <c r="BJ190" s="374">
        <f t="shared" si="468"/>
        <v>0.26235538465388242</v>
      </c>
      <c r="BK190" s="374">
        <f t="shared" si="468"/>
        <v>0.2365416551342375</v>
      </c>
      <c r="BL190" s="374">
        <f t="shared" si="468"/>
        <v>0.26695874406717784</v>
      </c>
      <c r="BM190" s="374">
        <f t="shared" si="468"/>
        <v>0.27994817737471284</v>
      </c>
      <c r="BN190" s="374">
        <f t="shared" si="468"/>
        <v>0.28815774256967736</v>
      </c>
      <c r="BO190" s="374">
        <f t="shared" si="468"/>
        <v>0.30988567585743104</v>
      </c>
      <c r="BP190" s="374">
        <f t="shared" si="468"/>
        <v>0.29356560110831759</v>
      </c>
      <c r="BQ190" s="374">
        <f t="shared" si="468"/>
        <v>0.26700782160093189</v>
      </c>
      <c r="BR190" s="374">
        <f t="shared" si="468"/>
        <v>0.29952724172673018</v>
      </c>
      <c r="BS190" s="374">
        <f t="shared" si="468"/>
        <v>0.34419701146090237</v>
      </c>
      <c r="BT190" s="374">
        <f t="shared" si="468"/>
        <v>0.38481729124552944</v>
      </c>
      <c r="BU190" s="374">
        <f t="shared" ca="1" si="468"/>
        <v>0.31048970913639745</v>
      </c>
      <c r="BV190" s="374">
        <f t="shared" ca="1" si="468"/>
        <v>0.3150969371619875</v>
      </c>
      <c r="BW190" s="374">
        <f t="shared" ca="1" si="468"/>
        <v>0.34110712397383436</v>
      </c>
      <c r="BX190" s="374">
        <f t="shared" ca="1" si="468"/>
        <v>0.35377678226802445</v>
      </c>
      <c r="BY190" s="374">
        <f t="shared" ca="1" si="468"/>
        <v>0.35913937074276714</v>
      </c>
      <c r="BZ190" s="374">
        <f t="shared" ca="1" si="468"/>
        <v>0.35779420408728985</v>
      </c>
      <c r="CA190" s="374">
        <f t="shared" ca="1" si="468"/>
        <v>0.34967805978480926</v>
      </c>
      <c r="CB190" s="374">
        <f t="shared" ca="1" si="468"/>
        <v>0.33485912971231607</v>
      </c>
      <c r="CC190" s="374">
        <f t="shared" ca="1" si="468"/>
        <v>0.313812642140603</v>
      </c>
      <c r="CD190" s="374">
        <f ca="1">+CD189/CD17</f>
        <v>0.28751889364442107</v>
      </c>
      <c r="CE190" s="374">
        <f ca="1">+CE189/CE17</f>
        <v>0.25757070640046287</v>
      </c>
      <c r="CF190" s="374">
        <f ca="1">+CF189/CF17</f>
        <v>0.22622424133686661</v>
      </c>
      <c r="CG190" s="374">
        <f ca="1">+CG189/CG17</f>
        <v>0.19631039255132196</v>
      </c>
      <c r="CH190" s="141"/>
      <c r="CI190" s="106">
        <f t="shared" si="462"/>
        <v>0</v>
      </c>
      <c r="CJ190" s="106">
        <f t="shared" si="467"/>
        <v>0</v>
      </c>
      <c r="CK190" s="106">
        <f t="shared" si="467"/>
        <v>0</v>
      </c>
      <c r="CL190" s="106">
        <f t="shared" si="467"/>
        <v>0</v>
      </c>
      <c r="CM190" s="213">
        <f t="shared" ca="1" si="467"/>
        <v>-3.1820208589465382E-2</v>
      </c>
      <c r="CN190" s="213">
        <f t="shared" ca="1" si="467"/>
        <v>-5.7487503984882005E-2</v>
      </c>
      <c r="CO190" s="106">
        <f t="shared" ca="1" si="467"/>
        <v>-8.2260785929076319E-2</v>
      </c>
      <c r="CP190" s="106">
        <f t="shared" ca="1" si="467"/>
        <v>-0.1095237154118005</v>
      </c>
      <c r="CQ190" s="106">
        <f t="shared" ca="1" si="467"/>
        <v>-0.13457368234162792</v>
      </c>
      <c r="CR190" s="106">
        <f t="shared" ca="1" si="467"/>
        <v>-0.14834157044821955</v>
      </c>
      <c r="CS190" s="106">
        <f t="shared" ca="1" si="463"/>
        <v>-0.15727478955842067</v>
      </c>
      <c r="CT190" s="106">
        <f t="shared" ca="1" si="463"/>
        <v>-0.1659690300927506</v>
      </c>
      <c r="CU190" s="106">
        <f t="shared" ca="1" si="463"/>
        <v>-0.17234125971144598</v>
      </c>
      <c r="CV190" s="106">
        <f t="shared" ca="1" si="463"/>
        <v>-0.17585578531001206</v>
      </c>
      <c r="CW190" s="106">
        <f t="shared" ca="1" si="463"/>
        <v>-0.17582268027534043</v>
      </c>
      <c r="CX190" s="106">
        <f t="shared" ca="1" si="463"/>
        <v>-0.17160401999034999</v>
      </c>
      <c r="CY190" s="106">
        <f t="shared" ca="1" si="463"/>
        <v>-0.16284214132135141</v>
      </c>
      <c r="CZ190" s="181"/>
      <c r="DA190" s="123">
        <v>0.26700782160093189</v>
      </c>
      <c r="DB190" s="123">
        <v>0.29952724172673018</v>
      </c>
      <c r="DC190" s="123">
        <v>0.34419701146090237</v>
      </c>
      <c r="DD190" s="123">
        <v>0.38481729124552944</v>
      </c>
      <c r="DE190" s="123">
        <v>0.34230991772586283</v>
      </c>
      <c r="DF190" s="123">
        <v>0.3725844411468695</v>
      </c>
      <c r="DG190" s="123">
        <v>0.42336790990291068</v>
      </c>
      <c r="DH190" s="123">
        <v>0.46330049767982495</v>
      </c>
      <c r="DI190" s="123">
        <v>0.49371305308439506</v>
      </c>
      <c r="DJ190" s="123">
        <v>0.5061357745355094</v>
      </c>
      <c r="DK190" s="123">
        <v>0.50695284934322993</v>
      </c>
      <c r="DL190" s="123">
        <v>0.50082815980506667</v>
      </c>
      <c r="DM190" s="123">
        <v>0.48615390185204899</v>
      </c>
      <c r="DN190" s="123">
        <v>0.46337467895443313</v>
      </c>
      <c r="DO190" s="123">
        <v>0.43339338667580329</v>
      </c>
      <c r="DP190" s="123">
        <v>0.3978282613272166</v>
      </c>
      <c r="DQ190" s="123">
        <v>0.35915253387267337</v>
      </c>
    </row>
    <row r="191" spans="1:121" s="123" customFormat="1">
      <c r="A191" s="141" t="s">
        <v>924</v>
      </c>
      <c r="B191" s="141"/>
      <c r="C191" s="158" t="s">
        <v>918</v>
      </c>
      <c r="D191" s="102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R191" s="374">
        <f t="shared" ref="AR191:BE191" si="469">+AR188/AR178</f>
        <v>0</v>
      </c>
      <c r="AS191" s="374">
        <f t="shared" si="469"/>
        <v>2.1052631578947368E-2</v>
      </c>
      <c r="AT191" s="374">
        <f t="shared" si="469"/>
        <v>0.2412868632707775</v>
      </c>
      <c r="AU191" s="374">
        <f t="shared" si="469"/>
        <v>0.14115092290988057</v>
      </c>
      <c r="AV191" s="374">
        <f t="shared" si="469"/>
        <v>0.15491866769945778</v>
      </c>
      <c r="AW191" s="374">
        <f t="shared" si="469"/>
        <v>0.17094017094017092</v>
      </c>
      <c r="AX191" s="374">
        <f t="shared" si="469"/>
        <v>0.16244624940277114</v>
      </c>
      <c r="AY191" s="374">
        <f t="shared" si="469"/>
        <v>0.30215827338129497</v>
      </c>
      <c r="AZ191" s="374">
        <f t="shared" si="469"/>
        <v>0.3666427030913012</v>
      </c>
      <c r="BA191" s="374">
        <f t="shared" si="469"/>
        <v>0.39215686274509803</v>
      </c>
      <c r="BB191" s="374">
        <f t="shared" si="469"/>
        <v>0.38724554707379139</v>
      </c>
      <c r="BC191" s="374">
        <f t="shared" si="469"/>
        <v>0.46690267851178952</v>
      </c>
      <c r="BD191" s="374">
        <f t="shared" si="469"/>
        <v>0.49507175323017211</v>
      </c>
      <c r="BE191" s="374">
        <f t="shared" si="469"/>
        <v>0.48297256307734732</v>
      </c>
      <c r="BF191" s="374">
        <f t="shared" ref="BF191:BO191" si="470">+BF188/BF178</f>
        <v>0.47728493180109549</v>
      </c>
      <c r="BG191" s="374">
        <f t="shared" si="470"/>
        <v>0.47923269391159296</v>
      </c>
      <c r="BH191" s="374">
        <f t="shared" si="470"/>
        <v>0.50272102568832722</v>
      </c>
      <c r="BI191" s="374">
        <f t="shared" si="470"/>
        <v>0.45953791943621369</v>
      </c>
      <c r="BJ191" s="374">
        <f t="shared" si="470"/>
        <v>0.43072523574233951</v>
      </c>
      <c r="BK191" s="374">
        <f t="shared" si="470"/>
        <v>0.4905441051549157</v>
      </c>
      <c r="BL191" s="374">
        <f t="shared" si="470"/>
        <v>0.46027606229855078</v>
      </c>
      <c r="BM191" s="374">
        <f t="shared" si="470"/>
        <v>0.47344402476711611</v>
      </c>
      <c r="BN191" s="374">
        <f t="shared" si="470"/>
        <v>0.47654461040734436</v>
      </c>
      <c r="BO191" s="374">
        <f t="shared" si="470"/>
        <v>0.52357767898263985</v>
      </c>
      <c r="BP191" s="374">
        <f t="shared" ref="BP191:CB191" si="471">+BP188/BP178</f>
        <v>0.64668284639753959</v>
      </c>
      <c r="BQ191" s="374">
        <f t="shared" si="471"/>
        <v>0.63538334801011287</v>
      </c>
      <c r="BR191" s="374">
        <f t="shared" si="471"/>
        <v>0.59734536324140741</v>
      </c>
      <c r="BS191" s="374">
        <f t="shared" si="471"/>
        <v>0.53223055766406091</v>
      </c>
      <c r="BT191" s="374">
        <f t="shared" si="471"/>
        <v>0.61861993293224182</v>
      </c>
      <c r="BU191" s="374">
        <f t="shared" ca="1" si="471"/>
        <v>0.62798746674221173</v>
      </c>
      <c r="BV191" s="374">
        <f t="shared" ca="1" si="471"/>
        <v>0.58908590819614004</v>
      </c>
      <c r="BW191" s="374">
        <f t="shared" ca="1" si="471"/>
        <v>0.54268675377552256</v>
      </c>
      <c r="BX191" s="374">
        <f t="shared" ca="1" si="471"/>
        <v>0.51284895016025056</v>
      </c>
      <c r="BY191" s="374">
        <f t="shared" ca="1" si="471"/>
        <v>0.48325883534326258</v>
      </c>
      <c r="BZ191" s="374">
        <f t="shared" ca="1" si="471"/>
        <v>0.4559853464468972</v>
      </c>
      <c r="CA191" s="374">
        <f t="shared" ca="1" si="471"/>
        <v>0.43131555546695488</v>
      </c>
      <c r="CB191" s="374">
        <f t="shared" ca="1" si="471"/>
        <v>0.40905660648726522</v>
      </c>
      <c r="CC191" s="374">
        <f ca="1">+CC188/CC178</f>
        <v>0.38888041349321451</v>
      </c>
      <c r="CD191" s="374">
        <f ca="1">+CD188/CD178</f>
        <v>0.37020593831680948</v>
      </c>
      <c r="CE191" s="374">
        <f ca="1">+CE188/CE178</f>
        <v>0.35202434898051327</v>
      </c>
      <c r="CF191" s="374">
        <f ca="1">+CF188/CF178</f>
        <v>0.33260756607022046</v>
      </c>
      <c r="CG191" s="374">
        <f ca="1">+CG188/CG178</f>
        <v>0.30915313058223592</v>
      </c>
      <c r="CH191" s="141"/>
      <c r="CI191" s="106">
        <f t="shared" si="462"/>
        <v>0</v>
      </c>
      <c r="CJ191" s="106">
        <f t="shared" ref="CJ191:CU191" si="472">BR191-DB191</f>
        <v>0</v>
      </c>
      <c r="CK191" s="106">
        <f t="shared" si="472"/>
        <v>0</v>
      </c>
      <c r="CL191" s="106">
        <f t="shared" si="472"/>
        <v>0</v>
      </c>
      <c r="CM191" s="106">
        <f t="shared" ca="1" si="472"/>
        <v>4.476705566763961E-2</v>
      </c>
      <c r="CN191" s="106">
        <f t="shared" ca="1" si="472"/>
        <v>6.0059703945291587E-2</v>
      </c>
      <c r="CO191" s="106">
        <f t="shared" ca="1" si="472"/>
        <v>7.5080493692211703E-2</v>
      </c>
      <c r="CP191" s="106">
        <f t="shared" ca="1" si="472"/>
        <v>9.1697555833269995E-2</v>
      </c>
      <c r="CQ191" s="106">
        <f t="shared" ca="1" si="472"/>
        <v>0.10610061425566653</v>
      </c>
      <c r="CR191" s="106">
        <f t="shared" ca="1" si="472"/>
        <v>0.10883617311908217</v>
      </c>
      <c r="CS191" s="106">
        <f t="shared" ca="1" si="472"/>
        <v>0.11492551395877065</v>
      </c>
      <c r="CT191" s="106">
        <f t="shared" ca="1" si="472"/>
        <v>0.12124577141912968</v>
      </c>
      <c r="CU191" s="106">
        <f t="shared" ca="1" si="472"/>
        <v>0.12813180863503248</v>
      </c>
      <c r="CV191" s="106">
        <f t="shared" ref="CV191:CY192" ca="1" si="473">CD191-DN191</f>
        <v>0.13514744649444155</v>
      </c>
      <c r="CW191" s="106">
        <f t="shared" ca="1" si="473"/>
        <v>0.14168759332329359</v>
      </c>
      <c r="CX191" s="106">
        <f t="shared" ca="1" si="473"/>
        <v>0.146634366299741</v>
      </c>
      <c r="CY191" s="106">
        <f t="shared" ca="1" si="473"/>
        <v>0.14791553130375015</v>
      </c>
      <c r="CZ191" s="181"/>
      <c r="DA191" s="135">
        <v>0.63538334801011287</v>
      </c>
      <c r="DB191" s="135">
        <v>0.59734536324140741</v>
      </c>
      <c r="DC191" s="135">
        <v>0.53223055766406091</v>
      </c>
      <c r="DD191" s="135">
        <v>0.61861993293224182</v>
      </c>
      <c r="DE191" s="135">
        <v>0.58322041107457212</v>
      </c>
      <c r="DF191" s="135">
        <v>0.52902620425084845</v>
      </c>
      <c r="DG191" s="135">
        <v>0.46760626008331085</v>
      </c>
      <c r="DH191" s="135">
        <v>0.42115139432698057</v>
      </c>
      <c r="DI191" s="135">
        <v>0.37715822108759606</v>
      </c>
      <c r="DJ191" s="135">
        <v>0.34714917332781503</v>
      </c>
      <c r="DK191" s="135">
        <v>0.31639004150818423</v>
      </c>
      <c r="DL191" s="135">
        <v>0.28781083506813554</v>
      </c>
      <c r="DM191" s="135">
        <v>0.26074860485818202</v>
      </c>
      <c r="DN191" s="135">
        <v>0.23505849182236793</v>
      </c>
      <c r="DO191" s="135">
        <v>0.21033675565721968</v>
      </c>
      <c r="DP191" s="135">
        <v>0.18597319977047946</v>
      </c>
      <c r="DQ191" s="135">
        <v>0.16123759927848577</v>
      </c>
    </row>
    <row r="192" spans="1:121" s="123" customFormat="1">
      <c r="A192" s="141" t="str">
        <f>+Assumptions!A22</f>
        <v>gem creditrente SRD deposito's</v>
      </c>
      <c r="B192" s="141"/>
      <c r="C192" s="158" t="s">
        <v>1349</v>
      </c>
      <c r="D192" s="102"/>
      <c r="E192" s="141"/>
      <c r="F192" s="232">
        <f>+mamiabc!F102</f>
        <v>4</v>
      </c>
      <c r="G192" s="232">
        <f>+mamiabc!G102</f>
        <v>4</v>
      </c>
      <c r="H192" s="232">
        <f>+mamiabc!H102</f>
        <v>5</v>
      </c>
      <c r="I192" s="232">
        <f>+mamiabc!I102</f>
        <v>6</v>
      </c>
      <c r="J192" s="232">
        <f>+mamiabc!J102</f>
        <v>7</v>
      </c>
      <c r="K192" s="232">
        <f>+mamiabc!K102</f>
        <v>7</v>
      </c>
      <c r="L192" s="232">
        <f>+mamiabc!L102</f>
        <v>7</v>
      </c>
      <c r="M192" s="232">
        <f>+mamiabc!M102</f>
        <v>7</v>
      </c>
      <c r="N192" s="232">
        <f>+mamiabc!N102</f>
        <v>8</v>
      </c>
      <c r="O192" s="232">
        <f>+mamiabc!O102</f>
        <v>8</v>
      </c>
      <c r="P192" s="232">
        <f>+mamiabc!P102</f>
        <v>8</v>
      </c>
      <c r="Q192" s="232">
        <f>+mamiabc!Q102</f>
        <v>8</v>
      </c>
      <c r="R192" s="232">
        <f>+mamiabc!R102</f>
        <v>8</v>
      </c>
      <c r="S192" s="232">
        <f>+mamiabc!S102</f>
        <v>8</v>
      </c>
      <c r="T192" s="232">
        <f>+mamiabc!T102</f>
        <v>8</v>
      </c>
      <c r="U192" s="232">
        <f>+mamiabc!U102</f>
        <v>8</v>
      </c>
      <c r="V192" s="232">
        <f>+mamiabc!V102</f>
        <v>8</v>
      </c>
      <c r="W192" s="232">
        <f>+mamiabc!W102</f>
        <v>8</v>
      </c>
      <c r="X192" s="232">
        <f>+mamiabc!X102</f>
        <v>8</v>
      </c>
      <c r="Y192" s="232">
        <f>+mamiabc!Y102</f>
        <v>8.5</v>
      </c>
      <c r="Z192" s="232">
        <f>+mamiabc!Z102</f>
        <v>9</v>
      </c>
      <c r="AA192" s="232">
        <f>+mamiabc!AA102</f>
        <v>9</v>
      </c>
      <c r="AB192" s="232">
        <f>+mamiabc!AB102</f>
        <v>9</v>
      </c>
      <c r="AC192" s="232">
        <f>+mamiabc!AC102</f>
        <v>9</v>
      </c>
      <c r="AD192" s="232">
        <f>+mamiabc!AD102</f>
        <v>9.1999998092651367</v>
      </c>
      <c r="AE192" s="232">
        <f>+mamiabc!AE102</f>
        <v>9.3999996185302734</v>
      </c>
      <c r="AF192" s="232">
        <f>+mamiabc!AF102</f>
        <v>9.3000001907348633</v>
      </c>
      <c r="AG192" s="232">
        <f>+mamiabc!AG102</f>
        <v>9.3999996185302734</v>
      </c>
      <c r="AH192" s="232">
        <f>+mamiabc!AH102</f>
        <v>9.6000003814697266</v>
      </c>
      <c r="AI192" s="232">
        <f>+mamiabc!AI102</f>
        <v>9.3999996185302734</v>
      </c>
      <c r="AJ192" s="232">
        <f>+mamiabc!AJ102</f>
        <v>9.3999996185302734</v>
      </c>
      <c r="AK192" s="232">
        <f>+mamiabc!AK102</f>
        <v>9.3000001907348633</v>
      </c>
      <c r="AL192" s="232">
        <f>+mamiabc!AL102</f>
        <v>9.3000001907348633</v>
      </c>
      <c r="AM192" s="232">
        <f>+mamiabc!AM102</f>
        <v>9.5</v>
      </c>
      <c r="AN192" s="232">
        <f>+mamiabc!AN102</f>
        <v>8.551666259765625</v>
      </c>
      <c r="AO192" s="232">
        <f>+mamiabc!AO102</f>
        <v>8.7614336013793945</v>
      </c>
      <c r="AP192" s="232">
        <f>+mamiabc!AP102</f>
        <v>8.8000001907348633</v>
      </c>
      <c r="AQ192" s="232">
        <f>+mamiabc!AQ102</f>
        <v>9.1999998092651367</v>
      </c>
      <c r="AR192" s="232">
        <f>+mamiabc!AR102</f>
        <v>9</v>
      </c>
      <c r="AS192" s="232">
        <f>+mamiabc!AS102</f>
        <v>9.6999999999999993</v>
      </c>
      <c r="AT192" s="232">
        <f>+mamiabc!AT102</f>
        <v>32.200000000000003</v>
      </c>
      <c r="AU192" s="232">
        <f>+mamiabc!AU102</f>
        <v>39.6</v>
      </c>
      <c r="AV192" s="232">
        <f>+mamiabc!AV102</f>
        <v>34.9</v>
      </c>
      <c r="AW192" s="232">
        <f>+mamiabc!AW102</f>
        <v>28.824999999999999</v>
      </c>
      <c r="AX192" s="232">
        <f>+mamiabc!AX102</f>
        <v>21.5425</v>
      </c>
      <c r="AY192" s="232">
        <f>+mamiabc!AY102</f>
        <v>22.4</v>
      </c>
      <c r="AZ192" s="232">
        <f>+mamiabc!AZ102</f>
        <v>22.3125</v>
      </c>
      <c r="BA192" s="232">
        <f>+mamiabc!BA102</f>
        <v>21.297499999999999</v>
      </c>
      <c r="BB192" s="232">
        <f>+mamiabc!BB102</f>
        <v>19.71</v>
      </c>
      <c r="BC192" s="232">
        <f>+mamiabc!BC102</f>
        <v>19.6525</v>
      </c>
      <c r="BD192" s="232">
        <f>+mamiabc!BD102</f>
        <v>19.6525</v>
      </c>
      <c r="BE192" s="232">
        <f>+mamiabc!BE102</f>
        <v>19.6525</v>
      </c>
      <c r="BF192" s="209">
        <f>Assumptions!BF22</f>
        <v>6.6</v>
      </c>
      <c r="BG192" s="209">
        <f>Assumptions!BG22</f>
        <v>6.3</v>
      </c>
      <c r="BH192" s="209">
        <f>Assumptions!BH22</f>
        <v>6.4</v>
      </c>
      <c r="BI192" s="209">
        <f>Assumptions!BI22</f>
        <v>6.2</v>
      </c>
      <c r="BJ192" s="209">
        <f>Assumptions!BJ22</f>
        <v>6.2</v>
      </c>
      <c r="BK192" s="209">
        <f>Assumptions!BK22</f>
        <v>6.6</v>
      </c>
      <c r="BL192" s="209">
        <f>Assumptions!BL22</f>
        <v>7</v>
      </c>
      <c r="BM192" s="209">
        <f>Assumptions!BM22</f>
        <v>7.2</v>
      </c>
      <c r="BN192" s="209">
        <f>Assumptions!BN22</f>
        <v>7.4</v>
      </c>
      <c r="BO192" s="209">
        <f>Assumptions!BO22</f>
        <v>7.7</v>
      </c>
      <c r="BP192" s="209">
        <f>Assumptions!BP22</f>
        <v>8.5</v>
      </c>
      <c r="BQ192" s="209">
        <f>Assumptions!BQ22</f>
        <v>9.1</v>
      </c>
      <c r="BR192" s="209">
        <f>Assumptions!BR22</f>
        <v>9.1999999999999993</v>
      </c>
      <c r="BS192" s="209">
        <f>Assumptions!BS22</f>
        <v>9.1999999999999993</v>
      </c>
      <c r="BT192" s="209">
        <f>Assumptions!BT22</f>
        <v>9.1999999999999993</v>
      </c>
      <c r="BU192" s="209">
        <f>Assumptions!BU22</f>
        <v>9.1999999999999993</v>
      </c>
      <c r="BV192" s="209">
        <f>Assumptions!BV22</f>
        <v>9.1999999999999993</v>
      </c>
      <c r="BW192" s="209">
        <f>Assumptions!BW22</f>
        <v>9.1999999999999993</v>
      </c>
      <c r="BX192" s="209">
        <f>Assumptions!BX22</f>
        <v>9.1999999999999993</v>
      </c>
      <c r="BY192" s="209">
        <f>Assumptions!BY22</f>
        <v>9.1999999999999993</v>
      </c>
      <c r="BZ192" s="209">
        <f>Assumptions!BZ22</f>
        <v>9.1999999999999993</v>
      </c>
      <c r="CA192" s="209">
        <f>Assumptions!CA22</f>
        <v>9.1999999999999993</v>
      </c>
      <c r="CB192" s="209">
        <f>Assumptions!CB22</f>
        <v>9.1999999999999993</v>
      </c>
      <c r="CC192" s="209">
        <f>Assumptions!CC22</f>
        <v>9.1999999999999993</v>
      </c>
      <c r="CD192" s="209">
        <f>Assumptions!CD22</f>
        <v>9.1999999999999993</v>
      </c>
      <c r="CE192" s="209">
        <f>Assumptions!CE22</f>
        <v>9.1999999999999993</v>
      </c>
      <c r="CF192" s="209">
        <f>Assumptions!CF22</f>
        <v>9.1999999999999993</v>
      </c>
      <c r="CG192" s="209">
        <f>Assumptions!CG22</f>
        <v>9.1999999999999993</v>
      </c>
      <c r="CH192" s="141"/>
      <c r="CI192" s="106">
        <f t="shared" si="462"/>
        <v>0</v>
      </c>
      <c r="CJ192" s="106">
        <f t="shared" si="462"/>
        <v>0</v>
      </c>
      <c r="CK192" s="106">
        <f t="shared" si="462"/>
        <v>0</v>
      </c>
      <c r="CL192" s="106">
        <f t="shared" si="462"/>
        <v>0</v>
      </c>
      <c r="CM192" s="106">
        <f t="shared" si="462"/>
        <v>0</v>
      </c>
      <c r="CN192" s="106">
        <f t="shared" si="462"/>
        <v>0</v>
      </c>
      <c r="CO192" s="106">
        <f t="shared" si="462"/>
        <v>0</v>
      </c>
      <c r="CP192" s="106">
        <f t="shared" si="462"/>
        <v>0</v>
      </c>
      <c r="CQ192" s="106">
        <f t="shared" si="462"/>
        <v>0</v>
      </c>
      <c r="CR192" s="106">
        <f t="shared" si="462"/>
        <v>0</v>
      </c>
      <c r="CS192" s="106">
        <f>CA192-DK192</f>
        <v>0</v>
      </c>
      <c r="CT192" s="106">
        <f>CB192-DL192</f>
        <v>0</v>
      </c>
      <c r="CU192" s="106">
        <f>CC192-DM192</f>
        <v>0</v>
      </c>
      <c r="CV192" s="106">
        <f t="shared" si="473"/>
        <v>0</v>
      </c>
      <c r="CW192" s="106">
        <f t="shared" si="473"/>
        <v>0</v>
      </c>
      <c r="CX192" s="106">
        <f t="shared" si="473"/>
        <v>0</v>
      </c>
      <c r="CY192" s="106">
        <f t="shared" si="473"/>
        <v>0</v>
      </c>
      <c r="CZ192" s="134"/>
      <c r="DA192" s="135">
        <v>9.1</v>
      </c>
      <c r="DB192" s="135">
        <v>9.1999999999999993</v>
      </c>
      <c r="DC192" s="135">
        <v>9.1999999999999993</v>
      </c>
      <c r="DD192" s="135">
        <v>9.1999999999999993</v>
      </c>
      <c r="DE192" s="135">
        <v>9.1999999999999993</v>
      </c>
      <c r="DF192" s="135">
        <v>9.1999999999999993</v>
      </c>
      <c r="DG192" s="135">
        <v>9.1999999999999993</v>
      </c>
      <c r="DH192" s="135">
        <v>9.1999999999999993</v>
      </c>
      <c r="DI192" s="135">
        <v>9.1999999999999993</v>
      </c>
      <c r="DJ192" s="135">
        <v>9.1999999999999993</v>
      </c>
      <c r="DK192" s="135">
        <v>9.1999999999999993</v>
      </c>
      <c r="DL192" s="135">
        <v>9.1999999999999993</v>
      </c>
      <c r="DM192" s="135">
        <v>9.1999999999999993</v>
      </c>
      <c r="DN192" s="135">
        <v>9.1999999999999993</v>
      </c>
      <c r="DO192" s="135">
        <v>9.1999999999999993</v>
      </c>
      <c r="DP192" s="135">
        <v>9.1999999999999993</v>
      </c>
      <c r="DQ192" s="135">
        <v>9.1999999999999993</v>
      </c>
    </row>
    <row r="193" spans="1:121" s="123" customFormat="1">
      <c r="A193" s="141" t="str">
        <f>+Assumptions!A23</f>
        <v>gem creditrente US$ deposito's</v>
      </c>
      <c r="B193" s="141"/>
      <c r="C193" s="158" t="s">
        <v>1349</v>
      </c>
      <c r="D193" s="102"/>
      <c r="E193" s="14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09">
        <f>Assumptions!BF23</f>
        <v>2.8</v>
      </c>
      <c r="BG193" s="209">
        <f>Assumptions!BG23</f>
        <v>3.1</v>
      </c>
      <c r="BH193" s="209">
        <f>Assumptions!BH23</f>
        <v>3</v>
      </c>
      <c r="BI193" s="209">
        <f>Assumptions!BI23</f>
        <v>2.9</v>
      </c>
      <c r="BJ193" s="209">
        <f>Assumptions!BJ23</f>
        <v>2.7</v>
      </c>
      <c r="BK193" s="209">
        <f>Assumptions!BK23</f>
        <v>2.6</v>
      </c>
      <c r="BL193" s="209">
        <f>Assumptions!BL23</f>
        <v>2.6</v>
      </c>
      <c r="BM193" s="209">
        <f>Assumptions!BM23</f>
        <v>2.8</v>
      </c>
      <c r="BN193" s="209">
        <f>Assumptions!BN23</f>
        <v>3.3</v>
      </c>
      <c r="BO193" s="209">
        <f>Assumptions!BO23</f>
        <v>3.8</v>
      </c>
      <c r="BP193" s="209">
        <f>Assumptions!BP23</f>
        <v>3.7</v>
      </c>
      <c r="BQ193" s="209">
        <f>Assumptions!BQ23</f>
        <v>3.4</v>
      </c>
      <c r="BR193" s="209">
        <f>Assumptions!BR23</f>
        <v>3</v>
      </c>
      <c r="BS193" s="209">
        <f>Assumptions!BS23</f>
        <v>3</v>
      </c>
      <c r="BT193" s="209">
        <f>Assumptions!BT23</f>
        <v>3</v>
      </c>
      <c r="BU193" s="209">
        <f>Assumptions!BU23</f>
        <v>3</v>
      </c>
      <c r="BV193" s="209">
        <f>Assumptions!BV23</f>
        <v>3</v>
      </c>
      <c r="BW193" s="209">
        <f>Assumptions!BW23</f>
        <v>3</v>
      </c>
      <c r="BX193" s="209">
        <f>Assumptions!BX23</f>
        <v>3</v>
      </c>
      <c r="BY193" s="209">
        <f>Assumptions!BY23</f>
        <v>3</v>
      </c>
      <c r="BZ193" s="209">
        <f>Assumptions!BZ23</f>
        <v>3</v>
      </c>
      <c r="CA193" s="209">
        <f>Assumptions!CA23</f>
        <v>3</v>
      </c>
      <c r="CB193" s="209">
        <f>Assumptions!CB23</f>
        <v>3</v>
      </c>
      <c r="CC193" s="209">
        <f>Assumptions!CC23</f>
        <v>3</v>
      </c>
      <c r="CD193" s="209">
        <f>Assumptions!CD23</f>
        <v>3</v>
      </c>
      <c r="CE193" s="209">
        <f>Assumptions!CE23</f>
        <v>3</v>
      </c>
      <c r="CF193" s="209">
        <f>Assumptions!CF23</f>
        <v>3</v>
      </c>
      <c r="CG193" s="209">
        <f>Assumptions!CG23</f>
        <v>3</v>
      </c>
      <c r="CH193" s="141"/>
      <c r="CI193" s="106"/>
      <c r="CJ193" s="106"/>
      <c r="CK193" s="106"/>
      <c r="CL193" s="106"/>
      <c r="CM193" s="106"/>
      <c r="CN193" s="106"/>
      <c r="CO193" s="106"/>
      <c r="CP193" s="106"/>
      <c r="CQ193" s="106"/>
      <c r="CR193" s="106"/>
      <c r="CS193" s="106"/>
      <c r="CT193" s="106"/>
      <c r="CU193" s="106"/>
      <c r="CV193" s="106"/>
      <c r="CW193" s="106"/>
      <c r="CX193" s="106"/>
      <c r="CY193" s="106"/>
      <c r="CZ193" s="134"/>
      <c r="DA193" s="135">
        <v>3.4</v>
      </c>
      <c r="DB193" s="135">
        <v>3</v>
      </c>
      <c r="DC193" s="135">
        <v>3</v>
      </c>
      <c r="DD193" s="135">
        <v>3</v>
      </c>
      <c r="DE193" s="135">
        <v>3</v>
      </c>
      <c r="DF193" s="135">
        <v>3</v>
      </c>
      <c r="DG193" s="135">
        <v>3</v>
      </c>
      <c r="DH193" s="135">
        <v>3</v>
      </c>
      <c r="DI193" s="135">
        <v>3</v>
      </c>
      <c r="DJ193" s="135">
        <v>3</v>
      </c>
      <c r="DK193" s="135">
        <v>3</v>
      </c>
      <c r="DL193" s="135">
        <v>3</v>
      </c>
      <c r="DM193" s="135">
        <v>3</v>
      </c>
      <c r="DN193" s="135">
        <v>3</v>
      </c>
      <c r="DO193" s="135">
        <v>3</v>
      </c>
      <c r="DP193" s="135">
        <v>3</v>
      </c>
      <c r="DQ193" s="135">
        <v>3</v>
      </c>
    </row>
    <row r="194" spans="1:121" s="123" customFormat="1">
      <c r="A194" s="141" t="s">
        <v>2389</v>
      </c>
      <c r="B194" s="141"/>
      <c r="C194" s="158" t="s">
        <v>1349</v>
      </c>
      <c r="D194" s="102"/>
      <c r="E194" s="141"/>
      <c r="F194" s="232">
        <f>+mamiabc!F101</f>
        <v>0.9</v>
      </c>
      <c r="G194" s="232">
        <f>+mamiabc!G101</f>
        <v>1.7</v>
      </c>
      <c r="H194" s="232">
        <f>+mamiabc!H101</f>
        <v>2.6600000858306885</v>
      </c>
      <c r="I194" s="232">
        <f>+mamiabc!I101</f>
        <v>3.2599999904632568</v>
      </c>
      <c r="J194" s="232">
        <f>+mamiabc!J101</f>
        <v>1.8400000333786011</v>
      </c>
      <c r="K194" s="232">
        <f>+mamiabc!K101</f>
        <v>3.4200000762939453</v>
      </c>
      <c r="L194" s="232">
        <f>+mamiabc!L101</f>
        <v>2.940000057220459</v>
      </c>
      <c r="M194" s="232">
        <f>+mamiabc!M101</f>
        <v>2.380000114440918</v>
      </c>
      <c r="N194" s="232">
        <f>+mamiabc!N101</f>
        <v>2.7799999713897705</v>
      </c>
      <c r="O194" s="232">
        <f>+mamiabc!O101</f>
        <v>3.1600000858306885</v>
      </c>
      <c r="P194" s="232">
        <f>+mamiabc!P101</f>
        <v>3.5499999523162842</v>
      </c>
      <c r="Q194" s="232">
        <f>+mamiabc!Q101</f>
        <v>3.9500000476837158</v>
      </c>
      <c r="R194" s="232">
        <f>+mamiabc!R101</f>
        <v>4.880000114440918</v>
      </c>
      <c r="S194" s="232">
        <f>+mamiabc!S101</f>
        <v>4.3299999237060547</v>
      </c>
      <c r="T194" s="232">
        <f>+mamiabc!T101</f>
        <v>5.3499999046325684</v>
      </c>
      <c r="U194" s="232">
        <f>+mamiabc!U101</f>
        <v>6.690000057220459</v>
      </c>
      <c r="V194" s="232">
        <f>+mamiabc!V101</f>
        <v>6.440000057220459</v>
      </c>
      <c r="W194" s="232">
        <f>+mamiabc!W101</f>
        <v>4.3400001525878906</v>
      </c>
      <c r="X194" s="232">
        <f>+mamiabc!X101</f>
        <v>4.070000171661377</v>
      </c>
      <c r="Y194" s="232">
        <f>+mamiabc!Y101</f>
        <v>7.0300002098083496</v>
      </c>
      <c r="Z194" s="232">
        <f>+mamiabc!Z101</f>
        <v>7.869999885559082</v>
      </c>
      <c r="AA194" s="232">
        <f>+mamiabc!AA101</f>
        <v>5.820000171661377</v>
      </c>
      <c r="AB194" s="232">
        <f>+mamiabc!AB101</f>
        <v>4.9899997711181641</v>
      </c>
      <c r="AC194" s="232">
        <f>+mamiabc!AC101</f>
        <v>5.2699999809265137</v>
      </c>
      <c r="AD194" s="232">
        <f>+mamiabc!AD101</f>
        <v>7.2199997901916504</v>
      </c>
      <c r="AE194" s="232">
        <f>+mamiabc!AE101</f>
        <v>10.039999961853027</v>
      </c>
      <c r="AF194" s="232">
        <f>+mamiabc!AF101</f>
        <v>11.619999885559082</v>
      </c>
      <c r="AG194" s="232">
        <f>+mamiabc!AG101</f>
        <v>11.619999885559082</v>
      </c>
      <c r="AH194" s="232">
        <f>+mamiabc!AH101</f>
        <v>10.720000267028809</v>
      </c>
      <c r="AI194" s="232">
        <f>+mamiabc!AI101</f>
        <v>8.619999885559082</v>
      </c>
      <c r="AJ194" s="232">
        <f>+mamiabc!AJ101</f>
        <v>9.5699996948242188</v>
      </c>
      <c r="AK194" s="232">
        <f>+mamiabc!AK101</f>
        <v>7.4899997711181641</v>
      </c>
      <c r="AL194" s="232">
        <f>+mamiabc!AL101</f>
        <v>5.9699997901916504</v>
      </c>
      <c r="AM194" s="232">
        <f>+mamiabc!AM101</f>
        <v>5.8299999237060547</v>
      </c>
      <c r="AN194" s="232">
        <f>+mamiabc!AN101</f>
        <v>6.6999998092651367</v>
      </c>
      <c r="AO194" s="232">
        <f>+mamiabc!AO101</f>
        <v>8.1000003814697266</v>
      </c>
      <c r="AP194" s="232">
        <f>+mamiabc!AP101</f>
        <v>7.5</v>
      </c>
      <c r="AQ194" s="232">
        <f>+mamiabc!AQ101</f>
        <v>7.9</v>
      </c>
      <c r="AR194" s="232">
        <f>+mamiabc!AR101</f>
        <v>7</v>
      </c>
      <c r="AS194" s="232">
        <f>+mamiabc!AS101</f>
        <v>5.9</v>
      </c>
      <c r="AT194" s="232">
        <f>+mamiabc!AT101</f>
        <v>7.1</v>
      </c>
      <c r="AU194" s="232">
        <f>+mamiabc!AU101</f>
        <v>6.6</v>
      </c>
      <c r="AV194" s="232">
        <f>+mamiabc!AV101</f>
        <v>6.4</v>
      </c>
      <c r="AW194" s="232">
        <f>+mamiabc!AW101</f>
        <v>6.4</v>
      </c>
      <c r="AX194" s="232">
        <f>+mamiabc!AX101</f>
        <v>5.3</v>
      </c>
      <c r="AY194" s="232">
        <f>+mamiabc!AY101</f>
        <v>5.6</v>
      </c>
      <c r="AZ194" s="232">
        <f>+mamiabc!AZ101</f>
        <v>6</v>
      </c>
      <c r="BA194" s="232">
        <f>+mamiabc!BA101</f>
        <v>5</v>
      </c>
      <c r="BB194" s="232">
        <f>+mamiabc!BB101</f>
        <v>4.5999999999999996</v>
      </c>
      <c r="BC194" s="232">
        <f>+mamiabc!BC101</f>
        <v>4</v>
      </c>
      <c r="BD194" s="232">
        <f>+mamiabc!BD101</f>
        <v>4.3</v>
      </c>
      <c r="BE194" s="232">
        <f>+mamiabc!BE101</f>
        <v>4.5</v>
      </c>
      <c r="BF194" s="209">
        <f>+Assumptions!BF24</f>
        <v>3</v>
      </c>
      <c r="BG194" s="209">
        <f>+Assumptions!BG24</f>
        <v>3</v>
      </c>
      <c r="BH194" s="209">
        <f>+Assumptions!BH24</f>
        <v>3</v>
      </c>
      <c r="BI194" s="209">
        <f>+Assumptions!BI24</f>
        <v>3</v>
      </c>
      <c r="BJ194" s="209">
        <f>+Assumptions!BJ24</f>
        <v>3</v>
      </c>
      <c r="BK194" s="209">
        <f>+Assumptions!BK24</f>
        <v>3</v>
      </c>
      <c r="BL194" s="209">
        <f>+Assumptions!BL24</f>
        <v>3</v>
      </c>
      <c r="BM194" s="209">
        <f>+Assumptions!BM24</f>
        <v>3</v>
      </c>
      <c r="BN194" s="209">
        <f>+Assumptions!BN24</f>
        <v>3</v>
      </c>
      <c r="BO194" s="209">
        <f>+Assumptions!BO24</f>
        <v>3</v>
      </c>
      <c r="BP194" s="209">
        <f>+Assumptions!BP24</f>
        <v>9</v>
      </c>
      <c r="BQ194" s="209">
        <f>+Assumptions!BQ24</f>
        <v>9</v>
      </c>
      <c r="BR194" s="209">
        <f>+Assumptions!BR24</f>
        <v>9</v>
      </c>
      <c r="BS194" s="209">
        <f>+Assumptions!BS24</f>
        <v>9</v>
      </c>
      <c r="BT194" s="209">
        <f>+Assumptions!BT24</f>
        <v>9</v>
      </c>
      <c r="BU194" s="209">
        <f>+Assumptions!BU24</f>
        <v>9</v>
      </c>
      <c r="BV194" s="209">
        <f>+Assumptions!BV24</f>
        <v>9</v>
      </c>
      <c r="BW194" s="209">
        <f>+Assumptions!BW24</f>
        <v>9</v>
      </c>
      <c r="BX194" s="209">
        <f>+Assumptions!BX24</f>
        <v>9</v>
      </c>
      <c r="BY194" s="209">
        <f>+Assumptions!BY24</f>
        <v>9</v>
      </c>
      <c r="BZ194" s="209">
        <f>+Assumptions!BZ24</f>
        <v>9</v>
      </c>
      <c r="CA194" s="209">
        <f>+Assumptions!CA24</f>
        <v>9</v>
      </c>
      <c r="CB194" s="209">
        <f>+Assumptions!CB24</f>
        <v>9</v>
      </c>
      <c r="CC194" s="209">
        <f>+Assumptions!CC24</f>
        <v>9</v>
      </c>
      <c r="CD194" s="209">
        <f>+Assumptions!CD24</f>
        <v>9</v>
      </c>
      <c r="CE194" s="209">
        <f>+Assumptions!CE24</f>
        <v>9</v>
      </c>
      <c r="CF194" s="209">
        <f>+Assumptions!CF24</f>
        <v>9</v>
      </c>
      <c r="CG194" s="209">
        <f>+Assumptions!CG24</f>
        <v>9</v>
      </c>
      <c r="CH194" s="196"/>
      <c r="CI194" s="106">
        <f t="shared" si="462"/>
        <v>0</v>
      </c>
      <c r="CJ194" s="106">
        <f t="shared" si="462"/>
        <v>0</v>
      </c>
      <c r="CK194" s="106">
        <f t="shared" si="462"/>
        <v>0</v>
      </c>
      <c r="CL194" s="106">
        <f t="shared" si="462"/>
        <v>0</v>
      </c>
      <c r="CM194" s="106">
        <f t="shared" si="462"/>
        <v>0</v>
      </c>
      <c r="CN194" s="106">
        <f t="shared" si="462"/>
        <v>0</v>
      </c>
      <c r="CO194" s="106">
        <f t="shared" si="462"/>
        <v>0</v>
      </c>
      <c r="CP194" s="106">
        <f t="shared" si="462"/>
        <v>0</v>
      </c>
      <c r="CQ194" s="106">
        <f t="shared" si="462"/>
        <v>0</v>
      </c>
      <c r="CR194" s="106">
        <f t="shared" si="462"/>
        <v>0</v>
      </c>
      <c r="CS194" s="106">
        <f t="shared" ref="CS194:CU198" si="474">CA194-DK194</f>
        <v>0</v>
      </c>
      <c r="CT194" s="106">
        <f t="shared" si="474"/>
        <v>0</v>
      </c>
      <c r="CU194" s="106">
        <f t="shared" si="474"/>
        <v>0</v>
      </c>
      <c r="CV194" s="106">
        <f t="shared" ref="CV194:CY198" si="475">CD194-DN194</f>
        <v>0</v>
      </c>
      <c r="CW194" s="106">
        <f t="shared" si="475"/>
        <v>0</v>
      </c>
      <c r="CX194" s="106">
        <f t="shared" si="475"/>
        <v>0</v>
      </c>
      <c r="CY194" s="106">
        <f t="shared" si="475"/>
        <v>0</v>
      </c>
      <c r="CZ194" s="134"/>
      <c r="DA194" s="135">
        <v>9</v>
      </c>
      <c r="DB194" s="135">
        <v>9</v>
      </c>
      <c r="DC194" s="135">
        <v>9</v>
      </c>
      <c r="DD194" s="135">
        <v>9</v>
      </c>
      <c r="DE194" s="135">
        <v>9</v>
      </c>
      <c r="DF194" s="135">
        <v>9</v>
      </c>
      <c r="DG194" s="135">
        <v>9</v>
      </c>
      <c r="DH194" s="135">
        <v>9</v>
      </c>
      <c r="DI194" s="135">
        <v>9</v>
      </c>
      <c r="DJ194" s="135">
        <v>9</v>
      </c>
      <c r="DK194" s="135">
        <v>9</v>
      </c>
      <c r="DL194" s="135">
        <v>9</v>
      </c>
      <c r="DM194" s="135">
        <v>9</v>
      </c>
      <c r="DN194" s="135">
        <v>9</v>
      </c>
      <c r="DO194" s="135">
        <v>9</v>
      </c>
      <c r="DP194" s="135">
        <v>9</v>
      </c>
      <c r="DQ194" s="135">
        <v>9</v>
      </c>
    </row>
    <row r="195" spans="1:121" s="123" customFormat="1">
      <c r="A195" s="141" t="s">
        <v>1281</v>
      </c>
      <c r="B195" s="141"/>
      <c r="C195" s="158" t="s">
        <v>1349</v>
      </c>
      <c r="D195" s="102"/>
      <c r="E195" s="141"/>
      <c r="F195" s="123" t="s">
        <v>1344</v>
      </c>
      <c r="G195" s="123" t="s">
        <v>1344</v>
      </c>
      <c r="H195" s="123" t="s">
        <v>1344</v>
      </c>
      <c r="I195" s="123" t="s">
        <v>1344</v>
      </c>
      <c r="J195" s="123" t="s">
        <v>1344</v>
      </c>
      <c r="K195" s="123" t="s">
        <v>1344</v>
      </c>
      <c r="L195" s="123" t="s">
        <v>1344</v>
      </c>
      <c r="M195" s="123" t="s">
        <v>1344</v>
      </c>
      <c r="N195" s="123" t="s">
        <v>1344</v>
      </c>
      <c r="O195" s="123" t="s">
        <v>1344</v>
      </c>
      <c r="P195" s="123" t="s">
        <v>1344</v>
      </c>
      <c r="Q195" s="123" t="s">
        <v>1344</v>
      </c>
      <c r="R195" s="123" t="s">
        <v>1344</v>
      </c>
      <c r="S195" s="123" t="s">
        <v>1344</v>
      </c>
      <c r="T195" s="123" t="s">
        <v>1344</v>
      </c>
      <c r="U195" s="123" t="s">
        <v>1344</v>
      </c>
      <c r="V195" s="123" t="s">
        <v>1344</v>
      </c>
      <c r="W195" s="123" t="s">
        <v>1344</v>
      </c>
      <c r="X195" s="123" t="s">
        <v>1344</v>
      </c>
      <c r="Y195" s="123" t="s">
        <v>1344</v>
      </c>
      <c r="Z195" s="123" t="s">
        <v>1344</v>
      </c>
      <c r="AA195" s="123" t="s">
        <v>1344</v>
      </c>
      <c r="AB195" s="123" t="s">
        <v>1344</v>
      </c>
      <c r="AC195" s="123" t="s">
        <v>1344</v>
      </c>
      <c r="AD195" s="123" t="s">
        <v>1344</v>
      </c>
      <c r="AE195" s="123" t="s">
        <v>1344</v>
      </c>
      <c r="AF195" s="123" t="s">
        <v>1344</v>
      </c>
      <c r="AG195" s="123" t="s">
        <v>1344</v>
      </c>
      <c r="AH195" s="123" t="s">
        <v>1344</v>
      </c>
      <c r="AI195" s="123" t="s">
        <v>1344</v>
      </c>
      <c r="AJ195" s="123" t="s">
        <v>1344</v>
      </c>
      <c r="AK195" s="123" t="s">
        <v>1344</v>
      </c>
      <c r="AL195" s="123" t="s">
        <v>1344</v>
      </c>
      <c r="AM195" s="123" t="s">
        <v>1344</v>
      </c>
      <c r="AN195" s="232">
        <f>+mamiabc!AN86</f>
        <v>4.2</v>
      </c>
      <c r="AO195" s="232">
        <f>+mamiabc!AO86</f>
        <v>4.9000000000000004</v>
      </c>
      <c r="AP195" s="232">
        <f>+mamiabc!AP86</f>
        <v>5</v>
      </c>
      <c r="AQ195" s="232">
        <f>+mamiabc!AQ86</f>
        <v>4</v>
      </c>
      <c r="AR195" s="232">
        <f>+mamiabc!AR86</f>
        <v>3</v>
      </c>
      <c r="AS195" s="232">
        <f>+mamiabc!AS86</f>
        <v>3</v>
      </c>
      <c r="AT195" s="232">
        <f>+mamiabc!AT86</f>
        <v>2.6</v>
      </c>
      <c r="AU195" s="232">
        <f>+mamiabc!AU86</f>
        <v>2.8</v>
      </c>
      <c r="AV195" s="232">
        <f>+mamiabc!AV86</f>
        <v>2.9</v>
      </c>
      <c r="AW195" s="232">
        <f>+mamiabc!AW86</f>
        <v>2.2999999999999998</v>
      </c>
      <c r="AX195" s="232">
        <f>+mamiabc!AX86</f>
        <v>1.5</v>
      </c>
      <c r="AY195" s="232">
        <f>+mamiabc!AY86</f>
        <v>2.2000000000000002</v>
      </c>
      <c r="AZ195" s="232">
        <f>+mamiabc!AZ86</f>
        <v>3.4</v>
      </c>
      <c r="BA195" s="232">
        <f>+mamiabc!BA86</f>
        <v>2.8</v>
      </c>
      <c r="BB195" s="232">
        <f>+mamiabc!BB86</f>
        <v>1.6</v>
      </c>
      <c r="BC195" s="232">
        <f>+mamiabc!BC86</f>
        <v>2.2999999999999998</v>
      </c>
      <c r="BD195" s="232">
        <f>+mamiabc!BD86</f>
        <v>2.7</v>
      </c>
      <c r="BE195" s="232">
        <f>+mamiabc!BE86</f>
        <v>3</v>
      </c>
      <c r="BF195" s="144">
        <f>Assumptions!BF25</f>
        <v>4.0549999999999997</v>
      </c>
      <c r="BG195" s="144">
        <f>Assumptions!BG25</f>
        <v>5.9939999999999998</v>
      </c>
      <c r="BH195" s="144">
        <f>Assumptions!BH25</f>
        <v>2.484</v>
      </c>
      <c r="BI195" s="144">
        <f>Assumptions!BI25</f>
        <v>3.5870000000000002</v>
      </c>
      <c r="BJ195" s="144">
        <f>Assumptions!BJ25</f>
        <v>4.8460000000000001</v>
      </c>
      <c r="BK195" s="144">
        <f>Assumptions!BK25</f>
        <v>3.9769999999999999</v>
      </c>
      <c r="BL195" s="144">
        <f>Assumptions!BL25</f>
        <v>3.762</v>
      </c>
      <c r="BM195" s="144">
        <f>Assumptions!BM25</f>
        <v>3.7570000000000001</v>
      </c>
      <c r="BN195" s="144">
        <f>Assumptions!BN25</f>
        <v>3.7570000000000001</v>
      </c>
      <c r="BO195" s="144">
        <f>Assumptions!BO25</f>
        <v>3.7570000000000001</v>
      </c>
      <c r="BP195" s="144">
        <f>Assumptions!BP25</f>
        <v>3.7570000000000001</v>
      </c>
      <c r="BQ195" s="144">
        <f>Assumptions!BQ25</f>
        <v>2</v>
      </c>
      <c r="BR195" s="144">
        <f>Assumptions!BR25</f>
        <v>2</v>
      </c>
      <c r="BS195" s="144">
        <f>Assumptions!BS25</f>
        <v>2</v>
      </c>
      <c r="BT195" s="144">
        <f>Assumptions!BT25</f>
        <v>2</v>
      </c>
      <c r="BU195" s="144">
        <f>Assumptions!BU25</f>
        <v>2</v>
      </c>
      <c r="BV195" s="144">
        <f>Assumptions!BV25</f>
        <v>2</v>
      </c>
      <c r="BW195" s="144">
        <f>Assumptions!BW25</f>
        <v>2</v>
      </c>
      <c r="BX195" s="144">
        <f>Assumptions!BX25</f>
        <v>2</v>
      </c>
      <c r="BY195" s="144">
        <f>Assumptions!BY25</f>
        <v>2</v>
      </c>
      <c r="BZ195" s="144">
        <f>Assumptions!BZ25</f>
        <v>2</v>
      </c>
      <c r="CA195" s="144">
        <f>Assumptions!CA25</f>
        <v>2</v>
      </c>
      <c r="CB195" s="144">
        <f>Assumptions!CB25</f>
        <v>2</v>
      </c>
      <c r="CC195" s="144">
        <f>Assumptions!CC25</f>
        <v>2</v>
      </c>
      <c r="CD195" s="144">
        <f>Assumptions!CD25</f>
        <v>2</v>
      </c>
      <c r="CE195" s="144">
        <f>Assumptions!CE25</f>
        <v>2</v>
      </c>
      <c r="CF195" s="144">
        <f>Assumptions!CF25</f>
        <v>2</v>
      </c>
      <c r="CG195" s="144">
        <f>Assumptions!CG25</f>
        <v>2</v>
      </c>
      <c r="CH195" s="141"/>
      <c r="CI195" s="106">
        <f t="shared" si="462"/>
        <v>0</v>
      </c>
      <c r="CJ195" s="106">
        <f t="shared" si="462"/>
        <v>0</v>
      </c>
      <c r="CK195" s="106">
        <f t="shared" si="462"/>
        <v>0</v>
      </c>
      <c r="CL195" s="106">
        <f t="shared" si="462"/>
        <v>0</v>
      </c>
      <c r="CM195" s="106">
        <f t="shared" si="462"/>
        <v>0</v>
      </c>
      <c r="CN195" s="106">
        <f t="shared" si="462"/>
        <v>0</v>
      </c>
      <c r="CO195" s="106">
        <f t="shared" si="462"/>
        <v>0</v>
      </c>
      <c r="CP195" s="106">
        <f t="shared" si="462"/>
        <v>0</v>
      </c>
      <c r="CQ195" s="106">
        <f t="shared" si="462"/>
        <v>0</v>
      </c>
      <c r="CR195" s="106">
        <f t="shared" si="462"/>
        <v>0</v>
      </c>
      <c r="CS195" s="106">
        <f t="shared" si="474"/>
        <v>0</v>
      </c>
      <c r="CT195" s="106">
        <f t="shared" si="474"/>
        <v>0</v>
      </c>
      <c r="CU195" s="106">
        <f t="shared" si="474"/>
        <v>0</v>
      </c>
      <c r="CV195" s="106">
        <f t="shared" si="475"/>
        <v>0</v>
      </c>
      <c r="CW195" s="106">
        <f t="shared" si="475"/>
        <v>0</v>
      </c>
      <c r="CX195" s="106">
        <f t="shared" si="475"/>
        <v>0</v>
      </c>
      <c r="CY195" s="106">
        <f t="shared" si="475"/>
        <v>0</v>
      </c>
      <c r="CZ195" s="134"/>
      <c r="DA195" s="135">
        <v>2</v>
      </c>
      <c r="DB195" s="135">
        <v>2</v>
      </c>
      <c r="DC195" s="135">
        <v>2</v>
      </c>
      <c r="DD195" s="135">
        <v>2</v>
      </c>
      <c r="DE195" s="135">
        <v>2</v>
      </c>
      <c r="DF195" s="135">
        <v>2</v>
      </c>
      <c r="DG195" s="135">
        <v>2</v>
      </c>
      <c r="DH195" s="135">
        <v>2</v>
      </c>
      <c r="DI195" s="135">
        <v>2</v>
      </c>
      <c r="DJ195" s="135">
        <v>2</v>
      </c>
      <c r="DK195" s="135">
        <v>2</v>
      </c>
      <c r="DL195" s="135">
        <v>2</v>
      </c>
      <c r="DM195" s="135">
        <v>2</v>
      </c>
      <c r="DN195" s="135">
        <v>2</v>
      </c>
      <c r="DO195" s="135">
        <v>2</v>
      </c>
      <c r="DP195" s="135">
        <v>2</v>
      </c>
      <c r="DQ195" s="135">
        <v>2</v>
      </c>
    </row>
    <row r="196" spans="1:121" s="123" customFormat="1">
      <c r="A196" s="141" t="s">
        <v>2390</v>
      </c>
      <c r="B196" s="141"/>
      <c r="C196" s="158" t="s">
        <v>918</v>
      </c>
      <c r="D196" s="102" t="s">
        <v>2770</v>
      </c>
      <c r="E196" s="141"/>
      <c r="F196" s="511">
        <f>G196</f>
        <v>1.885E-3</v>
      </c>
      <c r="G196" s="511">
        <f>+SOURCE!G464</f>
        <v>1.885E-3</v>
      </c>
      <c r="H196" s="511">
        <f>+SOURCE!H464</f>
        <v>1.885E-3</v>
      </c>
      <c r="I196" s="511">
        <f>+SOURCE!I464</f>
        <v>1.885E-3</v>
      </c>
      <c r="J196" s="511">
        <f>+SOURCE!J464</f>
        <v>1.885E-3</v>
      </c>
      <c r="K196" s="511">
        <f>+SOURCE!K464</f>
        <v>1.885E-3</v>
      </c>
      <c r="L196" s="511">
        <f>+SOURCE!L464</f>
        <v>1.885E-3</v>
      </c>
      <c r="M196" s="511">
        <f>+SOURCE!M464</f>
        <v>1.885E-3</v>
      </c>
      <c r="N196" s="511">
        <f>+SOURCE!N464</f>
        <v>1.885E-3</v>
      </c>
      <c r="O196" s="511">
        <f>+SOURCE!O464</f>
        <v>1.885E-3</v>
      </c>
      <c r="P196" s="511">
        <f>+SOURCE!P464</f>
        <v>1.885E-3</v>
      </c>
      <c r="Q196" s="511">
        <f>+SOURCE!Q464</f>
        <v>1.885E-3</v>
      </c>
      <c r="R196" s="511">
        <f>+SOURCE!R464</f>
        <v>1.885E-3</v>
      </c>
      <c r="S196" s="511">
        <f>+SOURCE!S464</f>
        <v>1.885E-3</v>
      </c>
      <c r="T196" s="511">
        <f>+SOURCE!T464</f>
        <v>1.885E-3</v>
      </c>
      <c r="U196" s="511">
        <f>+SOURCE!U464</f>
        <v>1.885E-3</v>
      </c>
      <c r="V196" s="511">
        <f>+SOURCE!V464</f>
        <v>1.885E-3</v>
      </c>
      <c r="W196" s="511">
        <f>+SOURCE!W464</f>
        <v>1.885E-3</v>
      </c>
      <c r="X196" s="511">
        <f>+SOURCE!X464</f>
        <v>1.7849999999999999E-3</v>
      </c>
      <c r="Y196" s="511">
        <f>+SOURCE!Y464</f>
        <v>1.7849999999999999E-3</v>
      </c>
      <c r="Z196" s="511">
        <f>+SOURCE!Z464</f>
        <v>1.7849999999999999E-3</v>
      </c>
      <c r="AA196" s="511">
        <f>+SOURCE!AA464</f>
        <v>1.7849999999999999E-3</v>
      </c>
      <c r="AB196" s="511">
        <f>+SOURCE!AB464</f>
        <v>1.7849999999999999E-3</v>
      </c>
      <c r="AC196" s="511">
        <f>+SOURCE!AC464</f>
        <v>1.7849999999999999E-3</v>
      </c>
      <c r="AD196" s="511">
        <f>+SOURCE!AD464</f>
        <v>1.7849999999999999E-3</v>
      </c>
      <c r="AE196" s="511">
        <f>+SOURCE!AE464</f>
        <v>1.7849999999999999E-3</v>
      </c>
      <c r="AF196" s="511">
        <f>+SOURCE!AF464</f>
        <v>1.7849999999999999E-3</v>
      </c>
      <c r="AG196" s="511">
        <f>+SOURCE!AG464</f>
        <v>1.7849999999999999E-3</v>
      </c>
      <c r="AH196" s="511">
        <f>+SOURCE!AH464</f>
        <v>1.7849999999999999E-3</v>
      </c>
      <c r="AI196" s="511">
        <f>+SOURCE!AI464</f>
        <v>1.7849999999999999E-3</v>
      </c>
      <c r="AJ196" s="511">
        <f>+SOURCE!AJ464</f>
        <v>1.7849999999999999E-3</v>
      </c>
      <c r="AK196" s="511">
        <f>+SOURCE!AK464</f>
        <v>2.0401500000000001E-3</v>
      </c>
      <c r="AL196" s="511">
        <f>+SOURCE!AL464</f>
        <v>2.4601499999999999E-3</v>
      </c>
      <c r="AM196" s="511">
        <f>+SOURCE!AM464</f>
        <v>3.5416500000000004E-3</v>
      </c>
      <c r="AN196" s="511">
        <f>+SOURCE!AN464</f>
        <v>3.4891499999999999E-3</v>
      </c>
      <c r="AO196" s="517">
        <f>+SOURCE!AO464</f>
        <v>4.5265499999999998E-3</v>
      </c>
      <c r="AP196" s="517">
        <f>+SOURCE!AP464</f>
        <v>4.9465500000000001E-3</v>
      </c>
      <c r="AQ196" s="517">
        <f>+SOURCE!AQ464</f>
        <v>6.3073499999999998E-3</v>
      </c>
      <c r="AR196" s="517">
        <f>+SOURCE!AR464</f>
        <v>7.9985500000000001E-3</v>
      </c>
      <c r="AS196" s="517">
        <f>+SOURCE!AS464</f>
        <v>1.8697350000000001E-2</v>
      </c>
      <c r="AT196" s="517">
        <f>+SOURCE!AT464</f>
        <v>6.7114950000000007E-2</v>
      </c>
      <c r="AU196" s="511">
        <f>+SOURCE!AU464</f>
        <v>0.45342905</v>
      </c>
      <c r="AV196" s="511">
        <f>+SOURCE!AV464</f>
        <v>0.40414675</v>
      </c>
      <c r="AW196" s="511">
        <f>+SOURCE!AW464</f>
        <v>0.40827650000000004</v>
      </c>
      <c r="AX196" s="511">
        <f>+SOURCE!AX464</f>
        <v>0.4334345</v>
      </c>
      <c r="AY196" s="511">
        <f>+SOURCE!AY464</f>
        <v>0.94208350000000007</v>
      </c>
      <c r="AZ196" s="511">
        <f>+SOURCE!AZ464</f>
        <v>1.4554920000000002</v>
      </c>
      <c r="BA196" s="511">
        <f>+SOURCE!BA464</f>
        <v>2.1924597500000003</v>
      </c>
      <c r="BB196" s="511">
        <f>+SOURCE!BB464</f>
        <v>2.4200925</v>
      </c>
      <c r="BC196" s="511">
        <f>+SOURCE!BC464</f>
        <v>2.6855824999999998</v>
      </c>
      <c r="BD196" s="511">
        <f>+SOURCE!BD464</f>
        <v>2.7638250000000002</v>
      </c>
      <c r="BE196" s="511">
        <f>+SOURCE!BE464</f>
        <v>2.7638250000000002</v>
      </c>
      <c r="BF196" s="510">
        <f>+SOURCE!BF464</f>
        <v>2.7638250000000002</v>
      </c>
      <c r="BG196" s="209">
        <f>+SOURCE!BG464</f>
        <v>2.7638250000000002</v>
      </c>
      <c r="BH196" s="209">
        <f>+SOURCE!BH464</f>
        <v>2.7638250000000002</v>
      </c>
      <c r="BI196" s="209">
        <f>+SOURCE!BI464</f>
        <v>2.7638250000000002</v>
      </c>
      <c r="BJ196" s="209">
        <f>+SOURCE!BJ464</f>
        <v>2.7638250000000002</v>
      </c>
      <c r="BK196" s="209">
        <f>+SOURCE!BK464</f>
        <v>2.7638250000000002</v>
      </c>
      <c r="BL196" s="209">
        <f>+SOURCE!BL464</f>
        <v>2.7638250000000002</v>
      </c>
      <c r="BM196" s="209">
        <f>+SOURCE!BM464</f>
        <v>2.7638250000000002</v>
      </c>
      <c r="BN196" s="209">
        <f>+SOURCE!BN464</f>
        <v>2.7638250000000002</v>
      </c>
      <c r="BO196" s="209">
        <f>+SOURCE!BO464</f>
        <v>2.7638250000000002</v>
      </c>
      <c r="BP196" s="209">
        <f>+SOURCE!BP464</f>
        <v>6.5</v>
      </c>
      <c r="BQ196" s="209">
        <f>+SOURCE!BQ464</f>
        <v>7.51</v>
      </c>
      <c r="BR196" s="209">
        <f>+SOURCE!BR464</f>
        <v>7.53</v>
      </c>
      <c r="BS196" s="209">
        <f>+SOURCE!BS464</f>
        <v>8.1999999999999993</v>
      </c>
      <c r="BT196" s="209">
        <f>+SOURCE!BT464</f>
        <v>13.1</v>
      </c>
      <c r="BU196" s="269">
        <f>BT196*(1+Assumptions!BU64/100)</f>
        <v>20.96</v>
      </c>
      <c r="BV196" s="269">
        <f>BU196*(1+Assumptions!BV64/100)</f>
        <v>20.96</v>
      </c>
      <c r="BW196" s="269">
        <f>BV196*(1+Assumptions!BW64/100)</f>
        <v>20.96</v>
      </c>
      <c r="BX196" s="269">
        <f>BW196*(1+Assumptions!BX64/100)</f>
        <v>20.96</v>
      </c>
      <c r="BY196" s="269">
        <f>BX196*(1+Assumptions!BY64/100)</f>
        <v>20.96</v>
      </c>
      <c r="BZ196" s="269">
        <f>BY196*(1+Assumptions!BZ64/100)</f>
        <v>20.96</v>
      </c>
      <c r="CA196" s="269">
        <f>BZ196*(1+Assumptions!CA64/100)</f>
        <v>20.96</v>
      </c>
      <c r="CB196" s="269">
        <f>CA196*(1+Assumptions!CB64/100)</f>
        <v>20.96</v>
      </c>
      <c r="CC196" s="269">
        <f>CB196*(1+Assumptions!CC64/100)</f>
        <v>20.96</v>
      </c>
      <c r="CD196" s="269">
        <f>CC196*(1+Assumptions!CD64/100)</f>
        <v>20.96</v>
      </c>
      <c r="CE196" s="269">
        <f>CD196*(1+Assumptions!CE64/100)</f>
        <v>20.96</v>
      </c>
      <c r="CF196" s="269">
        <f>CE196*(1+Assumptions!CF64/100)</f>
        <v>20.96</v>
      </c>
      <c r="CG196" s="269">
        <f>CF196*(1+Assumptions!CG64/100)</f>
        <v>20.96</v>
      </c>
      <c r="CH196" s="196"/>
      <c r="CI196" s="106">
        <f t="shared" si="462"/>
        <v>0</v>
      </c>
      <c r="CJ196" s="106">
        <f t="shared" si="462"/>
        <v>0</v>
      </c>
      <c r="CK196" s="106">
        <f t="shared" si="462"/>
        <v>0</v>
      </c>
      <c r="CL196" s="106">
        <f t="shared" si="462"/>
        <v>0</v>
      </c>
      <c r="CM196" s="106">
        <f t="shared" si="462"/>
        <v>2.620000000000001</v>
      </c>
      <c r="CN196" s="106">
        <f t="shared" si="462"/>
        <v>2.620000000000001</v>
      </c>
      <c r="CO196" s="106">
        <f t="shared" si="462"/>
        <v>2.620000000000001</v>
      </c>
      <c r="CP196" s="106">
        <f t="shared" si="462"/>
        <v>2.620000000000001</v>
      </c>
      <c r="CQ196" s="106">
        <f t="shared" si="462"/>
        <v>2.620000000000001</v>
      </c>
      <c r="CR196" s="106">
        <f t="shared" si="462"/>
        <v>2.620000000000001</v>
      </c>
      <c r="CS196" s="106">
        <f t="shared" si="474"/>
        <v>2.620000000000001</v>
      </c>
      <c r="CT196" s="106">
        <f t="shared" si="474"/>
        <v>2.620000000000001</v>
      </c>
      <c r="CU196" s="106">
        <f t="shared" si="474"/>
        <v>2.620000000000001</v>
      </c>
      <c r="CV196" s="106">
        <f t="shared" si="475"/>
        <v>2.620000000000001</v>
      </c>
      <c r="CW196" s="106">
        <f t="shared" si="475"/>
        <v>2.620000000000001</v>
      </c>
      <c r="CX196" s="106">
        <f t="shared" si="475"/>
        <v>2.620000000000001</v>
      </c>
      <c r="CY196" s="106">
        <f t="shared" si="475"/>
        <v>2.620000000000001</v>
      </c>
      <c r="CZ196" s="134"/>
      <c r="DA196" s="135">
        <v>7.51</v>
      </c>
      <c r="DB196" s="135">
        <v>7.53</v>
      </c>
      <c r="DC196" s="135">
        <v>8.1999999999999993</v>
      </c>
      <c r="DD196" s="135">
        <v>13.1</v>
      </c>
      <c r="DE196" s="135">
        <v>18.34</v>
      </c>
      <c r="DF196" s="135">
        <v>18.34</v>
      </c>
      <c r="DG196" s="135">
        <v>18.34</v>
      </c>
      <c r="DH196" s="135">
        <v>18.34</v>
      </c>
      <c r="DI196" s="135">
        <v>18.34</v>
      </c>
      <c r="DJ196" s="135">
        <v>18.34</v>
      </c>
      <c r="DK196" s="135">
        <v>18.34</v>
      </c>
      <c r="DL196" s="135">
        <v>18.34</v>
      </c>
      <c r="DM196" s="135">
        <v>18.34</v>
      </c>
      <c r="DN196" s="135">
        <v>18.34</v>
      </c>
      <c r="DO196" s="135">
        <v>18.34</v>
      </c>
      <c r="DP196" s="135">
        <v>18.34</v>
      </c>
      <c r="DQ196" s="135">
        <v>18.34</v>
      </c>
    </row>
    <row r="197" spans="1:121" s="123" customFormat="1">
      <c r="A197" s="141" t="s">
        <v>725</v>
      </c>
      <c r="B197" s="141"/>
      <c r="C197" s="158" t="s">
        <v>918</v>
      </c>
      <c r="D197" s="102"/>
      <c r="E197" s="141"/>
      <c r="F197" s="206">
        <f t="shared" ref="F197:AK197" si="476">F178/F17</f>
        <v>0</v>
      </c>
      <c r="G197" s="206">
        <f t="shared" si="476"/>
        <v>0</v>
      </c>
      <c r="H197" s="206">
        <f t="shared" si="476"/>
        <v>0</v>
      </c>
      <c r="I197" s="206">
        <f t="shared" si="476"/>
        <v>0.15756302521008403</v>
      </c>
      <c r="J197" s="206">
        <f t="shared" si="476"/>
        <v>0.15466309223075733</v>
      </c>
      <c r="K197" s="206">
        <f t="shared" si="476"/>
        <v>0.18570964297321141</v>
      </c>
      <c r="L197" s="206">
        <f t="shared" si="476"/>
        <v>0.16891178581985558</v>
      </c>
      <c r="M197" s="206">
        <f t="shared" si="476"/>
        <v>0.19542700801250737</v>
      </c>
      <c r="N197" s="206">
        <f t="shared" si="476"/>
        <v>0.18110692552883223</v>
      </c>
      <c r="O197" s="206">
        <f t="shared" si="476"/>
        <v>0.20008003201280514</v>
      </c>
      <c r="P197" s="206">
        <f t="shared" si="476"/>
        <v>0.21867483052700637</v>
      </c>
      <c r="Q197" s="206">
        <f t="shared" si="476"/>
        <v>0.21756275325664248</v>
      </c>
      <c r="R197" s="206">
        <f t="shared" si="476"/>
        <v>0.19850459868986967</v>
      </c>
      <c r="S197" s="206">
        <f t="shared" si="476"/>
        <v>0.19055241144076679</v>
      </c>
      <c r="T197" s="206">
        <f t="shared" si="476"/>
        <v>0.17398263653287402</v>
      </c>
      <c r="U197" s="206">
        <f t="shared" si="476"/>
        <v>0.16191447677336832</v>
      </c>
      <c r="V197" s="206">
        <f t="shared" si="476"/>
        <v>0.15278838808250575</v>
      </c>
      <c r="W197" s="206">
        <f t="shared" si="476"/>
        <v>0.27918144001786765</v>
      </c>
      <c r="X197" s="206">
        <f t="shared" si="476"/>
        <v>0.26933850463262232</v>
      </c>
      <c r="Y197" s="206">
        <f t="shared" si="476"/>
        <v>0.24752168908800634</v>
      </c>
      <c r="Z197" s="206">
        <f t="shared" si="476"/>
        <v>0.20496003279360528</v>
      </c>
      <c r="AA197" s="206">
        <f t="shared" si="476"/>
        <v>0.27078500573161596</v>
      </c>
      <c r="AB197" s="206">
        <f t="shared" si="476"/>
        <v>0.33247720453166441</v>
      </c>
      <c r="AC197" s="206">
        <f t="shared" si="476"/>
        <v>0.32748875076141143</v>
      </c>
      <c r="AD197" s="206">
        <f t="shared" si="476"/>
        <v>0.34276116972961851</v>
      </c>
      <c r="AE197" s="206">
        <f t="shared" si="476"/>
        <v>0.32217359787365424</v>
      </c>
      <c r="AF197" s="206">
        <f t="shared" si="476"/>
        <v>0.36995930447650754</v>
      </c>
      <c r="AG197" s="206">
        <f t="shared" si="476"/>
        <v>0.37810399750451368</v>
      </c>
      <c r="AH197" s="206">
        <f t="shared" si="476"/>
        <v>0.41328006612481055</v>
      </c>
      <c r="AI197" s="206">
        <f t="shared" si="476"/>
        <v>0.52312945551735135</v>
      </c>
      <c r="AJ197" s="206">
        <f t="shared" si="476"/>
        <v>0.56588291882409525</v>
      </c>
      <c r="AK197" s="206">
        <f t="shared" si="476"/>
        <v>0.77006747716268642</v>
      </c>
      <c r="AL197" s="206">
        <f t="shared" ref="AL197:BQ197" si="477">AL178/AL17</f>
        <v>0.9289911250695565</v>
      </c>
      <c r="AM197" s="206">
        <f t="shared" si="477"/>
        <v>1.0718573143543133</v>
      </c>
      <c r="AN197" s="206">
        <f t="shared" si="477"/>
        <v>1.0857056000694854</v>
      </c>
      <c r="AO197" s="206">
        <f t="shared" si="477"/>
        <v>1.1460537034570557</v>
      </c>
      <c r="AP197" s="206">
        <f t="shared" si="477"/>
        <v>0.97837281153450051</v>
      </c>
      <c r="AQ197" s="206">
        <f t="shared" si="477"/>
        <v>1.0488730194153091</v>
      </c>
      <c r="AR197" s="206">
        <f t="shared" si="477"/>
        <v>0.92272202998846597</v>
      </c>
      <c r="AS197" s="206">
        <f t="shared" si="477"/>
        <v>0.65166689532171773</v>
      </c>
      <c r="AT197" s="206">
        <f t="shared" si="477"/>
        <v>0.45972194833366198</v>
      </c>
      <c r="AU197" s="206">
        <f t="shared" si="477"/>
        <v>0.30129251544901087</v>
      </c>
      <c r="AV197" s="206">
        <f t="shared" si="477"/>
        <v>0.37374140915854626</v>
      </c>
      <c r="AW197" s="206">
        <f t="shared" si="477"/>
        <v>0.44202294309561785</v>
      </c>
      <c r="AX197" s="206">
        <f t="shared" si="477"/>
        <v>0.47103569338794621</v>
      </c>
      <c r="AY197" s="206">
        <f t="shared" si="477"/>
        <v>0.45591110061531598</v>
      </c>
      <c r="AZ197" s="206">
        <f t="shared" si="477"/>
        <v>0.55598767953685546</v>
      </c>
      <c r="BA197" s="206">
        <f t="shared" si="477"/>
        <v>0.51596472041739039</v>
      </c>
      <c r="BB197" s="206">
        <f t="shared" si="477"/>
        <v>0.48935756255107199</v>
      </c>
      <c r="BC197" s="206">
        <f t="shared" si="477"/>
        <v>0.45172711470054783</v>
      </c>
      <c r="BD197" s="206">
        <f t="shared" si="477"/>
        <v>0.48258780036968574</v>
      </c>
      <c r="BE197" s="206">
        <f t="shared" si="477"/>
        <v>0.44415186772810777</v>
      </c>
      <c r="BF197" s="206">
        <f t="shared" si="477"/>
        <v>0.3876191665625911</v>
      </c>
      <c r="BG197" s="206">
        <f t="shared" si="477"/>
        <v>0.44625023261584268</v>
      </c>
      <c r="BH197" s="206">
        <f t="shared" si="477"/>
        <v>0.44715975294129778</v>
      </c>
      <c r="BI197" s="206">
        <f t="shared" si="477"/>
        <v>0.4695066927357498</v>
      </c>
      <c r="BJ197" s="206">
        <f t="shared" si="477"/>
        <v>0.46085897553529576</v>
      </c>
      <c r="BK197" s="206">
        <f t="shared" si="477"/>
        <v>0.4643025186825353</v>
      </c>
      <c r="BL197" s="206">
        <f t="shared" si="477"/>
        <v>0.49462090787391993</v>
      </c>
      <c r="BM197" s="206">
        <f t="shared" si="477"/>
        <v>0.53165891290265588</v>
      </c>
      <c r="BN197" s="206">
        <f t="shared" si="477"/>
        <v>0.5504914999421765</v>
      </c>
      <c r="BO197" s="206">
        <f t="shared" si="477"/>
        <v>0.6504432353120988</v>
      </c>
      <c r="BP197" s="206">
        <f t="shared" si="477"/>
        <v>0.83088408846015704</v>
      </c>
      <c r="BQ197" s="206">
        <f t="shared" si="477"/>
        <v>0.73229738725245463</v>
      </c>
      <c r="BR197" s="206">
        <f t="shared" ref="BR197:CC197" si="478">BR178/BR17</f>
        <v>0.74388126792218856</v>
      </c>
      <c r="BS197" s="206">
        <f t="shared" si="478"/>
        <v>0.73582620049325409</v>
      </c>
      <c r="BT197" s="206">
        <f t="shared" si="478"/>
        <v>1.0090125952417974</v>
      </c>
      <c r="BU197" s="206">
        <f t="shared" ca="1" si="478"/>
        <v>0.83462163604375605</v>
      </c>
      <c r="BV197" s="206">
        <f t="shared" ca="1" si="478"/>
        <v>0.76681949693852691</v>
      </c>
      <c r="BW197" s="206">
        <f t="shared" ca="1" si="478"/>
        <v>0.74589381958640666</v>
      </c>
      <c r="BX197" s="206">
        <f t="shared" ca="1" si="478"/>
        <v>0.72621578540044385</v>
      </c>
      <c r="BY197" s="206">
        <f t="shared" ca="1" si="478"/>
        <v>0.69500824650061988</v>
      </c>
      <c r="BZ197" s="206">
        <f t="shared" ca="1" si="478"/>
        <v>0.65769221794016353</v>
      </c>
      <c r="CA197" s="206">
        <f t="shared" ca="1" si="478"/>
        <v>0.6148894402623144</v>
      </c>
      <c r="CB197" s="206">
        <f t="shared" ca="1" si="478"/>
        <v>0.56665178659806759</v>
      </c>
      <c r="CC197" s="206">
        <f t="shared" ca="1" si="478"/>
        <v>0.51350447452418324</v>
      </c>
      <c r="CD197" s="206">
        <f ca="1">CD178/CD17</f>
        <v>0.45652842911220343</v>
      </c>
      <c r="CE197" s="206">
        <f ca="1">CE178/CE17</f>
        <v>0.3975005943436552</v>
      </c>
      <c r="CF197" s="206">
        <f ca="1">CF178/CF17</f>
        <v>0.33896734490200869</v>
      </c>
      <c r="CG197" s="206">
        <f ca="1">CG178/CG17</f>
        <v>0.28415905353493109</v>
      </c>
      <c r="CH197" s="207"/>
      <c r="CI197" s="106">
        <f t="shared" ref="CI197:CR198" si="479">BQ197-DA197</f>
        <v>0</v>
      </c>
      <c r="CJ197" s="213">
        <f t="shared" si="479"/>
        <v>0</v>
      </c>
      <c r="CK197" s="213">
        <f t="shared" si="479"/>
        <v>0</v>
      </c>
      <c r="CL197" s="106">
        <f t="shared" si="479"/>
        <v>0</v>
      </c>
      <c r="CM197" s="106">
        <f t="shared" ca="1" si="479"/>
        <v>1.3300422573509718E-2</v>
      </c>
      <c r="CN197" s="106">
        <f t="shared" ca="1" si="479"/>
        <v>-2.4274284731895746E-2</v>
      </c>
      <c r="CO197" s="106">
        <f t="shared" ca="1" si="479"/>
        <v>-4.9321973088317095E-2</v>
      </c>
      <c r="CP197" s="106">
        <f t="shared" ca="1" si="479"/>
        <v>-7.4167066245457214E-2</v>
      </c>
      <c r="CQ197" s="106">
        <f t="shared" ca="1" si="479"/>
        <v>-9.7669877864301036E-2</v>
      </c>
      <c r="CR197" s="106">
        <f t="shared" ca="1" si="479"/>
        <v>-0.11757795689512784</v>
      </c>
      <c r="CS197" s="106">
        <f t="shared" ca="1" si="474"/>
        <v>-0.12669257305661419</v>
      </c>
      <c r="CT197" s="106">
        <f t="shared" ca="1" si="474"/>
        <v>-0.13657171702400905</v>
      </c>
      <c r="CU197" s="106">
        <f t="shared" ca="1" si="474"/>
        <v>-0.14412553476215051</v>
      </c>
      <c r="CV197" s="106">
        <f t="shared" ca="1" si="475"/>
        <v>-0.14923642218781247</v>
      </c>
      <c r="CW197" s="106">
        <f t="shared" ca="1" si="475"/>
        <v>-0.15133258205232519</v>
      </c>
      <c r="CX197" s="106">
        <f t="shared" ca="1" si="475"/>
        <v>-0.14974907231551554</v>
      </c>
      <c r="CY197" s="106">
        <f t="shared" ca="1" si="475"/>
        <v>-0.14403435804828452</v>
      </c>
      <c r="CZ197" s="134"/>
      <c r="DA197" s="208">
        <v>0.73229738725245463</v>
      </c>
      <c r="DB197" s="208">
        <v>0.74388126792218856</v>
      </c>
      <c r="DC197" s="208">
        <v>0.73582620049325409</v>
      </c>
      <c r="DD197" s="208">
        <v>1.0090125952417974</v>
      </c>
      <c r="DE197" s="135">
        <v>0.82132121347024634</v>
      </c>
      <c r="DF197" s="135">
        <v>0.79109378167042266</v>
      </c>
      <c r="DG197" s="135">
        <v>0.79521579267472375</v>
      </c>
      <c r="DH197" s="135">
        <v>0.80038285164590106</v>
      </c>
      <c r="DI197" s="135">
        <v>0.79267812436492091</v>
      </c>
      <c r="DJ197" s="135">
        <v>0.77527017483529137</v>
      </c>
      <c r="DK197" s="135">
        <v>0.74158201331892859</v>
      </c>
      <c r="DL197" s="135">
        <v>0.70322350362207664</v>
      </c>
      <c r="DM197" s="135">
        <v>0.65763000928633375</v>
      </c>
      <c r="DN197" s="135">
        <v>0.60576485130001589</v>
      </c>
      <c r="DO197" s="135">
        <v>0.54883317639598039</v>
      </c>
      <c r="DP197" s="135">
        <v>0.48871641721752423</v>
      </c>
      <c r="DQ197" s="135">
        <v>0.42819341158321561</v>
      </c>
    </row>
    <row r="198" spans="1:121">
      <c r="A198" s="141" t="s">
        <v>1201</v>
      </c>
      <c r="B198" s="149"/>
      <c r="C198" s="150" t="s">
        <v>1349</v>
      </c>
      <c r="D198" s="102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>
        <f t="shared" ref="BG198:BP198" si="480">+(BG197/BF197-1)*100</f>
        <v>15.125946060199302</v>
      </c>
      <c r="BH198" s="128">
        <f t="shared" si="480"/>
        <v>0.20381397229165543</v>
      </c>
      <c r="BI198" s="128">
        <f t="shared" si="480"/>
        <v>4.9975293275970722</v>
      </c>
      <c r="BJ198" s="128">
        <f t="shared" si="480"/>
        <v>-1.8418730412691264</v>
      </c>
      <c r="BK198" s="128">
        <f t="shared" si="480"/>
        <v>0.74720105933485659</v>
      </c>
      <c r="BL198" s="128">
        <f t="shared" si="480"/>
        <v>6.5298782520959442</v>
      </c>
      <c r="BM198" s="128">
        <f t="shared" si="480"/>
        <v>7.4881600108536173</v>
      </c>
      <c r="BN198" s="128">
        <f t="shared" si="480"/>
        <v>3.5422310399541468</v>
      </c>
      <c r="BO198" s="128">
        <f t="shared" si="480"/>
        <v>18.156817204338527</v>
      </c>
      <c r="BP198" s="128">
        <f t="shared" si="480"/>
        <v>27.741214506055734</v>
      </c>
      <c r="BQ198" s="128">
        <f t="shared" ref="BQ198:CB198" si="481">+(BQ197/BP197-1)*100</f>
        <v>-11.865277308464172</v>
      </c>
      <c r="BR198" s="128">
        <f t="shared" si="481"/>
        <v>1.5818547043020548</v>
      </c>
      <c r="BS198" s="128">
        <f t="shared" si="481"/>
        <v>-1.0828431600964916</v>
      </c>
      <c r="BT198" s="128">
        <f t="shared" si="481"/>
        <v>37.126483749208084</v>
      </c>
      <c r="BU198" s="128">
        <f t="shared" ca="1" si="481"/>
        <v>-17.283328277606959</v>
      </c>
      <c r="BV198" s="128">
        <f t="shared" ca="1" si="481"/>
        <v>-8.1236977544246862</v>
      </c>
      <c r="BW198" s="128">
        <f t="shared" ca="1" si="481"/>
        <v>-2.7288921885351813</v>
      </c>
      <c r="BX198" s="128">
        <f t="shared" ca="1" si="481"/>
        <v>-2.6381816914469391</v>
      </c>
      <c r="BY198" s="128">
        <f t="shared" ca="1" si="481"/>
        <v>-4.2972818172240306</v>
      </c>
      <c r="BZ198" s="128">
        <f t="shared" ca="1" si="481"/>
        <v>-5.3691490350428639</v>
      </c>
      <c r="CA198" s="128">
        <f t="shared" ca="1" si="481"/>
        <v>-6.508025564283515</v>
      </c>
      <c r="CB198" s="128">
        <f t="shared" ca="1" si="481"/>
        <v>-7.8449312194511673</v>
      </c>
      <c r="CC198" s="128">
        <f ca="1">+(CC197/CB197-1)*100</f>
        <v>-9.3791837122684907</v>
      </c>
      <c r="CD198" s="128">
        <f ca="1">+(CD197/CC197-1)*100</f>
        <v>-11.095530465391601</v>
      </c>
      <c r="CE198" s="128">
        <f ca="1">+(CE197/CD197-1)*100</f>
        <v>-12.929717188333223</v>
      </c>
      <c r="CF198" s="128">
        <f ca="1">+(CF197/CE197-1)*100</f>
        <v>-14.725323754118003</v>
      </c>
      <c r="CG198" s="128">
        <f ca="1">+(CG197/CF197-1)*100</f>
        <v>-16.16919511315227</v>
      </c>
      <c r="CI198" s="106">
        <f t="shared" si="479"/>
        <v>0</v>
      </c>
      <c r="CJ198" s="106">
        <f t="shared" si="479"/>
        <v>0</v>
      </c>
      <c r="CK198" s="106">
        <f t="shared" si="479"/>
        <v>0</v>
      </c>
      <c r="CL198" s="106">
        <f t="shared" si="479"/>
        <v>0</v>
      </c>
      <c r="CM198" s="106">
        <f t="shared" ca="1" si="479"/>
        <v>1.3181621950241755</v>
      </c>
      <c r="CN198" s="106">
        <f t="shared" ca="1" si="479"/>
        <v>-4.443355483450496</v>
      </c>
      <c r="CO198" s="106">
        <f t="shared" ca="1" si="479"/>
        <v>-3.2499443191178923</v>
      </c>
      <c r="CP198" s="106">
        <f t="shared" ca="1" si="479"/>
        <v>-3.2879498447928146</v>
      </c>
      <c r="CQ198" s="106">
        <f t="shared" ca="1" si="479"/>
        <v>-3.3346515878111664</v>
      </c>
      <c r="CR198" s="106">
        <f t="shared" ca="1" si="479"/>
        <v>-3.1730559432123773</v>
      </c>
      <c r="CS198" s="106">
        <f t="shared" ca="1" si="474"/>
        <v>-2.1626808560958226</v>
      </c>
      <c r="CT198" s="106">
        <f t="shared" ca="1" si="474"/>
        <v>-2.6724069392060734</v>
      </c>
      <c r="CU198" s="106">
        <f t="shared" ca="1" si="474"/>
        <v>-2.8956839286427227</v>
      </c>
      <c r="CV198" s="106">
        <f t="shared" ca="1" si="475"/>
        <v>-3.2088529637668834</v>
      </c>
      <c r="CW198" s="106">
        <f t="shared" ca="1" si="475"/>
        <v>-3.5314044962290296</v>
      </c>
      <c r="CX198" s="106">
        <f t="shared" ca="1" si="475"/>
        <v>-3.7717659584277872</v>
      </c>
      <c r="CY198" s="106">
        <f t="shared" ca="1" si="475"/>
        <v>-3.7851205246838724</v>
      </c>
      <c r="CZ198" s="165"/>
      <c r="DA198" s="104">
        <v>-11.865277308464172</v>
      </c>
      <c r="DB198" s="104">
        <v>1.5818547043020548</v>
      </c>
      <c r="DC198" s="104">
        <v>-1.0828431600964916</v>
      </c>
      <c r="DD198" s="104">
        <v>37.126483749208084</v>
      </c>
      <c r="DE198" s="104">
        <v>-18.601490472631134</v>
      </c>
      <c r="DF198" s="104">
        <v>-3.6803422709741906</v>
      </c>
      <c r="DG198" s="104">
        <v>0.52105213058271094</v>
      </c>
      <c r="DH198" s="104">
        <v>0.64976815334587545</v>
      </c>
      <c r="DI198" s="104">
        <v>-0.96263022941286414</v>
      </c>
      <c r="DJ198" s="104">
        <v>-2.1960930918304866</v>
      </c>
      <c r="DK198" s="104">
        <v>-4.3453447081876924</v>
      </c>
      <c r="DL198" s="104">
        <v>-5.1725242802450939</v>
      </c>
      <c r="DM198" s="104">
        <v>-6.483499783625768</v>
      </c>
      <c r="DN198" s="104">
        <v>-7.8866775016247175</v>
      </c>
      <c r="DO198" s="104">
        <v>-9.3983126921041933</v>
      </c>
      <c r="DP198" s="104">
        <v>-10.953557795690216</v>
      </c>
      <c r="DQ198" s="104">
        <v>-12.384074588468398</v>
      </c>
    </row>
    <row r="199" spans="1:121">
      <c r="A199" s="141" t="s">
        <v>2776</v>
      </c>
      <c r="B199" s="149"/>
      <c r="C199" s="150"/>
      <c r="D199" s="99"/>
      <c r="E199" s="149"/>
      <c r="F199" s="271"/>
      <c r="G199" s="271"/>
      <c r="H199" s="271"/>
      <c r="I199" s="271">
        <f t="shared" ref="I199:AB199" si="482">+I164/I178</f>
        <v>10.352600254863496</v>
      </c>
      <c r="J199" s="271">
        <f t="shared" si="482"/>
        <v>10.465623909483348</v>
      </c>
      <c r="K199" s="271">
        <f t="shared" si="482"/>
        <v>7.9022175477817616</v>
      </c>
      <c r="L199" s="271">
        <f t="shared" si="482"/>
        <v>8.1040374847128955</v>
      </c>
      <c r="M199" s="271">
        <f t="shared" si="482"/>
        <v>6.3245354796946014</v>
      </c>
      <c r="N199" s="271">
        <f t="shared" si="482"/>
        <v>6.284179839044806</v>
      </c>
      <c r="O199" s="271">
        <f t="shared" si="482"/>
        <v>5.2913470319161791</v>
      </c>
      <c r="P199" s="271">
        <f t="shared" si="482"/>
        <v>4.6382583316947708</v>
      </c>
      <c r="Q199" s="271">
        <f t="shared" si="482"/>
        <v>4.0412601855583468</v>
      </c>
      <c r="R199" s="271">
        <f t="shared" si="482"/>
        <v>3.5369090832769858</v>
      </c>
      <c r="S199" s="271">
        <f t="shared" si="482"/>
        <v>3.1626481614261852</v>
      </c>
      <c r="T199" s="271">
        <f t="shared" si="482"/>
        <v>3.0593081901222456</v>
      </c>
      <c r="U199" s="271">
        <f t="shared" si="482"/>
        <v>3.0323081032186732</v>
      </c>
      <c r="V199" s="271">
        <f t="shared" si="482"/>
        <v>2.939798297658561</v>
      </c>
      <c r="W199" s="271">
        <f t="shared" si="482"/>
        <v>1.47214415360242</v>
      </c>
      <c r="X199" s="271">
        <f t="shared" si="482"/>
        <v>1.3958692302182307</v>
      </c>
      <c r="Y199" s="271">
        <f t="shared" si="482"/>
        <v>1.4923692245036353</v>
      </c>
      <c r="Z199" s="271">
        <f t="shared" si="482"/>
        <v>1.6348691725358355</v>
      </c>
      <c r="AA199" s="271">
        <f t="shared" si="482"/>
        <v>1.1619128481298679</v>
      </c>
      <c r="AB199" s="271">
        <f t="shared" si="482"/>
        <v>1.1031847300939257</v>
      </c>
      <c r="AC199" s="271">
        <f t="shared" ref="AC199:BQ199" si="483">+AC164/AC178</f>
        <v>0.94394778861105433</v>
      </c>
      <c r="AD199" s="271">
        <f t="shared" si="483"/>
        <v>0.64945655883600306</v>
      </c>
      <c r="AE199" s="271">
        <f t="shared" si="483"/>
        <v>0.66412322224428266</v>
      </c>
      <c r="AF199" s="271">
        <f t="shared" si="483"/>
        <v>0.64667701960674362</v>
      </c>
      <c r="AG199" s="271">
        <f t="shared" si="483"/>
        <v>0.64559233129955829</v>
      </c>
      <c r="AH199" s="271">
        <f t="shared" si="483"/>
        <v>0.62197096865210266</v>
      </c>
      <c r="AI199" s="271">
        <f t="shared" si="483"/>
        <v>0.47288538158617227</v>
      </c>
      <c r="AJ199" s="271">
        <f t="shared" si="483"/>
        <v>0.24097827092433971</v>
      </c>
      <c r="AK199" s="271">
        <f t="shared" si="483"/>
        <v>0.11978055488783865</v>
      </c>
      <c r="AL199" s="271">
        <f t="shared" si="483"/>
        <v>9.9313654969942752E-2</v>
      </c>
      <c r="AM199" s="271">
        <f t="shared" si="483"/>
        <v>4.0267969769239423E-2</v>
      </c>
      <c r="AN199" s="271">
        <f t="shared" si="483"/>
        <v>5.3423320261140661E-2</v>
      </c>
      <c r="AO199" s="271">
        <f t="shared" si="483"/>
        <v>7.2005403815089034E-2</v>
      </c>
      <c r="AP199" s="271">
        <f t="shared" si="483"/>
        <v>9.1052627563476575E-3</v>
      </c>
      <c r="AQ199" s="271">
        <f t="shared" si="483"/>
        <v>-9.7659577714635966E-3</v>
      </c>
      <c r="AR199" s="271">
        <f t="shared" si="483"/>
        <v>-9.2142857142857148E-3</v>
      </c>
      <c r="AS199" s="271">
        <f t="shared" si="483"/>
        <v>0.24192631578947371</v>
      </c>
      <c r="AT199" s="271">
        <f t="shared" si="483"/>
        <v>0.65881769436997328</v>
      </c>
      <c r="AU199" s="271">
        <f t="shared" si="483"/>
        <v>0.80177198697068408</v>
      </c>
      <c r="AV199" s="271">
        <f t="shared" si="483"/>
        <v>0.54571649883811002</v>
      </c>
      <c r="AW199" s="271">
        <f t="shared" si="483"/>
        <v>0.43999694749694745</v>
      </c>
      <c r="AX199" s="271">
        <f t="shared" si="483"/>
        <v>0.33529383659818446</v>
      </c>
      <c r="AY199" s="271">
        <f t="shared" si="483"/>
        <v>0.33011223021582731</v>
      </c>
      <c r="AZ199" s="271">
        <f t="shared" si="483"/>
        <v>0.32684112149532712</v>
      </c>
      <c r="BA199" s="271">
        <f t="shared" si="483"/>
        <v>0.51286871270247236</v>
      </c>
      <c r="BB199" s="271">
        <f t="shared" si="483"/>
        <v>0.47590648854961837</v>
      </c>
      <c r="BC199" s="271">
        <f t="shared" si="483"/>
        <v>0.50210406786453821</v>
      </c>
      <c r="BD199" s="271">
        <f t="shared" si="483"/>
        <v>0.51039272764414489</v>
      </c>
      <c r="BE199" s="271">
        <f t="shared" ca="1" si="483"/>
        <v>0.59186822998781508</v>
      </c>
      <c r="BF199" s="271">
        <f t="shared" si="483"/>
        <v>0.51122328428740194</v>
      </c>
      <c r="BG199" s="271">
        <f t="shared" si="483"/>
        <v>0.59216013344453711</v>
      </c>
      <c r="BH199" s="271">
        <f t="shared" si="483"/>
        <v>0.60326061891804628</v>
      </c>
      <c r="BI199" s="271">
        <f t="shared" si="483"/>
        <v>0.57007287579082244</v>
      </c>
      <c r="BJ199" s="271">
        <f t="shared" si="483"/>
        <v>0.53716674811315634</v>
      </c>
      <c r="BK199" s="271">
        <f t="shared" si="483"/>
        <v>0.65568322379696276</v>
      </c>
      <c r="BL199" s="271">
        <f t="shared" si="483"/>
        <v>0.62622099746573823</v>
      </c>
      <c r="BM199" s="271">
        <f t="shared" si="483"/>
        <v>0.5079141790631474</v>
      </c>
      <c r="BN199" s="271">
        <f t="shared" si="483"/>
        <v>0.40299573538371036</v>
      </c>
      <c r="BO199" s="271">
        <f t="shared" si="483"/>
        <v>0.28166326732021846</v>
      </c>
      <c r="BP199" s="271">
        <f t="shared" si="483"/>
        <v>0.39824369638920282</v>
      </c>
      <c r="BQ199" s="271">
        <f t="shared" si="483"/>
        <v>0.36158850098003009</v>
      </c>
      <c r="BR199" s="271">
        <f t="shared" ref="BR199:CB199" si="484">+BR164/BR178</f>
        <v>0.43894231270120759</v>
      </c>
      <c r="BS199" s="271">
        <f t="shared" si="484"/>
        <v>0.28898571583482024</v>
      </c>
      <c r="BT199" s="271">
        <f t="shared" si="484"/>
        <v>0.32963679850083838</v>
      </c>
      <c r="BU199" s="271">
        <f t="shared" ca="1" si="484"/>
        <v>0.37206432912104037</v>
      </c>
      <c r="BV199" s="271">
        <f t="shared" ca="1" si="484"/>
        <v>0.3815368184727157</v>
      </c>
      <c r="BW199" s="271">
        <f t="shared" ca="1" si="484"/>
        <v>0.36253119062093292</v>
      </c>
      <c r="BX199" s="271">
        <f t="shared" ca="1" si="484"/>
        <v>0.33469745151149949</v>
      </c>
      <c r="BY199" s="271">
        <f t="shared" ca="1" si="484"/>
        <v>0.30259057311440979</v>
      </c>
      <c r="BZ199" s="271">
        <f t="shared" ca="1" si="484"/>
        <v>0.2641694461752872</v>
      </c>
      <c r="CA199" s="271">
        <f t="shared" ca="1" si="484"/>
        <v>0.21662269088681171</v>
      </c>
      <c r="CB199" s="271">
        <f t="shared" ca="1" si="484"/>
        <v>0.15626849648488855</v>
      </c>
      <c r="CC199" s="271">
        <f ca="1">+CC164/CC178</f>
        <v>7.8527474680972417E-2</v>
      </c>
      <c r="CD199" s="271">
        <f ca="1">+CD164/CD178</f>
        <v>-2.2235892711793E-2</v>
      </c>
      <c r="CE199" s="271">
        <f ca="1">+CE164/CE178</f>
        <v>-0.15244486476187097</v>
      </c>
      <c r="CF199" s="271">
        <f ca="1">+CF164/CF178</f>
        <v>-0.31780425273203633</v>
      </c>
      <c r="CG199" s="271">
        <f ca="1">+CG164/CG178</f>
        <v>-0.5188019836299067</v>
      </c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65"/>
      <c r="DA199" s="104">
        <v>0.36158850098003009</v>
      </c>
      <c r="DB199" s="104">
        <v>0.43894231270120759</v>
      </c>
      <c r="DC199" s="104">
        <v>0.28898571583482024</v>
      </c>
      <c r="DD199" s="104">
        <v>0.32963679850083838</v>
      </c>
      <c r="DE199" s="104">
        <v>0.35071610430875794</v>
      </c>
      <c r="DF199" s="104">
        <v>0.36048571038081734</v>
      </c>
      <c r="DG199" s="104">
        <v>0.34702286823176293</v>
      </c>
      <c r="DH199" s="104">
        <v>0.32852158668632325</v>
      </c>
      <c r="DI199" s="104">
        <v>0.30997514042191787</v>
      </c>
      <c r="DJ199" s="104">
        <v>0.31658030694053296</v>
      </c>
      <c r="DK199" s="104">
        <v>0.3144039789896711</v>
      </c>
      <c r="DL199" s="104">
        <v>0.30305406465312368</v>
      </c>
      <c r="DM199" s="104">
        <v>0.27940466166154809</v>
      </c>
      <c r="DN199" s="104">
        <v>0.24100846197351342</v>
      </c>
      <c r="DO199" s="104">
        <v>0.18550512776449712</v>
      </c>
      <c r="DP199" s="104">
        <v>0.11118588623696417</v>
      </c>
      <c r="DQ199" s="104">
        <v>1.8474518822512893E-2</v>
      </c>
    </row>
    <row r="200" spans="1:121">
      <c r="A200" s="185" t="s">
        <v>1906</v>
      </c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529" t="s">
        <v>1344</v>
      </c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5"/>
      <c r="CB200" s="185"/>
      <c r="CC200" s="185"/>
      <c r="CD200" s="185"/>
      <c r="CE200" s="185"/>
      <c r="CF200" s="185"/>
      <c r="CG200" s="185"/>
      <c r="CH200" s="99"/>
      <c r="CI200" s="185"/>
      <c r="CJ200" s="185"/>
      <c r="CK200" s="185"/>
      <c r="CL200" s="185"/>
      <c r="CM200" s="185"/>
      <c r="CN200" s="185"/>
      <c r="CO200" s="185"/>
      <c r="CP200" s="185"/>
      <c r="CQ200" s="185"/>
      <c r="CR200" s="185"/>
      <c r="CS200" s="185"/>
      <c r="CT200" s="185"/>
      <c r="CU200" s="185"/>
      <c r="CV200" s="185"/>
      <c r="CW200" s="185"/>
      <c r="CX200" s="185"/>
      <c r="CY200" s="185"/>
      <c r="CZ200" s="211"/>
      <c r="DA200" s="215"/>
      <c r="DB200" s="215"/>
      <c r="DC200" s="215"/>
      <c r="DD200" s="215"/>
      <c r="DE200" s="215"/>
      <c r="DF200" s="215"/>
      <c r="DG200" s="385"/>
      <c r="DH200" s="385"/>
      <c r="DI200" s="385"/>
      <c r="DJ200" s="385"/>
      <c r="DK200" s="385"/>
      <c r="DL200" s="385"/>
      <c r="DM200" s="385"/>
      <c r="DN200" s="385"/>
    </row>
    <row r="201" spans="1:121" s="123" customFormat="1">
      <c r="A201" s="166" t="s">
        <v>1665</v>
      </c>
      <c r="B201" s="107"/>
      <c r="C201" s="136"/>
      <c r="D201" s="14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41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34"/>
      <c r="DA201" s="135"/>
      <c r="DB201" s="135"/>
      <c r="DC201" s="135"/>
      <c r="DD201" s="135"/>
      <c r="DE201" s="135"/>
      <c r="DF201" s="135"/>
      <c r="DG201" s="135"/>
      <c r="DH201" s="135"/>
      <c r="DI201" s="135"/>
      <c r="DJ201" s="135"/>
      <c r="DK201" s="135"/>
      <c r="DL201" s="135"/>
      <c r="DM201" s="135"/>
      <c r="DN201" s="135"/>
      <c r="DO201" s="135"/>
      <c r="DP201" s="135"/>
      <c r="DQ201" s="135"/>
    </row>
    <row r="202" spans="1:121" s="123" customFormat="1">
      <c r="A202" s="107" t="s">
        <v>481</v>
      </c>
      <c r="B202" s="107"/>
      <c r="C202" s="136" t="s">
        <v>1900</v>
      </c>
      <c r="D202" s="147"/>
      <c r="E202" s="107"/>
      <c r="F202" s="551">
        <f t="shared" ref="F202:BD202" si="485">G202*F210/G210</f>
        <v>93753.875030379364</v>
      </c>
      <c r="G202" s="551">
        <f t="shared" si="485"/>
        <v>96972.892198804402</v>
      </c>
      <c r="H202" s="551">
        <f t="shared" si="485"/>
        <v>98715.192117776998</v>
      </c>
      <c r="I202" s="551">
        <f t="shared" si="485"/>
        <v>102663.80029367111</v>
      </c>
      <c r="J202" s="551">
        <f t="shared" si="485"/>
        <v>106612.40846956523</v>
      </c>
      <c r="K202" s="551">
        <f t="shared" si="485"/>
        <v>110561.01664545934</v>
      </c>
      <c r="L202" s="551">
        <f t="shared" si="485"/>
        <v>114509.62482135346</v>
      </c>
      <c r="M202" s="551">
        <f t="shared" si="485"/>
        <v>118458.23299724759</v>
      </c>
      <c r="N202" s="551">
        <f t="shared" si="485"/>
        <v>122406.84117314171</v>
      </c>
      <c r="O202" s="551">
        <f t="shared" si="485"/>
        <v>126355.44934903584</v>
      </c>
      <c r="P202" s="551">
        <f t="shared" si="485"/>
        <v>130698.90729090098</v>
      </c>
      <c r="Q202" s="551">
        <f t="shared" si="485"/>
        <v>133068.07956418305</v>
      </c>
      <c r="R202" s="551">
        <f t="shared" si="485"/>
        <v>137016.68774007715</v>
      </c>
      <c r="S202" s="551">
        <f t="shared" si="485"/>
        <v>140965.29591597128</v>
      </c>
      <c r="T202" s="551">
        <f t="shared" si="485"/>
        <v>144124.18000077136</v>
      </c>
      <c r="U202" s="551">
        <f t="shared" si="485"/>
        <v>147677.92613111847</v>
      </c>
      <c r="V202" s="551">
        <f t="shared" si="485"/>
        <v>148467.65022221248</v>
      </c>
      <c r="W202" s="551">
        <f t="shared" si="485"/>
        <v>149257.36203373052</v>
      </c>
      <c r="X202" s="551">
        <f t="shared" si="485"/>
        <v>150836.81021591858</v>
      </c>
      <c r="Y202" s="551">
        <f t="shared" si="485"/>
        <v>151626.5343070126</v>
      </c>
      <c r="Z202" s="551">
        <f t="shared" si="485"/>
        <v>150441.94817037156</v>
      </c>
      <c r="AA202" s="551">
        <f t="shared" si="485"/>
        <v>144124.18000077136</v>
      </c>
      <c r="AB202" s="551">
        <f t="shared" si="485"/>
        <v>140175.57182487726</v>
      </c>
      <c r="AC202" s="551">
        <f t="shared" si="485"/>
        <v>142979.08498051544</v>
      </c>
      <c r="AD202" s="551">
        <f t="shared" si="485"/>
        <v>145032.35288186872</v>
      </c>
      <c r="AE202" s="551">
        <f t="shared" si="485"/>
        <v>144124.18000077139</v>
      </c>
      <c r="AF202" s="551">
        <f t="shared" si="485"/>
        <v>140767.86489319778</v>
      </c>
      <c r="AG202" s="551">
        <f t="shared" si="485"/>
        <v>140294.02061488057</v>
      </c>
      <c r="AH202" s="551">
        <f t="shared" si="485"/>
        <v>143334.45590967737</v>
      </c>
      <c r="AI202" s="551">
        <f t="shared" si="485"/>
        <v>146414.37004128328</v>
      </c>
      <c r="AJ202" s="551">
        <f t="shared" si="485"/>
        <v>149415.31421969499</v>
      </c>
      <c r="AK202" s="551">
        <f t="shared" si="485"/>
        <v>153048.0303032363</v>
      </c>
      <c r="AL202" s="551">
        <f t="shared" si="485"/>
        <v>156680.74638677761</v>
      </c>
      <c r="AM202" s="551">
        <f t="shared" si="485"/>
        <v>158536.59554493337</v>
      </c>
      <c r="AN202" s="551">
        <f t="shared" si="485"/>
        <v>159743.72698309275</v>
      </c>
      <c r="AO202" s="551">
        <f t="shared" si="485"/>
        <v>161353.23556730527</v>
      </c>
      <c r="AP202" s="551">
        <f t="shared" si="485"/>
        <v>161621.6211237227</v>
      </c>
      <c r="AQ202" s="551">
        <f t="shared" si="485"/>
        <v>161834.47863398481</v>
      </c>
      <c r="AR202" s="551">
        <f t="shared" si="485"/>
        <v>162281.51964324983</v>
      </c>
      <c r="AS202" s="551">
        <f t="shared" si="485"/>
        <v>162488.34149632114</v>
      </c>
      <c r="AT202" s="551">
        <f t="shared" si="485"/>
        <v>162967.97505441649</v>
      </c>
      <c r="AU202" s="551">
        <f t="shared" si="485"/>
        <v>164518.33419815919</v>
      </c>
      <c r="AV202" s="551">
        <f t="shared" si="485"/>
        <v>166353.97873845359</v>
      </c>
      <c r="AW202" s="551">
        <f t="shared" si="485"/>
        <v>180092.79724826952</v>
      </c>
      <c r="AX202" s="551">
        <f t="shared" si="485"/>
        <v>182794.18920699356</v>
      </c>
      <c r="AY202" s="551">
        <f t="shared" si="485"/>
        <v>185536.10204509844</v>
      </c>
      <c r="AZ202" s="551">
        <f t="shared" si="485"/>
        <v>187749.17634839067</v>
      </c>
      <c r="BA202" s="551">
        <f t="shared" si="485"/>
        <v>190525.57865615727</v>
      </c>
      <c r="BB202" s="551">
        <f t="shared" si="485"/>
        <v>192819.12838866012</v>
      </c>
      <c r="BC202" s="551">
        <f t="shared" si="485"/>
        <v>195676.00612563733</v>
      </c>
      <c r="BD202" s="551">
        <f t="shared" si="485"/>
        <v>195952.64041354886</v>
      </c>
      <c r="BE202" s="551">
        <f>BF202*BE210/BF210</f>
        <v>198339.02900610428</v>
      </c>
      <c r="BF202" s="106">
        <f t="shared" ref="BF202:BM202" si="486">+BF203+BF204+BF205+BF206</f>
        <v>202901.49253731343</v>
      </c>
      <c r="BG202" s="106">
        <f t="shared" si="486"/>
        <v>206868.65671641793</v>
      </c>
      <c r="BH202" s="106">
        <f t="shared" si="486"/>
        <v>208591.04477611941</v>
      </c>
      <c r="BI202" s="106">
        <f t="shared" si="486"/>
        <v>216380.59701492533</v>
      </c>
      <c r="BJ202" s="106">
        <f t="shared" si="486"/>
        <v>217268.65671641793</v>
      </c>
      <c r="BK202" s="106">
        <f t="shared" si="486"/>
        <v>219259.70149253728</v>
      </c>
      <c r="BL202" s="106">
        <f t="shared" si="486"/>
        <v>220635.82089552243</v>
      </c>
      <c r="BM202" s="106">
        <f t="shared" si="486"/>
        <v>225156.71641791047</v>
      </c>
      <c r="BN202" s="106">
        <f>+BN203+BN204+BN205+BN206</f>
        <v>228970.1492537313</v>
      </c>
      <c r="BO202" s="548">
        <f>+SOURCE!BO142*1000</f>
        <v>219504.4776119403</v>
      </c>
      <c r="BP202" s="548">
        <f>+SOURCE!BP142*1000</f>
        <v>220943.28358208956</v>
      </c>
      <c r="BQ202" s="548">
        <f>+SOURCE!BQ142*1000</f>
        <v>222776.11940298506</v>
      </c>
      <c r="BR202" s="548">
        <f>+SOURCE!BR142*1000</f>
        <v>225874.62686567163</v>
      </c>
      <c r="BS202" s="109">
        <f t="shared" ref="BS202:BZ202" si="487">+BR202*BS210/BR210</f>
        <v>228810.99701492532</v>
      </c>
      <c r="BT202" s="109">
        <f t="shared" si="487"/>
        <v>231785.53997611933</v>
      </c>
      <c r="BU202" s="109">
        <f t="shared" si="487"/>
        <v>234798.75199580885</v>
      </c>
      <c r="BV202" s="109">
        <f t="shared" si="487"/>
        <v>237851.13577175434</v>
      </c>
      <c r="BW202" s="109">
        <f t="shared" si="487"/>
        <v>240943.20053678713</v>
      </c>
      <c r="BX202" s="109">
        <f t="shared" si="487"/>
        <v>244075.46214376535</v>
      </c>
      <c r="BY202" s="109">
        <f t="shared" si="487"/>
        <v>247248.44315163427</v>
      </c>
      <c r="BZ202" s="109">
        <f t="shared" si="487"/>
        <v>250462.67291260549</v>
      </c>
      <c r="CA202" s="109">
        <f t="shared" ref="CA202:CG202" si="488">+BZ202*CA210/BZ210</f>
        <v>253718.68766046932</v>
      </c>
      <c r="CB202" s="109">
        <f t="shared" si="488"/>
        <v>257017.03060005538</v>
      </c>
      <c r="CC202" s="109">
        <f t="shared" si="488"/>
        <v>260358.25199785607</v>
      </c>
      <c r="CD202" s="109">
        <f t="shared" si="488"/>
        <v>263742.90927382815</v>
      </c>
      <c r="CE202" s="109">
        <f t="shared" si="488"/>
        <v>267171.56709438789</v>
      </c>
      <c r="CF202" s="109">
        <f t="shared" si="488"/>
        <v>270644.79746661492</v>
      </c>
      <c r="CG202" s="109">
        <f t="shared" si="488"/>
        <v>274163.17983368092</v>
      </c>
      <c r="CH202" s="141"/>
      <c r="CI202" s="106">
        <f t="shared" ref="CI202:CR207" si="489">BQ202-DA202</f>
        <v>0</v>
      </c>
      <c r="CJ202" s="106">
        <f t="shared" si="489"/>
        <v>0</v>
      </c>
      <c r="CK202" s="106">
        <f t="shared" si="489"/>
        <v>0</v>
      </c>
      <c r="CL202" s="106">
        <f t="shared" si="489"/>
        <v>0</v>
      </c>
      <c r="CM202" s="106">
        <f t="shared" si="489"/>
        <v>0</v>
      </c>
      <c r="CN202" s="106">
        <f t="shared" si="489"/>
        <v>0</v>
      </c>
      <c r="CO202" s="106">
        <f t="shared" si="489"/>
        <v>0</v>
      </c>
      <c r="CP202" s="106">
        <f t="shared" si="489"/>
        <v>0</v>
      </c>
      <c r="CQ202" s="106">
        <f t="shared" si="489"/>
        <v>0</v>
      </c>
      <c r="CR202" s="106">
        <f t="shared" si="489"/>
        <v>0</v>
      </c>
      <c r="CS202" s="106">
        <f t="shared" ref="CS202:CU207" si="490">CA202-DK202</f>
        <v>0</v>
      </c>
      <c r="CT202" s="106">
        <f t="shared" si="490"/>
        <v>0</v>
      </c>
      <c r="CU202" s="106">
        <f t="shared" si="490"/>
        <v>0</v>
      </c>
      <c r="CV202" s="106">
        <f t="shared" ref="CV202:CV207" si="491">CD202-DN202</f>
        <v>0</v>
      </c>
      <c r="CW202" s="106">
        <f t="shared" ref="CW202:CW207" si="492">CE202-DO202</f>
        <v>0</v>
      </c>
      <c r="CX202" s="106">
        <f t="shared" ref="CX202:CX207" si="493">CF202-DP202</f>
        <v>0</v>
      </c>
      <c r="CY202" s="106">
        <f t="shared" ref="CY202:CY207" si="494">CG202-DQ202</f>
        <v>0</v>
      </c>
      <c r="CZ202" s="134"/>
      <c r="DA202" s="135">
        <v>222776.11940298506</v>
      </c>
      <c r="DB202" s="135">
        <v>225874.62686567163</v>
      </c>
      <c r="DC202" s="135">
        <v>228810.99701492532</v>
      </c>
      <c r="DD202" s="135">
        <v>231785.53997611933</v>
      </c>
      <c r="DE202" s="135">
        <v>234798.75199580885</v>
      </c>
      <c r="DF202" s="135">
        <v>237851.13577175434</v>
      </c>
      <c r="DG202" s="135">
        <v>240943.20053678713</v>
      </c>
      <c r="DH202" s="135">
        <v>244075.46214376535</v>
      </c>
      <c r="DI202" s="135">
        <v>247248.44315163427</v>
      </c>
      <c r="DJ202" s="135">
        <v>250462.67291260549</v>
      </c>
      <c r="DK202" s="135">
        <v>253718.68766046932</v>
      </c>
      <c r="DL202" s="135">
        <v>257017.03060005538</v>
      </c>
      <c r="DM202" s="135">
        <v>260358.25199785607</v>
      </c>
      <c r="DN202" s="135">
        <v>263742.90927382815</v>
      </c>
      <c r="DO202" s="135">
        <v>267171.56709438789</v>
      </c>
      <c r="DP202" s="135">
        <v>270644.79746661492</v>
      </c>
      <c r="DQ202" s="135">
        <v>274163.17983368092</v>
      </c>
    </row>
    <row r="203" spans="1:121" s="123" customFormat="1">
      <c r="A203" s="107" t="s">
        <v>1666</v>
      </c>
      <c r="B203" s="107"/>
      <c r="C203" s="136" t="s">
        <v>1900</v>
      </c>
      <c r="D203" s="147"/>
      <c r="E203" s="107"/>
      <c r="F203" s="144">
        <f>SOURCE!F139*1000</f>
        <v>6600</v>
      </c>
      <c r="G203" s="144">
        <f>SOURCE!G139*1000</f>
        <v>7600</v>
      </c>
      <c r="H203" s="144">
        <f>SOURCE!H139*1000</f>
        <v>8350.0003814697266</v>
      </c>
      <c r="I203" s="144">
        <f>SOURCE!I139*1000</f>
        <v>9500</v>
      </c>
      <c r="J203" s="144">
        <f>SOURCE!J139*1000</f>
        <v>9555.999755859375</v>
      </c>
      <c r="K203" s="144">
        <f>SOURCE!K139*1000</f>
        <v>10487.000465393066</v>
      </c>
      <c r="L203" s="144">
        <f>SOURCE!L139*1000</f>
        <v>11295.999526977539</v>
      </c>
      <c r="M203" s="144">
        <f>SOURCE!M139*1000</f>
        <v>11963.000297546387</v>
      </c>
      <c r="N203" s="144">
        <f>SOURCE!N139*1000</f>
        <v>12975.99983215332</v>
      </c>
      <c r="O203" s="144">
        <f>SOURCE!O139*1000</f>
        <v>13972.000122070313</v>
      </c>
      <c r="P203" s="144">
        <f>SOURCE!P139*1000</f>
        <v>14777.999877929688</v>
      </c>
      <c r="Q203" s="144">
        <f>SOURCE!Q139*1000</f>
        <v>15529.999732971191</v>
      </c>
      <c r="R203" s="144">
        <f>SOURCE!R139*1000</f>
        <v>16233.999252319336</v>
      </c>
      <c r="S203" s="144">
        <f>SOURCE!S139*1000</f>
        <v>18055.999755859375</v>
      </c>
      <c r="T203" s="144">
        <f>SOURCE!T139*1000</f>
        <v>18500</v>
      </c>
      <c r="U203" s="144">
        <f>SOURCE!U139*1000</f>
        <v>20700.000762939453</v>
      </c>
      <c r="V203" s="144">
        <f>SOURCE!V139*1000</f>
        <v>24100.000381469727</v>
      </c>
      <c r="W203" s="144">
        <f>SOURCE!W139*1000</f>
        <v>24200.000762939453</v>
      </c>
      <c r="X203" s="144">
        <f>SOURCE!X139*1000</f>
        <v>23700.000762939453</v>
      </c>
      <c r="Y203" s="144">
        <f>SOURCE!Y139*1000</f>
        <v>25399.999618530273</v>
      </c>
      <c r="Z203" s="144">
        <f>SOURCE!Z139*1000</f>
        <v>28399.999618530273</v>
      </c>
      <c r="AA203" s="144">
        <f>SOURCE!AA139*1000</f>
        <v>29399.999618530273</v>
      </c>
      <c r="AB203" s="144">
        <f>SOURCE!AB139*1000</f>
        <v>32700.000762939453</v>
      </c>
      <c r="AC203" s="144">
        <f>SOURCE!AC139*1000</f>
        <v>35900.001525878906</v>
      </c>
      <c r="AD203" s="144">
        <f>SOURCE!AD139*1000</f>
        <v>39000</v>
      </c>
      <c r="AE203" s="144">
        <f>SOURCE!AE139*1000</f>
        <v>39599.998474121094</v>
      </c>
      <c r="AF203" s="144">
        <f>SOURCE!AF139*1000</f>
        <v>35200.000762939453</v>
      </c>
      <c r="AG203" s="144">
        <f>SOURCE!AG139*1000</f>
        <v>35400.001525878906</v>
      </c>
      <c r="AH203" s="144">
        <f>SOURCE!AH139*1000</f>
        <v>35299.999237060547</v>
      </c>
      <c r="AI203" s="144">
        <f>SOURCE!AI139*1000</f>
        <v>37000</v>
      </c>
      <c r="AJ203" s="144">
        <f>SOURCE!AJ139*1000</f>
        <v>37000</v>
      </c>
      <c r="AK203" s="144">
        <f>SOURCE!AK139*1000</f>
        <v>38000</v>
      </c>
      <c r="AL203" s="144">
        <f>SOURCE!AL139*1000</f>
        <v>38500</v>
      </c>
      <c r="AM203" s="144">
        <f>SOURCE!AM139*1000</f>
        <v>41337.207794189453</v>
      </c>
      <c r="AN203" s="144">
        <f>SOURCE!AN139*1000</f>
        <v>43953.487396240234</v>
      </c>
      <c r="AO203" s="144">
        <f>SOURCE!AO139*1000</f>
        <v>44476.74560546875</v>
      </c>
      <c r="AP203" s="144">
        <f>SOURCE!AP139*1000</f>
        <v>43445</v>
      </c>
      <c r="AQ203" s="144">
        <f>SOURCE!AQ139*1000</f>
        <v>42816</v>
      </c>
      <c r="AR203" s="144">
        <f>SOURCE!AR139*1000</f>
        <v>42697</v>
      </c>
      <c r="AS203" s="144">
        <f>SOURCE!AS139*1000</f>
        <v>40652</v>
      </c>
      <c r="AT203" s="144">
        <f>SOURCE!AT139*1000</f>
        <v>38552</v>
      </c>
      <c r="AU203" s="144">
        <f>SOURCE!AU139*1000</f>
        <v>37160</v>
      </c>
      <c r="AV203" s="144">
        <f>SOURCE!AV139*1000</f>
        <v>36663</v>
      </c>
      <c r="AW203" s="144">
        <f>SOURCE!AW139*1000</f>
        <v>36691.029816513757</v>
      </c>
      <c r="AX203" s="144">
        <f>SOURCE!AX139*1000</f>
        <v>37727</v>
      </c>
      <c r="AY203" s="144">
        <f>SOURCE!AY139*1000</f>
        <v>37889</v>
      </c>
      <c r="AZ203" s="144">
        <f>SOURCE!AZ139*1000</f>
        <v>38475</v>
      </c>
      <c r="BA203" s="144">
        <f>SOURCE!BA139*1000</f>
        <v>39227</v>
      </c>
      <c r="BB203" s="144">
        <f>SOURCE!BB139*1000</f>
        <v>32304.132646320519</v>
      </c>
      <c r="BC203" s="144">
        <f>SOURCE!BC139*1000</f>
        <v>32376.407539525262</v>
      </c>
      <c r="BD203" s="144">
        <f>SOURCE!BD139*1000</f>
        <v>32345.301889285245</v>
      </c>
      <c r="BE203" s="144">
        <f>SOURCE!BE139*1000</f>
        <v>33231.812921125653</v>
      </c>
      <c r="BF203" s="144">
        <f>SOURCE!BF139*1000</f>
        <v>34298.553749944957</v>
      </c>
      <c r="BG203" s="144">
        <f>SOURCE!BG139*1000</f>
        <v>34999.345752411158</v>
      </c>
      <c r="BH203" s="144">
        <f>SOURCE!BH139*1000</f>
        <v>35571.140793587889</v>
      </c>
      <c r="BI203" s="144">
        <f>SOURCE!BI139*1000</f>
        <v>36121.893777249308</v>
      </c>
      <c r="BJ203" s="144">
        <f>SOURCE!BJ139*1000</f>
        <v>38552.708856299825</v>
      </c>
      <c r="BK203" s="144">
        <f>SOURCE!BK139*1000</f>
        <v>40983.523935350335</v>
      </c>
      <c r="BL203" s="144">
        <f>SOURCE!BL139*1000</f>
        <v>41548</v>
      </c>
      <c r="BM203" s="144">
        <f>SOURCE!BM139*1000</f>
        <v>42216</v>
      </c>
      <c r="BN203" s="144">
        <f>SOURCE!BN139*1000</f>
        <v>42698</v>
      </c>
      <c r="BO203" s="109">
        <f>BN203*(1+Assumptions!BO11/100)</f>
        <v>46967.8</v>
      </c>
      <c r="BP203" s="109">
        <f>BO203*(1+Assumptions!BP11/100)</f>
        <v>46967.8</v>
      </c>
      <c r="BQ203" s="109">
        <f>BP203*(1+Assumptions!BQ11/100)</f>
        <v>46967.8</v>
      </c>
      <c r="BR203" s="109">
        <f>BQ203*(1+Assumptions!BR11/100)</f>
        <v>46967.8</v>
      </c>
      <c r="BS203" s="109">
        <f>BR203*(1+Assumptions!BS11/100)</f>
        <v>46967.8</v>
      </c>
      <c r="BT203" s="109">
        <f>BS203*(1+Assumptions!BT11/100)</f>
        <v>46967.8</v>
      </c>
      <c r="BU203" s="109">
        <f>BT203*(1+Assumptions!BU11/100)</f>
        <v>46967.8</v>
      </c>
      <c r="BV203" s="109">
        <f>BU203*(1+Assumptions!BV11/100)</f>
        <v>43680.053999999996</v>
      </c>
      <c r="BW203" s="109">
        <f>BV203*(1+Assumptions!BW11/100)</f>
        <v>38438.447519999994</v>
      </c>
      <c r="BX203" s="109">
        <f>BW203*(1+Assumptions!BX11/100)</f>
        <v>38438.447519999994</v>
      </c>
      <c r="BY203" s="109">
        <f>BX203*(1+Assumptions!BY11/100)</f>
        <v>38438.447519999994</v>
      </c>
      <c r="BZ203" s="109">
        <f>BY203*(1+Assumptions!BZ11/100)</f>
        <v>38438.447519999994</v>
      </c>
      <c r="CA203" s="109">
        <f>BZ203*(1+Assumptions!CA11/100)</f>
        <v>38438.447519999994</v>
      </c>
      <c r="CB203" s="109">
        <f>CA203*(1+Assumptions!CB11/100)</f>
        <v>38438.447519999994</v>
      </c>
      <c r="CC203" s="109">
        <f>CB203*(1+Assumptions!CC11/100)</f>
        <v>38438.447519999994</v>
      </c>
      <c r="CD203" s="109">
        <f>CC203*(1+Assumptions!CD11/100)</f>
        <v>38438.447519999994</v>
      </c>
      <c r="CE203" s="109">
        <f>CD203*(1+Assumptions!CE11/100)</f>
        <v>38438.447519999994</v>
      </c>
      <c r="CF203" s="109">
        <f>CE203*(1+Assumptions!CF11/100)</f>
        <v>38438.447519999994</v>
      </c>
      <c r="CG203" s="109">
        <f>CF203*(1+Assumptions!CG11/100)</f>
        <v>38438.447519999994</v>
      </c>
      <c r="CH203" s="141"/>
      <c r="CI203" s="106">
        <f t="shared" si="489"/>
        <v>0</v>
      </c>
      <c r="CJ203" s="106">
        <f t="shared" si="489"/>
        <v>0</v>
      </c>
      <c r="CK203" s="106">
        <f t="shared" si="489"/>
        <v>0</v>
      </c>
      <c r="CL203" s="106">
        <f t="shared" si="489"/>
        <v>0</v>
      </c>
      <c r="CM203" s="106">
        <f t="shared" si="489"/>
        <v>0</v>
      </c>
      <c r="CN203" s="106">
        <f t="shared" si="489"/>
        <v>0</v>
      </c>
      <c r="CO203" s="106">
        <f t="shared" si="489"/>
        <v>0</v>
      </c>
      <c r="CP203" s="106">
        <f t="shared" si="489"/>
        <v>0</v>
      </c>
      <c r="CQ203" s="106">
        <f t="shared" si="489"/>
        <v>0</v>
      </c>
      <c r="CR203" s="106">
        <f t="shared" si="489"/>
        <v>0</v>
      </c>
      <c r="CS203" s="106">
        <f t="shared" si="490"/>
        <v>0</v>
      </c>
      <c r="CT203" s="106">
        <f t="shared" si="490"/>
        <v>0</v>
      </c>
      <c r="CU203" s="106">
        <f t="shared" si="490"/>
        <v>0</v>
      </c>
      <c r="CV203" s="106">
        <f t="shared" si="491"/>
        <v>0</v>
      </c>
      <c r="CW203" s="106">
        <f t="shared" si="492"/>
        <v>0</v>
      </c>
      <c r="CX203" s="106">
        <f t="shared" si="493"/>
        <v>0</v>
      </c>
      <c r="CY203" s="106">
        <f t="shared" si="494"/>
        <v>0</v>
      </c>
      <c r="CZ203" s="134"/>
      <c r="DA203" s="135">
        <v>46967.8</v>
      </c>
      <c r="DB203" s="135">
        <v>46967.8</v>
      </c>
      <c r="DC203" s="135">
        <v>46967.8</v>
      </c>
      <c r="DD203" s="135">
        <v>46967.8</v>
      </c>
      <c r="DE203" s="135">
        <v>46967.8</v>
      </c>
      <c r="DF203" s="135">
        <v>43680.053999999996</v>
      </c>
      <c r="DG203" s="135">
        <v>38438.447519999994</v>
      </c>
      <c r="DH203" s="135">
        <v>38438.447519999994</v>
      </c>
      <c r="DI203" s="135">
        <v>38438.447519999994</v>
      </c>
      <c r="DJ203" s="135">
        <v>38438.447519999994</v>
      </c>
      <c r="DK203" s="135">
        <v>38438.447519999994</v>
      </c>
      <c r="DL203" s="135">
        <v>38438.447519999994</v>
      </c>
      <c r="DM203" s="135">
        <v>38438.447519999994</v>
      </c>
      <c r="DN203" s="135">
        <v>38438.447519999994</v>
      </c>
      <c r="DO203" s="135">
        <v>38438.447519999994</v>
      </c>
      <c r="DP203" s="135">
        <v>38438.447519999994</v>
      </c>
      <c r="DQ203" s="135">
        <v>38438.447519999994</v>
      </c>
    </row>
    <row r="204" spans="1:121" s="123" customFormat="1">
      <c r="A204" s="107" t="s">
        <v>1667</v>
      </c>
      <c r="B204" s="107"/>
      <c r="C204" s="136" t="s">
        <v>1900</v>
      </c>
      <c r="D204" s="147"/>
      <c r="E204" s="107"/>
      <c r="F204" s="144">
        <f>SOURCE!F138*1000</f>
        <v>48200</v>
      </c>
      <c r="G204" s="144">
        <f>SOURCE!G138*1000</f>
        <v>49800</v>
      </c>
      <c r="H204" s="144">
        <f>SOURCE!H138*1000</f>
        <v>64740.486145019531</v>
      </c>
      <c r="I204" s="144">
        <f>SOURCE!I138*1000</f>
        <v>67589.065551757813</v>
      </c>
      <c r="J204" s="144">
        <f>SOURCE!J138*1000</f>
        <v>71374.046325683594</v>
      </c>
      <c r="K204" s="144">
        <f>SOURCE!K138*1000</f>
        <v>75534.286499023438</v>
      </c>
      <c r="L204" s="144">
        <f>SOURCE!L138*1000</f>
        <v>80084.541320800781</v>
      </c>
      <c r="M204" s="144">
        <f>SOURCE!M138*1000</f>
        <v>80962.09716796875</v>
      </c>
      <c r="N204" s="144">
        <f>SOURCE!N138*1000</f>
        <v>81579.635620117188</v>
      </c>
      <c r="O204" s="144">
        <f>SOURCE!O138*1000</f>
        <v>82099.655151367188</v>
      </c>
      <c r="P204" s="144">
        <f>SOURCE!P138*1000</f>
        <v>82635.292053222656</v>
      </c>
      <c r="Q204" s="144">
        <f>SOURCE!Q138*1000</f>
        <v>83680.549621582031</v>
      </c>
      <c r="R204" s="144">
        <f>SOURCE!R138*1000</f>
        <v>84075.767517089844</v>
      </c>
      <c r="S204" s="144">
        <f>SOURCE!S138*1000</f>
        <v>84600.982666015625</v>
      </c>
      <c r="T204" s="144">
        <f>SOURCE!T138*1000</f>
        <v>85646.247863769531</v>
      </c>
      <c r="U204" s="144">
        <f>SOURCE!U138*1000</f>
        <v>85976.463317871094</v>
      </c>
      <c r="V204" s="144">
        <f>SOURCE!V138*1000</f>
        <v>87866.767883300781</v>
      </c>
      <c r="W204" s="144">
        <f>SOURCE!W138*1000</f>
        <v>83126.693725585938</v>
      </c>
      <c r="X204" s="144">
        <f>SOURCE!X138*1000</f>
        <v>82247.848510742188</v>
      </c>
      <c r="Y204" s="144">
        <f>SOURCE!Y138*1000</f>
        <v>79889.511108398438</v>
      </c>
      <c r="Z204" s="144">
        <f>SOURCE!Z138*1000</f>
        <v>78849.456787109375</v>
      </c>
      <c r="AA204" s="144">
        <f>SOURCE!AA138*1000</f>
        <v>83464.7216796875</v>
      </c>
      <c r="AB204" s="144">
        <f>SOURCE!AB138*1000</f>
        <v>81644.615173339844</v>
      </c>
      <c r="AC204" s="144">
        <f>SOURCE!AC138*1000</f>
        <v>82814.674377441406</v>
      </c>
      <c r="AD204" s="144">
        <f>SOURCE!AD138*1000</f>
        <v>83074.684143066406</v>
      </c>
      <c r="AE204" s="144">
        <f>SOURCE!AE138*1000</f>
        <v>81254.57763671875</v>
      </c>
      <c r="AF204" s="144">
        <f>SOURCE!AF138*1000</f>
        <v>82099.632263183594</v>
      </c>
      <c r="AG204" s="144">
        <f>SOURCE!AG138*1000</f>
        <v>81839.622497558594</v>
      </c>
      <c r="AH204" s="144">
        <f>SOURCE!AH138*1000</f>
        <v>81748.611450195313</v>
      </c>
      <c r="AI204" s="144">
        <f>SOURCE!AI138*1000</f>
        <v>79954.513549804688</v>
      </c>
      <c r="AJ204" s="144">
        <f>SOURCE!AJ138*1000</f>
        <v>76925.338745117188</v>
      </c>
      <c r="AK204" s="144">
        <f>SOURCE!AK138*1000</f>
        <v>74128.883361816406</v>
      </c>
      <c r="AL204" s="144">
        <f>SOURCE!AL138*1000</f>
        <v>69358.917236328125</v>
      </c>
      <c r="AM204" s="144">
        <f>SOURCE!AM138*1000</f>
        <v>65164.642333984375</v>
      </c>
      <c r="AN204" s="144">
        <f>SOURCE!AN138*1000</f>
        <v>60876.659393310547</v>
      </c>
      <c r="AO204" s="144">
        <f>SOURCE!AO138*1000</f>
        <v>55818.065643310547</v>
      </c>
      <c r="AP204" s="144">
        <f>SOURCE!AP138*1000</f>
        <v>53200.000762939453</v>
      </c>
      <c r="AQ204" s="144">
        <f>SOURCE!AQ138*1000</f>
        <v>54065.437558463738</v>
      </c>
      <c r="AR204" s="144">
        <f>SOURCE!AR138*1000</f>
        <v>54596.764706386151</v>
      </c>
      <c r="AS204" s="144">
        <f>SOURCE!AS138*1000</f>
        <v>51791.63579006213</v>
      </c>
      <c r="AT204" s="144">
        <f>SOURCE!AT138*1000</f>
        <v>47320.599047501004</v>
      </c>
      <c r="AU204" s="144">
        <f>SOURCE!AU138*1000</f>
        <v>44121.035130535871</v>
      </c>
      <c r="AV204" s="144">
        <f>SOURCE!AV138*1000</f>
        <v>52677.513742556126</v>
      </c>
      <c r="AW204" s="144">
        <f>SOURCE!AW138*1000</f>
        <v>52101.464441136057</v>
      </c>
      <c r="AX204" s="144">
        <f>SOURCE!AX138*1000</f>
        <v>52053.682260650487</v>
      </c>
      <c r="AY204" s="144">
        <f>SOURCE!AY138*1000</f>
        <v>50149.551019239581</v>
      </c>
      <c r="AZ204" s="144">
        <f>SOURCE!AZ138*1000</f>
        <v>50808.303825011455</v>
      </c>
      <c r="BA204" s="144">
        <f>SOURCE!BA138*1000</f>
        <v>49501</v>
      </c>
      <c r="BB204" s="144">
        <f>SOURCE!BB138*1000</f>
        <v>53581.867353679474</v>
      </c>
      <c r="BC204" s="144">
        <f>SOURCE!BC138*1000</f>
        <v>55627.592460474742</v>
      </c>
      <c r="BD204" s="144">
        <f>SOURCE!BD138*1000</f>
        <v>58713.698110714751</v>
      </c>
      <c r="BE204" s="144">
        <f>SOURCE!BE138*1000</f>
        <v>60399.187078874347</v>
      </c>
      <c r="BF204" s="144">
        <f>SOURCE!BF138*1000</f>
        <v>61117.446250055036</v>
      </c>
      <c r="BG204" s="144">
        <f>SOURCE!BG138*1000</f>
        <v>61439.654247588835</v>
      </c>
      <c r="BH204" s="144">
        <f>SOURCE!BH138*1000</f>
        <v>62473.326123271334</v>
      </c>
      <c r="BI204" s="144">
        <f>SOURCE!BI138*1000</f>
        <v>61502.225184373492</v>
      </c>
      <c r="BJ204" s="144">
        <f>SOURCE!BJ138*1000</f>
        <v>66446.580609096971</v>
      </c>
      <c r="BK204" s="144">
        <f>SOURCE!BK138*1000</f>
        <v>71390.936033820442</v>
      </c>
      <c r="BL204" s="144">
        <f>SOURCE!BL138*1000</f>
        <v>77858.268059882437</v>
      </c>
      <c r="BM204" s="144">
        <f>SOURCE!BM138*1000</f>
        <v>77545.413375959164</v>
      </c>
      <c r="BN204" s="144">
        <f>SOURCE!BN138*1000</f>
        <v>86550.622598006754</v>
      </c>
      <c r="BO204" s="109">
        <f t="shared" ref="BO204:CC204" si="495">BN204*(1+0.5*BO32/100+0.5*BN32/100-BO243/100)</f>
        <v>84754.036300445194</v>
      </c>
      <c r="BP204" s="109">
        <f t="shared" si="495"/>
        <v>80483.991835666704</v>
      </c>
      <c r="BQ204" s="109">
        <f t="shared" si="495"/>
        <v>78552.822905282315</v>
      </c>
      <c r="BR204" s="109">
        <f t="shared" si="495"/>
        <v>79880.797687661354</v>
      </c>
      <c r="BS204" s="109">
        <f t="shared" si="495"/>
        <v>80647.172542351182</v>
      </c>
      <c r="BT204" s="109">
        <f t="shared" ca="1" si="495"/>
        <v>73950.246367031374</v>
      </c>
      <c r="BU204" s="109">
        <f t="shared" ca="1" si="495"/>
        <v>70520.814503485046</v>
      </c>
      <c r="BV204" s="109">
        <f t="shared" ca="1" si="495"/>
        <v>73696.519191569838</v>
      </c>
      <c r="BW204" s="109">
        <f t="shared" ca="1" si="495"/>
        <v>75543.540967383946</v>
      </c>
      <c r="BX204" s="109">
        <f t="shared" ca="1" si="495"/>
        <v>78061.345095365745</v>
      </c>
      <c r="BY204" s="109">
        <f t="shared" ca="1" si="495"/>
        <v>80768.823878548079</v>
      </c>
      <c r="BZ204" s="109">
        <f t="shared" ca="1" si="495"/>
        <v>83649.432712686423</v>
      </c>
      <c r="CA204" s="109">
        <f t="shared" ca="1" si="495"/>
        <v>86874.104973071037</v>
      </c>
      <c r="CB204" s="109">
        <f t="shared" ca="1" si="495"/>
        <v>90467.282273371733</v>
      </c>
      <c r="CC204" s="109">
        <f t="shared" ca="1" si="495"/>
        <v>94501.303265824114</v>
      </c>
      <c r="CD204" s="109">
        <f ca="1">CC204*(1+0.5*CD32/100+0.5*CC32/100-CD243/100)</f>
        <v>99071.278476929307</v>
      </c>
      <c r="CE204" s="109">
        <f ca="1">CD204*(1+0.5*CE32/100+0.5*CD32/100-CE243/100)</f>
        <v>104295.47155139018</v>
      </c>
      <c r="CF204" s="109">
        <f ca="1">CE204*(1+0.5*CF32/100+0.5*CE32/100-CF243/100)</f>
        <v>110316.76213152778</v>
      </c>
      <c r="CG204" s="109">
        <f ca="1">CF204*(1+0.5*CG32/100+0.5*CF32/100-CG243/100)</f>
        <v>117298.95166352863</v>
      </c>
      <c r="CH204" s="141"/>
      <c r="CI204" s="106">
        <f t="shared" ref="CI204:CR206" si="496">BQ204-DA204</f>
        <v>0</v>
      </c>
      <c r="CJ204" s="106">
        <f t="shared" si="496"/>
        <v>0</v>
      </c>
      <c r="CK204" s="106">
        <f t="shared" si="496"/>
        <v>0</v>
      </c>
      <c r="CL204" s="106">
        <f t="shared" ca="1" si="496"/>
        <v>0</v>
      </c>
      <c r="CM204" s="106">
        <f t="shared" ca="1" si="496"/>
        <v>-1085.6062137707486</v>
      </c>
      <c r="CN204" s="106">
        <f t="shared" ca="1" si="496"/>
        <v>-2572.9945968013635</v>
      </c>
      <c r="CO204" s="106">
        <f t="shared" ca="1" si="496"/>
        <v>-2604.5775634068414</v>
      </c>
      <c r="CP204" s="106">
        <f t="shared" ca="1" si="496"/>
        <v>-2627.8725198493776</v>
      </c>
      <c r="CQ204" s="106">
        <f t="shared" ca="1" si="496"/>
        <v>-2736.5767737560673</v>
      </c>
      <c r="CR204" s="106">
        <f t="shared" ca="1" si="496"/>
        <v>-1725.9932307789131</v>
      </c>
      <c r="CS204" s="106">
        <f t="shared" ca="1" si="490"/>
        <v>-662.78471852376242</v>
      </c>
      <c r="CT204" s="106">
        <f t="shared" ca="1" si="490"/>
        <v>-797.82661492221814</v>
      </c>
      <c r="CU204" s="106">
        <f t="shared" ca="1" si="490"/>
        <v>-1020.9431894052832</v>
      </c>
      <c r="CV204" s="106">
        <f t="shared" ca="1" si="491"/>
        <v>-1272.5827264191321</v>
      </c>
      <c r="CW204" s="106">
        <f t="shared" ca="1" si="492"/>
        <v>-1541.9215044799057</v>
      </c>
      <c r="CX204" s="106">
        <f t="shared" ca="1" si="493"/>
        <v>-1808.9836259317963</v>
      </c>
      <c r="CY204" s="106">
        <f t="shared" ca="1" si="494"/>
        <v>-2047.8147264014115</v>
      </c>
      <c r="CZ204" s="134"/>
      <c r="DA204" s="135">
        <v>78552.822905282315</v>
      </c>
      <c r="DB204" s="135">
        <v>79880.797687661354</v>
      </c>
      <c r="DC204" s="135">
        <v>80647.172542351182</v>
      </c>
      <c r="DD204" s="135">
        <v>73950.246367031374</v>
      </c>
      <c r="DE204" s="135">
        <v>71606.420717255794</v>
      </c>
      <c r="DF204" s="135">
        <v>76269.513788371201</v>
      </c>
      <c r="DG204" s="135">
        <v>78148.118530790787</v>
      </c>
      <c r="DH204" s="135">
        <v>80689.217615215122</v>
      </c>
      <c r="DI204" s="135">
        <v>83505.400652304146</v>
      </c>
      <c r="DJ204" s="135">
        <v>85375.425943465336</v>
      </c>
      <c r="DK204" s="135">
        <v>87536.889691594799</v>
      </c>
      <c r="DL204" s="135">
        <v>91265.108888293951</v>
      </c>
      <c r="DM204" s="135">
        <v>95522.246455229397</v>
      </c>
      <c r="DN204" s="135">
        <v>100343.86120334844</v>
      </c>
      <c r="DO204" s="135">
        <v>105837.39305587008</v>
      </c>
      <c r="DP204" s="135">
        <v>112125.74575745958</v>
      </c>
      <c r="DQ204" s="135">
        <v>119346.76638993004</v>
      </c>
    </row>
    <row r="205" spans="1:121" s="123" customFormat="1">
      <c r="A205" s="107" t="s">
        <v>1668</v>
      </c>
      <c r="B205" s="107"/>
      <c r="C205" s="136" t="s">
        <v>1900</v>
      </c>
      <c r="D205" s="147"/>
      <c r="E205" s="107"/>
      <c r="F205" s="144">
        <f>SOURCE!F140*1000</f>
        <v>3998.2832618025759</v>
      </c>
      <c r="G205" s="144">
        <f>SOURCE!G140*1000</f>
        <v>3021.0526315789475</v>
      </c>
      <c r="H205" s="144">
        <f>SOURCE!H140*1000</f>
        <v>1669.5827389864405</v>
      </c>
      <c r="I205" s="144">
        <f>SOURCE!I140*1000</f>
        <v>1425.44366035496</v>
      </c>
      <c r="J205" s="144">
        <f>SOURCE!J140*1000</f>
        <v>2610.7591120084726</v>
      </c>
      <c r="K205" s="144">
        <f>SOURCE!K140*1000</f>
        <v>2533.4316879972775</v>
      </c>
      <c r="L205" s="144">
        <f>SOURCE!L140*1000</f>
        <v>1935.9133280649257</v>
      </c>
      <c r="M205" s="144">
        <f>SOURCE!M140*1000</f>
        <v>2899.9202531073338</v>
      </c>
      <c r="N205" s="144">
        <f>SOURCE!N140*1000</f>
        <v>3841.8486015197323</v>
      </c>
      <c r="O205" s="144">
        <f>SOURCE!O140*1000</f>
        <v>4765.8526031765095</v>
      </c>
      <c r="P205" s="144">
        <f>SOURCE!P140*1000</f>
        <v>5675.7389711060769</v>
      </c>
      <c r="Q205" s="144">
        <f>SOURCE!Q140*1000</f>
        <v>4686.5189847605707</v>
      </c>
      <c r="R205" s="144">
        <f>SOURCE!R140*1000</f>
        <v>4492.4885775677503</v>
      </c>
      <c r="S205" s="144">
        <f>SOURCE!S140*1000</f>
        <v>4471.6191153703248</v>
      </c>
      <c r="T205" s="144">
        <f>SOURCE!T140*1000</f>
        <v>4653.3396263087752</v>
      </c>
      <c r="U205" s="144">
        <f>SOURCE!U140*1000</f>
        <v>5728.1613711979244</v>
      </c>
      <c r="V205" s="144">
        <f>SOURCE!V140*1000</f>
        <v>5206.1033607986756</v>
      </c>
      <c r="W205" s="144">
        <f>SOURCE!W140*1000</f>
        <v>6867.2826694110481</v>
      </c>
      <c r="X205" s="144">
        <f>SOURCE!X140*1000</f>
        <v>8380.5913486331028</v>
      </c>
      <c r="Y205" s="144">
        <f>SOURCE!Y140*1000</f>
        <v>10579.014139558707</v>
      </c>
      <c r="Z205" s="144">
        <f>SOURCE!Z140*1000</f>
        <v>11879.397687877436</v>
      </c>
      <c r="AA205" s="144">
        <f>SOURCE!AA140*1000</f>
        <v>9787.4026498330568</v>
      </c>
      <c r="AB205" s="144">
        <f>SOURCE!AB140*1000</f>
        <v>8202.3160639369362</v>
      </c>
      <c r="AC205" s="144">
        <f>SOURCE!AC140*1000</f>
        <v>7019.41623491471</v>
      </c>
      <c r="AD205" s="144">
        <f>SOURCE!AD140*1000</f>
        <v>5933.7055463590605</v>
      </c>
      <c r="AE205" s="144">
        <f>SOURCE!AE140*1000</f>
        <v>8687.6334609096994</v>
      </c>
      <c r="AF205" s="144">
        <f>SOURCE!AF140*1000</f>
        <v>11733.482568810367</v>
      </c>
      <c r="AG205" s="144">
        <f>SOURCE!AG140*1000</f>
        <v>11889.434253409569</v>
      </c>
      <c r="AH205" s="144">
        <f>SOURCE!AH140*1000</f>
        <v>12050.863458046182</v>
      </c>
      <c r="AI205" s="144">
        <f>SOURCE!AI140*1000</f>
        <v>15140.135501742589</v>
      </c>
      <c r="AJ205" s="144">
        <f>SOURCE!AJ140*1000</f>
        <v>17061.808734538663</v>
      </c>
      <c r="AK205" s="144">
        <f>SOURCE!AK140*1000</f>
        <v>17937.002233189745</v>
      </c>
      <c r="AL205" s="144">
        <f>SOURCE!AL140*1000</f>
        <v>20530.830498369876</v>
      </c>
      <c r="AM205" s="144">
        <f>SOURCE!AM140*1000</f>
        <v>22905.016354778625</v>
      </c>
      <c r="AN205" s="144">
        <f>SOURCE!AN140*1000</f>
        <v>26043.943460518818</v>
      </c>
      <c r="AO205" s="144">
        <f>SOURCE!AO140*1000</f>
        <v>20834.188960061558</v>
      </c>
      <c r="AP205" s="144">
        <f>SOURCE!AP140*1000</f>
        <v>17727.78120503623</v>
      </c>
      <c r="AQ205" s="144">
        <f>SOURCE!AQ140*1000</f>
        <v>17771.151268120568</v>
      </c>
      <c r="AR205" s="144">
        <f>SOURCE!AR140*1000</f>
        <v>21479.475665939037</v>
      </c>
      <c r="AS205" s="144">
        <f>SOURCE!AS140*1000</f>
        <v>16313.582786481555</v>
      </c>
      <c r="AT205" s="144">
        <f>SOURCE!AT140*1000</f>
        <v>11709.899870113775</v>
      </c>
      <c r="AU205" s="144">
        <f>SOURCE!AU140*1000</f>
        <v>7067.9160983074662</v>
      </c>
      <c r="AV205" s="144">
        <f>SOURCE!AV140*1000</f>
        <v>11042.085968181091</v>
      </c>
      <c r="AW205" s="144">
        <f>SOURCE!AW140*1000</f>
        <v>14920.662391467677</v>
      </c>
      <c r="AX205" s="144">
        <f>SOURCE!AX140*1000</f>
        <v>15561.081072023919</v>
      </c>
      <c r="AY205" s="144">
        <f>SOURCE!AY140*1000</f>
        <v>17661.001227616969</v>
      </c>
      <c r="AZ205" s="144">
        <f>SOURCE!AZ140*1000</f>
        <v>18409.891405793041</v>
      </c>
      <c r="BA205" s="144">
        <f>SOURCE!BA140*1000</f>
        <v>19457.968280281875</v>
      </c>
      <c r="BB205" s="144">
        <f>SOURCE!BB140*1000</f>
        <v>18801.465208864964</v>
      </c>
      <c r="BC205" s="144">
        <f>SOURCE!BC140*1000</f>
        <v>18451.992258213799</v>
      </c>
      <c r="BD205" s="144">
        <f ca="1">SOURCE!BD140*1000</f>
        <v>13542.996684987487</v>
      </c>
      <c r="BE205" s="144">
        <f ca="1">SOURCE!BE140*1000</f>
        <v>11162.745949266167</v>
      </c>
      <c r="BF205" s="144">
        <f>SOURCE!BF140*1000</f>
        <v>24917.910447761195</v>
      </c>
      <c r="BG205" s="144">
        <f>SOURCE!BG140*1000</f>
        <v>22098.507462686564</v>
      </c>
      <c r="BH205" s="144">
        <f>SOURCE!BH140*1000</f>
        <v>19525.373134328358</v>
      </c>
      <c r="BI205" s="144">
        <f>SOURCE!BI140*1000</f>
        <v>18849.25373134328</v>
      </c>
      <c r="BJ205" s="144">
        <f>SOURCE!BJ140*1000</f>
        <v>15568.656716417909</v>
      </c>
      <c r="BK205" s="144">
        <f>SOURCE!BK140*1000</f>
        <v>16543.283582089549</v>
      </c>
      <c r="BL205" s="144">
        <f>SOURCE!BL140*1000</f>
        <v>17870.149253731346</v>
      </c>
      <c r="BM205" s="144">
        <f>SOURCE!BM140*1000</f>
        <v>14865.671641791047</v>
      </c>
      <c r="BN205" s="144">
        <f>SOURCE!BN140*1000</f>
        <v>12498.507462686566</v>
      </c>
      <c r="BO205" s="144">
        <f>SOURCE!BO140*1000</f>
        <v>15852.23880597015</v>
      </c>
      <c r="BP205" s="144">
        <f>SOURCE!BP140*1000</f>
        <v>21446.268656716416</v>
      </c>
      <c r="BQ205" s="144">
        <f>SOURCE!BQ140*1000</f>
        <v>16700</v>
      </c>
      <c r="BR205" s="144">
        <f>SOURCE!BR140*1000</f>
        <v>21308.955223880595</v>
      </c>
      <c r="BS205" s="123">
        <f t="shared" ref="BS205:CB205" si="497">+BS202-BS203-BS204-BS206</f>
        <v>21775.90651892616</v>
      </c>
      <c r="BT205" s="123">
        <f t="shared" ca="1" si="497"/>
        <v>23857.065427243579</v>
      </c>
      <c r="BU205" s="123">
        <f t="shared" ca="1" si="497"/>
        <v>25243.428297398612</v>
      </c>
      <c r="BV205" s="123">
        <f t="shared" ca="1" si="497"/>
        <v>25924.366360514658</v>
      </c>
      <c r="BW205" s="123">
        <f t="shared" ca="1" si="497"/>
        <v>27320.198590080458</v>
      </c>
      <c r="BX205" s="123">
        <f t="shared" ca="1" si="497"/>
        <v>27452.420865532666</v>
      </c>
      <c r="BY205" s="123">
        <f t="shared" ca="1" si="497"/>
        <v>27552.590145718917</v>
      </c>
      <c r="BZ205" s="123">
        <f t="shared" ca="1" si="497"/>
        <v>27624.380496706814</v>
      </c>
      <c r="CA205" s="123">
        <f t="shared" ca="1" si="497"/>
        <v>27631.124942261609</v>
      </c>
      <c r="CB205" s="123">
        <f t="shared" ca="1" si="497"/>
        <v>27567.680893832425</v>
      </c>
      <c r="CC205" s="123">
        <f ca="1">+CC202-CC203-CC204-CC206</f>
        <v>27418.60053926197</v>
      </c>
      <c r="CD205" s="123">
        <f ca="1">+CD202-CD203-CD204-CD206</f>
        <v>27163.537430951081</v>
      </c>
      <c r="CE205" s="123">
        <f ca="1">+CE202-CE203-CE204-CE206</f>
        <v>26777.164467742798</v>
      </c>
      <c r="CF205" s="123">
        <f ca="1">+CF202-CF203-CF204-CF206</f>
        <v>26228.859124906943</v>
      </c>
      <c r="CG205" s="123">
        <f ca="1">+CG202-CG203-CG204-CG206</f>
        <v>25483.498411219174</v>
      </c>
      <c r="CH205" s="141"/>
      <c r="CI205" s="106">
        <f t="shared" si="496"/>
        <v>0</v>
      </c>
      <c r="CJ205" s="106">
        <f t="shared" si="496"/>
        <v>0</v>
      </c>
      <c r="CK205" s="106">
        <f t="shared" si="496"/>
        <v>0</v>
      </c>
      <c r="CL205" s="106">
        <f t="shared" ca="1" si="496"/>
        <v>0</v>
      </c>
      <c r="CM205" s="106">
        <f t="shared" ca="1" si="496"/>
        <v>233.60660214320524</v>
      </c>
      <c r="CN205" s="106">
        <f t="shared" ca="1" si="496"/>
        <v>553.67085916337965</v>
      </c>
      <c r="CO205" s="106">
        <f t="shared" ca="1" si="496"/>
        <v>560.46705231400847</v>
      </c>
      <c r="CP205" s="106">
        <f t="shared" ca="1" si="496"/>
        <v>565.47978672225145</v>
      </c>
      <c r="CQ205" s="106">
        <f t="shared" ca="1" si="496"/>
        <v>588.87135455924727</v>
      </c>
      <c r="CR205" s="106">
        <f t="shared" ca="1" si="496"/>
        <v>371.40853547982988</v>
      </c>
      <c r="CS205" s="106">
        <f t="shared" ca="1" si="490"/>
        <v>142.62159158884606</v>
      </c>
      <c r="CT205" s="106">
        <f t="shared" ca="1" si="490"/>
        <v>171.68063543412427</v>
      </c>
      <c r="CU205" s="106">
        <f t="shared" ca="1" si="490"/>
        <v>219.69206369023595</v>
      </c>
      <c r="CV205" s="106">
        <f t="shared" ca="1" si="491"/>
        <v>273.84121691067412</v>
      </c>
      <c r="CW205" s="106">
        <f t="shared" ca="1" si="492"/>
        <v>331.79898831076571</v>
      </c>
      <c r="CX205" s="106">
        <f t="shared" ca="1" si="493"/>
        <v>389.26685645876569</v>
      </c>
      <c r="CY205" s="106">
        <f t="shared" ca="1" si="494"/>
        <v>440.65982119944238</v>
      </c>
      <c r="CZ205" s="134"/>
      <c r="DA205" s="135">
        <v>16700</v>
      </c>
      <c r="DB205" s="135">
        <v>21308.955223880595</v>
      </c>
      <c r="DC205" s="135">
        <v>21775.90651892616</v>
      </c>
      <c r="DD205" s="135">
        <v>23857.065427243579</v>
      </c>
      <c r="DE205" s="135">
        <v>25009.821695255407</v>
      </c>
      <c r="DF205" s="135">
        <v>25370.695501351278</v>
      </c>
      <c r="DG205" s="135">
        <v>26759.731537766449</v>
      </c>
      <c r="DH205" s="135">
        <v>26886.941078810414</v>
      </c>
      <c r="DI205" s="135">
        <v>26963.71879115967</v>
      </c>
      <c r="DJ205" s="135">
        <v>27252.971961226984</v>
      </c>
      <c r="DK205" s="135">
        <v>27488.503350672763</v>
      </c>
      <c r="DL205" s="135">
        <v>27396.000258398301</v>
      </c>
      <c r="DM205" s="135">
        <v>27198.908475571734</v>
      </c>
      <c r="DN205" s="135">
        <v>26889.696214040407</v>
      </c>
      <c r="DO205" s="135">
        <v>26445.365479432032</v>
      </c>
      <c r="DP205" s="135">
        <v>25839.592268448177</v>
      </c>
      <c r="DQ205" s="135">
        <v>25042.838590019732</v>
      </c>
    </row>
    <row r="206" spans="1:121" s="123" customFormat="1">
      <c r="A206" s="107" t="s">
        <v>1669</v>
      </c>
      <c r="B206" s="107"/>
      <c r="C206" s="136" t="s">
        <v>1900</v>
      </c>
      <c r="D206" s="147"/>
      <c r="E206" s="107"/>
      <c r="F206" s="123">
        <f t="shared" ref="F206:BC206" si="498">+F202-F203-F204-F205</f>
        <v>34955.591768576785</v>
      </c>
      <c r="G206" s="123">
        <f t="shared" si="498"/>
        <v>36551.839567225456</v>
      </c>
      <c r="H206" s="123">
        <f t="shared" si="498"/>
        <v>23955.122852301301</v>
      </c>
      <c r="I206" s="123">
        <f t="shared" si="498"/>
        <v>24149.291081558342</v>
      </c>
      <c r="J206" s="123">
        <f t="shared" si="498"/>
        <v>23071.603276013786</v>
      </c>
      <c r="K206" s="123">
        <f t="shared" si="498"/>
        <v>22006.297993045562</v>
      </c>
      <c r="L206" s="123">
        <f t="shared" si="498"/>
        <v>21193.17064551021</v>
      </c>
      <c r="M206" s="123">
        <f t="shared" si="498"/>
        <v>22633.215278625114</v>
      </c>
      <c r="N206" s="123">
        <f t="shared" si="498"/>
        <v>24009.357119351473</v>
      </c>
      <c r="O206" s="123">
        <f t="shared" si="498"/>
        <v>25517.941472421833</v>
      </c>
      <c r="P206" s="123">
        <f t="shared" si="498"/>
        <v>27609.876388642566</v>
      </c>
      <c r="Q206" s="123">
        <f t="shared" si="498"/>
        <v>29171.011224869253</v>
      </c>
      <c r="R206" s="123">
        <f t="shared" si="498"/>
        <v>32214.432393100218</v>
      </c>
      <c r="S206" s="123">
        <f t="shared" si="498"/>
        <v>33836.694378725952</v>
      </c>
      <c r="T206" s="123">
        <f t="shared" si="498"/>
        <v>35324.592510693052</v>
      </c>
      <c r="U206" s="123">
        <f t="shared" si="498"/>
        <v>35273.300679109998</v>
      </c>
      <c r="V206" s="123">
        <f t="shared" si="498"/>
        <v>31294.7785966433</v>
      </c>
      <c r="W206" s="123">
        <f t="shared" si="498"/>
        <v>35063.38487579408</v>
      </c>
      <c r="X206" s="123">
        <f t="shared" si="498"/>
        <v>36508.369593603835</v>
      </c>
      <c r="Y206" s="123">
        <f t="shared" si="498"/>
        <v>35758.00944052518</v>
      </c>
      <c r="Z206" s="123">
        <f t="shared" si="498"/>
        <v>31313.094076854475</v>
      </c>
      <c r="AA206" s="123">
        <f t="shared" si="498"/>
        <v>21472.056052720531</v>
      </c>
      <c r="AB206" s="123">
        <f t="shared" si="498"/>
        <v>17628.639824661026</v>
      </c>
      <c r="AC206" s="123">
        <f t="shared" si="498"/>
        <v>17244.992842280422</v>
      </c>
      <c r="AD206" s="123">
        <f t="shared" si="498"/>
        <v>17023.963192443254</v>
      </c>
      <c r="AE206" s="123">
        <f t="shared" si="498"/>
        <v>14581.970429021847</v>
      </c>
      <c r="AF206" s="123">
        <f t="shared" si="498"/>
        <v>11734.749298264367</v>
      </c>
      <c r="AG206" s="123">
        <f t="shared" si="498"/>
        <v>11164.962338033505</v>
      </c>
      <c r="AH206" s="123">
        <f t="shared" si="498"/>
        <v>14234.981764375332</v>
      </c>
      <c r="AI206" s="123">
        <f t="shared" si="498"/>
        <v>14319.720989736008</v>
      </c>
      <c r="AJ206" s="123">
        <f t="shared" si="498"/>
        <v>18428.166740039142</v>
      </c>
      <c r="AK206" s="123">
        <f t="shared" si="498"/>
        <v>22982.144708230149</v>
      </c>
      <c r="AL206" s="123">
        <f t="shared" si="498"/>
        <v>28290.998652079608</v>
      </c>
      <c r="AM206" s="123">
        <f t="shared" si="498"/>
        <v>29129.729061980917</v>
      </c>
      <c r="AN206" s="123">
        <f t="shared" si="498"/>
        <v>28869.636733023155</v>
      </c>
      <c r="AO206" s="123">
        <f t="shared" si="498"/>
        <v>40224.235358464415</v>
      </c>
      <c r="AP206" s="123">
        <f t="shared" si="498"/>
        <v>47248.839155747017</v>
      </c>
      <c r="AQ206" s="123">
        <f t="shared" si="498"/>
        <v>47181.889807400497</v>
      </c>
      <c r="AR206" s="123">
        <f t="shared" si="498"/>
        <v>43508.279270924642</v>
      </c>
      <c r="AS206" s="123">
        <f t="shared" si="498"/>
        <v>53731.122919777452</v>
      </c>
      <c r="AT206" s="123">
        <f t="shared" si="498"/>
        <v>65385.476136801706</v>
      </c>
      <c r="AU206" s="123">
        <f t="shared" si="498"/>
        <v>76169.382969315862</v>
      </c>
      <c r="AV206" s="123">
        <f t="shared" si="498"/>
        <v>65971.379027716379</v>
      </c>
      <c r="AW206" s="123">
        <f t="shared" si="498"/>
        <v>76379.64059915203</v>
      </c>
      <c r="AX206" s="123">
        <f t="shared" si="498"/>
        <v>77452.425874319146</v>
      </c>
      <c r="AY206" s="123">
        <f t="shared" si="498"/>
        <v>79836.549798241875</v>
      </c>
      <c r="AZ206" s="123">
        <f t="shared" si="498"/>
        <v>80055.981117586183</v>
      </c>
      <c r="BA206" s="123">
        <f t="shared" si="498"/>
        <v>82339.610375875403</v>
      </c>
      <c r="BB206" s="123">
        <f t="shared" si="498"/>
        <v>88131.663179795156</v>
      </c>
      <c r="BC206" s="123">
        <f t="shared" si="498"/>
        <v>89220.01386742352</v>
      </c>
      <c r="BD206" s="123">
        <f ca="1">+BD202-BD203-BD204-BD205</f>
        <v>91350.643728561365</v>
      </c>
      <c r="BE206" s="123">
        <f ca="1">+BE202-BE203-BE204-BE205</f>
        <v>93545.283056838103</v>
      </c>
      <c r="BF206" s="144">
        <f>SOURCE!BF141*1000</f>
        <v>82567.582089552219</v>
      </c>
      <c r="BG206" s="144">
        <f>SOURCE!BG141*1000</f>
        <v>88331.149253731361</v>
      </c>
      <c r="BH206" s="144">
        <f>SOURCE!BH141*1000</f>
        <v>91021.204724931813</v>
      </c>
      <c r="BI206" s="144">
        <f>SOURCE!BI141*1000</f>
        <v>99907.224321959264</v>
      </c>
      <c r="BJ206" s="144">
        <f>SOURCE!BJ141*1000</f>
        <v>96700.710534603219</v>
      </c>
      <c r="BK206" s="144">
        <f>SOURCE!BK141*1000</f>
        <v>90341.957941276938</v>
      </c>
      <c r="BL206" s="144">
        <f>SOURCE!BL141*1000</f>
        <v>83359.403581908657</v>
      </c>
      <c r="BM206" s="144">
        <f>SOURCE!BM141*1000</f>
        <v>90529.631400160273</v>
      </c>
      <c r="BN206" s="144">
        <f>SOURCE!BN141*1000</f>
        <v>87223.01919303801</v>
      </c>
      <c r="BO206" s="144">
        <f>SOURCE!BO141*1000</f>
        <v>67826.129372957061</v>
      </c>
      <c r="BP206" s="123">
        <f>+BP202-BP203-BP204-BP205</f>
        <v>72045.223089706415</v>
      </c>
      <c r="BQ206" s="123">
        <f>+BQ202-BQ203-BQ204-BQ205</f>
        <v>80555.496497702727</v>
      </c>
      <c r="BR206" s="123">
        <f>+BR202-BR203-BR204-BR205</f>
        <v>77717.073954129664</v>
      </c>
      <c r="BS206" s="109">
        <f>+BR206*(BS202-BS203-BS204)/(BR202-BR203-BR204)</f>
        <v>79420.117953647961</v>
      </c>
      <c r="BT206" s="109">
        <f t="shared" ref="BT206:CG206" ca="1" si="499">+BS206*(BT202-BT203-BT204)/(BS202-BS203-BS204)</f>
        <v>87010.428181844356</v>
      </c>
      <c r="BU206" s="109">
        <f t="shared" ca="1" si="499"/>
        <v>92066.709194925206</v>
      </c>
      <c r="BV206" s="109">
        <f t="shared" ca="1" si="499"/>
        <v>94550.196219669844</v>
      </c>
      <c r="BW206" s="109">
        <f t="shared" ca="1" si="499"/>
        <v>99641.013459322741</v>
      </c>
      <c r="BX206" s="109">
        <f t="shared" ca="1" si="499"/>
        <v>100123.24866286696</v>
      </c>
      <c r="BY206" s="109">
        <f t="shared" ca="1" si="499"/>
        <v>100488.5816073673</v>
      </c>
      <c r="BZ206" s="109">
        <f t="shared" ca="1" si="499"/>
        <v>100750.41218321223</v>
      </c>
      <c r="CA206" s="109">
        <f t="shared" ca="1" si="499"/>
        <v>100775.01022513666</v>
      </c>
      <c r="CB206" s="109">
        <f t="shared" ca="1" si="499"/>
        <v>100543.61991285131</v>
      </c>
      <c r="CC206" s="109">
        <f t="shared" ca="1" si="499"/>
        <v>99999.900672770003</v>
      </c>
      <c r="CD206" s="109">
        <f t="shared" ca="1" si="499"/>
        <v>99069.645845947627</v>
      </c>
      <c r="CE206" s="109">
        <f t="shared" ca="1" si="499"/>
        <v>97660.483555255007</v>
      </c>
      <c r="CF206" s="109">
        <f t="shared" ca="1" si="499"/>
        <v>95660.728690180258</v>
      </c>
      <c r="CG206" s="109">
        <f t="shared" ca="1" si="499"/>
        <v>92942.282238932821</v>
      </c>
      <c r="CH206" s="141"/>
      <c r="CI206" s="106">
        <f t="shared" si="496"/>
        <v>0</v>
      </c>
      <c r="CJ206" s="106">
        <f t="shared" si="496"/>
        <v>0</v>
      </c>
      <c r="CK206" s="106">
        <f t="shared" si="496"/>
        <v>0</v>
      </c>
      <c r="CL206" s="106">
        <f t="shared" ca="1" si="496"/>
        <v>0</v>
      </c>
      <c r="CM206" s="106">
        <f t="shared" ca="1" si="496"/>
        <v>851.99961162754335</v>
      </c>
      <c r="CN206" s="106">
        <f t="shared" ca="1" si="496"/>
        <v>2019.3237376379839</v>
      </c>
      <c r="CO206" s="106">
        <f t="shared" ca="1" si="496"/>
        <v>2044.1105110928329</v>
      </c>
      <c r="CP206" s="106">
        <f t="shared" ca="1" si="496"/>
        <v>2062.3927331270825</v>
      </c>
      <c r="CQ206" s="106">
        <f t="shared" ca="1" si="496"/>
        <v>2147.70541919682</v>
      </c>
      <c r="CR206" s="106">
        <f t="shared" ca="1" si="496"/>
        <v>1354.5846952990833</v>
      </c>
      <c r="CS206" s="106">
        <f t="shared" ca="1" si="490"/>
        <v>520.16312693490181</v>
      </c>
      <c r="CT206" s="106">
        <f t="shared" ca="1" si="490"/>
        <v>626.14597948812298</v>
      </c>
      <c r="CU206" s="106">
        <f t="shared" ca="1" si="490"/>
        <v>801.25112571509089</v>
      </c>
      <c r="CV206" s="106">
        <f t="shared" ca="1" si="491"/>
        <v>998.7415095083561</v>
      </c>
      <c r="CW206" s="106">
        <f t="shared" ca="1" si="492"/>
        <v>1210.1225161691109</v>
      </c>
      <c r="CX206" s="106">
        <f t="shared" ca="1" si="493"/>
        <v>1419.7167694731033</v>
      </c>
      <c r="CY206" s="106">
        <f t="shared" ca="1" si="494"/>
        <v>1607.154905201809</v>
      </c>
      <c r="CZ206" s="134"/>
      <c r="DA206" s="135">
        <v>80555.496497702727</v>
      </c>
      <c r="DB206" s="135">
        <v>77717.073954129664</v>
      </c>
      <c r="DC206" s="135">
        <v>79420.117953647961</v>
      </c>
      <c r="DD206" s="135">
        <v>87010.428181844356</v>
      </c>
      <c r="DE206" s="135">
        <v>91214.709583297663</v>
      </c>
      <c r="DF206" s="135">
        <v>92530.87248203186</v>
      </c>
      <c r="DG206" s="135">
        <v>97596.902948229908</v>
      </c>
      <c r="DH206" s="135">
        <v>98060.855929739875</v>
      </c>
      <c r="DI206" s="135">
        <v>98340.876188170485</v>
      </c>
      <c r="DJ206" s="135">
        <v>99395.82748791315</v>
      </c>
      <c r="DK206" s="135">
        <v>100254.84709820176</v>
      </c>
      <c r="DL206" s="135">
        <v>99917.473933363188</v>
      </c>
      <c r="DM206" s="135">
        <v>99198.649547054913</v>
      </c>
      <c r="DN206" s="135">
        <v>98070.904336439271</v>
      </c>
      <c r="DO206" s="135">
        <v>96450.361039085896</v>
      </c>
      <c r="DP206" s="135">
        <v>94241.011920707155</v>
      </c>
      <c r="DQ206" s="135">
        <v>91335.127333731012</v>
      </c>
    </row>
    <row r="207" spans="1:121" s="123" customFormat="1">
      <c r="A207" s="107" t="s">
        <v>1670</v>
      </c>
      <c r="B207" s="107"/>
      <c r="C207" s="136" t="s">
        <v>1900</v>
      </c>
      <c r="D207" s="14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44">
        <f>SOURCE!BF143*1000</f>
        <v>41098</v>
      </c>
      <c r="BG207" s="144">
        <f>SOURCE!BG143*1000</f>
        <v>41926</v>
      </c>
      <c r="BH207" s="144">
        <f>SOURCE!BH143*1000</f>
        <v>42818</v>
      </c>
      <c r="BI207" s="144">
        <f>SOURCE!BI143*1000</f>
        <v>43475</v>
      </c>
      <c r="BJ207" s="144">
        <f>SOURCE!BJ143*1000</f>
        <v>44648</v>
      </c>
      <c r="BK207" s="144">
        <f>SOURCE!BK143*1000</f>
        <v>45270</v>
      </c>
      <c r="BL207" s="144">
        <f>SOURCE!BL143*1000</f>
        <v>47090</v>
      </c>
      <c r="BM207" s="144">
        <f>SOURCE!BM143*1000</f>
        <v>49084</v>
      </c>
      <c r="BN207" s="144">
        <f>SOURCE!BN143*1000</f>
        <v>53464.271770294436</v>
      </c>
      <c r="BO207" s="109">
        <f t="shared" ref="BO207:BZ207" si="500">+BN207*BO210/BN210</f>
        <v>54279.287289905027</v>
      </c>
      <c r="BP207" s="109">
        <f t="shared" si="500"/>
        <v>55089.901457801352</v>
      </c>
      <c r="BQ207" s="109">
        <f t="shared" si="500"/>
        <v>55820.621523927912</v>
      </c>
      <c r="BR207" s="109">
        <f t="shared" si="500"/>
        <v>56461.687969266131</v>
      </c>
      <c r="BS207" s="109">
        <f t="shared" si="500"/>
        <v>57195.68991286659</v>
      </c>
      <c r="BT207" s="109">
        <f t="shared" si="500"/>
        <v>57939.233881733846</v>
      </c>
      <c r="BU207" s="109">
        <f t="shared" si="500"/>
        <v>58692.443922196384</v>
      </c>
      <c r="BV207" s="109">
        <f t="shared" si="500"/>
        <v>59455.445693184934</v>
      </c>
      <c r="BW207" s="109">
        <f t="shared" si="500"/>
        <v>60228.366487196334</v>
      </c>
      <c r="BX207" s="109">
        <f t="shared" si="500"/>
        <v>61011.335251529876</v>
      </c>
      <c r="BY207" s="109">
        <f t="shared" si="500"/>
        <v>61804.482609799765</v>
      </c>
      <c r="BZ207" s="109">
        <f t="shared" si="500"/>
        <v>62607.940883727148</v>
      </c>
      <c r="CA207" s="109">
        <f t="shared" ref="CA207:CG207" si="501">+BZ207*CA210/BZ210</f>
        <v>63421.844115215594</v>
      </c>
      <c r="CB207" s="109">
        <f t="shared" si="501"/>
        <v>64246.328088713395</v>
      </c>
      <c r="CC207" s="109">
        <f t="shared" si="501"/>
        <v>65081.530353866663</v>
      </c>
      <c r="CD207" s="109">
        <f t="shared" si="501"/>
        <v>65927.59024846692</v>
      </c>
      <c r="CE207" s="109">
        <f t="shared" si="501"/>
        <v>66784.648921696993</v>
      </c>
      <c r="CF207" s="109">
        <f t="shared" si="501"/>
        <v>67652.84935767905</v>
      </c>
      <c r="CG207" s="109">
        <f t="shared" si="501"/>
        <v>68532.336399328866</v>
      </c>
      <c r="CH207" s="141"/>
      <c r="CI207" s="106">
        <f t="shared" si="489"/>
        <v>0</v>
      </c>
      <c r="CJ207" s="106">
        <f t="shared" si="489"/>
        <v>0</v>
      </c>
      <c r="CK207" s="106">
        <f t="shared" si="489"/>
        <v>0</v>
      </c>
      <c r="CL207" s="106">
        <f t="shared" si="489"/>
        <v>0</v>
      </c>
      <c r="CM207" s="106">
        <f t="shared" si="489"/>
        <v>0</v>
      </c>
      <c r="CN207" s="106">
        <f t="shared" si="489"/>
        <v>0</v>
      </c>
      <c r="CO207" s="106">
        <f t="shared" si="489"/>
        <v>0</v>
      </c>
      <c r="CP207" s="106">
        <f t="shared" si="489"/>
        <v>0</v>
      </c>
      <c r="CQ207" s="106">
        <f t="shared" si="489"/>
        <v>0</v>
      </c>
      <c r="CR207" s="106">
        <f t="shared" si="489"/>
        <v>0</v>
      </c>
      <c r="CS207" s="106">
        <f t="shared" si="490"/>
        <v>0</v>
      </c>
      <c r="CT207" s="106">
        <f t="shared" si="490"/>
        <v>0</v>
      </c>
      <c r="CU207" s="106">
        <f t="shared" si="490"/>
        <v>0</v>
      </c>
      <c r="CV207" s="106">
        <f t="shared" si="491"/>
        <v>0</v>
      </c>
      <c r="CW207" s="106">
        <f t="shared" si="492"/>
        <v>0</v>
      </c>
      <c r="CX207" s="106">
        <f t="shared" si="493"/>
        <v>0</v>
      </c>
      <c r="CY207" s="106">
        <f t="shared" si="494"/>
        <v>0</v>
      </c>
      <c r="CZ207" s="134"/>
      <c r="DA207" s="135">
        <v>55820.621523927912</v>
      </c>
      <c r="DB207" s="135">
        <v>56461.687969266131</v>
      </c>
      <c r="DC207" s="135">
        <v>57195.68991286659</v>
      </c>
      <c r="DD207" s="135">
        <v>57939.233881733846</v>
      </c>
      <c r="DE207" s="135">
        <v>58692.443922196384</v>
      </c>
      <c r="DF207" s="135">
        <v>59455.445693184934</v>
      </c>
      <c r="DG207" s="135">
        <v>60228.366487196334</v>
      </c>
      <c r="DH207" s="135">
        <v>61011.335251529876</v>
      </c>
      <c r="DI207" s="135">
        <v>61804.482609799765</v>
      </c>
      <c r="DJ207" s="135">
        <v>62607.940883727148</v>
      </c>
      <c r="DK207" s="135">
        <v>63421.844115215594</v>
      </c>
      <c r="DL207" s="135">
        <v>64246.328088713395</v>
      </c>
      <c r="DM207" s="135">
        <v>65081.530353866663</v>
      </c>
      <c r="DN207" s="135">
        <v>65927.59024846692</v>
      </c>
      <c r="DO207" s="135">
        <v>66784.648921696993</v>
      </c>
      <c r="DP207" s="135">
        <v>67652.84935767905</v>
      </c>
      <c r="DQ207" s="135">
        <v>68532.336399328866</v>
      </c>
    </row>
    <row r="208" spans="1:121" s="123" customFormat="1">
      <c r="A208" s="141"/>
      <c r="B208" s="141"/>
      <c r="C208" s="158"/>
      <c r="D208" s="102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BF208" s="114"/>
      <c r="BG208" s="114"/>
      <c r="BH208" s="114"/>
      <c r="BI208" s="114"/>
      <c r="BJ208" s="114"/>
      <c r="BK208" s="114"/>
      <c r="BL208" s="114"/>
      <c r="BM208" s="114"/>
      <c r="BN208" s="114"/>
      <c r="CH208" s="141"/>
      <c r="CZ208" s="181"/>
      <c r="DA208" s="135"/>
      <c r="DB208" s="135"/>
      <c r="DC208" s="135"/>
      <c r="DD208" s="135"/>
      <c r="DE208" s="135"/>
      <c r="DF208" s="135"/>
      <c r="DG208" s="135"/>
      <c r="DH208" s="135"/>
      <c r="DI208" s="135"/>
      <c r="DJ208" s="135"/>
      <c r="DK208" s="135"/>
      <c r="DL208" s="135"/>
      <c r="DM208" s="135"/>
      <c r="DN208" s="135"/>
      <c r="DO208" s="135"/>
      <c r="DP208" s="135"/>
      <c r="DQ208" s="135"/>
    </row>
    <row r="209" spans="1:121" s="123" customFormat="1">
      <c r="A209" s="107" t="s">
        <v>559</v>
      </c>
      <c r="B209" s="107"/>
      <c r="C209" s="136" t="s">
        <v>1349</v>
      </c>
      <c r="D209" s="147"/>
      <c r="E209" s="107"/>
      <c r="F209" s="106">
        <f t="shared" ref="F209:BC209" si="502">100*(F205/(F203+F204+F205))</f>
        <v>6.8000000000000007</v>
      </c>
      <c r="G209" s="106">
        <f t="shared" si="502"/>
        <v>5</v>
      </c>
      <c r="H209" s="106">
        <f t="shared" si="502"/>
        <v>2.2332546710968018</v>
      </c>
      <c r="I209" s="106">
        <f t="shared" si="502"/>
        <v>1.8155162334442139</v>
      </c>
      <c r="J209" s="106">
        <f t="shared" si="502"/>
        <v>3.1251304149627694</v>
      </c>
      <c r="K209" s="106">
        <f t="shared" si="502"/>
        <v>2.8608658313751216</v>
      </c>
      <c r="L209" s="106">
        <f t="shared" si="502"/>
        <v>2.0745680332183838</v>
      </c>
      <c r="M209" s="106">
        <f t="shared" si="502"/>
        <v>3.02626633644104</v>
      </c>
      <c r="N209" s="106">
        <f t="shared" si="502"/>
        <v>3.9044175148010258</v>
      </c>
      <c r="O209" s="106">
        <f t="shared" si="502"/>
        <v>4.7262697219848633</v>
      </c>
      <c r="P209" s="106">
        <f t="shared" si="502"/>
        <v>5.5056672096252441</v>
      </c>
      <c r="Q209" s="106">
        <f t="shared" si="502"/>
        <v>4.5107326507568368</v>
      </c>
      <c r="R209" s="106">
        <f t="shared" si="502"/>
        <v>4.2866334915161142</v>
      </c>
      <c r="S209" s="106">
        <f t="shared" si="502"/>
        <v>4.1740665435791025</v>
      </c>
      <c r="T209" s="106">
        <f t="shared" si="502"/>
        <v>4.2769827842712402</v>
      </c>
      <c r="U209" s="106">
        <f t="shared" si="502"/>
        <v>5.0960192680358878</v>
      </c>
      <c r="V209" s="106">
        <f t="shared" si="502"/>
        <v>4.443096160888671</v>
      </c>
      <c r="W209" s="106">
        <f t="shared" si="502"/>
        <v>6.0136995315551767</v>
      </c>
      <c r="X209" s="106">
        <f t="shared" si="502"/>
        <v>7.3302769660949698</v>
      </c>
      <c r="Y209" s="106">
        <f t="shared" si="502"/>
        <v>9.13018798828125</v>
      </c>
      <c r="Z209" s="106">
        <f t="shared" si="502"/>
        <v>9.9718894958496076</v>
      </c>
      <c r="AA209" s="106">
        <f t="shared" si="502"/>
        <v>7.9798069000244141</v>
      </c>
      <c r="AB209" s="106">
        <f t="shared" si="502"/>
        <v>6.6932039260864276</v>
      </c>
      <c r="AC209" s="106">
        <f t="shared" si="502"/>
        <v>5.582746982574462</v>
      </c>
      <c r="AD209" s="106">
        <f t="shared" si="502"/>
        <v>4.6354036331176758</v>
      </c>
      <c r="AE209" s="106">
        <f t="shared" si="502"/>
        <v>6.7064113616943368</v>
      </c>
      <c r="AF209" s="106">
        <f t="shared" si="502"/>
        <v>9.093388557434082</v>
      </c>
      <c r="AG209" s="106">
        <f t="shared" si="502"/>
        <v>9.2074041366577148</v>
      </c>
      <c r="AH209" s="106">
        <f t="shared" si="502"/>
        <v>9.3345565795898455</v>
      </c>
      <c r="AI209" s="106">
        <f t="shared" si="502"/>
        <v>11.461581230163574</v>
      </c>
      <c r="AJ209" s="106">
        <f t="shared" si="502"/>
        <v>13.025559425354006</v>
      </c>
      <c r="AK209" s="106">
        <f t="shared" si="502"/>
        <v>13.79070472717285</v>
      </c>
      <c r="AL209" s="106">
        <f t="shared" si="502"/>
        <v>15.991020202636719</v>
      </c>
      <c r="AM209" s="106">
        <f t="shared" si="502"/>
        <v>17.700000762939457</v>
      </c>
      <c r="AN209" s="106">
        <f t="shared" si="502"/>
        <v>19.899999618530277</v>
      </c>
      <c r="AO209" s="106">
        <f t="shared" si="502"/>
        <v>17.200000762939453</v>
      </c>
      <c r="AP209" s="106">
        <f t="shared" si="502"/>
        <v>15.5</v>
      </c>
      <c r="AQ209" s="106">
        <f t="shared" si="502"/>
        <v>15.5</v>
      </c>
      <c r="AR209" s="106">
        <f t="shared" si="502"/>
        <v>18.084440231323242</v>
      </c>
      <c r="AS209" s="106">
        <f t="shared" si="502"/>
        <v>15.000000000000002</v>
      </c>
      <c r="AT209" s="106">
        <f t="shared" si="502"/>
        <v>12.000000000000002</v>
      </c>
      <c r="AU209" s="106">
        <f t="shared" si="502"/>
        <v>8</v>
      </c>
      <c r="AV209" s="106">
        <f t="shared" si="502"/>
        <v>10.999999999999996</v>
      </c>
      <c r="AW209" s="106">
        <f t="shared" si="502"/>
        <v>14.386470216066497</v>
      </c>
      <c r="AX209" s="106">
        <f t="shared" si="502"/>
        <v>14.77199600587781</v>
      </c>
      <c r="AY209" s="106">
        <f t="shared" si="502"/>
        <v>16.708681212168706</v>
      </c>
      <c r="AZ209" s="106">
        <f t="shared" si="502"/>
        <v>17.094758277287227</v>
      </c>
      <c r="BA209" s="106">
        <f t="shared" si="502"/>
        <v>17.985667263125389</v>
      </c>
      <c r="BB209" s="106">
        <f t="shared" si="502"/>
        <v>17.959614526298466</v>
      </c>
      <c r="BC209" s="106">
        <f t="shared" si="502"/>
        <v>17.332976628931945</v>
      </c>
      <c r="BD209" s="106">
        <f ca="1">100*(BD205/(BD203+BD204+BD205))</f>
        <v>12.947168423345385</v>
      </c>
      <c r="BE209" s="106">
        <f ca="1">100*(BE205/(BE203+BE204+BE205))</f>
        <v>10.652110818397876</v>
      </c>
      <c r="BF209" s="106">
        <f t="shared" ref="BF209:BP209" si="503">100*(BF205/(BF203+BF204+BF205))</f>
        <v>20.707305492725961</v>
      </c>
      <c r="BG209" s="106">
        <f t="shared" si="503"/>
        <v>18.642628764269205</v>
      </c>
      <c r="BH209" s="106">
        <f t="shared" si="503"/>
        <v>16.607467634409808</v>
      </c>
      <c r="BI209" s="106">
        <f t="shared" si="503"/>
        <v>16.183315804747537</v>
      </c>
      <c r="BJ209" s="106">
        <f t="shared" si="503"/>
        <v>12.912765962638694</v>
      </c>
      <c r="BK209" s="106">
        <f t="shared" si="503"/>
        <v>12.8324334000708</v>
      </c>
      <c r="BL209" s="106">
        <f t="shared" si="503"/>
        <v>13.017639594211024</v>
      </c>
      <c r="BM209" s="106">
        <f t="shared" si="503"/>
        <v>11.042110612311816</v>
      </c>
      <c r="BN209" s="106">
        <f t="shared" si="503"/>
        <v>8.8174677380310644</v>
      </c>
      <c r="BO209" s="106">
        <f t="shared" si="503"/>
        <v>10.741885927144814</v>
      </c>
      <c r="BP209" s="106">
        <f t="shared" si="503"/>
        <v>14.403323042487514</v>
      </c>
      <c r="BQ209" s="106">
        <f t="shared" ref="BQ209:CB209" si="504">100*(BQ205/(BQ203+BQ204+BQ205))</f>
        <v>11.742319544699264</v>
      </c>
      <c r="BR209" s="106">
        <f t="shared" si="504"/>
        <v>14.382631735692335</v>
      </c>
      <c r="BS209" s="106">
        <f t="shared" si="504"/>
        <v>14.576463205624549</v>
      </c>
      <c r="BT209" s="106">
        <f t="shared" ca="1" si="504"/>
        <v>16.478706271796501</v>
      </c>
      <c r="BU209" s="106">
        <f t="shared" ca="1" si="504"/>
        <v>17.685887346693484</v>
      </c>
      <c r="BV209" s="106">
        <f t="shared" ca="1" si="504"/>
        <v>18.090855818214735</v>
      </c>
      <c r="BW209" s="106">
        <f t="shared" ca="1" si="504"/>
        <v>19.334590040777666</v>
      </c>
      <c r="BX209" s="106">
        <f t="shared" ca="1" si="504"/>
        <v>19.070509721043948</v>
      </c>
      <c r="BY209" s="106">
        <f t="shared" ca="1" si="504"/>
        <v>18.773927595596884</v>
      </c>
      <c r="BZ209" s="106">
        <f t="shared" ca="1" si="504"/>
        <v>18.451648757504387</v>
      </c>
      <c r="CA209" s="106">
        <f t="shared" ca="1" si="504"/>
        <v>18.066209342942305</v>
      </c>
      <c r="CB209" s="106">
        <f t="shared" ca="1" si="504"/>
        <v>17.618124876782542</v>
      </c>
      <c r="CC209" s="106">
        <f ca="1">100*(CC205/(CC203+CC204+CC205))</f>
        <v>17.098330278837601</v>
      </c>
      <c r="CD209" s="106">
        <f ca="1">100*(CD205/(CD203+CD204+CD205))</f>
        <v>16.495414535127317</v>
      </c>
      <c r="CE209" s="106">
        <f ca="1">100*(CE205/(CE203+CE204+CE205))</f>
        <v>15.796704208761122</v>
      </c>
      <c r="CF209" s="106">
        <f ca="1">100*(CF205/(CF203+CF204+CF205))</f>
        <v>14.989284057863451</v>
      </c>
      <c r="CG209" s="106">
        <f ca="1">100*(CG205/(CG203+CG204+CG205))</f>
        <v>14.062119076468887</v>
      </c>
      <c r="CH209" s="141"/>
      <c r="CI209" s="106">
        <f t="shared" ref="CI209:CU209" si="505">BQ209-DA209</f>
        <v>0</v>
      </c>
      <c r="CJ209" s="106">
        <f t="shared" si="505"/>
        <v>0</v>
      </c>
      <c r="CK209" s="106">
        <f t="shared" si="505"/>
        <v>0</v>
      </c>
      <c r="CL209" s="106">
        <f t="shared" ca="1" si="505"/>
        <v>0</v>
      </c>
      <c r="CM209" s="106">
        <f t="shared" ca="1" si="505"/>
        <v>0.26764136682115591</v>
      </c>
      <c r="CN209" s="106">
        <f t="shared" ca="1" si="505"/>
        <v>0.63238517756487411</v>
      </c>
      <c r="CO209" s="106">
        <f t="shared" ca="1" si="505"/>
        <v>0.66669837707098267</v>
      </c>
      <c r="CP209" s="106">
        <f t="shared" ca="1" si="505"/>
        <v>0.65663882418310138</v>
      </c>
      <c r="CQ209" s="106">
        <f t="shared" ca="1" si="505"/>
        <v>0.66623881858830103</v>
      </c>
      <c r="CR209" s="106">
        <f t="shared" ca="1" si="505"/>
        <v>0.4113091418785686</v>
      </c>
      <c r="CS209" s="106">
        <f t="shared" ca="1" si="505"/>
        <v>0.15417009645976165</v>
      </c>
      <c r="CT209" s="106">
        <f t="shared" ca="1" si="505"/>
        <v>0.17950134423968223</v>
      </c>
      <c r="CU209" s="106">
        <f t="shared" ca="1" si="505"/>
        <v>0.22132880827674484</v>
      </c>
      <c r="CV209" s="106">
        <f t="shared" ref="CV209:CY211" ca="1" si="506">CD209-DN209</f>
        <v>0.26473257760369862</v>
      </c>
      <c r="CW209" s="106">
        <f t="shared" ca="1" si="506"/>
        <v>0.30632308360346272</v>
      </c>
      <c r="CX209" s="106">
        <f t="shared" ca="1" si="506"/>
        <v>0.34130346692334257</v>
      </c>
      <c r="CY209" s="106">
        <f t="shared" ca="1" si="506"/>
        <v>0.36463761911615578</v>
      </c>
      <c r="CZ209" s="134"/>
      <c r="DA209" s="135">
        <v>11.742319544699264</v>
      </c>
      <c r="DB209" s="135">
        <v>14.382631735692335</v>
      </c>
      <c r="DC209" s="135">
        <v>14.576463205624549</v>
      </c>
      <c r="DD209" s="135">
        <v>16.478706271796501</v>
      </c>
      <c r="DE209" s="135">
        <v>17.418245979872328</v>
      </c>
      <c r="DF209" s="135">
        <v>17.45847064064986</v>
      </c>
      <c r="DG209" s="135">
        <v>18.667891663706683</v>
      </c>
      <c r="DH209" s="135">
        <v>18.413870896860846</v>
      </c>
      <c r="DI209" s="135">
        <v>18.107688777008583</v>
      </c>
      <c r="DJ209" s="135">
        <v>18.040339615625818</v>
      </c>
      <c r="DK209" s="135">
        <v>17.912039246482543</v>
      </c>
      <c r="DL209" s="135">
        <v>17.438623532542859</v>
      </c>
      <c r="DM209" s="135">
        <v>16.877001470560856</v>
      </c>
      <c r="DN209" s="135">
        <v>16.230681957523618</v>
      </c>
      <c r="DO209" s="135">
        <v>15.49038112515766</v>
      </c>
      <c r="DP209" s="135">
        <v>14.647980590940108</v>
      </c>
      <c r="DQ209" s="135">
        <v>13.697481457352731</v>
      </c>
    </row>
    <row r="210" spans="1:121" s="123" customFormat="1">
      <c r="A210" s="107" t="s">
        <v>3239</v>
      </c>
      <c r="B210" s="107" t="s">
        <v>1344</v>
      </c>
      <c r="C210" s="136" t="s">
        <v>1902</v>
      </c>
      <c r="D210" s="147"/>
      <c r="E210" s="107"/>
      <c r="F210" s="514">
        <f>+mamiabc!F92*1000</f>
        <v>233000</v>
      </c>
      <c r="G210" s="514">
        <f>+mamiabc!G92*1000</f>
        <v>241000</v>
      </c>
      <c r="H210" s="514">
        <f>+mamiabc!H92*1000</f>
        <v>245330.01708984375</v>
      </c>
      <c r="I210" s="514">
        <f>+mamiabc!I92*1000</f>
        <v>255143.21899414063</v>
      </c>
      <c r="J210" s="514">
        <f>+mamiabc!J92*1000</f>
        <v>264956.4208984375</v>
      </c>
      <c r="K210" s="514">
        <f>+mamiabc!K92*1000</f>
        <v>274769.62280273438</v>
      </c>
      <c r="L210" s="514">
        <f>+mamiabc!L92*1000</f>
        <v>284582.82470703125</v>
      </c>
      <c r="M210" s="514">
        <f>+mamiabc!M92*1000</f>
        <v>294396.02661132813</v>
      </c>
      <c r="N210" s="514">
        <f>+mamiabc!N92*1000</f>
        <v>304209.228515625</v>
      </c>
      <c r="O210" s="514">
        <f>+mamiabc!O92*1000</f>
        <v>314022.43041992188</v>
      </c>
      <c r="P210" s="514">
        <f>+mamiabc!P92*1000</f>
        <v>324816.92504882813</v>
      </c>
      <c r="Q210" s="514">
        <f>+mamiabc!Q92*1000</f>
        <v>330704.86450195313</v>
      </c>
      <c r="R210" s="514">
        <f>+mamiabc!R92*1000</f>
        <v>340518.06640625</v>
      </c>
      <c r="S210" s="514">
        <f>+mamiabc!S92*1000</f>
        <v>350331.26831054688</v>
      </c>
      <c r="T210" s="514">
        <f>+mamiabc!T92*1000</f>
        <v>358181.82373046875</v>
      </c>
      <c r="U210" s="514">
        <f>+mamiabc!U92*1000</f>
        <v>367013.70239257813</v>
      </c>
      <c r="V210" s="514">
        <f>+mamiabc!V92*1000</f>
        <v>368976.34887695313</v>
      </c>
      <c r="W210" s="514">
        <f>+mamiabc!W92*1000</f>
        <v>370938.96484375</v>
      </c>
      <c r="X210" s="514">
        <f>+mamiabc!X92*1000</f>
        <v>374864.2578125</v>
      </c>
      <c r="Y210" s="514">
        <f>+mamiabc!Y92*1000</f>
        <v>376826.904296875</v>
      </c>
      <c r="Z210" s="514">
        <f>+mamiabc!Z92*1000</f>
        <v>373882.9345703125</v>
      </c>
      <c r="AA210" s="514">
        <f>+mamiabc!AA92*1000</f>
        <v>358181.82373046875</v>
      </c>
      <c r="AB210" s="514">
        <f>+mamiabc!AB92*1000</f>
        <v>348368.62182617188</v>
      </c>
      <c r="AC210" s="514">
        <f>+mamiabc!AC92*1000</f>
        <v>355335.99853515625</v>
      </c>
      <c r="AD210" s="514">
        <f>+mamiabc!AD92*1000</f>
        <v>360438.8427734375</v>
      </c>
      <c r="AE210" s="514">
        <f>+mamiabc!AE92*1000</f>
        <v>358181.82373046875</v>
      </c>
      <c r="AF210" s="514">
        <f>+mamiabc!AF92*1000</f>
        <v>349840.60668945313</v>
      </c>
      <c r="AG210" s="514">
        <f>+mamiabc!AG92*1000</f>
        <v>348662.99438476563</v>
      </c>
      <c r="AH210" s="514">
        <f>+mamiabc!AH92*1000</f>
        <v>356219.17724609375</v>
      </c>
      <c r="AI210" s="514">
        <f>+mamiabc!AI92*1000</f>
        <v>363873.47412109375</v>
      </c>
      <c r="AJ210" s="514">
        <f>+mamiabc!AJ92*1000</f>
        <v>371331.51245117188</v>
      </c>
      <c r="AK210" s="514">
        <f>+mamiabc!AK92*1000</f>
        <v>380359.64965820313</v>
      </c>
      <c r="AL210" s="514">
        <f>+mamiabc!AL92*1000</f>
        <v>389387.78686523438</v>
      </c>
      <c r="AM210" s="514">
        <f>+mamiabc!AM92*1000</f>
        <v>394000</v>
      </c>
      <c r="AN210" s="514">
        <f>+mamiabc!AN92*1000</f>
        <v>397000</v>
      </c>
      <c r="AO210" s="514">
        <f>+mamiabc!AO92*1000</f>
        <v>401000</v>
      </c>
      <c r="AP210" s="514">
        <f>+mamiabc!AP92*1000</f>
        <v>401667</v>
      </c>
      <c r="AQ210" s="514">
        <f>+mamiabc!AQ92*1000</f>
        <v>402196</v>
      </c>
      <c r="AR210" s="514">
        <f>+mamiabc!AR92*1000</f>
        <v>403307</v>
      </c>
      <c r="AS210" s="514">
        <f>+mamiabc!AS92*1000</f>
        <v>403821</v>
      </c>
      <c r="AT210" s="514">
        <f>+mamiabc!AT92*1000</f>
        <v>405013</v>
      </c>
      <c r="AU210" s="514">
        <f>+mamiabc!AU92*1000</f>
        <v>408866</v>
      </c>
      <c r="AV210" s="514">
        <f>+mamiabc!AV92*1000</f>
        <v>413428</v>
      </c>
      <c r="AW210" s="514">
        <f>+mamiabc!AW92*1000</f>
        <v>447572.1323011964</v>
      </c>
      <c r="AX210" s="514">
        <f>+mamiabc!AX92*1000</f>
        <v>454285.71428571432</v>
      </c>
      <c r="AY210" s="514">
        <f>+mamiabc!AY92*1000</f>
        <v>461100</v>
      </c>
      <c r="AZ210" s="514">
        <f>+mamiabc!AZ92*1000</f>
        <v>466600</v>
      </c>
      <c r="BA210" s="514">
        <f>+mamiabc!BA92*1000</f>
        <v>473500</v>
      </c>
      <c r="BB210" s="514">
        <f>+mamiabc!BB92*1000</f>
        <v>479200</v>
      </c>
      <c r="BC210" s="514">
        <f>+mamiabc!BC92*1000</f>
        <v>486300</v>
      </c>
      <c r="BD210" s="514">
        <f>+mamiabc!BD92*1000</f>
        <v>486987.5</v>
      </c>
      <c r="BE210" s="514">
        <f>+mamiabc!BE92*1000</f>
        <v>492918.22597676882</v>
      </c>
      <c r="BF210" s="144">
        <f>SOURCE!BF201*1000</f>
        <v>504257</v>
      </c>
      <c r="BG210" s="144">
        <f>SOURCE!BG201*1000</f>
        <v>509970</v>
      </c>
      <c r="BH210" s="144">
        <f>SOURCE!BH201*1000</f>
        <v>517052</v>
      </c>
      <c r="BI210" s="144">
        <f>SOURCE!BI201*1000</f>
        <v>524143</v>
      </c>
      <c r="BJ210" s="144">
        <f>SOURCE!BJ201*1000</f>
        <v>531170</v>
      </c>
      <c r="BK210" s="144">
        <f>SOURCE!BK201*1000</f>
        <v>539910</v>
      </c>
      <c r="BL210" s="144">
        <f>SOURCE!BL201*1000</f>
        <v>541638</v>
      </c>
      <c r="BM210" s="144">
        <f>SOURCE!BM201*1000</f>
        <v>550222</v>
      </c>
      <c r="BN210" s="144">
        <f>SOURCE!BN201*1000</f>
        <v>558773</v>
      </c>
      <c r="BO210" s="144">
        <f>SOURCE!BO201*1000</f>
        <v>567291</v>
      </c>
      <c r="BP210" s="144">
        <f>SOURCE!BP201*1000</f>
        <v>575763</v>
      </c>
      <c r="BQ210" s="144">
        <f>SOURCE!BQ201*1000</f>
        <v>583400</v>
      </c>
      <c r="BR210" s="144">
        <f>SOURCE!BR201*1000</f>
        <v>590100</v>
      </c>
      <c r="BS210" s="109">
        <f>BR210*(1+Assumptions!BS12/100)</f>
        <v>597771.29999999993</v>
      </c>
      <c r="BT210" s="109">
        <f>BS210*(1+Assumptions!BT12/100)</f>
        <v>605542.32689999987</v>
      </c>
      <c r="BU210" s="109">
        <f>BT210*(1+Assumptions!BU12/100)</f>
        <v>613414.37714969984</v>
      </c>
      <c r="BV210" s="109">
        <f>BU210*(1+Assumptions!BV12/100)</f>
        <v>621388.76405264589</v>
      </c>
      <c r="BW210" s="109">
        <f>BV210*(1+Assumptions!BW12/100)</f>
        <v>629466.81798533024</v>
      </c>
      <c r="BX210" s="109">
        <f>BW210*(1+Assumptions!BX12/100)</f>
        <v>637649.88661913946</v>
      </c>
      <c r="BY210" s="109">
        <f>BX210*(1+Assumptions!BY12/100)</f>
        <v>645939.33514518826</v>
      </c>
      <c r="BZ210" s="109">
        <f>BY210*(1+Assumptions!BZ12/100)</f>
        <v>654336.54650207562</v>
      </c>
      <c r="CA210" s="109">
        <f>BZ210*(1+Assumptions!CA12/100)</f>
        <v>662842.9216066025</v>
      </c>
      <c r="CB210" s="109">
        <f>CA210*(1+Assumptions!CB12/100)</f>
        <v>671459.87958748825</v>
      </c>
      <c r="CC210" s="109">
        <f>CB210*(1+Assumptions!CC12/100)</f>
        <v>680188.85802212555</v>
      </c>
      <c r="CD210" s="109">
        <f>CC210*(1+Assumptions!CD12/100)</f>
        <v>689031.31317641307</v>
      </c>
      <c r="CE210" s="109">
        <f>CD210*(1+Assumptions!CE12/100)</f>
        <v>697988.7202477064</v>
      </c>
      <c r="CF210" s="109">
        <f>CE210*(1+Assumptions!CF12/100)</f>
        <v>707062.57361092651</v>
      </c>
      <c r="CG210" s="109">
        <f>CF210*(1+Assumptions!CG12/100)</f>
        <v>716254.38706786849</v>
      </c>
      <c r="CH210" s="196"/>
      <c r="CI210" s="106">
        <f t="shared" ref="CI210:CR211" si="507">BQ210-DA210</f>
        <v>0</v>
      </c>
      <c r="CJ210" s="106">
        <f t="shared" si="507"/>
        <v>0</v>
      </c>
      <c r="CK210" s="106">
        <f t="shared" si="507"/>
        <v>0</v>
      </c>
      <c r="CL210" s="106">
        <f t="shared" si="507"/>
        <v>0</v>
      </c>
      <c r="CM210" s="106">
        <f t="shared" si="507"/>
        <v>0</v>
      </c>
      <c r="CN210" s="106">
        <f t="shared" si="507"/>
        <v>0</v>
      </c>
      <c r="CO210" s="106">
        <f t="shared" si="507"/>
        <v>0</v>
      </c>
      <c r="CP210" s="106">
        <f t="shared" si="507"/>
        <v>0</v>
      </c>
      <c r="CQ210" s="106">
        <f t="shared" si="507"/>
        <v>0</v>
      </c>
      <c r="CR210" s="106">
        <f t="shared" si="507"/>
        <v>0</v>
      </c>
      <c r="CS210" s="106">
        <f t="shared" ref="CS210:CU211" si="508">CA210-DK210</f>
        <v>0</v>
      </c>
      <c r="CT210" s="106">
        <f t="shared" si="508"/>
        <v>0</v>
      </c>
      <c r="CU210" s="106">
        <f t="shared" si="508"/>
        <v>0</v>
      </c>
      <c r="CV210" s="106">
        <f t="shared" si="506"/>
        <v>0</v>
      </c>
      <c r="CW210" s="106">
        <f t="shared" si="506"/>
        <v>0</v>
      </c>
      <c r="CX210" s="106">
        <f t="shared" si="506"/>
        <v>0</v>
      </c>
      <c r="CY210" s="106">
        <f t="shared" si="506"/>
        <v>0</v>
      </c>
      <c r="CZ210" s="134"/>
      <c r="DA210" s="135">
        <v>583400</v>
      </c>
      <c r="DB210" s="135">
        <v>590100</v>
      </c>
      <c r="DC210" s="135">
        <v>597771.29999999993</v>
      </c>
      <c r="DD210" s="135">
        <v>605542.32689999987</v>
      </c>
      <c r="DE210" s="135">
        <v>613414.37714969984</v>
      </c>
      <c r="DF210" s="135">
        <v>621388.76405264589</v>
      </c>
      <c r="DG210" s="135">
        <v>629466.81798533024</v>
      </c>
      <c r="DH210" s="135">
        <v>637649.88661913946</v>
      </c>
      <c r="DI210" s="135">
        <v>645939.33514518826</v>
      </c>
      <c r="DJ210" s="135">
        <v>654336.54650207562</v>
      </c>
      <c r="DK210" s="135">
        <v>662842.9216066025</v>
      </c>
      <c r="DL210" s="135">
        <v>671459.87958748825</v>
      </c>
      <c r="DM210" s="135">
        <v>680188.85802212555</v>
      </c>
      <c r="DN210" s="135">
        <v>689031.31317641307</v>
      </c>
      <c r="DO210" s="135">
        <v>697988.7202477064</v>
      </c>
      <c r="DP210" s="135">
        <v>707062.57361092651</v>
      </c>
      <c r="DQ210" s="135">
        <v>716254.38706786849</v>
      </c>
    </row>
    <row r="211" spans="1:121" s="123" customFormat="1">
      <c r="A211" s="107" t="s">
        <v>1901</v>
      </c>
      <c r="B211" s="107"/>
      <c r="C211" s="136" t="s">
        <v>1349</v>
      </c>
      <c r="D211" s="147"/>
      <c r="E211" s="107"/>
      <c r="F211" s="159"/>
      <c r="G211" s="159">
        <f t="shared" ref="G211:AL211" si="509">+(G210/F210-1)*100</f>
        <v>3.4334763948497882</v>
      </c>
      <c r="H211" s="159">
        <f t="shared" si="509"/>
        <v>1.7966875891467948</v>
      </c>
      <c r="I211" s="159">
        <f t="shared" si="509"/>
        <v>4.0000004975759396</v>
      </c>
      <c r="J211" s="159">
        <f t="shared" si="509"/>
        <v>3.8461543061907744</v>
      </c>
      <c r="K211" s="159">
        <f t="shared" si="509"/>
        <v>3.7037041302948603</v>
      </c>
      <c r="L211" s="159">
        <f t="shared" si="509"/>
        <v>3.57142896809306</v>
      </c>
      <c r="M211" s="159">
        <f t="shared" si="509"/>
        <v>3.4482762318489346</v>
      </c>
      <c r="N211" s="159">
        <f t="shared" si="509"/>
        <v>3.3333336788721635</v>
      </c>
      <c r="O211" s="159">
        <f t="shared" si="509"/>
        <v>3.2258067752184649</v>
      </c>
      <c r="P211" s="159">
        <f t="shared" si="509"/>
        <v>3.4374915876141277</v>
      </c>
      <c r="Q211" s="159">
        <f t="shared" si="509"/>
        <v>1.8126947825270801</v>
      </c>
      <c r="R211" s="159">
        <f t="shared" si="509"/>
        <v>2.9673594064229203</v>
      </c>
      <c r="S211" s="159">
        <f t="shared" si="509"/>
        <v>2.8818447161594651</v>
      </c>
      <c r="T211" s="159">
        <f t="shared" si="509"/>
        <v>2.2408948700984421</v>
      </c>
      <c r="U211" s="159">
        <f t="shared" si="509"/>
        <v>2.4657528877722656</v>
      </c>
      <c r="V211" s="159">
        <f t="shared" si="509"/>
        <v>0.53476109245524928</v>
      </c>
      <c r="W211" s="159">
        <f t="shared" si="509"/>
        <v>0.53190833850744745</v>
      </c>
      <c r="X211" s="159">
        <f t="shared" si="509"/>
        <v>1.0582045405781004</v>
      </c>
      <c r="Y211" s="159">
        <f t="shared" si="509"/>
        <v>0.52356191433877708</v>
      </c>
      <c r="Z211" s="159">
        <f t="shared" si="509"/>
        <v>-0.78125253080209012</v>
      </c>
      <c r="AA211" s="159">
        <f t="shared" si="509"/>
        <v>-4.1994724519556765</v>
      </c>
      <c r="AB211" s="159">
        <f t="shared" si="509"/>
        <v>-2.7397263775398306</v>
      </c>
      <c r="AC211" s="159">
        <f t="shared" si="509"/>
        <v>2.0000012264195677</v>
      </c>
      <c r="AD211" s="159">
        <f t="shared" si="509"/>
        <v>1.436061716042647</v>
      </c>
      <c r="AE211" s="159">
        <f t="shared" si="509"/>
        <v>-0.62618640810236936</v>
      </c>
      <c r="AF211" s="159">
        <f t="shared" si="509"/>
        <v>-2.3287661428884721</v>
      </c>
      <c r="AG211" s="159">
        <f t="shared" si="509"/>
        <v>-0.33661395566148</v>
      </c>
      <c r="AH211" s="159">
        <f t="shared" si="509"/>
        <v>2.1671880821942047</v>
      </c>
      <c r="AI211" s="159">
        <f t="shared" si="509"/>
        <v>2.148760472183131</v>
      </c>
      <c r="AJ211" s="159">
        <f t="shared" si="509"/>
        <v>2.0496240755368156</v>
      </c>
      <c r="AK211" s="159">
        <f t="shared" si="509"/>
        <v>2.4312876511439097</v>
      </c>
      <c r="AL211" s="159">
        <f t="shared" si="509"/>
        <v>2.3735791152253105</v>
      </c>
      <c r="AM211" s="159">
        <f t="shared" ref="AM211:BF211" si="510">+(AM210/AL210-1)*100</f>
        <v>1.1844781193309117</v>
      </c>
      <c r="AN211" s="159">
        <f t="shared" si="510"/>
        <v>0.76142131979695105</v>
      </c>
      <c r="AO211" s="159">
        <f t="shared" si="510"/>
        <v>1.0075566750629816</v>
      </c>
      <c r="AP211" s="159">
        <f t="shared" si="510"/>
        <v>0.16633416458853301</v>
      </c>
      <c r="AQ211" s="159">
        <f t="shared" si="510"/>
        <v>0.13170113551772555</v>
      </c>
      <c r="AR211" s="159">
        <f t="shared" si="510"/>
        <v>0.27623347820464605</v>
      </c>
      <c r="AS211" s="159">
        <f t="shared" si="510"/>
        <v>0.12744633740549016</v>
      </c>
      <c r="AT211" s="159">
        <f t="shared" si="510"/>
        <v>0.29518029027713055</v>
      </c>
      <c r="AU211" s="159">
        <f t="shared" si="510"/>
        <v>0.95132748825346169</v>
      </c>
      <c r="AV211" s="159">
        <f t="shared" si="510"/>
        <v>1.1157689805461946</v>
      </c>
      <c r="AW211" s="159">
        <f t="shared" si="510"/>
        <v>8.2587856413199887</v>
      </c>
      <c r="AX211" s="159">
        <f t="shared" si="510"/>
        <v>1.4999999999999902</v>
      </c>
      <c r="AY211" s="159">
        <f t="shared" si="510"/>
        <v>1.4999999999999902</v>
      </c>
      <c r="AZ211" s="159">
        <f t="shared" si="510"/>
        <v>1.1927998265018447</v>
      </c>
      <c r="BA211" s="159">
        <f t="shared" si="510"/>
        <v>1.4787826832404649</v>
      </c>
      <c r="BB211" s="159">
        <f t="shared" si="510"/>
        <v>1.203801478352684</v>
      </c>
      <c r="BC211" s="159">
        <f t="shared" si="510"/>
        <v>1.4816360601001666</v>
      </c>
      <c r="BD211" s="159">
        <f t="shared" si="510"/>
        <v>0.14137363767221522</v>
      </c>
      <c r="BE211" s="159">
        <f t="shared" si="510"/>
        <v>1.2178394674953408</v>
      </c>
      <c r="BF211" s="159">
        <f t="shared" si="510"/>
        <v>2.3003357201414554</v>
      </c>
      <c r="BG211" s="159">
        <f t="shared" ref="BG211:BR211" si="511">+(BG210/BF210-1)*100</f>
        <v>1.1329540293937512</v>
      </c>
      <c r="BH211" s="159">
        <f t="shared" si="511"/>
        <v>1.388709139753308</v>
      </c>
      <c r="BI211" s="159">
        <f t="shared" si="511"/>
        <v>1.3714287924618818</v>
      </c>
      <c r="BJ211" s="159">
        <f t="shared" si="511"/>
        <v>1.3406646659404053</v>
      </c>
      <c r="BK211" s="159">
        <f t="shared" si="511"/>
        <v>1.6454242521226625</v>
      </c>
      <c r="BL211" s="159">
        <f t="shared" si="511"/>
        <v>0.32005334222371395</v>
      </c>
      <c r="BM211" s="159">
        <f t="shared" si="511"/>
        <v>1.584822335212821</v>
      </c>
      <c r="BN211" s="159">
        <f t="shared" si="511"/>
        <v>1.5540999814620315</v>
      </c>
      <c r="BO211" s="159">
        <f t="shared" si="511"/>
        <v>1.5244115231050959</v>
      </c>
      <c r="BP211" s="159">
        <f t="shared" si="511"/>
        <v>1.4934134333173033</v>
      </c>
      <c r="BQ211" s="159">
        <f t="shared" si="511"/>
        <v>1.3264138195750785</v>
      </c>
      <c r="BR211" s="159">
        <f t="shared" si="511"/>
        <v>1.1484401782653419</v>
      </c>
      <c r="BS211" s="159">
        <f t="shared" ref="BS211:BZ211" si="512">+(BS210/BR210-1)*100</f>
        <v>1.2999999999999901</v>
      </c>
      <c r="BT211" s="159">
        <f t="shared" si="512"/>
        <v>1.2999999999999901</v>
      </c>
      <c r="BU211" s="159">
        <f t="shared" si="512"/>
        <v>1.2999999999999901</v>
      </c>
      <c r="BV211" s="159">
        <f t="shared" si="512"/>
        <v>1.2999999999999901</v>
      </c>
      <c r="BW211" s="159">
        <f t="shared" si="512"/>
        <v>1.2999999999999901</v>
      </c>
      <c r="BX211" s="159">
        <f t="shared" si="512"/>
        <v>1.2999999999999901</v>
      </c>
      <c r="BY211" s="159">
        <f t="shared" si="512"/>
        <v>1.2999999999999901</v>
      </c>
      <c r="BZ211" s="159">
        <f t="shared" si="512"/>
        <v>1.2999999999999901</v>
      </c>
      <c r="CA211" s="159">
        <f t="shared" ref="CA211:CG211" si="513">+(CA210/BZ210-1)*100</f>
        <v>1.2999999999999901</v>
      </c>
      <c r="CB211" s="159">
        <f t="shared" si="513"/>
        <v>1.2999999999999901</v>
      </c>
      <c r="CC211" s="159">
        <f t="shared" si="513"/>
        <v>1.2999999999999901</v>
      </c>
      <c r="CD211" s="159">
        <f t="shared" si="513"/>
        <v>1.2999999999999901</v>
      </c>
      <c r="CE211" s="159">
        <f t="shared" si="513"/>
        <v>1.2999999999999901</v>
      </c>
      <c r="CF211" s="159">
        <f t="shared" si="513"/>
        <v>1.2999999999999901</v>
      </c>
      <c r="CG211" s="159">
        <f t="shared" si="513"/>
        <v>1.2999999999999901</v>
      </c>
      <c r="CH211" s="162"/>
      <c r="CI211" s="106">
        <f t="shared" si="507"/>
        <v>0</v>
      </c>
      <c r="CJ211" s="106">
        <f t="shared" si="507"/>
        <v>0</v>
      </c>
      <c r="CK211" s="106">
        <f t="shared" si="507"/>
        <v>0</v>
      </c>
      <c r="CL211" s="106">
        <f t="shared" si="507"/>
        <v>0</v>
      </c>
      <c r="CM211" s="106">
        <f t="shared" si="507"/>
        <v>0</v>
      </c>
      <c r="CN211" s="106">
        <f t="shared" si="507"/>
        <v>0</v>
      </c>
      <c r="CO211" s="106">
        <f t="shared" si="507"/>
        <v>0</v>
      </c>
      <c r="CP211" s="106">
        <f t="shared" si="507"/>
        <v>0</v>
      </c>
      <c r="CQ211" s="106">
        <f t="shared" si="507"/>
        <v>0</v>
      </c>
      <c r="CR211" s="106">
        <f t="shared" si="507"/>
        <v>0</v>
      </c>
      <c r="CS211" s="106">
        <f t="shared" si="508"/>
        <v>0</v>
      </c>
      <c r="CT211" s="106">
        <f t="shared" si="508"/>
        <v>0</v>
      </c>
      <c r="CU211" s="106">
        <f t="shared" si="508"/>
        <v>0</v>
      </c>
      <c r="CV211" s="106">
        <f t="shared" si="506"/>
        <v>0</v>
      </c>
      <c r="CW211" s="106">
        <f t="shared" si="506"/>
        <v>0</v>
      </c>
      <c r="CX211" s="106">
        <f t="shared" si="506"/>
        <v>0</v>
      </c>
      <c r="CY211" s="106">
        <f t="shared" si="506"/>
        <v>0</v>
      </c>
      <c r="CZ211" s="134"/>
      <c r="DA211" s="384">
        <v>1.3264138195750785</v>
      </c>
      <c r="DB211" s="384">
        <v>1.1484401782653419</v>
      </c>
      <c r="DC211" s="384">
        <v>1.2999999999999901</v>
      </c>
      <c r="DD211" s="384">
        <v>1.2999999999999901</v>
      </c>
      <c r="DE211" s="135">
        <v>1.2999999999999901</v>
      </c>
      <c r="DF211" s="135">
        <v>1.2999999999999901</v>
      </c>
      <c r="DG211" s="135">
        <v>1.2999999999999901</v>
      </c>
      <c r="DH211" s="135">
        <v>1.2999999999999901</v>
      </c>
      <c r="DI211" s="135">
        <v>1.2999999999999901</v>
      </c>
      <c r="DJ211" s="135">
        <v>1.2999999999999901</v>
      </c>
      <c r="DK211" s="135">
        <v>1.2999999999999901</v>
      </c>
      <c r="DL211" s="135">
        <v>1.2999999999999901</v>
      </c>
      <c r="DM211" s="135">
        <v>1.2999999999999901</v>
      </c>
      <c r="DN211" s="135">
        <v>1.2999999999999901</v>
      </c>
      <c r="DO211" s="135">
        <v>1.2999999999999901</v>
      </c>
      <c r="DP211" s="135">
        <v>1.2999999999999901</v>
      </c>
      <c r="DQ211" s="135">
        <v>1.2999999999999901</v>
      </c>
    </row>
    <row r="212" spans="1:121" s="123" customFormat="1">
      <c r="A212" s="107"/>
      <c r="B212" s="107"/>
      <c r="C212" s="136"/>
      <c r="D212" s="147"/>
      <c r="E212" s="107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2"/>
      <c r="CI212" s="106"/>
      <c r="CJ212" s="106"/>
      <c r="CK212" s="106"/>
      <c r="CL212" s="106"/>
      <c r="CM212" s="106"/>
      <c r="CN212" s="106"/>
      <c r="CO212" s="106"/>
      <c r="CP212" s="106"/>
      <c r="CQ212" s="106"/>
      <c r="CR212" s="106"/>
      <c r="CS212" s="106"/>
      <c r="CT212" s="106"/>
      <c r="CU212" s="106"/>
      <c r="CV212" s="106"/>
      <c r="CW212" s="106"/>
      <c r="CX212" s="106"/>
      <c r="CY212" s="106"/>
      <c r="CZ212" s="134"/>
      <c r="DA212" s="384"/>
      <c r="DB212" s="384"/>
      <c r="DC212" s="384"/>
      <c r="DD212" s="384"/>
      <c r="DE212" s="135"/>
      <c r="DF212" s="135"/>
      <c r="DG212" s="135"/>
      <c r="DH212" s="135"/>
      <c r="DI212" s="135"/>
      <c r="DJ212" s="135"/>
      <c r="DK212" s="135"/>
      <c r="DL212" s="135"/>
      <c r="DM212" s="135"/>
      <c r="DN212" s="135"/>
      <c r="DO212" s="135"/>
      <c r="DP212" s="135"/>
      <c r="DQ212" s="135"/>
    </row>
    <row r="213" spans="1:121" s="123" customFormat="1">
      <c r="A213" s="107" t="s">
        <v>2405</v>
      </c>
      <c r="B213" s="107"/>
      <c r="C213" s="136"/>
      <c r="D213" s="147"/>
      <c r="E213" s="107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2"/>
      <c r="CI213" s="106">
        <f t="shared" ref="CI213:CR218" si="514">BQ213-DA213</f>
        <v>0</v>
      </c>
      <c r="CJ213" s="106">
        <f t="shared" si="514"/>
        <v>0</v>
      </c>
      <c r="CK213" s="106">
        <f t="shared" si="514"/>
        <v>0</v>
      </c>
      <c r="CL213" s="106">
        <f t="shared" si="514"/>
        <v>0</v>
      </c>
      <c r="CM213" s="106">
        <f t="shared" si="514"/>
        <v>0</v>
      </c>
      <c r="CN213" s="106">
        <f t="shared" si="514"/>
        <v>0</v>
      </c>
      <c r="CO213" s="106">
        <f t="shared" si="514"/>
        <v>0</v>
      </c>
      <c r="CP213" s="106">
        <f t="shared" si="514"/>
        <v>0</v>
      </c>
      <c r="CQ213" s="106">
        <f t="shared" si="514"/>
        <v>0</v>
      </c>
      <c r="CR213" s="106">
        <f t="shared" si="514"/>
        <v>0</v>
      </c>
      <c r="CS213" s="106">
        <f t="shared" ref="CS213:CU218" si="515">CA213-DK213</f>
        <v>0</v>
      </c>
      <c r="CT213" s="106">
        <f t="shared" si="515"/>
        <v>0</v>
      </c>
      <c r="CU213" s="106">
        <f t="shared" si="515"/>
        <v>0</v>
      </c>
      <c r="CV213" s="106">
        <f t="shared" ref="CV213:CV218" si="516">CD213-DN213</f>
        <v>0</v>
      </c>
      <c r="CW213" s="106">
        <f t="shared" ref="CW213:CW218" si="517">CE213-DO213</f>
        <v>0</v>
      </c>
      <c r="CX213" s="106">
        <f t="shared" ref="CX213:CX218" si="518">CF213-DP213</f>
        <v>0</v>
      </c>
      <c r="CY213" s="106">
        <f t="shared" ref="CY213:CY218" si="519">CG213-DQ213</f>
        <v>0</v>
      </c>
      <c r="CZ213" s="134"/>
      <c r="DA213" s="384"/>
      <c r="DB213" s="384"/>
      <c r="DC213" s="384"/>
      <c r="DD213" s="384"/>
      <c r="DE213" s="135"/>
      <c r="DF213" s="135"/>
      <c r="DG213" s="135"/>
      <c r="DH213" s="135"/>
      <c r="DI213" s="135"/>
      <c r="DJ213" s="135"/>
      <c r="DK213" s="135"/>
      <c r="DL213" s="135"/>
      <c r="DM213" s="135"/>
      <c r="DN213" s="135"/>
      <c r="DO213" s="135"/>
      <c r="DP213" s="135"/>
      <c r="DQ213" s="135"/>
    </row>
    <row r="214" spans="1:121" s="123" customFormat="1">
      <c r="A214" s="107" t="s">
        <v>1666</v>
      </c>
      <c r="B214" s="107"/>
      <c r="C214" s="136" t="s">
        <v>1349</v>
      </c>
      <c r="D214" s="147"/>
      <c r="E214" s="107"/>
      <c r="F214" s="161"/>
      <c r="G214" s="161">
        <f t="shared" ref="G214:AL214" si="520">(G203/F203-1)*100</f>
        <v>15.151515151515159</v>
      </c>
      <c r="H214" s="161">
        <f t="shared" si="520"/>
        <v>9.8684260719700934</v>
      </c>
      <c r="I214" s="161">
        <f t="shared" si="520"/>
        <v>13.772449892126314</v>
      </c>
      <c r="J214" s="161">
        <f t="shared" si="520"/>
        <v>0.58947111430920351</v>
      </c>
      <c r="K214" s="161">
        <f t="shared" si="520"/>
        <v>9.7425777869326158</v>
      </c>
      <c r="L214" s="161">
        <f t="shared" si="520"/>
        <v>7.7143036681857291</v>
      </c>
      <c r="M214" s="161">
        <f t="shared" si="520"/>
        <v>5.9047521113637647</v>
      </c>
      <c r="N214" s="161">
        <f t="shared" si="520"/>
        <v>8.4677715406786369</v>
      </c>
      <c r="O214" s="161">
        <f t="shared" si="520"/>
        <v>7.6757113347751149</v>
      </c>
      <c r="P214" s="161">
        <f t="shared" si="520"/>
        <v>5.7686784198220042</v>
      </c>
      <c r="Q214" s="161">
        <f t="shared" si="520"/>
        <v>5.0886443446557683</v>
      </c>
      <c r="R214" s="161">
        <f t="shared" si="520"/>
        <v>4.533158605621268</v>
      </c>
      <c r="S214" s="161">
        <f t="shared" si="520"/>
        <v>11.223362002309646</v>
      </c>
      <c r="T214" s="161">
        <f t="shared" si="520"/>
        <v>2.4590177788219147</v>
      </c>
      <c r="U214" s="161">
        <f t="shared" si="520"/>
        <v>11.891896015888936</v>
      </c>
      <c r="V214" s="161">
        <f t="shared" si="520"/>
        <v>16.425118324717715</v>
      </c>
      <c r="W214" s="161">
        <f t="shared" si="520"/>
        <v>0.41493933563012675</v>
      </c>
      <c r="X214" s="161">
        <f t="shared" si="520"/>
        <v>-2.066115637342103</v>
      </c>
      <c r="Y214" s="161">
        <f t="shared" si="520"/>
        <v>7.1729907209503896</v>
      </c>
      <c r="Z214" s="161">
        <f t="shared" si="520"/>
        <v>11.81102379943102</v>
      </c>
      <c r="AA214" s="161">
        <f t="shared" si="520"/>
        <v>3.5211268078592761</v>
      </c>
      <c r="AB214" s="161">
        <f t="shared" si="520"/>
        <v>11.224493834106219</v>
      </c>
      <c r="AC214" s="161">
        <f t="shared" si="520"/>
        <v>9.7859348265403554</v>
      </c>
      <c r="AD214" s="161">
        <f t="shared" si="520"/>
        <v>8.6350928756546921</v>
      </c>
      <c r="AE214" s="161">
        <f t="shared" si="520"/>
        <v>1.5384576259515281</v>
      </c>
      <c r="AF214" s="161">
        <f t="shared" si="520"/>
        <v>-11.111105759403184</v>
      </c>
      <c r="AG214" s="161">
        <f t="shared" si="520"/>
        <v>0.56818397330840043</v>
      </c>
      <c r="AH214" s="161">
        <f t="shared" si="520"/>
        <v>-0.28249232911827793</v>
      </c>
      <c r="AI214" s="161">
        <f t="shared" si="520"/>
        <v>4.8158662880498415</v>
      </c>
      <c r="AJ214" s="161">
        <f t="shared" si="520"/>
        <v>0</v>
      </c>
      <c r="AK214" s="161">
        <f t="shared" si="520"/>
        <v>2.7027027027026973</v>
      </c>
      <c r="AL214" s="161">
        <f t="shared" si="520"/>
        <v>1.3157894736842035</v>
      </c>
      <c r="AM214" s="161">
        <f t="shared" ref="AM214:BF214" si="521">(AM203/AL203-1)*100</f>
        <v>7.3693708939985836</v>
      </c>
      <c r="AN214" s="161">
        <f t="shared" si="521"/>
        <v>6.3291154426219798</v>
      </c>
      <c r="AO214" s="161">
        <f t="shared" si="521"/>
        <v>1.1904816664747075</v>
      </c>
      <c r="AP214" s="161">
        <f t="shared" si="521"/>
        <v>-2.3197416794404346</v>
      </c>
      <c r="AQ214" s="161">
        <f t="shared" si="521"/>
        <v>-1.4478075727931916</v>
      </c>
      <c r="AR214" s="161">
        <f t="shared" si="521"/>
        <v>-0.2779334828101665</v>
      </c>
      <c r="AS214" s="161">
        <f t="shared" si="521"/>
        <v>-4.7895636695786559</v>
      </c>
      <c r="AT214" s="161">
        <f t="shared" si="521"/>
        <v>-5.165797500737968</v>
      </c>
      <c r="AU214" s="161">
        <f t="shared" si="521"/>
        <v>-3.6107076156879025</v>
      </c>
      <c r="AV214" s="161">
        <f t="shared" si="521"/>
        <v>-1.3374596340150702</v>
      </c>
      <c r="AW214" s="161">
        <f t="shared" si="521"/>
        <v>7.6452599388376896E-2</v>
      </c>
      <c r="AX214" s="161">
        <f t="shared" si="521"/>
        <v>2.8234971562994371</v>
      </c>
      <c r="AY214" s="161">
        <f t="shared" si="521"/>
        <v>0.42940069446284479</v>
      </c>
      <c r="AZ214" s="161">
        <f t="shared" si="521"/>
        <v>1.5466230304310047</v>
      </c>
      <c r="BA214" s="161">
        <f t="shared" si="521"/>
        <v>1.9545159194281903</v>
      </c>
      <c r="BB214" s="161">
        <f t="shared" si="521"/>
        <v>-17.648220240343338</v>
      </c>
      <c r="BC214" s="161">
        <f t="shared" si="521"/>
        <v>0.22373265363921924</v>
      </c>
      <c r="BD214" s="161">
        <f t="shared" si="521"/>
        <v>-9.6075051569710634E-2</v>
      </c>
      <c r="BE214" s="161">
        <f t="shared" si="521"/>
        <v>2.7407721680102082</v>
      </c>
      <c r="BF214" s="161">
        <f t="shared" si="521"/>
        <v>3.2099988987996708</v>
      </c>
      <c r="BG214" s="161">
        <f t="shared" ref="BG214:BN214" si="522">(BG203/BF203-1)*100</f>
        <v>2.0432115230728298</v>
      </c>
      <c r="BH214" s="161">
        <f t="shared" si="522"/>
        <v>1.6337306566290177</v>
      </c>
      <c r="BI214" s="161">
        <f t="shared" si="522"/>
        <v>1.5483140865718337</v>
      </c>
      <c r="BJ214" s="161">
        <f t="shared" si="522"/>
        <v>6.7294785097383736</v>
      </c>
      <c r="BK214" s="161">
        <f t="shared" si="522"/>
        <v>6.3051732320835274</v>
      </c>
      <c r="BL214" s="161">
        <f t="shared" si="522"/>
        <v>1.3773243744000574</v>
      </c>
      <c r="BM214" s="161">
        <f t="shared" si="522"/>
        <v>1.6077789544623133</v>
      </c>
      <c r="BN214" s="161">
        <f t="shared" si="522"/>
        <v>1.1417472048512511</v>
      </c>
      <c r="BO214" s="161">
        <f t="shared" ref="BO214:BP218" si="523">(BO203/BN203-1)*100</f>
        <v>10.000000000000009</v>
      </c>
      <c r="BP214" s="161">
        <f t="shared" si="523"/>
        <v>0</v>
      </c>
      <c r="BQ214" s="161">
        <f t="shared" ref="BQ214:BZ214" si="524">(BQ203/BP203-1)*100</f>
        <v>0</v>
      </c>
      <c r="BR214" s="161">
        <f t="shared" si="524"/>
        <v>0</v>
      </c>
      <c r="BS214" s="161">
        <f t="shared" si="524"/>
        <v>0</v>
      </c>
      <c r="BT214" s="161">
        <f t="shared" si="524"/>
        <v>0</v>
      </c>
      <c r="BU214" s="161">
        <f t="shared" si="524"/>
        <v>0</v>
      </c>
      <c r="BV214" s="161">
        <f t="shared" si="524"/>
        <v>-7.0000000000000178</v>
      </c>
      <c r="BW214" s="161">
        <f t="shared" si="524"/>
        <v>-12.000000000000011</v>
      </c>
      <c r="BX214" s="161">
        <f t="shared" si="524"/>
        <v>0</v>
      </c>
      <c r="BY214" s="161">
        <f t="shared" si="524"/>
        <v>0</v>
      </c>
      <c r="BZ214" s="161">
        <f t="shared" si="524"/>
        <v>0</v>
      </c>
      <c r="CA214" s="161">
        <f t="shared" ref="CA214:CB218" si="525">(CA203/BZ203-1)*100</f>
        <v>0</v>
      </c>
      <c r="CB214" s="161">
        <f t="shared" si="525"/>
        <v>0</v>
      </c>
      <c r="CC214" s="161">
        <f t="shared" ref="CC214:CG218" si="526">(CC203/CB203-1)*100</f>
        <v>0</v>
      </c>
      <c r="CD214" s="161">
        <f t="shared" si="526"/>
        <v>0</v>
      </c>
      <c r="CE214" s="161">
        <f t="shared" si="526"/>
        <v>0</v>
      </c>
      <c r="CF214" s="161">
        <f t="shared" si="526"/>
        <v>0</v>
      </c>
      <c r="CG214" s="161">
        <f t="shared" si="526"/>
        <v>0</v>
      </c>
      <c r="CH214" s="162"/>
      <c r="CI214" s="106">
        <f t="shared" si="514"/>
        <v>0</v>
      </c>
      <c r="CJ214" s="106">
        <f t="shared" si="514"/>
        <v>0</v>
      </c>
      <c r="CK214" s="106">
        <f t="shared" si="514"/>
        <v>0</v>
      </c>
      <c r="CL214" s="106">
        <f t="shared" si="514"/>
        <v>0</v>
      </c>
      <c r="CM214" s="106">
        <f t="shared" si="514"/>
        <v>0</v>
      </c>
      <c r="CN214" s="106">
        <f t="shared" si="514"/>
        <v>0</v>
      </c>
      <c r="CO214" s="106">
        <f t="shared" si="514"/>
        <v>0</v>
      </c>
      <c r="CP214" s="106">
        <f t="shared" si="514"/>
        <v>0</v>
      </c>
      <c r="CQ214" s="106">
        <f t="shared" si="514"/>
        <v>0</v>
      </c>
      <c r="CR214" s="106">
        <f t="shared" si="514"/>
        <v>0</v>
      </c>
      <c r="CS214" s="106">
        <f t="shared" si="515"/>
        <v>0</v>
      </c>
      <c r="CT214" s="106">
        <f t="shared" si="515"/>
        <v>0</v>
      </c>
      <c r="CU214" s="106">
        <f t="shared" si="515"/>
        <v>0</v>
      </c>
      <c r="CV214" s="106">
        <f t="shared" si="516"/>
        <v>0</v>
      </c>
      <c r="CW214" s="106">
        <f t="shared" si="517"/>
        <v>0</v>
      </c>
      <c r="CX214" s="106">
        <f t="shared" si="518"/>
        <v>0</v>
      </c>
      <c r="CY214" s="106">
        <f t="shared" si="519"/>
        <v>0</v>
      </c>
      <c r="CZ214" s="134"/>
      <c r="DA214" s="384">
        <v>0</v>
      </c>
      <c r="DB214" s="384">
        <v>0</v>
      </c>
      <c r="DC214" s="384">
        <v>0</v>
      </c>
      <c r="DD214" s="384">
        <v>0</v>
      </c>
      <c r="DE214" s="135">
        <v>0</v>
      </c>
      <c r="DF214" s="135">
        <v>-7.0000000000000178</v>
      </c>
      <c r="DG214" s="135">
        <v>-12.000000000000011</v>
      </c>
      <c r="DH214" s="135">
        <v>0</v>
      </c>
      <c r="DI214" s="135">
        <v>0</v>
      </c>
      <c r="DJ214" s="135">
        <v>0</v>
      </c>
      <c r="DK214" s="135">
        <v>0</v>
      </c>
      <c r="DL214" s="135">
        <v>0</v>
      </c>
      <c r="DM214" s="135">
        <v>0</v>
      </c>
      <c r="DN214" s="135">
        <v>0</v>
      </c>
      <c r="DO214" s="135">
        <v>0</v>
      </c>
      <c r="DP214" s="135">
        <v>0</v>
      </c>
      <c r="DQ214" s="135">
        <v>0</v>
      </c>
    </row>
    <row r="215" spans="1:121" s="123" customFormat="1">
      <c r="A215" s="107" t="s">
        <v>1667</v>
      </c>
      <c r="B215" s="107"/>
      <c r="C215" s="136" t="s">
        <v>1349</v>
      </c>
      <c r="D215" s="147"/>
      <c r="E215" s="107"/>
      <c r="F215" s="161"/>
      <c r="G215" s="161">
        <f t="shared" ref="G215:AL215" si="527">(G204/F204-1)*100</f>
        <v>3.3195020746888071</v>
      </c>
      <c r="H215" s="161">
        <f t="shared" si="527"/>
        <v>30.000976194818342</v>
      </c>
      <c r="I215" s="161">
        <f t="shared" si="527"/>
        <v>4.3999969360091429</v>
      </c>
      <c r="J215" s="161">
        <f t="shared" si="527"/>
        <v>5.5999897957271561</v>
      </c>
      <c r="K215" s="161">
        <f t="shared" si="527"/>
        <v>5.8287856546011874</v>
      </c>
      <c r="L215" s="161">
        <f t="shared" si="527"/>
        <v>6.0240918828778245</v>
      </c>
      <c r="M215" s="161">
        <f t="shared" si="527"/>
        <v>1.0957868181484365</v>
      </c>
      <c r="N215" s="161">
        <f t="shared" si="527"/>
        <v>0.76275006916786126</v>
      </c>
      <c r="O215" s="161">
        <f t="shared" si="527"/>
        <v>0.63743791854073972</v>
      </c>
      <c r="P215" s="161">
        <f t="shared" si="527"/>
        <v>0.65242284010562646</v>
      </c>
      <c r="Q215" s="161">
        <f t="shared" si="527"/>
        <v>1.2649045491194721</v>
      </c>
      <c r="R215" s="161">
        <f t="shared" si="527"/>
        <v>0.472293618164632</v>
      </c>
      <c r="S215" s="161">
        <f t="shared" si="527"/>
        <v>0.62469266048510441</v>
      </c>
      <c r="T215" s="161">
        <f t="shared" si="527"/>
        <v>1.2355237076623116</v>
      </c>
      <c r="U215" s="161">
        <f t="shared" si="527"/>
        <v>0.38555740892094459</v>
      </c>
      <c r="V215" s="161">
        <f t="shared" si="527"/>
        <v>2.1986302907586186</v>
      </c>
      <c r="W215" s="161">
        <f t="shared" si="527"/>
        <v>-5.3946153613050996</v>
      </c>
      <c r="X215" s="161">
        <f t="shared" si="527"/>
        <v>-1.0572358594520215</v>
      </c>
      <c r="Y215" s="161">
        <f t="shared" si="527"/>
        <v>-2.8673545205692874</v>
      </c>
      <c r="Z215" s="161">
        <f t="shared" si="527"/>
        <v>-1.3018659231471053</v>
      </c>
      <c r="AA215" s="161">
        <f t="shared" si="527"/>
        <v>5.8532614942917949</v>
      </c>
      <c r="AB215" s="161">
        <f t="shared" si="527"/>
        <v>-2.1806896012098065</v>
      </c>
      <c r="AC215" s="161">
        <f t="shared" si="527"/>
        <v>1.4331125226292096</v>
      </c>
      <c r="AD215" s="161">
        <f t="shared" si="527"/>
        <v>0.31396581291855963</v>
      </c>
      <c r="AE215" s="161">
        <f t="shared" si="527"/>
        <v>-2.1909279886194621</v>
      </c>
      <c r="AF215" s="161">
        <f t="shared" si="527"/>
        <v>1.0400086383354212</v>
      </c>
      <c r="AG215" s="161">
        <f t="shared" si="527"/>
        <v>-0.31670028044887832</v>
      </c>
      <c r="AH215" s="161">
        <f t="shared" si="527"/>
        <v>-0.11120658256457139</v>
      </c>
      <c r="AI215" s="161">
        <f t="shared" si="527"/>
        <v>-2.194652445544798</v>
      </c>
      <c r="AJ215" s="161">
        <f t="shared" si="527"/>
        <v>-3.7886226432990444</v>
      </c>
      <c r="AK215" s="161">
        <f t="shared" si="527"/>
        <v>-3.6352851075072912</v>
      </c>
      <c r="AL215" s="161">
        <f t="shared" si="527"/>
        <v>-6.4346930766601584</v>
      </c>
      <c r="AM215" s="161">
        <f t="shared" ref="AM215:BF215" si="528">(AM204/AL204-1)*100</f>
        <v>-6.0472035456558659</v>
      </c>
      <c r="AN215" s="161">
        <f t="shared" si="528"/>
        <v>-6.5802293806768608</v>
      </c>
      <c r="AO215" s="161">
        <f t="shared" si="528"/>
        <v>-8.3095784171032694</v>
      </c>
      <c r="AP215" s="161">
        <f t="shared" si="528"/>
        <v>-4.69035401029676</v>
      </c>
      <c r="AQ215" s="161">
        <f t="shared" si="528"/>
        <v>1.6267608705133219</v>
      </c>
      <c r="AR215" s="161">
        <f t="shared" si="528"/>
        <v>0.98274826195174914</v>
      </c>
      <c r="AS215" s="161">
        <f t="shared" si="528"/>
        <v>-5.1379031915345426</v>
      </c>
      <c r="AT215" s="161">
        <f t="shared" si="528"/>
        <v>-8.6327390018815287</v>
      </c>
      <c r="AU215" s="161">
        <f t="shared" si="528"/>
        <v>-6.7614611424368753</v>
      </c>
      <c r="AV215" s="161">
        <f t="shared" si="528"/>
        <v>19.39319552840313</v>
      </c>
      <c r="AW215" s="161">
        <f t="shared" si="528"/>
        <v>-1.0935392741489691</v>
      </c>
      <c r="AX215" s="161">
        <f t="shared" si="528"/>
        <v>-9.1709860745958771E-2</v>
      </c>
      <c r="AY215" s="161">
        <f t="shared" si="528"/>
        <v>-3.6580144933383796</v>
      </c>
      <c r="AZ215" s="161">
        <f t="shared" si="528"/>
        <v>1.3135766769260648</v>
      </c>
      <c r="BA215" s="161">
        <f t="shared" si="528"/>
        <v>-2.5730121389486493</v>
      </c>
      <c r="BB215" s="161">
        <f t="shared" si="528"/>
        <v>8.2440099264246669</v>
      </c>
      <c r="BC215" s="161">
        <f t="shared" si="528"/>
        <v>3.8179429120899888</v>
      </c>
      <c r="BD215" s="161">
        <f t="shared" si="528"/>
        <v>5.5477965407774832</v>
      </c>
      <c r="BE215" s="161">
        <f t="shared" si="528"/>
        <v>2.8706912056217559</v>
      </c>
      <c r="BF215" s="161">
        <f t="shared" si="528"/>
        <v>1.1891868184297438</v>
      </c>
      <c r="BG215" s="161">
        <f t="shared" ref="BG215:BN215" si="529">(BG204/BF204-1)*100</f>
        <v>0.52719479838132521</v>
      </c>
      <c r="BH215" s="161">
        <f t="shared" si="529"/>
        <v>1.6824181196023913</v>
      </c>
      <c r="BI215" s="161">
        <f t="shared" si="529"/>
        <v>-1.554424902848428</v>
      </c>
      <c r="BJ215" s="161">
        <f t="shared" si="529"/>
        <v>8.0393114393847007</v>
      </c>
      <c r="BK215" s="161">
        <f t="shared" si="529"/>
        <v>7.4410983671393982</v>
      </c>
      <c r="BL215" s="161">
        <f t="shared" si="529"/>
        <v>9.0590380030851403</v>
      </c>
      <c r="BM215" s="161">
        <f t="shared" si="529"/>
        <v>-0.40182589687539627</v>
      </c>
      <c r="BN215" s="161">
        <f t="shared" si="529"/>
        <v>11.612819933511908</v>
      </c>
      <c r="BO215" s="161">
        <f t="shared" si="523"/>
        <v>-2.075763574695455</v>
      </c>
      <c r="BP215" s="161">
        <f t="shared" si="523"/>
        <v>-5.0381606011560054</v>
      </c>
      <c r="BQ215" s="161">
        <f t="shared" ref="BQ215:BZ215" si="530">(BQ204/BP204-1)*100</f>
        <v>-2.3994447670133923</v>
      </c>
      <c r="BR215" s="161">
        <f t="shared" si="530"/>
        <v>1.6905500442425669</v>
      </c>
      <c r="BS215" s="161">
        <f t="shared" si="530"/>
        <v>0.95939809926084418</v>
      </c>
      <c r="BT215" s="161">
        <f t="shared" ca="1" si="530"/>
        <v>-8.3039813600445544</v>
      </c>
      <c r="BU215" s="161">
        <f t="shared" ca="1" si="530"/>
        <v>-4.637485379731265</v>
      </c>
      <c r="BV215" s="161">
        <f t="shared" ca="1" si="530"/>
        <v>4.5032161219973554</v>
      </c>
      <c r="BW215" s="161">
        <f t="shared" ca="1" si="530"/>
        <v>2.5062537499401794</v>
      </c>
      <c r="BX215" s="161">
        <f t="shared" ca="1" si="530"/>
        <v>3.332917805731217</v>
      </c>
      <c r="BY215" s="161">
        <f t="shared" ca="1" si="530"/>
        <v>3.4683988341152272</v>
      </c>
      <c r="BZ215" s="161">
        <f t="shared" ca="1" si="530"/>
        <v>3.5664860472277127</v>
      </c>
      <c r="CA215" s="161">
        <f t="shared" ca="1" si="525"/>
        <v>3.8549840158037973</v>
      </c>
      <c r="CB215" s="161">
        <f t="shared" ca="1" si="525"/>
        <v>4.1360740365779858</v>
      </c>
      <c r="CC215" s="161">
        <f t="shared" ca="1" si="526"/>
        <v>4.4590938194235541</v>
      </c>
      <c r="CD215" s="161">
        <f t="shared" ca="1" si="526"/>
        <v>4.8358859118061481</v>
      </c>
      <c r="CE215" s="161">
        <f t="shared" ca="1" si="526"/>
        <v>5.2731661030067656</v>
      </c>
      <c r="CF215" s="161">
        <f t="shared" ca="1" si="526"/>
        <v>5.7733001160752195</v>
      </c>
      <c r="CG215" s="161">
        <f t="shared" ca="1" si="526"/>
        <v>6.3292190570968465</v>
      </c>
      <c r="CH215" s="162"/>
      <c r="CI215" s="106">
        <f t="shared" ref="CI215:CR217" si="531">BQ215-DA215</f>
        <v>0</v>
      </c>
      <c r="CJ215" s="106">
        <f t="shared" si="531"/>
        <v>0</v>
      </c>
      <c r="CK215" s="106">
        <f t="shared" si="531"/>
        <v>0</v>
      </c>
      <c r="CL215" s="106">
        <f t="shared" ca="1" si="531"/>
        <v>0</v>
      </c>
      <c r="CM215" s="106">
        <f t="shared" ca="1" si="531"/>
        <v>-1.4680224436070861</v>
      </c>
      <c r="CN215" s="106">
        <f t="shared" ca="1" si="531"/>
        <v>-2.0088997251667351</v>
      </c>
      <c r="CO215" s="106">
        <f t="shared" ca="1" si="531"/>
        <v>4.3140181873857486E-2</v>
      </c>
      <c r="CP215" s="106">
        <f t="shared" ca="1" si="531"/>
        <v>8.1273195217490546E-2</v>
      </c>
      <c r="CQ215" s="106">
        <f t="shared" ca="1" si="531"/>
        <v>-2.1761462789160468E-2</v>
      </c>
      <c r="CR215" s="106">
        <f t="shared" ca="1" si="531"/>
        <v>1.3270796417096831</v>
      </c>
      <c r="CS215" s="106">
        <f t="shared" ca="1" si="515"/>
        <v>1.3232675127895055</v>
      </c>
      <c r="CT215" s="106">
        <f t="shared" ca="1" si="515"/>
        <v>-0.12295231200969425</v>
      </c>
      <c r="CU215" s="106">
        <f t="shared" ca="1" si="515"/>
        <v>-0.20549007116936746</v>
      </c>
      <c r="CV215" s="106">
        <f t="shared" ca="1" si="516"/>
        <v>-0.21174951035585199</v>
      </c>
      <c r="CW215" s="106">
        <f t="shared" ca="1" si="517"/>
        <v>-0.20154035799826442</v>
      </c>
      <c r="CX215" s="106">
        <f t="shared" ca="1" si="518"/>
        <v>-0.16822255377169082</v>
      </c>
      <c r="CY215" s="106">
        <f t="shared" ca="1" si="519"/>
        <v>-0.11089028950257429</v>
      </c>
      <c r="CZ215" s="134"/>
      <c r="DA215" s="384">
        <v>-2.3994447670133923</v>
      </c>
      <c r="DB215" s="384">
        <v>1.6905500442425669</v>
      </c>
      <c r="DC215" s="384">
        <v>0.95939809926084418</v>
      </c>
      <c r="DD215" s="384">
        <v>-8.3039813600445544</v>
      </c>
      <c r="DE215" s="135">
        <v>-3.1694629361241788</v>
      </c>
      <c r="DF215" s="135">
        <v>6.5121158471640905</v>
      </c>
      <c r="DG215" s="135">
        <v>2.4631135680663219</v>
      </c>
      <c r="DH215" s="135">
        <v>3.2516446105137264</v>
      </c>
      <c r="DI215" s="135">
        <v>3.4901602969043877</v>
      </c>
      <c r="DJ215" s="135">
        <v>2.2394064055180296</v>
      </c>
      <c r="DK215" s="135">
        <v>2.5317165030142919</v>
      </c>
      <c r="DL215" s="135">
        <v>4.25902634858768</v>
      </c>
      <c r="DM215" s="135">
        <v>4.6645838905929216</v>
      </c>
      <c r="DN215" s="135">
        <v>5.0476354221620001</v>
      </c>
      <c r="DO215" s="135">
        <v>5.47470646100503</v>
      </c>
      <c r="DP215" s="135">
        <v>5.9415226698469104</v>
      </c>
      <c r="DQ215" s="135">
        <v>6.4401093465994208</v>
      </c>
    </row>
    <row r="216" spans="1:121" s="123" customFormat="1">
      <c r="A216" s="107" t="s">
        <v>1668</v>
      </c>
      <c r="B216" s="107"/>
      <c r="C216" s="136" t="s">
        <v>1349</v>
      </c>
      <c r="D216" s="147"/>
      <c r="E216" s="107"/>
      <c r="F216" s="161"/>
      <c r="G216" s="161">
        <f t="shared" ref="G216:AL217" si="532">(G205/F205-1)*100</f>
        <v>-24.441255564845999</v>
      </c>
      <c r="H216" s="161">
        <f t="shared" si="532"/>
        <v>-44.735066131110855</v>
      </c>
      <c r="I216" s="161">
        <f t="shared" si="532"/>
        <v>-14.622760102305021</v>
      </c>
      <c r="J216" s="161">
        <f t="shared" si="532"/>
        <v>83.154142434387651</v>
      </c>
      <c r="K216" s="161">
        <f t="shared" si="532"/>
        <v>-2.9618750981474706</v>
      </c>
      <c r="L216" s="161">
        <f t="shared" si="532"/>
        <v>-23.585335367960948</v>
      </c>
      <c r="M216" s="161">
        <f t="shared" si="532"/>
        <v>49.795975422411964</v>
      </c>
      <c r="N216" s="161">
        <f t="shared" si="532"/>
        <v>32.481181073965736</v>
      </c>
      <c r="O216" s="161">
        <f t="shared" si="532"/>
        <v>24.051025886112896</v>
      </c>
      <c r="P216" s="161">
        <f t="shared" si="532"/>
        <v>19.091785745180513</v>
      </c>
      <c r="Q216" s="161">
        <f t="shared" si="532"/>
        <v>-17.428919676916166</v>
      </c>
      <c r="R216" s="161">
        <f t="shared" si="532"/>
        <v>-4.1401818241590504</v>
      </c>
      <c r="S216" s="161">
        <f t="shared" si="532"/>
        <v>-0.46454124116491746</v>
      </c>
      <c r="T216" s="161">
        <f t="shared" si="532"/>
        <v>4.0638638097288071</v>
      </c>
      <c r="U216" s="161">
        <f t="shared" si="532"/>
        <v>23.097857263896792</v>
      </c>
      <c r="V216" s="161">
        <f t="shared" si="532"/>
        <v>-9.1138844834965145</v>
      </c>
      <c r="W216" s="161">
        <f t="shared" si="532"/>
        <v>31.908304416713086</v>
      </c>
      <c r="X216" s="161">
        <f t="shared" si="532"/>
        <v>22.036499035678105</v>
      </c>
      <c r="Y216" s="161">
        <f t="shared" si="532"/>
        <v>26.232311056237979</v>
      </c>
      <c r="Z216" s="161">
        <f t="shared" si="532"/>
        <v>12.292105210977367</v>
      </c>
      <c r="AA216" s="161">
        <f t="shared" si="532"/>
        <v>-17.61027867750564</v>
      </c>
      <c r="AB216" s="161">
        <f t="shared" si="532"/>
        <v>-16.195170900863644</v>
      </c>
      <c r="AC216" s="161">
        <f t="shared" si="532"/>
        <v>-14.421534354462073</v>
      </c>
      <c r="AD216" s="161">
        <f t="shared" si="532"/>
        <v>-15.467250441073777</v>
      </c>
      <c r="AE216" s="161">
        <f t="shared" si="532"/>
        <v>46.411603896328458</v>
      </c>
      <c r="AF216" s="161">
        <f t="shared" si="532"/>
        <v>35.059595016359381</v>
      </c>
      <c r="AG216" s="161">
        <f t="shared" si="532"/>
        <v>1.3291167706146245</v>
      </c>
      <c r="AH216" s="161">
        <f t="shared" si="532"/>
        <v>1.3577534573633754</v>
      </c>
      <c r="AI216" s="161">
        <f t="shared" si="532"/>
        <v>25.635275467615926</v>
      </c>
      <c r="AJ216" s="161">
        <f t="shared" si="532"/>
        <v>12.692576183184713</v>
      </c>
      <c r="AK216" s="161">
        <f t="shared" si="532"/>
        <v>5.1295470032986845</v>
      </c>
      <c r="AL216" s="161">
        <f t="shared" si="532"/>
        <v>14.460767922415929</v>
      </c>
      <c r="AM216" s="161">
        <f t="shared" ref="AM216:BC217" si="533">(AM205/AL205-1)*100</f>
        <v>11.564003008048097</v>
      </c>
      <c r="AN216" s="161">
        <f t="shared" si="533"/>
        <v>13.704103315714612</v>
      </c>
      <c r="AO216" s="161">
        <f t="shared" si="533"/>
        <v>-20.003708379857908</v>
      </c>
      <c r="AP216" s="161">
        <f t="shared" si="533"/>
        <v>-14.910144863235175</v>
      </c>
      <c r="AQ216" s="161">
        <f t="shared" si="533"/>
        <v>0.24464462068167769</v>
      </c>
      <c r="AR216" s="161">
        <f t="shared" si="533"/>
        <v>20.86710276599122</v>
      </c>
      <c r="AS216" s="161">
        <f t="shared" si="533"/>
        <v>-24.050367708227014</v>
      </c>
      <c r="AT216" s="161">
        <f t="shared" si="533"/>
        <v>-28.219937806566175</v>
      </c>
      <c r="AU216" s="161">
        <f t="shared" si="533"/>
        <v>-39.641532577521573</v>
      </c>
      <c r="AV216" s="161">
        <f t="shared" si="533"/>
        <v>56.228311352271263</v>
      </c>
      <c r="AW216" s="161">
        <f t="shared" si="533"/>
        <v>35.125396002739919</v>
      </c>
      <c r="AX216" s="161">
        <f t="shared" si="533"/>
        <v>4.2921598502386971</v>
      </c>
      <c r="AY216" s="161">
        <f t="shared" si="533"/>
        <v>13.494693240615119</v>
      </c>
      <c r="AZ216" s="161">
        <f t="shared" si="533"/>
        <v>4.2403608296284645</v>
      </c>
      <c r="BA216" s="161">
        <f t="shared" si="533"/>
        <v>5.6930095424627902</v>
      </c>
      <c r="BB216" s="161">
        <f t="shared" si="533"/>
        <v>-3.3739548855272417</v>
      </c>
      <c r="BC216" s="161">
        <f t="shared" si="533"/>
        <v>-1.8587538086467181</v>
      </c>
      <c r="BD216" s="161">
        <f t="shared" ref="BD216:BF217" ca="1" si="534">(BD205/BC205-1)*100</f>
        <v>-26.604149321822423</v>
      </c>
      <c r="BE216" s="161">
        <f t="shared" ca="1" si="534"/>
        <v>-17.575509992997674</v>
      </c>
      <c r="BF216" s="161">
        <f t="shared" ca="1" si="534"/>
        <v>123.22384260119512</v>
      </c>
      <c r="BG216" s="161">
        <f t="shared" ref="BG216:BN216" si="535">(BG205/BF205-1)*100</f>
        <v>-11.314764899670571</v>
      </c>
      <c r="BH216" s="161">
        <f t="shared" si="535"/>
        <v>-11.643928137241645</v>
      </c>
      <c r="BI216" s="161">
        <f t="shared" si="535"/>
        <v>-3.4627732762574692</v>
      </c>
      <c r="BJ216" s="161">
        <f t="shared" si="535"/>
        <v>-17.404386728957157</v>
      </c>
      <c r="BK216" s="161">
        <f t="shared" si="535"/>
        <v>6.2601859840858864</v>
      </c>
      <c r="BL216" s="161">
        <f t="shared" si="535"/>
        <v>8.0205701912667404</v>
      </c>
      <c r="BM216" s="161">
        <f t="shared" si="535"/>
        <v>-16.812828864946127</v>
      </c>
      <c r="BN216" s="161">
        <f t="shared" si="535"/>
        <v>-15.923694779116481</v>
      </c>
      <c r="BO216" s="161">
        <f t="shared" si="523"/>
        <v>26.83305469309769</v>
      </c>
      <c r="BP216" s="161">
        <f t="shared" si="523"/>
        <v>35.28857922982769</v>
      </c>
      <c r="BQ216" s="161">
        <f t="shared" ref="BQ216:BZ216" si="536">(BQ205/BP205-1)*100</f>
        <v>-22.130976407544011</v>
      </c>
      <c r="BR216" s="161">
        <f t="shared" si="536"/>
        <v>27.59853427473411</v>
      </c>
      <c r="BS216" s="161">
        <f t="shared" si="536"/>
        <v>2.1913382901206813</v>
      </c>
      <c r="BT216" s="161">
        <f t="shared" ca="1" si="536"/>
        <v>9.5571631266354586</v>
      </c>
      <c r="BU216" s="161">
        <f t="shared" ca="1" si="536"/>
        <v>5.8111207113171526</v>
      </c>
      <c r="BV216" s="161">
        <f t="shared" ca="1" si="536"/>
        <v>2.697486470909416</v>
      </c>
      <c r="BW216" s="161">
        <f t="shared" ca="1" si="536"/>
        <v>5.3842482016910109</v>
      </c>
      <c r="BX216" s="161">
        <f t="shared" ca="1" si="536"/>
        <v>0.48397260003891773</v>
      </c>
      <c r="BY216" s="161">
        <f t="shared" ca="1" si="536"/>
        <v>0.36488323079739704</v>
      </c>
      <c r="BZ216" s="161">
        <f t="shared" ca="1" si="536"/>
        <v>0.26055753962954675</v>
      </c>
      <c r="CA216" s="161">
        <f t="shared" ca="1" si="525"/>
        <v>2.4414830065055959E-2</v>
      </c>
      <c r="CB216" s="161">
        <f t="shared" ca="1" si="525"/>
        <v>-0.2296108050676815</v>
      </c>
      <c r="CC216" s="161">
        <f t="shared" ca="1" si="526"/>
        <v>-0.54077945527803983</v>
      </c>
      <c r="CD216" s="161">
        <f t="shared" ca="1" si="526"/>
        <v>-0.93025575082015255</v>
      </c>
      <c r="CE216" s="161">
        <f t="shared" ca="1" si="526"/>
        <v>-1.4223956073115773</v>
      </c>
      <c r="CF216" s="161">
        <f t="shared" ca="1" si="526"/>
        <v>-2.0476602124783305</v>
      </c>
      <c r="CG216" s="161">
        <f t="shared" ca="1" si="526"/>
        <v>-2.8417580426896016</v>
      </c>
      <c r="CH216" s="162"/>
      <c r="CI216" s="106">
        <f t="shared" si="531"/>
        <v>0</v>
      </c>
      <c r="CJ216" s="106">
        <f t="shared" si="531"/>
        <v>0</v>
      </c>
      <c r="CK216" s="106">
        <f t="shared" si="531"/>
        <v>0</v>
      </c>
      <c r="CL216" s="106">
        <f t="shared" ca="1" si="531"/>
        <v>0</v>
      </c>
      <c r="CM216" s="106">
        <f t="shared" ca="1" si="531"/>
        <v>0.97919252833351678</v>
      </c>
      <c r="CN216" s="106">
        <f t="shared" ca="1" si="531"/>
        <v>1.2545581266248496</v>
      </c>
      <c r="CO216" s="106">
        <f t="shared" ca="1" si="531"/>
        <v>-9.0714186869411684E-2</v>
      </c>
      <c r="CP216" s="106">
        <f t="shared" ca="1" si="531"/>
        <v>8.595853958959232E-3</v>
      </c>
      <c r="CQ216" s="106">
        <f t="shared" ca="1" si="531"/>
        <v>7.9325598472435033E-2</v>
      </c>
      <c r="CR216" s="106">
        <f t="shared" ca="1" si="531"/>
        <v>-0.81219200321966945</v>
      </c>
      <c r="CS216" s="106">
        <f t="shared" ca="1" si="515"/>
        <v>-0.83982628749406096</v>
      </c>
      <c r="CT216" s="106">
        <f t="shared" ca="1" si="515"/>
        <v>0.10690475961910861</v>
      </c>
      <c r="CU216" s="106">
        <f t="shared" ca="1" si="515"/>
        <v>0.17863863848601724</v>
      </c>
      <c r="CV216" s="106">
        <f t="shared" ca="1" si="516"/>
        <v>0.2065996557452987</v>
      </c>
      <c r="CW216" s="106">
        <f t="shared" ca="1" si="517"/>
        <v>0.23002445378367264</v>
      </c>
      <c r="CX216" s="106">
        <f t="shared" ca="1" si="518"/>
        <v>0.24299903915877552</v>
      </c>
      <c r="CY216" s="106">
        <f t="shared" ca="1" si="519"/>
        <v>0.24170267972022375</v>
      </c>
      <c r="CZ216" s="134"/>
      <c r="DA216" s="384">
        <v>-22.130976407544011</v>
      </c>
      <c r="DB216" s="384">
        <v>27.59853427473411</v>
      </c>
      <c r="DC216" s="384">
        <v>2.1913382901206813</v>
      </c>
      <c r="DD216" s="384">
        <v>9.5571631266354586</v>
      </c>
      <c r="DE216" s="135">
        <v>4.8319281829836358</v>
      </c>
      <c r="DF216" s="135">
        <v>1.4429283442845664</v>
      </c>
      <c r="DG216" s="135">
        <v>5.4749623885604226</v>
      </c>
      <c r="DH216" s="135">
        <v>0.4753767460799585</v>
      </c>
      <c r="DI216" s="135">
        <v>0.28555763232496201</v>
      </c>
      <c r="DJ216" s="135">
        <v>1.0727495428492162</v>
      </c>
      <c r="DK216" s="135">
        <v>0.86424111755911692</v>
      </c>
      <c r="DL216" s="135">
        <v>-0.33651556468679011</v>
      </c>
      <c r="DM216" s="135">
        <v>-0.71941809376405708</v>
      </c>
      <c r="DN216" s="135">
        <v>-1.1368554065654513</v>
      </c>
      <c r="DO216" s="135">
        <v>-1.65242006109525</v>
      </c>
      <c r="DP216" s="135">
        <v>-2.290659251637106</v>
      </c>
      <c r="DQ216" s="135">
        <v>-3.0834607224098254</v>
      </c>
    </row>
    <row r="217" spans="1:121" s="123" customFormat="1">
      <c r="A217" s="107" t="s">
        <v>1669</v>
      </c>
      <c r="B217" s="107"/>
      <c r="C217" s="136" t="s">
        <v>1349</v>
      </c>
      <c r="D217" s="147"/>
      <c r="E217" s="107"/>
      <c r="F217" s="161"/>
      <c r="G217" s="161">
        <f t="shared" si="532"/>
        <v>4.5665020040759563</v>
      </c>
      <c r="H217" s="161">
        <f t="shared" si="532"/>
        <v>-34.462606708908616</v>
      </c>
      <c r="I217" s="161">
        <f t="shared" si="532"/>
        <v>0.81054992059197417</v>
      </c>
      <c r="J217" s="161">
        <f t="shared" si="532"/>
        <v>-4.4626063841995522</v>
      </c>
      <c r="K217" s="161">
        <f t="shared" si="532"/>
        <v>-4.6173873147158373</v>
      </c>
      <c r="L217" s="161">
        <f t="shared" si="532"/>
        <v>-3.6949756283056634</v>
      </c>
      <c r="M217" s="161">
        <f t="shared" si="532"/>
        <v>6.7948522531241728</v>
      </c>
      <c r="N217" s="161">
        <f t="shared" si="532"/>
        <v>6.0801871222688986</v>
      </c>
      <c r="O217" s="161">
        <f t="shared" si="532"/>
        <v>6.2833183977860196</v>
      </c>
      <c r="P217" s="161">
        <f t="shared" si="532"/>
        <v>8.1978984021166657</v>
      </c>
      <c r="Q217" s="161">
        <f t="shared" si="532"/>
        <v>5.6542623163241101</v>
      </c>
      <c r="R217" s="161">
        <f t="shared" si="532"/>
        <v>10.433032796738795</v>
      </c>
      <c r="S217" s="161">
        <f t="shared" si="532"/>
        <v>5.0358235893462222</v>
      </c>
      <c r="T217" s="161">
        <f t="shared" si="532"/>
        <v>4.3972916364507064</v>
      </c>
      <c r="U217" s="161">
        <f t="shared" si="532"/>
        <v>-0.14520148128397414</v>
      </c>
      <c r="V217" s="161">
        <f t="shared" si="532"/>
        <v>-11.279131824549971</v>
      </c>
      <c r="W217" s="161">
        <f t="shared" si="532"/>
        <v>12.042284522041658</v>
      </c>
      <c r="X217" s="161">
        <f t="shared" si="532"/>
        <v>4.1210645319279982</v>
      </c>
      <c r="Y217" s="161">
        <f t="shared" si="532"/>
        <v>-2.0553099506533834</v>
      </c>
      <c r="Z217" s="161">
        <f t="shared" si="532"/>
        <v>-12.43054474568488</v>
      </c>
      <c r="AA217" s="161">
        <f t="shared" si="532"/>
        <v>-31.427868482048503</v>
      </c>
      <c r="AB217" s="161">
        <f t="shared" si="532"/>
        <v>-17.899619014698597</v>
      </c>
      <c r="AC217" s="161">
        <f t="shared" si="532"/>
        <v>-2.1762710350682446</v>
      </c>
      <c r="AD217" s="161">
        <f t="shared" si="532"/>
        <v>-1.2817033434496916</v>
      </c>
      <c r="AE217" s="161">
        <f t="shared" si="532"/>
        <v>-14.344443393212813</v>
      </c>
      <c r="AF217" s="161">
        <f t="shared" si="532"/>
        <v>-19.525626832233744</v>
      </c>
      <c r="AG217" s="161">
        <f t="shared" si="532"/>
        <v>-4.8555529031637406</v>
      </c>
      <c r="AH217" s="161">
        <f t="shared" si="532"/>
        <v>27.496908035988522</v>
      </c>
      <c r="AI217" s="161">
        <f t="shared" si="532"/>
        <v>0.59528861197943872</v>
      </c>
      <c r="AJ217" s="161">
        <f t="shared" si="532"/>
        <v>28.690822630189206</v>
      </c>
      <c r="AK217" s="161">
        <f t="shared" si="532"/>
        <v>24.7120510272816</v>
      </c>
      <c r="AL217" s="161">
        <f t="shared" si="532"/>
        <v>23.099906519813619</v>
      </c>
      <c r="AM217" s="161">
        <f t="shared" si="533"/>
        <v>2.9646546600067047</v>
      </c>
      <c r="AN217" s="161">
        <f t="shared" si="533"/>
        <v>-0.89287589460358419</v>
      </c>
      <c r="AO217" s="161">
        <f t="shared" si="533"/>
        <v>39.330590580147671</v>
      </c>
      <c r="AP217" s="161">
        <f t="shared" si="533"/>
        <v>17.463610519085758</v>
      </c>
      <c r="AQ217" s="161">
        <f t="shared" si="533"/>
        <v>-0.14169522371932919</v>
      </c>
      <c r="AR217" s="161">
        <f t="shared" si="533"/>
        <v>-7.7860606081523454</v>
      </c>
      <c r="AS217" s="161">
        <f t="shared" si="533"/>
        <v>23.496317988572923</v>
      </c>
      <c r="AT217" s="161">
        <f t="shared" si="533"/>
        <v>21.690135220930774</v>
      </c>
      <c r="AU217" s="161">
        <f t="shared" si="533"/>
        <v>16.492816860355507</v>
      </c>
      <c r="AV217" s="161">
        <f t="shared" si="533"/>
        <v>-13.388586783888822</v>
      </c>
      <c r="AW217" s="161">
        <f t="shared" si="533"/>
        <v>15.776934975184997</v>
      </c>
      <c r="AX217" s="161">
        <f t="shared" si="533"/>
        <v>1.4045434971305948</v>
      </c>
      <c r="AY217" s="161">
        <f t="shared" si="533"/>
        <v>3.0781785037842679</v>
      </c>
      <c r="AZ217" s="161">
        <f t="shared" si="533"/>
        <v>0.27485070421859881</v>
      </c>
      <c r="BA217" s="161">
        <f t="shared" si="533"/>
        <v>2.8525404678196642</v>
      </c>
      <c r="BB217" s="161">
        <f t="shared" si="533"/>
        <v>7.0343456539074811</v>
      </c>
      <c r="BC217" s="161">
        <f t="shared" si="533"/>
        <v>1.2349144999204809</v>
      </c>
      <c r="BD217" s="161">
        <f t="shared" ca="1" si="534"/>
        <v>2.3880626877102351</v>
      </c>
      <c r="BE217" s="161">
        <f t="shared" ca="1" si="534"/>
        <v>2.4024344423865029</v>
      </c>
      <c r="BF217" s="161">
        <f t="shared" ca="1" si="534"/>
        <v>-11.735173178765024</v>
      </c>
      <c r="BG217" s="161">
        <f t="shared" ref="BG217:BN217" si="537">(BG206/BF206-1)*100</f>
        <v>6.9804238156423448</v>
      </c>
      <c r="BH217" s="161">
        <f t="shared" si="537"/>
        <v>3.045421115798308</v>
      </c>
      <c r="BI217" s="161">
        <f t="shared" si="537"/>
        <v>9.7625818334103656</v>
      </c>
      <c r="BJ217" s="161">
        <f t="shared" si="537"/>
        <v>-3.2094914147777653</v>
      </c>
      <c r="BK217" s="161">
        <f t="shared" si="537"/>
        <v>-6.5757041061770387</v>
      </c>
      <c r="BL217" s="161">
        <f t="shared" si="537"/>
        <v>-7.729027041794911</v>
      </c>
      <c r="BM217" s="161">
        <f t="shared" si="537"/>
        <v>8.6015824371945993</v>
      </c>
      <c r="BN217" s="161">
        <f t="shared" si="537"/>
        <v>-3.6525192425741038</v>
      </c>
      <c r="BO217" s="161">
        <f t="shared" si="523"/>
        <v>-22.238269208673735</v>
      </c>
      <c r="BP217" s="161">
        <f t="shared" si="523"/>
        <v>6.2204547948619071</v>
      </c>
      <c r="BQ217" s="161">
        <f t="shared" ref="BQ217:BZ217" si="538">(BQ206/BP206-1)*100</f>
        <v>11.812404824397337</v>
      </c>
      <c r="BR217" s="161">
        <f t="shared" si="538"/>
        <v>-3.5235616028435834</v>
      </c>
      <c r="BS217" s="161">
        <f t="shared" si="538"/>
        <v>2.1913382901207479</v>
      </c>
      <c r="BT217" s="161">
        <f t="shared" ca="1" si="538"/>
        <v>9.557163126635416</v>
      </c>
      <c r="BU217" s="161">
        <f t="shared" ca="1" si="538"/>
        <v>5.8111207113171082</v>
      </c>
      <c r="BV217" s="161">
        <f t="shared" ca="1" si="538"/>
        <v>2.6974864709094382</v>
      </c>
      <c r="BW217" s="161">
        <f t="shared" ca="1" si="538"/>
        <v>5.3842482016910109</v>
      </c>
      <c r="BX217" s="161">
        <f t="shared" ca="1" si="538"/>
        <v>0.48397260003891773</v>
      </c>
      <c r="BY217" s="161">
        <f t="shared" ca="1" si="538"/>
        <v>0.36488323079737484</v>
      </c>
      <c r="BZ217" s="161">
        <f t="shared" ca="1" si="538"/>
        <v>0.26055753962967998</v>
      </c>
      <c r="CA217" s="161">
        <f t="shared" ca="1" si="525"/>
        <v>2.4414830065100368E-2</v>
      </c>
      <c r="CB217" s="161">
        <f t="shared" ca="1" si="525"/>
        <v>-0.22961080506805898</v>
      </c>
      <c r="CC217" s="161">
        <f t="shared" ca="1" si="526"/>
        <v>-0.54077945527780669</v>
      </c>
      <c r="CD217" s="161">
        <f t="shared" ca="1" si="526"/>
        <v>-0.93025575081964185</v>
      </c>
      <c r="CE217" s="161">
        <f t="shared" ca="1" si="526"/>
        <v>-1.4223956073123101</v>
      </c>
      <c r="CF217" s="161">
        <f t="shared" ca="1" si="526"/>
        <v>-2.0476602124781751</v>
      </c>
      <c r="CG217" s="161">
        <f t="shared" ca="1" si="526"/>
        <v>-2.8417580426883027</v>
      </c>
      <c r="CH217" s="162"/>
      <c r="CI217" s="106">
        <f t="shared" si="531"/>
        <v>0</v>
      </c>
      <c r="CJ217" s="106">
        <f t="shared" si="531"/>
        <v>0</v>
      </c>
      <c r="CK217" s="106">
        <f t="shared" si="531"/>
        <v>0</v>
      </c>
      <c r="CL217" s="106">
        <f t="shared" ca="1" si="531"/>
        <v>0</v>
      </c>
      <c r="CM217" s="106">
        <f t="shared" ca="1" si="531"/>
        <v>0.97919252833342796</v>
      </c>
      <c r="CN217" s="106">
        <f t="shared" ca="1" si="531"/>
        <v>1.2545581266249384</v>
      </c>
      <c r="CO217" s="106">
        <f t="shared" ca="1" si="531"/>
        <v>-9.0714186869411684E-2</v>
      </c>
      <c r="CP217" s="106">
        <f t="shared" ca="1" si="531"/>
        <v>8.5958539591146632E-3</v>
      </c>
      <c r="CQ217" s="106">
        <f t="shared" ca="1" si="531"/>
        <v>7.9325598472368419E-2</v>
      </c>
      <c r="CR217" s="106">
        <f t="shared" ca="1" si="531"/>
        <v>-0.81219200321969165</v>
      </c>
      <c r="CS217" s="106">
        <f t="shared" ca="1" si="515"/>
        <v>-0.83982628749394994</v>
      </c>
      <c r="CT217" s="106">
        <f t="shared" ca="1" si="515"/>
        <v>0.10690475961890877</v>
      </c>
      <c r="CU217" s="106">
        <f t="shared" ca="1" si="515"/>
        <v>0.17863863848592842</v>
      </c>
      <c r="CV217" s="106">
        <f t="shared" ca="1" si="516"/>
        <v>0.20659965574584271</v>
      </c>
      <c r="CW217" s="106">
        <f t="shared" ca="1" si="517"/>
        <v>0.2300244537834728</v>
      </c>
      <c r="CX217" s="106">
        <f t="shared" ca="1" si="518"/>
        <v>0.24299903915844245</v>
      </c>
      <c r="CY217" s="106">
        <f t="shared" ca="1" si="519"/>
        <v>0.24170267972106751</v>
      </c>
      <c r="CZ217" s="134"/>
      <c r="DA217" s="384">
        <v>11.812404824397337</v>
      </c>
      <c r="DB217" s="384">
        <v>-3.5235616028435834</v>
      </c>
      <c r="DC217" s="384">
        <v>2.1913382901207479</v>
      </c>
      <c r="DD217" s="384">
        <v>9.557163126635416</v>
      </c>
      <c r="DE217" s="135">
        <v>4.8319281829836802</v>
      </c>
      <c r="DF217" s="135">
        <v>1.4429283442844998</v>
      </c>
      <c r="DG217" s="135">
        <v>5.4749623885604226</v>
      </c>
      <c r="DH217" s="135">
        <v>0.47537674607980307</v>
      </c>
      <c r="DI217" s="135">
        <v>0.28555763232500642</v>
      </c>
      <c r="DJ217" s="135">
        <v>1.0727495428493716</v>
      </c>
      <c r="DK217" s="135">
        <v>0.86424111755905031</v>
      </c>
      <c r="DL217" s="135">
        <v>-0.33651556468696775</v>
      </c>
      <c r="DM217" s="135">
        <v>-0.71941809376373511</v>
      </c>
      <c r="DN217" s="135">
        <v>-1.1368554065654846</v>
      </c>
      <c r="DO217" s="135">
        <v>-1.6524200610957829</v>
      </c>
      <c r="DP217" s="135">
        <v>-2.2906592516366175</v>
      </c>
      <c r="DQ217" s="135">
        <v>-3.0834607224093702</v>
      </c>
    </row>
    <row r="218" spans="1:121" s="123" customFormat="1">
      <c r="A218" s="107" t="s">
        <v>1670</v>
      </c>
      <c r="B218" s="107"/>
      <c r="C218" s="136" t="s">
        <v>1349</v>
      </c>
      <c r="D218" s="147"/>
      <c r="E218" s="107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>
        <f t="shared" ref="BG218:BN218" si="539">(BG207/BF207-1)*100</f>
        <v>2.0146965789089588</v>
      </c>
      <c r="BH218" s="161">
        <f t="shared" si="539"/>
        <v>2.1275580785192982</v>
      </c>
      <c r="BI218" s="161">
        <f t="shared" si="539"/>
        <v>1.5344014199635714</v>
      </c>
      <c r="BJ218" s="161">
        <f t="shared" si="539"/>
        <v>2.6981023576768237</v>
      </c>
      <c r="BK218" s="161">
        <f t="shared" si="539"/>
        <v>1.3931195126321461</v>
      </c>
      <c r="BL218" s="161">
        <f t="shared" si="539"/>
        <v>4.0203225093881079</v>
      </c>
      <c r="BM218" s="161">
        <f t="shared" si="539"/>
        <v>4.2344446803992408</v>
      </c>
      <c r="BN218" s="161">
        <f t="shared" si="539"/>
        <v>8.9240318032239418</v>
      </c>
      <c r="BO218" s="161">
        <f t="shared" si="523"/>
        <v>1.5244115231050959</v>
      </c>
      <c r="BP218" s="161">
        <f t="shared" si="523"/>
        <v>1.493413433317281</v>
      </c>
      <c r="BQ218" s="161">
        <f t="shared" ref="BQ218:BZ218" si="540">(BQ207/BP207-1)*100</f>
        <v>1.3264138195750563</v>
      </c>
      <c r="BR218" s="161">
        <f t="shared" si="540"/>
        <v>1.1484401782653419</v>
      </c>
      <c r="BS218" s="161">
        <f t="shared" si="540"/>
        <v>1.2999999999999901</v>
      </c>
      <c r="BT218" s="161">
        <f t="shared" si="540"/>
        <v>1.2999999999999901</v>
      </c>
      <c r="BU218" s="161">
        <f t="shared" si="540"/>
        <v>1.2999999999999901</v>
      </c>
      <c r="BV218" s="161">
        <f t="shared" si="540"/>
        <v>1.2999999999999901</v>
      </c>
      <c r="BW218" s="161">
        <f t="shared" si="540"/>
        <v>1.2999999999999901</v>
      </c>
      <c r="BX218" s="161">
        <f t="shared" si="540"/>
        <v>1.2999999999999901</v>
      </c>
      <c r="BY218" s="161">
        <f t="shared" si="540"/>
        <v>1.2999999999999901</v>
      </c>
      <c r="BZ218" s="161">
        <f t="shared" si="540"/>
        <v>1.2999999999999678</v>
      </c>
      <c r="CA218" s="161">
        <f t="shared" si="525"/>
        <v>1.2999999999999901</v>
      </c>
      <c r="CB218" s="161">
        <f t="shared" si="525"/>
        <v>1.2999999999999901</v>
      </c>
      <c r="CC218" s="161">
        <f t="shared" si="526"/>
        <v>1.2999999999999901</v>
      </c>
      <c r="CD218" s="161">
        <f t="shared" si="526"/>
        <v>1.2999999999999901</v>
      </c>
      <c r="CE218" s="161">
        <f t="shared" si="526"/>
        <v>1.3000000000000123</v>
      </c>
      <c r="CF218" s="161">
        <f t="shared" si="526"/>
        <v>1.2999999999999901</v>
      </c>
      <c r="CG218" s="161">
        <f t="shared" si="526"/>
        <v>1.2999999999999901</v>
      </c>
      <c r="CH218" s="162"/>
      <c r="CI218" s="106">
        <f t="shared" si="514"/>
        <v>0</v>
      </c>
      <c r="CJ218" s="106">
        <f t="shared" si="514"/>
        <v>0</v>
      </c>
      <c r="CK218" s="106">
        <f t="shared" si="514"/>
        <v>0</v>
      </c>
      <c r="CL218" s="106">
        <f t="shared" si="514"/>
        <v>0</v>
      </c>
      <c r="CM218" s="106">
        <f t="shared" si="514"/>
        <v>0</v>
      </c>
      <c r="CN218" s="106">
        <f t="shared" si="514"/>
        <v>0</v>
      </c>
      <c r="CO218" s="106">
        <f t="shared" si="514"/>
        <v>0</v>
      </c>
      <c r="CP218" s="106">
        <f t="shared" si="514"/>
        <v>0</v>
      </c>
      <c r="CQ218" s="106">
        <f t="shared" si="514"/>
        <v>0</v>
      </c>
      <c r="CR218" s="106">
        <f t="shared" si="514"/>
        <v>0</v>
      </c>
      <c r="CS218" s="106">
        <f t="shared" si="515"/>
        <v>0</v>
      </c>
      <c r="CT218" s="106">
        <f t="shared" si="515"/>
        <v>0</v>
      </c>
      <c r="CU218" s="106">
        <f t="shared" si="515"/>
        <v>0</v>
      </c>
      <c r="CV218" s="106">
        <f t="shared" si="516"/>
        <v>0</v>
      </c>
      <c r="CW218" s="106">
        <f t="shared" si="517"/>
        <v>0</v>
      </c>
      <c r="CX218" s="106">
        <f t="shared" si="518"/>
        <v>0</v>
      </c>
      <c r="CY218" s="106">
        <f t="shared" si="519"/>
        <v>0</v>
      </c>
      <c r="CZ218" s="134"/>
      <c r="DA218" s="384">
        <v>1.3264138195750563</v>
      </c>
      <c r="DB218" s="384">
        <v>1.1484401782653419</v>
      </c>
      <c r="DC218" s="384">
        <v>1.2999999999999901</v>
      </c>
      <c r="DD218" s="384">
        <v>1.2999999999999901</v>
      </c>
      <c r="DE218" s="135">
        <v>1.2999999999999901</v>
      </c>
      <c r="DF218" s="135">
        <v>1.2999999999999901</v>
      </c>
      <c r="DG218" s="135">
        <v>1.2999999999999901</v>
      </c>
      <c r="DH218" s="135">
        <v>1.2999999999999901</v>
      </c>
      <c r="DI218" s="135">
        <v>1.2999999999999901</v>
      </c>
      <c r="DJ218" s="135">
        <v>1.2999999999999678</v>
      </c>
      <c r="DK218" s="135">
        <v>1.2999999999999901</v>
      </c>
      <c r="DL218" s="135">
        <v>1.2999999999999901</v>
      </c>
      <c r="DM218" s="135">
        <v>1.2999999999999901</v>
      </c>
      <c r="DN218" s="135">
        <v>1.2999999999999901</v>
      </c>
      <c r="DO218" s="135">
        <v>1.3000000000000123</v>
      </c>
      <c r="DP218" s="135">
        <v>1.2999999999999901</v>
      </c>
      <c r="DQ218" s="135">
        <v>1.2999999999999901</v>
      </c>
    </row>
    <row r="219" spans="1:121" s="123" customFormat="1">
      <c r="A219" s="107"/>
      <c r="B219" s="107"/>
      <c r="C219" s="136"/>
      <c r="D219" s="147"/>
      <c r="E219" s="107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2"/>
      <c r="CI219" s="106"/>
      <c r="CJ219" s="106"/>
      <c r="CK219" s="106"/>
      <c r="CL219" s="106"/>
      <c r="CM219" s="106"/>
      <c r="CN219" s="106"/>
      <c r="CO219" s="106"/>
      <c r="CP219" s="106"/>
      <c r="CQ219" s="106"/>
      <c r="CR219" s="106"/>
      <c r="CS219" s="106"/>
      <c r="CT219" s="106"/>
      <c r="CU219" s="106"/>
      <c r="CV219" s="106"/>
      <c r="CW219" s="106"/>
      <c r="CX219" s="106"/>
      <c r="CY219" s="106"/>
      <c r="CZ219" s="134"/>
      <c r="DA219" s="384"/>
      <c r="DB219" s="384"/>
      <c r="DC219" s="384"/>
      <c r="DD219" s="384"/>
      <c r="DE219" s="135"/>
      <c r="DF219" s="135"/>
      <c r="DG219" s="135"/>
      <c r="DH219" s="135"/>
      <c r="DI219" s="135"/>
      <c r="DJ219" s="135"/>
      <c r="DK219" s="135"/>
      <c r="DL219" s="135"/>
      <c r="DM219" s="135"/>
      <c r="DN219" s="135"/>
      <c r="DO219" s="135"/>
      <c r="DP219" s="135"/>
      <c r="DQ219" s="135"/>
    </row>
    <row r="220" spans="1:121">
      <c r="A220" s="145" t="s">
        <v>190</v>
      </c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  <c r="BI220" s="164"/>
      <c r="BJ220" s="164"/>
      <c r="BK220" s="164"/>
      <c r="BL220" s="164"/>
      <c r="BM220" s="164"/>
      <c r="BN220" s="164"/>
      <c r="BO220" s="164"/>
      <c r="BP220" s="164"/>
      <c r="BQ220" s="164"/>
      <c r="BR220" s="164"/>
      <c r="BS220" s="164"/>
      <c r="BT220" s="164"/>
      <c r="BU220" s="164"/>
      <c r="BV220" s="164"/>
      <c r="BW220" s="164"/>
      <c r="BX220" s="164"/>
      <c r="BY220" s="164"/>
      <c r="BZ220" s="164"/>
      <c r="CA220" s="164"/>
      <c r="CB220" s="164"/>
      <c r="CC220" s="164"/>
      <c r="CD220" s="164"/>
      <c r="CE220" s="164"/>
      <c r="CF220" s="164"/>
      <c r="CG220" s="164"/>
      <c r="CH220" s="253"/>
      <c r="DA220" s="391"/>
      <c r="DB220" s="391"/>
      <c r="DC220" s="391"/>
      <c r="DD220" s="391"/>
    </row>
    <row r="221" spans="1:121">
      <c r="A221" s="131" t="s">
        <v>827</v>
      </c>
      <c r="C221" s="132" t="s">
        <v>1899</v>
      </c>
      <c r="F221" s="153">
        <f t="shared" ref="F221:BF221" si="541">F202/F$202</f>
        <v>1</v>
      </c>
      <c r="G221" s="153">
        <f t="shared" si="541"/>
        <v>1</v>
      </c>
      <c r="H221" s="153">
        <f t="shared" si="541"/>
        <v>1</v>
      </c>
      <c r="I221" s="153">
        <f t="shared" si="541"/>
        <v>1</v>
      </c>
      <c r="J221" s="153">
        <f t="shared" si="541"/>
        <v>1</v>
      </c>
      <c r="K221" s="153">
        <f t="shared" si="541"/>
        <v>1</v>
      </c>
      <c r="L221" s="153">
        <f t="shared" si="541"/>
        <v>1</v>
      </c>
      <c r="M221" s="153">
        <f t="shared" si="541"/>
        <v>1</v>
      </c>
      <c r="N221" s="153">
        <f t="shared" si="541"/>
        <v>1</v>
      </c>
      <c r="O221" s="153">
        <f t="shared" si="541"/>
        <v>1</v>
      </c>
      <c r="P221" s="153">
        <f t="shared" si="541"/>
        <v>1</v>
      </c>
      <c r="Q221" s="153">
        <f t="shared" si="541"/>
        <v>1</v>
      </c>
      <c r="R221" s="153">
        <f t="shared" si="541"/>
        <v>1</v>
      </c>
      <c r="S221" s="153">
        <f t="shared" si="541"/>
        <v>1</v>
      </c>
      <c r="T221" s="153">
        <f t="shared" si="541"/>
        <v>1</v>
      </c>
      <c r="U221" s="153">
        <f t="shared" si="541"/>
        <v>1</v>
      </c>
      <c r="V221" s="153">
        <f t="shared" si="541"/>
        <v>1</v>
      </c>
      <c r="W221" s="153">
        <f t="shared" si="541"/>
        <v>1</v>
      </c>
      <c r="X221" s="153">
        <f t="shared" si="541"/>
        <v>1</v>
      </c>
      <c r="Y221" s="153">
        <f t="shared" si="541"/>
        <v>1</v>
      </c>
      <c r="Z221" s="153">
        <f t="shared" si="541"/>
        <v>1</v>
      </c>
      <c r="AA221" s="153">
        <f t="shared" si="541"/>
        <v>1</v>
      </c>
      <c r="AB221" s="153">
        <f t="shared" si="541"/>
        <v>1</v>
      </c>
      <c r="AC221" s="153">
        <f t="shared" si="541"/>
        <v>1</v>
      </c>
      <c r="AD221" s="153">
        <f t="shared" si="541"/>
        <v>1</v>
      </c>
      <c r="AE221" s="153">
        <f t="shared" si="541"/>
        <v>1</v>
      </c>
      <c r="AF221" s="153">
        <f t="shared" si="541"/>
        <v>1</v>
      </c>
      <c r="AG221" s="153">
        <f t="shared" si="541"/>
        <v>1</v>
      </c>
      <c r="AH221" s="153">
        <f t="shared" si="541"/>
        <v>1</v>
      </c>
      <c r="AI221" s="153">
        <f t="shared" si="541"/>
        <v>1</v>
      </c>
      <c r="AJ221" s="153">
        <f t="shared" si="541"/>
        <v>1</v>
      </c>
      <c r="AK221" s="153">
        <f t="shared" si="541"/>
        <v>1</v>
      </c>
      <c r="AL221" s="153">
        <f t="shared" si="541"/>
        <v>1</v>
      </c>
      <c r="AM221" s="153">
        <f t="shared" si="541"/>
        <v>1</v>
      </c>
      <c r="AN221" s="153">
        <f t="shared" si="541"/>
        <v>1</v>
      </c>
      <c r="AO221" s="153">
        <f t="shared" si="541"/>
        <v>1</v>
      </c>
      <c r="AP221" s="153">
        <f t="shared" si="541"/>
        <v>1</v>
      </c>
      <c r="AQ221" s="153">
        <f t="shared" si="541"/>
        <v>1</v>
      </c>
      <c r="AR221" s="153">
        <f t="shared" si="541"/>
        <v>1</v>
      </c>
      <c r="AS221" s="153">
        <f t="shared" si="541"/>
        <v>1</v>
      </c>
      <c r="AT221" s="153">
        <f t="shared" si="541"/>
        <v>1</v>
      </c>
      <c r="AU221" s="153">
        <f t="shared" si="541"/>
        <v>1</v>
      </c>
      <c r="AV221" s="153">
        <f t="shared" si="541"/>
        <v>1</v>
      </c>
      <c r="AW221" s="153">
        <f t="shared" si="541"/>
        <v>1</v>
      </c>
      <c r="AX221" s="153">
        <f t="shared" si="541"/>
        <v>1</v>
      </c>
      <c r="AY221" s="153">
        <f t="shared" si="541"/>
        <v>1</v>
      </c>
      <c r="AZ221" s="153">
        <f t="shared" si="541"/>
        <v>1</v>
      </c>
      <c r="BA221" s="153">
        <f t="shared" si="541"/>
        <v>1</v>
      </c>
      <c r="BB221" s="153">
        <f t="shared" si="541"/>
        <v>1</v>
      </c>
      <c r="BC221" s="153">
        <f t="shared" si="541"/>
        <v>1</v>
      </c>
      <c r="BD221" s="153">
        <f t="shared" si="541"/>
        <v>1</v>
      </c>
      <c r="BE221" s="153">
        <f t="shared" si="541"/>
        <v>1</v>
      </c>
      <c r="BF221" s="153">
        <f t="shared" si="541"/>
        <v>1</v>
      </c>
      <c r="BG221" s="153">
        <f t="shared" ref="BG221:BP221" si="542">BG202/BG$202</f>
        <v>1</v>
      </c>
      <c r="BH221" s="153">
        <f t="shared" si="542"/>
        <v>1</v>
      </c>
      <c r="BI221" s="153">
        <f t="shared" si="542"/>
        <v>1</v>
      </c>
      <c r="BJ221" s="153">
        <f t="shared" si="542"/>
        <v>1</v>
      </c>
      <c r="BK221" s="153">
        <f t="shared" si="542"/>
        <v>1</v>
      </c>
      <c r="BL221" s="153">
        <f t="shared" si="542"/>
        <v>1</v>
      </c>
      <c r="BM221" s="153">
        <f t="shared" si="542"/>
        <v>1</v>
      </c>
      <c r="BN221" s="153">
        <f t="shared" si="542"/>
        <v>1</v>
      </c>
      <c r="BO221" s="153">
        <f t="shared" si="542"/>
        <v>1</v>
      </c>
      <c r="BP221" s="153">
        <f t="shared" si="542"/>
        <v>1</v>
      </c>
      <c r="BQ221" s="153">
        <f t="shared" ref="BQ221:BR226" si="543">BQ202/BQ$202</f>
        <v>1</v>
      </c>
      <c r="BR221" s="153">
        <f t="shared" si="543"/>
        <v>1</v>
      </c>
      <c r="BS221" s="153">
        <f t="shared" ref="BS221:BV226" si="544">BS202/BS$202</f>
        <v>1</v>
      </c>
      <c r="BT221" s="153">
        <f t="shared" si="544"/>
        <v>1</v>
      </c>
      <c r="BU221" s="153">
        <f t="shared" si="544"/>
        <v>1</v>
      </c>
      <c r="BV221" s="153">
        <f t="shared" si="544"/>
        <v>1</v>
      </c>
      <c r="BW221" s="153">
        <f t="shared" ref="BW221:BZ222" si="545">BW202/BW$202</f>
        <v>1</v>
      </c>
      <c r="BX221" s="153">
        <f t="shared" si="545"/>
        <v>1</v>
      </c>
      <c r="BY221" s="153">
        <f t="shared" si="545"/>
        <v>1</v>
      </c>
      <c r="BZ221" s="153">
        <f t="shared" si="545"/>
        <v>1</v>
      </c>
      <c r="CA221" s="153">
        <f t="shared" ref="CA221:CG222" si="546">CA202/CA$202</f>
        <v>1</v>
      </c>
      <c r="CB221" s="153">
        <f t="shared" si="546"/>
        <v>1</v>
      </c>
      <c r="CC221" s="153">
        <f t="shared" si="546"/>
        <v>1</v>
      </c>
      <c r="CD221" s="153">
        <f t="shared" si="546"/>
        <v>1</v>
      </c>
      <c r="CE221" s="153">
        <f t="shared" si="546"/>
        <v>1</v>
      </c>
      <c r="CF221" s="153">
        <f t="shared" si="546"/>
        <v>1</v>
      </c>
      <c r="CG221" s="153">
        <f t="shared" si="546"/>
        <v>1</v>
      </c>
      <c r="CH221" s="204"/>
      <c r="CI221" s="153">
        <f t="shared" ref="CI221:CR226" si="547">BQ221-DA221</f>
        <v>0</v>
      </c>
      <c r="CJ221" s="153">
        <f t="shared" si="547"/>
        <v>0</v>
      </c>
      <c r="CK221" s="153">
        <f t="shared" si="547"/>
        <v>0</v>
      </c>
      <c r="CL221" s="153">
        <f t="shared" si="547"/>
        <v>0</v>
      </c>
      <c r="CM221" s="153">
        <f t="shared" si="547"/>
        <v>0</v>
      </c>
      <c r="CN221" s="153">
        <f t="shared" si="547"/>
        <v>0</v>
      </c>
      <c r="CO221" s="153">
        <f t="shared" si="547"/>
        <v>0</v>
      </c>
      <c r="CP221" s="153">
        <f t="shared" si="547"/>
        <v>0</v>
      </c>
      <c r="CQ221" s="153">
        <f t="shared" si="547"/>
        <v>0</v>
      </c>
      <c r="CR221" s="153">
        <f t="shared" si="547"/>
        <v>0</v>
      </c>
      <c r="CS221" s="153">
        <f t="shared" ref="CS221:CU226" si="548">CA221-DK221</f>
        <v>0</v>
      </c>
      <c r="CT221" s="153">
        <f t="shared" si="548"/>
        <v>0</v>
      </c>
      <c r="CU221" s="153">
        <f t="shared" si="548"/>
        <v>0</v>
      </c>
      <c r="CV221" s="153">
        <f t="shared" ref="CV221:CV226" si="549">CD221-DN221</f>
        <v>0</v>
      </c>
      <c r="CW221" s="153">
        <f t="shared" ref="CW221:CW226" si="550">CE221-DO221</f>
        <v>0</v>
      </c>
      <c r="CX221" s="153">
        <f t="shared" ref="CX221:CX226" si="551">CF221-DP221</f>
        <v>0</v>
      </c>
      <c r="CY221" s="153">
        <f t="shared" ref="CY221:CY226" si="552">CG221-DQ221</f>
        <v>0</v>
      </c>
      <c r="DA221" s="382">
        <v>1</v>
      </c>
      <c r="DB221" s="382">
        <v>1</v>
      </c>
      <c r="DC221" s="382">
        <v>1</v>
      </c>
      <c r="DD221" s="382">
        <v>1</v>
      </c>
      <c r="DE221" s="104">
        <v>1</v>
      </c>
      <c r="DF221" s="104">
        <v>1</v>
      </c>
      <c r="DG221" s="104">
        <v>1</v>
      </c>
      <c r="DH221" s="104">
        <v>1</v>
      </c>
      <c r="DI221" s="104">
        <v>1</v>
      </c>
      <c r="DJ221" s="104">
        <v>1</v>
      </c>
      <c r="DK221" s="104">
        <v>1</v>
      </c>
      <c r="DL221" s="104">
        <v>1</v>
      </c>
      <c r="DM221" s="104">
        <v>1</v>
      </c>
      <c r="DN221" s="104">
        <v>1</v>
      </c>
      <c r="DO221" s="104">
        <v>1</v>
      </c>
      <c r="DP221" s="104">
        <v>1</v>
      </c>
      <c r="DQ221" s="104">
        <v>1</v>
      </c>
    </row>
    <row r="222" spans="1:121">
      <c r="A222" s="107" t="s">
        <v>1666</v>
      </c>
      <c r="C222" s="132" t="s">
        <v>1899</v>
      </c>
      <c r="F222" s="153">
        <f t="shared" ref="F222:BF222" si="553">F203/F$202</f>
        <v>7.0397090230791853E-2</v>
      </c>
      <c r="G222" s="153">
        <f t="shared" si="553"/>
        <v>7.8372417566129907E-2</v>
      </c>
      <c r="H222" s="153">
        <f t="shared" si="553"/>
        <v>8.4586781450086718E-2</v>
      </c>
      <c r="I222" s="153">
        <f t="shared" si="553"/>
        <v>9.2535051038682856E-2</v>
      </c>
      <c r="J222" s="153">
        <f t="shared" si="553"/>
        <v>8.9633091429384013E-2</v>
      </c>
      <c r="K222" s="153">
        <f t="shared" si="553"/>
        <v>9.4852605227230963E-2</v>
      </c>
      <c r="L222" s="153">
        <f t="shared" si="553"/>
        <v>9.86467255010261E-2</v>
      </c>
      <c r="M222" s="153">
        <f t="shared" si="553"/>
        <v>0.100989184076588</v>
      </c>
      <c r="N222" s="153">
        <f t="shared" si="553"/>
        <v>0.10600714557938033</v>
      </c>
      <c r="O222" s="153">
        <f t="shared" si="553"/>
        <v>0.11057694934450349</v>
      </c>
      <c r="P222" s="153">
        <f t="shared" si="553"/>
        <v>0.11306903924634804</v>
      </c>
      <c r="Q222" s="153">
        <f t="shared" si="553"/>
        <v>0.11670717563396238</v>
      </c>
      <c r="R222" s="153">
        <f t="shared" si="553"/>
        <v>0.11848191282448378</v>
      </c>
      <c r="S222" s="153">
        <f t="shared" si="553"/>
        <v>0.12808826199763712</v>
      </c>
      <c r="T222" s="153">
        <f t="shared" si="553"/>
        <v>0.12836152823142505</v>
      </c>
      <c r="U222" s="153">
        <f t="shared" si="553"/>
        <v>0.14016990423173054</v>
      </c>
      <c r="V222" s="153">
        <f t="shared" si="553"/>
        <v>0.16232492630818296</v>
      </c>
      <c r="W222" s="153">
        <f t="shared" si="553"/>
        <v>0.16213606105051301</v>
      </c>
      <c r="X222" s="153">
        <f t="shared" si="553"/>
        <v>0.15712345500421004</v>
      </c>
      <c r="Y222" s="153">
        <f t="shared" si="553"/>
        <v>0.1675168514179747</v>
      </c>
      <c r="Z222" s="153">
        <f t="shared" si="553"/>
        <v>0.18877713273406976</v>
      </c>
      <c r="AA222" s="153">
        <f t="shared" si="553"/>
        <v>0.20399075032637079</v>
      </c>
      <c r="AB222" s="153">
        <f t="shared" si="553"/>
        <v>0.23327888259868768</v>
      </c>
      <c r="AC222" s="153">
        <f t="shared" si="553"/>
        <v>0.25108568522991459</v>
      </c>
      <c r="AD222" s="153">
        <f t="shared" si="553"/>
        <v>0.26890551814853442</v>
      </c>
      <c r="AE222" s="153">
        <f t="shared" si="553"/>
        <v>0.27476304443785315</v>
      </c>
      <c r="AF222" s="153">
        <f t="shared" si="553"/>
        <v>0.25005707651846609</v>
      </c>
      <c r="AG222" s="153">
        <f t="shared" si="553"/>
        <v>0.25232722941952762</v>
      </c>
      <c r="AH222" s="153">
        <f t="shared" si="553"/>
        <v>0.24627713561981876</v>
      </c>
      <c r="AI222" s="153">
        <f t="shared" si="553"/>
        <v>0.2527074356811248</v>
      </c>
      <c r="AJ222" s="153">
        <f t="shared" si="553"/>
        <v>0.2476319123861461</v>
      </c>
      <c r="AK222" s="153">
        <f t="shared" si="553"/>
        <v>0.24828806959952404</v>
      </c>
      <c r="AL222" s="153">
        <f t="shared" si="553"/>
        <v>0.24572259762510959</v>
      </c>
      <c r="AM222" s="153">
        <f t="shared" si="553"/>
        <v>0.26074237088353153</v>
      </c>
      <c r="AN222" s="153">
        <f t="shared" si="553"/>
        <v>0.27515000573945708</v>
      </c>
      <c r="AO222" s="153">
        <f t="shared" si="553"/>
        <v>0.2756483032341559</v>
      </c>
      <c r="AP222" s="153">
        <f t="shared" si="553"/>
        <v>0.26880685701538959</v>
      </c>
      <c r="AQ222" s="153">
        <f t="shared" si="553"/>
        <v>0.26456661374882545</v>
      </c>
      <c r="AR222" s="153">
        <f t="shared" si="553"/>
        <v>0.26310451180062017</v>
      </c>
      <c r="AS222" s="153">
        <f t="shared" si="553"/>
        <v>0.25018410321407825</v>
      </c>
      <c r="AT222" s="153">
        <f t="shared" si="553"/>
        <v>0.23656181521017941</v>
      </c>
      <c r="AU222" s="153">
        <f t="shared" si="553"/>
        <v>0.22587148223395873</v>
      </c>
      <c r="AV222" s="153">
        <f t="shared" si="553"/>
        <v>0.22039148253642074</v>
      </c>
      <c r="AW222" s="153">
        <f t="shared" si="553"/>
        <v>0.2037340214441381</v>
      </c>
      <c r="AX222" s="153">
        <f t="shared" si="553"/>
        <v>0.20639058694189932</v>
      </c>
      <c r="AY222" s="153">
        <f t="shared" si="553"/>
        <v>0.20421362517786584</v>
      </c>
      <c r="AZ222" s="153">
        <f t="shared" si="553"/>
        <v>0.20492766332356693</v>
      </c>
      <c r="BA222" s="153">
        <f t="shared" si="553"/>
        <v>0.20588836562881258</v>
      </c>
      <c r="BB222" s="153">
        <f t="shared" si="553"/>
        <v>0.16753593337070782</v>
      </c>
      <c r="BC222" s="153">
        <f t="shared" si="553"/>
        <v>0.16545926187157256</v>
      </c>
      <c r="BD222" s="153">
        <f t="shared" si="553"/>
        <v>0.16506693566885347</v>
      </c>
      <c r="BE222" s="153">
        <f t="shared" si="553"/>
        <v>0.16755054760353233</v>
      </c>
      <c r="BF222" s="153">
        <f t="shared" si="553"/>
        <v>0.16904042114740717</v>
      </c>
      <c r="BG222" s="153">
        <f t="shared" ref="BG222:BI226" si="554">BG203/BG$202</f>
        <v>0.16918631516223051</v>
      </c>
      <c r="BH222" s="153">
        <f t="shared" si="554"/>
        <v>0.17053052700208854</v>
      </c>
      <c r="BI222" s="153">
        <f t="shared" si="554"/>
        <v>0.16693684311610307</v>
      </c>
      <c r="BJ222" s="153">
        <f t="shared" ref="BJ222:BP226" si="555">BJ203/BJ$202</f>
        <v>0.17744257012929093</v>
      </c>
      <c r="BK222" s="153">
        <f t="shared" si="555"/>
        <v>0.18691772202720638</v>
      </c>
      <c r="BL222" s="153">
        <f t="shared" si="555"/>
        <v>0.18831031077077101</v>
      </c>
      <c r="BM222" s="153">
        <f t="shared" si="555"/>
        <v>0.18749607238739185</v>
      </c>
      <c r="BN222" s="153">
        <f t="shared" si="555"/>
        <v>0.18647845642396196</v>
      </c>
      <c r="BO222" s="153">
        <f t="shared" si="555"/>
        <v>0.2139719449506351</v>
      </c>
      <c r="BP222" s="153">
        <f t="shared" si="555"/>
        <v>0.21257853707306529</v>
      </c>
      <c r="BQ222" s="153">
        <f t="shared" si="543"/>
        <v>0.21082959935682705</v>
      </c>
      <c r="BR222" s="153">
        <f t="shared" si="543"/>
        <v>0.20793747687265426</v>
      </c>
      <c r="BS222" s="153">
        <f t="shared" si="544"/>
        <v>0.20526898013095191</v>
      </c>
      <c r="BT222" s="153">
        <f t="shared" si="544"/>
        <v>0.20263472865839283</v>
      </c>
      <c r="BU222" s="153">
        <f t="shared" si="544"/>
        <v>0.20003428297965731</v>
      </c>
      <c r="BV222" s="153">
        <f t="shared" si="544"/>
        <v>0.18364450461113652</v>
      </c>
      <c r="BW222" s="153">
        <f t="shared" si="545"/>
        <v>0.15953323204126371</v>
      </c>
      <c r="BX222" s="153">
        <f t="shared" si="545"/>
        <v>0.15748591514438667</v>
      </c>
      <c r="BY222" s="153">
        <f t="shared" si="545"/>
        <v>0.1554648718108457</v>
      </c>
      <c r="BZ222" s="153">
        <f t="shared" si="545"/>
        <v>0.15346976486756736</v>
      </c>
      <c r="CA222" s="153">
        <f t="shared" si="546"/>
        <v>0.15150026146847717</v>
      </c>
      <c r="CB222" s="153">
        <f t="shared" si="546"/>
        <v>0.14955603303897058</v>
      </c>
      <c r="CC222" s="153">
        <f t="shared" si="546"/>
        <v>0.14763675522109634</v>
      </c>
      <c r="CD222" s="153">
        <f t="shared" si="546"/>
        <v>0.14574210781944361</v>
      </c>
      <c r="CE222" s="153">
        <f t="shared" si="546"/>
        <v>0.14387177474772322</v>
      </c>
      <c r="CF222" s="153">
        <f t="shared" si="546"/>
        <v>0.14202544397603475</v>
      </c>
      <c r="CG222" s="153">
        <f t="shared" si="546"/>
        <v>0.14020280747881023</v>
      </c>
      <c r="CH222" s="204"/>
      <c r="CI222" s="153">
        <f t="shared" si="547"/>
        <v>0</v>
      </c>
      <c r="CJ222" s="153">
        <f t="shared" si="547"/>
        <v>0</v>
      </c>
      <c r="CK222" s="153">
        <f t="shared" si="547"/>
        <v>0</v>
      </c>
      <c r="CL222" s="153">
        <f t="shared" si="547"/>
        <v>0</v>
      </c>
      <c r="CM222" s="153">
        <f t="shared" si="547"/>
        <v>0</v>
      </c>
      <c r="CN222" s="153">
        <f t="shared" si="547"/>
        <v>0</v>
      </c>
      <c r="CO222" s="153">
        <f t="shared" si="547"/>
        <v>0</v>
      </c>
      <c r="CP222" s="153">
        <f t="shared" si="547"/>
        <v>0</v>
      </c>
      <c r="CQ222" s="153">
        <f t="shared" si="547"/>
        <v>0</v>
      </c>
      <c r="CR222" s="153">
        <f t="shared" si="547"/>
        <v>0</v>
      </c>
      <c r="CS222" s="153">
        <f t="shared" si="548"/>
        <v>0</v>
      </c>
      <c r="CT222" s="153">
        <f t="shared" si="548"/>
        <v>0</v>
      </c>
      <c r="CU222" s="153">
        <f t="shared" si="548"/>
        <v>0</v>
      </c>
      <c r="CV222" s="153">
        <f t="shared" si="549"/>
        <v>0</v>
      </c>
      <c r="CW222" s="153">
        <f t="shared" si="550"/>
        <v>0</v>
      </c>
      <c r="CX222" s="153">
        <f t="shared" si="551"/>
        <v>0</v>
      </c>
      <c r="CY222" s="153">
        <f t="shared" si="552"/>
        <v>0</v>
      </c>
      <c r="DA222" s="382">
        <v>0.21082959935682705</v>
      </c>
      <c r="DB222" s="382">
        <v>0.20793747687265426</v>
      </c>
      <c r="DC222" s="382">
        <v>0.20526898013095191</v>
      </c>
      <c r="DD222" s="382">
        <v>0.20263472865839283</v>
      </c>
      <c r="DE222" s="104">
        <v>0.20003428297965731</v>
      </c>
      <c r="DF222" s="104">
        <v>0.18364450461113652</v>
      </c>
      <c r="DG222" s="104">
        <v>0.15953323204126371</v>
      </c>
      <c r="DH222" s="104">
        <v>0.15748591514438667</v>
      </c>
      <c r="DI222" s="104">
        <v>0.1554648718108457</v>
      </c>
      <c r="DJ222" s="104">
        <v>0.15346976486756736</v>
      </c>
      <c r="DK222" s="104">
        <v>0.15150026146847717</v>
      </c>
      <c r="DL222" s="104">
        <v>0.14955603303897058</v>
      </c>
      <c r="DM222" s="104">
        <v>0.14763675522109634</v>
      </c>
      <c r="DN222" s="104">
        <v>0.14574210781944361</v>
      </c>
      <c r="DO222" s="104">
        <v>0.14387177474772322</v>
      </c>
      <c r="DP222" s="104">
        <v>0.14202544397603475</v>
      </c>
      <c r="DQ222" s="104">
        <v>0.14020280747881023</v>
      </c>
    </row>
    <row r="223" spans="1:121">
      <c r="A223" s="107" t="s">
        <v>1667</v>
      </c>
      <c r="C223" s="132" t="s">
        <v>1899</v>
      </c>
      <c r="F223" s="153">
        <f t="shared" ref="F223:BF223" si="556">F204/F$202</f>
        <v>0.51411208320063151</v>
      </c>
      <c r="G223" s="153">
        <f t="shared" si="556"/>
        <v>0.51354557826227232</v>
      </c>
      <c r="H223" s="153">
        <f t="shared" si="556"/>
        <v>0.65583103022053302</v>
      </c>
      <c r="I223" s="153">
        <f t="shared" si="556"/>
        <v>0.65835343478829367</v>
      </c>
      <c r="J223" s="153">
        <f t="shared" si="556"/>
        <v>0.66947222514027371</v>
      </c>
      <c r="K223" s="153">
        <f t="shared" si="556"/>
        <v>0.68319095455898715</v>
      </c>
      <c r="L223" s="153">
        <f t="shared" si="556"/>
        <v>0.69936951977391182</v>
      </c>
      <c r="M223" s="153">
        <f t="shared" si="556"/>
        <v>0.68346534571261019</v>
      </c>
      <c r="N223" s="153">
        <f t="shared" si="556"/>
        <v>0.66646304110343502</v>
      </c>
      <c r="O223" s="153">
        <f t="shared" si="556"/>
        <v>0.64975159816479766</v>
      </c>
      <c r="P223" s="153">
        <f t="shared" si="556"/>
        <v>0.63225694664224308</v>
      </c>
      <c r="Q223" s="153">
        <f t="shared" si="556"/>
        <v>0.62885516868995006</v>
      </c>
      <c r="R223" s="153">
        <f t="shared" si="556"/>
        <v>0.61361699004564263</v>
      </c>
      <c r="S223" s="153">
        <f t="shared" si="556"/>
        <v>0.60015468428800989</v>
      </c>
      <c r="T223" s="153">
        <f t="shared" si="556"/>
        <v>0.59425314935572326</v>
      </c>
      <c r="U223" s="153">
        <f t="shared" si="556"/>
        <v>0.58218899445767791</v>
      </c>
      <c r="V223" s="153">
        <f t="shared" si="556"/>
        <v>0.59182433177725935</v>
      </c>
      <c r="W223" s="153">
        <f t="shared" si="556"/>
        <v>0.55693530016161097</v>
      </c>
      <c r="X223" s="153">
        <f t="shared" si="556"/>
        <v>0.54527703412056217</v>
      </c>
      <c r="Y223" s="153">
        <f t="shared" si="556"/>
        <v>0.52688344736969706</v>
      </c>
      <c r="Z223" s="153">
        <f t="shared" si="556"/>
        <v>0.52411882288186296</v>
      </c>
      <c r="AA223" s="153">
        <f t="shared" si="556"/>
        <v>0.57911671503866169</v>
      </c>
      <c r="AB223" s="153">
        <f t="shared" si="556"/>
        <v>0.58244538695614723</v>
      </c>
      <c r="AC223" s="153">
        <f t="shared" si="556"/>
        <v>0.5792083114025175</v>
      </c>
      <c r="AD223" s="153">
        <f t="shared" si="556"/>
        <v>0.57280105088505406</v>
      </c>
      <c r="AE223" s="153">
        <f t="shared" si="556"/>
        <v>0.56378171682422651</v>
      </c>
      <c r="AF223" s="153">
        <f t="shared" si="556"/>
        <v>0.583227090397894</v>
      </c>
      <c r="AG223" s="153">
        <f t="shared" si="556"/>
        <v>0.58334362461687195</v>
      </c>
      <c r="AH223" s="153">
        <f t="shared" si="556"/>
        <v>0.57033468283236399</v>
      </c>
      <c r="AI223" s="153">
        <f t="shared" si="556"/>
        <v>0.54608378622440235</v>
      </c>
      <c r="AJ223" s="153">
        <f t="shared" si="556"/>
        <v>0.51484239849744518</v>
      </c>
      <c r="AK223" s="153">
        <f t="shared" si="556"/>
        <v>0.48435045661772819</v>
      </c>
      <c r="AL223" s="153">
        <f t="shared" si="556"/>
        <v>0.44267670939676712</v>
      </c>
      <c r="AM223" s="153">
        <f t="shared" si="556"/>
        <v>0.41103848679225002</v>
      </c>
      <c r="AN223" s="153">
        <f t="shared" si="556"/>
        <v>0.3810895147059748</v>
      </c>
      <c r="AO223" s="153">
        <f t="shared" si="556"/>
        <v>0.34593707059581807</v>
      </c>
      <c r="AP223" s="153">
        <f t="shared" si="556"/>
        <v>0.32916388533322782</v>
      </c>
      <c r="AQ223" s="153">
        <f t="shared" si="556"/>
        <v>0.33407860929772315</v>
      </c>
      <c r="AR223" s="153">
        <f t="shared" si="556"/>
        <v>0.33643242204293178</v>
      </c>
      <c r="AS223" s="153">
        <f t="shared" si="556"/>
        <v>0.3187406266389563</v>
      </c>
      <c r="AT223" s="153">
        <f t="shared" si="556"/>
        <v>0.29036747269946889</v>
      </c>
      <c r="AU223" s="153">
        <f t="shared" si="556"/>
        <v>0.2681830894141739</v>
      </c>
      <c r="AV223" s="153">
        <f t="shared" si="556"/>
        <v>0.31665917546449068</v>
      </c>
      <c r="AW223" s="153">
        <f t="shared" si="556"/>
        <v>0.28930343265927971</v>
      </c>
      <c r="AX223" s="153">
        <f t="shared" si="556"/>
        <v>0.28476661367887157</v>
      </c>
      <c r="AY223" s="153">
        <f t="shared" si="556"/>
        <v>0.27029537899340844</v>
      </c>
      <c r="AZ223" s="153">
        <f t="shared" si="556"/>
        <v>0.2706179851928121</v>
      </c>
      <c r="BA223" s="153">
        <f t="shared" si="556"/>
        <v>0.25981288365135879</v>
      </c>
      <c r="BB223" s="153">
        <f t="shared" si="556"/>
        <v>0.27788667961238783</v>
      </c>
      <c r="BC223" s="153">
        <f t="shared" si="556"/>
        <v>0.28428417751309804</v>
      </c>
      <c r="BD223" s="153">
        <f t="shared" si="556"/>
        <v>0.29963208450165429</v>
      </c>
      <c r="BE223" s="153">
        <f t="shared" si="556"/>
        <v>0.30452497111405868</v>
      </c>
      <c r="BF223" s="153">
        <f t="shared" si="556"/>
        <v>0.30121733204508383</v>
      </c>
      <c r="BG223" s="153">
        <f t="shared" si="554"/>
        <v>0.29699837192742179</v>
      </c>
      <c r="BH223" s="153">
        <f t="shared" si="554"/>
        <v>0.29950147759374762</v>
      </c>
      <c r="BI223" s="153">
        <f t="shared" si="554"/>
        <v>0.28423170114523366</v>
      </c>
      <c r="BJ223" s="153">
        <f t="shared" si="555"/>
        <v>0.30582681189870831</v>
      </c>
      <c r="BK223" s="153">
        <f t="shared" si="555"/>
        <v>0.32559989614074297</v>
      </c>
      <c r="BL223" s="153">
        <f t="shared" si="555"/>
        <v>0.35288135781338348</v>
      </c>
      <c r="BM223" s="153">
        <f t="shared" si="555"/>
        <v>0.34440639661855843</v>
      </c>
      <c r="BN223" s="153">
        <f t="shared" si="555"/>
        <v>0.37799959025268587</v>
      </c>
      <c r="BO223" s="153">
        <f t="shared" si="555"/>
        <v>0.38611529579037102</v>
      </c>
      <c r="BP223" s="153">
        <f t="shared" si="555"/>
        <v>0.36427444424108768</v>
      </c>
      <c r="BQ223" s="153">
        <f t="shared" ref="BQ223:CB223" si="557">BQ204/BQ$202</f>
        <v>0.35260881245168935</v>
      </c>
      <c r="BR223" s="153">
        <f t="shared" si="557"/>
        <v>0.35365104436970124</v>
      </c>
      <c r="BS223" s="153">
        <f t="shared" si="557"/>
        <v>0.35246196028371213</v>
      </c>
      <c r="BT223" s="153">
        <f t="shared" ca="1" si="557"/>
        <v>0.31904598696989644</v>
      </c>
      <c r="BU223" s="153">
        <f t="shared" ca="1" si="557"/>
        <v>0.30034578081890245</v>
      </c>
      <c r="BV223" s="153">
        <f t="shared" ca="1" si="557"/>
        <v>0.30984304091063986</v>
      </c>
      <c r="BW223" s="153">
        <f t="shared" ca="1" si="557"/>
        <v>0.31353257032812587</v>
      </c>
      <c r="BX223" s="153">
        <f t="shared" ca="1" si="557"/>
        <v>0.3198246329628418</v>
      </c>
      <c r="BY223" s="153">
        <f t="shared" ca="1" si="557"/>
        <v>0.32667070760487499</v>
      </c>
      <c r="BZ223" s="153">
        <f t="shared" ca="1" si="557"/>
        <v>0.33397963752416876</v>
      </c>
      <c r="CA223" s="153">
        <f t="shared" ca="1" si="557"/>
        <v>0.34240325682800093</v>
      </c>
      <c r="CB223" s="153">
        <f t="shared" ca="1" si="557"/>
        <v>0.35198944623303202</v>
      </c>
      <c r="CC223" s="153">
        <f t="shared" ref="CC223:CG226" ca="1" si="558">CC204/CC$202</f>
        <v>0.36296642238403987</v>
      </c>
      <c r="CD223" s="153">
        <f t="shared" ca="1" si="558"/>
        <v>0.37563579908064809</v>
      </c>
      <c r="CE223" s="153">
        <f t="shared" ca="1" si="558"/>
        <v>0.3903689029699185</v>
      </c>
      <c r="CF223" s="153">
        <f t="shared" ca="1" si="558"/>
        <v>0.4076071779844051</v>
      </c>
      <c r="CG223" s="153">
        <f t="shared" ca="1" si="558"/>
        <v>0.42784356285438174</v>
      </c>
      <c r="CH223" s="204"/>
      <c r="CI223" s="153">
        <f t="shared" ref="CI223:CR225" si="559">BQ223-DA223</f>
        <v>0</v>
      </c>
      <c r="CJ223" s="153">
        <f t="shared" si="559"/>
        <v>0</v>
      </c>
      <c r="CK223" s="153">
        <f t="shared" si="559"/>
        <v>0</v>
      </c>
      <c r="CL223" s="153">
        <f t="shared" ca="1" si="559"/>
        <v>0</v>
      </c>
      <c r="CM223" s="153">
        <f t="shared" ca="1" si="559"/>
        <v>-4.6235604088309956E-3</v>
      </c>
      <c r="CN223" s="153">
        <f t="shared" ca="1" si="559"/>
        <v>-1.0817667901617478E-2</v>
      </c>
      <c r="CO223" s="153">
        <f t="shared" ca="1" si="559"/>
        <v>-1.0809923490699092E-2</v>
      </c>
      <c r="CP223" s="153">
        <f t="shared" ca="1" si="559"/>
        <v>-1.0766639533397682E-2</v>
      </c>
      <c r="CQ223" s="153">
        <f t="shared" ca="1" si="559"/>
        <v>-1.1068125399996021E-2</v>
      </c>
      <c r="CR223" s="153">
        <f t="shared" ca="1" si="559"/>
        <v>-6.8912194009091432E-3</v>
      </c>
      <c r="CS223" s="153">
        <f t="shared" ca="1" si="548"/>
        <v>-2.612281833219654E-3</v>
      </c>
      <c r="CT223" s="153">
        <f t="shared" ca="1" si="548"/>
        <v>-3.104178011315184E-3</v>
      </c>
      <c r="CU223" s="153">
        <f t="shared" ca="1" si="548"/>
        <v>-3.9213014435727778E-3</v>
      </c>
      <c r="CV223" s="153">
        <f t="shared" ca="1" si="549"/>
        <v>-4.8250879233984745E-3</v>
      </c>
      <c r="CW223" s="153">
        <f t="shared" ca="1" si="550"/>
        <v>-5.7712784382297766E-3</v>
      </c>
      <c r="CX223" s="153">
        <f t="shared" ca="1" si="551"/>
        <v>-6.6839770905071094E-3</v>
      </c>
      <c r="CY223" s="153">
        <f t="shared" ca="1" si="552"/>
        <v>-7.4693280390302763E-3</v>
      </c>
      <c r="DA223" s="382">
        <v>0.35260881245168935</v>
      </c>
      <c r="DB223" s="382">
        <v>0.35365104436970124</v>
      </c>
      <c r="DC223" s="382">
        <v>0.35246196028371213</v>
      </c>
      <c r="DD223" s="382">
        <v>0.31904598696989644</v>
      </c>
      <c r="DE223" s="104">
        <v>0.30496934122773345</v>
      </c>
      <c r="DF223" s="104">
        <v>0.32066070881225733</v>
      </c>
      <c r="DG223" s="104">
        <v>0.32434249381882496</v>
      </c>
      <c r="DH223" s="104">
        <v>0.33059127249623949</v>
      </c>
      <c r="DI223" s="104">
        <v>0.33773883300487101</v>
      </c>
      <c r="DJ223" s="104">
        <v>0.3408708569250779</v>
      </c>
      <c r="DK223" s="104">
        <v>0.34501553866122059</v>
      </c>
      <c r="DL223" s="104">
        <v>0.35509362424434721</v>
      </c>
      <c r="DM223" s="104">
        <v>0.36688772382761264</v>
      </c>
      <c r="DN223" s="104">
        <v>0.38046088700404657</v>
      </c>
      <c r="DO223" s="104">
        <v>0.39614018140814827</v>
      </c>
      <c r="DP223" s="104">
        <v>0.41429115507491221</v>
      </c>
      <c r="DQ223" s="104">
        <v>0.43531289089341202</v>
      </c>
    </row>
    <row r="224" spans="1:121">
      <c r="A224" s="107" t="s">
        <v>1668</v>
      </c>
      <c r="C224" s="132" t="s">
        <v>1899</v>
      </c>
      <c r="F224" s="153">
        <f t="shared" ref="F224:BF224" si="560">F205/F$202</f>
        <v>4.2646592052936472E-2</v>
      </c>
      <c r="G224" s="153">
        <f t="shared" si="560"/>
        <v>3.1153578727810643E-2</v>
      </c>
      <c r="H224" s="153">
        <f t="shared" si="560"/>
        <v>1.6913128599237926E-2</v>
      </c>
      <c r="I224" s="153">
        <f t="shared" si="560"/>
        <v>1.388457914354875E-2</v>
      </c>
      <c r="J224" s="153">
        <f t="shared" si="560"/>
        <v>2.4488323165063559E-2</v>
      </c>
      <c r="K224" s="153">
        <f t="shared" si="560"/>
        <v>2.2914330610049827E-2</v>
      </c>
      <c r="L224" s="153">
        <f t="shared" si="560"/>
        <v>1.6906118861931E-2</v>
      </c>
      <c r="M224" s="153">
        <f t="shared" si="560"/>
        <v>2.4480529379285222E-2</v>
      </c>
      <c r="N224" s="153">
        <f t="shared" si="560"/>
        <v>3.138589775456687E-2</v>
      </c>
      <c r="O224" s="153">
        <f t="shared" si="560"/>
        <v>3.7717824025235644E-2</v>
      </c>
      <c r="P224" s="153">
        <f t="shared" si="560"/>
        <v>4.3426062916298087E-2</v>
      </c>
      <c r="Q224" s="153">
        <f t="shared" si="560"/>
        <v>3.5218957094064848E-2</v>
      </c>
      <c r="R224" s="153">
        <f t="shared" si="560"/>
        <v>3.278789358921063E-2</v>
      </c>
      <c r="S224" s="153">
        <f t="shared" si="560"/>
        <v>3.1721418284652379E-2</v>
      </c>
      <c r="T224" s="153">
        <f t="shared" si="560"/>
        <v>3.2287015449342857E-2</v>
      </c>
      <c r="U224" s="153">
        <f t="shared" si="560"/>
        <v>3.8788202958051257E-2</v>
      </c>
      <c r="V224" s="153">
        <f t="shared" si="560"/>
        <v>3.5065573901160739E-2</v>
      </c>
      <c r="W224" s="153">
        <f t="shared" si="560"/>
        <v>4.6009674670915851E-2</v>
      </c>
      <c r="X224" s="153">
        <f t="shared" si="560"/>
        <v>5.5560650855958342E-2</v>
      </c>
      <c r="Y224" s="153">
        <f t="shared" si="560"/>
        <v>6.9770203400800382E-2</v>
      </c>
      <c r="Z224" s="153">
        <f t="shared" si="560"/>
        <v>7.8963333248146514E-2</v>
      </c>
      <c r="AA224" s="153">
        <f t="shared" si="560"/>
        <v>6.790951143507408E-2</v>
      </c>
      <c r="AB224" s="153">
        <f t="shared" si="560"/>
        <v>5.8514589647504139E-2</v>
      </c>
      <c r="AC224" s="153">
        <f t="shared" si="560"/>
        <v>4.9094007251978745E-2</v>
      </c>
      <c r="AD224" s="153">
        <f t="shared" si="560"/>
        <v>4.0912978576526045E-2</v>
      </c>
      <c r="AE224" s="153">
        <f t="shared" si="560"/>
        <v>6.0278805824693686E-2</v>
      </c>
      <c r="AF224" s="153">
        <f t="shared" si="560"/>
        <v>8.3353417185894646E-2</v>
      </c>
      <c r="AG224" s="153">
        <f t="shared" si="560"/>
        <v>8.4746550147330305E-2</v>
      </c>
      <c r="AH224" s="153">
        <f t="shared" si="560"/>
        <v>8.4075133097376589E-2</v>
      </c>
      <c r="AI224" s="153">
        <f t="shared" si="560"/>
        <v>0.10340607617594944</v>
      </c>
      <c r="AJ224" s="153">
        <f t="shared" si="560"/>
        <v>0.11419049528920164</v>
      </c>
      <c r="AK224" s="153">
        <f t="shared" si="560"/>
        <v>0.11719851733897457</v>
      </c>
      <c r="AL224" s="153">
        <f t="shared" si="560"/>
        <v>0.13103607796000699</v>
      </c>
      <c r="AM224" s="153">
        <f t="shared" si="560"/>
        <v>0.14447778619219026</v>
      </c>
      <c r="AN224" s="153">
        <f t="shared" si="560"/>
        <v>0.16303578207659639</v>
      </c>
      <c r="AO224" s="153">
        <f t="shared" si="560"/>
        <v>0.12912160631183001</v>
      </c>
      <c r="AP224" s="153">
        <f t="shared" si="560"/>
        <v>0.10968694090418427</v>
      </c>
      <c r="AQ224" s="153">
        <f t="shared" si="560"/>
        <v>0.10981066221563909</v>
      </c>
      <c r="AR224" s="153">
        <f t="shared" si="560"/>
        <v>0.13235934512542313</v>
      </c>
      <c r="AS224" s="153">
        <f t="shared" si="560"/>
        <v>0.10039848173877082</v>
      </c>
      <c r="AT224" s="153">
        <f t="shared" si="560"/>
        <v>7.1853993805861147E-2</v>
      </c>
      <c r="AU224" s="153">
        <f t="shared" si="560"/>
        <v>4.2961267099837615E-2</v>
      </c>
      <c r="AV224" s="153">
        <f t="shared" si="560"/>
        <v>6.6377047618090157E-2</v>
      </c>
      <c r="AW224" s="153">
        <f t="shared" si="560"/>
        <v>8.2849856404299066E-2</v>
      </c>
      <c r="AX224" s="153">
        <f t="shared" si="560"/>
        <v>8.5128970124989975E-2</v>
      </c>
      <c r="AY224" s="153">
        <f t="shared" si="560"/>
        <v>9.5189028081036714E-2</v>
      </c>
      <c r="AZ224" s="153">
        <f t="shared" si="560"/>
        <v>9.8055777201553868E-2</v>
      </c>
      <c r="BA224" s="153">
        <f t="shared" si="560"/>
        <v>0.10212785295037888</v>
      </c>
      <c r="BB224" s="153">
        <f t="shared" si="560"/>
        <v>9.7508298922331899E-2</v>
      </c>
      <c r="BC224" s="153">
        <f t="shared" si="560"/>
        <v>9.4298696215040098E-2</v>
      </c>
      <c r="BD224" s="153">
        <f ca="1">BD205/BD$202</f>
        <v>6.9113621824159283E-2</v>
      </c>
      <c r="BE224" s="153">
        <f ca="1">BE205/BE$202</f>
        <v>5.6281136421831586E-2</v>
      </c>
      <c r="BF224" s="153">
        <f t="shared" si="560"/>
        <v>0.12280792090860942</v>
      </c>
      <c r="BG224" s="153">
        <f t="shared" si="554"/>
        <v>0.10682385535562255</v>
      </c>
      <c r="BH224" s="153">
        <f t="shared" si="554"/>
        <v>9.3605999026875414E-2</v>
      </c>
      <c r="BI224" s="153">
        <f t="shared" si="554"/>
        <v>8.7111570960510434E-2</v>
      </c>
      <c r="BJ224" s="153">
        <f t="shared" si="555"/>
        <v>7.165624785326645E-2</v>
      </c>
      <c r="BK224" s="153">
        <f t="shared" si="555"/>
        <v>7.5450634427925711E-2</v>
      </c>
      <c r="BL224" s="153">
        <f t="shared" si="555"/>
        <v>8.0993871172865398E-2</v>
      </c>
      <c r="BM224" s="153">
        <f t="shared" si="555"/>
        <v>6.6023665108879387E-2</v>
      </c>
      <c r="BN224" s="153">
        <f t="shared" si="555"/>
        <v>5.4585750602959393E-2</v>
      </c>
      <c r="BO224" s="153">
        <f t="shared" si="555"/>
        <v>7.2218293578480711E-2</v>
      </c>
      <c r="BP224" s="153">
        <f t="shared" si="555"/>
        <v>9.7066850410721994E-2</v>
      </c>
      <c r="BQ224" s="153">
        <f t="shared" ref="BQ224:CB224" si="561">BQ205/BQ$202</f>
        <v>7.4963151547634999E-2</v>
      </c>
      <c r="BR224" s="153">
        <f t="shared" si="561"/>
        <v>9.4339747317227884E-2</v>
      </c>
      <c r="BS224" s="153">
        <f t="shared" si="561"/>
        <v>9.5169842372155394E-2</v>
      </c>
      <c r="BT224" s="153">
        <f t="shared" ca="1" si="561"/>
        <v>0.10292732423990536</v>
      </c>
      <c r="BU224" s="153">
        <f t="shared" ca="1" si="561"/>
        <v>0.10751091342192996</v>
      </c>
      <c r="BV224" s="153">
        <f t="shared" ca="1" si="561"/>
        <v>0.10899408269125141</v>
      </c>
      <c r="BW224" s="153">
        <f t="shared" ca="1" si="561"/>
        <v>0.11338854356219617</v>
      </c>
      <c r="BX224" s="153">
        <f t="shared" ca="1" si="561"/>
        <v>0.11247513627307049</v>
      </c>
      <c r="BY224" s="153">
        <f t="shared" ca="1" si="561"/>
        <v>0.11143686000409422</v>
      </c>
      <c r="BZ224" s="153">
        <f t="shared" ca="1" si="561"/>
        <v>0.11029340290697071</v>
      </c>
      <c r="CA224" s="153">
        <f t="shared" ca="1" si="561"/>
        <v>0.10890457142533408</v>
      </c>
      <c r="CB224" s="153">
        <f t="shared" ca="1" si="561"/>
        <v>0.10726013303270372</v>
      </c>
      <c r="CC224" s="153">
        <f t="shared" ca="1" si="558"/>
        <v>0.10531104863727442</v>
      </c>
      <c r="CD224" s="153">
        <f t="shared" ca="1" si="558"/>
        <v>0.1029924842557524</v>
      </c>
      <c r="CE224" s="153">
        <f t="shared" ca="1" si="558"/>
        <v>0.10022460383399559</v>
      </c>
      <c r="CF224" s="153">
        <f t="shared" ca="1" si="558"/>
        <v>9.6912482229193311E-2</v>
      </c>
      <c r="CG224" s="153">
        <f t="shared" ca="1" si="558"/>
        <v>9.2950112508465035E-2</v>
      </c>
      <c r="CH224" s="204"/>
      <c r="CI224" s="153">
        <f t="shared" si="559"/>
        <v>0</v>
      </c>
      <c r="CJ224" s="153">
        <f t="shared" si="559"/>
        <v>0</v>
      </c>
      <c r="CK224" s="153">
        <f t="shared" si="559"/>
        <v>0</v>
      </c>
      <c r="CL224" s="153">
        <f t="shared" ca="1" si="559"/>
        <v>0</v>
      </c>
      <c r="CM224" s="153">
        <f t="shared" ca="1" si="559"/>
        <v>9.9492267381121047E-4</v>
      </c>
      <c r="CN224" s="153">
        <f t="shared" ca="1" si="559"/>
        <v>2.3278041425654206E-3</v>
      </c>
      <c r="CO224" s="153">
        <f t="shared" ca="1" si="559"/>
        <v>2.326137658441349E-3</v>
      </c>
      <c r="CP224" s="153">
        <f t="shared" ca="1" si="559"/>
        <v>2.3168235829834072E-3</v>
      </c>
      <c r="CQ224" s="153">
        <f t="shared" ca="1" si="559"/>
        <v>2.3816989383350778E-3</v>
      </c>
      <c r="CR224" s="153">
        <f t="shared" ca="1" si="559"/>
        <v>1.4828897702031107E-3</v>
      </c>
      <c r="CS224" s="153">
        <f t="shared" ca="1" si="548"/>
        <v>5.621248986582561E-4</v>
      </c>
      <c r="CT224" s="153">
        <f t="shared" ca="1" si="548"/>
        <v>6.6797377213993758E-4</v>
      </c>
      <c r="CU224" s="153">
        <f t="shared" ca="1" si="548"/>
        <v>8.4380680083857851E-4</v>
      </c>
      <c r="CV224" s="153">
        <f t="shared" ca="1" si="549"/>
        <v>1.0382884516768609E-3</v>
      </c>
      <c r="CW224" s="153">
        <f t="shared" ca="1" si="550"/>
        <v>1.2418948315467554E-3</v>
      </c>
      <c r="CX224" s="153">
        <f t="shared" ca="1" si="551"/>
        <v>1.4382942517370267E-3</v>
      </c>
      <c r="CY224" s="153">
        <f t="shared" ca="1" si="552"/>
        <v>1.6072903059658333E-3</v>
      </c>
      <c r="DA224" s="382">
        <v>7.4963151547634999E-2</v>
      </c>
      <c r="DB224" s="382">
        <v>9.4339747317227884E-2</v>
      </c>
      <c r="DC224" s="382">
        <v>9.5169842372155394E-2</v>
      </c>
      <c r="DD224" s="382">
        <v>0.10292732423990536</v>
      </c>
      <c r="DE224" s="104">
        <v>0.10651599074811875</v>
      </c>
      <c r="DF224" s="104">
        <v>0.10666627854868599</v>
      </c>
      <c r="DG224" s="104">
        <v>0.11106240590375482</v>
      </c>
      <c r="DH224" s="104">
        <v>0.11015831269008708</v>
      </c>
      <c r="DI224" s="104">
        <v>0.10905516106575915</v>
      </c>
      <c r="DJ224" s="104">
        <v>0.10881051313676759</v>
      </c>
      <c r="DK224" s="104">
        <v>0.10834244652667582</v>
      </c>
      <c r="DL224" s="104">
        <v>0.10659215926056378</v>
      </c>
      <c r="DM224" s="104">
        <v>0.10446724183643584</v>
      </c>
      <c r="DN224" s="104">
        <v>0.10195419580407554</v>
      </c>
      <c r="DO224" s="104">
        <v>9.8982709002448835E-2</v>
      </c>
      <c r="DP224" s="104">
        <v>9.5474187977456285E-2</v>
      </c>
      <c r="DQ224" s="104">
        <v>9.1342822202499202E-2</v>
      </c>
    </row>
    <row r="225" spans="1:121">
      <c r="A225" s="107" t="s">
        <v>1669</v>
      </c>
      <c r="C225" s="132" t="s">
        <v>1899</v>
      </c>
      <c r="F225" s="153">
        <f t="shared" ref="F225:BF225" si="562">F206/F$202</f>
        <v>0.37284423451564019</v>
      </c>
      <c r="G225" s="153">
        <f t="shared" si="562"/>
        <v>0.37692842544378719</v>
      </c>
      <c r="H225" s="153">
        <f t="shared" si="562"/>
        <v>0.24266905973014233</v>
      </c>
      <c r="I225" s="153">
        <f t="shared" si="562"/>
        <v>0.23522693502947473</v>
      </c>
      <c r="J225" s="153">
        <f t="shared" si="562"/>
        <v>0.21640636026527874</v>
      </c>
      <c r="K225" s="153">
        <f t="shared" si="562"/>
        <v>0.19904210960373206</v>
      </c>
      <c r="L225" s="153">
        <f t="shared" si="562"/>
        <v>0.18507763586313108</v>
      </c>
      <c r="M225" s="153">
        <f t="shared" si="562"/>
        <v>0.19106494083151657</v>
      </c>
      <c r="N225" s="153">
        <f t="shared" si="562"/>
        <v>0.19614391556261776</v>
      </c>
      <c r="O225" s="153">
        <f t="shared" si="562"/>
        <v>0.20195362846546316</v>
      </c>
      <c r="P225" s="153">
        <f t="shared" si="562"/>
        <v>0.21124795119511083</v>
      </c>
      <c r="Q225" s="153">
        <f t="shared" si="562"/>
        <v>0.21921869858202267</v>
      </c>
      <c r="R225" s="153">
        <f t="shared" si="562"/>
        <v>0.23511320354066295</v>
      </c>
      <c r="S225" s="153">
        <f t="shared" si="562"/>
        <v>0.24003563542970066</v>
      </c>
      <c r="T225" s="153">
        <f t="shared" si="562"/>
        <v>0.24509830696350879</v>
      </c>
      <c r="U225" s="153">
        <f t="shared" si="562"/>
        <v>0.23885289835254034</v>
      </c>
      <c r="V225" s="153">
        <f t="shared" si="562"/>
        <v>0.21078516801339689</v>
      </c>
      <c r="W225" s="153">
        <f t="shared" si="562"/>
        <v>0.23491896411696023</v>
      </c>
      <c r="X225" s="153">
        <f t="shared" si="562"/>
        <v>0.2420388600192695</v>
      </c>
      <c r="Y225" s="153">
        <f t="shared" si="562"/>
        <v>0.23582949781152784</v>
      </c>
      <c r="Z225" s="153">
        <f t="shared" si="562"/>
        <v>0.20814071113592081</v>
      </c>
      <c r="AA225" s="153">
        <f t="shared" si="562"/>
        <v>0.1489830231998934</v>
      </c>
      <c r="AB225" s="153">
        <f t="shared" si="562"/>
        <v>0.12576114079766096</v>
      </c>
      <c r="AC225" s="153">
        <f t="shared" si="562"/>
        <v>0.12061199611558916</v>
      </c>
      <c r="AD225" s="153">
        <f t="shared" si="562"/>
        <v>0.11738045238988543</v>
      </c>
      <c r="AE225" s="153">
        <f t="shared" si="562"/>
        <v>0.10117643291322664</v>
      </c>
      <c r="AF225" s="153">
        <f t="shared" si="562"/>
        <v>8.3362415897745262E-2</v>
      </c>
      <c r="AG225" s="153">
        <f t="shared" si="562"/>
        <v>7.9582595816270099E-2</v>
      </c>
      <c r="AH225" s="153">
        <f t="shared" si="562"/>
        <v>9.9313048450440602E-2</v>
      </c>
      <c r="AI225" s="153">
        <f t="shared" si="562"/>
        <v>9.7802701918523374E-2</v>
      </c>
      <c r="AJ225" s="153">
        <f t="shared" si="562"/>
        <v>0.12333519382720715</v>
      </c>
      <c r="AK225" s="153">
        <f t="shared" si="562"/>
        <v>0.15016295644377317</v>
      </c>
      <c r="AL225" s="153">
        <f t="shared" si="562"/>
        <v>0.18056461501811624</v>
      </c>
      <c r="AM225" s="153">
        <f t="shared" si="562"/>
        <v>0.18374135613202819</v>
      </c>
      <c r="AN225" s="153">
        <f t="shared" si="562"/>
        <v>0.18072469747797176</v>
      </c>
      <c r="AO225" s="153">
        <f t="shared" si="562"/>
        <v>0.24929301985819605</v>
      </c>
      <c r="AP225" s="153">
        <f t="shared" si="562"/>
        <v>0.29234231674719829</v>
      </c>
      <c r="AQ225" s="153">
        <f t="shared" si="562"/>
        <v>0.29154411473781228</v>
      </c>
      <c r="AR225" s="153">
        <f t="shared" si="562"/>
        <v>0.26810372103102492</v>
      </c>
      <c r="AS225" s="153">
        <f t="shared" si="562"/>
        <v>0.33067678840819459</v>
      </c>
      <c r="AT225" s="153">
        <f t="shared" si="562"/>
        <v>0.40121671828449057</v>
      </c>
      <c r="AU225" s="153">
        <f t="shared" si="562"/>
        <v>0.46298416125202979</v>
      </c>
      <c r="AV225" s="153">
        <f t="shared" si="562"/>
        <v>0.3965722943809985</v>
      </c>
      <c r="AW225" s="153">
        <f t="shared" si="562"/>
        <v>0.42411268949228309</v>
      </c>
      <c r="AX225" s="153">
        <f t="shared" si="562"/>
        <v>0.42371382925423912</v>
      </c>
      <c r="AY225" s="153">
        <f t="shared" si="562"/>
        <v>0.43030196774768897</v>
      </c>
      <c r="AZ225" s="153">
        <f t="shared" si="562"/>
        <v>0.42639857428206712</v>
      </c>
      <c r="BA225" s="153">
        <f t="shared" si="562"/>
        <v>0.43217089776944978</v>
      </c>
      <c r="BB225" s="153">
        <f t="shared" si="562"/>
        <v>0.45706908809457242</v>
      </c>
      <c r="BC225" s="153">
        <f t="shared" si="562"/>
        <v>0.45595786440028929</v>
      </c>
      <c r="BD225" s="153">
        <f ca="1">BD206/BD$202</f>
        <v>0.4661873580053329</v>
      </c>
      <c r="BE225" s="153">
        <f ca="1">BE206/BE$202</f>
        <v>0.47164334486057741</v>
      </c>
      <c r="BF225" s="153">
        <f t="shared" si="562"/>
        <v>0.40693432589889944</v>
      </c>
      <c r="BG225" s="153">
        <f t="shared" si="554"/>
        <v>0.42699145755472506</v>
      </c>
      <c r="BH225" s="153">
        <f t="shared" si="554"/>
        <v>0.43636199637728834</v>
      </c>
      <c r="BI225" s="153">
        <f t="shared" si="554"/>
        <v>0.46171988477815296</v>
      </c>
      <c r="BJ225" s="153">
        <f t="shared" si="555"/>
        <v>0.4450743701187343</v>
      </c>
      <c r="BK225" s="153">
        <f t="shared" si="555"/>
        <v>0.41203174740412485</v>
      </c>
      <c r="BL225" s="153">
        <f t="shared" si="555"/>
        <v>0.37781446024298021</v>
      </c>
      <c r="BM225" s="153">
        <f t="shared" si="555"/>
        <v>0.40207386588517036</v>
      </c>
      <c r="BN225" s="153">
        <f t="shared" si="555"/>
        <v>0.38093620272039291</v>
      </c>
      <c r="BO225" s="153">
        <f t="shared" si="555"/>
        <v>0.3089965640375964</v>
      </c>
      <c r="BP225" s="153">
        <f t="shared" si="555"/>
        <v>0.32608016827512493</v>
      </c>
      <c r="BQ225" s="153">
        <f t="shared" ref="BQ225:CB225" si="563">BQ206/BQ$202</f>
        <v>0.3615984366438485</v>
      </c>
      <c r="BR225" s="153">
        <f t="shared" si="563"/>
        <v>0.34407173144041653</v>
      </c>
      <c r="BS225" s="153">
        <f t="shared" si="563"/>
        <v>0.34709921721318049</v>
      </c>
      <c r="BT225" s="153">
        <f t="shared" ca="1" si="563"/>
        <v>0.37539196013180531</v>
      </c>
      <c r="BU225" s="153">
        <f t="shared" ca="1" si="563"/>
        <v>0.39210902277951032</v>
      </c>
      <c r="BV225" s="153">
        <f t="shared" ca="1" si="563"/>
        <v>0.39751837178697219</v>
      </c>
      <c r="BW225" s="153">
        <f t="shared" ca="1" si="563"/>
        <v>0.41354565406841426</v>
      </c>
      <c r="BX225" s="153">
        <f t="shared" ca="1" si="563"/>
        <v>0.41021431561970106</v>
      </c>
      <c r="BY225" s="153">
        <f t="shared" ca="1" si="563"/>
        <v>0.40642756058018514</v>
      </c>
      <c r="BZ225" s="153">
        <f t="shared" ca="1" si="563"/>
        <v>0.40225719470129312</v>
      </c>
      <c r="CA225" s="153">
        <f t="shared" ca="1" si="563"/>
        <v>0.39719191027818773</v>
      </c>
      <c r="CB225" s="153">
        <f t="shared" ca="1" si="563"/>
        <v>0.39119438769529402</v>
      </c>
      <c r="CC225" s="153">
        <f t="shared" ca="1" si="558"/>
        <v>0.3840857737575894</v>
      </c>
      <c r="CD225" s="153">
        <f t="shared" ca="1" si="558"/>
        <v>0.37562960884415536</v>
      </c>
      <c r="CE225" s="153">
        <f t="shared" ca="1" si="558"/>
        <v>0.36553471844836299</v>
      </c>
      <c r="CF225" s="153">
        <f t="shared" ca="1" si="558"/>
        <v>0.35345489581036699</v>
      </c>
      <c r="CG225" s="153">
        <f t="shared" ca="1" si="558"/>
        <v>0.33900351715834187</v>
      </c>
      <c r="CH225" s="204"/>
      <c r="CI225" s="153">
        <f t="shared" si="559"/>
        <v>0</v>
      </c>
      <c r="CJ225" s="153">
        <f t="shared" si="559"/>
        <v>0</v>
      </c>
      <c r="CK225" s="153">
        <f t="shared" si="559"/>
        <v>0</v>
      </c>
      <c r="CL225" s="153">
        <f t="shared" ca="1" si="559"/>
        <v>0</v>
      </c>
      <c r="CM225" s="153">
        <f t="shared" ca="1" si="559"/>
        <v>3.6286377350198129E-3</v>
      </c>
      <c r="CN225" s="153">
        <f t="shared" ca="1" si="559"/>
        <v>8.4898637590520298E-3</v>
      </c>
      <c r="CO225" s="153">
        <f t="shared" ca="1" si="559"/>
        <v>8.4837858322577286E-3</v>
      </c>
      <c r="CP225" s="153">
        <f t="shared" ca="1" si="559"/>
        <v>8.4498159504141079E-3</v>
      </c>
      <c r="CQ225" s="153">
        <f t="shared" ca="1" si="559"/>
        <v>8.686426461660901E-3</v>
      </c>
      <c r="CR225" s="153">
        <f t="shared" ca="1" si="559"/>
        <v>5.408329630706088E-3</v>
      </c>
      <c r="CS225" s="153">
        <f t="shared" ca="1" si="548"/>
        <v>2.0501569345613424E-3</v>
      </c>
      <c r="CT225" s="153">
        <f t="shared" ca="1" si="548"/>
        <v>2.4362042391753991E-3</v>
      </c>
      <c r="CU225" s="153">
        <f t="shared" ca="1" si="548"/>
        <v>3.0774946427343797E-3</v>
      </c>
      <c r="CV225" s="153">
        <f t="shared" ca="1" si="549"/>
        <v>3.786799471721225E-3</v>
      </c>
      <c r="CW225" s="153">
        <f t="shared" ca="1" si="550"/>
        <v>4.5293836066829241E-3</v>
      </c>
      <c r="CX225" s="153">
        <f t="shared" ca="1" si="551"/>
        <v>5.2456828387703602E-3</v>
      </c>
      <c r="CY225" s="153">
        <f t="shared" ca="1" si="552"/>
        <v>5.8620377330638185E-3</v>
      </c>
      <c r="DA225" s="382">
        <v>0.3615984366438485</v>
      </c>
      <c r="DB225" s="382">
        <v>0.34407173144041653</v>
      </c>
      <c r="DC225" s="382">
        <v>0.34709921721318049</v>
      </c>
      <c r="DD225" s="382">
        <v>0.37539196013180531</v>
      </c>
      <c r="DE225" s="104">
        <v>0.38848038504449051</v>
      </c>
      <c r="DF225" s="104">
        <v>0.38902850802792016</v>
      </c>
      <c r="DG225" s="104">
        <v>0.40506186823615653</v>
      </c>
      <c r="DH225" s="104">
        <v>0.40176449966928696</v>
      </c>
      <c r="DI225" s="104">
        <v>0.39774113411852424</v>
      </c>
      <c r="DJ225" s="104">
        <v>0.39684886507058703</v>
      </c>
      <c r="DK225" s="104">
        <v>0.39514175334362639</v>
      </c>
      <c r="DL225" s="104">
        <v>0.38875818345611862</v>
      </c>
      <c r="DM225" s="104">
        <v>0.38100827911485502</v>
      </c>
      <c r="DN225" s="104">
        <v>0.37184280937243414</v>
      </c>
      <c r="DO225" s="104">
        <v>0.36100533484168007</v>
      </c>
      <c r="DP225" s="104">
        <v>0.34820921297159663</v>
      </c>
      <c r="DQ225" s="104">
        <v>0.33314147942527805</v>
      </c>
    </row>
    <row r="226" spans="1:121">
      <c r="A226" s="107" t="s">
        <v>1670</v>
      </c>
      <c r="C226" s="132" t="s">
        <v>1899</v>
      </c>
      <c r="F226" s="153">
        <f t="shared" ref="F226:BF226" si="564">F207/F$202</f>
        <v>0</v>
      </c>
      <c r="G226" s="153">
        <f t="shared" si="564"/>
        <v>0</v>
      </c>
      <c r="H226" s="153">
        <f t="shared" si="564"/>
        <v>0</v>
      </c>
      <c r="I226" s="153">
        <f t="shared" si="564"/>
        <v>0</v>
      </c>
      <c r="J226" s="153">
        <f t="shared" si="564"/>
        <v>0</v>
      </c>
      <c r="K226" s="153">
        <f t="shared" si="564"/>
        <v>0</v>
      </c>
      <c r="L226" s="153">
        <f t="shared" si="564"/>
        <v>0</v>
      </c>
      <c r="M226" s="153">
        <f t="shared" si="564"/>
        <v>0</v>
      </c>
      <c r="N226" s="153">
        <f t="shared" si="564"/>
        <v>0</v>
      </c>
      <c r="O226" s="153">
        <f t="shared" si="564"/>
        <v>0</v>
      </c>
      <c r="P226" s="153">
        <f t="shared" si="564"/>
        <v>0</v>
      </c>
      <c r="Q226" s="153">
        <f t="shared" si="564"/>
        <v>0</v>
      </c>
      <c r="R226" s="153">
        <f t="shared" si="564"/>
        <v>0</v>
      </c>
      <c r="S226" s="153">
        <f t="shared" si="564"/>
        <v>0</v>
      </c>
      <c r="T226" s="153">
        <f t="shared" si="564"/>
        <v>0</v>
      </c>
      <c r="U226" s="153">
        <f t="shared" si="564"/>
        <v>0</v>
      </c>
      <c r="V226" s="153">
        <f t="shared" si="564"/>
        <v>0</v>
      </c>
      <c r="W226" s="153">
        <f t="shared" si="564"/>
        <v>0</v>
      </c>
      <c r="X226" s="153">
        <f t="shared" si="564"/>
        <v>0</v>
      </c>
      <c r="Y226" s="153">
        <f t="shared" si="564"/>
        <v>0</v>
      </c>
      <c r="Z226" s="153">
        <f t="shared" si="564"/>
        <v>0</v>
      </c>
      <c r="AA226" s="153">
        <f t="shared" si="564"/>
        <v>0</v>
      </c>
      <c r="AB226" s="153">
        <f t="shared" si="564"/>
        <v>0</v>
      </c>
      <c r="AC226" s="153">
        <f t="shared" si="564"/>
        <v>0</v>
      </c>
      <c r="AD226" s="153">
        <f t="shared" si="564"/>
        <v>0</v>
      </c>
      <c r="AE226" s="153">
        <f t="shared" si="564"/>
        <v>0</v>
      </c>
      <c r="AF226" s="153">
        <f t="shared" si="564"/>
        <v>0</v>
      </c>
      <c r="AG226" s="153">
        <f t="shared" si="564"/>
        <v>0</v>
      </c>
      <c r="AH226" s="153">
        <f t="shared" si="564"/>
        <v>0</v>
      </c>
      <c r="AI226" s="153">
        <f t="shared" si="564"/>
        <v>0</v>
      </c>
      <c r="AJ226" s="153">
        <f t="shared" si="564"/>
        <v>0</v>
      </c>
      <c r="AK226" s="153">
        <f t="shared" si="564"/>
        <v>0</v>
      </c>
      <c r="AL226" s="153">
        <f t="shared" si="564"/>
        <v>0</v>
      </c>
      <c r="AM226" s="153">
        <f t="shared" si="564"/>
        <v>0</v>
      </c>
      <c r="AN226" s="153">
        <f t="shared" si="564"/>
        <v>0</v>
      </c>
      <c r="AO226" s="153">
        <f t="shared" si="564"/>
        <v>0</v>
      </c>
      <c r="AP226" s="153">
        <f t="shared" si="564"/>
        <v>0</v>
      </c>
      <c r="AQ226" s="153">
        <f t="shared" si="564"/>
        <v>0</v>
      </c>
      <c r="AR226" s="153">
        <f t="shared" si="564"/>
        <v>0</v>
      </c>
      <c r="AS226" s="153">
        <f t="shared" si="564"/>
        <v>0</v>
      </c>
      <c r="AT226" s="153">
        <f t="shared" si="564"/>
        <v>0</v>
      </c>
      <c r="AU226" s="153">
        <f t="shared" si="564"/>
        <v>0</v>
      </c>
      <c r="AV226" s="153">
        <f t="shared" si="564"/>
        <v>0</v>
      </c>
      <c r="AW226" s="153">
        <f t="shared" si="564"/>
        <v>0</v>
      </c>
      <c r="AX226" s="153">
        <f t="shared" si="564"/>
        <v>0</v>
      </c>
      <c r="AY226" s="153">
        <f t="shared" si="564"/>
        <v>0</v>
      </c>
      <c r="AZ226" s="153">
        <f t="shared" si="564"/>
        <v>0</v>
      </c>
      <c r="BA226" s="153">
        <f t="shared" si="564"/>
        <v>0</v>
      </c>
      <c r="BB226" s="153">
        <f t="shared" si="564"/>
        <v>0</v>
      </c>
      <c r="BC226" s="153">
        <f t="shared" si="564"/>
        <v>0</v>
      </c>
      <c r="BD226" s="153">
        <f t="shared" si="564"/>
        <v>0</v>
      </c>
      <c r="BE226" s="153">
        <f t="shared" si="564"/>
        <v>0</v>
      </c>
      <c r="BF226" s="153">
        <f t="shared" si="564"/>
        <v>0.20255149179073736</v>
      </c>
      <c r="BG226" s="153">
        <f t="shared" si="554"/>
        <v>0.20266965844648704</v>
      </c>
      <c r="BH226" s="153">
        <f t="shared" si="554"/>
        <v>0.20527247488479922</v>
      </c>
      <c r="BI226" s="153">
        <f t="shared" si="554"/>
        <v>0.20091912398689435</v>
      </c>
      <c r="BJ226" s="153">
        <f t="shared" si="555"/>
        <v>0.20549673696503398</v>
      </c>
      <c r="BK226" s="153">
        <f t="shared" si="555"/>
        <v>0.20646748897239017</v>
      </c>
      <c r="BL226" s="153">
        <f t="shared" si="555"/>
        <v>0.21342862554625028</v>
      </c>
      <c r="BM226" s="153">
        <f t="shared" si="555"/>
        <v>0.21799927082297568</v>
      </c>
      <c r="BN226" s="153">
        <f t="shared" si="555"/>
        <v>0.23349887286420232</v>
      </c>
      <c r="BO226" s="153">
        <f t="shared" si="555"/>
        <v>0.24728100255824767</v>
      </c>
      <c r="BP226" s="153">
        <f t="shared" si="555"/>
        <v>0.249339561559169</v>
      </c>
      <c r="BQ226" s="153">
        <f t="shared" si="543"/>
        <v>0.2505682461545739</v>
      </c>
      <c r="BR226" s="153">
        <f t="shared" si="543"/>
        <v>0.24996914772035941</v>
      </c>
      <c r="BS226" s="153">
        <f t="shared" si="544"/>
        <v>0.24996914772035944</v>
      </c>
      <c r="BT226" s="153">
        <f t="shared" si="544"/>
        <v>0.24996914772035941</v>
      </c>
      <c r="BU226" s="153">
        <f t="shared" si="544"/>
        <v>0.24996914772035944</v>
      </c>
      <c r="BV226" s="153">
        <f t="shared" si="544"/>
        <v>0.24996914772035947</v>
      </c>
      <c r="BW226" s="153">
        <f t="shared" ref="BW226:CB226" si="565">BW207/BW$202</f>
        <v>0.24996914772035944</v>
      </c>
      <c r="BX226" s="153">
        <f t="shared" si="565"/>
        <v>0.24996914772035941</v>
      </c>
      <c r="BY226" s="153">
        <f t="shared" si="565"/>
        <v>0.24996914772035944</v>
      </c>
      <c r="BZ226" s="153">
        <f t="shared" si="565"/>
        <v>0.24996914772035944</v>
      </c>
      <c r="CA226" s="153">
        <f t="shared" si="565"/>
        <v>0.24996914772035944</v>
      </c>
      <c r="CB226" s="153">
        <f t="shared" si="565"/>
        <v>0.24996914772035947</v>
      </c>
      <c r="CC226" s="153">
        <f t="shared" si="558"/>
        <v>0.24996914772035947</v>
      </c>
      <c r="CD226" s="153">
        <f t="shared" si="558"/>
        <v>0.2499691477203595</v>
      </c>
      <c r="CE226" s="153">
        <f t="shared" si="558"/>
        <v>0.24996914772035952</v>
      </c>
      <c r="CF226" s="153">
        <f t="shared" si="558"/>
        <v>0.24996914772035952</v>
      </c>
      <c r="CG226" s="153">
        <f t="shared" si="558"/>
        <v>0.24996914772035947</v>
      </c>
      <c r="CH226" s="204"/>
      <c r="CI226" s="153">
        <f t="shared" si="547"/>
        <v>0</v>
      </c>
      <c r="CJ226" s="153">
        <f t="shared" si="547"/>
        <v>0</v>
      </c>
      <c r="CK226" s="153">
        <f t="shared" si="547"/>
        <v>0</v>
      </c>
      <c r="CL226" s="153">
        <f t="shared" si="547"/>
        <v>0</v>
      </c>
      <c r="CM226" s="153">
        <f t="shared" si="547"/>
        <v>0</v>
      </c>
      <c r="CN226" s="153">
        <f t="shared" si="547"/>
        <v>0</v>
      </c>
      <c r="CO226" s="153">
        <f t="shared" si="547"/>
        <v>0</v>
      </c>
      <c r="CP226" s="153">
        <f t="shared" si="547"/>
        <v>0</v>
      </c>
      <c r="CQ226" s="153">
        <f t="shared" si="547"/>
        <v>0</v>
      </c>
      <c r="CR226" s="153">
        <f t="shared" si="547"/>
        <v>0</v>
      </c>
      <c r="CS226" s="153">
        <f t="shared" si="548"/>
        <v>0</v>
      </c>
      <c r="CT226" s="153">
        <f t="shared" si="548"/>
        <v>0</v>
      </c>
      <c r="CU226" s="153">
        <f t="shared" si="548"/>
        <v>0</v>
      </c>
      <c r="CV226" s="153">
        <f t="shared" si="549"/>
        <v>0</v>
      </c>
      <c r="CW226" s="153">
        <f t="shared" si="550"/>
        <v>0</v>
      </c>
      <c r="CX226" s="153">
        <f t="shared" si="551"/>
        <v>0</v>
      </c>
      <c r="CY226" s="153">
        <f t="shared" si="552"/>
        <v>0</v>
      </c>
      <c r="DA226" s="382">
        <v>0.2505682461545739</v>
      </c>
      <c r="DB226" s="382">
        <v>0.24996914772035941</v>
      </c>
      <c r="DC226" s="382">
        <v>0.24996914772035944</v>
      </c>
      <c r="DD226" s="382">
        <v>0.24996914772035941</v>
      </c>
      <c r="DE226" s="104">
        <v>0.24996914772035944</v>
      </c>
      <c r="DF226" s="104">
        <v>0.24996914772035947</v>
      </c>
      <c r="DG226" s="104">
        <v>0.24996914772035944</v>
      </c>
      <c r="DH226" s="104">
        <v>0.24996914772035941</v>
      </c>
      <c r="DI226" s="104">
        <v>0.24996914772035944</v>
      </c>
      <c r="DJ226" s="104">
        <v>0.24996914772035944</v>
      </c>
      <c r="DK226" s="104">
        <v>0.24996914772035944</v>
      </c>
      <c r="DL226" s="104">
        <v>0.24996914772035947</v>
      </c>
      <c r="DM226" s="104">
        <v>0.24996914772035947</v>
      </c>
      <c r="DN226" s="104">
        <v>0.2499691477203595</v>
      </c>
      <c r="DO226" s="104">
        <v>0.24996914772035952</v>
      </c>
      <c r="DP226" s="104">
        <v>0.24996914772035952</v>
      </c>
      <c r="DQ226" s="104">
        <v>0.24996914772035947</v>
      </c>
    </row>
    <row r="227" spans="1:121">
      <c r="A227" s="166" t="s">
        <v>189</v>
      </c>
      <c r="BG227" s="214"/>
      <c r="BI227" s="133"/>
      <c r="BJ227" s="133"/>
      <c r="BK227" s="133"/>
      <c r="BL227" s="133"/>
      <c r="BM227" s="133"/>
      <c r="BN227" s="133"/>
      <c r="BO227" s="133"/>
      <c r="BP227" s="133"/>
      <c r="BQ227" s="133"/>
      <c r="BR227" s="133"/>
      <c r="BS227" s="133"/>
      <c r="BT227" s="133"/>
      <c r="BU227" s="133"/>
      <c r="BV227" s="133"/>
      <c r="BW227" s="133"/>
      <c r="BX227" s="133"/>
      <c r="BY227" s="133"/>
      <c r="BZ227" s="133"/>
      <c r="CA227" s="133"/>
      <c r="CB227" s="133"/>
      <c r="CC227" s="133"/>
      <c r="CD227" s="133"/>
      <c r="CE227" s="133"/>
      <c r="CF227" s="133"/>
      <c r="CG227" s="133"/>
    </row>
    <row r="228" spans="1:121" s="123" customFormat="1">
      <c r="A228" s="107" t="s">
        <v>2626</v>
      </c>
      <c r="B228" s="107"/>
      <c r="C228" s="136" t="s">
        <v>1735</v>
      </c>
      <c r="D228" s="147"/>
      <c r="E228" s="107"/>
      <c r="F228" s="106">
        <f t="shared" ref="F228:AZ228" si="566">1000000*F54/F203</f>
        <v>1.4848484848484851</v>
      </c>
      <c r="G228" s="106">
        <f t="shared" si="566"/>
        <v>1.4868421052631582</v>
      </c>
      <c r="H228" s="106">
        <f t="shared" si="566"/>
        <v>1.4964071035598889</v>
      </c>
      <c r="I228" s="106">
        <f t="shared" si="566"/>
        <v>1.7536841944644326</v>
      </c>
      <c r="J228" s="106">
        <f t="shared" si="566"/>
        <v>1.821860698876828</v>
      </c>
      <c r="K228" s="106">
        <f t="shared" si="566"/>
        <v>1.8507579332431645</v>
      </c>
      <c r="L228" s="106">
        <f t="shared" si="566"/>
        <v>1.9320645479494059</v>
      </c>
      <c r="M228" s="106">
        <f t="shared" si="566"/>
        <v>2.4301344495008217</v>
      </c>
      <c r="N228" s="106">
        <f t="shared" si="566"/>
        <v>2.3046161923846871</v>
      </c>
      <c r="O228" s="106">
        <f t="shared" si="566"/>
        <v>2.1999498454135717</v>
      </c>
      <c r="P228" s="106">
        <f t="shared" si="566"/>
        <v>2.3787115729521493</v>
      </c>
      <c r="Q228" s="106">
        <f t="shared" si="566"/>
        <v>2.4458982024804743</v>
      </c>
      <c r="R228" s="106">
        <f t="shared" si="566"/>
        <v>2.7811139344195843</v>
      </c>
      <c r="S228" s="106">
        <f t="shared" si="566"/>
        <v>2.6434924931421646</v>
      </c>
      <c r="T228" s="106">
        <f t="shared" si="566"/>
        <v>2.7106269630225928</v>
      </c>
      <c r="U228" s="106">
        <f t="shared" si="566"/>
        <v>2.83702895170833</v>
      </c>
      <c r="V228" s="106">
        <f t="shared" si="566"/>
        <v>2.8584687979532961</v>
      </c>
      <c r="W228" s="106">
        <f t="shared" si="566"/>
        <v>2.9017313523180195</v>
      </c>
      <c r="X228" s="106">
        <f t="shared" si="566"/>
        <v>3.41283956236893</v>
      </c>
      <c r="Y228" s="106">
        <f t="shared" si="566"/>
        <v>3.2631299366257123</v>
      </c>
      <c r="Z228" s="106">
        <f t="shared" si="566"/>
        <v>3.3144013756013435</v>
      </c>
      <c r="AA228" s="106">
        <f t="shared" si="566"/>
        <v>4.0255102044126314</v>
      </c>
      <c r="AB228" s="106">
        <f t="shared" si="566"/>
        <v>4.3373088233012433</v>
      </c>
      <c r="AC228" s="106">
        <f t="shared" si="566"/>
        <v>5.0768798540426756</v>
      </c>
      <c r="AD228" s="106">
        <f t="shared" si="566"/>
        <v>5.4087180113181086</v>
      </c>
      <c r="AE228" s="106">
        <f t="shared" si="566"/>
        <v>5.594949648884076</v>
      </c>
      <c r="AF228" s="106">
        <f t="shared" si="566"/>
        <v>6.4161932161462696</v>
      </c>
      <c r="AG228" s="106">
        <f t="shared" si="566"/>
        <v>7.7991521027494048</v>
      </c>
      <c r="AH228" s="106">
        <f t="shared" si="566"/>
        <v>9.809631905480229</v>
      </c>
      <c r="AI228" s="106">
        <f t="shared" si="566"/>
        <v>10.10486499683277</v>
      </c>
      <c r="AJ228" s="106">
        <f t="shared" si="566"/>
        <v>10.110000197951859</v>
      </c>
      <c r="AK228" s="106">
        <f t="shared" si="566"/>
        <v>10.10078912032278</v>
      </c>
      <c r="AL228" s="106">
        <f t="shared" si="566"/>
        <v>10.615584732650163</v>
      </c>
      <c r="AM228" s="106">
        <f t="shared" si="566"/>
        <v>11.369901961933321</v>
      </c>
      <c r="AN228" s="106">
        <f t="shared" si="566"/>
        <v>11.898942063121417</v>
      </c>
      <c r="AO228" s="106">
        <f t="shared" si="566"/>
        <v>12.658300249620218</v>
      </c>
      <c r="AP228" s="106">
        <f t="shared" si="566"/>
        <v>12.132351248705262</v>
      </c>
      <c r="AQ228" s="106">
        <f t="shared" si="566"/>
        <v>15.823290358744394</v>
      </c>
      <c r="AR228" s="106">
        <f t="shared" si="566"/>
        <v>19.75009953860927</v>
      </c>
      <c r="AS228" s="106">
        <f t="shared" si="566"/>
        <v>24.560169241365738</v>
      </c>
      <c r="AT228" s="106">
        <f t="shared" si="566"/>
        <v>88.717576260634971</v>
      </c>
      <c r="AU228" s="106">
        <f t="shared" si="566"/>
        <v>353.37970936490854</v>
      </c>
      <c r="AV228" s="106">
        <f t="shared" si="566"/>
        <v>698.51266944876295</v>
      </c>
      <c r="AW228" s="106">
        <f t="shared" si="566"/>
        <v>852.74085127798855</v>
      </c>
      <c r="AX228" s="106">
        <f t="shared" si="566"/>
        <v>1944.9465899753493</v>
      </c>
      <c r="AY228" s="106">
        <f t="shared" si="566"/>
        <v>2678.9041674364589</v>
      </c>
      <c r="AZ228" s="106">
        <f t="shared" si="566"/>
        <v>4216.1663417803766</v>
      </c>
      <c r="BA228" s="144">
        <f>SOURCE!BA130</f>
        <v>6105</v>
      </c>
      <c r="BB228" s="144">
        <f>SOURCE!BB130</f>
        <v>10601</v>
      </c>
      <c r="BC228" s="144">
        <f>SOURCE!BC130</f>
        <v>11824</v>
      </c>
      <c r="BD228" s="144">
        <f>SOURCE!BD130</f>
        <v>12736</v>
      </c>
      <c r="BE228" s="144">
        <f>SOURCE!BE130</f>
        <v>13846</v>
      </c>
      <c r="BF228" s="144">
        <f>SOURCE!BF130</f>
        <v>16103</v>
      </c>
      <c r="BG228" s="144">
        <f>SOURCE!BG130</f>
        <v>17773</v>
      </c>
      <c r="BH228" s="144">
        <f>SOURCE!BH130</f>
        <v>19486</v>
      </c>
      <c r="BI228" s="144">
        <f>SOURCE!BI130</f>
        <v>24491</v>
      </c>
      <c r="BJ228" s="144">
        <f>SOURCE!BJ130</f>
        <v>27281</v>
      </c>
      <c r="BK228" s="144">
        <f>SOURCE!BK130</f>
        <v>30074</v>
      </c>
      <c r="BL228" s="144">
        <f>SOURCE!BL130</f>
        <v>32130</v>
      </c>
      <c r="BM228" s="144">
        <f>SOURCE!BM130</f>
        <v>37496</v>
      </c>
      <c r="BN228" s="144">
        <f>SOURCE!BN130</f>
        <v>35579</v>
      </c>
      <c r="BO228" s="144">
        <f>SOURCE!BO130</f>
        <v>35315.126081582202</v>
      </c>
      <c r="BP228" s="144">
        <f>SOURCE!BP130</f>
        <v>36546.537700865265</v>
      </c>
      <c r="BQ228" s="144">
        <f>SOURCE!BQ130</f>
        <v>43539.196538936958</v>
      </c>
      <c r="BR228" s="109">
        <f>BQ228*(BR229/BQ229)*(1+Assumptions!BR45/100)</f>
        <v>52898.735625422531</v>
      </c>
      <c r="BS228" s="109">
        <f>BR228*(BS229/BR229)*(1+Assumptions!BS45/100)</f>
        <v>54197.048641350564</v>
      </c>
      <c r="BT228" s="109">
        <f ca="1">BS228*(BT229/BS229)*(1+Assumptions!BT45/100)</f>
        <v>62099.968338898572</v>
      </c>
      <c r="BU228" s="109">
        <f ca="1">BT228*(BU229/BT229)*(1+Assumptions!BU45/100)</f>
        <v>77806.886896599404</v>
      </c>
      <c r="BV228" s="109">
        <f ca="1">BU228*(BV229/BU229)*(1+Assumptions!BV45/100)</f>
        <v>92123.833172834478</v>
      </c>
      <c r="BW228" s="109">
        <f ca="1">BV228*(BW229/BV229)*(1+Assumptions!BW45/100)</f>
        <v>108950.14986570395</v>
      </c>
      <c r="BX228" s="109">
        <f ca="1">BW228*(BX229/BW229)*(1+Assumptions!BX45/100)</f>
        <v>119096.55328985967</v>
      </c>
      <c r="BY228" s="109">
        <f ca="1">BX228*(BY229/BX229)*(1+Assumptions!BY45/100)</f>
        <v>134848.7173601574</v>
      </c>
      <c r="BZ228" s="109">
        <f ca="1">BY228*(BZ229/BY229)*(1+Assumptions!BZ45/100)</f>
        <v>154359.23564346376</v>
      </c>
      <c r="CA228" s="109">
        <f ca="1">BZ228*(CA229/BZ229)*(1+Assumptions!CA45/100)</f>
        <v>178484.09800631108</v>
      </c>
      <c r="CB228" s="109">
        <f ca="1">CA228*(CB229/CA229)*(1+Assumptions!CB45/100)</f>
        <v>208952.20319659211</v>
      </c>
      <c r="CC228" s="109">
        <f ca="1">CB228*(CC229/CB229)*(1+Assumptions!CC45/100)</f>
        <v>248160.07969188521</v>
      </c>
      <c r="CD228" s="109">
        <f ca="1">CC228*(CD229/CC229)*(1+Assumptions!CD45/100)</f>
        <v>299771.8501082327</v>
      </c>
      <c r="CE228" s="109">
        <f ca="1">CD228*(CE229/CD229)*(1+Assumptions!CE45/100)</f>
        <v>369514.14492531208</v>
      </c>
      <c r="CF228" s="109">
        <f ca="1">CE228*(CF229/CE229)*(1+Assumptions!CF45/100)</f>
        <v>466620.73732304544</v>
      </c>
      <c r="CG228" s="109">
        <f ca="1">CF228*(CG229/CF229)*(1+Assumptions!CG45/100)</f>
        <v>606516.90897729027</v>
      </c>
      <c r="CH228" s="254"/>
      <c r="CI228" s="106">
        <f t="shared" ref="CI228:CR235" si="567">BQ228-DA228</f>
        <v>0</v>
      </c>
      <c r="CJ228" s="106">
        <f t="shared" si="567"/>
        <v>0</v>
      </c>
      <c r="CK228" s="106">
        <f t="shared" si="567"/>
        <v>0</v>
      </c>
      <c r="CL228" s="106">
        <f t="shared" ca="1" si="567"/>
        <v>0</v>
      </c>
      <c r="CM228" s="106">
        <f t="shared" ca="1" si="567"/>
        <v>2277.5529052110651</v>
      </c>
      <c r="CN228" s="106">
        <f t="shared" ca="1" si="567"/>
        <v>5854.5571135008213</v>
      </c>
      <c r="CO228" s="106">
        <f t="shared" ca="1" si="567"/>
        <v>5688.5818105004146</v>
      </c>
      <c r="CP228" s="106">
        <f t="shared" ca="1" si="567"/>
        <v>3935.6707307878532</v>
      </c>
      <c r="CQ228" s="106">
        <f t="shared" ca="1" si="567"/>
        <v>1582.5697426818369</v>
      </c>
      <c r="CR228" s="106">
        <f t="shared" ca="1" si="567"/>
        <v>-1848.3514615922759</v>
      </c>
      <c r="CS228" s="106">
        <f t="shared" ref="CS228:CY235" ca="1" si="568">CA228-DK228</f>
        <v>-4502.3157769950631</v>
      </c>
      <c r="CT228" s="106">
        <f t="shared" ca="1" si="568"/>
        <v>-6928.3875048024056</v>
      </c>
      <c r="CU228" s="106">
        <f t="shared" ca="1" si="568"/>
        <v>-12307.737205613084</v>
      </c>
      <c r="CV228" s="106">
        <f t="shared" ca="1" si="568"/>
        <v>-20907.826115307806</v>
      </c>
      <c r="CW228" s="106">
        <f t="shared" ca="1" si="568"/>
        <v>-34316.016497483419</v>
      </c>
      <c r="CX228" s="106">
        <f t="shared" ca="1" si="568"/>
        <v>-55541.607117298234</v>
      </c>
      <c r="CY228" s="106">
        <f t="shared" ca="1" si="568"/>
        <v>-90065.136965689366</v>
      </c>
      <c r="CZ228" s="134"/>
      <c r="DA228" s="135">
        <v>43539.196538936958</v>
      </c>
      <c r="DB228" s="135">
        <v>52898.735625422531</v>
      </c>
      <c r="DC228" s="135">
        <v>54197.048641350564</v>
      </c>
      <c r="DD228" s="135">
        <v>62099.968338898572</v>
      </c>
      <c r="DE228" s="135">
        <v>75529.333991388339</v>
      </c>
      <c r="DF228" s="135">
        <v>86269.276059333657</v>
      </c>
      <c r="DG228" s="135">
        <v>103261.56805520353</v>
      </c>
      <c r="DH228" s="135">
        <v>115160.88255907182</v>
      </c>
      <c r="DI228" s="135">
        <v>133266.14761747557</v>
      </c>
      <c r="DJ228" s="135">
        <v>156207.58710505604</v>
      </c>
      <c r="DK228" s="135">
        <v>182986.41378330614</v>
      </c>
      <c r="DL228" s="135">
        <v>215880.59070139451</v>
      </c>
      <c r="DM228" s="135">
        <v>260467.8168974983</v>
      </c>
      <c r="DN228" s="135">
        <v>320679.6762235405</v>
      </c>
      <c r="DO228" s="135">
        <v>403830.1614227955</v>
      </c>
      <c r="DP228" s="135">
        <v>522162.34444034367</v>
      </c>
      <c r="DQ228" s="135">
        <v>696582.04594297963</v>
      </c>
    </row>
    <row r="229" spans="1:121" s="123" customFormat="1">
      <c r="A229" s="107" t="s">
        <v>2627</v>
      </c>
      <c r="B229" s="107"/>
      <c r="C229" s="136" t="s">
        <v>1735</v>
      </c>
      <c r="D229" s="147"/>
      <c r="E229" s="107"/>
      <c r="F229" s="106">
        <f t="shared" ref="F229:AZ229" si="569">1000000*F64/F204</f>
        <v>0.86099585062240669</v>
      </c>
      <c r="G229" s="106">
        <f t="shared" si="569"/>
        <v>0.87148594377510036</v>
      </c>
      <c r="H229" s="106">
        <f t="shared" si="569"/>
        <v>0.71732545416299132</v>
      </c>
      <c r="I229" s="106">
        <f t="shared" si="569"/>
        <v>0.77552484842026792</v>
      </c>
      <c r="J229" s="106">
        <f t="shared" si="569"/>
        <v>0.79223472788592453</v>
      </c>
      <c r="K229" s="106">
        <f t="shared" si="569"/>
        <v>0.82545293487252569</v>
      </c>
      <c r="L229" s="106">
        <f t="shared" si="569"/>
        <v>0.83224552986941502</v>
      </c>
      <c r="M229" s="106">
        <f t="shared" si="569"/>
        <v>0.82853587267986095</v>
      </c>
      <c r="N229" s="106">
        <f t="shared" si="569"/>
        <v>0.87233781291833035</v>
      </c>
      <c r="O229" s="106">
        <f t="shared" si="569"/>
        <v>0.92704409622704875</v>
      </c>
      <c r="P229" s="106">
        <f t="shared" si="569"/>
        <v>0.99752778392515751</v>
      </c>
      <c r="Q229" s="106">
        <f t="shared" si="569"/>
        <v>1.0287456156114183</v>
      </c>
      <c r="R229" s="106">
        <f t="shared" si="569"/>
        <v>1.1703253699485272</v>
      </c>
      <c r="S229" s="106">
        <f t="shared" si="569"/>
        <v>1.273034822460821</v>
      </c>
      <c r="T229" s="106">
        <f t="shared" si="569"/>
        <v>1.4078374640616613</v>
      </c>
      <c r="U229" s="106">
        <f t="shared" si="569"/>
        <v>1.5233006484009781</v>
      </c>
      <c r="V229" s="106">
        <f t="shared" si="569"/>
        <v>1.6704723582521055</v>
      </c>
      <c r="W229" s="106">
        <f t="shared" si="569"/>
        <v>1.8795407165950382</v>
      </c>
      <c r="X229" s="106">
        <f t="shared" si="569"/>
        <v>2.096103387725305</v>
      </c>
      <c r="Y229" s="106">
        <f t="shared" si="569"/>
        <v>2.4033192510025998</v>
      </c>
      <c r="Z229" s="106">
        <f t="shared" si="569"/>
        <v>2.7584210324649665</v>
      </c>
      <c r="AA229" s="106">
        <f t="shared" si="569"/>
        <v>3.2816259179253024</v>
      </c>
      <c r="AB229" s="106">
        <f t="shared" si="569"/>
        <v>3.9365730760579791</v>
      </c>
      <c r="AC229" s="106">
        <f t="shared" si="569"/>
        <v>4.9822088803129709</v>
      </c>
      <c r="AD229" s="106">
        <f t="shared" si="569"/>
        <v>5.9043257890128036</v>
      </c>
      <c r="AE229" s="106">
        <f t="shared" si="569"/>
        <v>6.2051890105350136</v>
      </c>
      <c r="AF229" s="106">
        <f t="shared" si="569"/>
        <v>7.3172558998669546</v>
      </c>
      <c r="AG229" s="106">
        <f t="shared" si="569"/>
        <v>8.4849505676532502</v>
      </c>
      <c r="AH229" s="106">
        <f t="shared" si="569"/>
        <v>9.4295415547280932</v>
      </c>
      <c r="AI229" s="106">
        <f t="shared" si="569"/>
        <v>10.242482918086781</v>
      </c>
      <c r="AJ229" s="106">
        <f t="shared" si="569"/>
        <v>10.997240239228196</v>
      </c>
      <c r="AK229" s="106">
        <f t="shared" si="569"/>
        <v>11.771323851114543</v>
      </c>
      <c r="AL229" s="106">
        <f t="shared" si="569"/>
        <v>11.646946236568603</v>
      </c>
      <c r="AM229" s="106">
        <f t="shared" si="569"/>
        <v>10.895479121347435</v>
      </c>
      <c r="AN229" s="106">
        <f t="shared" si="569"/>
        <v>12.270712740227733</v>
      </c>
      <c r="AO229" s="106">
        <f t="shared" si="569"/>
        <v>14.480974546093726</v>
      </c>
      <c r="AP229" s="106">
        <f t="shared" si="569"/>
        <v>17.0981200555483</v>
      </c>
      <c r="AQ229" s="106">
        <f t="shared" si="569"/>
        <v>19.753839943404078</v>
      </c>
      <c r="AR229" s="106">
        <f t="shared" si="569"/>
        <v>25.53264845447783</v>
      </c>
      <c r="AS229" s="106">
        <f t="shared" si="569"/>
        <v>47.922796068091181</v>
      </c>
      <c r="AT229" s="106">
        <f t="shared" si="569"/>
        <v>323.36868737945736</v>
      </c>
      <c r="AU229" s="106">
        <f t="shared" si="569"/>
        <v>1488.5643504439315</v>
      </c>
      <c r="AV229" s="106">
        <f t="shared" si="569"/>
        <v>1914.365216491454</v>
      </c>
      <c r="AW229" s="106">
        <f t="shared" si="569"/>
        <v>2567.6437588648132</v>
      </c>
      <c r="AX229" s="106">
        <f t="shared" si="569"/>
        <v>3061.7078961285461</v>
      </c>
      <c r="AY229" s="106">
        <f t="shared" si="569"/>
        <v>5703.9090916339246</v>
      </c>
      <c r="AZ229" s="106">
        <f t="shared" si="569"/>
        <v>7663.3733206485804</v>
      </c>
      <c r="BA229" s="144">
        <f>SOURCE!BA129</f>
        <v>17414.953250147541</v>
      </c>
      <c r="BB229" s="144">
        <f>SOURCE!BB129</f>
        <v>18625.603818615757</v>
      </c>
      <c r="BC229" s="144">
        <f>SOURCE!BC129</f>
        <v>21815.076973819836</v>
      </c>
      <c r="BD229" s="144">
        <f>SOURCE!BD129</f>
        <v>26380.064953460136</v>
      </c>
      <c r="BE229" s="144">
        <f>SOURCE!BE129</f>
        <v>29134.294594267743</v>
      </c>
      <c r="BF229" s="144">
        <f>SOURCE!BF129</f>
        <v>35051.102897102901</v>
      </c>
      <c r="BG229" s="144">
        <f>SOURCE!BG129</f>
        <v>37836.099560045623</v>
      </c>
      <c r="BH229" s="144">
        <f>SOURCE!BH129</f>
        <v>40701.872360882982</v>
      </c>
      <c r="BI229" s="144">
        <f>SOURCE!BI129</f>
        <v>45428.524600170917</v>
      </c>
      <c r="BJ229" s="144">
        <f>SOURCE!BJ129</f>
        <v>46931.41932689229</v>
      </c>
      <c r="BK229" s="144">
        <f>SOURCE!BK129</f>
        <v>55578.521175150752</v>
      </c>
      <c r="BL229" s="144">
        <f>SOURCE!BL129</f>
        <v>60819.600295743861</v>
      </c>
      <c r="BM229" s="144">
        <f>SOURCE!BM129</f>
        <v>62039.129264435323</v>
      </c>
      <c r="BN229" s="144">
        <f>SOURCE!BN129</f>
        <v>62314.970243775482</v>
      </c>
      <c r="BO229" s="144">
        <f>SOURCE!BO129</f>
        <v>64188.336582963762</v>
      </c>
      <c r="BP229" s="144">
        <f>SOURCE!BP129</f>
        <v>81300.70415632044</v>
      </c>
      <c r="BQ229" s="144">
        <f>SOURCE!BQ129</f>
        <v>96677.000688290427</v>
      </c>
      <c r="BR229" s="109">
        <f>BQ229*(1+0.8*(0.5*BR36+0.5*BQ36)/100-3*(BQ209-BP209)/100-1.5*(BQ209-8)/100+ 9/100 +Assumptions!BR46/100)*(1+1*BR243/100)</f>
        <v>122353.61819069822</v>
      </c>
      <c r="BS229" s="109">
        <f>BR229*(1+0.8*(0.5*BS36+0.5*BR36)/100-3*(BR209-BQ209)/100-1.5*(BR209-8)/100+ 9/100 +Assumptions!BS46/100)*(1+1*BS243/100)</f>
        <v>127914.88550228058</v>
      </c>
      <c r="BT229" s="109">
        <f ca="1">BS229*(1+0.8*(0.5*BT36+0.5*BS36)/100-3*(BS209-BR209)/100-1.5*(BS209-8)/100+ 9/100 +Assumptions!BT46/100)*(1+1*BT243/100)</f>
        <v>146567.21240176211</v>
      </c>
      <c r="BU229" s="109">
        <f ca="1">BT229*(1+0.8*(0.5*BU36+0.5*BT36)/100-3*(BT209-BS209)/100-1.5*(BT209-8)/100+ 9/100 +Assumptions!BU46/100)*(1+1*BU243/100)</f>
        <v>183638.39504488916</v>
      </c>
      <c r="BV229" s="109">
        <f ca="1">BU229*(1+0.8*(0.5*BV36+0.5*BU36)/100-3*(BU209-BT209)/100-1.5*(BU209-8)/100+ 9/100 +Assumptions!BV46/100)*(1+1*BV243/100)</f>
        <v>217428.99046616183</v>
      </c>
      <c r="BW229" s="109">
        <f ca="1">BV229*(1+0.8*(0.5*BW36+0.5*BV36)/100-3*(BV209-BU209)/100-1.5*(BV209-8)/100+ 9/100 +Assumptions!BW46/100)*(1+1*BW243/100)</f>
        <v>257142.15616705851</v>
      </c>
      <c r="BX229" s="109">
        <f ca="1">BW229*(1+0.8*(0.5*BX36+0.5*BW36)/100-3*(BW209-BV209)/100-1.5*(BW209-8)/100+ 9/100 +Assumptions!BX46/100)*(1+1*BX243/100)</f>
        <v>281089.51243085682</v>
      </c>
      <c r="BY229" s="109">
        <f ca="1">BX229*(1+0.8*(0.5*BY36+0.5*BX36)/100-3*(BX209-BW209)/100-1.5*(BX209-8)/100+ 9/100 +Assumptions!BY46/100)*(1+1*BY243/100)</f>
        <v>318267.48270741431</v>
      </c>
      <c r="BZ229" s="109">
        <f ca="1">BY229*(1+0.8*(0.5*BZ36+0.5*BY36)/100-3*(BY209-BX209)/100-1.5*(BY209-8)/100+ 9/100 +Assumptions!BZ46/100)*(1+1*BZ243/100)</f>
        <v>364315.85203494888</v>
      </c>
      <c r="CA229" s="109">
        <f ca="1">BZ229*(1+0.8*(0.5*CA36+0.5*BZ36)/100-3*(BZ209-BY209)/100-1.5*(BZ209-8)/100+ 9/100 +Assumptions!CA46/100)*(1+1*CA243/100)</f>
        <v>421254.91208087688</v>
      </c>
      <c r="CB229" s="109">
        <f ca="1">CA229*(1+0.8*(0.5*CB36+0.5*CA36)/100-3*(CA209-BZ209)/100-1.5*(CA209-8)/100+ 9/100 +Assumptions!CB46/100)*(1+1*CB243/100)</f>
        <v>493165.17813017487</v>
      </c>
      <c r="CC229" s="109">
        <f ca="1">CB229*(1+0.8*(0.5*CC36+0.5*CB36)/100-3*(CB209-CA209)/100-1.5*(CB209-8)/100+ 9/100 +Assumptions!CC46/100)*(1+1*CC243/100)</f>
        <v>585702.89297644712</v>
      </c>
      <c r="CD229" s="109">
        <f ca="1">CC229*(1+0.8*(0.5*CD36+0.5*CC36)/100-3*(CC209-CB209)/100-1.5*(CC209-8)/100+ 9/100 +Assumptions!CD46/100)*(1+1*CD243/100)</f>
        <v>707516.05197455734</v>
      </c>
      <c r="CE229" s="109">
        <f ca="1">CD229*(1+0.8*(0.5*CE36+0.5*CD36)/100-3*(CD209-CC209)/100-1.5*(CD209-8)/100+ 9/100 +Assumptions!CE46/100)*(1+1*CE243/100)</f>
        <v>872120.54391338187</v>
      </c>
      <c r="CF229" s="109">
        <f ca="1">CE229*(1+0.8*(0.5*CF36+0.5*CE36)/100-3*(CE209-CD209)/100-1.5*(CE209-8)/100+ 9/100 +Assumptions!CF46/100)*(1+1*CF243/100)</f>
        <v>1101309.7518031122</v>
      </c>
      <c r="CG229" s="109">
        <f ca="1">CF229*(1+0.8*(0.5*CG36+0.5*CF36)/100-3*(CF209-CE209)/100-1.5*(CF209-8)/100+ 9/100 +Assumptions!CG46/100)*(1+1*CG243/100)</f>
        <v>1431490.1440561882</v>
      </c>
      <c r="CH229" s="254"/>
      <c r="CI229" s="106">
        <f t="shared" si="567"/>
        <v>0</v>
      </c>
      <c r="CJ229" s="106">
        <f t="shared" si="567"/>
        <v>0</v>
      </c>
      <c r="CK229" s="106">
        <f t="shared" si="567"/>
        <v>0</v>
      </c>
      <c r="CL229" s="106">
        <f t="shared" ca="1" si="567"/>
        <v>0</v>
      </c>
      <c r="CM229" s="106">
        <f t="shared" ca="1" si="567"/>
        <v>5375.4388181422546</v>
      </c>
      <c r="CN229" s="106">
        <f t="shared" ca="1" si="567"/>
        <v>13817.818896297715</v>
      </c>
      <c r="CO229" s="106">
        <f t="shared" ca="1" si="567"/>
        <v>13426.087013995479</v>
      </c>
      <c r="CP229" s="106">
        <f t="shared" ca="1" si="567"/>
        <v>9288.8982615061686</v>
      </c>
      <c r="CQ229" s="106">
        <f t="shared" ca="1" si="567"/>
        <v>3735.1522363176919</v>
      </c>
      <c r="CR229" s="106">
        <f t="shared" ca="1" si="567"/>
        <v>-4362.4454007103341</v>
      </c>
      <c r="CS229" s="106">
        <f t="shared" ca="1" si="568"/>
        <v>-10626.283562422788</v>
      </c>
      <c r="CT229" s="106">
        <f t="shared" ca="1" si="568"/>
        <v>-16352.25379627035</v>
      </c>
      <c r="CU229" s="106">
        <f t="shared" ca="1" si="568"/>
        <v>-29048.496826209011</v>
      </c>
      <c r="CV229" s="106">
        <f t="shared" ca="1" si="568"/>
        <v>-49346.269781944575</v>
      </c>
      <c r="CW229" s="106">
        <f t="shared" ca="1" si="568"/>
        <v>-80992.036120223813</v>
      </c>
      <c r="CX229" s="106">
        <f t="shared" ca="1" si="568"/>
        <v>-131088.28788881982</v>
      </c>
      <c r="CY229" s="106">
        <f t="shared" ca="1" si="568"/>
        <v>-212570.09323425754</v>
      </c>
      <c r="CZ229" s="134"/>
      <c r="DA229" s="135">
        <v>96677.000688290427</v>
      </c>
      <c r="DB229" s="135">
        <v>122353.61819069822</v>
      </c>
      <c r="DC229" s="135">
        <v>127914.88550228058</v>
      </c>
      <c r="DD229" s="135">
        <v>146567.21240176211</v>
      </c>
      <c r="DE229" s="135">
        <v>178262.9562267469</v>
      </c>
      <c r="DF229" s="135">
        <v>203611.17156986412</v>
      </c>
      <c r="DG229" s="135">
        <v>243716.06915306303</v>
      </c>
      <c r="DH229" s="135">
        <v>271800.61416935065</v>
      </c>
      <c r="DI229" s="135">
        <v>314532.33047109662</v>
      </c>
      <c r="DJ229" s="135">
        <v>368678.29743565922</v>
      </c>
      <c r="DK229" s="135">
        <v>431881.19564329967</v>
      </c>
      <c r="DL229" s="135">
        <v>509517.43192644522</v>
      </c>
      <c r="DM229" s="135">
        <v>614751.38980265614</v>
      </c>
      <c r="DN229" s="135">
        <v>756862.32175650191</v>
      </c>
      <c r="DO229" s="135">
        <v>953112.58003360569</v>
      </c>
      <c r="DP229" s="135">
        <v>1232398.039691932</v>
      </c>
      <c r="DQ229" s="135">
        <v>1644060.2372904457</v>
      </c>
    </row>
    <row r="230" spans="1:121" s="123" customFormat="1">
      <c r="A230" s="107" t="s">
        <v>1668</v>
      </c>
      <c r="B230" s="107"/>
      <c r="C230" s="136" t="s">
        <v>1735</v>
      </c>
      <c r="D230" s="14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44">
        <f>SOURCE!BF131</f>
        <v>17525.55144855145</v>
      </c>
      <c r="BG230" s="144">
        <f>SOURCE!BG131</f>
        <v>18918.049780022811</v>
      </c>
      <c r="BH230" s="144">
        <f>SOURCE!BH131</f>
        <v>20350.936180441491</v>
      </c>
      <c r="BI230" s="144">
        <f>SOURCE!BI131</f>
        <v>22714.262300085458</v>
      </c>
      <c r="BJ230" s="144">
        <f>SOURCE!BJ131</f>
        <v>23465.709663446145</v>
      </c>
      <c r="BK230" s="144">
        <f>SOURCE!BK131</f>
        <v>27789.260587575376</v>
      </c>
      <c r="BL230" s="144">
        <f>SOURCE!BL131</f>
        <v>30409.800147871931</v>
      </c>
      <c r="BM230" s="144">
        <f>SOURCE!BM131</f>
        <v>31019.564632217662</v>
      </c>
      <c r="BN230" s="144">
        <f>SOURCE!BN131</f>
        <v>31157.485121887741</v>
      </c>
      <c r="BO230" s="109">
        <f t="shared" ref="BO230:CB230" si="570">BN230*(BO229/BN229)</f>
        <v>32094.168291481881</v>
      </c>
      <c r="BP230" s="109">
        <f t="shared" si="570"/>
        <v>40650.35207816022</v>
      </c>
      <c r="BQ230" s="109">
        <f t="shared" si="570"/>
        <v>48338.500344145221</v>
      </c>
      <c r="BR230" s="109">
        <f t="shared" si="570"/>
        <v>61176.809095349119</v>
      </c>
      <c r="BS230" s="109">
        <f t="shared" si="570"/>
        <v>63957.442751140297</v>
      </c>
      <c r="BT230" s="109">
        <f t="shared" ca="1" si="570"/>
        <v>73283.606200881055</v>
      </c>
      <c r="BU230" s="109">
        <f t="shared" ca="1" si="570"/>
        <v>91819.197522444578</v>
      </c>
      <c r="BV230" s="109">
        <f t="shared" ca="1" si="570"/>
        <v>108714.49523308092</v>
      </c>
      <c r="BW230" s="109">
        <f t="shared" ca="1" si="570"/>
        <v>128571.07808352925</v>
      </c>
      <c r="BX230" s="109">
        <f t="shared" ca="1" si="570"/>
        <v>140544.75621542841</v>
      </c>
      <c r="BY230" s="109">
        <f t="shared" ca="1" si="570"/>
        <v>159133.74135370716</v>
      </c>
      <c r="BZ230" s="109">
        <f t="shared" ca="1" si="570"/>
        <v>182157.92601747444</v>
      </c>
      <c r="CA230" s="109">
        <f t="shared" ca="1" si="570"/>
        <v>210627.45604043844</v>
      </c>
      <c r="CB230" s="109">
        <f t="shared" ca="1" si="570"/>
        <v>246582.58906508744</v>
      </c>
      <c r="CC230" s="109">
        <f ca="1">CB230*(CC229/CB229)</f>
        <v>292851.44648822356</v>
      </c>
      <c r="CD230" s="109">
        <f ca="1">CC230*(CD229/CC229)</f>
        <v>353758.02598727867</v>
      </c>
      <c r="CE230" s="109">
        <f ca="1">CD230*(CE229/CD229)</f>
        <v>436060.27195669094</v>
      </c>
      <c r="CF230" s="109">
        <f ca="1">CE230*(CF229/CE229)</f>
        <v>550654.87590155611</v>
      </c>
      <c r="CG230" s="109">
        <f ca="1">CF230*(CG229/CF229)</f>
        <v>715745.07202809409</v>
      </c>
      <c r="CH230" s="254"/>
      <c r="CI230" s="106">
        <f t="shared" si="567"/>
        <v>0</v>
      </c>
      <c r="CJ230" s="106">
        <f t="shared" si="567"/>
        <v>0</v>
      </c>
      <c r="CK230" s="106">
        <f t="shared" si="567"/>
        <v>0</v>
      </c>
      <c r="CL230" s="106">
        <f t="shared" ca="1" si="567"/>
        <v>0</v>
      </c>
      <c r="CM230" s="106">
        <f t="shared" ca="1" si="567"/>
        <v>2687.7194090711273</v>
      </c>
      <c r="CN230" s="106">
        <f t="shared" ca="1" si="567"/>
        <v>6908.9094481488573</v>
      </c>
      <c r="CO230" s="106">
        <f t="shared" ca="1" si="567"/>
        <v>6713.0435069977248</v>
      </c>
      <c r="CP230" s="106">
        <f t="shared" ca="1" si="567"/>
        <v>4644.4491307530843</v>
      </c>
      <c r="CQ230" s="106">
        <f t="shared" ca="1" si="567"/>
        <v>1867.5761181588459</v>
      </c>
      <c r="CR230" s="106">
        <f t="shared" ca="1" si="567"/>
        <v>-2181.222700355167</v>
      </c>
      <c r="CS230" s="106">
        <f t="shared" ca="1" si="568"/>
        <v>-5313.1417812113941</v>
      </c>
      <c r="CT230" s="106">
        <f t="shared" ca="1" si="568"/>
        <v>-8176.126898135175</v>
      </c>
      <c r="CU230" s="106">
        <f t="shared" ca="1" si="568"/>
        <v>-14524.248413104506</v>
      </c>
      <c r="CV230" s="106">
        <f t="shared" ca="1" si="568"/>
        <v>-24673.134890972287</v>
      </c>
      <c r="CW230" s="106">
        <f t="shared" ca="1" si="568"/>
        <v>-40496.018060111906</v>
      </c>
      <c r="CX230" s="106">
        <f t="shared" ca="1" si="568"/>
        <v>-65544.143944409909</v>
      </c>
      <c r="CY230" s="106">
        <f t="shared" ca="1" si="568"/>
        <v>-106285.04661712877</v>
      </c>
      <c r="CZ230" s="134"/>
      <c r="DA230" s="135">
        <v>48338.500344145221</v>
      </c>
      <c r="DB230" s="135">
        <v>61176.809095349119</v>
      </c>
      <c r="DC230" s="135">
        <v>63957.442751140297</v>
      </c>
      <c r="DD230" s="135">
        <v>73283.606200881055</v>
      </c>
      <c r="DE230" s="135">
        <v>89131.47811337345</v>
      </c>
      <c r="DF230" s="135">
        <v>101805.58578493206</v>
      </c>
      <c r="DG230" s="135">
        <v>121858.03457653153</v>
      </c>
      <c r="DH230" s="135">
        <v>135900.30708467533</v>
      </c>
      <c r="DI230" s="135">
        <v>157266.16523554831</v>
      </c>
      <c r="DJ230" s="135">
        <v>184339.14871782961</v>
      </c>
      <c r="DK230" s="135">
        <v>215940.59782164983</v>
      </c>
      <c r="DL230" s="135">
        <v>254758.71596322261</v>
      </c>
      <c r="DM230" s="135">
        <v>307375.69490132807</v>
      </c>
      <c r="DN230" s="135">
        <v>378431.16087825096</v>
      </c>
      <c r="DO230" s="135">
        <v>476556.29001680284</v>
      </c>
      <c r="DP230" s="135">
        <v>616199.01984596602</v>
      </c>
      <c r="DQ230" s="135">
        <v>822030.11864522286</v>
      </c>
    </row>
    <row r="231" spans="1:121" s="123" customFormat="1">
      <c r="A231" s="107" t="s">
        <v>1669</v>
      </c>
      <c r="B231" s="107"/>
      <c r="C231" s="136" t="s">
        <v>1735</v>
      </c>
      <c r="D231" s="14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44">
        <f>SOURCE!BF132</f>
        <v>26288.327172827176</v>
      </c>
      <c r="BG231" s="144">
        <f>SOURCE!BG132</f>
        <v>28377.074670034217</v>
      </c>
      <c r="BH231" s="144">
        <f>SOURCE!BH132</f>
        <v>30526.404270662235</v>
      </c>
      <c r="BI231" s="144">
        <f>SOURCE!BI132</f>
        <v>34071.393450128191</v>
      </c>
      <c r="BJ231" s="144">
        <f>SOURCE!BJ132</f>
        <v>35198.564495169216</v>
      </c>
      <c r="BK231" s="144">
        <f>SOURCE!BK132</f>
        <v>41683.890881363062</v>
      </c>
      <c r="BL231" s="144">
        <f>SOURCE!BL132</f>
        <v>45614.7002218079</v>
      </c>
      <c r="BM231" s="144">
        <f>SOURCE!BM132</f>
        <v>46529.346948326493</v>
      </c>
      <c r="BN231" s="144">
        <f>SOURCE!BN132</f>
        <v>46736.22768283161</v>
      </c>
      <c r="BO231" s="109">
        <f t="shared" ref="BO231:CB231" si="571">BN231*(BO229/BN229)</f>
        <v>48141.252437222814</v>
      </c>
      <c r="BP231" s="109">
        <f t="shared" si="571"/>
        <v>60975.528117240319</v>
      </c>
      <c r="BQ231" s="109">
        <f t="shared" si="571"/>
        <v>72507.750516217813</v>
      </c>
      <c r="BR231" s="109">
        <f t="shared" si="571"/>
        <v>91765.213643023657</v>
      </c>
      <c r="BS231" s="109">
        <f t="shared" si="571"/>
        <v>95936.164126710428</v>
      </c>
      <c r="BT231" s="109">
        <f t="shared" ca="1" si="571"/>
        <v>109925.40930132158</v>
      </c>
      <c r="BU231" s="109">
        <f t="shared" ca="1" si="571"/>
        <v>137728.79628366686</v>
      </c>
      <c r="BV231" s="109">
        <f t="shared" ca="1" si="571"/>
        <v>163071.74284962137</v>
      </c>
      <c r="BW231" s="109">
        <f t="shared" ca="1" si="571"/>
        <v>192856.61712529385</v>
      </c>
      <c r="BX231" s="109">
        <f t="shared" ca="1" si="571"/>
        <v>210817.13432314259</v>
      </c>
      <c r="BY231" s="109">
        <f t="shared" ca="1" si="571"/>
        <v>238700.6120305607</v>
      </c>
      <c r="BZ231" s="109">
        <f t="shared" ca="1" si="571"/>
        <v>273236.88902621163</v>
      </c>
      <c r="CA231" s="109">
        <f t="shared" ca="1" si="571"/>
        <v>315941.18406065763</v>
      </c>
      <c r="CB231" s="109">
        <f t="shared" ca="1" si="571"/>
        <v>369873.88359763112</v>
      </c>
      <c r="CC231" s="109">
        <f ca="1">CB231*(CC229/CB229)</f>
        <v>439277.16973233526</v>
      </c>
      <c r="CD231" s="109">
        <f ca="1">CC231*(CD229/CC229)</f>
        <v>530637.03898091789</v>
      </c>
      <c r="CE231" s="109">
        <f ca="1">CD231*(CE229/CD229)</f>
        <v>654090.40793503623</v>
      </c>
      <c r="CF231" s="109">
        <f ca="1">CE231*(CF229/CE229)</f>
        <v>825982.31385233393</v>
      </c>
      <c r="CG231" s="109">
        <f ca="1">CF231*(CG229/CF229)</f>
        <v>1073617.608042141</v>
      </c>
      <c r="CH231" s="254"/>
      <c r="CI231" s="106">
        <f t="shared" si="567"/>
        <v>0</v>
      </c>
      <c r="CJ231" s="106">
        <f t="shared" si="567"/>
        <v>0</v>
      </c>
      <c r="CK231" s="106">
        <f t="shared" si="567"/>
        <v>0</v>
      </c>
      <c r="CL231" s="106">
        <f t="shared" ca="1" si="567"/>
        <v>0</v>
      </c>
      <c r="CM231" s="106">
        <f t="shared" ca="1" si="567"/>
        <v>4031.5791136066837</v>
      </c>
      <c r="CN231" s="106">
        <f t="shared" ca="1" si="567"/>
        <v>10363.364172223286</v>
      </c>
      <c r="CO231" s="106">
        <f t="shared" ca="1" si="567"/>
        <v>10069.565260496573</v>
      </c>
      <c r="CP231" s="106">
        <f t="shared" ca="1" si="567"/>
        <v>6966.6736961296119</v>
      </c>
      <c r="CQ231" s="106">
        <f t="shared" ca="1" si="567"/>
        <v>2801.3641772382543</v>
      </c>
      <c r="CR231" s="106">
        <f t="shared" ca="1" si="567"/>
        <v>-3271.8340505327797</v>
      </c>
      <c r="CS231" s="106">
        <f t="shared" ca="1" si="568"/>
        <v>-7969.7126718171057</v>
      </c>
      <c r="CT231" s="106">
        <f t="shared" ca="1" si="568"/>
        <v>-12264.190347202762</v>
      </c>
      <c r="CU231" s="106">
        <f t="shared" ca="1" si="568"/>
        <v>-21786.372619656788</v>
      </c>
      <c r="CV231" s="106">
        <f t="shared" ca="1" si="568"/>
        <v>-37009.702336458489</v>
      </c>
      <c r="CW231" s="106">
        <f t="shared" ca="1" si="568"/>
        <v>-60744.027090167976</v>
      </c>
      <c r="CX231" s="106">
        <f t="shared" ca="1" si="568"/>
        <v>-98316.215916615096</v>
      </c>
      <c r="CY231" s="106">
        <f t="shared" ca="1" si="568"/>
        <v>-159427.56992569333</v>
      </c>
      <c r="CZ231" s="134"/>
      <c r="DA231" s="135">
        <v>72507.750516217813</v>
      </c>
      <c r="DB231" s="135">
        <v>91765.213643023657</v>
      </c>
      <c r="DC231" s="135">
        <v>95936.164126710428</v>
      </c>
      <c r="DD231" s="135">
        <v>109925.40930132158</v>
      </c>
      <c r="DE231" s="135">
        <v>133697.21717006018</v>
      </c>
      <c r="DF231" s="135">
        <v>152708.37867739808</v>
      </c>
      <c r="DG231" s="135">
        <v>182787.05186479728</v>
      </c>
      <c r="DH231" s="135">
        <v>203850.46062701297</v>
      </c>
      <c r="DI231" s="135">
        <v>235899.24785332245</v>
      </c>
      <c r="DJ231" s="135">
        <v>276508.72307674441</v>
      </c>
      <c r="DK231" s="135">
        <v>323910.89673247474</v>
      </c>
      <c r="DL231" s="135">
        <v>382138.07394483389</v>
      </c>
      <c r="DM231" s="135">
        <v>461063.54235199204</v>
      </c>
      <c r="DN231" s="135">
        <v>567646.74131737638</v>
      </c>
      <c r="DO231" s="135">
        <v>714834.43502520421</v>
      </c>
      <c r="DP231" s="135">
        <v>924298.52976894903</v>
      </c>
      <c r="DQ231" s="135">
        <v>1233045.1779678343</v>
      </c>
    </row>
    <row r="232" spans="1:121" s="123" customFormat="1">
      <c r="A232" s="107" t="s">
        <v>1670</v>
      </c>
      <c r="B232" s="107"/>
      <c r="C232" s="136" t="s">
        <v>1735</v>
      </c>
      <c r="D232" s="14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44">
        <f>SOURCE!BF133</f>
        <v>2700</v>
      </c>
      <c r="BG232" s="144">
        <f>SOURCE!BG133</f>
        <v>2750</v>
      </c>
      <c r="BH232" s="144">
        <f>SOURCE!BH133</f>
        <v>3300</v>
      </c>
      <c r="BI232" s="144">
        <f>SOURCE!BI133</f>
        <v>3300</v>
      </c>
      <c r="BJ232" s="144">
        <f>SOURCE!BJ133</f>
        <v>3375</v>
      </c>
      <c r="BK232" s="144">
        <f>SOURCE!BK133</f>
        <v>5025</v>
      </c>
      <c r="BL232" s="144">
        <f>SOURCE!BL133</f>
        <v>6300</v>
      </c>
      <c r="BM232" s="144">
        <f>SOURCE!BM133</f>
        <v>6300</v>
      </c>
      <c r="BN232" s="144">
        <f>SOURCE!BN133</f>
        <v>6300</v>
      </c>
      <c r="BO232" s="144">
        <f>SOURCE!BO133</f>
        <v>6300</v>
      </c>
      <c r="BP232" s="144">
        <f>SOURCE!BP133</f>
        <v>6300</v>
      </c>
      <c r="BQ232" s="144">
        <f>SOURCE!BQ133</f>
        <v>6300</v>
      </c>
      <c r="BR232" s="144">
        <f>SOURCE!BR133</f>
        <v>6300</v>
      </c>
      <c r="BS232" s="144">
        <f>SOURCE!BS133</f>
        <v>6300</v>
      </c>
      <c r="BT232" s="144">
        <f>SOURCE!BT133</f>
        <v>9450</v>
      </c>
      <c r="BU232" s="109">
        <f ca="1">BT232*(BU228/BT228)*(1+Assumptions!BU40/100)</f>
        <v>14608.170430422695</v>
      </c>
      <c r="BV232" s="109">
        <f ca="1">BU232*(BV228/BU228)*(1+Assumptions!BV40/100)</f>
        <v>17836.668854613214</v>
      </c>
      <c r="BW232" s="109">
        <f ca="1">BV232*(BW228/BV228)*(1+Assumptions!BW40/100)</f>
        <v>21733.744562473286</v>
      </c>
      <c r="BX232" s="109">
        <f ca="1">BW232*(BX228/BW228)*(1+Assumptions!BX40/100)</f>
        <v>24477.716282937439</v>
      </c>
      <c r="BY232" s="109">
        <f ca="1">BX232*(BY228/BX228)*(1+Assumptions!BY40/100)</f>
        <v>27715.232334444012</v>
      </c>
      <c r="BZ232" s="109">
        <f ca="1">BY232*(BZ228/BY228)*(1+Assumptions!BZ40/100)</f>
        <v>31725.196669091965</v>
      </c>
      <c r="CA232" s="109">
        <f ca="1">BZ232*(CA228/BZ228)*(1+Assumptions!CA40/100)</f>
        <v>36683.539458790241</v>
      </c>
      <c r="CB232" s="109">
        <f ca="1">CA232*(CB228/CA228)*(1+Assumptions!CB40/100)</f>
        <v>42945.598384301491</v>
      </c>
      <c r="CC232" s="109">
        <f ca="1">CB232*(CC228/CB228)*(1+Assumptions!CC40/100)</f>
        <v>51003.927953020837</v>
      </c>
      <c r="CD232" s="109">
        <f ca="1">CC232*(CD228/CC228)*(1+Assumptions!CD40/100)</f>
        <v>61611.609184875786</v>
      </c>
      <c r="CE232" s="109">
        <f ca="1">CD232*(CE228/CD228)*(1+Assumptions!CE40/100)</f>
        <v>75945.626906602745</v>
      </c>
      <c r="CF232" s="109">
        <f ca="1">CE232*(CF228/CE228)*(1+Assumptions!CF40/100)</f>
        <v>95903.783144168265</v>
      </c>
      <c r="CG232" s="109">
        <f ca="1">CF232*(CG228/CF228)*(1+Assumptions!CG40/100)</f>
        <v>124656.41035486085</v>
      </c>
      <c r="CH232" s="254"/>
      <c r="CI232" s="106">
        <f t="shared" si="567"/>
        <v>0</v>
      </c>
      <c r="CJ232" s="106">
        <f t="shared" si="567"/>
        <v>0</v>
      </c>
      <c r="CK232" s="106">
        <f t="shared" si="567"/>
        <v>0</v>
      </c>
      <c r="CL232" s="106">
        <f t="shared" si="567"/>
        <v>0</v>
      </c>
      <c r="CM232" s="106">
        <f t="shared" ca="1" si="567"/>
        <v>427.60843327201292</v>
      </c>
      <c r="CN232" s="106">
        <f t="shared" ca="1" si="567"/>
        <v>1133.5372501057354</v>
      </c>
      <c r="CO232" s="106">
        <f t="shared" ca="1" si="567"/>
        <v>1134.7775486728933</v>
      </c>
      <c r="CP232" s="106">
        <f t="shared" ca="1" si="567"/>
        <v>808.89185178030311</v>
      </c>
      <c r="CQ232" s="106">
        <f t="shared" ca="1" si="567"/>
        <v>325.26292398274745</v>
      </c>
      <c r="CR232" s="106">
        <f t="shared" ca="1" si="567"/>
        <v>-379.88859810153372</v>
      </c>
      <c r="CS232" s="106">
        <f t="shared" ca="1" si="568"/>
        <v>-925.35346457303967</v>
      </c>
      <c r="CT232" s="106">
        <f t="shared" ca="1" si="568"/>
        <v>-1423.9799469935097</v>
      </c>
      <c r="CU232" s="106">
        <f t="shared" ca="1" si="568"/>
        <v>-2529.58873352722</v>
      </c>
      <c r="CV232" s="106">
        <f t="shared" ca="1" si="568"/>
        <v>-4297.1506866191849</v>
      </c>
      <c r="CW232" s="106">
        <f t="shared" ca="1" si="568"/>
        <v>-7052.9137290954968</v>
      </c>
      <c r="CX232" s="106">
        <f t="shared" ca="1" si="568"/>
        <v>-11415.374025197467</v>
      </c>
      <c r="CY232" s="106">
        <f t="shared" ca="1" si="568"/>
        <v>-18510.937627762207</v>
      </c>
      <c r="CZ232" s="134"/>
      <c r="DA232" s="135">
        <v>6300</v>
      </c>
      <c r="DB232" s="135">
        <v>6300</v>
      </c>
      <c r="DC232" s="135">
        <v>6300</v>
      </c>
      <c r="DD232" s="135">
        <v>9450</v>
      </c>
      <c r="DE232" s="135">
        <v>14180.561997150682</v>
      </c>
      <c r="DF232" s="135">
        <v>16703.131604507478</v>
      </c>
      <c r="DG232" s="135">
        <v>20598.967013800393</v>
      </c>
      <c r="DH232" s="135">
        <v>23668.824431157136</v>
      </c>
      <c r="DI232" s="135">
        <v>27389.969410461264</v>
      </c>
      <c r="DJ232" s="135">
        <v>32105.085267193499</v>
      </c>
      <c r="DK232" s="135">
        <v>37608.892923363281</v>
      </c>
      <c r="DL232" s="135">
        <v>44369.578331295001</v>
      </c>
      <c r="DM232" s="135">
        <v>53533.516686548057</v>
      </c>
      <c r="DN232" s="135">
        <v>65908.759871494971</v>
      </c>
      <c r="DO232" s="135">
        <v>82998.540635698242</v>
      </c>
      <c r="DP232" s="135">
        <v>107319.15716936573</v>
      </c>
      <c r="DQ232" s="135">
        <v>143167.34798262306</v>
      </c>
    </row>
    <row r="233" spans="1:121" s="123" customFormat="1">
      <c r="A233" s="141" t="s">
        <v>3435</v>
      </c>
      <c r="B233" s="141"/>
      <c r="C233" s="136" t="s">
        <v>1735</v>
      </c>
      <c r="D233" s="102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BF233" s="114">
        <f t="shared" ref="BF233:BM233" si="572">BG233/(1+BG36/100)</f>
        <v>3677.6433369218057</v>
      </c>
      <c r="BG233" s="114">
        <f t="shared" si="572"/>
        <v>3913.0125104848016</v>
      </c>
      <c r="BH233" s="114">
        <f t="shared" si="572"/>
        <v>4488.2253495260675</v>
      </c>
      <c r="BI233" s="114">
        <f t="shared" si="572"/>
        <v>4483.7371241765413</v>
      </c>
      <c r="BJ233" s="114">
        <f t="shared" si="572"/>
        <v>4793.1149857447226</v>
      </c>
      <c r="BK233" s="114">
        <f t="shared" si="572"/>
        <v>5641.4963382215392</v>
      </c>
      <c r="BL233" s="114">
        <f t="shared" si="572"/>
        <v>5923.5711551326167</v>
      </c>
      <c r="BM233" s="114">
        <f t="shared" si="572"/>
        <v>6036.1190070801358</v>
      </c>
      <c r="BN233" s="114">
        <f>BO233/(1+BO36/100)</f>
        <v>6241.3470533208611</v>
      </c>
      <c r="BO233" s="144">
        <f>SOURCE!BO135</f>
        <v>6672</v>
      </c>
      <c r="BP233" s="114">
        <f>BO233*(1+BP36/100)</f>
        <v>10374.960000000001</v>
      </c>
      <c r="BQ233" s="114">
        <f>BP233*(1+BQ36/100)</f>
        <v>12657.451200000001</v>
      </c>
      <c r="BR233" s="144">
        <f>SOURCE!BR135</f>
        <v>13836</v>
      </c>
      <c r="BS233" s="114">
        <f>BR233*(1+BS36/100)</f>
        <v>14444.784</v>
      </c>
      <c r="BT233" s="114">
        <f t="shared" ref="BT233:CG233" ca="1" si="573">BS233*(1+BT36/100)</f>
        <v>19391.384773304922</v>
      </c>
      <c r="BU233" s="114">
        <f t="shared" ca="1" si="573"/>
        <v>29279.265627642475</v>
      </c>
      <c r="BV233" s="114">
        <f t="shared" ca="1" si="573"/>
        <v>34085.084691371987</v>
      </c>
      <c r="BW233" s="114">
        <f t="shared" ca="1" si="573"/>
        <v>37035.323659937654</v>
      </c>
      <c r="BX233" s="114">
        <f t="shared" ca="1" si="573"/>
        <v>38924.054283609636</v>
      </c>
      <c r="BY233" s="114">
        <f t="shared" ca="1" si="573"/>
        <v>41295.177271877459</v>
      </c>
      <c r="BZ233" s="114">
        <f t="shared" ca="1" si="573"/>
        <v>44117.117829647177</v>
      </c>
      <c r="CA233" s="114">
        <f t="shared" ca="1" si="573"/>
        <v>47460.060943143937</v>
      </c>
      <c r="CB233" s="114">
        <f t="shared" ca="1" si="573"/>
        <v>51494.250762640972</v>
      </c>
      <c r="CC233" s="114">
        <f t="shared" ca="1" si="573"/>
        <v>56458.344719693589</v>
      </c>
      <c r="CD233" s="114">
        <f t="shared" ca="1" si="573"/>
        <v>62709.502129837776</v>
      </c>
      <c r="CE233" s="114">
        <f t="shared" ca="1" si="573"/>
        <v>70794.915057748891</v>
      </c>
      <c r="CF233" s="114">
        <f t="shared" ca="1" si="573"/>
        <v>81578.441790978613</v>
      </c>
      <c r="CG233" s="114">
        <f t="shared" ca="1" si="573"/>
        <v>96472.364071030301</v>
      </c>
      <c r="CH233" s="254"/>
      <c r="CZ233" s="181"/>
      <c r="DA233" s="123">
        <v>12657.451200000001</v>
      </c>
      <c r="DB233" s="123">
        <v>13836</v>
      </c>
      <c r="DC233" s="123">
        <v>14444.784</v>
      </c>
      <c r="DD233" s="123">
        <v>19391.384773304922</v>
      </c>
      <c r="DE233" s="123">
        <v>26932.117619460638</v>
      </c>
      <c r="DF233" s="123">
        <v>30246.631744385722</v>
      </c>
      <c r="DG233" s="123">
        <v>32752.186916214196</v>
      </c>
      <c r="DH233" s="123">
        <v>34546.957187964021</v>
      </c>
      <c r="DI233" s="123">
        <v>36860.174689057414</v>
      </c>
      <c r="DJ233" s="123">
        <v>39668.14335764393</v>
      </c>
      <c r="DK233" s="123">
        <v>42864.630439763016</v>
      </c>
      <c r="DL233" s="123">
        <v>46607.497155085068</v>
      </c>
      <c r="DM233" s="123">
        <v>51402.883492977198</v>
      </c>
      <c r="DN233" s="123">
        <v>57587.215609759631</v>
      </c>
      <c r="DO233" s="123">
        <v>65740.198981999201</v>
      </c>
      <c r="DP233" s="123">
        <v>76822.693680097</v>
      </c>
      <c r="DQ233" s="123">
        <v>92443.496201902104</v>
      </c>
    </row>
    <row r="234" spans="1:121" s="123" customFormat="1">
      <c r="A234" s="141" t="s">
        <v>3436</v>
      </c>
      <c r="B234" s="141"/>
      <c r="C234" s="158" t="s">
        <v>3437</v>
      </c>
      <c r="D234" s="102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BF234" s="114">
        <f t="shared" ref="BF234:BS234" si="574">100*BF232/BF233</f>
        <v>73.416581017883729</v>
      </c>
      <c r="BG234" s="114">
        <f t="shared" si="574"/>
        <v>70.278333959614386</v>
      </c>
      <c r="BH234" s="114">
        <f t="shared" si="574"/>
        <v>73.525719922874686</v>
      </c>
      <c r="BI234" s="114">
        <f t="shared" si="574"/>
        <v>73.599319242116806</v>
      </c>
      <c r="BJ234" s="114">
        <f t="shared" si="574"/>
        <v>70.413499572566892</v>
      </c>
      <c r="BK234" s="114">
        <f t="shared" si="574"/>
        <v>89.072113119267087</v>
      </c>
      <c r="BL234" s="114">
        <f t="shared" si="574"/>
        <v>106.35476193345323</v>
      </c>
      <c r="BM234" s="114">
        <f t="shared" si="574"/>
        <v>104.37169964028777</v>
      </c>
      <c r="BN234" s="114">
        <f t="shared" si="574"/>
        <v>100.93974820143885</v>
      </c>
      <c r="BO234" s="114">
        <f t="shared" si="574"/>
        <v>94.42446043165468</v>
      </c>
      <c r="BP234" s="114">
        <f t="shared" si="574"/>
        <v>60.723125679520685</v>
      </c>
      <c r="BQ234" s="114">
        <f t="shared" si="574"/>
        <v>49.773053835672691</v>
      </c>
      <c r="BR234" s="114">
        <f t="shared" si="574"/>
        <v>45.533391153512575</v>
      </c>
      <c r="BS234" s="114">
        <f t="shared" si="574"/>
        <v>43.614359342444999</v>
      </c>
      <c r="BT234" s="114">
        <f ca="1">100*BT232/BT233</f>
        <v>48.732981736349778</v>
      </c>
      <c r="BU234" s="114">
        <f t="shared" ref="BU234:CG234" ca="1" si="575">100*BU232/BU233</f>
        <v>49.892543809675203</v>
      </c>
      <c r="BV234" s="114">
        <f t="shared" ca="1" si="575"/>
        <v>52.329835809761796</v>
      </c>
      <c r="BW234" s="114">
        <f t="shared" ca="1" si="575"/>
        <v>58.683825101772783</v>
      </c>
      <c r="BX234" s="114">
        <f t="shared" ca="1" si="575"/>
        <v>62.885834308489947</v>
      </c>
      <c r="BY234" s="114">
        <f t="shared" ca="1" si="575"/>
        <v>67.114937301209835</v>
      </c>
      <c r="BZ234" s="114">
        <f t="shared" ca="1" si="575"/>
        <v>71.911308421359053</v>
      </c>
      <c r="CA234" s="114">
        <f t="shared" ca="1" si="575"/>
        <v>77.29349421345303</v>
      </c>
      <c r="CB234" s="114">
        <f t="shared" ca="1" si="575"/>
        <v>83.398821709740233</v>
      </c>
      <c r="CC234" s="114">
        <f t="shared" ca="1" si="575"/>
        <v>90.339042361668533</v>
      </c>
      <c r="CD234" s="114">
        <f t="shared" ca="1" si="575"/>
        <v>98.249239895592154</v>
      </c>
      <c r="CE234" s="114">
        <f t="shared" ca="1" si="575"/>
        <v>107.27553927376326</v>
      </c>
      <c r="CF234" s="114">
        <f t="shared" ca="1" si="575"/>
        <v>117.56020467992541</v>
      </c>
      <c r="CG234" s="114">
        <f t="shared" ca="1" si="575"/>
        <v>129.21463214385346</v>
      </c>
      <c r="CH234" s="254"/>
      <c r="CZ234" s="181"/>
      <c r="DA234" s="123">
        <v>49.773053835672691</v>
      </c>
      <c r="DB234" s="123">
        <v>45.533391153512575</v>
      </c>
      <c r="DC234" s="123">
        <v>43.614359342444999</v>
      </c>
      <c r="DD234" s="123">
        <v>48.732981736349778</v>
      </c>
      <c r="DE234" s="123">
        <v>52.652978118972996</v>
      </c>
      <c r="DF234" s="123">
        <v>55.223112925980118</v>
      </c>
      <c r="DG234" s="123">
        <v>62.893409427883832</v>
      </c>
      <c r="DH234" s="123">
        <v>68.512037984645517</v>
      </c>
      <c r="DI234" s="123">
        <v>74.307758011229552</v>
      </c>
      <c r="DJ234" s="123">
        <v>80.934176771867868</v>
      </c>
      <c r="DK234" s="123">
        <v>87.738754627114915</v>
      </c>
      <c r="DL234" s="123">
        <v>95.198371591713112</v>
      </c>
      <c r="DM234" s="123">
        <v>104.14496823677597</v>
      </c>
      <c r="DN234" s="123">
        <v>114.45033272337106</v>
      </c>
      <c r="DO234" s="123">
        <v>126.25234167366099</v>
      </c>
      <c r="DP234" s="123">
        <v>139.69720668252182</v>
      </c>
      <c r="DQ234" s="123">
        <v>154.87011403153451</v>
      </c>
    </row>
    <row r="235" spans="1:121" s="123" customFormat="1">
      <c r="A235" s="107" t="s">
        <v>3415</v>
      </c>
      <c r="B235" s="107"/>
      <c r="C235" s="136" t="s">
        <v>1349</v>
      </c>
      <c r="D235" s="14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>
        <f>+((BG232/BF232)/(1+BG36/100)-1)*100</f>
        <v>-4.2745753272069091</v>
      </c>
      <c r="BH235" s="106">
        <f t="shared" ref="BH235:CG235" si="576">+((BH232/BG232)/(1+BH36/100)-1)*100</f>
        <v>4.6207497820401011</v>
      </c>
      <c r="BI235" s="106">
        <f t="shared" si="576"/>
        <v>0.10010010010010895</v>
      </c>
      <c r="BJ235" s="106">
        <f t="shared" si="576"/>
        <v>-4.3285993706947856</v>
      </c>
      <c r="BK235" s="106">
        <f t="shared" si="576"/>
        <v>26.498631171528373</v>
      </c>
      <c r="BL235" s="106">
        <f t="shared" si="576"/>
        <v>19.402985074626876</v>
      </c>
      <c r="BM235" s="106">
        <f t="shared" si="576"/>
        <v>-1.8645731108930197</v>
      </c>
      <c r="BN235" s="106">
        <f t="shared" si="576"/>
        <v>-3.2882011605415928</v>
      </c>
      <c r="BO235" s="106">
        <f t="shared" si="576"/>
        <v>-6.4546304957904592</v>
      </c>
      <c r="BP235" s="106">
        <f t="shared" si="576"/>
        <v>-35.691318327974287</v>
      </c>
      <c r="BQ235" s="106">
        <f t="shared" si="576"/>
        <v>-18.032786885245898</v>
      </c>
      <c r="BR235" s="106">
        <f t="shared" si="576"/>
        <v>-6.4546304957904592</v>
      </c>
      <c r="BS235" s="106">
        <f t="shared" si="576"/>
        <v>-4.2145593869731819</v>
      </c>
      <c r="BT235" s="106">
        <f t="shared" ca="1" si="576"/>
        <v>11.73609442182817</v>
      </c>
      <c r="BU235" s="106">
        <f t="shared" ca="1" si="576"/>
        <v>2.3794195060724332</v>
      </c>
      <c r="BV235" s="106">
        <f t="shared" ca="1" si="576"/>
        <v>4.885082647587824</v>
      </c>
      <c r="BW235" s="106">
        <f t="shared" ca="1" si="576"/>
        <v>12.142192295634292</v>
      </c>
      <c r="BX235" s="106">
        <f t="shared" ca="1" si="576"/>
        <v>7.1604214609899852</v>
      </c>
      <c r="BY235" s="106">
        <f t="shared" ca="1" si="576"/>
        <v>6.7250487160173344</v>
      </c>
      <c r="BZ235" s="106">
        <f t="shared" ca="1" si="576"/>
        <v>7.1465031675783885</v>
      </c>
      <c r="CA235" s="106">
        <f t="shared" ca="1" si="576"/>
        <v>7.4844776298012228</v>
      </c>
      <c r="CB235" s="106">
        <f t="shared" ca="1" si="576"/>
        <v>7.8988892382414244</v>
      </c>
      <c r="CC235" s="106">
        <f t="shared" ca="1" si="576"/>
        <v>8.3217250671513412</v>
      </c>
      <c r="CD235" s="106">
        <f t="shared" ca="1" si="576"/>
        <v>8.7561228535669944</v>
      </c>
      <c r="CE235" s="106">
        <f t="shared" ca="1" si="576"/>
        <v>9.1871442341571186</v>
      </c>
      <c r="CF235" s="106">
        <f t="shared" ca="1" si="576"/>
        <v>9.5871486415146876</v>
      </c>
      <c r="CG235" s="106">
        <f t="shared" ca="1" si="576"/>
        <v>9.9135821476824759</v>
      </c>
      <c r="CH235" s="141"/>
      <c r="CI235" s="106">
        <f t="shared" si="567"/>
        <v>0</v>
      </c>
      <c r="CJ235" s="106">
        <f t="shared" ref="CJ235:CR235" si="577">BR235-DB235</f>
        <v>0</v>
      </c>
      <c r="CK235" s="106">
        <f t="shared" si="577"/>
        <v>0</v>
      </c>
      <c r="CL235" s="106">
        <f t="shared" ca="1" si="577"/>
        <v>0</v>
      </c>
      <c r="CM235" s="106">
        <f t="shared" ca="1" si="577"/>
        <v>-5.6644067548175636</v>
      </c>
      <c r="CN235" s="106">
        <f t="shared" ca="1" si="577"/>
        <v>3.8111624313330594E-3</v>
      </c>
      <c r="CO235" s="106">
        <f t="shared" ca="1" si="577"/>
        <v>-1.7474566131202778</v>
      </c>
      <c r="CP235" s="106">
        <f t="shared" ca="1" si="577"/>
        <v>-1.7731514012099048</v>
      </c>
      <c r="CQ235" s="106">
        <f t="shared" ca="1" si="577"/>
        <v>-1.7343697994308895</v>
      </c>
      <c r="CR235" s="106">
        <f t="shared" ca="1" si="577"/>
        <v>-1.7710297226440685</v>
      </c>
      <c r="CS235" s="106">
        <f t="shared" ca="1" si="568"/>
        <v>-0.92306801612207501</v>
      </c>
      <c r="CT235" s="106">
        <f t="shared" ca="1" si="568"/>
        <v>-0.60318831722556698</v>
      </c>
      <c r="CU235" s="106">
        <f t="shared" ca="1" si="568"/>
        <v>-1.0761212357591994</v>
      </c>
      <c r="CV235" s="106">
        <f t="shared" ca="1" si="568"/>
        <v>-1.139088274795542</v>
      </c>
      <c r="CW235" s="106">
        <f t="shared" ca="1" si="568"/>
        <v>-1.1247602133517045</v>
      </c>
      <c r="CX235" s="106">
        <f t="shared" ca="1" si="568"/>
        <v>-1.0620518648912096</v>
      </c>
      <c r="CY235" s="106">
        <f t="shared" ca="1" si="568"/>
        <v>-0.94769969848562674</v>
      </c>
      <c r="CZ235" s="134"/>
      <c r="DA235" s="135">
        <v>-18.032786885245898</v>
      </c>
      <c r="DB235" s="135">
        <v>-6.4546304957904592</v>
      </c>
      <c r="DC235" s="135">
        <v>-4.2145593869731819</v>
      </c>
      <c r="DD235" s="135">
        <v>11.73609442182817</v>
      </c>
      <c r="DE235" s="135">
        <v>8.0438262608899969</v>
      </c>
      <c r="DF235" s="135">
        <v>4.8812714851564909</v>
      </c>
      <c r="DG235" s="135">
        <v>13.88964890875457</v>
      </c>
      <c r="DH235" s="135">
        <v>8.93357286219989</v>
      </c>
      <c r="DI235" s="135">
        <v>8.459418515448224</v>
      </c>
      <c r="DJ235" s="135">
        <v>8.9175328902224571</v>
      </c>
      <c r="DK235" s="135">
        <v>8.4075456459232978</v>
      </c>
      <c r="DL235" s="135">
        <v>8.5020775554669914</v>
      </c>
      <c r="DM235" s="135">
        <v>9.3978463029105406</v>
      </c>
      <c r="DN235" s="135">
        <v>9.8952111283625364</v>
      </c>
      <c r="DO235" s="135">
        <v>10.311904447508823</v>
      </c>
      <c r="DP235" s="135">
        <v>10.649200506405897</v>
      </c>
      <c r="DQ235" s="135">
        <v>10.861281846168103</v>
      </c>
    </row>
    <row r="236" spans="1:121" s="123" customFormat="1">
      <c r="A236" s="223" t="s">
        <v>141</v>
      </c>
      <c r="B236" s="107"/>
      <c r="C236" s="136"/>
      <c r="D236" s="14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  <c r="BR236" s="106"/>
      <c r="BS236" s="106"/>
      <c r="BT236" s="106"/>
      <c r="BU236" s="106"/>
      <c r="BV236" s="106"/>
      <c r="BW236" s="106"/>
      <c r="BX236" s="106"/>
      <c r="BY236" s="106"/>
      <c r="BZ236" s="106"/>
      <c r="CA236" s="106"/>
      <c r="CB236" s="106"/>
      <c r="CC236" s="106"/>
      <c r="CD236" s="106"/>
      <c r="CE236" s="106"/>
      <c r="CF236" s="106"/>
      <c r="CG236" s="106"/>
      <c r="CH236" s="141"/>
      <c r="CI236" s="106"/>
      <c r="CJ236" s="106"/>
      <c r="CK236" s="106"/>
      <c r="CL236" s="106"/>
      <c r="CM236" s="106"/>
      <c r="CN236" s="106"/>
      <c r="CO236" s="106"/>
      <c r="CP236" s="106"/>
      <c r="CQ236" s="106"/>
      <c r="CR236" s="106"/>
      <c r="CS236" s="106"/>
      <c r="CT236" s="106"/>
      <c r="CU236" s="106"/>
      <c r="CV236" s="106"/>
      <c r="CW236" s="106"/>
      <c r="CX236" s="106"/>
      <c r="CY236" s="106"/>
      <c r="CZ236" s="134"/>
      <c r="DA236" s="135"/>
      <c r="DB236" s="135"/>
      <c r="DC236" s="135"/>
      <c r="DD236" s="135"/>
      <c r="DE236" s="135"/>
      <c r="DF236" s="135"/>
      <c r="DG236" s="135"/>
      <c r="DH236" s="135"/>
      <c r="DI236" s="135"/>
      <c r="DJ236" s="135"/>
      <c r="DK236" s="135"/>
      <c r="DL236" s="135"/>
      <c r="DM236" s="135"/>
      <c r="DN236" s="135"/>
      <c r="DO236" s="135"/>
      <c r="DP236" s="135"/>
      <c r="DQ236" s="135"/>
    </row>
    <row r="237" spans="1:121" s="123" customFormat="1">
      <c r="A237" s="107" t="s">
        <v>1666</v>
      </c>
      <c r="B237" s="107"/>
      <c r="C237" s="136" t="s">
        <v>1349</v>
      </c>
      <c r="D237" s="147"/>
      <c r="E237" s="107"/>
      <c r="F237" s="107"/>
      <c r="G237" s="232">
        <f t="shared" ref="G237:BA237" si="578">((G54/F54)/(G203/F203)-1)*100</f>
        <v>0.13426423200857407</v>
      </c>
      <c r="H237" s="232">
        <f t="shared" si="578"/>
        <v>0.64330961995711089</v>
      </c>
      <c r="I237" s="232">
        <f t="shared" si="578"/>
        <v>17.192987810101435</v>
      </c>
      <c r="J237" s="232">
        <f t="shared" si="578"/>
        <v>3.8876158334320898</v>
      </c>
      <c r="K237" s="232">
        <f t="shared" si="578"/>
        <v>1.5861385222345259</v>
      </c>
      <c r="L237" s="232">
        <f t="shared" si="578"/>
        <v>4.3931522997048278</v>
      </c>
      <c r="M237" s="232">
        <f t="shared" si="578"/>
        <v>25.77915432898148</v>
      </c>
      <c r="N237" s="232">
        <f t="shared" si="578"/>
        <v>-5.1650745966717038</v>
      </c>
      <c r="O237" s="232">
        <f t="shared" si="578"/>
        <v>-4.5415955731358597</v>
      </c>
      <c r="P237" s="232">
        <f t="shared" si="578"/>
        <v>8.1257183163178759</v>
      </c>
      <c r="Q237" s="232">
        <f t="shared" si="578"/>
        <v>2.8244966851925346</v>
      </c>
      <c r="R237" s="232">
        <f t="shared" si="578"/>
        <v>13.705220094571224</v>
      </c>
      <c r="S237" s="232">
        <f t="shared" si="578"/>
        <v>-4.9484287419580664</v>
      </c>
      <c r="T237" s="232">
        <f t="shared" si="578"/>
        <v>2.5396126546449738</v>
      </c>
      <c r="U237" s="232">
        <f t="shared" si="578"/>
        <v>4.6632011859273792</v>
      </c>
      <c r="V237" s="232">
        <f t="shared" si="578"/>
        <v>0.75571474982853992</v>
      </c>
      <c r="W237" s="232">
        <f t="shared" si="578"/>
        <v>1.5134870247910159</v>
      </c>
      <c r="X237" s="232">
        <f t="shared" si="578"/>
        <v>17.61390521705659</v>
      </c>
      <c r="Y237" s="232">
        <f t="shared" si="578"/>
        <v>-4.3866587633935028</v>
      </c>
      <c r="Z237" s="232">
        <f t="shared" si="578"/>
        <v>1.5712349790351521</v>
      </c>
      <c r="AA237" s="232">
        <f t="shared" si="578"/>
        <v>21.455121098067622</v>
      </c>
      <c r="AB237" s="232">
        <f t="shared" si="578"/>
        <v>7.7455677182690641</v>
      </c>
      <c r="AC237" s="232">
        <f t="shared" si="578"/>
        <v>17.051380495856062</v>
      </c>
      <c r="AD237" s="232">
        <f t="shared" si="578"/>
        <v>6.536261775255392</v>
      </c>
      <c r="AE237" s="232">
        <f t="shared" si="578"/>
        <v>3.4431752066989674</v>
      </c>
      <c r="AF237" s="232">
        <f t="shared" si="578"/>
        <v>14.678301303855212</v>
      </c>
      <c r="AG237" s="232">
        <f t="shared" si="578"/>
        <v>21.554196390516033</v>
      </c>
      <c r="AH237" s="232">
        <f t="shared" si="578"/>
        <v>25.778184298035157</v>
      </c>
      <c r="AI237" s="232">
        <f t="shared" si="578"/>
        <v>3.0096245628503882</v>
      </c>
      <c r="AJ237" s="232">
        <f t="shared" si="578"/>
        <v>5.081909674891083E-2</v>
      </c>
      <c r="AK237" s="232">
        <f t="shared" si="578"/>
        <v>-9.1108580106102899E-2</v>
      </c>
      <c r="AL237" s="232">
        <f t="shared" si="578"/>
        <v>5.0965880605468028</v>
      </c>
      <c r="AM237" s="232">
        <f t="shared" si="578"/>
        <v>7.1057529875214298</v>
      </c>
      <c r="AN237" s="232">
        <f t="shared" si="578"/>
        <v>4.6529873604832739</v>
      </c>
      <c r="AO237" s="232">
        <f t="shared" si="578"/>
        <v>6.3817285811676561</v>
      </c>
      <c r="AP237" s="232">
        <f t="shared" si="578"/>
        <v>-4.1549733419440464</v>
      </c>
      <c r="AQ237" s="232">
        <f t="shared" si="578"/>
        <v>30.42229024182781</v>
      </c>
      <c r="AR237" s="232">
        <f t="shared" si="578"/>
        <v>24.816641108369787</v>
      </c>
      <c r="AS237" s="232">
        <f t="shared" si="578"/>
        <v>24.354660559321783</v>
      </c>
      <c r="AT237" s="232">
        <f t="shared" si="578"/>
        <v>261.22542718969299</v>
      </c>
      <c r="AU237" s="232">
        <f t="shared" si="578"/>
        <v>298.31984174899878</v>
      </c>
      <c r="AV237" s="232">
        <f t="shared" si="578"/>
        <v>97.66632065664578</v>
      </c>
      <c r="AW237" s="232">
        <f t="shared" si="578"/>
        <v>22.079511020313468</v>
      </c>
      <c r="AX237" s="232">
        <f t="shared" si="578"/>
        <v>128.08178909928967</v>
      </c>
      <c r="AY237" s="232">
        <f t="shared" si="578"/>
        <v>37.736644350239601</v>
      </c>
      <c r="AZ237" s="232">
        <f t="shared" si="578"/>
        <v>57.383992791910131</v>
      </c>
      <c r="BA237" s="232">
        <f t="shared" si="578"/>
        <v>28.71464077882213</v>
      </c>
      <c r="BB237" s="106">
        <f t="shared" ref="BB237:BF238" si="579">+(BB228/BA228-1)*100</f>
        <v>73.644553644553639</v>
      </c>
      <c r="BC237" s="106">
        <f t="shared" si="579"/>
        <v>11.536647486086228</v>
      </c>
      <c r="BD237" s="106">
        <f t="shared" si="579"/>
        <v>7.7131258457374896</v>
      </c>
      <c r="BE237" s="106">
        <f t="shared" si="579"/>
        <v>8.7154522613065222</v>
      </c>
      <c r="BF237" s="106">
        <f t="shared" si="579"/>
        <v>16.300736674851947</v>
      </c>
      <c r="BG237" s="106">
        <f t="shared" ref="BG237:BO237" si="580">+(BG228/BF228-1)*100</f>
        <v>10.370738371731969</v>
      </c>
      <c r="BH237" s="106">
        <f t="shared" si="580"/>
        <v>9.6382152703539106</v>
      </c>
      <c r="BI237" s="106">
        <f t="shared" si="580"/>
        <v>25.685107256491847</v>
      </c>
      <c r="BJ237" s="106">
        <f t="shared" si="580"/>
        <v>11.391939896288438</v>
      </c>
      <c r="BK237" s="106">
        <f t="shared" si="580"/>
        <v>10.23789450533339</v>
      </c>
      <c r="BL237" s="106">
        <f t="shared" si="580"/>
        <v>6.8364700405666001</v>
      </c>
      <c r="BM237" s="106">
        <f t="shared" si="580"/>
        <v>16.700902583255516</v>
      </c>
      <c r="BN237" s="106">
        <f t="shared" si="580"/>
        <v>-5.1125453381694053</v>
      </c>
      <c r="BO237" s="106">
        <f t="shared" si="580"/>
        <v>-0.74165636588380268</v>
      </c>
      <c r="BP237" s="106">
        <f t="shared" ref="BP237:CB237" si="581">+(BP228/BO228-1)*100</f>
        <v>3.4869240348692321</v>
      </c>
      <c r="BQ237" s="106">
        <f t="shared" si="581"/>
        <v>19.133574007220222</v>
      </c>
      <c r="BR237" s="106">
        <f t="shared" si="581"/>
        <v>21.496811678909534</v>
      </c>
      <c r="BS237" s="106">
        <f t="shared" si="581"/>
        <v>2.4543365745476997</v>
      </c>
      <c r="BT237" s="106">
        <f t="shared" ca="1" si="581"/>
        <v>14.581826678138231</v>
      </c>
      <c r="BU237" s="106">
        <f t="shared" ca="1" si="581"/>
        <v>25.292957432737097</v>
      </c>
      <c r="BV237" s="106">
        <f t="shared" ca="1" si="581"/>
        <v>18.400615738888803</v>
      </c>
      <c r="BW237" s="106">
        <f t="shared" ca="1" si="581"/>
        <v>18.264889891523993</v>
      </c>
      <c r="BX237" s="106">
        <f t="shared" ca="1" si="581"/>
        <v>9.3128861563408272</v>
      </c>
      <c r="BY237" s="106">
        <f t="shared" ca="1" si="581"/>
        <v>13.22638114636263</v>
      </c>
      <c r="BZ237" s="106">
        <f t="shared" ca="1" si="581"/>
        <v>14.468449285429363</v>
      </c>
      <c r="CA237" s="106">
        <f t="shared" ca="1" si="581"/>
        <v>15.629037201616169</v>
      </c>
      <c r="CB237" s="106">
        <f t="shared" ca="1" si="581"/>
        <v>17.070487248227394</v>
      </c>
      <c r="CC237" s="106">
        <f t="shared" ref="CC237:CG241" ca="1" si="582">+(CC228/CB228-1)*100</f>
        <v>18.764040721027708</v>
      </c>
      <c r="CD237" s="106">
        <f t="shared" ca="1" si="582"/>
        <v>20.797773147247732</v>
      </c>
      <c r="CE237" s="106">
        <f t="shared" ca="1" si="582"/>
        <v>23.265124724652743</v>
      </c>
      <c r="CF237" s="106">
        <f t="shared" ca="1" si="582"/>
        <v>26.279533200917381</v>
      </c>
      <c r="CG237" s="106">
        <f t="shared" ca="1" si="582"/>
        <v>29.980701770095909</v>
      </c>
      <c r="CH237" s="141"/>
      <c r="CI237" s="159">
        <f t="shared" ref="CI237:CI243" si="583">BQ237-DA237</f>
        <v>0</v>
      </c>
      <c r="CJ237" s="159">
        <f t="shared" ref="CJ237:CU242" si="584">BR237-DB237</f>
        <v>0</v>
      </c>
      <c r="CK237" s="159">
        <f t="shared" si="584"/>
        <v>0</v>
      </c>
      <c r="CL237" s="159">
        <f t="shared" ca="1" si="584"/>
        <v>0</v>
      </c>
      <c r="CM237" s="159">
        <f t="shared" ca="1" si="584"/>
        <v>3.6675588830927595</v>
      </c>
      <c r="CN237" s="159">
        <f t="shared" ca="1" si="584"/>
        <v>4.1810516299693994</v>
      </c>
      <c r="CO237" s="159">
        <f t="shared" ca="1" si="584"/>
        <v>-1.4319161697475167</v>
      </c>
      <c r="CP237" s="159">
        <f t="shared" ca="1" si="584"/>
        <v>-2.2105825726125516</v>
      </c>
      <c r="CQ237" s="159">
        <f t="shared" ca="1" si="584"/>
        <v>-2.4953332553281147</v>
      </c>
      <c r="CR237" s="159">
        <f t="shared" ca="1" si="584"/>
        <v>-2.7463047220408061</v>
      </c>
      <c r="CS237" s="159">
        <f t="shared" ca="1" si="584"/>
        <v>-1.5140652395221341</v>
      </c>
      <c r="CT237" s="159">
        <f t="shared" ca="1" si="584"/>
        <v>-0.90580740556143269</v>
      </c>
      <c r="CU237" s="159">
        <f t="shared" ca="1" si="584"/>
        <v>-1.8896113980628506</v>
      </c>
      <c r="CV237" s="159">
        <f t="shared" ref="CV237:CV243" ca="1" si="585">CD237-DN237</f>
        <v>-2.3190403014315528</v>
      </c>
      <c r="CW237" s="159">
        <f t="shared" ref="CW237:CW243" ca="1" si="586">CE237-DO237</f>
        <v>-2.6643280484291978</v>
      </c>
      <c r="CX237" s="159">
        <f t="shared" ref="CX237:CX243" ca="1" si="587">CF237-DP237</f>
        <v>-3.0229296464920452</v>
      </c>
      <c r="CY237" s="159">
        <f t="shared" ref="CY237:CY243" ca="1" si="588">CG237-DQ237</f>
        <v>-3.4226455527716304</v>
      </c>
      <c r="CZ237" s="134"/>
      <c r="DA237" s="135">
        <v>19.133574007220222</v>
      </c>
      <c r="DB237" s="135">
        <v>21.496811678909534</v>
      </c>
      <c r="DC237" s="135">
        <v>2.4543365745476997</v>
      </c>
      <c r="DD237" s="135">
        <v>14.581826678138231</v>
      </c>
      <c r="DE237" s="135">
        <v>21.625398549644338</v>
      </c>
      <c r="DF237" s="135">
        <v>14.219564108919403</v>
      </c>
      <c r="DG237" s="135">
        <v>19.696806061271509</v>
      </c>
      <c r="DH237" s="135">
        <v>11.523468728953379</v>
      </c>
      <c r="DI237" s="135">
        <v>15.721714401690745</v>
      </c>
      <c r="DJ237" s="135">
        <v>17.214754007470169</v>
      </c>
      <c r="DK237" s="135">
        <v>17.143102441138304</v>
      </c>
      <c r="DL237" s="135">
        <v>17.976294653788827</v>
      </c>
      <c r="DM237" s="135">
        <v>20.653652119090559</v>
      </c>
      <c r="DN237" s="135">
        <v>23.116813448679284</v>
      </c>
      <c r="DO237" s="135">
        <v>25.929452773081941</v>
      </c>
      <c r="DP237" s="135">
        <v>29.302462847409426</v>
      </c>
      <c r="DQ237" s="135">
        <v>33.403347322867539</v>
      </c>
    </row>
    <row r="238" spans="1:121" s="123" customFormat="1">
      <c r="A238" s="107" t="s">
        <v>1667</v>
      </c>
      <c r="B238" s="107"/>
      <c r="C238" s="136" t="s">
        <v>1349</v>
      </c>
      <c r="D238" s="147"/>
      <c r="E238" s="107"/>
      <c r="F238" s="107"/>
      <c r="G238" s="232">
        <f t="shared" ref="G238:BA238" si="589">((G64/F64)/(G204/F204)-1)*100</f>
        <v>1.2183674456863525</v>
      </c>
      <c r="H238" s="232">
        <f t="shared" si="589"/>
        <v>-17.689383370237387</v>
      </c>
      <c r="I238" s="232">
        <f t="shared" si="589"/>
        <v>8.1133875731743252</v>
      </c>
      <c r="J238" s="232">
        <f t="shared" si="589"/>
        <v>2.1546542963380766</v>
      </c>
      <c r="K238" s="232">
        <f t="shared" si="589"/>
        <v>4.192975366687568</v>
      </c>
      <c r="L238" s="232">
        <f t="shared" si="589"/>
        <v>0.82289306996508049</v>
      </c>
      <c r="M238" s="232">
        <f t="shared" si="589"/>
        <v>-0.44574071670127058</v>
      </c>
      <c r="N238" s="232">
        <f t="shared" si="589"/>
        <v>5.2866679262533411</v>
      </c>
      <c r="O238" s="232">
        <f t="shared" si="589"/>
        <v>6.2712268686030415</v>
      </c>
      <c r="P238" s="232">
        <f t="shared" si="589"/>
        <v>7.6030566382945919</v>
      </c>
      <c r="Q238" s="232">
        <f t="shared" si="589"/>
        <v>3.1295200183219185</v>
      </c>
      <c r="R238" s="232">
        <f t="shared" si="589"/>
        <v>13.762367701850465</v>
      </c>
      <c r="S238" s="232">
        <f t="shared" si="589"/>
        <v>8.7761450917543726</v>
      </c>
      <c r="T238" s="232">
        <f t="shared" si="589"/>
        <v>10.589077315282115</v>
      </c>
      <c r="U238" s="232">
        <f t="shared" si="589"/>
        <v>8.201457006705958</v>
      </c>
      <c r="V238" s="232">
        <f t="shared" si="589"/>
        <v>9.661369868490155</v>
      </c>
      <c r="W238" s="232">
        <f t="shared" si="589"/>
        <v>12.515523367395964</v>
      </c>
      <c r="X238" s="232">
        <f t="shared" si="589"/>
        <v>11.522105864383203</v>
      </c>
      <c r="Y238" s="232">
        <f t="shared" si="589"/>
        <v>14.656522434739539</v>
      </c>
      <c r="Z238" s="232">
        <f t="shared" si="589"/>
        <v>14.775472768098874</v>
      </c>
      <c r="AA238" s="232">
        <f t="shared" si="589"/>
        <v>18.967549888234171</v>
      </c>
      <c r="AB238" s="232">
        <f t="shared" si="589"/>
        <v>19.958007844682825</v>
      </c>
      <c r="AC238" s="232">
        <f t="shared" si="589"/>
        <v>26.562082909485184</v>
      </c>
      <c r="AD238" s="232">
        <f t="shared" si="589"/>
        <v>18.508194474614402</v>
      </c>
      <c r="AE238" s="232">
        <f t="shared" si="589"/>
        <v>5.0956405908711755</v>
      </c>
      <c r="AF238" s="232">
        <f t="shared" si="589"/>
        <v>17.921563508281579</v>
      </c>
      <c r="AG238" s="232">
        <f t="shared" si="589"/>
        <v>15.958095271856321</v>
      </c>
      <c r="AH238" s="232">
        <f t="shared" si="589"/>
        <v>11.13254555277976</v>
      </c>
      <c r="AI238" s="232">
        <f t="shared" si="589"/>
        <v>8.6212183131116014</v>
      </c>
      <c r="AJ238" s="232">
        <f t="shared" si="589"/>
        <v>7.3688902112652999</v>
      </c>
      <c r="AK238" s="232">
        <f t="shared" si="589"/>
        <v>7.0388897127582783</v>
      </c>
      <c r="AL238" s="232">
        <f t="shared" si="589"/>
        <v>-1.0566153486140317</v>
      </c>
      <c r="AM238" s="232">
        <f t="shared" si="589"/>
        <v>-6.4520527523492905</v>
      </c>
      <c r="AN238" s="232">
        <f t="shared" si="589"/>
        <v>12.622057309859947</v>
      </c>
      <c r="AO238" s="232">
        <f t="shared" si="589"/>
        <v>18.012497339457511</v>
      </c>
      <c r="AP238" s="232">
        <f t="shared" si="589"/>
        <v>18.0729929544732</v>
      </c>
      <c r="AQ238" s="232">
        <f t="shared" si="589"/>
        <v>15.532233246859217</v>
      </c>
      <c r="AR238" s="232">
        <f t="shared" si="589"/>
        <v>29.254102127132619</v>
      </c>
      <c r="AS238" s="232">
        <f t="shared" si="589"/>
        <v>87.692225322934149</v>
      </c>
      <c r="AT238" s="232">
        <f t="shared" si="589"/>
        <v>574.77007585283297</v>
      </c>
      <c r="AU238" s="232">
        <f t="shared" si="589"/>
        <v>360.33039330650274</v>
      </c>
      <c r="AV238" s="232">
        <f t="shared" si="589"/>
        <v>28.604800720945445</v>
      </c>
      <c r="AW238" s="232">
        <f t="shared" si="589"/>
        <v>34.125073770962743</v>
      </c>
      <c r="AX238" s="232">
        <f t="shared" si="589"/>
        <v>19.241926982976977</v>
      </c>
      <c r="AY238" s="232">
        <f t="shared" si="589"/>
        <v>86.298278122690149</v>
      </c>
      <c r="AZ238" s="232">
        <f t="shared" si="589"/>
        <v>34.35300593918398</v>
      </c>
      <c r="BA238" s="232">
        <f t="shared" si="589"/>
        <v>64.067428366893807</v>
      </c>
      <c r="BB238" s="106">
        <f t="shared" si="579"/>
        <v>6.9517876452407812</v>
      </c>
      <c r="BC238" s="106">
        <f t="shared" si="579"/>
        <v>17.124132920814581</v>
      </c>
      <c r="BD238" s="106">
        <f t="shared" si="579"/>
        <v>20.925839432603045</v>
      </c>
      <c r="BE238" s="106">
        <f t="shared" si="579"/>
        <v>10.440571869957992</v>
      </c>
      <c r="BF238" s="106">
        <f t="shared" si="579"/>
        <v>20.308740558967607</v>
      </c>
      <c r="BG238" s="106">
        <f t="shared" ref="BG238:BO238" si="590">+(BG229/BF229-1)*100</f>
        <v>7.9455321880125718</v>
      </c>
      <c r="BH238" s="106">
        <f t="shared" si="590"/>
        <v>7.5741760756533605</v>
      </c>
      <c r="BI238" s="106">
        <f t="shared" si="590"/>
        <v>11.612861927773466</v>
      </c>
      <c r="BJ238" s="106">
        <f t="shared" si="590"/>
        <v>3.3082622426080732</v>
      </c>
      <c r="BK238" s="106">
        <f t="shared" si="590"/>
        <v>18.42497408405368</v>
      </c>
      <c r="BL238" s="106">
        <f t="shared" si="590"/>
        <v>9.4300442145200503</v>
      </c>
      <c r="BM238" s="106">
        <f t="shared" si="590"/>
        <v>2.0051578155090288</v>
      </c>
      <c r="BN238" s="106">
        <f t="shared" si="590"/>
        <v>0.44462419542417031</v>
      </c>
      <c r="BO238" s="106">
        <f t="shared" si="590"/>
        <v>3.0062861810888908</v>
      </c>
      <c r="BP238" s="106">
        <f t="shared" ref="BP238:BQ241" si="591">+(BP229/BO229-1)*100</f>
        <v>26.659621489394492</v>
      </c>
      <c r="BQ238" s="106">
        <f t="shared" si="591"/>
        <v>18.912870056334707</v>
      </c>
      <c r="BR238" s="106">
        <f t="shared" ref="BR238:CB238" si="592">+(BR229/BQ229-1)*100</f>
        <v>26.559178832197428</v>
      </c>
      <c r="BS238" s="106">
        <f t="shared" si="592"/>
        <v>4.5452414025996868</v>
      </c>
      <c r="BT238" s="106">
        <f t="shared" ca="1" si="592"/>
        <v>14.581826678138231</v>
      </c>
      <c r="BU238" s="106">
        <f t="shared" ca="1" si="592"/>
        <v>25.292957432737097</v>
      </c>
      <c r="BV238" s="106">
        <f t="shared" ca="1" si="592"/>
        <v>18.400615738888803</v>
      </c>
      <c r="BW238" s="106">
        <f t="shared" ca="1" si="592"/>
        <v>18.264889891523993</v>
      </c>
      <c r="BX238" s="106">
        <f t="shared" ca="1" si="592"/>
        <v>9.3128861563408272</v>
      </c>
      <c r="BY238" s="106">
        <f t="shared" ca="1" si="592"/>
        <v>13.22638114636263</v>
      </c>
      <c r="BZ238" s="106">
        <f t="shared" ca="1" si="592"/>
        <v>14.468449285429251</v>
      </c>
      <c r="CA238" s="106">
        <f t="shared" ca="1" si="592"/>
        <v>15.629037201616413</v>
      </c>
      <c r="CB238" s="106">
        <f t="shared" ca="1" si="592"/>
        <v>17.070487248227483</v>
      </c>
      <c r="CC238" s="106">
        <f t="shared" ca="1" si="582"/>
        <v>18.764040721027175</v>
      </c>
      <c r="CD238" s="106">
        <f t="shared" ca="1" si="582"/>
        <v>20.797773147248002</v>
      </c>
      <c r="CE238" s="106">
        <f t="shared" ca="1" si="582"/>
        <v>23.265124724653429</v>
      </c>
      <c r="CF238" s="106">
        <f t="shared" ca="1" si="582"/>
        <v>26.27953320091645</v>
      </c>
      <c r="CG238" s="106">
        <f t="shared" ca="1" si="582"/>
        <v>29.98070177009604</v>
      </c>
      <c r="CH238" s="141"/>
      <c r="CI238" s="159">
        <f t="shared" si="583"/>
        <v>0</v>
      </c>
      <c r="CJ238" s="159">
        <f t="shared" si="584"/>
        <v>0</v>
      </c>
      <c r="CK238" s="159">
        <f t="shared" si="584"/>
        <v>0</v>
      </c>
      <c r="CL238" s="159">
        <f t="shared" ca="1" si="584"/>
        <v>0</v>
      </c>
      <c r="CM238" s="159">
        <f t="shared" ca="1" si="584"/>
        <v>3.6675588830927595</v>
      </c>
      <c r="CN238" s="159">
        <f t="shared" ca="1" si="584"/>
        <v>4.1810516299693994</v>
      </c>
      <c r="CO238" s="159">
        <f t="shared" ca="1" si="584"/>
        <v>-1.4319161697475167</v>
      </c>
      <c r="CP238" s="159">
        <f t="shared" ca="1" si="584"/>
        <v>-2.2105825726125516</v>
      </c>
      <c r="CQ238" s="159">
        <f t="shared" ca="1" si="584"/>
        <v>-2.4953332553278482</v>
      </c>
      <c r="CR238" s="159">
        <f t="shared" ca="1" si="584"/>
        <v>-2.746304722040982</v>
      </c>
      <c r="CS238" s="159">
        <f t="shared" ca="1" si="584"/>
        <v>-1.514065239522111</v>
      </c>
      <c r="CT238" s="159">
        <f t="shared" ca="1" si="584"/>
        <v>-0.90580740556130124</v>
      </c>
      <c r="CU238" s="159">
        <f t="shared" ca="1" si="584"/>
        <v>-1.8896113980631633</v>
      </c>
      <c r="CV238" s="159">
        <f t="shared" ca="1" si="585"/>
        <v>-2.3190403014317056</v>
      </c>
      <c r="CW238" s="159">
        <f t="shared" ca="1" si="586"/>
        <v>-2.6643280484285334</v>
      </c>
      <c r="CX238" s="159">
        <f t="shared" ca="1" si="587"/>
        <v>-3.0229296464923117</v>
      </c>
      <c r="CY238" s="159">
        <f t="shared" ca="1" si="588"/>
        <v>-3.4226455527720319</v>
      </c>
      <c r="CZ238" s="134"/>
      <c r="DA238" s="135">
        <v>18.912870056334707</v>
      </c>
      <c r="DB238" s="135">
        <v>26.559178832197428</v>
      </c>
      <c r="DC238" s="135">
        <v>4.5452414025996868</v>
      </c>
      <c r="DD238" s="135">
        <v>14.581826678138231</v>
      </c>
      <c r="DE238" s="135">
        <v>21.625398549644338</v>
      </c>
      <c r="DF238" s="135">
        <v>14.219564108919403</v>
      </c>
      <c r="DG238" s="135">
        <v>19.696806061271509</v>
      </c>
      <c r="DH238" s="135">
        <v>11.523468728953379</v>
      </c>
      <c r="DI238" s="135">
        <v>15.721714401690479</v>
      </c>
      <c r="DJ238" s="135">
        <v>17.214754007470233</v>
      </c>
      <c r="DK238" s="135">
        <v>17.143102441138524</v>
      </c>
      <c r="DL238" s="135">
        <v>17.976294653788784</v>
      </c>
      <c r="DM238" s="135">
        <v>20.653652119090339</v>
      </c>
      <c r="DN238" s="135">
        <v>23.116813448679707</v>
      </c>
      <c r="DO238" s="135">
        <v>25.929452773081962</v>
      </c>
      <c r="DP238" s="135">
        <v>29.302462847408762</v>
      </c>
      <c r="DQ238" s="135">
        <v>33.403347322868072</v>
      </c>
    </row>
    <row r="239" spans="1:121" s="123" customFormat="1">
      <c r="A239" s="107" t="s">
        <v>1668</v>
      </c>
      <c r="B239" s="107"/>
      <c r="C239" s="136" t="s">
        <v>1349</v>
      </c>
      <c r="D239" s="147"/>
      <c r="E239" s="107"/>
      <c r="F239" s="107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  <c r="AN239" s="106"/>
      <c r="AO239" s="106"/>
      <c r="AP239" s="106"/>
      <c r="AQ239" s="106"/>
      <c r="AR239" s="106"/>
      <c r="AS239" s="106"/>
      <c r="AT239" s="106"/>
      <c r="AU239" s="106"/>
      <c r="AV239" s="106"/>
      <c r="AW239" s="106"/>
      <c r="AX239" s="106"/>
      <c r="AY239" s="106"/>
      <c r="AZ239" s="106"/>
      <c r="BA239" s="106"/>
      <c r="BB239" s="106"/>
      <c r="BC239" s="106"/>
      <c r="BD239" s="106"/>
      <c r="BE239" s="106"/>
      <c r="BF239" s="106"/>
      <c r="BG239" s="106">
        <f t="shared" ref="BG239:BO239" si="593">+(BG230/BF230-1)*100</f>
        <v>7.9455321880125718</v>
      </c>
      <c r="BH239" s="106">
        <f t="shared" si="593"/>
        <v>7.5741760756533605</v>
      </c>
      <c r="BI239" s="106">
        <f t="shared" si="593"/>
        <v>11.612861927773466</v>
      </c>
      <c r="BJ239" s="106">
        <f t="shared" si="593"/>
        <v>3.3082622426080732</v>
      </c>
      <c r="BK239" s="106">
        <f t="shared" si="593"/>
        <v>18.42497408405368</v>
      </c>
      <c r="BL239" s="106">
        <f t="shared" si="593"/>
        <v>9.4300442145200503</v>
      </c>
      <c r="BM239" s="106">
        <f t="shared" si="593"/>
        <v>2.0051578155090288</v>
      </c>
      <c r="BN239" s="106">
        <f t="shared" si="593"/>
        <v>0.44462419542417031</v>
      </c>
      <c r="BO239" s="106">
        <f t="shared" si="593"/>
        <v>3.0062861810888908</v>
      </c>
      <c r="BP239" s="106">
        <f t="shared" si="591"/>
        <v>26.659621489394492</v>
      </c>
      <c r="BQ239" s="106">
        <f t="shared" si="591"/>
        <v>18.912870056334707</v>
      </c>
      <c r="BR239" s="106">
        <f t="shared" ref="BR239:CB239" si="594">+(BR230/BQ230-1)*100</f>
        <v>26.559178832197428</v>
      </c>
      <c r="BS239" s="106">
        <f t="shared" si="594"/>
        <v>4.5452414025996868</v>
      </c>
      <c r="BT239" s="106">
        <f t="shared" ca="1" si="594"/>
        <v>14.581826678138231</v>
      </c>
      <c r="BU239" s="106">
        <f t="shared" ca="1" si="594"/>
        <v>25.292957432737097</v>
      </c>
      <c r="BV239" s="106">
        <f t="shared" ca="1" si="594"/>
        <v>18.400615738888803</v>
      </c>
      <c r="BW239" s="106">
        <f t="shared" ca="1" si="594"/>
        <v>18.264889891523993</v>
      </c>
      <c r="BX239" s="106">
        <f t="shared" ca="1" si="594"/>
        <v>9.3128861563408272</v>
      </c>
      <c r="BY239" s="106">
        <f t="shared" ca="1" si="594"/>
        <v>13.22638114636263</v>
      </c>
      <c r="BZ239" s="106">
        <f t="shared" ca="1" si="594"/>
        <v>14.468449285429251</v>
      </c>
      <c r="CA239" s="106">
        <f t="shared" ca="1" si="594"/>
        <v>15.629037201616413</v>
      </c>
      <c r="CB239" s="106">
        <f t="shared" ca="1" si="594"/>
        <v>17.070487248227483</v>
      </c>
      <c r="CC239" s="106">
        <f t="shared" ca="1" si="582"/>
        <v>18.764040721027175</v>
      </c>
      <c r="CD239" s="106">
        <f t="shared" ca="1" si="582"/>
        <v>20.797773147248002</v>
      </c>
      <c r="CE239" s="106">
        <f t="shared" ca="1" si="582"/>
        <v>23.265124724653429</v>
      </c>
      <c r="CF239" s="106">
        <f t="shared" ca="1" si="582"/>
        <v>26.27953320091645</v>
      </c>
      <c r="CG239" s="106">
        <f t="shared" ca="1" si="582"/>
        <v>29.98070177009604</v>
      </c>
      <c r="CH239" s="141"/>
      <c r="CI239" s="159">
        <f t="shared" si="583"/>
        <v>0</v>
      </c>
      <c r="CJ239" s="159">
        <f t="shared" si="584"/>
        <v>0</v>
      </c>
      <c r="CK239" s="159">
        <f t="shared" si="584"/>
        <v>0</v>
      </c>
      <c r="CL239" s="159">
        <f t="shared" ca="1" si="584"/>
        <v>0</v>
      </c>
      <c r="CM239" s="159">
        <f t="shared" ca="1" si="584"/>
        <v>3.6675588830927595</v>
      </c>
      <c r="CN239" s="159">
        <f t="shared" ca="1" si="584"/>
        <v>4.1810516299693994</v>
      </c>
      <c r="CO239" s="159">
        <f t="shared" ca="1" si="584"/>
        <v>-1.4319161697475167</v>
      </c>
      <c r="CP239" s="159">
        <f t="shared" ca="1" si="584"/>
        <v>-2.2105825726125516</v>
      </c>
      <c r="CQ239" s="159">
        <f t="shared" ca="1" si="584"/>
        <v>-2.4953332553278482</v>
      </c>
      <c r="CR239" s="159">
        <f t="shared" ca="1" si="584"/>
        <v>-2.746304722040982</v>
      </c>
      <c r="CS239" s="159">
        <f t="shared" ca="1" si="584"/>
        <v>-1.514065239522111</v>
      </c>
      <c r="CT239" s="159">
        <f t="shared" ca="1" si="584"/>
        <v>-0.90580740556130124</v>
      </c>
      <c r="CU239" s="159">
        <f t="shared" ca="1" si="584"/>
        <v>-1.8896113980631633</v>
      </c>
      <c r="CV239" s="159">
        <f t="shared" ca="1" si="585"/>
        <v>-2.3190403014317056</v>
      </c>
      <c r="CW239" s="159">
        <f t="shared" ca="1" si="586"/>
        <v>-2.6643280484285334</v>
      </c>
      <c r="CX239" s="159">
        <f t="shared" ca="1" si="587"/>
        <v>-3.0229296464923117</v>
      </c>
      <c r="CY239" s="159">
        <f t="shared" ca="1" si="588"/>
        <v>-3.4226455527720319</v>
      </c>
      <c r="CZ239" s="134"/>
      <c r="DA239" s="135">
        <v>18.912870056334707</v>
      </c>
      <c r="DB239" s="135">
        <v>26.559178832197428</v>
      </c>
      <c r="DC239" s="135">
        <v>4.5452414025996868</v>
      </c>
      <c r="DD239" s="135">
        <v>14.581826678138231</v>
      </c>
      <c r="DE239" s="135">
        <v>21.625398549644338</v>
      </c>
      <c r="DF239" s="135">
        <v>14.219564108919403</v>
      </c>
      <c r="DG239" s="135">
        <v>19.696806061271509</v>
      </c>
      <c r="DH239" s="135">
        <v>11.523468728953379</v>
      </c>
      <c r="DI239" s="135">
        <v>15.721714401690479</v>
      </c>
      <c r="DJ239" s="135">
        <v>17.214754007470233</v>
      </c>
      <c r="DK239" s="135">
        <v>17.143102441138524</v>
      </c>
      <c r="DL239" s="135">
        <v>17.976294653788784</v>
      </c>
      <c r="DM239" s="135">
        <v>20.653652119090339</v>
      </c>
      <c r="DN239" s="135">
        <v>23.116813448679707</v>
      </c>
      <c r="DO239" s="135">
        <v>25.929452773081962</v>
      </c>
      <c r="DP239" s="135">
        <v>29.302462847408762</v>
      </c>
      <c r="DQ239" s="135">
        <v>33.403347322868072</v>
      </c>
    </row>
    <row r="240" spans="1:121" s="123" customFormat="1">
      <c r="A240" s="107" t="s">
        <v>1669</v>
      </c>
      <c r="B240" s="107"/>
      <c r="C240" s="136" t="s">
        <v>1349</v>
      </c>
      <c r="D240" s="147"/>
      <c r="E240" s="107"/>
      <c r="F240" s="107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>
        <f t="shared" ref="BG240:BO240" si="595">+(BG231/BF231-1)*100</f>
        <v>7.9455321880125718</v>
      </c>
      <c r="BH240" s="106">
        <f t="shared" si="595"/>
        <v>7.5741760756533383</v>
      </c>
      <c r="BI240" s="106">
        <f t="shared" si="595"/>
        <v>11.612861927773487</v>
      </c>
      <c r="BJ240" s="106">
        <f t="shared" si="595"/>
        <v>3.308262242608051</v>
      </c>
      <c r="BK240" s="106">
        <f t="shared" si="595"/>
        <v>18.42497408405368</v>
      </c>
      <c r="BL240" s="106">
        <f t="shared" si="595"/>
        <v>9.4300442145200734</v>
      </c>
      <c r="BM240" s="106">
        <f t="shared" si="595"/>
        <v>2.0051578155090288</v>
      </c>
      <c r="BN240" s="106">
        <f t="shared" si="595"/>
        <v>0.44462419542417031</v>
      </c>
      <c r="BO240" s="106">
        <f t="shared" si="595"/>
        <v>3.0062861810888908</v>
      </c>
      <c r="BP240" s="106">
        <f t="shared" si="591"/>
        <v>26.659621489394492</v>
      </c>
      <c r="BQ240" s="106">
        <f t="shared" si="591"/>
        <v>18.912870056334707</v>
      </c>
      <c r="BR240" s="106">
        <f t="shared" ref="BR240:CB240" si="596">+(BR231/BQ231-1)*100</f>
        <v>26.559178832197428</v>
      </c>
      <c r="BS240" s="106">
        <f t="shared" si="596"/>
        <v>4.5452414025996868</v>
      </c>
      <c r="BT240" s="106">
        <f t="shared" ca="1" si="596"/>
        <v>14.581826678138231</v>
      </c>
      <c r="BU240" s="106">
        <f t="shared" ca="1" si="596"/>
        <v>25.292957432737097</v>
      </c>
      <c r="BV240" s="106">
        <f t="shared" ca="1" si="596"/>
        <v>18.400615738888803</v>
      </c>
      <c r="BW240" s="106">
        <f t="shared" ca="1" si="596"/>
        <v>18.264889891523993</v>
      </c>
      <c r="BX240" s="106">
        <f t="shared" ca="1" si="596"/>
        <v>9.3128861563408272</v>
      </c>
      <c r="BY240" s="106">
        <f t="shared" ca="1" si="596"/>
        <v>13.22638114636263</v>
      </c>
      <c r="BZ240" s="106">
        <f t="shared" ca="1" si="596"/>
        <v>14.468449285429251</v>
      </c>
      <c r="CA240" s="106">
        <f t="shared" ca="1" si="596"/>
        <v>15.629037201616413</v>
      </c>
      <c r="CB240" s="106">
        <f t="shared" ca="1" si="596"/>
        <v>17.070487248227483</v>
      </c>
      <c r="CC240" s="106">
        <f t="shared" ca="1" si="582"/>
        <v>18.764040721027175</v>
      </c>
      <c r="CD240" s="106">
        <f t="shared" ca="1" si="582"/>
        <v>20.797773147248002</v>
      </c>
      <c r="CE240" s="106">
        <f t="shared" ca="1" si="582"/>
        <v>23.265124724653429</v>
      </c>
      <c r="CF240" s="106">
        <f t="shared" ca="1" si="582"/>
        <v>26.27953320091645</v>
      </c>
      <c r="CG240" s="106">
        <f t="shared" ca="1" si="582"/>
        <v>29.980701770096061</v>
      </c>
      <c r="CH240" s="141"/>
      <c r="CI240" s="159">
        <f t="shared" si="583"/>
        <v>0</v>
      </c>
      <c r="CJ240" s="159">
        <f t="shared" si="584"/>
        <v>0</v>
      </c>
      <c r="CK240" s="159">
        <f t="shared" si="584"/>
        <v>0</v>
      </c>
      <c r="CL240" s="159">
        <f t="shared" ca="1" si="584"/>
        <v>0</v>
      </c>
      <c r="CM240" s="159">
        <f t="shared" ca="1" si="584"/>
        <v>3.6675588830927595</v>
      </c>
      <c r="CN240" s="159">
        <f t="shared" ca="1" si="584"/>
        <v>4.1810516299693994</v>
      </c>
      <c r="CO240" s="159">
        <f t="shared" ca="1" si="584"/>
        <v>-1.4319161697475167</v>
      </c>
      <c r="CP240" s="159">
        <f t="shared" ca="1" si="584"/>
        <v>-2.2105825726125516</v>
      </c>
      <c r="CQ240" s="159">
        <f t="shared" ca="1" si="584"/>
        <v>-2.4953332553278482</v>
      </c>
      <c r="CR240" s="159">
        <f t="shared" ca="1" si="584"/>
        <v>-2.746304722040982</v>
      </c>
      <c r="CS240" s="159">
        <f t="shared" ca="1" si="584"/>
        <v>-1.514065239522111</v>
      </c>
      <c r="CT240" s="159">
        <f t="shared" ca="1" si="584"/>
        <v>-0.90580740556130124</v>
      </c>
      <c r="CU240" s="159">
        <f t="shared" ca="1" si="584"/>
        <v>-1.8896113980631633</v>
      </c>
      <c r="CV240" s="159">
        <f t="shared" ca="1" si="585"/>
        <v>-2.3190403014317056</v>
      </c>
      <c r="CW240" s="159">
        <f t="shared" ca="1" si="586"/>
        <v>-2.6643280484285334</v>
      </c>
      <c r="CX240" s="159">
        <f t="shared" ca="1" si="587"/>
        <v>-3.0229296464923117</v>
      </c>
      <c r="CY240" s="159">
        <f t="shared" ca="1" si="588"/>
        <v>-3.4226455527720105</v>
      </c>
      <c r="CZ240" s="134"/>
      <c r="DA240" s="135">
        <v>18.912870056334707</v>
      </c>
      <c r="DB240" s="135">
        <v>26.559178832197428</v>
      </c>
      <c r="DC240" s="135">
        <v>4.5452414025996868</v>
      </c>
      <c r="DD240" s="135">
        <v>14.581826678138231</v>
      </c>
      <c r="DE240" s="135">
        <v>21.625398549644338</v>
      </c>
      <c r="DF240" s="135">
        <v>14.219564108919403</v>
      </c>
      <c r="DG240" s="135">
        <v>19.696806061271509</v>
      </c>
      <c r="DH240" s="135">
        <v>11.523468728953379</v>
      </c>
      <c r="DI240" s="135">
        <v>15.721714401690479</v>
      </c>
      <c r="DJ240" s="135">
        <v>17.214754007470233</v>
      </c>
      <c r="DK240" s="135">
        <v>17.143102441138524</v>
      </c>
      <c r="DL240" s="135">
        <v>17.976294653788784</v>
      </c>
      <c r="DM240" s="135">
        <v>20.653652119090339</v>
      </c>
      <c r="DN240" s="135">
        <v>23.116813448679707</v>
      </c>
      <c r="DO240" s="135">
        <v>25.929452773081962</v>
      </c>
      <c r="DP240" s="135">
        <v>29.302462847408762</v>
      </c>
      <c r="DQ240" s="135">
        <v>33.403347322868072</v>
      </c>
    </row>
    <row r="241" spans="1:121" s="123" customFormat="1">
      <c r="A241" s="107" t="s">
        <v>1670</v>
      </c>
      <c r="B241" s="107"/>
      <c r="C241" s="136" t="s">
        <v>1349</v>
      </c>
      <c r="D241" s="147"/>
      <c r="E241" s="107"/>
      <c r="F241" s="107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>
        <f t="shared" ref="BG241:BO241" si="597">+(BG232/BF232-1)*100</f>
        <v>1.8518518518518601</v>
      </c>
      <c r="BH241" s="106">
        <f t="shared" si="597"/>
        <v>19.999999999999996</v>
      </c>
      <c r="BI241" s="106">
        <f t="shared" si="597"/>
        <v>0</v>
      </c>
      <c r="BJ241" s="106">
        <f t="shared" si="597"/>
        <v>2.2727272727272707</v>
      </c>
      <c r="BK241" s="106">
        <f t="shared" si="597"/>
        <v>48.888888888888893</v>
      </c>
      <c r="BL241" s="106">
        <f t="shared" si="597"/>
        <v>25.373134328358216</v>
      </c>
      <c r="BM241" s="106">
        <f t="shared" si="597"/>
        <v>0</v>
      </c>
      <c r="BN241" s="106">
        <f t="shared" si="597"/>
        <v>0</v>
      </c>
      <c r="BO241" s="106">
        <f t="shared" si="597"/>
        <v>0</v>
      </c>
      <c r="BP241" s="106">
        <f t="shared" si="591"/>
        <v>0</v>
      </c>
      <c r="BQ241" s="106">
        <f t="shared" si="591"/>
        <v>0</v>
      </c>
      <c r="BR241" s="106">
        <f t="shared" ref="BR241:CB241" si="598">+(BR232/BQ232-1)*100</f>
        <v>0</v>
      </c>
      <c r="BS241" s="106">
        <f t="shared" si="598"/>
        <v>0</v>
      </c>
      <c r="BT241" s="106">
        <f t="shared" si="598"/>
        <v>50</v>
      </c>
      <c r="BU241" s="106">
        <f t="shared" ca="1" si="598"/>
        <v>54.583814078547043</v>
      </c>
      <c r="BV241" s="106">
        <f t="shared" ca="1" si="598"/>
        <v>22.100634980729073</v>
      </c>
      <c r="BW241" s="106">
        <f t="shared" ca="1" si="598"/>
        <v>21.848674433691386</v>
      </c>
      <c r="BX241" s="106">
        <f t="shared" ca="1" si="598"/>
        <v>12.625397858048126</v>
      </c>
      <c r="BY241" s="106">
        <f t="shared" ca="1" si="598"/>
        <v>13.22638114636263</v>
      </c>
      <c r="BZ241" s="106">
        <f t="shared" ca="1" si="598"/>
        <v>14.468449285429363</v>
      </c>
      <c r="CA241" s="106">
        <f t="shared" ca="1" si="598"/>
        <v>15.629037201616169</v>
      </c>
      <c r="CB241" s="106">
        <f t="shared" ca="1" si="598"/>
        <v>17.070487248227394</v>
      </c>
      <c r="CC241" s="106">
        <f t="shared" ca="1" si="582"/>
        <v>18.764040721027708</v>
      </c>
      <c r="CD241" s="106">
        <f t="shared" ca="1" si="582"/>
        <v>20.797773147247732</v>
      </c>
      <c r="CE241" s="106">
        <f t="shared" ca="1" si="582"/>
        <v>23.265124724652743</v>
      </c>
      <c r="CF241" s="106">
        <f t="shared" ca="1" si="582"/>
        <v>26.279533200917381</v>
      </c>
      <c r="CG241" s="106">
        <f t="shared" ca="1" si="582"/>
        <v>29.980701770095909</v>
      </c>
      <c r="CH241" s="141"/>
      <c r="CI241" s="159">
        <f t="shared" si="583"/>
        <v>0</v>
      </c>
      <c r="CJ241" s="159">
        <f t="shared" si="584"/>
        <v>0</v>
      </c>
      <c r="CK241" s="159">
        <f t="shared" si="584"/>
        <v>0</v>
      </c>
      <c r="CL241" s="159">
        <f t="shared" si="584"/>
        <v>0</v>
      </c>
      <c r="CM241" s="159">
        <f t="shared" ca="1" si="584"/>
        <v>4.5249569658414046</v>
      </c>
      <c r="CN241" s="159">
        <f t="shared" ca="1" si="584"/>
        <v>4.3117094934059352</v>
      </c>
      <c r="CO241" s="159">
        <f t="shared" ca="1" si="584"/>
        <v>-1.4753075688307611</v>
      </c>
      <c r="CP241" s="159">
        <f t="shared" ca="1" si="584"/>
        <v>-2.277569923297774</v>
      </c>
      <c r="CQ241" s="159">
        <f t="shared" ca="1" si="584"/>
        <v>-2.4953332553281147</v>
      </c>
      <c r="CR241" s="159">
        <f t="shared" ca="1" si="584"/>
        <v>-2.7463047220408061</v>
      </c>
      <c r="CS241" s="159">
        <f t="shared" ca="1" si="584"/>
        <v>-1.5140652395221341</v>
      </c>
      <c r="CT241" s="159">
        <f t="shared" ca="1" si="584"/>
        <v>-0.90580740556143269</v>
      </c>
      <c r="CU241" s="159">
        <f t="shared" ca="1" si="584"/>
        <v>-1.8896113980628506</v>
      </c>
      <c r="CV241" s="159">
        <f t="shared" ca="1" si="585"/>
        <v>-2.3190403014315528</v>
      </c>
      <c r="CW241" s="159">
        <f t="shared" ca="1" si="586"/>
        <v>-2.6643280484291978</v>
      </c>
      <c r="CX241" s="159">
        <f t="shared" ca="1" si="587"/>
        <v>-3.0229296464920452</v>
      </c>
      <c r="CY241" s="159">
        <f t="shared" ca="1" si="588"/>
        <v>-3.4226455527716304</v>
      </c>
      <c r="CZ241" s="134"/>
      <c r="DA241" s="135">
        <v>0</v>
      </c>
      <c r="DB241" s="135">
        <v>0</v>
      </c>
      <c r="DC241" s="135">
        <v>0</v>
      </c>
      <c r="DD241" s="135">
        <v>50</v>
      </c>
      <c r="DE241" s="135">
        <v>50.058857112705638</v>
      </c>
      <c r="DF241" s="135">
        <v>17.788925487323137</v>
      </c>
      <c r="DG241" s="135">
        <v>23.323982002522147</v>
      </c>
      <c r="DH241" s="135">
        <v>14.9029677813459</v>
      </c>
      <c r="DI241" s="135">
        <v>15.721714401690745</v>
      </c>
      <c r="DJ241" s="135">
        <v>17.214754007470169</v>
      </c>
      <c r="DK241" s="135">
        <v>17.143102441138304</v>
      </c>
      <c r="DL241" s="135">
        <v>17.976294653788827</v>
      </c>
      <c r="DM241" s="135">
        <v>20.653652119090559</v>
      </c>
      <c r="DN241" s="135">
        <v>23.116813448679284</v>
      </c>
      <c r="DO241" s="135">
        <v>25.929452773081941</v>
      </c>
      <c r="DP241" s="135">
        <v>29.302462847409426</v>
      </c>
      <c r="DQ241" s="135">
        <v>33.403347322867539</v>
      </c>
    </row>
    <row r="242" spans="1:121" s="123" customFormat="1">
      <c r="A242" s="352" t="s">
        <v>1241</v>
      </c>
      <c r="B242" s="107"/>
      <c r="C242" s="136" t="s">
        <v>1349</v>
      </c>
      <c r="D242" s="147"/>
      <c r="E242" s="107"/>
      <c r="F242" s="107"/>
      <c r="G242" s="123">
        <f t="shared" ref="G242:BC242" si="599">(G71/F71-1)*100</f>
        <v>15.653558795152733</v>
      </c>
      <c r="H242" s="123">
        <f t="shared" si="599"/>
        <v>-4.7107684539779431</v>
      </c>
      <c r="I242" s="123">
        <f t="shared" si="599"/>
        <v>6.2841686746928582</v>
      </c>
      <c r="J242" s="123">
        <f t="shared" si="599"/>
        <v>-5.64298253140546</v>
      </c>
      <c r="K242" s="123">
        <f t="shared" si="599"/>
        <v>-3.1290084488907355</v>
      </c>
      <c r="L242" s="123">
        <f t="shared" si="599"/>
        <v>7.7743444000032857</v>
      </c>
      <c r="M242" s="123">
        <f t="shared" si="599"/>
        <v>23.727717000683612</v>
      </c>
      <c r="N242" s="123">
        <f t="shared" si="599"/>
        <v>2.6447857209766612</v>
      </c>
      <c r="O242" s="123">
        <f t="shared" si="599"/>
        <v>19.236463869070274</v>
      </c>
      <c r="P242" s="123">
        <f t="shared" si="599"/>
        <v>-1.9594186214773379</v>
      </c>
      <c r="Q242" s="123">
        <f t="shared" si="599"/>
        <v>35.885401605869994</v>
      </c>
      <c r="R242" s="123">
        <f t="shared" si="599"/>
        <v>27.446847021474685</v>
      </c>
      <c r="S242" s="123">
        <f t="shared" si="599"/>
        <v>18.835966572039453</v>
      </c>
      <c r="T242" s="123">
        <f t="shared" si="599"/>
        <v>1.1016533448279908</v>
      </c>
      <c r="U242" s="123">
        <f t="shared" si="599"/>
        <v>3.6116811539668614</v>
      </c>
      <c r="V242" s="123">
        <f t="shared" si="599"/>
        <v>5.0168925990948354</v>
      </c>
      <c r="W242" s="123">
        <f t="shared" si="599"/>
        <v>7.8388511812510275</v>
      </c>
      <c r="X242" s="123">
        <f t="shared" si="599"/>
        <v>0.23226248135133076</v>
      </c>
      <c r="Y242" s="123">
        <f t="shared" si="599"/>
        <v>16.728899555808361</v>
      </c>
      <c r="Z242" s="123">
        <f t="shared" si="599"/>
        <v>35.68641106417261</v>
      </c>
      <c r="AA242" s="123">
        <f t="shared" si="599"/>
        <v>-11.670270098883906</v>
      </c>
      <c r="AB242" s="123">
        <f t="shared" si="599"/>
        <v>-1.7039840320492883</v>
      </c>
      <c r="AC242" s="123">
        <f t="shared" si="599"/>
        <v>44.950369291087334</v>
      </c>
      <c r="AD242" s="123">
        <f t="shared" si="599"/>
        <v>9.1099880510186804</v>
      </c>
      <c r="AE242" s="123">
        <f t="shared" si="599"/>
        <v>8.8699274086627042</v>
      </c>
      <c r="AF242" s="123">
        <f t="shared" si="599"/>
        <v>-9.9191255065304684</v>
      </c>
      <c r="AG242" s="123">
        <f t="shared" si="599"/>
        <v>16.683913648024795</v>
      </c>
      <c r="AH242" s="123">
        <f t="shared" si="599"/>
        <v>-17.314918638497645</v>
      </c>
      <c r="AI242" s="123">
        <f t="shared" si="599"/>
        <v>-22.223637334990663</v>
      </c>
      <c r="AJ242" s="123">
        <f t="shared" si="599"/>
        <v>3.8044126950768309</v>
      </c>
      <c r="AK242" s="123">
        <f t="shared" si="599"/>
        <v>-10.302614554329793</v>
      </c>
      <c r="AL242" s="123">
        <f t="shared" si="599"/>
        <v>15.39375466670263</v>
      </c>
      <c r="AM242" s="123">
        <f t="shared" si="599"/>
        <v>40.380622497287575</v>
      </c>
      <c r="AN242" s="123">
        <f t="shared" si="599"/>
        <v>37.047942105362438</v>
      </c>
      <c r="AO242" s="123">
        <f t="shared" si="599"/>
        <v>23.972891336387026</v>
      </c>
      <c r="AP242" s="123">
        <f t="shared" si="599"/>
        <v>36.680034126092288</v>
      </c>
      <c r="AQ242" s="123">
        <f t="shared" si="599"/>
        <v>20.83375282576505</v>
      </c>
      <c r="AR242" s="123">
        <f t="shared" si="599"/>
        <v>47.875882157640916</v>
      </c>
      <c r="AS242" s="123">
        <f t="shared" si="599"/>
        <v>218.95818821719567</v>
      </c>
      <c r="AT242" s="123">
        <f t="shared" si="599"/>
        <v>447.51328355241247</v>
      </c>
      <c r="AU242" s="123">
        <f t="shared" si="599"/>
        <v>223.72706873325572</v>
      </c>
      <c r="AV242" s="123">
        <f t="shared" si="599"/>
        <v>-14.715158227648327</v>
      </c>
      <c r="AW242" s="123">
        <f t="shared" si="599"/>
        <v>-10.352347950976027</v>
      </c>
      <c r="AX242" s="123">
        <f t="shared" si="599"/>
        <v>-8.5839515170871294</v>
      </c>
      <c r="AY242" s="123">
        <f t="shared" si="599"/>
        <v>104.164948704872</v>
      </c>
      <c r="AZ242" s="123">
        <f t="shared" si="599"/>
        <v>66.347559783259996</v>
      </c>
      <c r="BA242" s="123">
        <f t="shared" si="599"/>
        <v>-18.51002761663041</v>
      </c>
      <c r="BB242" s="123">
        <f t="shared" si="599"/>
        <v>202.55356883761371</v>
      </c>
      <c r="BC242" s="123">
        <f t="shared" si="599"/>
        <v>27.555616299468831</v>
      </c>
      <c r="BD242" s="123">
        <f ca="1">(BD71/BC71-1)*100</f>
        <v>32.215229295350476</v>
      </c>
      <c r="BE242" s="123">
        <f ca="1">(BE71/BD71-1)*100</f>
        <v>31.244471579564493</v>
      </c>
      <c r="BF242" s="123">
        <f ca="1">(BF71/BE71-1)*100</f>
        <v>-41.694313641999074</v>
      </c>
      <c r="BG242" s="123">
        <f>(BG71/BF71-1)*100</f>
        <v>12.765084742004085</v>
      </c>
      <c r="BH242" s="123">
        <f t="shared" ref="BH242:BP242" si="600">(BH71/BG71-1)*100</f>
        <v>69.323188428596282</v>
      </c>
      <c r="BI242" s="123">
        <f t="shared" si="600"/>
        <v>-17.236239471573011</v>
      </c>
      <c r="BJ242" s="123">
        <f t="shared" si="600"/>
        <v>40.994764584567548</v>
      </c>
      <c r="BK242" s="123">
        <f t="shared" si="600"/>
        <v>3.9741209078669293</v>
      </c>
      <c r="BL242" s="123">
        <f t="shared" si="600"/>
        <v>32.153230853909953</v>
      </c>
      <c r="BM242" s="123">
        <f t="shared" si="600"/>
        <v>18.148348718546892</v>
      </c>
      <c r="BN242" s="123">
        <f t="shared" si="600"/>
        <v>7.8431788230040489</v>
      </c>
      <c r="BO242" s="123">
        <f t="shared" si="600"/>
        <v>2.9033779543737648</v>
      </c>
      <c r="BP242" s="123">
        <f t="shared" si="600"/>
        <v>6.9822656108410319</v>
      </c>
      <c r="BQ242" s="123">
        <f t="shared" ref="BQ242:CB242" si="601">(BQ71/BP71-1)*100</f>
        <v>-9.2030597385050257</v>
      </c>
      <c r="BR242" s="123">
        <f t="shared" si="601"/>
        <v>-19.642877861421216</v>
      </c>
      <c r="BS242" s="123">
        <f t="shared" si="601"/>
        <v>4.3341396796650056</v>
      </c>
      <c r="BT242" s="123">
        <f t="shared" ca="1" si="601"/>
        <v>-28.148638629588152</v>
      </c>
      <c r="BU242" s="123">
        <f t="shared" ca="1" si="601"/>
        <v>370.62268274530021</v>
      </c>
      <c r="BV242" s="123">
        <f t="shared" ca="1" si="601"/>
        <v>7.8428160987725537</v>
      </c>
      <c r="BW242" s="123">
        <f t="shared" ca="1" si="601"/>
        <v>16.216210397614141</v>
      </c>
      <c r="BX242" s="123">
        <f t="shared" ca="1" si="601"/>
        <v>7.4153159316353356</v>
      </c>
      <c r="BY242" s="123">
        <f t="shared" ca="1" si="601"/>
        <v>7.0302688540722302</v>
      </c>
      <c r="BZ242" s="123">
        <f t="shared" ca="1" si="601"/>
        <v>7.5840849868263227</v>
      </c>
      <c r="CA242" s="123">
        <f t="shared" ca="1" si="601"/>
        <v>8.0748313771692448</v>
      </c>
      <c r="CB242" s="123">
        <f t="shared" ca="1" si="601"/>
        <v>8.6722676719768632</v>
      </c>
      <c r="CC242" s="123">
        <f ca="1">(CC71/CB71-1)*100</f>
        <v>9.6366911999659965</v>
      </c>
      <c r="CD242" s="123">
        <f ca="1">(CD71/CC71-1)*100</f>
        <v>11.13631309501808</v>
      </c>
      <c r="CE242" s="123">
        <f ca="1">(CE71/CD71-1)*100</f>
        <v>13.452172842897392</v>
      </c>
      <c r="CF242" s="123">
        <f ca="1">(CF71/CE71-1)*100</f>
        <v>16.987803849796901</v>
      </c>
      <c r="CG242" s="123">
        <f ca="1">(CG71/CF71-1)*100</f>
        <v>22.263143056545221</v>
      </c>
      <c r="CH242" s="141"/>
      <c r="CI242" s="159">
        <f>BQ242-DA242</f>
        <v>0</v>
      </c>
      <c r="CJ242" s="159">
        <f t="shared" si="584"/>
        <v>0</v>
      </c>
      <c r="CK242" s="159">
        <f t="shared" si="584"/>
        <v>0</v>
      </c>
      <c r="CL242" s="159">
        <f t="shared" ca="1" si="584"/>
        <v>0</v>
      </c>
      <c r="CM242" s="159">
        <f t="shared" ca="1" si="584"/>
        <v>8.8203670800134546</v>
      </c>
      <c r="CN242" s="159">
        <f t="shared" ca="1" si="584"/>
        <v>-3.5389023149755339</v>
      </c>
      <c r="CO242" s="159">
        <f t="shared" ca="1" si="584"/>
        <v>0.42435298872763028</v>
      </c>
      <c r="CP242" s="159">
        <f t="shared" ca="1" si="584"/>
        <v>-1.3468881513229345</v>
      </c>
      <c r="CQ242" s="159">
        <f t="shared" ca="1" si="584"/>
        <v>-1.462014110789144</v>
      </c>
      <c r="CR242" s="159">
        <f t="shared" ca="1" si="584"/>
        <v>9.1332650664986517</v>
      </c>
      <c r="CS242" s="159">
        <f t="shared" ca="1" si="584"/>
        <v>-1.3031127065180161</v>
      </c>
      <c r="CT242" s="159">
        <f t="shared" ca="1" si="584"/>
        <v>-2.3517431594218596</v>
      </c>
      <c r="CU242" s="159">
        <f t="shared" ca="1" si="584"/>
        <v>-1.5215340907206656</v>
      </c>
      <c r="CV242" s="159">
        <f t="shared" ca="1" si="585"/>
        <v>-1.4266698979265922</v>
      </c>
      <c r="CW242" s="159">
        <f t="shared" ca="1" si="586"/>
        <v>-1.3552340289725961</v>
      </c>
      <c r="CX242" s="159">
        <f t="shared" ca="1" si="587"/>
        <v>-1.3527479807484468</v>
      </c>
      <c r="CY242" s="159">
        <f t="shared" ca="1" si="588"/>
        <v>-1.5356896988926394</v>
      </c>
      <c r="CZ242" s="134"/>
      <c r="DA242" s="135">
        <v>-9.2030597385050257</v>
      </c>
      <c r="DB242" s="135">
        <v>-19.642877861421216</v>
      </c>
      <c r="DC242" s="135">
        <v>4.3341396796650056</v>
      </c>
      <c r="DD242" s="135">
        <v>-28.148638629588152</v>
      </c>
      <c r="DE242" s="135">
        <v>361.80231566528676</v>
      </c>
      <c r="DF242" s="135">
        <v>11.381718413748088</v>
      </c>
      <c r="DG242" s="135">
        <v>15.791857408886511</v>
      </c>
      <c r="DH242" s="135">
        <v>8.7622040829582701</v>
      </c>
      <c r="DI242" s="135">
        <v>8.4922829648613742</v>
      </c>
      <c r="DJ242" s="135">
        <v>-1.5491800796723298</v>
      </c>
      <c r="DK242" s="135">
        <v>9.377944083687261</v>
      </c>
      <c r="DL242" s="135">
        <v>11.024010831398723</v>
      </c>
      <c r="DM242" s="135">
        <v>11.158225290686662</v>
      </c>
      <c r="DN242" s="135">
        <v>12.562982992944672</v>
      </c>
      <c r="DO242" s="135">
        <v>14.807406871869988</v>
      </c>
      <c r="DP242" s="135">
        <v>18.340551830545348</v>
      </c>
      <c r="DQ242" s="135">
        <v>23.798832755437861</v>
      </c>
    </row>
    <row r="243" spans="1:121" s="123" customFormat="1">
      <c r="A243" s="107" t="s">
        <v>1869</v>
      </c>
      <c r="B243" s="107"/>
      <c r="C243" s="136" t="s">
        <v>1349</v>
      </c>
      <c r="D243" s="147"/>
      <c r="E243" s="107"/>
      <c r="F243" s="107"/>
      <c r="G243" s="144">
        <f>+Assumptions!G21</f>
        <v>0</v>
      </c>
      <c r="H243" s="144">
        <f>+Assumptions!H21</f>
        <v>0</v>
      </c>
      <c r="I243" s="144">
        <f>+Assumptions!I21</f>
        <v>0</v>
      </c>
      <c r="J243" s="144">
        <f>+Assumptions!J21</f>
        <v>0</v>
      </c>
      <c r="K243" s="144">
        <f>+Assumptions!K21</f>
        <v>0</v>
      </c>
      <c r="L243" s="144">
        <f>+Assumptions!L21</f>
        <v>0</v>
      </c>
      <c r="M243" s="144">
        <f>+Assumptions!M21</f>
        <v>0</v>
      </c>
      <c r="N243" s="144">
        <f>+Assumptions!N21</f>
        <v>0</v>
      </c>
      <c r="O243" s="144">
        <f>+Assumptions!O21</f>
        <v>0</v>
      </c>
      <c r="P243" s="144">
        <f>+Assumptions!P21</f>
        <v>0</v>
      </c>
      <c r="Q243" s="144">
        <f>+Assumptions!Q21</f>
        <v>0</v>
      </c>
      <c r="R243" s="144">
        <f>+Assumptions!R21</f>
        <v>0</v>
      </c>
      <c r="S243" s="144">
        <f>+Assumptions!S21</f>
        <v>0</v>
      </c>
      <c r="T243" s="144">
        <f>+Assumptions!T21</f>
        <v>0</v>
      </c>
      <c r="U243" s="144">
        <f>+Assumptions!U21</f>
        <v>0</v>
      </c>
      <c r="V243" s="144">
        <f>+Assumptions!V21</f>
        <v>0</v>
      </c>
      <c r="W243" s="144">
        <f>+Assumptions!W21</f>
        <v>0</v>
      </c>
      <c r="X243" s="144">
        <f>+Assumptions!X21</f>
        <v>0</v>
      </c>
      <c r="Y243" s="144">
        <f>+Assumptions!Y21</f>
        <v>0</v>
      </c>
      <c r="Z243" s="144">
        <f>+Assumptions!Z21</f>
        <v>0</v>
      </c>
      <c r="AA243" s="144">
        <f>+Assumptions!AA21</f>
        <v>0</v>
      </c>
      <c r="AB243" s="144">
        <f>+Assumptions!AB21</f>
        <v>0</v>
      </c>
      <c r="AC243" s="144">
        <f>+Assumptions!AC21</f>
        <v>0</v>
      </c>
      <c r="AD243" s="144">
        <f>+Assumptions!AD21</f>
        <v>0</v>
      </c>
      <c r="AE243" s="144">
        <f>+Assumptions!AE21</f>
        <v>0</v>
      </c>
      <c r="AF243" s="144">
        <f>+Assumptions!AF21</f>
        <v>0</v>
      </c>
      <c r="AG243" s="144">
        <f>+Assumptions!AG21</f>
        <v>0</v>
      </c>
      <c r="AH243" s="144">
        <f>+Assumptions!AH21</f>
        <v>0</v>
      </c>
      <c r="AI243" s="144">
        <f>+Assumptions!AI21</f>
        <v>0</v>
      </c>
      <c r="AJ243" s="144">
        <f>+Assumptions!AJ21</f>
        <v>0</v>
      </c>
      <c r="AK243" s="144">
        <f>+Assumptions!AK21</f>
        <v>0</v>
      </c>
      <c r="AL243" s="144">
        <f>+Assumptions!AL21</f>
        <v>0</v>
      </c>
      <c r="AM243" s="144">
        <f>+Assumptions!AM21</f>
        <v>0</v>
      </c>
      <c r="AN243" s="144">
        <f>+Assumptions!AN21</f>
        <v>0</v>
      </c>
      <c r="AO243" s="144">
        <f>+Assumptions!AO21</f>
        <v>0</v>
      </c>
      <c r="AP243" s="144">
        <f>+Assumptions!AP21</f>
        <v>0</v>
      </c>
      <c r="AQ243" s="144">
        <f>+Assumptions!AQ21</f>
        <v>0</v>
      </c>
      <c r="AR243" s="144">
        <f>+Assumptions!AR21</f>
        <v>0</v>
      </c>
      <c r="AS243" s="144">
        <f>+Assumptions!AS21</f>
        <v>0</v>
      </c>
      <c r="AT243" s="144">
        <f>+Assumptions!AT21</f>
        <v>0</v>
      </c>
      <c r="AU243" s="144">
        <f>+Assumptions!AU21</f>
        <v>0</v>
      </c>
      <c r="AV243" s="144">
        <f>+Assumptions!AV21</f>
        <v>0</v>
      </c>
      <c r="AW243" s="144">
        <f>+Assumptions!AW21</f>
        <v>0</v>
      </c>
      <c r="AX243" s="144">
        <f>+Assumptions!AX21</f>
        <v>0</v>
      </c>
      <c r="AY243" s="144">
        <f>+Assumptions!AY21</f>
        <v>0</v>
      </c>
      <c r="AZ243" s="144">
        <f>+Assumptions!AZ21</f>
        <v>0</v>
      </c>
      <c r="BA243" s="144">
        <f>+Assumptions!BA21</f>
        <v>0</v>
      </c>
      <c r="BB243" s="144">
        <f>+Assumptions!BB21</f>
        <v>0</v>
      </c>
      <c r="BC243" s="144">
        <f>+Assumptions!BC21</f>
        <v>0</v>
      </c>
      <c r="BD243" s="144">
        <f>+Assumptions!BD21</f>
        <v>0</v>
      </c>
      <c r="BE243" s="144">
        <f>+Assumptions!BE21</f>
        <v>0</v>
      </c>
      <c r="BF243" s="144">
        <f>+Assumptions!BF21</f>
        <v>0.5</v>
      </c>
      <c r="BG243" s="144">
        <f>+Assumptions!BG21</f>
        <v>0.5</v>
      </c>
      <c r="BH243" s="144">
        <f>+Assumptions!BH21</f>
        <v>0.5</v>
      </c>
      <c r="BI243" s="144">
        <f>+Assumptions!BI21</f>
        <v>0.5</v>
      </c>
      <c r="BJ243" s="144">
        <f>+Assumptions!BJ21</f>
        <v>0.5</v>
      </c>
      <c r="BK243" s="144">
        <f>+Assumptions!BK21</f>
        <v>0.5</v>
      </c>
      <c r="BL243" s="144">
        <f>+Assumptions!BL21</f>
        <v>0.5</v>
      </c>
      <c r="BM243" s="144">
        <f>+Assumptions!BM21</f>
        <v>0.5</v>
      </c>
      <c r="BN243" s="144">
        <f>+Assumptions!BN21</f>
        <v>0.5</v>
      </c>
      <c r="BO243" s="144">
        <f>+Assumptions!BO21</f>
        <v>0.5</v>
      </c>
      <c r="BP243" s="144">
        <f>+Assumptions!BP21</f>
        <v>0.5</v>
      </c>
      <c r="BQ243" s="144">
        <f>+Assumptions!BQ21</f>
        <v>0.5</v>
      </c>
      <c r="BR243" s="144">
        <f>+Assumptions!BR21</f>
        <v>0.5</v>
      </c>
      <c r="BS243" s="144">
        <f>+Assumptions!BS21</f>
        <v>0.5</v>
      </c>
      <c r="BT243" s="144">
        <f>+Assumptions!BT21</f>
        <v>0.5</v>
      </c>
      <c r="BU243" s="144">
        <f>+Assumptions!BU21</f>
        <v>0.5</v>
      </c>
      <c r="BV243" s="144">
        <f>+Assumptions!BV21</f>
        <v>0.5</v>
      </c>
      <c r="BW243" s="144">
        <f>+Assumptions!BW21</f>
        <v>0.5</v>
      </c>
      <c r="BX243" s="144">
        <f>+Assumptions!BX21</f>
        <v>0.5</v>
      </c>
      <c r="BY243" s="144">
        <f>+Assumptions!BY21</f>
        <v>0.5</v>
      </c>
      <c r="BZ243" s="144">
        <f>+Assumptions!BZ21</f>
        <v>0.5</v>
      </c>
      <c r="CA243" s="144">
        <f>+Assumptions!CA21</f>
        <v>0.5</v>
      </c>
      <c r="CB243" s="144">
        <f>+Assumptions!CB21</f>
        <v>0.5</v>
      </c>
      <c r="CC243" s="144">
        <f>+Assumptions!CC21</f>
        <v>0.5</v>
      </c>
      <c r="CD243" s="144">
        <f>+Assumptions!CD21</f>
        <v>0.5</v>
      </c>
      <c r="CE243" s="144">
        <f>+Assumptions!CE21</f>
        <v>0.5</v>
      </c>
      <c r="CF243" s="144">
        <f>+Assumptions!CF21</f>
        <v>0.5</v>
      </c>
      <c r="CG243" s="144">
        <f>+Assumptions!CG21</f>
        <v>0.5</v>
      </c>
      <c r="CH243" s="196"/>
      <c r="CI243" s="106">
        <f t="shared" si="583"/>
        <v>0</v>
      </c>
      <c r="CJ243" s="106">
        <f t="shared" ref="CJ243:CR243" si="602">BR243-DB243</f>
        <v>0</v>
      </c>
      <c r="CK243" s="106">
        <f t="shared" si="602"/>
        <v>0</v>
      </c>
      <c r="CL243" s="106">
        <f t="shared" si="602"/>
        <v>0</v>
      </c>
      <c r="CM243" s="106">
        <f t="shared" si="602"/>
        <v>-1</v>
      </c>
      <c r="CN243" s="106">
        <f t="shared" si="602"/>
        <v>-1</v>
      </c>
      <c r="CO243" s="106">
        <f t="shared" si="602"/>
        <v>-1</v>
      </c>
      <c r="CP243" s="106">
        <f t="shared" si="602"/>
        <v>-1</v>
      </c>
      <c r="CQ243" s="106">
        <f t="shared" si="602"/>
        <v>-1</v>
      </c>
      <c r="CR243" s="106">
        <f t="shared" si="602"/>
        <v>-1</v>
      </c>
      <c r="CS243" s="106">
        <f>CA243-DK243</f>
        <v>-1</v>
      </c>
      <c r="CT243" s="106">
        <f>CB243-DL243</f>
        <v>-1</v>
      </c>
      <c r="CU243" s="106">
        <f>CC243-DM243</f>
        <v>-1</v>
      </c>
      <c r="CV243" s="106">
        <f t="shared" si="585"/>
        <v>-1</v>
      </c>
      <c r="CW243" s="106">
        <f t="shared" si="586"/>
        <v>-1</v>
      </c>
      <c r="CX243" s="106">
        <f t="shared" si="587"/>
        <v>-1</v>
      </c>
      <c r="CY243" s="106">
        <f t="shared" si="588"/>
        <v>-1</v>
      </c>
      <c r="CZ243" s="134"/>
      <c r="DA243" s="135">
        <v>0.5</v>
      </c>
      <c r="DB243" s="135">
        <v>0.5</v>
      </c>
      <c r="DC243" s="135">
        <v>0.5</v>
      </c>
      <c r="DD243" s="135">
        <v>0.5</v>
      </c>
      <c r="DE243" s="135">
        <v>1.5</v>
      </c>
      <c r="DF243" s="135">
        <v>1.5</v>
      </c>
      <c r="DG243" s="135">
        <v>1.5</v>
      </c>
      <c r="DH243" s="135">
        <v>1.5</v>
      </c>
      <c r="DI243" s="135">
        <v>1.5</v>
      </c>
      <c r="DJ243" s="135">
        <v>1.5</v>
      </c>
      <c r="DK243" s="135">
        <v>1.5</v>
      </c>
      <c r="DL243" s="135">
        <v>1.5</v>
      </c>
      <c r="DM243" s="135">
        <v>1.5</v>
      </c>
      <c r="DN243" s="135">
        <v>1.5</v>
      </c>
      <c r="DO243" s="135">
        <v>1.5</v>
      </c>
      <c r="DP243" s="135">
        <v>1.5</v>
      </c>
      <c r="DQ243" s="135">
        <v>1.5</v>
      </c>
    </row>
    <row r="244" spans="1:121" s="123" customFormat="1">
      <c r="A244" s="141"/>
      <c r="B244" s="141"/>
      <c r="C244" s="158"/>
      <c r="D244" s="102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CH244" s="141"/>
      <c r="CZ244" s="181"/>
      <c r="DA244" s="135"/>
      <c r="DB244" s="135"/>
      <c r="DC244" s="135"/>
      <c r="DD244" s="135"/>
      <c r="DE244" s="135"/>
      <c r="DF244" s="135"/>
      <c r="DG244" s="135"/>
      <c r="DH244" s="135"/>
      <c r="DI244" s="135"/>
      <c r="DJ244" s="135"/>
      <c r="DK244" s="135"/>
      <c r="DL244" s="135"/>
      <c r="DM244" s="135"/>
      <c r="DN244" s="135"/>
      <c r="DO244" s="135"/>
      <c r="DP244" s="135"/>
      <c r="DQ244" s="135"/>
    </row>
    <row r="245" spans="1:121" s="123" customFormat="1">
      <c r="A245" s="107" t="s">
        <v>2971</v>
      </c>
      <c r="B245" s="107"/>
      <c r="C245" s="158" t="s">
        <v>1735</v>
      </c>
      <c r="D245" s="102"/>
      <c r="E245" s="141"/>
      <c r="F245" s="123">
        <f t="shared" ref="F245:AK245" si="603">F17/F210*1000000</f>
        <v>0.64913733905579396</v>
      </c>
      <c r="G245" s="123">
        <f t="shared" si="603"/>
        <v>0.67436542659973187</v>
      </c>
      <c r="H245" s="123">
        <f t="shared" si="603"/>
        <v>0.70048348460827359</v>
      </c>
      <c r="I245" s="123">
        <f t="shared" si="603"/>
        <v>0.74624754187322739</v>
      </c>
      <c r="J245" s="123">
        <f t="shared" si="603"/>
        <v>0.73208265473344447</v>
      </c>
      <c r="K245" s="123">
        <f t="shared" si="603"/>
        <v>0.78389305849371538</v>
      </c>
      <c r="L245" s="123">
        <f t="shared" si="603"/>
        <v>0.83213033057700581</v>
      </c>
      <c r="M245" s="123">
        <f t="shared" si="603"/>
        <v>0.86906743594668834</v>
      </c>
      <c r="N245" s="123">
        <f t="shared" si="603"/>
        <v>0.90753328341523276</v>
      </c>
      <c r="O245" s="123">
        <f t="shared" si="603"/>
        <v>0.95496362982411753</v>
      </c>
      <c r="P245" s="123">
        <f t="shared" si="603"/>
        <v>0.98550899080113952</v>
      </c>
      <c r="Q245" s="123">
        <f t="shared" si="603"/>
        <v>1.1118977658637623</v>
      </c>
      <c r="R245" s="123">
        <f t="shared" si="603"/>
        <v>1.3314712044061996</v>
      </c>
      <c r="S245" s="123">
        <f t="shared" si="603"/>
        <v>1.497982188489114</v>
      </c>
      <c r="T245" s="123">
        <f t="shared" si="603"/>
        <v>1.6046877924004137</v>
      </c>
      <c r="U245" s="123">
        <f t="shared" si="603"/>
        <v>1.682798206099047</v>
      </c>
      <c r="V245" s="123">
        <f t="shared" si="603"/>
        <v>1.7738264308595666</v>
      </c>
      <c r="W245" s="123">
        <f t="shared" si="603"/>
        <v>1.93126111812427</v>
      </c>
      <c r="X245" s="123">
        <f t="shared" si="603"/>
        <v>1.9808770362188395</v>
      </c>
      <c r="Y245" s="123">
        <f t="shared" si="603"/>
        <v>2.144247108649723</v>
      </c>
      <c r="Z245" s="123">
        <f t="shared" si="603"/>
        <v>2.6099078341766111</v>
      </c>
      <c r="AA245" s="123">
        <f t="shared" si="603"/>
        <v>3.0930938607138412</v>
      </c>
      <c r="AB245" s="123">
        <f t="shared" si="603"/>
        <v>3.4534970276407808</v>
      </c>
      <c r="AC245" s="123">
        <f t="shared" si="603"/>
        <v>4.2966938511549202</v>
      </c>
      <c r="AD245" s="123">
        <f t="shared" si="603"/>
        <v>4.8565520478610367</v>
      </c>
      <c r="AE245" s="123">
        <f t="shared" si="603"/>
        <v>5.1994542341752537</v>
      </c>
      <c r="AF245" s="123">
        <f t="shared" si="603"/>
        <v>5.4084630652369681</v>
      </c>
      <c r="AG245" s="123">
        <f t="shared" si="603"/>
        <v>6.0683813139776328</v>
      </c>
      <c r="AH245" s="123">
        <f t="shared" si="603"/>
        <v>6.1133710341920695</v>
      </c>
      <c r="AI245" s="123">
        <f t="shared" si="603"/>
        <v>5.7787394507911571</v>
      </c>
      <c r="AJ245" s="123">
        <f t="shared" si="603"/>
        <v>5.7107461362543122</v>
      </c>
      <c r="AK245" s="123">
        <f t="shared" si="603"/>
        <v>5.4625668150317424</v>
      </c>
      <c r="AL245" s="123">
        <f t="shared" ref="AL245:BQ245" si="604">AL17/AL210*1000000</f>
        <v>5.445933518027684</v>
      </c>
      <c r="AM245" s="123">
        <f t="shared" si="604"/>
        <v>5.9197969543147204</v>
      </c>
      <c r="AN245" s="123">
        <f t="shared" si="604"/>
        <v>6.9601511335012596</v>
      </c>
      <c r="AO245" s="123">
        <f t="shared" si="604"/>
        <v>8.0510473815461339</v>
      </c>
      <c r="AP245" s="123">
        <f t="shared" si="604"/>
        <v>9.6697015189199007</v>
      </c>
      <c r="AQ245" s="123">
        <f t="shared" si="604"/>
        <v>11.141334075923181</v>
      </c>
      <c r="AR245" s="123">
        <f t="shared" si="604"/>
        <v>15.048089916614391</v>
      </c>
      <c r="AS245" s="123">
        <f t="shared" si="604"/>
        <v>36.100153285737989</v>
      </c>
      <c r="AT245" s="123">
        <f t="shared" si="604"/>
        <v>200.32937214361019</v>
      </c>
      <c r="AU245" s="123">
        <f t="shared" si="604"/>
        <v>747.63614484941274</v>
      </c>
      <c r="AV245" s="123">
        <f t="shared" si="604"/>
        <v>835.51670423870655</v>
      </c>
      <c r="AW245" s="123">
        <f t="shared" si="604"/>
        <v>827.95369339622641</v>
      </c>
      <c r="AX245" s="123">
        <f t="shared" si="604"/>
        <v>978.10691823899356</v>
      </c>
      <c r="AY245" s="123">
        <f t="shared" si="604"/>
        <v>1653.0253741054</v>
      </c>
      <c r="AZ245" s="123">
        <f t="shared" si="604"/>
        <v>2680.94084869267</v>
      </c>
      <c r="BA245" s="123">
        <f t="shared" si="604"/>
        <v>3841.0327349524814</v>
      </c>
      <c r="BB245" s="123">
        <f t="shared" si="604"/>
        <v>5362.8964941569284</v>
      </c>
      <c r="BC245" s="123">
        <f t="shared" si="604"/>
        <v>6815.0709438618132</v>
      </c>
      <c r="BD245" s="123">
        <f t="shared" si="604"/>
        <v>8331.8360327523806</v>
      </c>
      <c r="BE245" s="123">
        <f t="shared" si="604"/>
        <v>9938.7682212239579</v>
      </c>
      <c r="BF245" s="123">
        <f t="shared" si="604"/>
        <v>14290.927047120815</v>
      </c>
      <c r="BG245" s="123">
        <f t="shared" si="604"/>
        <v>15805.831715591114</v>
      </c>
      <c r="BH245" s="123">
        <f t="shared" si="604"/>
        <v>18756.527389895022</v>
      </c>
      <c r="BI245" s="123">
        <f t="shared" si="604"/>
        <v>20296.751077473131</v>
      </c>
      <c r="BJ245" s="123">
        <f t="shared" si="604"/>
        <v>22570.363537097353</v>
      </c>
      <c r="BK245" s="123">
        <f t="shared" si="604"/>
        <v>26767.424200329686</v>
      </c>
      <c r="BL245" s="123">
        <f t="shared" si="604"/>
        <v>30341.298062543618</v>
      </c>
      <c r="BM245" s="123">
        <f t="shared" si="604"/>
        <v>30862.088393412116</v>
      </c>
      <c r="BN245" s="123">
        <f t="shared" si="604"/>
        <v>30949.956422375453</v>
      </c>
      <c r="BO245" s="123">
        <f t="shared" si="604"/>
        <v>28833.526355961931</v>
      </c>
      <c r="BP245" s="123">
        <f t="shared" si="604"/>
        <v>33848.996896292403</v>
      </c>
      <c r="BQ245" s="123">
        <f t="shared" si="604"/>
        <v>41199.862872814534</v>
      </c>
      <c r="BR245" s="123">
        <f t="shared" ref="BR245:CC245" si="605">BR17/BR210*1000000</f>
        <v>43731.570920183018</v>
      </c>
      <c r="BS245" s="123">
        <f t="shared" si="605"/>
        <v>46124.663395515985</v>
      </c>
      <c r="BT245" s="123">
        <f t="shared" si="605"/>
        <v>53101.160020660493</v>
      </c>
      <c r="BU245" s="123">
        <f t="shared" ca="1" si="605"/>
        <v>99883.655432509666</v>
      </c>
      <c r="BV245" s="123">
        <f t="shared" ca="1" si="605"/>
        <v>114407.32123253071</v>
      </c>
      <c r="BW245" s="123">
        <f t="shared" ca="1" si="605"/>
        <v>126034.63915877671</v>
      </c>
      <c r="BX245" s="123">
        <f t="shared" ca="1" si="605"/>
        <v>135223.30652524342</v>
      </c>
      <c r="BY245" s="123">
        <f t="shared" ca="1" si="605"/>
        <v>148022.42023770005</v>
      </c>
      <c r="BZ245" s="123">
        <f t="shared" ca="1" si="605"/>
        <v>163649.32808878645</v>
      </c>
      <c r="CA245" s="123">
        <f t="shared" ca="1" si="605"/>
        <v>182677.98585567277</v>
      </c>
      <c r="CB245" s="123">
        <f t="shared" ca="1" si="605"/>
        <v>206333.2656358181</v>
      </c>
      <c r="CC245" s="123">
        <f t="shared" ca="1" si="605"/>
        <v>236428.1466808313</v>
      </c>
      <c r="CD245" s="123">
        <f ca="1">CD17/CD210*1000000</f>
        <v>275764.79790709331</v>
      </c>
      <c r="CE245" s="123">
        <f ca="1">CE17/CE210*1000000</f>
        <v>328798.70844851341</v>
      </c>
      <c r="CF245" s="123">
        <f ca="1">CF17/CF210*1000000</f>
        <v>402847.95013387373</v>
      </c>
      <c r="CG245" s="123">
        <f ca="1">CG17/CG210*1000000</f>
        <v>510371.66177335323</v>
      </c>
      <c r="CH245" s="141"/>
      <c r="CI245" s="106">
        <f t="shared" ref="CI245:CR246" si="606">BQ245-DA245</f>
        <v>0</v>
      </c>
      <c r="CJ245" s="106">
        <f t="shared" si="606"/>
        <v>0</v>
      </c>
      <c r="CK245" s="106">
        <f t="shared" si="606"/>
        <v>0</v>
      </c>
      <c r="CL245" s="106">
        <f t="shared" si="606"/>
        <v>0</v>
      </c>
      <c r="CM245" s="106">
        <f t="shared" ca="1" si="606"/>
        <v>4252.9540340028907</v>
      </c>
      <c r="CN245" s="106">
        <f t="shared" ca="1" si="606"/>
        <v>6356.3947054829478</v>
      </c>
      <c r="CO245" s="106">
        <f t="shared" ca="1" si="606"/>
        <v>5985.5436917675252</v>
      </c>
      <c r="CP245" s="106">
        <f t="shared" ca="1" si="606"/>
        <v>4492.2588191693067</v>
      </c>
      <c r="CQ245" s="106">
        <f t="shared" ca="1" si="606"/>
        <v>2515.0932384530897</v>
      </c>
      <c r="CR245" s="106">
        <f t="shared" ca="1" si="606"/>
        <v>4088.3620562844735</v>
      </c>
      <c r="CS245" s="106">
        <f t="shared" ref="CS245:CY246" ca="1" si="607">CA245-DK245</f>
        <v>2000.3369570486539</v>
      </c>
      <c r="CT245" s="106">
        <f t="shared" ca="1" si="607"/>
        <v>-431.46558631287189</v>
      </c>
      <c r="CU245" s="106">
        <f t="shared" ca="1" si="607"/>
        <v>-4486.8952229640563</v>
      </c>
      <c r="CV245" s="106">
        <f t="shared" ca="1" si="607"/>
        <v>-10638.537883441953</v>
      </c>
      <c r="CW245" s="106">
        <f t="shared" ca="1" si="607"/>
        <v>-19934.347311697085</v>
      </c>
      <c r="CX245" s="106">
        <f t="shared" ca="1" si="607"/>
        <v>-34404.151124987402</v>
      </c>
      <c r="CY245" s="106">
        <f t="shared" ca="1" si="607"/>
        <v>-57857.407806277159</v>
      </c>
      <c r="CZ245" s="181"/>
      <c r="DA245" s="135">
        <v>41199.862872814534</v>
      </c>
      <c r="DB245" s="135">
        <v>43731.570920183018</v>
      </c>
      <c r="DC245" s="135">
        <v>46124.663395515985</v>
      </c>
      <c r="DD245" s="135">
        <v>53101.160020660493</v>
      </c>
      <c r="DE245" s="135">
        <v>95630.701398506775</v>
      </c>
      <c r="DF245" s="135">
        <v>108050.92652704776</v>
      </c>
      <c r="DG245" s="135">
        <v>120049.09546700919</v>
      </c>
      <c r="DH245" s="135">
        <v>130731.04770607411</v>
      </c>
      <c r="DI245" s="135">
        <v>145507.32699924696</v>
      </c>
      <c r="DJ245" s="135">
        <v>159560.96603250198</v>
      </c>
      <c r="DK245" s="135">
        <v>180677.64889862412</v>
      </c>
      <c r="DL245" s="135">
        <v>206764.73122213097</v>
      </c>
      <c r="DM245" s="135">
        <v>240915.04190379535</v>
      </c>
      <c r="DN245" s="135">
        <v>286403.33579053526</v>
      </c>
      <c r="DO245" s="135">
        <v>348733.0557602105</v>
      </c>
      <c r="DP245" s="135">
        <v>437252.10125886113</v>
      </c>
      <c r="DQ245" s="135">
        <v>568229.06957963039</v>
      </c>
    </row>
    <row r="246" spans="1:121" s="123" customFormat="1">
      <c r="A246" s="107" t="s">
        <v>2971</v>
      </c>
      <c r="B246" s="107"/>
      <c r="C246" s="158" t="s">
        <v>733</v>
      </c>
      <c r="D246" s="102"/>
      <c r="E246" s="141"/>
      <c r="F246" s="123">
        <f>F245/Model!F196</f>
        <v>344.36994114365729</v>
      </c>
      <c r="G246" s="123">
        <f>G245/Model!G196</f>
        <v>357.75354196272247</v>
      </c>
      <c r="H246" s="123">
        <f>H245/Model!H196</f>
        <v>371.60927565425658</v>
      </c>
      <c r="I246" s="123">
        <f>I245/Model!I196</f>
        <v>395.88729011842304</v>
      </c>
      <c r="J246" s="123">
        <f>J245/Model!J196</f>
        <v>388.37276113180081</v>
      </c>
      <c r="K246" s="123">
        <f>K245/Model!K196</f>
        <v>415.85838646881456</v>
      </c>
      <c r="L246" s="123">
        <f>L245/Model!L196</f>
        <v>441.44845123448584</v>
      </c>
      <c r="M246" s="123">
        <f>M245/Model!M196</f>
        <v>461.04373259771268</v>
      </c>
      <c r="N246" s="123">
        <f>N245/Model!N196</f>
        <v>481.45001772691393</v>
      </c>
      <c r="O246" s="123">
        <f>O245/Model!O196</f>
        <v>506.61200521173345</v>
      </c>
      <c r="P246" s="123">
        <f>P245/Model!P196</f>
        <v>522.81644074331007</v>
      </c>
      <c r="Q246" s="123">
        <f>Q245/Model!Q196</f>
        <v>589.86618878714182</v>
      </c>
      <c r="R246" s="123">
        <f>R245/Model!R196</f>
        <v>706.35077156827572</v>
      </c>
      <c r="S246" s="123">
        <f>S245/Model!S196</f>
        <v>794.68551113480851</v>
      </c>
      <c r="T246" s="123">
        <f>T245/Model!T196</f>
        <v>851.29325856785874</v>
      </c>
      <c r="U246" s="123">
        <f>U245/Model!U196</f>
        <v>892.73114381912308</v>
      </c>
      <c r="V246" s="123">
        <f>V245/Model!V196</f>
        <v>941.02197923584436</v>
      </c>
      <c r="W246" s="123">
        <f>W245/Model!W196</f>
        <v>1024.5417072277294</v>
      </c>
      <c r="X246" s="123">
        <f>X245/Model!X196</f>
        <v>1109.7350342962686</v>
      </c>
      <c r="Y246" s="123">
        <f>Y245/Model!Y196</f>
        <v>1201.2588843976039</v>
      </c>
      <c r="Z246" s="123">
        <f>Z245/Model!Z196</f>
        <v>1462.1332404350762</v>
      </c>
      <c r="AA246" s="123">
        <f>AA245/Model!AA196</f>
        <v>1732.8256922766618</v>
      </c>
      <c r="AB246" s="123">
        <f>AB245/Model!AB196</f>
        <v>1934.7322283701853</v>
      </c>
      <c r="AC246" s="123">
        <f>AC245/Model!AC196</f>
        <v>2407.1114012072385</v>
      </c>
      <c r="AD246" s="123">
        <f>AD245/Model!AD196</f>
        <v>2720.7574497820933</v>
      </c>
      <c r="AE246" s="123">
        <f>AE245/Model!AE196</f>
        <v>2912.8595149441198</v>
      </c>
      <c r="AF246" s="123">
        <f>AF245/Model!AF196</f>
        <v>3029.9512970515229</v>
      </c>
      <c r="AG246" s="123">
        <f>AG245/Model!AG196</f>
        <v>3399.6533971863491</v>
      </c>
      <c r="AH246" s="123">
        <f>AH245/Model!AH196</f>
        <v>3424.8577222364538</v>
      </c>
      <c r="AI246" s="123">
        <f>AI245/Model!AI196</f>
        <v>3237.3890480622731</v>
      </c>
      <c r="AJ246" s="123">
        <f>AJ245/Model!AJ196</f>
        <v>3199.2975553245446</v>
      </c>
      <c r="AK246" s="123">
        <f>AK245/Model!AK196</f>
        <v>2677.5319535483873</v>
      </c>
      <c r="AL246" s="123">
        <f>AL245/Model!AL196</f>
        <v>2213.6591338039079</v>
      </c>
      <c r="AM246" s="123">
        <f>AM245/Model!AM196</f>
        <v>1671.4799470062596</v>
      </c>
      <c r="AN246" s="123">
        <f>AN245/Model!AN196</f>
        <v>1994.7984848749006</v>
      </c>
      <c r="AO246" s="123">
        <f>AO245/Model!AO196</f>
        <v>1778.6277366970726</v>
      </c>
      <c r="AP246" s="123">
        <f>AP245/Model!AP196</f>
        <v>1954.8375168389889</v>
      </c>
      <c r="AQ246" s="123">
        <f>AQ245/Model!AQ196</f>
        <v>1766.4049205963172</v>
      </c>
      <c r="AR246" s="123">
        <f>AR245/Model!AR196</f>
        <v>1881.3522346693326</v>
      </c>
      <c r="AS246" s="123">
        <f>AS245/Model!AS196</f>
        <v>1930.7630913331561</v>
      </c>
      <c r="AT246" s="123">
        <f>AT245/Model!AT196</f>
        <v>2984.8695729283886</v>
      </c>
      <c r="AU246" s="123">
        <f>AU245/Model!AU196</f>
        <v>1648.8492408005459</v>
      </c>
      <c r="AV246" s="123">
        <f>AV245/Model!AV196</f>
        <v>2067.3597009964983</v>
      </c>
      <c r="AW246" s="123">
        <f>AW245/Model!AW196</f>
        <v>2027.9239520183658</v>
      </c>
      <c r="AX246" s="123">
        <f>AX245/Model!AX196</f>
        <v>2256.6429719807575</v>
      </c>
      <c r="AY246" s="123">
        <f>AY245/Model!AY196</f>
        <v>1754.6484723545204</v>
      </c>
      <c r="AZ246" s="123">
        <f>AZ245/Model!AZ196</f>
        <v>1841.9481856943696</v>
      </c>
      <c r="BA246" s="123">
        <f>BA245/Model!BA196</f>
        <v>1751.9285063055233</v>
      </c>
      <c r="BB246" s="123">
        <f>BB245/Model!BB196</f>
        <v>2215.9882294403742</v>
      </c>
      <c r="BC246" s="123">
        <f>BC245/Model!BC196</f>
        <v>2537.6509356394054</v>
      </c>
      <c r="BD246" s="123">
        <f>BD245/Model!BD196</f>
        <v>3014.6033242887593</v>
      </c>
      <c r="BE246" s="123">
        <f>BE245/Model!BE196</f>
        <v>3596.0193649105704</v>
      </c>
      <c r="BF246" s="123">
        <f>BF245/Model!BF196</f>
        <v>5170.7061941768434</v>
      </c>
      <c r="BG246" s="123">
        <f>BG245/Model!BG196</f>
        <v>5718.8250759693947</v>
      </c>
      <c r="BH246" s="123">
        <f>BH245/Model!BH196</f>
        <v>6786.4381391350826</v>
      </c>
      <c r="BI246" s="123">
        <f>BI245/Model!BI196</f>
        <v>7343.7178828157103</v>
      </c>
      <c r="BJ246" s="123">
        <f>BJ245/Model!BJ196</f>
        <v>8166.3504516738039</v>
      </c>
      <c r="BK246" s="123">
        <f>BK245/Model!BK196</f>
        <v>9684.9200656082357</v>
      </c>
      <c r="BL246" s="123">
        <f>BL245/Model!BL196</f>
        <v>10978.009845972019</v>
      </c>
      <c r="BM246" s="123">
        <f>BM245/Model!BM196</f>
        <v>11166.440854038196</v>
      </c>
      <c r="BN246" s="123">
        <f>BN245/Model!BN196</f>
        <v>11198.233036597994</v>
      </c>
      <c r="BO246" s="123">
        <f>BO245/Model!BO196</f>
        <v>10432.471793967392</v>
      </c>
      <c r="BP246" s="123">
        <f>BP245/Model!BP196</f>
        <v>5207.537984044985</v>
      </c>
      <c r="BQ246" s="123">
        <f>BQ245/Model!BQ196</f>
        <v>5486.0003825318954</v>
      </c>
      <c r="BR246" s="123">
        <f>BR245/Model!BR196</f>
        <v>5807.6455405289535</v>
      </c>
      <c r="BS246" s="123">
        <f>BS245/Model!BS196</f>
        <v>5624.9589506726816</v>
      </c>
      <c r="BT246" s="123">
        <f>BT245/Model!BT196</f>
        <v>4053.5236656992743</v>
      </c>
      <c r="BU246" s="123">
        <f ca="1">BU245/Model!BU196</f>
        <v>4765.4415759785143</v>
      </c>
      <c r="BV246" s="123">
        <f ca="1">BV245/Model!BV196</f>
        <v>5458.3645626207399</v>
      </c>
      <c r="BW246" s="123">
        <f ca="1">BW245/Model!BW196</f>
        <v>6013.1030133004151</v>
      </c>
      <c r="BX246" s="123">
        <f ca="1">BX245/Model!BX196</f>
        <v>6451.4936319295521</v>
      </c>
      <c r="BY246" s="123">
        <f ca="1">BY245/Model!BY196</f>
        <v>7062.1383701192772</v>
      </c>
      <c r="BZ246" s="123">
        <f ca="1">BZ245/Model!BZ196</f>
        <v>7807.6969508008797</v>
      </c>
      <c r="CA246" s="123">
        <f ca="1">CA245/Model!CA196</f>
        <v>8715.5527602897309</v>
      </c>
      <c r="CB246" s="123">
        <f ca="1">CB245/Model!CB196</f>
        <v>9844.1443528539166</v>
      </c>
      <c r="CC246" s="123">
        <f ca="1">CC245/Model!CC196</f>
        <v>11279.968830192332</v>
      </c>
      <c r="CD246" s="123">
        <f ca="1">CD245/Model!CD196</f>
        <v>13156.717457399489</v>
      </c>
      <c r="CE246" s="123">
        <f ca="1">CE245/Model!CE196</f>
        <v>15686.961280940524</v>
      </c>
      <c r="CF246" s="123">
        <f ca="1">CF245/Model!CF196</f>
        <v>19219.844949135197</v>
      </c>
      <c r="CG246" s="123">
        <f ca="1">CG245/Model!CG196</f>
        <v>24349.793023537844</v>
      </c>
      <c r="CH246" s="141"/>
      <c r="CI246" s="106">
        <f t="shared" si="606"/>
        <v>0</v>
      </c>
      <c r="CJ246" s="106">
        <f t="shared" si="606"/>
        <v>0</v>
      </c>
      <c r="CK246" s="106">
        <f t="shared" si="606"/>
        <v>0</v>
      </c>
      <c r="CL246" s="106">
        <f t="shared" si="606"/>
        <v>0</v>
      </c>
      <c r="CM246" s="106">
        <f t="shared" ca="1" si="606"/>
        <v>-448.88238250059021</v>
      </c>
      <c r="CN246" s="106">
        <f t="shared" ca="1" si="606"/>
        <v>-433.17995902853818</v>
      </c>
      <c r="CO246" s="106">
        <f t="shared" ca="1" si="606"/>
        <v>-532.64919318863576</v>
      </c>
      <c r="CP246" s="106">
        <f t="shared" ca="1" si="606"/>
        <v>-676.69871845616854</v>
      </c>
      <c r="CQ246" s="106">
        <f t="shared" ca="1" si="606"/>
        <v>-871.7398741144716</v>
      </c>
      <c r="CR246" s="106">
        <f t="shared" ca="1" si="606"/>
        <v>-892.46477398112529</v>
      </c>
      <c r="CS246" s="106">
        <f t="shared" ca="1" si="607"/>
        <v>-1136.0093388718888</v>
      </c>
      <c r="CT246" s="106">
        <f t="shared" ca="1" si="607"/>
        <v>-1429.8322677639117</v>
      </c>
      <c r="CU246" s="106">
        <f t="shared" ca="1" si="607"/>
        <v>-1856.0748941149395</v>
      </c>
      <c r="CV246" s="106">
        <f t="shared" ca="1" si="607"/>
        <v>-2459.6040142763704</v>
      </c>
      <c r="CW246" s="106">
        <f t="shared" ca="1" si="607"/>
        <v>-3327.9272556031228</v>
      </c>
      <c r="CX246" s="106">
        <f t="shared" ca="1" si="607"/>
        <v>-4621.6000486216799</v>
      </c>
      <c r="CY246" s="106">
        <f t="shared" ca="1" si="607"/>
        <v>-6633.2533003242279</v>
      </c>
      <c r="CZ246" s="181"/>
      <c r="DA246" s="135">
        <v>5486.0003825318954</v>
      </c>
      <c r="DB246" s="135">
        <v>5807.6455405289535</v>
      </c>
      <c r="DC246" s="135">
        <v>5624.9589506726816</v>
      </c>
      <c r="DD246" s="135">
        <v>4053.5236656992743</v>
      </c>
      <c r="DE246" s="135">
        <v>5214.3239584791045</v>
      </c>
      <c r="DF246" s="135">
        <v>5891.5445216492781</v>
      </c>
      <c r="DG246" s="135">
        <v>6545.7522064890509</v>
      </c>
      <c r="DH246" s="135">
        <v>7128.1923503857206</v>
      </c>
      <c r="DI246" s="135">
        <v>7933.8782442337488</v>
      </c>
      <c r="DJ246" s="135">
        <v>8700.161724782005</v>
      </c>
      <c r="DK246" s="135">
        <v>9851.5620991616197</v>
      </c>
      <c r="DL246" s="135">
        <v>11273.976620617828</v>
      </c>
      <c r="DM246" s="135">
        <v>13136.043724307272</v>
      </c>
      <c r="DN246" s="135">
        <v>15616.321471675859</v>
      </c>
      <c r="DO246" s="135">
        <v>19014.888536543647</v>
      </c>
      <c r="DP246" s="135">
        <v>23841.444997756877</v>
      </c>
      <c r="DQ246" s="135">
        <v>30983.046323862072</v>
      </c>
    </row>
    <row r="247" spans="1:121" s="123" customFormat="1">
      <c r="A247" s="107"/>
      <c r="B247" s="107"/>
      <c r="C247" s="136"/>
      <c r="D247" s="14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CH247" s="141"/>
      <c r="CI247" s="106"/>
      <c r="CJ247" s="106"/>
      <c r="CK247" s="106"/>
      <c r="CL247" s="106"/>
      <c r="CM247" s="106"/>
      <c r="CN247" s="106"/>
      <c r="CO247" s="106"/>
      <c r="CP247" s="106"/>
      <c r="CQ247" s="106"/>
      <c r="CR247" s="106"/>
      <c r="CS247" s="106"/>
      <c r="CT247" s="106"/>
      <c r="CU247" s="106"/>
      <c r="CV247" s="106"/>
      <c r="CW247" s="106"/>
      <c r="CX247" s="106"/>
      <c r="CY247" s="106"/>
      <c r="CZ247" s="134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5"/>
      <c r="DK247" s="135"/>
      <c r="DL247" s="135"/>
      <c r="DM247" s="135"/>
      <c r="DN247" s="135"/>
      <c r="DO247" s="135"/>
      <c r="DP247" s="135"/>
      <c r="DQ247" s="135"/>
    </row>
    <row r="248" spans="1:121">
      <c r="A248" s="185" t="s">
        <v>1761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U248" s="185"/>
      <c r="BV248" s="185"/>
      <c r="BW248" s="185"/>
      <c r="BX248" s="185"/>
      <c r="BY248" s="185"/>
      <c r="BZ248" s="185"/>
      <c r="CA248" s="185"/>
      <c r="CB248" s="185"/>
      <c r="CC248" s="185"/>
      <c r="CD248" s="185"/>
      <c r="CE248" s="185"/>
      <c r="CF248" s="185"/>
      <c r="CG248" s="185"/>
      <c r="CH248" s="99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211"/>
      <c r="DA248" s="215"/>
      <c r="DB248" s="215"/>
      <c r="DC248" s="215"/>
      <c r="DD248" s="215"/>
      <c r="DE248" s="215"/>
      <c r="DF248" s="215"/>
      <c r="DG248" s="385"/>
      <c r="DH248" s="385"/>
      <c r="DI248" s="385"/>
      <c r="DJ248" s="385"/>
      <c r="DK248" s="385"/>
      <c r="DL248" s="385"/>
      <c r="DM248" s="385"/>
      <c r="DN248" s="385"/>
    </row>
    <row r="249" spans="1:121">
      <c r="BI249" s="133"/>
      <c r="BJ249" s="133"/>
      <c r="BK249" s="133"/>
      <c r="BL249" s="133"/>
      <c r="BM249" s="133"/>
      <c r="BN249" s="133"/>
      <c r="BO249" s="133"/>
      <c r="BP249" s="133"/>
      <c r="BQ249" s="133"/>
      <c r="BR249" s="133"/>
      <c r="BS249" s="133"/>
      <c r="BT249" s="133"/>
      <c r="BU249" s="133"/>
      <c r="BV249" s="133"/>
      <c r="BW249" s="133"/>
      <c r="BX249" s="133"/>
      <c r="BY249" s="133"/>
      <c r="BZ249" s="133"/>
      <c r="CA249" s="133"/>
      <c r="CB249" s="133"/>
      <c r="CC249" s="133"/>
      <c r="CD249" s="133"/>
      <c r="CE249" s="133"/>
      <c r="CF249" s="133"/>
      <c r="CG249" s="133"/>
    </row>
    <row r="250" spans="1:121" s="123" customFormat="1">
      <c r="A250" s="166" t="s">
        <v>1886</v>
      </c>
      <c r="B250" s="107"/>
      <c r="C250" s="136" t="s">
        <v>1579</v>
      </c>
      <c r="D250" s="147"/>
      <c r="E250" s="107"/>
      <c r="F250" s="106">
        <f t="shared" ref="F250:AK250" si="608">+F53+F16</f>
        <v>0.19824899999999998</v>
      </c>
      <c r="G250" s="106">
        <f t="shared" si="608"/>
        <v>0.20762206781053538</v>
      </c>
      <c r="H250" s="106">
        <f t="shared" si="608"/>
        <v>0.22895462383866308</v>
      </c>
      <c r="I250" s="106">
        <f t="shared" si="608"/>
        <v>0.25473999860286711</v>
      </c>
      <c r="J250" s="106">
        <f t="shared" si="608"/>
        <v>0.25596029970169065</v>
      </c>
      <c r="K250" s="106">
        <f t="shared" si="608"/>
        <v>0.29318109764099121</v>
      </c>
      <c r="L250" s="106">
        <f t="shared" si="608"/>
        <v>0.32878540140151979</v>
      </c>
      <c r="M250" s="106">
        <f t="shared" si="608"/>
        <v>0.34147830400466916</v>
      </c>
      <c r="N250" s="106">
        <f t="shared" si="608"/>
        <v>0.36397530348777768</v>
      </c>
      <c r="O250" s="106">
        <f t="shared" si="608"/>
        <v>0.39674230182647702</v>
      </c>
      <c r="P250" s="106">
        <f t="shared" si="608"/>
        <v>0.45795740686416625</v>
      </c>
      <c r="Q250" s="106">
        <f t="shared" si="608"/>
        <v>0.5286251953458786</v>
      </c>
      <c r="R250" s="106">
        <f t="shared" si="608"/>
        <v>0.60604140128135675</v>
      </c>
      <c r="S250" s="106">
        <f t="shared" si="608"/>
        <v>0.69895910028457631</v>
      </c>
      <c r="T250" s="106">
        <f t="shared" si="608"/>
        <v>0.7451234071445465</v>
      </c>
      <c r="U250" s="106">
        <f t="shared" si="608"/>
        <v>0.80328349529266363</v>
      </c>
      <c r="V250" s="106">
        <f t="shared" si="608"/>
        <v>0.84801090741157537</v>
      </c>
      <c r="W250" s="106">
        <f t="shared" si="608"/>
        <v>0.93505809247970573</v>
      </c>
      <c r="X250" s="106">
        <f t="shared" si="608"/>
        <v>0.97847571140289302</v>
      </c>
      <c r="Y250" s="106">
        <f t="shared" si="608"/>
        <v>1.0741265137290954</v>
      </c>
      <c r="Z250" s="106">
        <f t="shared" si="608"/>
        <v>1.4172710068702696</v>
      </c>
      <c r="AA250" s="106">
        <f t="shared" si="608"/>
        <v>1.6064399753952028</v>
      </c>
      <c r="AB250" s="106">
        <f t="shared" si="608"/>
        <v>1.7012600229644772</v>
      </c>
      <c r="AC250" s="106">
        <f t="shared" si="608"/>
        <v>2.2062099814605709</v>
      </c>
      <c r="AD250" s="106">
        <f t="shared" si="608"/>
        <v>2.430249973526001</v>
      </c>
      <c r="AE250" s="106">
        <f t="shared" si="608"/>
        <v>2.5676900287628173</v>
      </c>
      <c r="AF250" s="106">
        <f t="shared" si="608"/>
        <v>2.870449994659424</v>
      </c>
      <c r="AG250" s="106">
        <f t="shared" si="608"/>
        <v>3.0949299796295167</v>
      </c>
      <c r="AH250" s="106">
        <f t="shared" si="608"/>
        <v>3.0357199546813964</v>
      </c>
      <c r="AI250" s="106">
        <f t="shared" si="608"/>
        <v>2.7438499817657469</v>
      </c>
      <c r="AJ250" s="106">
        <f t="shared" si="608"/>
        <v>2.6533100052642822</v>
      </c>
      <c r="AK250" s="106">
        <f t="shared" si="608"/>
        <v>2.4874100248718261</v>
      </c>
      <c r="AL250" s="106">
        <f t="shared" ref="AL250:BP250" si="609">+AL53+AL16</f>
        <v>2.5877799874114991</v>
      </c>
      <c r="AM250" s="106">
        <f t="shared" si="609"/>
        <v>3.0153999990463256</v>
      </c>
      <c r="AN250" s="106">
        <f t="shared" si="609"/>
        <v>3.6721799999999991</v>
      </c>
      <c r="AO250" s="106">
        <f t="shared" si="609"/>
        <v>4.8095700003814699</v>
      </c>
      <c r="AP250" s="106">
        <f t="shared" si="609"/>
        <v>6.1563099999999995</v>
      </c>
      <c r="AQ250" s="106">
        <f t="shared" si="609"/>
        <v>7.8264099999999992</v>
      </c>
      <c r="AR250" s="106">
        <f t="shared" si="609"/>
        <v>10.657330000000002</v>
      </c>
      <c r="AS250" s="106">
        <f t="shared" si="609"/>
        <v>33.427679999999995</v>
      </c>
      <c r="AT250" s="106">
        <f t="shared" si="609"/>
        <v>169.13815999999997</v>
      </c>
      <c r="AU250" s="106">
        <f t="shared" si="609"/>
        <v>552.93853749999994</v>
      </c>
      <c r="AV250" s="106">
        <f t="shared" si="609"/>
        <v>599.23137750000001</v>
      </c>
      <c r="AW250" s="106">
        <f t="shared" si="609"/>
        <v>585.86626000000001</v>
      </c>
      <c r="AX250" s="106">
        <f t="shared" si="609"/>
        <v>598.19409999999993</v>
      </c>
      <c r="AY250" s="106">
        <f t="shared" si="609"/>
        <v>1073.2364000000002</v>
      </c>
      <c r="AZ250" s="106">
        <f t="shared" si="609"/>
        <v>1738.9699999999998</v>
      </c>
      <c r="BA250" s="106">
        <f t="shared" si="609"/>
        <v>2711.3910000000001</v>
      </c>
      <c r="BB250" s="106">
        <f t="shared" si="609"/>
        <v>3385.7763000000004</v>
      </c>
      <c r="BC250" s="106">
        <f t="shared" si="609"/>
        <v>4948.1859999999997</v>
      </c>
      <c r="BD250" s="106">
        <f t="shared" si="609"/>
        <v>6415.3330000000005</v>
      </c>
      <c r="BE250" s="106">
        <f ca="1">+BE53+BE16</f>
        <v>8336.3715219374681</v>
      </c>
      <c r="BF250" s="106">
        <f t="shared" si="609"/>
        <v>9876.2999999999993</v>
      </c>
      <c r="BG250" s="106">
        <f t="shared" si="609"/>
        <v>11177.1</v>
      </c>
      <c r="BH250" s="106">
        <f t="shared" si="609"/>
        <v>14007.6</v>
      </c>
      <c r="BI250" s="106">
        <f t="shared" si="609"/>
        <v>14329.8</v>
      </c>
      <c r="BJ250" s="106">
        <f t="shared" si="609"/>
        <v>15520.400000000001</v>
      </c>
      <c r="BK250" s="106">
        <f t="shared" si="609"/>
        <v>19465.932095</v>
      </c>
      <c r="BL250" s="106">
        <f t="shared" si="609"/>
        <v>22313.445729999999</v>
      </c>
      <c r="BM250" s="106">
        <f t="shared" si="609"/>
        <v>23116.928925</v>
      </c>
      <c r="BN250" s="106">
        <f t="shared" si="609"/>
        <v>23612.681465000001</v>
      </c>
      <c r="BO250" s="106">
        <f t="shared" si="609"/>
        <v>22319.120742499999</v>
      </c>
      <c r="BP250" s="106">
        <f t="shared" si="609"/>
        <v>29538.941975000002</v>
      </c>
      <c r="BQ250" s="106">
        <f t="shared" ref="BQ250:CB250" si="610">+BQ53+BQ16</f>
        <v>35957.739974999997</v>
      </c>
      <c r="BR250" s="106">
        <f t="shared" si="610"/>
        <v>39491.373975000002</v>
      </c>
      <c r="BS250" s="106">
        <f t="shared" si="610"/>
        <v>44508.081974999994</v>
      </c>
      <c r="BT250" s="106">
        <f t="shared" si="610"/>
        <v>54209.441974999994</v>
      </c>
      <c r="BU250" s="106">
        <f t="shared" ca="1" si="610"/>
        <v>100645.81937312748</v>
      </c>
      <c r="BV250" s="106">
        <f t="shared" ca="1" si="610"/>
        <v>113003.97075187691</v>
      </c>
      <c r="BW250" s="106">
        <f t="shared" ca="1" si="610"/>
        <v>124225.43612816962</v>
      </c>
      <c r="BX250" s="106">
        <f t="shared" ca="1" si="610"/>
        <v>133942.89188612881</v>
      </c>
      <c r="BY250" s="106">
        <f t="shared" ca="1" si="610"/>
        <v>146161.77340310556</v>
      </c>
      <c r="BZ250" s="106">
        <f t="shared" ca="1" si="610"/>
        <v>160768.33978782361</v>
      </c>
      <c r="CA250" s="106">
        <f t="shared" ca="1" si="610"/>
        <v>178215.03195867859</v>
      </c>
      <c r="CB250" s="106">
        <f t="shared" ca="1" si="610"/>
        <v>199447.43038087373</v>
      </c>
      <c r="CC250" s="106">
        <f ca="1">+CC53+CC16</f>
        <v>225863.59648375941</v>
      </c>
      <c r="CD250" s="106">
        <f ca="1">+CD53+CD16</f>
        <v>259601.19062953777</v>
      </c>
      <c r="CE250" s="106">
        <f ca="1">+CE53+CE16</f>
        <v>304028.25797332375</v>
      </c>
      <c r="CF250" s="106">
        <f ca="1">+CF53+CF16</f>
        <v>364632.79083354922</v>
      </c>
      <c r="CG250" s="106">
        <f ca="1">+CG53+CG16</f>
        <v>450696.89642655931</v>
      </c>
      <c r="CH250" s="141"/>
      <c r="CI250" s="106">
        <f t="shared" ref="CI250:CU250" si="611">BQ250-DA250</f>
        <v>0</v>
      </c>
      <c r="CJ250" s="106">
        <f t="shared" si="611"/>
        <v>0</v>
      </c>
      <c r="CK250" s="106">
        <f t="shared" si="611"/>
        <v>0</v>
      </c>
      <c r="CL250" s="106">
        <f t="shared" si="611"/>
        <v>0</v>
      </c>
      <c r="CM250" s="106">
        <f t="shared" ca="1" si="611"/>
        <v>5546.6736700251931</v>
      </c>
      <c r="CN250" s="106">
        <f t="shared" ca="1" si="611"/>
        <v>6710.8016544035054</v>
      </c>
      <c r="CO250" s="106">
        <f t="shared" ca="1" si="611"/>
        <v>6399.2795897588949</v>
      </c>
      <c r="CP250" s="106">
        <f t="shared" ca="1" si="611"/>
        <v>5236.6453060805507</v>
      </c>
      <c r="CQ250" s="106">
        <f t="shared" ca="1" si="611"/>
        <v>3670.5808066502213</v>
      </c>
      <c r="CR250" s="106">
        <f t="shared" ca="1" si="611"/>
        <v>5845.3684413345181</v>
      </c>
      <c r="CS250" s="106">
        <f t="shared" ca="1" si="611"/>
        <v>4168.269689748151</v>
      </c>
      <c r="CT250" s="106">
        <f t="shared" ca="1" si="611"/>
        <v>2061.9509798798244</v>
      </c>
      <c r="CU250" s="106">
        <f t="shared" ca="1" si="611"/>
        <v>-1223.3267541545792</v>
      </c>
      <c r="CV250" s="106">
        <f ca="1">CD250-DN250</f>
        <v>-6064.5482138484076</v>
      </c>
      <c r="CW250" s="106">
        <f ca="1">CE250-DO250</f>
        <v>-13206.62715100433</v>
      </c>
      <c r="CX250" s="106">
        <f ca="1">CF250-DP250</f>
        <v>-24084.058640844421</v>
      </c>
      <c r="CY250" s="106">
        <f ca="1">CG250-DQ250</f>
        <v>-41389.414942031319</v>
      </c>
      <c r="CZ250" s="134"/>
      <c r="DA250" s="135">
        <v>35957.739974999997</v>
      </c>
      <c r="DB250" s="135">
        <v>39491.373975000002</v>
      </c>
      <c r="DC250" s="135">
        <v>44508.081974999994</v>
      </c>
      <c r="DD250" s="135">
        <v>54209.441974999994</v>
      </c>
      <c r="DE250" s="135">
        <v>95099.145703102287</v>
      </c>
      <c r="DF250" s="135">
        <v>106293.16909747341</v>
      </c>
      <c r="DG250" s="135">
        <v>117826.15653841072</v>
      </c>
      <c r="DH250" s="135">
        <v>128706.24658004826</v>
      </c>
      <c r="DI250" s="135">
        <v>142491.19259645534</v>
      </c>
      <c r="DJ250" s="135">
        <v>154922.9713464891</v>
      </c>
      <c r="DK250" s="135">
        <v>174046.76226893044</v>
      </c>
      <c r="DL250" s="135">
        <v>197385.47940099391</v>
      </c>
      <c r="DM250" s="135">
        <v>227086.92323791399</v>
      </c>
      <c r="DN250" s="135">
        <v>265665.73884338618</v>
      </c>
      <c r="DO250" s="135">
        <v>317234.88512432808</v>
      </c>
      <c r="DP250" s="135">
        <v>388716.84947439365</v>
      </c>
      <c r="DQ250" s="135">
        <v>492086.31136859063</v>
      </c>
    </row>
    <row r="251" spans="1:121" s="123" customFormat="1">
      <c r="A251" s="223" t="s">
        <v>1757</v>
      </c>
      <c r="B251" s="107"/>
      <c r="C251" s="136"/>
      <c r="D251" s="147"/>
      <c r="E251" s="107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213" t="s">
        <v>1344</v>
      </c>
      <c r="BS251" s="213" t="s">
        <v>1344</v>
      </c>
      <c r="BT251" s="213" t="s">
        <v>1344</v>
      </c>
      <c r="BU251" s="213" t="s">
        <v>1344</v>
      </c>
      <c r="BV251" s="213" t="s">
        <v>1344</v>
      </c>
      <c r="BW251" s="213" t="s">
        <v>1344</v>
      </c>
      <c r="BX251" s="213" t="s">
        <v>1344</v>
      </c>
      <c r="BY251" s="213" t="s">
        <v>1344</v>
      </c>
      <c r="BZ251" s="213" t="s">
        <v>1344</v>
      </c>
      <c r="CA251" s="213" t="s">
        <v>1344</v>
      </c>
      <c r="CB251" s="213" t="s">
        <v>1344</v>
      </c>
      <c r="CC251" s="213" t="s">
        <v>1344</v>
      </c>
      <c r="CD251" s="213" t="s">
        <v>1344</v>
      </c>
      <c r="CE251" s="213" t="s">
        <v>1344</v>
      </c>
      <c r="CF251" s="213" t="s">
        <v>1344</v>
      </c>
      <c r="CG251" s="213" t="s">
        <v>1344</v>
      </c>
      <c r="CH251" s="141"/>
      <c r="CI251" s="106"/>
      <c r="CJ251" s="106"/>
      <c r="CK251" s="106"/>
      <c r="CL251" s="106"/>
      <c r="CM251" s="106"/>
      <c r="CN251" s="106"/>
      <c r="CO251" s="106"/>
      <c r="CP251" s="106"/>
      <c r="CQ251" s="106"/>
      <c r="CR251" s="106"/>
      <c r="CS251" s="106"/>
      <c r="CT251" s="106"/>
      <c r="CU251" s="106"/>
      <c r="CV251" s="106"/>
      <c r="CW251" s="106"/>
      <c r="CX251" s="106"/>
      <c r="CY251" s="106"/>
      <c r="CZ251" s="134"/>
      <c r="DA251" s="135"/>
      <c r="DB251" s="135" t="s">
        <v>1344</v>
      </c>
      <c r="DC251" s="135" t="s">
        <v>1344</v>
      </c>
      <c r="DD251" s="135" t="s">
        <v>1344</v>
      </c>
      <c r="DE251" s="135" t="s">
        <v>1344</v>
      </c>
      <c r="DF251" s="135" t="s">
        <v>1344</v>
      </c>
      <c r="DG251" s="135" t="s">
        <v>1344</v>
      </c>
      <c r="DH251" s="135" t="s">
        <v>1344</v>
      </c>
      <c r="DI251" s="135" t="s">
        <v>1344</v>
      </c>
      <c r="DJ251" s="135" t="s">
        <v>1344</v>
      </c>
      <c r="DK251" s="135" t="s">
        <v>1344</v>
      </c>
      <c r="DL251" s="135" t="s">
        <v>1344</v>
      </c>
      <c r="DM251" s="135" t="s">
        <v>1344</v>
      </c>
      <c r="DN251" s="135" t="s">
        <v>1344</v>
      </c>
      <c r="DO251" s="135" t="s">
        <v>1344</v>
      </c>
      <c r="DP251" s="135" t="s">
        <v>1344</v>
      </c>
      <c r="DQ251" s="135" t="s">
        <v>1344</v>
      </c>
    </row>
    <row r="252" spans="1:121" s="123" customFormat="1">
      <c r="A252" s="107" t="s">
        <v>1870</v>
      </c>
      <c r="B252" s="107"/>
      <c r="C252" s="136" t="s">
        <v>1579</v>
      </c>
      <c r="D252" s="147"/>
      <c r="E252" s="107"/>
      <c r="F252" s="106">
        <f t="shared" ref="F252:BE252" si="612">+F16</f>
        <v>5.6799999999999996E-2</v>
      </c>
      <c r="G252" s="106">
        <f t="shared" si="612"/>
        <v>5.6399999999999992E-2</v>
      </c>
      <c r="H252" s="106">
        <f t="shared" si="612"/>
        <v>6.95999984741211E-2</v>
      </c>
      <c r="I252" s="106">
        <f t="shared" si="612"/>
        <v>8.0999998450279234E-2</v>
      </c>
      <c r="J252" s="106">
        <f t="shared" si="612"/>
        <v>7.9400000095367435E-2</v>
      </c>
      <c r="K252" s="106">
        <f t="shared" si="612"/>
        <v>9.719999694824219E-2</v>
      </c>
      <c r="L252" s="106">
        <f t="shared" si="612"/>
        <v>0.11380000162124634</v>
      </c>
      <c r="M252" s="106">
        <f t="shared" si="612"/>
        <v>0.11470000314712524</v>
      </c>
      <c r="N252" s="106">
        <f t="shared" si="612"/>
        <v>0.11780000281333923</v>
      </c>
      <c r="O252" s="106">
        <f t="shared" si="612"/>
        <v>0.12760000133514404</v>
      </c>
      <c r="P252" s="106">
        <f t="shared" si="612"/>
        <v>0.17300000619888306</v>
      </c>
      <c r="Q252" s="106">
        <f t="shared" si="612"/>
        <v>0.19889999377727507</v>
      </c>
      <c r="R252" s="106">
        <f t="shared" si="612"/>
        <v>0.19780000281333923</v>
      </c>
      <c r="S252" s="106">
        <f t="shared" si="612"/>
        <v>0.22190000009536742</v>
      </c>
      <c r="T252" s="106">
        <f t="shared" si="612"/>
        <v>0.22050000596046448</v>
      </c>
      <c r="U252" s="106">
        <f t="shared" si="612"/>
        <v>0.24439999675750734</v>
      </c>
      <c r="V252" s="106">
        <f t="shared" si="612"/>
        <v>0.26240000653266909</v>
      </c>
      <c r="W252" s="106">
        <f t="shared" si="612"/>
        <v>0.28889999341964723</v>
      </c>
      <c r="X252" s="106">
        <f t="shared" si="612"/>
        <v>0.31680001163482663</v>
      </c>
      <c r="Y252" s="106">
        <f t="shared" si="612"/>
        <v>0.34900001287460325</v>
      </c>
      <c r="Z252" s="106">
        <f t="shared" si="612"/>
        <v>0.53560000467300417</v>
      </c>
      <c r="AA252" s="106">
        <f t="shared" si="612"/>
        <v>0.61689997386932371</v>
      </c>
      <c r="AB252" s="106">
        <f t="shared" si="612"/>
        <v>0.6400000247955322</v>
      </c>
      <c r="AC252" s="106">
        <f t="shared" si="612"/>
        <v>0.86169997596740733</v>
      </c>
      <c r="AD252" s="106">
        <f t="shared" si="612"/>
        <v>0.89069997596740724</v>
      </c>
      <c r="AE252" s="106">
        <f t="shared" si="612"/>
        <v>0.92690002632141111</v>
      </c>
      <c r="AF252" s="106">
        <f t="shared" si="612"/>
        <v>1.2042000007629392</v>
      </c>
      <c r="AG252" s="106">
        <f t="shared" si="612"/>
        <v>1.2551999759674073</v>
      </c>
      <c r="AH252" s="106">
        <f t="shared" si="612"/>
        <v>1.2042999534606933</v>
      </c>
      <c r="AI252" s="106">
        <f t="shared" si="612"/>
        <v>1.0149999866485595</v>
      </c>
      <c r="AJ252" s="106">
        <f t="shared" si="612"/>
        <v>0.90680001258850096</v>
      </c>
      <c r="AK252" s="106">
        <f t="shared" si="612"/>
        <v>0.79350001144409177</v>
      </c>
      <c r="AL252" s="106">
        <f t="shared" si="612"/>
        <v>0.87589999961853027</v>
      </c>
      <c r="AM252" s="106">
        <f t="shared" si="612"/>
        <v>1.1529999990463258</v>
      </c>
      <c r="AN252" s="106">
        <f t="shared" si="612"/>
        <v>1.4319999999999997</v>
      </c>
      <c r="AO252" s="106">
        <f t="shared" si="612"/>
        <v>2.1441000003814694</v>
      </c>
      <c r="AP252" s="106">
        <f t="shared" si="612"/>
        <v>2.7993999999999999</v>
      </c>
      <c r="AQ252" s="106">
        <f t="shared" si="612"/>
        <v>4.0228999999999999</v>
      </c>
      <c r="AR252" s="106">
        <f t="shared" si="612"/>
        <v>5.4316000000000004</v>
      </c>
      <c r="AS252" s="106">
        <f t="shared" si="612"/>
        <v>19.848099999999999</v>
      </c>
      <c r="AT252" s="106">
        <f t="shared" si="612"/>
        <v>91.422399999999996</v>
      </c>
      <c r="AU252" s="106">
        <f t="shared" si="612"/>
        <v>260.38712750000002</v>
      </c>
      <c r="AV252" s="106">
        <f t="shared" si="612"/>
        <v>279.41494750000004</v>
      </c>
      <c r="AW252" s="106">
        <f t="shared" si="612"/>
        <v>246.58520000000001</v>
      </c>
      <c r="AX252" s="106">
        <f t="shared" si="612"/>
        <v>227.2311</v>
      </c>
      <c r="AY252" s="106">
        <f t="shared" si="612"/>
        <v>412.52740000000006</v>
      </c>
      <c r="AZ252" s="106">
        <f t="shared" si="612"/>
        <v>650.26</v>
      </c>
      <c r="BA252" s="106">
        <f t="shared" si="612"/>
        <v>1105.54</v>
      </c>
      <c r="BB252" s="106">
        <f t="shared" si="612"/>
        <v>1193.5543</v>
      </c>
      <c r="BC252" s="106">
        <f t="shared" si="612"/>
        <v>2061</v>
      </c>
      <c r="BD252" s="106">
        <f t="shared" si="612"/>
        <v>2812</v>
      </c>
      <c r="BE252" s="106">
        <f t="shared" si="612"/>
        <v>3945</v>
      </c>
      <c r="BF252" s="106">
        <f t="shared" ref="BF252:BP252" si="613">+BF16</f>
        <v>3273</v>
      </c>
      <c r="BG252" s="106">
        <f t="shared" si="613"/>
        <v>3809</v>
      </c>
      <c r="BH252" s="106">
        <f t="shared" si="613"/>
        <v>5068</v>
      </c>
      <c r="BI252" s="106">
        <f t="shared" si="613"/>
        <v>4659</v>
      </c>
      <c r="BJ252" s="106">
        <f t="shared" si="613"/>
        <v>4607</v>
      </c>
      <c r="BK252" s="106">
        <f t="shared" si="613"/>
        <v>6222.7320949999994</v>
      </c>
      <c r="BL252" s="106">
        <f t="shared" si="613"/>
        <v>7195.0457299999998</v>
      </c>
      <c r="BM252" s="106">
        <f t="shared" si="613"/>
        <v>7561.5289249999996</v>
      </c>
      <c r="BN252" s="106">
        <f t="shared" si="613"/>
        <v>7691.9814649999998</v>
      </c>
      <c r="BO252" s="106">
        <f t="shared" si="613"/>
        <v>7494.9207424999986</v>
      </c>
      <c r="BP252" s="106">
        <f t="shared" si="613"/>
        <v>11651.941975</v>
      </c>
      <c r="BQ252" s="106">
        <f t="shared" ref="BQ252:CB252" si="614">+BQ16</f>
        <v>13844.239974999999</v>
      </c>
      <c r="BR252" s="106">
        <f t="shared" si="614"/>
        <v>16099.373975</v>
      </c>
      <c r="BS252" s="106">
        <f t="shared" si="614"/>
        <v>20205.081974999997</v>
      </c>
      <c r="BT252" s="106">
        <f t="shared" si="614"/>
        <v>25323.441974999998</v>
      </c>
      <c r="BU252" s="106">
        <f t="shared" ca="1" si="614"/>
        <v>43471.575867035514</v>
      </c>
      <c r="BV252" s="106">
        <f t="shared" ca="1" si="614"/>
        <v>46422.567049162724</v>
      </c>
      <c r="BW252" s="106">
        <f t="shared" ca="1" si="614"/>
        <v>49584.530871777257</v>
      </c>
      <c r="BX252" s="106">
        <f t="shared" ca="1" si="614"/>
        <v>52848.604437700909</v>
      </c>
      <c r="BY252" s="106">
        <f t="shared" ca="1" si="614"/>
        <v>56357.732586477068</v>
      </c>
      <c r="BZ252" s="106">
        <f t="shared" ca="1" si="614"/>
        <v>60336.60570031048</v>
      </c>
      <c r="CA252" s="106">
        <f t="shared" ca="1" si="614"/>
        <v>64817.555493170366</v>
      </c>
      <c r="CB252" s="106">
        <f t="shared" ca="1" si="614"/>
        <v>69904.860750631706</v>
      </c>
      <c r="CC252" s="106">
        <f ca="1">+CC16</f>
        <v>75738.873157246402</v>
      </c>
      <c r="CD252" s="106">
        <f ca="1">+CD16</f>
        <v>82505.181589928223</v>
      </c>
      <c r="CE252" s="106">
        <f ca="1">+CE16</f>
        <v>90449.631269021978</v>
      </c>
      <c r="CF252" s="106">
        <f ca="1">+CF16</f>
        <v>99896.727195184721</v>
      </c>
      <c r="CG252" s="106">
        <f ca="1">+CG16</f>
        <v>111270.51337600671</v>
      </c>
      <c r="CH252" s="141"/>
      <c r="CI252" s="106">
        <f t="shared" ref="CI252:CR255" si="615">BQ252-DA252</f>
        <v>0</v>
      </c>
      <c r="CJ252" s="106">
        <f t="shared" si="615"/>
        <v>0</v>
      </c>
      <c r="CK252" s="106">
        <f t="shared" si="615"/>
        <v>0</v>
      </c>
      <c r="CL252" s="106">
        <f t="shared" si="615"/>
        <v>0</v>
      </c>
      <c r="CM252" s="106">
        <f t="shared" ca="1" si="615"/>
        <v>3057.7430200993113</v>
      </c>
      <c r="CN252" s="106">
        <f t="shared" ca="1" si="615"/>
        <v>3047.6254749727959</v>
      </c>
      <c r="CO252" s="106">
        <f t="shared" ca="1" si="615"/>
        <v>2876.650152385133</v>
      </c>
      <c r="CP252" s="106">
        <f t="shared" ca="1" si="615"/>
        <v>2541.7109324105841</v>
      </c>
      <c r="CQ252" s="106">
        <f t="shared" ca="1" si="615"/>
        <v>2114.1623711628927</v>
      </c>
      <c r="CR252" s="106">
        <f t="shared" ca="1" si="615"/>
        <v>3090.5742822597967</v>
      </c>
      <c r="CS252" s="106">
        <f t="shared" ref="CS252:CY255" ca="1" si="616">CA252-DK252</f>
        <v>2648.3947182893753</v>
      </c>
      <c r="CT252" s="106">
        <f t="shared" ca="1" si="616"/>
        <v>2053.1786206572579</v>
      </c>
      <c r="CU252" s="106">
        <f t="shared" ca="1" si="616"/>
        <v>1298.3756219801726</v>
      </c>
      <c r="CV252" s="106">
        <f t="shared" ca="1" si="616"/>
        <v>365.00043289129098</v>
      </c>
      <c r="CW252" s="106">
        <f t="shared" ca="1" si="616"/>
        <v>-771.05741796639632</v>
      </c>
      <c r="CX252" s="106">
        <f t="shared" ca="1" si="616"/>
        <v>-2150.9776402832067</v>
      </c>
      <c r="CY252" s="106">
        <f t="shared" ca="1" si="616"/>
        <v>-3828.9192015987064</v>
      </c>
      <c r="CZ252" s="134"/>
      <c r="DA252" s="135">
        <v>13844.239974999999</v>
      </c>
      <c r="DB252" s="135">
        <v>16099.373975</v>
      </c>
      <c r="DC252" s="135">
        <v>20205.081974999997</v>
      </c>
      <c r="DD252" s="135">
        <v>25323.441974999998</v>
      </c>
      <c r="DE252" s="135">
        <v>40413.832846936202</v>
      </c>
      <c r="DF252" s="135">
        <v>43374.941574189928</v>
      </c>
      <c r="DG252" s="135">
        <v>46707.880719392124</v>
      </c>
      <c r="DH252" s="135">
        <v>50306.893505290325</v>
      </c>
      <c r="DI252" s="135">
        <v>54243.570215314176</v>
      </c>
      <c r="DJ252" s="135">
        <v>57246.031418050683</v>
      </c>
      <c r="DK252" s="135">
        <v>62169.160774880991</v>
      </c>
      <c r="DL252" s="135">
        <v>67851.682129974448</v>
      </c>
      <c r="DM252" s="135">
        <v>74440.49753526623</v>
      </c>
      <c r="DN252" s="135">
        <v>82140.181157036932</v>
      </c>
      <c r="DO252" s="135">
        <v>91220.688686988375</v>
      </c>
      <c r="DP252" s="135">
        <v>102047.70483546793</v>
      </c>
      <c r="DQ252" s="135">
        <v>115099.43257760542</v>
      </c>
    </row>
    <row r="253" spans="1:121" s="123" customFormat="1">
      <c r="A253" s="107" t="s">
        <v>3136</v>
      </c>
      <c r="B253" s="107"/>
      <c r="C253" s="136" t="s">
        <v>1579</v>
      </c>
      <c r="D253" s="147"/>
      <c r="E253" s="107"/>
      <c r="F253" s="106">
        <f t="shared" ref="F253:BE253" si="617">+F64</f>
        <v>4.1500000000000002E-2</v>
      </c>
      <c r="G253" s="106">
        <f t="shared" si="617"/>
        <v>4.3400000000000001E-2</v>
      </c>
      <c r="H253" s="106">
        <f t="shared" si="617"/>
        <v>4.6439998626708986E-2</v>
      </c>
      <c r="I253" s="106">
        <f t="shared" si="617"/>
        <v>5.241699981689453E-2</v>
      </c>
      <c r="J253" s="106">
        <f t="shared" si="617"/>
        <v>5.6544998168945315E-2</v>
      </c>
      <c r="K253" s="106">
        <f t="shared" si="617"/>
        <v>6.2349998474121093E-2</v>
      </c>
      <c r="L253" s="106">
        <f t="shared" si="617"/>
        <v>6.665000152587891E-2</v>
      </c>
      <c r="M253" s="106">
        <f t="shared" si="617"/>
        <v>6.7080001831054684E-2</v>
      </c>
      <c r="N253" s="106">
        <f t="shared" si="617"/>
        <v>7.1165000915527341E-2</v>
      </c>
      <c r="O253" s="106">
        <f t="shared" si="617"/>
        <v>7.6110000610351558E-2</v>
      </c>
      <c r="P253" s="106">
        <f t="shared" si="617"/>
        <v>8.243099975585938E-2</v>
      </c>
      <c r="Q253" s="106">
        <f t="shared" si="617"/>
        <v>8.608599853515625E-2</v>
      </c>
      <c r="R253" s="106">
        <f t="shared" si="617"/>
        <v>9.8396003723144526E-2</v>
      </c>
      <c r="S253" s="106">
        <f t="shared" si="617"/>
        <v>0.10769999694824219</v>
      </c>
      <c r="T253" s="106">
        <f t="shared" si="617"/>
        <v>0.12057599639892579</v>
      </c>
      <c r="U253" s="106">
        <f t="shared" si="617"/>
        <v>0.13096800231933595</v>
      </c>
      <c r="V253" s="106">
        <f t="shared" si="617"/>
        <v>0.1467790069580078</v>
      </c>
      <c r="W253" s="106">
        <f t="shared" si="617"/>
        <v>0.15624000549316405</v>
      </c>
      <c r="X253" s="106">
        <f t="shared" si="617"/>
        <v>0.17239999389648439</v>
      </c>
      <c r="Y253" s="106">
        <f t="shared" si="617"/>
        <v>0.192</v>
      </c>
      <c r="Z253" s="106">
        <f t="shared" si="617"/>
        <v>0.2175</v>
      </c>
      <c r="AA253" s="106">
        <f t="shared" si="617"/>
        <v>0.27389999389648439</v>
      </c>
      <c r="AB253" s="106">
        <f t="shared" si="617"/>
        <v>0.32139999389648438</v>
      </c>
      <c r="AC253" s="106">
        <f t="shared" si="617"/>
        <v>0.4126000061035156</v>
      </c>
      <c r="AD253" s="106">
        <f t="shared" si="617"/>
        <v>0.49049999999999999</v>
      </c>
      <c r="AE253" s="106">
        <f t="shared" si="617"/>
        <v>0.50420001220703126</v>
      </c>
      <c r="AF253" s="106">
        <f t="shared" si="617"/>
        <v>0.60074401855468751</v>
      </c>
      <c r="AG253" s="106">
        <f t="shared" si="617"/>
        <v>0.6944051513671875</v>
      </c>
      <c r="AH253" s="106">
        <f t="shared" si="617"/>
        <v>0.77085192871093755</v>
      </c>
      <c r="AI253" s="106">
        <f t="shared" si="617"/>
        <v>0.81893273925781251</v>
      </c>
      <c r="AJ253" s="106">
        <f t="shared" si="617"/>
        <v>0.84596643066406252</v>
      </c>
      <c r="AK253" s="106">
        <f t="shared" si="617"/>
        <v>0.8725950927734375</v>
      </c>
      <c r="AL253" s="106">
        <f t="shared" si="617"/>
        <v>0.80781958007812504</v>
      </c>
      <c r="AM253" s="106">
        <f t="shared" si="617"/>
        <v>0.71</v>
      </c>
      <c r="AN253" s="106">
        <f t="shared" si="617"/>
        <v>0.747</v>
      </c>
      <c r="AO253" s="106">
        <f t="shared" si="617"/>
        <v>0.80829998779296874</v>
      </c>
      <c r="AP253" s="106">
        <f t="shared" si="617"/>
        <v>0.90961999999999998</v>
      </c>
      <c r="AQ253" s="106">
        <f t="shared" si="617"/>
        <v>1.0680000000000001</v>
      </c>
      <c r="AR253" s="106">
        <f t="shared" si="617"/>
        <v>1.3939999999999999</v>
      </c>
      <c r="AS253" s="106">
        <f t="shared" si="617"/>
        <v>2.4820000000000002</v>
      </c>
      <c r="AT253" s="106">
        <f t="shared" si="617"/>
        <v>15.302</v>
      </c>
      <c r="AU253" s="106">
        <f t="shared" si="617"/>
        <v>65.677000000000007</v>
      </c>
      <c r="AV253" s="106">
        <f t="shared" si="617"/>
        <v>100.84399999999999</v>
      </c>
      <c r="AW253" s="106">
        <f t="shared" si="617"/>
        <v>133.77799999999999</v>
      </c>
      <c r="AX253" s="106">
        <f t="shared" si="617"/>
        <v>159.37317000000002</v>
      </c>
      <c r="AY253" s="106">
        <f t="shared" si="617"/>
        <v>286.04847999999998</v>
      </c>
      <c r="AZ253" s="106">
        <f t="shared" si="617"/>
        <v>389.363</v>
      </c>
      <c r="BA253" s="106">
        <f t="shared" si="617"/>
        <v>622.38099999999997</v>
      </c>
      <c r="BB253" s="106">
        <f t="shared" si="617"/>
        <v>697.09900000000005</v>
      </c>
      <c r="BC253" s="106">
        <f t="shared" si="617"/>
        <v>852.40300000000002</v>
      </c>
      <c r="BD253" s="106">
        <f t="shared" si="617"/>
        <v>1036.923</v>
      </c>
      <c r="BE253" s="106">
        <f t="shared" si="617"/>
        <v>1188.636</v>
      </c>
      <c r="BF253" s="106">
        <f t="shared" ref="BF253:BP253" si="618">+BF64</f>
        <v>1291.8219999999999</v>
      </c>
      <c r="BG253" s="106">
        <f t="shared" si="618"/>
        <v>1401.8156751953579</v>
      </c>
      <c r="BH253" s="106">
        <f t="shared" si="618"/>
        <v>1533.3623876659663</v>
      </c>
      <c r="BI253" s="106">
        <f t="shared" si="618"/>
        <v>1684.8267560076633</v>
      </c>
      <c r="BJ253" s="106">
        <f t="shared" si="618"/>
        <v>1880.4947041550474</v>
      </c>
      <c r="BK253" s="106">
        <f t="shared" si="618"/>
        <v>2392.6867936471826</v>
      </c>
      <c r="BL253" s="106">
        <f t="shared" si="618"/>
        <v>2855.5126584506334</v>
      </c>
      <c r="BM253" s="106">
        <f t="shared" si="618"/>
        <v>2901.0659287396738</v>
      </c>
      <c r="BN253" s="106">
        <f t="shared" si="618"/>
        <v>3252.3582514250547</v>
      </c>
      <c r="BO253" s="106">
        <f t="shared" si="618"/>
        <v>3280.5925982778608</v>
      </c>
      <c r="BP253" s="106">
        <f t="shared" si="618"/>
        <v>3945.8412151877365</v>
      </c>
      <c r="BQ253" s="106">
        <f t="shared" ref="BQ253:CB253" si="619">+BQ64</f>
        <v>4579.5283761205492</v>
      </c>
      <c r="BR253" s="106">
        <f t="shared" si="619"/>
        <v>5893.7946350159145</v>
      </c>
      <c r="BS253" s="106">
        <f t="shared" si="619"/>
        <v>6220.7968873003119</v>
      </c>
      <c r="BT253" s="106">
        <f t="shared" ca="1" si="619"/>
        <v>6536.0029952204013</v>
      </c>
      <c r="BU253" s="106">
        <f t="shared" ca="1" si="619"/>
        <v>7809.3807493581116</v>
      </c>
      <c r="BV253" s="106">
        <f t="shared" ca="1" si="619"/>
        <v>9662.7382368564504</v>
      </c>
      <c r="BW253" s="106">
        <f t="shared" ca="1" si="619"/>
        <v>11714.032059932768</v>
      </c>
      <c r="BX253" s="106">
        <f t="shared" ca="1" si="619"/>
        <v>13231.724872904024</v>
      </c>
      <c r="BY253" s="106">
        <f t="shared" ca="1" si="619"/>
        <v>15501.431925628111</v>
      </c>
      <c r="BZ253" s="106">
        <f t="shared" ca="1" si="619"/>
        <v>18377.094897882573</v>
      </c>
      <c r="CA253" s="106">
        <f t="shared" ca="1" si="619"/>
        <v>22068.413391418551</v>
      </c>
      <c r="CB253" s="106">
        <f t="shared" ca="1" si="619"/>
        <v>26904.178591247728</v>
      </c>
      <c r="CC253" s="106">
        <f ca="1">+CC64</f>
        <v>33377.281107465264</v>
      </c>
      <c r="CD253" s="106">
        <f ca="1">+CD64</f>
        <v>42268.793751231351</v>
      </c>
      <c r="CE253" s="106">
        <f ca="1">+CE64</f>
        <v>54850.142268085241</v>
      </c>
      <c r="CF253" s="106">
        <f ca="1">+CF64</f>
        <v>73263.35128384878</v>
      </c>
      <c r="CG253" s="106">
        <f ca="1">+CG64</f>
        <v>101255.42066922651</v>
      </c>
      <c r="CH253" s="141"/>
      <c r="CI253" s="106">
        <f t="shared" si="615"/>
        <v>0</v>
      </c>
      <c r="CJ253" s="106">
        <f t="shared" si="615"/>
        <v>0</v>
      </c>
      <c r="CK253" s="106">
        <f t="shared" si="615"/>
        <v>0</v>
      </c>
      <c r="CL253" s="106">
        <f t="shared" ca="1" si="615"/>
        <v>0</v>
      </c>
      <c r="CM253" s="106">
        <f t="shared" ca="1" si="615"/>
        <v>111.89560187695679</v>
      </c>
      <c r="CN253" s="106">
        <f t="shared" ca="1" si="615"/>
        <v>298.15681577257601</v>
      </c>
      <c r="CO253" s="106">
        <f t="shared" ca="1" si="615"/>
        <v>228.83421517233728</v>
      </c>
      <c r="CP253" s="106">
        <f t="shared" ca="1" si="615"/>
        <v>6.5407345919484214</v>
      </c>
      <c r="CQ253" s="106">
        <f t="shared" ca="1" si="615"/>
        <v>-337.12632713773382</v>
      </c>
      <c r="CR253" s="106">
        <f t="shared" ca="1" si="615"/>
        <v>-603.78084176929042</v>
      </c>
      <c r="CS253" s="106">
        <f t="shared" ca="1" si="616"/>
        <v>-729.29508510285814</v>
      </c>
      <c r="CT253" s="106">
        <f t="shared" ca="1" si="616"/>
        <v>-1137.2162506473214</v>
      </c>
      <c r="CU253" s="106">
        <f t="shared" ca="1" si="616"/>
        <v>-2033.8530019617756</v>
      </c>
      <c r="CV253" s="106">
        <f t="shared" ca="1" si="616"/>
        <v>-3528.8868099556857</v>
      </c>
      <c r="CW253" s="106">
        <f t="shared" ca="1" si="616"/>
        <v>-5980.0410294290632</v>
      </c>
      <c r="CX253" s="106">
        <f t="shared" ca="1" si="616"/>
        <v>-10064.874083660878</v>
      </c>
      <c r="CY253" s="106">
        <f t="shared" ca="1" si="616"/>
        <v>-17066.216927024871</v>
      </c>
      <c r="CZ253" s="134"/>
      <c r="DA253" s="135">
        <v>4579.5283761205492</v>
      </c>
      <c r="DB253" s="135">
        <v>5893.7946350159145</v>
      </c>
      <c r="DC253" s="135">
        <v>6220.7968873003119</v>
      </c>
      <c r="DD253" s="135">
        <v>6536.0029952204013</v>
      </c>
      <c r="DE253" s="135">
        <v>7697.4851474811549</v>
      </c>
      <c r="DF253" s="135">
        <v>9364.5814210838744</v>
      </c>
      <c r="DG253" s="135">
        <v>11485.197844760431</v>
      </c>
      <c r="DH253" s="135">
        <v>13225.184138312075</v>
      </c>
      <c r="DI253" s="135">
        <v>15838.558252765844</v>
      </c>
      <c r="DJ253" s="135">
        <v>18980.875739651863</v>
      </c>
      <c r="DK253" s="135">
        <v>22797.708476521409</v>
      </c>
      <c r="DL253" s="135">
        <v>28041.394841895049</v>
      </c>
      <c r="DM253" s="135">
        <v>35411.134109427039</v>
      </c>
      <c r="DN253" s="135">
        <v>45797.680561187037</v>
      </c>
      <c r="DO253" s="135">
        <v>60830.183297514304</v>
      </c>
      <c r="DP253" s="135">
        <v>83328.225367509658</v>
      </c>
      <c r="DQ253" s="135">
        <v>118321.63759625138</v>
      </c>
    </row>
    <row r="254" spans="1:121" s="123" customFormat="1">
      <c r="A254" s="107" t="s">
        <v>3137</v>
      </c>
      <c r="B254" s="107"/>
      <c r="C254" s="136" t="s">
        <v>1579</v>
      </c>
      <c r="D254" s="147"/>
      <c r="E254" s="107"/>
      <c r="F254" s="106">
        <f t="shared" ref="F254:BC254" si="620">+F66</f>
        <v>0</v>
      </c>
      <c r="G254" s="106">
        <f t="shared" si="620"/>
        <v>0</v>
      </c>
      <c r="H254" s="106">
        <f t="shared" si="620"/>
        <v>0</v>
      </c>
      <c r="I254" s="106">
        <f t="shared" si="620"/>
        <v>0</v>
      </c>
      <c r="J254" s="106">
        <f t="shared" si="620"/>
        <v>0</v>
      </c>
      <c r="K254" s="106">
        <f t="shared" si="620"/>
        <v>0</v>
      </c>
      <c r="L254" s="106">
        <f t="shared" si="620"/>
        <v>0</v>
      </c>
      <c r="M254" s="106">
        <f t="shared" si="620"/>
        <v>0</v>
      </c>
      <c r="N254" s="106">
        <f t="shared" si="620"/>
        <v>0</v>
      </c>
      <c r="O254" s="106">
        <f t="shared" si="620"/>
        <v>0</v>
      </c>
      <c r="P254" s="106">
        <f t="shared" si="620"/>
        <v>0</v>
      </c>
      <c r="Q254" s="106">
        <f t="shared" si="620"/>
        <v>0</v>
      </c>
      <c r="R254" s="106">
        <f t="shared" si="620"/>
        <v>0</v>
      </c>
      <c r="S254" s="106">
        <f t="shared" si="620"/>
        <v>0</v>
      </c>
      <c r="T254" s="106">
        <f t="shared" si="620"/>
        <v>0</v>
      </c>
      <c r="U254" s="106">
        <f t="shared" si="620"/>
        <v>0</v>
      </c>
      <c r="V254" s="106">
        <f t="shared" si="620"/>
        <v>0</v>
      </c>
      <c r="W254" s="106">
        <f t="shared" si="620"/>
        <v>0</v>
      </c>
      <c r="X254" s="106">
        <f t="shared" si="620"/>
        <v>0</v>
      </c>
      <c r="Y254" s="106">
        <f t="shared" si="620"/>
        <v>0</v>
      </c>
      <c r="Z254" s="106">
        <f t="shared" si="620"/>
        <v>0</v>
      </c>
      <c r="AA254" s="106">
        <f t="shared" si="620"/>
        <v>0</v>
      </c>
      <c r="AB254" s="106">
        <f t="shared" si="620"/>
        <v>0</v>
      </c>
      <c r="AC254" s="106">
        <f t="shared" si="620"/>
        <v>0</v>
      </c>
      <c r="AD254" s="106">
        <f t="shared" si="620"/>
        <v>0</v>
      </c>
      <c r="AE254" s="106">
        <f t="shared" si="620"/>
        <v>0</v>
      </c>
      <c r="AF254" s="106">
        <f t="shared" si="620"/>
        <v>0</v>
      </c>
      <c r="AG254" s="106">
        <f t="shared" si="620"/>
        <v>0</v>
      </c>
      <c r="AH254" s="106">
        <f t="shared" si="620"/>
        <v>0</v>
      </c>
      <c r="AI254" s="106">
        <f t="shared" si="620"/>
        <v>0</v>
      </c>
      <c r="AJ254" s="106">
        <f t="shared" si="620"/>
        <v>0</v>
      </c>
      <c r="AK254" s="106">
        <f t="shared" si="620"/>
        <v>0</v>
      </c>
      <c r="AL254" s="106">
        <f t="shared" si="620"/>
        <v>0</v>
      </c>
      <c r="AM254" s="106">
        <f t="shared" si="620"/>
        <v>0</v>
      </c>
      <c r="AN254" s="106">
        <f t="shared" si="620"/>
        <v>0</v>
      </c>
      <c r="AO254" s="106">
        <f t="shared" si="620"/>
        <v>0</v>
      </c>
      <c r="AP254" s="106">
        <f t="shared" si="620"/>
        <v>0</v>
      </c>
      <c r="AQ254" s="106">
        <f t="shared" si="620"/>
        <v>0</v>
      </c>
      <c r="AR254" s="106">
        <f t="shared" si="620"/>
        <v>0</v>
      </c>
      <c r="AS254" s="106">
        <f t="shared" si="620"/>
        <v>0</v>
      </c>
      <c r="AT254" s="106">
        <f t="shared" si="620"/>
        <v>0</v>
      </c>
      <c r="AU254" s="106">
        <f t="shared" si="620"/>
        <v>0</v>
      </c>
      <c r="AV254" s="106">
        <f t="shared" si="620"/>
        <v>0</v>
      </c>
      <c r="AW254" s="106">
        <f t="shared" si="620"/>
        <v>0</v>
      </c>
      <c r="AX254" s="106">
        <f t="shared" si="620"/>
        <v>0</v>
      </c>
      <c r="AY254" s="106">
        <f t="shared" si="620"/>
        <v>0</v>
      </c>
      <c r="AZ254" s="106">
        <f t="shared" si="620"/>
        <v>0</v>
      </c>
      <c r="BA254" s="106">
        <f t="shared" si="620"/>
        <v>0</v>
      </c>
      <c r="BB254" s="106">
        <f t="shared" si="620"/>
        <v>0</v>
      </c>
      <c r="BC254" s="106">
        <f t="shared" si="620"/>
        <v>0</v>
      </c>
      <c r="BD254" s="106">
        <f ca="1">+BD66</f>
        <v>0</v>
      </c>
      <c r="BE254" s="106">
        <f ca="1">+BE66</f>
        <v>0</v>
      </c>
      <c r="BF254" s="106">
        <f t="shared" ref="BF254:BP254" si="621">+BF66</f>
        <v>2170.5636118394141</v>
      </c>
      <c r="BG254" s="106">
        <f t="shared" si="621"/>
        <v>2506.5796180630723</v>
      </c>
      <c r="BH254" s="106">
        <f t="shared" si="621"/>
        <v>2778.55009263598</v>
      </c>
      <c r="BI254" s="106">
        <f t="shared" si="621"/>
        <v>3403.9783483836909</v>
      </c>
      <c r="BJ254" s="106">
        <f t="shared" si="621"/>
        <v>3403.7261964809209</v>
      </c>
      <c r="BK254" s="106">
        <f t="shared" si="621"/>
        <v>3765.8043168328791</v>
      </c>
      <c r="BL254" s="106">
        <f t="shared" si="621"/>
        <v>3802.4142050574633</v>
      </c>
      <c r="BM254" s="106">
        <f t="shared" si="621"/>
        <v>4212.2846285221694</v>
      </c>
      <c r="BN254" s="106">
        <f t="shared" si="621"/>
        <v>4076.4748841898158</v>
      </c>
      <c r="BO254" s="106">
        <f t="shared" si="621"/>
        <v>3265.2348159832591</v>
      </c>
      <c r="BP254" s="106">
        <f t="shared" si="621"/>
        <v>4392.9955262192452</v>
      </c>
      <c r="BQ254" s="106">
        <f t="shared" ref="BQ254:CB254" si="622">+BQ66</f>
        <v>5840.8978427654865</v>
      </c>
      <c r="BR254" s="106">
        <f t="shared" si="622"/>
        <v>7131.7238951113777</v>
      </c>
      <c r="BS254" s="106">
        <f t="shared" si="622"/>
        <v>7619.2614709638719</v>
      </c>
      <c r="BT254" s="106">
        <f t="shared" ca="1" si="622"/>
        <v>9564.6569313724867</v>
      </c>
      <c r="BU254" s="106">
        <f t="shared" ca="1" si="622"/>
        <v>12680.237035215452</v>
      </c>
      <c r="BV254" s="106">
        <f t="shared" ca="1" si="622"/>
        <v>15418.465284315243</v>
      </c>
      <c r="BW254" s="106">
        <f t="shared" ca="1" si="622"/>
        <v>19216.428782700859</v>
      </c>
      <c r="BX254" s="106">
        <f t="shared" ca="1" si="622"/>
        <v>21107.696362229031</v>
      </c>
      <c r="BY254" s="106">
        <f t="shared" ca="1" si="622"/>
        <v>23986.685931761516</v>
      </c>
      <c r="BZ254" s="106">
        <f t="shared" ca="1" si="622"/>
        <v>27528.729193049472</v>
      </c>
      <c r="CA254" s="106">
        <f t="shared" ca="1" si="622"/>
        <v>31838.976054254523</v>
      </c>
      <c r="CB254" s="106">
        <f t="shared" ca="1" si="622"/>
        <v>37188.459168130335</v>
      </c>
      <c r="CC254" s="106">
        <f ca="1">+CC66</f>
        <v>43927.673341049165</v>
      </c>
      <c r="CD254" s="106">
        <f ca="1">+CD66</f>
        <v>52570.023524581935</v>
      </c>
      <c r="CE254" s="106">
        <f ca="1">+CE66</f>
        <v>63878.785527789252</v>
      </c>
      <c r="CF254" s="106">
        <f ca="1">+CF66</f>
        <v>79014.070028315546</v>
      </c>
      <c r="CG254" s="106">
        <f ca="1">+CG66</f>
        <v>99784.470743341037</v>
      </c>
      <c r="CH254" s="141"/>
      <c r="CI254" s="106">
        <f t="shared" si="615"/>
        <v>0</v>
      </c>
      <c r="CJ254" s="106">
        <f t="shared" si="615"/>
        <v>0</v>
      </c>
      <c r="CK254" s="106">
        <f t="shared" si="615"/>
        <v>0</v>
      </c>
      <c r="CL254" s="106">
        <f t="shared" ca="1" si="615"/>
        <v>0</v>
      </c>
      <c r="CM254" s="106">
        <f t="shared" ca="1" si="615"/>
        <v>485.08419895333464</v>
      </c>
      <c r="CN254" s="106">
        <f t="shared" ca="1" si="615"/>
        <v>1288.225769979088</v>
      </c>
      <c r="CO254" s="106">
        <f t="shared" ca="1" si="615"/>
        <v>1376.978621659171</v>
      </c>
      <c r="CP254" s="106">
        <f t="shared" ca="1" si="615"/>
        <v>1117.94571147241</v>
      </c>
      <c r="CQ254" s="106">
        <f t="shared" ca="1" si="615"/>
        <v>788.1472057353385</v>
      </c>
      <c r="CR254" s="106">
        <f t="shared" ca="1" si="615"/>
        <v>44.915855210172595</v>
      </c>
      <c r="CS254" s="106">
        <f t="shared" ca="1" si="616"/>
        <v>-634.66137110115596</v>
      </c>
      <c r="CT254" s="106">
        <f t="shared" ca="1" si="616"/>
        <v>-993.81187419821799</v>
      </c>
      <c r="CU254" s="106">
        <f t="shared" ca="1" si="616"/>
        <v>-1809.2074156499293</v>
      </c>
      <c r="CV254" s="106">
        <f t="shared" ca="1" si="616"/>
        <v>-3099.6057400459395</v>
      </c>
      <c r="CW254" s="106">
        <f t="shared" ca="1" si="616"/>
        <v>-5067.2538135625218</v>
      </c>
      <c r="CX254" s="106">
        <f t="shared" ca="1" si="616"/>
        <v>-8092.7587339324527</v>
      </c>
      <c r="CY254" s="106">
        <f t="shared" ca="1" si="616"/>
        <v>-12835.867594594311</v>
      </c>
      <c r="CZ254" s="134"/>
      <c r="DA254" s="135">
        <v>5840.8978427654865</v>
      </c>
      <c r="DB254" s="135">
        <v>7131.7238951113777</v>
      </c>
      <c r="DC254" s="135">
        <v>7619.2614709638719</v>
      </c>
      <c r="DD254" s="135">
        <v>9564.6569313724867</v>
      </c>
      <c r="DE254" s="135">
        <v>12195.152836262117</v>
      </c>
      <c r="DF254" s="135">
        <v>14130.239514336155</v>
      </c>
      <c r="DG254" s="135">
        <v>17839.450161041688</v>
      </c>
      <c r="DH254" s="135">
        <v>19989.750650756621</v>
      </c>
      <c r="DI254" s="135">
        <v>23198.538726026178</v>
      </c>
      <c r="DJ254" s="135">
        <v>27483.813337839299</v>
      </c>
      <c r="DK254" s="135">
        <v>32473.637425355679</v>
      </c>
      <c r="DL254" s="135">
        <v>38182.271042328553</v>
      </c>
      <c r="DM254" s="135">
        <v>45736.880756699094</v>
      </c>
      <c r="DN254" s="135">
        <v>55669.629264627874</v>
      </c>
      <c r="DO254" s="135">
        <v>68946.039341351774</v>
      </c>
      <c r="DP254" s="135">
        <v>87106.828762247998</v>
      </c>
      <c r="DQ254" s="135">
        <v>112620.33833793535</v>
      </c>
    </row>
    <row r="255" spans="1:121" s="123" customFormat="1">
      <c r="A255" s="107" t="s">
        <v>1871</v>
      </c>
      <c r="B255" s="107"/>
      <c r="C255" s="136" t="s">
        <v>1579</v>
      </c>
      <c r="D255" s="147"/>
      <c r="E255" s="107"/>
      <c r="F255" s="106">
        <f t="shared" ref="F255:BC255" si="623">+F250-F252-F253-F254</f>
        <v>9.9948999999999982E-2</v>
      </c>
      <c r="G255" s="106">
        <f t="shared" si="623"/>
        <v>0.10782206781053538</v>
      </c>
      <c r="H255" s="106">
        <f t="shared" si="623"/>
        <v>0.11291462673783299</v>
      </c>
      <c r="I255" s="106">
        <f t="shared" si="623"/>
        <v>0.12132300033569336</v>
      </c>
      <c r="J255" s="106">
        <f t="shared" si="623"/>
        <v>0.1200153014373779</v>
      </c>
      <c r="K255" s="106">
        <f t="shared" si="623"/>
        <v>0.13363110221862792</v>
      </c>
      <c r="L255" s="106">
        <f t="shared" si="623"/>
        <v>0.14833539825439454</v>
      </c>
      <c r="M255" s="106">
        <f t="shared" si="623"/>
        <v>0.15969829902648924</v>
      </c>
      <c r="N255" s="106">
        <f t="shared" si="623"/>
        <v>0.17501029975891108</v>
      </c>
      <c r="O255" s="106">
        <f t="shared" si="623"/>
        <v>0.19303229988098142</v>
      </c>
      <c r="P255" s="106">
        <f t="shared" si="623"/>
        <v>0.20252640090942381</v>
      </c>
      <c r="Q255" s="106">
        <f t="shared" si="623"/>
        <v>0.24363920303344727</v>
      </c>
      <c r="R255" s="106">
        <f t="shared" si="623"/>
        <v>0.30984539474487305</v>
      </c>
      <c r="S255" s="106">
        <f t="shared" si="623"/>
        <v>0.36935910324096671</v>
      </c>
      <c r="T255" s="106">
        <f t="shared" si="623"/>
        <v>0.40404740478515622</v>
      </c>
      <c r="U255" s="106">
        <f t="shared" si="623"/>
        <v>0.42791549621582037</v>
      </c>
      <c r="V255" s="106">
        <f t="shared" si="623"/>
        <v>0.4388318939208985</v>
      </c>
      <c r="W255" s="106">
        <f t="shared" si="623"/>
        <v>0.48991809356689442</v>
      </c>
      <c r="X255" s="106">
        <f t="shared" si="623"/>
        <v>0.48927570587158198</v>
      </c>
      <c r="Y255" s="106">
        <f t="shared" si="623"/>
        <v>0.53312650085449209</v>
      </c>
      <c r="Z255" s="106">
        <f t="shared" si="623"/>
        <v>0.66417100219726544</v>
      </c>
      <c r="AA255" s="106">
        <f t="shared" si="623"/>
        <v>0.71564000762939473</v>
      </c>
      <c r="AB255" s="106">
        <f t="shared" si="623"/>
        <v>0.73986000427246057</v>
      </c>
      <c r="AC255" s="106">
        <f t="shared" si="623"/>
        <v>0.93190999938964802</v>
      </c>
      <c r="AD255" s="106">
        <f t="shared" si="623"/>
        <v>1.0490499975585938</v>
      </c>
      <c r="AE255" s="106">
        <f t="shared" si="623"/>
        <v>1.1365899902343748</v>
      </c>
      <c r="AF255" s="106">
        <f t="shared" si="623"/>
        <v>1.0655059753417973</v>
      </c>
      <c r="AG255" s="106">
        <f t="shared" si="623"/>
        <v>1.1453248522949218</v>
      </c>
      <c r="AH255" s="106">
        <f t="shared" si="623"/>
        <v>1.0605680725097657</v>
      </c>
      <c r="AI255" s="106">
        <f t="shared" si="623"/>
        <v>0.90991725585937488</v>
      </c>
      <c r="AJ255" s="106">
        <f t="shared" si="623"/>
        <v>0.9005435620117187</v>
      </c>
      <c r="AK255" s="106">
        <f t="shared" si="623"/>
        <v>0.82131492065429679</v>
      </c>
      <c r="AL255" s="106">
        <f t="shared" si="623"/>
        <v>0.90406040771484386</v>
      </c>
      <c r="AM255" s="106">
        <f t="shared" si="623"/>
        <v>1.1523999999999999</v>
      </c>
      <c r="AN255" s="106">
        <f t="shared" si="623"/>
        <v>1.4931799999999997</v>
      </c>
      <c r="AO255" s="106">
        <f t="shared" si="623"/>
        <v>1.8571700122070318</v>
      </c>
      <c r="AP255" s="106">
        <f t="shared" si="623"/>
        <v>2.4472899999999997</v>
      </c>
      <c r="AQ255" s="106">
        <f t="shared" si="623"/>
        <v>2.7355099999999992</v>
      </c>
      <c r="AR255" s="106">
        <f t="shared" si="623"/>
        <v>3.8317300000000012</v>
      </c>
      <c r="AS255" s="106">
        <f t="shared" si="623"/>
        <v>11.097579999999997</v>
      </c>
      <c r="AT255" s="106">
        <f t="shared" si="623"/>
        <v>62.413759999999975</v>
      </c>
      <c r="AU255" s="106">
        <f t="shared" si="623"/>
        <v>226.8744099999999</v>
      </c>
      <c r="AV255" s="106">
        <f t="shared" si="623"/>
        <v>218.97242999999997</v>
      </c>
      <c r="AW255" s="106">
        <f t="shared" si="623"/>
        <v>205.50306000000003</v>
      </c>
      <c r="AX255" s="106">
        <f t="shared" si="623"/>
        <v>211.58982999999995</v>
      </c>
      <c r="AY255" s="106">
        <f t="shared" si="623"/>
        <v>374.66052000000019</v>
      </c>
      <c r="AZ255" s="106">
        <f t="shared" si="623"/>
        <v>699.34699999999975</v>
      </c>
      <c r="BA255" s="106">
        <f t="shared" si="623"/>
        <v>983.47000000000014</v>
      </c>
      <c r="BB255" s="106">
        <f t="shared" si="623"/>
        <v>1495.1230000000005</v>
      </c>
      <c r="BC255" s="106">
        <f t="shared" si="623"/>
        <v>2034.7829999999997</v>
      </c>
      <c r="BD255" s="106">
        <f ca="1">+BD250-BD252-BD253-BD254</f>
        <v>2566.4100000000008</v>
      </c>
      <c r="BE255" s="106">
        <f ca="1">+BE250-BE252-BE253-BE254</f>
        <v>3202.7355219374681</v>
      </c>
      <c r="BF255" s="106">
        <f t="shared" ref="BF255:BP255" si="624">+BF250-BF252-BF253-BF254</f>
        <v>3140.9143881605851</v>
      </c>
      <c r="BG255" s="106">
        <f t="shared" si="624"/>
        <v>3459.7047067415706</v>
      </c>
      <c r="BH255" s="106">
        <f t="shared" si="624"/>
        <v>4627.6875196980545</v>
      </c>
      <c r="BI255" s="106">
        <f t="shared" si="624"/>
        <v>4581.9948956086446</v>
      </c>
      <c r="BJ255" s="106">
        <f t="shared" si="624"/>
        <v>5629.1790993640334</v>
      </c>
      <c r="BK255" s="106">
        <f t="shared" si="624"/>
        <v>7084.7088895199395</v>
      </c>
      <c r="BL255" s="106">
        <f t="shared" si="624"/>
        <v>8460.4731364919026</v>
      </c>
      <c r="BM255" s="106">
        <f t="shared" si="624"/>
        <v>8442.0494427381582</v>
      </c>
      <c r="BN255" s="106">
        <f t="shared" si="624"/>
        <v>8591.8668643851288</v>
      </c>
      <c r="BO255" s="106">
        <f t="shared" si="624"/>
        <v>8278.3725857388818</v>
      </c>
      <c r="BP255" s="106">
        <f t="shared" si="624"/>
        <v>9548.1632585930183</v>
      </c>
      <c r="BQ255" s="106">
        <f t="shared" ref="BQ255:CB255" si="625">+BQ250-BQ252-BQ253-BQ254</f>
        <v>11693.073781113962</v>
      </c>
      <c r="BR255" s="106">
        <f t="shared" si="625"/>
        <v>10366.481469872708</v>
      </c>
      <c r="BS255" s="106">
        <f t="shared" si="625"/>
        <v>10462.941641735812</v>
      </c>
      <c r="BT255" s="106">
        <f t="shared" ca="1" si="625"/>
        <v>12785.340073407107</v>
      </c>
      <c r="BU255" s="106">
        <f t="shared" ca="1" si="625"/>
        <v>36684.625721518401</v>
      </c>
      <c r="BV255" s="106">
        <f t="shared" ca="1" si="625"/>
        <v>41500.200181542496</v>
      </c>
      <c r="BW255" s="106">
        <f t="shared" ca="1" si="625"/>
        <v>43710.444413758734</v>
      </c>
      <c r="BX255" s="106">
        <f t="shared" ca="1" si="625"/>
        <v>46754.866213294838</v>
      </c>
      <c r="BY255" s="106">
        <f t="shared" ca="1" si="625"/>
        <v>50315.922959238858</v>
      </c>
      <c r="BZ255" s="106">
        <f t="shared" ca="1" si="625"/>
        <v>54525.909996581089</v>
      </c>
      <c r="CA255" s="106">
        <f t="shared" ca="1" si="625"/>
        <v>59490.087019835148</v>
      </c>
      <c r="CB255" s="106">
        <f t="shared" ca="1" si="625"/>
        <v>65449.931870863969</v>
      </c>
      <c r="CC255" s="106">
        <f ca="1">+CC250-CC252-CC253-CC254</f>
        <v>72819.768877998576</v>
      </c>
      <c r="CD255" s="106">
        <f ca="1">+CD250-CD252-CD253-CD254</f>
        <v>82257.191763796247</v>
      </c>
      <c r="CE255" s="106">
        <f ca="1">+CE250-CE252-CE253-CE254</f>
        <v>94849.698908427279</v>
      </c>
      <c r="CF255" s="106">
        <f ca="1">+CF250-CF252-CF253-CF254</f>
        <v>112458.64232620016</v>
      </c>
      <c r="CG255" s="106">
        <f ca="1">+CG250-CG252-CG253-CG254</f>
        <v>138386.49163798505</v>
      </c>
      <c r="CH255" s="141"/>
      <c r="CI255" s="106">
        <f t="shared" si="615"/>
        <v>0</v>
      </c>
      <c r="CJ255" s="106">
        <f t="shared" si="615"/>
        <v>0</v>
      </c>
      <c r="CK255" s="106">
        <f t="shared" si="615"/>
        <v>0</v>
      </c>
      <c r="CL255" s="106">
        <f t="shared" ca="1" si="615"/>
        <v>0</v>
      </c>
      <c r="CM255" s="106">
        <f t="shared" ca="1" si="615"/>
        <v>1891.9508490955923</v>
      </c>
      <c r="CN255" s="106">
        <f t="shared" ca="1" si="615"/>
        <v>2076.7935936790454</v>
      </c>
      <c r="CO255" s="106">
        <f t="shared" ca="1" si="615"/>
        <v>1916.8166005422609</v>
      </c>
      <c r="CP255" s="106">
        <f t="shared" ca="1" si="615"/>
        <v>1570.4479276056009</v>
      </c>
      <c r="CQ255" s="106">
        <f t="shared" ca="1" si="615"/>
        <v>1105.3975568897149</v>
      </c>
      <c r="CR255" s="106">
        <f t="shared" ca="1" si="615"/>
        <v>3313.6591456338356</v>
      </c>
      <c r="CS255" s="106">
        <f t="shared" ca="1" si="616"/>
        <v>2883.8314276627862</v>
      </c>
      <c r="CT255" s="106">
        <f t="shared" ca="1" si="616"/>
        <v>2139.8004840681097</v>
      </c>
      <c r="CU255" s="106">
        <f t="shared" ca="1" si="616"/>
        <v>1321.3580414769531</v>
      </c>
      <c r="CV255" s="106">
        <f t="shared" ca="1" si="616"/>
        <v>198.9439032618975</v>
      </c>
      <c r="CW255" s="106">
        <f t="shared" ca="1" si="616"/>
        <v>-1388.2748900463484</v>
      </c>
      <c r="CX255" s="106">
        <f t="shared" ca="1" si="616"/>
        <v>-3775.448182967928</v>
      </c>
      <c r="CY255" s="106">
        <f t="shared" ca="1" si="616"/>
        <v>-7658.4112188134459</v>
      </c>
      <c r="CZ255" s="134"/>
      <c r="DA255" s="135">
        <v>11693.073781113962</v>
      </c>
      <c r="DB255" s="135">
        <v>10366.481469872708</v>
      </c>
      <c r="DC255" s="135">
        <v>10462.941641735812</v>
      </c>
      <c r="DD255" s="135">
        <v>12785.340073407107</v>
      </c>
      <c r="DE255" s="135">
        <v>34792.674872422809</v>
      </c>
      <c r="DF255" s="135">
        <v>39423.40658786345</v>
      </c>
      <c r="DG255" s="135">
        <v>41793.627813216473</v>
      </c>
      <c r="DH255" s="135">
        <v>45184.418285689237</v>
      </c>
      <c r="DI255" s="135">
        <v>49210.525402349143</v>
      </c>
      <c r="DJ255" s="135">
        <v>51212.250850947254</v>
      </c>
      <c r="DK255" s="135">
        <v>56606.255592172362</v>
      </c>
      <c r="DL255" s="135">
        <v>63310.13138679586</v>
      </c>
      <c r="DM255" s="135">
        <v>71498.410836521623</v>
      </c>
      <c r="DN255" s="135">
        <v>82058.247860534349</v>
      </c>
      <c r="DO255" s="135">
        <v>96237.973798473628</v>
      </c>
      <c r="DP255" s="135">
        <v>116234.09050916809</v>
      </c>
      <c r="DQ255" s="135">
        <v>146044.90285679849</v>
      </c>
    </row>
    <row r="256" spans="1:121" s="123" customFormat="1">
      <c r="A256" s="223" t="s">
        <v>3135</v>
      </c>
      <c r="B256" s="107"/>
      <c r="C256" s="136"/>
      <c r="D256" s="147"/>
      <c r="E256" s="107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106"/>
      <c r="CB256" s="106"/>
      <c r="CC256" s="106"/>
      <c r="CD256" s="106"/>
      <c r="CE256" s="106"/>
      <c r="CF256" s="106"/>
      <c r="CG256" s="106"/>
      <c r="CH256" s="141"/>
      <c r="CI256" s="106"/>
      <c r="CJ256" s="106"/>
      <c r="CK256" s="106"/>
      <c r="CL256" s="106"/>
      <c r="CM256" s="106"/>
      <c r="CN256" s="106"/>
      <c r="CO256" s="106"/>
      <c r="CP256" s="106"/>
      <c r="CQ256" s="106"/>
      <c r="CR256" s="106"/>
      <c r="CS256" s="106"/>
      <c r="CT256" s="106"/>
      <c r="CU256" s="106"/>
      <c r="CV256" s="106"/>
      <c r="CW256" s="106"/>
      <c r="CX256" s="106"/>
      <c r="CY256" s="106"/>
      <c r="CZ256" s="134"/>
      <c r="DA256" s="135"/>
      <c r="DB256" s="135"/>
      <c r="DC256" s="135"/>
      <c r="DD256" s="135"/>
      <c r="DE256" s="135"/>
      <c r="DF256" s="135"/>
      <c r="DG256" s="135"/>
      <c r="DH256" s="135"/>
      <c r="DI256" s="135"/>
      <c r="DJ256" s="135"/>
      <c r="DK256" s="135"/>
      <c r="DL256" s="135"/>
      <c r="DM256" s="135"/>
      <c r="DN256" s="135"/>
      <c r="DO256" s="135"/>
      <c r="DP256" s="135"/>
      <c r="DQ256" s="135"/>
    </row>
    <row r="257" spans="1:121" s="123" customFormat="1">
      <c r="A257" s="107" t="s">
        <v>1870</v>
      </c>
      <c r="B257" s="107"/>
      <c r="C257" s="136" t="s">
        <v>3138</v>
      </c>
      <c r="D257" s="147"/>
      <c r="E257" s="107"/>
      <c r="F257" s="213">
        <f t="shared" ref="F257:BD257" si="626">+F252/F$250</f>
        <v>0.28650838087455677</v>
      </c>
      <c r="G257" s="213">
        <f t="shared" si="626"/>
        <v>0.27164742454770063</v>
      </c>
      <c r="H257" s="213">
        <f t="shared" si="626"/>
        <v>0.30399035978048633</v>
      </c>
      <c r="I257" s="213">
        <f t="shared" si="626"/>
        <v>0.31797126047941954</v>
      </c>
      <c r="J257" s="213">
        <f t="shared" si="626"/>
        <v>0.31020435664399632</v>
      </c>
      <c r="K257" s="213">
        <f t="shared" si="626"/>
        <v>0.33153568811338041</v>
      </c>
      <c r="L257" s="213">
        <f t="shared" si="626"/>
        <v>0.34612242859977638</v>
      </c>
      <c r="M257" s="213">
        <f t="shared" si="626"/>
        <v>0.33589250562037726</v>
      </c>
      <c r="N257" s="213">
        <f t="shared" si="626"/>
        <v>0.3236483401058417</v>
      </c>
      <c r="O257" s="213">
        <f t="shared" si="626"/>
        <v>0.32161935026266092</v>
      </c>
      <c r="P257" s="213">
        <f t="shared" si="626"/>
        <v>0.37776440255326238</v>
      </c>
      <c r="Q257" s="213">
        <f t="shared" si="626"/>
        <v>0.37625901210996032</v>
      </c>
      <c r="R257" s="213">
        <f t="shared" si="626"/>
        <v>0.32638034694515849</v>
      </c>
      <c r="S257" s="213">
        <f t="shared" si="626"/>
        <v>0.31747208099160934</v>
      </c>
      <c r="T257" s="213">
        <f t="shared" si="626"/>
        <v>0.29592414336500594</v>
      </c>
      <c r="U257" s="213">
        <f t="shared" si="626"/>
        <v>0.3042512365680613</v>
      </c>
      <c r="V257" s="213">
        <f t="shared" si="626"/>
        <v>0.30942998992030102</v>
      </c>
      <c r="W257" s="213">
        <f t="shared" si="626"/>
        <v>0.30896475389406614</v>
      </c>
      <c r="X257" s="213">
        <f t="shared" si="626"/>
        <v>0.32376890702847749</v>
      </c>
      <c r="Y257" s="213">
        <f t="shared" si="626"/>
        <v>0.32491518309418088</v>
      </c>
      <c r="Z257" s="213">
        <f t="shared" si="626"/>
        <v>0.37790937800651031</v>
      </c>
      <c r="AA257" s="213">
        <f t="shared" si="626"/>
        <v>0.38401682186572778</v>
      </c>
      <c r="AB257" s="213">
        <f t="shared" si="626"/>
        <v>0.37619177324834818</v>
      </c>
      <c r="AC257" s="213">
        <f t="shared" si="626"/>
        <v>0.39057931167410392</v>
      </c>
      <c r="AD257" s="213">
        <f t="shared" si="626"/>
        <v>0.36650549765261736</v>
      </c>
      <c r="AE257" s="213">
        <f t="shared" si="626"/>
        <v>0.36098595077226542</v>
      </c>
      <c r="AF257" s="213">
        <f t="shared" si="626"/>
        <v>0.41951610479311496</v>
      </c>
      <c r="AG257" s="213">
        <f t="shared" si="626"/>
        <v>0.40556651821818046</v>
      </c>
      <c r="AH257" s="213">
        <f t="shared" si="626"/>
        <v>0.39670983207905502</v>
      </c>
      <c r="AI257" s="213">
        <f t="shared" si="626"/>
        <v>0.36991817825090334</v>
      </c>
      <c r="AJ257" s="213">
        <f t="shared" si="626"/>
        <v>0.34176180347919027</v>
      </c>
      <c r="AK257" s="213">
        <f t="shared" si="626"/>
        <v>0.31900651822973181</v>
      </c>
      <c r="AL257" s="213">
        <f t="shared" si="626"/>
        <v>0.33847545149874753</v>
      </c>
      <c r="AM257" s="213">
        <f t="shared" si="626"/>
        <v>0.38237049791436717</v>
      </c>
      <c r="AN257" s="213">
        <f t="shared" si="626"/>
        <v>0.38995909786557303</v>
      </c>
      <c r="AO257" s="213">
        <f t="shared" si="626"/>
        <v>0.44579868890803348</v>
      </c>
      <c r="AP257" s="213">
        <f t="shared" si="626"/>
        <v>0.45472044130331318</v>
      </c>
      <c r="AQ257" s="213">
        <f t="shared" si="626"/>
        <v>0.5140160047838026</v>
      </c>
      <c r="AR257" s="213">
        <f t="shared" si="626"/>
        <v>0.50965861055254924</v>
      </c>
      <c r="AS257" s="213">
        <f t="shared" si="626"/>
        <v>0.59376241486097758</v>
      </c>
      <c r="AT257" s="213">
        <f t="shared" si="626"/>
        <v>0.5405190644145591</v>
      </c>
      <c r="AU257" s="213">
        <f t="shared" si="626"/>
        <v>0.47091513765216636</v>
      </c>
      <c r="AV257" s="213">
        <f t="shared" si="626"/>
        <v>0.46628891274973339</v>
      </c>
      <c r="AW257" s="213">
        <f t="shared" si="626"/>
        <v>0.42088991436373213</v>
      </c>
      <c r="AX257" s="213">
        <f t="shared" si="626"/>
        <v>0.37986182077021491</v>
      </c>
      <c r="AY257" s="213">
        <f t="shared" si="626"/>
        <v>0.38437701143941816</v>
      </c>
      <c r="AZ257" s="213">
        <f t="shared" si="626"/>
        <v>0.37393399541107669</v>
      </c>
      <c r="BA257" s="213">
        <f t="shared" si="626"/>
        <v>0.4077390534968951</v>
      </c>
      <c r="BB257" s="213">
        <f t="shared" si="626"/>
        <v>0.35252012957855483</v>
      </c>
      <c r="BC257" s="213">
        <f t="shared" si="626"/>
        <v>0.41651627485304721</v>
      </c>
      <c r="BD257" s="213">
        <f t="shared" si="626"/>
        <v>0.43832486949625216</v>
      </c>
      <c r="BE257" s="213">
        <f ca="1">+BE252/BE$250</f>
        <v>0.47322746948340622</v>
      </c>
      <c r="BF257" s="213">
        <f t="shared" ref="BF257:BI259" si="627">+BF252/BF$250</f>
        <v>0.33139941071048878</v>
      </c>
      <c r="BG257" s="213">
        <f t="shared" si="627"/>
        <v>0.34078607152123536</v>
      </c>
      <c r="BH257" s="213">
        <f t="shared" si="627"/>
        <v>0.36180359233558923</v>
      </c>
      <c r="BI257" s="213">
        <f t="shared" si="627"/>
        <v>0.32512665912992506</v>
      </c>
      <c r="BJ257" s="213">
        <f t="shared" ref="BJ257:BP257" si="628">+BJ252/BJ$250</f>
        <v>0.29683513311512588</v>
      </c>
      <c r="BK257" s="213">
        <f t="shared" si="628"/>
        <v>0.31967295810090512</v>
      </c>
      <c r="BL257" s="213">
        <f t="shared" si="628"/>
        <v>0.3224533681199403</v>
      </c>
      <c r="BM257" s="213">
        <f t="shared" si="628"/>
        <v>0.32709919858007264</v>
      </c>
      <c r="BN257" s="213">
        <f t="shared" si="628"/>
        <v>0.32575637275255975</v>
      </c>
      <c r="BO257" s="213">
        <f t="shared" si="628"/>
        <v>0.33580716861431703</v>
      </c>
      <c r="BP257" s="213">
        <f t="shared" si="628"/>
        <v>0.39446036980137977</v>
      </c>
      <c r="BQ257" s="213">
        <f t="shared" ref="BQ257:CB257" si="629">+BQ252/BQ$250</f>
        <v>0.38501418566977108</v>
      </c>
      <c r="BR257" s="213">
        <f t="shared" si="629"/>
        <v>0.40766811469238073</v>
      </c>
      <c r="BS257" s="213">
        <f t="shared" si="629"/>
        <v>0.45396433812513215</v>
      </c>
      <c r="BT257" s="213">
        <f t="shared" si="629"/>
        <v>0.46714079784622242</v>
      </c>
      <c r="BU257" s="213">
        <f t="shared" ca="1" si="629"/>
        <v>0.43192629497974422</v>
      </c>
      <c r="BV257" s="213">
        <f t="shared" ca="1" si="629"/>
        <v>0.41080474199524247</v>
      </c>
      <c r="BW257" s="213">
        <f t="shared" ca="1" si="629"/>
        <v>0.39914958173798165</v>
      </c>
      <c r="BX257" s="213">
        <f t="shared" ca="1" si="629"/>
        <v>0.39456072430204064</v>
      </c>
      <c r="BY257" s="213">
        <f t="shared" ca="1" si="629"/>
        <v>0.38558462499661772</v>
      </c>
      <c r="BZ257" s="213">
        <f t="shared" ca="1" si="629"/>
        <v>0.3753015412110407</v>
      </c>
      <c r="CA257" s="213">
        <f t="shared" ca="1" si="629"/>
        <v>0.36370419925182929</v>
      </c>
      <c r="CB257" s="213">
        <f t="shared" ca="1" si="629"/>
        <v>0.35049266173616905</v>
      </c>
      <c r="CC257" s="213">
        <f t="shared" ref="CC257:CG260" ca="1" si="630">+CC252/CC$250</f>
        <v>0.33533014764817298</v>
      </c>
      <c r="CD257" s="213">
        <f t="shared" ca="1" si="630"/>
        <v>0.31781511244170957</v>
      </c>
      <c r="CE257" s="213">
        <f t="shared" ca="1" si="630"/>
        <v>0.2975040276583707</v>
      </c>
      <c r="CF257" s="213">
        <f t="shared" ca="1" si="630"/>
        <v>0.27396528701332967</v>
      </c>
      <c r="CG257" s="213">
        <f t="shared" ca="1" si="630"/>
        <v>0.24688546617080634</v>
      </c>
      <c r="CH257" s="207"/>
      <c r="CI257" s="106">
        <f t="shared" ref="CI257:CR260" si="631">BQ257-DA257</f>
        <v>0</v>
      </c>
      <c r="CJ257" s="106">
        <f t="shared" si="631"/>
        <v>0</v>
      </c>
      <c r="CK257" s="106">
        <f t="shared" si="631"/>
        <v>0</v>
      </c>
      <c r="CL257" s="106">
        <f t="shared" si="631"/>
        <v>0</v>
      </c>
      <c r="CM257" s="106">
        <f t="shared" ca="1" si="631"/>
        <v>6.9610384767319067E-3</v>
      </c>
      <c r="CN257" s="106">
        <f t="shared" ca="1" si="631"/>
        <v>2.7357951148078707E-3</v>
      </c>
      <c r="CO257" s="106">
        <f t="shared" ca="1" si="631"/>
        <v>2.7360680359914125E-3</v>
      </c>
      <c r="CP257" s="106">
        <f t="shared" ca="1" si="631"/>
        <v>3.6947419427292294E-3</v>
      </c>
      <c r="CQ257" s="106">
        <f t="shared" ca="1" si="631"/>
        <v>4.9044634589455183E-3</v>
      </c>
      <c r="CR257" s="106">
        <f t="shared" ca="1" si="631"/>
        <v>5.7886734903557779E-3</v>
      </c>
      <c r="CS257" s="106">
        <f t="shared" ref="CS257:CY260" ca="1" si="632">CA257-DK257</f>
        <v>6.5061683064471243E-3</v>
      </c>
      <c r="CT257" s="106">
        <f t="shared" ca="1" si="632"/>
        <v>6.7405157531713056E-3</v>
      </c>
      <c r="CU257" s="106">
        <f t="shared" ca="1" si="632"/>
        <v>7.523964562603791E-3</v>
      </c>
      <c r="CV257" s="106">
        <f t="shared" ca="1" si="632"/>
        <v>8.6289090771132781E-3</v>
      </c>
      <c r="CW257" s="106">
        <f t="shared" ca="1" si="632"/>
        <v>9.9546660828367939E-3</v>
      </c>
      <c r="CX257" s="106">
        <f t="shared" ca="1" si="632"/>
        <v>1.1440765698000843E-2</v>
      </c>
      <c r="CY257" s="106">
        <f t="shared" ca="1" si="632"/>
        <v>1.2984563181875741E-2</v>
      </c>
      <c r="CZ257" s="134"/>
      <c r="DA257" s="208">
        <v>0.38501418566977108</v>
      </c>
      <c r="DB257" s="208">
        <v>0.40766811469238073</v>
      </c>
      <c r="DC257" s="208">
        <v>0.45396433812513215</v>
      </c>
      <c r="DD257" s="208">
        <v>0.46714079784622242</v>
      </c>
      <c r="DE257" s="135">
        <v>0.42496525650301231</v>
      </c>
      <c r="DF257" s="135">
        <v>0.4080689468804346</v>
      </c>
      <c r="DG257" s="135">
        <v>0.39641351370199024</v>
      </c>
      <c r="DH257" s="135">
        <v>0.39086598235931141</v>
      </c>
      <c r="DI257" s="135">
        <v>0.3806801615376722</v>
      </c>
      <c r="DJ257" s="135">
        <v>0.36951286772068492</v>
      </c>
      <c r="DK257" s="135">
        <v>0.35719803094538216</v>
      </c>
      <c r="DL257" s="135">
        <v>0.34375214598299775</v>
      </c>
      <c r="DM257" s="135">
        <v>0.32780618308556919</v>
      </c>
      <c r="DN257" s="135">
        <v>0.30918620336459629</v>
      </c>
      <c r="DO257" s="135">
        <v>0.2875493615755339</v>
      </c>
      <c r="DP257" s="135">
        <v>0.26252452131532883</v>
      </c>
      <c r="DQ257" s="135">
        <v>0.2339009029889306</v>
      </c>
    </row>
    <row r="258" spans="1:121" s="123" customFormat="1">
      <c r="A258" s="107" t="s">
        <v>3136</v>
      </c>
      <c r="B258" s="107"/>
      <c r="C258" s="136" t="s">
        <v>3138</v>
      </c>
      <c r="D258" s="147"/>
      <c r="E258" s="107"/>
      <c r="F258" s="213">
        <f t="shared" ref="F258:BD258" si="633">+F253/F$250</f>
        <v>0.20933270785729061</v>
      </c>
      <c r="G258" s="213">
        <f t="shared" si="633"/>
        <v>0.20903365647819519</v>
      </c>
      <c r="H258" s="213">
        <f t="shared" si="633"/>
        <v>0.20283494540574884</v>
      </c>
      <c r="I258" s="213">
        <f t="shared" si="633"/>
        <v>0.20576666445936212</v>
      </c>
      <c r="J258" s="213">
        <f t="shared" si="633"/>
        <v>0.22091315815322055</v>
      </c>
      <c r="K258" s="213">
        <f t="shared" si="633"/>
        <v>0.21266718412545982</v>
      </c>
      <c r="L258" s="213">
        <f t="shared" si="633"/>
        <v>0.20271581780020853</v>
      </c>
      <c r="M258" s="213">
        <f t="shared" si="633"/>
        <v>0.19644001110576406</v>
      </c>
      <c r="N258" s="213">
        <f t="shared" si="633"/>
        <v>0.19552150993100845</v>
      </c>
      <c r="O258" s="213">
        <f t="shared" si="633"/>
        <v>0.19183737216819333</v>
      </c>
      <c r="P258" s="213">
        <f t="shared" si="633"/>
        <v>0.17999708820149962</v>
      </c>
      <c r="Q258" s="213">
        <f t="shared" si="633"/>
        <v>0.16284883749975315</v>
      </c>
      <c r="R258" s="213">
        <f t="shared" si="633"/>
        <v>0.16235855094240312</v>
      </c>
      <c r="S258" s="213">
        <f t="shared" si="633"/>
        <v>0.15408626471047146</v>
      </c>
      <c r="T258" s="213">
        <f t="shared" si="633"/>
        <v>0.16182016997828019</v>
      </c>
      <c r="U258" s="213">
        <f t="shared" si="633"/>
        <v>0.16304082317989096</v>
      </c>
      <c r="V258" s="213">
        <f t="shared" si="633"/>
        <v>0.17308622527748901</v>
      </c>
      <c r="W258" s="213">
        <f t="shared" si="633"/>
        <v>0.16709122860893805</v>
      </c>
      <c r="X258" s="213">
        <f t="shared" si="633"/>
        <v>0.17619241018185855</v>
      </c>
      <c r="Y258" s="213">
        <f t="shared" si="633"/>
        <v>0.17874989356088475</v>
      </c>
      <c r="Z258" s="213">
        <f t="shared" si="633"/>
        <v>0.15346394510694236</v>
      </c>
      <c r="AA258" s="213">
        <f t="shared" si="633"/>
        <v>0.17050123135108228</v>
      </c>
      <c r="AB258" s="213">
        <f t="shared" si="633"/>
        <v>0.18891879522122604</v>
      </c>
      <c r="AC258" s="213">
        <f t="shared" si="633"/>
        <v>0.18701755933057795</v>
      </c>
      <c r="AD258" s="213">
        <f t="shared" si="633"/>
        <v>0.20183108953534659</v>
      </c>
      <c r="AE258" s="213">
        <f t="shared" si="633"/>
        <v>0.19636327070599269</v>
      </c>
      <c r="AF258" s="213">
        <f t="shared" si="633"/>
        <v>0.20928565892887649</v>
      </c>
      <c r="AG258" s="213">
        <f t="shared" si="633"/>
        <v>0.22436861445579856</v>
      </c>
      <c r="AH258" s="213">
        <f t="shared" si="633"/>
        <v>0.25392721997370132</v>
      </c>
      <c r="AI258" s="213">
        <f t="shared" si="633"/>
        <v>0.29846119310459007</v>
      </c>
      <c r="AJ258" s="213">
        <f t="shared" si="633"/>
        <v>0.31883437253303548</v>
      </c>
      <c r="AK258" s="213">
        <f t="shared" si="633"/>
        <v>0.35080468601810089</v>
      </c>
      <c r="AL258" s="213">
        <f t="shared" si="633"/>
        <v>0.31216702502061222</v>
      </c>
      <c r="AM258" s="213">
        <f t="shared" si="633"/>
        <v>0.23545798243170069</v>
      </c>
      <c r="AN258" s="213">
        <f t="shared" si="633"/>
        <v>0.20342140091172006</v>
      </c>
      <c r="AO258" s="213">
        <f t="shared" si="633"/>
        <v>0.16806075963731865</v>
      </c>
      <c r="AP258" s="213">
        <f t="shared" si="633"/>
        <v>0.14775409295503314</v>
      </c>
      <c r="AQ258" s="213">
        <f t="shared" si="633"/>
        <v>0.13646103385843575</v>
      </c>
      <c r="AR258" s="213">
        <f t="shared" si="633"/>
        <v>0.13080199261916442</v>
      </c>
      <c r="AS258" s="213">
        <f t="shared" si="633"/>
        <v>7.4249843243683097E-2</v>
      </c>
      <c r="AT258" s="213">
        <f t="shared" si="633"/>
        <v>9.0470417793359001E-2</v>
      </c>
      <c r="AU258" s="213">
        <f t="shared" si="633"/>
        <v>0.1187781200727034</v>
      </c>
      <c r="AV258" s="213">
        <f t="shared" si="633"/>
        <v>0.16828891774780266</v>
      </c>
      <c r="AW258" s="213">
        <f t="shared" si="633"/>
        <v>0.22834221584974015</v>
      </c>
      <c r="AX258" s="213">
        <f t="shared" si="633"/>
        <v>0.2664238413585156</v>
      </c>
      <c r="AY258" s="213">
        <f t="shared" si="633"/>
        <v>0.26652886540188159</v>
      </c>
      <c r="AZ258" s="213">
        <f t="shared" si="633"/>
        <v>0.22390438017907155</v>
      </c>
      <c r="BA258" s="213">
        <f t="shared" si="633"/>
        <v>0.22954306479589257</v>
      </c>
      <c r="BB258" s="213">
        <f t="shared" si="633"/>
        <v>0.20589044822600949</v>
      </c>
      <c r="BC258" s="213">
        <f t="shared" si="633"/>
        <v>0.17226575557183987</v>
      </c>
      <c r="BD258" s="213">
        <f t="shared" si="633"/>
        <v>0.16163198387363523</v>
      </c>
      <c r="BE258" s="213">
        <f ca="1">+BE253/BE$250</f>
        <v>0.14258433622734551</v>
      </c>
      <c r="BF258" s="213">
        <f t="shared" si="627"/>
        <v>0.13080019845488694</v>
      </c>
      <c r="BG258" s="213">
        <f t="shared" si="627"/>
        <v>0.12541854999913735</v>
      </c>
      <c r="BH258" s="213">
        <f t="shared" si="627"/>
        <v>0.10946646018346942</v>
      </c>
      <c r="BI258" s="213">
        <f t="shared" si="627"/>
        <v>0.11757503635833462</v>
      </c>
      <c r="BJ258" s="213">
        <f t="shared" ref="BJ258:BP258" si="634">+BJ253/BJ$250</f>
        <v>0.12116277313439391</v>
      </c>
      <c r="BK258" s="213">
        <f t="shared" si="634"/>
        <v>0.12291663106447216</v>
      </c>
      <c r="BL258" s="213">
        <f t="shared" si="634"/>
        <v>0.1279727341533563</v>
      </c>
      <c r="BM258" s="213">
        <f t="shared" si="634"/>
        <v>0.12549529992291888</v>
      </c>
      <c r="BN258" s="213">
        <f t="shared" si="634"/>
        <v>0.13773777689102684</v>
      </c>
      <c r="BO258" s="213">
        <f t="shared" si="634"/>
        <v>0.14698574536724321</v>
      </c>
      <c r="BP258" s="213">
        <f t="shared" si="634"/>
        <v>0.133580993473878</v>
      </c>
      <c r="BQ258" s="213">
        <f t="shared" ref="BQ258:CB258" si="635">+BQ253/BQ$250</f>
        <v>0.12735862652392824</v>
      </c>
      <c r="BR258" s="213">
        <f t="shared" si="635"/>
        <v>0.14924258241171803</v>
      </c>
      <c r="BS258" s="213">
        <f t="shared" si="635"/>
        <v>0.13976780421125556</v>
      </c>
      <c r="BT258" s="213">
        <f t="shared" ca="1" si="635"/>
        <v>0.12056945722176292</v>
      </c>
      <c r="BU258" s="213">
        <f t="shared" ca="1" si="635"/>
        <v>7.7592698812517416E-2</v>
      </c>
      <c r="BV258" s="213">
        <f t="shared" ca="1" si="635"/>
        <v>8.550795315036272E-2</v>
      </c>
      <c r="BW258" s="213">
        <f t="shared" ca="1" si="635"/>
        <v>9.4296566186709244E-2</v>
      </c>
      <c r="BX258" s="213">
        <f t="shared" ca="1" si="635"/>
        <v>9.8786316217160219E-2</v>
      </c>
      <c r="BY258" s="213">
        <f t="shared" ca="1" si="635"/>
        <v>0.1060566765489091</v>
      </c>
      <c r="BZ258" s="213">
        <f t="shared" ca="1" si="635"/>
        <v>0.1143079223318224</v>
      </c>
      <c r="CA258" s="213">
        <f t="shared" ca="1" si="635"/>
        <v>0.12383025802523433</v>
      </c>
      <c r="CB258" s="213">
        <f t="shared" ca="1" si="635"/>
        <v>0.13489358343634864</v>
      </c>
      <c r="CC258" s="213">
        <f t="shared" ca="1" si="630"/>
        <v>0.14777627571278507</v>
      </c>
      <c r="CD258" s="213">
        <f t="shared" ca="1" si="630"/>
        <v>0.16282203347653657</v>
      </c>
      <c r="CE258" s="213">
        <f t="shared" ca="1" si="630"/>
        <v>0.1804113296366614</v>
      </c>
      <c r="CF258" s="213">
        <f t="shared" ca="1" si="630"/>
        <v>0.20092365010938545</v>
      </c>
      <c r="CG258" s="213">
        <f t="shared" ca="1" si="630"/>
        <v>0.22466411788510285</v>
      </c>
      <c r="CH258" s="207"/>
      <c r="CI258" s="106">
        <f t="shared" si="631"/>
        <v>0</v>
      </c>
      <c r="CJ258" s="106">
        <f t="shared" si="631"/>
        <v>0</v>
      </c>
      <c r="CK258" s="106">
        <f t="shared" si="631"/>
        <v>0</v>
      </c>
      <c r="CL258" s="106">
        <f t="shared" ca="1" si="631"/>
        <v>0</v>
      </c>
      <c r="CM258" s="106">
        <f t="shared" ca="1" si="631"/>
        <v>-3.3489867365048276E-3</v>
      </c>
      <c r="CN258" s="106">
        <f t="shared" ca="1" si="631"/>
        <v>-2.5934883683893101E-3</v>
      </c>
      <c r="CO258" s="106">
        <f t="shared" ca="1" si="631"/>
        <v>-3.1792251161863461E-3</v>
      </c>
      <c r="CP258" s="106">
        <f t="shared" ca="1" si="631"/>
        <v>-3.9684799930356229E-3</v>
      </c>
      <c r="CQ258" s="106">
        <f t="shared" ca="1" si="631"/>
        <v>-5.0979707254786566E-3</v>
      </c>
      <c r="CR258" s="106">
        <f t="shared" ca="1" si="631"/>
        <v>-8.2102270083465323E-3</v>
      </c>
      <c r="CS258" s="106">
        <f t="shared" ca="1" si="632"/>
        <v>-7.1558527149083589E-3</v>
      </c>
      <c r="CT258" s="106">
        <f t="shared" ca="1" si="632"/>
        <v>-7.17053864087977E-3</v>
      </c>
      <c r="CU258" s="106">
        <f t="shared" ca="1" si="632"/>
        <v>-8.1601983233159647E-3</v>
      </c>
      <c r="CV258" s="106">
        <f t="shared" ca="1" si="632"/>
        <v>-9.566324768579243E-3</v>
      </c>
      <c r="CW258" s="106">
        <f t="shared" ca="1" si="632"/>
        <v>-1.1339912581464273E-2</v>
      </c>
      <c r="CX258" s="106">
        <f t="shared" ca="1" si="632"/>
        <v>-1.3443762777867907E-2</v>
      </c>
      <c r="CY258" s="106">
        <f t="shared" ca="1" si="632"/>
        <v>-1.5784833574601864E-2</v>
      </c>
      <c r="CZ258" s="134"/>
      <c r="DA258" s="208">
        <v>0.12735862652392824</v>
      </c>
      <c r="DB258" s="208">
        <v>0.14924258241171803</v>
      </c>
      <c r="DC258" s="208">
        <v>0.13976780421125556</v>
      </c>
      <c r="DD258" s="208">
        <v>0.12056945722176292</v>
      </c>
      <c r="DE258" s="135">
        <v>8.0941685549022244E-2</v>
      </c>
      <c r="DF258" s="135">
        <v>8.810144151875203E-2</v>
      </c>
      <c r="DG258" s="135">
        <v>9.747579130289559E-2</v>
      </c>
      <c r="DH258" s="135">
        <v>0.10275479621019584</v>
      </c>
      <c r="DI258" s="135">
        <v>0.11115464727438776</v>
      </c>
      <c r="DJ258" s="135">
        <v>0.12251814934016893</v>
      </c>
      <c r="DK258" s="135">
        <v>0.13098611074014269</v>
      </c>
      <c r="DL258" s="135">
        <v>0.14206412207722841</v>
      </c>
      <c r="DM258" s="135">
        <v>0.15593647403610103</v>
      </c>
      <c r="DN258" s="135">
        <v>0.17238835824511581</v>
      </c>
      <c r="DO258" s="135">
        <v>0.19175124221812567</v>
      </c>
      <c r="DP258" s="135">
        <v>0.21436741288725336</v>
      </c>
      <c r="DQ258" s="135">
        <v>0.24044895145970471</v>
      </c>
    </row>
    <row r="259" spans="1:121" s="123" customFormat="1">
      <c r="A259" s="107" t="s">
        <v>3137</v>
      </c>
      <c r="B259" s="107"/>
      <c r="C259" s="136" t="s">
        <v>3138</v>
      </c>
      <c r="D259" s="147"/>
      <c r="E259" s="107"/>
      <c r="F259" s="213">
        <f t="shared" ref="F259:BC259" si="636">+F254/F$250</f>
        <v>0</v>
      </c>
      <c r="G259" s="213">
        <f t="shared" si="636"/>
        <v>0</v>
      </c>
      <c r="H259" s="213">
        <f t="shared" si="636"/>
        <v>0</v>
      </c>
      <c r="I259" s="213">
        <f t="shared" si="636"/>
        <v>0</v>
      </c>
      <c r="J259" s="213">
        <f t="shared" si="636"/>
        <v>0</v>
      </c>
      <c r="K259" s="213">
        <f t="shared" si="636"/>
        <v>0</v>
      </c>
      <c r="L259" s="213">
        <f t="shared" si="636"/>
        <v>0</v>
      </c>
      <c r="M259" s="213">
        <f t="shared" si="636"/>
        <v>0</v>
      </c>
      <c r="N259" s="213">
        <f t="shared" si="636"/>
        <v>0</v>
      </c>
      <c r="O259" s="213">
        <f t="shared" si="636"/>
        <v>0</v>
      </c>
      <c r="P259" s="213">
        <f t="shared" si="636"/>
        <v>0</v>
      </c>
      <c r="Q259" s="213">
        <f t="shared" si="636"/>
        <v>0</v>
      </c>
      <c r="R259" s="213">
        <f t="shared" si="636"/>
        <v>0</v>
      </c>
      <c r="S259" s="213">
        <f t="shared" si="636"/>
        <v>0</v>
      </c>
      <c r="T259" s="213">
        <f t="shared" si="636"/>
        <v>0</v>
      </c>
      <c r="U259" s="213">
        <f t="shared" si="636"/>
        <v>0</v>
      </c>
      <c r="V259" s="213">
        <f t="shared" si="636"/>
        <v>0</v>
      </c>
      <c r="W259" s="213">
        <f t="shared" si="636"/>
        <v>0</v>
      </c>
      <c r="X259" s="213">
        <f t="shared" si="636"/>
        <v>0</v>
      </c>
      <c r="Y259" s="213">
        <f t="shared" si="636"/>
        <v>0</v>
      </c>
      <c r="Z259" s="213">
        <f t="shared" si="636"/>
        <v>0</v>
      </c>
      <c r="AA259" s="213">
        <f t="shared" si="636"/>
        <v>0</v>
      </c>
      <c r="AB259" s="213">
        <f t="shared" si="636"/>
        <v>0</v>
      </c>
      <c r="AC259" s="213">
        <f t="shared" si="636"/>
        <v>0</v>
      </c>
      <c r="AD259" s="213">
        <f t="shared" si="636"/>
        <v>0</v>
      </c>
      <c r="AE259" s="213">
        <f t="shared" si="636"/>
        <v>0</v>
      </c>
      <c r="AF259" s="213">
        <f t="shared" si="636"/>
        <v>0</v>
      </c>
      <c r="AG259" s="213">
        <f t="shared" si="636"/>
        <v>0</v>
      </c>
      <c r="AH259" s="213">
        <f t="shared" si="636"/>
        <v>0</v>
      </c>
      <c r="AI259" s="213">
        <f t="shared" si="636"/>
        <v>0</v>
      </c>
      <c r="AJ259" s="213">
        <f t="shared" si="636"/>
        <v>0</v>
      </c>
      <c r="AK259" s="213">
        <f t="shared" si="636"/>
        <v>0</v>
      </c>
      <c r="AL259" s="213">
        <f t="shared" si="636"/>
        <v>0</v>
      </c>
      <c r="AM259" s="213">
        <f t="shared" si="636"/>
        <v>0</v>
      </c>
      <c r="AN259" s="213">
        <f t="shared" si="636"/>
        <v>0</v>
      </c>
      <c r="AO259" s="213">
        <f t="shared" si="636"/>
        <v>0</v>
      </c>
      <c r="AP259" s="213">
        <f t="shared" si="636"/>
        <v>0</v>
      </c>
      <c r="AQ259" s="213">
        <f t="shared" si="636"/>
        <v>0</v>
      </c>
      <c r="AR259" s="213">
        <f t="shared" si="636"/>
        <v>0</v>
      </c>
      <c r="AS259" s="213">
        <f t="shared" si="636"/>
        <v>0</v>
      </c>
      <c r="AT259" s="213">
        <f t="shared" si="636"/>
        <v>0</v>
      </c>
      <c r="AU259" s="213">
        <f t="shared" si="636"/>
        <v>0</v>
      </c>
      <c r="AV259" s="213">
        <f t="shared" si="636"/>
        <v>0</v>
      </c>
      <c r="AW259" s="213">
        <f t="shared" si="636"/>
        <v>0</v>
      </c>
      <c r="AX259" s="213">
        <f t="shared" si="636"/>
        <v>0</v>
      </c>
      <c r="AY259" s="213">
        <f t="shared" si="636"/>
        <v>0</v>
      </c>
      <c r="AZ259" s="213">
        <f t="shared" si="636"/>
        <v>0</v>
      </c>
      <c r="BA259" s="213">
        <f t="shared" si="636"/>
        <v>0</v>
      </c>
      <c r="BB259" s="213">
        <f t="shared" si="636"/>
        <v>0</v>
      </c>
      <c r="BC259" s="213">
        <f t="shared" si="636"/>
        <v>0</v>
      </c>
      <c r="BD259" s="213">
        <f ca="1">+BD254/BD$250</f>
        <v>0</v>
      </c>
      <c r="BE259" s="213">
        <f ca="1">+BE254/BE$250</f>
        <v>0</v>
      </c>
      <c r="BF259" s="213">
        <f t="shared" si="627"/>
        <v>0.21977497765756551</v>
      </c>
      <c r="BG259" s="213">
        <f t="shared" si="627"/>
        <v>0.2242602838001872</v>
      </c>
      <c r="BH259" s="213">
        <f t="shared" si="627"/>
        <v>0.19836018251777462</v>
      </c>
      <c r="BI259" s="213">
        <f t="shared" si="627"/>
        <v>0.23754541922313577</v>
      </c>
      <c r="BJ259" s="213">
        <f t="shared" ref="BJ259:BP259" si="637">+BJ254/BJ$250</f>
        <v>0.21930660269586613</v>
      </c>
      <c r="BK259" s="213">
        <f t="shared" si="637"/>
        <v>0.19345615193017959</v>
      </c>
      <c r="BL259" s="213">
        <f t="shared" si="637"/>
        <v>0.1704091000138625</v>
      </c>
      <c r="BM259" s="213">
        <f t="shared" si="637"/>
        <v>0.18221644588640656</v>
      </c>
      <c r="BN259" s="213">
        <f t="shared" si="637"/>
        <v>0.17263921889736192</v>
      </c>
      <c r="BO259" s="213">
        <f t="shared" si="637"/>
        <v>0.14629764557730132</v>
      </c>
      <c r="BP259" s="213">
        <f t="shared" si="637"/>
        <v>0.14871878383244785</v>
      </c>
      <c r="BQ259" s="213">
        <f t="shared" ref="BQ259:CB259" si="638">+BQ254/BQ$250</f>
        <v>0.16243784639486333</v>
      </c>
      <c r="BR259" s="213">
        <f t="shared" si="638"/>
        <v>0.18058940921189809</v>
      </c>
      <c r="BS259" s="213">
        <f t="shared" si="638"/>
        <v>0.17118826812720395</v>
      </c>
      <c r="BT259" s="213">
        <f t="shared" ca="1" si="638"/>
        <v>0.17643894832533899</v>
      </c>
      <c r="BU259" s="213">
        <f t="shared" ca="1" si="638"/>
        <v>0.12598871084953467</v>
      </c>
      <c r="BV259" s="213">
        <f t="shared" ca="1" si="638"/>
        <v>0.13644180095378775</v>
      </c>
      <c r="BW259" s="213">
        <f t="shared" ca="1" si="638"/>
        <v>0.15468996834814333</v>
      </c>
      <c r="BX259" s="213">
        <f t="shared" ca="1" si="638"/>
        <v>0.1575872826470977</v>
      </c>
      <c r="BY259" s="213">
        <f t="shared" ca="1" si="638"/>
        <v>0.16411052885632174</v>
      </c>
      <c r="BZ259" s="213">
        <f t="shared" ca="1" si="638"/>
        <v>0.17123227887643125</v>
      </c>
      <c r="CA259" s="213">
        <f t="shared" ca="1" si="638"/>
        <v>0.17865482896884249</v>
      </c>
      <c r="CB259" s="213">
        <f t="shared" ca="1" si="638"/>
        <v>0.18645744944978029</v>
      </c>
      <c r="CC259" s="213">
        <f t="shared" ca="1" si="630"/>
        <v>0.19448762007208967</v>
      </c>
      <c r="CD259" s="213">
        <f t="shared" ca="1" si="630"/>
        <v>0.20250301393879835</v>
      </c>
      <c r="CE259" s="213">
        <f t="shared" ca="1" si="630"/>
        <v>0.21010805361847038</v>
      </c>
      <c r="CF259" s="213">
        <f t="shared" ca="1" si="630"/>
        <v>0.21669491064610419</v>
      </c>
      <c r="CG259" s="213">
        <f t="shared" ca="1" si="630"/>
        <v>0.22140039466546635</v>
      </c>
      <c r="CH259" s="207"/>
      <c r="CI259" s="106">
        <f t="shared" si="631"/>
        <v>0</v>
      </c>
      <c r="CJ259" s="106">
        <f t="shared" si="631"/>
        <v>0</v>
      </c>
      <c r="CK259" s="106">
        <f t="shared" si="631"/>
        <v>0</v>
      </c>
      <c r="CL259" s="106">
        <f t="shared" ca="1" si="631"/>
        <v>0</v>
      </c>
      <c r="CM259" s="106">
        <f t="shared" ca="1" si="631"/>
        <v>-2.2474867114313513E-3</v>
      </c>
      <c r="CN259" s="106">
        <f t="shared" ca="1" si="631"/>
        <v>3.5053231507937987E-3</v>
      </c>
      <c r="CO259" s="106">
        <f t="shared" ca="1" si="631"/>
        <v>3.2851301938399691E-3</v>
      </c>
      <c r="CP259" s="106">
        <f t="shared" ca="1" si="631"/>
        <v>2.2743030371757678E-3</v>
      </c>
      <c r="CQ259" s="106">
        <f t="shared" ca="1" si="631"/>
        <v>1.303703372546039E-3</v>
      </c>
      <c r="CR259" s="106">
        <f t="shared" ca="1" si="631"/>
        <v>-6.1708079541915872E-3</v>
      </c>
      <c r="CS259" s="106">
        <f t="shared" ca="1" si="632"/>
        <v>-7.9251280612035457E-3</v>
      </c>
      <c r="CT259" s="106">
        <f t="shared" ca="1" si="632"/>
        <v>-6.9826716685530421E-3</v>
      </c>
      <c r="CU259" s="106">
        <f t="shared" ca="1" si="632"/>
        <v>-6.9193130289483262E-3</v>
      </c>
      <c r="CV259" s="106">
        <f t="shared" ca="1" si="632"/>
        <v>-7.0446285498174943E-3</v>
      </c>
      <c r="CW259" s="106">
        <f t="shared" ca="1" si="632"/>
        <v>-7.2263020099499198E-3</v>
      </c>
      <c r="CX259" s="106">
        <f t="shared" ca="1" si="632"/>
        <v>-7.393211286428808E-3</v>
      </c>
      <c r="CY259" s="106">
        <f t="shared" ca="1" si="632"/>
        <v>-7.462582694573644E-3</v>
      </c>
      <c r="CZ259" s="134"/>
      <c r="DA259" s="208">
        <v>0.16243784639486333</v>
      </c>
      <c r="DB259" s="208">
        <v>0.18058940921189809</v>
      </c>
      <c r="DC259" s="208">
        <v>0.17118826812720395</v>
      </c>
      <c r="DD259" s="208">
        <v>0.17643894832533899</v>
      </c>
      <c r="DE259" s="135">
        <v>0.12823619756096602</v>
      </c>
      <c r="DF259" s="135">
        <v>0.13293647780299395</v>
      </c>
      <c r="DG259" s="135">
        <v>0.15140483815430336</v>
      </c>
      <c r="DH259" s="135">
        <v>0.15531297960992194</v>
      </c>
      <c r="DI259" s="135">
        <v>0.1628068254837757</v>
      </c>
      <c r="DJ259" s="135">
        <v>0.17740308683062284</v>
      </c>
      <c r="DK259" s="135">
        <v>0.18657995703004604</v>
      </c>
      <c r="DL259" s="135">
        <v>0.19344012111833334</v>
      </c>
      <c r="DM259" s="135">
        <v>0.20140693310103799</v>
      </c>
      <c r="DN259" s="135">
        <v>0.20954764248861585</v>
      </c>
      <c r="DO259" s="135">
        <v>0.21733435562842029</v>
      </c>
      <c r="DP259" s="135">
        <v>0.224088121932533</v>
      </c>
      <c r="DQ259" s="135">
        <v>0.22886297736003999</v>
      </c>
    </row>
    <row r="260" spans="1:121" s="123" customFormat="1">
      <c r="A260" s="107" t="s">
        <v>1871</v>
      </c>
      <c r="B260" s="107"/>
      <c r="C260" s="136" t="s">
        <v>3138</v>
      </c>
      <c r="D260" s="147"/>
      <c r="E260" s="107"/>
      <c r="F260" s="213">
        <f t="shared" ref="F260:BC260" si="639">+F255/F$250</f>
        <v>0.5041589112681526</v>
      </c>
      <c r="G260" s="213">
        <f t="shared" si="639"/>
        <v>0.5193189189741042</v>
      </c>
      <c r="H260" s="213">
        <f t="shared" si="639"/>
        <v>0.49317469481376486</v>
      </c>
      <c r="I260" s="213">
        <f t="shared" si="639"/>
        <v>0.47626207506121837</v>
      </c>
      <c r="J260" s="213">
        <f t="shared" si="639"/>
        <v>0.46888248520278314</v>
      </c>
      <c r="K260" s="213">
        <f t="shared" si="639"/>
        <v>0.45579712776115977</v>
      </c>
      <c r="L260" s="213">
        <f t="shared" si="639"/>
        <v>0.45116175360001515</v>
      </c>
      <c r="M260" s="213">
        <f t="shared" si="639"/>
        <v>0.46766748327385865</v>
      </c>
      <c r="N260" s="213">
        <f t="shared" si="639"/>
        <v>0.48083014996314977</v>
      </c>
      <c r="O260" s="213">
        <f t="shared" si="639"/>
        <v>0.48654327756914578</v>
      </c>
      <c r="P260" s="213">
        <f t="shared" si="639"/>
        <v>0.442238509245238</v>
      </c>
      <c r="Q260" s="213">
        <f t="shared" si="639"/>
        <v>0.46089215039028653</v>
      </c>
      <c r="R260" s="213">
        <f t="shared" si="639"/>
        <v>0.51126110211243847</v>
      </c>
      <c r="S260" s="213">
        <f t="shared" si="639"/>
        <v>0.52844165429791923</v>
      </c>
      <c r="T260" s="213">
        <f t="shared" si="639"/>
        <v>0.54225568665671386</v>
      </c>
      <c r="U260" s="213">
        <f t="shared" si="639"/>
        <v>0.53270794025204782</v>
      </c>
      <c r="V260" s="213">
        <f t="shared" si="639"/>
        <v>0.51748378480221002</v>
      </c>
      <c r="W260" s="213">
        <f t="shared" si="639"/>
        <v>0.52394401749699582</v>
      </c>
      <c r="X260" s="213">
        <f t="shared" si="639"/>
        <v>0.5000386827896639</v>
      </c>
      <c r="Y260" s="213">
        <f t="shared" si="639"/>
        <v>0.49633492334493429</v>
      </c>
      <c r="Z260" s="213">
        <f t="shared" si="639"/>
        <v>0.4686266768865473</v>
      </c>
      <c r="AA260" s="213">
        <f t="shared" si="639"/>
        <v>0.44548194678318997</v>
      </c>
      <c r="AB260" s="213">
        <f t="shared" si="639"/>
        <v>0.43488943153042575</v>
      </c>
      <c r="AC260" s="213">
        <f t="shared" si="639"/>
        <v>0.42240312899531818</v>
      </c>
      <c r="AD260" s="213">
        <f t="shared" si="639"/>
        <v>0.43166341281203602</v>
      </c>
      <c r="AE260" s="213">
        <f t="shared" si="639"/>
        <v>0.44265077852174184</v>
      </c>
      <c r="AF260" s="213">
        <f t="shared" si="639"/>
        <v>0.37119823627800858</v>
      </c>
      <c r="AG260" s="213">
        <f t="shared" si="639"/>
        <v>0.37006486732602095</v>
      </c>
      <c r="AH260" s="213">
        <f t="shared" si="639"/>
        <v>0.34936294794724371</v>
      </c>
      <c r="AI260" s="213">
        <f t="shared" si="639"/>
        <v>0.33162062864450659</v>
      </c>
      <c r="AJ260" s="213">
        <f t="shared" si="639"/>
        <v>0.33940382398777419</v>
      </c>
      <c r="AK260" s="213">
        <f t="shared" si="639"/>
        <v>0.33018879575216731</v>
      </c>
      <c r="AL260" s="213">
        <f t="shared" si="639"/>
        <v>0.34935752348064031</v>
      </c>
      <c r="AM260" s="213">
        <f t="shared" si="639"/>
        <v>0.38217151965393215</v>
      </c>
      <c r="AN260" s="213">
        <f t="shared" si="639"/>
        <v>0.40661950122270696</v>
      </c>
      <c r="AO260" s="213">
        <f t="shared" si="639"/>
        <v>0.38614055145464787</v>
      </c>
      <c r="AP260" s="213">
        <f t="shared" si="639"/>
        <v>0.39752546574165365</v>
      </c>
      <c r="AQ260" s="213">
        <f t="shared" si="639"/>
        <v>0.34952296135776167</v>
      </c>
      <c r="AR260" s="213">
        <f t="shared" si="639"/>
        <v>0.35953939682828634</v>
      </c>
      <c r="AS260" s="213">
        <f t="shared" si="639"/>
        <v>0.33198774189533942</v>
      </c>
      <c r="AT260" s="213">
        <f t="shared" si="639"/>
        <v>0.36901051779208183</v>
      </c>
      <c r="AU260" s="213">
        <f t="shared" si="639"/>
        <v>0.4103067422751302</v>
      </c>
      <c r="AV260" s="213">
        <f t="shared" si="639"/>
        <v>0.36542216950246398</v>
      </c>
      <c r="AW260" s="213">
        <f t="shared" si="639"/>
        <v>0.3507678697865278</v>
      </c>
      <c r="AX260" s="213">
        <f t="shared" si="639"/>
        <v>0.35371433787126949</v>
      </c>
      <c r="AY260" s="213">
        <f t="shared" si="639"/>
        <v>0.34909412315870025</v>
      </c>
      <c r="AZ260" s="213">
        <f t="shared" si="639"/>
        <v>0.4021616244098517</v>
      </c>
      <c r="BA260" s="213">
        <f t="shared" si="639"/>
        <v>0.36271788170721231</v>
      </c>
      <c r="BB260" s="213">
        <f t="shared" si="639"/>
        <v>0.44158942219543573</v>
      </c>
      <c r="BC260" s="213">
        <f t="shared" si="639"/>
        <v>0.41121796957511292</v>
      </c>
      <c r="BD260" s="213">
        <f ca="1">+BD255/BD$250</f>
        <v>0.40004314663011264</v>
      </c>
      <c r="BE260" s="213">
        <f ca="1">+BE255/BE$250</f>
        <v>0.38418819428924827</v>
      </c>
      <c r="BF260" s="213">
        <f>+BF255/BF$250</f>
        <v>0.31802541317705874</v>
      </c>
      <c r="BG260" s="213">
        <f>+BG255/BG$250</f>
        <v>0.30953509467944013</v>
      </c>
      <c r="BH260" s="213">
        <f>+BH255/BH$250</f>
        <v>0.33036976496316672</v>
      </c>
      <c r="BI260" s="213">
        <f>+BI255/BI$250</f>
        <v>0.31975288528860452</v>
      </c>
      <c r="BJ260" s="213">
        <f t="shared" ref="BJ260:BP260" si="640">+BJ255/BJ$250</f>
        <v>0.36269549105461413</v>
      </c>
      <c r="BK260" s="213">
        <f t="shared" si="640"/>
        <v>0.36395425890444316</v>
      </c>
      <c r="BL260" s="213">
        <f t="shared" si="640"/>
        <v>0.37916479771284084</v>
      </c>
      <c r="BM260" s="213">
        <f t="shared" si="640"/>
        <v>0.36518905561060194</v>
      </c>
      <c r="BN260" s="213">
        <f t="shared" si="640"/>
        <v>0.36386663145905135</v>
      </c>
      <c r="BO260" s="213">
        <f t="shared" si="640"/>
        <v>0.37090944044113849</v>
      </c>
      <c r="BP260" s="213">
        <f t="shared" si="640"/>
        <v>0.32323985289229434</v>
      </c>
      <c r="BQ260" s="213">
        <f t="shared" ref="BQ260:CB260" si="641">+BQ255/BQ$250</f>
        <v>0.32518934141143735</v>
      </c>
      <c r="BR260" s="213">
        <f t="shared" si="641"/>
        <v>0.26249989368400312</v>
      </c>
      <c r="BS260" s="213">
        <f t="shared" si="641"/>
        <v>0.23507958953640831</v>
      </c>
      <c r="BT260" s="213">
        <f t="shared" ca="1" si="641"/>
        <v>0.23585079660667563</v>
      </c>
      <c r="BU260" s="213">
        <f t="shared" ca="1" si="641"/>
        <v>0.36449229535820371</v>
      </c>
      <c r="BV260" s="213">
        <f t="shared" ca="1" si="641"/>
        <v>0.36724550390060701</v>
      </c>
      <c r="BW260" s="213">
        <f t="shared" ca="1" si="641"/>
        <v>0.35186388372716576</v>
      </c>
      <c r="BX260" s="213">
        <f t="shared" ca="1" si="641"/>
        <v>0.34906567683370132</v>
      </c>
      <c r="BY260" s="213">
        <f t="shared" ca="1" si="641"/>
        <v>0.34424816959815141</v>
      </c>
      <c r="BZ260" s="213">
        <f t="shared" ca="1" si="641"/>
        <v>0.33915825758070567</v>
      </c>
      <c r="CA260" s="213">
        <f t="shared" ca="1" si="641"/>
        <v>0.33381071375409388</v>
      </c>
      <c r="CB260" s="213">
        <f t="shared" ca="1" si="641"/>
        <v>0.32815630537770207</v>
      </c>
      <c r="CC260" s="213">
        <f t="shared" ca="1" si="630"/>
        <v>0.32240595656695231</v>
      </c>
      <c r="CD260" s="213">
        <f t="shared" ca="1" si="630"/>
        <v>0.31685984014295548</v>
      </c>
      <c r="CE260" s="213">
        <f t="shared" ca="1" si="630"/>
        <v>0.3119765890864975</v>
      </c>
      <c r="CF260" s="213">
        <f t="shared" ca="1" si="630"/>
        <v>0.30841615223118063</v>
      </c>
      <c r="CG260" s="213">
        <f t="shared" ca="1" si="630"/>
        <v>0.30705002127862446</v>
      </c>
      <c r="CH260" s="207"/>
      <c r="CI260" s="106">
        <f t="shared" si="631"/>
        <v>0</v>
      </c>
      <c r="CJ260" s="106">
        <f t="shared" si="631"/>
        <v>0</v>
      </c>
      <c r="CK260" s="106">
        <f t="shared" si="631"/>
        <v>0</v>
      </c>
      <c r="CL260" s="106">
        <f t="shared" ca="1" si="631"/>
        <v>0</v>
      </c>
      <c r="CM260" s="106">
        <f t="shared" ca="1" si="631"/>
        <v>-1.3645650287957278E-3</v>
      </c>
      <c r="CN260" s="106">
        <f t="shared" ca="1" si="631"/>
        <v>-3.6476298972124011E-3</v>
      </c>
      <c r="CO260" s="106">
        <f t="shared" ca="1" si="631"/>
        <v>-2.84197311364498E-3</v>
      </c>
      <c r="CP260" s="106">
        <f t="shared" ca="1" si="631"/>
        <v>-2.0005649868694575E-3</v>
      </c>
      <c r="CQ260" s="106">
        <f t="shared" ca="1" si="631"/>
        <v>-1.1101961060129839E-3</v>
      </c>
      <c r="CR260" s="106">
        <f t="shared" ca="1" si="631"/>
        <v>8.5923614721823416E-3</v>
      </c>
      <c r="CS260" s="106">
        <f t="shared" ca="1" si="632"/>
        <v>8.5748124696647943E-3</v>
      </c>
      <c r="CT260" s="106">
        <f t="shared" ca="1" si="632"/>
        <v>7.4126945562615343E-3</v>
      </c>
      <c r="CU260" s="106">
        <f t="shared" ca="1" si="632"/>
        <v>7.5555467896605277E-3</v>
      </c>
      <c r="CV260" s="106">
        <f t="shared" ca="1" si="632"/>
        <v>7.9820442412834036E-3</v>
      </c>
      <c r="CW260" s="106">
        <f t="shared" ca="1" si="632"/>
        <v>8.6115485085773713E-3</v>
      </c>
      <c r="CX260" s="106">
        <f t="shared" ca="1" si="632"/>
        <v>9.396208366295733E-3</v>
      </c>
      <c r="CY260" s="106">
        <f t="shared" ca="1" si="632"/>
        <v>1.0262853087299739E-2</v>
      </c>
      <c r="CZ260" s="134"/>
      <c r="DA260" s="208">
        <v>0.32518934141143735</v>
      </c>
      <c r="DB260" s="208">
        <v>0.26249989368400312</v>
      </c>
      <c r="DC260" s="208">
        <v>0.23507958953640831</v>
      </c>
      <c r="DD260" s="208">
        <v>0.23585079660667563</v>
      </c>
      <c r="DE260" s="135">
        <v>0.36585686038699944</v>
      </c>
      <c r="DF260" s="135">
        <v>0.37089313379781941</v>
      </c>
      <c r="DG260" s="135">
        <v>0.35470585684081074</v>
      </c>
      <c r="DH260" s="135">
        <v>0.35106624182057078</v>
      </c>
      <c r="DI260" s="135">
        <v>0.34535836570416439</v>
      </c>
      <c r="DJ260" s="135">
        <v>0.33056589610852333</v>
      </c>
      <c r="DK260" s="135">
        <v>0.32523590128442909</v>
      </c>
      <c r="DL260" s="135">
        <v>0.32074361082144054</v>
      </c>
      <c r="DM260" s="135">
        <v>0.31485040977729178</v>
      </c>
      <c r="DN260" s="135">
        <v>0.30887779590167208</v>
      </c>
      <c r="DO260" s="135">
        <v>0.30336504057792013</v>
      </c>
      <c r="DP260" s="135">
        <v>0.2990199438648849</v>
      </c>
      <c r="DQ260" s="135">
        <v>0.29678716819132472</v>
      </c>
    </row>
    <row r="261" spans="1:121" s="123" customFormat="1">
      <c r="A261" s="107"/>
      <c r="B261" s="107"/>
      <c r="C261" s="136"/>
      <c r="D261" s="147"/>
      <c r="E261" s="107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P261" s="213"/>
      <c r="BQ261" s="213"/>
      <c r="BR261" s="213"/>
      <c r="BS261" s="213"/>
      <c r="BT261" s="213"/>
      <c r="BU261" s="213"/>
      <c r="BV261" s="213"/>
      <c r="BW261" s="213"/>
      <c r="BX261" s="213"/>
      <c r="BY261" s="213"/>
      <c r="BZ261" s="213"/>
      <c r="CA261" s="213"/>
      <c r="CB261" s="213"/>
      <c r="CC261" s="213"/>
      <c r="CD261" s="213"/>
      <c r="CE261" s="213"/>
      <c r="CF261" s="213"/>
      <c r="CG261" s="213"/>
      <c r="CH261" s="207"/>
      <c r="CI261" s="106"/>
      <c r="CJ261" s="106"/>
      <c r="CK261" s="106"/>
      <c r="CL261" s="106"/>
      <c r="CM261" s="106"/>
      <c r="CN261" s="106"/>
      <c r="CO261" s="106"/>
      <c r="CP261" s="106"/>
      <c r="CQ261" s="106"/>
      <c r="CR261" s="106"/>
      <c r="CS261" s="106"/>
      <c r="CT261" s="106"/>
      <c r="CU261" s="106"/>
      <c r="CV261" s="106"/>
      <c r="CW261" s="106"/>
      <c r="CX261" s="106"/>
      <c r="CY261" s="106"/>
      <c r="CZ261" s="134"/>
      <c r="DA261" s="208"/>
      <c r="DB261" s="208"/>
      <c r="DC261" s="208"/>
      <c r="DD261" s="208"/>
      <c r="DE261" s="135"/>
      <c r="DF261" s="135"/>
      <c r="DG261" s="135"/>
      <c r="DH261" s="135"/>
      <c r="DI261" s="135"/>
      <c r="DJ261" s="135"/>
      <c r="DK261" s="135"/>
      <c r="DL261" s="135"/>
      <c r="DM261" s="135"/>
      <c r="DN261" s="135"/>
      <c r="DO261" s="135"/>
      <c r="DP261" s="135"/>
      <c r="DQ261" s="135"/>
    </row>
    <row r="262" spans="1:121" s="123" customFormat="1">
      <c r="A262" s="107" t="s">
        <v>506</v>
      </c>
      <c r="B262" s="107"/>
      <c r="C262" s="136" t="s">
        <v>3138</v>
      </c>
      <c r="D262" s="147"/>
      <c r="E262" s="107"/>
      <c r="F262" s="213">
        <f t="shared" ref="F262:AK262" si="642">F83/(F8+F12+F15+F91)</f>
        <v>7.8184505344289251E-2</v>
      </c>
      <c r="G262" s="213">
        <f t="shared" si="642"/>
        <v>7.3209944204344859E-2</v>
      </c>
      <c r="H262" s="213">
        <f t="shared" si="642"/>
        <v>7.3813751105717612E-2</v>
      </c>
      <c r="I262" s="213">
        <f t="shared" si="642"/>
        <v>7.9296541076106064E-2</v>
      </c>
      <c r="J262" s="213">
        <f t="shared" si="642"/>
        <v>8.0090545384935707E-2</v>
      </c>
      <c r="K262" s="213">
        <f t="shared" si="642"/>
        <v>7.6062199836524069E-2</v>
      </c>
      <c r="L262" s="213">
        <f t="shared" si="642"/>
        <v>8.1207987487050368E-2</v>
      </c>
      <c r="M262" s="213">
        <f t="shared" si="642"/>
        <v>7.8775135354316558E-2</v>
      </c>
      <c r="N262" s="213">
        <f t="shared" si="642"/>
        <v>7.6378806393368595E-2</v>
      </c>
      <c r="O262" s="213">
        <f t="shared" si="642"/>
        <v>7.4859677493955071E-2</v>
      </c>
      <c r="P262" s="213">
        <f t="shared" si="642"/>
        <v>7.3150907699886525E-2</v>
      </c>
      <c r="Q262" s="213">
        <f t="shared" si="642"/>
        <v>7.1127897052881625E-2</v>
      </c>
      <c r="R262" s="213">
        <f t="shared" si="642"/>
        <v>6.8147158180513284E-2</v>
      </c>
      <c r="S262" s="213">
        <f t="shared" si="642"/>
        <v>6.509679891352009E-2</v>
      </c>
      <c r="T262" s="213">
        <f t="shared" si="642"/>
        <v>6.562671506089568E-2</v>
      </c>
      <c r="U262" s="213">
        <f t="shared" si="642"/>
        <v>6.7348574682728451E-2</v>
      </c>
      <c r="V262" s="213">
        <f t="shared" si="642"/>
        <v>6.969249800632267E-2</v>
      </c>
      <c r="W262" s="213">
        <f t="shared" si="642"/>
        <v>6.8444945308453173E-2</v>
      </c>
      <c r="X262" s="213">
        <f t="shared" si="642"/>
        <v>7.0926647148324626E-2</v>
      </c>
      <c r="Y262" s="213">
        <f t="shared" si="642"/>
        <v>7.4479122317035309E-2</v>
      </c>
      <c r="Z262" s="213">
        <f t="shared" si="642"/>
        <v>7.9871807438027964E-2</v>
      </c>
      <c r="AA262" s="213">
        <f t="shared" si="642"/>
        <v>0.13943876113073783</v>
      </c>
      <c r="AB262" s="213">
        <f t="shared" si="642"/>
        <v>0.11321021096346373</v>
      </c>
      <c r="AC262" s="213">
        <f t="shared" si="642"/>
        <v>9.8177420972468149E-2</v>
      </c>
      <c r="AD262" s="213">
        <f t="shared" si="642"/>
        <v>0.10900113024675659</v>
      </c>
      <c r="AE262" s="213">
        <f t="shared" si="642"/>
        <v>9.783112218933887E-2</v>
      </c>
      <c r="AF262" s="213">
        <f t="shared" si="642"/>
        <v>9.5385736836518173E-2</v>
      </c>
      <c r="AG262" s="213">
        <f t="shared" si="642"/>
        <v>9.6512688226564544E-2</v>
      </c>
      <c r="AH262" s="213">
        <f t="shared" si="642"/>
        <v>9.1543356450891872E-2</v>
      </c>
      <c r="AI262" s="213">
        <f t="shared" si="642"/>
        <v>9.446581042314442E-2</v>
      </c>
      <c r="AJ262" s="213">
        <f t="shared" si="642"/>
        <v>9.241287164400494E-2</v>
      </c>
      <c r="AK262" s="213">
        <f t="shared" si="642"/>
        <v>8.2013016736358899E-2</v>
      </c>
      <c r="AL262" s="213">
        <f t="shared" ref="AL262:BQ262" si="643">AL83/(AL8+AL12+AL15+AL91)</f>
        <v>6.8784827483749728E-2</v>
      </c>
      <c r="AM262" s="213">
        <f t="shared" si="643"/>
        <v>5.1833920243148666E-2</v>
      </c>
      <c r="AN262" s="213">
        <f t="shared" si="643"/>
        <v>5.4136780618531187E-2</v>
      </c>
      <c r="AO262" s="213">
        <f t="shared" si="643"/>
        <v>4.7821322900333627E-2</v>
      </c>
      <c r="AP262" s="213">
        <f t="shared" si="643"/>
        <v>5.1737160734271023E-2</v>
      </c>
      <c r="AQ262" s="213">
        <f t="shared" si="643"/>
        <v>4.6785179922850972E-2</v>
      </c>
      <c r="AR262" s="213">
        <f t="shared" si="643"/>
        <v>4.0961479094670045E-2</v>
      </c>
      <c r="AS262" s="213">
        <f t="shared" si="643"/>
        <v>1.1930232669452383E-2</v>
      </c>
      <c r="AT262" s="213">
        <f t="shared" si="643"/>
        <v>2.4226939680554643E-2</v>
      </c>
      <c r="AU262" s="213">
        <f t="shared" si="643"/>
        <v>4.4970965692547694E-2</v>
      </c>
      <c r="AV262" s="213">
        <f t="shared" si="643"/>
        <v>6.8134566267768579E-2</v>
      </c>
      <c r="AW262" s="213">
        <f t="shared" si="643"/>
        <v>5.309240713059666E-2</v>
      </c>
      <c r="AX262" s="213">
        <f t="shared" si="643"/>
        <v>9.2612080259567936E-2</v>
      </c>
      <c r="AY262" s="213">
        <f t="shared" si="643"/>
        <v>8.5442498968540379E-2</v>
      </c>
      <c r="AZ262" s="213">
        <f t="shared" si="643"/>
        <v>7.1249072726959073E-2</v>
      </c>
      <c r="BA262" s="213">
        <f t="shared" si="643"/>
        <v>9.8584084700436045E-2</v>
      </c>
      <c r="BB262" s="213">
        <f t="shared" si="643"/>
        <v>9.2711382024854974E-2</v>
      </c>
      <c r="BC262" s="213">
        <f t="shared" si="643"/>
        <v>7.9834970400101568E-2</v>
      </c>
      <c r="BD262" s="213">
        <f t="shared" ca="1" si="643"/>
        <v>6.6104870285800713E-2</v>
      </c>
      <c r="BE262" s="213">
        <f t="shared" ca="1" si="643"/>
        <v>5.7479921391093765E-2</v>
      </c>
      <c r="BF262" s="213">
        <f t="shared" si="643"/>
        <v>6.102262703549164E-2</v>
      </c>
      <c r="BG262" s="213">
        <f t="shared" si="643"/>
        <v>6.3406634991380398E-2</v>
      </c>
      <c r="BH262" s="213">
        <f t="shared" si="643"/>
        <v>5.8915935662352467E-2</v>
      </c>
      <c r="BI262" s="213">
        <f t="shared" si="643"/>
        <v>5.8751422224630229E-2</v>
      </c>
      <c r="BJ262" s="213">
        <f t="shared" si="643"/>
        <v>5.7272807559833959E-2</v>
      </c>
      <c r="BK262" s="213">
        <f t="shared" si="643"/>
        <v>6.7017777270311121E-2</v>
      </c>
      <c r="BL262" s="213">
        <f t="shared" si="643"/>
        <v>6.3346629888833619E-2</v>
      </c>
      <c r="BM262" s="213">
        <f t="shared" si="643"/>
        <v>6.1713366410115551E-2</v>
      </c>
      <c r="BN262" s="213">
        <f t="shared" si="643"/>
        <v>5.8848632911917595E-2</v>
      </c>
      <c r="BO262" s="213">
        <f t="shared" si="643"/>
        <v>7.0434222879361616E-2</v>
      </c>
      <c r="BP262" s="213">
        <f t="shared" si="643"/>
        <v>4.5529501782655329E-2</v>
      </c>
      <c r="BQ262" s="213">
        <f t="shared" si="643"/>
        <v>4.2491583003319684E-2</v>
      </c>
      <c r="BR262" s="213">
        <f t="shared" ref="BR262:CC262" si="644">BR83/(BR8+BR12+BR15+BR91)</f>
        <v>4.9016685642018824E-2</v>
      </c>
      <c r="BS262" s="213">
        <f t="shared" si="644"/>
        <v>5.4683462399992194E-2</v>
      </c>
      <c r="BT262" s="213">
        <f t="shared" ca="1" si="644"/>
        <v>2.8154703542059671E-2</v>
      </c>
      <c r="BU262" s="213">
        <f t="shared" ca="1" si="644"/>
        <v>4.2922886811597463E-2</v>
      </c>
      <c r="BV262" s="213">
        <f t="shared" ca="1" si="644"/>
        <v>4.4210686582168403E-2</v>
      </c>
      <c r="BW262" s="213">
        <f t="shared" ca="1" si="644"/>
        <v>4.4210686582168403E-2</v>
      </c>
      <c r="BX262" s="213">
        <f t="shared" ca="1" si="644"/>
        <v>4.4210686582168403E-2</v>
      </c>
      <c r="BY262" s="213">
        <f t="shared" ca="1" si="644"/>
        <v>4.4210686582168417E-2</v>
      </c>
      <c r="BZ262" s="213">
        <f t="shared" ca="1" si="644"/>
        <v>4.4210686582168403E-2</v>
      </c>
      <c r="CA262" s="213">
        <f t="shared" ca="1" si="644"/>
        <v>4.4210686582168403E-2</v>
      </c>
      <c r="CB262" s="213">
        <f t="shared" ca="1" si="644"/>
        <v>4.421068658216841E-2</v>
      </c>
      <c r="CC262" s="213">
        <f t="shared" ca="1" si="644"/>
        <v>4.421068658216841E-2</v>
      </c>
      <c r="CD262" s="213">
        <f ca="1">CD83/(CD8+CD12+CD15+CD91)</f>
        <v>4.421068658216841E-2</v>
      </c>
      <c r="CE262" s="213">
        <f ca="1">CE83/(CE8+CE12+CE15+CE91)</f>
        <v>4.421068658216841E-2</v>
      </c>
      <c r="CF262" s="213">
        <f ca="1">CF83/(CF8+CF12+CF15+CF91)</f>
        <v>4.421068658216841E-2</v>
      </c>
      <c r="CG262" s="213">
        <f ca="1">CG83/(CG8+CG12+CG15+CG91)</f>
        <v>4.4210686582168403E-2</v>
      </c>
      <c r="CH262" s="207"/>
      <c r="CI262" s="213">
        <f t="shared" ref="CI262:CU262" si="645">BQ262-DA262</f>
        <v>0</v>
      </c>
      <c r="CJ262" s="213">
        <f t="shared" si="645"/>
        <v>0</v>
      </c>
      <c r="CK262" s="213">
        <f t="shared" si="645"/>
        <v>0</v>
      </c>
      <c r="CL262" s="213">
        <f t="shared" ca="1" si="645"/>
        <v>0</v>
      </c>
      <c r="CM262" s="213">
        <f t="shared" ca="1" si="645"/>
        <v>0</v>
      </c>
      <c r="CN262" s="213">
        <f t="shared" ca="1" si="645"/>
        <v>0</v>
      </c>
      <c r="CO262" s="213">
        <f t="shared" ca="1" si="645"/>
        <v>0</v>
      </c>
      <c r="CP262" s="213">
        <f t="shared" ca="1" si="645"/>
        <v>0</v>
      </c>
      <c r="CQ262" s="213">
        <f t="shared" ca="1" si="645"/>
        <v>0</v>
      </c>
      <c r="CR262" s="213">
        <f t="shared" ca="1" si="645"/>
        <v>0</v>
      </c>
      <c r="CS262" s="213">
        <f t="shared" ca="1" si="645"/>
        <v>0</v>
      </c>
      <c r="CT262" s="213">
        <f t="shared" ca="1" si="645"/>
        <v>0</v>
      </c>
      <c r="CU262" s="213">
        <f t="shared" ca="1" si="645"/>
        <v>0</v>
      </c>
      <c r="CV262" s="213">
        <f t="shared" ref="CV262:CY264" ca="1" si="646">CD262-DN262</f>
        <v>0</v>
      </c>
      <c r="CW262" s="213">
        <f t="shared" ca="1" si="646"/>
        <v>0</v>
      </c>
      <c r="CX262" s="213">
        <f t="shared" ca="1" si="646"/>
        <v>0</v>
      </c>
      <c r="CY262" s="213">
        <f t="shared" ca="1" si="646"/>
        <v>0</v>
      </c>
      <c r="CZ262" s="134"/>
      <c r="DA262" s="208">
        <v>4.2491583003319684E-2</v>
      </c>
      <c r="DB262" s="208">
        <v>4.9016685642018824E-2</v>
      </c>
      <c r="DC262" s="208">
        <v>5.4683462399992194E-2</v>
      </c>
      <c r="DD262" s="208">
        <v>2.8154703542059671E-2</v>
      </c>
      <c r="DE262" s="135">
        <v>4.2922886811597463E-2</v>
      </c>
      <c r="DF262" s="135">
        <v>4.4210686582168403E-2</v>
      </c>
      <c r="DG262" s="135">
        <v>4.4210686582168403E-2</v>
      </c>
      <c r="DH262" s="135">
        <v>4.4210686582168403E-2</v>
      </c>
      <c r="DI262" s="135">
        <v>4.4210686582168403E-2</v>
      </c>
      <c r="DJ262" s="135">
        <v>4.4210686582168403E-2</v>
      </c>
      <c r="DK262" s="135">
        <v>4.4210686582168403E-2</v>
      </c>
      <c r="DL262" s="135">
        <v>4.4210686582168396E-2</v>
      </c>
      <c r="DM262" s="135">
        <v>4.4210686582168396E-2</v>
      </c>
      <c r="DN262" s="135">
        <v>4.4210686582168396E-2</v>
      </c>
      <c r="DO262" s="135">
        <v>4.4210686582168396E-2</v>
      </c>
      <c r="DP262" s="135">
        <v>4.4210686582168396E-2</v>
      </c>
      <c r="DQ262" s="135">
        <v>4.4210686582168396E-2</v>
      </c>
    </row>
    <row r="263" spans="1:121" s="123" customFormat="1">
      <c r="A263" s="107" t="s">
        <v>3080</v>
      </c>
      <c r="B263" s="107"/>
      <c r="C263" s="136" t="s">
        <v>1349</v>
      </c>
      <c r="D263" s="147"/>
      <c r="E263" s="107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  <c r="BI263" s="213"/>
      <c r="BJ263" s="213">
        <f t="shared" ref="BJ263:BQ263" si="647">BI263</f>
        <v>0</v>
      </c>
      <c r="BK263" s="213">
        <f t="shared" si="647"/>
        <v>0</v>
      </c>
      <c r="BL263" s="213">
        <f t="shared" si="647"/>
        <v>0</v>
      </c>
      <c r="BM263" s="213">
        <f t="shared" si="647"/>
        <v>0</v>
      </c>
      <c r="BN263" s="213">
        <f t="shared" si="647"/>
        <v>0</v>
      </c>
      <c r="BO263" s="213">
        <f t="shared" si="647"/>
        <v>0</v>
      </c>
      <c r="BP263" s="213">
        <f t="shared" si="647"/>
        <v>0</v>
      </c>
      <c r="BQ263" s="213">
        <f t="shared" si="647"/>
        <v>0</v>
      </c>
      <c r="BR263" s="213">
        <f t="shared" ref="BR263:BZ263" si="648">BQ263</f>
        <v>0</v>
      </c>
      <c r="BS263" s="213">
        <f t="shared" si="648"/>
        <v>0</v>
      </c>
      <c r="BT263" s="213">
        <f t="shared" si="648"/>
        <v>0</v>
      </c>
      <c r="BU263" s="213">
        <f t="shared" si="648"/>
        <v>0</v>
      </c>
      <c r="BV263" s="213">
        <f t="shared" si="648"/>
        <v>0</v>
      </c>
      <c r="BW263" s="213">
        <f t="shared" si="648"/>
        <v>0</v>
      </c>
      <c r="BX263" s="213">
        <f t="shared" si="648"/>
        <v>0</v>
      </c>
      <c r="BY263" s="213">
        <f t="shared" si="648"/>
        <v>0</v>
      </c>
      <c r="BZ263" s="213">
        <f t="shared" si="648"/>
        <v>0</v>
      </c>
      <c r="CA263" s="213">
        <f t="shared" ref="CA263:CG263" si="649">BZ263</f>
        <v>0</v>
      </c>
      <c r="CB263" s="213">
        <f t="shared" si="649"/>
        <v>0</v>
      </c>
      <c r="CC263" s="213">
        <f t="shared" si="649"/>
        <v>0</v>
      </c>
      <c r="CD263" s="213">
        <f t="shared" si="649"/>
        <v>0</v>
      </c>
      <c r="CE263" s="213">
        <f t="shared" si="649"/>
        <v>0</v>
      </c>
      <c r="CF263" s="213">
        <f t="shared" si="649"/>
        <v>0</v>
      </c>
      <c r="CG263" s="213">
        <f t="shared" si="649"/>
        <v>0</v>
      </c>
      <c r="CH263" s="207"/>
      <c r="CI263" s="106">
        <f t="shared" ref="CI263:CR264" si="650">BQ263-DA263</f>
        <v>0</v>
      </c>
      <c r="CJ263" s="106">
        <f t="shared" si="650"/>
        <v>0</v>
      </c>
      <c r="CK263" s="106">
        <f t="shared" si="650"/>
        <v>0</v>
      </c>
      <c r="CL263" s="106">
        <f t="shared" si="650"/>
        <v>0</v>
      </c>
      <c r="CM263" s="106">
        <f t="shared" si="650"/>
        <v>0</v>
      </c>
      <c r="CN263" s="106">
        <f t="shared" si="650"/>
        <v>0</v>
      </c>
      <c r="CO263" s="106">
        <f t="shared" si="650"/>
        <v>0</v>
      </c>
      <c r="CP263" s="106">
        <f t="shared" si="650"/>
        <v>0</v>
      </c>
      <c r="CQ263" s="106">
        <f t="shared" si="650"/>
        <v>0</v>
      </c>
      <c r="CR263" s="106">
        <f t="shared" si="650"/>
        <v>0</v>
      </c>
      <c r="CS263" s="106">
        <f>CA263-DK263</f>
        <v>0</v>
      </c>
      <c r="CT263" s="106">
        <f>CB263-DL263</f>
        <v>0</v>
      </c>
      <c r="CU263" s="106">
        <f>CC263-DM263</f>
        <v>0</v>
      </c>
      <c r="CV263" s="106">
        <f t="shared" si="646"/>
        <v>0</v>
      </c>
      <c r="CW263" s="106">
        <f t="shared" si="646"/>
        <v>0</v>
      </c>
      <c r="CX263" s="106">
        <f t="shared" si="646"/>
        <v>0</v>
      </c>
      <c r="CY263" s="106">
        <f t="shared" si="646"/>
        <v>0</v>
      </c>
      <c r="CZ263" s="134"/>
      <c r="DA263" s="208">
        <v>0</v>
      </c>
      <c r="DB263" s="208">
        <v>0</v>
      </c>
      <c r="DC263" s="208">
        <v>0</v>
      </c>
      <c r="DD263" s="208">
        <v>0</v>
      </c>
      <c r="DE263" s="135">
        <v>0</v>
      </c>
      <c r="DF263" s="135">
        <v>0</v>
      </c>
      <c r="DG263" s="135">
        <v>0</v>
      </c>
      <c r="DH263" s="135">
        <v>0</v>
      </c>
      <c r="DI263" s="135">
        <v>0</v>
      </c>
      <c r="DJ263" s="135">
        <v>0</v>
      </c>
      <c r="DK263" s="135">
        <v>0</v>
      </c>
      <c r="DL263" s="135">
        <v>0</v>
      </c>
      <c r="DM263" s="135">
        <v>0</v>
      </c>
      <c r="DN263" s="135">
        <v>0</v>
      </c>
      <c r="DO263" s="135">
        <v>0</v>
      </c>
      <c r="DP263" s="135">
        <v>0</v>
      </c>
      <c r="DQ263" s="135">
        <v>0</v>
      </c>
    </row>
    <row r="264" spans="1:121" s="123" customFormat="1">
      <c r="A264" s="107" t="s">
        <v>3066</v>
      </c>
      <c r="B264" s="107"/>
      <c r="C264" s="136" t="s">
        <v>1349</v>
      </c>
      <c r="D264" s="147"/>
      <c r="E264" s="107"/>
      <c r="F264" s="106">
        <f t="shared" ref="F264:BD264" si="651">F92/F80*100</f>
        <v>23.648648648648649</v>
      </c>
      <c r="G264" s="106">
        <f t="shared" si="651"/>
        <v>26.045016077170413</v>
      </c>
      <c r="H264" s="106">
        <f t="shared" si="651"/>
        <v>24.025623569565266</v>
      </c>
      <c r="I264" s="106">
        <f t="shared" si="651"/>
        <v>24.477230656678152</v>
      </c>
      <c r="J264" s="106">
        <f t="shared" si="651"/>
        <v>23.890844206724324</v>
      </c>
      <c r="K264" s="106">
        <f t="shared" si="651"/>
        <v>23.577595024991581</v>
      </c>
      <c r="L264" s="106">
        <f t="shared" si="651"/>
        <v>25.448731455371398</v>
      </c>
      <c r="M264" s="106">
        <f t="shared" si="651"/>
        <v>29.982621105849837</v>
      </c>
      <c r="N264" s="106">
        <f t="shared" si="651"/>
        <v>25.573105711801109</v>
      </c>
      <c r="O264" s="106">
        <f t="shared" si="651"/>
        <v>28.136820790024224</v>
      </c>
      <c r="P264" s="106">
        <f t="shared" si="651"/>
        <v>24.191994873093915</v>
      </c>
      <c r="Q264" s="106">
        <f t="shared" si="651"/>
        <v>28.686935502476047</v>
      </c>
      <c r="R264" s="106">
        <f t="shared" si="651"/>
        <v>24.161946130702212</v>
      </c>
      <c r="S264" s="106">
        <f t="shared" si="651"/>
        <v>20.836579721178218</v>
      </c>
      <c r="T264" s="106">
        <f t="shared" si="651"/>
        <v>22.470338281487663</v>
      </c>
      <c r="U264" s="106">
        <f t="shared" si="651"/>
        <v>23.43755470937479</v>
      </c>
      <c r="V264" s="106">
        <f t="shared" si="651"/>
        <v>24.389984363833921</v>
      </c>
      <c r="W264" s="106">
        <f t="shared" si="651"/>
        <v>20.845071822344892</v>
      </c>
      <c r="X264" s="106">
        <f t="shared" si="651"/>
        <v>23.831249029393479</v>
      </c>
      <c r="Y264" s="106">
        <f t="shared" si="651"/>
        <v>25.010061318576465</v>
      </c>
      <c r="Z264" s="106">
        <f t="shared" si="651"/>
        <v>27.135756625328423</v>
      </c>
      <c r="AA264" s="106">
        <f t="shared" si="651"/>
        <v>16.226287764043061</v>
      </c>
      <c r="AB264" s="106">
        <f t="shared" si="651"/>
        <v>14.507236368781118</v>
      </c>
      <c r="AC264" s="106">
        <f t="shared" si="651"/>
        <v>18.659251820067283</v>
      </c>
      <c r="AD264" s="106">
        <f t="shared" si="651"/>
        <v>15.073892096794619</v>
      </c>
      <c r="AE264" s="106">
        <f t="shared" si="651"/>
        <v>14.098116972881741</v>
      </c>
      <c r="AF264" s="106">
        <f t="shared" si="651"/>
        <v>13.032086012954332</v>
      </c>
      <c r="AG264" s="106">
        <f t="shared" si="651"/>
        <v>13.158911629802617</v>
      </c>
      <c r="AH264" s="106">
        <f t="shared" si="651"/>
        <v>12.193466896159791</v>
      </c>
      <c r="AI264" s="106">
        <f t="shared" si="651"/>
        <v>13.746219987005997</v>
      </c>
      <c r="AJ264" s="106">
        <f t="shared" si="651"/>
        <v>15.685524098670465</v>
      </c>
      <c r="AK264" s="106">
        <f t="shared" si="651"/>
        <v>14.704621324571212</v>
      </c>
      <c r="AL264" s="106">
        <f t="shared" si="651"/>
        <v>13.140505708995844</v>
      </c>
      <c r="AM264" s="106">
        <f t="shared" si="651"/>
        <v>11.008162044498949</v>
      </c>
      <c r="AN264" s="106">
        <f t="shared" si="651"/>
        <v>14.202334253462329</v>
      </c>
      <c r="AO264" s="106">
        <f t="shared" si="651"/>
        <v>12.176740162281051</v>
      </c>
      <c r="AP264" s="106">
        <f t="shared" si="651"/>
        <v>15.868233840679686</v>
      </c>
      <c r="AQ264" s="106">
        <f t="shared" si="651"/>
        <v>23.747839209681885</v>
      </c>
      <c r="AR264" s="106">
        <f t="shared" si="651"/>
        <v>22.600587319669209</v>
      </c>
      <c r="AS264" s="106">
        <f t="shared" si="651"/>
        <v>32.219474704270532</v>
      </c>
      <c r="AT264" s="106">
        <f t="shared" si="651"/>
        <v>24.98017803726529</v>
      </c>
      <c r="AU264" s="106">
        <f t="shared" si="651"/>
        <v>18.180037238686953</v>
      </c>
      <c r="AV264" s="106">
        <f t="shared" si="651"/>
        <v>19.918069778260435</v>
      </c>
      <c r="AW264" s="106">
        <f t="shared" si="651"/>
        <v>17.606964542090818</v>
      </c>
      <c r="AX264" s="106">
        <f t="shared" si="651"/>
        <v>16.889335140277932</v>
      </c>
      <c r="AY264" s="106">
        <f t="shared" si="651"/>
        <v>14.866029486709445</v>
      </c>
      <c r="AZ264" s="106">
        <f t="shared" si="651"/>
        <v>17.187707494289768</v>
      </c>
      <c r="BA264" s="106">
        <f t="shared" si="651"/>
        <v>21.264034899835011</v>
      </c>
      <c r="BB264" s="106">
        <f t="shared" si="651"/>
        <v>21.094054723393096</v>
      </c>
      <c r="BC264" s="106">
        <f t="shared" si="651"/>
        <v>15.805017457887951</v>
      </c>
      <c r="BD264" s="106">
        <f t="shared" si="651"/>
        <v>18.596969201371806</v>
      </c>
      <c r="BE264" s="106">
        <f ca="1">BE92/BE80*100</f>
        <v>17.993975047806035</v>
      </c>
      <c r="BF264" s="106">
        <f t="shared" ref="BF264:BP264" si="652">BF92/BF80*100</f>
        <v>21.426311459849398</v>
      </c>
      <c r="BG264" s="106">
        <f t="shared" si="652"/>
        <v>20.140888523241461</v>
      </c>
      <c r="BH264" s="106">
        <f t="shared" si="652"/>
        <v>20.63281546040167</v>
      </c>
      <c r="BI264" s="106">
        <f t="shared" si="652"/>
        <v>19.296688025939936</v>
      </c>
      <c r="BJ264" s="107">
        <f t="shared" si="652"/>
        <v>21.782661782661787</v>
      </c>
      <c r="BK264" s="107">
        <f t="shared" si="652"/>
        <v>22.898220390987987</v>
      </c>
      <c r="BL264" s="107">
        <f t="shared" si="652"/>
        <v>24.316064107342527</v>
      </c>
      <c r="BM264" s="107">
        <f t="shared" si="652"/>
        <v>37.931469838143578</v>
      </c>
      <c r="BN264" s="107">
        <f t="shared" si="652"/>
        <v>36.673864939081291</v>
      </c>
      <c r="BO264" s="107">
        <f t="shared" si="652"/>
        <v>40.747933033218587</v>
      </c>
      <c r="BP264" s="107">
        <f t="shared" si="652"/>
        <v>50.298380221653879</v>
      </c>
      <c r="BQ264" s="107">
        <f t="shared" ref="BQ264:CB264" si="653">BQ92/BQ80*100</f>
        <v>47.008212749315604</v>
      </c>
      <c r="BR264" s="107">
        <f t="shared" si="653"/>
        <v>58.643216080402006</v>
      </c>
      <c r="BS264" s="107">
        <f t="shared" si="653"/>
        <v>61.107644305772233</v>
      </c>
      <c r="BT264" s="107">
        <f t="shared" si="653"/>
        <v>64.780292942743017</v>
      </c>
      <c r="BU264" s="107">
        <f t="shared" ca="1" si="653"/>
        <v>28.970395144952647</v>
      </c>
      <c r="BV264" s="107">
        <f t="shared" ca="1" si="653"/>
        <v>29.01913993657821</v>
      </c>
      <c r="BW264" s="107">
        <f t="shared" ca="1" si="653"/>
        <v>38.229794463579097</v>
      </c>
      <c r="BX264" s="107">
        <f t="shared" ca="1" si="653"/>
        <v>39.930318827841504</v>
      </c>
      <c r="BY264" s="107">
        <f t="shared" ca="1" si="653"/>
        <v>41.57528479855042</v>
      </c>
      <c r="BZ264" s="107">
        <f t="shared" ca="1" si="653"/>
        <v>43.387759874741292</v>
      </c>
      <c r="CA264" s="107">
        <f t="shared" ca="1" si="653"/>
        <v>45.339221386197082</v>
      </c>
      <c r="CB264" s="107">
        <f t="shared" ca="1" si="653"/>
        <v>47.456752803054499</v>
      </c>
      <c r="CC264" s="107">
        <f ca="1">CC92/CC80*100</f>
        <v>49.717856700383905</v>
      </c>
      <c r="CD264" s="107">
        <f ca="1">CD92/CD80*100</f>
        <v>52.084300838141864</v>
      </c>
      <c r="CE264" s="107">
        <f ca="1">CE92/CE80*100</f>
        <v>54.487372393692311</v>
      </c>
      <c r="CF264" s="107">
        <f ca="1">CF92/CF80*100</f>
        <v>56.816976621962723</v>
      </c>
      <c r="CG264" s="107">
        <f ca="1">CG92/CG80*100</f>
        <v>58.916367992613559</v>
      </c>
      <c r="CH264" s="141"/>
      <c r="CI264" s="106">
        <f t="shared" si="650"/>
        <v>0</v>
      </c>
      <c r="CJ264" s="106">
        <f t="shared" ref="CJ264:CU264" si="654">BR264-DB264</f>
        <v>0</v>
      </c>
      <c r="CK264" s="106">
        <f t="shared" si="654"/>
        <v>0</v>
      </c>
      <c r="CL264" s="106">
        <f t="shared" si="654"/>
        <v>0</v>
      </c>
      <c r="CM264" s="106">
        <f t="shared" ca="1" si="654"/>
        <v>-0.50405181486022599</v>
      </c>
      <c r="CN264" s="106">
        <f t="shared" ca="1" si="654"/>
        <v>-0.10264444399189898</v>
      </c>
      <c r="CO264" s="106">
        <f t="shared" ca="1" si="654"/>
        <v>-4.3194943629117688E-2</v>
      </c>
      <c r="CP264" s="106">
        <f t="shared" ca="1" si="654"/>
        <v>-0.37942567525264792</v>
      </c>
      <c r="CQ264" s="106">
        <f t="shared" ca="1" si="654"/>
        <v>-0.74068599535227264</v>
      </c>
      <c r="CR264" s="106">
        <f t="shared" ca="1" si="654"/>
        <v>-2.559402434349991</v>
      </c>
      <c r="CS264" s="106">
        <f t="shared" ca="1" si="654"/>
        <v>-2.83062843990907</v>
      </c>
      <c r="CT264" s="106">
        <f t="shared" ca="1" si="654"/>
        <v>-2.7482750506880365</v>
      </c>
      <c r="CU264" s="106">
        <f t="shared" ca="1" si="654"/>
        <v>-2.9373835118438549</v>
      </c>
      <c r="CV264" s="106">
        <f t="shared" ca="1" si="646"/>
        <v>-3.1840728356794727</v>
      </c>
      <c r="CW264" s="106">
        <f t="shared" ca="1" si="646"/>
        <v>-3.4495934694628687</v>
      </c>
      <c r="CX264" s="106">
        <f t="shared" ca="1" si="646"/>
        <v>-3.7050033152473105</v>
      </c>
      <c r="CY264" s="106">
        <f t="shared" ca="1" si="646"/>
        <v>-3.9150209813055312</v>
      </c>
      <c r="CZ264" s="134"/>
      <c r="DA264" s="208">
        <v>47.008212749315604</v>
      </c>
      <c r="DB264" s="208">
        <v>58.643216080402006</v>
      </c>
      <c r="DC264" s="208">
        <v>61.107644305772233</v>
      </c>
      <c r="DD264" s="208">
        <v>64.780292942743017</v>
      </c>
      <c r="DE264" s="135">
        <v>29.474446959812873</v>
      </c>
      <c r="DF264" s="135">
        <v>29.121784380570109</v>
      </c>
      <c r="DG264" s="135">
        <v>38.272989407208215</v>
      </c>
      <c r="DH264" s="135">
        <v>40.309744503094151</v>
      </c>
      <c r="DI264" s="135">
        <v>42.315970793902693</v>
      </c>
      <c r="DJ264" s="135">
        <v>45.947162309091283</v>
      </c>
      <c r="DK264" s="135">
        <v>48.169849826106152</v>
      </c>
      <c r="DL264" s="135">
        <v>50.205027853742536</v>
      </c>
      <c r="DM264" s="135">
        <v>52.65524021222776</v>
      </c>
      <c r="DN264" s="135">
        <v>55.268373673821337</v>
      </c>
      <c r="DO264" s="135">
        <v>57.93696586315518</v>
      </c>
      <c r="DP264" s="135">
        <v>60.521979937210034</v>
      </c>
      <c r="DQ264" s="135">
        <v>62.83138897391909</v>
      </c>
    </row>
    <row r="265" spans="1:121" s="123" customFormat="1">
      <c r="A265" s="107"/>
      <c r="B265" s="107"/>
      <c r="C265" s="136"/>
      <c r="D265" s="147"/>
      <c r="E265" s="107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41"/>
      <c r="CI265" s="106"/>
      <c r="CJ265" s="106"/>
      <c r="CK265" s="106"/>
      <c r="CL265" s="106"/>
      <c r="CM265" s="106"/>
      <c r="CN265" s="106"/>
      <c r="CO265" s="106"/>
      <c r="CP265" s="106"/>
      <c r="CQ265" s="106"/>
      <c r="CR265" s="106"/>
      <c r="CS265" s="106"/>
      <c r="CT265" s="106"/>
      <c r="CU265" s="106"/>
      <c r="CV265" s="106"/>
      <c r="CW265" s="106"/>
      <c r="CX265" s="106"/>
      <c r="CY265" s="106"/>
      <c r="CZ265" s="134"/>
      <c r="DA265" s="208"/>
      <c r="DB265" s="208"/>
      <c r="DC265" s="208"/>
      <c r="DD265" s="208"/>
      <c r="DE265" s="135"/>
      <c r="DF265" s="135"/>
      <c r="DG265" s="135"/>
      <c r="DH265" s="135"/>
      <c r="DI265" s="135"/>
      <c r="DJ265" s="135"/>
      <c r="DK265" s="135"/>
      <c r="DL265" s="135"/>
      <c r="DM265" s="135"/>
      <c r="DN265" s="135"/>
      <c r="DO265" s="135"/>
      <c r="DP265" s="135"/>
      <c r="DQ265" s="135"/>
    </row>
    <row r="266" spans="1:121">
      <c r="A266" s="145" t="s">
        <v>2386</v>
      </c>
      <c r="C266" s="132" t="s">
        <v>1329</v>
      </c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204"/>
      <c r="CI266" s="106"/>
      <c r="CJ266" s="106"/>
      <c r="CK266" s="106"/>
      <c r="CL266" s="106"/>
      <c r="CM266" s="106"/>
      <c r="CN266" s="106"/>
      <c r="CO266" s="106"/>
      <c r="CP266" s="106"/>
      <c r="CQ266" s="106"/>
      <c r="CR266" s="106"/>
      <c r="CS266" s="106"/>
      <c r="CT266" s="106"/>
      <c r="CU266" s="106"/>
      <c r="CV266" s="106"/>
      <c r="CW266" s="106"/>
      <c r="CX266" s="106"/>
      <c r="CY266" s="106"/>
      <c r="DA266" s="382"/>
      <c r="DB266" s="382"/>
      <c r="DC266" s="382"/>
      <c r="DD266" s="382"/>
    </row>
    <row r="267" spans="1:121">
      <c r="A267" s="131" t="s">
        <v>129</v>
      </c>
      <c r="F267" s="526">
        <f t="shared" ref="F267:AK267" si="655">G267/(1+G36/100)</f>
        <v>6.5253502349013285E-3</v>
      </c>
      <c r="G267" s="153">
        <f t="shared" si="655"/>
        <v>6.5906037372503419E-3</v>
      </c>
      <c r="H267" s="153">
        <f t="shared" si="655"/>
        <v>6.7211107423373103E-3</v>
      </c>
      <c r="I267" s="153">
        <f t="shared" si="655"/>
        <v>7.305847376920656E-3</v>
      </c>
      <c r="J267" s="153">
        <f t="shared" si="655"/>
        <v>7.305847376920656E-3</v>
      </c>
      <c r="K267" s="153">
        <f t="shared" si="655"/>
        <v>7.305847376920656E-3</v>
      </c>
      <c r="L267" s="153">
        <f t="shared" si="655"/>
        <v>7.495799408720593E-3</v>
      </c>
      <c r="M267" s="153">
        <f t="shared" si="655"/>
        <v>7.6232279986688427E-3</v>
      </c>
      <c r="N267" s="153">
        <f t="shared" si="655"/>
        <v>7.8138086986355628E-3</v>
      </c>
      <c r="O267" s="153">
        <f t="shared" si="655"/>
        <v>7.9466434465123668E-3</v>
      </c>
      <c r="P267" s="153">
        <f t="shared" si="655"/>
        <v>8.2724558278193736E-3</v>
      </c>
      <c r="Q267" s="153">
        <f t="shared" si="655"/>
        <v>8.4627223118592179E-3</v>
      </c>
      <c r="R267" s="153">
        <f t="shared" si="655"/>
        <v>8.5896631465371062E-3</v>
      </c>
      <c r="S267" s="153">
        <f t="shared" si="655"/>
        <v>9.2338878825273894E-3</v>
      </c>
      <c r="T267" s="153">
        <f t="shared" si="655"/>
        <v>9.2338878825273894E-3</v>
      </c>
      <c r="U267" s="153">
        <f t="shared" si="655"/>
        <v>9.3262267613526632E-3</v>
      </c>
      <c r="V267" s="153">
        <f t="shared" si="655"/>
        <v>9.4940988430570108E-3</v>
      </c>
      <c r="W267" s="153">
        <f t="shared" si="655"/>
        <v>9.4371342499986691E-3</v>
      </c>
      <c r="X267" s="153">
        <f t="shared" si="655"/>
        <v>9.6636254719986367E-3</v>
      </c>
      <c r="Y267" s="153">
        <f t="shared" si="655"/>
        <v>1.0823260528638474E-2</v>
      </c>
      <c r="Z267" s="153">
        <f t="shared" si="655"/>
        <v>1.2544158952691993E-2</v>
      </c>
      <c r="AA267" s="153">
        <f t="shared" si="655"/>
        <v>1.3484970874143892E-2</v>
      </c>
      <c r="AB267" s="153">
        <f t="shared" si="655"/>
        <v>1.4739073165439273E-2</v>
      </c>
      <c r="AC267" s="153">
        <f t="shared" si="655"/>
        <v>1.603611160399793E-2</v>
      </c>
      <c r="AD267" s="153">
        <f t="shared" si="655"/>
        <v>1.7319000532317767E-2</v>
      </c>
      <c r="AE267" s="153">
        <f t="shared" si="655"/>
        <v>1.9743660606842257E-2</v>
      </c>
      <c r="AF267" s="153">
        <f t="shared" si="655"/>
        <v>2.2349823806945435E-2</v>
      </c>
      <c r="AG267" s="153">
        <f t="shared" si="655"/>
        <v>2.4294258478149689E-2</v>
      </c>
      <c r="AH267" s="153">
        <f t="shared" si="655"/>
        <v>2.6067739347054614E-2</v>
      </c>
      <c r="AI267" s="153">
        <f t="shared" si="655"/>
        <v>2.7214719878325019E-2</v>
      </c>
      <c r="AJ267" s="153">
        <f t="shared" si="655"/>
        <v>2.8221664513823044E-2</v>
      </c>
      <c r="AK267" s="153">
        <f t="shared" si="655"/>
        <v>3.1297825945829756E-2</v>
      </c>
      <c r="AL267" s="153">
        <f t="shared" ref="AL267:BN267" si="656">AM267/(1+AM36/100)</f>
        <v>3.7150519397699922E-2</v>
      </c>
      <c r="AM267" s="153">
        <f t="shared" si="656"/>
        <v>5.6988896756071682E-2</v>
      </c>
      <c r="AN267" s="153">
        <f t="shared" si="656"/>
        <v>6.114908621926491E-2</v>
      </c>
      <c r="AO267" s="153">
        <f t="shared" si="656"/>
        <v>6.1638278909019031E-2</v>
      </c>
      <c r="AP267" s="153">
        <f t="shared" si="656"/>
        <v>7.5075423711185182E-2</v>
      </c>
      <c r="AQ267" s="153">
        <f t="shared" si="656"/>
        <v>9.4595033876093332E-2</v>
      </c>
      <c r="AR267" s="153">
        <f t="shared" si="656"/>
        <v>0.13593306367994612</v>
      </c>
      <c r="AS267" s="157">
        <f t="shared" si="656"/>
        <v>0.33099701006066884</v>
      </c>
      <c r="AT267" s="157">
        <f t="shared" si="656"/>
        <v>1.5507209921342338</v>
      </c>
      <c r="AU267" s="157">
        <f t="shared" si="656"/>
        <v>5.2042196496024884</v>
      </c>
      <c r="AV267" s="157">
        <f t="shared" si="656"/>
        <v>5.1677901120552709</v>
      </c>
      <c r="AW267" s="157">
        <f t="shared" si="656"/>
        <v>5.5347032100111946</v>
      </c>
      <c r="AX267" s="157">
        <f t="shared" si="656"/>
        <v>6.5696927102832881</v>
      </c>
      <c r="AY267" s="157">
        <f t="shared" si="656"/>
        <v>13.060549108043176</v>
      </c>
      <c r="AZ267" s="157">
        <f t="shared" si="656"/>
        <v>20.805454729112778</v>
      </c>
      <c r="BA267" s="157">
        <f t="shared" si="656"/>
        <v>28.836360254550314</v>
      </c>
      <c r="BB267" s="157">
        <f t="shared" si="656"/>
        <v>33.305996094005614</v>
      </c>
      <c r="BC267" s="157">
        <f t="shared" si="656"/>
        <v>41.26612916047295</v>
      </c>
      <c r="BD267" s="157">
        <f t="shared" si="656"/>
        <v>45.227677559878359</v>
      </c>
      <c r="BE267" s="157">
        <f t="shared" si="656"/>
        <v>49.5243069280668</v>
      </c>
      <c r="BF267" s="157">
        <f t="shared" si="656"/>
        <v>55.120553610938344</v>
      </c>
      <c r="BG267" s="157">
        <f t="shared" si="656"/>
        <v>58.6482690420384</v>
      </c>
      <c r="BH267" s="157">
        <f t="shared" si="656"/>
        <v>67.269564591218042</v>
      </c>
      <c r="BI267" s="157">
        <f t="shared" si="656"/>
        <v>67.202295026626828</v>
      </c>
      <c r="BJ267" s="157">
        <f t="shared" si="656"/>
        <v>71.839253383464083</v>
      </c>
      <c r="BK267" s="157">
        <f t="shared" si="656"/>
        <v>84.554801232337226</v>
      </c>
      <c r="BL267" s="157">
        <f t="shared" si="656"/>
        <v>88.782541293954097</v>
      </c>
      <c r="BM267" s="157">
        <f t="shared" si="656"/>
        <v>90.469409578539214</v>
      </c>
      <c r="BN267" s="157">
        <f t="shared" si="656"/>
        <v>93.545369504209546</v>
      </c>
      <c r="BO267" s="157">
        <v>100</v>
      </c>
      <c r="BP267" s="157">
        <f t="shared" ref="BP267:CC267" si="657">BO267*(1+BP36/100)</f>
        <v>155.50000000000003</v>
      </c>
      <c r="BQ267" s="157">
        <f t="shared" si="657"/>
        <v>189.71000000000004</v>
      </c>
      <c r="BR267" s="157">
        <f t="shared" si="657"/>
        <v>202.79999000000004</v>
      </c>
      <c r="BS267" s="157">
        <f t="shared" si="657"/>
        <v>211.72318956000004</v>
      </c>
      <c r="BT267" s="157">
        <f t="shared" ca="1" si="657"/>
        <v>284.22756852503551</v>
      </c>
      <c r="BU267" s="157">
        <f t="shared" ca="1" si="657"/>
        <v>429.15833886189932</v>
      </c>
      <c r="BV267" s="157">
        <f t="shared" ca="1" si="657"/>
        <v>499.59922192536811</v>
      </c>
      <c r="BW267" s="157">
        <f t="shared" ca="1" si="657"/>
        <v>542.84209799668417</v>
      </c>
      <c r="BX267" s="157">
        <f t="shared" ca="1" si="657"/>
        <v>570.52600603321002</v>
      </c>
      <c r="BY267" s="157">
        <f t="shared" ca="1" si="657"/>
        <v>605.28053901308033</v>
      </c>
      <c r="BZ267" s="157">
        <f t="shared" ca="1" si="657"/>
        <v>646.64289207005436</v>
      </c>
      <c r="CA267" s="157">
        <f t="shared" ca="1" si="657"/>
        <v>695.64179565401741</v>
      </c>
      <c r="CB267" s="157">
        <f t="shared" ca="1" si="657"/>
        <v>754.77258887836706</v>
      </c>
      <c r="CC267" s="157">
        <f t="shared" ca="1" si="657"/>
        <v>827.53337269228234</v>
      </c>
      <c r="CD267" s="157">
        <f t="shared" ref="CD267:CG269" ca="1" si="658">CC267*(1+CD36/100)</f>
        <v>919.15917930298394</v>
      </c>
      <c r="CE267" s="157">
        <f t="shared" ca="1" si="658"/>
        <v>1037.6704297313047</v>
      </c>
      <c r="CF267" s="157">
        <f t="shared" ca="1" si="658"/>
        <v>1195.7290531530828</v>
      </c>
      <c r="CG267" s="157">
        <f t="shared" ca="1" si="658"/>
        <v>1414.035448748288</v>
      </c>
      <c r="CH267" s="253"/>
      <c r="CI267" s="106">
        <f t="shared" ref="CI267:CI273" si="659">BQ267-DA267</f>
        <v>0</v>
      </c>
      <c r="CJ267" s="106">
        <f t="shared" ref="CJ267:CU273" si="660">BR267-DB267</f>
        <v>0</v>
      </c>
      <c r="CK267" s="106">
        <f t="shared" si="660"/>
        <v>0</v>
      </c>
      <c r="CL267" s="106">
        <f t="shared" ca="1" si="660"/>
        <v>0</v>
      </c>
      <c r="CM267" s="106">
        <f t="shared" ca="1" si="660"/>
        <v>34.403121753960477</v>
      </c>
      <c r="CN267" s="106">
        <f t="shared" ca="1" si="660"/>
        <v>56.261796708895986</v>
      </c>
      <c r="CO267" s="106">
        <f t="shared" ca="1" si="660"/>
        <v>62.779711534818659</v>
      </c>
      <c r="CP267" s="106">
        <f t="shared" ca="1" si="660"/>
        <v>64.156927379731201</v>
      </c>
      <c r="CQ267" s="106">
        <f t="shared" ca="1" si="660"/>
        <v>65.005672119534665</v>
      </c>
      <c r="CR267" s="106">
        <f t="shared" ca="1" si="660"/>
        <v>65.210463893648125</v>
      </c>
      <c r="CS267" s="106">
        <f t="shared" ca="1" si="660"/>
        <v>67.357130683098376</v>
      </c>
      <c r="CT267" s="106">
        <f t="shared" ca="1" si="660"/>
        <v>71.627174237120926</v>
      </c>
      <c r="CU267" s="106">
        <f t="shared" ca="1" si="660"/>
        <v>74.099991776776278</v>
      </c>
      <c r="CV267" s="106">
        <f t="shared" ref="CV267:CV273" ca="1" si="661">CD267-DN267</f>
        <v>75.079477815046857</v>
      </c>
      <c r="CW267" s="106">
        <f t="shared" ref="CW267:CW273" ca="1" si="662">CE267-DO267</f>
        <v>74.089069790032113</v>
      </c>
      <c r="CX267" s="106">
        <f t="shared" ref="CX267:CX273" ca="1" si="663">CF267-DP267</f>
        <v>69.706972342390827</v>
      </c>
      <c r="CY267" s="106">
        <f t="shared" ref="CY267:CY273" ca="1" si="664">CG267-DQ267</f>
        <v>59.052787190700201</v>
      </c>
      <c r="DA267" s="391">
        <v>189.71000000000004</v>
      </c>
      <c r="DB267" s="391">
        <v>202.79999000000004</v>
      </c>
      <c r="DC267" s="391">
        <v>211.72318956000004</v>
      </c>
      <c r="DD267" s="391">
        <v>284.22756852503551</v>
      </c>
      <c r="DE267" s="104">
        <v>394.75521710793885</v>
      </c>
      <c r="DF267" s="104">
        <v>443.33742521647213</v>
      </c>
      <c r="DG267" s="104">
        <v>480.06238646186551</v>
      </c>
      <c r="DH267" s="104">
        <v>506.36907865347882</v>
      </c>
      <c r="DI267" s="104">
        <v>540.27486689354566</v>
      </c>
      <c r="DJ267" s="104">
        <v>581.43242817640623</v>
      </c>
      <c r="DK267" s="104">
        <v>628.28466497091904</v>
      </c>
      <c r="DL267" s="104">
        <v>683.14541464124613</v>
      </c>
      <c r="DM267" s="104">
        <v>753.43338091550606</v>
      </c>
      <c r="DN267" s="104">
        <v>844.07970148793709</v>
      </c>
      <c r="DO267" s="104">
        <v>963.58135994127258</v>
      </c>
      <c r="DP267" s="104">
        <v>1126.0220808106919</v>
      </c>
      <c r="DQ267" s="104">
        <v>1354.9826615575878</v>
      </c>
    </row>
    <row r="268" spans="1:121">
      <c r="A268" s="131" t="s">
        <v>130</v>
      </c>
      <c r="F268" s="526">
        <f t="shared" ref="F268:AK268" ca="1" si="665">G268/(1+G37/100)</f>
        <v>6.0657762565896039E-3</v>
      </c>
      <c r="G268" s="153">
        <f t="shared" ca="1" si="665"/>
        <v>6.1084398503560471E-3</v>
      </c>
      <c r="H268" s="153">
        <f t="shared" ca="1" si="665"/>
        <v>6.2022581094186438E-3</v>
      </c>
      <c r="I268" s="153">
        <f t="shared" ca="1" si="665"/>
        <v>6.9567017585091271E-3</v>
      </c>
      <c r="J268" s="153">
        <f t="shared" ca="1" si="665"/>
        <v>7.0816338990737507E-3</v>
      </c>
      <c r="K268" s="153">
        <f t="shared" ca="1" si="665"/>
        <v>7.127709065610657E-3</v>
      </c>
      <c r="L268" s="153">
        <f t="shared" ca="1" si="665"/>
        <v>7.3721041205400449E-3</v>
      </c>
      <c r="M268" s="153">
        <f t="shared" ca="1" si="665"/>
        <v>8.2908521739500588E-3</v>
      </c>
      <c r="N268" s="153">
        <f t="shared" ca="1" si="665"/>
        <v>8.1691406969688525E-3</v>
      </c>
      <c r="O268" s="153">
        <f t="shared" ca="1" si="665"/>
        <v>8.0632237332898156E-3</v>
      </c>
      <c r="P268" s="153">
        <f t="shared" ca="1" si="665"/>
        <v>8.5546233735854533E-3</v>
      </c>
      <c r="Q268" s="153">
        <f t="shared" ca="1" si="665"/>
        <v>8.7748903728180373E-3</v>
      </c>
      <c r="R268" s="153">
        <f t="shared" ca="1" si="665"/>
        <v>9.4945261061639228E-3</v>
      </c>
      <c r="S268" s="153">
        <f t="shared" ca="1" si="665"/>
        <v>9.5149373844371082E-3</v>
      </c>
      <c r="T268" s="153">
        <f t="shared" ca="1" si="665"/>
        <v>9.644777527368845E-3</v>
      </c>
      <c r="U268" s="153">
        <f t="shared" ca="1" si="665"/>
        <v>9.9236009517633932E-3</v>
      </c>
      <c r="V268" s="153">
        <f t="shared" ca="1" si="665"/>
        <v>1.0040768800584443E-2</v>
      </c>
      <c r="W268" s="153">
        <f t="shared" ca="1" si="665"/>
        <v>1.0121241353193857E-2</v>
      </c>
      <c r="X268" s="153">
        <f t="shared" ca="1" si="665"/>
        <v>1.1240253489647599E-2</v>
      </c>
      <c r="Y268" s="153">
        <f t="shared" ca="1" si="665"/>
        <v>1.1206870073916948E-2</v>
      </c>
      <c r="Z268" s="153">
        <f t="shared" ca="1" si="665"/>
        <v>1.1815950248470415E-2</v>
      </c>
      <c r="AA268" s="153">
        <f t="shared" ca="1" si="665"/>
        <v>1.3750671797164566E-2</v>
      </c>
      <c r="AB268" s="153">
        <f t="shared" ca="1" si="665"/>
        <v>1.4889056231994432E-2</v>
      </c>
      <c r="AC268" s="153">
        <f t="shared" ca="1" si="665"/>
        <v>1.7025610944245914E-2</v>
      </c>
      <c r="AD268" s="153">
        <f t="shared" ca="1" si="665"/>
        <v>1.8241681730310724E-2</v>
      </c>
      <c r="AE268" s="153">
        <f t="shared" ca="1" si="665"/>
        <v>1.9596142820401792E-2</v>
      </c>
      <c r="AF268" s="153">
        <f t="shared" ca="1" si="665"/>
        <v>2.2384005043523933E-2</v>
      </c>
      <c r="AG268" s="153">
        <f t="shared" ca="1" si="665"/>
        <v>2.6202464147085793E-2</v>
      </c>
      <c r="AH268" s="153">
        <f t="shared" ca="1" si="665"/>
        <v>3.1000162605042646E-2</v>
      </c>
      <c r="AI268" s="153">
        <f t="shared" ca="1" si="665"/>
        <v>3.2084386573074823E-2</v>
      </c>
      <c r="AJ268" s="153">
        <f t="shared" ca="1" si="665"/>
        <v>3.2521495728207242E-2</v>
      </c>
      <c r="AK268" s="153">
        <f t="shared" ca="1" si="665"/>
        <v>3.3710209971989362E-2</v>
      </c>
      <c r="AL268" s="153">
        <f t="shared" ref="AL268:BN268" ca="1" si="666">AM268/(1+AM37/100)</f>
        <v>3.7276668263229534E-2</v>
      </c>
      <c r="AM268" s="153">
        <f t="shared" ca="1" si="666"/>
        <v>4.7496465290613007E-2</v>
      </c>
      <c r="AN268" s="153">
        <f t="shared" ca="1" si="666"/>
        <v>5.0165191585751924E-2</v>
      </c>
      <c r="AO268" s="153">
        <f t="shared" ca="1" si="666"/>
        <v>5.2307826280756746E-2</v>
      </c>
      <c r="AP268" s="153">
        <f t="shared" ca="1" si="666"/>
        <v>5.3924044352885642E-2</v>
      </c>
      <c r="AQ268" s="153">
        <f t="shared" ca="1" si="666"/>
        <v>6.9591402232253782E-2</v>
      </c>
      <c r="AR268" s="153">
        <f t="shared" ca="1" si="666"/>
        <v>9.1705212582966836E-2</v>
      </c>
      <c r="AS268" s="157">
        <f t="shared" ca="1" si="666"/>
        <v>0.14796468057249335</v>
      </c>
      <c r="AT268" s="157">
        <f t="shared" ca="1" si="666"/>
        <v>0.58480108469234848</v>
      </c>
      <c r="AU268" s="157">
        <f t="shared" ca="1" si="666"/>
        <v>2.2956560013620035</v>
      </c>
      <c r="AV268" s="157">
        <f t="shared" ca="1" si="666"/>
        <v>3.0305816764805158</v>
      </c>
      <c r="AW268" s="157">
        <f t="shared" ca="1" si="666"/>
        <v>3.4845303194509452</v>
      </c>
      <c r="AX268" s="157">
        <f t="shared" ca="1" si="666"/>
        <v>6.2304547760690703</v>
      </c>
      <c r="AY268" s="157">
        <f t="shared" ca="1" si="666"/>
        <v>10.380159185245358</v>
      </c>
      <c r="AZ268" s="157">
        <f t="shared" ca="1" si="666"/>
        <v>16.431079377791406</v>
      </c>
      <c r="BA268" s="157">
        <f t="shared" ca="1" si="666"/>
        <v>22.118193258266992</v>
      </c>
      <c r="BB268" s="157">
        <f t="shared" ca="1" si="666"/>
        <v>30.875786917890036</v>
      </c>
      <c r="BC268" s="157">
        <f t="shared" ca="1" si="666"/>
        <v>36.207477798171311</v>
      </c>
      <c r="BD268" s="157">
        <f t="shared" ca="1" si="666"/>
        <v>39.31423436893882</v>
      </c>
      <c r="BE268" s="157">
        <f t="shared" ca="1" si="666"/>
        <v>42.883821462218719</v>
      </c>
      <c r="BF268" s="157">
        <f t="shared" si="666"/>
        <v>48.897148838634266</v>
      </c>
      <c r="BG268" s="157">
        <f t="shared" si="666"/>
        <v>53.174719198008901</v>
      </c>
      <c r="BH268" s="157">
        <f t="shared" si="666"/>
        <v>59.402878551830071</v>
      </c>
      <c r="BI268" s="157">
        <f t="shared" si="666"/>
        <v>68.663986926052416</v>
      </c>
      <c r="BJ268" s="157">
        <f t="shared" si="666"/>
        <v>75.244145529329842</v>
      </c>
      <c r="BK268" s="157">
        <f t="shared" si="666"/>
        <v>85.139494176018616</v>
      </c>
      <c r="BL268" s="157">
        <f t="shared" si="666"/>
        <v>90.375354788769954</v>
      </c>
      <c r="BM268" s="157">
        <f t="shared" si="666"/>
        <v>98.961319485369728</v>
      </c>
      <c r="BN268" s="157">
        <f t="shared" si="666"/>
        <v>96.975636478388182</v>
      </c>
      <c r="BO268" s="157">
        <v>100</v>
      </c>
      <c r="BP268" s="157">
        <f t="shared" ref="BP268:CC268" si="667">BO268*(1+BP37/100)</f>
        <v>128.99370209476945</v>
      </c>
      <c r="BQ268" s="157">
        <f t="shared" si="667"/>
        <v>155.085285888653</v>
      </c>
      <c r="BR268" s="157">
        <f t="shared" si="667"/>
        <v>181.26016437273296</v>
      </c>
      <c r="BS268" s="157">
        <f t="shared" si="667"/>
        <v>185.52117682607582</v>
      </c>
      <c r="BT268" s="157">
        <f t="shared" ca="1" si="667"/>
        <v>223.19056068813987</v>
      </c>
      <c r="BU268" s="157">
        <f t="shared" ca="1" si="667"/>
        <v>294.21006946534914</v>
      </c>
      <c r="BV268" s="157">
        <f t="shared" ca="1" si="667"/>
        <v>346.57467629220378</v>
      </c>
      <c r="BW268" s="157">
        <f t="shared" ca="1" si="667"/>
        <v>401.35686173654403</v>
      </c>
      <c r="BX268" s="157">
        <f t="shared" ca="1" si="667"/>
        <v>434.18077380639994</v>
      </c>
      <c r="BY268" s="157">
        <f t="shared" ca="1" si="667"/>
        <v>483.29946624447854</v>
      </c>
      <c r="BZ268" s="157">
        <f t="shared" ca="1" si="667"/>
        <v>543.47996446631737</v>
      </c>
      <c r="CA268" s="157">
        <f t="shared" ca="1" si="667"/>
        <v>617.04839688530501</v>
      </c>
      <c r="CB268" s="157">
        <f t="shared" ca="1" si="667"/>
        <v>708.86373510509475</v>
      </c>
      <c r="CC268" s="157">
        <f t="shared" ca="1" si="667"/>
        <v>825.6232875316125</v>
      </c>
      <c r="CD268" s="157">
        <f t="shared" ca="1" si="658"/>
        <v>977.50144838014717</v>
      </c>
      <c r="CE268" s="157">
        <f t="shared" ca="1" si="658"/>
        <v>1180.2919031273243</v>
      </c>
      <c r="CF268" s="157">
        <f t="shared" ca="1" si="658"/>
        <v>1459.2797164623389</v>
      </c>
      <c r="CG268" s="157">
        <f t="shared" ca="1" si="658"/>
        <v>1856.3992517513886</v>
      </c>
      <c r="CH268" s="253"/>
      <c r="CI268" s="106">
        <f t="shared" si="659"/>
        <v>0</v>
      </c>
      <c r="CJ268" s="106">
        <f t="shared" si="660"/>
        <v>0</v>
      </c>
      <c r="CK268" s="106">
        <f t="shared" si="660"/>
        <v>0</v>
      </c>
      <c r="CL268" s="106">
        <f t="shared" ca="1" si="660"/>
        <v>0</v>
      </c>
      <c r="CM268" s="106">
        <f t="shared" ca="1" si="660"/>
        <v>12.968220590633962</v>
      </c>
      <c r="CN268" s="106">
        <f t="shared" ca="1" si="660"/>
        <v>26.956288418191377</v>
      </c>
      <c r="CO268" s="106">
        <f t="shared" ca="1" si="660"/>
        <v>28.17436478026832</v>
      </c>
      <c r="CP268" s="106">
        <f t="shared" ca="1" si="660"/>
        <v>24.090873332293654</v>
      </c>
      <c r="CQ268" s="106">
        <f t="shared" ca="1" si="660"/>
        <v>18.661705777738064</v>
      </c>
      <c r="CR268" s="106">
        <f t="shared" ca="1" si="660"/>
        <v>10.586609275562864</v>
      </c>
      <c r="CS268" s="106">
        <f t="shared" ca="1" si="660"/>
        <v>5.0391816968300418</v>
      </c>
      <c r="CT268" s="106">
        <f t="shared" ca="1" si="660"/>
        <v>0.91671290760530155</v>
      </c>
      <c r="CU268" s="106">
        <f t="shared" ca="1" si="660"/>
        <v>-10.520654527633837</v>
      </c>
      <c r="CV268" s="106">
        <f t="shared" ca="1" si="661"/>
        <v>-29.544118739638861</v>
      </c>
      <c r="CW268" s="106">
        <f t="shared" ca="1" si="662"/>
        <v>-59.719020681376378</v>
      </c>
      <c r="CX268" s="106">
        <f t="shared" ca="1" si="663"/>
        <v>-108.01060921454632</v>
      </c>
      <c r="CY268" s="106">
        <f t="shared" ca="1" si="664"/>
        <v>-187.18420003856318</v>
      </c>
      <c r="DA268" s="391">
        <v>155.085285888653</v>
      </c>
      <c r="DB268" s="391">
        <v>181.26016437273296</v>
      </c>
      <c r="DC268" s="391">
        <v>185.52117682607582</v>
      </c>
      <c r="DD268" s="391">
        <v>223.19056068813987</v>
      </c>
      <c r="DE268" s="104">
        <v>281.24184887471517</v>
      </c>
      <c r="DF268" s="104">
        <v>319.6183878740124</v>
      </c>
      <c r="DG268" s="104">
        <v>373.18249695627571</v>
      </c>
      <c r="DH268" s="104">
        <v>410.08990047410629</v>
      </c>
      <c r="DI268" s="104">
        <v>464.63776046674047</v>
      </c>
      <c r="DJ268" s="104">
        <v>532.89335519075451</v>
      </c>
      <c r="DK268" s="104">
        <v>612.00921518847497</v>
      </c>
      <c r="DL268" s="104">
        <v>707.94702219748945</v>
      </c>
      <c r="DM268" s="104">
        <v>836.14394205924634</v>
      </c>
      <c r="DN268" s="104">
        <v>1007.045567119786</v>
      </c>
      <c r="DO268" s="104">
        <v>1240.0109238087007</v>
      </c>
      <c r="DP268" s="104">
        <v>1567.2903256768852</v>
      </c>
      <c r="DQ268" s="104">
        <v>2043.5834517899518</v>
      </c>
    </row>
    <row r="269" spans="1:121">
      <c r="A269" s="131" t="s">
        <v>131</v>
      </c>
      <c r="F269" s="526">
        <f t="shared" ref="F269:AK269" si="668">G269/(1+G38/100)</f>
        <v>6.5253502349013285E-3</v>
      </c>
      <c r="G269" s="153">
        <f t="shared" si="668"/>
        <v>6.5906037372503419E-3</v>
      </c>
      <c r="H269" s="153">
        <f t="shared" si="668"/>
        <v>6.7211107423373103E-3</v>
      </c>
      <c r="I269" s="153">
        <f t="shared" si="668"/>
        <v>7.305847376920656E-3</v>
      </c>
      <c r="J269" s="153">
        <f t="shared" si="668"/>
        <v>7.305847376920656E-3</v>
      </c>
      <c r="K269" s="153">
        <f t="shared" si="668"/>
        <v>7.305847376920656E-3</v>
      </c>
      <c r="L269" s="153">
        <f t="shared" si="668"/>
        <v>7.495799408720593E-3</v>
      </c>
      <c r="M269" s="153">
        <f t="shared" si="668"/>
        <v>7.6232279986688427E-3</v>
      </c>
      <c r="N269" s="153">
        <f t="shared" si="668"/>
        <v>7.8138086986355628E-3</v>
      </c>
      <c r="O269" s="153">
        <f t="shared" si="668"/>
        <v>7.9466434465123668E-3</v>
      </c>
      <c r="P269" s="153">
        <f t="shared" si="668"/>
        <v>8.2724558278193736E-3</v>
      </c>
      <c r="Q269" s="153">
        <f t="shared" si="668"/>
        <v>8.4627223118592179E-3</v>
      </c>
      <c r="R269" s="153">
        <f t="shared" si="668"/>
        <v>8.5896631465371062E-3</v>
      </c>
      <c r="S269" s="153">
        <f t="shared" si="668"/>
        <v>9.2338878825273894E-3</v>
      </c>
      <c r="T269" s="153">
        <f t="shared" si="668"/>
        <v>9.2338878825273894E-3</v>
      </c>
      <c r="U269" s="153">
        <f t="shared" si="668"/>
        <v>9.3262267613526632E-3</v>
      </c>
      <c r="V269" s="153">
        <f t="shared" si="668"/>
        <v>9.4940988430570108E-3</v>
      </c>
      <c r="W269" s="153">
        <f t="shared" si="668"/>
        <v>9.4371342499986691E-3</v>
      </c>
      <c r="X269" s="153">
        <f t="shared" si="668"/>
        <v>9.6636254719986367E-3</v>
      </c>
      <c r="Y269" s="153">
        <f t="shared" si="668"/>
        <v>1.0823260528638474E-2</v>
      </c>
      <c r="Z269" s="153">
        <f t="shared" si="668"/>
        <v>1.2544158952691993E-2</v>
      </c>
      <c r="AA269" s="153">
        <f t="shared" si="668"/>
        <v>1.3484970874143892E-2</v>
      </c>
      <c r="AB269" s="153">
        <f t="shared" si="668"/>
        <v>1.4739073165439273E-2</v>
      </c>
      <c r="AC269" s="153">
        <f t="shared" si="668"/>
        <v>1.603611160399793E-2</v>
      </c>
      <c r="AD269" s="153">
        <f t="shared" si="668"/>
        <v>1.7319000532317767E-2</v>
      </c>
      <c r="AE269" s="153">
        <f t="shared" si="668"/>
        <v>1.9743660606842257E-2</v>
      </c>
      <c r="AF269" s="153">
        <f t="shared" si="668"/>
        <v>2.2349823806945435E-2</v>
      </c>
      <c r="AG269" s="153">
        <f t="shared" si="668"/>
        <v>2.4294258478149689E-2</v>
      </c>
      <c r="AH269" s="153">
        <f t="shared" si="668"/>
        <v>2.6067739347054614E-2</v>
      </c>
      <c r="AI269" s="153">
        <f t="shared" si="668"/>
        <v>2.7214719878325019E-2</v>
      </c>
      <c r="AJ269" s="153">
        <f t="shared" si="668"/>
        <v>2.8221664513823044E-2</v>
      </c>
      <c r="AK269" s="153">
        <f t="shared" si="668"/>
        <v>3.1297825945829756E-2</v>
      </c>
      <c r="AL269" s="153">
        <f t="shared" ref="AL269:BN269" si="669">AM269/(1+AM38/100)</f>
        <v>3.7150519397699922E-2</v>
      </c>
      <c r="AM269" s="153">
        <f t="shared" si="669"/>
        <v>5.6988896756071682E-2</v>
      </c>
      <c r="AN269" s="153">
        <f t="shared" si="669"/>
        <v>6.114908621926491E-2</v>
      </c>
      <c r="AO269" s="153">
        <f t="shared" si="669"/>
        <v>6.1638278909019031E-2</v>
      </c>
      <c r="AP269" s="153">
        <f t="shared" si="669"/>
        <v>7.5075423711185182E-2</v>
      </c>
      <c r="AQ269" s="153">
        <f t="shared" si="669"/>
        <v>9.4595033876093332E-2</v>
      </c>
      <c r="AR269" s="153">
        <f t="shared" si="669"/>
        <v>0.13593306367994612</v>
      </c>
      <c r="AS269" s="157">
        <f t="shared" si="669"/>
        <v>0.33099701006066884</v>
      </c>
      <c r="AT269" s="157">
        <f t="shared" si="669"/>
        <v>1.5507209921342338</v>
      </c>
      <c r="AU269" s="157">
        <f t="shared" si="669"/>
        <v>5.2042196496024884</v>
      </c>
      <c r="AV269" s="157">
        <f t="shared" si="669"/>
        <v>5.1677901120552709</v>
      </c>
      <c r="AW269" s="157">
        <f t="shared" si="669"/>
        <v>5.5347032100111946</v>
      </c>
      <c r="AX269" s="157">
        <f t="shared" si="669"/>
        <v>6.5696927102832881</v>
      </c>
      <c r="AY269" s="157">
        <f t="shared" si="669"/>
        <v>13.060549108043176</v>
      </c>
      <c r="AZ269" s="157">
        <f t="shared" si="669"/>
        <v>20.805454729112778</v>
      </c>
      <c r="BA269" s="157">
        <f t="shared" si="669"/>
        <v>28.836360254550314</v>
      </c>
      <c r="BB269" s="157">
        <f t="shared" si="669"/>
        <v>33.305996094005614</v>
      </c>
      <c r="BC269" s="157">
        <f t="shared" si="669"/>
        <v>41.26612916047295</v>
      </c>
      <c r="BD269" s="157">
        <f t="shared" si="669"/>
        <v>45.227677559878359</v>
      </c>
      <c r="BE269" s="157">
        <f t="shared" si="669"/>
        <v>49.5243069280668</v>
      </c>
      <c r="BF269" s="157">
        <f t="shared" si="669"/>
        <v>55.120553610938344</v>
      </c>
      <c r="BG269" s="157">
        <f t="shared" si="669"/>
        <v>58.6482690420384</v>
      </c>
      <c r="BH269" s="157">
        <f t="shared" si="669"/>
        <v>67.269564591218042</v>
      </c>
      <c r="BI269" s="157">
        <f t="shared" si="669"/>
        <v>67.202295026626828</v>
      </c>
      <c r="BJ269" s="157">
        <f t="shared" si="669"/>
        <v>71.839253383464083</v>
      </c>
      <c r="BK269" s="157">
        <f t="shared" si="669"/>
        <v>84.554801232337226</v>
      </c>
      <c r="BL269" s="157">
        <f t="shared" si="669"/>
        <v>88.782541293954097</v>
      </c>
      <c r="BM269" s="157">
        <f t="shared" si="669"/>
        <v>90.469409578539214</v>
      </c>
      <c r="BN269" s="157">
        <f t="shared" si="669"/>
        <v>93.545369504209546</v>
      </c>
      <c r="BO269" s="157">
        <v>100</v>
      </c>
      <c r="BP269" s="157">
        <f t="shared" ref="BP269:CC269" si="670">BO269*(1+BP38/100)</f>
        <v>155.50000000000003</v>
      </c>
      <c r="BQ269" s="157">
        <f t="shared" si="670"/>
        <v>189.71000000000004</v>
      </c>
      <c r="BR269" s="157">
        <f t="shared" si="670"/>
        <v>202.79999000000004</v>
      </c>
      <c r="BS269" s="157">
        <f t="shared" si="670"/>
        <v>211.72318956000004</v>
      </c>
      <c r="BT269" s="157">
        <f t="shared" ca="1" si="670"/>
        <v>284.22756852503551</v>
      </c>
      <c r="BU269" s="157">
        <f t="shared" ca="1" si="670"/>
        <v>429.15833886189932</v>
      </c>
      <c r="BV269" s="157">
        <f t="shared" ca="1" si="670"/>
        <v>499.59922192536811</v>
      </c>
      <c r="BW269" s="157">
        <f t="shared" ca="1" si="670"/>
        <v>542.84209799668417</v>
      </c>
      <c r="BX269" s="157">
        <f t="shared" ca="1" si="670"/>
        <v>570.52600603321002</v>
      </c>
      <c r="BY269" s="157">
        <f t="shared" ca="1" si="670"/>
        <v>605.28053901308033</v>
      </c>
      <c r="BZ269" s="157">
        <f t="shared" ca="1" si="670"/>
        <v>646.64289207005436</v>
      </c>
      <c r="CA269" s="157">
        <f t="shared" ca="1" si="670"/>
        <v>695.64179565401741</v>
      </c>
      <c r="CB269" s="157">
        <f t="shared" ca="1" si="670"/>
        <v>754.77258887836706</v>
      </c>
      <c r="CC269" s="157">
        <f t="shared" ca="1" si="670"/>
        <v>827.53337269228234</v>
      </c>
      <c r="CD269" s="157">
        <f t="shared" ca="1" si="658"/>
        <v>919.15917930298394</v>
      </c>
      <c r="CE269" s="157">
        <f t="shared" ca="1" si="658"/>
        <v>1037.6704297313047</v>
      </c>
      <c r="CF269" s="157">
        <f t="shared" ca="1" si="658"/>
        <v>1195.7290531530828</v>
      </c>
      <c r="CG269" s="157">
        <f t="shared" ca="1" si="658"/>
        <v>1414.035448748288</v>
      </c>
      <c r="CH269" s="253"/>
      <c r="CI269" s="106">
        <f t="shared" si="659"/>
        <v>0</v>
      </c>
      <c r="CJ269" s="106">
        <f t="shared" si="660"/>
        <v>0</v>
      </c>
      <c r="CK269" s="106">
        <f t="shared" si="660"/>
        <v>0</v>
      </c>
      <c r="CL269" s="106">
        <f t="shared" ca="1" si="660"/>
        <v>0</v>
      </c>
      <c r="CM269" s="106">
        <f t="shared" ca="1" si="660"/>
        <v>34.403121753960477</v>
      </c>
      <c r="CN269" s="106">
        <f t="shared" ca="1" si="660"/>
        <v>56.261796708895986</v>
      </c>
      <c r="CO269" s="106">
        <f t="shared" ca="1" si="660"/>
        <v>62.779711534818659</v>
      </c>
      <c r="CP269" s="106">
        <f t="shared" ca="1" si="660"/>
        <v>64.156927379731201</v>
      </c>
      <c r="CQ269" s="106">
        <f t="shared" ca="1" si="660"/>
        <v>65.005672119534665</v>
      </c>
      <c r="CR269" s="106">
        <f t="shared" ca="1" si="660"/>
        <v>65.210463893648125</v>
      </c>
      <c r="CS269" s="106">
        <f t="shared" ca="1" si="660"/>
        <v>67.357130683098376</v>
      </c>
      <c r="CT269" s="106">
        <f t="shared" ca="1" si="660"/>
        <v>71.627174237120926</v>
      </c>
      <c r="CU269" s="106">
        <f t="shared" ca="1" si="660"/>
        <v>74.099991776776278</v>
      </c>
      <c r="CV269" s="106">
        <f t="shared" ca="1" si="661"/>
        <v>75.079477815046857</v>
      </c>
      <c r="CW269" s="106">
        <f t="shared" ca="1" si="662"/>
        <v>74.089069790032113</v>
      </c>
      <c r="CX269" s="106">
        <f t="shared" ca="1" si="663"/>
        <v>69.706972342390827</v>
      </c>
      <c r="CY269" s="106">
        <f t="shared" ca="1" si="664"/>
        <v>59.052787190700201</v>
      </c>
      <c r="DA269" s="391">
        <v>189.71000000000004</v>
      </c>
      <c r="DB269" s="391">
        <v>202.79999000000004</v>
      </c>
      <c r="DC269" s="391">
        <v>211.72318956000004</v>
      </c>
      <c r="DD269" s="391">
        <v>284.22756852503551</v>
      </c>
      <c r="DE269" s="104">
        <v>394.75521710793885</v>
      </c>
      <c r="DF269" s="104">
        <v>443.33742521647213</v>
      </c>
      <c r="DG269" s="104">
        <v>480.06238646186551</v>
      </c>
      <c r="DH269" s="104">
        <v>506.36907865347882</v>
      </c>
      <c r="DI269" s="104">
        <v>540.27486689354566</v>
      </c>
      <c r="DJ269" s="104">
        <v>581.43242817640623</v>
      </c>
      <c r="DK269" s="104">
        <v>628.28466497091904</v>
      </c>
      <c r="DL269" s="104">
        <v>683.14541464124613</v>
      </c>
      <c r="DM269" s="104">
        <v>753.43338091550606</v>
      </c>
      <c r="DN269" s="104">
        <v>844.07970148793709</v>
      </c>
      <c r="DO269" s="104">
        <v>963.58135994127258</v>
      </c>
      <c r="DP269" s="104">
        <v>1126.0220808106919</v>
      </c>
      <c r="DQ269" s="104">
        <v>1354.9826615575878</v>
      </c>
    </row>
    <row r="270" spans="1:121">
      <c r="A270" s="131" t="s">
        <v>132</v>
      </c>
      <c r="F270" s="526">
        <f t="shared" ref="F270:AK270" si="671">G270/(1+G41/100)</f>
        <v>6.5707295470304183E-3</v>
      </c>
      <c r="G270" s="153">
        <f t="shared" si="671"/>
        <v>6.3670369310724756E-3</v>
      </c>
      <c r="H270" s="153">
        <f t="shared" si="671"/>
        <v>6.3458250906503295E-3</v>
      </c>
      <c r="I270" s="153">
        <f t="shared" si="671"/>
        <v>7.3227946675088239E-3</v>
      </c>
      <c r="J270" s="153">
        <f t="shared" si="671"/>
        <v>7.975629980090413E-3</v>
      </c>
      <c r="K270" s="153">
        <f t="shared" si="671"/>
        <v>8.2042142494996081E-3</v>
      </c>
      <c r="L270" s="153">
        <f t="shared" si="671"/>
        <v>8.0094745011270296E-3</v>
      </c>
      <c r="M270" s="153">
        <f t="shared" si="671"/>
        <v>8.040227455733186E-3</v>
      </c>
      <c r="N270" s="153">
        <f t="shared" si="671"/>
        <v>8.2048642929992751E-3</v>
      </c>
      <c r="O270" s="153">
        <f t="shared" si="671"/>
        <v>8.0390988838994829E-3</v>
      </c>
      <c r="P270" s="153">
        <f t="shared" si="671"/>
        <v>7.8647209462944338E-3</v>
      </c>
      <c r="Q270" s="153">
        <f t="shared" si="671"/>
        <v>7.9799523208312333E-3</v>
      </c>
      <c r="R270" s="153">
        <f t="shared" si="671"/>
        <v>8.8735258409851064E-3</v>
      </c>
      <c r="S270" s="153">
        <f t="shared" si="671"/>
        <v>9.1738880256739264E-3</v>
      </c>
      <c r="T270" s="153">
        <f t="shared" si="671"/>
        <v>9.4161860063233325E-3</v>
      </c>
      <c r="U270" s="153">
        <f t="shared" si="671"/>
        <v>9.8307492347757472E-3</v>
      </c>
      <c r="V270" s="153">
        <f t="shared" si="671"/>
        <v>1.0494172130824288E-2</v>
      </c>
      <c r="W270" s="153">
        <f t="shared" si="671"/>
        <v>1.0797721831334917E-2</v>
      </c>
      <c r="X270" s="153">
        <f t="shared" si="671"/>
        <v>1.0884833340317961E-2</v>
      </c>
      <c r="Y270" s="153">
        <f t="shared" si="671"/>
        <v>1.0958121302525695E-2</v>
      </c>
      <c r="Z270" s="153">
        <f t="shared" si="671"/>
        <v>1.5790549797020055E-2</v>
      </c>
      <c r="AA270" s="153">
        <f t="shared" si="671"/>
        <v>1.8293138764052252E-2</v>
      </c>
      <c r="AB270" s="153">
        <f t="shared" si="671"/>
        <v>2.0149685721772958E-2</v>
      </c>
      <c r="AC270" s="153">
        <f t="shared" si="671"/>
        <v>2.2524154936659511E-2</v>
      </c>
      <c r="AD270" s="153">
        <f t="shared" si="671"/>
        <v>2.3827663803413734E-2</v>
      </c>
      <c r="AE270" s="153">
        <f t="shared" si="671"/>
        <v>2.5578417385312274E-2</v>
      </c>
      <c r="AF270" s="153">
        <f t="shared" si="671"/>
        <v>3.0350940707792366E-2</v>
      </c>
      <c r="AG270" s="153">
        <f t="shared" si="671"/>
        <v>3.2985119662056049E-2</v>
      </c>
      <c r="AH270" s="153">
        <f t="shared" si="671"/>
        <v>2.9638802399572037E-2</v>
      </c>
      <c r="AI270" s="153">
        <f t="shared" si="671"/>
        <v>2.7059328926656547E-2</v>
      </c>
      <c r="AJ270" s="153">
        <f t="shared" si="671"/>
        <v>2.8377300403274113E-2</v>
      </c>
      <c r="AK270" s="153">
        <f t="shared" si="671"/>
        <v>2.2410811266775212E-2</v>
      </c>
      <c r="AL270" s="153">
        <f t="shared" ref="AL270:BN270" si="672">AM270/(1+AM41/100)</f>
        <v>2.2963488072020404E-2</v>
      </c>
      <c r="AM270" s="153">
        <f t="shared" si="672"/>
        <v>2.3514611807648581E-2</v>
      </c>
      <c r="AN270" s="153">
        <f t="shared" si="672"/>
        <v>2.8875943120390209E-2</v>
      </c>
      <c r="AO270" s="153">
        <f t="shared" si="672"/>
        <v>4.0368568261999548E-2</v>
      </c>
      <c r="AP270" s="153">
        <f t="shared" si="672"/>
        <v>3.6553738561240591E-2</v>
      </c>
      <c r="AQ270" s="153">
        <f t="shared" si="672"/>
        <v>2.950576296737259E-2</v>
      </c>
      <c r="AR270" s="153">
        <f t="shared" si="672"/>
        <v>2.552804035760534E-2</v>
      </c>
      <c r="AS270" s="157">
        <f t="shared" si="672"/>
        <v>0.62485533372687019</v>
      </c>
      <c r="AT270" s="157">
        <f t="shared" si="672"/>
        <v>3.2645895433894005</v>
      </c>
      <c r="AU270" s="157">
        <f t="shared" si="672"/>
        <v>8.8196417634859845</v>
      </c>
      <c r="AV270" s="157">
        <f t="shared" si="672"/>
        <v>8.2234406396883362</v>
      </c>
      <c r="AW270" s="157">
        <f t="shared" si="672"/>
        <v>7.9833744785092007</v>
      </c>
      <c r="AX270" s="157">
        <f t="shared" si="672"/>
        <v>7.0330353727877712</v>
      </c>
      <c r="AY270" s="157">
        <f t="shared" si="672"/>
        <v>14.675785918388074</v>
      </c>
      <c r="AZ270" s="157">
        <f t="shared" si="672"/>
        <v>24.376805427751933</v>
      </c>
      <c r="BA270" s="157">
        <f t="shared" si="672"/>
        <v>37.758284063518403</v>
      </c>
      <c r="BB270" s="157">
        <f t="shared" si="672"/>
        <v>37.155301177608038</v>
      </c>
      <c r="BC270" s="157">
        <f t="shared" si="672"/>
        <v>44.494216135355877</v>
      </c>
      <c r="BD270" s="157">
        <f t="shared" si="672"/>
        <v>55.161694305349329</v>
      </c>
      <c r="BE270" s="157">
        <f t="shared" si="672"/>
        <v>60.136205258632728</v>
      </c>
      <c r="BF270" s="157">
        <f t="shared" si="672"/>
        <v>75.980926057485547</v>
      </c>
      <c r="BG270" s="157">
        <f t="shared" si="672"/>
        <v>85.56882025622987</v>
      </c>
      <c r="BH270" s="157">
        <f t="shared" si="672"/>
        <v>96.214609101795546</v>
      </c>
      <c r="BI270" s="157">
        <f t="shared" si="672"/>
        <v>85.034828427695317</v>
      </c>
      <c r="BJ270" s="157">
        <f t="shared" si="672"/>
        <v>110.9577378590209</v>
      </c>
      <c r="BK270" s="157">
        <f t="shared" si="672"/>
        <v>130.44767256061627</v>
      </c>
      <c r="BL270" s="157">
        <f t="shared" si="672"/>
        <v>133.15137641203074</v>
      </c>
      <c r="BM270" s="157">
        <f t="shared" si="672"/>
        <v>118.23919645953214</v>
      </c>
      <c r="BN270" s="157">
        <f t="shared" si="672"/>
        <v>110.00301705157608</v>
      </c>
      <c r="BO270" s="157">
        <v>100</v>
      </c>
      <c r="BP270" s="157">
        <f t="shared" ref="BP270:CC270" ca="1" si="673">BO270*(1+BP41/100)</f>
        <v>258.8998280876188</v>
      </c>
      <c r="BQ270" s="157">
        <f t="shared" ca="1" si="673"/>
        <v>301.32481832152649</v>
      </c>
      <c r="BR270" s="157">
        <f t="shared" ca="1" si="673"/>
        <v>307.41416323898954</v>
      </c>
      <c r="BS270" s="157">
        <f t="shared" ca="1" si="673"/>
        <v>350.7453219168313</v>
      </c>
      <c r="BT270" s="157">
        <f t="shared" ca="1" si="673"/>
        <v>605.46571635261444</v>
      </c>
      <c r="BU270" s="157">
        <f t="shared" ca="1" si="673"/>
        <v>985.37019318767898</v>
      </c>
      <c r="BV270" s="157">
        <f t="shared" ca="1" si="673"/>
        <v>1002.0697329744038</v>
      </c>
      <c r="BW270" s="157">
        <f t="shared" ca="1" si="673"/>
        <v>1016.2164383966883</v>
      </c>
      <c r="BX270" s="157">
        <f t="shared" ca="1" si="673"/>
        <v>1030.4995202086461</v>
      </c>
      <c r="BY270" s="157">
        <f t="shared" ca="1" si="673"/>
        <v>1060.5090728952739</v>
      </c>
      <c r="BZ270" s="157">
        <f t="shared" ca="1" si="673"/>
        <v>1091.5062831011667</v>
      </c>
      <c r="CA270" s="157">
        <f t="shared" ca="1" si="673"/>
        <v>1123.5274053114804</v>
      </c>
      <c r="CB270" s="157">
        <f t="shared" ca="1" si="673"/>
        <v>1156.6403602496621</v>
      </c>
      <c r="CC270" s="157">
        <f t="shared" ca="1" si="673"/>
        <v>1190.9255793514299</v>
      </c>
      <c r="CD270" s="157">
        <f t="shared" ref="CD270:CG271" ca="1" si="674">CC270*(1+CD41/100)</f>
        <v>1226.4846040388472</v>
      </c>
      <c r="CE270" s="157">
        <f t="shared" ca="1" si="674"/>
        <v>1263.4478221435747</v>
      </c>
      <c r="CF270" s="157">
        <f t="shared" ca="1" si="674"/>
        <v>1301.9858258334541</v>
      </c>
      <c r="CG270" s="157">
        <f t="shared" ca="1" si="674"/>
        <v>1342.3258138719173</v>
      </c>
      <c r="CH270" s="253"/>
      <c r="CI270" s="106">
        <f ca="1">BQ270-DA270</f>
        <v>0</v>
      </c>
      <c r="CJ270" s="106">
        <f t="shared" ca="1" si="660"/>
        <v>0</v>
      </c>
      <c r="CK270" s="106">
        <f t="shared" ca="1" si="660"/>
        <v>0</v>
      </c>
      <c r="CL270" s="106">
        <f t="shared" ca="1" si="660"/>
        <v>0</v>
      </c>
      <c r="CM270" s="106">
        <f t="shared" ca="1" si="660"/>
        <v>122.80225033912575</v>
      </c>
      <c r="CN270" s="106">
        <f t="shared" ca="1" si="660"/>
        <v>125.37261729949489</v>
      </c>
      <c r="CO270" s="106">
        <f t="shared" ca="1" si="660"/>
        <v>127.19162003900317</v>
      </c>
      <c r="CP270" s="106">
        <f t="shared" ca="1" si="660"/>
        <v>128.9325550480263</v>
      </c>
      <c r="CQ270" s="106">
        <f t="shared" ca="1" si="660"/>
        <v>132.60504759609557</v>
      </c>
      <c r="CR270" s="106">
        <f t="shared" ca="1" si="660"/>
        <v>136.37140917679824</v>
      </c>
      <c r="CS270" s="106">
        <f t="shared" ca="1" si="660"/>
        <v>140.30268105690595</v>
      </c>
      <c r="CT270" s="106">
        <f t="shared" ca="1" si="660"/>
        <v>144.4029786558275</v>
      </c>
      <c r="CU270" s="106">
        <f t="shared" ca="1" si="660"/>
        <v>148.58353060349873</v>
      </c>
      <c r="CV270" s="106">
        <f t="shared" ca="1" si="661"/>
        <v>152.8673471024224</v>
      </c>
      <c r="CW270" s="106">
        <f t="shared" ca="1" si="662"/>
        <v>157.26556008980515</v>
      </c>
      <c r="CX270" s="106">
        <f t="shared" ca="1" si="663"/>
        <v>161.78267346349071</v>
      </c>
      <c r="CY270" s="106">
        <f t="shared" ca="1" si="664"/>
        <v>166.42111859370812</v>
      </c>
      <c r="DA270" s="391">
        <v>301.32481832152649</v>
      </c>
      <c r="DB270" s="391">
        <v>307.41416323898954</v>
      </c>
      <c r="DC270" s="391">
        <v>350.7453219168313</v>
      </c>
      <c r="DD270" s="391">
        <v>605.46571635261444</v>
      </c>
      <c r="DE270" s="104">
        <v>862.56794284855323</v>
      </c>
      <c r="DF270" s="104">
        <v>876.6971156749089</v>
      </c>
      <c r="DG270" s="104">
        <v>889.02481835768515</v>
      </c>
      <c r="DH270" s="104">
        <v>901.56696516061982</v>
      </c>
      <c r="DI270" s="104">
        <v>927.90402529917833</v>
      </c>
      <c r="DJ270" s="104">
        <v>955.13487392436843</v>
      </c>
      <c r="DK270" s="104">
        <v>983.22472425457443</v>
      </c>
      <c r="DL270" s="104">
        <v>1012.2373815938346</v>
      </c>
      <c r="DM270" s="104">
        <v>1042.3420487479311</v>
      </c>
      <c r="DN270" s="104">
        <v>1073.6172569364248</v>
      </c>
      <c r="DO270" s="104">
        <v>1106.1822620537696</v>
      </c>
      <c r="DP270" s="104">
        <v>1140.2031523699634</v>
      </c>
      <c r="DQ270" s="104">
        <v>1175.9046952782091</v>
      </c>
    </row>
    <row r="271" spans="1:121">
      <c r="A271" s="131" t="s">
        <v>133</v>
      </c>
      <c r="F271" s="526">
        <f t="shared" ref="F271:AK271" ca="1" si="675">G271/(1+G42/100)</f>
        <v>5.524084645916208E-3</v>
      </c>
      <c r="G271" s="153">
        <f t="shared" ca="1" si="675"/>
        <v>5.3226556969162989E-3</v>
      </c>
      <c r="H271" s="153">
        <f t="shared" ca="1" si="675"/>
        <v>5.2882648924086504E-3</v>
      </c>
      <c r="I271" s="153">
        <f t="shared" ca="1" si="675"/>
        <v>6.1993280709528751E-3</v>
      </c>
      <c r="J271" s="153">
        <f t="shared" ca="1" si="675"/>
        <v>6.7811054633362339E-3</v>
      </c>
      <c r="K271" s="153">
        <f t="shared" ca="1" si="675"/>
        <v>6.9836173529581038E-3</v>
      </c>
      <c r="L271" s="153">
        <f t="shared" ca="1" si="675"/>
        <v>6.8636976880022387E-3</v>
      </c>
      <c r="M271" s="153">
        <f t="shared" ca="1" si="675"/>
        <v>7.2181296858627774E-3</v>
      </c>
      <c r="N271" s="153">
        <f t="shared" ca="1" si="675"/>
        <v>7.2280964559734056E-3</v>
      </c>
      <c r="O271" s="153">
        <f t="shared" ca="1" si="675"/>
        <v>7.0291736351143505E-3</v>
      </c>
      <c r="P271" s="153">
        <f t="shared" ca="1" si="675"/>
        <v>7.0358350608035686E-3</v>
      </c>
      <c r="Q271" s="153">
        <f t="shared" ca="1" si="675"/>
        <v>7.164887258495998E-3</v>
      </c>
      <c r="R271" s="153">
        <f t="shared" ca="1" si="675"/>
        <v>7.899182440551376E-3</v>
      </c>
      <c r="S271" s="153">
        <f t="shared" ca="1" si="675"/>
        <v>7.9526521675351881E-3</v>
      </c>
      <c r="T271" s="153">
        <f t="shared" ca="1" si="675"/>
        <v>8.2079369097404903E-3</v>
      </c>
      <c r="U271" s="153">
        <f t="shared" ca="1" si="675"/>
        <v>8.7343448211282051E-3</v>
      </c>
      <c r="V271" s="153">
        <f t="shared" ca="1" si="675"/>
        <v>9.3049211403475954E-3</v>
      </c>
      <c r="W271" s="153">
        <f t="shared" ca="1" si="675"/>
        <v>9.6628465453663746E-3</v>
      </c>
      <c r="X271" s="153">
        <f t="shared" ca="1" si="675"/>
        <v>1.0061899290389373E-2</v>
      </c>
      <c r="Y271" s="153">
        <f t="shared" ca="1" si="675"/>
        <v>9.5174239443684902E-3</v>
      </c>
      <c r="Z271" s="153">
        <f t="shared" ca="1" si="675"/>
        <v>1.3466065590465537E-2</v>
      </c>
      <c r="AA271" s="153">
        <f t="shared" ca="1" si="675"/>
        <v>1.5948962776620015E-2</v>
      </c>
      <c r="AB271" s="153">
        <f t="shared" ca="1" si="675"/>
        <v>1.8170220387212114E-2</v>
      </c>
      <c r="AC271" s="153">
        <f t="shared" ca="1" si="675"/>
        <v>1.7884747715708131E-2</v>
      </c>
      <c r="AD271" s="153">
        <f t="shared" ca="1" si="675"/>
        <v>1.9695876071807481E-2</v>
      </c>
      <c r="AE271" s="153">
        <f t="shared" ca="1" si="675"/>
        <v>2.0318309113167097E-2</v>
      </c>
      <c r="AF271" s="153">
        <f t="shared" ca="1" si="675"/>
        <v>2.5529058431782686E-2</v>
      </c>
      <c r="AG271" s="153">
        <f t="shared" ca="1" si="675"/>
        <v>2.8357398608947291E-2</v>
      </c>
      <c r="AH271" s="153">
        <f t="shared" ca="1" si="675"/>
        <v>2.6470355886521555E-2</v>
      </c>
      <c r="AI271" s="153">
        <f t="shared" ca="1" si="675"/>
        <v>2.6436388695923133E-2</v>
      </c>
      <c r="AJ271" s="153">
        <f t="shared" ca="1" si="675"/>
        <v>2.9241747296012081E-2</v>
      </c>
      <c r="AK271" s="153">
        <f t="shared" ca="1" si="675"/>
        <v>2.9899023957208653E-2</v>
      </c>
      <c r="AL271" s="153">
        <f t="shared" ref="AL271:BN271" ca="1" si="676">AM271/(1+AM42/100)</f>
        <v>4.1015521964138039E-2</v>
      </c>
      <c r="AM271" s="153">
        <f t="shared" ca="1" si="676"/>
        <v>7.3335727993157615E-2</v>
      </c>
      <c r="AN271" s="153">
        <f t="shared" ca="1" si="676"/>
        <v>8.2152269386815663E-2</v>
      </c>
      <c r="AO271" s="153">
        <f t="shared" ca="1" si="676"/>
        <v>8.4698958399526209E-2</v>
      </c>
      <c r="AP271" s="153">
        <f t="shared" ca="1" si="676"/>
        <v>8.2236000336186749E-2</v>
      </c>
      <c r="AQ271" s="153">
        <f t="shared" ca="1" si="676"/>
        <v>0.10898795256870107</v>
      </c>
      <c r="AR271" s="153">
        <f t="shared" ca="1" si="676"/>
        <v>0.15465077842966943</v>
      </c>
      <c r="AS271" s="157">
        <f t="shared" ca="1" si="676"/>
        <v>0.70482444008565126</v>
      </c>
      <c r="AT271" s="157">
        <f t="shared" ca="1" si="676"/>
        <v>3.0507023706690277</v>
      </c>
      <c r="AU271" s="157">
        <f t="shared" ca="1" si="676"/>
        <v>8.3555223087507375</v>
      </c>
      <c r="AV271" s="157">
        <f t="shared" ca="1" si="676"/>
        <v>7.1174466118647661</v>
      </c>
      <c r="AW271" s="157">
        <f t="shared" ca="1" si="676"/>
        <v>7.0006259481683832</v>
      </c>
      <c r="AX271" s="157">
        <f t="shared" ca="1" si="676"/>
        <v>8.5956045853873864</v>
      </c>
      <c r="AY271" s="157">
        <f t="shared" ca="1" si="676"/>
        <v>20.279914465054652</v>
      </c>
      <c r="AZ271" s="157">
        <f t="shared" ca="1" si="676"/>
        <v>32.52233522996719</v>
      </c>
      <c r="BA271" s="157">
        <f t="shared" ca="1" si="676"/>
        <v>50.452919544742123</v>
      </c>
      <c r="BB271" s="157">
        <f t="shared" ca="1" si="676"/>
        <v>36.655364351333539</v>
      </c>
      <c r="BC271" s="157">
        <f t="shared" ca="1" si="676"/>
        <v>44.619508255269146</v>
      </c>
      <c r="BD271" s="157">
        <f t="shared" ca="1" si="676"/>
        <v>50.695295941051235</v>
      </c>
      <c r="BE271" s="157">
        <f t="shared" ca="1" si="676"/>
        <v>55.050995382363112</v>
      </c>
      <c r="BF271" s="157">
        <f t="shared" si="676"/>
        <v>49.18759780152341</v>
      </c>
      <c r="BG271" s="157">
        <f t="shared" si="676"/>
        <v>57.888330264986713</v>
      </c>
      <c r="BH271" s="157">
        <f t="shared" si="676"/>
        <v>69.681170191024563</v>
      </c>
      <c r="BI271" s="157">
        <f t="shared" si="676"/>
        <v>56.951834299606546</v>
      </c>
      <c r="BJ271" s="157">
        <f t="shared" si="676"/>
        <v>77.300100333569972</v>
      </c>
      <c r="BK271" s="157">
        <f t="shared" si="676"/>
        <v>99.302901708452609</v>
      </c>
      <c r="BL271" s="157">
        <f t="shared" si="676"/>
        <v>91.959100197495246</v>
      </c>
      <c r="BM271" s="157">
        <f t="shared" si="676"/>
        <v>88.283282159350932</v>
      </c>
      <c r="BN271" s="157">
        <f t="shared" si="676"/>
        <v>87.266192007891178</v>
      </c>
      <c r="BO271" s="157">
        <v>100</v>
      </c>
      <c r="BP271" s="157">
        <f t="shared" ref="BP271:CC271" ca="1" si="677">BO271*(1+BP42/100)</f>
        <v>281.97414416736973</v>
      </c>
      <c r="BQ271" s="157">
        <f t="shared" ca="1" si="677"/>
        <v>332.30435986936703</v>
      </c>
      <c r="BR271" s="157">
        <f t="shared" ca="1" si="677"/>
        <v>339.85311137319042</v>
      </c>
      <c r="BS271" s="157">
        <f t="shared" ca="1" si="677"/>
        <v>377.49421295157566</v>
      </c>
      <c r="BT271" s="157">
        <f t="shared" ca="1" si="677"/>
        <v>615.13142359255539</v>
      </c>
      <c r="BU271" s="157">
        <f t="shared" ca="1" si="677"/>
        <v>1003.8944833030505</v>
      </c>
      <c r="BV271" s="157">
        <f t="shared" ca="1" si="677"/>
        <v>1023.9723729691116</v>
      </c>
      <c r="BW271" s="157">
        <f t="shared" ca="1" si="677"/>
        <v>1044.4518204284939</v>
      </c>
      <c r="BX271" s="157">
        <f t="shared" ca="1" si="677"/>
        <v>1065.3408568370637</v>
      </c>
      <c r="BY271" s="157">
        <f t="shared" ca="1" si="677"/>
        <v>1086.647673973805</v>
      </c>
      <c r="BZ271" s="157">
        <f t="shared" ca="1" si="677"/>
        <v>1108.380627453281</v>
      </c>
      <c r="CA271" s="157">
        <f t="shared" ca="1" si="677"/>
        <v>1130.5482400023466</v>
      </c>
      <c r="CB271" s="157">
        <f t="shared" ca="1" si="677"/>
        <v>1153.1592048023936</v>
      </c>
      <c r="CC271" s="157">
        <f t="shared" ca="1" si="677"/>
        <v>1176.2223888984415</v>
      </c>
      <c r="CD271" s="157">
        <f t="shared" ca="1" si="674"/>
        <v>1199.7468366764103</v>
      </c>
      <c r="CE271" s="157">
        <f t="shared" ca="1" si="674"/>
        <v>1223.7417734099386</v>
      </c>
      <c r="CF271" s="157">
        <f t="shared" ca="1" si="674"/>
        <v>1248.2166088781373</v>
      </c>
      <c r="CG271" s="157">
        <f t="shared" ca="1" si="674"/>
        <v>1273.1809410557</v>
      </c>
      <c r="CH271" s="253"/>
      <c r="CI271" s="106">
        <f ca="1">BQ271-DA271</f>
        <v>0</v>
      </c>
      <c r="CJ271" s="106">
        <f t="shared" ca="1" si="660"/>
        <v>0</v>
      </c>
      <c r="CK271" s="106">
        <f t="shared" ca="1" si="660"/>
        <v>0</v>
      </c>
      <c r="CL271" s="106">
        <f t="shared" ca="1" si="660"/>
        <v>0</v>
      </c>
      <c r="CM271" s="106">
        <f t="shared" ca="1" si="660"/>
        <v>125.48681041288125</v>
      </c>
      <c r="CN271" s="106">
        <f t="shared" ca="1" si="660"/>
        <v>127.99654662113892</v>
      </c>
      <c r="CO271" s="106">
        <f t="shared" ca="1" si="660"/>
        <v>130.55647755356176</v>
      </c>
      <c r="CP271" s="106">
        <f t="shared" ca="1" si="660"/>
        <v>133.16760710463291</v>
      </c>
      <c r="CQ271" s="106">
        <f t="shared" ca="1" si="660"/>
        <v>135.83095924672557</v>
      </c>
      <c r="CR271" s="106">
        <f t="shared" ca="1" si="660"/>
        <v>138.54757843165999</v>
      </c>
      <c r="CS271" s="106">
        <f t="shared" ca="1" si="660"/>
        <v>141.31853000029309</v>
      </c>
      <c r="CT271" s="106">
        <f t="shared" ca="1" si="660"/>
        <v>144.14490060029902</v>
      </c>
      <c r="CU271" s="106">
        <f t="shared" ca="1" si="660"/>
        <v>147.02779861230511</v>
      </c>
      <c r="CV271" s="106">
        <f t="shared" ca="1" si="661"/>
        <v>149.96835458455121</v>
      </c>
      <c r="CW271" s="106">
        <f t="shared" ca="1" si="662"/>
        <v>152.96772167624226</v>
      </c>
      <c r="CX271" s="106">
        <f t="shared" ca="1" si="663"/>
        <v>156.02707610976699</v>
      </c>
      <c r="CY271" s="106">
        <f t="shared" ca="1" si="664"/>
        <v>159.14761763196225</v>
      </c>
      <c r="DA271" s="391">
        <v>332.30435986936703</v>
      </c>
      <c r="DB271" s="391">
        <v>339.85311137319042</v>
      </c>
      <c r="DC271" s="391">
        <v>377.49421295157566</v>
      </c>
      <c r="DD271" s="391">
        <v>615.13142359255539</v>
      </c>
      <c r="DE271" s="104">
        <v>878.40767289016924</v>
      </c>
      <c r="DF271" s="104">
        <v>895.97582634797266</v>
      </c>
      <c r="DG271" s="104">
        <v>913.89534287493211</v>
      </c>
      <c r="DH271" s="104">
        <v>932.1732497324308</v>
      </c>
      <c r="DI271" s="104">
        <v>950.81671472707944</v>
      </c>
      <c r="DJ271" s="104">
        <v>969.83304902162104</v>
      </c>
      <c r="DK271" s="104">
        <v>989.22971000205348</v>
      </c>
      <c r="DL271" s="104">
        <v>1009.0143042020945</v>
      </c>
      <c r="DM271" s="104">
        <v>1029.1945902861364</v>
      </c>
      <c r="DN271" s="104">
        <v>1049.7784820918591</v>
      </c>
      <c r="DO271" s="104">
        <v>1070.7740517336963</v>
      </c>
      <c r="DP271" s="104">
        <v>1092.1895327683703</v>
      </c>
      <c r="DQ271" s="104">
        <v>1114.0333234237378</v>
      </c>
    </row>
    <row r="272" spans="1:121">
      <c r="A272" s="131" t="s">
        <v>3155</v>
      </c>
      <c r="F272" s="526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>
        <f t="shared" ref="BF272:BN272" si="678">+BG272/((1+BG35/100)/(1+BG40/100))</f>
        <v>53.514088485200219</v>
      </c>
      <c r="BG272" s="157">
        <f t="shared" si="678"/>
        <v>51.587809256500762</v>
      </c>
      <c r="BH272" s="157">
        <f t="shared" si="678"/>
        <v>55.951696889558853</v>
      </c>
      <c r="BI272" s="157">
        <f t="shared" si="678"/>
        <v>80.408460386908743</v>
      </c>
      <c r="BJ272" s="157">
        <f t="shared" si="678"/>
        <v>61.909756866145266</v>
      </c>
      <c r="BK272" s="157">
        <f t="shared" si="678"/>
        <v>70.169814206924372</v>
      </c>
      <c r="BL272" s="157">
        <f t="shared" si="678"/>
        <v>75.957015378629478</v>
      </c>
      <c r="BM272" s="157">
        <f t="shared" si="678"/>
        <v>79.794019248271596</v>
      </c>
      <c r="BN272" s="157">
        <f t="shared" si="678"/>
        <v>84.190832553788596</v>
      </c>
      <c r="BO272" s="157">
        <v>100</v>
      </c>
      <c r="BP272" s="157">
        <f t="shared" ref="BP272:CC272" ca="1" si="679">+BO272*(1+BP40/100)/(1+BP35/100)</f>
        <v>173.20046929301139</v>
      </c>
      <c r="BQ272" s="157">
        <f t="shared" ca="1" si="679"/>
        <v>167.89699666328517</v>
      </c>
      <c r="BR272" s="157">
        <f t="shared" ca="1" si="679"/>
        <v>161.35462716739977</v>
      </c>
      <c r="BS272" s="157">
        <f t="shared" ca="1" si="679"/>
        <v>147.45730689554716</v>
      </c>
      <c r="BT272" s="157">
        <f t="shared" ca="1" si="679"/>
        <v>175.8357562421134</v>
      </c>
      <c r="BU272" s="157">
        <f t="shared" ca="1" si="679"/>
        <v>188.63177301521094</v>
      </c>
      <c r="BV272" s="157">
        <f t="shared" ca="1" si="679"/>
        <v>167.61192917418512</v>
      </c>
      <c r="BW272" s="157">
        <f t="shared" ca="1" si="679"/>
        <v>158.37181772646576</v>
      </c>
      <c r="BX272" s="157">
        <f t="shared" ca="1" si="679"/>
        <v>154.167908155237</v>
      </c>
      <c r="BY272" s="157">
        <f t="shared" ca="1" si="679"/>
        <v>148.81665752244987</v>
      </c>
      <c r="BZ272" s="157">
        <f t="shared" ca="1" si="679"/>
        <v>142.75689627848035</v>
      </c>
      <c r="CA272" s="157">
        <f t="shared" ca="1" si="679"/>
        <v>136.09569635479735</v>
      </c>
      <c r="CB272" s="157">
        <f t="shared" ca="1" si="679"/>
        <v>128.7576285303584</v>
      </c>
      <c r="CC272" s="157">
        <f t="shared" ca="1" si="679"/>
        <v>120.68258710993328</v>
      </c>
      <c r="CD272" s="157">
        <f ca="1">+CC272*(1+CD40/100)/(1+CD35/100)</f>
        <v>111.81117941190824</v>
      </c>
      <c r="CE272" s="157">
        <f ca="1">+CD272*(1+CE40/100)/(1+CE35/100)</f>
        <v>102.10106988909001</v>
      </c>
      <c r="CF272" s="157">
        <f ca="1">+CE272*(1+CF40/100)/(1+CF35/100)</f>
        <v>91.549257696844236</v>
      </c>
      <c r="CG272" s="157">
        <f ca="1">+CF272*(1+CG40/100)/(1+CG35/100)</f>
        <v>80.222254753132702</v>
      </c>
      <c r="CH272" s="204"/>
      <c r="CI272" s="106">
        <f ca="1">BQ272-DA272</f>
        <v>0</v>
      </c>
      <c r="CJ272" s="106">
        <f t="shared" ca="1" si="660"/>
        <v>0</v>
      </c>
      <c r="CK272" s="106">
        <f t="shared" ca="1" si="660"/>
        <v>0</v>
      </c>
      <c r="CL272" s="106">
        <f t="shared" ca="1" si="660"/>
        <v>0</v>
      </c>
      <c r="CM272" s="106">
        <f t="shared" ca="1" si="660"/>
        <v>8.3374530061435337</v>
      </c>
      <c r="CN272" s="106">
        <f t="shared" ca="1" si="660"/>
        <v>2.2094002941962287</v>
      </c>
      <c r="CO272" s="106">
        <f t="shared" ca="1" si="660"/>
        <v>1.6078264004563323</v>
      </c>
      <c r="CP272" s="106">
        <f t="shared" ca="1" si="660"/>
        <v>2.0584880403781654</v>
      </c>
      <c r="CQ272" s="106">
        <f t="shared" ca="1" si="660"/>
        <v>2.7323699538296466</v>
      </c>
      <c r="CR272" s="106">
        <f t="shared" ca="1" si="660"/>
        <v>3.5359405098989498</v>
      </c>
      <c r="CS272" s="106">
        <f t="shared" ca="1" si="660"/>
        <v>3.8993835598101896</v>
      </c>
      <c r="CT272" s="106">
        <f t="shared" ca="1" si="660"/>
        <v>3.9274274645465681</v>
      </c>
      <c r="CU272" s="106">
        <f t="shared" ca="1" si="660"/>
        <v>4.2959535804271098</v>
      </c>
      <c r="CV272" s="106">
        <f t="shared" ca="1" si="661"/>
        <v>4.8035248149566598</v>
      </c>
      <c r="CW272" s="106">
        <f t="shared" ca="1" si="662"/>
        <v>5.3499640160592179</v>
      </c>
      <c r="CX272" s="106">
        <f t="shared" ca="1" si="663"/>
        <v>5.8695078282597137</v>
      </c>
      <c r="CY272" s="106">
        <f t="shared" ca="1" si="664"/>
        <v>6.2909692648215838</v>
      </c>
      <c r="DA272" s="382">
        <v>167.89699666328517</v>
      </c>
      <c r="DB272" s="382">
        <v>161.35462716739977</v>
      </c>
      <c r="DC272" s="382">
        <v>147.45730689554716</v>
      </c>
      <c r="DD272" s="382">
        <v>175.8357562421134</v>
      </c>
      <c r="DE272" s="104">
        <v>180.29432000906741</v>
      </c>
      <c r="DF272" s="104">
        <v>165.40252887998889</v>
      </c>
      <c r="DG272" s="104">
        <v>156.76399132600943</v>
      </c>
      <c r="DH272" s="104">
        <v>152.10942011485884</v>
      </c>
      <c r="DI272" s="104">
        <v>146.08428756862023</v>
      </c>
      <c r="DJ272" s="104">
        <v>139.2209557685814</v>
      </c>
      <c r="DK272" s="104">
        <v>132.19631279498716</v>
      </c>
      <c r="DL272" s="104">
        <v>124.83020106581183</v>
      </c>
      <c r="DM272" s="104">
        <v>116.38663352950617</v>
      </c>
      <c r="DN272" s="104">
        <v>107.00765459695158</v>
      </c>
      <c r="DO272" s="104">
        <v>96.751105873030795</v>
      </c>
      <c r="DP272" s="104">
        <v>85.679749868584523</v>
      </c>
      <c r="DQ272" s="104">
        <v>73.931285488311119</v>
      </c>
    </row>
    <row r="273" spans="1:121">
      <c r="A273" s="131" t="s">
        <v>1775</v>
      </c>
      <c r="F273" s="526">
        <f t="shared" ref="F273:AK273" si="680">G273/(1+G45/100)</f>
        <v>6.0533853807641386E-3</v>
      </c>
      <c r="G273" s="153">
        <f t="shared" si="680"/>
        <v>6.1139192345717802E-3</v>
      </c>
      <c r="H273" s="153">
        <f t="shared" si="680"/>
        <v>6.2349869425478736E-3</v>
      </c>
      <c r="I273" s="153">
        <f t="shared" si="680"/>
        <v>6.7694143947662627E-3</v>
      </c>
      <c r="J273" s="153">
        <f t="shared" si="680"/>
        <v>6.7694143947662627E-3</v>
      </c>
      <c r="K273" s="153">
        <f t="shared" si="680"/>
        <v>6.7694143947662627E-3</v>
      </c>
      <c r="L273" s="153">
        <f t="shared" si="680"/>
        <v>6.9475568788390594E-3</v>
      </c>
      <c r="M273" s="153">
        <f t="shared" si="680"/>
        <v>7.0663185348875902E-3</v>
      </c>
      <c r="N273" s="153">
        <f t="shared" si="680"/>
        <v>7.2444610189603877E-3</v>
      </c>
      <c r="O273" s="153">
        <f t="shared" si="680"/>
        <v>7.3632226750089185E-3</v>
      </c>
      <c r="P273" s="153">
        <f t="shared" si="680"/>
        <v>7.660126815130246E-3</v>
      </c>
      <c r="Q273" s="153">
        <f t="shared" si="680"/>
        <v>7.838269299203041E-3</v>
      </c>
      <c r="R273" s="153">
        <f t="shared" si="680"/>
        <v>7.9570309552515709E-3</v>
      </c>
      <c r="S273" s="153">
        <f t="shared" si="680"/>
        <v>8.5508392354942276E-3</v>
      </c>
      <c r="T273" s="153">
        <f t="shared" si="680"/>
        <v>8.5508392354942276E-3</v>
      </c>
      <c r="U273" s="153">
        <f t="shared" si="680"/>
        <v>8.6102200635184926E-3</v>
      </c>
      <c r="V273" s="153">
        <f t="shared" si="680"/>
        <v>8.7883625475912892E-3</v>
      </c>
      <c r="W273" s="153">
        <f t="shared" si="680"/>
        <v>8.7361984807720668E-3</v>
      </c>
      <c r="X273" s="153">
        <f t="shared" si="680"/>
        <v>8.9491304882491907E-3</v>
      </c>
      <c r="Y273" s="153">
        <f t="shared" si="680"/>
        <v>1.0030893556505138E-2</v>
      </c>
      <c r="Z273" s="153">
        <f t="shared" si="680"/>
        <v>1.163173185806623E-2</v>
      </c>
      <c r="AA273" s="153">
        <f t="shared" si="680"/>
        <v>1.2503128307796528E-2</v>
      </c>
      <c r="AB273" s="153">
        <f t="shared" si="680"/>
        <v>1.3378347289342283E-2</v>
      </c>
      <c r="AC273" s="153">
        <f t="shared" si="680"/>
        <v>1.5628910384745658E-2</v>
      </c>
      <c r="AD273" s="153">
        <f t="shared" si="680"/>
        <v>1.6504129366291417E-2</v>
      </c>
      <c r="AE273" s="153">
        <f t="shared" si="680"/>
        <v>1.9004755027850723E-2</v>
      </c>
      <c r="AF273" s="153">
        <f t="shared" si="680"/>
        <v>2.0880224274020202E-2</v>
      </c>
      <c r="AG273" s="153">
        <f t="shared" si="680"/>
        <v>2.2698518647876666E-2</v>
      </c>
      <c r="AH273" s="153">
        <f t="shared" si="680"/>
        <v>2.4892064848294482E-2</v>
      </c>
      <c r="AI273" s="153">
        <f t="shared" si="680"/>
        <v>2.5193448204810572E-2</v>
      </c>
      <c r="AJ273" s="153">
        <f t="shared" si="680"/>
        <v>2.5230205651361432E-2</v>
      </c>
      <c r="AK273" s="153">
        <f t="shared" si="680"/>
        <v>2.5535522485719331E-2</v>
      </c>
      <c r="AL273" s="153">
        <f t="shared" ref="AL273:BN273" si="681">AM273/(1+AM45/100)</f>
        <v>2.6527196839681067E-2</v>
      </c>
      <c r="AM273" s="153">
        <f t="shared" si="681"/>
        <v>3.1468037815845909E-2</v>
      </c>
      <c r="AN273" s="153">
        <f t="shared" si="681"/>
        <v>3.4312407469983125E-2</v>
      </c>
      <c r="AO273" s="153">
        <f t="shared" si="681"/>
        <v>3.8275281115488453E-2</v>
      </c>
      <c r="AP273" s="153">
        <f t="shared" si="681"/>
        <v>4.7444118553121535E-2</v>
      </c>
      <c r="AQ273" s="153">
        <f t="shared" si="681"/>
        <v>5.3026704594340682E-2</v>
      </c>
      <c r="AR273" s="153">
        <f t="shared" si="681"/>
        <v>7.1096017286307656E-2</v>
      </c>
      <c r="AS273" s="157">
        <f t="shared" si="681"/>
        <v>0.19390276449551924</v>
      </c>
      <c r="AT273" s="157">
        <f t="shared" si="681"/>
        <v>1.094998613477566</v>
      </c>
      <c r="AU273" s="157">
        <f t="shared" si="681"/>
        <v>3.7969581236739423</v>
      </c>
      <c r="AV273" s="157">
        <f t="shared" si="681"/>
        <v>4.2147041056333299</v>
      </c>
      <c r="AW273" s="157">
        <f t="shared" si="681"/>
        <v>4.6224311235868631</v>
      </c>
      <c r="AX273" s="157">
        <f t="shared" si="681"/>
        <v>5.0423796786205726</v>
      </c>
      <c r="AY273" s="157">
        <f t="shared" si="681"/>
        <v>8.7453347693237866</v>
      </c>
      <c r="AZ273" s="157">
        <f t="shared" si="681"/>
        <v>14.142734601311611</v>
      </c>
      <c r="BA273" s="157">
        <f t="shared" si="681"/>
        <v>19.38595189540462</v>
      </c>
      <c r="BB273" s="157">
        <f t="shared" si="681"/>
        <v>26.802407650604568</v>
      </c>
      <c r="BC273" s="157">
        <f t="shared" si="681"/>
        <v>32.584795297553676</v>
      </c>
      <c r="BD273" s="157">
        <f t="shared" si="681"/>
        <v>37.049659586149247</v>
      </c>
      <c r="BE273" s="157">
        <f t="shared" si="681"/>
        <v>40.666841945341439</v>
      </c>
      <c r="BF273" s="157">
        <f t="shared" si="681"/>
        <v>56.540504410397013</v>
      </c>
      <c r="BG273" s="157">
        <f t="shared" si="681"/>
        <v>60.173684821426292</v>
      </c>
      <c r="BH273" s="157">
        <f t="shared" si="681"/>
        <v>69.54734464782446</v>
      </c>
      <c r="BI273" s="157">
        <f t="shared" si="681"/>
        <v>74.068403880273181</v>
      </c>
      <c r="BJ273" s="157">
        <f t="shared" si="681"/>
        <v>79.419298581723638</v>
      </c>
      <c r="BK273" s="157">
        <f t="shared" si="681"/>
        <v>90.947088026845577</v>
      </c>
      <c r="BL273" s="157">
        <f t="shared" si="681"/>
        <v>100.14553264307932</v>
      </c>
      <c r="BM273" s="157">
        <f t="shared" si="681"/>
        <v>100.52985772828973</v>
      </c>
      <c r="BN273" s="157">
        <f t="shared" si="681"/>
        <v>102.0119447454731</v>
      </c>
      <c r="BO273" s="157">
        <v>100</v>
      </c>
      <c r="BP273" s="157">
        <f t="shared" ref="BP273:CC273" si="682">BO273*(1+BP45/100)</f>
        <v>126.16398893898671</v>
      </c>
      <c r="BQ273" s="157">
        <f t="shared" si="682"/>
        <v>152.90480055008112</v>
      </c>
      <c r="BR273" s="157">
        <f t="shared" si="682"/>
        <v>159.97521498317101</v>
      </c>
      <c r="BS273" s="157">
        <f t="shared" si="682"/>
        <v>170.41167544085525</v>
      </c>
      <c r="BT273" s="157">
        <f t="shared" ca="1" si="682"/>
        <v>236.33318956121428</v>
      </c>
      <c r="BU273" s="157">
        <f t="shared" ca="1" si="682"/>
        <v>418.38795007377462</v>
      </c>
      <c r="BV273" s="157">
        <f t="shared" ca="1" si="682"/>
        <v>474.19907716764908</v>
      </c>
      <c r="BW273" s="157">
        <f t="shared" ca="1" si="682"/>
        <v>510.6022915828359</v>
      </c>
      <c r="BX273" s="157">
        <f t="shared" ca="1" si="682"/>
        <v>533.46843377089249</v>
      </c>
      <c r="BY273" s="157">
        <f t="shared" ca="1" si="682"/>
        <v>569.29406257742608</v>
      </c>
      <c r="BZ273" s="157">
        <f t="shared" ca="1" si="682"/>
        <v>611.74368344497861</v>
      </c>
      <c r="CA273" s="157">
        <f t="shared" ca="1" si="682"/>
        <v>662.04660428008572</v>
      </c>
      <c r="CB273" s="157">
        <f t="shared" ca="1" si="682"/>
        <v>722.90531530388046</v>
      </c>
      <c r="CC273" s="157">
        <f t="shared" ca="1" si="682"/>
        <v>798.14438837116393</v>
      </c>
      <c r="CD273" s="157">
        <f ca="1">CC273*(1+CD45/100)</f>
        <v>893.5498561379851</v>
      </c>
      <c r="CE273" s="157">
        <f ca="1">CD273*(1+CE45/100)</f>
        <v>1018.0811715254704</v>
      </c>
      <c r="CF273" s="157">
        <f ca="1">CE273*(1+CF45/100)</f>
        <v>1186.0264970411979</v>
      </c>
      <c r="CG273" s="157">
        <f ca="1">CF273*(1+CG45/100)</f>
        <v>1420.9567005020965</v>
      </c>
      <c r="CH273" s="253"/>
      <c r="CI273" s="106">
        <f t="shared" si="659"/>
        <v>0</v>
      </c>
      <c r="CJ273" s="106">
        <f t="shared" si="660"/>
        <v>0</v>
      </c>
      <c r="CK273" s="106">
        <f t="shared" si="660"/>
        <v>0</v>
      </c>
      <c r="CL273" s="106">
        <f t="shared" ca="1" si="660"/>
        <v>0</v>
      </c>
      <c r="CM273" s="106">
        <f t="shared" ca="1" si="660"/>
        <v>35.379333948925193</v>
      </c>
      <c r="CN273" s="106">
        <f t="shared" ca="1" si="660"/>
        <v>50.46163522941157</v>
      </c>
      <c r="CO273" s="106">
        <f t="shared" ca="1" si="660"/>
        <v>54.102276049491138</v>
      </c>
      <c r="CP273" s="106">
        <f t="shared" ca="1" si="660"/>
        <v>54.013939538619695</v>
      </c>
      <c r="CQ273" s="106">
        <f t="shared" ca="1" si="660"/>
        <v>54.197644120222208</v>
      </c>
      <c r="CR273" s="106">
        <f t="shared" ca="1" si="660"/>
        <v>53.677586841319453</v>
      </c>
      <c r="CS273" s="106">
        <f t="shared" ca="1" si="660"/>
        <v>55.46969325617988</v>
      </c>
      <c r="CT273" s="106">
        <f t="shared" ca="1" si="660"/>
        <v>59.43509327013669</v>
      </c>
      <c r="CU273" s="106">
        <f t="shared" ca="1" si="660"/>
        <v>61.757298832102606</v>
      </c>
      <c r="CV273" s="106">
        <f t="shared" ca="1" si="661"/>
        <v>62.827506985503533</v>
      </c>
      <c r="CW273" s="106">
        <f t="shared" ca="1" si="662"/>
        <v>62.221938724233951</v>
      </c>
      <c r="CX273" s="106">
        <f t="shared" ca="1" si="663"/>
        <v>58.604402570202183</v>
      </c>
      <c r="CY273" s="106">
        <f t="shared" ca="1" si="664"/>
        <v>49.191191140334922</v>
      </c>
      <c r="DA273" s="391">
        <v>152.90480055008112</v>
      </c>
      <c r="DB273" s="391">
        <v>159.97521498317101</v>
      </c>
      <c r="DC273" s="391">
        <v>170.41167544085525</v>
      </c>
      <c r="DD273" s="391">
        <v>236.33318956121428</v>
      </c>
      <c r="DE273" s="104">
        <v>383.00861612484942</v>
      </c>
      <c r="DF273" s="104">
        <v>423.73744193823751</v>
      </c>
      <c r="DG273" s="104">
        <v>456.50001553334477</v>
      </c>
      <c r="DH273" s="104">
        <v>479.45449423227279</v>
      </c>
      <c r="DI273" s="104">
        <v>515.09641845720387</v>
      </c>
      <c r="DJ273" s="104">
        <v>558.06609660365916</v>
      </c>
      <c r="DK273" s="104">
        <v>606.57691102390584</v>
      </c>
      <c r="DL273" s="104">
        <v>663.47022203374377</v>
      </c>
      <c r="DM273" s="104">
        <v>736.38708953906132</v>
      </c>
      <c r="DN273" s="104">
        <v>830.72234915248157</v>
      </c>
      <c r="DO273" s="104">
        <v>955.85923280123643</v>
      </c>
      <c r="DP273" s="104">
        <v>1127.4220944709957</v>
      </c>
      <c r="DQ273" s="104">
        <v>1371.7655093617616</v>
      </c>
    </row>
    <row r="274" spans="1:121">
      <c r="A274" s="107" t="s">
        <v>2020</v>
      </c>
      <c r="BI274" s="133"/>
      <c r="BJ274" s="133"/>
      <c r="BK274" s="133"/>
      <c r="BL274" s="133"/>
      <c r="BM274" s="133"/>
      <c r="BN274" s="133"/>
      <c r="BO274" s="157">
        <v>100</v>
      </c>
      <c r="BP274" s="157">
        <f t="shared" ref="BP274:BZ274" si="683">+BO274*(1+BP195/100)</f>
        <v>103.75700000000001</v>
      </c>
      <c r="BQ274" s="157">
        <f t="shared" si="683"/>
        <v>105.83214000000001</v>
      </c>
      <c r="BR274" s="157">
        <f t="shared" si="683"/>
        <v>107.94878280000002</v>
      </c>
      <c r="BS274" s="157">
        <f t="shared" si="683"/>
        <v>110.10775845600001</v>
      </c>
      <c r="BT274" s="157">
        <f t="shared" si="683"/>
        <v>112.30991362512002</v>
      </c>
      <c r="BU274" s="157">
        <f t="shared" si="683"/>
        <v>114.55611189762242</v>
      </c>
      <c r="BV274" s="157">
        <f t="shared" si="683"/>
        <v>116.84723413557487</v>
      </c>
      <c r="BW274" s="157">
        <f t="shared" si="683"/>
        <v>119.18417881828637</v>
      </c>
      <c r="BX274" s="157">
        <f t="shared" si="683"/>
        <v>121.5678623946521</v>
      </c>
      <c r="BY274" s="157">
        <f t="shared" si="683"/>
        <v>123.99921964254514</v>
      </c>
      <c r="BZ274" s="157">
        <f t="shared" si="683"/>
        <v>126.47920403539605</v>
      </c>
      <c r="CA274" s="157">
        <f t="shared" ref="CA274:CG274" si="684">+BZ274*(1+CA195/100)</f>
        <v>129.00878811610397</v>
      </c>
      <c r="CB274" s="157">
        <f t="shared" si="684"/>
        <v>131.58896387842606</v>
      </c>
      <c r="CC274" s="157">
        <f t="shared" si="684"/>
        <v>134.22074315599457</v>
      </c>
      <c r="CD274" s="157">
        <f t="shared" si="684"/>
        <v>136.90515801911445</v>
      </c>
      <c r="CE274" s="157">
        <f t="shared" si="684"/>
        <v>139.64326117949673</v>
      </c>
      <c r="CF274" s="157">
        <f t="shared" si="684"/>
        <v>142.43612640308666</v>
      </c>
      <c r="CG274" s="157">
        <f t="shared" si="684"/>
        <v>145.28484893114839</v>
      </c>
      <c r="DA274" s="104">
        <v>105.83214000000001</v>
      </c>
      <c r="DB274" s="104">
        <v>107.94878280000002</v>
      </c>
      <c r="DC274" s="104">
        <v>110.10775845600001</v>
      </c>
      <c r="DD274" s="104">
        <v>112.30991362512002</v>
      </c>
      <c r="DE274" s="104">
        <v>114.55611189762242</v>
      </c>
      <c r="DF274" s="104">
        <v>116.84723413557487</v>
      </c>
      <c r="DG274" s="104">
        <v>119.18417881828637</v>
      </c>
      <c r="DH274" s="104">
        <v>121.5678623946521</v>
      </c>
      <c r="DI274" s="104">
        <v>123.99921964254514</v>
      </c>
      <c r="DJ274" s="104">
        <v>126.47920403539605</v>
      </c>
      <c r="DK274" s="104">
        <v>129.00878811610397</v>
      </c>
      <c r="DL274" s="104">
        <v>131.58896387842606</v>
      </c>
      <c r="DM274" s="104">
        <v>134.22074315599457</v>
      </c>
      <c r="DN274" s="104">
        <v>136.90515801911445</v>
      </c>
      <c r="DO274" s="104">
        <v>139.64326117949673</v>
      </c>
      <c r="DP274" s="104">
        <v>142.43612640308666</v>
      </c>
      <c r="DQ274" s="104">
        <v>145.28484893114839</v>
      </c>
    </row>
    <row r="275" spans="1:121" s="141" customFormat="1">
      <c r="A275" s="200" t="s">
        <v>3143</v>
      </c>
      <c r="B275" s="200"/>
      <c r="C275" s="200"/>
      <c r="D275" s="185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00"/>
      <c r="BN275" s="200"/>
      <c r="BO275" s="200"/>
      <c r="BP275" s="200"/>
      <c r="BQ275" s="200"/>
      <c r="BR275" s="200"/>
      <c r="BS275" s="200"/>
      <c r="BT275" s="200"/>
      <c r="BU275" s="200"/>
      <c r="BV275" s="200"/>
      <c r="BW275" s="200"/>
      <c r="BX275" s="200"/>
      <c r="BY275" s="200"/>
      <c r="BZ275" s="200"/>
      <c r="CA275" s="200"/>
      <c r="CB275" s="200"/>
      <c r="CC275" s="200"/>
      <c r="CD275" s="200"/>
      <c r="CE275" s="200"/>
      <c r="CF275" s="200"/>
      <c r="CG275" s="200"/>
      <c r="CH275" s="100"/>
      <c r="CI275" s="200"/>
      <c r="CJ275" s="200"/>
      <c r="CK275" s="200"/>
      <c r="CL275" s="200"/>
      <c r="CM275" s="200"/>
      <c r="CN275" s="200"/>
      <c r="CO275" s="200"/>
      <c r="CP275" s="200"/>
      <c r="CQ275" s="200"/>
      <c r="CR275" s="200"/>
      <c r="CS275" s="200"/>
      <c r="CT275" s="200"/>
      <c r="CU275" s="200"/>
      <c r="CV275" s="200"/>
      <c r="CW275" s="200"/>
      <c r="CX275" s="200"/>
      <c r="CY275" s="200"/>
      <c r="CZ275" s="216"/>
      <c r="DA275" s="392"/>
      <c r="DB275" s="392"/>
      <c r="DC275" s="392"/>
      <c r="DD275" s="392"/>
      <c r="DE275" s="392"/>
      <c r="DF275" s="392"/>
      <c r="DG275" s="393"/>
      <c r="DH275" s="393"/>
      <c r="DI275" s="393"/>
      <c r="DJ275" s="393"/>
      <c r="DK275" s="393"/>
      <c r="DL275" s="393"/>
      <c r="DM275" s="393"/>
      <c r="DN275" s="393"/>
      <c r="DO275" s="210"/>
      <c r="DP275" s="210"/>
      <c r="DQ275" s="210"/>
    </row>
    <row r="276" spans="1:121" s="123" customFormat="1">
      <c r="A276" s="226" t="s">
        <v>1323</v>
      </c>
      <c r="B276" s="217"/>
      <c r="C276" s="217"/>
      <c r="D276" s="102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1"/>
      <c r="AK276" s="141"/>
      <c r="AL276" s="141"/>
      <c r="AM276" s="141"/>
      <c r="AN276" s="141"/>
      <c r="CH276" s="141"/>
      <c r="CI276" s="161"/>
      <c r="CJ276" s="161"/>
      <c r="CK276" s="161"/>
      <c r="CL276" s="161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218"/>
      <c r="DA276" s="135"/>
      <c r="DB276" s="135"/>
      <c r="DC276" s="135"/>
      <c r="DD276" s="135"/>
      <c r="DE276" s="135"/>
      <c r="DF276" s="135"/>
      <c r="DG276" s="135"/>
      <c r="DH276" s="135"/>
      <c r="DI276" s="135"/>
      <c r="DJ276" s="135"/>
      <c r="DK276" s="135"/>
      <c r="DL276" s="135"/>
      <c r="DM276" s="135"/>
      <c r="DN276" s="135"/>
      <c r="DO276" s="135"/>
      <c r="DP276" s="135"/>
      <c r="DQ276" s="135"/>
    </row>
    <row r="277" spans="1:121" s="123" customFormat="1">
      <c r="A277" s="141" t="s">
        <v>2389</v>
      </c>
      <c r="B277" s="107"/>
      <c r="C277" s="136" t="s">
        <v>1349</v>
      </c>
      <c r="D277" s="147"/>
      <c r="E277" s="107"/>
      <c r="F277" s="106">
        <f t="shared" ref="F277:BF277" si="685">F194</f>
        <v>0.9</v>
      </c>
      <c r="G277" s="106">
        <f t="shared" si="685"/>
        <v>1.7</v>
      </c>
      <c r="H277" s="106">
        <f t="shared" si="685"/>
        <v>2.6600000858306885</v>
      </c>
      <c r="I277" s="106">
        <f t="shared" si="685"/>
        <v>3.2599999904632568</v>
      </c>
      <c r="J277" s="106">
        <f t="shared" si="685"/>
        <v>1.8400000333786011</v>
      </c>
      <c r="K277" s="106">
        <f t="shared" si="685"/>
        <v>3.4200000762939453</v>
      </c>
      <c r="L277" s="106">
        <f t="shared" si="685"/>
        <v>2.940000057220459</v>
      </c>
      <c r="M277" s="106">
        <f t="shared" si="685"/>
        <v>2.380000114440918</v>
      </c>
      <c r="N277" s="106">
        <f t="shared" si="685"/>
        <v>2.7799999713897705</v>
      </c>
      <c r="O277" s="106">
        <f t="shared" si="685"/>
        <v>3.1600000858306885</v>
      </c>
      <c r="P277" s="106">
        <f t="shared" si="685"/>
        <v>3.5499999523162842</v>
      </c>
      <c r="Q277" s="106">
        <f t="shared" si="685"/>
        <v>3.9500000476837158</v>
      </c>
      <c r="R277" s="106">
        <f t="shared" si="685"/>
        <v>4.880000114440918</v>
      </c>
      <c r="S277" s="106">
        <f t="shared" si="685"/>
        <v>4.3299999237060547</v>
      </c>
      <c r="T277" s="106">
        <f t="shared" si="685"/>
        <v>5.3499999046325684</v>
      </c>
      <c r="U277" s="106">
        <f t="shared" si="685"/>
        <v>6.690000057220459</v>
      </c>
      <c r="V277" s="106">
        <f t="shared" si="685"/>
        <v>6.440000057220459</v>
      </c>
      <c r="W277" s="106">
        <f t="shared" si="685"/>
        <v>4.3400001525878906</v>
      </c>
      <c r="X277" s="106">
        <f t="shared" si="685"/>
        <v>4.070000171661377</v>
      </c>
      <c r="Y277" s="106">
        <f t="shared" si="685"/>
        <v>7.0300002098083496</v>
      </c>
      <c r="Z277" s="106">
        <f t="shared" si="685"/>
        <v>7.869999885559082</v>
      </c>
      <c r="AA277" s="106">
        <f t="shared" si="685"/>
        <v>5.820000171661377</v>
      </c>
      <c r="AB277" s="106">
        <f t="shared" si="685"/>
        <v>4.9899997711181641</v>
      </c>
      <c r="AC277" s="106">
        <f t="shared" si="685"/>
        <v>5.2699999809265137</v>
      </c>
      <c r="AD277" s="106">
        <f t="shared" si="685"/>
        <v>7.2199997901916504</v>
      </c>
      <c r="AE277" s="106">
        <f t="shared" si="685"/>
        <v>10.039999961853027</v>
      </c>
      <c r="AF277" s="106">
        <f t="shared" si="685"/>
        <v>11.619999885559082</v>
      </c>
      <c r="AG277" s="106">
        <f t="shared" si="685"/>
        <v>11.619999885559082</v>
      </c>
      <c r="AH277" s="106">
        <f t="shared" si="685"/>
        <v>10.720000267028809</v>
      </c>
      <c r="AI277" s="106">
        <f t="shared" si="685"/>
        <v>8.619999885559082</v>
      </c>
      <c r="AJ277" s="106">
        <f t="shared" si="685"/>
        <v>9.5699996948242188</v>
      </c>
      <c r="AK277" s="106">
        <f t="shared" si="685"/>
        <v>7.4899997711181641</v>
      </c>
      <c r="AL277" s="106">
        <f t="shared" si="685"/>
        <v>5.9699997901916504</v>
      </c>
      <c r="AM277" s="106">
        <f t="shared" si="685"/>
        <v>5.8299999237060547</v>
      </c>
      <c r="AN277" s="106">
        <f t="shared" si="685"/>
        <v>6.6999998092651367</v>
      </c>
      <c r="AO277" s="106">
        <f t="shared" si="685"/>
        <v>8.1000003814697266</v>
      </c>
      <c r="AP277" s="106">
        <f t="shared" si="685"/>
        <v>7.5</v>
      </c>
      <c r="AQ277" s="106">
        <f t="shared" si="685"/>
        <v>7.9</v>
      </c>
      <c r="AR277" s="106">
        <f t="shared" si="685"/>
        <v>7</v>
      </c>
      <c r="AS277" s="106">
        <f t="shared" si="685"/>
        <v>5.9</v>
      </c>
      <c r="AT277" s="106">
        <f t="shared" si="685"/>
        <v>7.1</v>
      </c>
      <c r="AU277" s="106">
        <f t="shared" si="685"/>
        <v>6.6</v>
      </c>
      <c r="AV277" s="106">
        <f t="shared" si="685"/>
        <v>6.4</v>
      </c>
      <c r="AW277" s="106">
        <f t="shared" si="685"/>
        <v>6.4</v>
      </c>
      <c r="AX277" s="106">
        <f t="shared" si="685"/>
        <v>5.3</v>
      </c>
      <c r="AY277" s="106">
        <f t="shared" si="685"/>
        <v>5.6</v>
      </c>
      <c r="AZ277" s="106">
        <f t="shared" si="685"/>
        <v>6</v>
      </c>
      <c r="BA277" s="106">
        <f t="shared" si="685"/>
        <v>5</v>
      </c>
      <c r="BB277" s="106">
        <f t="shared" si="685"/>
        <v>4.5999999999999996</v>
      </c>
      <c r="BC277" s="106">
        <f t="shared" si="685"/>
        <v>4</v>
      </c>
      <c r="BD277" s="106">
        <f t="shared" si="685"/>
        <v>4.3</v>
      </c>
      <c r="BE277" s="106">
        <f t="shared" si="685"/>
        <v>4.5</v>
      </c>
      <c r="BF277" s="106">
        <f t="shared" si="685"/>
        <v>3</v>
      </c>
      <c r="BG277" s="106">
        <f t="shared" ref="BG277:CG277" si="686">BG194</f>
        <v>3</v>
      </c>
      <c r="BH277" s="106">
        <f t="shared" si="686"/>
        <v>3</v>
      </c>
      <c r="BI277" s="106">
        <f t="shared" si="686"/>
        <v>3</v>
      </c>
      <c r="BJ277" s="106">
        <f t="shared" si="686"/>
        <v>3</v>
      </c>
      <c r="BK277" s="106">
        <f t="shared" si="686"/>
        <v>3</v>
      </c>
      <c r="BL277" s="106">
        <f t="shared" si="686"/>
        <v>3</v>
      </c>
      <c r="BM277" s="106">
        <f t="shared" si="686"/>
        <v>3</v>
      </c>
      <c r="BN277" s="106">
        <f t="shared" si="686"/>
        <v>3</v>
      </c>
      <c r="BO277" s="106">
        <f t="shared" si="686"/>
        <v>3</v>
      </c>
      <c r="BP277" s="106">
        <f t="shared" si="686"/>
        <v>9</v>
      </c>
      <c r="BQ277" s="106">
        <f t="shared" si="686"/>
        <v>9</v>
      </c>
      <c r="BR277" s="106">
        <f t="shared" si="686"/>
        <v>9</v>
      </c>
      <c r="BS277" s="106">
        <f t="shared" si="686"/>
        <v>9</v>
      </c>
      <c r="BT277" s="106">
        <f t="shared" si="686"/>
        <v>9</v>
      </c>
      <c r="BU277" s="106">
        <f t="shared" si="686"/>
        <v>9</v>
      </c>
      <c r="BV277" s="106">
        <f t="shared" si="686"/>
        <v>9</v>
      </c>
      <c r="BW277" s="106">
        <f t="shared" si="686"/>
        <v>9</v>
      </c>
      <c r="BX277" s="106">
        <f t="shared" si="686"/>
        <v>9</v>
      </c>
      <c r="BY277" s="106">
        <f t="shared" si="686"/>
        <v>9</v>
      </c>
      <c r="BZ277" s="106">
        <f t="shared" si="686"/>
        <v>9</v>
      </c>
      <c r="CA277" s="106">
        <f t="shared" si="686"/>
        <v>9</v>
      </c>
      <c r="CB277" s="106">
        <f t="shared" si="686"/>
        <v>9</v>
      </c>
      <c r="CC277" s="106">
        <f t="shared" si="686"/>
        <v>9</v>
      </c>
      <c r="CD277" s="106">
        <f t="shared" si="686"/>
        <v>9</v>
      </c>
      <c r="CE277" s="106">
        <f t="shared" si="686"/>
        <v>9</v>
      </c>
      <c r="CF277" s="106">
        <f t="shared" si="686"/>
        <v>9</v>
      </c>
      <c r="CG277" s="106">
        <f t="shared" si="686"/>
        <v>9</v>
      </c>
      <c r="CH277" s="141"/>
      <c r="CI277" s="159">
        <f t="shared" ref="CI277:CR279" si="687">BQ277-DA277</f>
        <v>0</v>
      </c>
      <c r="CJ277" s="159">
        <f t="shared" si="687"/>
        <v>0</v>
      </c>
      <c r="CK277" s="159">
        <f t="shared" si="687"/>
        <v>0</v>
      </c>
      <c r="CL277" s="159">
        <f t="shared" si="687"/>
        <v>0</v>
      </c>
      <c r="CM277" s="159">
        <f t="shared" si="687"/>
        <v>0</v>
      </c>
      <c r="CN277" s="159">
        <f t="shared" si="687"/>
        <v>0</v>
      </c>
      <c r="CO277" s="159">
        <f t="shared" si="687"/>
        <v>0</v>
      </c>
      <c r="CP277" s="159">
        <f t="shared" si="687"/>
        <v>0</v>
      </c>
      <c r="CQ277" s="159">
        <f t="shared" si="687"/>
        <v>0</v>
      </c>
      <c r="CR277" s="159">
        <f t="shared" si="687"/>
        <v>0</v>
      </c>
      <c r="CS277" s="159">
        <f t="shared" ref="CS277:CY279" si="688">CA277-DK277</f>
        <v>0</v>
      </c>
      <c r="CT277" s="159">
        <f t="shared" si="688"/>
        <v>0</v>
      </c>
      <c r="CU277" s="159">
        <f t="shared" si="688"/>
        <v>0</v>
      </c>
      <c r="CV277" s="159">
        <f t="shared" si="688"/>
        <v>0</v>
      </c>
      <c r="CW277" s="159">
        <f t="shared" si="688"/>
        <v>0</v>
      </c>
      <c r="CX277" s="159">
        <f t="shared" si="688"/>
        <v>0</v>
      </c>
      <c r="CY277" s="159">
        <f t="shared" si="688"/>
        <v>0</v>
      </c>
      <c r="CZ277" s="134"/>
      <c r="DA277" s="135">
        <v>9</v>
      </c>
      <c r="DB277" s="135">
        <v>9</v>
      </c>
      <c r="DC277" s="135">
        <v>9</v>
      </c>
      <c r="DD277" s="135">
        <v>9</v>
      </c>
      <c r="DE277" s="135">
        <v>9</v>
      </c>
      <c r="DF277" s="135">
        <v>9</v>
      </c>
      <c r="DG277" s="135">
        <v>9</v>
      </c>
      <c r="DH277" s="135">
        <v>9</v>
      </c>
      <c r="DI277" s="135">
        <v>9</v>
      </c>
      <c r="DJ277" s="135">
        <v>9</v>
      </c>
      <c r="DK277" s="135">
        <v>9</v>
      </c>
      <c r="DL277" s="135">
        <v>9</v>
      </c>
      <c r="DM277" s="135">
        <v>9</v>
      </c>
      <c r="DN277" s="135">
        <v>9</v>
      </c>
      <c r="DO277" s="135">
        <v>9</v>
      </c>
      <c r="DP277" s="135">
        <v>9</v>
      </c>
      <c r="DQ277" s="135">
        <v>9</v>
      </c>
    </row>
    <row r="278" spans="1:121" s="123" customFormat="1">
      <c r="A278" s="141" t="s">
        <v>1281</v>
      </c>
      <c r="B278" s="107"/>
      <c r="C278" s="136" t="s">
        <v>1349</v>
      </c>
      <c r="D278" s="147"/>
      <c r="E278" s="107"/>
      <c r="F278" s="106" t="str">
        <f t="shared" ref="F278:BF278" si="689">F195</f>
        <v xml:space="preserve"> </v>
      </c>
      <c r="G278" s="106" t="str">
        <f t="shared" si="689"/>
        <v xml:space="preserve"> </v>
      </c>
      <c r="H278" s="106" t="str">
        <f t="shared" si="689"/>
        <v xml:space="preserve"> </v>
      </c>
      <c r="I278" s="106" t="str">
        <f t="shared" si="689"/>
        <v xml:space="preserve"> </v>
      </c>
      <c r="J278" s="106" t="str">
        <f t="shared" si="689"/>
        <v xml:space="preserve"> </v>
      </c>
      <c r="K278" s="106" t="str">
        <f t="shared" si="689"/>
        <v xml:space="preserve"> </v>
      </c>
      <c r="L278" s="106" t="str">
        <f t="shared" si="689"/>
        <v xml:space="preserve"> </v>
      </c>
      <c r="M278" s="106" t="str">
        <f t="shared" si="689"/>
        <v xml:space="preserve"> </v>
      </c>
      <c r="N278" s="106" t="str">
        <f t="shared" si="689"/>
        <v xml:space="preserve"> </v>
      </c>
      <c r="O278" s="106" t="str">
        <f t="shared" si="689"/>
        <v xml:space="preserve"> </v>
      </c>
      <c r="P278" s="106" t="str">
        <f t="shared" si="689"/>
        <v xml:space="preserve"> </v>
      </c>
      <c r="Q278" s="106" t="str">
        <f t="shared" si="689"/>
        <v xml:space="preserve"> </v>
      </c>
      <c r="R278" s="106" t="str">
        <f t="shared" si="689"/>
        <v xml:space="preserve"> </v>
      </c>
      <c r="S278" s="106" t="str">
        <f t="shared" si="689"/>
        <v xml:space="preserve"> </v>
      </c>
      <c r="T278" s="106" t="str">
        <f t="shared" si="689"/>
        <v xml:space="preserve"> </v>
      </c>
      <c r="U278" s="106" t="str">
        <f t="shared" si="689"/>
        <v xml:space="preserve"> </v>
      </c>
      <c r="V278" s="106" t="str">
        <f t="shared" si="689"/>
        <v xml:space="preserve"> </v>
      </c>
      <c r="W278" s="106" t="str">
        <f t="shared" si="689"/>
        <v xml:space="preserve"> </v>
      </c>
      <c r="X278" s="106" t="str">
        <f t="shared" si="689"/>
        <v xml:space="preserve"> </v>
      </c>
      <c r="Y278" s="106" t="str">
        <f t="shared" si="689"/>
        <v xml:space="preserve"> </v>
      </c>
      <c r="Z278" s="106" t="str">
        <f t="shared" si="689"/>
        <v xml:space="preserve"> </v>
      </c>
      <c r="AA278" s="106" t="str">
        <f t="shared" si="689"/>
        <v xml:space="preserve"> </v>
      </c>
      <c r="AB278" s="106" t="str">
        <f t="shared" si="689"/>
        <v xml:space="preserve"> </v>
      </c>
      <c r="AC278" s="106" t="str">
        <f t="shared" si="689"/>
        <v xml:space="preserve"> </v>
      </c>
      <c r="AD278" s="106" t="str">
        <f t="shared" si="689"/>
        <v xml:space="preserve"> </v>
      </c>
      <c r="AE278" s="106" t="str">
        <f t="shared" si="689"/>
        <v xml:space="preserve"> </v>
      </c>
      <c r="AF278" s="106" t="str">
        <f t="shared" si="689"/>
        <v xml:space="preserve"> </v>
      </c>
      <c r="AG278" s="106" t="str">
        <f t="shared" si="689"/>
        <v xml:space="preserve"> </v>
      </c>
      <c r="AH278" s="106" t="str">
        <f t="shared" si="689"/>
        <v xml:space="preserve"> </v>
      </c>
      <c r="AI278" s="106" t="str">
        <f t="shared" si="689"/>
        <v xml:space="preserve"> </v>
      </c>
      <c r="AJ278" s="106" t="str">
        <f t="shared" si="689"/>
        <v xml:space="preserve"> </v>
      </c>
      <c r="AK278" s="106" t="str">
        <f t="shared" si="689"/>
        <v xml:space="preserve"> </v>
      </c>
      <c r="AL278" s="106" t="str">
        <f t="shared" si="689"/>
        <v xml:space="preserve"> </v>
      </c>
      <c r="AM278" s="106" t="str">
        <f t="shared" si="689"/>
        <v xml:space="preserve"> </v>
      </c>
      <c r="AN278" s="106">
        <f t="shared" si="689"/>
        <v>4.2</v>
      </c>
      <c r="AO278" s="106">
        <f t="shared" si="689"/>
        <v>4.9000000000000004</v>
      </c>
      <c r="AP278" s="106">
        <f t="shared" si="689"/>
        <v>5</v>
      </c>
      <c r="AQ278" s="106">
        <f t="shared" si="689"/>
        <v>4</v>
      </c>
      <c r="AR278" s="106">
        <f t="shared" si="689"/>
        <v>3</v>
      </c>
      <c r="AS278" s="106">
        <f t="shared" si="689"/>
        <v>3</v>
      </c>
      <c r="AT278" s="106">
        <f t="shared" si="689"/>
        <v>2.6</v>
      </c>
      <c r="AU278" s="106">
        <f t="shared" si="689"/>
        <v>2.8</v>
      </c>
      <c r="AV278" s="106">
        <f t="shared" si="689"/>
        <v>2.9</v>
      </c>
      <c r="AW278" s="106">
        <f t="shared" si="689"/>
        <v>2.2999999999999998</v>
      </c>
      <c r="AX278" s="106">
        <f t="shared" si="689"/>
        <v>1.5</v>
      </c>
      <c r="AY278" s="106">
        <f t="shared" si="689"/>
        <v>2.2000000000000002</v>
      </c>
      <c r="AZ278" s="106">
        <f t="shared" si="689"/>
        <v>3.4</v>
      </c>
      <c r="BA278" s="106">
        <f t="shared" si="689"/>
        <v>2.8</v>
      </c>
      <c r="BB278" s="106">
        <f t="shared" si="689"/>
        <v>1.6</v>
      </c>
      <c r="BC278" s="106">
        <f t="shared" si="689"/>
        <v>2.2999999999999998</v>
      </c>
      <c r="BD278" s="106">
        <f t="shared" si="689"/>
        <v>2.7</v>
      </c>
      <c r="BE278" s="106">
        <f t="shared" si="689"/>
        <v>3</v>
      </c>
      <c r="BF278" s="106">
        <f t="shared" si="689"/>
        <v>4.0549999999999997</v>
      </c>
      <c r="BG278" s="106">
        <f t="shared" ref="BG278:CG278" si="690">BG195</f>
        <v>5.9939999999999998</v>
      </c>
      <c r="BH278" s="106">
        <f t="shared" si="690"/>
        <v>2.484</v>
      </c>
      <c r="BI278" s="106">
        <f t="shared" si="690"/>
        <v>3.5870000000000002</v>
      </c>
      <c r="BJ278" s="106">
        <f t="shared" si="690"/>
        <v>4.8460000000000001</v>
      </c>
      <c r="BK278" s="106">
        <f t="shared" si="690"/>
        <v>3.9769999999999999</v>
      </c>
      <c r="BL278" s="106">
        <f t="shared" si="690"/>
        <v>3.762</v>
      </c>
      <c r="BM278" s="106">
        <f t="shared" si="690"/>
        <v>3.7570000000000001</v>
      </c>
      <c r="BN278" s="106">
        <f t="shared" si="690"/>
        <v>3.7570000000000001</v>
      </c>
      <c r="BO278" s="106">
        <f t="shared" si="690"/>
        <v>3.7570000000000001</v>
      </c>
      <c r="BP278" s="106">
        <f t="shared" si="690"/>
        <v>3.7570000000000001</v>
      </c>
      <c r="BQ278" s="106">
        <f t="shared" si="690"/>
        <v>2</v>
      </c>
      <c r="BR278" s="106">
        <f t="shared" si="690"/>
        <v>2</v>
      </c>
      <c r="BS278" s="106">
        <f t="shared" si="690"/>
        <v>2</v>
      </c>
      <c r="BT278" s="106">
        <f t="shared" si="690"/>
        <v>2</v>
      </c>
      <c r="BU278" s="106">
        <f t="shared" si="690"/>
        <v>2</v>
      </c>
      <c r="BV278" s="106">
        <f t="shared" si="690"/>
        <v>2</v>
      </c>
      <c r="BW278" s="106">
        <f t="shared" si="690"/>
        <v>2</v>
      </c>
      <c r="BX278" s="106">
        <f t="shared" si="690"/>
        <v>2</v>
      </c>
      <c r="BY278" s="106">
        <f t="shared" si="690"/>
        <v>2</v>
      </c>
      <c r="BZ278" s="106">
        <f t="shared" si="690"/>
        <v>2</v>
      </c>
      <c r="CA278" s="106">
        <f t="shared" si="690"/>
        <v>2</v>
      </c>
      <c r="CB278" s="106">
        <f t="shared" si="690"/>
        <v>2</v>
      </c>
      <c r="CC278" s="106">
        <f t="shared" si="690"/>
        <v>2</v>
      </c>
      <c r="CD278" s="106">
        <f t="shared" si="690"/>
        <v>2</v>
      </c>
      <c r="CE278" s="106">
        <f t="shared" si="690"/>
        <v>2</v>
      </c>
      <c r="CF278" s="106">
        <f t="shared" si="690"/>
        <v>2</v>
      </c>
      <c r="CG278" s="106">
        <f t="shared" si="690"/>
        <v>2</v>
      </c>
      <c r="CH278" s="141"/>
      <c r="CI278" s="159">
        <f t="shared" si="687"/>
        <v>0</v>
      </c>
      <c r="CJ278" s="159">
        <f t="shared" si="687"/>
        <v>0</v>
      </c>
      <c r="CK278" s="159">
        <f t="shared" si="687"/>
        <v>0</v>
      </c>
      <c r="CL278" s="159">
        <f t="shared" si="687"/>
        <v>0</v>
      </c>
      <c r="CM278" s="159">
        <f t="shared" si="687"/>
        <v>0</v>
      </c>
      <c r="CN278" s="159">
        <f t="shared" si="687"/>
        <v>0</v>
      </c>
      <c r="CO278" s="159">
        <f t="shared" si="687"/>
        <v>0</v>
      </c>
      <c r="CP278" s="159">
        <f t="shared" si="687"/>
        <v>0</v>
      </c>
      <c r="CQ278" s="159">
        <f t="shared" si="687"/>
        <v>0</v>
      </c>
      <c r="CR278" s="159">
        <f t="shared" si="687"/>
        <v>0</v>
      </c>
      <c r="CS278" s="159">
        <f t="shared" si="688"/>
        <v>0</v>
      </c>
      <c r="CT278" s="159">
        <f t="shared" si="688"/>
        <v>0</v>
      </c>
      <c r="CU278" s="159">
        <f t="shared" si="688"/>
        <v>0</v>
      </c>
      <c r="CV278" s="159">
        <f t="shared" si="688"/>
        <v>0</v>
      </c>
      <c r="CW278" s="159">
        <f t="shared" si="688"/>
        <v>0</v>
      </c>
      <c r="CX278" s="159">
        <f t="shared" si="688"/>
        <v>0</v>
      </c>
      <c r="CY278" s="159">
        <f t="shared" si="688"/>
        <v>0</v>
      </c>
      <c r="CZ278" s="134"/>
      <c r="DA278" s="135">
        <v>2</v>
      </c>
      <c r="DB278" s="135">
        <v>2</v>
      </c>
      <c r="DC278" s="135">
        <v>2</v>
      </c>
      <c r="DD278" s="135">
        <v>2</v>
      </c>
      <c r="DE278" s="135">
        <v>2</v>
      </c>
      <c r="DF278" s="135">
        <v>2</v>
      </c>
      <c r="DG278" s="135">
        <v>2</v>
      </c>
      <c r="DH278" s="135">
        <v>2</v>
      </c>
      <c r="DI278" s="135">
        <v>2</v>
      </c>
      <c r="DJ278" s="135">
        <v>2</v>
      </c>
      <c r="DK278" s="135">
        <v>2</v>
      </c>
      <c r="DL278" s="135">
        <v>2</v>
      </c>
      <c r="DM278" s="135">
        <v>2</v>
      </c>
      <c r="DN278" s="135">
        <v>2</v>
      </c>
      <c r="DO278" s="135">
        <v>2</v>
      </c>
      <c r="DP278" s="135">
        <v>2</v>
      </c>
      <c r="DQ278" s="135">
        <v>2</v>
      </c>
    </row>
    <row r="279" spans="1:121" s="123" customFormat="1">
      <c r="A279" s="141" t="s">
        <v>2391</v>
      </c>
      <c r="B279" s="107"/>
      <c r="C279" s="136" t="s">
        <v>1735</v>
      </c>
      <c r="D279" s="147"/>
      <c r="E279" s="107"/>
      <c r="F279" s="106">
        <f t="shared" ref="F279:BF279" si="691">F196</f>
        <v>1.885E-3</v>
      </c>
      <c r="G279" s="106">
        <f t="shared" si="691"/>
        <v>1.885E-3</v>
      </c>
      <c r="H279" s="106">
        <f t="shared" si="691"/>
        <v>1.885E-3</v>
      </c>
      <c r="I279" s="106">
        <f t="shared" si="691"/>
        <v>1.885E-3</v>
      </c>
      <c r="J279" s="106">
        <f t="shared" si="691"/>
        <v>1.885E-3</v>
      </c>
      <c r="K279" s="106">
        <f t="shared" si="691"/>
        <v>1.885E-3</v>
      </c>
      <c r="L279" s="106">
        <f t="shared" si="691"/>
        <v>1.885E-3</v>
      </c>
      <c r="M279" s="106">
        <f t="shared" si="691"/>
        <v>1.885E-3</v>
      </c>
      <c r="N279" s="106">
        <f t="shared" si="691"/>
        <v>1.885E-3</v>
      </c>
      <c r="O279" s="106">
        <f t="shared" si="691"/>
        <v>1.885E-3</v>
      </c>
      <c r="P279" s="106">
        <f t="shared" si="691"/>
        <v>1.885E-3</v>
      </c>
      <c r="Q279" s="106">
        <f t="shared" si="691"/>
        <v>1.885E-3</v>
      </c>
      <c r="R279" s="106">
        <f t="shared" si="691"/>
        <v>1.885E-3</v>
      </c>
      <c r="S279" s="106">
        <f t="shared" si="691"/>
        <v>1.885E-3</v>
      </c>
      <c r="T279" s="106">
        <f t="shared" si="691"/>
        <v>1.885E-3</v>
      </c>
      <c r="U279" s="106">
        <f t="shared" si="691"/>
        <v>1.885E-3</v>
      </c>
      <c r="V279" s="106">
        <f t="shared" si="691"/>
        <v>1.885E-3</v>
      </c>
      <c r="W279" s="106">
        <f t="shared" si="691"/>
        <v>1.885E-3</v>
      </c>
      <c r="X279" s="106">
        <f t="shared" si="691"/>
        <v>1.7849999999999999E-3</v>
      </c>
      <c r="Y279" s="106">
        <f t="shared" si="691"/>
        <v>1.7849999999999999E-3</v>
      </c>
      <c r="Z279" s="106">
        <f t="shared" si="691"/>
        <v>1.7849999999999999E-3</v>
      </c>
      <c r="AA279" s="106">
        <f t="shared" si="691"/>
        <v>1.7849999999999999E-3</v>
      </c>
      <c r="AB279" s="106">
        <f t="shared" si="691"/>
        <v>1.7849999999999999E-3</v>
      </c>
      <c r="AC279" s="106">
        <f t="shared" si="691"/>
        <v>1.7849999999999999E-3</v>
      </c>
      <c r="AD279" s="106">
        <f t="shared" si="691"/>
        <v>1.7849999999999999E-3</v>
      </c>
      <c r="AE279" s="106">
        <f t="shared" si="691"/>
        <v>1.7849999999999999E-3</v>
      </c>
      <c r="AF279" s="106">
        <f t="shared" si="691"/>
        <v>1.7849999999999999E-3</v>
      </c>
      <c r="AG279" s="106">
        <f t="shared" si="691"/>
        <v>1.7849999999999999E-3</v>
      </c>
      <c r="AH279" s="106">
        <f t="shared" si="691"/>
        <v>1.7849999999999999E-3</v>
      </c>
      <c r="AI279" s="106">
        <f t="shared" si="691"/>
        <v>1.7849999999999999E-3</v>
      </c>
      <c r="AJ279" s="106">
        <f t="shared" si="691"/>
        <v>1.7849999999999999E-3</v>
      </c>
      <c r="AK279" s="106">
        <f t="shared" si="691"/>
        <v>2.0401500000000001E-3</v>
      </c>
      <c r="AL279" s="106">
        <f t="shared" si="691"/>
        <v>2.4601499999999999E-3</v>
      </c>
      <c r="AM279" s="106">
        <f t="shared" si="691"/>
        <v>3.5416500000000004E-3</v>
      </c>
      <c r="AN279" s="106">
        <f t="shared" si="691"/>
        <v>3.4891499999999999E-3</v>
      </c>
      <c r="AO279" s="106">
        <f t="shared" si="691"/>
        <v>4.5265499999999998E-3</v>
      </c>
      <c r="AP279" s="106">
        <f>AP196</f>
        <v>4.9465500000000001E-3</v>
      </c>
      <c r="AQ279" s="106">
        <f>AQ196</f>
        <v>6.3073499999999998E-3</v>
      </c>
      <c r="AR279" s="106">
        <f>AR196</f>
        <v>7.9985500000000001E-3</v>
      </c>
      <c r="AS279" s="106">
        <f>AS196</f>
        <v>1.8697350000000001E-2</v>
      </c>
      <c r="AT279" s="106">
        <f t="shared" si="691"/>
        <v>6.7114950000000007E-2</v>
      </c>
      <c r="AU279" s="106">
        <f t="shared" si="691"/>
        <v>0.45342905</v>
      </c>
      <c r="AV279" s="106">
        <f t="shared" si="691"/>
        <v>0.40414675</v>
      </c>
      <c r="AW279" s="106">
        <f t="shared" si="691"/>
        <v>0.40827650000000004</v>
      </c>
      <c r="AX279" s="106">
        <f t="shared" si="691"/>
        <v>0.4334345</v>
      </c>
      <c r="AY279" s="106">
        <f t="shared" si="691"/>
        <v>0.94208350000000007</v>
      </c>
      <c r="AZ279" s="106">
        <f t="shared" si="691"/>
        <v>1.4554920000000002</v>
      </c>
      <c r="BA279" s="106">
        <f t="shared" si="691"/>
        <v>2.1924597500000003</v>
      </c>
      <c r="BB279" s="106">
        <f t="shared" si="691"/>
        <v>2.4200925</v>
      </c>
      <c r="BC279" s="106">
        <f t="shared" si="691"/>
        <v>2.6855824999999998</v>
      </c>
      <c r="BD279" s="106">
        <f t="shared" si="691"/>
        <v>2.7638250000000002</v>
      </c>
      <c r="BE279" s="106">
        <f t="shared" si="691"/>
        <v>2.7638250000000002</v>
      </c>
      <c r="BF279" s="106">
        <f t="shared" si="691"/>
        <v>2.7638250000000002</v>
      </c>
      <c r="BG279" s="106">
        <f t="shared" ref="BG279:CG279" si="692">BG196</f>
        <v>2.7638250000000002</v>
      </c>
      <c r="BH279" s="106">
        <f t="shared" si="692"/>
        <v>2.7638250000000002</v>
      </c>
      <c r="BI279" s="106">
        <f t="shared" si="692"/>
        <v>2.7638250000000002</v>
      </c>
      <c r="BJ279" s="106">
        <f t="shared" si="692"/>
        <v>2.7638250000000002</v>
      </c>
      <c r="BK279" s="106">
        <f t="shared" si="692"/>
        <v>2.7638250000000002</v>
      </c>
      <c r="BL279" s="106">
        <f t="shared" si="692"/>
        <v>2.7638250000000002</v>
      </c>
      <c r="BM279" s="106">
        <f t="shared" si="692"/>
        <v>2.7638250000000002</v>
      </c>
      <c r="BN279" s="106">
        <f t="shared" si="692"/>
        <v>2.7638250000000002</v>
      </c>
      <c r="BO279" s="159">
        <f t="shared" si="692"/>
        <v>2.7638250000000002</v>
      </c>
      <c r="BP279" s="159">
        <f t="shared" si="692"/>
        <v>6.5</v>
      </c>
      <c r="BQ279" s="159">
        <f t="shared" si="692"/>
        <v>7.51</v>
      </c>
      <c r="BR279" s="159">
        <f t="shared" si="692"/>
        <v>7.53</v>
      </c>
      <c r="BS279" s="159">
        <f t="shared" si="692"/>
        <v>8.1999999999999993</v>
      </c>
      <c r="BT279" s="159">
        <f t="shared" si="692"/>
        <v>13.1</v>
      </c>
      <c r="BU279" s="159">
        <f t="shared" si="692"/>
        <v>20.96</v>
      </c>
      <c r="BV279" s="159">
        <f t="shared" si="692"/>
        <v>20.96</v>
      </c>
      <c r="BW279" s="159">
        <f t="shared" si="692"/>
        <v>20.96</v>
      </c>
      <c r="BX279" s="159">
        <f t="shared" si="692"/>
        <v>20.96</v>
      </c>
      <c r="BY279" s="159">
        <f t="shared" si="692"/>
        <v>20.96</v>
      </c>
      <c r="BZ279" s="159">
        <f t="shared" si="692"/>
        <v>20.96</v>
      </c>
      <c r="CA279" s="159">
        <f t="shared" si="692"/>
        <v>20.96</v>
      </c>
      <c r="CB279" s="159">
        <f t="shared" si="692"/>
        <v>20.96</v>
      </c>
      <c r="CC279" s="159">
        <f t="shared" si="692"/>
        <v>20.96</v>
      </c>
      <c r="CD279" s="159">
        <f t="shared" si="692"/>
        <v>20.96</v>
      </c>
      <c r="CE279" s="159">
        <f t="shared" si="692"/>
        <v>20.96</v>
      </c>
      <c r="CF279" s="159">
        <f t="shared" si="692"/>
        <v>20.96</v>
      </c>
      <c r="CG279" s="159">
        <f t="shared" si="692"/>
        <v>20.96</v>
      </c>
      <c r="CH279" s="141"/>
      <c r="CI279" s="159">
        <f t="shared" si="687"/>
        <v>0</v>
      </c>
      <c r="CJ279" s="159">
        <f t="shared" si="687"/>
        <v>0</v>
      </c>
      <c r="CK279" s="159">
        <f t="shared" si="687"/>
        <v>0</v>
      </c>
      <c r="CL279" s="159">
        <f t="shared" si="687"/>
        <v>0</v>
      </c>
      <c r="CM279" s="159">
        <f t="shared" si="687"/>
        <v>2.620000000000001</v>
      </c>
      <c r="CN279" s="159">
        <f t="shared" si="687"/>
        <v>2.620000000000001</v>
      </c>
      <c r="CO279" s="159">
        <f t="shared" si="687"/>
        <v>2.620000000000001</v>
      </c>
      <c r="CP279" s="159">
        <f t="shared" si="687"/>
        <v>2.620000000000001</v>
      </c>
      <c r="CQ279" s="159">
        <f t="shared" si="687"/>
        <v>2.620000000000001</v>
      </c>
      <c r="CR279" s="159">
        <f t="shared" si="687"/>
        <v>2.620000000000001</v>
      </c>
      <c r="CS279" s="159">
        <f t="shared" si="688"/>
        <v>2.620000000000001</v>
      </c>
      <c r="CT279" s="159">
        <f t="shared" si="688"/>
        <v>2.620000000000001</v>
      </c>
      <c r="CU279" s="159">
        <f t="shared" si="688"/>
        <v>2.620000000000001</v>
      </c>
      <c r="CV279" s="159">
        <f t="shared" si="688"/>
        <v>2.620000000000001</v>
      </c>
      <c r="CW279" s="159">
        <f t="shared" si="688"/>
        <v>2.620000000000001</v>
      </c>
      <c r="CX279" s="159">
        <f t="shared" si="688"/>
        <v>2.620000000000001</v>
      </c>
      <c r="CY279" s="159">
        <f t="shared" si="688"/>
        <v>2.620000000000001</v>
      </c>
      <c r="CZ279" s="134"/>
      <c r="DA279" s="135">
        <v>7.51</v>
      </c>
      <c r="DB279" s="135">
        <v>7.53</v>
      </c>
      <c r="DC279" s="135">
        <v>8.1999999999999993</v>
      </c>
      <c r="DD279" s="135">
        <v>13.1</v>
      </c>
      <c r="DE279" s="135">
        <v>18.34</v>
      </c>
      <c r="DF279" s="135">
        <v>18.34</v>
      </c>
      <c r="DG279" s="135">
        <v>18.34</v>
      </c>
      <c r="DH279" s="135">
        <v>18.34</v>
      </c>
      <c r="DI279" s="135">
        <v>18.34</v>
      </c>
      <c r="DJ279" s="135">
        <v>18.34</v>
      </c>
      <c r="DK279" s="135">
        <v>18.34</v>
      </c>
      <c r="DL279" s="135">
        <v>18.34</v>
      </c>
      <c r="DM279" s="135">
        <v>18.34</v>
      </c>
      <c r="DN279" s="135">
        <v>18.34</v>
      </c>
      <c r="DO279" s="135">
        <v>18.34</v>
      </c>
      <c r="DP279" s="135">
        <v>18.34</v>
      </c>
      <c r="DQ279" s="135">
        <v>18.34</v>
      </c>
    </row>
    <row r="280" spans="1:121" s="123" customFormat="1">
      <c r="A280" s="107"/>
      <c r="B280" s="107"/>
      <c r="C280" s="136"/>
      <c r="D280" s="14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41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34"/>
      <c r="DA280" s="135"/>
      <c r="DB280" s="135"/>
      <c r="DC280" s="135"/>
      <c r="DD280" s="135"/>
      <c r="DE280" s="135"/>
      <c r="DF280" s="135"/>
      <c r="DG280" s="135"/>
      <c r="DH280" s="135"/>
      <c r="DI280" s="135"/>
      <c r="DJ280" s="135"/>
      <c r="DK280" s="135"/>
      <c r="DL280" s="135"/>
      <c r="DM280" s="135"/>
      <c r="DN280" s="135"/>
      <c r="DO280" s="135"/>
      <c r="DP280" s="135"/>
      <c r="DQ280" s="135"/>
    </row>
    <row r="281" spans="1:121" s="123" customFormat="1">
      <c r="A281" s="226" t="s">
        <v>1319</v>
      </c>
      <c r="B281" s="217"/>
      <c r="C281" s="217"/>
      <c r="D281" s="102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CH281" s="141"/>
      <c r="CZ281" s="181"/>
      <c r="DA281" s="135"/>
      <c r="DB281" s="135"/>
      <c r="DC281" s="135"/>
      <c r="DD281" s="135"/>
      <c r="DE281" s="135"/>
      <c r="DF281" s="135"/>
      <c r="DG281" s="135"/>
      <c r="DH281" s="135"/>
      <c r="DI281" s="135"/>
      <c r="DJ281" s="135"/>
      <c r="DK281" s="135"/>
      <c r="DL281" s="135"/>
      <c r="DM281" s="135"/>
      <c r="DN281" s="135"/>
      <c r="DO281" s="135"/>
      <c r="DP281" s="135"/>
      <c r="DQ281" s="135"/>
    </row>
    <row r="282" spans="1:121" s="123" customFormat="1">
      <c r="A282" s="107" t="s">
        <v>129</v>
      </c>
      <c r="B282" s="107"/>
      <c r="C282" s="136" t="s">
        <v>1349</v>
      </c>
      <c r="D282" s="147"/>
      <c r="E282" s="107"/>
      <c r="F282" s="107"/>
      <c r="G282" s="106">
        <f t="shared" ref="G282:AO282" si="693">G26</f>
        <v>8.71206849498083</v>
      </c>
      <c r="H282" s="106">
        <f t="shared" si="693"/>
        <v>5.0535839952035255</v>
      </c>
      <c r="I282" s="106">
        <f t="shared" si="693"/>
        <v>-5.0496884097505301</v>
      </c>
      <c r="J282" s="106">
        <f t="shared" si="693"/>
        <v>-1.3709674208416511</v>
      </c>
      <c r="K282" s="106">
        <f t="shared" si="693"/>
        <v>16.11234892052671</v>
      </c>
      <c r="L282" s="106">
        <f t="shared" si="693"/>
        <v>6.6656286927911479</v>
      </c>
      <c r="M282" s="106">
        <f t="shared" si="693"/>
        <v>9.2548256514803242</v>
      </c>
      <c r="N282" s="106">
        <f t="shared" si="693"/>
        <v>5.5261136030235081</v>
      </c>
      <c r="O282" s="106">
        <f t="shared" si="693"/>
        <v>9.0423211640723764</v>
      </c>
      <c r="P282" s="106">
        <f t="shared" si="693"/>
        <v>-4.4669569379122365</v>
      </c>
      <c r="Q282" s="106">
        <f t="shared" si="693"/>
        <v>18.735058778514912</v>
      </c>
      <c r="R282" s="106">
        <f t="shared" si="693"/>
        <v>15.806538363568269</v>
      </c>
      <c r="S282" s="106">
        <f t="shared" si="693"/>
        <v>18.395520925588759</v>
      </c>
      <c r="T282" s="106">
        <f t="shared" si="693"/>
        <v>6.1364307011966712</v>
      </c>
      <c r="U282" s="106">
        <f t="shared" si="693"/>
        <v>9.5961391104434135</v>
      </c>
      <c r="V282" s="106">
        <f t="shared" si="693"/>
        <v>5.5201404075372329</v>
      </c>
      <c r="W282" s="106">
        <f t="shared" si="693"/>
        <v>4.8186752475710914</v>
      </c>
      <c r="X282" s="106">
        <f t="shared" si="693"/>
        <v>2.1585389098532026</v>
      </c>
      <c r="Y282" s="106">
        <f t="shared" si="693"/>
        <v>3.0070709947590979</v>
      </c>
      <c r="Z282" s="106">
        <f t="shared" si="693"/>
        <v>-5.8472272653912079</v>
      </c>
      <c r="AA282" s="106">
        <f t="shared" si="693"/>
        <v>9.2047753458901482E-2</v>
      </c>
      <c r="AB282" s="106">
        <f t="shared" si="693"/>
        <v>8.4804035727778846</v>
      </c>
      <c r="AC282" s="106">
        <f t="shared" si="693"/>
        <v>24.5251662018632</v>
      </c>
      <c r="AD282" s="106">
        <f t="shared" si="693"/>
        <v>5.4135554869672031</v>
      </c>
      <c r="AE282" s="106">
        <f t="shared" si="693"/>
        <v>-5.4980372103385129</v>
      </c>
      <c r="AF282" s="106">
        <f t="shared" si="693"/>
        <v>-10.506402725568353</v>
      </c>
      <c r="AG282" s="106">
        <f t="shared" si="693"/>
        <v>9.7174293547808155E-2</v>
      </c>
      <c r="AH282" s="106">
        <f t="shared" si="693"/>
        <v>-0.63716176575118189</v>
      </c>
      <c r="AI282" s="106">
        <f t="shared" si="693"/>
        <v>-0.70825411485124778</v>
      </c>
      <c r="AJ282" s="106">
        <f t="shared" si="693"/>
        <v>-2.8389676785221751</v>
      </c>
      <c r="AK282" s="106">
        <f t="shared" si="693"/>
        <v>-18.296654035568306</v>
      </c>
      <c r="AL282" s="106">
        <f t="shared" si="693"/>
        <v>-11.971158104093726</v>
      </c>
      <c r="AM282" s="106">
        <f t="shared" si="693"/>
        <v>-15.452873621265894</v>
      </c>
      <c r="AN282" s="106">
        <f t="shared" si="693"/>
        <v>18.56306449448293</v>
      </c>
      <c r="AO282" s="106">
        <f t="shared" si="693"/>
        <v>39.466380593147996</v>
      </c>
      <c r="AP282" s="106">
        <f t="shared" ref="AP282:BP282" si="694">AP26</f>
        <v>9.788418453699844</v>
      </c>
      <c r="AQ282" s="106">
        <f t="shared" si="694"/>
        <v>7.4417819533272311</v>
      </c>
      <c r="AR282" s="106">
        <f t="shared" si="694"/>
        <v>-0.9112214154876952</v>
      </c>
      <c r="AS282" s="106">
        <f t="shared" si="694"/>
        <v>-24.913996959983752</v>
      </c>
      <c r="AT282" s="106">
        <f t="shared" si="694"/>
        <v>-9.7888748722859464</v>
      </c>
      <c r="AU282" s="106">
        <f t="shared" si="694"/>
        <v>-18.644587800179004</v>
      </c>
      <c r="AV282" s="106">
        <f t="shared" si="694"/>
        <v>12.429461939562358</v>
      </c>
      <c r="AW282" s="106">
        <f t="shared" si="694"/>
        <v>-2.8311183816057017</v>
      </c>
      <c r="AX282" s="106">
        <f t="shared" si="694"/>
        <v>9.9759992197027358</v>
      </c>
      <c r="AY282" s="106">
        <f t="shared" si="694"/>
        <v>-8.9508033303120733</v>
      </c>
      <c r="AZ282" s="106">
        <f t="shared" si="694"/>
        <v>-8.6463790713226523</v>
      </c>
      <c r="BA282" s="106">
        <f t="shared" si="694"/>
        <v>-13.465991381615305</v>
      </c>
      <c r="BB282" s="106">
        <f t="shared" si="694"/>
        <v>57.877487430898711</v>
      </c>
      <c r="BC282" s="106">
        <f t="shared" si="694"/>
        <v>10.333893854696075</v>
      </c>
      <c r="BD282" s="106">
        <f t="shared" si="694"/>
        <v>7.5085666470117607</v>
      </c>
      <c r="BE282" s="106">
        <f t="shared" si="694"/>
        <v>4.4587537798173038</v>
      </c>
      <c r="BF282" s="106">
        <f t="shared" si="694"/>
        <v>-6.9338646040861036</v>
      </c>
      <c r="BG282" s="106">
        <f t="shared" si="694"/>
        <v>4.9267308634245</v>
      </c>
      <c r="BH282" s="106">
        <f t="shared" si="694"/>
        <v>7.0584496496317817</v>
      </c>
      <c r="BI282" s="106">
        <f t="shared" si="694"/>
        <v>1.9188345255050088E-2</v>
      </c>
      <c r="BJ282" s="106">
        <f t="shared" si="694"/>
        <v>3.5963428216157611</v>
      </c>
      <c r="BK282" s="106">
        <f t="shared" si="694"/>
        <v>7.4172112106257737</v>
      </c>
      <c r="BL282" s="106">
        <f t="shared" si="694"/>
        <v>23.612233233258205</v>
      </c>
      <c r="BM282" s="106">
        <f t="shared" si="694"/>
        <v>22.563033255415753</v>
      </c>
      <c r="BN282" s="106">
        <f t="shared" si="694"/>
        <v>0.1453432462676707</v>
      </c>
      <c r="BO282" s="106">
        <f t="shared" si="694"/>
        <v>-8.441767589479598</v>
      </c>
      <c r="BP282" s="106">
        <f t="shared" si="694"/>
        <v>-39.537406576487363</v>
      </c>
      <c r="BQ282" s="106">
        <f t="shared" ref="BQ282:CB282" si="695">BQ26</f>
        <v>5.8070784647734852</v>
      </c>
      <c r="BR282" s="106">
        <f t="shared" si="695"/>
        <v>12.096879446706454</v>
      </c>
      <c r="BS282" s="106">
        <f t="shared" si="695"/>
        <v>-5.3692759834850783</v>
      </c>
      <c r="BT282" s="106">
        <f t="shared" ca="1" si="695"/>
        <v>-18.068882028722744</v>
      </c>
      <c r="BU282" s="106">
        <f t="shared" ca="1" si="695"/>
        <v>-9.1113826407965171</v>
      </c>
      <c r="BV282" s="106">
        <f t="shared" ca="1" si="695"/>
        <v>13.953257131962161</v>
      </c>
      <c r="BW282" s="106">
        <f t="shared" ca="1" si="695"/>
        <v>13.325460620533125</v>
      </c>
      <c r="BX282" s="106">
        <f t="shared" ca="1" si="695"/>
        <v>10.337992089077153</v>
      </c>
      <c r="BY282" s="106">
        <f t="shared" ca="1" si="695"/>
        <v>9.5711260927163977</v>
      </c>
      <c r="BZ282" s="106">
        <f t="shared" ca="1" si="695"/>
        <v>10.244927731397269</v>
      </c>
      <c r="CA282" s="106">
        <f t="shared" ca="1" si="695"/>
        <v>10.593303928901454</v>
      </c>
      <c r="CB282" s="106">
        <f t="shared" ca="1" si="695"/>
        <v>10.947565471145415</v>
      </c>
      <c r="CC282" s="106">
        <f t="shared" ref="CC282:CG287" ca="1" si="696">CC26</f>
        <v>11.333863919492426</v>
      </c>
      <c r="CD282" s="106">
        <f t="shared" ca="1" si="696"/>
        <v>11.7512931604006</v>
      </c>
      <c r="CE282" s="106">
        <f t="shared" ca="1" si="696"/>
        <v>12.190928880119856</v>
      </c>
      <c r="CF282" s="106">
        <f t="shared" ca="1" si="696"/>
        <v>12.631573838369636</v>
      </c>
      <c r="CG282" s="106">
        <f t="shared" ca="1" si="696"/>
        <v>13.035630594582926</v>
      </c>
      <c r="CH282" s="141"/>
      <c r="CI282" s="159">
        <f t="shared" ref="CI282:CU282" si="697">BQ282-DA282</f>
        <v>0</v>
      </c>
      <c r="CJ282" s="159">
        <f t="shared" si="697"/>
        <v>0</v>
      </c>
      <c r="CK282" s="159">
        <f t="shared" si="697"/>
        <v>0</v>
      </c>
      <c r="CL282" s="159">
        <f t="shared" ca="1" si="697"/>
        <v>0</v>
      </c>
      <c r="CM282" s="159">
        <f t="shared" ca="1" si="697"/>
        <v>-5.5795875572285052</v>
      </c>
      <c r="CN282" s="159">
        <f t="shared" ca="1" si="697"/>
        <v>-1.152552910298386</v>
      </c>
      <c r="CO282" s="159">
        <f t="shared" ca="1" si="697"/>
        <v>-0.92475072685232007</v>
      </c>
      <c r="CP282" s="159">
        <f t="shared" ca="1" si="697"/>
        <v>-1.3648027096340822</v>
      </c>
      <c r="CQ282" s="159">
        <f t="shared" ca="1" si="697"/>
        <v>-1.542894376987757</v>
      </c>
      <c r="CR282" s="159">
        <f t="shared" ca="1" si="697"/>
        <v>-0.73279602077249706</v>
      </c>
      <c r="CS282" s="159">
        <f t="shared" ca="1" si="697"/>
        <v>-0.44539132968421846</v>
      </c>
      <c r="CT282" s="159">
        <f t="shared" ca="1" si="697"/>
        <v>-0.91914924837661616</v>
      </c>
      <c r="CU282" s="159">
        <f t="shared" ca="1" si="697"/>
        <v>-1.0494686915311959</v>
      </c>
      <c r="CV282" s="159">
        <f t="shared" ref="CV282:CV289" ca="1" si="698">CD282-DN282</f>
        <v>-1.1041959337034548</v>
      </c>
      <c r="CW282" s="159">
        <f t="shared" ref="CW282:CW289" ca="1" si="699">CE282-DO282</f>
        <v>-1.0776065451328485</v>
      </c>
      <c r="CX282" s="159">
        <f t="shared" ref="CX282:CX289" ca="1" si="700">CF282-DP282</f>
        <v>-0.9995477659317622</v>
      </c>
      <c r="CY282" s="159">
        <f t="shared" ref="CY282:CY289" ca="1" si="701">CG282-DQ282</f>
        <v>-0.87575003448894151</v>
      </c>
      <c r="CZ282" s="134"/>
      <c r="DA282" s="135">
        <v>5.8070784647734852</v>
      </c>
      <c r="DB282" s="135">
        <v>12.096879446706454</v>
      </c>
      <c r="DC282" s="135">
        <v>-5.3692759834850783</v>
      </c>
      <c r="DD282" s="135">
        <v>-18.068882028722744</v>
      </c>
      <c r="DE282" s="135">
        <v>-3.5317950835680123</v>
      </c>
      <c r="DF282" s="135">
        <v>15.105810042260547</v>
      </c>
      <c r="DG282" s="135">
        <v>14.250211347385445</v>
      </c>
      <c r="DH282" s="135">
        <v>11.702794798711235</v>
      </c>
      <c r="DI282" s="135">
        <v>11.114020469704155</v>
      </c>
      <c r="DJ282" s="135">
        <v>10.977723752169766</v>
      </c>
      <c r="DK282" s="135">
        <v>11.038695258585673</v>
      </c>
      <c r="DL282" s="135">
        <v>11.866714719522031</v>
      </c>
      <c r="DM282" s="135">
        <v>12.383332611023622</v>
      </c>
      <c r="DN282" s="135">
        <v>12.855489094104055</v>
      </c>
      <c r="DO282" s="135">
        <v>13.268535425252704</v>
      </c>
      <c r="DP282" s="135">
        <v>13.631121604301399</v>
      </c>
      <c r="DQ282" s="135">
        <v>13.911380629071868</v>
      </c>
    </row>
    <row r="283" spans="1:121" s="123" customFormat="1">
      <c r="A283" s="107" t="s">
        <v>130</v>
      </c>
      <c r="B283" s="107"/>
      <c r="C283" s="136" t="s">
        <v>1349</v>
      </c>
      <c r="D283" s="147"/>
      <c r="E283" s="107"/>
      <c r="F283" s="107"/>
      <c r="G283" s="106">
        <f t="shared" ref="G283:AO283" si="702">G27</f>
        <v>18.050809360734775</v>
      </c>
      <c r="H283" s="106">
        <f t="shared" si="702"/>
        <v>-11.260197701418328</v>
      </c>
      <c r="I283" s="106">
        <f t="shared" si="702"/>
        <v>4.958371099906711</v>
      </c>
      <c r="J283" s="106">
        <f t="shared" si="702"/>
        <v>15.606257586537421</v>
      </c>
      <c r="K283" s="106">
        <f t="shared" si="702"/>
        <v>-1.700421213420622</v>
      </c>
      <c r="L283" s="106">
        <f t="shared" si="702"/>
        <v>12.425798378165887</v>
      </c>
      <c r="M283" s="106">
        <f t="shared" si="702"/>
        <v>2.2658187178488998</v>
      </c>
      <c r="N283" s="106">
        <f t="shared" si="702"/>
        <v>12.570236989368521</v>
      </c>
      <c r="O283" s="106">
        <f t="shared" si="702"/>
        <v>0.91862361275778515</v>
      </c>
      <c r="P283" s="106">
        <f t="shared" si="702"/>
        <v>1.9123481413711563</v>
      </c>
      <c r="Q283" s="106">
        <f t="shared" si="702"/>
        <v>0.53878503841471304</v>
      </c>
      <c r="R283" s="106">
        <f t="shared" si="702"/>
        <v>3.0589685784220277</v>
      </c>
      <c r="S283" s="106">
        <f t="shared" si="702"/>
        <v>14.895588547209314</v>
      </c>
      <c r="T283" s="106">
        <f t="shared" si="702"/>
        <v>7.8890287976190354</v>
      </c>
      <c r="U283" s="106">
        <f t="shared" si="702"/>
        <v>-0.92895642137257317</v>
      </c>
      <c r="V283" s="106">
        <f t="shared" si="702"/>
        <v>3.6861795423863697</v>
      </c>
      <c r="W283" s="106">
        <f t="shared" si="702"/>
        <v>17.857013713793645</v>
      </c>
      <c r="X283" s="106">
        <f t="shared" si="702"/>
        <v>-21.364081972876082</v>
      </c>
      <c r="Y283" s="106">
        <f t="shared" si="702"/>
        <v>5.6012279775367269</v>
      </c>
      <c r="Z283" s="106">
        <f t="shared" si="702"/>
        <v>23.717109001666014</v>
      </c>
      <c r="AA283" s="106">
        <f t="shared" si="702"/>
        <v>4.5702349257703556</v>
      </c>
      <c r="AB283" s="106">
        <f t="shared" si="702"/>
        <v>8.1088907787508546</v>
      </c>
      <c r="AC283" s="106">
        <f t="shared" si="702"/>
        <v>29.03854523537013</v>
      </c>
      <c r="AD283" s="106">
        <f t="shared" si="702"/>
        <v>1.5945500561090231</v>
      </c>
      <c r="AE283" s="106">
        <f t="shared" si="702"/>
        <v>-12.309886280219207</v>
      </c>
      <c r="AF283" s="106">
        <f t="shared" si="702"/>
        <v>-4.7003394692968659</v>
      </c>
      <c r="AG283" s="106">
        <f t="shared" si="702"/>
        <v>13.971670905912671</v>
      </c>
      <c r="AH283" s="106">
        <f t="shared" si="702"/>
        <v>-2.6891028572685771</v>
      </c>
      <c r="AI283" s="106">
        <f t="shared" si="702"/>
        <v>5.711168760742269</v>
      </c>
      <c r="AJ283" s="106">
        <f t="shared" si="702"/>
        <v>-4.0739406600352019</v>
      </c>
      <c r="AK283" s="106">
        <f t="shared" si="702"/>
        <v>9.3102545045153242</v>
      </c>
      <c r="AL283" s="106">
        <f t="shared" si="702"/>
        <v>2.4079007276539333</v>
      </c>
      <c r="AM283" s="106">
        <f t="shared" si="702"/>
        <v>-20.240816392158024</v>
      </c>
      <c r="AN283" s="106">
        <f t="shared" si="702"/>
        <v>7.6026807679679065</v>
      </c>
      <c r="AO283" s="106">
        <f t="shared" si="702"/>
        <v>-10.938328729919533</v>
      </c>
      <c r="AP283" s="106">
        <f t="shared" ref="AP283:BI283" si="703">AP27</f>
        <v>-5.2179675097083216</v>
      </c>
      <c r="AQ283" s="106">
        <f t="shared" si="703"/>
        <v>8.9475744524711196</v>
      </c>
      <c r="AR283" s="106">
        <f t="shared" si="703"/>
        <v>-13.502313713809578</v>
      </c>
      <c r="AS283" s="106">
        <f t="shared" si="703"/>
        <v>-25.921105849160121</v>
      </c>
      <c r="AT283" s="106">
        <f t="shared" si="703"/>
        <v>-34.806020920951553</v>
      </c>
      <c r="AU283" s="106">
        <f t="shared" si="703"/>
        <v>167.04972015017839</v>
      </c>
      <c r="AV283" s="106">
        <f t="shared" si="703"/>
        <v>-6.5928191579997408</v>
      </c>
      <c r="AW283" s="106">
        <f t="shared" si="703"/>
        <v>1.7121205780977089</v>
      </c>
      <c r="AX283" s="106">
        <f t="shared" si="703"/>
        <v>36.688960742369161</v>
      </c>
      <c r="AY283" s="106">
        <f t="shared" si="703"/>
        <v>-16.693443284464603</v>
      </c>
      <c r="AZ283" s="106">
        <f t="shared" si="703"/>
        <v>31.51277394677523</v>
      </c>
      <c r="BA283" s="106">
        <f t="shared" si="703"/>
        <v>-5.0900559587225498</v>
      </c>
      <c r="BB283" s="106">
        <f t="shared" si="703"/>
        <v>-1.8169960626696069</v>
      </c>
      <c r="BC283" s="106">
        <f t="shared" si="703"/>
        <v>-32.902957206884409</v>
      </c>
      <c r="BD283" s="106">
        <f t="shared" si="703"/>
        <v>-16.214431182655918</v>
      </c>
      <c r="BE283" s="106">
        <f ca="1">BE27</f>
        <v>10.775341941762528</v>
      </c>
      <c r="BF283" s="106">
        <f ca="1">BF27</f>
        <v>31.481129939679043</v>
      </c>
      <c r="BG283" s="106">
        <f t="shared" si="703"/>
        <v>-17.81402485576038</v>
      </c>
      <c r="BH283" s="106">
        <f t="shared" si="703"/>
        <v>15.953147840299886</v>
      </c>
      <c r="BI283" s="106">
        <f t="shared" si="703"/>
        <v>14.749684486527116</v>
      </c>
      <c r="BJ283" s="106">
        <f t="shared" ref="BJ283:BQ287" si="704">BJ27</f>
        <v>4.0123870608693712</v>
      </c>
      <c r="BK283" s="106">
        <f t="shared" si="704"/>
        <v>-2.3920981977222366</v>
      </c>
      <c r="BL283" s="106">
        <f t="shared" si="704"/>
        <v>27.898628221293166</v>
      </c>
      <c r="BM283" s="106">
        <f t="shared" si="704"/>
        <v>-20.773327715719915</v>
      </c>
      <c r="BN283" s="106">
        <f t="shared" si="704"/>
        <v>28.100752398115315</v>
      </c>
      <c r="BO283" s="106">
        <f t="shared" si="704"/>
        <v>5.6162571119534599</v>
      </c>
      <c r="BP283" s="106">
        <f t="shared" si="704"/>
        <v>-33.873850835862363</v>
      </c>
      <c r="BQ283" s="106">
        <f t="shared" si="704"/>
        <v>-9.1895790743648949</v>
      </c>
      <c r="BR283" s="106">
        <f t="shared" ref="BR283:CB283" si="705">BR27</f>
        <v>-31.267268294079365</v>
      </c>
      <c r="BS283" s="106">
        <f t="shared" si="705"/>
        <v>104.27100569818451</v>
      </c>
      <c r="BT283" s="106">
        <f t="shared" ca="1" si="705"/>
        <v>-21.159923883432075</v>
      </c>
      <c r="BU283" s="106">
        <f t="shared" ca="1" si="705"/>
        <v>2.7657533326812977</v>
      </c>
      <c r="BV283" s="106">
        <f t="shared" ca="1" si="705"/>
        <v>-12.389169389417642</v>
      </c>
      <c r="BW283" s="106">
        <f t="shared" ca="1" si="705"/>
        <v>-8.3247683654350091</v>
      </c>
      <c r="BX283" s="106">
        <f t="shared" ca="1" si="705"/>
        <v>1.1167313159284431</v>
      </c>
      <c r="BY283" s="106">
        <f t="shared" ca="1" si="705"/>
        <v>1.4299484768827364</v>
      </c>
      <c r="BZ283" s="106">
        <f t="shared" ca="1" si="705"/>
        <v>1.475795053350093</v>
      </c>
      <c r="CA283" s="106">
        <f t="shared" ca="1" si="705"/>
        <v>1.5072433593960932</v>
      </c>
      <c r="CB283" s="106">
        <f t="shared" ca="1" si="705"/>
        <v>1.5495664304233658</v>
      </c>
      <c r="CC283" s="106">
        <f t="shared" ca="1" si="696"/>
        <v>1.6056284264204468</v>
      </c>
      <c r="CD283" s="106">
        <f t="shared" ca="1" si="696"/>
        <v>1.6786179041800242</v>
      </c>
      <c r="CE283" s="106">
        <f t="shared" ca="1" si="696"/>
        <v>1.7711844349104444</v>
      </c>
      <c r="CF283" s="106">
        <f t="shared" ca="1" si="696"/>
        <v>1.8847590148869386</v>
      </c>
      <c r="CG283" s="106">
        <f t="shared" ca="1" si="696"/>
        <v>2.0180883456949461</v>
      </c>
      <c r="CH283" s="141"/>
      <c r="CI283" s="159">
        <f t="shared" ref="CI283:CI289" si="706">BQ283-DA283</f>
        <v>0</v>
      </c>
      <c r="CJ283" s="159">
        <f t="shared" ref="CJ283:CU289" si="707">BR283-DB283</f>
        <v>0</v>
      </c>
      <c r="CK283" s="159">
        <f t="shared" si="707"/>
        <v>0</v>
      </c>
      <c r="CL283" s="159">
        <f t="shared" ca="1" si="707"/>
        <v>0</v>
      </c>
      <c r="CM283" s="159">
        <f t="shared" ca="1" si="707"/>
        <v>-1.0541094071918833</v>
      </c>
      <c r="CN283" s="159">
        <f t="shared" ca="1" si="707"/>
        <v>-0.47786860190475089</v>
      </c>
      <c r="CO283" s="159">
        <f t="shared" ca="1" si="707"/>
        <v>-0.3150013097532387</v>
      </c>
      <c r="CP283" s="159">
        <f t="shared" ca="1" si="707"/>
        <v>-0.35725373259434257</v>
      </c>
      <c r="CQ283" s="159">
        <f t="shared" ca="1" si="707"/>
        <v>-0.33326804334963267</v>
      </c>
      <c r="CR283" s="159">
        <f t="shared" ca="1" si="707"/>
        <v>0.38478191783666293</v>
      </c>
      <c r="CS283" s="159">
        <f t="shared" ca="1" si="707"/>
        <v>-0.22617327727201264</v>
      </c>
      <c r="CT283" s="159">
        <f t="shared" ca="1" si="707"/>
        <v>-0.24060221122574887</v>
      </c>
      <c r="CU283" s="159">
        <f t="shared" ca="1" si="707"/>
        <v>-0.23532452406294091</v>
      </c>
      <c r="CV283" s="159">
        <f t="shared" ca="1" si="698"/>
        <v>-0.21665477681056533</v>
      </c>
      <c r="CW283" s="159">
        <f t="shared" ca="1" si="699"/>
        <v>-0.19108924962438767</v>
      </c>
      <c r="CX283" s="159">
        <f t="shared" ca="1" si="700"/>
        <v>-0.16101356693920543</v>
      </c>
      <c r="CY283" s="159">
        <f t="shared" ca="1" si="701"/>
        <v>-0.12653720656041756</v>
      </c>
      <c r="CZ283" s="134"/>
      <c r="DA283" s="135">
        <v>-9.1895790743648949</v>
      </c>
      <c r="DB283" s="135">
        <v>-31.267268294079365</v>
      </c>
      <c r="DC283" s="135">
        <v>104.27100569818451</v>
      </c>
      <c r="DD283" s="135">
        <v>-21.159923883432075</v>
      </c>
      <c r="DE283" s="135">
        <v>3.819862739873181</v>
      </c>
      <c r="DF283" s="135">
        <v>-11.911300787512891</v>
      </c>
      <c r="DG283" s="135">
        <v>-8.0097670556817704</v>
      </c>
      <c r="DH283" s="135">
        <v>1.4739850485227857</v>
      </c>
      <c r="DI283" s="135">
        <v>1.7632165202323691</v>
      </c>
      <c r="DJ283" s="135">
        <v>1.09101313551343</v>
      </c>
      <c r="DK283" s="135">
        <v>1.7334166366681059</v>
      </c>
      <c r="DL283" s="135">
        <v>1.7901686416491147</v>
      </c>
      <c r="DM283" s="135">
        <v>1.8409529504833877</v>
      </c>
      <c r="DN283" s="135">
        <v>1.8952726809905895</v>
      </c>
      <c r="DO283" s="135">
        <v>1.9622736845348321</v>
      </c>
      <c r="DP283" s="135">
        <v>2.0457725818261441</v>
      </c>
      <c r="DQ283" s="135">
        <v>2.1446255522553637</v>
      </c>
    </row>
    <row r="284" spans="1:121" s="123" customFormat="1">
      <c r="A284" s="107" t="s">
        <v>131</v>
      </c>
      <c r="B284" s="107"/>
      <c r="C284" s="136" t="s">
        <v>1349</v>
      </c>
      <c r="D284" s="147"/>
      <c r="E284" s="107"/>
      <c r="F284" s="107"/>
      <c r="G284" s="106">
        <f t="shared" ref="G284:AO284" si="708">G28</f>
        <v>4.2209484106305206</v>
      </c>
      <c r="H284" s="106">
        <f t="shared" si="708"/>
        <v>21.872401776053294</v>
      </c>
      <c r="I284" s="106">
        <f t="shared" si="708"/>
        <v>25.30532668098655</v>
      </c>
      <c r="J284" s="106">
        <f t="shared" si="708"/>
        <v>4.2194134254934124</v>
      </c>
      <c r="K284" s="106">
        <f t="shared" si="708"/>
        <v>10.728741340072624</v>
      </c>
      <c r="L284" s="106">
        <f t="shared" si="708"/>
        <v>17.422337488395389</v>
      </c>
      <c r="M284" s="106">
        <f t="shared" si="708"/>
        <v>-0.17949780181272246</v>
      </c>
      <c r="N284" s="106">
        <f t="shared" si="708"/>
        <v>3.1025603292362591</v>
      </c>
      <c r="O284" s="106">
        <f t="shared" si="708"/>
        <v>7.5075906342498167</v>
      </c>
      <c r="P284" s="106">
        <f t="shared" si="708"/>
        <v>67.26875526616773</v>
      </c>
      <c r="Q284" s="106">
        <f t="shared" si="708"/>
        <v>4.1426136881929532</v>
      </c>
      <c r="R284" s="106">
        <f t="shared" si="708"/>
        <v>-19.066171708378199</v>
      </c>
      <c r="S284" s="106">
        <f t="shared" si="708"/>
        <v>-19.295615264226164</v>
      </c>
      <c r="T284" s="106">
        <f t="shared" si="708"/>
        <v>-1.4677066830661278</v>
      </c>
      <c r="U284" s="106">
        <f t="shared" si="708"/>
        <v>-8.167582365471759</v>
      </c>
      <c r="V284" s="106">
        <f t="shared" si="708"/>
        <v>5.8043029951025282</v>
      </c>
      <c r="W284" s="106">
        <f t="shared" si="708"/>
        <v>5.4037957538616954</v>
      </c>
      <c r="X284" s="106">
        <f t="shared" si="708"/>
        <v>21.282763949500129</v>
      </c>
      <c r="Y284" s="106">
        <f t="shared" si="708"/>
        <v>6.6790350477128335</v>
      </c>
      <c r="Z284" s="106">
        <f t="shared" si="708"/>
        <v>35.324788789530089</v>
      </c>
      <c r="AA284" s="106">
        <f t="shared" si="708"/>
        <v>32.200728847788859</v>
      </c>
      <c r="AB284" s="106">
        <f t="shared" si="708"/>
        <v>-26.210680373738104</v>
      </c>
      <c r="AC284" s="106">
        <f t="shared" si="708"/>
        <v>23.179946384911677</v>
      </c>
      <c r="AD284" s="106">
        <f t="shared" si="708"/>
        <v>-12.017261962822989</v>
      </c>
      <c r="AE284" s="106">
        <f t="shared" si="708"/>
        <v>-17.876309017359425</v>
      </c>
      <c r="AF284" s="106">
        <f t="shared" si="708"/>
        <v>10.837116031616279</v>
      </c>
      <c r="AG284" s="106">
        <f t="shared" si="708"/>
        <v>21.392354078558242</v>
      </c>
      <c r="AH284" s="106">
        <f t="shared" si="708"/>
        <v>-14.808623841680369</v>
      </c>
      <c r="AI284" s="106">
        <f t="shared" si="708"/>
        <v>-47.957144416341691</v>
      </c>
      <c r="AJ284" s="106">
        <f t="shared" si="708"/>
        <v>-28.659969438009103</v>
      </c>
      <c r="AK284" s="106">
        <f t="shared" si="708"/>
        <v>-10.721940031963761</v>
      </c>
      <c r="AL284" s="106">
        <f t="shared" si="708"/>
        <v>-10.76742608839033</v>
      </c>
      <c r="AM284" s="106">
        <f t="shared" si="708"/>
        <v>-34.152476572344106</v>
      </c>
      <c r="AN284" s="106">
        <f t="shared" si="708"/>
        <v>6.5720893307100292</v>
      </c>
      <c r="AO284" s="106">
        <f t="shared" si="708"/>
        <v>21.537821357687335</v>
      </c>
      <c r="AP284" s="106">
        <f t="shared" ref="AP284:BI284" si="709">AP28</f>
        <v>79.147982586058248</v>
      </c>
      <c r="AQ284" s="106">
        <f t="shared" si="709"/>
        <v>-0.38978172800185895</v>
      </c>
      <c r="AR284" s="106">
        <f t="shared" si="709"/>
        <v>-2.2988727262610809</v>
      </c>
      <c r="AS284" s="106">
        <f t="shared" si="709"/>
        <v>-7.2653878624694084</v>
      </c>
      <c r="AT284" s="106">
        <f t="shared" si="709"/>
        <v>125.18878112357589</v>
      </c>
      <c r="AU284" s="106">
        <f t="shared" si="709"/>
        <v>27.415516343202249</v>
      </c>
      <c r="AV284" s="106">
        <f t="shared" si="709"/>
        <v>55.864691370986527</v>
      </c>
      <c r="AW284" s="106">
        <f t="shared" si="709"/>
        <v>-19.900283642024142</v>
      </c>
      <c r="AX284" s="106">
        <f t="shared" si="709"/>
        <v>-49.413374564889587</v>
      </c>
      <c r="AY284" s="106">
        <f t="shared" si="709"/>
        <v>-32.34109931883723</v>
      </c>
      <c r="AZ284" s="106">
        <f t="shared" si="709"/>
        <v>-28.593477660674182</v>
      </c>
      <c r="BA284" s="106">
        <f t="shared" si="709"/>
        <v>140.04794161873087</v>
      </c>
      <c r="BB284" s="106">
        <f t="shared" si="709"/>
        <v>0.50764826583560296</v>
      </c>
      <c r="BC284" s="106">
        <f t="shared" si="709"/>
        <v>62.896250821374025</v>
      </c>
      <c r="BD284" s="106">
        <f t="shared" si="709"/>
        <v>-2.2014391284917778</v>
      </c>
      <c r="BE284" s="106">
        <f t="shared" si="709"/>
        <v>66.016510931688302</v>
      </c>
      <c r="BF284" s="106">
        <f t="shared" si="709"/>
        <v>18.405268420733933</v>
      </c>
      <c r="BG284" s="106">
        <f t="shared" si="709"/>
        <v>20.907399805664806</v>
      </c>
      <c r="BH284" s="106">
        <f t="shared" si="709"/>
        <v>0.62569652910429152</v>
      </c>
      <c r="BI284" s="106">
        <f t="shared" si="709"/>
        <v>24.39714557471131</v>
      </c>
      <c r="BJ284" s="106">
        <f t="shared" si="704"/>
        <v>-23.902418515676725</v>
      </c>
      <c r="BK284" s="106">
        <f t="shared" si="704"/>
        <v>9.8959804731200798</v>
      </c>
      <c r="BL284" s="106">
        <f t="shared" si="704"/>
        <v>4.4694212764527119</v>
      </c>
      <c r="BM284" s="106">
        <f t="shared" si="704"/>
        <v>0.70967516302020694</v>
      </c>
      <c r="BN284" s="106">
        <f t="shared" si="704"/>
        <v>0.43908801427963162</v>
      </c>
      <c r="BO284" s="106">
        <f t="shared" si="704"/>
        <v>-3.355502004026889</v>
      </c>
      <c r="BP284" s="106">
        <f t="shared" si="704"/>
        <v>-8.7384731809054266</v>
      </c>
      <c r="BQ284" s="106">
        <f t="shared" si="704"/>
        <v>-34.881356575559948</v>
      </c>
      <c r="BR284" s="106">
        <f t="shared" ref="BR284:CB284" si="710">BR28</f>
        <v>11.212915027899228</v>
      </c>
      <c r="BS284" s="106">
        <f t="shared" si="710"/>
        <v>12.450686066093187</v>
      </c>
      <c r="BT284" s="106">
        <f t="shared" ca="1" si="710"/>
        <v>-14.586857128709385</v>
      </c>
      <c r="BU284" s="106">
        <f t="shared" ca="1" si="710"/>
        <v>23.18924787398786</v>
      </c>
      <c r="BV284" s="106">
        <f t="shared" ca="1" si="710"/>
        <v>0.12028399530090716</v>
      </c>
      <c r="BW284" s="106">
        <f t="shared" ca="1" si="710"/>
        <v>1.415510671049458</v>
      </c>
      <c r="BX284" s="106">
        <f t="shared" ca="1" si="710"/>
        <v>1.9703634978515794</v>
      </c>
      <c r="BY284" s="106">
        <f t="shared" ca="1" si="710"/>
        <v>1.9304188285102608</v>
      </c>
      <c r="BZ284" s="106">
        <f t="shared" ca="1" si="710"/>
        <v>1.936865049645653</v>
      </c>
      <c r="CA284" s="106">
        <f t="shared" ca="1" si="710"/>
        <v>1.9565347992464899</v>
      </c>
      <c r="CB284" s="106">
        <f t="shared" ca="1" si="710"/>
        <v>1.9737643695712404</v>
      </c>
      <c r="CC284" s="106">
        <f t="shared" ca="1" si="696"/>
        <v>1.9904340117610664</v>
      </c>
      <c r="CD284" s="106">
        <f t="shared" ca="1" si="696"/>
        <v>2.0071399702824566</v>
      </c>
      <c r="CE284" s="106">
        <f t="shared" ca="1" si="696"/>
        <v>2.0255561642847253</v>
      </c>
      <c r="CF284" s="106">
        <f t="shared" ca="1" si="696"/>
        <v>2.0485187408862071</v>
      </c>
      <c r="CG284" s="106">
        <f t="shared" ca="1" si="696"/>
        <v>2.0801154101670383</v>
      </c>
      <c r="CH284" s="141"/>
      <c r="CI284" s="159">
        <f t="shared" si="706"/>
        <v>0</v>
      </c>
      <c r="CJ284" s="159">
        <f t="shared" si="707"/>
        <v>0</v>
      </c>
      <c r="CK284" s="159">
        <f t="shared" si="707"/>
        <v>0</v>
      </c>
      <c r="CL284" s="159">
        <f t="shared" ca="1" si="707"/>
        <v>0</v>
      </c>
      <c r="CM284" s="159">
        <f t="shared" ca="1" si="707"/>
        <v>-22.390382561236756</v>
      </c>
      <c r="CN284" s="159">
        <f t="shared" ca="1" si="707"/>
        <v>1.2562589062098728</v>
      </c>
      <c r="CO284" s="159">
        <f t="shared" ca="1" si="707"/>
        <v>1.2576936414587792</v>
      </c>
      <c r="CP284" s="159">
        <f t="shared" ca="1" si="707"/>
        <v>0.98691914791830815</v>
      </c>
      <c r="CQ284" s="159">
        <f t="shared" ca="1" si="707"/>
        <v>1.0731989554676691</v>
      </c>
      <c r="CR284" s="159">
        <f t="shared" ca="1" si="707"/>
        <v>11.523183930535374</v>
      </c>
      <c r="CS284" s="159">
        <f t="shared" ca="1" si="707"/>
        <v>5.819386633598711E-2</v>
      </c>
      <c r="CT284" s="159">
        <f t="shared" ca="1" si="707"/>
        <v>2.9143273509446566E-2</v>
      </c>
      <c r="CU284" s="159">
        <f t="shared" ca="1" si="707"/>
        <v>5.4617366275322432E-2</v>
      </c>
      <c r="CV284" s="159">
        <f t="shared" ca="1" si="698"/>
        <v>6.1980240474923676E-2</v>
      </c>
      <c r="CW284" s="159">
        <f t="shared" ca="1" si="699"/>
        <v>6.0927780772046525E-2</v>
      </c>
      <c r="CX284" s="159">
        <f t="shared" ca="1" si="700"/>
        <v>5.4915124923970993E-2</v>
      </c>
      <c r="CY284" s="159">
        <f t="shared" ca="1" si="701"/>
        <v>4.4256394272013111E-2</v>
      </c>
      <c r="CZ284" s="134"/>
      <c r="DA284" s="135">
        <v>-34.881356575559948</v>
      </c>
      <c r="DB284" s="135">
        <v>11.212915027899228</v>
      </c>
      <c r="DC284" s="135">
        <v>12.450686066093187</v>
      </c>
      <c r="DD284" s="135">
        <v>-14.586857128709385</v>
      </c>
      <c r="DE284" s="135">
        <v>45.579630435224615</v>
      </c>
      <c r="DF284" s="135">
        <v>-1.1359749109089656</v>
      </c>
      <c r="DG284" s="135">
        <v>0.15781702959067889</v>
      </c>
      <c r="DH284" s="135">
        <v>0.98344434993327123</v>
      </c>
      <c r="DI284" s="135">
        <v>0.85721987304259173</v>
      </c>
      <c r="DJ284" s="135">
        <v>-9.5863188808897206</v>
      </c>
      <c r="DK284" s="135">
        <v>1.8983409329105028</v>
      </c>
      <c r="DL284" s="135">
        <v>1.9446210960617938</v>
      </c>
      <c r="DM284" s="135">
        <v>1.9358166454857439</v>
      </c>
      <c r="DN284" s="135">
        <v>1.9451597298075329</v>
      </c>
      <c r="DO284" s="135">
        <v>1.9646283835126788</v>
      </c>
      <c r="DP284" s="135">
        <v>1.9936036159622361</v>
      </c>
      <c r="DQ284" s="135">
        <v>2.0358590158950252</v>
      </c>
    </row>
    <row r="285" spans="1:121" s="123" customFormat="1">
      <c r="A285" s="107" t="s">
        <v>132</v>
      </c>
      <c r="B285" s="107"/>
      <c r="C285" s="136" t="s">
        <v>1349</v>
      </c>
      <c r="D285" s="147"/>
      <c r="E285" s="107"/>
      <c r="F285" s="107"/>
      <c r="G285" s="106">
        <f t="shared" ref="G285:AO285" si="711">G29</f>
        <v>-4.7519658366007356</v>
      </c>
      <c r="H285" s="106">
        <f t="shared" si="711"/>
        <v>21.273589263541439</v>
      </c>
      <c r="I285" s="106">
        <f t="shared" si="711"/>
        <v>-2.7429619614736001</v>
      </c>
      <c r="J285" s="106">
        <f t="shared" si="711"/>
        <v>-13.953219681760265</v>
      </c>
      <c r="K285" s="106">
        <f t="shared" si="711"/>
        <v>19.688698779664616</v>
      </c>
      <c r="L285" s="106">
        <f t="shared" si="711"/>
        <v>11.650188680921225</v>
      </c>
      <c r="M285" s="106">
        <f t="shared" si="711"/>
        <v>-4.13972096781694</v>
      </c>
      <c r="N285" s="106">
        <f t="shared" si="711"/>
        <v>-1.0723150863749087</v>
      </c>
      <c r="O285" s="106">
        <f t="shared" si="711"/>
        <v>11.914770259125017</v>
      </c>
      <c r="P285" s="106">
        <f t="shared" si="711"/>
        <v>6.4232873904948917</v>
      </c>
      <c r="Q285" s="106">
        <f t="shared" si="711"/>
        <v>19.752767500409441</v>
      </c>
      <c r="R285" s="106">
        <f t="shared" si="711"/>
        <v>32.990125160301091</v>
      </c>
      <c r="S285" s="106">
        <f t="shared" si="711"/>
        <v>10.72765686984658</v>
      </c>
      <c r="T285" s="106">
        <f t="shared" si="711"/>
        <v>6.7428461130738748</v>
      </c>
      <c r="U285" s="106">
        <f t="shared" si="711"/>
        <v>9.2598086686857872</v>
      </c>
      <c r="V285" s="106">
        <f t="shared" si="711"/>
        <v>-1.6663840033768862</v>
      </c>
      <c r="W285" s="106">
        <f t="shared" si="711"/>
        <v>12.581395546021801</v>
      </c>
      <c r="X285" s="106">
        <f t="shared" si="711"/>
        <v>6.2291404714121867</v>
      </c>
      <c r="Y285" s="106">
        <f t="shared" si="711"/>
        <v>-1.6779345267213475</v>
      </c>
      <c r="Z285" s="106">
        <f t="shared" si="711"/>
        <v>4.6051909454176254</v>
      </c>
      <c r="AA285" s="106">
        <f t="shared" si="711"/>
        <v>-8.2318987460950677</v>
      </c>
      <c r="AB285" s="106">
        <f t="shared" si="711"/>
        <v>-2.8962979305751868</v>
      </c>
      <c r="AC285" s="106">
        <f t="shared" si="711"/>
        <v>2.3867641830146002</v>
      </c>
      <c r="AD285" s="106">
        <f t="shared" si="711"/>
        <v>8.7516136344378168</v>
      </c>
      <c r="AE285" s="106">
        <f t="shared" si="711"/>
        <v>4.9600681918388512</v>
      </c>
      <c r="AF285" s="106">
        <f t="shared" si="711"/>
        <v>0.59374284635675956</v>
      </c>
      <c r="AG285" s="106">
        <f t="shared" si="711"/>
        <v>-15.083367658017599</v>
      </c>
      <c r="AH285" s="106">
        <f t="shared" si="711"/>
        <v>0.23623713355236386</v>
      </c>
      <c r="AI285" s="106">
        <f t="shared" si="711"/>
        <v>-6.7497127060514366</v>
      </c>
      <c r="AJ285" s="106">
        <f t="shared" si="711"/>
        <v>-6.3316222083829254</v>
      </c>
      <c r="AK285" s="106">
        <f t="shared" si="711"/>
        <v>11.773421425621233</v>
      </c>
      <c r="AL285" s="106">
        <f t="shared" si="711"/>
        <v>-7.1599654458608946</v>
      </c>
      <c r="AM285" s="106">
        <f t="shared" si="711"/>
        <v>5.989216119043439</v>
      </c>
      <c r="AN285" s="106">
        <f t="shared" si="711"/>
        <v>-9.4037749424135892</v>
      </c>
      <c r="AO285" s="106">
        <f t="shared" si="711"/>
        <v>-6.7836990772895618</v>
      </c>
      <c r="AP285" s="106">
        <f t="shared" ref="AP285:BI285" si="712">AP29</f>
        <v>-4.5523349569106308</v>
      </c>
      <c r="AQ285" s="106">
        <f t="shared" si="712"/>
        <v>-6.2505433363148066</v>
      </c>
      <c r="AR285" s="106">
        <f t="shared" si="712"/>
        <v>14.139863357625115</v>
      </c>
      <c r="AS285" s="106">
        <f t="shared" si="712"/>
        <v>-6.4706062399103708</v>
      </c>
      <c r="AT285" s="106">
        <f t="shared" si="712"/>
        <v>-2.543715272959024</v>
      </c>
      <c r="AU285" s="106">
        <f t="shared" si="712"/>
        <v>12.259341437409699</v>
      </c>
      <c r="AV285" s="106">
        <f t="shared" si="712"/>
        <v>-9.6434499509393206</v>
      </c>
      <c r="AW285" s="106">
        <f t="shared" si="712"/>
        <v>4.0853942988320346</v>
      </c>
      <c r="AX285" s="106">
        <f t="shared" si="712"/>
        <v>-2.9355014400663682</v>
      </c>
      <c r="AY285" s="106">
        <f t="shared" si="712"/>
        <v>4.4847007455685262</v>
      </c>
      <c r="AZ285" s="106">
        <f t="shared" si="712"/>
        <v>5.9637140780451903</v>
      </c>
      <c r="BA285" s="106">
        <f t="shared" si="712"/>
        <v>8.1471845428759071</v>
      </c>
      <c r="BB285" s="106">
        <f t="shared" si="712"/>
        <v>-10.988329445809741</v>
      </c>
      <c r="BC285" s="106">
        <f t="shared" si="712"/>
        <v>38.593498794911874</v>
      </c>
      <c r="BD285" s="106">
        <f t="shared" si="712"/>
        <v>36.623218085107311</v>
      </c>
      <c r="BE285" s="106">
        <f t="shared" si="712"/>
        <v>9.7682149066656621</v>
      </c>
      <c r="BF285" s="106">
        <f t="shared" si="712"/>
        <v>-4.9191989620640637</v>
      </c>
      <c r="BG285" s="106">
        <f t="shared" si="712"/>
        <v>1.9239817567018758</v>
      </c>
      <c r="BH285" s="106">
        <f t="shared" si="712"/>
        <v>12.499270350128677</v>
      </c>
      <c r="BI285" s="106">
        <f t="shared" si="712"/>
        <v>-3.7663692965276718</v>
      </c>
      <c r="BJ285" s="106">
        <f t="shared" si="704"/>
        <v>2.8903298122046284</v>
      </c>
      <c r="BK285" s="106">
        <f t="shared" si="704"/>
        <v>4.5392522594903451</v>
      </c>
      <c r="BL285" s="106">
        <f t="shared" si="704"/>
        <v>-1.0586760091429115</v>
      </c>
      <c r="BM285" s="106">
        <f t="shared" si="704"/>
        <v>1.0122290014969977</v>
      </c>
      <c r="BN285" s="106">
        <f t="shared" si="704"/>
        <v>-2.8195304132343288</v>
      </c>
      <c r="BO285" s="106">
        <f t="shared" si="704"/>
        <v>-13.928969786908137</v>
      </c>
      <c r="BP285" s="106">
        <f t="shared" ca="1" si="704"/>
        <v>-19.130730171573081</v>
      </c>
      <c r="BQ285" s="106">
        <f t="shared" si="704"/>
        <v>34.920971964506975</v>
      </c>
      <c r="BR285" s="106">
        <f t="shared" ref="BR285:CB285" si="713">BR29</f>
        <v>3.065827076125069</v>
      </c>
      <c r="BS285" s="106">
        <f t="shared" si="713"/>
        <v>-2.9814030833395933</v>
      </c>
      <c r="BT285" s="106">
        <f t="shared" ca="1" si="713"/>
        <v>-4.977124131104131</v>
      </c>
      <c r="BU285" s="106">
        <f t="shared" ca="1" si="713"/>
        <v>7.9169352224213565</v>
      </c>
      <c r="BV285" s="106">
        <f t="shared" ca="1" si="713"/>
        <v>2.1534772538903542</v>
      </c>
      <c r="BW285" s="106">
        <f t="shared" ca="1" si="713"/>
        <v>2.1550750678907735</v>
      </c>
      <c r="BX285" s="106">
        <f t="shared" ca="1" si="713"/>
        <v>2.1570331683366843</v>
      </c>
      <c r="BY285" s="106">
        <f t="shared" ca="1" si="713"/>
        <v>2.159468871939211</v>
      </c>
      <c r="BZ285" s="106">
        <f t="shared" ca="1" si="713"/>
        <v>2.1596753927999481</v>
      </c>
      <c r="CA285" s="106">
        <f t="shared" ca="1" si="713"/>
        <v>2.1599841369088089</v>
      </c>
      <c r="CB285" s="106">
        <f t="shared" ca="1" si="713"/>
        <v>2.1604252004663893</v>
      </c>
      <c r="CC285" s="106">
        <f t="shared" ca="1" si="696"/>
        <v>2.1610234716038228</v>
      </c>
      <c r="CD285" s="106">
        <f t="shared" ca="1" si="696"/>
        <v>2.1618137771952295</v>
      </c>
      <c r="CE285" s="106">
        <f t="shared" ca="1" si="696"/>
        <v>2.1628424096392389</v>
      </c>
      <c r="CF285" s="106">
        <f t="shared" ca="1" si="696"/>
        <v>2.1641709681995902</v>
      </c>
      <c r="CG285" s="106">
        <f t="shared" ca="1" si="696"/>
        <v>2.1658814429694022</v>
      </c>
      <c r="CH285" s="141"/>
      <c r="CI285" s="159">
        <f t="shared" si="706"/>
        <v>0</v>
      </c>
      <c r="CJ285" s="159">
        <f t="shared" si="707"/>
        <v>0</v>
      </c>
      <c r="CK285" s="159">
        <f t="shared" si="707"/>
        <v>0</v>
      </c>
      <c r="CL285" s="159">
        <f t="shared" ca="1" si="707"/>
        <v>0</v>
      </c>
      <c r="CM285" s="159">
        <f t="shared" ca="1" si="707"/>
        <v>3.3382065643976944E-2</v>
      </c>
      <c r="CN285" s="159">
        <f t="shared" ca="1" si="707"/>
        <v>-2.0408753813011509</v>
      </c>
      <c r="CO285" s="159">
        <f t="shared" ca="1" si="707"/>
        <v>-2.040298443345359</v>
      </c>
      <c r="CP285" s="159">
        <f t="shared" ca="1" si="707"/>
        <v>-2.0396418405568344</v>
      </c>
      <c r="CQ285" s="159">
        <f t="shared" ca="1" si="707"/>
        <v>-2.0390981725226993</v>
      </c>
      <c r="CR285" s="159">
        <f t="shared" ca="1" si="707"/>
        <v>-2.0385994371300526</v>
      </c>
      <c r="CS285" s="159">
        <f t="shared" ca="1" si="707"/>
        <v>-2.0380640039490898</v>
      </c>
      <c r="CT285" s="159">
        <f t="shared" ca="1" si="707"/>
        <v>-2.0375406178659183</v>
      </c>
      <c r="CU285" s="159">
        <f t="shared" ca="1" si="707"/>
        <v>-2.0371224729814736</v>
      </c>
      <c r="CV285" s="159">
        <f t="shared" ca="1" si="698"/>
        <v>-2.0367503540149494</v>
      </c>
      <c r="CW285" s="159">
        <f t="shared" ca="1" si="699"/>
        <v>-2.0364238976821691</v>
      </c>
      <c r="CX285" s="159">
        <f t="shared" ca="1" si="700"/>
        <v>-2.0361445669446221</v>
      </c>
      <c r="CY285" s="159">
        <f t="shared" ca="1" si="701"/>
        <v>-2.0359145239957339</v>
      </c>
      <c r="CZ285" s="134"/>
      <c r="DA285" s="135">
        <v>34.920971964506975</v>
      </c>
      <c r="DB285" s="135">
        <v>3.065827076125069</v>
      </c>
      <c r="DC285" s="135">
        <v>-2.9814030833395933</v>
      </c>
      <c r="DD285" s="135">
        <v>-4.977124131104131</v>
      </c>
      <c r="DE285" s="135">
        <v>7.8835531567773796</v>
      </c>
      <c r="DF285" s="135">
        <v>4.194352635191505</v>
      </c>
      <c r="DG285" s="135">
        <v>4.1953735112361326</v>
      </c>
      <c r="DH285" s="135">
        <v>4.1966750088935187</v>
      </c>
      <c r="DI285" s="135">
        <v>4.1985670444619103</v>
      </c>
      <c r="DJ285" s="135">
        <v>4.1982748299300008</v>
      </c>
      <c r="DK285" s="135">
        <v>4.1980481408578987</v>
      </c>
      <c r="DL285" s="135">
        <v>4.1979658183323076</v>
      </c>
      <c r="DM285" s="135">
        <v>4.1981459445852964</v>
      </c>
      <c r="DN285" s="135">
        <v>4.1985641312101789</v>
      </c>
      <c r="DO285" s="135">
        <v>4.199266307321408</v>
      </c>
      <c r="DP285" s="135">
        <v>4.2003155351442123</v>
      </c>
      <c r="DQ285" s="135">
        <v>4.2017959669651361</v>
      </c>
    </row>
    <row r="286" spans="1:121" s="123" customFormat="1">
      <c r="A286" s="107" t="s">
        <v>133</v>
      </c>
      <c r="B286" s="107"/>
      <c r="C286" s="136" t="s">
        <v>1349</v>
      </c>
      <c r="D286" s="147"/>
      <c r="E286" s="107"/>
      <c r="F286" s="107"/>
      <c r="G286" s="106">
        <f t="shared" ref="G286:AO286" si="714">G30</f>
        <v>3.0534934759233634</v>
      </c>
      <c r="H286" s="106">
        <f t="shared" si="714"/>
        <v>24.206778889017389</v>
      </c>
      <c r="I286" s="106">
        <f t="shared" si="714"/>
        <v>-0.72397915174229333</v>
      </c>
      <c r="J286" s="106">
        <f t="shared" si="714"/>
        <v>-10.385226063170528</v>
      </c>
      <c r="K286" s="106">
        <f t="shared" si="714"/>
        <v>18.868234320663426</v>
      </c>
      <c r="L286" s="106">
        <f t="shared" si="714"/>
        <v>19.123736058429984</v>
      </c>
      <c r="M286" s="106">
        <f t="shared" si="714"/>
        <v>-4.1582736874477222</v>
      </c>
      <c r="N286" s="106">
        <f t="shared" si="714"/>
        <v>2.5610863214581947</v>
      </c>
      <c r="O286" s="106">
        <f t="shared" si="714"/>
        <v>11.384573461749326</v>
      </c>
      <c r="P286" s="106">
        <f t="shared" si="714"/>
        <v>35.451575639363277</v>
      </c>
      <c r="Q286" s="106">
        <f t="shared" si="714"/>
        <v>12.900259373466195</v>
      </c>
      <c r="R286" s="106">
        <f t="shared" si="714"/>
        <v>-9.7974654975922277</v>
      </c>
      <c r="S286" s="106">
        <f t="shared" si="714"/>
        <v>11.429752453420949</v>
      </c>
      <c r="T286" s="106">
        <f t="shared" si="714"/>
        <v>-3.7215075721091173</v>
      </c>
      <c r="U286" s="106">
        <f t="shared" si="714"/>
        <v>4.1588716406038895</v>
      </c>
      <c r="V286" s="106">
        <f t="shared" si="714"/>
        <v>0.78137567598821622</v>
      </c>
      <c r="W286" s="106">
        <f t="shared" si="714"/>
        <v>6.0208555837591771</v>
      </c>
      <c r="X286" s="106">
        <f t="shared" si="714"/>
        <v>5.3083415600015282</v>
      </c>
      <c r="Y286" s="106">
        <f t="shared" si="714"/>
        <v>16.46644123264549</v>
      </c>
      <c r="Z286" s="106">
        <f t="shared" si="714"/>
        <v>8.4660484622654195</v>
      </c>
      <c r="AA286" s="106">
        <f t="shared" si="714"/>
        <v>-2.7516008872057074</v>
      </c>
      <c r="AB286" s="106">
        <f t="shared" si="714"/>
        <v>-8.9379362617231894</v>
      </c>
      <c r="AC286" s="106">
        <f t="shared" si="714"/>
        <v>36.789721901392205</v>
      </c>
      <c r="AD286" s="106">
        <f t="shared" si="714"/>
        <v>-6.1394974680084484</v>
      </c>
      <c r="AE286" s="106">
        <f t="shared" si="714"/>
        <v>0.87631141189201678</v>
      </c>
      <c r="AF286" s="106">
        <f t="shared" si="714"/>
        <v>3.3995132862961741</v>
      </c>
      <c r="AG286" s="106">
        <f t="shared" si="714"/>
        <v>-6.1611431534675969</v>
      </c>
      <c r="AH286" s="106">
        <f t="shared" si="714"/>
        <v>2.7846721469476199</v>
      </c>
      <c r="AI286" s="106">
        <f t="shared" si="714"/>
        <v>-15.610382472626904</v>
      </c>
      <c r="AJ286" s="106">
        <f t="shared" si="714"/>
        <v>-19.2310773542272</v>
      </c>
      <c r="AK286" s="106">
        <f t="shared" si="714"/>
        <v>-14.418138552966175</v>
      </c>
      <c r="AL286" s="106">
        <f t="shared" si="714"/>
        <v>-19.533269194993906</v>
      </c>
      <c r="AM286" s="106">
        <f t="shared" si="714"/>
        <v>-26.378033090799903</v>
      </c>
      <c r="AN286" s="106">
        <f t="shared" si="714"/>
        <v>10.868903819142739</v>
      </c>
      <c r="AO286" s="106">
        <f t="shared" si="714"/>
        <v>45.225711985029605</v>
      </c>
      <c r="AP286" s="106">
        <f t="shared" ref="AP286:BI286" si="715">AP30</f>
        <v>34.473284085708691</v>
      </c>
      <c r="AQ286" s="106">
        <f t="shared" si="715"/>
        <v>8.4320739429084348</v>
      </c>
      <c r="AR286" s="106">
        <f t="shared" si="715"/>
        <v>-4.8486561758092739</v>
      </c>
      <c r="AS286" s="106">
        <f t="shared" si="715"/>
        <v>-19.820689900705478</v>
      </c>
      <c r="AT286" s="106">
        <f t="shared" si="715"/>
        <v>6.41792688020284</v>
      </c>
      <c r="AU286" s="106">
        <f t="shared" si="715"/>
        <v>3.9903713293764076</v>
      </c>
      <c r="AV286" s="106">
        <f t="shared" si="715"/>
        <v>25.97359101077128</v>
      </c>
      <c r="AW286" s="106">
        <f t="shared" si="715"/>
        <v>-10.276807881949356</v>
      </c>
      <c r="AX286" s="106">
        <f t="shared" si="715"/>
        <v>-24.948183406059631</v>
      </c>
      <c r="AY286" s="106">
        <f t="shared" si="715"/>
        <v>-23.052353933649115</v>
      </c>
      <c r="AZ286" s="106">
        <f t="shared" si="715"/>
        <v>-1.7078947645933096</v>
      </c>
      <c r="BA286" s="106">
        <f t="shared" si="715"/>
        <v>9.5930063052400261</v>
      </c>
      <c r="BB286" s="106">
        <f t="shared" si="715"/>
        <v>48.599203962007387</v>
      </c>
      <c r="BC286" s="106">
        <f t="shared" si="715"/>
        <v>41.856281379778551</v>
      </c>
      <c r="BD286" s="106">
        <f t="shared" si="715"/>
        <v>20.0865703398037</v>
      </c>
      <c r="BE286" s="106">
        <f ca="1">BE30</f>
        <v>29.191570572557946</v>
      </c>
      <c r="BF286" s="106">
        <f ca="1">BF30</f>
        <v>-7.1443016835438078</v>
      </c>
      <c r="BG286" s="106">
        <f t="shared" si="715"/>
        <v>-1.1151958642282134</v>
      </c>
      <c r="BH286" s="106">
        <f t="shared" si="715"/>
        <v>10.535357726272299</v>
      </c>
      <c r="BI286" s="106">
        <f t="shared" si="715"/>
        <v>12.477025637121431</v>
      </c>
      <c r="BJ286" s="106">
        <f t="shared" si="704"/>
        <v>-27.146040406023431</v>
      </c>
      <c r="BK286" s="106">
        <f t="shared" si="704"/>
        <v>5.1431563325871954</v>
      </c>
      <c r="BL286" s="106">
        <f t="shared" si="704"/>
        <v>24.858950646576638</v>
      </c>
      <c r="BM286" s="106">
        <f t="shared" si="704"/>
        <v>9.4692900581789594</v>
      </c>
      <c r="BN286" s="106">
        <f t="shared" si="704"/>
        <v>2.9108242883326696</v>
      </c>
      <c r="BO286" s="106">
        <f t="shared" si="704"/>
        <v>-14.969478856000951</v>
      </c>
      <c r="BP286" s="106">
        <f t="shared" ca="1" si="704"/>
        <v>-44.865685221706663</v>
      </c>
      <c r="BQ286" s="106">
        <f t="shared" si="704"/>
        <v>0.81938719340808319</v>
      </c>
      <c r="BR286" s="106">
        <f t="shared" ref="BR286:CB286" si="716">BR30</f>
        <v>13.706334374635487</v>
      </c>
      <c r="BS286" s="106">
        <f t="shared" si="716"/>
        <v>12.988067323095187</v>
      </c>
      <c r="BT286" s="106">
        <f t="shared" si="716"/>
        <v>-23.086158478915706</v>
      </c>
      <c r="BU286" s="106">
        <f t="shared" ca="1" si="716"/>
        <v>5.1871030915254357</v>
      </c>
      <c r="BV286" s="106">
        <f t="shared" ca="1" si="716"/>
        <v>4.6944347627067007</v>
      </c>
      <c r="BW286" s="106">
        <f t="shared" ca="1" si="716"/>
        <v>4.7169259660444496</v>
      </c>
      <c r="BX286" s="106">
        <f t="shared" ca="1" si="716"/>
        <v>4.4929867862366413</v>
      </c>
      <c r="BY286" s="106">
        <f t="shared" ca="1" si="716"/>
        <v>4.548984016187485</v>
      </c>
      <c r="BZ286" s="106">
        <f t="shared" ca="1" si="716"/>
        <v>4.9608142228528385</v>
      </c>
      <c r="CA286" s="106">
        <f t="shared" ca="1" si="716"/>
        <v>5.3201821596553067</v>
      </c>
      <c r="CB286" s="106">
        <f t="shared" ca="1" si="716"/>
        <v>5.7339738980482169</v>
      </c>
      <c r="CC286" s="106">
        <f t="shared" ca="1" si="696"/>
        <v>6.221221837303581</v>
      </c>
      <c r="CD286" s="106">
        <f t="shared" ca="1" si="696"/>
        <v>6.797777098381852</v>
      </c>
      <c r="CE286" s="106">
        <f t="shared" ca="1" si="696"/>
        <v>7.479442355535082</v>
      </c>
      <c r="CF286" s="106">
        <f t="shared" ca="1" si="696"/>
        <v>8.2790128210938221</v>
      </c>
      <c r="CG286" s="106">
        <f t="shared" ca="1" si="696"/>
        <v>9.2015140704094112</v>
      </c>
      <c r="CH286" s="141"/>
      <c r="CI286" s="159">
        <f t="shared" si="706"/>
        <v>0</v>
      </c>
      <c r="CJ286" s="159">
        <f t="shared" si="707"/>
        <v>0</v>
      </c>
      <c r="CK286" s="159">
        <f t="shared" si="707"/>
        <v>0</v>
      </c>
      <c r="CL286" s="159">
        <f t="shared" si="707"/>
        <v>0</v>
      </c>
      <c r="CM286" s="159">
        <f t="shared" ca="1" si="707"/>
        <v>-6.5710197661514878</v>
      </c>
      <c r="CN286" s="159">
        <f t="shared" ca="1" si="707"/>
        <v>-0.52808319240336132</v>
      </c>
      <c r="CO286" s="159">
        <f t="shared" ca="1" si="707"/>
        <v>-0.85564257021157886</v>
      </c>
      <c r="CP286" s="159">
        <f t="shared" ca="1" si="707"/>
        <v>-1.1005085063878983</v>
      </c>
      <c r="CQ286" s="159">
        <f t="shared" ca="1" si="707"/>
        <v>-1.1621165782770948</v>
      </c>
      <c r="CR286" s="159">
        <f t="shared" ca="1" si="707"/>
        <v>1.4949840958929483</v>
      </c>
      <c r="CS286" s="159">
        <f t="shared" ca="1" si="707"/>
        <v>-1.1503558193559194</v>
      </c>
      <c r="CT286" s="159">
        <f t="shared" ca="1" si="707"/>
        <v>-1.2664362105091254</v>
      </c>
      <c r="CU286" s="159">
        <f t="shared" ca="1" si="707"/>
        <v>-1.3382043192001758</v>
      </c>
      <c r="CV286" s="159">
        <f t="shared" ca="1" si="698"/>
        <v>-1.3820336712776484</v>
      </c>
      <c r="CW286" s="159">
        <f t="shared" ca="1" si="699"/>
        <v>-1.3979018048873249</v>
      </c>
      <c r="CX286" s="159">
        <f t="shared" ca="1" si="700"/>
        <v>-1.3965124205915558</v>
      </c>
      <c r="CY286" s="159">
        <f t="shared" ca="1" si="701"/>
        <v>-1.3767504190991051</v>
      </c>
      <c r="CZ286" s="134"/>
      <c r="DA286" s="135">
        <v>0.81938719340808319</v>
      </c>
      <c r="DB286" s="135">
        <v>13.706334374635487</v>
      </c>
      <c r="DC286" s="135">
        <v>12.988067323095187</v>
      </c>
      <c r="DD286" s="135">
        <v>-23.086158478915706</v>
      </c>
      <c r="DE286" s="135">
        <v>11.758122857676923</v>
      </c>
      <c r="DF286" s="135">
        <v>5.222517955110062</v>
      </c>
      <c r="DG286" s="135">
        <v>5.5725685362560284</v>
      </c>
      <c r="DH286" s="135">
        <v>5.5934952926245396</v>
      </c>
      <c r="DI286" s="135">
        <v>5.7111005944645798</v>
      </c>
      <c r="DJ286" s="135">
        <v>3.4658301269598901</v>
      </c>
      <c r="DK286" s="135">
        <v>6.4705379790112261</v>
      </c>
      <c r="DL286" s="135">
        <v>7.0004101085573422</v>
      </c>
      <c r="DM286" s="135">
        <v>7.5594261565037568</v>
      </c>
      <c r="DN286" s="135">
        <v>8.1798107696595004</v>
      </c>
      <c r="DO286" s="135">
        <v>8.8773441604224068</v>
      </c>
      <c r="DP286" s="135">
        <v>9.6755252416853779</v>
      </c>
      <c r="DQ286" s="135">
        <v>10.578264489508516</v>
      </c>
    </row>
    <row r="287" spans="1:121" s="123" customFormat="1">
      <c r="A287" s="107" t="s">
        <v>3256</v>
      </c>
      <c r="B287" s="107"/>
      <c r="C287" s="136" t="s">
        <v>1349</v>
      </c>
      <c r="D287" s="147"/>
      <c r="E287" s="107"/>
      <c r="F287" s="107"/>
      <c r="G287" s="106">
        <f t="shared" ref="G287:AO287" si="717">G31</f>
        <v>5.3898456323826505</v>
      </c>
      <c r="H287" s="106">
        <f t="shared" si="717"/>
        <v>8.9312589669325639</v>
      </c>
      <c r="I287" s="106">
        <f t="shared" si="717"/>
        <v>1.2591565719868747</v>
      </c>
      <c r="J287" s="106">
        <f t="shared" si="717"/>
        <v>-1.7547026928487752</v>
      </c>
      <c r="K287" s="106">
        <f t="shared" si="717"/>
        <v>13.330280364994994</v>
      </c>
      <c r="L287" s="106">
        <f t="shared" si="717"/>
        <v>10.756878338080945</v>
      </c>
      <c r="M287" s="106">
        <f t="shared" si="717"/>
        <v>2.7604570849473431</v>
      </c>
      <c r="N287" s="106">
        <f t="shared" si="717"/>
        <v>4.475128758056357</v>
      </c>
      <c r="O287" s="106">
        <f t="shared" si="717"/>
        <v>8.1771321827497587</v>
      </c>
      <c r="P287" s="106">
        <f t="shared" si="717"/>
        <v>12.092916405889852</v>
      </c>
      <c r="Q287" s="106">
        <f t="shared" si="717"/>
        <v>12.500864082791363</v>
      </c>
      <c r="R287" s="106">
        <f t="shared" si="717"/>
        <v>9.4335221917751113</v>
      </c>
      <c r="S287" s="106">
        <f t="shared" si="717"/>
        <v>8.8605187005468942</v>
      </c>
      <c r="T287" s="106">
        <f t="shared" si="717"/>
        <v>5.4859034634711534</v>
      </c>
      <c r="U287" s="106">
        <f t="shared" si="717"/>
        <v>5.9574349708932051</v>
      </c>
      <c r="V287" s="106">
        <f t="shared" si="717"/>
        <v>3.0084051428940883</v>
      </c>
      <c r="W287" s="106">
        <f t="shared" si="717"/>
        <v>8.8458745714105937</v>
      </c>
      <c r="X287" s="106">
        <f t="shared" si="717"/>
        <v>2.6528274399649554</v>
      </c>
      <c r="Y287" s="106">
        <f t="shared" si="717"/>
        <v>2.1140699766445614</v>
      </c>
      <c r="Z287" s="106">
        <f t="shared" si="717"/>
        <v>5.8747667297188277</v>
      </c>
      <c r="AA287" s="106">
        <f t="shared" si="717"/>
        <v>2.7491393594448521</v>
      </c>
      <c r="AB287" s="106">
        <f t="shared" si="717"/>
        <v>-2.3805734261234224</v>
      </c>
      <c r="AC287" s="106">
        <f t="shared" si="717"/>
        <v>17.414387715286516</v>
      </c>
      <c r="AD287" s="106">
        <f t="shared" si="717"/>
        <v>3.1544878181970937</v>
      </c>
      <c r="AE287" s="106">
        <f t="shared" si="717"/>
        <v>-4.8280478992787419</v>
      </c>
      <c r="AF287" s="106">
        <f t="shared" si="717"/>
        <v>-3.6291099489454082</v>
      </c>
      <c r="AG287" s="106">
        <f t="shared" si="717"/>
        <v>-0.8185864931741893</v>
      </c>
      <c r="AH287" s="106">
        <f t="shared" si="717"/>
        <v>-2.9906231493860402</v>
      </c>
      <c r="AI287" s="106">
        <f t="shared" si="717"/>
        <v>-8.407710988843176</v>
      </c>
      <c r="AJ287" s="106">
        <f t="shared" si="717"/>
        <v>-6.2203370863920915</v>
      </c>
      <c r="AK287" s="106">
        <f t="shared" si="717"/>
        <v>-5.0565655086834642</v>
      </c>
      <c r="AL287" s="106">
        <f t="shared" si="717"/>
        <v>-7.5413177515512686</v>
      </c>
      <c r="AM287" s="106">
        <f t="shared" si="717"/>
        <v>-13.380458162315312</v>
      </c>
      <c r="AN287" s="106">
        <f t="shared" si="717"/>
        <v>9.9306699227616804</v>
      </c>
      <c r="AO287" s="106">
        <f t="shared" si="717"/>
        <v>19.80410706059963</v>
      </c>
      <c r="AP287" s="106">
        <f t="shared" ref="AP287:BI287" si="718">AP31</f>
        <v>8.8309176514895107</v>
      </c>
      <c r="AQ287" s="106">
        <f t="shared" si="718"/>
        <v>5.0604972416319338</v>
      </c>
      <c r="AR287" s="106">
        <f t="shared" si="718"/>
        <v>-1.471743163014283</v>
      </c>
      <c r="AS287" s="106">
        <f t="shared" si="718"/>
        <v>-22.194685406002833</v>
      </c>
      <c r="AT287" s="106">
        <f t="shared" si="718"/>
        <v>2.577111375881791</v>
      </c>
      <c r="AU287" s="106">
        <f t="shared" si="718"/>
        <v>6.3577911568239776</v>
      </c>
      <c r="AV287" s="106">
        <f t="shared" si="718"/>
        <v>11.249189853113561</v>
      </c>
      <c r="AW287" s="106">
        <f t="shared" si="718"/>
        <v>-5.3483200856010544</v>
      </c>
      <c r="AX287" s="106">
        <f t="shared" si="718"/>
        <v>-6.7899945026464126</v>
      </c>
      <c r="AY287" s="106">
        <f t="shared" si="718"/>
        <v>-10.504551305193077</v>
      </c>
      <c r="AZ287" s="106">
        <f t="shared" si="718"/>
        <v>0.32794006389904595</v>
      </c>
      <c r="BA287" s="106">
        <f t="shared" si="718"/>
        <v>7.266818784993645</v>
      </c>
      <c r="BB287" s="106">
        <f t="shared" si="718"/>
        <v>12.666324711535193</v>
      </c>
      <c r="BC287" s="106">
        <f t="shared" si="718"/>
        <v>17.106223710960087</v>
      </c>
      <c r="BD287" s="106">
        <f t="shared" si="718"/>
        <v>11.482814449869473</v>
      </c>
      <c r="BE287" s="106">
        <f ca="1">BE31</f>
        <v>17.790662403802692</v>
      </c>
      <c r="BF287" s="106">
        <f ca="1">BF31</f>
        <v>2.7239678123561761</v>
      </c>
      <c r="BG287" s="106">
        <f t="shared" si="718"/>
        <v>6.2560617336847368</v>
      </c>
      <c r="BH287" s="106">
        <f t="shared" si="718"/>
        <v>7.6348304042204607</v>
      </c>
      <c r="BI287" s="106">
        <f t="shared" si="718"/>
        <v>6.667515661531187</v>
      </c>
      <c r="BJ287" s="106">
        <f t="shared" si="704"/>
        <v>-6.0440841494311499</v>
      </c>
      <c r="BK287" s="106">
        <f t="shared" si="704"/>
        <v>6.0423782550415694</v>
      </c>
      <c r="BL287" s="106">
        <f t="shared" si="704"/>
        <v>9.6453569561483441</v>
      </c>
      <c r="BM287" s="106">
        <f t="shared" si="704"/>
        <v>5.4541983504839964</v>
      </c>
      <c r="BN287" s="106">
        <f t="shared" si="704"/>
        <v>1.7269221294770709</v>
      </c>
      <c r="BO287" s="106">
        <f t="shared" si="704"/>
        <v>-7.0481748707126979</v>
      </c>
      <c r="BP287" s="106">
        <f t="shared" ca="1" si="704"/>
        <v>-25.911469681018971</v>
      </c>
      <c r="BQ287" s="106">
        <f t="shared" si="704"/>
        <v>1.8277664757168299</v>
      </c>
      <c r="BR287" s="106">
        <f t="shared" ref="BR287:CB287" si="719">BR31</f>
        <v>5.019200868274587</v>
      </c>
      <c r="BS287" s="106">
        <f t="shared" si="719"/>
        <v>5.0007144762624911</v>
      </c>
      <c r="BT287" s="106">
        <f t="shared" ca="1" si="719"/>
        <v>-12.299642167295378</v>
      </c>
      <c r="BU287" s="106">
        <f t="shared" ca="1" si="719"/>
        <v>6.5352451127210331</v>
      </c>
      <c r="BV287" s="106">
        <f t="shared" ca="1" si="719"/>
        <v>3.2109684369979297</v>
      </c>
      <c r="BW287" s="106">
        <f t="shared" ca="1" si="719"/>
        <v>4.0284982908165512</v>
      </c>
      <c r="BX287" s="106">
        <f t="shared" ca="1" si="719"/>
        <v>4.1736291852690455</v>
      </c>
      <c r="BY287" s="106">
        <f t="shared" ca="1" si="719"/>
        <v>4.1263037287824655</v>
      </c>
      <c r="BZ287" s="106">
        <f t="shared" ca="1" si="719"/>
        <v>4.4592612724292158</v>
      </c>
      <c r="CA287" s="106">
        <f t="shared" ca="1" si="719"/>
        <v>4.7393070697321793</v>
      </c>
      <c r="CB287" s="106">
        <f t="shared" ca="1" si="719"/>
        <v>5.0543491413741704</v>
      </c>
      <c r="CC287" s="106">
        <f t="shared" ca="1" si="696"/>
        <v>5.4190122103154881</v>
      </c>
      <c r="CD287" s="106">
        <f t="shared" ca="1" si="696"/>
        <v>5.8407361752241593</v>
      </c>
      <c r="CE287" s="106">
        <f t="shared" ca="1" si="696"/>
        <v>6.3243339516060093</v>
      </c>
      <c r="CF287" s="106">
        <f t="shared" ca="1" si="696"/>
        <v>6.8680246048469007</v>
      </c>
      <c r="CG287" s="106">
        <f t="shared" ca="1" si="696"/>
        <v>7.4576123971298092</v>
      </c>
      <c r="CH287" s="141"/>
      <c r="CI287" s="159">
        <f t="shared" si="706"/>
        <v>0</v>
      </c>
      <c r="CJ287" s="159">
        <f t="shared" si="707"/>
        <v>0</v>
      </c>
      <c r="CK287" s="159">
        <f t="shared" si="707"/>
        <v>0</v>
      </c>
      <c r="CL287" s="159">
        <f t="shared" ca="1" si="707"/>
        <v>0</v>
      </c>
      <c r="CM287" s="159">
        <f t="shared" ca="1" si="707"/>
        <v>-5.7071845713280611</v>
      </c>
      <c r="CN287" s="159">
        <f t="shared" ca="1" si="707"/>
        <v>-0.94290702602655152</v>
      </c>
      <c r="CO287" s="159">
        <f t="shared" ca="1" si="707"/>
        <v>-0.88954331092936378</v>
      </c>
      <c r="CP287" s="159">
        <f t="shared" ca="1" si="707"/>
        <v>-1.0581003487475593</v>
      </c>
      <c r="CQ287" s="159">
        <f t="shared" ca="1" si="707"/>
        <v>-1.0948644635038196</v>
      </c>
      <c r="CR287" s="159">
        <f t="shared" ca="1" si="707"/>
        <v>1.5687224686657064</v>
      </c>
      <c r="CS287" s="159">
        <f t="shared" ca="1" si="707"/>
        <v>-1.0941134641911932</v>
      </c>
      <c r="CT287" s="159">
        <f t="shared" ca="1" si="707"/>
        <v>-1.2344854523334448</v>
      </c>
      <c r="CU287" s="159">
        <f t="shared" ca="1" si="707"/>
        <v>-1.2600029790962752</v>
      </c>
      <c r="CV287" s="159">
        <f t="shared" ca="1" si="698"/>
        <v>-1.2683784031292999</v>
      </c>
      <c r="CW287" s="159">
        <f t="shared" ca="1" si="699"/>
        <v>-1.2487852016198175</v>
      </c>
      <c r="CX287" s="159">
        <f t="shared" ca="1" si="700"/>
        <v>-1.205235027652507</v>
      </c>
      <c r="CY287" s="159">
        <f t="shared" ca="1" si="701"/>
        <v>-1.1331552861551177</v>
      </c>
      <c r="CZ287" s="134"/>
      <c r="DA287" s="135">
        <v>1.8277664757168299</v>
      </c>
      <c r="DB287" s="135">
        <v>5.019200868274587</v>
      </c>
      <c r="DC287" s="135">
        <v>5.0007144762624911</v>
      </c>
      <c r="DD287" s="135">
        <v>-12.299642167295378</v>
      </c>
      <c r="DE287" s="135">
        <v>12.242429684049094</v>
      </c>
      <c r="DF287" s="135">
        <v>4.1538754630244812</v>
      </c>
      <c r="DG287" s="135">
        <v>4.918041601745915</v>
      </c>
      <c r="DH287" s="135">
        <v>5.2317295340166048</v>
      </c>
      <c r="DI287" s="135">
        <v>5.2211681922862851</v>
      </c>
      <c r="DJ287" s="135">
        <v>2.8905388037635094</v>
      </c>
      <c r="DK287" s="135">
        <v>5.8334205339233725</v>
      </c>
      <c r="DL287" s="135">
        <v>6.2888345937076151</v>
      </c>
      <c r="DM287" s="135">
        <v>6.6790151894117633</v>
      </c>
      <c r="DN287" s="135">
        <v>7.1091145783534593</v>
      </c>
      <c r="DO287" s="135">
        <v>7.5731191532258268</v>
      </c>
      <c r="DP287" s="135">
        <v>8.0732596324994077</v>
      </c>
      <c r="DQ287" s="135">
        <v>8.5907676832849269</v>
      </c>
    </row>
    <row r="288" spans="1:121" s="193" customFormat="1">
      <c r="A288" s="1" t="s">
        <v>3144</v>
      </c>
      <c r="B288" s="1"/>
      <c r="C288" s="1" t="str">
        <f>+C32</f>
        <v>%</v>
      </c>
      <c r="D288" s="102"/>
      <c r="E288" s="141"/>
      <c r="F288" s="141"/>
      <c r="G288" s="123">
        <f t="shared" ref="G288:AO288" si="720">+G32</f>
        <v>6.3894230218200843</v>
      </c>
      <c r="H288" s="123">
        <f t="shared" si="720"/>
        <v>3.6860665036648754</v>
      </c>
      <c r="I288" s="123">
        <f t="shared" si="720"/>
        <v>2.047601673503463</v>
      </c>
      <c r="J288" s="123">
        <f t="shared" si="720"/>
        <v>1.8750000000000044</v>
      </c>
      <c r="K288" s="123">
        <f t="shared" si="720"/>
        <v>11.042944785276054</v>
      </c>
      <c r="L288" s="123">
        <f t="shared" si="720"/>
        <v>7.1256551919535394</v>
      </c>
      <c r="M288" s="123">
        <f t="shared" si="720"/>
        <v>6.224399307461681</v>
      </c>
      <c r="N288" s="123">
        <f t="shared" si="720"/>
        <v>5.2535264963781803</v>
      </c>
      <c r="O288" s="123">
        <f t="shared" si="720"/>
        <v>6.8687430478309164</v>
      </c>
      <c r="P288" s="123">
        <f t="shared" si="720"/>
        <v>2.6085886551002746</v>
      </c>
      <c r="Q288" s="123">
        <f t="shared" si="720"/>
        <v>12.259209192294707</v>
      </c>
      <c r="R288" s="123">
        <f t="shared" si="720"/>
        <v>21.460657875670176</v>
      </c>
      <c r="S288" s="123">
        <f t="shared" si="720"/>
        <v>7.709973753280841</v>
      </c>
      <c r="T288" s="123">
        <f t="shared" si="720"/>
        <v>9.5238095238095344</v>
      </c>
      <c r="U288" s="123">
        <f t="shared" si="720"/>
        <v>6.7123581066609539</v>
      </c>
      <c r="V288" s="123">
        <f t="shared" si="720"/>
        <v>3.8249231890850277</v>
      </c>
      <c r="W288" s="123">
        <f t="shared" si="720"/>
        <v>10.108101373098011</v>
      </c>
      <c r="X288" s="123">
        <f t="shared" si="720"/>
        <v>1.188171968954177</v>
      </c>
      <c r="Y288" s="123">
        <f t="shared" si="720"/>
        <v>-2.9207520424368694</v>
      </c>
      <c r="Z288" s="123">
        <f t="shared" si="720"/>
        <v>4.1452143068773983</v>
      </c>
      <c r="AA288" s="123">
        <f t="shared" si="720"/>
        <v>5.623735480068448</v>
      </c>
      <c r="AB288" s="123">
        <f t="shared" si="720"/>
        <v>1.4887017276167702</v>
      </c>
      <c r="AC288" s="123">
        <f t="shared" si="720"/>
        <v>8.6298714144411584</v>
      </c>
      <c r="AD288" s="123">
        <f t="shared" si="720"/>
        <v>8.5730650227922478</v>
      </c>
      <c r="AE288" s="123">
        <f t="shared" si="720"/>
        <v>-7.6085011986117728</v>
      </c>
      <c r="AF288" s="123">
        <f t="shared" si="720"/>
        <v>-7.528074840733856</v>
      </c>
      <c r="AG288" s="123">
        <f t="shared" si="720"/>
        <v>2.8661003955784414</v>
      </c>
      <c r="AH288" s="123">
        <f t="shared" si="720"/>
        <v>-6.1453218942517651</v>
      </c>
      <c r="AI288" s="123">
        <f t="shared" si="720"/>
        <v>-4.5977163764951428</v>
      </c>
      <c r="AJ288" s="123">
        <f t="shared" si="720"/>
        <v>0.70197143641526072</v>
      </c>
      <c r="AK288" s="123">
        <f t="shared" si="720"/>
        <v>-3.191702692136511</v>
      </c>
      <c r="AL288" s="123">
        <f t="shared" si="720"/>
        <v>-1.7535540543946682</v>
      </c>
      <c r="AM288" s="123">
        <f t="shared" si="720"/>
        <v>-7.2807162121356956</v>
      </c>
      <c r="AN288" s="123">
        <f t="shared" si="720"/>
        <v>8.6487206459924906</v>
      </c>
      <c r="AO288" s="123">
        <f t="shared" si="720"/>
        <v>4.7418836587602042</v>
      </c>
      <c r="AP288" s="123">
        <f t="shared" ref="AP288:BP288" si="721">+AP32</f>
        <v>-2.9448751221887615</v>
      </c>
      <c r="AQ288" s="123">
        <f t="shared" si="721"/>
        <v>3.2246613841742544</v>
      </c>
      <c r="AR288" s="123">
        <f t="shared" si="721"/>
        <v>1.0163236813041543</v>
      </c>
      <c r="AS288" s="123">
        <f t="shared" si="721"/>
        <v>-11.927143898146376</v>
      </c>
      <c r="AT288" s="123">
        <f t="shared" si="721"/>
        <v>-1.4433169071376706</v>
      </c>
      <c r="AU288" s="123">
        <f t="shared" si="721"/>
        <v>8.6514322499583685</v>
      </c>
      <c r="AV288" s="123">
        <f t="shared" si="721"/>
        <v>1.8010960101578322</v>
      </c>
      <c r="AW288" s="123">
        <f t="shared" si="721"/>
        <v>-2.1838188263538227</v>
      </c>
      <c r="AX288" s="123">
        <f t="shared" si="721"/>
        <v>9.921141553391033</v>
      </c>
      <c r="AY288" s="123">
        <f t="shared" si="721"/>
        <v>-1.0949796468647355</v>
      </c>
      <c r="AZ288" s="123">
        <f t="shared" si="721"/>
        <v>1.4846530570546079</v>
      </c>
      <c r="BA288" s="123">
        <f t="shared" si="721"/>
        <v>6.0674886437378284</v>
      </c>
      <c r="BB288" s="123">
        <f t="shared" si="721"/>
        <v>2.2025084123584948</v>
      </c>
      <c r="BC288" s="123">
        <f t="shared" si="721"/>
        <v>6.0760251421730027</v>
      </c>
      <c r="BD288" s="123">
        <f t="shared" si="721"/>
        <v>7.674943566591419</v>
      </c>
      <c r="BE288" s="123">
        <f t="shared" si="721"/>
        <v>10.000000000000009</v>
      </c>
      <c r="BF288" s="123">
        <f t="shared" si="721"/>
        <v>5.8000000000000052</v>
      </c>
      <c r="BG288" s="123">
        <f t="shared" si="721"/>
        <v>5.0999999999999934</v>
      </c>
      <c r="BH288" s="123">
        <f t="shared" si="721"/>
        <v>4.0999999999999925</v>
      </c>
      <c r="BI288" s="123">
        <f t="shared" si="721"/>
        <v>2.9999999999999805</v>
      </c>
      <c r="BJ288" s="123">
        <f t="shared" si="721"/>
        <v>5.1000000000000156</v>
      </c>
      <c r="BK288" s="123">
        <f t="shared" si="721"/>
        <v>5.2672091488893846</v>
      </c>
      <c r="BL288" s="123">
        <f t="shared" si="721"/>
        <v>3.2696124516870206</v>
      </c>
      <c r="BM288" s="123">
        <f t="shared" si="721"/>
        <v>2.9334412300222601</v>
      </c>
      <c r="BN288" s="123">
        <f t="shared" si="721"/>
        <v>0.36360062893081579</v>
      </c>
      <c r="BO288" s="123">
        <f t="shared" si="721"/>
        <v>-3.5151277783217472</v>
      </c>
      <c r="BP288" s="123">
        <f t="shared" si="721"/>
        <v>-5.5611934239902627</v>
      </c>
      <c r="BQ288" s="123">
        <f t="shared" ref="BQ288:CB288" si="722">+BQ32</f>
        <v>1.7623038899634791</v>
      </c>
      <c r="BR288" s="123">
        <f t="shared" si="722"/>
        <v>2.6187961985216557</v>
      </c>
      <c r="BS288" s="123">
        <f t="shared" si="722"/>
        <v>0.30000000000001137</v>
      </c>
      <c r="BT288" s="123">
        <f t="shared" ca="1" si="722"/>
        <v>-15.90796272008912</v>
      </c>
      <c r="BU288" s="123">
        <f t="shared" ca="1" si="722"/>
        <v>7.6329919606266117</v>
      </c>
      <c r="BV288" s="123">
        <f t="shared" ca="1" si="722"/>
        <v>2.3734402833680779</v>
      </c>
      <c r="BW288" s="123">
        <f t="shared" ca="1" si="722"/>
        <v>3.6390672165122595</v>
      </c>
      <c r="BX288" s="123">
        <f t="shared" ca="1" si="722"/>
        <v>4.0267683949501532</v>
      </c>
      <c r="BY288" s="123">
        <f t="shared" ca="1" si="722"/>
        <v>3.9100292732802799</v>
      </c>
      <c r="BZ288" s="123">
        <f t="shared" ca="1" si="722"/>
        <v>4.2229428211751241</v>
      </c>
      <c r="CA288" s="123">
        <f t="shared" ca="1" si="722"/>
        <v>4.4870252104324271</v>
      </c>
      <c r="CB288" s="123">
        <f t="shared" ca="1" si="722"/>
        <v>4.7851228627235232</v>
      </c>
      <c r="CC288" s="123">
        <f ca="1">+CC32</f>
        <v>5.1330647761235637</v>
      </c>
      <c r="CD288" s="123">
        <f ca="1">+CD32</f>
        <v>5.538707047488689</v>
      </c>
      <c r="CE288" s="123">
        <f ca="1">+CE32</f>
        <v>6.0076251585247986</v>
      </c>
      <c r="CF288" s="123">
        <f ca="1">+CF32</f>
        <v>6.5389750736255747</v>
      </c>
      <c r="CG288" s="123">
        <f ca="1">+CG32</f>
        <v>7.1194630405680526</v>
      </c>
      <c r="CH288" s="141"/>
      <c r="CI288" s="161">
        <f t="shared" si="706"/>
        <v>0</v>
      </c>
      <c r="CJ288" s="161">
        <f t="shared" si="707"/>
        <v>0</v>
      </c>
      <c r="CK288" s="161">
        <f t="shared" si="707"/>
        <v>0</v>
      </c>
      <c r="CL288" s="161">
        <f t="shared" ca="1" si="707"/>
        <v>0</v>
      </c>
      <c r="CM288" s="161">
        <f t="shared" ca="1" si="707"/>
        <v>-4.9360448872141092</v>
      </c>
      <c r="CN288" s="161">
        <f t="shared" ca="1" si="707"/>
        <v>-1.0817545631193415</v>
      </c>
      <c r="CO288" s="161">
        <f t="shared" ca="1" si="707"/>
        <v>-0.83196507313292312</v>
      </c>
      <c r="CP288" s="161">
        <f t="shared" ca="1" si="707"/>
        <v>-1.0054885364320976</v>
      </c>
      <c r="CQ288" s="161">
        <f t="shared" ca="1" si="707"/>
        <v>-1.0380343891462473</v>
      </c>
      <c r="CR288" s="161">
        <f t="shared" ca="1" si="707"/>
        <v>1.6921936725655895</v>
      </c>
      <c r="CS288" s="161">
        <f t="shared" ca="1" si="707"/>
        <v>-1.0456586469865803</v>
      </c>
      <c r="CT288" s="161">
        <f t="shared" ca="1" si="707"/>
        <v>-1.2002459770327878</v>
      </c>
      <c r="CU288" s="161">
        <f t="shared" ca="1" si="707"/>
        <v>-1.2107341653059267</v>
      </c>
      <c r="CV288" s="161">
        <f t="shared" ca="1" si="698"/>
        <v>-1.2127648554057791</v>
      </c>
      <c r="CW288" s="161">
        <f t="shared" ca="1" si="699"/>
        <v>-1.190315860590796</v>
      </c>
      <c r="CX288" s="161">
        <f t="shared" ca="1" si="700"/>
        <v>-1.1461292469526319</v>
      </c>
      <c r="CY288" s="161">
        <f t="shared" ca="1" si="701"/>
        <v>-1.0756513320525629</v>
      </c>
      <c r="CZ288" s="218"/>
      <c r="DA288" s="135">
        <v>1.7623038899634791</v>
      </c>
      <c r="DB288" s="135">
        <v>2.6187961985216557</v>
      </c>
      <c r="DC288" s="135">
        <v>0.30000000000001137</v>
      </c>
      <c r="DD288" s="135">
        <v>-15.90796272008912</v>
      </c>
      <c r="DE288" s="135">
        <v>12.569036847840721</v>
      </c>
      <c r="DF288" s="135">
        <v>3.4551948464874194</v>
      </c>
      <c r="DG288" s="135">
        <v>4.4710322896451826</v>
      </c>
      <c r="DH288" s="135">
        <v>5.0322569313822507</v>
      </c>
      <c r="DI288" s="135">
        <v>4.9480636624265273</v>
      </c>
      <c r="DJ288" s="135">
        <v>2.5307491486095346</v>
      </c>
      <c r="DK288" s="135">
        <v>5.5326838574190074</v>
      </c>
      <c r="DL288" s="135">
        <v>5.985368839756311</v>
      </c>
      <c r="DM288" s="135">
        <v>6.3437989414294904</v>
      </c>
      <c r="DN288" s="135">
        <v>6.7514719028944681</v>
      </c>
      <c r="DO288" s="135">
        <v>7.1979410191155946</v>
      </c>
      <c r="DP288" s="135">
        <v>7.6851043205782066</v>
      </c>
      <c r="DQ288" s="135">
        <v>8.1951143726206155</v>
      </c>
    </row>
    <row r="289" spans="1:121" s="123" customFormat="1">
      <c r="A289" s="107" t="s">
        <v>3139</v>
      </c>
      <c r="B289" s="107"/>
      <c r="C289" s="136" t="s">
        <v>1349</v>
      </c>
      <c r="D289" s="14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>
        <f t="shared" ref="BG289:CC289" si="723">+((1+BG32/100)/(BG210/BF210)-1)*100</f>
        <v>3.9226046630193689</v>
      </c>
      <c r="BH289" s="106">
        <f t="shared" si="723"/>
        <v>2.6741546304820396</v>
      </c>
      <c r="BI289" s="106">
        <f t="shared" si="723"/>
        <v>1.6065386736062282</v>
      </c>
      <c r="BJ289" s="106">
        <f t="shared" si="723"/>
        <v>3.7096020106557326</v>
      </c>
      <c r="BK289" s="106">
        <f t="shared" si="723"/>
        <v>3.5631558660065288</v>
      </c>
      <c r="BL289" s="106">
        <f t="shared" si="723"/>
        <v>2.9401490641172368</v>
      </c>
      <c r="BM289" s="106">
        <f t="shared" si="723"/>
        <v>1.3275791243294366</v>
      </c>
      <c r="BN289" s="106">
        <f t="shared" si="723"/>
        <v>-1.1722809347417096</v>
      </c>
      <c r="BO289" s="106">
        <f t="shared" si="723"/>
        <v>-4.9638695027352515</v>
      </c>
      <c r="BP289" s="106">
        <f t="shared" si="723"/>
        <v>-6.9508026370031839</v>
      </c>
      <c r="BQ289" s="106">
        <f t="shared" si="723"/>
        <v>0.4301840497035192</v>
      </c>
      <c r="BR289" s="106">
        <f t="shared" si="723"/>
        <v>1.4536615865404778</v>
      </c>
      <c r="BS289" s="106">
        <f t="shared" si="723"/>
        <v>-0.98716683119445259</v>
      </c>
      <c r="BT289" s="106">
        <f t="shared" ca="1" si="723"/>
        <v>-16.987130029702968</v>
      </c>
      <c r="BU289" s="106">
        <f t="shared" ca="1" si="723"/>
        <v>6.2517196057518376</v>
      </c>
      <c r="BV289" s="106">
        <f t="shared" ca="1" si="723"/>
        <v>1.0596646430089729</v>
      </c>
      <c r="BW289" s="106">
        <f t="shared" ca="1" si="723"/>
        <v>2.3090495720752946</v>
      </c>
      <c r="BX289" s="106">
        <f t="shared" ca="1" si="723"/>
        <v>2.6917753158441915</v>
      </c>
      <c r="BY289" s="106">
        <f t="shared" ca="1" si="723"/>
        <v>2.5765343270289121</v>
      </c>
      <c r="BZ289" s="106">
        <f t="shared" ca="1" si="723"/>
        <v>2.8854322025420931</v>
      </c>
      <c r="CA289" s="106">
        <f t="shared" ca="1" si="723"/>
        <v>3.1461255779194897</v>
      </c>
      <c r="CB289" s="106">
        <f t="shared" ca="1" si="723"/>
        <v>3.4403976927182001</v>
      </c>
      <c r="CC289" s="106">
        <f t="shared" ca="1" si="723"/>
        <v>3.7838744088090515</v>
      </c>
      <c r="CD289" s="106">
        <f ca="1">+((1+CD32/100)/(CD210/CC210)-1)*100</f>
        <v>4.1843110044310849</v>
      </c>
      <c r="CE289" s="106">
        <f ca="1">+((1+CE32/100)/(CE210/CD210)-1)*100</f>
        <v>4.647211410192309</v>
      </c>
      <c r="CF289" s="106">
        <f ca="1">+((1+CF32/100)/(CF210/CE210)-1)*100</f>
        <v>5.1717424221378039</v>
      </c>
      <c r="CG289" s="106">
        <f ca="1">+((1+CG32/100)/(CG210/CF210)-1)*100</f>
        <v>5.7447808890109142</v>
      </c>
      <c r="CH289" s="141"/>
      <c r="CI289" s="159">
        <f t="shared" si="706"/>
        <v>0</v>
      </c>
      <c r="CJ289" s="159">
        <f t="shared" si="707"/>
        <v>0</v>
      </c>
      <c r="CK289" s="159">
        <f t="shared" si="707"/>
        <v>0</v>
      </c>
      <c r="CL289" s="159">
        <f t="shared" ca="1" si="707"/>
        <v>0</v>
      </c>
      <c r="CM289" s="159">
        <f t="shared" ca="1" si="707"/>
        <v>-4.8726997899448463</v>
      </c>
      <c r="CN289" s="159">
        <f t="shared" ca="1" si="707"/>
        <v>-1.0678722242046801</v>
      </c>
      <c r="CO289" s="159">
        <f t="shared" ca="1" si="707"/>
        <v>-0.82128832490910852</v>
      </c>
      <c r="CP289" s="159">
        <f t="shared" ca="1" si="707"/>
        <v>-0.99258493231204614</v>
      </c>
      <c r="CQ289" s="159">
        <f t="shared" ca="1" si="707"/>
        <v>-1.0247131186043923</v>
      </c>
      <c r="CR289" s="159">
        <f t="shared" ca="1" si="707"/>
        <v>1.6704774655139198</v>
      </c>
      <c r="CS289" s="159">
        <f t="shared" ca="1" si="707"/>
        <v>-1.0322395330568446</v>
      </c>
      <c r="CT289" s="159">
        <f t="shared" ca="1" si="707"/>
        <v>-1.1848430178013736</v>
      </c>
      <c r="CU289" s="159">
        <f t="shared" ca="1" si="707"/>
        <v>-1.1951966093839417</v>
      </c>
      <c r="CV289" s="159">
        <f t="shared" ca="1" si="698"/>
        <v>-1.1972012392949649</v>
      </c>
      <c r="CW289" s="159">
        <f t="shared" ca="1" si="699"/>
        <v>-1.1750403362199346</v>
      </c>
      <c r="CX289" s="159">
        <f t="shared" ca="1" si="700"/>
        <v>-1.1314207768535312</v>
      </c>
      <c r="CY289" s="159">
        <f t="shared" ca="1" si="701"/>
        <v>-1.0618473169324405</v>
      </c>
      <c r="CZ289" s="219"/>
      <c r="DA289" s="135">
        <v>0.4301840497035192</v>
      </c>
      <c r="DB289" s="135">
        <v>1.4536615865404778</v>
      </c>
      <c r="DC289" s="135">
        <v>-0.98716683119445259</v>
      </c>
      <c r="DD289" s="135">
        <v>-16.987130029702968</v>
      </c>
      <c r="DE289" s="135">
        <v>11.124419395696684</v>
      </c>
      <c r="DF289" s="135">
        <v>2.127536867213653</v>
      </c>
      <c r="DG289" s="135">
        <v>3.1303378969844031</v>
      </c>
      <c r="DH289" s="135">
        <v>3.6843602481562376</v>
      </c>
      <c r="DI289" s="135">
        <v>3.6012474456333043</v>
      </c>
      <c r="DJ289" s="135">
        <v>1.2149547370281732</v>
      </c>
      <c r="DK289" s="135">
        <v>4.1783651109763342</v>
      </c>
      <c r="DL289" s="135">
        <v>4.6252407105195736</v>
      </c>
      <c r="DM289" s="135">
        <v>4.9790710181929931</v>
      </c>
      <c r="DN289" s="135">
        <v>5.3815122437260499</v>
      </c>
      <c r="DO289" s="135">
        <v>5.8222517464122436</v>
      </c>
      <c r="DP289" s="135">
        <v>6.303163198991335</v>
      </c>
      <c r="DQ289" s="135">
        <v>6.8066282059433547</v>
      </c>
    </row>
    <row r="290" spans="1:121" s="123" customFormat="1">
      <c r="A290" s="107"/>
      <c r="B290" s="107"/>
      <c r="C290" s="136"/>
      <c r="D290" s="14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41"/>
      <c r="CI290" s="159"/>
      <c r="CJ290" s="159"/>
      <c r="CK290" s="159"/>
      <c r="CL290" s="159"/>
      <c r="CM290" s="159"/>
      <c r="CN290" s="159"/>
      <c r="CO290" s="159"/>
      <c r="CP290" s="159"/>
      <c r="CQ290" s="159"/>
      <c r="CR290" s="159"/>
      <c r="CS290" s="159"/>
      <c r="CT290" s="159"/>
      <c r="CU290" s="159"/>
      <c r="CV290" s="159"/>
      <c r="CW290" s="159"/>
      <c r="CX290" s="159"/>
      <c r="CY290" s="159"/>
      <c r="CZ290" s="219"/>
      <c r="DA290" s="135"/>
      <c r="DB290" s="135"/>
      <c r="DC290" s="135"/>
      <c r="DD290" s="135"/>
      <c r="DE290" s="135"/>
      <c r="DF290" s="135"/>
      <c r="DG290" s="135"/>
      <c r="DH290" s="135"/>
      <c r="DI290" s="135"/>
      <c r="DJ290" s="135"/>
      <c r="DK290" s="135"/>
      <c r="DL290" s="135"/>
      <c r="DM290" s="135"/>
      <c r="DN290" s="135"/>
      <c r="DO290" s="135"/>
      <c r="DP290" s="135"/>
      <c r="DQ290" s="135"/>
    </row>
    <row r="291" spans="1:121" s="123" customFormat="1">
      <c r="A291" s="226" t="s">
        <v>1318</v>
      </c>
      <c r="B291" s="217"/>
      <c r="C291" s="217"/>
      <c r="D291" s="102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141"/>
      <c r="AK291" s="141"/>
      <c r="AL291" s="141"/>
      <c r="AM291" s="141"/>
      <c r="AN291" s="141"/>
      <c r="CH291" s="141"/>
      <c r="CZ291" s="181"/>
      <c r="DA291" s="135"/>
      <c r="DB291" s="135"/>
      <c r="DC291" s="135"/>
      <c r="DD291" s="135"/>
      <c r="DE291" s="135"/>
      <c r="DF291" s="135"/>
      <c r="DG291" s="135"/>
      <c r="DH291" s="135"/>
      <c r="DI291" s="135"/>
      <c r="DJ291" s="135"/>
      <c r="DK291" s="135"/>
      <c r="DL291" s="135"/>
      <c r="DM291" s="135"/>
      <c r="DN291" s="135"/>
      <c r="DO291" s="135"/>
      <c r="DP291" s="135"/>
      <c r="DQ291" s="135"/>
    </row>
    <row r="292" spans="1:121" s="123" customFormat="1">
      <c r="A292" s="141" t="s">
        <v>1868</v>
      </c>
      <c r="B292" s="107"/>
      <c r="C292" s="136" t="s">
        <v>1349</v>
      </c>
      <c r="D292" s="147"/>
      <c r="E292" s="107"/>
      <c r="F292" s="106">
        <f t="shared" ref="F292:BF292" si="724">F35</f>
        <v>2</v>
      </c>
      <c r="G292" s="106">
        <f t="shared" si="724"/>
        <v>1</v>
      </c>
      <c r="H292" s="106">
        <f t="shared" si="724"/>
        <v>1.9801980257034302</v>
      </c>
      <c r="I292" s="106">
        <f t="shared" si="724"/>
        <v>8.6999999999999993</v>
      </c>
      <c r="J292" s="106">
        <f t="shared" si="724"/>
        <v>0</v>
      </c>
      <c r="K292" s="106">
        <f t="shared" si="724"/>
        <v>0</v>
      </c>
      <c r="L292" s="106">
        <f t="shared" si="724"/>
        <v>2.6</v>
      </c>
      <c r="M292" s="106">
        <f t="shared" si="724"/>
        <v>1.7</v>
      </c>
      <c r="N292" s="106">
        <f t="shared" si="724"/>
        <v>2.5</v>
      </c>
      <c r="O292" s="106">
        <f t="shared" si="724"/>
        <v>1.7</v>
      </c>
      <c r="P292" s="106">
        <f t="shared" si="724"/>
        <v>4.0999999999999996</v>
      </c>
      <c r="Q292" s="106">
        <f t="shared" si="724"/>
        <v>2.2999999999999998</v>
      </c>
      <c r="R292" s="106">
        <f t="shared" si="724"/>
        <v>1.5</v>
      </c>
      <c r="S292" s="106">
        <f t="shared" si="724"/>
        <v>7.5</v>
      </c>
      <c r="T292" s="106">
        <f t="shared" si="724"/>
        <v>0</v>
      </c>
      <c r="U292" s="106">
        <f t="shared" si="724"/>
        <v>1</v>
      </c>
      <c r="V292" s="106">
        <f t="shared" si="724"/>
        <v>1.8</v>
      </c>
      <c r="W292" s="106">
        <f t="shared" si="724"/>
        <v>-0.6</v>
      </c>
      <c r="X292" s="106">
        <f t="shared" si="724"/>
        <v>2.4</v>
      </c>
      <c r="Y292" s="106">
        <f t="shared" si="724"/>
        <v>12</v>
      </c>
      <c r="Z292" s="106">
        <f t="shared" si="724"/>
        <v>15.9</v>
      </c>
      <c r="AA292" s="106">
        <f t="shared" si="724"/>
        <v>7.5</v>
      </c>
      <c r="AB292" s="106">
        <f t="shared" si="724"/>
        <v>9.3000000000000007</v>
      </c>
      <c r="AC292" s="106">
        <f t="shared" si="724"/>
        <v>8.8000000000000007</v>
      </c>
      <c r="AD292" s="106">
        <f t="shared" si="724"/>
        <v>8</v>
      </c>
      <c r="AE292" s="106">
        <f t="shared" si="724"/>
        <v>14</v>
      </c>
      <c r="AF292" s="106">
        <f t="shared" si="724"/>
        <v>13.2</v>
      </c>
      <c r="AG292" s="106">
        <f t="shared" si="724"/>
        <v>8.6999999999999993</v>
      </c>
      <c r="AH292" s="106">
        <f t="shared" si="724"/>
        <v>7.3</v>
      </c>
      <c r="AI292" s="106">
        <f t="shared" si="724"/>
        <v>4.4000000000000004</v>
      </c>
      <c r="AJ292" s="106">
        <f t="shared" si="724"/>
        <v>3.7</v>
      </c>
      <c r="AK292" s="106">
        <f t="shared" si="724"/>
        <v>10.9</v>
      </c>
      <c r="AL292" s="106">
        <f t="shared" si="724"/>
        <v>18.7</v>
      </c>
      <c r="AM292" s="106">
        <f t="shared" si="724"/>
        <v>53.4</v>
      </c>
      <c r="AN292" s="106">
        <f t="shared" si="724"/>
        <v>7.3</v>
      </c>
      <c r="AO292" s="106">
        <f t="shared" si="724"/>
        <v>0.8</v>
      </c>
      <c r="AP292" s="106">
        <f t="shared" si="724"/>
        <v>21.8</v>
      </c>
      <c r="AQ292" s="106">
        <f t="shared" si="724"/>
        <v>26</v>
      </c>
      <c r="AR292" s="106">
        <f t="shared" si="724"/>
        <v>43.7</v>
      </c>
      <c r="AS292" s="106">
        <f t="shared" si="724"/>
        <v>143.5</v>
      </c>
      <c r="AT292" s="106">
        <f t="shared" si="724"/>
        <v>368.5</v>
      </c>
      <c r="AU292" s="106">
        <f t="shared" si="724"/>
        <v>235.6</v>
      </c>
      <c r="AV292" s="106">
        <f t="shared" si="724"/>
        <v>-0.7</v>
      </c>
      <c r="AW292" s="106">
        <f t="shared" si="724"/>
        <v>7.1</v>
      </c>
      <c r="AX292" s="106">
        <f t="shared" si="724"/>
        <v>18.7</v>
      </c>
      <c r="AY292" s="106">
        <f t="shared" si="724"/>
        <v>98.8</v>
      </c>
      <c r="AZ292" s="106">
        <f t="shared" si="724"/>
        <v>59.3</v>
      </c>
      <c r="BA292" s="106">
        <f t="shared" si="724"/>
        <v>38.6</v>
      </c>
      <c r="BB292" s="106">
        <f t="shared" si="724"/>
        <v>15.5</v>
      </c>
      <c r="BC292" s="106">
        <f t="shared" si="724"/>
        <v>23.9</v>
      </c>
      <c r="BD292" s="106">
        <f t="shared" si="724"/>
        <v>9.6</v>
      </c>
      <c r="BE292" s="106">
        <f t="shared" si="724"/>
        <v>9.5</v>
      </c>
      <c r="BF292" s="106">
        <f t="shared" si="724"/>
        <v>11.3</v>
      </c>
      <c r="BG292" s="106">
        <f t="shared" ref="BG292:BP292" si="725">BG35</f>
        <v>6.4</v>
      </c>
      <c r="BH292" s="106">
        <f t="shared" si="725"/>
        <v>14.7</v>
      </c>
      <c r="BI292" s="106">
        <f t="shared" si="725"/>
        <v>-0.1</v>
      </c>
      <c r="BJ292" s="106">
        <f t="shared" si="725"/>
        <v>6.9</v>
      </c>
      <c r="BK292" s="106">
        <f t="shared" si="725"/>
        <v>17.7</v>
      </c>
      <c r="BL292" s="106">
        <f t="shared" si="725"/>
        <v>5</v>
      </c>
      <c r="BM292" s="106">
        <f t="shared" si="725"/>
        <v>1.9</v>
      </c>
      <c r="BN292" s="106">
        <f t="shared" si="725"/>
        <v>3.4</v>
      </c>
      <c r="BO292" s="106">
        <f t="shared" si="725"/>
        <v>6.9</v>
      </c>
      <c r="BP292" s="106">
        <f t="shared" si="725"/>
        <v>55.5</v>
      </c>
      <c r="BQ292" s="106">
        <f t="shared" ref="BQ292:CB292" si="726">BQ35</f>
        <v>22</v>
      </c>
      <c r="BR292" s="106">
        <f t="shared" si="726"/>
        <v>6.9</v>
      </c>
      <c r="BS292" s="106">
        <f t="shared" si="726"/>
        <v>4.4000000000000004</v>
      </c>
      <c r="BT292" s="106">
        <f t="shared" ca="1" si="726"/>
        <v>34.244892642942418</v>
      </c>
      <c r="BU292" s="106">
        <f t="shared" ca="1" si="726"/>
        <v>50.991102337104202</v>
      </c>
      <c r="BV292" s="106">
        <f t="shared" ca="1" si="726"/>
        <v>16.413728147581516</v>
      </c>
      <c r="BW292" s="106">
        <f t="shared" ca="1" si="726"/>
        <v>8.6555130940087377</v>
      </c>
      <c r="BX292" s="106">
        <f t="shared" ca="1" si="726"/>
        <v>5.0998086070868656</v>
      </c>
      <c r="BY292" s="106">
        <f t="shared" ca="1" si="726"/>
        <v>6.0916649920156747</v>
      </c>
      <c r="BZ292" s="106">
        <f t="shared" ca="1" si="726"/>
        <v>6.833583832782069</v>
      </c>
      <c r="CA292" s="106">
        <f t="shared" ca="1" si="726"/>
        <v>7.5774286217089779</v>
      </c>
      <c r="CB292" s="106">
        <f t="shared" ca="1" si="726"/>
        <v>8.5001783380132991</v>
      </c>
      <c r="CC292" s="106">
        <f t="shared" ref="CC292:CG295" ca="1" si="727">CC35</f>
        <v>9.6400935707060729</v>
      </c>
      <c r="CD292" s="106">
        <f t="shared" ca="1" si="727"/>
        <v>11.072158493452394</v>
      </c>
      <c r="CE292" s="106">
        <f t="shared" ca="1" si="727"/>
        <v>12.893441429610702</v>
      </c>
      <c r="CF292" s="106">
        <f t="shared" ca="1" si="727"/>
        <v>15.232063947577839</v>
      </c>
      <c r="CG292" s="106">
        <f t="shared" ca="1" si="727"/>
        <v>18.257179167767255</v>
      </c>
      <c r="CH292" s="141"/>
      <c r="CI292" s="159">
        <f t="shared" ref="CI292:CI297" si="728">BQ292-DA292</f>
        <v>0</v>
      </c>
      <c r="CJ292" s="159">
        <f t="shared" ref="CJ292:CU296" si="729">BR292-DB292</f>
        <v>0</v>
      </c>
      <c r="CK292" s="159">
        <f t="shared" si="729"/>
        <v>0</v>
      </c>
      <c r="CL292" s="159">
        <f t="shared" ca="1" si="729"/>
        <v>0</v>
      </c>
      <c r="CM292" s="159">
        <f t="shared" ca="1" si="729"/>
        <v>12.104076297908506</v>
      </c>
      <c r="CN292" s="159">
        <f t="shared" ca="1" si="729"/>
        <v>4.1068083139547706</v>
      </c>
      <c r="CO292" s="159">
        <f t="shared" ca="1" si="729"/>
        <v>0.37176370662928804</v>
      </c>
      <c r="CP292" s="159">
        <f t="shared" ca="1" si="729"/>
        <v>-0.38004004039784078</v>
      </c>
      <c r="CQ292" s="159">
        <f t="shared" ca="1" si="729"/>
        <v>-0.60419967851833434</v>
      </c>
      <c r="CR292" s="159">
        <f t="shared" ca="1" si="729"/>
        <v>-0.78430917036779224</v>
      </c>
      <c r="CS292" s="159">
        <f t="shared" ca="1" si="729"/>
        <v>-0.48064219168878086</v>
      </c>
      <c r="CT292" s="159">
        <f t="shared" ca="1" si="729"/>
        <v>-0.23165179074948661</v>
      </c>
      <c r="CU292" s="159">
        <f t="shared" ca="1" si="729"/>
        <v>-0.64877974496590518</v>
      </c>
      <c r="CV292" s="159">
        <f t="shared" ref="CV292:CV297" ca="1" si="730">CD292-DN292</f>
        <v>-0.95894111913520597</v>
      </c>
      <c r="CW292" s="159">
        <f t="shared" ref="CW292:CW297" ca="1" si="731">CE292-DO292</f>
        <v>-1.264185894287623</v>
      </c>
      <c r="CX292" s="159">
        <f t="shared" ref="CX292:CX297" ca="1" si="732">CF292-DP292</f>
        <v>-1.6259542356837855</v>
      </c>
      <c r="CY292" s="159">
        <f t="shared" ref="CY292:CY297" ca="1" si="733">CG292-DQ292</f>
        <v>-2.0763990673995991</v>
      </c>
      <c r="CZ292" s="134"/>
      <c r="DA292" s="135">
        <v>22</v>
      </c>
      <c r="DB292" s="135">
        <v>6.9</v>
      </c>
      <c r="DC292" s="135">
        <v>4.4000000000000004</v>
      </c>
      <c r="DD292" s="135">
        <v>34.244892642942418</v>
      </c>
      <c r="DE292" s="135">
        <v>38.887026039195696</v>
      </c>
      <c r="DF292" s="135">
        <v>12.306919833626745</v>
      </c>
      <c r="DG292" s="135">
        <v>8.2837493873794497</v>
      </c>
      <c r="DH292" s="135">
        <v>5.4798486474847063</v>
      </c>
      <c r="DI292" s="135">
        <v>6.695864670534009</v>
      </c>
      <c r="DJ292" s="135">
        <v>7.6178930031498613</v>
      </c>
      <c r="DK292" s="135">
        <v>8.0580708133977588</v>
      </c>
      <c r="DL292" s="135">
        <v>8.7318301287627857</v>
      </c>
      <c r="DM292" s="135">
        <v>10.288873315671978</v>
      </c>
      <c r="DN292" s="135">
        <v>12.0310996125876</v>
      </c>
      <c r="DO292" s="135">
        <v>14.157627323898325</v>
      </c>
      <c r="DP292" s="135">
        <v>16.858018183261624</v>
      </c>
      <c r="DQ292" s="135">
        <v>20.333578235166854</v>
      </c>
    </row>
    <row r="293" spans="1:121" s="123" customFormat="1">
      <c r="A293" s="107" t="s">
        <v>129</v>
      </c>
      <c r="B293" s="107"/>
      <c r="C293" s="136" t="s">
        <v>1349</v>
      </c>
      <c r="D293" s="147"/>
      <c r="E293" s="107"/>
      <c r="F293" s="106">
        <f t="shared" ref="F293:BF293" si="734">F36</f>
        <v>2</v>
      </c>
      <c r="G293" s="106">
        <f t="shared" si="734"/>
        <v>1</v>
      </c>
      <c r="H293" s="106">
        <f t="shared" si="734"/>
        <v>1.9801980257034302</v>
      </c>
      <c r="I293" s="106">
        <f t="shared" si="734"/>
        <v>8.6999999999999993</v>
      </c>
      <c r="J293" s="106">
        <f t="shared" si="734"/>
        <v>0</v>
      </c>
      <c r="K293" s="106">
        <f t="shared" si="734"/>
        <v>0</v>
      </c>
      <c r="L293" s="106">
        <f t="shared" si="734"/>
        <v>2.6</v>
      </c>
      <c r="M293" s="106">
        <f t="shared" si="734"/>
        <v>1.7</v>
      </c>
      <c r="N293" s="106">
        <f t="shared" si="734"/>
        <v>2.5</v>
      </c>
      <c r="O293" s="106">
        <f t="shared" si="734"/>
        <v>1.7</v>
      </c>
      <c r="P293" s="106">
        <f t="shared" si="734"/>
        <v>4.0999999999999996</v>
      </c>
      <c r="Q293" s="106">
        <f t="shared" si="734"/>
        <v>2.2999999999999998</v>
      </c>
      <c r="R293" s="106">
        <f t="shared" si="734"/>
        <v>1.5</v>
      </c>
      <c r="S293" s="106">
        <f t="shared" si="734"/>
        <v>7.5</v>
      </c>
      <c r="T293" s="106">
        <f t="shared" si="734"/>
        <v>0</v>
      </c>
      <c r="U293" s="106">
        <f t="shared" si="734"/>
        <v>1</v>
      </c>
      <c r="V293" s="106">
        <f t="shared" si="734"/>
        <v>1.8</v>
      </c>
      <c r="W293" s="106">
        <f t="shared" si="734"/>
        <v>-0.6</v>
      </c>
      <c r="X293" s="106">
        <f t="shared" si="734"/>
        <v>2.4</v>
      </c>
      <c r="Y293" s="106">
        <f t="shared" si="734"/>
        <v>12</v>
      </c>
      <c r="Z293" s="106">
        <f t="shared" si="734"/>
        <v>15.9</v>
      </c>
      <c r="AA293" s="106">
        <f t="shared" si="734"/>
        <v>7.5</v>
      </c>
      <c r="AB293" s="106">
        <f t="shared" si="734"/>
        <v>9.3000000000000007</v>
      </c>
      <c r="AC293" s="106">
        <f t="shared" si="734"/>
        <v>8.8000000000000007</v>
      </c>
      <c r="AD293" s="106">
        <f t="shared" si="734"/>
        <v>8</v>
      </c>
      <c r="AE293" s="106">
        <f t="shared" si="734"/>
        <v>14</v>
      </c>
      <c r="AF293" s="106">
        <f t="shared" si="734"/>
        <v>13.2</v>
      </c>
      <c r="AG293" s="106">
        <f t="shared" si="734"/>
        <v>8.6999999999999993</v>
      </c>
      <c r="AH293" s="106">
        <f t="shared" si="734"/>
        <v>7.3</v>
      </c>
      <c r="AI293" s="106">
        <f t="shared" si="734"/>
        <v>4.4000000000000004</v>
      </c>
      <c r="AJ293" s="106">
        <f t="shared" si="734"/>
        <v>3.7</v>
      </c>
      <c r="AK293" s="106">
        <f t="shared" si="734"/>
        <v>10.9</v>
      </c>
      <c r="AL293" s="106">
        <f t="shared" si="734"/>
        <v>18.7</v>
      </c>
      <c r="AM293" s="106">
        <f t="shared" si="734"/>
        <v>53.4</v>
      </c>
      <c r="AN293" s="106">
        <f t="shared" si="734"/>
        <v>7.3</v>
      </c>
      <c r="AO293" s="106">
        <f t="shared" si="734"/>
        <v>0.8</v>
      </c>
      <c r="AP293" s="106">
        <f t="shared" si="734"/>
        <v>21.8</v>
      </c>
      <c r="AQ293" s="106">
        <f t="shared" si="734"/>
        <v>26</v>
      </c>
      <c r="AR293" s="106">
        <f t="shared" si="734"/>
        <v>43.7</v>
      </c>
      <c r="AS293" s="106">
        <f t="shared" si="734"/>
        <v>143.5</v>
      </c>
      <c r="AT293" s="106">
        <f t="shared" si="734"/>
        <v>368.5</v>
      </c>
      <c r="AU293" s="106">
        <f t="shared" si="734"/>
        <v>235.6</v>
      </c>
      <c r="AV293" s="106">
        <f t="shared" si="734"/>
        <v>-0.7</v>
      </c>
      <c r="AW293" s="106">
        <f t="shared" si="734"/>
        <v>7.1</v>
      </c>
      <c r="AX293" s="106">
        <f t="shared" si="734"/>
        <v>18.7</v>
      </c>
      <c r="AY293" s="106">
        <f t="shared" si="734"/>
        <v>98.8</v>
      </c>
      <c r="AZ293" s="106">
        <f t="shared" si="734"/>
        <v>59.3</v>
      </c>
      <c r="BA293" s="106">
        <f t="shared" si="734"/>
        <v>38.6</v>
      </c>
      <c r="BB293" s="106">
        <f t="shared" si="734"/>
        <v>15.5</v>
      </c>
      <c r="BC293" s="106">
        <f t="shared" si="734"/>
        <v>23.9</v>
      </c>
      <c r="BD293" s="106">
        <f t="shared" si="734"/>
        <v>9.6</v>
      </c>
      <c r="BE293" s="106">
        <f t="shared" si="734"/>
        <v>9.5</v>
      </c>
      <c r="BF293" s="106">
        <f t="shared" si="734"/>
        <v>11.3</v>
      </c>
      <c r="BG293" s="106">
        <f t="shared" ref="BG293:BP293" si="735">BG36</f>
        <v>6.4</v>
      </c>
      <c r="BH293" s="106">
        <f t="shared" si="735"/>
        <v>14.7</v>
      </c>
      <c r="BI293" s="106">
        <f t="shared" si="735"/>
        <v>-0.1</v>
      </c>
      <c r="BJ293" s="106">
        <f t="shared" si="735"/>
        <v>6.9</v>
      </c>
      <c r="BK293" s="106">
        <f t="shared" si="735"/>
        <v>17.7</v>
      </c>
      <c r="BL293" s="106">
        <f t="shared" si="735"/>
        <v>5</v>
      </c>
      <c r="BM293" s="106">
        <f t="shared" si="735"/>
        <v>1.9</v>
      </c>
      <c r="BN293" s="106">
        <f t="shared" si="735"/>
        <v>3.4</v>
      </c>
      <c r="BO293" s="106">
        <f t="shared" si="735"/>
        <v>6.9</v>
      </c>
      <c r="BP293" s="106">
        <f t="shared" si="735"/>
        <v>55.5</v>
      </c>
      <c r="BQ293" s="106">
        <f t="shared" ref="BQ293:CB293" si="736">BQ36</f>
        <v>22</v>
      </c>
      <c r="BR293" s="106">
        <f t="shared" si="736"/>
        <v>6.9</v>
      </c>
      <c r="BS293" s="106">
        <f t="shared" si="736"/>
        <v>4.4000000000000004</v>
      </c>
      <c r="BT293" s="106">
        <f t="shared" ca="1" si="736"/>
        <v>34.244892642942418</v>
      </c>
      <c r="BU293" s="106">
        <f t="shared" ca="1" si="736"/>
        <v>50.991102337104202</v>
      </c>
      <c r="BV293" s="106">
        <f t="shared" ca="1" si="736"/>
        <v>16.413728147581516</v>
      </c>
      <c r="BW293" s="106">
        <f t="shared" ca="1" si="736"/>
        <v>8.6555130940087377</v>
      </c>
      <c r="BX293" s="106">
        <f t="shared" ca="1" si="736"/>
        <v>5.0998086070868656</v>
      </c>
      <c r="BY293" s="106">
        <f t="shared" ca="1" si="736"/>
        <v>6.0916649920156747</v>
      </c>
      <c r="BZ293" s="106">
        <f t="shared" ca="1" si="736"/>
        <v>6.833583832782069</v>
      </c>
      <c r="CA293" s="106">
        <f t="shared" ca="1" si="736"/>
        <v>7.5774286217089779</v>
      </c>
      <c r="CB293" s="106">
        <f t="shared" ca="1" si="736"/>
        <v>8.5001783380132991</v>
      </c>
      <c r="CC293" s="106">
        <f t="shared" ca="1" si="727"/>
        <v>9.6400935707060729</v>
      </c>
      <c r="CD293" s="106">
        <f t="shared" ca="1" si="727"/>
        <v>11.072158493452394</v>
      </c>
      <c r="CE293" s="106">
        <f t="shared" ca="1" si="727"/>
        <v>12.893441429610702</v>
      </c>
      <c r="CF293" s="106">
        <f t="shared" ca="1" si="727"/>
        <v>15.232063947577839</v>
      </c>
      <c r="CG293" s="106">
        <f t="shared" ca="1" si="727"/>
        <v>18.257179167767255</v>
      </c>
      <c r="CH293" s="141"/>
      <c r="CI293" s="159">
        <f t="shared" si="728"/>
        <v>0</v>
      </c>
      <c r="CJ293" s="159">
        <f t="shared" si="729"/>
        <v>0</v>
      </c>
      <c r="CK293" s="159">
        <f t="shared" si="729"/>
        <v>0</v>
      </c>
      <c r="CL293" s="159">
        <f t="shared" ca="1" si="729"/>
        <v>0</v>
      </c>
      <c r="CM293" s="159">
        <f t="shared" ca="1" si="729"/>
        <v>12.104076297908506</v>
      </c>
      <c r="CN293" s="159">
        <f t="shared" ca="1" si="729"/>
        <v>4.1068083139547706</v>
      </c>
      <c r="CO293" s="159">
        <f t="shared" ca="1" si="729"/>
        <v>0.37176370662928804</v>
      </c>
      <c r="CP293" s="159">
        <f t="shared" ca="1" si="729"/>
        <v>-0.38004004039784078</v>
      </c>
      <c r="CQ293" s="159">
        <f t="shared" ca="1" si="729"/>
        <v>-0.60419967851833434</v>
      </c>
      <c r="CR293" s="159">
        <f t="shared" ca="1" si="729"/>
        <v>-0.78430917036779224</v>
      </c>
      <c r="CS293" s="159">
        <f t="shared" ca="1" si="729"/>
        <v>-0.48064219168878086</v>
      </c>
      <c r="CT293" s="159">
        <f t="shared" ca="1" si="729"/>
        <v>-0.23165179074948661</v>
      </c>
      <c r="CU293" s="159">
        <f t="shared" ca="1" si="729"/>
        <v>-0.64877974496590518</v>
      </c>
      <c r="CV293" s="159">
        <f t="shared" ca="1" si="730"/>
        <v>-0.95894111913520597</v>
      </c>
      <c r="CW293" s="159">
        <f t="shared" ca="1" si="731"/>
        <v>-1.264185894287623</v>
      </c>
      <c r="CX293" s="159">
        <f t="shared" ca="1" si="732"/>
        <v>-1.6259542356837855</v>
      </c>
      <c r="CY293" s="159">
        <f t="shared" ca="1" si="733"/>
        <v>-2.0763990673995991</v>
      </c>
      <c r="CZ293" s="134"/>
      <c r="DA293" s="135">
        <v>22</v>
      </c>
      <c r="DB293" s="135">
        <v>6.9</v>
      </c>
      <c r="DC293" s="135">
        <v>4.4000000000000004</v>
      </c>
      <c r="DD293" s="135">
        <v>34.244892642942418</v>
      </c>
      <c r="DE293" s="135">
        <v>38.887026039195696</v>
      </c>
      <c r="DF293" s="135">
        <v>12.306919833626745</v>
      </c>
      <c r="DG293" s="135">
        <v>8.2837493873794497</v>
      </c>
      <c r="DH293" s="135">
        <v>5.4798486474847063</v>
      </c>
      <c r="DI293" s="135">
        <v>6.695864670534009</v>
      </c>
      <c r="DJ293" s="135">
        <v>7.6178930031498613</v>
      </c>
      <c r="DK293" s="135">
        <v>8.0580708133977588</v>
      </c>
      <c r="DL293" s="135">
        <v>8.7318301287627857</v>
      </c>
      <c r="DM293" s="135">
        <v>10.288873315671978</v>
      </c>
      <c r="DN293" s="135">
        <v>12.0310996125876</v>
      </c>
      <c r="DO293" s="135">
        <v>14.157627323898325</v>
      </c>
      <c r="DP293" s="135">
        <v>16.858018183261624</v>
      </c>
      <c r="DQ293" s="135">
        <v>20.333578235166854</v>
      </c>
    </row>
    <row r="294" spans="1:121" s="123" customFormat="1">
      <c r="A294" s="107" t="s">
        <v>130</v>
      </c>
      <c r="B294" s="107"/>
      <c r="C294" s="136" t="s">
        <v>1349</v>
      </c>
      <c r="D294" s="147"/>
      <c r="E294" s="107"/>
      <c r="F294" s="106" t="str">
        <f t="shared" ref="F294:BD294" si="737">F37</f>
        <v xml:space="preserve"> </v>
      </c>
      <c r="G294" s="106">
        <f t="shared" si="737"/>
        <v>0.70334928229665028</v>
      </c>
      <c r="H294" s="106">
        <f t="shared" si="737"/>
        <v>1.5358792320289139</v>
      </c>
      <c r="I294" s="106">
        <f t="shared" si="737"/>
        <v>12.164015682365715</v>
      </c>
      <c r="J294" s="106">
        <f t="shared" si="737"/>
        <v>1.7958530479161627</v>
      </c>
      <c r="K294" s="106">
        <f t="shared" si="737"/>
        <v>0.65062903834851582</v>
      </c>
      <c r="L294" s="106">
        <f t="shared" si="737"/>
        <v>3.4288023357817776</v>
      </c>
      <c r="M294" s="106">
        <f t="shared" si="737"/>
        <v>12.462494267412904</v>
      </c>
      <c r="N294" s="106">
        <f t="shared" si="737"/>
        <v>-1.468021313461898</v>
      </c>
      <c r="O294" s="106">
        <f t="shared" si="737"/>
        <v>-1.2965496324275239</v>
      </c>
      <c r="P294" s="106">
        <f t="shared" si="737"/>
        <v>6.0943321995003741</v>
      </c>
      <c r="Q294" s="106">
        <f t="shared" si="737"/>
        <v>2.57482988570501</v>
      </c>
      <c r="R294" s="106">
        <f t="shared" si="737"/>
        <v>8.2010794753071714</v>
      </c>
      <c r="S294" s="106">
        <f t="shared" si="737"/>
        <v>0.21497943177948287</v>
      </c>
      <c r="T294" s="106">
        <f t="shared" si="737"/>
        <v>1.3645927207477593</v>
      </c>
      <c r="U294" s="106">
        <f t="shared" si="737"/>
        <v>2.8909264480526886</v>
      </c>
      <c r="V294" s="106">
        <f t="shared" si="737"/>
        <v>1.1806989155507042</v>
      </c>
      <c r="W294" s="106">
        <f t="shared" si="737"/>
        <v>0.80145807763973842</v>
      </c>
      <c r="X294" s="106">
        <f t="shared" si="737"/>
        <v>11.056076002975912</v>
      </c>
      <c r="Y294" s="106">
        <f t="shared" si="737"/>
        <v>-0.29699877997767521</v>
      </c>
      <c r="Z294" s="106">
        <f t="shared" si="737"/>
        <v>5.4348820905049111</v>
      </c>
      <c r="AA294" s="106">
        <f t="shared" si="737"/>
        <v>16.373812583923186</v>
      </c>
      <c r="AB294" s="106">
        <f t="shared" si="737"/>
        <v>8.2787550428234713</v>
      </c>
      <c r="AC294" s="106">
        <f t="shared" si="737"/>
        <v>14.34983305160964</v>
      </c>
      <c r="AD294" s="106">
        <f t="shared" si="737"/>
        <v>7.142597055971156</v>
      </c>
      <c r="AE294" s="106">
        <f t="shared" si="737"/>
        <v>7.4250889260964792</v>
      </c>
      <c r="AF294" s="106">
        <f t="shared" si="737"/>
        <v>14.226586572025091</v>
      </c>
      <c r="AG294" s="106">
        <f t="shared" si="737"/>
        <v>17.058873495324754</v>
      </c>
      <c r="AH294" s="106">
        <f t="shared" si="737"/>
        <v>18.310104084200972</v>
      </c>
      <c r="AI294" s="106">
        <f t="shared" si="737"/>
        <v>3.4974783256646935</v>
      </c>
      <c r="AJ294" s="106">
        <f t="shared" si="737"/>
        <v>1.3623734215297167</v>
      </c>
      <c r="AK294" s="106">
        <f t="shared" si="737"/>
        <v>3.655164736937655</v>
      </c>
      <c r="AL294" s="106">
        <f t="shared" si="737"/>
        <v>10.579756976309639</v>
      </c>
      <c r="AM294" s="106">
        <f t="shared" si="737"/>
        <v>27.416068826796124</v>
      </c>
      <c r="AN294" s="106">
        <f t="shared" si="737"/>
        <v>5.6187892694961272</v>
      </c>
      <c r="AO294" s="106">
        <f t="shared" si="737"/>
        <v>4.2711582020816596</v>
      </c>
      <c r="AP294" s="106">
        <f t="shared" si="737"/>
        <v>3.0898207535025701</v>
      </c>
      <c r="AQ294" s="106">
        <f t="shared" si="737"/>
        <v>29.054493347789357</v>
      </c>
      <c r="AR294" s="106">
        <f t="shared" si="737"/>
        <v>31.776641426063822</v>
      </c>
      <c r="AS294" s="106">
        <f t="shared" si="737"/>
        <v>61.348168119263534</v>
      </c>
      <c r="AT294" s="106">
        <f t="shared" si="737"/>
        <v>295.23018765673129</v>
      </c>
      <c r="AU294" s="106">
        <f t="shared" si="737"/>
        <v>292.55330768917776</v>
      </c>
      <c r="AV294" s="106">
        <f t="shared" si="737"/>
        <v>32.01375444241139</v>
      </c>
      <c r="AW294" s="106">
        <f t="shared" si="737"/>
        <v>14.978927857097402</v>
      </c>
      <c r="AX294" s="106">
        <f t="shared" si="737"/>
        <v>78.803287814433446</v>
      </c>
      <c r="AY294" s="106">
        <f t="shared" si="737"/>
        <v>66.603555572141175</v>
      </c>
      <c r="AZ294" s="106">
        <f t="shared" si="737"/>
        <v>58.293134860079896</v>
      </c>
      <c r="BA294" s="106">
        <f t="shared" si="737"/>
        <v>34.611931144112226</v>
      </c>
      <c r="BB294" s="106">
        <f t="shared" si="737"/>
        <v>39.594525454061525</v>
      </c>
      <c r="BC294" s="106">
        <f t="shared" si="737"/>
        <v>17.268194311808749</v>
      </c>
      <c r="BD294" s="106">
        <f t="shared" si="737"/>
        <v>8.5804280212095296</v>
      </c>
      <c r="BE294" s="106">
        <f ca="1">BE37</f>
        <v>9.0796301913999464</v>
      </c>
      <c r="BF294" s="106">
        <f ca="1">BF37</f>
        <v>14.022368276375218</v>
      </c>
      <c r="BG294" s="106">
        <f t="shared" ref="BG294:BP294" si="738">BG37</f>
        <v>8.7480977132042383</v>
      </c>
      <c r="BH294" s="106">
        <f t="shared" si="738"/>
        <v>11.712632333100093</v>
      </c>
      <c r="BI294" s="106">
        <f t="shared" si="738"/>
        <v>15.590336024106755</v>
      </c>
      <c r="BJ294" s="106">
        <f t="shared" si="738"/>
        <v>9.5831292324518138</v>
      </c>
      <c r="BK294" s="106">
        <f t="shared" si="738"/>
        <v>13.15098812947728</v>
      </c>
      <c r="BL294" s="106">
        <f t="shared" si="738"/>
        <v>6.1497436218338919</v>
      </c>
      <c r="BM294" s="106">
        <f t="shared" si="738"/>
        <v>9.5003385786615713</v>
      </c>
      <c r="BN294" s="106">
        <f t="shared" si="738"/>
        <v>-2.0065243847876335</v>
      </c>
      <c r="BO294" s="106">
        <f t="shared" si="738"/>
        <v>3.1186838585852694</v>
      </c>
      <c r="BP294" s="106">
        <f t="shared" si="738"/>
        <v>28.993702094769457</v>
      </c>
      <c r="BQ294" s="106">
        <f t="shared" ref="BQ294:CB294" si="739">BQ37</f>
        <v>20.227021451570181</v>
      </c>
      <c r="BR294" s="106">
        <f t="shared" si="739"/>
        <v>16.877731716516809</v>
      </c>
      <c r="BS294" s="106">
        <f t="shared" si="739"/>
        <v>2.3507715929136808</v>
      </c>
      <c r="BT294" s="106">
        <f t="shared" ca="1" si="739"/>
        <v>20.304627485938553</v>
      </c>
      <c r="BU294" s="106">
        <f t="shared" ca="1" si="739"/>
        <v>31.820122033047603</v>
      </c>
      <c r="BV294" s="106">
        <f t="shared" ca="1" si="739"/>
        <v>17.798373428215353</v>
      </c>
      <c r="BW294" s="106">
        <f t="shared" ca="1" si="739"/>
        <v>15.806747922387832</v>
      </c>
      <c r="BX294" s="106">
        <f t="shared" ca="1" si="739"/>
        <v>8.1782361781077348</v>
      </c>
      <c r="BY294" s="106">
        <f t="shared" ca="1" si="739"/>
        <v>11.312958887484159</v>
      </c>
      <c r="BZ294" s="106">
        <f t="shared" ca="1" si="739"/>
        <v>12.452010073480269</v>
      </c>
      <c r="CA294" s="106">
        <f t="shared" ca="1" si="739"/>
        <v>13.536549133182829</v>
      </c>
      <c r="CB294" s="106">
        <f t="shared" ca="1" si="739"/>
        <v>14.879762865157575</v>
      </c>
      <c r="CC294" s="106">
        <f t="shared" ca="1" si="727"/>
        <v>16.4713677176908</v>
      </c>
      <c r="CD294" s="106">
        <f t="shared" ca="1" si="727"/>
        <v>18.395576183734931</v>
      </c>
      <c r="CE294" s="106">
        <f t="shared" ca="1" si="727"/>
        <v>20.745795833165115</v>
      </c>
      <c r="CF294" s="106">
        <f t="shared" ca="1" si="727"/>
        <v>23.637187766501079</v>
      </c>
      <c r="CG294" s="106">
        <f t="shared" ca="1" si="727"/>
        <v>27.213393759201111</v>
      </c>
      <c r="CH294" s="141"/>
      <c r="CI294" s="159">
        <f t="shared" si="728"/>
        <v>0</v>
      </c>
      <c r="CJ294" s="159">
        <f t="shared" si="729"/>
        <v>0</v>
      </c>
      <c r="CK294" s="159">
        <f t="shared" si="729"/>
        <v>0</v>
      </c>
      <c r="CL294" s="159">
        <f t="shared" ca="1" si="729"/>
        <v>0</v>
      </c>
      <c r="CM294" s="159">
        <f t="shared" ca="1" si="729"/>
        <v>5.8103803989964611</v>
      </c>
      <c r="CN294" s="159">
        <f t="shared" ca="1" si="729"/>
        <v>4.1529863164299954</v>
      </c>
      <c r="CO294" s="159">
        <f t="shared" ca="1" si="729"/>
        <v>-0.95202163356691116</v>
      </c>
      <c r="CP294" s="159">
        <f t="shared" ca="1" si="729"/>
        <v>-1.7116712582945883</v>
      </c>
      <c r="CQ294" s="159">
        <f t="shared" ca="1" si="729"/>
        <v>-1.9884806089704554</v>
      </c>
      <c r="CR294" s="159">
        <f t="shared" ca="1" si="729"/>
        <v>-2.2380561526158527</v>
      </c>
      <c r="CS294" s="159">
        <f t="shared" ca="1" si="729"/>
        <v>-1.309922346912872</v>
      </c>
      <c r="CT294" s="159">
        <f t="shared" ca="1" si="729"/>
        <v>-0.79611335175027165</v>
      </c>
      <c r="CU294" s="159">
        <f t="shared" ca="1" si="729"/>
        <v>-1.6368968617447734</v>
      </c>
      <c r="CV294" s="159">
        <f t="shared" ca="1" si="730"/>
        <v>-2.0436827122447525</v>
      </c>
      <c r="CW294" s="159">
        <f t="shared" ca="1" si="731"/>
        <v>-2.3877508796425566</v>
      </c>
      <c r="CX294" s="159">
        <f t="shared" ca="1" si="732"/>
        <v>-2.7560798720568158</v>
      </c>
      <c r="CY294" s="159">
        <f t="shared" ca="1" si="733"/>
        <v>-3.1761976464220965</v>
      </c>
      <c r="CZ294" s="134"/>
      <c r="DA294" s="135">
        <v>20.227021451570181</v>
      </c>
      <c r="DB294" s="135">
        <v>16.877731716516809</v>
      </c>
      <c r="DC294" s="135">
        <v>2.3507715929136808</v>
      </c>
      <c r="DD294" s="135">
        <v>20.304627485938553</v>
      </c>
      <c r="DE294" s="135">
        <v>26.009741634051142</v>
      </c>
      <c r="DF294" s="135">
        <v>13.645387111785357</v>
      </c>
      <c r="DG294" s="135">
        <v>16.758769555954743</v>
      </c>
      <c r="DH294" s="135">
        <v>9.8899074364023232</v>
      </c>
      <c r="DI294" s="135">
        <v>13.301439496454615</v>
      </c>
      <c r="DJ294" s="135">
        <v>14.690066226096121</v>
      </c>
      <c r="DK294" s="135">
        <v>14.846471480095701</v>
      </c>
      <c r="DL294" s="135">
        <v>15.675876216907847</v>
      </c>
      <c r="DM294" s="135">
        <v>18.108264579435573</v>
      </c>
      <c r="DN294" s="135">
        <v>20.439258895979684</v>
      </c>
      <c r="DO294" s="135">
        <v>23.133546712807671</v>
      </c>
      <c r="DP294" s="135">
        <v>26.393267638557894</v>
      </c>
      <c r="DQ294" s="135">
        <v>30.389591405623207</v>
      </c>
    </row>
    <row r="295" spans="1:121" s="123" customFormat="1">
      <c r="A295" s="107" t="s">
        <v>131</v>
      </c>
      <c r="B295" s="107"/>
      <c r="C295" s="136" t="s">
        <v>1349</v>
      </c>
      <c r="D295" s="147"/>
      <c r="E295" s="107"/>
      <c r="F295" s="106">
        <f t="shared" ref="F295:BF295" si="740">F38</f>
        <v>2</v>
      </c>
      <c r="G295" s="106">
        <f t="shared" si="740"/>
        <v>1</v>
      </c>
      <c r="H295" s="106">
        <f t="shared" si="740"/>
        <v>1.9801980257034302</v>
      </c>
      <c r="I295" s="106">
        <f t="shared" si="740"/>
        <v>8.6999999999999993</v>
      </c>
      <c r="J295" s="106">
        <f t="shared" si="740"/>
        <v>0</v>
      </c>
      <c r="K295" s="106">
        <f t="shared" si="740"/>
        <v>0</v>
      </c>
      <c r="L295" s="106">
        <f t="shared" si="740"/>
        <v>2.6</v>
      </c>
      <c r="M295" s="106">
        <f t="shared" si="740"/>
        <v>1.7</v>
      </c>
      <c r="N295" s="106">
        <f t="shared" si="740"/>
        <v>2.5</v>
      </c>
      <c r="O295" s="106">
        <f t="shared" si="740"/>
        <v>1.7</v>
      </c>
      <c r="P295" s="106">
        <f t="shared" si="740"/>
        <v>4.0999999999999996</v>
      </c>
      <c r="Q295" s="106">
        <f t="shared" si="740"/>
        <v>2.2999999999999998</v>
      </c>
      <c r="R295" s="106">
        <f t="shared" si="740"/>
        <v>1.5</v>
      </c>
      <c r="S295" s="106">
        <f t="shared" si="740"/>
        <v>7.5</v>
      </c>
      <c r="T295" s="106">
        <f t="shared" si="740"/>
        <v>0</v>
      </c>
      <c r="U295" s="106">
        <f t="shared" si="740"/>
        <v>1</v>
      </c>
      <c r="V295" s="106">
        <f t="shared" si="740"/>
        <v>1.8</v>
      </c>
      <c r="W295" s="106">
        <f t="shared" si="740"/>
        <v>-0.6</v>
      </c>
      <c r="X295" s="106">
        <f t="shared" si="740"/>
        <v>2.4</v>
      </c>
      <c r="Y295" s="106">
        <f t="shared" si="740"/>
        <v>12</v>
      </c>
      <c r="Z295" s="106">
        <f t="shared" si="740"/>
        <v>15.9</v>
      </c>
      <c r="AA295" s="106">
        <f t="shared" si="740"/>
        <v>7.5</v>
      </c>
      <c r="AB295" s="106">
        <f t="shared" si="740"/>
        <v>9.3000000000000007</v>
      </c>
      <c r="AC295" s="106">
        <f t="shared" si="740"/>
        <v>8.8000000000000007</v>
      </c>
      <c r="AD295" s="106">
        <f t="shared" si="740"/>
        <v>8</v>
      </c>
      <c r="AE295" s="106">
        <f t="shared" si="740"/>
        <v>14</v>
      </c>
      <c r="AF295" s="106">
        <f t="shared" si="740"/>
        <v>13.2</v>
      </c>
      <c r="AG295" s="106">
        <f t="shared" si="740"/>
        <v>8.6999999999999993</v>
      </c>
      <c r="AH295" s="106">
        <f t="shared" si="740"/>
        <v>7.3</v>
      </c>
      <c r="AI295" s="106">
        <f t="shared" si="740"/>
        <v>4.4000000000000004</v>
      </c>
      <c r="AJ295" s="106">
        <f t="shared" si="740"/>
        <v>3.7</v>
      </c>
      <c r="AK295" s="106">
        <f t="shared" si="740"/>
        <v>10.9</v>
      </c>
      <c r="AL295" s="106">
        <f t="shared" si="740"/>
        <v>18.7</v>
      </c>
      <c r="AM295" s="106">
        <f t="shared" si="740"/>
        <v>53.4</v>
      </c>
      <c r="AN295" s="106">
        <f t="shared" si="740"/>
        <v>7.3</v>
      </c>
      <c r="AO295" s="106">
        <f t="shared" si="740"/>
        <v>0.8</v>
      </c>
      <c r="AP295" s="106">
        <f t="shared" si="740"/>
        <v>21.8</v>
      </c>
      <c r="AQ295" s="106">
        <f t="shared" si="740"/>
        <v>26</v>
      </c>
      <c r="AR295" s="106">
        <f t="shared" si="740"/>
        <v>43.7</v>
      </c>
      <c r="AS295" s="106">
        <f t="shared" si="740"/>
        <v>143.5</v>
      </c>
      <c r="AT295" s="106">
        <f t="shared" si="740"/>
        <v>368.5</v>
      </c>
      <c r="AU295" s="106">
        <f t="shared" si="740"/>
        <v>235.6</v>
      </c>
      <c r="AV295" s="106">
        <f t="shared" si="740"/>
        <v>-0.7</v>
      </c>
      <c r="AW295" s="106">
        <f t="shared" si="740"/>
        <v>7.1</v>
      </c>
      <c r="AX295" s="106">
        <f t="shared" si="740"/>
        <v>18.7</v>
      </c>
      <c r="AY295" s="106">
        <f t="shared" si="740"/>
        <v>98.8</v>
      </c>
      <c r="AZ295" s="106">
        <f t="shared" si="740"/>
        <v>59.3</v>
      </c>
      <c r="BA295" s="106">
        <f t="shared" si="740"/>
        <v>38.6</v>
      </c>
      <c r="BB295" s="106">
        <f t="shared" si="740"/>
        <v>15.5</v>
      </c>
      <c r="BC295" s="106">
        <f t="shared" si="740"/>
        <v>23.9</v>
      </c>
      <c r="BD295" s="106">
        <f t="shared" si="740"/>
        <v>9.6</v>
      </c>
      <c r="BE295" s="106">
        <f t="shared" si="740"/>
        <v>9.5</v>
      </c>
      <c r="BF295" s="106">
        <f t="shared" si="740"/>
        <v>11.3</v>
      </c>
      <c r="BG295" s="106">
        <f t="shared" ref="BG295:BP295" si="741">BG38</f>
        <v>6.4</v>
      </c>
      <c r="BH295" s="106">
        <f t="shared" si="741"/>
        <v>14.7</v>
      </c>
      <c r="BI295" s="106">
        <f t="shared" si="741"/>
        <v>-0.1</v>
      </c>
      <c r="BJ295" s="106">
        <f t="shared" si="741"/>
        <v>6.9</v>
      </c>
      <c r="BK295" s="106">
        <f t="shared" si="741"/>
        <v>17.7</v>
      </c>
      <c r="BL295" s="106">
        <f t="shared" si="741"/>
        <v>5</v>
      </c>
      <c r="BM295" s="106">
        <f t="shared" si="741"/>
        <v>1.9</v>
      </c>
      <c r="BN295" s="106">
        <f t="shared" si="741"/>
        <v>3.4</v>
      </c>
      <c r="BO295" s="106">
        <f t="shared" si="741"/>
        <v>6.9</v>
      </c>
      <c r="BP295" s="106">
        <f t="shared" si="741"/>
        <v>55.5</v>
      </c>
      <c r="BQ295" s="106">
        <f t="shared" ref="BQ295:CB295" si="742">BQ38</f>
        <v>22</v>
      </c>
      <c r="BR295" s="106">
        <f t="shared" si="742"/>
        <v>6.9</v>
      </c>
      <c r="BS295" s="106">
        <f t="shared" si="742"/>
        <v>4.4000000000000004</v>
      </c>
      <c r="BT295" s="106">
        <f t="shared" ca="1" si="742"/>
        <v>34.244892642942418</v>
      </c>
      <c r="BU295" s="106">
        <f t="shared" ca="1" si="742"/>
        <v>50.991102337104202</v>
      </c>
      <c r="BV295" s="106">
        <f t="shared" ca="1" si="742"/>
        <v>16.413728147581516</v>
      </c>
      <c r="BW295" s="106">
        <f t="shared" ca="1" si="742"/>
        <v>8.6555130940087377</v>
      </c>
      <c r="BX295" s="106">
        <f t="shared" ca="1" si="742"/>
        <v>5.0998086070868656</v>
      </c>
      <c r="BY295" s="106">
        <f t="shared" ca="1" si="742"/>
        <v>6.0916649920156747</v>
      </c>
      <c r="BZ295" s="106">
        <f t="shared" ca="1" si="742"/>
        <v>6.833583832782069</v>
      </c>
      <c r="CA295" s="106">
        <f t="shared" ca="1" si="742"/>
        <v>7.5774286217089779</v>
      </c>
      <c r="CB295" s="106">
        <f t="shared" ca="1" si="742"/>
        <v>8.5001783380132991</v>
      </c>
      <c r="CC295" s="106">
        <f t="shared" ca="1" si="727"/>
        <v>9.6400935707060729</v>
      </c>
      <c r="CD295" s="106">
        <f t="shared" ca="1" si="727"/>
        <v>11.072158493452394</v>
      </c>
      <c r="CE295" s="106">
        <f t="shared" ca="1" si="727"/>
        <v>12.893441429610702</v>
      </c>
      <c r="CF295" s="106">
        <f t="shared" ca="1" si="727"/>
        <v>15.232063947577839</v>
      </c>
      <c r="CG295" s="106">
        <f t="shared" ca="1" si="727"/>
        <v>18.257179167767255</v>
      </c>
      <c r="CH295" s="141"/>
      <c r="CI295" s="159">
        <f t="shared" si="728"/>
        <v>0</v>
      </c>
      <c r="CJ295" s="159">
        <f t="shared" si="729"/>
        <v>0</v>
      </c>
      <c r="CK295" s="159">
        <f t="shared" si="729"/>
        <v>0</v>
      </c>
      <c r="CL295" s="159">
        <f t="shared" ca="1" si="729"/>
        <v>0</v>
      </c>
      <c r="CM295" s="159">
        <f t="shared" ca="1" si="729"/>
        <v>12.104076297908506</v>
      </c>
      <c r="CN295" s="159">
        <f t="shared" ca="1" si="729"/>
        <v>4.1068083139547706</v>
      </c>
      <c r="CO295" s="159">
        <f t="shared" ca="1" si="729"/>
        <v>0.37176370662928804</v>
      </c>
      <c r="CP295" s="159">
        <f t="shared" ca="1" si="729"/>
        <v>-0.38004004039784078</v>
      </c>
      <c r="CQ295" s="159">
        <f t="shared" ca="1" si="729"/>
        <v>-0.60419967851833434</v>
      </c>
      <c r="CR295" s="159">
        <f t="shared" ca="1" si="729"/>
        <v>-0.78430917036779224</v>
      </c>
      <c r="CS295" s="159">
        <f t="shared" ca="1" si="729"/>
        <v>-0.48064219168878086</v>
      </c>
      <c r="CT295" s="159">
        <f t="shared" ca="1" si="729"/>
        <v>-0.23165179074948661</v>
      </c>
      <c r="CU295" s="159">
        <f t="shared" ca="1" si="729"/>
        <v>-0.64877974496590518</v>
      </c>
      <c r="CV295" s="159">
        <f t="shared" ca="1" si="730"/>
        <v>-0.95894111913520597</v>
      </c>
      <c r="CW295" s="159">
        <f t="shared" ca="1" si="731"/>
        <v>-1.264185894287623</v>
      </c>
      <c r="CX295" s="159">
        <f t="shared" ca="1" si="732"/>
        <v>-1.6259542356837855</v>
      </c>
      <c r="CY295" s="159">
        <f t="shared" ca="1" si="733"/>
        <v>-2.0763990673995991</v>
      </c>
      <c r="CZ295" s="134"/>
      <c r="DA295" s="135">
        <v>22</v>
      </c>
      <c r="DB295" s="135">
        <v>6.9</v>
      </c>
      <c r="DC295" s="135">
        <v>4.4000000000000004</v>
      </c>
      <c r="DD295" s="135">
        <v>34.244892642942418</v>
      </c>
      <c r="DE295" s="135">
        <v>38.887026039195696</v>
      </c>
      <c r="DF295" s="135">
        <v>12.306919833626745</v>
      </c>
      <c r="DG295" s="135">
        <v>8.2837493873794497</v>
      </c>
      <c r="DH295" s="135">
        <v>5.4798486474847063</v>
      </c>
      <c r="DI295" s="135">
        <v>6.695864670534009</v>
      </c>
      <c r="DJ295" s="135">
        <v>7.6178930031498613</v>
      </c>
      <c r="DK295" s="135">
        <v>8.0580708133977588</v>
      </c>
      <c r="DL295" s="135">
        <v>8.7318301287627857</v>
      </c>
      <c r="DM295" s="135">
        <v>10.288873315671978</v>
      </c>
      <c r="DN295" s="135">
        <v>12.0310996125876</v>
      </c>
      <c r="DO295" s="135">
        <v>14.157627323898325</v>
      </c>
      <c r="DP295" s="135">
        <v>16.858018183261624</v>
      </c>
      <c r="DQ295" s="135">
        <v>20.333578235166854</v>
      </c>
    </row>
    <row r="296" spans="1:121" s="123" customFormat="1">
      <c r="A296" s="107" t="s">
        <v>132</v>
      </c>
      <c r="B296" s="107"/>
      <c r="C296" s="136" t="s">
        <v>1349</v>
      </c>
      <c r="D296" s="147"/>
      <c r="E296" s="107"/>
      <c r="F296" s="106">
        <f t="shared" ref="F296:BF296" si="743">F41</f>
        <v>6</v>
      </c>
      <c r="G296" s="106">
        <f t="shared" si="743"/>
        <v>-3.1</v>
      </c>
      <c r="H296" s="106">
        <f t="shared" si="743"/>
        <v>-0.33315089344978333</v>
      </c>
      <c r="I296" s="106">
        <f t="shared" si="743"/>
        <v>15.395469665527344</v>
      </c>
      <c r="J296" s="106">
        <f t="shared" si="743"/>
        <v>8.9151115417480469</v>
      </c>
      <c r="K296" s="106">
        <f t="shared" si="743"/>
        <v>2.8660340309143066</v>
      </c>
      <c r="L296" s="106">
        <f t="shared" si="743"/>
        <v>-2.3736550807952881</v>
      </c>
      <c r="M296" s="106">
        <f t="shared" si="743"/>
        <v>0.38395720720291138</v>
      </c>
      <c r="N296" s="106">
        <f t="shared" si="743"/>
        <v>2.0476639270782471</v>
      </c>
      <c r="O296" s="106">
        <f t="shared" si="743"/>
        <v>-2.0203309059143066</v>
      </c>
      <c r="P296" s="106">
        <f t="shared" si="743"/>
        <v>-2.1691229343414307</v>
      </c>
      <c r="Q296" s="106">
        <f t="shared" si="743"/>
        <v>1.4651679992675781</v>
      </c>
      <c r="R296" s="106">
        <f t="shared" si="743"/>
        <v>11.19773006439209</v>
      </c>
      <c r="S296" s="106">
        <f t="shared" si="743"/>
        <v>3.3849248886108398</v>
      </c>
      <c r="T296" s="106">
        <f t="shared" si="743"/>
        <v>2.6411700248718262</v>
      </c>
      <c r="U296" s="106">
        <f t="shared" si="743"/>
        <v>4.4026660919189453</v>
      </c>
      <c r="V296" s="106">
        <f t="shared" si="743"/>
        <v>6.7484469413757324</v>
      </c>
      <c r="W296" s="106">
        <f t="shared" si="743"/>
        <v>2.8925549983978271</v>
      </c>
      <c r="X296" s="106">
        <f t="shared" si="743"/>
        <v>0.80675822496414185</v>
      </c>
      <c r="Y296" s="106">
        <f t="shared" si="743"/>
        <v>0.67330348491668701</v>
      </c>
      <c r="Z296" s="106">
        <f t="shared" si="743"/>
        <v>44.09906005859375</v>
      </c>
      <c r="AA296" s="106">
        <f t="shared" si="743"/>
        <v>15.848649978637695</v>
      </c>
      <c r="AB296" s="106">
        <f t="shared" si="743"/>
        <v>10.148870468139648</v>
      </c>
      <c r="AC296" s="106">
        <f t="shared" si="743"/>
        <v>11.784150123596191</v>
      </c>
      <c r="AD296" s="106">
        <f t="shared" si="743"/>
        <v>5.7871599197387695</v>
      </c>
      <c r="AE296" s="106">
        <f t="shared" si="743"/>
        <v>7.347567081451416</v>
      </c>
      <c r="AF296" s="106">
        <f t="shared" si="743"/>
        <v>18.65839958190918</v>
      </c>
      <c r="AG296" s="106">
        <f t="shared" si="743"/>
        <v>8.6790685653686523</v>
      </c>
      <c r="AH296" s="106">
        <f t="shared" si="743"/>
        <v>-10.144929885864258</v>
      </c>
      <c r="AI296" s="106">
        <f t="shared" si="743"/>
        <v>-8.703028678894043</v>
      </c>
      <c r="AJ296" s="106">
        <f t="shared" si="743"/>
        <v>4.8706731796264648</v>
      </c>
      <c r="AK296" s="106">
        <f t="shared" si="743"/>
        <v>-21.025569915771484</v>
      </c>
      <c r="AL296" s="106">
        <f t="shared" si="743"/>
        <v>2.4661169052124023</v>
      </c>
      <c r="AM296" s="106">
        <f t="shared" si="743"/>
        <v>2.4000000953674316</v>
      </c>
      <c r="AN296" s="106">
        <f t="shared" si="743"/>
        <v>22.799999237060547</v>
      </c>
      <c r="AO296" s="106">
        <f t="shared" si="743"/>
        <v>39.799999237060547</v>
      </c>
      <c r="AP296" s="106">
        <f t="shared" si="743"/>
        <v>-9.4499999999999993</v>
      </c>
      <c r="AQ296" s="106">
        <f t="shared" si="743"/>
        <v>-19.281134765627648</v>
      </c>
      <c r="AR296" s="106">
        <f t="shared" si="743"/>
        <v>-13.481171844855556</v>
      </c>
      <c r="AS296" s="106">
        <f t="shared" si="743"/>
        <v>2347.7215053474038</v>
      </c>
      <c r="AT296" s="106">
        <f t="shared" si="743"/>
        <v>422.45525759029238</v>
      </c>
      <c r="AU296" s="106">
        <f t="shared" si="743"/>
        <v>170.16081642928847</v>
      </c>
      <c r="AV296" s="106">
        <f t="shared" si="743"/>
        <v>-6.7599244933730489</v>
      </c>
      <c r="AW296" s="106">
        <f t="shared" si="743"/>
        <v>-2.9192909841230796</v>
      </c>
      <c r="AX296" s="106">
        <f t="shared" si="743"/>
        <v>-11.903977550842558</v>
      </c>
      <c r="AY296" s="106">
        <f t="shared" si="743"/>
        <v>108.66930337321551</v>
      </c>
      <c r="AZ296" s="106">
        <f t="shared" si="743"/>
        <v>66.10221465011243</v>
      </c>
      <c r="BA296" s="106">
        <f t="shared" si="743"/>
        <v>54.894307933115137</v>
      </c>
      <c r="BB296" s="106">
        <f t="shared" si="743"/>
        <v>-1.5969552135791099</v>
      </c>
      <c r="BC296" s="106">
        <f t="shared" si="743"/>
        <v>19.751999647820639</v>
      </c>
      <c r="BD296" s="106">
        <f t="shared" si="743"/>
        <v>23.974977191511606</v>
      </c>
      <c r="BE296" s="106">
        <f t="shared" si="743"/>
        <v>9.0180532268404168</v>
      </c>
      <c r="BF296" s="106">
        <f t="shared" si="743"/>
        <v>26.348055602624278</v>
      </c>
      <c r="BG296" s="106">
        <f t="shared" ref="BG296:BI297" si="744">BG41</f>
        <v>12.618817243014814</v>
      </c>
      <c r="BH296" s="106">
        <f t="shared" si="744"/>
        <v>12.441200911368899</v>
      </c>
      <c r="BI296" s="106">
        <f t="shared" si="744"/>
        <v>-11.619629054743612</v>
      </c>
      <c r="BJ296" s="106">
        <f t="shared" ref="BJ296:BO296" si="745">BJ41</f>
        <v>30.485049374054643</v>
      </c>
      <c r="BK296" s="106">
        <f t="shared" si="745"/>
        <v>17.565187500810996</v>
      </c>
      <c r="BL296" s="106">
        <f t="shared" si="745"/>
        <v>2.0726347955024824</v>
      </c>
      <c r="BM296" s="106">
        <f t="shared" si="745"/>
        <v>-11.199418552275089</v>
      </c>
      <c r="BN296" s="106">
        <f t="shared" si="745"/>
        <v>-6.9656929804787096</v>
      </c>
      <c r="BO296" s="106">
        <f t="shared" si="745"/>
        <v>-9.0934024535763989</v>
      </c>
      <c r="BP296" s="106">
        <f t="shared" ref="BP296:CB296" ca="1" si="746">BP41</f>
        <v>158.89982808761883</v>
      </c>
      <c r="BQ296" s="106">
        <f t="shared" si="746"/>
        <v>16.386642875463771</v>
      </c>
      <c r="BR296" s="106">
        <f t="shared" si="746"/>
        <v>2.0208574094170597</v>
      </c>
      <c r="BS296" s="106">
        <f t="shared" si="746"/>
        <v>14.09536835300438</v>
      </c>
      <c r="BT296" s="106">
        <f t="shared" ca="1" si="746"/>
        <v>72.622606352589486</v>
      </c>
      <c r="BU296" s="106">
        <f t="shared" ca="1" si="746"/>
        <v>62.745827975801291</v>
      </c>
      <c r="BV296" s="106">
        <f t="shared" ca="1" si="746"/>
        <v>1.6947478117540598</v>
      </c>
      <c r="BW296" s="106">
        <f t="shared" ca="1" si="746"/>
        <v>1.4117485996002905</v>
      </c>
      <c r="BX296" s="106">
        <f t="shared" ca="1" si="746"/>
        <v>1.4055157220732055</v>
      </c>
      <c r="BY296" s="106">
        <f t="shared" ca="1" si="746"/>
        <v>2.9121365025528463</v>
      </c>
      <c r="BZ296" s="106">
        <f t="shared" ca="1" si="746"/>
        <v>2.9228613878114102</v>
      </c>
      <c r="CA296" s="106">
        <f t="shared" ca="1" si="746"/>
        <v>2.9336635717144857</v>
      </c>
      <c r="CB296" s="106">
        <f t="shared" ca="1" si="746"/>
        <v>2.9472316190633232</v>
      </c>
      <c r="CC296" s="106">
        <f t="shared" ref="CC296:CG297" ca="1" si="747">CC41</f>
        <v>2.9642073958379993</v>
      </c>
      <c r="CD296" s="106">
        <f t="shared" ca="1" si="747"/>
        <v>2.9858309624000516</v>
      </c>
      <c r="CE296" s="106">
        <f t="shared" ca="1" si="747"/>
        <v>3.0137531268640929</v>
      </c>
      <c r="CF296" s="106">
        <f t="shared" ca="1" si="747"/>
        <v>3.050225186545148</v>
      </c>
      <c r="CG296" s="106">
        <f t="shared" ca="1" si="747"/>
        <v>3.0983431031317039</v>
      </c>
      <c r="CH296" s="141"/>
      <c r="CI296" s="159">
        <f t="shared" si="728"/>
        <v>0</v>
      </c>
      <c r="CJ296" s="159">
        <f t="shared" si="729"/>
        <v>0</v>
      </c>
      <c r="CK296" s="159">
        <f t="shared" si="729"/>
        <v>0</v>
      </c>
      <c r="CL296" s="159">
        <f t="shared" ca="1" si="729"/>
        <v>0</v>
      </c>
      <c r="CM296" s="159">
        <f t="shared" ca="1" si="729"/>
        <v>20.28227974308745</v>
      </c>
      <c r="CN296" s="159">
        <f t="shared" ca="1" si="729"/>
        <v>5.6711881541380071E-2</v>
      </c>
      <c r="CO296" s="159">
        <f t="shared" ca="1" si="729"/>
        <v>5.5956121701881134E-3</v>
      </c>
      <c r="CP296" s="159">
        <f t="shared" ca="1" si="729"/>
        <v>-5.2600565044946812E-3</v>
      </c>
      <c r="CQ296" s="159">
        <f t="shared" ca="1" si="729"/>
        <v>-9.1173983003480785E-3</v>
      </c>
      <c r="CR296" s="159">
        <f t="shared" ca="1" si="729"/>
        <v>-1.1800805987160157E-2</v>
      </c>
      <c r="CS296" s="159">
        <f t="shared" ca="1" si="729"/>
        <v>-7.2666672572303526E-3</v>
      </c>
      <c r="CT296" s="159">
        <f t="shared" ca="1" si="729"/>
        <v>-3.5340221542510264E-3</v>
      </c>
      <c r="CU296" s="159">
        <f t="shared" ca="1" si="729"/>
        <v>-9.8644672950047863E-3</v>
      </c>
      <c r="CV296" s="159">
        <f t="shared" ca="1" si="730"/>
        <v>-1.4643615600689941E-2</v>
      </c>
      <c r="CW296" s="159">
        <f t="shared" ca="1" si="731"/>
        <v>-1.9451202420755376E-2</v>
      </c>
      <c r="CX296" s="159">
        <f t="shared" ca="1" si="732"/>
        <v>-2.5297851858101517E-2</v>
      </c>
      <c r="CY296" s="159">
        <f t="shared" ca="1" si="733"/>
        <v>-3.2813203008871916E-2</v>
      </c>
      <c r="CZ296" s="134"/>
      <c r="DA296" s="135">
        <v>16.386642875463771</v>
      </c>
      <c r="DB296" s="135">
        <v>2.0208574094170597</v>
      </c>
      <c r="DC296" s="135">
        <v>14.09536835300438</v>
      </c>
      <c r="DD296" s="135">
        <v>72.622606352589486</v>
      </c>
      <c r="DE296" s="135">
        <v>42.46354823271384</v>
      </c>
      <c r="DF296" s="135">
        <v>1.6380359302126797</v>
      </c>
      <c r="DG296" s="135">
        <v>1.4061529874301024</v>
      </c>
      <c r="DH296" s="135">
        <v>1.4107757785777002</v>
      </c>
      <c r="DI296" s="135">
        <v>2.9212539008531944</v>
      </c>
      <c r="DJ296" s="135">
        <v>2.9346621937985704</v>
      </c>
      <c r="DK296" s="135">
        <v>2.940930238971716</v>
      </c>
      <c r="DL296" s="135">
        <v>2.9507656412175742</v>
      </c>
      <c r="DM296" s="135">
        <v>2.9740718631330041</v>
      </c>
      <c r="DN296" s="135">
        <v>3.0004745780007416</v>
      </c>
      <c r="DO296" s="135">
        <v>3.0332043292848483</v>
      </c>
      <c r="DP296" s="135">
        <v>3.0755230384032495</v>
      </c>
      <c r="DQ296" s="135">
        <v>3.1311563061405758</v>
      </c>
    </row>
    <row r="297" spans="1:121" s="123" customFormat="1">
      <c r="A297" s="107" t="s">
        <v>133</v>
      </c>
      <c r="B297" s="107"/>
      <c r="C297" s="136" t="s">
        <v>1349</v>
      </c>
      <c r="D297" s="147"/>
      <c r="E297" s="107"/>
      <c r="F297" s="106">
        <f t="shared" ref="F297:BD297" si="748">F42</f>
        <v>0</v>
      </c>
      <c r="G297" s="106">
        <f t="shared" si="748"/>
        <v>-3.6463769458858541</v>
      </c>
      <c r="H297" s="106">
        <f t="shared" si="748"/>
        <v>-0.64612115579019136</v>
      </c>
      <c r="I297" s="106">
        <f t="shared" si="748"/>
        <v>17.228017073276035</v>
      </c>
      <c r="J297" s="106">
        <f t="shared" si="748"/>
        <v>9.3845233826113095</v>
      </c>
      <c r="K297" s="106">
        <f t="shared" si="748"/>
        <v>2.9864140989518839</v>
      </c>
      <c r="L297" s="106">
        <f t="shared" si="748"/>
        <v>-1.7171568672082249</v>
      </c>
      <c r="M297" s="106">
        <f t="shared" si="748"/>
        <v>5.1638637651551411</v>
      </c>
      <c r="N297" s="106">
        <f t="shared" si="748"/>
        <v>0.13807967637584628</v>
      </c>
      <c r="O297" s="106">
        <f t="shared" si="748"/>
        <v>-2.7520775638607109</v>
      </c>
      <c r="P297" s="106">
        <f t="shared" si="748"/>
        <v>9.4768262032118855E-2</v>
      </c>
      <c r="Q297" s="106">
        <f t="shared" si="748"/>
        <v>1.8342129481029978</v>
      </c>
      <c r="R297" s="106">
        <f t="shared" si="748"/>
        <v>10.248523885489803</v>
      </c>
      <c r="S297" s="106">
        <f t="shared" si="748"/>
        <v>0.67690203873909116</v>
      </c>
      <c r="T297" s="106">
        <f t="shared" si="748"/>
        <v>3.210057938249089</v>
      </c>
      <c r="U297" s="106">
        <f t="shared" si="748"/>
        <v>6.413401043117406</v>
      </c>
      <c r="V297" s="106">
        <f t="shared" si="748"/>
        <v>6.5325600363198122</v>
      </c>
      <c r="W297" s="106">
        <f t="shared" si="748"/>
        <v>3.8466248087451138</v>
      </c>
      <c r="X297" s="106">
        <f t="shared" si="748"/>
        <v>4.1297638656422331</v>
      </c>
      <c r="Y297" s="106">
        <f t="shared" si="748"/>
        <v>-5.4112581562105184</v>
      </c>
      <c r="Z297" s="106">
        <f t="shared" si="748"/>
        <v>41.488554772570339</v>
      </c>
      <c r="AA297" s="106">
        <f t="shared" si="748"/>
        <v>18.438178319229781</v>
      </c>
      <c r="AB297" s="106">
        <f t="shared" si="748"/>
        <v>13.927285690629954</v>
      </c>
      <c r="AC297" s="106">
        <f t="shared" si="748"/>
        <v>-1.5711018656927922</v>
      </c>
      <c r="AD297" s="106">
        <f t="shared" si="748"/>
        <v>10.126664266606578</v>
      </c>
      <c r="AE297" s="106">
        <f t="shared" si="748"/>
        <v>3.1602201348665204</v>
      </c>
      <c r="AF297" s="106">
        <f t="shared" si="748"/>
        <v>25.645585415563986</v>
      </c>
      <c r="AG297" s="106">
        <f t="shared" si="748"/>
        <v>11.078905180629107</v>
      </c>
      <c r="AH297" s="106">
        <f t="shared" si="748"/>
        <v>-6.6544987022552178</v>
      </c>
      <c r="AI297" s="106">
        <f t="shared" si="748"/>
        <v>-0.12832162417475423</v>
      </c>
      <c r="AJ297" s="106">
        <f t="shared" si="748"/>
        <v>10.611731550616721</v>
      </c>
      <c r="AK297" s="106">
        <f t="shared" si="748"/>
        <v>2.247733880410796</v>
      </c>
      <c r="AL297" s="106">
        <f t="shared" si="748"/>
        <v>37.180136792556404</v>
      </c>
      <c r="AM297" s="106">
        <f t="shared" si="748"/>
        <v>78.799938367915374</v>
      </c>
      <c r="AN297" s="106">
        <f t="shared" si="748"/>
        <v>12.022163868722547</v>
      </c>
      <c r="AO297" s="106">
        <f t="shared" si="748"/>
        <v>3.0999618534205187</v>
      </c>
      <c r="AP297" s="106">
        <f t="shared" si="748"/>
        <v>-2.9078965194845097</v>
      </c>
      <c r="AQ297" s="106">
        <f t="shared" si="748"/>
        <v>32.530706896189507</v>
      </c>
      <c r="AR297" s="106">
        <f t="shared" si="748"/>
        <v>41.897131549640385</v>
      </c>
      <c r="AS297" s="106">
        <f t="shared" si="748"/>
        <v>355.75227440978222</v>
      </c>
      <c r="AT297" s="106">
        <f t="shared" si="748"/>
        <v>332.83152472668257</v>
      </c>
      <c r="AU297" s="106">
        <f t="shared" si="748"/>
        <v>173.88847857086586</v>
      </c>
      <c r="AV297" s="106">
        <f t="shared" si="748"/>
        <v>-14.817454267213604</v>
      </c>
      <c r="AW297" s="106">
        <f t="shared" si="748"/>
        <v>-1.6413282749693336</v>
      </c>
      <c r="AX297" s="106">
        <f t="shared" si="748"/>
        <v>22.78337178743719</v>
      </c>
      <c r="AY297" s="106">
        <f t="shared" si="748"/>
        <v>135.93354328479356</v>
      </c>
      <c r="AZ297" s="106">
        <f t="shared" si="748"/>
        <v>60.367220907208832</v>
      </c>
      <c r="BA297" s="106">
        <f t="shared" si="748"/>
        <v>55.13313908114776</v>
      </c>
      <c r="BB297" s="106">
        <f t="shared" si="748"/>
        <v>-27.347387064831363</v>
      </c>
      <c r="BC297" s="106">
        <f t="shared" si="748"/>
        <v>21.727089731262939</v>
      </c>
      <c r="BD297" s="106">
        <f t="shared" si="748"/>
        <v>13.616886253031701</v>
      </c>
      <c r="BE297" s="106">
        <f ca="1">BE42</f>
        <v>8.5919203359158036</v>
      </c>
      <c r="BF297" s="106">
        <f ca="1">BF42</f>
        <v>-10.650847528032493</v>
      </c>
      <c r="BG297" s="106">
        <f t="shared" si="744"/>
        <v>17.688874538194721</v>
      </c>
      <c r="BH297" s="106">
        <f t="shared" si="744"/>
        <v>20.371705095060676</v>
      </c>
      <c r="BI297" s="106">
        <f t="shared" si="744"/>
        <v>-18.267970897333818</v>
      </c>
      <c r="BJ297" s="106">
        <f t="shared" ref="BJ297:BO297" si="749">BJ42</f>
        <v>35.728903702938332</v>
      </c>
      <c r="BK297" s="106">
        <f t="shared" si="749"/>
        <v>28.464130421480505</v>
      </c>
      <c r="BL297" s="106">
        <f t="shared" si="749"/>
        <v>-7.395354400134579</v>
      </c>
      <c r="BM297" s="106">
        <f t="shared" si="749"/>
        <v>-3.9972314107575735</v>
      </c>
      <c r="BN297" s="106">
        <f t="shared" si="749"/>
        <v>-1.1520755986664799</v>
      </c>
      <c r="BO297" s="106">
        <f t="shared" si="749"/>
        <v>14.591914347491342</v>
      </c>
      <c r="BP297" s="106">
        <f ca="1">BP42</f>
        <v>181.97414416736973</v>
      </c>
      <c r="BQ297" s="106">
        <f>BQ42</f>
        <v>17.849230769230772</v>
      </c>
      <c r="BR297" s="106">
        <f t="shared" ref="BR297:BZ297" si="750">BR42</f>
        <v>2.2716378162449979</v>
      </c>
      <c r="BS297" s="106">
        <f t="shared" si="750"/>
        <v>11.075697211155378</v>
      </c>
      <c r="BT297" s="106">
        <f t="shared" si="750"/>
        <v>62.951219512195131</v>
      </c>
      <c r="BU297" s="106">
        <f t="shared" si="750"/>
        <v>63.20000000000001</v>
      </c>
      <c r="BV297" s="106">
        <f t="shared" si="750"/>
        <v>2.0000000000000018</v>
      </c>
      <c r="BW297" s="106">
        <f t="shared" si="750"/>
        <v>2.0000000000000018</v>
      </c>
      <c r="BX297" s="106">
        <f t="shared" si="750"/>
        <v>2.0000000000000018</v>
      </c>
      <c r="BY297" s="106">
        <f t="shared" si="750"/>
        <v>2.0000000000000018</v>
      </c>
      <c r="BZ297" s="106">
        <f t="shared" si="750"/>
        <v>2.0000000000000018</v>
      </c>
      <c r="CA297" s="106">
        <f>CA42</f>
        <v>2.0000000000000018</v>
      </c>
      <c r="CB297" s="106">
        <f>CB42</f>
        <v>2.0000000000000018</v>
      </c>
      <c r="CC297" s="106">
        <f t="shared" si="747"/>
        <v>2.0000000000000018</v>
      </c>
      <c r="CD297" s="106">
        <f t="shared" si="747"/>
        <v>2.0000000000000018</v>
      </c>
      <c r="CE297" s="106">
        <f t="shared" si="747"/>
        <v>2.0000000000000018</v>
      </c>
      <c r="CF297" s="106">
        <f t="shared" si="747"/>
        <v>2.0000000000000018</v>
      </c>
      <c r="CG297" s="106">
        <f t="shared" si="747"/>
        <v>2.0000000000000018</v>
      </c>
      <c r="CH297" s="141"/>
      <c r="CI297" s="159">
        <f t="shared" si="728"/>
        <v>0</v>
      </c>
      <c r="CJ297" s="159">
        <f t="shared" ref="CJ297:CR297" si="751">BR297-DB297</f>
        <v>0</v>
      </c>
      <c r="CK297" s="159">
        <f t="shared" si="751"/>
        <v>0</v>
      </c>
      <c r="CL297" s="159">
        <f t="shared" si="751"/>
        <v>0</v>
      </c>
      <c r="CM297" s="159">
        <f t="shared" si="751"/>
        <v>20.399999999999991</v>
      </c>
      <c r="CN297" s="159">
        <f t="shared" si="751"/>
        <v>0</v>
      </c>
      <c r="CO297" s="159">
        <f t="shared" si="751"/>
        <v>0</v>
      </c>
      <c r="CP297" s="159">
        <f t="shared" si="751"/>
        <v>0</v>
      </c>
      <c r="CQ297" s="159">
        <f t="shared" si="751"/>
        <v>0</v>
      </c>
      <c r="CR297" s="159">
        <f t="shared" si="751"/>
        <v>0</v>
      </c>
      <c r="CS297" s="159">
        <f>CA297-DK297</f>
        <v>0</v>
      </c>
      <c r="CT297" s="159">
        <f>CB297-DL297</f>
        <v>0</v>
      </c>
      <c r="CU297" s="159">
        <f>CC297-DM297</f>
        <v>0</v>
      </c>
      <c r="CV297" s="159">
        <f t="shared" si="730"/>
        <v>0</v>
      </c>
      <c r="CW297" s="159">
        <f t="shared" si="731"/>
        <v>0</v>
      </c>
      <c r="CX297" s="159">
        <f t="shared" si="732"/>
        <v>0</v>
      </c>
      <c r="CY297" s="159">
        <f t="shared" si="733"/>
        <v>0</v>
      </c>
      <c r="CZ297" s="134"/>
      <c r="DA297" s="135">
        <v>17.849230769230772</v>
      </c>
      <c r="DB297" s="135">
        <v>2.2716378162449979</v>
      </c>
      <c r="DC297" s="135">
        <v>11.075697211155378</v>
      </c>
      <c r="DD297" s="135">
        <v>62.951219512195131</v>
      </c>
      <c r="DE297" s="135">
        <v>42.800000000000018</v>
      </c>
      <c r="DF297" s="135">
        <v>2.0000000000000018</v>
      </c>
      <c r="DG297" s="135">
        <v>2.0000000000000018</v>
      </c>
      <c r="DH297" s="135">
        <v>2.0000000000000018</v>
      </c>
      <c r="DI297" s="135">
        <v>2.0000000000000018</v>
      </c>
      <c r="DJ297" s="135">
        <v>2.0000000000000018</v>
      </c>
      <c r="DK297" s="135">
        <v>2.0000000000000018</v>
      </c>
      <c r="DL297" s="135">
        <v>2.0000000000000018</v>
      </c>
      <c r="DM297" s="135">
        <v>2.0000000000000018</v>
      </c>
      <c r="DN297" s="135">
        <v>2.0000000000000018</v>
      </c>
      <c r="DO297" s="135">
        <v>2.0000000000000018</v>
      </c>
      <c r="DP297" s="135">
        <v>2.0000000000000018</v>
      </c>
      <c r="DQ297" s="135">
        <v>2.0000000000000018</v>
      </c>
    </row>
    <row r="298" spans="1:121" s="123" customFormat="1">
      <c r="A298" s="107"/>
      <c r="B298" s="107"/>
      <c r="C298" s="136"/>
      <c r="D298" s="147"/>
      <c r="E298" s="107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06"/>
      <c r="CF298" s="106"/>
      <c r="CG298" s="106"/>
      <c r="CH298" s="141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34"/>
      <c r="DA298" s="135"/>
      <c r="DB298" s="135"/>
      <c r="DC298" s="135"/>
      <c r="DD298" s="135"/>
      <c r="DE298" s="135"/>
      <c r="DF298" s="135"/>
      <c r="DG298" s="135"/>
      <c r="DH298" s="135"/>
      <c r="DI298" s="135"/>
      <c r="DJ298" s="135"/>
      <c r="DK298" s="135"/>
      <c r="DL298" s="135"/>
      <c r="DM298" s="135"/>
      <c r="DN298" s="135"/>
      <c r="DO298" s="135"/>
      <c r="DP298" s="135"/>
      <c r="DQ298" s="135"/>
    </row>
    <row r="299" spans="1:121" s="123" customFormat="1">
      <c r="A299" s="107" t="s">
        <v>1775</v>
      </c>
      <c r="B299" s="107"/>
      <c r="C299" s="136" t="s">
        <v>1349</v>
      </c>
      <c r="D299" s="147"/>
      <c r="E299" s="107"/>
      <c r="F299" s="106" t="s">
        <v>1344</v>
      </c>
      <c r="G299" s="106">
        <f t="shared" ref="G299:BF299" si="752">G45</f>
        <v>1.0000000000000009</v>
      </c>
      <c r="H299" s="106">
        <f t="shared" si="752"/>
        <v>1.9801980257034391</v>
      </c>
      <c r="I299" s="106">
        <f t="shared" si="752"/>
        <v>8.5714285714285623</v>
      </c>
      <c r="J299" s="106">
        <f t="shared" si="752"/>
        <v>0</v>
      </c>
      <c r="K299" s="106">
        <f t="shared" si="752"/>
        <v>0</v>
      </c>
      <c r="L299" s="106">
        <f t="shared" si="752"/>
        <v>2.6315789473684292</v>
      </c>
      <c r="M299" s="106">
        <f t="shared" si="752"/>
        <v>1.7094017094017033</v>
      </c>
      <c r="N299" s="106">
        <f t="shared" si="752"/>
        <v>2.5210084033613578</v>
      </c>
      <c r="O299" s="106">
        <f t="shared" si="752"/>
        <v>1.6393442622950838</v>
      </c>
      <c r="P299" s="106">
        <f t="shared" si="752"/>
        <v>4.0322580645161255</v>
      </c>
      <c r="Q299" s="106">
        <f t="shared" si="752"/>
        <v>2.3255813953488191</v>
      </c>
      <c r="R299" s="106">
        <f t="shared" si="752"/>
        <v>1.5151515151515138</v>
      </c>
      <c r="S299" s="106">
        <f t="shared" si="752"/>
        <v>7.4626865671642006</v>
      </c>
      <c r="T299" s="106">
        <f t="shared" si="752"/>
        <v>0</v>
      </c>
      <c r="U299" s="106">
        <f t="shared" si="752"/>
        <v>0.69444444444444198</v>
      </c>
      <c r="V299" s="106">
        <f t="shared" si="752"/>
        <v>2.0689655172413834</v>
      </c>
      <c r="W299" s="106">
        <f t="shared" si="752"/>
        <v>-0.59355843067169234</v>
      </c>
      <c r="X299" s="106">
        <f t="shared" si="752"/>
        <v>2.4373531341552734</v>
      </c>
      <c r="Y299" s="106">
        <f t="shared" si="752"/>
        <v>12.087912559509274</v>
      </c>
      <c r="Z299" s="106">
        <f t="shared" si="752"/>
        <v>15.959079742431648</v>
      </c>
      <c r="AA299" s="106">
        <f t="shared" si="752"/>
        <v>7.4915452003478933</v>
      </c>
      <c r="AB299" s="106">
        <f t="shared" si="752"/>
        <v>6.999999999999984</v>
      </c>
      <c r="AC299" s="106">
        <f t="shared" si="752"/>
        <v>16.822429906542059</v>
      </c>
      <c r="AD299" s="106">
        <f t="shared" si="752"/>
        <v>5.600000000000005</v>
      </c>
      <c r="AE299" s="106">
        <f t="shared" si="752"/>
        <v>15.151515151515159</v>
      </c>
      <c r="AF299" s="106">
        <f t="shared" si="752"/>
        <v>9.8684210526315717</v>
      </c>
      <c r="AG299" s="106">
        <f t="shared" si="752"/>
        <v>8.7082128524780256</v>
      </c>
      <c r="AH299" s="106">
        <f t="shared" si="752"/>
        <v>9.6638297610800663</v>
      </c>
      <c r="AI299" s="106">
        <f t="shared" si="752"/>
        <v>1.2107607719684221</v>
      </c>
      <c r="AJ299" s="106">
        <f t="shared" si="752"/>
        <v>0.14590081616474571</v>
      </c>
      <c r="AK299" s="106">
        <f t="shared" si="752"/>
        <v>1.2101242398768308</v>
      </c>
      <c r="AL299" s="106">
        <f t="shared" si="752"/>
        <v>3.8835091567690716</v>
      </c>
      <c r="AM299" s="106">
        <f t="shared" si="752"/>
        <v>18.625567586447801</v>
      </c>
      <c r="AN299" s="106">
        <f t="shared" si="752"/>
        <v>9.0389164738607253</v>
      </c>
      <c r="AO299" s="106">
        <f t="shared" si="752"/>
        <v>11.549389674776078</v>
      </c>
      <c r="AP299" s="106">
        <f t="shared" si="752"/>
        <v>23.954983922829577</v>
      </c>
      <c r="AQ299" s="106">
        <f t="shared" si="752"/>
        <v>11.766655618163746</v>
      </c>
      <c r="AR299" s="106">
        <f t="shared" si="752"/>
        <v>34.075873336272601</v>
      </c>
      <c r="AS299" s="106">
        <f t="shared" si="752"/>
        <v>172.73365217444169</v>
      </c>
      <c r="AT299" s="106">
        <f t="shared" si="752"/>
        <v>464.71531817839013</v>
      </c>
      <c r="AU299" s="106">
        <f t="shared" si="752"/>
        <v>246.75460561683474</v>
      </c>
      <c r="AV299" s="106">
        <f t="shared" si="752"/>
        <v>11.002122445195051</v>
      </c>
      <c r="AW299" s="106">
        <f t="shared" si="752"/>
        <v>9.6739179722858726</v>
      </c>
      <c r="AX299" s="106">
        <f t="shared" si="752"/>
        <v>9.0850148721706159</v>
      </c>
      <c r="AY299" s="106">
        <f t="shared" si="752"/>
        <v>73.436657425928303</v>
      </c>
      <c r="AZ299" s="106">
        <f t="shared" si="752"/>
        <v>61.717475366642446</v>
      </c>
      <c r="BA299" s="106">
        <f t="shared" si="752"/>
        <v>37.073574820577825</v>
      </c>
      <c r="BB299" s="106">
        <f t="shared" si="752"/>
        <v>38.25685628033564</v>
      </c>
      <c r="BC299" s="106">
        <f t="shared" si="752"/>
        <v>21.574135138634375</v>
      </c>
      <c r="BD299" s="106">
        <f t="shared" si="752"/>
        <v>13.702293501689656</v>
      </c>
      <c r="BE299" s="106">
        <f t="shared" si="752"/>
        <v>9.7630650310872156</v>
      </c>
      <c r="BF299" s="106">
        <f t="shared" si="752"/>
        <v>39.033427986344947</v>
      </c>
      <c r="BG299" s="106">
        <f t="shared" ref="BG299:BP299" si="753">BG45</f>
        <v>6.425801200247494</v>
      </c>
      <c r="BH299" s="106">
        <f t="shared" si="753"/>
        <v>15.577672954906774</v>
      </c>
      <c r="BI299" s="106">
        <f t="shared" si="753"/>
        <v>6.5006928091109417</v>
      </c>
      <c r="BJ299" s="106">
        <f t="shared" si="753"/>
        <v>7.2242608469055725</v>
      </c>
      <c r="BK299" s="106">
        <f t="shared" si="753"/>
        <v>14.515098535225256</v>
      </c>
      <c r="BL299" s="106">
        <f t="shared" si="753"/>
        <v>10.114061720721136</v>
      </c>
      <c r="BM299" s="106">
        <f t="shared" si="753"/>
        <v>0.38376657956391558</v>
      </c>
      <c r="BN299" s="106">
        <f t="shared" si="753"/>
        <v>1.4742754547500958</v>
      </c>
      <c r="BO299" s="106">
        <f t="shared" si="753"/>
        <v>-1.9722638858547858</v>
      </c>
      <c r="BP299" s="106">
        <f t="shared" si="753"/>
        <v>26.163988938986705</v>
      </c>
      <c r="BQ299" s="106">
        <f t="shared" ref="BQ299:CB299" si="754">BQ45</f>
        <v>21.195280710430264</v>
      </c>
      <c r="BR299" s="106">
        <f t="shared" si="754"/>
        <v>4.6240630821620998</v>
      </c>
      <c r="BS299" s="106">
        <f t="shared" si="754"/>
        <v>6.5237983638791297</v>
      </c>
      <c r="BT299" s="106">
        <f t="shared" ca="1" si="754"/>
        <v>38.683684054992121</v>
      </c>
      <c r="BU299" s="106">
        <f t="shared" ca="1" si="754"/>
        <v>77.033090803103249</v>
      </c>
      <c r="BV299" s="106">
        <f t="shared" ca="1" si="754"/>
        <v>13.339563695377276</v>
      </c>
      <c r="BW299" s="106">
        <f t="shared" ca="1" si="754"/>
        <v>7.6767788399378922</v>
      </c>
      <c r="BX299" s="106">
        <f t="shared" ca="1" si="754"/>
        <v>4.478268618257264</v>
      </c>
      <c r="BY299" s="106">
        <f t="shared" ca="1" si="754"/>
        <v>6.7156042492140244</v>
      </c>
      <c r="BZ299" s="106">
        <f t="shared" ca="1" si="754"/>
        <v>7.4565367282008577</v>
      </c>
      <c r="CA299" s="106">
        <f t="shared" ca="1" si="754"/>
        <v>8.2228753964128884</v>
      </c>
      <c r="CB299" s="106">
        <f t="shared" ca="1" si="754"/>
        <v>9.1925116193251952</v>
      </c>
      <c r="CC299" s="106">
        <f ca="1">CC45</f>
        <v>10.407873821712865</v>
      </c>
      <c r="CD299" s="106">
        <f ca="1">CD45</f>
        <v>11.953409578124408</v>
      </c>
      <c r="CE299" s="106">
        <f ca="1">CE45</f>
        <v>13.936694693872198</v>
      </c>
      <c r="CF299" s="106">
        <f ca="1">CF45</f>
        <v>16.496260829977039</v>
      </c>
      <c r="CG299" s="106">
        <f ca="1">CG45</f>
        <v>19.808174947775893</v>
      </c>
      <c r="CH299" s="141"/>
      <c r="CI299" s="159">
        <f t="shared" ref="CI299:CR303" si="755">BQ299-DA299</f>
        <v>0</v>
      </c>
      <c r="CJ299" s="159">
        <f t="shared" si="755"/>
        <v>0</v>
      </c>
      <c r="CK299" s="159">
        <f t="shared" si="755"/>
        <v>0</v>
      </c>
      <c r="CL299" s="159">
        <f t="shared" ca="1" si="755"/>
        <v>0</v>
      </c>
      <c r="CM299" s="159">
        <f t="shared" ca="1" si="755"/>
        <v>14.970108098067776</v>
      </c>
      <c r="CN299" s="159">
        <f t="shared" ca="1" si="755"/>
        <v>2.7056447445535472</v>
      </c>
      <c r="CO299" s="159">
        <f t="shared" ca="1" si="755"/>
        <v>-5.5031085861068085E-2</v>
      </c>
      <c r="CP299" s="159">
        <f t="shared" ca="1" si="755"/>
        <v>-0.55009456199575091</v>
      </c>
      <c r="CQ299" s="159">
        <f t="shared" ca="1" si="755"/>
        <v>-0.71824498021133554</v>
      </c>
      <c r="CR299" s="159">
        <f t="shared" ca="1" si="755"/>
        <v>-0.88552829239398889</v>
      </c>
      <c r="CS299" s="159">
        <f t="shared" ref="CS299:CY303" ca="1" si="756">CA299-DK299</f>
        <v>-0.46978927457845643</v>
      </c>
      <c r="CT299" s="159">
        <f t="shared" ca="1" si="756"/>
        <v>-0.18689435143648225</v>
      </c>
      <c r="CU299" s="159">
        <f t="shared" ca="1" si="756"/>
        <v>-0.58235077070434293</v>
      </c>
      <c r="CV299" s="159">
        <f t="shared" ca="1" si="756"/>
        <v>-0.85714358793789103</v>
      </c>
      <c r="CW299" s="159">
        <f t="shared" ca="1" si="756"/>
        <v>-1.1269284019096659</v>
      </c>
      <c r="CX299" s="159">
        <f t="shared" ca="1" si="756"/>
        <v>-1.4522880548810448</v>
      </c>
      <c r="CY299" s="159">
        <f t="shared" ca="1" si="756"/>
        <v>-1.8645788583676364</v>
      </c>
      <c r="CZ299" s="134"/>
      <c r="DA299" s="135">
        <v>21.195280710430264</v>
      </c>
      <c r="DB299" s="135">
        <v>4.6240630821620998</v>
      </c>
      <c r="DC299" s="135">
        <v>6.5237983638791297</v>
      </c>
      <c r="DD299" s="135">
        <v>38.683684054992121</v>
      </c>
      <c r="DE299" s="135">
        <v>62.062982705035473</v>
      </c>
      <c r="DF299" s="135">
        <v>10.633918950823729</v>
      </c>
      <c r="DG299" s="135">
        <v>7.7318099257989603</v>
      </c>
      <c r="DH299" s="135">
        <v>5.0283631802530149</v>
      </c>
      <c r="DI299" s="135">
        <v>7.43384922942536</v>
      </c>
      <c r="DJ299" s="135">
        <v>8.3420650205948466</v>
      </c>
      <c r="DK299" s="135">
        <v>8.6926646709913449</v>
      </c>
      <c r="DL299" s="135">
        <v>9.3794059707616775</v>
      </c>
      <c r="DM299" s="135">
        <v>10.990224592417208</v>
      </c>
      <c r="DN299" s="135">
        <v>12.810553166062299</v>
      </c>
      <c r="DO299" s="135">
        <v>15.063623095781864</v>
      </c>
      <c r="DP299" s="135">
        <v>17.948548884858084</v>
      </c>
      <c r="DQ299" s="135">
        <v>21.672753806143529</v>
      </c>
    </row>
    <row r="300" spans="1:121" s="123" customFormat="1">
      <c r="A300" s="107" t="s">
        <v>3096</v>
      </c>
      <c r="B300" s="107"/>
      <c r="C300" s="136" t="s">
        <v>1349</v>
      </c>
      <c r="D300" s="147"/>
      <c r="E300" s="107"/>
      <c r="F300" s="106" t="s">
        <v>1344</v>
      </c>
      <c r="G300" s="106">
        <f t="shared" ref="G300:AL300" si="757">((G90/F90)/(G203/F203)-1)*100</f>
        <v>0.13426423200857407</v>
      </c>
      <c r="H300" s="106">
        <f t="shared" si="757"/>
        <v>0.64330961995711089</v>
      </c>
      <c r="I300" s="106">
        <f t="shared" si="757"/>
        <v>17.192987810101435</v>
      </c>
      <c r="J300" s="106">
        <f t="shared" si="757"/>
        <v>3.8876158334320898</v>
      </c>
      <c r="K300" s="106">
        <f t="shared" si="757"/>
        <v>1.5861385222345259</v>
      </c>
      <c r="L300" s="106">
        <f t="shared" si="757"/>
        <v>4.3931522997048278</v>
      </c>
      <c r="M300" s="106">
        <f t="shared" si="757"/>
        <v>25.77915432898148</v>
      </c>
      <c r="N300" s="106">
        <f t="shared" si="757"/>
        <v>-5.1650745966717038</v>
      </c>
      <c r="O300" s="106">
        <f t="shared" si="757"/>
        <v>-4.5415955731358597</v>
      </c>
      <c r="P300" s="106">
        <f t="shared" si="757"/>
        <v>8.1257183163178759</v>
      </c>
      <c r="Q300" s="106">
        <f t="shared" si="757"/>
        <v>2.8244966851925346</v>
      </c>
      <c r="R300" s="106">
        <f t="shared" si="757"/>
        <v>13.705220094571224</v>
      </c>
      <c r="S300" s="106">
        <f t="shared" si="757"/>
        <v>-4.9484287419580664</v>
      </c>
      <c r="T300" s="106">
        <f t="shared" si="757"/>
        <v>2.5396126546449738</v>
      </c>
      <c r="U300" s="106">
        <f t="shared" si="757"/>
        <v>4.6632011859273792</v>
      </c>
      <c r="V300" s="106">
        <f t="shared" si="757"/>
        <v>0.75571474982853992</v>
      </c>
      <c r="W300" s="106">
        <f t="shared" si="757"/>
        <v>1.5134870247910159</v>
      </c>
      <c r="X300" s="106">
        <f t="shared" si="757"/>
        <v>17.61390521705659</v>
      </c>
      <c r="Y300" s="106">
        <f t="shared" si="757"/>
        <v>-4.3866587633935028</v>
      </c>
      <c r="Z300" s="106">
        <f t="shared" si="757"/>
        <v>1.5712349790351521</v>
      </c>
      <c r="AA300" s="106">
        <f t="shared" si="757"/>
        <v>21.455121098067622</v>
      </c>
      <c r="AB300" s="106">
        <f t="shared" si="757"/>
        <v>7.7455677182690641</v>
      </c>
      <c r="AC300" s="106">
        <f t="shared" si="757"/>
        <v>17.051380495856062</v>
      </c>
      <c r="AD300" s="106">
        <f t="shared" si="757"/>
        <v>6.536261775255392</v>
      </c>
      <c r="AE300" s="106">
        <f t="shared" si="757"/>
        <v>3.4431752066989674</v>
      </c>
      <c r="AF300" s="106">
        <f t="shared" si="757"/>
        <v>14.678301303855212</v>
      </c>
      <c r="AG300" s="106">
        <f t="shared" si="757"/>
        <v>21.554196390516033</v>
      </c>
      <c r="AH300" s="106">
        <f t="shared" si="757"/>
        <v>25.778184298035157</v>
      </c>
      <c r="AI300" s="106">
        <f t="shared" si="757"/>
        <v>3.0096245628503882</v>
      </c>
      <c r="AJ300" s="106">
        <f t="shared" si="757"/>
        <v>5.081909674891083E-2</v>
      </c>
      <c r="AK300" s="106">
        <f t="shared" si="757"/>
        <v>-9.1108580106102899E-2</v>
      </c>
      <c r="AL300" s="106">
        <f t="shared" si="757"/>
        <v>5.0965880605468028</v>
      </c>
      <c r="AM300" s="106">
        <f t="shared" ref="AM300:BR300" si="758">((AM90/AL90)/(AM203/AL203)-1)*100</f>
        <v>7.1057529875214298</v>
      </c>
      <c r="AN300" s="106">
        <f t="shared" si="758"/>
        <v>4.6529873604832739</v>
      </c>
      <c r="AO300" s="106">
        <f t="shared" si="758"/>
        <v>6.3817285811676561</v>
      </c>
      <c r="AP300" s="106">
        <f t="shared" si="758"/>
        <v>-4.1549733419440464</v>
      </c>
      <c r="AQ300" s="106">
        <f t="shared" si="758"/>
        <v>30.42229024182781</v>
      </c>
      <c r="AR300" s="106">
        <f t="shared" si="758"/>
        <v>24.816641108369787</v>
      </c>
      <c r="AS300" s="106">
        <f t="shared" si="758"/>
        <v>24.354660559321783</v>
      </c>
      <c r="AT300" s="106">
        <f t="shared" si="758"/>
        <v>261.22542718969299</v>
      </c>
      <c r="AU300" s="106">
        <f t="shared" si="758"/>
        <v>298.31984174899878</v>
      </c>
      <c r="AV300" s="106">
        <f t="shared" si="758"/>
        <v>97.66632065664578</v>
      </c>
      <c r="AW300" s="106">
        <f t="shared" si="758"/>
        <v>22.079511020313468</v>
      </c>
      <c r="AX300" s="106">
        <f t="shared" si="758"/>
        <v>128.08178909928967</v>
      </c>
      <c r="AY300" s="106">
        <f t="shared" si="758"/>
        <v>37.736644350239601</v>
      </c>
      <c r="AZ300" s="106">
        <f t="shared" si="758"/>
        <v>57.383992791910131</v>
      </c>
      <c r="BA300" s="106">
        <f t="shared" si="758"/>
        <v>28.71464077882213</v>
      </c>
      <c r="BB300" s="106">
        <f t="shared" si="758"/>
        <v>115.43582137024248</v>
      </c>
      <c r="BC300" s="106">
        <f t="shared" si="758"/>
        <v>12.802395731610883</v>
      </c>
      <c r="BD300" s="106">
        <f t="shared" si="758"/>
        <v>6.468819788521829</v>
      </c>
      <c r="BE300" s="106">
        <f ca="1">((BE90/BD90)/(BE203/BD203)-1)*100</f>
        <v>8.7896495434060196</v>
      </c>
      <c r="BF300" s="106">
        <f ca="1">((BF90/BE90)/(BF203/BE203)-1)*100</f>
        <v>15.093172291723489</v>
      </c>
      <c r="BG300" s="106">
        <f t="shared" si="758"/>
        <v>12.526711902636546</v>
      </c>
      <c r="BH300" s="106">
        <f t="shared" si="758"/>
        <v>7.7855788651119973</v>
      </c>
      <c r="BI300" s="106">
        <f t="shared" si="758"/>
        <v>25.62253614453298</v>
      </c>
      <c r="BJ300" s="106">
        <f t="shared" si="758"/>
        <v>4.1236536001866275</v>
      </c>
      <c r="BK300" s="106">
        <f t="shared" si="758"/>
        <v>5.7475723364077691</v>
      </c>
      <c r="BL300" s="106">
        <f t="shared" si="758"/>
        <v>7.3565603973410054</v>
      </c>
      <c r="BM300" s="106">
        <f t="shared" si="758"/>
        <v>6.6465630175247759</v>
      </c>
      <c r="BN300" s="106">
        <f t="shared" si="758"/>
        <v>-4.7560755966302048</v>
      </c>
      <c r="BO300" s="106">
        <f t="shared" si="758"/>
        <v>1.4675996107584188</v>
      </c>
      <c r="BP300" s="106">
        <f t="shared" si="758"/>
        <v>4.514613778705634</v>
      </c>
      <c r="BQ300" s="106">
        <f t="shared" si="758"/>
        <v>20.006242197253442</v>
      </c>
      <c r="BR300" s="106">
        <f t="shared" si="758"/>
        <v>25.565669700910277</v>
      </c>
      <c r="BS300" s="106">
        <f t="shared" ref="BS300:CB300" si="759">((BS90/BR90)/(BS203/BR203)-1)*100</f>
        <v>35.418392709196354</v>
      </c>
      <c r="BT300" s="106">
        <f t="shared" si="759"/>
        <v>0</v>
      </c>
      <c r="BU300" s="106">
        <f t="shared" ca="1" si="759"/>
        <v>25.292957432737097</v>
      </c>
      <c r="BV300" s="106">
        <f t="shared" ca="1" si="759"/>
        <v>18.400615738888803</v>
      </c>
      <c r="BW300" s="106">
        <f t="shared" ca="1" si="759"/>
        <v>18.264889891523993</v>
      </c>
      <c r="BX300" s="106">
        <f t="shared" ca="1" si="759"/>
        <v>9.3128861563408272</v>
      </c>
      <c r="BY300" s="106">
        <f t="shared" ca="1" si="759"/>
        <v>13.22638114636263</v>
      </c>
      <c r="BZ300" s="106">
        <f t="shared" ca="1" si="759"/>
        <v>14.468449285429251</v>
      </c>
      <c r="CA300" s="106">
        <f t="shared" ca="1" si="759"/>
        <v>15.629037201616391</v>
      </c>
      <c r="CB300" s="106">
        <f t="shared" ca="1" si="759"/>
        <v>17.070487248227483</v>
      </c>
      <c r="CC300" s="106">
        <f ca="1">((CC90/CB90)/(CC203/CB203)-1)*100</f>
        <v>18.764040721027197</v>
      </c>
      <c r="CD300" s="106">
        <f ca="1">((CD90/CC90)/(CD203/CC203)-1)*100</f>
        <v>20.797773147247977</v>
      </c>
      <c r="CE300" s="106">
        <f ca="1">((CE90/CD90)/(CE203/CD203)-1)*100</f>
        <v>23.265124724653429</v>
      </c>
      <c r="CF300" s="106">
        <f ca="1">((CF90/CE90)/(CF203/CE203)-1)*100</f>
        <v>26.27953320091645</v>
      </c>
      <c r="CG300" s="106">
        <f ca="1">((CG90/CF90)/(CG203/CF203)-1)*100</f>
        <v>29.98070177009604</v>
      </c>
      <c r="CH300" s="141"/>
      <c r="CI300" s="159">
        <f t="shared" si="755"/>
        <v>0</v>
      </c>
      <c r="CJ300" s="159">
        <f t="shared" si="755"/>
        <v>0</v>
      </c>
      <c r="CK300" s="159">
        <f t="shared" si="755"/>
        <v>0</v>
      </c>
      <c r="CL300" s="159">
        <f t="shared" si="755"/>
        <v>0</v>
      </c>
      <c r="CM300" s="159">
        <f t="shared" ca="1" si="755"/>
        <v>3.6675588830927595</v>
      </c>
      <c r="CN300" s="159">
        <f t="shared" ca="1" si="755"/>
        <v>4.1810516299693994</v>
      </c>
      <c r="CO300" s="159">
        <f t="shared" ca="1" si="755"/>
        <v>-1.4319161697475167</v>
      </c>
      <c r="CP300" s="159">
        <f t="shared" ca="1" si="755"/>
        <v>-2.2105825726125516</v>
      </c>
      <c r="CQ300" s="159">
        <f t="shared" ca="1" si="755"/>
        <v>-2.4953332553278482</v>
      </c>
      <c r="CR300" s="159">
        <f t="shared" ca="1" si="755"/>
        <v>-2.746304722040982</v>
      </c>
      <c r="CS300" s="159">
        <f t="shared" ca="1" si="756"/>
        <v>-1.5140652395221323</v>
      </c>
      <c r="CT300" s="159">
        <f t="shared" ca="1" si="756"/>
        <v>-0.90580740556132255</v>
      </c>
      <c r="CU300" s="159">
        <f t="shared" ca="1" si="756"/>
        <v>-1.8896113980631206</v>
      </c>
      <c r="CV300" s="159">
        <f t="shared" ca="1" si="756"/>
        <v>-2.3190403014317731</v>
      </c>
      <c r="CW300" s="159">
        <f t="shared" ca="1" si="756"/>
        <v>-2.6643280484285334</v>
      </c>
      <c r="CX300" s="159">
        <f t="shared" ca="1" si="756"/>
        <v>-3.0229296464923117</v>
      </c>
      <c r="CY300" s="159">
        <f t="shared" ca="1" si="756"/>
        <v>-3.4226455527720319</v>
      </c>
      <c r="CZ300" s="134"/>
      <c r="DA300" s="135">
        <v>20.006242197253442</v>
      </c>
      <c r="DB300" s="135">
        <v>25.565669700910277</v>
      </c>
      <c r="DC300" s="135">
        <v>35.418392709196354</v>
      </c>
      <c r="DD300" s="135">
        <v>0</v>
      </c>
      <c r="DE300" s="135">
        <v>21.625398549644338</v>
      </c>
      <c r="DF300" s="135">
        <v>14.219564108919403</v>
      </c>
      <c r="DG300" s="135">
        <v>19.696806061271509</v>
      </c>
      <c r="DH300" s="135">
        <v>11.523468728953379</v>
      </c>
      <c r="DI300" s="135">
        <v>15.721714401690479</v>
      </c>
      <c r="DJ300" s="135">
        <v>17.214754007470233</v>
      </c>
      <c r="DK300" s="135">
        <v>17.143102441138524</v>
      </c>
      <c r="DL300" s="135">
        <v>17.976294653788806</v>
      </c>
      <c r="DM300" s="135">
        <v>20.653652119090317</v>
      </c>
      <c r="DN300" s="135">
        <v>23.11681344867975</v>
      </c>
      <c r="DO300" s="135">
        <v>25.929452773081962</v>
      </c>
      <c r="DP300" s="135">
        <v>29.302462847408762</v>
      </c>
      <c r="DQ300" s="135">
        <v>33.403347322868072</v>
      </c>
    </row>
    <row r="301" spans="1:121" s="123" customFormat="1">
      <c r="A301" s="107" t="s">
        <v>2402</v>
      </c>
      <c r="B301" s="107"/>
      <c r="C301" s="136" t="s">
        <v>1349</v>
      </c>
      <c r="D301" s="147"/>
      <c r="E301" s="107"/>
      <c r="F301" s="106" t="s">
        <v>1344</v>
      </c>
      <c r="G301" s="106">
        <f t="shared" ref="G301:AL301" si="760">((G64/F64)/(G204/F204)-1)*100</f>
        <v>1.2183674456863525</v>
      </c>
      <c r="H301" s="106">
        <f t="shared" si="760"/>
        <v>-17.689383370237387</v>
      </c>
      <c r="I301" s="106">
        <f t="shared" si="760"/>
        <v>8.1133875731743252</v>
      </c>
      <c r="J301" s="106">
        <f t="shared" si="760"/>
        <v>2.1546542963380766</v>
      </c>
      <c r="K301" s="106">
        <f t="shared" si="760"/>
        <v>4.192975366687568</v>
      </c>
      <c r="L301" s="106">
        <f t="shared" si="760"/>
        <v>0.82289306996508049</v>
      </c>
      <c r="M301" s="106">
        <f t="shared" si="760"/>
        <v>-0.44574071670127058</v>
      </c>
      <c r="N301" s="106">
        <f t="shared" si="760"/>
        <v>5.2866679262533411</v>
      </c>
      <c r="O301" s="106">
        <f t="shared" si="760"/>
        <v>6.2712268686030415</v>
      </c>
      <c r="P301" s="106">
        <f t="shared" si="760"/>
        <v>7.6030566382945919</v>
      </c>
      <c r="Q301" s="106">
        <f t="shared" si="760"/>
        <v>3.1295200183219185</v>
      </c>
      <c r="R301" s="106">
        <f t="shared" si="760"/>
        <v>13.762367701850465</v>
      </c>
      <c r="S301" s="106">
        <f t="shared" si="760"/>
        <v>8.7761450917543726</v>
      </c>
      <c r="T301" s="106">
        <f t="shared" si="760"/>
        <v>10.589077315282115</v>
      </c>
      <c r="U301" s="106">
        <f t="shared" si="760"/>
        <v>8.201457006705958</v>
      </c>
      <c r="V301" s="106">
        <f t="shared" si="760"/>
        <v>9.661369868490155</v>
      </c>
      <c r="W301" s="106">
        <f t="shared" si="760"/>
        <v>12.515523367395964</v>
      </c>
      <c r="X301" s="106">
        <f t="shared" si="760"/>
        <v>11.522105864383203</v>
      </c>
      <c r="Y301" s="106">
        <f t="shared" si="760"/>
        <v>14.656522434739539</v>
      </c>
      <c r="Z301" s="106">
        <f t="shared" si="760"/>
        <v>14.775472768098874</v>
      </c>
      <c r="AA301" s="106">
        <f t="shared" si="760"/>
        <v>18.967549888234171</v>
      </c>
      <c r="AB301" s="106">
        <f t="shared" si="760"/>
        <v>19.958007844682825</v>
      </c>
      <c r="AC301" s="106">
        <f t="shared" si="760"/>
        <v>26.562082909485184</v>
      </c>
      <c r="AD301" s="106">
        <f t="shared" si="760"/>
        <v>18.508194474614402</v>
      </c>
      <c r="AE301" s="106">
        <f t="shared" si="760"/>
        <v>5.0956405908711755</v>
      </c>
      <c r="AF301" s="106">
        <f t="shared" si="760"/>
        <v>17.921563508281579</v>
      </c>
      <c r="AG301" s="106">
        <f t="shared" si="760"/>
        <v>15.958095271856321</v>
      </c>
      <c r="AH301" s="106">
        <f t="shared" si="760"/>
        <v>11.13254555277976</v>
      </c>
      <c r="AI301" s="106">
        <f t="shared" si="760"/>
        <v>8.6212183131116014</v>
      </c>
      <c r="AJ301" s="106">
        <f t="shared" si="760"/>
        <v>7.3688902112652999</v>
      </c>
      <c r="AK301" s="106">
        <f t="shared" si="760"/>
        <v>7.0388897127582783</v>
      </c>
      <c r="AL301" s="106">
        <f t="shared" si="760"/>
        <v>-1.0566153486140317</v>
      </c>
      <c r="AM301" s="106">
        <f t="shared" ref="AM301:BR301" si="761">((AM64/AL64)/(AM204/AL204)-1)*100</f>
        <v>-6.4520527523492905</v>
      </c>
      <c r="AN301" s="106">
        <f t="shared" si="761"/>
        <v>12.622057309859947</v>
      </c>
      <c r="AO301" s="106">
        <f t="shared" si="761"/>
        <v>18.012497339457511</v>
      </c>
      <c r="AP301" s="106">
        <f t="shared" si="761"/>
        <v>18.0729929544732</v>
      </c>
      <c r="AQ301" s="106">
        <f t="shared" si="761"/>
        <v>15.532233246859217</v>
      </c>
      <c r="AR301" s="106">
        <f t="shared" si="761"/>
        <v>29.254102127132619</v>
      </c>
      <c r="AS301" s="106">
        <f t="shared" si="761"/>
        <v>87.692225322934149</v>
      </c>
      <c r="AT301" s="106">
        <f t="shared" si="761"/>
        <v>574.77007585283297</v>
      </c>
      <c r="AU301" s="106">
        <f t="shared" si="761"/>
        <v>360.33039330650274</v>
      </c>
      <c r="AV301" s="106">
        <f t="shared" si="761"/>
        <v>28.604800720945445</v>
      </c>
      <c r="AW301" s="106">
        <f t="shared" si="761"/>
        <v>34.125073770962743</v>
      </c>
      <c r="AX301" s="106">
        <f t="shared" si="761"/>
        <v>19.241926982976977</v>
      </c>
      <c r="AY301" s="106">
        <f t="shared" si="761"/>
        <v>86.298278122690149</v>
      </c>
      <c r="AZ301" s="106">
        <f t="shared" si="761"/>
        <v>34.35300593918398</v>
      </c>
      <c r="BA301" s="106">
        <f t="shared" si="761"/>
        <v>64.067428366893807</v>
      </c>
      <c r="BB301" s="106">
        <f t="shared" si="761"/>
        <v>3.4747203191959342</v>
      </c>
      <c r="BC301" s="106">
        <f t="shared" si="761"/>
        <v>17.781773775167188</v>
      </c>
      <c r="BD301" s="106">
        <f t="shared" si="761"/>
        <v>15.253034010783949</v>
      </c>
      <c r="BE301" s="106">
        <f t="shared" si="761"/>
        <v>11.432202320793561</v>
      </c>
      <c r="BF301" s="106">
        <f t="shared" si="761"/>
        <v>7.4038108476406572</v>
      </c>
      <c r="BG301" s="106">
        <f t="shared" si="761"/>
        <v>7.945532188012594</v>
      </c>
      <c r="BH301" s="106">
        <f t="shared" si="761"/>
        <v>7.5741760756533827</v>
      </c>
      <c r="BI301" s="106">
        <f t="shared" si="761"/>
        <v>11.612861927773466</v>
      </c>
      <c r="BJ301" s="106">
        <f t="shared" si="761"/>
        <v>3.3082622426080732</v>
      </c>
      <c r="BK301" s="106">
        <f t="shared" si="761"/>
        <v>18.42497408405368</v>
      </c>
      <c r="BL301" s="106">
        <f t="shared" si="761"/>
        <v>9.4300442145200503</v>
      </c>
      <c r="BM301" s="106">
        <f t="shared" si="761"/>
        <v>2.0051578155090066</v>
      </c>
      <c r="BN301" s="106">
        <f t="shared" si="761"/>
        <v>0.44462419542417031</v>
      </c>
      <c r="BO301" s="106">
        <f t="shared" si="761"/>
        <v>3.0062861810888908</v>
      </c>
      <c r="BP301" s="106">
        <f t="shared" si="761"/>
        <v>26.659621489394492</v>
      </c>
      <c r="BQ301" s="106">
        <f t="shared" si="761"/>
        <v>18.912870056334707</v>
      </c>
      <c r="BR301" s="106">
        <f t="shared" si="761"/>
        <v>26.559178832197428</v>
      </c>
      <c r="BS301" s="106">
        <f t="shared" ref="BS301:CC301" si="762">((BS64/BR64)/(BS204/BR204)-1)*100</f>
        <v>4.5452414025996868</v>
      </c>
      <c r="BT301" s="106">
        <f t="shared" ca="1" si="762"/>
        <v>14.581826678138231</v>
      </c>
      <c r="BU301" s="106">
        <f t="shared" ca="1" si="762"/>
        <v>25.292957432737097</v>
      </c>
      <c r="BV301" s="106">
        <f t="shared" ca="1" si="762"/>
        <v>18.400615738888824</v>
      </c>
      <c r="BW301" s="106">
        <f t="shared" ca="1" si="762"/>
        <v>18.264889891523993</v>
      </c>
      <c r="BX301" s="106">
        <f t="shared" ca="1" si="762"/>
        <v>9.3128861563408272</v>
      </c>
      <c r="BY301" s="106">
        <f t="shared" ca="1" si="762"/>
        <v>13.226381146362653</v>
      </c>
      <c r="BZ301" s="106">
        <f t="shared" ca="1" si="762"/>
        <v>14.468449285429298</v>
      </c>
      <c r="CA301" s="106">
        <f t="shared" ca="1" si="762"/>
        <v>15.629037201616125</v>
      </c>
      <c r="CB301" s="106">
        <f t="shared" ca="1" si="762"/>
        <v>17.070487248227572</v>
      </c>
      <c r="CC301" s="106">
        <f t="shared" ca="1" si="762"/>
        <v>18.764040721027598</v>
      </c>
      <c r="CD301" s="106">
        <f ca="1">((CD64/CC64)/(CD204/CC204)-1)*100</f>
        <v>20.797773147247511</v>
      </c>
      <c r="CE301" s="106">
        <f ca="1">((CE64/CD64)/(CE204/CD204)-1)*100</f>
        <v>23.265124724653031</v>
      </c>
      <c r="CF301" s="106">
        <f ca="1">((CF64/CE64)/(CF204/CE204)-1)*100</f>
        <v>26.279533200917339</v>
      </c>
      <c r="CG301" s="106">
        <f ca="1">((CG64/CF64)/(CG204/CF204)-1)*100</f>
        <v>29.980701770095397</v>
      </c>
      <c r="CH301" s="141"/>
      <c r="CI301" s="159">
        <f t="shared" si="755"/>
        <v>0</v>
      </c>
      <c r="CJ301" s="159">
        <f t="shared" si="755"/>
        <v>0</v>
      </c>
      <c r="CK301" s="159">
        <f t="shared" si="755"/>
        <v>0</v>
      </c>
      <c r="CL301" s="159">
        <f t="shared" ca="1" si="755"/>
        <v>0</v>
      </c>
      <c r="CM301" s="159">
        <f t="shared" ca="1" si="755"/>
        <v>3.6675588830927595</v>
      </c>
      <c r="CN301" s="159">
        <f t="shared" ca="1" si="755"/>
        <v>4.1810516299694207</v>
      </c>
      <c r="CO301" s="159">
        <f t="shared" ca="1" si="755"/>
        <v>-1.4319161697474954</v>
      </c>
      <c r="CP301" s="159">
        <f t="shared" ca="1" si="755"/>
        <v>-2.2105825726126191</v>
      </c>
      <c r="CQ301" s="159">
        <f t="shared" ca="1" si="755"/>
        <v>-2.4953332553280685</v>
      </c>
      <c r="CR301" s="159">
        <f t="shared" ca="1" si="755"/>
        <v>-2.7463047220407795</v>
      </c>
      <c r="CS301" s="159">
        <f t="shared" ca="1" si="756"/>
        <v>-1.5140652395222425</v>
      </c>
      <c r="CT301" s="159">
        <f t="shared" ca="1" si="756"/>
        <v>-0.90580740556132255</v>
      </c>
      <c r="CU301" s="159">
        <f t="shared" ca="1" si="756"/>
        <v>-1.8896113980628044</v>
      </c>
      <c r="CV301" s="159">
        <f t="shared" ca="1" si="756"/>
        <v>-2.319040301431798</v>
      </c>
      <c r="CW301" s="159">
        <f t="shared" ca="1" si="756"/>
        <v>-2.664328048429109</v>
      </c>
      <c r="CX301" s="159">
        <f t="shared" ca="1" si="756"/>
        <v>-3.0229296464918889</v>
      </c>
      <c r="CY301" s="159">
        <f t="shared" ca="1" si="756"/>
        <v>-3.4226455527719857</v>
      </c>
      <c r="CZ301" s="134"/>
      <c r="DA301" s="135">
        <v>18.912870056334707</v>
      </c>
      <c r="DB301" s="135">
        <v>26.559178832197428</v>
      </c>
      <c r="DC301" s="135">
        <v>4.5452414025996868</v>
      </c>
      <c r="DD301" s="135">
        <v>14.581826678138231</v>
      </c>
      <c r="DE301" s="135">
        <v>21.625398549644338</v>
      </c>
      <c r="DF301" s="135">
        <v>14.219564108919403</v>
      </c>
      <c r="DG301" s="135">
        <v>19.696806061271488</v>
      </c>
      <c r="DH301" s="135">
        <v>11.523468728953446</v>
      </c>
      <c r="DI301" s="135">
        <v>15.721714401690722</v>
      </c>
      <c r="DJ301" s="135">
        <v>17.214754007470077</v>
      </c>
      <c r="DK301" s="135">
        <v>17.143102441138367</v>
      </c>
      <c r="DL301" s="135">
        <v>17.976294653788894</v>
      </c>
      <c r="DM301" s="135">
        <v>20.653652119090403</v>
      </c>
      <c r="DN301" s="135">
        <v>23.116813448679309</v>
      </c>
      <c r="DO301" s="135">
        <v>25.92945277308214</v>
      </c>
      <c r="DP301" s="135">
        <v>29.302462847409227</v>
      </c>
      <c r="DQ301" s="135">
        <v>33.403347322867383</v>
      </c>
    </row>
    <row r="302" spans="1:121" s="123" customFormat="1">
      <c r="A302" s="107" t="s">
        <v>2404</v>
      </c>
      <c r="B302" s="107"/>
      <c r="C302" s="136" t="s">
        <v>1349</v>
      </c>
      <c r="D302" s="147"/>
      <c r="E302" s="107"/>
      <c r="F302" s="106" t="s">
        <v>1344</v>
      </c>
      <c r="G302" s="106">
        <f t="shared" ref="G302:AL302" si="763">((1+G300/100)/(1+G36/100)-1)*100</f>
        <v>-0.85716412672418585</v>
      </c>
      <c r="H302" s="106">
        <f t="shared" si="763"/>
        <v>-1.3109294075006384</v>
      </c>
      <c r="I302" s="106">
        <f t="shared" si="763"/>
        <v>7.8132362558430923</v>
      </c>
      <c r="J302" s="106">
        <f t="shared" si="763"/>
        <v>3.8876158334320898</v>
      </c>
      <c r="K302" s="106">
        <f t="shared" si="763"/>
        <v>1.5861385222345259</v>
      </c>
      <c r="L302" s="106">
        <f t="shared" si="763"/>
        <v>1.7477117930846164</v>
      </c>
      <c r="M302" s="106">
        <f t="shared" si="763"/>
        <v>23.676651257602256</v>
      </c>
      <c r="N302" s="106">
        <f t="shared" si="763"/>
        <v>-7.4781215577284783</v>
      </c>
      <c r="O302" s="106">
        <f t="shared" si="763"/>
        <v>-6.1372621171443935</v>
      </c>
      <c r="P302" s="106">
        <f t="shared" si="763"/>
        <v>3.867164568989323</v>
      </c>
      <c r="Q302" s="106">
        <f t="shared" si="763"/>
        <v>0.51270448210414266</v>
      </c>
      <c r="R302" s="106">
        <f t="shared" si="763"/>
        <v>12.02484738381402</v>
      </c>
      <c r="S302" s="106">
        <f t="shared" si="763"/>
        <v>-11.579933713449364</v>
      </c>
      <c r="T302" s="106">
        <f t="shared" si="763"/>
        <v>2.5396126546449738</v>
      </c>
      <c r="U302" s="106">
        <f t="shared" si="763"/>
        <v>3.6269318672548234</v>
      </c>
      <c r="V302" s="106">
        <f t="shared" si="763"/>
        <v>-1.0258204815043803</v>
      </c>
      <c r="W302" s="106">
        <f t="shared" si="763"/>
        <v>2.126244491741458</v>
      </c>
      <c r="X302" s="106">
        <f t="shared" si="763"/>
        <v>14.857329313531832</v>
      </c>
      <c r="Y302" s="106">
        <f t="shared" si="763"/>
        <v>-14.630945324458489</v>
      </c>
      <c r="Z302" s="106">
        <f t="shared" si="763"/>
        <v>-12.363041433101685</v>
      </c>
      <c r="AA302" s="106">
        <f t="shared" si="763"/>
        <v>12.981507998202435</v>
      </c>
      <c r="AB302" s="106">
        <f t="shared" si="763"/>
        <v>-1.4221704315928063</v>
      </c>
      <c r="AC302" s="106">
        <f t="shared" si="763"/>
        <v>7.583989426338289</v>
      </c>
      <c r="AD302" s="106">
        <f t="shared" si="763"/>
        <v>-1.3553131710598243</v>
      </c>
      <c r="AE302" s="106">
        <f t="shared" si="763"/>
        <v>-9.2603726257026722</v>
      </c>
      <c r="AF302" s="106">
        <f t="shared" si="763"/>
        <v>1.3059198797307436</v>
      </c>
      <c r="AG302" s="106">
        <f t="shared" si="763"/>
        <v>11.825387663768193</v>
      </c>
      <c r="AH302" s="106">
        <f t="shared" si="763"/>
        <v>17.221047808047672</v>
      </c>
      <c r="AI302" s="106">
        <f t="shared" si="763"/>
        <v>-1.3317772386490567</v>
      </c>
      <c r="AJ302" s="106">
        <f t="shared" si="763"/>
        <v>-3.5189786916596688</v>
      </c>
      <c r="AK302" s="106">
        <f t="shared" si="763"/>
        <v>-9.9108282958576215</v>
      </c>
      <c r="AL302" s="106">
        <f t="shared" si="763"/>
        <v>-11.460330193305147</v>
      </c>
      <c r="AM302" s="106">
        <f t="shared" ref="AM302:BR302" si="764">((1+AM300/100)/(1+AM36/100)-1)*100</f>
        <v>-30.178779017261125</v>
      </c>
      <c r="AN302" s="106">
        <f t="shared" si="764"/>
        <v>-2.466926970658645</v>
      </c>
      <c r="AO302" s="106">
        <f t="shared" si="764"/>
        <v>5.5374291479837856</v>
      </c>
      <c r="AP302" s="106">
        <f t="shared" si="764"/>
        <v>-21.309501922778363</v>
      </c>
      <c r="AQ302" s="106">
        <f t="shared" si="764"/>
        <v>3.5097541601808002</v>
      </c>
      <c r="AR302" s="106">
        <f t="shared" si="764"/>
        <v>-13.140820383876283</v>
      </c>
      <c r="AS302" s="106">
        <f t="shared" si="764"/>
        <v>-48.930324205617339</v>
      </c>
      <c r="AT302" s="106">
        <f t="shared" si="764"/>
        <v>-22.897454175092214</v>
      </c>
      <c r="AU302" s="106">
        <f t="shared" si="764"/>
        <v>18.688868220798206</v>
      </c>
      <c r="AV302" s="106">
        <f t="shared" si="764"/>
        <v>99.059738828444893</v>
      </c>
      <c r="AW302" s="106">
        <f t="shared" si="764"/>
        <v>13.98647154090893</v>
      </c>
      <c r="AX302" s="106">
        <f t="shared" si="764"/>
        <v>92.149780201591966</v>
      </c>
      <c r="AY302" s="106">
        <f t="shared" si="764"/>
        <v>-30.715973666881492</v>
      </c>
      <c r="AZ302" s="106">
        <f t="shared" si="764"/>
        <v>-1.202766608970407</v>
      </c>
      <c r="BA302" s="106">
        <f t="shared" si="764"/>
        <v>-7.1322938103736462</v>
      </c>
      <c r="BB302" s="106">
        <f t="shared" si="764"/>
        <v>86.524520666876612</v>
      </c>
      <c r="BC302" s="106">
        <f t="shared" si="764"/>
        <v>-8.9569041714197777</v>
      </c>
      <c r="BD302" s="106">
        <f t="shared" si="764"/>
        <v>-2.8569162513487067</v>
      </c>
      <c r="BE302" s="106">
        <f t="shared" ca="1" si="764"/>
        <v>-0.64872187816801263</v>
      </c>
      <c r="BF302" s="106">
        <f t="shared" ca="1" si="764"/>
        <v>3.4080613582421204</v>
      </c>
      <c r="BG302" s="106">
        <f t="shared" si="764"/>
        <v>5.7581878784177976</v>
      </c>
      <c r="BH302" s="106">
        <f t="shared" si="764"/>
        <v>-6.0282660286730678</v>
      </c>
      <c r="BI302" s="106">
        <f t="shared" si="764"/>
        <v>25.748284428961952</v>
      </c>
      <c r="BJ302" s="106">
        <f t="shared" si="764"/>
        <v>-2.5971434984222386</v>
      </c>
      <c r="BK302" s="106">
        <f t="shared" si="764"/>
        <v>-10.154993766858311</v>
      </c>
      <c r="BL302" s="106">
        <f t="shared" si="764"/>
        <v>2.2443432355628623</v>
      </c>
      <c r="BM302" s="106">
        <f t="shared" si="764"/>
        <v>4.6580598798084294</v>
      </c>
      <c r="BN302" s="106">
        <f t="shared" si="764"/>
        <v>-7.8878874242071628</v>
      </c>
      <c r="BO302" s="106">
        <f t="shared" si="764"/>
        <v>-5.0817590170641473</v>
      </c>
      <c r="BP302" s="106">
        <f t="shared" si="764"/>
        <v>-32.788029724305069</v>
      </c>
      <c r="BQ302" s="106">
        <f t="shared" si="764"/>
        <v>-1.6342277071693112</v>
      </c>
      <c r="BR302" s="106">
        <f t="shared" si="764"/>
        <v>17.460869692151814</v>
      </c>
      <c r="BS302" s="106">
        <f t="shared" ref="BS302:CC302" si="765">((1+BS300/100)/(1+BS36/100)-1)*100</f>
        <v>29.711104127582711</v>
      </c>
      <c r="BT302" s="106">
        <f t="shared" ca="1" si="765"/>
        <v>-25.509270385447881</v>
      </c>
      <c r="BU302" s="106">
        <f t="shared" ca="1" si="765"/>
        <v>-17.019641890548741</v>
      </c>
      <c r="BV302" s="106">
        <f t="shared" ca="1" si="765"/>
        <v>1.7067468097821337</v>
      </c>
      <c r="BW302" s="106">
        <f t="shared" ca="1" si="765"/>
        <v>8.8438925222332987</v>
      </c>
      <c r="BX302" s="106">
        <f t="shared" ca="1" si="765"/>
        <v>4.0086443591961674</v>
      </c>
      <c r="BY302" s="106">
        <f t="shared" ca="1" si="765"/>
        <v>6.7250487160173344</v>
      </c>
      <c r="BZ302" s="106">
        <f t="shared" ca="1" si="765"/>
        <v>7.1465031675782775</v>
      </c>
      <c r="CA302" s="106">
        <f t="shared" ca="1" si="765"/>
        <v>7.4844776298014226</v>
      </c>
      <c r="CB302" s="106">
        <f t="shared" ca="1" si="765"/>
        <v>7.8988892382415132</v>
      </c>
      <c r="CC302" s="106">
        <f t="shared" ca="1" si="765"/>
        <v>8.3217250671508758</v>
      </c>
      <c r="CD302" s="106">
        <f ca="1">((1+CD300/100)/(1+CD36/100)-1)*100</f>
        <v>8.7561228535672164</v>
      </c>
      <c r="CE302" s="106">
        <f ca="1">((1+CE300/100)/(1+CE36/100)-1)*100</f>
        <v>9.1871442341577403</v>
      </c>
      <c r="CF302" s="106">
        <f ca="1">((1+CF300/100)/(1+CF36/100)-1)*100</f>
        <v>9.5871486415138882</v>
      </c>
      <c r="CG302" s="106">
        <f ca="1">((1+CG300/100)/(1+CG36/100)-1)*100</f>
        <v>9.9135821476825861</v>
      </c>
      <c r="CH302" s="141"/>
      <c r="CI302" s="159">
        <f t="shared" si="755"/>
        <v>0</v>
      </c>
      <c r="CJ302" s="159">
        <f t="shared" si="755"/>
        <v>0</v>
      </c>
      <c r="CK302" s="159">
        <f t="shared" si="755"/>
        <v>0</v>
      </c>
      <c r="CL302" s="159">
        <f t="shared" ca="1" si="755"/>
        <v>0</v>
      </c>
      <c r="CM302" s="159">
        <f t="shared" ca="1" si="755"/>
        <v>-4.5911034000781434</v>
      </c>
      <c r="CN302" s="159">
        <f t="shared" ca="1" si="755"/>
        <v>3.6956726606973689E-3</v>
      </c>
      <c r="CO302" s="159">
        <f t="shared" ca="1" si="755"/>
        <v>-1.6960608303814517</v>
      </c>
      <c r="CP302" s="159">
        <f t="shared" ca="1" si="755"/>
        <v>-1.7209998894096135</v>
      </c>
      <c r="CQ302" s="159">
        <f t="shared" ca="1" si="755"/>
        <v>-1.7343697994306462</v>
      </c>
      <c r="CR302" s="159">
        <f t="shared" ca="1" si="755"/>
        <v>-1.7710297226442471</v>
      </c>
      <c r="CS302" s="159">
        <f t="shared" ca="1" si="756"/>
        <v>-0.92306801612209721</v>
      </c>
      <c r="CT302" s="159">
        <f t="shared" ca="1" si="756"/>
        <v>-0.60318831722545507</v>
      </c>
      <c r="CU302" s="159">
        <f t="shared" ca="1" si="756"/>
        <v>-1.076121235759441</v>
      </c>
      <c r="CV302" s="159">
        <f t="shared" ca="1" si="756"/>
        <v>-1.1390882747957409</v>
      </c>
      <c r="CW302" s="159">
        <f t="shared" ca="1" si="756"/>
        <v>-1.1247602133511059</v>
      </c>
      <c r="CX302" s="159">
        <f t="shared" ca="1" si="756"/>
        <v>-1.0620518648914548</v>
      </c>
      <c r="CY302" s="159">
        <f t="shared" ca="1" si="756"/>
        <v>-0.9476996984859607</v>
      </c>
      <c r="CZ302" s="134"/>
      <c r="DA302" s="135">
        <v>-1.6342277071693112</v>
      </c>
      <c r="DB302" s="135">
        <v>17.460869692151814</v>
      </c>
      <c r="DC302" s="135">
        <v>29.711104127582711</v>
      </c>
      <c r="DD302" s="135">
        <v>-25.509270385447881</v>
      </c>
      <c r="DE302" s="135">
        <v>-12.428538490470597</v>
      </c>
      <c r="DF302" s="135">
        <v>1.7030511371214363</v>
      </c>
      <c r="DG302" s="135">
        <v>10.53995335261475</v>
      </c>
      <c r="DH302" s="135">
        <v>5.7296442486057808</v>
      </c>
      <c r="DI302" s="135">
        <v>8.4594185154479806</v>
      </c>
      <c r="DJ302" s="135">
        <v>8.9175328902225246</v>
      </c>
      <c r="DK302" s="135">
        <v>8.4075456459235198</v>
      </c>
      <c r="DL302" s="135">
        <v>8.5020775554669683</v>
      </c>
      <c r="DM302" s="135">
        <v>9.3978463029103168</v>
      </c>
      <c r="DN302" s="135">
        <v>9.8952111283629574</v>
      </c>
      <c r="DO302" s="135">
        <v>10.311904447508846</v>
      </c>
      <c r="DP302" s="135">
        <v>10.649200506405343</v>
      </c>
      <c r="DQ302" s="135">
        <v>10.861281846168547</v>
      </c>
    </row>
    <row r="303" spans="1:121" s="123" customFormat="1">
      <c r="A303" s="107" t="s">
        <v>2403</v>
      </c>
      <c r="B303" s="107"/>
      <c r="C303" s="136" t="s">
        <v>1349</v>
      </c>
      <c r="D303" s="147"/>
      <c r="E303" s="107"/>
      <c r="F303" s="106" t="s">
        <v>1344</v>
      </c>
      <c r="G303" s="106">
        <f t="shared" ref="G303:AL303" si="766">((1+G301/100)/(1+G36/100)-1)*100</f>
        <v>0.2162053917686757</v>
      </c>
      <c r="H303" s="106">
        <f t="shared" si="766"/>
        <v>-19.287647775486015</v>
      </c>
      <c r="I303" s="106">
        <f t="shared" si="766"/>
        <v>-0.53966184620577451</v>
      </c>
      <c r="J303" s="106">
        <f t="shared" si="766"/>
        <v>2.1546542963380766</v>
      </c>
      <c r="K303" s="106">
        <f t="shared" si="766"/>
        <v>4.192975366687568</v>
      </c>
      <c r="L303" s="106">
        <f t="shared" si="766"/>
        <v>-1.7320730312231247</v>
      </c>
      <c r="M303" s="106">
        <f t="shared" si="766"/>
        <v>-2.1098728777790177</v>
      </c>
      <c r="N303" s="106">
        <f t="shared" si="766"/>
        <v>2.7187004158569339</v>
      </c>
      <c r="O303" s="106">
        <f t="shared" si="766"/>
        <v>4.4948150133756748</v>
      </c>
      <c r="P303" s="106">
        <f t="shared" si="766"/>
        <v>3.3650880291014484</v>
      </c>
      <c r="Q303" s="106">
        <f t="shared" si="766"/>
        <v>0.81087000813482302</v>
      </c>
      <c r="R303" s="106">
        <f t="shared" si="766"/>
        <v>12.081150445172884</v>
      </c>
      <c r="S303" s="106">
        <f t="shared" si="766"/>
        <v>1.1871117132598918</v>
      </c>
      <c r="T303" s="106">
        <f t="shared" si="766"/>
        <v>10.589077315282115</v>
      </c>
      <c r="U303" s="106">
        <f t="shared" si="766"/>
        <v>7.1301554521841171</v>
      </c>
      <c r="V303" s="106">
        <f t="shared" si="766"/>
        <v>7.7223672578488722</v>
      </c>
      <c r="W303" s="106">
        <f t="shared" si="766"/>
        <v>13.194691516494927</v>
      </c>
      <c r="X303" s="106">
        <f t="shared" si="766"/>
        <v>8.9083065081867261</v>
      </c>
      <c r="Y303" s="106">
        <f t="shared" si="766"/>
        <v>2.3718950310174458</v>
      </c>
      <c r="Z303" s="106">
        <f t="shared" si="766"/>
        <v>-0.9702564554798343</v>
      </c>
      <c r="AA303" s="106">
        <f t="shared" si="766"/>
        <v>10.667488268124803</v>
      </c>
      <c r="AB303" s="106">
        <f t="shared" si="766"/>
        <v>9.7511508185570186</v>
      </c>
      <c r="AC303" s="106">
        <f t="shared" si="766"/>
        <v>16.32544385062975</v>
      </c>
      <c r="AD303" s="106">
        <f t="shared" si="766"/>
        <v>9.729809698717041</v>
      </c>
      <c r="AE303" s="106">
        <f t="shared" si="766"/>
        <v>-7.8108415869551191</v>
      </c>
      <c r="AF303" s="106">
        <f t="shared" si="766"/>
        <v>4.1709924984819402</v>
      </c>
      <c r="AG303" s="106">
        <f t="shared" si="766"/>
        <v>6.6771805628853098</v>
      </c>
      <c r="AH303" s="106">
        <f t="shared" si="766"/>
        <v>3.5718038702514221</v>
      </c>
      <c r="AI303" s="106">
        <f t="shared" si="766"/>
        <v>4.0433125604517173</v>
      </c>
      <c r="AJ303" s="106">
        <f t="shared" si="766"/>
        <v>3.5379847746049187</v>
      </c>
      <c r="AK303" s="106">
        <f t="shared" si="766"/>
        <v>-3.4816143257364485</v>
      </c>
      <c r="AL303" s="106">
        <f t="shared" si="766"/>
        <v>-16.644157833710228</v>
      </c>
      <c r="AM303" s="106">
        <f t="shared" ref="AM303:BR303" si="767">((1+AM301/100)/(1+AM36/100)-1)*100</f>
        <v>-39.016983541296803</v>
      </c>
      <c r="AN303" s="106">
        <f t="shared" si="767"/>
        <v>4.9599788535507505</v>
      </c>
      <c r="AO303" s="106">
        <f t="shared" si="767"/>
        <v>17.075890217715784</v>
      </c>
      <c r="AP303" s="106">
        <f t="shared" si="767"/>
        <v>-3.0599401030597662</v>
      </c>
      <c r="AQ303" s="106">
        <f t="shared" si="767"/>
        <v>-8.3077513913815793</v>
      </c>
      <c r="AR303" s="106">
        <f t="shared" si="767"/>
        <v>-10.052816891348215</v>
      </c>
      <c r="AS303" s="106">
        <f t="shared" si="767"/>
        <v>-22.91900397415435</v>
      </c>
      <c r="AT303" s="106">
        <f t="shared" si="767"/>
        <v>44.02776432290991</v>
      </c>
      <c r="AU303" s="106">
        <f t="shared" si="767"/>
        <v>37.166386563320252</v>
      </c>
      <c r="AV303" s="106">
        <f t="shared" si="767"/>
        <v>29.511380383630858</v>
      </c>
      <c r="AW303" s="106">
        <f t="shared" si="767"/>
        <v>25.233495584465683</v>
      </c>
      <c r="AX303" s="106">
        <f t="shared" si="767"/>
        <v>0.45655179694774617</v>
      </c>
      <c r="AY303" s="106">
        <f t="shared" si="767"/>
        <v>-6.2885924936166182</v>
      </c>
      <c r="AZ303" s="106">
        <f t="shared" si="767"/>
        <v>-15.660385474460782</v>
      </c>
      <c r="BA303" s="106">
        <f t="shared" si="767"/>
        <v>18.374767941481807</v>
      </c>
      <c r="BB303" s="106">
        <f t="shared" si="767"/>
        <v>-10.411497559137716</v>
      </c>
      <c r="BC303" s="106">
        <f t="shared" si="767"/>
        <v>-4.9380356939732089</v>
      </c>
      <c r="BD303" s="106">
        <f t="shared" si="767"/>
        <v>5.1578777470656423</v>
      </c>
      <c r="BE303" s="106">
        <f t="shared" si="767"/>
        <v>1.7645683294918335</v>
      </c>
      <c r="BF303" s="106">
        <f t="shared" si="767"/>
        <v>-3.5006191845097456</v>
      </c>
      <c r="BG303" s="106">
        <f t="shared" si="767"/>
        <v>1.4525678458764846</v>
      </c>
      <c r="BH303" s="106">
        <f t="shared" si="767"/>
        <v>-6.2125753481661938</v>
      </c>
      <c r="BI303" s="106">
        <f t="shared" si="767"/>
        <v>11.724586514287761</v>
      </c>
      <c r="BJ303" s="106">
        <f t="shared" si="767"/>
        <v>-3.3599043567744791</v>
      </c>
      <c r="BK303" s="106">
        <f t="shared" si="767"/>
        <v>0.61595079358851557</v>
      </c>
      <c r="BL303" s="106">
        <f t="shared" si="767"/>
        <v>4.2190897281143336</v>
      </c>
      <c r="BM303" s="106">
        <f t="shared" si="767"/>
        <v>0.10319707115702403</v>
      </c>
      <c r="BN303" s="106">
        <f t="shared" si="767"/>
        <v>-2.8581971030714026</v>
      </c>
      <c r="BO303" s="106">
        <f t="shared" si="767"/>
        <v>-3.6423889793368636</v>
      </c>
      <c r="BP303" s="106">
        <f t="shared" si="767"/>
        <v>-18.546867209392616</v>
      </c>
      <c r="BQ303" s="106">
        <f t="shared" si="767"/>
        <v>-2.5304343800535145</v>
      </c>
      <c r="BR303" s="106">
        <f t="shared" si="767"/>
        <v>18.390251480072429</v>
      </c>
      <c r="BS303" s="106">
        <f t="shared" ref="BS303:CC303" si="768">((1+BS301/100)/(1+BS36/100)-1)*100</f>
        <v>0.13912011743264507</v>
      </c>
      <c r="BT303" s="106">
        <f t="shared" ca="1" si="768"/>
        <v>-14.647161301773304</v>
      </c>
      <c r="BU303" s="106">
        <f t="shared" ca="1" si="768"/>
        <v>-17.019641890548741</v>
      </c>
      <c r="BV303" s="106">
        <f t="shared" ca="1" si="768"/>
        <v>1.7067468097821559</v>
      </c>
      <c r="BW303" s="106">
        <f t="shared" ca="1" si="768"/>
        <v>8.8438925222332987</v>
      </c>
      <c r="BX303" s="106">
        <f t="shared" ca="1" si="768"/>
        <v>4.0086443591961674</v>
      </c>
      <c r="BY303" s="106">
        <f t="shared" ca="1" si="768"/>
        <v>6.7250487160173567</v>
      </c>
      <c r="BZ303" s="106">
        <f t="shared" ca="1" si="768"/>
        <v>7.1465031675783219</v>
      </c>
      <c r="CA303" s="106">
        <f t="shared" ca="1" si="768"/>
        <v>7.4844776298011784</v>
      </c>
      <c r="CB303" s="106">
        <f t="shared" ca="1" si="768"/>
        <v>7.8988892382415798</v>
      </c>
      <c r="CC303" s="106">
        <f t="shared" ca="1" si="768"/>
        <v>8.3217250671512311</v>
      </c>
      <c r="CD303" s="106">
        <f ca="1">((1+CD301/100)/(1+CD36/100)-1)*100</f>
        <v>8.7561228535667937</v>
      </c>
      <c r="CE303" s="106">
        <f ca="1">((1+CE301/100)/(1+CE36/100)-1)*100</f>
        <v>9.187144234157385</v>
      </c>
      <c r="CF303" s="106">
        <f ca="1">((1+CF301/100)/(1+CF36/100)-1)*100</f>
        <v>9.5871486415146414</v>
      </c>
      <c r="CG303" s="106">
        <f ca="1">((1+CG301/100)/(1+CG36/100)-1)*100</f>
        <v>9.9135821476820318</v>
      </c>
      <c r="CH303" s="141"/>
      <c r="CI303" s="159">
        <f t="shared" si="755"/>
        <v>0</v>
      </c>
      <c r="CJ303" s="159">
        <f t="shared" si="755"/>
        <v>0</v>
      </c>
      <c r="CK303" s="159">
        <f t="shared" si="755"/>
        <v>0</v>
      </c>
      <c r="CL303" s="159">
        <f t="shared" ca="1" si="755"/>
        <v>0</v>
      </c>
      <c r="CM303" s="159">
        <f t="shared" ca="1" si="755"/>
        <v>-4.5911034000781434</v>
      </c>
      <c r="CN303" s="159">
        <f t="shared" ca="1" si="755"/>
        <v>3.6956726607195733E-3</v>
      </c>
      <c r="CO303" s="159">
        <f t="shared" ca="1" si="755"/>
        <v>-1.6960608303814286</v>
      </c>
      <c r="CP303" s="159">
        <f t="shared" ca="1" si="755"/>
        <v>-1.7209998894096579</v>
      </c>
      <c r="CQ303" s="159">
        <f t="shared" ca="1" si="755"/>
        <v>-1.734369799430846</v>
      </c>
      <c r="CR303" s="159">
        <f t="shared" ca="1" si="755"/>
        <v>-1.7710297226440677</v>
      </c>
      <c r="CS303" s="159">
        <f t="shared" ca="1" si="756"/>
        <v>-0.92306801612218514</v>
      </c>
      <c r="CT303" s="159">
        <f t="shared" ca="1" si="756"/>
        <v>-0.60318831722545596</v>
      </c>
      <c r="CU303" s="159">
        <f t="shared" ca="1" si="756"/>
        <v>-1.0761212357591745</v>
      </c>
      <c r="CV303" s="159">
        <f t="shared" ca="1" si="756"/>
        <v>-1.139088274795764</v>
      </c>
      <c r="CW303" s="159">
        <f t="shared" ca="1" si="756"/>
        <v>-1.1247602133516157</v>
      </c>
      <c r="CX303" s="159">
        <f t="shared" ca="1" si="756"/>
        <v>-1.0620518648911013</v>
      </c>
      <c r="CY303" s="159">
        <f t="shared" ca="1" si="756"/>
        <v>-0.9476996984859376</v>
      </c>
      <c r="CZ303" s="134"/>
      <c r="DA303" s="135">
        <v>-2.5304343800535145</v>
      </c>
      <c r="DB303" s="135">
        <v>18.390251480072429</v>
      </c>
      <c r="DC303" s="135">
        <v>0.13912011743264507</v>
      </c>
      <c r="DD303" s="135">
        <v>-14.647161301773304</v>
      </c>
      <c r="DE303" s="135">
        <v>-12.428538490470597</v>
      </c>
      <c r="DF303" s="135">
        <v>1.7030511371214363</v>
      </c>
      <c r="DG303" s="135">
        <v>10.539953352614727</v>
      </c>
      <c r="DH303" s="135">
        <v>5.7296442486058252</v>
      </c>
      <c r="DI303" s="135">
        <v>8.4594185154482027</v>
      </c>
      <c r="DJ303" s="135">
        <v>8.9175328902223896</v>
      </c>
      <c r="DK303" s="135">
        <v>8.4075456459233635</v>
      </c>
      <c r="DL303" s="135">
        <v>8.5020775554670358</v>
      </c>
      <c r="DM303" s="135">
        <v>9.3978463029104056</v>
      </c>
      <c r="DN303" s="135">
        <v>9.8952111283625577</v>
      </c>
      <c r="DO303" s="135">
        <v>10.311904447509001</v>
      </c>
      <c r="DP303" s="135">
        <v>10.649200506405743</v>
      </c>
      <c r="DQ303" s="135">
        <v>10.861281846167969</v>
      </c>
    </row>
    <row r="304" spans="1:121" s="123" customFormat="1">
      <c r="A304" s="226" t="s">
        <v>1322</v>
      </c>
      <c r="B304" s="217"/>
      <c r="C304" s="217"/>
      <c r="D304" s="102"/>
      <c r="E304" s="141"/>
      <c r="CH304" s="141"/>
      <c r="CI304" s="161"/>
      <c r="CJ304" s="161"/>
      <c r="CK304" s="161"/>
      <c r="CL304" s="161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81"/>
      <c r="DA304" s="135"/>
      <c r="DB304" s="135"/>
      <c r="DC304" s="135"/>
      <c r="DD304" s="135"/>
      <c r="DE304" s="135"/>
      <c r="DF304" s="135"/>
      <c r="DG304" s="135"/>
      <c r="DH304" s="135"/>
      <c r="DI304" s="135"/>
      <c r="DJ304" s="135"/>
      <c r="DK304" s="135"/>
      <c r="DL304" s="135"/>
      <c r="DM304" s="135"/>
      <c r="DN304" s="135"/>
      <c r="DO304" s="135"/>
      <c r="DP304" s="135"/>
      <c r="DQ304" s="135"/>
    </row>
    <row r="305" spans="1:121" s="123" customFormat="1">
      <c r="A305" s="107" t="s">
        <v>2143</v>
      </c>
      <c r="B305" s="107"/>
      <c r="C305" s="136" t="s">
        <v>1320</v>
      </c>
      <c r="D305" s="147"/>
      <c r="E305" s="107"/>
      <c r="F305" s="106">
        <f t="shared" ref="F305:AK305" si="769">(F124/F17)*100</f>
        <v>-0.39669683766504377</v>
      </c>
      <c r="G305" s="106">
        <f t="shared" si="769"/>
        <v>-0.73836126759039378</v>
      </c>
      <c r="H305" s="106">
        <f t="shared" si="769"/>
        <v>-5.9071202071421958</v>
      </c>
      <c r="I305" s="106">
        <f t="shared" si="769"/>
        <v>-6.9956014073696462</v>
      </c>
      <c r="J305" s="106">
        <f t="shared" si="769"/>
        <v>-7.7298977125881478</v>
      </c>
      <c r="K305" s="106">
        <f t="shared" si="769"/>
        <v>-13.895773711634678</v>
      </c>
      <c r="L305" s="106">
        <f t="shared" si="769"/>
        <v>-18.395510714962537</v>
      </c>
      <c r="M305" s="106">
        <f t="shared" si="769"/>
        <v>-18.742273742388022</v>
      </c>
      <c r="N305" s="106">
        <f t="shared" si="769"/>
        <v>-18.819481570525156</v>
      </c>
      <c r="O305" s="106">
        <f t="shared" si="769"/>
        <v>-18.284492909200704</v>
      </c>
      <c r="P305" s="106">
        <f t="shared" si="769"/>
        <v>-30.060320546107093</v>
      </c>
      <c r="Q305" s="106">
        <f t="shared" si="769"/>
        <v>-26.890483589428605</v>
      </c>
      <c r="R305" s="106">
        <f t="shared" si="769"/>
        <v>-7.9307002108772107</v>
      </c>
      <c r="S305" s="106">
        <f t="shared" si="769"/>
        <v>-7.0378623581797601</v>
      </c>
      <c r="T305" s="106">
        <f t="shared" si="769"/>
        <v>-8.2641767493568121</v>
      </c>
      <c r="U305" s="106">
        <f t="shared" si="769"/>
        <v>-7.3267890814797951</v>
      </c>
      <c r="V305" s="106">
        <f t="shared" si="769"/>
        <v>-6.5624136884673403</v>
      </c>
      <c r="W305" s="106">
        <f t="shared" si="769"/>
        <v>-4.7118825733290546</v>
      </c>
      <c r="X305" s="106">
        <f t="shared" si="769"/>
        <v>-4.1343461488552347</v>
      </c>
      <c r="Y305" s="106">
        <f t="shared" si="769"/>
        <v>-6.8192241749573625</v>
      </c>
      <c r="Z305" s="106">
        <f t="shared" si="769"/>
        <v>-5.226478637254341</v>
      </c>
      <c r="AA305" s="106">
        <f t="shared" si="769"/>
        <v>-7.8527617875676317</v>
      </c>
      <c r="AB305" s="106">
        <f t="shared" si="769"/>
        <v>-6.9487732893443042</v>
      </c>
      <c r="AC305" s="106">
        <f t="shared" si="769"/>
        <v>-13.747975170974245</v>
      </c>
      <c r="AD305" s="106">
        <f t="shared" si="769"/>
        <v>-6.5124621840024348</v>
      </c>
      <c r="AE305" s="106">
        <f t="shared" si="769"/>
        <v>-3.5814973694604708</v>
      </c>
      <c r="AF305" s="106">
        <f t="shared" si="769"/>
        <v>-6.5641376862697953</v>
      </c>
      <c r="AG305" s="106">
        <f t="shared" si="769"/>
        <v>-9.9677662161559528</v>
      </c>
      <c r="AH305" s="106">
        <f t="shared" si="769"/>
        <v>-13.018319863187443</v>
      </c>
      <c r="AI305" s="106">
        <f t="shared" si="769"/>
        <v>-12.930808813374083</v>
      </c>
      <c r="AJ305" s="106">
        <f t="shared" si="769"/>
        <v>-6.2636182801745877</v>
      </c>
      <c r="AK305" s="106">
        <f t="shared" si="769"/>
        <v>-2.0166616705945164</v>
      </c>
      <c r="AL305" s="106">
        <f t="shared" ref="AL305:BQ305" si="770">(AL124/AL17)*100</f>
        <v>-0.10270673768387759</v>
      </c>
      <c r="AM305" s="106">
        <f t="shared" si="770"/>
        <v>7.5415896717858244</v>
      </c>
      <c r="AN305" s="106">
        <f t="shared" si="770"/>
        <v>9.469163651786376</v>
      </c>
      <c r="AO305" s="106">
        <f t="shared" si="770"/>
        <v>1.0556085073369768</v>
      </c>
      <c r="AP305" s="106">
        <f t="shared" si="770"/>
        <v>-8.4963954685887202E-2</v>
      </c>
      <c r="AQ305" s="106">
        <f t="shared" si="770"/>
        <v>-3.7871010935058984</v>
      </c>
      <c r="AR305" s="106">
        <f t="shared" si="770"/>
        <v>-0.73817762399077924</v>
      </c>
      <c r="AS305" s="106">
        <f t="shared" si="770"/>
        <v>19.799012210179733</v>
      </c>
      <c r="AT305" s="106">
        <f t="shared" si="770"/>
        <v>13.187980674423189</v>
      </c>
      <c r="AU305" s="106">
        <f t="shared" si="770"/>
        <v>8.83146920175475</v>
      </c>
      <c r="AV305" s="106">
        <f t="shared" si="770"/>
        <v>-9.0485371685976297</v>
      </c>
      <c r="AW305" s="106">
        <f t="shared" si="770"/>
        <v>-7.2858226133324706</v>
      </c>
      <c r="AX305" s="106">
        <f t="shared" si="770"/>
        <v>-13.789260476211911</v>
      </c>
      <c r="AY305" s="106">
        <f t="shared" si="770"/>
        <v>-6.4972382939085094</v>
      </c>
      <c r="AZ305" s="106">
        <f t="shared" si="770"/>
        <v>-6.0095992811730792</v>
      </c>
      <c r="BA305" s="106">
        <f t="shared" si="770"/>
        <v>-14.607783787469153</v>
      </c>
      <c r="BB305" s="106">
        <f t="shared" si="770"/>
        <v>-14.611591890735049</v>
      </c>
      <c r="BC305" s="106">
        <f t="shared" ca="1" si="770"/>
        <v>-15.290213678597084</v>
      </c>
      <c r="BD305" s="106">
        <f t="shared" ca="1" si="770"/>
        <v>-11.481346832581444</v>
      </c>
      <c r="BE305" s="106">
        <f t="shared" ca="1" si="770"/>
        <v>-11.597685855803281</v>
      </c>
      <c r="BF305" s="106">
        <f t="shared" si="770"/>
        <v>8.460649639898417</v>
      </c>
      <c r="BG305" s="106">
        <f t="shared" si="770"/>
        <v>11.126620091805734</v>
      </c>
      <c r="BH305" s="106">
        <f t="shared" si="770"/>
        <v>9.2535030315216371</v>
      </c>
      <c r="BI305" s="106">
        <f t="shared" si="770"/>
        <v>2.8915412327041663</v>
      </c>
      <c r="BJ305" s="106">
        <f t="shared" si="770"/>
        <v>15.000966973066301</v>
      </c>
      <c r="BK305" s="106">
        <f t="shared" si="770"/>
        <v>8.2482543765568845</v>
      </c>
      <c r="BL305" s="106">
        <f t="shared" si="770"/>
        <v>2.7311986126323489</v>
      </c>
      <c r="BM305" s="106">
        <f t="shared" si="770"/>
        <v>-3.1884654466756981</v>
      </c>
      <c r="BN305" s="106">
        <f t="shared" si="770"/>
        <v>-6.6402757459234421</v>
      </c>
      <c r="BO305" s="106">
        <f t="shared" si="770"/>
        <v>-13.656069970043403</v>
      </c>
      <c r="BP305" s="106">
        <f t="shared" si="770"/>
        <v>-7.9511519318590045</v>
      </c>
      <c r="BQ305" s="106">
        <f t="shared" si="770"/>
        <v>-5.3116159094697663E-2</v>
      </c>
      <c r="BR305" s="106">
        <f t="shared" ref="BR305:CC305" si="771">(BR124/BR17)*100</f>
        <v>-3.4373169030458097</v>
      </c>
      <c r="BS305" s="106">
        <f t="shared" si="771"/>
        <v>-12.214347889162921</v>
      </c>
      <c r="BT305" s="106">
        <f t="shared" si="771"/>
        <v>10.156523091276634</v>
      </c>
      <c r="BU305" s="106">
        <f t="shared" ca="1" si="771"/>
        <v>11.576916057688182</v>
      </c>
      <c r="BV305" s="106">
        <f t="shared" ca="1" si="771"/>
        <v>8.8158788570263749</v>
      </c>
      <c r="BW305" s="106">
        <f t="shared" ca="1" si="771"/>
        <v>6.4891578220115678</v>
      </c>
      <c r="BX305" s="106">
        <f t="shared" ca="1" si="771"/>
        <v>4.6387214877219884</v>
      </c>
      <c r="BY305" s="106">
        <f t="shared" ca="1" si="771"/>
        <v>3.8113867205242262</v>
      </c>
      <c r="BZ305" s="106">
        <f t="shared" ca="1" si="771"/>
        <v>2.7934866738057176</v>
      </c>
      <c r="CA305" s="106">
        <f t="shared" ca="1" si="771"/>
        <v>1.667008520342774</v>
      </c>
      <c r="CB305" s="106">
        <f t="shared" ca="1" si="771"/>
        <v>0.4575780265245033</v>
      </c>
      <c r="CC305" s="106">
        <f t="shared" ca="1" si="771"/>
        <v>-0.80142753620988882</v>
      </c>
      <c r="CD305" s="106">
        <f ca="1">(CD124/CD17)*100</f>
        <v>-2.0625837019981015</v>
      </c>
      <c r="CE305" s="106">
        <f ca="1">(CE124/CE17)*100</f>
        <v>-3.2608167901941076</v>
      </c>
      <c r="CF305" s="106">
        <f ca="1">(CF124/CF17)*100</f>
        <v>-4.31225263744422</v>
      </c>
      <c r="CG305" s="106">
        <f ca="1">(CG124/CG17)*100</f>
        <v>-5.1188514377588294</v>
      </c>
      <c r="CH305" s="141"/>
      <c r="CI305" s="159">
        <f t="shared" ref="CI305:CI314" si="772">BQ305-DA305</f>
        <v>0</v>
      </c>
      <c r="CJ305" s="159">
        <f t="shared" ref="CJ305:CJ314" si="773">BR305-DB305</f>
        <v>0</v>
      </c>
      <c r="CK305" s="159">
        <f t="shared" ref="CK305:CK314" si="774">BS305-DC305</f>
        <v>0</v>
      </c>
      <c r="CL305" s="159">
        <f t="shared" ref="CL305:CL314" si="775">BT305-DD305</f>
        <v>0</v>
      </c>
      <c r="CM305" s="159">
        <f t="shared" ref="CM305:CM314" ca="1" si="776">BU305-DE305</f>
        <v>5.1620473195854091</v>
      </c>
      <c r="CN305" s="159">
        <f t="shared" ref="CN305:CN314" ca="1" si="777">BV305-DF305</f>
        <v>3.5363687002228446</v>
      </c>
      <c r="CO305" s="159">
        <f t="shared" ref="CO305:CO314" ca="1" si="778">BW305-DG305</f>
        <v>2.5180764927838601</v>
      </c>
      <c r="CP305" s="159">
        <f t="shared" ref="CP305:CP314" ca="1" si="779">BX305-DH305</f>
        <v>1.8068848800002866</v>
      </c>
      <c r="CQ305" s="159">
        <f t="shared" ref="CQ305:CQ314" ca="1" si="780">BY305-DI305</f>
        <v>1.1836284456705064</v>
      </c>
      <c r="CR305" s="159">
        <f t="shared" ref="CR305:CR314" ca="1" si="781">BZ305-DJ305</f>
        <v>-0.87087227473610485</v>
      </c>
      <c r="CS305" s="159">
        <f t="shared" ref="CS305:CS314" ca="1" si="782">CA305-DK305</f>
        <v>-1.3329660166424786</v>
      </c>
      <c r="CT305" s="159">
        <f t="shared" ref="CT305:CT314" ca="1" si="783">CB305-DL305</f>
        <v>-1.6740615626140638</v>
      </c>
      <c r="CU305" s="159">
        <f t="shared" ref="CU305:CU314" ca="1" si="784">CC305-DM305</f>
        <v>-1.9102957771638329</v>
      </c>
      <c r="CV305" s="159">
        <f t="shared" ref="CV305:CV314" ca="1" si="785">CD305-DN305</f>
        <v>-2.0603811902720124</v>
      </c>
      <c r="CW305" s="159">
        <f t="shared" ref="CW305:CW314" ca="1" si="786">CE305-DO305</f>
        <v>-2.1377192783223915</v>
      </c>
      <c r="CX305" s="159">
        <f t="shared" ref="CX305:CX314" ca="1" si="787">CF305-DP305</f>
        <v>-2.1490864851443208</v>
      </c>
      <c r="CY305" s="159">
        <f t="shared" ref="CY305:CY314" ca="1" si="788">CG305-DQ305</f>
        <v>-2.1003870396145778</v>
      </c>
      <c r="CZ305" s="134"/>
      <c r="DA305" s="135">
        <v>-5.3116159094697663E-2</v>
      </c>
      <c r="DB305" s="135">
        <v>-3.4373169030458097</v>
      </c>
      <c r="DC305" s="135">
        <v>-12.214347889162921</v>
      </c>
      <c r="DD305" s="135">
        <v>10.156523091276634</v>
      </c>
      <c r="DE305" s="135">
        <v>6.4148687381027729</v>
      </c>
      <c r="DF305" s="135">
        <v>5.2795101568035303</v>
      </c>
      <c r="DG305" s="135">
        <v>3.9710813292277076</v>
      </c>
      <c r="DH305" s="135">
        <v>2.8318366077217019</v>
      </c>
      <c r="DI305" s="135">
        <v>2.6277582748537198</v>
      </c>
      <c r="DJ305" s="135">
        <v>3.6643589485418224</v>
      </c>
      <c r="DK305" s="135">
        <v>2.9999745369852526</v>
      </c>
      <c r="DL305" s="135">
        <v>2.1316395891385671</v>
      </c>
      <c r="DM305" s="135">
        <v>1.1088682409539441</v>
      </c>
      <c r="DN305" s="135">
        <v>-2.2025117260889371E-3</v>
      </c>
      <c r="DO305" s="135">
        <v>-1.1230975118717164</v>
      </c>
      <c r="DP305" s="135">
        <v>-2.1631661522998993</v>
      </c>
      <c r="DQ305" s="135">
        <v>-3.0184643981442516</v>
      </c>
    </row>
    <row r="306" spans="1:121" s="123" customFormat="1">
      <c r="A306" s="107" t="s">
        <v>2406</v>
      </c>
      <c r="B306" s="141"/>
      <c r="C306" s="136" t="s">
        <v>1579</v>
      </c>
      <c r="D306" s="102"/>
      <c r="E306" s="141"/>
      <c r="F306" s="123">
        <f t="shared" ref="F306:BF306" si="789">+F161</f>
        <v>0</v>
      </c>
      <c r="G306" s="123">
        <f t="shared" si="789"/>
        <v>0</v>
      </c>
      <c r="H306" s="123">
        <f t="shared" si="789"/>
        <v>0</v>
      </c>
      <c r="I306" s="123">
        <f t="shared" si="789"/>
        <v>2.8463499999999999E-2</v>
      </c>
      <c r="J306" s="123">
        <f t="shared" si="789"/>
        <v>2.8463499999999999E-2</v>
      </c>
      <c r="K306" s="123">
        <f t="shared" si="789"/>
        <v>3.6757499999999999E-2</v>
      </c>
      <c r="L306" s="123">
        <f t="shared" si="789"/>
        <v>3.2421999999999999E-2</v>
      </c>
      <c r="M306" s="123">
        <f t="shared" si="789"/>
        <v>3.0536999999999998E-2</v>
      </c>
      <c r="N306" s="123">
        <f t="shared" si="789"/>
        <v>2.9783E-2</v>
      </c>
      <c r="O306" s="123">
        <f t="shared" si="789"/>
        <v>3.3741499999999994E-2</v>
      </c>
      <c r="P306" s="123">
        <f t="shared" si="789"/>
        <v>3.7699999999999997E-2</v>
      </c>
      <c r="Q306" s="123">
        <f t="shared" si="789"/>
        <v>4.6559499999999997E-2</v>
      </c>
      <c r="R306" s="123">
        <f t="shared" si="789"/>
        <v>5.0894999999999996E-2</v>
      </c>
      <c r="S306" s="123">
        <f t="shared" si="789"/>
        <v>5.1083500000000004E-2</v>
      </c>
      <c r="T306" s="123">
        <f t="shared" si="789"/>
        <v>5.2402999999999998E-2</v>
      </c>
      <c r="U306" s="123">
        <f t="shared" si="789"/>
        <v>6.1262499999999998E-2</v>
      </c>
      <c r="V306" s="123">
        <f t="shared" si="789"/>
        <v>6.9933499999999996E-2</v>
      </c>
      <c r="W306" s="123">
        <f t="shared" si="789"/>
        <v>7.5965499999999991E-2</v>
      </c>
      <c r="X306" s="123">
        <f t="shared" si="789"/>
        <v>7.9611000000000001E-2</v>
      </c>
      <c r="Y306" s="123">
        <f t="shared" si="789"/>
        <v>0.10585049999999999</v>
      </c>
      <c r="Z306" s="123">
        <f t="shared" si="789"/>
        <v>0.12477150000000001</v>
      </c>
      <c r="AA306" s="123">
        <f t="shared" si="789"/>
        <v>0.16529099999999999</v>
      </c>
      <c r="AB306" s="123">
        <f t="shared" si="789"/>
        <v>0.19706399999999999</v>
      </c>
      <c r="AC306" s="123">
        <f t="shared" si="789"/>
        <v>0.16975349999999997</v>
      </c>
      <c r="AD306" s="123">
        <f t="shared" si="789"/>
        <v>0.21973349999999997</v>
      </c>
      <c r="AE306" s="123">
        <f t="shared" si="789"/>
        <v>0.28131599999999995</v>
      </c>
      <c r="AF306" s="123">
        <f t="shared" si="789"/>
        <v>0.32469150000000002</v>
      </c>
      <c r="AG306" s="123">
        <f t="shared" si="789"/>
        <v>0.35664299999999999</v>
      </c>
      <c r="AH306" s="123">
        <f t="shared" si="789"/>
        <v>0.30255749999999998</v>
      </c>
      <c r="AI306" s="123">
        <f t="shared" si="789"/>
        <v>0.1336965</v>
      </c>
      <c r="AJ306" s="123">
        <f t="shared" si="789"/>
        <v>6.7294500000000007E-2</v>
      </c>
      <c r="AK306" s="123">
        <f t="shared" si="789"/>
        <v>7.5893580000000016E-2</v>
      </c>
      <c r="AL306" s="123">
        <f t="shared" si="789"/>
        <v>9.3977730000000009E-2</v>
      </c>
      <c r="AM306" s="123">
        <f t="shared" si="789"/>
        <v>0.13033272000000001</v>
      </c>
      <c r="AN306" s="123">
        <f t="shared" si="789"/>
        <v>0.10781473499999999</v>
      </c>
      <c r="AO306" s="123">
        <f t="shared" si="789"/>
        <v>0.122669505</v>
      </c>
      <c r="AP306" s="123">
        <f t="shared" si="789"/>
        <v>0.18500096999999999</v>
      </c>
      <c r="AQ306" s="123">
        <f t="shared" si="789"/>
        <v>2.2706460000000001E-2</v>
      </c>
      <c r="AR306" s="123">
        <f t="shared" si="789"/>
        <v>1.6796955000000002E-2</v>
      </c>
      <c r="AS306" s="123">
        <f t="shared" si="789"/>
        <v>0.24306555000000002</v>
      </c>
      <c r="AT306" s="123">
        <f t="shared" si="789"/>
        <v>3.1208451750000004</v>
      </c>
      <c r="AU306" s="123">
        <f t="shared" si="789"/>
        <v>74.180992579999995</v>
      </c>
      <c r="AV306" s="123">
        <f t="shared" si="789"/>
        <v>59.975377700000003</v>
      </c>
      <c r="AW306" s="123">
        <f t="shared" si="789"/>
        <v>51.973598450000004</v>
      </c>
      <c r="AX306" s="123">
        <f t="shared" si="789"/>
        <v>24.619079599999999</v>
      </c>
      <c r="AY306" s="123">
        <f t="shared" si="789"/>
        <v>6.7830012000000011</v>
      </c>
      <c r="AZ306" s="123">
        <f t="shared" si="789"/>
        <v>9.0240504000000019</v>
      </c>
      <c r="BA306" s="123">
        <f t="shared" si="789"/>
        <v>208.94141417500001</v>
      </c>
      <c r="BB306" s="123">
        <f t="shared" si="789"/>
        <v>207.6439365</v>
      </c>
      <c r="BC306" s="123">
        <f t="shared" si="789"/>
        <v>219.94920675</v>
      </c>
      <c r="BD306" s="123">
        <f t="shared" si="789"/>
        <v>310.37754749999999</v>
      </c>
      <c r="BE306" s="123">
        <f>+BE161</f>
        <v>381.68423250000001</v>
      </c>
      <c r="BF306" s="123">
        <f t="shared" si="789"/>
        <v>642</v>
      </c>
      <c r="BG306" s="123">
        <f t="shared" ref="BG306:BO306" si="790">+BG161</f>
        <v>1088.9000000000001</v>
      </c>
      <c r="BH306" s="123">
        <f t="shared" si="790"/>
        <v>1632.7</v>
      </c>
      <c r="BI306" s="123">
        <f t="shared" si="790"/>
        <v>1779.3</v>
      </c>
      <c r="BJ306" s="123">
        <f t="shared" si="790"/>
        <v>1871.7</v>
      </c>
      <c r="BK306" s="123">
        <f t="shared" si="790"/>
        <v>2655.9</v>
      </c>
      <c r="BL306" s="123">
        <f t="shared" si="790"/>
        <v>3277.5</v>
      </c>
      <c r="BM306" s="123">
        <f t="shared" si="790"/>
        <v>2530.6</v>
      </c>
      <c r="BN306" s="123">
        <f t="shared" si="790"/>
        <v>2031.5</v>
      </c>
      <c r="BO306" s="123">
        <f t="shared" si="790"/>
        <v>1307.9000000000001</v>
      </c>
      <c r="BP306" s="123">
        <f t="shared" ref="BP306:CB306" si="791">+BP161</f>
        <v>2801.1</v>
      </c>
      <c r="BQ306" s="123">
        <f t="shared" si="791"/>
        <v>3138.6</v>
      </c>
      <c r="BR306" s="123">
        <f t="shared" si="791"/>
        <v>4295.8999999999996</v>
      </c>
      <c r="BS306" s="123">
        <f t="shared" si="791"/>
        <v>4790</v>
      </c>
      <c r="BT306" s="123">
        <f t="shared" si="791"/>
        <v>7992</v>
      </c>
      <c r="BU306" s="123">
        <f t="shared" ca="1" si="791"/>
        <v>14217.745584575219</v>
      </c>
      <c r="BV306" s="123">
        <f t="shared" ca="1" si="791"/>
        <v>15542.522327761772</v>
      </c>
      <c r="BW306" s="123">
        <f t="shared" ca="1" si="791"/>
        <v>16030.97127963518</v>
      </c>
      <c r="BX306" s="123">
        <f t="shared" ca="1" si="791"/>
        <v>15661.256936635928</v>
      </c>
      <c r="BY306" s="123">
        <f t="shared" ca="1" si="791"/>
        <v>15025.857675953146</v>
      </c>
      <c r="BZ306" s="123">
        <f t="shared" ca="1" si="791"/>
        <v>13902.579244050259</v>
      </c>
      <c r="CA306" s="123">
        <f t="shared" ca="1" si="791"/>
        <v>12052.371363764534</v>
      </c>
      <c r="CB306" s="123">
        <f t="shared" ca="1" si="791"/>
        <v>9167.5165450596978</v>
      </c>
      <c r="CC306" s="123">
        <f ca="1">+CC161</f>
        <v>4845.8419081356869</v>
      </c>
      <c r="CD306" s="123">
        <f ca="1">+CD161</f>
        <v>-1441.3679767483309</v>
      </c>
      <c r="CE306" s="123">
        <f ca="1">+CE161</f>
        <v>-10392.110961701612</v>
      </c>
      <c r="CF306" s="123">
        <f ca="1">+CF161</f>
        <v>-22929.324478592669</v>
      </c>
      <c r="CG306" s="123">
        <f ca="1">+CG161</f>
        <v>-40270.930003350964</v>
      </c>
      <c r="CH306" s="141"/>
      <c r="CI306" s="106">
        <f t="shared" si="772"/>
        <v>0</v>
      </c>
      <c r="CJ306" s="106">
        <f t="shared" si="773"/>
        <v>0</v>
      </c>
      <c r="CK306" s="106">
        <f t="shared" si="774"/>
        <v>0</v>
      </c>
      <c r="CL306" s="106">
        <f t="shared" si="775"/>
        <v>0</v>
      </c>
      <c r="CM306" s="106">
        <f t="shared" ca="1" si="776"/>
        <v>1590.9041506636331</v>
      </c>
      <c r="CN306" s="106">
        <f t="shared" ca="1" si="777"/>
        <v>1234.4013854125114</v>
      </c>
      <c r="CO306" s="106">
        <f t="shared" ca="1" si="778"/>
        <v>448.02723169271121</v>
      </c>
      <c r="CP306" s="106">
        <f t="shared" ca="1" si="779"/>
        <v>-718.12091904981025</v>
      </c>
      <c r="CQ306" s="106">
        <f t="shared" ca="1" si="780"/>
        <v>-2231.5285820282916</v>
      </c>
      <c r="CR306" s="106">
        <f t="shared" ca="1" si="781"/>
        <v>-5246.1294940533808</v>
      </c>
      <c r="CS306" s="106">
        <f t="shared" ca="1" si="782"/>
        <v>-8813.5209227715568</v>
      </c>
      <c r="CT306" s="106">
        <f t="shared" ca="1" si="783"/>
        <v>-12942.27798498081</v>
      </c>
      <c r="CU306" s="106">
        <f t="shared" ca="1" si="784"/>
        <v>-17654.203120191141</v>
      </c>
      <c r="CV306" s="106">
        <f t="shared" ca="1" si="785"/>
        <v>-22970.577226376186</v>
      </c>
      <c r="CW306" s="106">
        <f t="shared" ca="1" si="786"/>
        <v>-28910.89559507812</v>
      </c>
      <c r="CX306" s="106">
        <f t="shared" ca="1" si="787"/>
        <v>-35483.003829306908</v>
      </c>
      <c r="CY306" s="106">
        <f t="shared" ca="1" si="788"/>
        <v>-42676.835395863651</v>
      </c>
      <c r="CZ306" s="134"/>
      <c r="DA306" s="135">
        <v>3138.6</v>
      </c>
      <c r="DB306" s="135">
        <v>4295.8999999999996</v>
      </c>
      <c r="DC306" s="135">
        <v>4790</v>
      </c>
      <c r="DD306" s="135">
        <v>7992</v>
      </c>
      <c r="DE306" s="135">
        <v>12626.841433911586</v>
      </c>
      <c r="DF306" s="135">
        <v>14308.12094234926</v>
      </c>
      <c r="DG306" s="135">
        <v>15582.944047942468</v>
      </c>
      <c r="DH306" s="135">
        <v>16379.377855685738</v>
      </c>
      <c r="DI306" s="135">
        <v>17257.386257981438</v>
      </c>
      <c r="DJ306" s="135">
        <v>19148.70873810364</v>
      </c>
      <c r="DK306" s="135">
        <v>20865.892286536091</v>
      </c>
      <c r="DL306" s="135">
        <v>22109.794530040508</v>
      </c>
      <c r="DM306" s="135">
        <v>22500.045028326829</v>
      </c>
      <c r="DN306" s="135">
        <v>21529.209249627856</v>
      </c>
      <c r="DO306" s="135">
        <v>18518.784633376508</v>
      </c>
      <c r="DP306" s="135">
        <v>12553.679350714239</v>
      </c>
      <c r="DQ306" s="135">
        <v>2405.9053925126882</v>
      </c>
    </row>
    <row r="307" spans="1:121" s="123" customFormat="1" ht="14.25" customHeight="1">
      <c r="A307" s="107" t="s">
        <v>2407</v>
      </c>
      <c r="B307" s="141"/>
      <c r="C307" s="158" t="s">
        <v>1747</v>
      </c>
      <c r="D307" s="102"/>
      <c r="E307" s="141"/>
      <c r="F307" s="161"/>
      <c r="G307" s="161"/>
      <c r="H307" s="161"/>
      <c r="I307" s="161">
        <f t="shared" ref="I307:AN307" si="792">+I161/(I16/12)</f>
        <v>4.2168148954924147</v>
      </c>
      <c r="J307" s="161">
        <f t="shared" si="792"/>
        <v>4.3017884079313538</v>
      </c>
      <c r="K307" s="161">
        <f t="shared" si="792"/>
        <v>4.5379631054399621</v>
      </c>
      <c r="L307" s="161">
        <f t="shared" si="792"/>
        <v>3.4188400215924264</v>
      </c>
      <c r="M307" s="161">
        <f t="shared" si="792"/>
        <v>3.1948037484355054</v>
      </c>
      <c r="N307" s="161">
        <f t="shared" si="792"/>
        <v>3.0339218290708718</v>
      </c>
      <c r="O307" s="161">
        <f t="shared" si="792"/>
        <v>3.1731817849791941</v>
      </c>
      <c r="P307" s="161">
        <f t="shared" si="792"/>
        <v>2.6150288080331916</v>
      </c>
      <c r="Q307" s="161">
        <f t="shared" si="792"/>
        <v>2.8090196957252731</v>
      </c>
      <c r="R307" s="161">
        <f t="shared" si="792"/>
        <v>3.0876642634648785</v>
      </c>
      <c r="S307" s="161">
        <f t="shared" si="792"/>
        <v>2.7625146450497797</v>
      </c>
      <c r="T307" s="161">
        <f t="shared" si="792"/>
        <v>2.8518638684878308</v>
      </c>
      <c r="U307" s="161">
        <f t="shared" si="792"/>
        <v>3.0079787633115758</v>
      </c>
      <c r="V307" s="161">
        <f t="shared" si="792"/>
        <v>3.1981782740371933</v>
      </c>
      <c r="W307" s="161">
        <f t="shared" si="792"/>
        <v>3.1553687115383839</v>
      </c>
      <c r="X307" s="161">
        <f t="shared" si="792"/>
        <v>3.0155680710681447</v>
      </c>
      <c r="Y307" s="161">
        <f t="shared" si="792"/>
        <v>3.6395586049917674</v>
      </c>
      <c r="Z307" s="161">
        <f t="shared" si="792"/>
        <v>2.795477944243316</v>
      </c>
      <c r="AA307" s="161">
        <f t="shared" si="792"/>
        <v>3.2152570660023367</v>
      </c>
      <c r="AB307" s="161">
        <f t="shared" si="792"/>
        <v>3.6949498568464874</v>
      </c>
      <c r="AC307" s="161">
        <f t="shared" si="792"/>
        <v>2.3639805695863778</v>
      </c>
      <c r="AD307" s="161">
        <f t="shared" si="792"/>
        <v>2.9603705749920062</v>
      </c>
      <c r="AE307" s="161">
        <f t="shared" si="792"/>
        <v>3.6420238473802922</v>
      </c>
      <c r="AF307" s="161">
        <f t="shared" si="792"/>
        <v>3.2355904314328532</v>
      </c>
      <c r="AG307" s="161">
        <f t="shared" si="792"/>
        <v>3.4095889754152831</v>
      </c>
      <c r="AH307" s="161">
        <f t="shared" si="792"/>
        <v>3.0147721832644745</v>
      </c>
      <c r="AI307" s="161">
        <f t="shared" si="792"/>
        <v>1.5806482966541198</v>
      </c>
      <c r="AJ307" s="161">
        <f t="shared" si="792"/>
        <v>0.89053152711683181</v>
      </c>
      <c r="AK307" s="161">
        <f t="shared" si="792"/>
        <v>1.1477289815567542</v>
      </c>
      <c r="AL307" s="161">
        <f t="shared" si="792"/>
        <v>1.2875131413302288</v>
      </c>
      <c r="AM307" s="161">
        <f t="shared" si="792"/>
        <v>1.3564550228045242</v>
      </c>
      <c r="AN307" s="161">
        <f t="shared" si="792"/>
        <v>0.90347543296089405</v>
      </c>
      <c r="AO307" s="161">
        <f t="shared" ref="AO307:BT307" si="793">+AO161/(AO16/12)</f>
        <v>0.6865510282813776</v>
      </c>
      <c r="AP307" s="161">
        <f t="shared" si="793"/>
        <v>0.79303123526469954</v>
      </c>
      <c r="AQ307" s="161">
        <f t="shared" si="793"/>
        <v>6.7731616495562905E-2</v>
      </c>
      <c r="AR307" s="161">
        <f t="shared" si="793"/>
        <v>3.7109407909271669E-2</v>
      </c>
      <c r="AS307" s="161">
        <f t="shared" si="793"/>
        <v>0.14695545669358781</v>
      </c>
      <c r="AT307" s="161">
        <f t="shared" si="793"/>
        <v>0.40963857982288815</v>
      </c>
      <c r="AU307" s="161">
        <f t="shared" si="793"/>
        <v>3.4186479166870485</v>
      </c>
      <c r="AV307" s="161">
        <f t="shared" si="793"/>
        <v>2.5757553017094761</v>
      </c>
      <c r="AW307" s="161">
        <f t="shared" si="793"/>
        <v>2.5292806762125219</v>
      </c>
      <c r="AX307" s="161">
        <f t="shared" si="793"/>
        <v>1.300125533872784</v>
      </c>
      <c r="AY307" s="161">
        <f t="shared" si="793"/>
        <v>0.19731056506792033</v>
      </c>
      <c r="AZ307" s="161">
        <f t="shared" si="793"/>
        <v>0.16653124104204475</v>
      </c>
      <c r="BA307" s="161">
        <f t="shared" si="793"/>
        <v>2.2679387178211554</v>
      </c>
      <c r="BB307" s="161">
        <f t="shared" si="793"/>
        <v>2.0876530192216642</v>
      </c>
      <c r="BC307" s="161">
        <f t="shared" si="793"/>
        <v>1.280635847161572</v>
      </c>
      <c r="BD307" s="161">
        <f t="shared" si="793"/>
        <v>1.3245130049786629</v>
      </c>
      <c r="BE307" s="161">
        <f t="shared" si="793"/>
        <v>1.1610166768060837</v>
      </c>
      <c r="BF307" s="161">
        <f t="shared" si="793"/>
        <v>2.3538038496791933</v>
      </c>
      <c r="BG307" s="161">
        <f t="shared" si="793"/>
        <v>3.4305066946705174</v>
      </c>
      <c r="BH307" s="161">
        <f t="shared" si="793"/>
        <v>3.8659037095501185</v>
      </c>
      <c r="BI307" s="161">
        <f t="shared" si="793"/>
        <v>4.5828718609143593</v>
      </c>
      <c r="BJ307" s="161">
        <f t="shared" si="793"/>
        <v>4.8752767527675278</v>
      </c>
      <c r="BK307" s="161">
        <f t="shared" si="793"/>
        <v>5.1216731675799396</v>
      </c>
      <c r="BL307" s="161">
        <f t="shared" si="793"/>
        <v>5.4662612964379305</v>
      </c>
      <c r="BM307" s="161">
        <f t="shared" si="793"/>
        <v>4.0160132033086153</v>
      </c>
      <c r="BN307" s="161">
        <f t="shared" si="793"/>
        <v>3.1692744075014487</v>
      </c>
      <c r="BO307" s="161">
        <f t="shared" si="793"/>
        <v>2.0940581680874266</v>
      </c>
      <c r="BP307" s="161">
        <f t="shared" si="793"/>
        <v>2.8847723471434468</v>
      </c>
      <c r="BQ307" s="161">
        <f t="shared" si="793"/>
        <v>2.720496037919915</v>
      </c>
      <c r="BR307" s="161">
        <f t="shared" si="793"/>
        <v>3.2020375500346119</v>
      </c>
      <c r="BS307" s="161">
        <f t="shared" si="793"/>
        <v>2.8448288441056921</v>
      </c>
      <c r="BT307" s="161">
        <f t="shared" si="793"/>
        <v>3.7871629020525357</v>
      </c>
      <c r="BU307" s="161">
        <f t="shared" ref="BU307:CC307" ca="1" si="794">+BU161/(BU16/12)</f>
        <v>3.9247012240078099</v>
      </c>
      <c r="BV307" s="161">
        <f t="shared" ca="1" si="794"/>
        <v>4.0176638171607779</v>
      </c>
      <c r="BW307" s="161">
        <f t="shared" ca="1" si="794"/>
        <v>3.8796707758128073</v>
      </c>
      <c r="BX307" s="161">
        <f t="shared" ca="1" si="794"/>
        <v>3.5561030464138956</v>
      </c>
      <c r="BY307" s="161">
        <f t="shared" ca="1" si="794"/>
        <v>3.1993886878746229</v>
      </c>
      <c r="BZ307" s="161">
        <f t="shared" ca="1" si="794"/>
        <v>2.7650039141619236</v>
      </c>
      <c r="CA307" s="161">
        <f t="shared" ca="1" si="794"/>
        <v>2.2313161189859048</v>
      </c>
      <c r="CB307" s="161">
        <f t="shared" ca="1" si="794"/>
        <v>1.5737131489775873</v>
      </c>
      <c r="CC307" s="161">
        <f t="shared" ca="1" si="794"/>
        <v>0.76777090117117308</v>
      </c>
      <c r="CD307" s="161">
        <f ca="1">+CD161/(CD16/12)</f>
        <v>-0.20964035697718436</v>
      </c>
      <c r="CE307" s="161">
        <f ca="1">+CE161/(CE16/12)</f>
        <v>-1.3787268095047456</v>
      </c>
      <c r="CF307" s="161">
        <f ca="1">+CF161/(CF16/12)</f>
        <v>-2.7543634458164217</v>
      </c>
      <c r="CG307" s="161">
        <f ca="1">+CG161/(CG16/12)</f>
        <v>-4.3430298412231032</v>
      </c>
      <c r="CH307" s="162"/>
      <c r="CI307" s="159">
        <f t="shared" si="772"/>
        <v>0</v>
      </c>
      <c r="CJ307" s="159">
        <f t="shared" si="773"/>
        <v>0</v>
      </c>
      <c r="CK307" s="159">
        <f t="shared" si="774"/>
        <v>0</v>
      </c>
      <c r="CL307" s="159">
        <f t="shared" si="775"/>
        <v>0</v>
      </c>
      <c r="CM307" s="159">
        <f t="shared" ca="1" si="776"/>
        <v>0.17543800067495985</v>
      </c>
      <c r="CN307" s="159">
        <f t="shared" ca="1" si="777"/>
        <v>5.9215803703188463E-2</v>
      </c>
      <c r="CO307" s="159">
        <f t="shared" ca="1" si="778"/>
        <v>-0.1238362490236482</v>
      </c>
      <c r="CP307" s="159">
        <f t="shared" ca="1" si="779"/>
        <v>-0.35096655325357684</v>
      </c>
      <c r="CQ307" s="159">
        <f t="shared" ca="1" si="780"/>
        <v>-0.61836582706162835</v>
      </c>
      <c r="CR307" s="159">
        <f t="shared" ca="1" si="781"/>
        <v>-1.2489774774771933</v>
      </c>
      <c r="CS307" s="159">
        <f t="shared" ca="1" si="782"/>
        <v>-1.7962548553934323</v>
      </c>
      <c r="CT307" s="159">
        <f t="shared" ca="1" si="783"/>
        <v>-2.3365441362029418</v>
      </c>
      <c r="CU307" s="159">
        <f t="shared" ca="1" si="784"/>
        <v>-2.8592943291761799</v>
      </c>
      <c r="CV307" s="159">
        <f t="shared" ca="1" si="785"/>
        <v>-3.3548794757175675</v>
      </c>
      <c r="CW307" s="159">
        <f t="shared" ca="1" si="786"/>
        <v>-3.814856362999512</v>
      </c>
      <c r="CX307" s="159">
        <f t="shared" ca="1" si="787"/>
        <v>-4.2305764821748113</v>
      </c>
      <c r="CY307" s="159">
        <f t="shared" ca="1" si="788"/>
        <v>-4.5938639597204833</v>
      </c>
      <c r="CZ307" s="219"/>
      <c r="DA307" s="384">
        <v>2.720496037919915</v>
      </c>
      <c r="DB307" s="384">
        <v>3.2020375500346119</v>
      </c>
      <c r="DC307" s="384">
        <v>2.8448288441056921</v>
      </c>
      <c r="DD307" s="384">
        <v>3.7871629020525357</v>
      </c>
      <c r="DE307" s="384">
        <v>3.74926322333285</v>
      </c>
      <c r="DF307" s="384">
        <v>3.9584480134575895</v>
      </c>
      <c r="DG307" s="384">
        <v>4.0035070248364555</v>
      </c>
      <c r="DH307" s="384">
        <v>3.9070695996674725</v>
      </c>
      <c r="DI307" s="384">
        <v>3.8177545149362513</v>
      </c>
      <c r="DJ307" s="384">
        <v>4.0139813916391169</v>
      </c>
      <c r="DK307" s="384">
        <v>4.0275709743793371</v>
      </c>
      <c r="DL307" s="384">
        <v>3.9102572851805291</v>
      </c>
      <c r="DM307" s="384">
        <v>3.6270652303473527</v>
      </c>
      <c r="DN307" s="384">
        <v>3.145239118740383</v>
      </c>
      <c r="DO307" s="135">
        <v>2.4361295534947667</v>
      </c>
      <c r="DP307" s="135">
        <v>1.4762130363583901</v>
      </c>
      <c r="DQ307" s="135">
        <v>0.2508341184973798</v>
      </c>
    </row>
    <row r="308" spans="1:121" s="123" customFormat="1" ht="14.25" customHeight="1">
      <c r="A308" s="107" t="s">
        <v>819</v>
      </c>
      <c r="B308" s="141"/>
      <c r="C308" s="158"/>
      <c r="D308" s="102"/>
      <c r="E308" s="141"/>
      <c r="F308" s="161"/>
      <c r="G308" s="161"/>
      <c r="H308" s="161"/>
      <c r="I308" s="161">
        <f t="shared" ref="I308:AN308" si="795">I164/(I16/12)</f>
        <v>46.011557568591662</v>
      </c>
      <c r="J308" s="161">
        <f t="shared" si="795"/>
        <v>47.451191472149965</v>
      </c>
      <c r="K308" s="161">
        <f t="shared" si="795"/>
        <v>39.023297757457811</v>
      </c>
      <c r="L308" s="161">
        <f t="shared" si="795"/>
        <v>34.182231434484812</v>
      </c>
      <c r="M308" s="161">
        <f t="shared" si="795"/>
        <v>33.083881287686516</v>
      </c>
      <c r="N308" s="161">
        <f t="shared" si="795"/>
        <v>32.007706395401939</v>
      </c>
      <c r="O308" s="161">
        <f t="shared" si="795"/>
        <v>29.857130275204383</v>
      </c>
      <c r="P308" s="161">
        <f t="shared" si="795"/>
        <v>22.521022306464879</v>
      </c>
      <c r="Q308" s="161">
        <f t="shared" si="795"/>
        <v>19.505328805994516</v>
      </c>
      <c r="R308" s="161">
        <f t="shared" si="795"/>
        <v>19.311737894887134</v>
      </c>
      <c r="S308" s="161">
        <f t="shared" si="795"/>
        <v>17.103099558721695</v>
      </c>
      <c r="T308" s="161">
        <f t="shared" si="795"/>
        <v>16.649295822717271</v>
      </c>
      <c r="U308" s="161">
        <f t="shared" si="795"/>
        <v>14.8885833557223</v>
      </c>
      <c r="V308" s="161">
        <f t="shared" si="795"/>
        <v>13.444199197270461</v>
      </c>
      <c r="W308" s="161">
        <f t="shared" si="795"/>
        <v>12.229650568090078</v>
      </c>
      <c r="X308" s="161">
        <f t="shared" si="795"/>
        <v>10.574766507222787</v>
      </c>
      <c r="Y308" s="161">
        <f t="shared" si="795"/>
        <v>10.262710620860737</v>
      </c>
      <c r="Z308" s="161">
        <f t="shared" si="795"/>
        <v>7.3257766614126592</v>
      </c>
      <c r="AA308" s="161">
        <f t="shared" si="795"/>
        <v>6.7804934842703926</v>
      </c>
      <c r="AB308" s="161">
        <f t="shared" si="795"/>
        <v>8.2738851551491521</v>
      </c>
      <c r="AC308" s="161">
        <f t="shared" si="795"/>
        <v>6.5726899032437105</v>
      </c>
      <c r="AD308" s="161">
        <f t="shared" si="795"/>
        <v>5.2499015940136626</v>
      </c>
      <c r="AE308" s="161">
        <f t="shared" si="795"/>
        <v>5.158794977205817</v>
      </c>
      <c r="AF308" s="161">
        <f t="shared" si="795"/>
        <v>4.5109508065562736</v>
      </c>
      <c r="AG308" s="161">
        <f t="shared" si="795"/>
        <v>4.9376087469242353</v>
      </c>
      <c r="AH308" s="161">
        <f t="shared" si="795"/>
        <v>5.5777519895602587</v>
      </c>
      <c r="AI308" s="161">
        <f t="shared" si="795"/>
        <v>6.1498395261543752</v>
      </c>
      <c r="AJ308" s="161">
        <f t="shared" si="795"/>
        <v>3.8267391410868794</v>
      </c>
      <c r="AK308" s="161">
        <f t="shared" si="795"/>
        <v>2.8982818155996211</v>
      </c>
      <c r="AL308" s="161">
        <f t="shared" si="795"/>
        <v>2.6804142076857445</v>
      </c>
      <c r="AM308" s="161">
        <f t="shared" si="795"/>
        <v>1.0477355542726636</v>
      </c>
      <c r="AN308" s="161">
        <f t="shared" si="795"/>
        <v>1.3430443641068885</v>
      </c>
      <c r="AO308" s="161">
        <f t="shared" ref="AO308:BT308" si="796">AO164/(AO16/12)</f>
        <v>1.4910871362441813</v>
      </c>
      <c r="AP308" s="161">
        <f t="shared" si="796"/>
        <v>0.14831749006553305</v>
      </c>
      <c r="AQ308" s="161">
        <f t="shared" si="796"/>
        <v>-0.13691615956413206</v>
      </c>
      <c r="AR308" s="161">
        <f t="shared" si="796"/>
        <v>-0.1139995581412475</v>
      </c>
      <c r="AS308" s="161">
        <f t="shared" si="796"/>
        <v>1.3895335069855554</v>
      </c>
      <c r="AT308" s="161">
        <f t="shared" si="796"/>
        <v>3.225542099091689</v>
      </c>
      <c r="AU308" s="161">
        <f t="shared" si="796"/>
        <v>3.4030806688014943</v>
      </c>
      <c r="AV308" s="161">
        <f t="shared" si="796"/>
        <v>3.0256935341657045</v>
      </c>
      <c r="AW308" s="161">
        <f t="shared" si="796"/>
        <v>3.5073394510295017</v>
      </c>
      <c r="AX308" s="161">
        <f t="shared" si="796"/>
        <v>3.7060243954282668</v>
      </c>
      <c r="AY308" s="161">
        <f t="shared" si="796"/>
        <v>3.3369128935435555</v>
      </c>
      <c r="AZ308" s="161">
        <f t="shared" si="796"/>
        <v>4.1949620151939229</v>
      </c>
      <c r="BA308" s="161">
        <f t="shared" si="796"/>
        <v>5.2239738046565485</v>
      </c>
      <c r="BB308" s="161">
        <f t="shared" si="796"/>
        <v>6.0173215412151757</v>
      </c>
      <c r="BC308" s="161">
        <f t="shared" si="796"/>
        <v>4.376710334788938</v>
      </c>
      <c r="BD308" s="161">
        <f t="shared" si="796"/>
        <v>4.2648648648648644</v>
      </c>
      <c r="BE308" s="161">
        <f t="shared" ca="1" si="796"/>
        <v>3.9174025296744848</v>
      </c>
      <c r="BF308" s="161">
        <f t="shared" si="796"/>
        <v>5.2355637030247477</v>
      </c>
      <c r="BG308" s="161">
        <f t="shared" si="796"/>
        <v>6.7104226831189289</v>
      </c>
      <c r="BH308" s="161">
        <f t="shared" si="796"/>
        <v>6.1943962115232836</v>
      </c>
      <c r="BI308" s="161">
        <f t="shared" si="796"/>
        <v>7.3339343206696714</v>
      </c>
      <c r="BJ308" s="161">
        <f t="shared" si="796"/>
        <v>7.7305838940742344</v>
      </c>
      <c r="BK308" s="161">
        <f t="shared" si="796"/>
        <v>8.4844404666596844</v>
      </c>
      <c r="BL308" s="161">
        <f t="shared" si="796"/>
        <v>8.4896750197583533</v>
      </c>
      <c r="BM308" s="161">
        <f t="shared" si="796"/>
        <v>7.2770997169729137</v>
      </c>
      <c r="BN308" s="161">
        <f t="shared" si="796"/>
        <v>5.9853498359931372</v>
      </c>
      <c r="BO308" s="161">
        <f t="shared" si="796"/>
        <v>4.7979693495738136</v>
      </c>
      <c r="BP308" s="161">
        <f t="shared" si="796"/>
        <v>6.6414336911422875</v>
      </c>
      <c r="BQ308" s="161">
        <f t="shared" si="796"/>
        <v>5.5166625353155228</v>
      </c>
      <c r="BR308" s="161">
        <f t="shared" si="796"/>
        <v>6.2806417291141905</v>
      </c>
      <c r="BS308" s="161">
        <f t="shared" si="796"/>
        <v>3.4820942615849004</v>
      </c>
      <c r="BT308" s="161">
        <f t="shared" si="796"/>
        <v>5.0680314361176011</v>
      </c>
      <c r="BU308" s="161">
        <f t="shared" ref="BU308:CC308" ca="1" si="797">BU164/(BU16/12)</f>
        <v>5.2520870358813223</v>
      </c>
      <c r="BV308" s="161">
        <f t="shared" ca="1" si="797"/>
        <v>5.3764908063731891</v>
      </c>
      <c r="BW308" s="161">
        <f t="shared" ca="1" si="797"/>
        <v>5.1918266951098575</v>
      </c>
      <c r="BX308" s="161">
        <f t="shared" ca="1" si="797"/>
        <v>4.758824084258837</v>
      </c>
      <c r="BY308" s="161">
        <f t="shared" ca="1" si="797"/>
        <v>4.2814642163187049</v>
      </c>
      <c r="BZ308" s="161">
        <f t="shared" ca="1" si="797"/>
        <v>3.7001647725177396</v>
      </c>
      <c r="CA308" s="161">
        <f t="shared" ca="1" si="797"/>
        <v>2.9859767132825654</v>
      </c>
      <c r="CB308" s="161">
        <f t="shared" ca="1" si="797"/>
        <v>2.1059637297691824</v>
      </c>
      <c r="CC308" s="161">
        <f t="shared" ca="1" si="797"/>
        <v>1.0274411646678776</v>
      </c>
      <c r="CD308" s="161">
        <f ca="1">CD164/(CD16/12)</f>
        <v>-0.28054349572959891</v>
      </c>
      <c r="CE308" s="161">
        <f ca="1">CE164/(CE16/12)</f>
        <v>-1.8450304338905714</v>
      </c>
      <c r="CF308" s="161">
        <f ca="1">CF164/(CF16/12)</f>
        <v>-3.6859255571830349</v>
      </c>
      <c r="CG308" s="161">
        <f ca="1">CG164/(CG16/12)</f>
        <v>-5.8118999189040714</v>
      </c>
      <c r="CH308" s="162"/>
      <c r="CI308" s="159">
        <f t="shared" si="772"/>
        <v>0</v>
      </c>
      <c r="CJ308" s="159">
        <f t="shared" si="773"/>
        <v>0</v>
      </c>
      <c r="CK308" s="159">
        <f t="shared" si="774"/>
        <v>0</v>
      </c>
      <c r="CL308" s="159">
        <f t="shared" si="775"/>
        <v>0</v>
      </c>
      <c r="CM308" s="159">
        <f t="shared" ca="1" si="776"/>
        <v>0.23477345060294041</v>
      </c>
      <c r="CN308" s="159">
        <f t="shared" ca="1" si="777"/>
        <v>7.9243370946648461E-2</v>
      </c>
      <c r="CO308" s="159">
        <f t="shared" ca="1" si="778"/>
        <v>-0.16571930471820817</v>
      </c>
      <c r="CP308" s="159">
        <f t="shared" ca="1" si="779"/>
        <v>-0.46966807895983553</v>
      </c>
      <c r="CQ308" s="159">
        <f t="shared" ca="1" si="780"/>
        <v>-0.82750532037339042</v>
      </c>
      <c r="CR308" s="159">
        <f t="shared" ca="1" si="781"/>
        <v>-1.6713981633656934</v>
      </c>
      <c r="CS308" s="159">
        <f t="shared" ca="1" si="782"/>
        <v>-2.4037719817858854</v>
      </c>
      <c r="CT308" s="159">
        <f t="shared" ca="1" si="783"/>
        <v>-3.1267942363226378</v>
      </c>
      <c r="CU308" s="159">
        <f t="shared" ca="1" si="784"/>
        <v>-3.8263454517691851</v>
      </c>
      <c r="CV308" s="159">
        <f t="shared" ca="1" si="785"/>
        <v>-4.4895440431430682</v>
      </c>
      <c r="CW308" s="159">
        <f t="shared" ca="1" si="786"/>
        <v>-5.1050911914764745</v>
      </c>
      <c r="CX308" s="159">
        <f t="shared" ca="1" si="787"/>
        <v>-5.6614133479554178</v>
      </c>
      <c r="CY308" s="159">
        <f t="shared" ca="1" si="788"/>
        <v>-6.1475694506019387</v>
      </c>
      <c r="CZ308" s="219"/>
      <c r="DA308" s="384">
        <v>5.5166625353155228</v>
      </c>
      <c r="DB308" s="384">
        <v>6.2806417291141905</v>
      </c>
      <c r="DC308" s="384">
        <v>3.4820942615849004</v>
      </c>
      <c r="DD308" s="384">
        <v>5.0680314361176011</v>
      </c>
      <c r="DE308" s="384">
        <v>5.0173135852783819</v>
      </c>
      <c r="DF308" s="384">
        <v>5.2972474354265406</v>
      </c>
      <c r="DG308" s="384">
        <v>5.3575459998280657</v>
      </c>
      <c r="DH308" s="384">
        <v>5.2284921632186725</v>
      </c>
      <c r="DI308" s="384">
        <v>5.1089695366920953</v>
      </c>
      <c r="DJ308" s="384">
        <v>5.3715629358834329</v>
      </c>
      <c r="DK308" s="384">
        <v>5.3897486950684508</v>
      </c>
      <c r="DL308" s="384">
        <v>5.2327579660918202</v>
      </c>
      <c r="DM308" s="384">
        <v>4.8537866164370627</v>
      </c>
      <c r="DN308" s="384">
        <v>4.2090005474134697</v>
      </c>
      <c r="DO308" s="135">
        <v>3.2600607575859031</v>
      </c>
      <c r="DP308" s="135">
        <v>1.9754877907723831</v>
      </c>
      <c r="DQ308" s="135">
        <v>0.33566953169786756</v>
      </c>
    </row>
    <row r="309" spans="1:121" s="123" customFormat="1">
      <c r="A309" s="107" t="s">
        <v>1324</v>
      </c>
      <c r="B309" s="107"/>
      <c r="C309" s="136" t="s">
        <v>1320</v>
      </c>
      <c r="D309" s="147"/>
      <c r="E309" s="107"/>
      <c r="F309" s="106">
        <f t="shared" ref="F309:AK309" si="798">F341/F$17*100</f>
        <v>0</v>
      </c>
      <c r="G309" s="106">
        <f t="shared" si="798"/>
        <v>0</v>
      </c>
      <c r="H309" s="106">
        <f t="shared" si="798"/>
        <v>0</v>
      </c>
      <c r="I309" s="106">
        <f t="shared" si="798"/>
        <v>0</v>
      </c>
      <c r="J309" s="106">
        <f t="shared" si="798"/>
        <v>0</v>
      </c>
      <c r="K309" s="106">
        <f t="shared" si="798"/>
        <v>0</v>
      </c>
      <c r="L309" s="106">
        <f t="shared" si="798"/>
        <v>0</v>
      </c>
      <c r="M309" s="106">
        <f t="shared" si="798"/>
        <v>0</v>
      </c>
      <c r="N309" s="106">
        <f t="shared" si="798"/>
        <v>0</v>
      </c>
      <c r="O309" s="106">
        <f t="shared" si="798"/>
        <v>0</v>
      </c>
      <c r="P309" s="106">
        <f t="shared" si="798"/>
        <v>0</v>
      </c>
      <c r="Q309" s="106">
        <f t="shared" si="798"/>
        <v>0</v>
      </c>
      <c r="R309" s="106">
        <f t="shared" si="798"/>
        <v>0</v>
      </c>
      <c r="S309" s="106">
        <f t="shared" si="798"/>
        <v>0</v>
      </c>
      <c r="T309" s="106">
        <f t="shared" si="798"/>
        <v>0</v>
      </c>
      <c r="U309" s="106">
        <f t="shared" si="798"/>
        <v>0</v>
      </c>
      <c r="V309" s="106">
        <f t="shared" si="798"/>
        <v>0</v>
      </c>
      <c r="W309" s="106">
        <f t="shared" si="798"/>
        <v>0</v>
      </c>
      <c r="X309" s="106">
        <f t="shared" si="798"/>
        <v>0</v>
      </c>
      <c r="Y309" s="106">
        <f t="shared" si="798"/>
        <v>0</v>
      </c>
      <c r="Z309" s="106">
        <f t="shared" si="798"/>
        <v>0</v>
      </c>
      <c r="AA309" s="106">
        <f t="shared" si="798"/>
        <v>0</v>
      </c>
      <c r="AB309" s="106">
        <f t="shared" si="798"/>
        <v>0</v>
      </c>
      <c r="AC309" s="106">
        <f t="shared" si="798"/>
        <v>0</v>
      </c>
      <c r="AD309" s="106">
        <f t="shared" si="798"/>
        <v>0</v>
      </c>
      <c r="AE309" s="106">
        <f t="shared" si="798"/>
        <v>0</v>
      </c>
      <c r="AF309" s="106">
        <f t="shared" si="798"/>
        <v>0</v>
      </c>
      <c r="AG309" s="106">
        <f t="shared" si="798"/>
        <v>0</v>
      </c>
      <c r="AH309" s="106">
        <f t="shared" si="798"/>
        <v>0</v>
      </c>
      <c r="AI309" s="106">
        <f t="shared" si="798"/>
        <v>0</v>
      </c>
      <c r="AJ309" s="106">
        <f t="shared" si="798"/>
        <v>0</v>
      </c>
      <c r="AK309" s="106">
        <f t="shared" si="798"/>
        <v>0</v>
      </c>
      <c r="AL309" s="106">
        <f t="shared" ref="AL309:BQ309" si="799">AL341/AL$17*100</f>
        <v>0</v>
      </c>
      <c r="AM309" s="106">
        <f t="shared" si="799"/>
        <v>0</v>
      </c>
      <c r="AN309" s="106">
        <f t="shared" si="799"/>
        <v>0</v>
      </c>
      <c r="AO309" s="106">
        <f t="shared" si="799"/>
        <v>91.783411733312803</v>
      </c>
      <c r="AP309" s="106">
        <f t="shared" si="799"/>
        <v>85.877958507911075</v>
      </c>
      <c r="AQ309" s="106">
        <f t="shared" si="799"/>
        <v>88.841774346067083</v>
      </c>
      <c r="AR309" s="106">
        <f t="shared" si="799"/>
        <v>72.374361609878321</v>
      </c>
      <c r="AS309" s="106">
        <f t="shared" si="799"/>
        <v>42.040746330086435</v>
      </c>
      <c r="AT309" s="106">
        <f t="shared" si="799"/>
        <v>7.5182409781108266</v>
      </c>
      <c r="AU309" s="106">
        <f t="shared" si="799"/>
        <v>24.71416467386149</v>
      </c>
      <c r="AV309" s="106">
        <f t="shared" si="799"/>
        <v>19.271639222293636</v>
      </c>
      <c r="AW309" s="106">
        <f t="shared" si="799"/>
        <v>20.199864302589742</v>
      </c>
      <c r="AX309" s="106">
        <f t="shared" si="799"/>
        <v>24.672773101678896</v>
      </c>
      <c r="AY309" s="106">
        <f t="shared" si="799"/>
        <v>41.898585691607302</v>
      </c>
      <c r="AZ309" s="106">
        <f t="shared" si="799"/>
        <v>39.74493899324262</v>
      </c>
      <c r="BA309" s="106">
        <f t="shared" si="799"/>
        <v>39.268966129643282</v>
      </c>
      <c r="BB309" s="106">
        <f t="shared" si="799"/>
        <v>39.437970446320861</v>
      </c>
      <c r="BC309" s="106">
        <f t="shared" si="799"/>
        <v>33.617609044680584</v>
      </c>
      <c r="BD309" s="106">
        <f t="shared" si="799"/>
        <v>28.687648798521259</v>
      </c>
      <c r="BE309" s="106">
        <f t="shared" ca="1" si="799"/>
        <v>26.389297350035378</v>
      </c>
      <c r="BF309" s="106">
        <f t="shared" si="799"/>
        <v>29.200838155502829</v>
      </c>
      <c r="BG309" s="106">
        <f t="shared" si="799"/>
        <v>22.973760932944607</v>
      </c>
      <c r="BH309" s="106">
        <f t="shared" si="799"/>
        <v>27.868345345995603</v>
      </c>
      <c r="BI309" s="106">
        <f t="shared" si="799"/>
        <v>27.627274778162132</v>
      </c>
      <c r="BJ309" s="106">
        <f t="shared" si="799"/>
        <v>27.523417885175206</v>
      </c>
      <c r="BK309" s="106">
        <f t="shared" si="799"/>
        <v>26.846803210628288</v>
      </c>
      <c r="BL309" s="106">
        <f t="shared" si="799"/>
        <v>27.295850066934406</v>
      </c>
      <c r="BM309" s="106">
        <f t="shared" si="799"/>
        <v>35.606265826511979</v>
      </c>
      <c r="BN309" s="106">
        <f t="shared" si="799"/>
        <v>33.251994911530012</v>
      </c>
      <c r="BO309" s="106">
        <f t="shared" si="799"/>
        <v>53.333740906034109</v>
      </c>
      <c r="BP309" s="106">
        <f t="shared" si="799"/>
        <v>49.031761506490838</v>
      </c>
      <c r="BQ309" s="106">
        <f t="shared" si="799"/>
        <v>73.797200033283403</v>
      </c>
      <c r="BR309" s="106">
        <f t="shared" ref="BR309:CC309" si="800">BR341/BR$17*100</f>
        <v>72.50454545454545</v>
      </c>
      <c r="BS309" s="106">
        <f t="shared" si="800"/>
        <v>81.037512694037432</v>
      </c>
      <c r="BT309" s="106">
        <f t="shared" si="800"/>
        <v>94.480732477336787</v>
      </c>
      <c r="BU309" s="106">
        <f t="shared" ca="1" si="800"/>
        <v>68.046120302841643</v>
      </c>
      <c r="BV309" s="106">
        <f t="shared" ca="1" si="800"/>
        <v>58.477269381188478</v>
      </c>
      <c r="BW309" s="106">
        <f t="shared" ca="1" si="800"/>
        <v>55.628743630234844</v>
      </c>
      <c r="BX309" s="106">
        <f t="shared" ca="1" si="800"/>
        <v>54.347412251673823</v>
      </c>
      <c r="BY309" s="106">
        <f t="shared" ca="1" si="800"/>
        <v>52.187009546902587</v>
      </c>
      <c r="BZ309" s="106">
        <f t="shared" ca="1" si="800"/>
        <v>49.833815788970455</v>
      </c>
      <c r="CA309" s="106">
        <f t="shared" ca="1" si="800"/>
        <v>47.411507078349764</v>
      </c>
      <c r="CB309" s="106">
        <f t="shared" ca="1" si="800"/>
        <v>44.936594373757075</v>
      </c>
      <c r="CC309" s="106">
        <f t="shared" ca="1" si="800"/>
        <v>42.411807950682757</v>
      </c>
      <c r="CD309" s="106">
        <f ca="1">CD341/CD$17*100</f>
        <v>39.818960390212673</v>
      </c>
      <c r="CE309" s="106">
        <f ca="1">CE341/CE$17*100</f>
        <v>37.119421308669061</v>
      </c>
      <c r="CF309" s="106">
        <f ca="1">CF341/CF$17*100</f>
        <v>34.257469623471394</v>
      </c>
      <c r="CG309" s="106">
        <f ca="1">CG341/CG$17*100</f>
        <v>31.17003202907793</v>
      </c>
      <c r="CH309" s="141"/>
      <c r="CI309" s="213">
        <f t="shared" si="772"/>
        <v>0</v>
      </c>
      <c r="CJ309" s="213">
        <f t="shared" si="773"/>
        <v>0</v>
      </c>
      <c r="CK309" s="213">
        <f t="shared" si="774"/>
        <v>0</v>
      </c>
      <c r="CL309" s="213">
        <f t="shared" si="775"/>
        <v>0</v>
      </c>
      <c r="CM309" s="213">
        <f t="shared" ca="1" si="776"/>
        <v>-3.9216109426621841</v>
      </c>
      <c r="CN309" s="213">
        <f t="shared" ca="1" si="777"/>
        <v>-10.112437444900365</v>
      </c>
      <c r="CO309" s="213">
        <f t="shared" ca="1" si="778"/>
        <v>-13.821681736788612</v>
      </c>
      <c r="CP309" s="213">
        <f t="shared" ca="1" si="779"/>
        <v>-16.799343937207006</v>
      </c>
      <c r="CQ309" s="213">
        <f t="shared" ca="1" si="780"/>
        <v>-18.785347348065045</v>
      </c>
      <c r="CR309" s="213">
        <f t="shared" ca="1" si="781"/>
        <v>-18.591867636977213</v>
      </c>
      <c r="CS309" s="213">
        <f t="shared" ca="1" si="782"/>
        <v>-16.893296496169306</v>
      </c>
      <c r="CT309" s="213">
        <f t="shared" ca="1" si="783"/>
        <v>-15.23895198678256</v>
      </c>
      <c r="CU309" s="213">
        <f t="shared" ca="1" si="784"/>
        <v>-13.447880159075275</v>
      </c>
      <c r="CV309" s="213">
        <f t="shared" ca="1" si="785"/>
        <v>-11.656823406697171</v>
      </c>
      <c r="CW309" s="213">
        <f t="shared" ca="1" si="786"/>
        <v>-9.9303219873645219</v>
      </c>
      <c r="CX309" s="213">
        <f t="shared" ca="1" si="787"/>
        <v>-8.3023934794054526</v>
      </c>
      <c r="CY309" s="213">
        <f t="shared" ca="1" si="788"/>
        <v>-6.802301874948121</v>
      </c>
      <c r="CZ309" s="220"/>
      <c r="DA309" s="208">
        <v>73.797200033283403</v>
      </c>
      <c r="DB309" s="208">
        <v>72.50454545454545</v>
      </c>
      <c r="DC309" s="208">
        <v>81.037512694037432</v>
      </c>
      <c r="DD309" s="208">
        <v>94.480732477336787</v>
      </c>
      <c r="DE309" s="208">
        <v>71.967731245503828</v>
      </c>
      <c r="DF309" s="208">
        <v>68.589706826088843</v>
      </c>
      <c r="DG309" s="208">
        <v>69.450425367023456</v>
      </c>
      <c r="DH309" s="208">
        <v>71.146756188880829</v>
      </c>
      <c r="DI309" s="208">
        <v>70.972356894967632</v>
      </c>
      <c r="DJ309" s="208">
        <v>68.425683425947668</v>
      </c>
      <c r="DK309" s="208">
        <v>64.30480357451907</v>
      </c>
      <c r="DL309" s="208">
        <v>60.175546360539634</v>
      </c>
      <c r="DM309" s="208">
        <v>55.859688109758032</v>
      </c>
      <c r="DN309" s="208">
        <v>51.475783796909845</v>
      </c>
      <c r="DO309" s="135">
        <v>47.049743296033583</v>
      </c>
      <c r="DP309" s="135">
        <v>42.559863102876847</v>
      </c>
      <c r="DQ309" s="135">
        <v>37.972333904026051</v>
      </c>
    </row>
    <row r="310" spans="1:121" s="123" customFormat="1">
      <c r="A310" s="107" t="s">
        <v>963</v>
      </c>
      <c r="B310" s="141"/>
      <c r="C310" s="136" t="s">
        <v>1320</v>
      </c>
      <c r="D310" s="102"/>
      <c r="E310" s="141"/>
      <c r="F310" s="123">
        <f t="shared" ref="F310:AK310" si="801">+(F100/F17)*100</f>
        <v>-7.3388914968032832</v>
      </c>
      <c r="G310" s="123">
        <f t="shared" si="801"/>
        <v>-10.398587851898146</v>
      </c>
      <c r="H310" s="123">
        <f t="shared" si="801"/>
        <v>-6.5981921774895547</v>
      </c>
      <c r="I310" s="123">
        <f t="shared" si="801"/>
        <v>-7.2656164509283387</v>
      </c>
      <c r="J310" s="123">
        <f t="shared" si="801"/>
        <v>-9.1532568756548383</v>
      </c>
      <c r="K310" s="123">
        <f t="shared" si="801"/>
        <v>-8.3245079720704975</v>
      </c>
      <c r="L310" s="123">
        <f t="shared" si="801"/>
        <v>-11.451016416380941</v>
      </c>
      <c r="M310" s="123">
        <f t="shared" si="801"/>
        <v>-14.893130676481253</v>
      </c>
      <c r="N310" s="123">
        <f t="shared" si="801"/>
        <v>-11.383530494096625</v>
      </c>
      <c r="O310" s="123">
        <f t="shared" si="801"/>
        <v>-10.40164969103232</v>
      </c>
      <c r="P310" s="123">
        <f t="shared" si="801"/>
        <v>-9.7856878254899335</v>
      </c>
      <c r="Q310" s="123">
        <f t="shared" si="801"/>
        <v>-11.460444033154008</v>
      </c>
      <c r="R310" s="123">
        <f t="shared" si="801"/>
        <v>-7.3088073820390402</v>
      </c>
      <c r="S310" s="123">
        <f t="shared" si="801"/>
        <v>-6.6527751240848154</v>
      </c>
      <c r="T310" s="123">
        <f t="shared" si="801"/>
        <v>-6.9466745488186561</v>
      </c>
      <c r="U310" s="123">
        <f t="shared" si="801"/>
        <v>-5.4030053806000735</v>
      </c>
      <c r="V310" s="123">
        <f t="shared" si="801"/>
        <v>-5.8882959021968269</v>
      </c>
      <c r="W310" s="123">
        <f t="shared" si="801"/>
        <v>-5.1765960795572035</v>
      </c>
      <c r="X310" s="123">
        <f t="shared" si="801"/>
        <v>-3.8078678205956056</v>
      </c>
      <c r="Y310" s="123">
        <f t="shared" si="801"/>
        <v>-3.9128848445118756</v>
      </c>
      <c r="Z310" s="123">
        <f t="shared" si="801"/>
        <v>-4.413916429893777</v>
      </c>
      <c r="AA310" s="123">
        <f t="shared" si="801"/>
        <v>2.5859970393055711</v>
      </c>
      <c r="AB310" s="123">
        <f t="shared" si="801"/>
        <v>5.5000036866940993</v>
      </c>
      <c r="AC310" s="123">
        <f t="shared" si="801"/>
        <v>-4.8114645959502154</v>
      </c>
      <c r="AD310" s="123">
        <f t="shared" si="801"/>
        <v>-4.2582364810167572</v>
      </c>
      <c r="AE310" s="123">
        <f t="shared" si="801"/>
        <v>0.16323475529562373</v>
      </c>
      <c r="AF310" s="123">
        <f t="shared" si="801"/>
        <v>0.80072881681370212</v>
      </c>
      <c r="AG310" s="123">
        <f t="shared" si="801"/>
        <v>-4.253550797568197</v>
      </c>
      <c r="AH310" s="123">
        <f t="shared" si="801"/>
        <v>-5.7493500206574124</v>
      </c>
      <c r="AI310" s="123">
        <f t="shared" si="801"/>
        <v>-15.053796037307121</v>
      </c>
      <c r="AJ310" s="123">
        <f t="shared" si="801"/>
        <v>-12.870927547724712</v>
      </c>
      <c r="AK310" s="123">
        <f t="shared" si="801"/>
        <v>-16.726832960042252</v>
      </c>
      <c r="AL310" s="123">
        <f t="shared" ref="AL310:BQ310" si="802">+(AL100/AL17)*100</f>
        <v>-19.487060072362912</v>
      </c>
      <c r="AM310" s="123">
        <f t="shared" si="802"/>
        <v>-17.076830290701317</v>
      </c>
      <c r="AN310" s="123">
        <f t="shared" si="802"/>
        <v>-15.315686594503816</v>
      </c>
      <c r="AO310" s="123">
        <f t="shared" si="802"/>
        <v>-8.5520384606310458</v>
      </c>
      <c r="AP310" s="123">
        <f t="shared" si="802"/>
        <v>-3.7597840424055451</v>
      </c>
      <c r="AQ310" s="123">
        <f t="shared" si="802"/>
        <v>-13.267574031926033</v>
      </c>
      <c r="AR310" s="123">
        <f t="shared" si="802"/>
        <v>-10.6546943829232</v>
      </c>
      <c r="AS310" s="123">
        <f t="shared" si="802"/>
        <v>-5.1449444368226089</v>
      </c>
      <c r="AT310" s="123">
        <f t="shared" si="802"/>
        <v>-4.2993245908104898</v>
      </c>
      <c r="AU310" s="123">
        <f t="shared" si="802"/>
        <v>-23.013364898801214</v>
      </c>
      <c r="AV310" s="123">
        <f t="shared" si="802"/>
        <v>3.6306016339244969</v>
      </c>
      <c r="AW310" s="123">
        <f t="shared" si="802"/>
        <v>-4.1203894594528947</v>
      </c>
      <c r="AX310" s="123">
        <f t="shared" si="802"/>
        <v>-17.172908133411337</v>
      </c>
      <c r="AY310" s="123">
        <f t="shared" si="802"/>
        <v>-12.886671652169349</v>
      </c>
      <c r="AZ310" s="123">
        <f t="shared" si="802"/>
        <v>-15.869261355778566</v>
      </c>
      <c r="BA310" s="123">
        <f t="shared" si="802"/>
        <v>-8.4706957441158064</v>
      </c>
      <c r="BB310" s="123">
        <f t="shared" si="802"/>
        <v>-14.295712868204994</v>
      </c>
      <c r="BC310" s="123">
        <f t="shared" si="802"/>
        <v>-6.6319015415327334</v>
      </c>
      <c r="BD310" s="123">
        <f t="shared" ca="1" si="802"/>
        <v>-5.7181738885515729</v>
      </c>
      <c r="BE310" s="123">
        <f t="shared" ca="1" si="802"/>
        <v>-4.3843569406565672</v>
      </c>
      <c r="BF310" s="123">
        <f t="shared" si="802"/>
        <v>-0.44960659423005317</v>
      </c>
      <c r="BG310" s="123">
        <f t="shared" si="802"/>
        <v>4.3533279573227457</v>
      </c>
      <c r="BH310" s="123">
        <f t="shared" si="802"/>
        <v>1.4961693527598179</v>
      </c>
      <c r="BI310" s="123">
        <f t="shared" si="802"/>
        <v>0.80087231162580663</v>
      </c>
      <c r="BJ310" s="123">
        <f t="shared" si="802"/>
        <v>-2.9135769516294561</v>
      </c>
      <c r="BK310" s="123">
        <f t="shared" si="802"/>
        <v>-9.4104622197619073E-2</v>
      </c>
      <c r="BL310" s="123">
        <f t="shared" si="802"/>
        <v>-2.3493975903614421</v>
      </c>
      <c r="BM310" s="123">
        <f t="shared" si="802"/>
        <v>-4.5238796301749025</v>
      </c>
      <c r="BN310" s="123">
        <f t="shared" si="802"/>
        <v>-8.3601248988088361</v>
      </c>
      <c r="BO310" s="123">
        <f t="shared" si="802"/>
        <v>-10.252491288133527</v>
      </c>
      <c r="BP310" s="123">
        <f t="shared" si="802"/>
        <v>-10.739391451588075</v>
      </c>
      <c r="BQ310" s="123">
        <f t="shared" si="802"/>
        <v>-9.8622898984856047</v>
      </c>
      <c r="BR310" s="123">
        <f t="shared" ref="BR310:CC310" si="803">+(BR100/BR17)*100</f>
        <v>-7.9555142214988761</v>
      </c>
      <c r="BS310" s="123">
        <f t="shared" si="803"/>
        <v>-14.558247497461194</v>
      </c>
      <c r="BT310" s="123">
        <f t="shared" si="803"/>
        <v>-15.674078681387032</v>
      </c>
      <c r="BU310" s="123">
        <f t="shared" ca="1" si="803"/>
        <v>-3.0200500680185516</v>
      </c>
      <c r="BV310" s="123">
        <f t="shared" ca="1" si="803"/>
        <v>0.16820911013604201</v>
      </c>
      <c r="BW310" s="123">
        <f t="shared" ca="1" si="803"/>
        <v>-3.2275072320192049</v>
      </c>
      <c r="BX310" s="123">
        <f t="shared" ca="1" si="803"/>
        <v>-3.1641247382338653</v>
      </c>
      <c r="BY310" s="123">
        <f t="shared" ca="1" si="803"/>
        <v>-3.1760195598301824</v>
      </c>
      <c r="BZ310" s="123">
        <f t="shared" ca="1" si="803"/>
        <v>-3.2359270244259482</v>
      </c>
      <c r="CA310" s="123">
        <f t="shared" ca="1" si="803"/>
        <v>-3.3415417256002269</v>
      </c>
      <c r="CB310" s="123">
        <f t="shared" ca="1" si="803"/>
        <v>-3.4993107516825201</v>
      </c>
      <c r="CC310" s="123">
        <f t="shared" ca="1" si="803"/>
        <v>-3.6984552839666001</v>
      </c>
      <c r="CD310" s="123">
        <f ca="1">+(CD100/CD17)*100</f>
        <v>-3.9236517311937233</v>
      </c>
      <c r="CE310" s="123">
        <f ca="1">+(CE100/CE17)*100</f>
        <v>-4.1516798732811155</v>
      </c>
      <c r="CF310" s="123">
        <f ca="1">+(CF100/CF17)*100</f>
        <v>-4.3499293374361754</v>
      </c>
      <c r="CG310" s="123">
        <f ca="1">+(CG100/CG17)*100</f>
        <v>-4.4768442424761865</v>
      </c>
      <c r="CH310" s="141"/>
      <c r="CI310" s="159">
        <f t="shared" si="772"/>
        <v>0</v>
      </c>
      <c r="CJ310" s="159">
        <f t="shared" si="773"/>
        <v>0</v>
      </c>
      <c r="CK310" s="159">
        <f t="shared" si="774"/>
        <v>0</v>
      </c>
      <c r="CL310" s="159">
        <f t="shared" si="775"/>
        <v>0</v>
      </c>
      <c r="CM310" s="159">
        <f t="shared" ca="1" si="776"/>
        <v>6.4059278756318445</v>
      </c>
      <c r="CN310" s="159">
        <f t="shared" ca="1" si="777"/>
        <v>5.880134117474781</v>
      </c>
      <c r="CO310" s="159">
        <f t="shared" ca="1" si="778"/>
        <v>5.2805811460281937</v>
      </c>
      <c r="CP310" s="159">
        <f t="shared" ca="1" si="779"/>
        <v>5.0254009504868735</v>
      </c>
      <c r="CQ310" s="159">
        <f t="shared" ca="1" si="780"/>
        <v>4.6948584676687384</v>
      </c>
      <c r="CR310" s="159">
        <f t="shared" ca="1" si="781"/>
        <v>1.2990061243222448</v>
      </c>
      <c r="CS310" s="159">
        <f t="shared" ca="1" si="782"/>
        <v>1.3103119517186186</v>
      </c>
      <c r="CT310" s="159">
        <f t="shared" ca="1" si="783"/>
        <v>1.2057535595834574</v>
      </c>
      <c r="CU310" s="159">
        <f t="shared" ca="1" si="784"/>
        <v>1.1784964740795965</v>
      </c>
      <c r="CV310" s="159">
        <f t="shared" ca="1" si="785"/>
        <v>1.1674156400349278</v>
      </c>
      <c r="CW310" s="159">
        <f t="shared" ca="1" si="786"/>
        <v>1.1651716135171561</v>
      </c>
      <c r="CX310" s="159">
        <f t="shared" ca="1" si="787"/>
        <v>1.1666888526215322</v>
      </c>
      <c r="CY310" s="159">
        <f t="shared" ca="1" si="788"/>
        <v>1.1659713092417521</v>
      </c>
      <c r="CZ310" s="219"/>
      <c r="DA310" s="135">
        <v>-9.8622898984856047</v>
      </c>
      <c r="DB310" s="135">
        <v>-7.9555142214988761</v>
      </c>
      <c r="DC310" s="135">
        <v>-14.558247497461194</v>
      </c>
      <c r="DD310" s="135">
        <v>-15.674078681387032</v>
      </c>
      <c r="DE310" s="135">
        <v>-9.4259779436503965</v>
      </c>
      <c r="DF310" s="135">
        <v>-5.7119250073387393</v>
      </c>
      <c r="DG310" s="135">
        <v>-8.5080883780473986</v>
      </c>
      <c r="DH310" s="135">
        <v>-8.1895256887207388</v>
      </c>
      <c r="DI310" s="135">
        <v>-7.8708780274989207</v>
      </c>
      <c r="DJ310" s="135">
        <v>-4.534933148748193</v>
      </c>
      <c r="DK310" s="135">
        <v>-4.6518536773188455</v>
      </c>
      <c r="DL310" s="135">
        <v>-4.7050643112659776</v>
      </c>
      <c r="DM310" s="135">
        <v>-4.8769517580461965</v>
      </c>
      <c r="DN310" s="135">
        <v>-5.0910673712286512</v>
      </c>
      <c r="DO310" s="135">
        <v>-5.3168514867982717</v>
      </c>
      <c r="DP310" s="135">
        <v>-5.5166181900577076</v>
      </c>
      <c r="DQ310" s="135">
        <v>-5.6428155517179386</v>
      </c>
    </row>
    <row r="311" spans="1:121" s="123" customFormat="1">
      <c r="A311" s="107" t="s">
        <v>1325</v>
      </c>
      <c r="B311" s="141"/>
      <c r="C311" s="136" t="s">
        <v>1320</v>
      </c>
      <c r="D311" s="102"/>
      <c r="E311" s="141"/>
      <c r="F311" s="123">
        <f t="shared" ref="F311:BF311" si="804">(F79/F$17)*100</f>
        <v>20.892700117025569</v>
      </c>
      <c r="G311" s="123">
        <f t="shared" si="804"/>
        <v>20.120344541838424</v>
      </c>
      <c r="H311" s="123">
        <f t="shared" si="804"/>
        <v>22.631413500490339</v>
      </c>
      <c r="I311" s="123">
        <f t="shared" si="804"/>
        <v>24.588235920029032</v>
      </c>
      <c r="J311" s="123">
        <f t="shared" si="804"/>
        <v>27.10728459231121</v>
      </c>
      <c r="K311" s="123">
        <f t="shared" si="804"/>
        <v>26.521194035962985</v>
      </c>
      <c r="L311" s="123">
        <f t="shared" si="804"/>
        <v>27.883957982903969</v>
      </c>
      <c r="M311" s="123">
        <f t="shared" si="804"/>
        <v>24.232948993550913</v>
      </c>
      <c r="N311" s="123">
        <f t="shared" si="804"/>
        <v>26.495218432422863</v>
      </c>
      <c r="O311" s="123">
        <f t="shared" si="804"/>
        <v>23.900227032614755</v>
      </c>
      <c r="P311" s="123">
        <f t="shared" si="804"/>
        <v>24.580300265781688</v>
      </c>
      <c r="Q311" s="123">
        <f t="shared" si="804"/>
        <v>20.648880418035347</v>
      </c>
      <c r="R311" s="123">
        <f t="shared" si="804"/>
        <v>22.379849254381657</v>
      </c>
      <c r="S311" s="123">
        <f t="shared" si="804"/>
        <v>21.653613924432719</v>
      </c>
      <c r="T311" s="123">
        <f t="shared" si="804"/>
        <v>19.871600921507813</v>
      </c>
      <c r="U311" s="123">
        <f t="shared" si="804"/>
        <v>21.8059938035518</v>
      </c>
      <c r="V311" s="123">
        <f t="shared" si="804"/>
        <v>22.539343116299811</v>
      </c>
      <c r="W311" s="123">
        <f t="shared" si="804"/>
        <v>22.920796431809265</v>
      </c>
      <c r="X311" s="123">
        <f t="shared" si="804"/>
        <v>24.622926081955576</v>
      </c>
      <c r="Y311" s="123">
        <f t="shared" si="804"/>
        <v>23.304166888953443</v>
      </c>
      <c r="Z311" s="123">
        <f t="shared" si="804"/>
        <v>23.344947534839893</v>
      </c>
      <c r="AA311" s="123">
        <f t="shared" si="804"/>
        <v>31.699898030138581</v>
      </c>
      <c r="AB311" s="123">
        <f t="shared" si="804"/>
        <v>37.353813927150767</v>
      </c>
      <c r="AC311" s="123">
        <f t="shared" si="804"/>
        <v>30.266510464050334</v>
      </c>
      <c r="AD311" s="123">
        <f t="shared" si="804"/>
        <v>28.843352084072709</v>
      </c>
      <c r="AE311" s="123">
        <f t="shared" si="804"/>
        <v>29.403710181586302</v>
      </c>
      <c r="AF311" s="123">
        <f t="shared" si="804"/>
        <v>30.92070151557315</v>
      </c>
      <c r="AG311" s="123">
        <f t="shared" si="804"/>
        <v>30.617090246079748</v>
      </c>
      <c r="AH311" s="123">
        <f t="shared" si="804"/>
        <v>31.592799638778914</v>
      </c>
      <c r="AI311" s="123">
        <f t="shared" si="804"/>
        <v>23.253547454948063</v>
      </c>
      <c r="AJ311" s="123">
        <f t="shared" si="804"/>
        <v>24.010492064403309</v>
      </c>
      <c r="AK311" s="123">
        <f t="shared" si="804"/>
        <v>22.580298680501905</v>
      </c>
      <c r="AL311" s="123">
        <f t="shared" si="804"/>
        <v>20.836813512888348</v>
      </c>
      <c r="AM311" s="123">
        <f t="shared" si="804"/>
        <v>19.786486431861739</v>
      </c>
      <c r="AN311" s="123">
        <f t="shared" si="804"/>
        <v>21.149545437941452</v>
      </c>
      <c r="AO311" s="123">
        <f t="shared" si="804"/>
        <v>22.292293469099068</v>
      </c>
      <c r="AP311" s="123">
        <f t="shared" si="804"/>
        <v>24.825179912280348</v>
      </c>
      <c r="AQ311" s="123">
        <f t="shared" si="804"/>
        <v>23.232760714782295</v>
      </c>
      <c r="AR311" s="123">
        <f t="shared" si="804"/>
        <v>18.849836841331204</v>
      </c>
      <c r="AS311" s="123">
        <f t="shared" si="804"/>
        <v>13.193167787076417</v>
      </c>
      <c r="AT311" s="123">
        <f t="shared" si="804"/>
        <v>15.409436008676792</v>
      </c>
      <c r="AU311" s="123">
        <f t="shared" si="804"/>
        <v>26.061239911934912</v>
      </c>
      <c r="AV311" s="123">
        <f t="shared" si="804"/>
        <v>42.095085488643015</v>
      </c>
      <c r="AW311" s="123">
        <f t="shared" si="804"/>
        <v>33.113414775655812</v>
      </c>
      <c r="AX311" s="123">
        <f t="shared" si="804"/>
        <v>34.681270887381736</v>
      </c>
      <c r="AY311" s="123">
        <f t="shared" si="804"/>
        <v>24.043523628543902</v>
      </c>
      <c r="AZ311" s="123">
        <f t="shared" si="804"/>
        <v>25.927796797108559</v>
      </c>
      <c r="BA311" s="123">
        <f t="shared" si="804"/>
        <v>35.683438903318468</v>
      </c>
      <c r="BB311" s="123">
        <f t="shared" si="804"/>
        <v>26.007711792703819</v>
      </c>
      <c r="BC311" s="123">
        <f t="shared" si="804"/>
        <v>26.94776983610944</v>
      </c>
      <c r="BD311" s="123">
        <f t="shared" si="804"/>
        <v>27.029584942467384</v>
      </c>
      <c r="BE311" s="123">
        <f ca="1">(BE79/BE$17)*100</f>
        <v>25.371216115511785</v>
      </c>
      <c r="BF311" s="123">
        <f t="shared" si="804"/>
        <v>24.145539319761873</v>
      </c>
      <c r="BG311" s="123">
        <f t="shared" ref="BG311:BP311" si="805">(BG79/BG$17)*100</f>
        <v>29.377830159419393</v>
      </c>
      <c r="BH311" s="123">
        <f t="shared" si="805"/>
        <v>24.281044740722404</v>
      </c>
      <c r="BI311" s="123">
        <f t="shared" si="805"/>
        <v>27.679914272822987</v>
      </c>
      <c r="BJ311" s="123">
        <f t="shared" si="805"/>
        <v>21.737969921676243</v>
      </c>
      <c r="BK311" s="123">
        <f t="shared" si="805"/>
        <v>24.477580957652922</v>
      </c>
      <c r="BL311" s="123">
        <f t="shared" si="805"/>
        <v>24.488864549105514</v>
      </c>
      <c r="BM311" s="123">
        <f t="shared" si="805"/>
        <v>23.321948059596018</v>
      </c>
      <c r="BN311" s="123">
        <f t="shared" si="805"/>
        <v>21.689025095408809</v>
      </c>
      <c r="BO311" s="123">
        <f t="shared" si="805"/>
        <v>20.778260072140366</v>
      </c>
      <c r="BP311" s="123">
        <f t="shared" si="805"/>
        <v>18.056339473549183</v>
      </c>
      <c r="BQ311" s="123">
        <f t="shared" ref="BQ311:CB311" si="806">(BQ79/BQ$17)*100</f>
        <v>21.276418705275422</v>
      </c>
      <c r="BR311" s="123">
        <f t="shared" si="806"/>
        <v>23.134154847709834</v>
      </c>
      <c r="BS311" s="123">
        <f t="shared" si="806"/>
        <v>23.2482228347599</v>
      </c>
      <c r="BT311" s="123">
        <f t="shared" si="806"/>
        <v>14.013372725859119</v>
      </c>
      <c r="BU311" s="123">
        <f t="shared" ca="1" si="806"/>
        <v>21.887082586939531</v>
      </c>
      <c r="BV311" s="123">
        <f t="shared" ca="1" si="806"/>
        <v>23.133633453585194</v>
      </c>
      <c r="BW311" s="123">
        <f t="shared" ca="1" si="806"/>
        <v>19.297707201072797</v>
      </c>
      <c r="BX311" s="123">
        <f t="shared" ca="1" si="806"/>
        <v>19.274119210838872</v>
      </c>
      <c r="BY311" s="123">
        <f t="shared" ca="1" si="806"/>
        <v>19.112439022845532</v>
      </c>
      <c r="BZ311" s="123">
        <f t="shared" ca="1" si="806"/>
        <v>18.927547211427559</v>
      </c>
      <c r="CA311" s="123">
        <f t="shared" ca="1" si="806"/>
        <v>18.72846966472229</v>
      </c>
      <c r="CB311" s="123">
        <f t="shared" ca="1" si="806"/>
        <v>18.512761937379235</v>
      </c>
      <c r="CC311" s="123">
        <f ca="1">(CC79/CC$17)*100</f>
        <v>18.283061782615061</v>
      </c>
      <c r="CD311" s="123">
        <f ca="1">(CD79/CD$17)*100</f>
        <v>18.043437979182229</v>
      </c>
      <c r="CE311" s="123">
        <f ca="1">(CE79/CE$17)*100</f>
        <v>17.800537963007308</v>
      </c>
      <c r="CF311" s="123">
        <f ca="1">(CF79/CF$17)*100</f>
        <v>17.564468801023455</v>
      </c>
      <c r="CG311" s="123">
        <f ca="1">(CG79/CG$17)*100</f>
        <v>17.349266914756996</v>
      </c>
      <c r="CH311" s="141"/>
      <c r="CI311" s="159">
        <f t="shared" si="772"/>
        <v>0</v>
      </c>
      <c r="CJ311" s="159">
        <f t="shared" si="773"/>
        <v>0</v>
      </c>
      <c r="CK311" s="159">
        <f t="shared" si="774"/>
        <v>0</v>
      </c>
      <c r="CL311" s="159">
        <f t="shared" si="775"/>
        <v>0</v>
      </c>
      <c r="CM311" s="159">
        <f t="shared" ca="1" si="776"/>
        <v>7.5291312996068172E-2</v>
      </c>
      <c r="CN311" s="159">
        <f t="shared" ca="1" si="777"/>
        <v>0.27659915719671346</v>
      </c>
      <c r="CO311" s="159">
        <f t="shared" ca="1" si="778"/>
        <v>0.1173273190308457</v>
      </c>
      <c r="CP311" s="159">
        <f t="shared" ca="1" si="779"/>
        <v>0.17796670989316965</v>
      </c>
      <c r="CQ311" s="159">
        <f t="shared" ca="1" si="780"/>
        <v>0.23414704274854969</v>
      </c>
      <c r="CR311" s="159">
        <f t="shared" ca="1" si="781"/>
        <v>0.37686243715867107</v>
      </c>
      <c r="CS311" s="159">
        <f t="shared" ca="1" si="782"/>
        <v>0.45579347387443292</v>
      </c>
      <c r="CT311" s="159">
        <f t="shared" ca="1" si="783"/>
        <v>0.47089579851180119</v>
      </c>
      <c r="CU311" s="159">
        <f t="shared" ca="1" si="784"/>
        <v>0.50120377279680994</v>
      </c>
      <c r="CV311" s="159">
        <f t="shared" ca="1" si="785"/>
        <v>0.52921851519429097</v>
      </c>
      <c r="CW311" s="159">
        <f t="shared" ca="1" si="786"/>
        <v>0.55098210250142898</v>
      </c>
      <c r="CX311" s="159">
        <f t="shared" ca="1" si="787"/>
        <v>0.56439605473739363</v>
      </c>
      <c r="CY311" s="159">
        <f t="shared" ca="1" si="788"/>
        <v>0.56768479729402799</v>
      </c>
      <c r="CZ311" s="219"/>
      <c r="DA311" s="135">
        <v>21.276418705275422</v>
      </c>
      <c r="DB311" s="135">
        <v>23.134154847709834</v>
      </c>
      <c r="DC311" s="135">
        <v>23.2482228347599</v>
      </c>
      <c r="DD311" s="135">
        <v>14.013372725859119</v>
      </c>
      <c r="DE311" s="135">
        <v>21.811791273943463</v>
      </c>
      <c r="DF311" s="135">
        <v>22.85703429638848</v>
      </c>
      <c r="DG311" s="135">
        <v>19.180379882041951</v>
      </c>
      <c r="DH311" s="135">
        <v>19.096152500945703</v>
      </c>
      <c r="DI311" s="135">
        <v>18.878291980096982</v>
      </c>
      <c r="DJ311" s="135">
        <v>18.550684774268888</v>
      </c>
      <c r="DK311" s="135">
        <v>18.272676190847857</v>
      </c>
      <c r="DL311" s="135">
        <v>18.041866138867434</v>
      </c>
      <c r="DM311" s="135">
        <v>17.781858009818251</v>
      </c>
      <c r="DN311" s="135">
        <v>17.514219463987938</v>
      </c>
      <c r="DO311" s="135">
        <v>17.249555860505879</v>
      </c>
      <c r="DP311" s="135">
        <v>17.000072746286062</v>
      </c>
      <c r="DQ311" s="135">
        <v>16.781582117462968</v>
      </c>
    </row>
    <row r="312" spans="1:121" s="123" customFormat="1">
      <c r="A312" s="107" t="s">
        <v>1326</v>
      </c>
      <c r="B312" s="141"/>
      <c r="C312" s="136" t="s">
        <v>1320</v>
      </c>
      <c r="D312" s="102"/>
      <c r="E312" s="141"/>
      <c r="F312" s="123">
        <f t="shared" ref="F312:AK312" si="807">(F87/F17)*100</f>
        <v>28.231591613828854</v>
      </c>
      <c r="G312" s="123">
        <f t="shared" si="807"/>
        <v>30.51893239373657</v>
      </c>
      <c r="H312" s="123">
        <f t="shared" si="807"/>
        <v>29.22960567797989</v>
      </c>
      <c r="I312" s="123">
        <f t="shared" si="807"/>
        <v>31.85385237095737</v>
      </c>
      <c r="J312" s="123">
        <f t="shared" si="807"/>
        <v>36.26054146796605</v>
      </c>
      <c r="K312" s="123">
        <f t="shared" si="807"/>
        <v>34.845702008033477</v>
      </c>
      <c r="L312" s="123">
        <f t="shared" si="807"/>
        <v>39.334974399284903</v>
      </c>
      <c r="M312" s="123">
        <f t="shared" si="807"/>
        <v>39.126079670032169</v>
      </c>
      <c r="N312" s="123">
        <f t="shared" si="807"/>
        <v>37.878748926519485</v>
      </c>
      <c r="O312" s="123">
        <f t="shared" si="807"/>
        <v>34.301876723647077</v>
      </c>
      <c r="P312" s="123">
        <f t="shared" si="807"/>
        <v>34.365988091271618</v>
      </c>
      <c r="Q312" s="123">
        <f t="shared" si="807"/>
        <v>32.109324451189359</v>
      </c>
      <c r="R312" s="123">
        <f t="shared" si="807"/>
        <v>29.688656636420696</v>
      </c>
      <c r="S312" s="123">
        <f t="shared" si="807"/>
        <v>28.306389048517534</v>
      </c>
      <c r="T312" s="123">
        <f t="shared" si="807"/>
        <v>26.818275470326469</v>
      </c>
      <c r="U312" s="123">
        <f t="shared" si="807"/>
        <v>27.208999184151878</v>
      </c>
      <c r="V312" s="123">
        <f t="shared" si="807"/>
        <v>28.427639018496638</v>
      </c>
      <c r="W312" s="123">
        <f t="shared" si="807"/>
        <v>28.097392511366472</v>
      </c>
      <c r="X312" s="123">
        <f t="shared" si="807"/>
        <v>28.430793902551184</v>
      </c>
      <c r="Y312" s="123">
        <f t="shared" si="807"/>
        <v>27.217051733465318</v>
      </c>
      <c r="Z312" s="123">
        <f t="shared" si="807"/>
        <v>27.758863964733671</v>
      </c>
      <c r="AA312" s="123">
        <f t="shared" si="807"/>
        <v>29.11390099083301</v>
      </c>
      <c r="AB312" s="123">
        <f t="shared" si="807"/>
        <v>31.853810240456671</v>
      </c>
      <c r="AC312" s="123">
        <f t="shared" si="807"/>
        <v>35.077975060000547</v>
      </c>
      <c r="AD312" s="123">
        <f t="shared" si="807"/>
        <v>33.101588565089472</v>
      </c>
      <c r="AE312" s="123">
        <f t="shared" si="807"/>
        <v>29.240475426290679</v>
      </c>
      <c r="AF312" s="123">
        <f t="shared" si="807"/>
        <v>30.119972698759451</v>
      </c>
      <c r="AG312" s="123">
        <f t="shared" si="807"/>
        <v>34.87064104364795</v>
      </c>
      <c r="AH312" s="123">
        <f t="shared" si="807"/>
        <v>37.342149659436323</v>
      </c>
      <c r="AI312" s="123">
        <f t="shared" si="807"/>
        <v>38.307343492255185</v>
      </c>
      <c r="AJ312" s="123">
        <f t="shared" si="807"/>
        <v>36.88141961212802</v>
      </c>
      <c r="AK312" s="123">
        <f t="shared" si="807"/>
        <v>39.307131640544156</v>
      </c>
      <c r="AL312" s="123">
        <f t="shared" ref="AL312:BQ312" si="808">(AL87/AL17)*100</f>
        <v>40.323873585251256</v>
      </c>
      <c r="AM312" s="123">
        <f t="shared" si="808"/>
        <v>36.863316722563056</v>
      </c>
      <c r="AN312" s="123">
        <f t="shared" si="808"/>
        <v>36.465232032445265</v>
      </c>
      <c r="AO312" s="123">
        <f t="shared" si="808"/>
        <v>30.844331929730114</v>
      </c>
      <c r="AP312" s="123">
        <f t="shared" si="808"/>
        <v>28.584963954685893</v>
      </c>
      <c r="AQ312" s="123">
        <f t="shared" si="808"/>
        <v>36.500334746708326</v>
      </c>
      <c r="AR312" s="123">
        <f t="shared" si="808"/>
        <v>29.504531224254404</v>
      </c>
      <c r="AS312" s="123">
        <f t="shared" si="808"/>
        <v>18.338112223899028</v>
      </c>
      <c r="AT312" s="123">
        <f t="shared" si="808"/>
        <v>19.708760599487281</v>
      </c>
      <c r="AU312" s="123">
        <f t="shared" si="808"/>
        <v>49.074604810736119</v>
      </c>
      <c r="AV312" s="123">
        <f t="shared" si="808"/>
        <v>38.464483854718516</v>
      </c>
      <c r="AW312" s="123">
        <f t="shared" si="808"/>
        <v>37.233804235108707</v>
      </c>
      <c r="AX312" s="123">
        <f t="shared" si="808"/>
        <v>51.854179020793076</v>
      </c>
      <c r="AY312" s="123">
        <f t="shared" si="808"/>
        <v>36.930195280713249</v>
      </c>
      <c r="AZ312" s="123">
        <f t="shared" si="808"/>
        <v>41.797058152887125</v>
      </c>
      <c r="BA312" s="123">
        <f t="shared" si="808"/>
        <v>44.154134647434276</v>
      </c>
      <c r="BB312" s="123">
        <f t="shared" si="808"/>
        <v>40.303424660908817</v>
      </c>
      <c r="BC312" s="123">
        <f t="shared" si="808"/>
        <v>33.579671377642171</v>
      </c>
      <c r="BD312" s="123">
        <f t="shared" ca="1" si="808"/>
        <v>32.747758831018956</v>
      </c>
      <c r="BE312" s="123">
        <f t="shared" ca="1" si="808"/>
        <v>29.755573056168348</v>
      </c>
      <c r="BF312" s="123">
        <f t="shared" si="808"/>
        <v>24.595145913991928</v>
      </c>
      <c r="BG312" s="123">
        <f t="shared" si="808"/>
        <v>25.024502202096642</v>
      </c>
      <c r="BH312" s="123">
        <f t="shared" si="808"/>
        <v>22.78487538796259</v>
      </c>
      <c r="BI312" s="123">
        <f t="shared" si="808"/>
        <v>26.879041961197174</v>
      </c>
      <c r="BJ312" s="123">
        <f t="shared" si="808"/>
        <v>24.651546873305698</v>
      </c>
      <c r="BK312" s="123">
        <f t="shared" si="808"/>
        <v>24.571685579850541</v>
      </c>
      <c r="BL312" s="123">
        <f t="shared" si="808"/>
        <v>26.838262139466956</v>
      </c>
      <c r="BM312" s="123">
        <f t="shared" si="808"/>
        <v>27.845827689770918</v>
      </c>
      <c r="BN312" s="123">
        <f t="shared" si="808"/>
        <v>30.049149994217643</v>
      </c>
      <c r="BO312" s="123">
        <f t="shared" si="808"/>
        <v>31.030751360273896</v>
      </c>
      <c r="BP312" s="123">
        <f t="shared" si="808"/>
        <v>28.79573092513726</v>
      </c>
      <c r="BQ312" s="123">
        <f t="shared" si="808"/>
        <v>31.138708603761025</v>
      </c>
      <c r="BR312" s="123">
        <f t="shared" ref="BR312:CC312" si="809">(BR87/BR17)*100</f>
        <v>31.089669069208707</v>
      </c>
      <c r="BS312" s="123">
        <f t="shared" si="809"/>
        <v>37.806470332221096</v>
      </c>
      <c r="BT312" s="123">
        <f t="shared" si="809"/>
        <v>29.687451407246151</v>
      </c>
      <c r="BU312" s="123">
        <f t="shared" ca="1" si="809"/>
        <v>24.90713265495808</v>
      </c>
      <c r="BV312" s="123">
        <f t="shared" ca="1" si="809"/>
        <v>22.965424343449151</v>
      </c>
      <c r="BW312" s="123">
        <f t="shared" ca="1" si="809"/>
        <v>22.525214433092003</v>
      </c>
      <c r="BX312" s="123">
        <f t="shared" ca="1" si="809"/>
        <v>22.438243949072739</v>
      </c>
      <c r="BY312" s="123">
        <f t="shared" ca="1" si="809"/>
        <v>22.288458582675712</v>
      </c>
      <c r="BZ312" s="123">
        <f t="shared" ca="1" si="809"/>
        <v>22.16347423585351</v>
      </c>
      <c r="CA312" s="123">
        <f t="shared" ca="1" si="809"/>
        <v>22.070011390322517</v>
      </c>
      <c r="CB312" s="123">
        <f t="shared" ca="1" si="809"/>
        <v>22.012072689061757</v>
      </c>
      <c r="CC312" s="123">
        <f t="shared" ca="1" si="809"/>
        <v>21.981517066581663</v>
      </c>
      <c r="CD312" s="123">
        <f ca="1">(CD87/CD17)*100</f>
        <v>21.967089710375951</v>
      </c>
      <c r="CE312" s="123">
        <f ca="1">(CE87/CE17)*100</f>
        <v>21.952217836288419</v>
      </c>
      <c r="CF312" s="123">
        <f ca="1">(CF87/CF17)*100</f>
        <v>21.914398138459632</v>
      </c>
      <c r="CG312" s="123">
        <f ca="1">(CG87/CG17)*100</f>
        <v>21.826111157233182</v>
      </c>
      <c r="CH312" s="141"/>
      <c r="CI312" s="159">
        <f t="shared" si="772"/>
        <v>0</v>
      </c>
      <c r="CJ312" s="159">
        <f t="shared" si="773"/>
        <v>0</v>
      </c>
      <c r="CK312" s="159">
        <f t="shared" si="774"/>
        <v>0</v>
      </c>
      <c r="CL312" s="159">
        <f t="shared" si="775"/>
        <v>0</v>
      </c>
      <c r="CM312" s="159">
        <f t="shared" ca="1" si="776"/>
        <v>-6.3306365626357781</v>
      </c>
      <c r="CN312" s="159">
        <f t="shared" ca="1" si="777"/>
        <v>-5.6035349602780684</v>
      </c>
      <c r="CO312" s="159">
        <f t="shared" ca="1" si="778"/>
        <v>-5.163253826997348</v>
      </c>
      <c r="CP312" s="159">
        <f t="shared" ca="1" si="779"/>
        <v>-4.847434240593703</v>
      </c>
      <c r="CQ312" s="159">
        <f t="shared" ca="1" si="780"/>
        <v>-4.4607114249201878</v>
      </c>
      <c r="CR312" s="159">
        <f t="shared" ca="1" si="781"/>
        <v>-0.92214368716357242</v>
      </c>
      <c r="CS312" s="159">
        <f t="shared" ca="1" si="782"/>
        <v>-0.85451847784418433</v>
      </c>
      <c r="CT312" s="159">
        <f t="shared" ca="1" si="783"/>
        <v>-0.73485776107165179</v>
      </c>
      <c r="CU312" s="159">
        <f t="shared" ca="1" si="784"/>
        <v>-0.67729270128278429</v>
      </c>
      <c r="CV312" s="159">
        <f t="shared" ca="1" si="785"/>
        <v>-0.63819712484064084</v>
      </c>
      <c r="CW312" s="159">
        <f t="shared" ca="1" si="786"/>
        <v>-0.61418951101573072</v>
      </c>
      <c r="CX312" s="159">
        <f t="shared" ca="1" si="787"/>
        <v>-0.60229279788413947</v>
      </c>
      <c r="CY312" s="159">
        <f t="shared" ca="1" si="788"/>
        <v>-0.5982865119477232</v>
      </c>
      <c r="CZ312" s="219"/>
      <c r="DA312" s="135">
        <v>31.138708603761025</v>
      </c>
      <c r="DB312" s="135">
        <v>31.089669069208707</v>
      </c>
      <c r="DC312" s="135">
        <v>37.806470332221096</v>
      </c>
      <c r="DD312" s="135">
        <v>29.687451407246151</v>
      </c>
      <c r="DE312" s="135">
        <v>31.237769217593858</v>
      </c>
      <c r="DF312" s="135">
        <v>28.568959303727219</v>
      </c>
      <c r="DG312" s="135">
        <v>27.688468260089351</v>
      </c>
      <c r="DH312" s="135">
        <v>27.285678189666442</v>
      </c>
      <c r="DI312" s="135">
        <v>26.7491700075959</v>
      </c>
      <c r="DJ312" s="135">
        <v>23.085617923017082</v>
      </c>
      <c r="DK312" s="135">
        <v>22.924529868166701</v>
      </c>
      <c r="DL312" s="135">
        <v>22.746930450133409</v>
      </c>
      <c r="DM312" s="135">
        <v>22.658809767864447</v>
      </c>
      <c r="DN312" s="135">
        <v>22.605286835216592</v>
      </c>
      <c r="DO312" s="135">
        <v>22.56640734730415</v>
      </c>
      <c r="DP312" s="135">
        <v>22.516690936343771</v>
      </c>
      <c r="DQ312" s="135">
        <v>22.424397669180905</v>
      </c>
    </row>
    <row r="313" spans="1:121" s="123" customFormat="1">
      <c r="A313" s="107" t="s">
        <v>1327</v>
      </c>
      <c r="B313" s="107"/>
      <c r="C313" s="136" t="s">
        <v>1320</v>
      </c>
      <c r="D313" s="147"/>
      <c r="E313" s="107"/>
      <c r="F313" s="106">
        <f t="shared" ref="F313:BF313" si="810">(F8/F17)*100</f>
        <v>59.867503256219877</v>
      </c>
      <c r="G313" s="106">
        <f t="shared" si="810"/>
        <v>61.174503345871422</v>
      </c>
      <c r="H313" s="106">
        <f t="shared" si="810"/>
        <v>61.981335027143793</v>
      </c>
      <c r="I313" s="106">
        <f t="shared" si="810"/>
        <v>57.738900572812859</v>
      </c>
      <c r="J313" s="106">
        <f t="shared" si="810"/>
        <v>55.899208890117734</v>
      </c>
      <c r="K313" s="106">
        <f t="shared" si="810"/>
        <v>58.451155627956567</v>
      </c>
      <c r="L313" s="106">
        <f t="shared" si="810"/>
        <v>58.182242838777931</v>
      </c>
      <c r="M313" s="106">
        <f t="shared" si="810"/>
        <v>59.836565285705589</v>
      </c>
      <c r="N313" s="106">
        <f t="shared" si="810"/>
        <v>59.97923754222564</v>
      </c>
      <c r="O313" s="106">
        <f t="shared" si="810"/>
        <v>61.235663152081301</v>
      </c>
      <c r="P313" s="106">
        <f t="shared" si="810"/>
        <v>57.050181109971298</v>
      </c>
      <c r="Q313" s="106">
        <f t="shared" si="810"/>
        <v>60.326125508911389</v>
      </c>
      <c r="R313" s="106">
        <f t="shared" si="810"/>
        <v>57.509297082929976</v>
      </c>
      <c r="S313" s="106">
        <f t="shared" si="810"/>
        <v>63.236552108549191</v>
      </c>
      <c r="T313" s="106">
        <f t="shared" si="810"/>
        <v>61.280756758123701</v>
      </c>
      <c r="U313" s="106">
        <f t="shared" si="810"/>
        <v>63.127780660512315</v>
      </c>
      <c r="V313" s="106">
        <f t="shared" si="810"/>
        <v>63.989442755376402</v>
      </c>
      <c r="W313" s="106">
        <f t="shared" si="810"/>
        <v>60.911539671971447</v>
      </c>
      <c r="X313" s="106">
        <f t="shared" si="810"/>
        <v>61.47324070029412</v>
      </c>
      <c r="Y313" s="106">
        <f t="shared" si="810"/>
        <v>65.175742098376944</v>
      </c>
      <c r="Z313" s="106">
        <f t="shared" si="810"/>
        <v>58.892292017622971</v>
      </c>
      <c r="AA313" s="106">
        <f t="shared" si="810"/>
        <v>55.812395998961804</v>
      </c>
      <c r="AB313" s="106">
        <f t="shared" si="810"/>
        <v>60.939746951780215</v>
      </c>
      <c r="AC313" s="106">
        <f t="shared" si="810"/>
        <v>65.059567390406471</v>
      </c>
      <c r="AD313" s="106">
        <f t="shared" si="810"/>
        <v>64.601912044461542</v>
      </c>
      <c r="AE313" s="106">
        <f t="shared" si="810"/>
        <v>65.416813145087858</v>
      </c>
      <c r="AF313" s="106">
        <f t="shared" si="810"/>
        <v>65.229641678633044</v>
      </c>
      <c r="AG313" s="106">
        <f t="shared" si="810"/>
        <v>63.469009726828027</v>
      </c>
      <c r="AH313" s="106">
        <f t="shared" si="810"/>
        <v>65.745510135126352</v>
      </c>
      <c r="AI313" s="106">
        <f t="shared" si="810"/>
        <v>70.5820528587262</v>
      </c>
      <c r="AJ313" s="106">
        <f t="shared" si="810"/>
        <v>70.517029932398401</v>
      </c>
      <c r="AK313" s="106">
        <f t="shared" si="810"/>
        <v>65.212201388698531</v>
      </c>
      <c r="AL313" s="106">
        <f t="shared" si="810"/>
        <v>66.763809307429995</v>
      </c>
      <c r="AM313" s="106">
        <f t="shared" si="810"/>
        <v>78.72577546043965</v>
      </c>
      <c r="AN313" s="106">
        <f t="shared" si="810"/>
        <v>84.539551813235775</v>
      </c>
      <c r="AO313" s="106">
        <f t="shared" si="810"/>
        <v>101.71908037794853</v>
      </c>
      <c r="AP313" s="106">
        <f t="shared" si="810"/>
        <v>113.0638516992791</v>
      </c>
      <c r="AQ313" s="106">
        <f t="shared" si="810"/>
        <v>132.66971658112027</v>
      </c>
      <c r="AR313" s="106">
        <f t="shared" si="810"/>
        <v>139.47965068380296</v>
      </c>
      <c r="AS313" s="106">
        <f t="shared" si="810"/>
        <v>106.16662093565643</v>
      </c>
      <c r="AT313" s="106">
        <f t="shared" si="810"/>
        <v>80.619860481167436</v>
      </c>
      <c r="AU313" s="106">
        <f t="shared" si="810"/>
        <v>58.42419679864436</v>
      </c>
      <c r="AV313" s="106">
        <f t="shared" si="810"/>
        <v>57.721604482580943</v>
      </c>
      <c r="AW313" s="106">
        <f t="shared" si="810"/>
        <v>55.993937427037878</v>
      </c>
      <c r="AX313" s="106">
        <f t="shared" si="810"/>
        <v>60.959769757169738</v>
      </c>
      <c r="AY313" s="106">
        <f t="shared" si="810"/>
        <v>64.324524547155718</v>
      </c>
      <c r="AZ313" s="106">
        <f t="shared" si="810"/>
        <v>57.037542107559723</v>
      </c>
      <c r="BA313" s="106">
        <f t="shared" si="810"/>
        <v>47.051646972587164</v>
      </c>
      <c r="BB313" s="106">
        <f t="shared" si="810"/>
        <v>60.719584016471629</v>
      </c>
      <c r="BC313" s="106">
        <f t="shared" si="810"/>
        <v>64.365124409769081</v>
      </c>
      <c r="BD313" s="106">
        <f t="shared" si="810"/>
        <v>61.947011706715962</v>
      </c>
      <c r="BE313" s="106">
        <f t="shared" si="810"/>
        <v>58.685446009389672</v>
      </c>
      <c r="BF313" s="106">
        <f t="shared" si="810"/>
        <v>41.324951778305092</v>
      </c>
      <c r="BG313" s="106">
        <f>(BG8/BG17)*100</f>
        <v>41.246820916816574</v>
      </c>
      <c r="BH313" s="106">
        <f>(BH8/BH17)*100</f>
        <v>42.096905579443401</v>
      </c>
      <c r="BI313" s="106">
        <f>(BI8/BI17)*100</f>
        <v>38.345051887501882</v>
      </c>
      <c r="BJ313" s="106">
        <f t="shared" ref="BJ313:BP313" si="811">(BJ8/BJ17)*100</f>
        <v>37.682150691901541</v>
      </c>
      <c r="BK313" s="106">
        <f t="shared" si="811"/>
        <v>39.521203168471487</v>
      </c>
      <c r="BL313" s="106">
        <f t="shared" si="811"/>
        <v>45.109247210830432</v>
      </c>
      <c r="BM313" s="106">
        <f t="shared" si="811"/>
        <v>54.522942372615304</v>
      </c>
      <c r="BN313" s="106">
        <f t="shared" si="811"/>
        <v>55.436830249738598</v>
      </c>
      <c r="BO313" s="106">
        <f t="shared" si="811"/>
        <v>57.367417040555644</v>
      </c>
      <c r="BP313" s="106">
        <f t="shared" si="811"/>
        <v>45.268547431385251</v>
      </c>
      <c r="BQ313" s="106">
        <f t="shared" ref="BQ313:CB313" si="812">(BQ8/BQ17)*100</f>
        <v>47.380372736892753</v>
      </c>
      <c r="BR313" s="106">
        <f t="shared" si="812"/>
        <v>52.882405676034992</v>
      </c>
      <c r="BS313" s="106">
        <f t="shared" si="812"/>
        <v>48.898584567914696</v>
      </c>
      <c r="BT313" s="106">
        <f t="shared" ca="1" si="812"/>
        <v>46.117175108421883</v>
      </c>
      <c r="BU313" s="106">
        <f t="shared" ca="1" si="812"/>
        <v>33.214191463139883</v>
      </c>
      <c r="BV313" s="106">
        <f t="shared" ca="1" si="812"/>
        <v>37.973951478465423</v>
      </c>
      <c r="BW313" s="106">
        <f t="shared" ca="1" si="812"/>
        <v>41.900528456962391</v>
      </c>
      <c r="BX313" s="106">
        <f t="shared" ca="1" si="812"/>
        <v>44.706989667413872</v>
      </c>
      <c r="BY313" s="106">
        <f t="shared" ca="1" si="812"/>
        <v>46.867028947113305</v>
      </c>
      <c r="BZ313" s="106">
        <f t="shared" ca="1" si="812"/>
        <v>49.287599474015579</v>
      </c>
      <c r="CA313" s="106">
        <f t="shared" ca="1" si="812"/>
        <v>51.856861070824458</v>
      </c>
      <c r="CB313" s="106">
        <f t="shared" ca="1" si="812"/>
        <v>54.558443454562621</v>
      </c>
      <c r="CC313" s="106">
        <f ca="1">(CC8/CC17)*100</f>
        <v>57.374548290580698</v>
      </c>
      <c r="CD313" s="106">
        <f ca="1">(CD8/CD17)*100</f>
        <v>60.273714190789541</v>
      </c>
      <c r="CE313" s="106">
        <f ca="1">(CE8/CE17)*100</f>
        <v>63.205327892110354</v>
      </c>
      <c r="CF313" s="106">
        <f ca="1">(CF8/CF17)*100</f>
        <v>66.094706976123547</v>
      </c>
      <c r="CG313" s="106">
        <f ca="1">(CG8/CG17)*100</f>
        <v>68.842196532912041</v>
      </c>
      <c r="CH313" s="141"/>
      <c r="CI313" s="159">
        <f t="shared" si="772"/>
        <v>0</v>
      </c>
      <c r="CJ313" s="159">
        <f t="shared" si="773"/>
        <v>0</v>
      </c>
      <c r="CK313" s="159">
        <f t="shared" si="774"/>
        <v>0</v>
      </c>
      <c r="CL313" s="159">
        <f t="shared" ca="1" si="775"/>
        <v>0</v>
      </c>
      <c r="CM313" s="159">
        <f t="shared" ca="1" si="776"/>
        <v>-0.65507530539598235</v>
      </c>
      <c r="CN313" s="159">
        <f t="shared" ca="1" si="777"/>
        <v>-0.27935297857757035</v>
      </c>
      <c r="CO313" s="159">
        <f t="shared" ca="1" si="778"/>
        <v>-0.14786544762753806</v>
      </c>
      <c r="CP313" s="159">
        <f t="shared" ca="1" si="779"/>
        <v>-0.20410640012481451</v>
      </c>
      <c r="CQ313" s="159">
        <f t="shared" ca="1" si="780"/>
        <v>-0.35607583896869244</v>
      </c>
      <c r="CR313" s="159">
        <f t="shared" ca="1" si="781"/>
        <v>-1.4843215043027058</v>
      </c>
      <c r="CS313" s="159">
        <f t="shared" ca="1" si="782"/>
        <v>-1.2521159588034649</v>
      </c>
      <c r="CT313" s="159">
        <f t="shared" ca="1" si="783"/>
        <v>-1.1657821984284453</v>
      </c>
      <c r="CU313" s="159">
        <f t="shared" ca="1" si="784"/>
        <v>-1.1422758706494633</v>
      </c>
      <c r="CV313" s="159">
        <f t="shared" ca="1" si="785"/>
        <v>-1.1616494551179741</v>
      </c>
      <c r="CW313" s="159">
        <f t="shared" ca="1" si="786"/>
        <v>-1.1979783932422734</v>
      </c>
      <c r="CX313" s="159">
        <f t="shared" ca="1" si="787"/>
        <v>-1.236397465442451</v>
      </c>
      <c r="CY313" s="159">
        <f t="shared" ca="1" si="788"/>
        <v>-1.2659841357185542</v>
      </c>
      <c r="CZ313" s="134"/>
      <c r="DA313" s="135">
        <v>47.380372736892753</v>
      </c>
      <c r="DB313" s="135">
        <v>52.882405676034992</v>
      </c>
      <c r="DC313" s="135">
        <v>48.898584567914696</v>
      </c>
      <c r="DD313" s="135">
        <v>46.117175108421883</v>
      </c>
      <c r="DE313" s="135">
        <v>33.869266768535866</v>
      </c>
      <c r="DF313" s="135">
        <v>38.253304457042994</v>
      </c>
      <c r="DG313" s="135">
        <v>42.048393904589929</v>
      </c>
      <c r="DH313" s="135">
        <v>44.911096067538686</v>
      </c>
      <c r="DI313" s="135">
        <v>47.223104786081997</v>
      </c>
      <c r="DJ313" s="135">
        <v>50.771920978318285</v>
      </c>
      <c r="DK313" s="135">
        <v>53.108977029627923</v>
      </c>
      <c r="DL313" s="135">
        <v>55.724225652991066</v>
      </c>
      <c r="DM313" s="135">
        <v>58.516824161230161</v>
      </c>
      <c r="DN313" s="135">
        <v>61.435363645907515</v>
      </c>
      <c r="DO313" s="135">
        <v>64.403306285352627</v>
      </c>
      <c r="DP313" s="135">
        <v>67.331104441565998</v>
      </c>
      <c r="DQ313" s="135">
        <v>70.108180668630595</v>
      </c>
    </row>
    <row r="314" spans="1:121" s="123" customFormat="1">
      <c r="A314" s="107" t="s">
        <v>1328</v>
      </c>
      <c r="B314" s="107"/>
      <c r="C314" s="136" t="s">
        <v>1320</v>
      </c>
      <c r="D314" s="147"/>
      <c r="E314" s="107"/>
      <c r="F314" s="106">
        <f t="shared" ref="F314:AK314" si="813">(F178/F17)*100</f>
        <v>0</v>
      </c>
      <c r="G314" s="106">
        <f t="shared" si="813"/>
        <v>0</v>
      </c>
      <c r="H314" s="106">
        <f t="shared" si="813"/>
        <v>0</v>
      </c>
      <c r="I314" s="106">
        <f t="shared" si="813"/>
        <v>15.756302521008402</v>
      </c>
      <c r="J314" s="106">
        <f t="shared" si="813"/>
        <v>15.466309223075733</v>
      </c>
      <c r="K314" s="106">
        <f t="shared" si="813"/>
        <v>18.57096429732114</v>
      </c>
      <c r="L314" s="106">
        <f t="shared" si="813"/>
        <v>16.891178581985557</v>
      </c>
      <c r="M314" s="106">
        <f t="shared" si="813"/>
        <v>19.542700801250739</v>
      </c>
      <c r="N314" s="106">
        <f t="shared" si="813"/>
        <v>18.110692552883222</v>
      </c>
      <c r="O314" s="106">
        <f t="shared" si="813"/>
        <v>20.008003201280513</v>
      </c>
      <c r="P314" s="106">
        <f t="shared" si="813"/>
        <v>21.867483052700639</v>
      </c>
      <c r="Q314" s="106">
        <f t="shared" si="813"/>
        <v>21.756275325664248</v>
      </c>
      <c r="R314" s="106">
        <f t="shared" si="813"/>
        <v>19.850459868986967</v>
      </c>
      <c r="S314" s="106">
        <f t="shared" si="813"/>
        <v>19.055241144076678</v>
      </c>
      <c r="T314" s="106">
        <f t="shared" si="813"/>
        <v>17.398263653287401</v>
      </c>
      <c r="U314" s="106">
        <f t="shared" si="813"/>
        <v>16.191447677336832</v>
      </c>
      <c r="V314" s="106">
        <f t="shared" si="813"/>
        <v>15.278838808250574</v>
      </c>
      <c r="W314" s="106">
        <f t="shared" si="813"/>
        <v>27.918144001786764</v>
      </c>
      <c r="X314" s="106">
        <f t="shared" si="813"/>
        <v>26.933850463262232</v>
      </c>
      <c r="Y314" s="106">
        <f t="shared" si="813"/>
        <v>24.752168908800634</v>
      </c>
      <c r="Z314" s="106">
        <f t="shared" si="813"/>
        <v>20.496003279360529</v>
      </c>
      <c r="AA314" s="106">
        <f t="shared" si="813"/>
        <v>27.078500573161595</v>
      </c>
      <c r="AB314" s="106">
        <f t="shared" si="813"/>
        <v>33.247720453166437</v>
      </c>
      <c r="AC314" s="106">
        <f t="shared" si="813"/>
        <v>32.74887507614114</v>
      </c>
      <c r="AD314" s="106">
        <f t="shared" si="813"/>
        <v>34.276116972961852</v>
      </c>
      <c r="AE314" s="106">
        <f t="shared" si="813"/>
        <v>32.217359787365424</v>
      </c>
      <c r="AF314" s="106">
        <f t="shared" si="813"/>
        <v>36.995930447650757</v>
      </c>
      <c r="AG314" s="106">
        <f t="shared" si="813"/>
        <v>37.810399750451367</v>
      </c>
      <c r="AH314" s="106">
        <f t="shared" si="813"/>
        <v>41.328006612481055</v>
      </c>
      <c r="AI314" s="106">
        <f t="shared" si="813"/>
        <v>52.312945551735133</v>
      </c>
      <c r="AJ314" s="106">
        <f t="shared" si="813"/>
        <v>56.588291882409521</v>
      </c>
      <c r="AK314" s="106">
        <f t="shared" si="813"/>
        <v>77.006747716268649</v>
      </c>
      <c r="AL314" s="106">
        <f t="shared" ref="AL314:BQ314" si="814">(AL178/AL17)*100</f>
        <v>92.899112506955646</v>
      </c>
      <c r="AM314" s="106">
        <f t="shared" si="814"/>
        <v>107.18573143543134</v>
      </c>
      <c r="AN314" s="106">
        <f t="shared" si="814"/>
        <v>108.57056000694854</v>
      </c>
      <c r="AO314" s="106">
        <f t="shared" si="814"/>
        <v>114.60537034570557</v>
      </c>
      <c r="AP314" s="106">
        <f t="shared" si="814"/>
        <v>97.83728115345005</v>
      </c>
      <c r="AQ314" s="106">
        <f t="shared" si="814"/>
        <v>104.88730194153091</v>
      </c>
      <c r="AR314" s="106">
        <f t="shared" si="814"/>
        <v>92.272202998846595</v>
      </c>
      <c r="AS314" s="106">
        <f t="shared" si="814"/>
        <v>65.166689532171773</v>
      </c>
      <c r="AT314" s="106">
        <f t="shared" si="814"/>
        <v>45.972194833366196</v>
      </c>
      <c r="AU314" s="106">
        <f t="shared" si="814"/>
        <v>30.129251544901088</v>
      </c>
      <c r="AV314" s="106">
        <f t="shared" si="814"/>
        <v>37.374140915854625</v>
      </c>
      <c r="AW314" s="106">
        <f t="shared" si="814"/>
        <v>44.202294309561786</v>
      </c>
      <c r="AX314" s="106">
        <f t="shared" si="814"/>
        <v>47.103569338794621</v>
      </c>
      <c r="AY314" s="106">
        <f t="shared" si="814"/>
        <v>45.591110061531595</v>
      </c>
      <c r="AZ314" s="106">
        <f t="shared" si="814"/>
        <v>55.598767953685545</v>
      </c>
      <c r="BA314" s="106">
        <f t="shared" si="814"/>
        <v>51.596472041739041</v>
      </c>
      <c r="BB314" s="106">
        <f t="shared" si="814"/>
        <v>48.935756255107201</v>
      </c>
      <c r="BC314" s="106">
        <f t="shared" si="814"/>
        <v>45.172711470054786</v>
      </c>
      <c r="BD314" s="106">
        <f t="shared" si="814"/>
        <v>48.258780036968574</v>
      </c>
      <c r="BE314" s="106">
        <f t="shared" si="814"/>
        <v>44.415186772810777</v>
      </c>
      <c r="BF314" s="106">
        <f t="shared" si="814"/>
        <v>38.76191665625911</v>
      </c>
      <c r="BG314" s="106">
        <f t="shared" si="814"/>
        <v>44.625023261584268</v>
      </c>
      <c r="BH314" s="106">
        <f t="shared" si="814"/>
        <v>44.715975294129777</v>
      </c>
      <c r="BI314" s="106">
        <f t="shared" si="814"/>
        <v>46.950669273574981</v>
      </c>
      <c r="BJ314" s="106">
        <f t="shared" si="814"/>
        <v>46.085897553529577</v>
      </c>
      <c r="BK314" s="106">
        <f t="shared" si="814"/>
        <v>46.430251868253528</v>
      </c>
      <c r="BL314" s="106">
        <f t="shared" si="814"/>
        <v>49.462090787391993</v>
      </c>
      <c r="BM314" s="106">
        <f t="shared" si="814"/>
        <v>53.165891290265591</v>
      </c>
      <c r="BN314" s="106">
        <f t="shared" si="814"/>
        <v>55.04914999421765</v>
      </c>
      <c r="BO314" s="106">
        <f t="shared" si="814"/>
        <v>65.044323531209884</v>
      </c>
      <c r="BP314" s="106">
        <f t="shared" si="814"/>
        <v>83.08840884601571</v>
      </c>
      <c r="BQ314" s="106">
        <f t="shared" si="814"/>
        <v>73.229738725245468</v>
      </c>
      <c r="BR314" s="106">
        <f t="shared" ref="BR314:CC314" si="815">(BR178/BR17)*100</f>
        <v>74.388126792218856</v>
      </c>
      <c r="BS314" s="106">
        <f t="shared" si="815"/>
        <v>73.582620049325413</v>
      </c>
      <c r="BT314" s="106">
        <f t="shared" si="815"/>
        <v>100.90125952417975</v>
      </c>
      <c r="BU314" s="106">
        <f t="shared" ca="1" si="815"/>
        <v>83.462163604375604</v>
      </c>
      <c r="BV314" s="106">
        <f t="shared" ca="1" si="815"/>
        <v>76.681949693852687</v>
      </c>
      <c r="BW314" s="106">
        <f t="shared" ca="1" si="815"/>
        <v>74.589381958640672</v>
      </c>
      <c r="BX314" s="106">
        <f t="shared" ca="1" si="815"/>
        <v>72.621578540044382</v>
      </c>
      <c r="BY314" s="106">
        <f t="shared" ca="1" si="815"/>
        <v>69.500824650061986</v>
      </c>
      <c r="BZ314" s="106">
        <f t="shared" ca="1" si="815"/>
        <v>65.769221794016346</v>
      </c>
      <c r="CA314" s="106">
        <f t="shared" ca="1" si="815"/>
        <v>61.488944026231437</v>
      </c>
      <c r="CB314" s="106">
        <f t="shared" ca="1" si="815"/>
        <v>56.665178659806756</v>
      </c>
      <c r="CC314" s="106">
        <f t="shared" ca="1" si="815"/>
        <v>51.350447452418322</v>
      </c>
      <c r="CD314" s="106">
        <f ca="1">(CD178/CD17)*100</f>
        <v>45.65284291122034</v>
      </c>
      <c r="CE314" s="106">
        <f ca="1">(CE178/CE17)*100</f>
        <v>39.750059434365518</v>
      </c>
      <c r="CF314" s="106">
        <f ca="1">(CF178/CF17)*100</f>
        <v>33.89673449020087</v>
      </c>
      <c r="CG314" s="106">
        <f ca="1">(CG178/CG17)*100</f>
        <v>28.415905353493109</v>
      </c>
      <c r="CH314" s="141"/>
      <c r="CI314" s="159">
        <f t="shared" si="772"/>
        <v>0</v>
      </c>
      <c r="CJ314" s="159">
        <f t="shared" si="773"/>
        <v>0</v>
      </c>
      <c r="CK314" s="159">
        <f t="shared" si="774"/>
        <v>0</v>
      </c>
      <c r="CL314" s="159">
        <f t="shared" si="775"/>
        <v>0</v>
      </c>
      <c r="CM314" s="159">
        <f t="shared" ca="1" si="776"/>
        <v>1.3300422573509678</v>
      </c>
      <c r="CN314" s="159">
        <f t="shared" ca="1" si="777"/>
        <v>-2.427428473189579</v>
      </c>
      <c r="CO314" s="159">
        <f t="shared" ca="1" si="778"/>
        <v>-4.9321973088317037</v>
      </c>
      <c r="CP314" s="159">
        <f t="shared" ca="1" si="779"/>
        <v>-7.4167066245457249</v>
      </c>
      <c r="CQ314" s="159">
        <f t="shared" ca="1" si="780"/>
        <v>-9.7669877864301071</v>
      </c>
      <c r="CR314" s="159">
        <f t="shared" ca="1" si="781"/>
        <v>-11.75779568951279</v>
      </c>
      <c r="CS314" s="159">
        <f t="shared" ca="1" si="782"/>
        <v>-12.669257305661418</v>
      </c>
      <c r="CT314" s="159">
        <f t="shared" ca="1" si="783"/>
        <v>-13.657171702400902</v>
      </c>
      <c r="CU314" s="159">
        <f t="shared" ca="1" si="784"/>
        <v>-14.412553476215052</v>
      </c>
      <c r="CV314" s="159">
        <f t="shared" ca="1" si="785"/>
        <v>-14.923642218781247</v>
      </c>
      <c r="CW314" s="159">
        <f t="shared" ca="1" si="786"/>
        <v>-15.133258205232522</v>
      </c>
      <c r="CX314" s="159">
        <f t="shared" ca="1" si="787"/>
        <v>-14.974907231551555</v>
      </c>
      <c r="CY314" s="159">
        <f t="shared" ca="1" si="788"/>
        <v>-14.403435804828455</v>
      </c>
      <c r="CZ314" s="134"/>
      <c r="DA314" s="135">
        <v>73.229738725245468</v>
      </c>
      <c r="DB314" s="135">
        <v>74.388126792218856</v>
      </c>
      <c r="DC314" s="135">
        <v>73.582620049325413</v>
      </c>
      <c r="DD314" s="135">
        <v>100.90125952417975</v>
      </c>
      <c r="DE314" s="135">
        <v>82.132121347024636</v>
      </c>
      <c r="DF314" s="135">
        <v>79.109378167042266</v>
      </c>
      <c r="DG314" s="135">
        <v>79.521579267472376</v>
      </c>
      <c r="DH314" s="135">
        <v>80.038285164590107</v>
      </c>
      <c r="DI314" s="135">
        <v>79.267812436492093</v>
      </c>
      <c r="DJ314" s="135">
        <v>77.527017483529136</v>
      </c>
      <c r="DK314" s="135">
        <v>74.158201331892855</v>
      </c>
      <c r="DL314" s="135">
        <v>70.322350362207658</v>
      </c>
      <c r="DM314" s="135">
        <v>65.763000928633375</v>
      </c>
      <c r="DN314" s="135">
        <v>60.576485130001586</v>
      </c>
      <c r="DO314" s="135">
        <v>54.88331763959804</v>
      </c>
      <c r="DP314" s="135">
        <v>48.871641721752425</v>
      </c>
      <c r="DQ314" s="135">
        <v>42.819341158321564</v>
      </c>
    </row>
    <row r="315" spans="1:121" s="123" customFormat="1">
      <c r="A315" s="226" t="s">
        <v>136</v>
      </c>
      <c r="B315" s="217"/>
      <c r="C315" s="217"/>
      <c r="D315" s="102"/>
      <c r="E315" s="141"/>
      <c r="CH315" s="141"/>
      <c r="CI315" s="161"/>
      <c r="CJ315" s="161"/>
      <c r="CK315" s="161"/>
      <c r="CL315" s="161"/>
      <c r="CM315" s="161"/>
      <c r="CN315" s="161"/>
      <c r="CO315" s="161"/>
      <c r="CP315" s="161"/>
      <c r="CQ315" s="161"/>
      <c r="CR315" s="161"/>
      <c r="CS315" s="161"/>
      <c r="CT315" s="161"/>
      <c r="CU315" s="161"/>
      <c r="CV315" s="161"/>
      <c r="CW315" s="161"/>
      <c r="CX315" s="161"/>
      <c r="CY315" s="161"/>
      <c r="CZ315" s="218"/>
      <c r="DA315" s="135"/>
      <c r="DB315" s="135"/>
      <c r="DC315" s="135"/>
      <c r="DD315" s="135"/>
      <c r="DE315" s="135"/>
      <c r="DF315" s="135"/>
      <c r="DG315" s="135"/>
      <c r="DH315" s="135"/>
      <c r="DI315" s="135"/>
      <c r="DJ315" s="135"/>
      <c r="DK315" s="135"/>
      <c r="DL315" s="135"/>
      <c r="DM315" s="135"/>
      <c r="DN315" s="135"/>
      <c r="DO315" s="135"/>
      <c r="DP315" s="135"/>
      <c r="DQ315" s="135"/>
    </row>
    <row r="316" spans="1:121" s="123" customFormat="1">
      <c r="A316" s="107" t="s">
        <v>2409</v>
      </c>
      <c r="B316" s="141"/>
      <c r="C316" s="141" t="str">
        <f>+C42</f>
        <v>%</v>
      </c>
      <c r="D316" s="102"/>
      <c r="E316" s="141"/>
      <c r="F316" s="123">
        <f t="shared" ref="F316:BD316" si="816">+F42</f>
        <v>0</v>
      </c>
      <c r="G316" s="123">
        <f t="shared" si="816"/>
        <v>-3.6463769458858541</v>
      </c>
      <c r="H316" s="123">
        <f t="shared" si="816"/>
        <v>-0.64612115579019136</v>
      </c>
      <c r="I316" s="123">
        <f t="shared" si="816"/>
        <v>17.228017073276035</v>
      </c>
      <c r="J316" s="123">
        <f t="shared" si="816"/>
        <v>9.3845233826113095</v>
      </c>
      <c r="K316" s="123">
        <f t="shared" si="816"/>
        <v>2.9864140989518839</v>
      </c>
      <c r="L316" s="123">
        <f t="shared" si="816"/>
        <v>-1.7171568672082249</v>
      </c>
      <c r="M316" s="123">
        <f t="shared" si="816"/>
        <v>5.1638637651551411</v>
      </c>
      <c r="N316" s="123">
        <f t="shared" si="816"/>
        <v>0.13807967637584628</v>
      </c>
      <c r="O316" s="123">
        <f t="shared" si="816"/>
        <v>-2.7520775638607109</v>
      </c>
      <c r="P316" s="123">
        <f t="shared" si="816"/>
        <v>9.4768262032118855E-2</v>
      </c>
      <c r="Q316" s="123">
        <f t="shared" si="816"/>
        <v>1.8342129481029978</v>
      </c>
      <c r="R316" s="123">
        <f t="shared" si="816"/>
        <v>10.248523885489803</v>
      </c>
      <c r="S316" s="123">
        <f t="shared" si="816"/>
        <v>0.67690203873909116</v>
      </c>
      <c r="T316" s="123">
        <f t="shared" si="816"/>
        <v>3.210057938249089</v>
      </c>
      <c r="U316" s="123">
        <f t="shared" si="816"/>
        <v>6.413401043117406</v>
      </c>
      <c r="V316" s="123">
        <f t="shared" si="816"/>
        <v>6.5325600363198122</v>
      </c>
      <c r="W316" s="123">
        <f t="shared" si="816"/>
        <v>3.8466248087451138</v>
      </c>
      <c r="X316" s="123">
        <f t="shared" si="816"/>
        <v>4.1297638656422331</v>
      </c>
      <c r="Y316" s="123">
        <f t="shared" si="816"/>
        <v>-5.4112581562105184</v>
      </c>
      <c r="Z316" s="123">
        <f t="shared" si="816"/>
        <v>41.488554772570339</v>
      </c>
      <c r="AA316" s="123">
        <f t="shared" si="816"/>
        <v>18.438178319229781</v>
      </c>
      <c r="AB316" s="123">
        <f t="shared" si="816"/>
        <v>13.927285690629954</v>
      </c>
      <c r="AC316" s="123">
        <f t="shared" si="816"/>
        <v>-1.5711018656927922</v>
      </c>
      <c r="AD316" s="123">
        <f t="shared" si="816"/>
        <v>10.126664266606578</v>
      </c>
      <c r="AE316" s="123">
        <f t="shared" si="816"/>
        <v>3.1602201348665204</v>
      </c>
      <c r="AF316" s="123">
        <f t="shared" si="816"/>
        <v>25.645585415563986</v>
      </c>
      <c r="AG316" s="123">
        <f t="shared" si="816"/>
        <v>11.078905180629107</v>
      </c>
      <c r="AH316" s="123">
        <f t="shared" si="816"/>
        <v>-6.6544987022552178</v>
      </c>
      <c r="AI316" s="123">
        <f t="shared" si="816"/>
        <v>-0.12832162417475423</v>
      </c>
      <c r="AJ316" s="123">
        <f t="shared" si="816"/>
        <v>10.611731550616721</v>
      </c>
      <c r="AK316" s="123">
        <f t="shared" si="816"/>
        <v>2.247733880410796</v>
      </c>
      <c r="AL316" s="123">
        <f t="shared" si="816"/>
        <v>37.180136792556404</v>
      </c>
      <c r="AM316" s="123">
        <f t="shared" si="816"/>
        <v>78.799938367915374</v>
      </c>
      <c r="AN316" s="123">
        <f t="shared" si="816"/>
        <v>12.022163868722547</v>
      </c>
      <c r="AO316" s="123">
        <f t="shared" si="816"/>
        <v>3.0999618534205187</v>
      </c>
      <c r="AP316" s="123">
        <f t="shared" si="816"/>
        <v>-2.9078965194845097</v>
      </c>
      <c r="AQ316" s="123">
        <f t="shared" si="816"/>
        <v>32.530706896189507</v>
      </c>
      <c r="AR316" s="123">
        <f t="shared" si="816"/>
        <v>41.897131549640385</v>
      </c>
      <c r="AS316" s="123">
        <f t="shared" si="816"/>
        <v>355.75227440978222</v>
      </c>
      <c r="AT316" s="123">
        <f t="shared" si="816"/>
        <v>332.83152472668257</v>
      </c>
      <c r="AU316" s="123">
        <f t="shared" si="816"/>
        <v>173.88847857086586</v>
      </c>
      <c r="AV316" s="123">
        <f t="shared" si="816"/>
        <v>-14.817454267213604</v>
      </c>
      <c r="AW316" s="123">
        <f t="shared" si="816"/>
        <v>-1.6413282749693336</v>
      </c>
      <c r="AX316" s="123">
        <f t="shared" si="816"/>
        <v>22.78337178743719</v>
      </c>
      <c r="AY316" s="123">
        <f t="shared" si="816"/>
        <v>135.93354328479356</v>
      </c>
      <c r="AZ316" s="123">
        <f t="shared" si="816"/>
        <v>60.367220907208832</v>
      </c>
      <c r="BA316" s="123">
        <f t="shared" si="816"/>
        <v>55.13313908114776</v>
      </c>
      <c r="BB316" s="123">
        <f t="shared" si="816"/>
        <v>-27.347387064831363</v>
      </c>
      <c r="BC316" s="123">
        <f t="shared" si="816"/>
        <v>21.727089731262939</v>
      </c>
      <c r="BD316" s="123">
        <f t="shared" si="816"/>
        <v>13.616886253031701</v>
      </c>
      <c r="BE316" s="123">
        <f ca="1">+BE42</f>
        <v>8.5919203359158036</v>
      </c>
      <c r="BF316" s="123">
        <f ca="1">+BF42</f>
        <v>-10.650847528032493</v>
      </c>
      <c r="BG316" s="123">
        <f t="shared" ref="BG316:BR316" si="817">+BG42</f>
        <v>17.688874538194721</v>
      </c>
      <c r="BH316" s="123">
        <f t="shared" si="817"/>
        <v>20.371705095060676</v>
      </c>
      <c r="BI316" s="123">
        <f t="shared" si="817"/>
        <v>-18.267970897333818</v>
      </c>
      <c r="BJ316" s="123">
        <f t="shared" si="817"/>
        <v>35.728903702938332</v>
      </c>
      <c r="BK316" s="123">
        <f t="shared" si="817"/>
        <v>28.464130421480505</v>
      </c>
      <c r="BL316" s="123">
        <f t="shared" si="817"/>
        <v>-7.395354400134579</v>
      </c>
      <c r="BM316" s="123">
        <f t="shared" si="817"/>
        <v>-3.9972314107575735</v>
      </c>
      <c r="BN316" s="123">
        <f t="shared" si="817"/>
        <v>-1.1520755986664799</v>
      </c>
      <c r="BO316" s="123">
        <f t="shared" si="817"/>
        <v>14.591914347491342</v>
      </c>
      <c r="BP316" s="123">
        <f ca="1">+BP42</f>
        <v>181.97414416736973</v>
      </c>
      <c r="BQ316" s="123">
        <f t="shared" si="817"/>
        <v>17.849230769230772</v>
      </c>
      <c r="BR316" s="123">
        <f t="shared" si="817"/>
        <v>2.2716378162449979</v>
      </c>
      <c r="BS316" s="123">
        <f t="shared" ref="BS316:BZ316" si="818">+BS42</f>
        <v>11.075697211155378</v>
      </c>
      <c r="BT316" s="123">
        <f t="shared" si="818"/>
        <v>62.951219512195131</v>
      </c>
      <c r="BU316" s="123">
        <f t="shared" si="818"/>
        <v>63.20000000000001</v>
      </c>
      <c r="BV316" s="123">
        <f t="shared" si="818"/>
        <v>2.0000000000000018</v>
      </c>
      <c r="BW316" s="123">
        <f t="shared" si="818"/>
        <v>2.0000000000000018</v>
      </c>
      <c r="BX316" s="123">
        <f t="shared" si="818"/>
        <v>2.0000000000000018</v>
      </c>
      <c r="BY316" s="123">
        <f t="shared" si="818"/>
        <v>2.0000000000000018</v>
      </c>
      <c r="BZ316" s="123">
        <f t="shared" si="818"/>
        <v>2.0000000000000018</v>
      </c>
      <c r="CA316" s="123">
        <f t="shared" ref="CA316:CG316" si="819">+CA42</f>
        <v>2.0000000000000018</v>
      </c>
      <c r="CB316" s="123">
        <f t="shared" si="819"/>
        <v>2.0000000000000018</v>
      </c>
      <c r="CC316" s="123">
        <f t="shared" si="819"/>
        <v>2.0000000000000018</v>
      </c>
      <c r="CD316" s="123">
        <f t="shared" si="819"/>
        <v>2.0000000000000018</v>
      </c>
      <c r="CE316" s="123">
        <f t="shared" si="819"/>
        <v>2.0000000000000018</v>
      </c>
      <c r="CF316" s="123">
        <f t="shared" si="819"/>
        <v>2.0000000000000018</v>
      </c>
      <c r="CG316" s="123">
        <f t="shared" si="819"/>
        <v>2.0000000000000018</v>
      </c>
      <c r="CH316" s="141"/>
      <c r="CI316" s="159">
        <f t="shared" ref="CI316:CU316" si="820">BQ316-DA316</f>
        <v>0</v>
      </c>
      <c r="CJ316" s="159">
        <f t="shared" si="820"/>
        <v>0</v>
      </c>
      <c r="CK316" s="159">
        <f t="shared" si="820"/>
        <v>0</v>
      </c>
      <c r="CL316" s="159">
        <f t="shared" si="820"/>
        <v>0</v>
      </c>
      <c r="CM316" s="159">
        <f t="shared" si="820"/>
        <v>20.399999999999991</v>
      </c>
      <c r="CN316" s="159">
        <f t="shared" si="820"/>
        <v>0</v>
      </c>
      <c r="CO316" s="159">
        <f t="shared" si="820"/>
        <v>0</v>
      </c>
      <c r="CP316" s="159">
        <f t="shared" si="820"/>
        <v>0</v>
      </c>
      <c r="CQ316" s="159">
        <f t="shared" si="820"/>
        <v>0</v>
      </c>
      <c r="CR316" s="159">
        <f t="shared" si="820"/>
        <v>0</v>
      </c>
      <c r="CS316" s="159">
        <f t="shared" si="820"/>
        <v>0</v>
      </c>
      <c r="CT316" s="159">
        <f t="shared" si="820"/>
        <v>0</v>
      </c>
      <c r="CU316" s="159">
        <f t="shared" si="820"/>
        <v>0</v>
      </c>
      <c r="CV316" s="159">
        <f t="shared" ref="CV316:CV324" si="821">CD316-DN316</f>
        <v>0</v>
      </c>
      <c r="CW316" s="159">
        <f t="shared" ref="CW316:CW324" si="822">CE316-DO316</f>
        <v>0</v>
      </c>
      <c r="CX316" s="159">
        <f t="shared" ref="CX316:CX324" si="823">CF316-DP316</f>
        <v>0</v>
      </c>
      <c r="CY316" s="159">
        <f t="shared" ref="CY316:CY324" si="824">CG316-DQ316</f>
        <v>0</v>
      </c>
      <c r="CZ316" s="219"/>
      <c r="DA316" s="135">
        <v>17.849230769230772</v>
      </c>
      <c r="DB316" s="135">
        <v>2.2716378162449979</v>
      </c>
      <c r="DC316" s="135">
        <v>11.075697211155378</v>
      </c>
      <c r="DD316" s="135">
        <v>62.951219512195131</v>
      </c>
      <c r="DE316" s="384">
        <v>42.800000000000018</v>
      </c>
      <c r="DF316" s="384">
        <v>2.0000000000000018</v>
      </c>
      <c r="DG316" s="384">
        <v>2.0000000000000018</v>
      </c>
      <c r="DH316" s="384">
        <v>2.0000000000000018</v>
      </c>
      <c r="DI316" s="384">
        <v>2.0000000000000018</v>
      </c>
      <c r="DJ316" s="384">
        <v>2.0000000000000018</v>
      </c>
      <c r="DK316" s="384">
        <v>2.0000000000000018</v>
      </c>
      <c r="DL316" s="384">
        <v>2.0000000000000018</v>
      </c>
      <c r="DM316" s="384">
        <v>2.0000000000000018</v>
      </c>
      <c r="DN316" s="384">
        <v>2.0000000000000018</v>
      </c>
      <c r="DO316" s="135">
        <v>2.0000000000000018</v>
      </c>
      <c r="DP316" s="135">
        <v>2.0000000000000018</v>
      </c>
      <c r="DQ316" s="135">
        <v>2.0000000000000018</v>
      </c>
    </row>
    <row r="317" spans="1:121" s="123" customFormat="1">
      <c r="A317" s="141" t="s">
        <v>140</v>
      </c>
      <c r="B317" s="141"/>
      <c r="C317" s="141" t="s">
        <v>1349</v>
      </c>
      <c r="D317" s="102"/>
      <c r="E317" s="141"/>
      <c r="F317" s="123">
        <f t="shared" ref="F317:AK317" si="825">+F316-F36</f>
        <v>-2</v>
      </c>
      <c r="G317" s="123">
        <f t="shared" si="825"/>
        <v>-4.6463769458858541</v>
      </c>
      <c r="H317" s="123">
        <f t="shared" si="825"/>
        <v>-2.6263191814936215</v>
      </c>
      <c r="I317" s="123">
        <f t="shared" si="825"/>
        <v>8.5280170732760361</v>
      </c>
      <c r="J317" s="123">
        <f t="shared" si="825"/>
        <v>9.3845233826113095</v>
      </c>
      <c r="K317" s="123">
        <f t="shared" si="825"/>
        <v>2.9864140989518839</v>
      </c>
      <c r="L317" s="123">
        <f t="shared" si="825"/>
        <v>-4.317156867208225</v>
      </c>
      <c r="M317" s="123">
        <f t="shared" si="825"/>
        <v>3.4638637651551409</v>
      </c>
      <c r="N317" s="123">
        <f t="shared" si="825"/>
        <v>-2.3619203236241537</v>
      </c>
      <c r="O317" s="123">
        <f t="shared" si="825"/>
        <v>-4.4520775638607111</v>
      </c>
      <c r="P317" s="123">
        <f t="shared" si="825"/>
        <v>-4.0052317379678808</v>
      </c>
      <c r="Q317" s="123">
        <f t="shared" si="825"/>
        <v>-0.46578705189700198</v>
      </c>
      <c r="R317" s="123">
        <f t="shared" si="825"/>
        <v>8.7485238854898029</v>
      </c>
      <c r="S317" s="123">
        <f t="shared" si="825"/>
        <v>-6.8230979612609088</v>
      </c>
      <c r="T317" s="123">
        <f t="shared" si="825"/>
        <v>3.210057938249089</v>
      </c>
      <c r="U317" s="123">
        <f t="shared" si="825"/>
        <v>5.413401043117406</v>
      </c>
      <c r="V317" s="123">
        <f t="shared" si="825"/>
        <v>4.7325600363198124</v>
      </c>
      <c r="W317" s="123">
        <f t="shared" si="825"/>
        <v>4.4466248087451135</v>
      </c>
      <c r="X317" s="123">
        <f t="shared" si="825"/>
        <v>1.7297638656422332</v>
      </c>
      <c r="Y317" s="123">
        <f t="shared" si="825"/>
        <v>-17.411258156210518</v>
      </c>
      <c r="Z317" s="123">
        <f t="shared" si="825"/>
        <v>25.58855477257034</v>
      </c>
      <c r="AA317" s="123">
        <f t="shared" si="825"/>
        <v>10.938178319229781</v>
      </c>
      <c r="AB317" s="123">
        <f t="shared" si="825"/>
        <v>4.6272856906299538</v>
      </c>
      <c r="AC317" s="123">
        <f t="shared" si="825"/>
        <v>-10.371101865692793</v>
      </c>
      <c r="AD317" s="123">
        <f t="shared" si="825"/>
        <v>2.1266642666065785</v>
      </c>
      <c r="AE317" s="123">
        <f t="shared" si="825"/>
        <v>-10.83977986513348</v>
      </c>
      <c r="AF317" s="123">
        <f t="shared" si="825"/>
        <v>12.445585415563986</v>
      </c>
      <c r="AG317" s="123">
        <f t="shared" si="825"/>
        <v>2.3789051806291077</v>
      </c>
      <c r="AH317" s="123">
        <f t="shared" si="825"/>
        <v>-13.954498702255218</v>
      </c>
      <c r="AI317" s="123">
        <f t="shared" si="825"/>
        <v>-4.5283216241747546</v>
      </c>
      <c r="AJ317" s="123">
        <f t="shared" si="825"/>
        <v>6.9117315506167207</v>
      </c>
      <c r="AK317" s="123">
        <f t="shared" si="825"/>
        <v>-8.6522661195892034</v>
      </c>
      <c r="AL317" s="123">
        <f t="shared" ref="AL317:BQ317" si="826">+AL316-AL36</f>
        <v>18.480136792556404</v>
      </c>
      <c r="AM317" s="123">
        <f t="shared" si="826"/>
        <v>25.399938367915375</v>
      </c>
      <c r="AN317" s="123">
        <f t="shared" si="826"/>
        <v>4.7221638687225473</v>
      </c>
      <c r="AO317" s="123">
        <f t="shared" si="826"/>
        <v>2.2999618534205188</v>
      </c>
      <c r="AP317" s="123">
        <f t="shared" si="826"/>
        <v>-24.70789651948451</v>
      </c>
      <c r="AQ317" s="123">
        <f t="shared" si="826"/>
        <v>6.5307068961895069</v>
      </c>
      <c r="AR317" s="123">
        <f t="shared" si="826"/>
        <v>-1.8028684503596182</v>
      </c>
      <c r="AS317" s="123">
        <f t="shared" si="826"/>
        <v>212.25227440978222</v>
      </c>
      <c r="AT317" s="123">
        <f t="shared" si="826"/>
        <v>-35.668475273317426</v>
      </c>
      <c r="AU317" s="123">
        <f t="shared" si="826"/>
        <v>-61.711521429134137</v>
      </c>
      <c r="AV317" s="123">
        <f t="shared" si="826"/>
        <v>-14.117454267213605</v>
      </c>
      <c r="AW317" s="123">
        <f t="shared" si="826"/>
        <v>-8.7413282749693337</v>
      </c>
      <c r="AX317" s="123">
        <f t="shared" si="826"/>
        <v>4.0833717874371906</v>
      </c>
      <c r="AY317" s="123">
        <f t="shared" si="826"/>
        <v>37.133543284793561</v>
      </c>
      <c r="AZ317" s="123">
        <f t="shared" si="826"/>
        <v>1.067220907208835</v>
      </c>
      <c r="BA317" s="123">
        <f t="shared" si="826"/>
        <v>16.533139081147759</v>
      </c>
      <c r="BB317" s="123">
        <f t="shared" si="826"/>
        <v>-42.847387064831366</v>
      </c>
      <c r="BC317" s="123">
        <f t="shared" si="826"/>
        <v>-2.1729102687370592</v>
      </c>
      <c r="BD317" s="123">
        <f t="shared" si="826"/>
        <v>4.0168862530317018</v>
      </c>
      <c r="BE317" s="123">
        <f t="shared" ca="1" si="826"/>
        <v>-0.90807966408419638</v>
      </c>
      <c r="BF317" s="123">
        <f t="shared" ca="1" si="826"/>
        <v>-21.950847528032494</v>
      </c>
      <c r="BG317" s="123">
        <f t="shared" si="826"/>
        <v>11.288874538194721</v>
      </c>
      <c r="BH317" s="123">
        <f t="shared" si="826"/>
        <v>5.6717050950606769</v>
      </c>
      <c r="BI317" s="123">
        <f t="shared" si="826"/>
        <v>-18.167970897333817</v>
      </c>
      <c r="BJ317" s="123">
        <f t="shared" si="826"/>
        <v>28.828903702938334</v>
      </c>
      <c r="BK317" s="123">
        <f t="shared" si="826"/>
        <v>10.764130421480505</v>
      </c>
      <c r="BL317" s="123">
        <f t="shared" si="826"/>
        <v>-12.395354400134579</v>
      </c>
      <c r="BM317" s="123">
        <f t="shared" si="826"/>
        <v>-5.8972314107575734</v>
      </c>
      <c r="BN317" s="123">
        <f t="shared" si="826"/>
        <v>-4.5520755986664803</v>
      </c>
      <c r="BO317" s="123">
        <f t="shared" si="826"/>
        <v>7.6919143474913412</v>
      </c>
      <c r="BP317" s="123">
        <f t="shared" ca="1" si="826"/>
        <v>126.47414416736973</v>
      </c>
      <c r="BQ317" s="123">
        <f t="shared" si="826"/>
        <v>-4.1507692307692281</v>
      </c>
      <c r="BR317" s="123">
        <f t="shared" ref="BR317:CG317" si="827">+BR316-BR36</f>
        <v>-4.6283621837550024</v>
      </c>
      <c r="BS317" s="123">
        <f t="shared" si="827"/>
        <v>6.6756972111553772</v>
      </c>
      <c r="BT317" s="123">
        <f t="shared" ca="1" si="827"/>
        <v>28.706326869252713</v>
      </c>
      <c r="BU317" s="123">
        <f t="shared" ca="1" si="827"/>
        <v>12.208897662895808</v>
      </c>
      <c r="BV317" s="123">
        <f t="shared" ca="1" si="827"/>
        <v>-14.413728147581514</v>
      </c>
      <c r="BW317" s="123">
        <f t="shared" ca="1" si="827"/>
        <v>-6.6555130940087359</v>
      </c>
      <c r="BX317" s="123">
        <f t="shared" ca="1" si="827"/>
        <v>-3.0998086070868638</v>
      </c>
      <c r="BY317" s="123">
        <f t="shared" ca="1" si="827"/>
        <v>-4.0916649920156729</v>
      </c>
      <c r="BZ317" s="123">
        <f t="shared" ca="1" si="827"/>
        <v>-4.8335838327820673</v>
      </c>
      <c r="CA317" s="123">
        <f t="shared" ca="1" si="827"/>
        <v>-5.5774286217089761</v>
      </c>
      <c r="CB317" s="123">
        <f t="shared" ca="1" si="827"/>
        <v>-6.5001783380132974</v>
      </c>
      <c r="CC317" s="123">
        <f t="shared" ca="1" si="827"/>
        <v>-7.6400935707060711</v>
      </c>
      <c r="CD317" s="123">
        <f t="shared" ca="1" si="827"/>
        <v>-9.0721584934523918</v>
      </c>
      <c r="CE317" s="123">
        <f t="shared" ca="1" si="827"/>
        <v>-10.8934414296107</v>
      </c>
      <c r="CF317" s="123">
        <f t="shared" ca="1" si="827"/>
        <v>-13.232063947577837</v>
      </c>
      <c r="CG317" s="123">
        <f t="shared" ca="1" si="827"/>
        <v>-16.257179167767255</v>
      </c>
      <c r="CH317" s="141"/>
      <c r="CI317" s="159">
        <f t="shared" ref="CI317:CR324" si="828">BQ317-DA317</f>
        <v>0</v>
      </c>
      <c r="CJ317" s="159">
        <f t="shared" si="828"/>
        <v>0</v>
      </c>
      <c r="CK317" s="159">
        <f t="shared" si="828"/>
        <v>0</v>
      </c>
      <c r="CL317" s="159">
        <f t="shared" ca="1" si="828"/>
        <v>0</v>
      </c>
      <c r="CM317" s="159">
        <f t="shared" ca="1" si="828"/>
        <v>8.2959237020914856</v>
      </c>
      <c r="CN317" s="159">
        <f t="shared" ca="1" si="828"/>
        <v>-4.1068083139547706</v>
      </c>
      <c r="CO317" s="159">
        <f t="shared" ca="1" si="828"/>
        <v>-0.37176370662928804</v>
      </c>
      <c r="CP317" s="159">
        <f t="shared" ca="1" si="828"/>
        <v>0.38004004039784078</v>
      </c>
      <c r="CQ317" s="159">
        <f t="shared" ca="1" si="828"/>
        <v>0.60419967851833434</v>
      </c>
      <c r="CR317" s="159">
        <f t="shared" ca="1" si="828"/>
        <v>0.78430917036779224</v>
      </c>
      <c r="CS317" s="159">
        <f t="shared" ref="CS317:CU324" ca="1" si="829">CA317-DK317</f>
        <v>0.48064219168878086</v>
      </c>
      <c r="CT317" s="159">
        <f t="shared" ca="1" si="829"/>
        <v>0.23165179074948661</v>
      </c>
      <c r="CU317" s="159">
        <f t="shared" ca="1" si="829"/>
        <v>0.64877974496590518</v>
      </c>
      <c r="CV317" s="159">
        <f t="shared" ca="1" si="821"/>
        <v>0.95894111913520597</v>
      </c>
      <c r="CW317" s="159">
        <f t="shared" ca="1" si="822"/>
        <v>1.264185894287623</v>
      </c>
      <c r="CX317" s="159">
        <f t="shared" ca="1" si="823"/>
        <v>1.6259542356837855</v>
      </c>
      <c r="CY317" s="159">
        <f t="shared" ca="1" si="824"/>
        <v>2.0763990673995991</v>
      </c>
      <c r="CZ317" s="219"/>
      <c r="DA317" s="135">
        <v>-4.1507692307692281</v>
      </c>
      <c r="DB317" s="135">
        <v>-4.6283621837550024</v>
      </c>
      <c r="DC317" s="135">
        <v>6.6756972111553772</v>
      </c>
      <c r="DD317" s="135">
        <v>28.706326869252713</v>
      </c>
      <c r="DE317" s="384">
        <v>3.9129739608043224</v>
      </c>
      <c r="DF317" s="384">
        <v>-10.306919833626743</v>
      </c>
      <c r="DG317" s="384">
        <v>-6.2837493873794479</v>
      </c>
      <c r="DH317" s="384">
        <v>-3.4798486474847046</v>
      </c>
      <c r="DI317" s="384">
        <v>-4.6958646705340072</v>
      </c>
      <c r="DJ317" s="384">
        <v>-5.6178930031498595</v>
      </c>
      <c r="DK317" s="384">
        <v>-6.058070813397757</v>
      </c>
      <c r="DL317" s="384">
        <v>-6.731830128762784</v>
      </c>
      <c r="DM317" s="384">
        <v>-8.2888733156719763</v>
      </c>
      <c r="DN317" s="384">
        <v>-10.031099612587598</v>
      </c>
      <c r="DO317" s="135">
        <v>-12.157627323898323</v>
      </c>
      <c r="DP317" s="135">
        <v>-14.858018183261622</v>
      </c>
      <c r="DQ317" s="135">
        <v>-18.333578235166854</v>
      </c>
    </row>
    <row r="318" spans="1:121" s="123" customFormat="1">
      <c r="A318" s="107" t="s">
        <v>1238</v>
      </c>
      <c r="B318" s="107"/>
      <c r="C318" s="136" t="s">
        <v>1320</v>
      </c>
      <c r="D318" s="147"/>
      <c r="E318" s="107"/>
      <c r="F318" s="106">
        <f t="shared" ref="F318:AK318" si="830">(F124/F17)*100</f>
        <v>-0.39669683766504377</v>
      </c>
      <c r="G318" s="106">
        <f t="shared" si="830"/>
        <v>-0.73836126759039378</v>
      </c>
      <c r="H318" s="106">
        <f t="shared" si="830"/>
        <v>-5.9071202071421958</v>
      </c>
      <c r="I318" s="106">
        <f t="shared" si="830"/>
        <v>-6.9956014073696462</v>
      </c>
      <c r="J318" s="106">
        <f t="shared" si="830"/>
        <v>-7.7298977125881478</v>
      </c>
      <c r="K318" s="106">
        <f t="shared" si="830"/>
        <v>-13.895773711634678</v>
      </c>
      <c r="L318" s="106">
        <f t="shared" si="830"/>
        <v>-18.395510714962537</v>
      </c>
      <c r="M318" s="106">
        <f t="shared" si="830"/>
        <v>-18.742273742388022</v>
      </c>
      <c r="N318" s="106">
        <f t="shared" si="830"/>
        <v>-18.819481570525156</v>
      </c>
      <c r="O318" s="106">
        <f t="shared" si="830"/>
        <v>-18.284492909200704</v>
      </c>
      <c r="P318" s="106">
        <f t="shared" si="830"/>
        <v>-30.060320546107093</v>
      </c>
      <c r="Q318" s="106">
        <f t="shared" si="830"/>
        <v>-26.890483589428605</v>
      </c>
      <c r="R318" s="106">
        <f t="shared" si="830"/>
        <v>-7.9307002108772107</v>
      </c>
      <c r="S318" s="106">
        <f t="shared" si="830"/>
        <v>-7.0378623581797601</v>
      </c>
      <c r="T318" s="106">
        <f t="shared" si="830"/>
        <v>-8.2641767493568121</v>
      </c>
      <c r="U318" s="106">
        <f t="shared" si="830"/>
        <v>-7.3267890814797951</v>
      </c>
      <c r="V318" s="106">
        <f t="shared" si="830"/>
        <v>-6.5624136884673403</v>
      </c>
      <c r="W318" s="106">
        <f t="shared" si="830"/>
        <v>-4.7118825733290546</v>
      </c>
      <c r="X318" s="106">
        <f t="shared" si="830"/>
        <v>-4.1343461488552347</v>
      </c>
      <c r="Y318" s="106">
        <f t="shared" si="830"/>
        <v>-6.8192241749573625</v>
      </c>
      <c r="Z318" s="106">
        <f t="shared" si="830"/>
        <v>-5.226478637254341</v>
      </c>
      <c r="AA318" s="106">
        <f t="shared" si="830"/>
        <v>-7.8527617875676317</v>
      </c>
      <c r="AB318" s="106">
        <f t="shared" si="830"/>
        <v>-6.9487732893443042</v>
      </c>
      <c r="AC318" s="106">
        <f t="shared" si="830"/>
        <v>-13.747975170974245</v>
      </c>
      <c r="AD318" s="106">
        <f t="shared" si="830"/>
        <v>-6.5124621840024348</v>
      </c>
      <c r="AE318" s="106">
        <f t="shared" si="830"/>
        <v>-3.5814973694604708</v>
      </c>
      <c r="AF318" s="106">
        <f t="shared" si="830"/>
        <v>-6.5641376862697953</v>
      </c>
      <c r="AG318" s="106">
        <f t="shared" si="830"/>
        <v>-9.9677662161559528</v>
      </c>
      <c r="AH318" s="106">
        <f t="shared" si="830"/>
        <v>-13.018319863187443</v>
      </c>
      <c r="AI318" s="106">
        <f t="shared" si="830"/>
        <v>-12.930808813374083</v>
      </c>
      <c r="AJ318" s="106">
        <f t="shared" si="830"/>
        <v>-6.2636182801745877</v>
      </c>
      <c r="AK318" s="106">
        <f t="shared" si="830"/>
        <v>-2.0166616705945164</v>
      </c>
      <c r="AL318" s="106">
        <f t="shared" ref="AL318:BQ318" si="831">(AL124/AL17)*100</f>
        <v>-0.10270673768387759</v>
      </c>
      <c r="AM318" s="106">
        <f t="shared" si="831"/>
        <v>7.5415896717858244</v>
      </c>
      <c r="AN318" s="106">
        <f t="shared" si="831"/>
        <v>9.469163651786376</v>
      </c>
      <c r="AO318" s="106">
        <f t="shared" si="831"/>
        <v>1.0556085073369768</v>
      </c>
      <c r="AP318" s="106">
        <f t="shared" si="831"/>
        <v>-8.4963954685887202E-2</v>
      </c>
      <c r="AQ318" s="106">
        <f t="shared" si="831"/>
        <v>-3.7871010935058984</v>
      </c>
      <c r="AR318" s="106">
        <f t="shared" si="831"/>
        <v>-0.73817762399077924</v>
      </c>
      <c r="AS318" s="106">
        <f t="shared" si="831"/>
        <v>19.799012210179733</v>
      </c>
      <c r="AT318" s="106">
        <f t="shared" si="831"/>
        <v>13.187980674423189</v>
      </c>
      <c r="AU318" s="106">
        <f t="shared" si="831"/>
        <v>8.83146920175475</v>
      </c>
      <c r="AV318" s="106">
        <f t="shared" si="831"/>
        <v>-9.0485371685976297</v>
      </c>
      <c r="AW318" s="106">
        <f t="shared" si="831"/>
        <v>-7.2858226133324706</v>
      </c>
      <c r="AX318" s="106">
        <f t="shared" si="831"/>
        <v>-13.789260476211911</v>
      </c>
      <c r="AY318" s="106">
        <f t="shared" si="831"/>
        <v>-6.4972382939085094</v>
      </c>
      <c r="AZ318" s="106">
        <f t="shared" si="831"/>
        <v>-6.0095992811730792</v>
      </c>
      <c r="BA318" s="106">
        <f t="shared" si="831"/>
        <v>-14.607783787469153</v>
      </c>
      <c r="BB318" s="106">
        <f t="shared" si="831"/>
        <v>-14.611591890735049</v>
      </c>
      <c r="BC318" s="106">
        <f t="shared" ca="1" si="831"/>
        <v>-15.290213678597084</v>
      </c>
      <c r="BD318" s="106">
        <f t="shared" ca="1" si="831"/>
        <v>-11.481346832581444</v>
      </c>
      <c r="BE318" s="106">
        <f t="shared" ca="1" si="831"/>
        <v>-11.597685855803281</v>
      </c>
      <c r="BF318" s="106">
        <f t="shared" si="831"/>
        <v>8.460649639898417</v>
      </c>
      <c r="BG318" s="106">
        <f t="shared" si="831"/>
        <v>11.126620091805734</v>
      </c>
      <c r="BH318" s="106">
        <f t="shared" si="831"/>
        <v>9.2535030315216371</v>
      </c>
      <c r="BI318" s="106">
        <f t="shared" si="831"/>
        <v>2.8915412327041663</v>
      </c>
      <c r="BJ318" s="106">
        <f t="shared" si="831"/>
        <v>15.000966973066301</v>
      </c>
      <c r="BK318" s="106">
        <f t="shared" si="831"/>
        <v>8.2482543765568845</v>
      </c>
      <c r="BL318" s="106">
        <f t="shared" si="831"/>
        <v>2.7311986126323489</v>
      </c>
      <c r="BM318" s="106">
        <f t="shared" si="831"/>
        <v>-3.1884654466756981</v>
      </c>
      <c r="BN318" s="106">
        <f t="shared" si="831"/>
        <v>-6.6402757459234421</v>
      </c>
      <c r="BO318" s="106">
        <f t="shared" si="831"/>
        <v>-13.656069970043403</v>
      </c>
      <c r="BP318" s="106">
        <f t="shared" si="831"/>
        <v>-7.9511519318590045</v>
      </c>
      <c r="BQ318" s="106">
        <f t="shared" si="831"/>
        <v>-5.3116159094697663E-2</v>
      </c>
      <c r="BR318" s="106">
        <f t="shared" ref="BR318:CC318" si="832">(BR124/BR17)*100</f>
        <v>-3.4373169030458097</v>
      </c>
      <c r="BS318" s="106">
        <f t="shared" si="832"/>
        <v>-12.214347889162921</v>
      </c>
      <c r="BT318" s="106">
        <f t="shared" si="832"/>
        <v>10.156523091276634</v>
      </c>
      <c r="BU318" s="106">
        <f t="shared" ca="1" si="832"/>
        <v>11.576916057688182</v>
      </c>
      <c r="BV318" s="106">
        <f t="shared" ca="1" si="832"/>
        <v>8.8158788570263749</v>
      </c>
      <c r="BW318" s="106">
        <f t="shared" ca="1" si="832"/>
        <v>6.4891578220115678</v>
      </c>
      <c r="BX318" s="106">
        <f t="shared" ca="1" si="832"/>
        <v>4.6387214877219884</v>
      </c>
      <c r="BY318" s="106">
        <f t="shared" ca="1" si="832"/>
        <v>3.8113867205242262</v>
      </c>
      <c r="BZ318" s="106">
        <f t="shared" ca="1" si="832"/>
        <v>2.7934866738057176</v>
      </c>
      <c r="CA318" s="106">
        <f t="shared" ca="1" si="832"/>
        <v>1.667008520342774</v>
      </c>
      <c r="CB318" s="106">
        <f t="shared" ca="1" si="832"/>
        <v>0.4575780265245033</v>
      </c>
      <c r="CC318" s="106">
        <f t="shared" ca="1" si="832"/>
        <v>-0.80142753620988882</v>
      </c>
      <c r="CD318" s="106">
        <f ca="1">(CD124/CD17)*100</f>
        <v>-2.0625837019981015</v>
      </c>
      <c r="CE318" s="106">
        <f ca="1">(CE124/CE17)*100</f>
        <v>-3.2608167901941076</v>
      </c>
      <c r="CF318" s="106">
        <f ca="1">(CF124/CF17)*100</f>
        <v>-4.31225263744422</v>
      </c>
      <c r="CG318" s="106">
        <f ca="1">(CG124/CG17)*100</f>
        <v>-5.1188514377588294</v>
      </c>
      <c r="CH318" s="141"/>
      <c r="CI318" s="159">
        <f t="shared" si="828"/>
        <v>0</v>
      </c>
      <c r="CJ318" s="159">
        <f t="shared" si="828"/>
        <v>0</v>
      </c>
      <c r="CK318" s="159">
        <f t="shared" si="828"/>
        <v>0</v>
      </c>
      <c r="CL318" s="159">
        <f t="shared" si="828"/>
        <v>0</v>
      </c>
      <c r="CM318" s="159">
        <f t="shared" ca="1" si="828"/>
        <v>5.1620473195854091</v>
      </c>
      <c r="CN318" s="159">
        <f t="shared" ca="1" si="828"/>
        <v>3.5363687002228446</v>
      </c>
      <c r="CO318" s="159">
        <f t="shared" ca="1" si="828"/>
        <v>2.5180764927838601</v>
      </c>
      <c r="CP318" s="159">
        <f t="shared" ca="1" si="828"/>
        <v>1.8068848800002866</v>
      </c>
      <c r="CQ318" s="159">
        <f t="shared" ca="1" si="828"/>
        <v>1.1836284456705064</v>
      </c>
      <c r="CR318" s="159">
        <f t="shared" ca="1" si="828"/>
        <v>-0.87087227473610485</v>
      </c>
      <c r="CS318" s="159">
        <f t="shared" ca="1" si="829"/>
        <v>-1.3329660166424786</v>
      </c>
      <c r="CT318" s="159">
        <f t="shared" ca="1" si="829"/>
        <v>-1.6740615626140638</v>
      </c>
      <c r="CU318" s="159">
        <f t="shared" ca="1" si="829"/>
        <v>-1.9102957771638329</v>
      </c>
      <c r="CV318" s="159">
        <f t="shared" ca="1" si="821"/>
        <v>-2.0603811902720124</v>
      </c>
      <c r="CW318" s="159">
        <f t="shared" ca="1" si="822"/>
        <v>-2.1377192783223915</v>
      </c>
      <c r="CX318" s="159">
        <f t="shared" ca="1" si="823"/>
        <v>-2.1490864851443208</v>
      </c>
      <c r="CY318" s="159">
        <f t="shared" ca="1" si="824"/>
        <v>-2.1003870396145778</v>
      </c>
      <c r="CZ318" s="134"/>
      <c r="DA318" s="135">
        <v>-5.3116159094697663E-2</v>
      </c>
      <c r="DB318" s="135">
        <v>-3.4373169030458097</v>
      </c>
      <c r="DC318" s="135">
        <v>-12.214347889162921</v>
      </c>
      <c r="DD318" s="135">
        <v>10.156523091276634</v>
      </c>
      <c r="DE318" s="135">
        <v>6.4148687381027729</v>
      </c>
      <c r="DF318" s="135">
        <v>5.2795101568035303</v>
      </c>
      <c r="DG318" s="135">
        <v>3.9710813292277076</v>
      </c>
      <c r="DH318" s="135">
        <v>2.8318366077217019</v>
      </c>
      <c r="DI318" s="135">
        <v>2.6277582748537198</v>
      </c>
      <c r="DJ318" s="135">
        <v>3.6643589485418224</v>
      </c>
      <c r="DK318" s="135">
        <v>2.9999745369852526</v>
      </c>
      <c r="DL318" s="135">
        <v>2.1316395891385671</v>
      </c>
      <c r="DM318" s="135">
        <v>1.1088682409539441</v>
      </c>
      <c r="DN318" s="135">
        <v>-2.2025117260889371E-3</v>
      </c>
      <c r="DO318" s="135">
        <v>-1.1230975118717164</v>
      </c>
      <c r="DP318" s="135">
        <v>-2.1631661522998993</v>
      </c>
      <c r="DQ318" s="135">
        <v>-3.0184643981442516</v>
      </c>
    </row>
    <row r="319" spans="1:121" s="123" customFormat="1">
      <c r="A319" s="107" t="s">
        <v>1756</v>
      </c>
      <c r="B319" s="107"/>
      <c r="C319" s="136" t="s">
        <v>1320</v>
      </c>
      <c r="D319" s="147"/>
      <c r="E319" s="107"/>
      <c r="F319" s="106">
        <f t="shared" ref="F319:AK319" si="833">(F125/F17)*100</f>
        <v>41.190354977553568</v>
      </c>
      <c r="G319" s="106">
        <f t="shared" si="833"/>
        <v>35.379810738706716</v>
      </c>
      <c r="H319" s="106">
        <f t="shared" si="833"/>
        <v>40.442334336693079</v>
      </c>
      <c r="I319" s="106">
        <f t="shared" si="833"/>
        <v>40.966386554621856</v>
      </c>
      <c r="J319" s="106">
        <f t="shared" si="833"/>
        <v>37.686239353570699</v>
      </c>
      <c r="K319" s="106">
        <f t="shared" si="833"/>
        <v>41.784669668972569</v>
      </c>
      <c r="L319" s="106">
        <f t="shared" si="833"/>
        <v>41.425614827972254</v>
      </c>
      <c r="M319" s="106">
        <f t="shared" si="833"/>
        <v>36.896619709157285</v>
      </c>
      <c r="N319" s="106">
        <f t="shared" si="833"/>
        <v>34.518981111184374</v>
      </c>
      <c r="O319" s="106">
        <f t="shared" si="833"/>
        <v>34.847272242230225</v>
      </c>
      <c r="P319" s="106">
        <f t="shared" si="833"/>
        <v>33.988317469544157</v>
      </c>
      <c r="Q319" s="106">
        <f t="shared" si="833"/>
        <v>35.95224414572413</v>
      </c>
      <c r="R319" s="106">
        <f t="shared" si="833"/>
        <v>43.119610048743908</v>
      </c>
      <c r="S319" s="106">
        <f t="shared" si="833"/>
        <v>42.645630261963419</v>
      </c>
      <c r="T319" s="106">
        <f t="shared" si="833"/>
        <v>42.660541946907834</v>
      </c>
      <c r="U319" s="106">
        <f t="shared" si="833"/>
        <v>45.287481130006192</v>
      </c>
      <c r="V319" s="106">
        <f t="shared" si="833"/>
        <v>44.858671673569994</v>
      </c>
      <c r="W319" s="106">
        <f t="shared" si="833"/>
        <v>47.474804727032534</v>
      </c>
      <c r="X319" s="106">
        <f t="shared" si="833"/>
        <v>49.04654333751229</v>
      </c>
      <c r="Y319" s="106">
        <f t="shared" si="833"/>
        <v>44.61578445811314</v>
      </c>
      <c r="Z319" s="106">
        <f t="shared" si="833"/>
        <v>55.687643411976083</v>
      </c>
      <c r="AA319" s="106">
        <f t="shared" si="833"/>
        <v>52.144167038878521</v>
      </c>
      <c r="AB319" s="106">
        <f t="shared" si="833"/>
        <v>51.359418199308671</v>
      </c>
      <c r="AC319" s="106">
        <f t="shared" si="833"/>
        <v>46.320009707227108</v>
      </c>
      <c r="AD319" s="106">
        <f t="shared" si="833"/>
        <v>46.478413220637513</v>
      </c>
      <c r="AE319" s="106">
        <f t="shared" si="833"/>
        <v>49.222756850593676</v>
      </c>
      <c r="AF319" s="106">
        <f t="shared" si="833"/>
        <v>57.829921841967916</v>
      </c>
      <c r="AG319" s="106">
        <f t="shared" si="833"/>
        <v>47.726176508066317</v>
      </c>
      <c r="AH319" s="106">
        <f t="shared" si="833"/>
        <v>41.764246682279463</v>
      </c>
      <c r="AI319" s="106">
        <f t="shared" si="833"/>
        <v>36.823557365566131</v>
      </c>
      <c r="AJ319" s="106">
        <f t="shared" si="833"/>
        <v>35.8675445201755</v>
      </c>
      <c r="AK319" s="106">
        <f t="shared" si="833"/>
        <v>32.313957685468949</v>
      </c>
      <c r="AL319" s="106">
        <f t="shared" ref="AL319:BQ319" si="834">(AL125/AL17)*100</f>
        <v>30.119118930058342</v>
      </c>
      <c r="AM319" s="106">
        <f t="shared" si="834"/>
        <v>29.720460135784226</v>
      </c>
      <c r="AN319" s="106">
        <f t="shared" si="834"/>
        <v>27.909872400894308</v>
      </c>
      <c r="AO319" s="106">
        <f t="shared" si="834"/>
        <v>31.129296539847047</v>
      </c>
      <c r="AP319" s="106">
        <f t="shared" si="834"/>
        <v>22.363542739443872</v>
      </c>
      <c r="AQ319" s="106">
        <f t="shared" si="834"/>
        <v>14.668600758759206</v>
      </c>
      <c r="AR319" s="106">
        <f t="shared" si="834"/>
        <v>10.695336958312737</v>
      </c>
      <c r="AS319" s="106">
        <f t="shared" si="834"/>
        <v>101.93510769652903</v>
      </c>
      <c r="AT319" s="106">
        <f t="shared" si="834"/>
        <v>93.253919345296794</v>
      </c>
      <c r="AU319" s="106">
        <f t="shared" si="834"/>
        <v>75.067897135267586</v>
      </c>
      <c r="AV319" s="106">
        <f t="shared" si="834"/>
        <v>55.967095702118542</v>
      </c>
      <c r="AW319" s="106">
        <f t="shared" si="834"/>
        <v>52.715877474910201</v>
      </c>
      <c r="AX319" s="106">
        <f t="shared" si="834"/>
        <v>37.593419453571592</v>
      </c>
      <c r="AY319" s="106">
        <f t="shared" si="834"/>
        <v>47.781949856338798</v>
      </c>
      <c r="AZ319" s="106">
        <f t="shared" si="834"/>
        <v>51.243541789408987</v>
      </c>
      <c r="BA319" s="106">
        <f t="shared" si="834"/>
        <v>59.041011607556705</v>
      </c>
      <c r="BB319" s="106">
        <f t="shared" si="834"/>
        <v>36.59831121833534</v>
      </c>
      <c r="BC319" s="106">
        <f t="shared" si="834"/>
        <v>43.372380829100749</v>
      </c>
      <c r="BD319" s="106">
        <f t="shared" si="834"/>
        <v>52.598299445471355</v>
      </c>
      <c r="BE319" s="106">
        <f t="shared" si="834"/>
        <v>47.416764288090889</v>
      </c>
      <c r="BF319" s="106">
        <f t="shared" si="834"/>
        <v>54.119776549685696</v>
      </c>
      <c r="BG319" s="106">
        <f t="shared" si="834"/>
        <v>55.286786551702761</v>
      </c>
      <c r="BH319" s="106">
        <f t="shared" si="834"/>
        <v>57.786658752745389</v>
      </c>
      <c r="BI319" s="106">
        <f t="shared" si="834"/>
        <v>43.8667328968642</v>
      </c>
      <c r="BJ319" s="106">
        <f t="shared" si="834"/>
        <v>53.611109106909005</v>
      </c>
      <c r="BK319" s="106">
        <f t="shared" si="834"/>
        <v>54.459897955300306</v>
      </c>
      <c r="BL319" s="106">
        <f t="shared" si="834"/>
        <v>48.359369523548743</v>
      </c>
      <c r="BM319" s="106">
        <f t="shared" si="834"/>
        <v>42.231298083151756</v>
      </c>
      <c r="BN319" s="106">
        <f t="shared" si="834"/>
        <v>37.652201341505723</v>
      </c>
      <c r="BO319" s="106">
        <f t="shared" si="834"/>
        <v>31.369084260561227</v>
      </c>
      <c r="BP319" s="106">
        <f t="shared" si="834"/>
        <v>54.157216891579864</v>
      </c>
      <c r="BQ319" s="106">
        <f t="shared" si="834"/>
        <v>68.585459311033432</v>
      </c>
      <c r="BR319" s="106">
        <f t="shared" ref="BR319:CC319" si="835">(BR125/BR17)*100</f>
        <v>67.144396651941406</v>
      </c>
      <c r="BS319" s="106">
        <f t="shared" si="835"/>
        <v>70.585666618308423</v>
      </c>
      <c r="BT319" s="106">
        <f t="shared" si="835"/>
        <v>99.406002176955383</v>
      </c>
      <c r="BU319" s="106">
        <f t="shared" ca="1" si="835"/>
        <v>91.446414266285799</v>
      </c>
      <c r="BV319" s="106">
        <f t="shared" ca="1" si="835"/>
        <v>81.869925263797853</v>
      </c>
      <c r="BW319" s="106">
        <f t="shared" ca="1" si="835"/>
        <v>75.998100180404577</v>
      </c>
      <c r="BX319" s="106">
        <f t="shared" ca="1" si="835"/>
        <v>72.432947165682506</v>
      </c>
      <c r="BY319" s="106">
        <f t="shared" ca="1" si="835"/>
        <v>68.667325052658867</v>
      </c>
      <c r="BZ319" s="106">
        <f t="shared" ca="1" si="835"/>
        <v>64.461716494526272</v>
      </c>
      <c r="CA319" s="106">
        <f t="shared" ca="1" si="835"/>
        <v>59.940111219231774</v>
      </c>
      <c r="CB319" s="106">
        <f t="shared" ca="1" si="835"/>
        <v>55.091373516984277</v>
      </c>
      <c r="CC319" s="106">
        <f t="shared" ca="1" si="835"/>
        <v>49.920537081343994</v>
      </c>
      <c r="CD319" s="106">
        <f ca="1">(CD125/CD17)*100</f>
        <v>44.449013675558383</v>
      </c>
      <c r="CE319" s="106">
        <f ca="1">(CE125/CE17)*100</f>
        <v>38.727370080698037</v>
      </c>
      <c r="CF319" s="106">
        <f ca="1">(CF125/CF17)*100</f>
        <v>32.848550340168842</v>
      </c>
      <c r="CG319" s="106">
        <f ca="1">(CG125/CG17)*100</f>
        <v>26.958337780175679</v>
      </c>
      <c r="CH319" s="141"/>
      <c r="CI319" s="159">
        <f t="shared" si="828"/>
        <v>0</v>
      </c>
      <c r="CJ319" s="159">
        <f t="shared" si="828"/>
        <v>0</v>
      </c>
      <c r="CK319" s="159">
        <f t="shared" si="828"/>
        <v>0</v>
      </c>
      <c r="CL319" s="159">
        <f t="shared" si="828"/>
        <v>0</v>
      </c>
      <c r="CM319" s="159">
        <f t="shared" ca="1" si="828"/>
        <v>7.8159173289718922</v>
      </c>
      <c r="CN319" s="159">
        <f t="shared" ca="1" si="828"/>
        <v>4.5001178807644635</v>
      </c>
      <c r="CO319" s="159">
        <f t="shared" ca="1" si="828"/>
        <v>3.3714368379996671</v>
      </c>
      <c r="CP319" s="159">
        <f t="shared" ca="1" si="828"/>
        <v>2.8732602995393108</v>
      </c>
      <c r="CQ319" s="159">
        <f t="shared" ca="1" si="828"/>
        <v>2.5153823363779111</v>
      </c>
      <c r="CR319" s="159">
        <f t="shared" ca="1" si="828"/>
        <v>0.5983295430585116</v>
      </c>
      <c r="CS319" s="159">
        <f t="shared" ca="1" si="829"/>
        <v>0.22901973095026307</v>
      </c>
      <c r="CT319" s="159">
        <f t="shared" ca="1" si="829"/>
        <v>-0.15566465446676148</v>
      </c>
      <c r="CU319" s="159">
        <f t="shared" ca="1" si="829"/>
        <v>-0.29646784341613142</v>
      </c>
      <c r="CV319" s="159">
        <f t="shared" ca="1" si="821"/>
        <v>-0.29995763559140443</v>
      </c>
      <c r="CW319" s="159">
        <f t="shared" ca="1" si="822"/>
        <v>-0.21831720587192649</v>
      </c>
      <c r="CX319" s="159">
        <f t="shared" ca="1" si="823"/>
        <v>-8.19860215588335E-2</v>
      </c>
      <c r="CY319" s="159">
        <f t="shared" ca="1" si="824"/>
        <v>7.8269134698079057E-2</v>
      </c>
      <c r="CZ319" s="134"/>
      <c r="DA319" s="135">
        <v>68.585459311033432</v>
      </c>
      <c r="DB319" s="135">
        <v>67.144396651941406</v>
      </c>
      <c r="DC319" s="135">
        <v>70.585666618308423</v>
      </c>
      <c r="DD319" s="135">
        <v>99.406002176955383</v>
      </c>
      <c r="DE319" s="135">
        <v>83.630496937313907</v>
      </c>
      <c r="DF319" s="135">
        <v>77.36980738303339</v>
      </c>
      <c r="DG319" s="135">
        <v>72.62666334240491</v>
      </c>
      <c r="DH319" s="135">
        <v>69.559686866143196</v>
      </c>
      <c r="DI319" s="135">
        <v>66.151942716280956</v>
      </c>
      <c r="DJ319" s="135">
        <v>63.86338695146776</v>
      </c>
      <c r="DK319" s="135">
        <v>59.711091488281511</v>
      </c>
      <c r="DL319" s="135">
        <v>55.247038171451038</v>
      </c>
      <c r="DM319" s="135">
        <v>50.217004924760126</v>
      </c>
      <c r="DN319" s="135">
        <v>44.748971311149788</v>
      </c>
      <c r="DO319" s="135">
        <v>38.945687286569964</v>
      </c>
      <c r="DP319" s="135">
        <v>32.930536361727675</v>
      </c>
      <c r="DQ319" s="135">
        <v>26.8800686454776</v>
      </c>
    </row>
    <row r="320" spans="1:121" s="123" customFormat="1">
      <c r="A320" s="107" t="s">
        <v>1283</v>
      </c>
      <c r="B320" s="107"/>
      <c r="C320" s="136" t="s">
        <v>1320</v>
      </c>
      <c r="D320" s="147"/>
      <c r="E320" s="107"/>
      <c r="F320" s="106">
        <f t="shared" ref="F320:AK320" si="836">(F131/F17)*100</f>
        <v>37.553967298957346</v>
      </c>
      <c r="G320" s="106">
        <f t="shared" si="836"/>
        <v>34.702979576748838</v>
      </c>
      <c r="H320" s="106">
        <f t="shared" si="836"/>
        <v>40.500523857895452</v>
      </c>
      <c r="I320" s="106">
        <f t="shared" si="836"/>
        <v>42.542015992793722</v>
      </c>
      <c r="J320" s="106">
        <f t="shared" si="836"/>
        <v>40.934165126239847</v>
      </c>
      <c r="K320" s="106">
        <f t="shared" si="836"/>
        <v>45.127441825638236</v>
      </c>
      <c r="L320" s="106">
        <f t="shared" si="836"/>
        <v>48.055403750367951</v>
      </c>
      <c r="M320" s="106">
        <f t="shared" si="836"/>
        <v>44.830956868135722</v>
      </c>
      <c r="N320" s="106">
        <f t="shared" si="836"/>
        <v>42.668792673623315</v>
      </c>
      <c r="O320" s="106">
        <f t="shared" si="836"/>
        <v>42.55035391994933</v>
      </c>
      <c r="P320" s="106">
        <f t="shared" si="836"/>
        <v>54.043924338159712</v>
      </c>
      <c r="Q320" s="106">
        <f t="shared" si="836"/>
        <v>54.091537836141278</v>
      </c>
      <c r="R320" s="106">
        <f t="shared" si="836"/>
        <v>43.626900199241106</v>
      </c>
      <c r="S320" s="106">
        <f t="shared" si="836"/>
        <v>42.283580116878646</v>
      </c>
      <c r="T320" s="106">
        <f t="shared" si="836"/>
        <v>38.363172392516049</v>
      </c>
      <c r="U320" s="106">
        <f t="shared" si="836"/>
        <v>39.571897598404718</v>
      </c>
      <c r="V320" s="106">
        <f t="shared" si="836"/>
        <v>40.091674030965486</v>
      </c>
      <c r="W320" s="106">
        <f t="shared" si="836"/>
        <v>40.327758092024801</v>
      </c>
      <c r="X320" s="106">
        <f t="shared" si="836"/>
        <v>42.663220700660773</v>
      </c>
      <c r="Y320" s="106">
        <f t="shared" si="836"/>
        <v>43.192536339228873</v>
      </c>
      <c r="Z320" s="106">
        <f t="shared" si="836"/>
        <v>54.888297261017037</v>
      </c>
      <c r="AA320" s="106">
        <f t="shared" si="836"/>
        <v>55.682420986679517</v>
      </c>
      <c r="AB320" s="106">
        <f t="shared" si="836"/>
        <v>53.196354786053604</v>
      </c>
      <c r="AC320" s="106">
        <f t="shared" si="836"/>
        <v>56.439409732140888</v>
      </c>
      <c r="AD320" s="106">
        <f t="shared" si="836"/>
        <v>50.882894273455271</v>
      </c>
      <c r="AE320" s="106">
        <f t="shared" si="836"/>
        <v>49.770452724858977</v>
      </c>
      <c r="AF320" s="106">
        <f t="shared" si="836"/>
        <v>63.643570676123836</v>
      </c>
      <c r="AG320" s="106">
        <f t="shared" si="836"/>
        <v>59.324516072605768</v>
      </c>
      <c r="AH320" s="106">
        <f t="shared" si="836"/>
        <v>55.301462711149064</v>
      </c>
      <c r="AI320" s="106">
        <f t="shared" si="836"/>
        <v>48.270580942325438</v>
      </c>
      <c r="AJ320" s="106">
        <f t="shared" si="836"/>
        <v>42.761886492775609</v>
      </c>
      <c r="AK320" s="106">
        <f t="shared" si="836"/>
        <v>38.190534496332155</v>
      </c>
      <c r="AL320" s="106">
        <f t="shared" ref="AL320:BQ320" si="837">(AL131/AL17)*100</f>
        <v>41.304737365179825</v>
      </c>
      <c r="AM320" s="106">
        <f t="shared" si="837"/>
        <v>49.434059297132819</v>
      </c>
      <c r="AN320" s="106">
        <f t="shared" si="837"/>
        <v>51.824347309983423</v>
      </c>
      <c r="AO320" s="106">
        <f t="shared" si="837"/>
        <v>66.412263405931284</v>
      </c>
      <c r="AP320" s="106">
        <f t="shared" si="837"/>
        <v>72.075180226570552</v>
      </c>
      <c r="AQ320" s="106">
        <f t="shared" si="837"/>
        <v>89.776835527783987</v>
      </c>
      <c r="AR320" s="106">
        <f t="shared" si="837"/>
        <v>89.497446037238433</v>
      </c>
      <c r="AS320" s="106">
        <f t="shared" si="837"/>
        <v>136.15104952668403</v>
      </c>
      <c r="AT320" s="106">
        <f t="shared" si="837"/>
        <v>112.67797278643266</v>
      </c>
      <c r="AU320" s="106">
        <f t="shared" si="837"/>
        <v>85.182076693829885</v>
      </c>
      <c r="AV320" s="106">
        <f t="shared" si="837"/>
        <v>80.88995834129453</v>
      </c>
      <c r="AW320" s="106">
        <f t="shared" si="837"/>
        <v>66.542317355202414</v>
      </c>
      <c r="AX320" s="106">
        <f t="shared" si="837"/>
        <v>51.139015168564619</v>
      </c>
      <c r="AY320" s="106">
        <f t="shared" si="837"/>
        <v>54.122538408050282</v>
      </c>
      <c r="AZ320" s="106">
        <f t="shared" si="837"/>
        <v>51.98224996342713</v>
      </c>
      <c r="BA320" s="106">
        <f t="shared" si="837"/>
        <v>60.786406331014675</v>
      </c>
      <c r="BB320" s="106">
        <f t="shared" si="837"/>
        <v>46.443608700727651</v>
      </c>
      <c r="BC320" s="106">
        <f t="shared" ca="1" si="837"/>
        <v>54.348330509694108</v>
      </c>
      <c r="BD320" s="106">
        <f t="shared" ca="1" si="837"/>
        <v>60.68161793547732</v>
      </c>
      <c r="BE320" s="106">
        <f t="shared" ca="1" si="837"/>
        <v>56.370607985486856</v>
      </c>
      <c r="BF320" s="106">
        <f t="shared" si="837"/>
        <v>44.945762978227386</v>
      </c>
      <c r="BG320" s="106">
        <f t="shared" si="837"/>
        <v>46.724946684448845</v>
      </c>
      <c r="BH320" s="106">
        <f t="shared" si="837"/>
        <v>51.693653060908851</v>
      </c>
      <c r="BI320" s="106">
        <f t="shared" si="837"/>
        <v>43.541986576928871</v>
      </c>
      <c r="BJ320" s="106">
        <f t="shared" si="837"/>
        <v>38.199788342355724</v>
      </c>
      <c r="BK320" s="106">
        <f t="shared" si="837"/>
        <v>42.868738721284252</v>
      </c>
      <c r="BL320" s="106">
        <f t="shared" si="837"/>
        <v>43.615089174881341</v>
      </c>
      <c r="BM320" s="106">
        <f t="shared" si="837"/>
        <v>44.368334903715919</v>
      </c>
      <c r="BN320" s="106">
        <f t="shared" si="837"/>
        <v>44.319645483982889</v>
      </c>
      <c r="BO320" s="106">
        <f t="shared" si="837"/>
        <v>45.653718698416576</v>
      </c>
      <c r="BP320" s="106">
        <f t="shared" si="837"/>
        <v>59.646980347888558</v>
      </c>
      <c r="BQ320" s="106">
        <f t="shared" si="837"/>
        <v>57.484182060242958</v>
      </c>
      <c r="BR320" s="106">
        <f t="shared" ref="BR320:CC320" si="838">(BR131/BR17)*100</f>
        <v>62.280213903743316</v>
      </c>
      <c r="BS320" s="106">
        <f t="shared" si="838"/>
        <v>73.181996228057443</v>
      </c>
      <c r="BT320" s="106">
        <f t="shared" si="838"/>
        <v>78.669258280205256</v>
      </c>
      <c r="BU320" s="106">
        <f t="shared" ca="1" si="838"/>
        <v>70.906127070295923</v>
      </c>
      <c r="BV320" s="106">
        <f t="shared" ca="1" si="838"/>
        <v>65.261352921844534</v>
      </c>
      <c r="BW320" s="106">
        <f t="shared" ca="1" si="838"/>
        <v>62.466029150810023</v>
      </c>
      <c r="BX320" s="106">
        <f t="shared" ca="1" si="838"/>
        <v>61.259710327724726</v>
      </c>
      <c r="BY320" s="106">
        <f t="shared" ca="1" si="838"/>
        <v>58.914680900545271</v>
      </c>
      <c r="BZ320" s="106">
        <f t="shared" ca="1" si="838"/>
        <v>56.320775024132409</v>
      </c>
      <c r="CA320" s="106">
        <f t="shared" ca="1" si="838"/>
        <v>53.507242939397237</v>
      </c>
      <c r="CB320" s="106">
        <f t="shared" ca="1" si="838"/>
        <v>50.436873267362259</v>
      </c>
      <c r="CC320" s="106">
        <f t="shared" ca="1" si="838"/>
        <v>47.079662181597101</v>
      </c>
      <c r="CD320" s="106">
        <f ca="1">(CD131/CD17)*100</f>
        <v>43.40697199848438</v>
      </c>
      <c r="CE320" s="106">
        <f ca="1">(CE131/CE17)*100</f>
        <v>39.40006977878339</v>
      </c>
      <c r="CF320" s="106">
        <f ca="1">(CF131/CF17)*100</f>
        <v>35.061732228296925</v>
      </c>
      <c r="CG320" s="106">
        <f ca="1">(CG131/CG17)*100</f>
        <v>30.431230541417271</v>
      </c>
      <c r="CH320" s="141"/>
      <c r="CI320" s="159">
        <f t="shared" si="828"/>
        <v>0</v>
      </c>
      <c r="CJ320" s="159">
        <f t="shared" si="828"/>
        <v>0</v>
      </c>
      <c r="CK320" s="159">
        <f t="shared" si="828"/>
        <v>0</v>
      </c>
      <c r="CL320" s="159">
        <f t="shared" si="828"/>
        <v>0</v>
      </c>
      <c r="CM320" s="159">
        <f t="shared" ca="1" si="828"/>
        <v>2.0591576576576642</v>
      </c>
      <c r="CN320" s="159">
        <f t="shared" ca="1" si="828"/>
        <v>0.69991986086812119</v>
      </c>
      <c r="CO320" s="159">
        <f t="shared" ca="1" si="828"/>
        <v>0.69225640566318702</v>
      </c>
      <c r="CP320" s="159">
        <f t="shared" ca="1" si="828"/>
        <v>0.94401110927569931</v>
      </c>
      <c r="CQ320" s="159">
        <f t="shared" ca="1" si="828"/>
        <v>1.2310344866475518</v>
      </c>
      <c r="CR320" s="159">
        <f t="shared" ca="1" si="828"/>
        <v>1.5170508549511865</v>
      </c>
      <c r="CS320" s="159">
        <f t="shared" ca="1" si="829"/>
        <v>1.6190069167582735</v>
      </c>
      <c r="CT320" s="159">
        <f t="shared" ca="1" si="829"/>
        <v>1.5841196682538197</v>
      </c>
      <c r="CU320" s="159">
        <f t="shared" ca="1" si="829"/>
        <v>1.6691613973228172</v>
      </c>
      <c r="CV320" s="159">
        <f t="shared" ca="1" si="821"/>
        <v>1.7973243799752723</v>
      </c>
      <c r="CW320" s="159">
        <f t="shared" ca="1" si="822"/>
        <v>1.935423671353611</v>
      </c>
      <c r="CX320" s="159">
        <f t="shared" ca="1" si="823"/>
        <v>2.0630111038317267</v>
      </c>
      <c r="CY320" s="159">
        <f t="shared" ca="1" si="824"/>
        <v>2.1577509112795603</v>
      </c>
      <c r="CZ320" s="134"/>
      <c r="DA320" s="135">
        <v>57.484182060242958</v>
      </c>
      <c r="DB320" s="135">
        <v>62.280213903743316</v>
      </c>
      <c r="DC320" s="135">
        <v>73.181996228057443</v>
      </c>
      <c r="DD320" s="135">
        <v>78.669258280205256</v>
      </c>
      <c r="DE320" s="135">
        <v>68.846969412638259</v>
      </c>
      <c r="DF320" s="135">
        <v>64.561433060976412</v>
      </c>
      <c r="DG320" s="135">
        <v>61.773772745146836</v>
      </c>
      <c r="DH320" s="135">
        <v>60.315699218449026</v>
      </c>
      <c r="DI320" s="135">
        <v>57.683646413897719</v>
      </c>
      <c r="DJ320" s="135">
        <v>54.803724169181223</v>
      </c>
      <c r="DK320" s="135">
        <v>51.888236022638964</v>
      </c>
      <c r="DL320" s="135">
        <v>48.852753599108439</v>
      </c>
      <c r="DM320" s="135">
        <v>45.410500784274284</v>
      </c>
      <c r="DN320" s="135">
        <v>41.609647618509108</v>
      </c>
      <c r="DO320" s="135">
        <v>37.464646107429779</v>
      </c>
      <c r="DP320" s="135">
        <v>32.998721124465199</v>
      </c>
      <c r="DQ320" s="135">
        <v>28.273479630137711</v>
      </c>
    </row>
    <row r="321" spans="1:121" s="123" customFormat="1">
      <c r="A321" s="107" t="s">
        <v>2972</v>
      </c>
      <c r="B321" s="107"/>
      <c r="C321" s="136" t="s">
        <v>1320</v>
      </c>
      <c r="D321" s="147"/>
      <c r="E321" s="107"/>
      <c r="F321" s="106">
        <f t="shared" ref="F321:AK321" si="839">(F132/F17)*100</f>
        <v>-3.7025038182070626</v>
      </c>
      <c r="G321" s="106">
        <f t="shared" si="839"/>
        <v>-1.1075419013856007</v>
      </c>
      <c r="H321" s="106">
        <f t="shared" si="839"/>
        <v>-4.8466675713200171</v>
      </c>
      <c r="I321" s="106">
        <f t="shared" si="839"/>
        <v>-4.3324579273452288</v>
      </c>
      <c r="J321" s="106">
        <f t="shared" si="839"/>
        <v>-3.3501776683058275</v>
      </c>
      <c r="K321" s="106">
        <f t="shared" si="839"/>
        <v>-9.4075865209575831</v>
      </c>
      <c r="L321" s="106">
        <f t="shared" si="839"/>
        <v>-10.601097927026656</v>
      </c>
      <c r="M321" s="106">
        <f t="shared" si="839"/>
        <v>-9.3251512878593914</v>
      </c>
      <c r="N321" s="106">
        <f t="shared" si="839"/>
        <v>-9.1636045078925896</v>
      </c>
      <c r="O321" s="106">
        <f t="shared" si="839"/>
        <v>-9.5862479639702123</v>
      </c>
      <c r="P321" s="106">
        <f t="shared" si="839"/>
        <v>-9.0376747078675237</v>
      </c>
      <c r="Q321" s="106">
        <f t="shared" si="839"/>
        <v>-8.1406544538076062</v>
      </c>
      <c r="R321" s="106">
        <f t="shared" si="839"/>
        <v>-6.9503074377093546</v>
      </c>
      <c r="S321" s="106">
        <f t="shared" si="839"/>
        <v>-6.9616419660370186</v>
      </c>
      <c r="T321" s="106">
        <f t="shared" si="839"/>
        <v>-12.191833201116244</v>
      </c>
      <c r="U321" s="106">
        <f t="shared" si="839"/>
        <v>-12.66835018099961</v>
      </c>
      <c r="V321" s="106">
        <f t="shared" si="839"/>
        <v>-10.956607655407915</v>
      </c>
      <c r="W321" s="106">
        <f t="shared" si="839"/>
        <v>-11.467377229393048</v>
      </c>
      <c r="X321" s="106">
        <f t="shared" si="839"/>
        <v>-9.9385910392757939</v>
      </c>
      <c r="Y321" s="106">
        <f t="shared" si="839"/>
        <v>-7.7969332652859684</v>
      </c>
      <c r="Z321" s="106">
        <f t="shared" si="839"/>
        <v>-5.4314406735654197</v>
      </c>
      <c r="AA321" s="106">
        <f t="shared" si="839"/>
        <v>-4.0256705175356275</v>
      </c>
      <c r="AB321" s="106">
        <f t="shared" si="839"/>
        <v>-5.3611946059981177</v>
      </c>
      <c r="AC321" s="106">
        <f t="shared" si="839"/>
        <v>-4.0019123718992899</v>
      </c>
      <c r="AD321" s="106">
        <f t="shared" si="839"/>
        <v>-3.0334362785585562</v>
      </c>
      <c r="AE321" s="106">
        <f t="shared" si="839"/>
        <v>-3.7533225099630827</v>
      </c>
      <c r="AF321" s="106">
        <f t="shared" si="839"/>
        <v>-1.4745520018200615</v>
      </c>
      <c r="AG321" s="106">
        <f t="shared" si="839"/>
        <v>1.2241116231837619</v>
      </c>
      <c r="AH321" s="106">
        <f t="shared" si="839"/>
        <v>0.64288013296831947</v>
      </c>
      <c r="AI321" s="106">
        <f t="shared" si="839"/>
        <v>-0.89883142718320996</v>
      </c>
      <c r="AJ321" s="106">
        <f t="shared" si="839"/>
        <v>0.17919624413593002</v>
      </c>
      <c r="AK321" s="106">
        <f t="shared" si="839"/>
        <v>-4.8129171423069508E-3</v>
      </c>
      <c r="AL321" s="106">
        <f t="shared" ref="AL321:BQ321" si="840">(AL132/AL17)*100</f>
        <v>-0.16504918571106689</v>
      </c>
      <c r="AM321" s="106">
        <f t="shared" si="840"/>
        <v>-0.35585664772359732</v>
      </c>
      <c r="AN321" s="106">
        <f t="shared" si="840"/>
        <v>-0.55732888327682106</v>
      </c>
      <c r="AO321" s="106">
        <f t="shared" si="840"/>
        <v>-0.34381611546804358</v>
      </c>
      <c r="AP321" s="106">
        <f t="shared" si="840"/>
        <v>-0.39134912461380023</v>
      </c>
      <c r="AQ321" s="106">
        <f t="shared" si="840"/>
        <v>-0.44632894443204635</v>
      </c>
      <c r="AR321" s="106">
        <f t="shared" si="840"/>
        <v>-0.21914648212226065</v>
      </c>
      <c r="AS321" s="106">
        <f t="shared" si="840"/>
        <v>-1.7437234188503226</v>
      </c>
      <c r="AT321" s="106">
        <f t="shared" si="840"/>
        <v>-0.90909090909090917</v>
      </c>
      <c r="AU321" s="106">
        <f t="shared" si="840"/>
        <v>-0.41317312379164051</v>
      </c>
      <c r="AV321" s="106">
        <f t="shared" si="840"/>
        <v>0.29699559384643887</v>
      </c>
      <c r="AW321" s="106">
        <f t="shared" si="840"/>
        <v>-0.31068437996702364</v>
      </c>
      <c r="AX321" s="106">
        <f t="shared" si="840"/>
        <v>-4.8048791465994563E-2</v>
      </c>
      <c r="AY321" s="106">
        <f t="shared" si="840"/>
        <v>3.9162435549258044E-2</v>
      </c>
      <c r="AZ321" s="106">
        <f t="shared" si="840"/>
        <v>-5.0633650085096891</v>
      </c>
      <c r="BA321" s="106">
        <f t="shared" si="840"/>
        <v>-12.767322674241186</v>
      </c>
      <c r="BB321" s="106">
        <f t="shared" si="840"/>
        <v>-3.9636172613720384</v>
      </c>
      <c r="BC321" s="106">
        <f t="shared" si="840"/>
        <v>-3.8622049750631304</v>
      </c>
      <c r="BD321" s="106">
        <f t="shared" si="840"/>
        <v>-4.266198398028342</v>
      </c>
      <c r="BE321" s="106">
        <f t="shared" ca="1" si="840"/>
        <v>-3.1224968459499287</v>
      </c>
      <c r="BF321" s="106">
        <f t="shared" si="840"/>
        <v>-2.0902330252695558</v>
      </c>
      <c r="BG321" s="106">
        <f t="shared" si="840"/>
        <v>-8.915011475714911E-2</v>
      </c>
      <c r="BH321" s="106">
        <f t="shared" si="840"/>
        <v>0.5813719182107836</v>
      </c>
      <c r="BI321" s="106">
        <f t="shared" si="840"/>
        <v>0.12470258685516626</v>
      </c>
      <c r="BJ321" s="106">
        <f t="shared" si="840"/>
        <v>-2.4044887894433931</v>
      </c>
      <c r="BK321" s="106">
        <f t="shared" si="840"/>
        <v>-5.0124448692222536</v>
      </c>
      <c r="BL321" s="106">
        <f t="shared" si="840"/>
        <v>-3.2374121485943776</v>
      </c>
      <c r="BM321" s="106">
        <f t="shared" si="840"/>
        <v>-2.1354092220717278</v>
      </c>
      <c r="BN321" s="106">
        <f t="shared" si="840"/>
        <v>-1.1107079767549439</v>
      </c>
      <c r="BO321" s="106">
        <f t="shared" si="840"/>
        <v>-0.47480272971816351</v>
      </c>
      <c r="BP321" s="106">
        <f t="shared" si="840"/>
        <v>-5.8566370773256704</v>
      </c>
      <c r="BQ321" s="106">
        <f t="shared" si="840"/>
        <v>-14.269499916791478</v>
      </c>
      <c r="BR321" s="106">
        <f t="shared" ref="BR321:CC321" si="841">(BR132/BR17)*100</f>
        <v>-11.301127644733782</v>
      </c>
      <c r="BS321" s="106">
        <f t="shared" si="841"/>
        <v>-12.285724648193819</v>
      </c>
      <c r="BT321" s="106">
        <f t="shared" si="841"/>
        <v>-15.334598040740163</v>
      </c>
      <c r="BU321" s="106">
        <f t="shared" ca="1" si="841"/>
        <v>-13.10058180325901</v>
      </c>
      <c r="BV321" s="106">
        <f t="shared" ca="1" si="841"/>
        <v>-11.487848657578322</v>
      </c>
      <c r="BW321" s="106">
        <f t="shared" ca="1" si="841"/>
        <v>-10.474389555022471</v>
      </c>
      <c r="BX321" s="106">
        <f t="shared" ca="1" si="841"/>
        <v>-9.8064439292970143</v>
      </c>
      <c r="BY321" s="106">
        <f t="shared" ca="1" si="841"/>
        <v>-8.9990801283132118</v>
      </c>
      <c r="BZ321" s="106">
        <f t="shared" ca="1" si="841"/>
        <v>-8.1769568182539096</v>
      </c>
      <c r="CA321" s="106">
        <f t="shared" ca="1" si="841"/>
        <v>-7.3589788046734537</v>
      </c>
      <c r="CB321" s="106">
        <f t="shared" ca="1" si="841"/>
        <v>-6.5456022359948438</v>
      </c>
      <c r="CC321" s="106">
        <f t="shared" ca="1" si="841"/>
        <v>-5.7392055288066315</v>
      </c>
      <c r="CD321" s="106">
        <f ca="1">(CD132/CD17)*100</f>
        <v>-4.9438007645272748</v>
      </c>
      <c r="CE321" s="106">
        <f ca="1">(CE132/CE17)*100</f>
        <v>-4.1661509021634267</v>
      </c>
      <c r="CF321" s="106">
        <f ca="1">(CF132/CF17)*100</f>
        <v>-3.4166892468201953</v>
      </c>
      <c r="CG321" s="106">
        <f ca="1">(CG132/CG17)*100</f>
        <v>-2.7099270610244965</v>
      </c>
      <c r="CH321" s="141"/>
      <c r="CI321" s="159">
        <f t="shared" si="828"/>
        <v>0</v>
      </c>
      <c r="CJ321" s="159">
        <f t="shared" si="828"/>
        <v>0</v>
      </c>
      <c r="CK321" s="159">
        <f t="shared" si="828"/>
        <v>0</v>
      </c>
      <c r="CL321" s="159">
        <f t="shared" si="828"/>
        <v>0</v>
      </c>
      <c r="CM321" s="159">
        <f t="shared" ca="1" si="828"/>
        <v>-0.95086992747224564</v>
      </c>
      <c r="CN321" s="159">
        <f t="shared" ca="1" si="828"/>
        <v>-0.5355182053997023</v>
      </c>
      <c r="CO321" s="159">
        <f t="shared" ca="1" si="828"/>
        <v>-0.44033435498109874</v>
      </c>
      <c r="CP321" s="159">
        <f t="shared" ca="1" si="828"/>
        <v>-0.43297740366719673</v>
      </c>
      <c r="CQ321" s="159">
        <f t="shared" ca="1" si="828"/>
        <v>-0.43669960071136238</v>
      </c>
      <c r="CR321" s="159">
        <f t="shared" ca="1" si="828"/>
        <v>-0.24240199059759604</v>
      </c>
      <c r="CS321" s="159">
        <f t="shared" ca="1" si="829"/>
        <v>-0.24199815614371367</v>
      </c>
      <c r="CT321" s="159">
        <f t="shared" ca="1" si="829"/>
        <v>-0.23215070389829418</v>
      </c>
      <c r="CU321" s="159">
        <f t="shared" ca="1" si="829"/>
        <v>-0.24095126778801923</v>
      </c>
      <c r="CV321" s="159">
        <f t="shared" ca="1" si="821"/>
        <v>-0.2527732294581968</v>
      </c>
      <c r="CW321" s="159">
        <f t="shared" ca="1" si="822"/>
        <v>-0.26016102066103741</v>
      </c>
      <c r="CX321" s="159">
        <f t="shared" ca="1" si="823"/>
        <v>-0.25950616493069978</v>
      </c>
      <c r="CY321" s="159">
        <f t="shared" ca="1" si="824"/>
        <v>-0.24869344513123348</v>
      </c>
      <c r="CZ321" s="134"/>
      <c r="DA321" s="135">
        <v>-14.269499916791478</v>
      </c>
      <c r="DB321" s="135">
        <v>-11.301127644733782</v>
      </c>
      <c r="DC321" s="135">
        <v>-12.285724648193819</v>
      </c>
      <c r="DD321" s="135">
        <v>-15.334598040740163</v>
      </c>
      <c r="DE321" s="135">
        <v>-12.149711875786764</v>
      </c>
      <c r="DF321" s="135">
        <v>-10.95233045217862</v>
      </c>
      <c r="DG321" s="135">
        <v>-10.034055200041372</v>
      </c>
      <c r="DH321" s="135">
        <v>-9.3734665256298175</v>
      </c>
      <c r="DI321" s="135">
        <v>-8.5623805276018494</v>
      </c>
      <c r="DJ321" s="135">
        <v>-7.9345548276563136</v>
      </c>
      <c r="DK321" s="135">
        <v>-7.11698064852974</v>
      </c>
      <c r="DL321" s="135">
        <v>-6.3134515320965496</v>
      </c>
      <c r="DM321" s="135">
        <v>-5.4982542610186123</v>
      </c>
      <c r="DN321" s="135">
        <v>-4.691027535069078</v>
      </c>
      <c r="DO321" s="135">
        <v>-3.9059898815023892</v>
      </c>
      <c r="DP321" s="135">
        <v>-3.1571830818894955</v>
      </c>
      <c r="DQ321" s="135">
        <v>-2.4612336158932631</v>
      </c>
    </row>
    <row r="322" spans="1:121" s="123" customFormat="1">
      <c r="A322" s="107" t="s">
        <v>2973</v>
      </c>
      <c r="B322" s="107"/>
      <c r="C322" s="136" t="s">
        <v>1320</v>
      </c>
      <c r="D322" s="147"/>
      <c r="E322" s="107"/>
      <c r="F322" s="106">
        <f t="shared" ref="F322:AK322" si="842">(F135/F17)*100</f>
        <v>-0.33058069805420198</v>
      </c>
      <c r="G322" s="106">
        <f t="shared" si="842"/>
        <v>-0.30765052816266708</v>
      </c>
      <c r="H322" s="106">
        <f t="shared" si="842"/>
        <v>-1.0022631146198135</v>
      </c>
      <c r="I322" s="106">
        <f t="shared" si="842"/>
        <v>-1.0875140418525504</v>
      </c>
      <c r="J322" s="106">
        <f t="shared" si="842"/>
        <v>-1.1317942716131728</v>
      </c>
      <c r="K322" s="106">
        <f t="shared" si="842"/>
        <v>-1.1454150340114222</v>
      </c>
      <c r="L322" s="106">
        <f t="shared" si="842"/>
        <v>-1.1646238655401875</v>
      </c>
      <c r="M322" s="106">
        <f t="shared" si="842"/>
        <v>-1.4827852955501903</v>
      </c>
      <c r="N322" s="106">
        <f t="shared" si="842"/>
        <v>-1.5060655001936287</v>
      </c>
      <c r="O322" s="106">
        <f t="shared" si="842"/>
        <v>-0.99516326751139095</v>
      </c>
      <c r="P322" s="106">
        <f t="shared" si="842"/>
        <v>-0.96703896962402058</v>
      </c>
      <c r="Q322" s="106">
        <f t="shared" si="842"/>
        <v>-0.61053544520385139</v>
      </c>
      <c r="R322" s="106">
        <f t="shared" si="842"/>
        <v>-0.47310262267066183</v>
      </c>
      <c r="S322" s="106">
        <f t="shared" si="842"/>
        <v>-0.43827053722751652</v>
      </c>
      <c r="T322" s="106">
        <f t="shared" si="842"/>
        <v>-0.36971310263235735</v>
      </c>
      <c r="U322" s="106">
        <f t="shared" si="842"/>
        <v>-0.37402243208166014</v>
      </c>
      <c r="V322" s="106">
        <f t="shared" si="842"/>
        <v>-0.37280367566393574</v>
      </c>
      <c r="W322" s="106">
        <f t="shared" si="842"/>
        <v>-0.39155197894374533</v>
      </c>
      <c r="X322" s="106">
        <f t="shared" si="842"/>
        <v>-0.57907774643095566</v>
      </c>
      <c r="Y322" s="106">
        <f t="shared" si="842"/>
        <v>-0.44553902855565758</v>
      </c>
      <c r="Z322" s="106">
        <f t="shared" si="842"/>
        <v>-0.59438411464796725</v>
      </c>
      <c r="AA322" s="106">
        <f t="shared" si="842"/>
        <v>-0.28883732223100994</v>
      </c>
      <c r="AB322" s="106">
        <f t="shared" si="842"/>
        <v>0.24935790339874836</v>
      </c>
      <c r="AC322" s="106">
        <f t="shared" si="842"/>
        <v>0.37333722583882667</v>
      </c>
      <c r="AD322" s="106">
        <f t="shared" si="842"/>
        <v>0.92545514737388601</v>
      </c>
      <c r="AE322" s="106">
        <f t="shared" si="842"/>
        <v>0.71952101476791563</v>
      </c>
      <c r="AF322" s="106">
        <f t="shared" si="842"/>
        <v>0.72406314970619001</v>
      </c>
      <c r="AG322" s="106">
        <f t="shared" si="842"/>
        <v>0.40646172519973789</v>
      </c>
      <c r="AH322" s="106">
        <f t="shared" si="842"/>
        <v>-0.12398396728616516</v>
      </c>
      <c r="AI322" s="106">
        <f t="shared" si="842"/>
        <v>-0.58495380943157438</v>
      </c>
      <c r="AJ322" s="106">
        <f t="shared" si="842"/>
        <v>0.45152744828959324</v>
      </c>
      <c r="AK322" s="106">
        <f t="shared" si="842"/>
        <v>3.864728057410999</v>
      </c>
      <c r="AL322" s="106">
        <f t="shared" ref="AL322:BQ322" si="843">(AL135/AL17)*100</f>
        <v>11.247960883148668</v>
      </c>
      <c r="AM322" s="106">
        <f t="shared" si="843"/>
        <v>27.611045480858014</v>
      </c>
      <c r="AN322" s="106">
        <f t="shared" si="843"/>
        <v>33.940967444152307</v>
      </c>
      <c r="AO322" s="106">
        <f t="shared" si="843"/>
        <v>36.682391488889252</v>
      </c>
      <c r="AP322" s="106">
        <f t="shared" si="843"/>
        <v>50.018022657054587</v>
      </c>
      <c r="AQ322" s="106">
        <f t="shared" si="843"/>
        <v>71.767462619950919</v>
      </c>
      <c r="AR322" s="106">
        <f t="shared" si="843"/>
        <v>78.283077937057172</v>
      </c>
      <c r="AS322" s="106">
        <f t="shared" si="843"/>
        <v>55.758677459185066</v>
      </c>
      <c r="AT322" s="106">
        <f t="shared" si="843"/>
        <v>33.521125024649976</v>
      </c>
      <c r="AU322" s="106">
        <f t="shared" si="843"/>
        <v>19.3588218841087</v>
      </c>
      <c r="AV322" s="106">
        <f t="shared" si="843"/>
        <v>15.577329876731918</v>
      </c>
      <c r="AW322" s="106">
        <f t="shared" si="843"/>
        <v>6.8513016469267525</v>
      </c>
      <c r="AX322" s="106">
        <f t="shared" si="843"/>
        <v>-0.19561596975289194</v>
      </c>
      <c r="AY322" s="106">
        <f t="shared" si="843"/>
        <v>-0.19581217774629042</v>
      </c>
      <c r="AZ322" s="106">
        <f t="shared" si="843"/>
        <v>-0.20752609864524474</v>
      </c>
      <c r="BA322" s="106">
        <f t="shared" si="843"/>
        <v>-9.5066389769998719E-2</v>
      </c>
      <c r="BB322" s="106">
        <f t="shared" si="843"/>
        <v>-0.80267714697069925</v>
      </c>
      <c r="BC322" s="106">
        <f t="shared" si="843"/>
        <v>-0.45205902294059236</v>
      </c>
      <c r="BD322" s="106">
        <f t="shared" si="843"/>
        <v>0.86817005545286507</v>
      </c>
      <c r="BE322" s="106">
        <f t="shared" ca="1" si="843"/>
        <v>0.47865468754261692</v>
      </c>
      <c r="BF322" s="106">
        <f t="shared" si="843"/>
        <v>1.3768690937096706</v>
      </c>
      <c r="BG322" s="106">
        <f t="shared" si="843"/>
        <v>2.6539303393089764</v>
      </c>
      <c r="BH322" s="106">
        <f t="shared" si="843"/>
        <v>2.5791254214743096</v>
      </c>
      <c r="BI322" s="106">
        <f t="shared" si="843"/>
        <v>2.4420923259136713</v>
      </c>
      <c r="BJ322" s="106">
        <f t="shared" si="843"/>
        <v>1.9941349979564089</v>
      </c>
      <c r="BK322" s="106">
        <f t="shared" si="843"/>
        <v>1.6695400117630779</v>
      </c>
      <c r="BL322" s="106">
        <f t="shared" si="843"/>
        <v>1.2243304125593282</v>
      </c>
      <c r="BM322" s="106">
        <f t="shared" si="843"/>
        <v>1.0839805959601907</v>
      </c>
      <c r="BN322" s="106">
        <f t="shared" si="843"/>
        <v>1.1378763733086621</v>
      </c>
      <c r="BO322" s="106">
        <f t="shared" si="843"/>
        <v>1.1033671975301096</v>
      </c>
      <c r="BP322" s="106">
        <f t="shared" si="843"/>
        <v>3.3952486017753603</v>
      </c>
      <c r="BQ322" s="106">
        <f t="shared" si="843"/>
        <v>3.1151065069063071</v>
      </c>
      <c r="BR322" s="106">
        <f t="shared" ref="BR322:CC322" si="844">(BR135/BR17)*100</f>
        <v>2.9996279934898862</v>
      </c>
      <c r="BS322" s="106">
        <f t="shared" si="844"/>
        <v>2.6677063687799216</v>
      </c>
      <c r="BT322" s="106">
        <f t="shared" si="844"/>
        <v>4.7543772352666762</v>
      </c>
      <c r="BU322" s="106">
        <f t="shared" ca="1" si="844"/>
        <v>4.1372106649573217</v>
      </c>
      <c r="BV322" s="106">
        <f t="shared" ca="1" si="844"/>
        <v>3.6951551726513898</v>
      </c>
      <c r="BW322" s="106">
        <f t="shared" ca="1" si="844"/>
        <v>3.4314763474394856</v>
      </c>
      <c r="BX322" s="106">
        <f t="shared" ca="1" si="844"/>
        <v>3.2719285790612331</v>
      </c>
      <c r="BY322" s="106">
        <f t="shared" ca="1" si="844"/>
        <v>3.0578226967238313</v>
      </c>
      <c r="BZ322" s="106">
        <f t="shared" ca="1" si="844"/>
        <v>2.8295020216657436</v>
      </c>
      <c r="CA322" s="106">
        <f t="shared" ca="1" si="844"/>
        <v>2.5931190451816999</v>
      </c>
      <c r="CB322" s="106">
        <f t="shared" ca="1" si="844"/>
        <v>2.348680012897371</v>
      </c>
      <c r="CC322" s="106">
        <f t="shared" ca="1" si="844"/>
        <v>2.0969030928498111</v>
      </c>
      <c r="CD322" s="106">
        <f ca="1">(CD135/CD17)*100</f>
        <v>1.8391753854551411</v>
      </c>
      <c r="CE322" s="106">
        <f ca="1">(CE135/CE17)*100</f>
        <v>1.5780338100547735</v>
      </c>
      <c r="CF322" s="106">
        <f ca="1">(CF135/CF17)*100</f>
        <v>1.3176184975040295</v>
      </c>
      <c r="CG322" s="106">
        <f ca="1">(CG135/CG17)*100</f>
        <v>1.0639683845072019</v>
      </c>
      <c r="CH322" s="141"/>
      <c r="CI322" s="159">
        <f t="shared" si="828"/>
        <v>0</v>
      </c>
      <c r="CJ322" s="159">
        <f t="shared" si="828"/>
        <v>0</v>
      </c>
      <c r="CK322" s="159">
        <f t="shared" si="828"/>
        <v>0</v>
      </c>
      <c r="CL322" s="159">
        <f t="shared" si="828"/>
        <v>0</v>
      </c>
      <c r="CM322" s="159">
        <f t="shared" ca="1" si="828"/>
        <v>0.35615757574344764</v>
      </c>
      <c r="CN322" s="159">
        <f t="shared" ca="1" si="828"/>
        <v>0.27168888572620542</v>
      </c>
      <c r="CO322" s="159">
        <f t="shared" ca="1" si="828"/>
        <v>0.27923041542843441</v>
      </c>
      <c r="CP322" s="159">
        <f t="shared" ca="1" si="828"/>
        <v>0.31061309340383225</v>
      </c>
      <c r="CQ322" s="159">
        <f t="shared" ca="1" si="828"/>
        <v>0.33598019665146195</v>
      </c>
      <c r="CR322" s="159">
        <f t="shared" ca="1" si="828"/>
        <v>0.29025102775412215</v>
      </c>
      <c r="CS322" s="159">
        <f t="shared" ca="1" si="829"/>
        <v>0.29901932530919773</v>
      </c>
      <c r="CT322" s="159">
        <f t="shared" ca="1" si="829"/>
        <v>0.29787346400482351</v>
      </c>
      <c r="CU322" s="159">
        <f t="shared" ca="1" si="829"/>
        <v>0.29628473136311473</v>
      </c>
      <c r="CV322" s="159">
        <f t="shared" ca="1" si="821"/>
        <v>0.28967405475281294</v>
      </c>
      <c r="CW322" s="159">
        <f t="shared" ca="1" si="822"/>
        <v>0.27618261956423318</v>
      </c>
      <c r="CX322" s="159">
        <f t="shared" ca="1" si="823"/>
        <v>0.25541680517696741</v>
      </c>
      <c r="CY322" s="159">
        <f t="shared" ca="1" si="824"/>
        <v>0.22778818209807639</v>
      </c>
      <c r="CZ322" s="134"/>
      <c r="DA322" s="135">
        <v>3.1151065069063071</v>
      </c>
      <c r="DB322" s="135">
        <v>2.9996279934898862</v>
      </c>
      <c r="DC322" s="135">
        <v>2.6677063687799216</v>
      </c>
      <c r="DD322" s="135">
        <v>4.7543772352666762</v>
      </c>
      <c r="DE322" s="135">
        <v>3.7810530892138741</v>
      </c>
      <c r="DF322" s="135">
        <v>3.4234662869251844</v>
      </c>
      <c r="DG322" s="135">
        <v>3.1522459320110512</v>
      </c>
      <c r="DH322" s="135">
        <v>2.9613154856574009</v>
      </c>
      <c r="DI322" s="135">
        <v>2.7218425000723694</v>
      </c>
      <c r="DJ322" s="135">
        <v>2.5392509939116215</v>
      </c>
      <c r="DK322" s="135">
        <v>2.2940997198725022</v>
      </c>
      <c r="DL322" s="135">
        <v>2.0508065488925475</v>
      </c>
      <c r="DM322" s="135">
        <v>1.8006183614866964</v>
      </c>
      <c r="DN322" s="135">
        <v>1.5495013307023282</v>
      </c>
      <c r="DO322" s="135">
        <v>1.3018511904905403</v>
      </c>
      <c r="DP322" s="135">
        <v>1.0622016923270621</v>
      </c>
      <c r="DQ322" s="135">
        <v>0.83618020240912549</v>
      </c>
    </row>
    <row r="323" spans="1:121" s="123" customFormat="1">
      <c r="A323" s="107" t="s">
        <v>1239</v>
      </c>
      <c r="B323" s="107"/>
      <c r="C323" s="136" t="s">
        <v>1320</v>
      </c>
      <c r="D323" s="147"/>
      <c r="E323" s="107"/>
      <c r="F323" s="106">
        <f t="shared" ref="F323:AK323" si="845">(F136/F17)*100</f>
        <v>1.9173680487143716</v>
      </c>
      <c r="G323" s="106">
        <f t="shared" si="845"/>
        <v>1.7843730633434689</v>
      </c>
      <c r="H323" s="106">
        <f t="shared" si="845"/>
        <v>5.1207561133332682</v>
      </c>
      <c r="I323" s="106">
        <f t="shared" si="845"/>
        <v>7.510504301856546</v>
      </c>
      <c r="J323" s="106">
        <f t="shared" si="845"/>
        <v>7.4753827911532715</v>
      </c>
      <c r="K323" s="106">
        <f t="shared" si="845"/>
        <v>16.296020462473233</v>
      </c>
      <c r="L323" s="106">
        <f t="shared" si="845"/>
        <v>13.639626382779674</v>
      </c>
      <c r="M323" s="106">
        <f t="shared" si="845"/>
        <v>16.259526470244715</v>
      </c>
      <c r="N323" s="106">
        <f t="shared" si="845"/>
        <v>18.291799478412056</v>
      </c>
      <c r="O323" s="106">
        <f t="shared" si="845"/>
        <v>19.5078031212485</v>
      </c>
      <c r="P323" s="106">
        <f t="shared" si="845"/>
        <v>28.490205538171935</v>
      </c>
      <c r="Q323" s="106">
        <f t="shared" si="845"/>
        <v>24.747763182943082</v>
      </c>
      <c r="R323" s="106">
        <f t="shared" si="845"/>
        <v>6.8594367721982685</v>
      </c>
      <c r="S323" s="106">
        <f t="shared" si="845"/>
        <v>4.5160922965261259</v>
      </c>
      <c r="T323" s="106">
        <f t="shared" si="845"/>
        <v>7.3072707343807091</v>
      </c>
      <c r="U323" s="106">
        <f t="shared" si="845"/>
        <v>5.3269865329057025</v>
      </c>
      <c r="V323" s="106">
        <f t="shared" si="845"/>
        <v>6.126814128971902</v>
      </c>
      <c r="W323" s="106">
        <f t="shared" si="845"/>
        <v>2.0799016748834798</v>
      </c>
      <c r="X323" s="106">
        <f t="shared" si="845"/>
        <v>5.2521008403361344</v>
      </c>
      <c r="Y323" s="106">
        <f t="shared" si="845"/>
        <v>9.0716702827635558</v>
      </c>
      <c r="Z323" s="106">
        <f t="shared" si="845"/>
        <v>6.2102888372741445</v>
      </c>
      <c r="AA323" s="106">
        <f t="shared" si="845"/>
        <v>14.757782812373069</v>
      </c>
      <c r="AB323" s="106">
        <f t="shared" si="845"/>
        <v>8.5695998199736589</v>
      </c>
      <c r="AC323" s="106">
        <f t="shared" si="845"/>
        <v>7.3946960921343052</v>
      </c>
      <c r="AD323" s="106">
        <f t="shared" si="845"/>
        <v>7.2893874557478808</v>
      </c>
      <c r="AE323" s="106">
        <f t="shared" si="845"/>
        <v>6.0514939161941737</v>
      </c>
      <c r="AF323" s="106">
        <f t="shared" si="845"/>
        <v>8.4826383383542101</v>
      </c>
      <c r="AG323" s="106">
        <f t="shared" si="845"/>
        <v>11.376203880681826</v>
      </c>
      <c r="AH323" s="106">
        <f t="shared" si="845"/>
        <v>9.505441520870642</v>
      </c>
      <c r="AI323" s="106">
        <f t="shared" si="845"/>
        <v>3.1340210833477871</v>
      </c>
      <c r="AJ323" s="106">
        <f t="shared" si="845"/>
        <v>0.25464731796807627</v>
      </c>
      <c r="AK323" s="106">
        <f t="shared" si="845"/>
        <v>1.9155428127225038</v>
      </c>
      <c r="AL323" s="106">
        <f t="shared" ref="AL323:BQ323" si="846">(AL136/AL17)*100</f>
        <v>-2.7162379383999236</v>
      </c>
      <c r="AM323" s="106">
        <f t="shared" si="846"/>
        <v>-4.7976334044708846</v>
      </c>
      <c r="AN323" s="106">
        <f t="shared" si="846"/>
        <v>-5.0051029267640121</v>
      </c>
      <c r="AO323" s="106">
        <f t="shared" si="846"/>
        <v>-8.2082224707059392</v>
      </c>
      <c r="AP323" s="106">
        <f t="shared" si="846"/>
        <v>0.39907312049433574</v>
      </c>
      <c r="AQ323" s="106">
        <f t="shared" si="846"/>
        <v>2.073197946886856</v>
      </c>
      <c r="AR323" s="106">
        <f t="shared" si="846"/>
        <v>0.64096226725984506</v>
      </c>
      <c r="AS323" s="106">
        <f t="shared" si="846"/>
        <v>-11.093428453834546</v>
      </c>
      <c r="AT323" s="106">
        <f t="shared" si="846"/>
        <v>-1.7744281206862551</v>
      </c>
      <c r="AU323" s="106">
        <f t="shared" si="846"/>
        <v>2.3100728532499355</v>
      </c>
      <c r="AV323" s="106">
        <f t="shared" si="846"/>
        <v>8.0307793854544833</v>
      </c>
      <c r="AW323" s="106">
        <f t="shared" si="846"/>
        <v>4.4781403733177889</v>
      </c>
      <c r="AX323" s="106">
        <f t="shared" si="846"/>
        <v>2.9600756177701757</v>
      </c>
      <c r="AY323" s="106">
        <f t="shared" si="846"/>
        <v>2.1547985463323753</v>
      </c>
      <c r="AZ323" s="106">
        <f t="shared" si="846"/>
        <v>-7.6126216797622899</v>
      </c>
      <c r="BA323" s="106">
        <f t="shared" si="846"/>
        <v>12.553096145714948</v>
      </c>
      <c r="BB323" s="106">
        <f t="shared" si="846"/>
        <v>-3.4243793532822289</v>
      </c>
      <c r="BC323" s="106">
        <f t="shared" si="846"/>
        <v>-1.8100993039280737</v>
      </c>
      <c r="BD323" s="106">
        <f t="shared" si="846"/>
        <v>-0.89351201478743081</v>
      </c>
      <c r="BE323" s="106">
        <f t="shared" si="846"/>
        <v>-0.66237802410225199</v>
      </c>
      <c r="BF323" s="106">
        <f t="shared" si="846"/>
        <v>-9.0589548728196156</v>
      </c>
      <c r="BG323" s="106">
        <f t="shared" si="846"/>
        <v>-12.285571583648656</v>
      </c>
      <c r="BH323" s="106">
        <f t="shared" si="846"/>
        <v>-0.46452756209979318</v>
      </c>
      <c r="BI323" s="106">
        <f t="shared" si="846"/>
        <v>-1.3717284554068283</v>
      </c>
      <c r="BJ323" s="106">
        <f t="shared" si="846"/>
        <v>-10.321089463411379</v>
      </c>
      <c r="BK323" s="106">
        <f t="shared" si="846"/>
        <v>-0.95429606628840324</v>
      </c>
      <c r="BL323" s="106">
        <f t="shared" si="846"/>
        <v>8.3365465041986138</v>
      </c>
      <c r="BM323" s="106">
        <f t="shared" si="846"/>
        <v>6.9856527295212301</v>
      </c>
      <c r="BN323" s="106">
        <f t="shared" si="846"/>
        <v>11.017583873019545</v>
      </c>
      <c r="BO323" s="106">
        <f t="shared" si="846"/>
        <v>12.478356437610811</v>
      </c>
      <c r="BP323" s="106">
        <f t="shared" si="846"/>
        <v>14.408127661757913</v>
      </c>
      <c r="BQ323" s="106">
        <f t="shared" si="846"/>
        <v>8.3131996449769776</v>
      </c>
      <c r="BR323" s="106">
        <f t="shared" ref="BR323:CC323" si="847">(BR136/BR17)*100</f>
        <v>8.7275168565449892</v>
      </c>
      <c r="BS323" s="106">
        <f t="shared" si="847"/>
        <v>23.126069926011894</v>
      </c>
      <c r="BT323" s="106">
        <f t="shared" si="847"/>
        <v>-12.287233711708909</v>
      </c>
      <c r="BU323" s="106">
        <f t="shared" ca="1" si="847"/>
        <v>-6.3370746139130798</v>
      </c>
      <c r="BV323" s="106">
        <f t="shared" ca="1" si="847"/>
        <v>-5.4616012097994391</v>
      </c>
      <c r="BW323" s="106">
        <f t="shared" ca="1" si="847"/>
        <v>-4.8941179903921226</v>
      </c>
      <c r="BX323" s="106">
        <f t="shared" ca="1" si="847"/>
        <v>-4.5030146625635998</v>
      </c>
      <c r="BY323" s="106">
        <f t="shared" ca="1" si="847"/>
        <v>-4.0608595220050736</v>
      </c>
      <c r="BZ323" s="106">
        <f t="shared" ca="1" si="847"/>
        <v>-3.6259498664081797</v>
      </c>
      <c r="CA323" s="106">
        <f t="shared" ca="1" si="847"/>
        <v>-3.2065673168616216</v>
      </c>
      <c r="CB323" s="106">
        <f t="shared" ca="1" si="847"/>
        <v>-2.8025145697750817</v>
      </c>
      <c r="CC323" s="106">
        <f t="shared" ca="1" si="847"/>
        <v>-2.4143960263413695</v>
      </c>
      <c r="CD323" s="106">
        <f ca="1">(CD136/CD17)*100</f>
        <v>-2.0434283464503231</v>
      </c>
      <c r="CE323" s="106">
        <f ca="1">(CE136/CE17)*100</f>
        <v>-1.6918376750005539</v>
      </c>
      <c r="CF323" s="106">
        <f ca="1">(CF136/CF17)*100</f>
        <v>-1.3631328732674539</v>
      </c>
      <c r="CG323" s="106">
        <f ca="1">(CG136/CG17)*100</f>
        <v>-1.0621438817328221</v>
      </c>
      <c r="CH323" s="141"/>
      <c r="CI323" s="159">
        <f t="shared" si="828"/>
        <v>0</v>
      </c>
      <c r="CJ323" s="159">
        <f t="shared" si="828"/>
        <v>0</v>
      </c>
      <c r="CK323" s="159">
        <f t="shared" si="828"/>
        <v>0</v>
      </c>
      <c r="CL323" s="159">
        <f t="shared" si="828"/>
        <v>0</v>
      </c>
      <c r="CM323" s="159">
        <f t="shared" ca="1" si="828"/>
        <v>-5.1726452085516561</v>
      </c>
      <c r="CN323" s="159">
        <f t="shared" ca="1" si="828"/>
        <v>-4.4442461143068783</v>
      </c>
      <c r="CO323" s="159">
        <f t="shared" ca="1" si="828"/>
        <v>-3.990192315011087</v>
      </c>
      <c r="CP323" s="159">
        <f t="shared" ca="1" si="828"/>
        <v>-3.6836005725960792</v>
      </c>
      <c r="CQ323" s="159">
        <f t="shared" ca="1" si="828"/>
        <v>-3.3341048018809181</v>
      </c>
      <c r="CR323" s="159">
        <f t="shared" ca="1" si="828"/>
        <v>-2.9717105770895977</v>
      </c>
      <c r="CS323" s="159">
        <f t="shared" ca="1" si="829"/>
        <v>-2.6362068675028985</v>
      </c>
      <c r="CT323" s="159">
        <f t="shared" ca="1" si="829"/>
        <v>-2.3105113708055822</v>
      </c>
      <c r="CU323" s="159">
        <f t="shared" ca="1" si="829"/>
        <v>-1.9975544537368948</v>
      </c>
      <c r="CV323" s="159">
        <f t="shared" ca="1" si="821"/>
        <v>-1.6972918248553173</v>
      </c>
      <c r="CW323" s="159">
        <f t="shared" ca="1" si="822"/>
        <v>-1.4112148861579179</v>
      </c>
      <c r="CX323" s="159">
        <f t="shared" ca="1" si="823"/>
        <v>-1.1421926944909115</v>
      </c>
      <c r="CY323" s="159">
        <f t="shared" ca="1" si="824"/>
        <v>-0.89431229009324209</v>
      </c>
      <c r="CZ323" s="134"/>
      <c r="DA323" s="135">
        <v>8.3131996449769776</v>
      </c>
      <c r="DB323" s="135">
        <v>8.7275168565449892</v>
      </c>
      <c r="DC323" s="135">
        <v>23.126069926011894</v>
      </c>
      <c r="DD323" s="135">
        <v>-12.287233711708909</v>
      </c>
      <c r="DE323" s="135">
        <v>-1.1644294053614239</v>
      </c>
      <c r="DF323" s="135">
        <v>-1.017355095492561</v>
      </c>
      <c r="DG323" s="135">
        <v>-0.90392567538103552</v>
      </c>
      <c r="DH323" s="135">
        <v>-0.81941408996752085</v>
      </c>
      <c r="DI323" s="135">
        <v>-0.72675472012415532</v>
      </c>
      <c r="DJ323" s="135">
        <v>-0.65423928931858211</v>
      </c>
      <c r="DK323" s="135">
        <v>-0.57036044935872321</v>
      </c>
      <c r="DL323" s="135">
        <v>-0.49200319896949968</v>
      </c>
      <c r="DM323" s="135">
        <v>-0.41684157260447469</v>
      </c>
      <c r="DN323" s="135">
        <v>-0.34613652159500591</v>
      </c>
      <c r="DO323" s="135">
        <v>-0.28062278884263597</v>
      </c>
      <c r="DP323" s="135">
        <v>-0.22094017877654243</v>
      </c>
      <c r="DQ323" s="135">
        <v>-0.16783159163958006</v>
      </c>
    </row>
    <row r="324" spans="1:121" s="123" customFormat="1">
      <c r="A324" s="107" t="s">
        <v>962</v>
      </c>
      <c r="B324" s="107"/>
      <c r="C324" s="136" t="s">
        <v>1320</v>
      </c>
      <c r="D324" s="147"/>
      <c r="E324" s="107"/>
      <c r="F324" s="106">
        <f t="shared" ref="F324:AK324" si="848">(F148/F17)*100</f>
        <v>0</v>
      </c>
      <c r="G324" s="106">
        <f t="shared" si="848"/>
        <v>0</v>
      </c>
      <c r="H324" s="106">
        <f t="shared" si="848"/>
        <v>0</v>
      </c>
      <c r="I324" s="106">
        <f t="shared" si="848"/>
        <v>0</v>
      </c>
      <c r="J324" s="106">
        <f t="shared" si="848"/>
        <v>0</v>
      </c>
      <c r="K324" s="106">
        <f t="shared" si="848"/>
        <v>0</v>
      </c>
      <c r="L324" s="106">
        <f t="shared" si="848"/>
        <v>0</v>
      </c>
      <c r="M324" s="106">
        <f t="shared" si="848"/>
        <v>0</v>
      </c>
      <c r="N324" s="106">
        <f t="shared" si="848"/>
        <v>0</v>
      </c>
      <c r="O324" s="106">
        <f t="shared" si="848"/>
        <v>0</v>
      </c>
      <c r="P324" s="106">
        <f t="shared" si="848"/>
        <v>0</v>
      </c>
      <c r="Q324" s="106">
        <f t="shared" si="848"/>
        <v>0</v>
      </c>
      <c r="R324" s="106">
        <f t="shared" si="848"/>
        <v>0</v>
      </c>
      <c r="S324" s="106">
        <f t="shared" si="848"/>
        <v>0</v>
      </c>
      <c r="T324" s="106">
        <f t="shared" si="848"/>
        <v>0</v>
      </c>
      <c r="U324" s="106">
        <f t="shared" si="848"/>
        <v>0</v>
      </c>
      <c r="V324" s="106">
        <f t="shared" si="848"/>
        <v>0</v>
      </c>
      <c r="W324" s="106">
        <f t="shared" si="848"/>
        <v>0</v>
      </c>
      <c r="X324" s="106">
        <f t="shared" si="848"/>
        <v>0</v>
      </c>
      <c r="Y324" s="106">
        <f t="shared" si="848"/>
        <v>0</v>
      </c>
      <c r="Z324" s="106">
        <f t="shared" si="848"/>
        <v>0</v>
      </c>
      <c r="AA324" s="106">
        <f t="shared" si="848"/>
        <v>0</v>
      </c>
      <c r="AB324" s="106">
        <f t="shared" si="848"/>
        <v>0</v>
      </c>
      <c r="AC324" s="106">
        <f t="shared" si="848"/>
        <v>0</v>
      </c>
      <c r="AD324" s="106">
        <f t="shared" si="848"/>
        <v>0</v>
      </c>
      <c r="AE324" s="106">
        <f t="shared" si="848"/>
        <v>0</v>
      </c>
      <c r="AF324" s="106">
        <f t="shared" si="848"/>
        <v>0</v>
      </c>
      <c r="AG324" s="106">
        <f t="shared" si="848"/>
        <v>0</v>
      </c>
      <c r="AH324" s="106">
        <f t="shared" si="848"/>
        <v>0</v>
      </c>
      <c r="AI324" s="106">
        <f t="shared" si="848"/>
        <v>0</v>
      </c>
      <c r="AJ324" s="106">
        <f t="shared" si="848"/>
        <v>0</v>
      </c>
      <c r="AK324" s="106">
        <f t="shared" si="848"/>
        <v>0</v>
      </c>
      <c r="AL324" s="106">
        <f t="shared" ref="AL324:BQ324" si="849">(AL148/AL17)*100</f>
        <v>0</v>
      </c>
      <c r="AM324" s="106">
        <f t="shared" si="849"/>
        <v>0</v>
      </c>
      <c r="AN324" s="106">
        <f t="shared" si="849"/>
        <v>0</v>
      </c>
      <c r="AO324" s="106">
        <f t="shared" si="849"/>
        <v>0</v>
      </c>
      <c r="AP324" s="106">
        <f t="shared" si="849"/>
        <v>0</v>
      </c>
      <c r="AQ324" s="106">
        <f t="shared" si="849"/>
        <v>0</v>
      </c>
      <c r="AR324" s="106">
        <f t="shared" si="849"/>
        <v>0</v>
      </c>
      <c r="AS324" s="106">
        <f t="shared" si="849"/>
        <v>0</v>
      </c>
      <c r="AT324" s="106">
        <f t="shared" si="849"/>
        <v>0</v>
      </c>
      <c r="AU324" s="106">
        <f t="shared" si="849"/>
        <v>0</v>
      </c>
      <c r="AV324" s="106">
        <f t="shared" si="849"/>
        <v>0</v>
      </c>
      <c r="AW324" s="106">
        <f t="shared" si="849"/>
        <v>0</v>
      </c>
      <c r="AX324" s="106">
        <f t="shared" si="849"/>
        <v>0</v>
      </c>
      <c r="AY324" s="106">
        <f t="shared" si="849"/>
        <v>0</v>
      </c>
      <c r="AZ324" s="106">
        <f t="shared" si="849"/>
        <v>0</v>
      </c>
      <c r="BA324" s="106">
        <f t="shared" si="849"/>
        <v>0</v>
      </c>
      <c r="BB324" s="106">
        <f t="shared" si="849"/>
        <v>0</v>
      </c>
      <c r="BC324" s="106">
        <f t="shared" si="849"/>
        <v>0</v>
      </c>
      <c r="BD324" s="106">
        <f t="shared" si="849"/>
        <v>0</v>
      </c>
      <c r="BE324" s="106">
        <f t="shared" si="849"/>
        <v>0</v>
      </c>
      <c r="BF324" s="106">
        <f t="shared" si="849"/>
        <v>2.4507502810041162</v>
      </c>
      <c r="BG324" s="106">
        <f t="shared" si="849"/>
        <v>5.0061218286706932</v>
      </c>
      <c r="BH324" s="106">
        <f t="shared" si="849"/>
        <v>5.9391131252513363</v>
      </c>
      <c r="BI324" s="106">
        <f t="shared" si="849"/>
        <v>1.0287963415551209</v>
      </c>
      <c r="BJ324" s="106">
        <f t="shared" si="849"/>
        <v>0.80457007431998218</v>
      </c>
      <c r="BK324" s="106">
        <f t="shared" si="849"/>
        <v>2.442156466233055</v>
      </c>
      <c r="BL324" s="106">
        <f t="shared" si="849"/>
        <v>3.2912288700255581</v>
      </c>
      <c r="BM324" s="106">
        <f t="shared" si="849"/>
        <v>-2.407218170307992</v>
      </c>
      <c r="BN324" s="106">
        <f t="shared" si="849"/>
        <v>-2.3812300508847</v>
      </c>
      <c r="BO324" s="106">
        <f t="shared" si="849"/>
        <v>-4.4895048144525225</v>
      </c>
      <c r="BP324" s="106">
        <f t="shared" si="849"/>
        <v>2.5380984144902166</v>
      </c>
      <c r="BQ324" s="106">
        <f t="shared" si="849"/>
        <v>1.0279539024796085</v>
      </c>
      <c r="BR324" s="106">
        <f t="shared" ref="BR324:CC324" si="850">(BR148/BR17)*100</f>
        <v>4.3564636131132222</v>
      </c>
      <c r="BS324" s="106">
        <f t="shared" si="850"/>
        <v>1.5405483824169357</v>
      </c>
      <c r="BT324" s="106">
        <f t="shared" si="850"/>
        <v>-4.0332763178354778</v>
      </c>
      <c r="BU324" s="106">
        <f t="shared" ca="1" si="850"/>
        <v>4.2413604608765345</v>
      </c>
      <c r="BV324" s="106">
        <f t="shared" ca="1" si="850"/>
        <v>2.4937378435472075</v>
      </c>
      <c r="BW324" s="106">
        <f t="shared" ca="1" si="850"/>
        <v>0.82391371441395256</v>
      </c>
      <c r="BX324" s="106">
        <f t="shared" ca="1" si="850"/>
        <v>-0.57379634155702153</v>
      </c>
      <c r="BY324" s="106">
        <f t="shared" ca="1" si="850"/>
        <v>-0.88930920139359859</v>
      </c>
      <c r="BZ324" s="106">
        <f t="shared" ca="1" si="850"/>
        <v>-1.4037744374793131</v>
      </c>
      <c r="CA324" s="106">
        <f t="shared" ca="1" si="850"/>
        <v>-2.0447913653828897</v>
      </c>
      <c r="CB324" s="106">
        <f t="shared" ca="1" si="850"/>
        <v>-2.7865058276129546</v>
      </c>
      <c r="CC324" s="106">
        <f t="shared" ca="1" si="850"/>
        <v>-3.5962401844725091</v>
      </c>
      <c r="CD324" s="106">
        <f ca="1">(CD148/CD17)*100</f>
        <v>-4.4279783291305188</v>
      </c>
      <c r="CE324" s="106">
        <f ca="1">(CE148/CE17)*100</f>
        <v>-5.2192234812719835</v>
      </c>
      <c r="CF324" s="106">
        <f ca="1">(CF148/CF17)*100</f>
        <v>-5.8901632013724745</v>
      </c>
      <c r="CG324" s="106">
        <f ca="1">(CG148/CG17)*100</f>
        <v>-6.3483486381166037</v>
      </c>
      <c r="CH324" s="141"/>
      <c r="CI324" s="159">
        <f t="shared" si="828"/>
        <v>0</v>
      </c>
      <c r="CJ324" s="159">
        <f t="shared" si="828"/>
        <v>0</v>
      </c>
      <c r="CK324" s="159">
        <f t="shared" si="828"/>
        <v>0</v>
      </c>
      <c r="CL324" s="159">
        <f t="shared" si="828"/>
        <v>0</v>
      </c>
      <c r="CM324" s="159">
        <f t="shared" ca="1" si="828"/>
        <v>3.3807240997173693E-2</v>
      </c>
      <c r="CN324" s="159">
        <f t="shared" ca="1" si="828"/>
        <v>-0.85725377921313761</v>
      </c>
      <c r="CO324" s="159">
        <f t="shared" ca="1" si="828"/>
        <v>-1.4336681433968184</v>
      </c>
      <c r="CP324" s="159">
        <f t="shared" ca="1" si="828"/>
        <v>-1.8523353184319444</v>
      </c>
      <c r="CQ324" s="159">
        <f t="shared" ca="1" si="828"/>
        <v>-2.1394167880338544</v>
      </c>
      <c r="CR324" s="159">
        <f t="shared" ca="1" si="828"/>
        <v>-3.8279443893372802</v>
      </c>
      <c r="CS324" s="159">
        <f t="shared" ca="1" si="829"/>
        <v>-3.9635793013997298</v>
      </c>
      <c r="CT324" s="159">
        <f t="shared" ca="1" si="829"/>
        <v>-3.9854943765934836</v>
      </c>
      <c r="CU324" s="159">
        <f t="shared" ca="1" si="829"/>
        <v>-3.9149352576808996</v>
      </c>
      <c r="CV324" s="159">
        <f t="shared" ca="1" si="821"/>
        <v>-3.7696325492744194</v>
      </c>
      <c r="CW324" s="159">
        <f t="shared" ca="1" si="822"/>
        <v>-3.5641718348452223</v>
      </c>
      <c r="CX324" s="159">
        <f t="shared" ca="1" si="823"/>
        <v>-3.308178456062941</v>
      </c>
      <c r="CY324" s="159">
        <f t="shared" ca="1" si="824"/>
        <v>-3.0117393400166574</v>
      </c>
      <c r="CZ324" s="134"/>
      <c r="DA324" s="135">
        <v>1.0279539024796085</v>
      </c>
      <c r="DB324" s="135">
        <v>4.3564636131132222</v>
      </c>
      <c r="DC324" s="135">
        <v>1.5405483824169357</v>
      </c>
      <c r="DD324" s="135">
        <v>-4.0332763178354778</v>
      </c>
      <c r="DE324" s="135">
        <v>4.2075532198793608</v>
      </c>
      <c r="DF324" s="135">
        <v>3.3509916227603451</v>
      </c>
      <c r="DG324" s="135">
        <v>2.2575818578107709</v>
      </c>
      <c r="DH324" s="135">
        <v>1.2785389768749229</v>
      </c>
      <c r="DI324" s="135">
        <v>1.2501075866402558</v>
      </c>
      <c r="DJ324" s="135">
        <v>2.4241699518579671</v>
      </c>
      <c r="DK324" s="135">
        <v>1.9187879360168401</v>
      </c>
      <c r="DL324" s="135">
        <v>1.1989885489805292</v>
      </c>
      <c r="DM324" s="135">
        <v>0.3186950732083903</v>
      </c>
      <c r="DN324" s="135">
        <v>-0.65834577985609954</v>
      </c>
      <c r="DO324" s="135">
        <v>-1.6550516464267615</v>
      </c>
      <c r="DP324" s="135">
        <v>-2.5819847453095335</v>
      </c>
      <c r="DQ324" s="135">
        <v>-3.3366092980999462</v>
      </c>
    </row>
    <row r="325" spans="1:121" s="123" customFormat="1">
      <c r="A325" s="226" t="s">
        <v>2488</v>
      </c>
      <c r="B325" s="217"/>
      <c r="C325" s="217"/>
      <c r="D325" s="102"/>
      <c r="E325" s="141"/>
      <c r="CH325" s="141"/>
      <c r="CZ325" s="181"/>
      <c r="DA325" s="135"/>
      <c r="DB325" s="135"/>
      <c r="DC325" s="135"/>
      <c r="DD325" s="135"/>
      <c r="DE325" s="135"/>
      <c r="DF325" s="135"/>
      <c r="DG325" s="135"/>
      <c r="DH325" s="135"/>
      <c r="DI325" s="135"/>
      <c r="DJ325" s="135"/>
      <c r="DK325" s="135"/>
      <c r="DL325" s="135"/>
      <c r="DM325" s="135"/>
      <c r="DN325" s="135"/>
      <c r="DO325" s="135"/>
      <c r="DP325" s="135"/>
      <c r="DQ325" s="135"/>
    </row>
    <row r="326" spans="1:121" s="123" customFormat="1">
      <c r="A326" s="107" t="s">
        <v>1321</v>
      </c>
      <c r="B326" s="141"/>
      <c r="C326" s="136" t="s">
        <v>1320</v>
      </c>
      <c r="D326" s="102"/>
      <c r="E326" s="141"/>
      <c r="F326" s="123">
        <f t="shared" ref="F326:AK326" si="851">+(F100/F17)*100</f>
        <v>-7.3388914968032832</v>
      </c>
      <c r="G326" s="123">
        <f t="shared" si="851"/>
        <v>-10.398587851898146</v>
      </c>
      <c r="H326" s="123">
        <f t="shared" si="851"/>
        <v>-6.5981921774895547</v>
      </c>
      <c r="I326" s="123">
        <f t="shared" si="851"/>
        <v>-7.2656164509283387</v>
      </c>
      <c r="J326" s="123">
        <f t="shared" si="851"/>
        <v>-9.1532568756548383</v>
      </c>
      <c r="K326" s="123">
        <f t="shared" si="851"/>
        <v>-8.3245079720704975</v>
      </c>
      <c r="L326" s="123">
        <f t="shared" si="851"/>
        <v>-11.451016416380941</v>
      </c>
      <c r="M326" s="123">
        <f t="shared" si="851"/>
        <v>-14.893130676481253</v>
      </c>
      <c r="N326" s="123">
        <f t="shared" si="851"/>
        <v>-11.383530494096625</v>
      </c>
      <c r="O326" s="123">
        <f t="shared" si="851"/>
        <v>-10.40164969103232</v>
      </c>
      <c r="P326" s="123">
        <f t="shared" si="851"/>
        <v>-9.7856878254899335</v>
      </c>
      <c r="Q326" s="123">
        <f t="shared" si="851"/>
        <v>-11.460444033154008</v>
      </c>
      <c r="R326" s="123">
        <f t="shared" si="851"/>
        <v>-7.3088073820390402</v>
      </c>
      <c r="S326" s="123">
        <f t="shared" si="851"/>
        <v>-6.6527751240848154</v>
      </c>
      <c r="T326" s="123">
        <f t="shared" si="851"/>
        <v>-6.9466745488186561</v>
      </c>
      <c r="U326" s="123">
        <f t="shared" si="851"/>
        <v>-5.4030053806000735</v>
      </c>
      <c r="V326" s="123">
        <f t="shared" si="851"/>
        <v>-5.8882959021968269</v>
      </c>
      <c r="W326" s="123">
        <f t="shared" si="851"/>
        <v>-5.1765960795572035</v>
      </c>
      <c r="X326" s="123">
        <f t="shared" si="851"/>
        <v>-3.8078678205956056</v>
      </c>
      <c r="Y326" s="123">
        <f t="shared" si="851"/>
        <v>-3.9128848445118756</v>
      </c>
      <c r="Z326" s="123">
        <f t="shared" si="851"/>
        <v>-4.413916429893777</v>
      </c>
      <c r="AA326" s="123">
        <f t="shared" si="851"/>
        <v>2.5859970393055711</v>
      </c>
      <c r="AB326" s="123">
        <f t="shared" si="851"/>
        <v>5.5000036866940993</v>
      </c>
      <c r="AC326" s="123">
        <f t="shared" si="851"/>
        <v>-4.8114645959502154</v>
      </c>
      <c r="AD326" s="123">
        <f t="shared" si="851"/>
        <v>-4.2582364810167572</v>
      </c>
      <c r="AE326" s="123">
        <f t="shared" si="851"/>
        <v>0.16323475529562373</v>
      </c>
      <c r="AF326" s="123">
        <f t="shared" si="851"/>
        <v>0.80072881681370212</v>
      </c>
      <c r="AG326" s="123">
        <f t="shared" si="851"/>
        <v>-4.253550797568197</v>
      </c>
      <c r="AH326" s="123">
        <f t="shared" si="851"/>
        <v>-5.7493500206574124</v>
      </c>
      <c r="AI326" s="123">
        <f t="shared" si="851"/>
        <v>-15.053796037307121</v>
      </c>
      <c r="AJ326" s="123">
        <f t="shared" si="851"/>
        <v>-12.870927547724712</v>
      </c>
      <c r="AK326" s="123">
        <f t="shared" si="851"/>
        <v>-16.726832960042252</v>
      </c>
      <c r="AL326" s="123">
        <f t="shared" ref="AL326:BQ326" si="852">+(AL100/AL17)*100</f>
        <v>-19.487060072362912</v>
      </c>
      <c r="AM326" s="123">
        <f t="shared" si="852"/>
        <v>-17.076830290701317</v>
      </c>
      <c r="AN326" s="123">
        <f t="shared" si="852"/>
        <v>-15.315686594503816</v>
      </c>
      <c r="AO326" s="123">
        <f t="shared" si="852"/>
        <v>-8.5520384606310458</v>
      </c>
      <c r="AP326" s="123">
        <f t="shared" si="852"/>
        <v>-3.7597840424055451</v>
      </c>
      <c r="AQ326" s="123">
        <f t="shared" si="852"/>
        <v>-13.267574031926033</v>
      </c>
      <c r="AR326" s="123">
        <f t="shared" si="852"/>
        <v>-10.6546943829232</v>
      </c>
      <c r="AS326" s="123">
        <f t="shared" si="852"/>
        <v>-5.1449444368226089</v>
      </c>
      <c r="AT326" s="123">
        <f t="shared" si="852"/>
        <v>-4.2993245908104898</v>
      </c>
      <c r="AU326" s="123">
        <f t="shared" si="852"/>
        <v>-23.013364898801214</v>
      </c>
      <c r="AV326" s="123">
        <f t="shared" si="852"/>
        <v>3.6306016339244969</v>
      </c>
      <c r="AW326" s="123">
        <f t="shared" si="852"/>
        <v>-4.1203894594528947</v>
      </c>
      <c r="AX326" s="123">
        <f t="shared" si="852"/>
        <v>-17.172908133411337</v>
      </c>
      <c r="AY326" s="123">
        <f t="shared" si="852"/>
        <v>-12.886671652169349</v>
      </c>
      <c r="AZ326" s="123">
        <f t="shared" si="852"/>
        <v>-15.869261355778566</v>
      </c>
      <c r="BA326" s="123">
        <f t="shared" si="852"/>
        <v>-8.4706957441158064</v>
      </c>
      <c r="BB326" s="123">
        <f t="shared" si="852"/>
        <v>-14.295712868204994</v>
      </c>
      <c r="BC326" s="123">
        <f t="shared" si="852"/>
        <v>-6.6319015415327334</v>
      </c>
      <c r="BD326" s="123">
        <f t="shared" ca="1" si="852"/>
        <v>-5.7181738885515729</v>
      </c>
      <c r="BE326" s="123">
        <f t="shared" ca="1" si="852"/>
        <v>-4.3843569406565672</v>
      </c>
      <c r="BF326" s="123">
        <f t="shared" si="852"/>
        <v>-0.44960659423005317</v>
      </c>
      <c r="BG326" s="123">
        <f t="shared" si="852"/>
        <v>4.3533279573227457</v>
      </c>
      <c r="BH326" s="123">
        <f t="shared" si="852"/>
        <v>1.4961693527598179</v>
      </c>
      <c r="BI326" s="123">
        <f t="shared" si="852"/>
        <v>0.80087231162580663</v>
      </c>
      <c r="BJ326" s="123">
        <f t="shared" si="852"/>
        <v>-2.9135769516294561</v>
      </c>
      <c r="BK326" s="123">
        <f t="shared" si="852"/>
        <v>-9.4104622197619073E-2</v>
      </c>
      <c r="BL326" s="123">
        <f t="shared" si="852"/>
        <v>-2.3493975903614421</v>
      </c>
      <c r="BM326" s="123">
        <f t="shared" si="852"/>
        <v>-4.5238796301749025</v>
      </c>
      <c r="BN326" s="123">
        <f t="shared" si="852"/>
        <v>-8.3601248988088361</v>
      </c>
      <c r="BO326" s="123">
        <f t="shared" si="852"/>
        <v>-10.252491288133527</v>
      </c>
      <c r="BP326" s="123">
        <f t="shared" si="852"/>
        <v>-10.739391451588075</v>
      </c>
      <c r="BQ326" s="123">
        <f t="shared" si="852"/>
        <v>-9.8622898984856047</v>
      </c>
      <c r="BR326" s="123">
        <f t="shared" ref="BR326:CC326" si="853">+(BR100/BR17)*100</f>
        <v>-7.9555142214988761</v>
      </c>
      <c r="BS326" s="123">
        <f t="shared" si="853"/>
        <v>-14.558247497461194</v>
      </c>
      <c r="BT326" s="123">
        <f t="shared" si="853"/>
        <v>-15.674078681387032</v>
      </c>
      <c r="BU326" s="123">
        <f t="shared" ca="1" si="853"/>
        <v>-3.0200500680185516</v>
      </c>
      <c r="BV326" s="123">
        <f t="shared" ca="1" si="853"/>
        <v>0.16820911013604201</v>
      </c>
      <c r="BW326" s="123">
        <f t="shared" ca="1" si="853"/>
        <v>-3.2275072320192049</v>
      </c>
      <c r="BX326" s="123">
        <f t="shared" ca="1" si="853"/>
        <v>-3.1641247382338653</v>
      </c>
      <c r="BY326" s="123">
        <f t="shared" ca="1" si="853"/>
        <v>-3.1760195598301824</v>
      </c>
      <c r="BZ326" s="123">
        <f t="shared" ca="1" si="853"/>
        <v>-3.2359270244259482</v>
      </c>
      <c r="CA326" s="123">
        <f t="shared" ca="1" si="853"/>
        <v>-3.3415417256002269</v>
      </c>
      <c r="CB326" s="123">
        <f t="shared" ca="1" si="853"/>
        <v>-3.4993107516825201</v>
      </c>
      <c r="CC326" s="123">
        <f t="shared" ca="1" si="853"/>
        <v>-3.6984552839666001</v>
      </c>
      <c r="CD326" s="123">
        <f ca="1">+(CD100/CD17)*100</f>
        <v>-3.9236517311937233</v>
      </c>
      <c r="CE326" s="123">
        <f ca="1">+(CE100/CE17)*100</f>
        <v>-4.1516798732811155</v>
      </c>
      <c r="CF326" s="123">
        <f ca="1">+(CF100/CF17)*100</f>
        <v>-4.3499293374361754</v>
      </c>
      <c r="CG326" s="123">
        <f ca="1">+(CG100/CG17)*100</f>
        <v>-4.4768442424761865</v>
      </c>
      <c r="CH326" s="141"/>
      <c r="CI326" s="159">
        <f t="shared" ref="CI326:CR327" si="854">BQ326-DA326</f>
        <v>0</v>
      </c>
      <c r="CJ326" s="159">
        <f t="shared" si="854"/>
        <v>0</v>
      </c>
      <c r="CK326" s="159">
        <f t="shared" si="854"/>
        <v>0</v>
      </c>
      <c r="CL326" s="159">
        <f t="shared" si="854"/>
        <v>0</v>
      </c>
      <c r="CM326" s="159">
        <f t="shared" ca="1" si="854"/>
        <v>6.4059278756318445</v>
      </c>
      <c r="CN326" s="159">
        <f t="shared" ca="1" si="854"/>
        <v>5.880134117474781</v>
      </c>
      <c r="CO326" s="159">
        <f t="shared" ca="1" si="854"/>
        <v>5.2805811460281937</v>
      </c>
      <c r="CP326" s="159">
        <f t="shared" ca="1" si="854"/>
        <v>5.0254009504868735</v>
      </c>
      <c r="CQ326" s="159">
        <f t="shared" ca="1" si="854"/>
        <v>4.6948584676687384</v>
      </c>
      <c r="CR326" s="159">
        <f t="shared" ca="1" si="854"/>
        <v>1.2990061243222448</v>
      </c>
      <c r="CS326" s="159">
        <f t="shared" ref="CS326:CY327" ca="1" si="855">CA326-DK326</f>
        <v>1.3103119517186186</v>
      </c>
      <c r="CT326" s="159">
        <f t="shared" ca="1" si="855"/>
        <v>1.2057535595834574</v>
      </c>
      <c r="CU326" s="159">
        <f t="shared" ca="1" si="855"/>
        <v>1.1784964740795965</v>
      </c>
      <c r="CV326" s="159">
        <f t="shared" ca="1" si="855"/>
        <v>1.1674156400349278</v>
      </c>
      <c r="CW326" s="159">
        <f t="shared" ca="1" si="855"/>
        <v>1.1651716135171561</v>
      </c>
      <c r="CX326" s="159">
        <f t="shared" ca="1" si="855"/>
        <v>1.1666888526215322</v>
      </c>
      <c r="CY326" s="159">
        <f t="shared" ca="1" si="855"/>
        <v>1.1659713092417521</v>
      </c>
      <c r="CZ326" s="219"/>
      <c r="DA326" s="135">
        <v>-9.8622898984856047</v>
      </c>
      <c r="DB326" s="135">
        <v>-7.9555142214988761</v>
      </c>
      <c r="DC326" s="135">
        <v>-14.558247497461194</v>
      </c>
      <c r="DD326" s="135">
        <v>-15.674078681387032</v>
      </c>
      <c r="DE326" s="135">
        <v>-9.4259779436503965</v>
      </c>
      <c r="DF326" s="135">
        <v>-5.7119250073387393</v>
      </c>
      <c r="DG326" s="135">
        <v>-8.5080883780473986</v>
      </c>
      <c r="DH326" s="135">
        <v>-8.1895256887207388</v>
      </c>
      <c r="DI326" s="135">
        <v>-7.8708780274989207</v>
      </c>
      <c r="DJ326" s="135">
        <v>-4.534933148748193</v>
      </c>
      <c r="DK326" s="135">
        <v>-4.6518536773188455</v>
      </c>
      <c r="DL326" s="135">
        <v>-4.7050643112659776</v>
      </c>
      <c r="DM326" s="135">
        <v>-4.8769517580461965</v>
      </c>
      <c r="DN326" s="135">
        <v>-5.0910673712286512</v>
      </c>
      <c r="DO326" s="135">
        <v>-5.3168514867982717</v>
      </c>
      <c r="DP326" s="135">
        <v>-5.5166181900577076</v>
      </c>
      <c r="DQ326" s="135">
        <v>-5.6428155517179386</v>
      </c>
    </row>
    <row r="327" spans="1:121">
      <c r="A327" s="141" t="s">
        <v>2864</v>
      </c>
      <c r="B327" s="149"/>
      <c r="C327" s="136" t="s">
        <v>1320</v>
      </c>
      <c r="D327" s="102"/>
      <c r="E327" s="149"/>
      <c r="F327" s="164">
        <f t="shared" ref="F327:AK327" si="856">100*F107/F17</f>
        <v>0</v>
      </c>
      <c r="G327" s="164">
        <f t="shared" si="856"/>
        <v>0</v>
      </c>
      <c r="H327" s="164">
        <f t="shared" si="856"/>
        <v>0</v>
      </c>
      <c r="I327" s="164">
        <f t="shared" si="856"/>
        <v>0</v>
      </c>
      <c r="J327" s="164">
        <f t="shared" si="856"/>
        <v>0</v>
      </c>
      <c r="K327" s="164">
        <f t="shared" si="856"/>
        <v>0</v>
      </c>
      <c r="L327" s="164">
        <f t="shared" si="856"/>
        <v>0</v>
      </c>
      <c r="M327" s="164">
        <f t="shared" si="856"/>
        <v>0</v>
      </c>
      <c r="N327" s="164">
        <f t="shared" si="856"/>
        <v>0</v>
      </c>
      <c r="O327" s="164">
        <f t="shared" si="856"/>
        <v>0</v>
      </c>
      <c r="P327" s="164">
        <f t="shared" si="856"/>
        <v>0</v>
      </c>
      <c r="Q327" s="164">
        <f t="shared" si="856"/>
        <v>0</v>
      </c>
      <c r="R327" s="164">
        <f t="shared" si="856"/>
        <v>0</v>
      </c>
      <c r="S327" s="164">
        <f t="shared" si="856"/>
        <v>0</v>
      </c>
      <c r="T327" s="164">
        <f t="shared" si="856"/>
        <v>0</v>
      </c>
      <c r="U327" s="164">
        <f t="shared" si="856"/>
        <v>0</v>
      </c>
      <c r="V327" s="164">
        <f t="shared" si="856"/>
        <v>0</v>
      </c>
      <c r="W327" s="164">
        <f t="shared" si="856"/>
        <v>0</v>
      </c>
      <c r="X327" s="164">
        <f t="shared" si="856"/>
        <v>0</v>
      </c>
      <c r="Y327" s="164">
        <f t="shared" si="856"/>
        <v>0</v>
      </c>
      <c r="Z327" s="164">
        <f t="shared" si="856"/>
        <v>0</v>
      </c>
      <c r="AA327" s="164">
        <f t="shared" si="856"/>
        <v>0</v>
      </c>
      <c r="AB327" s="164">
        <f t="shared" si="856"/>
        <v>0</v>
      </c>
      <c r="AC327" s="164">
        <f t="shared" si="856"/>
        <v>0</v>
      </c>
      <c r="AD327" s="164">
        <f t="shared" si="856"/>
        <v>0</v>
      </c>
      <c r="AE327" s="164">
        <f t="shared" si="856"/>
        <v>0</v>
      </c>
      <c r="AF327" s="164">
        <f t="shared" si="856"/>
        <v>0</v>
      </c>
      <c r="AG327" s="164">
        <f t="shared" si="856"/>
        <v>0</v>
      </c>
      <c r="AH327" s="164">
        <f t="shared" si="856"/>
        <v>0</v>
      </c>
      <c r="AI327" s="164">
        <f t="shared" si="856"/>
        <v>0</v>
      </c>
      <c r="AJ327" s="164">
        <f t="shared" si="856"/>
        <v>0</v>
      </c>
      <c r="AK327" s="164">
        <f t="shared" si="856"/>
        <v>0</v>
      </c>
      <c r="AL327" s="164">
        <f t="shared" ref="AL327:BQ327" si="857">100*AL107/AL17</f>
        <v>0</v>
      </c>
      <c r="AM327" s="164">
        <f t="shared" si="857"/>
        <v>0</v>
      </c>
      <c r="AN327" s="164">
        <f t="shared" si="857"/>
        <v>0</v>
      </c>
      <c r="AO327" s="164">
        <f t="shared" si="857"/>
        <v>0</v>
      </c>
      <c r="AP327" s="164">
        <f t="shared" si="857"/>
        <v>0</v>
      </c>
      <c r="AQ327" s="164">
        <f t="shared" si="857"/>
        <v>0</v>
      </c>
      <c r="AR327" s="164">
        <f t="shared" si="857"/>
        <v>0</v>
      </c>
      <c r="AS327" s="164">
        <f t="shared" si="857"/>
        <v>0</v>
      </c>
      <c r="AT327" s="164">
        <f t="shared" si="857"/>
        <v>0</v>
      </c>
      <c r="AU327" s="164">
        <f t="shared" si="857"/>
        <v>0</v>
      </c>
      <c r="AV327" s="164">
        <f t="shared" si="857"/>
        <v>0</v>
      </c>
      <c r="AW327" s="164">
        <f t="shared" si="857"/>
        <v>0</v>
      </c>
      <c r="AX327" s="164">
        <f t="shared" si="857"/>
        <v>0</v>
      </c>
      <c r="AY327" s="164">
        <f t="shared" si="857"/>
        <v>0</v>
      </c>
      <c r="AZ327" s="164">
        <f t="shared" si="857"/>
        <v>0</v>
      </c>
      <c r="BA327" s="164">
        <f t="shared" si="857"/>
        <v>0</v>
      </c>
      <c r="BB327" s="164">
        <f t="shared" si="857"/>
        <v>0</v>
      </c>
      <c r="BC327" s="164">
        <f t="shared" si="857"/>
        <v>0</v>
      </c>
      <c r="BD327" s="164">
        <f t="shared" si="857"/>
        <v>0</v>
      </c>
      <c r="BE327" s="164">
        <f t="shared" si="857"/>
        <v>0</v>
      </c>
      <c r="BF327" s="164">
        <f t="shared" si="857"/>
        <v>-0.35524471642868044</v>
      </c>
      <c r="BG327" s="164">
        <f t="shared" si="857"/>
        <v>-2.4415358848706656</v>
      </c>
      <c r="BH327" s="164">
        <f t="shared" si="857"/>
        <v>-2.0406058918757282</v>
      </c>
      <c r="BI327" s="164">
        <f t="shared" si="857"/>
        <v>1.7822228906602497</v>
      </c>
      <c r="BJ327" s="164">
        <f t="shared" si="857"/>
        <v>0.63643264073669381</v>
      </c>
      <c r="BK327" s="164">
        <f t="shared" si="857"/>
        <v>-1.2579573761417104</v>
      </c>
      <c r="BL327" s="164">
        <f t="shared" si="857"/>
        <v>0.39187051235244014</v>
      </c>
      <c r="BM327" s="164">
        <f t="shared" si="857"/>
        <v>3.2465696955420769</v>
      </c>
      <c r="BN327" s="164">
        <f t="shared" si="857"/>
        <v>6.9862380016190588</v>
      </c>
      <c r="BO327" s="164">
        <f t="shared" si="857"/>
        <v>7.8914226325120742</v>
      </c>
      <c r="BP327" s="164">
        <f t="shared" si="857"/>
        <v>0.16419518702858021</v>
      </c>
      <c r="BQ327" s="164">
        <f t="shared" si="857"/>
        <v>5.6714927608587118</v>
      </c>
      <c r="BR327" s="164">
        <f t="shared" ref="BR327:CC327" si="858">100*BR107/BR17</f>
        <v>-0.38363171355498721</v>
      </c>
      <c r="BS327" s="164">
        <f t="shared" si="858"/>
        <v>10.262585231394169</v>
      </c>
      <c r="BT327" s="164">
        <f t="shared" si="858"/>
        <v>15.674078681387032</v>
      </c>
      <c r="BU327" s="164">
        <f t="shared" ca="1" si="858"/>
        <v>3.0200500680185516</v>
      </c>
      <c r="BV327" s="164">
        <f t="shared" ca="1" si="858"/>
        <v>-0.16820911013604201</v>
      </c>
      <c r="BW327" s="164">
        <f t="shared" ca="1" si="858"/>
        <v>3.2275072320192053</v>
      </c>
      <c r="BX327" s="164">
        <f t="shared" ca="1" si="858"/>
        <v>3.1641247382338658</v>
      </c>
      <c r="BY327" s="164">
        <f t="shared" ca="1" si="858"/>
        <v>3.1760195598301824</v>
      </c>
      <c r="BZ327" s="164">
        <f t="shared" ca="1" si="858"/>
        <v>3.2359270244259482</v>
      </c>
      <c r="CA327" s="164">
        <f t="shared" ca="1" si="858"/>
        <v>3.3415417256002273</v>
      </c>
      <c r="CB327" s="164">
        <f t="shared" ca="1" si="858"/>
        <v>3.4993107516825206</v>
      </c>
      <c r="CC327" s="164">
        <f t="shared" ca="1" si="858"/>
        <v>3.6984552839666001</v>
      </c>
      <c r="CD327" s="164">
        <f ca="1">100*CD107/CD17</f>
        <v>3.9236517311937229</v>
      </c>
      <c r="CE327" s="164">
        <f ca="1">100*CE107/CE17</f>
        <v>4.1516798732811155</v>
      </c>
      <c r="CF327" s="164">
        <f ca="1">100*CF107/CF17</f>
        <v>4.3499293374361754</v>
      </c>
      <c r="CG327" s="164">
        <f ca="1">100*CG107/CG17</f>
        <v>4.4768442424761865</v>
      </c>
      <c r="CI327" s="159">
        <f t="shared" si="854"/>
        <v>0</v>
      </c>
      <c r="CJ327" s="159">
        <f t="shared" si="854"/>
        <v>0</v>
      </c>
      <c r="CK327" s="159">
        <f t="shared" si="854"/>
        <v>0</v>
      </c>
      <c r="CL327" s="159">
        <f t="shared" si="854"/>
        <v>0</v>
      </c>
      <c r="CM327" s="159">
        <f t="shared" ca="1" si="854"/>
        <v>-2.0289326267892398</v>
      </c>
      <c r="CN327" s="159">
        <f t="shared" ca="1" si="854"/>
        <v>-2.0559792147783713</v>
      </c>
      <c r="CO327" s="159">
        <f t="shared" ca="1" si="854"/>
        <v>-1.8827981905027831</v>
      </c>
      <c r="CP327" s="159">
        <f t="shared" ca="1" si="854"/>
        <v>-1.9452901579315278</v>
      </c>
      <c r="CQ327" s="159">
        <f t="shared" ca="1" si="854"/>
        <v>-1.9630466958163924</v>
      </c>
      <c r="CR327" s="159">
        <f t="shared" ca="1" si="854"/>
        <v>1.1602260522001018</v>
      </c>
      <c r="CS327" s="159">
        <f t="shared" ca="1" si="855"/>
        <v>0.83362650043339848</v>
      </c>
      <c r="CT327" s="159">
        <f t="shared" ca="1" si="855"/>
        <v>0.64364637345623299</v>
      </c>
      <c r="CU327" s="159">
        <f t="shared" ca="1" si="855"/>
        <v>0.38837703015277114</v>
      </c>
      <c r="CV327" s="159">
        <f t="shared" ca="1" si="855"/>
        <v>0.13368333899849683</v>
      </c>
      <c r="CW327" s="159">
        <f t="shared" ca="1" si="855"/>
        <v>-0.11033341737942148</v>
      </c>
      <c r="CX327" s="159">
        <f t="shared" ca="1" si="855"/>
        <v>-0.3361927243627294</v>
      </c>
      <c r="CY327" s="159">
        <f t="shared" ca="1" si="855"/>
        <v>-0.53510603236897758</v>
      </c>
      <c r="CZ327" s="165"/>
      <c r="DA327" s="104">
        <v>5.6714927608587118</v>
      </c>
      <c r="DB327" s="104">
        <v>-0.38363171355498721</v>
      </c>
      <c r="DC327" s="104">
        <v>10.262585231394169</v>
      </c>
      <c r="DD327" s="104">
        <v>15.674078681387032</v>
      </c>
      <c r="DE327" s="104">
        <v>5.0489826948077914</v>
      </c>
      <c r="DF327" s="104">
        <v>1.8877701046423294</v>
      </c>
      <c r="DG327" s="104">
        <v>5.1103054225219884</v>
      </c>
      <c r="DH327" s="104">
        <v>5.1094148961653936</v>
      </c>
      <c r="DI327" s="104">
        <v>5.1390662556465747</v>
      </c>
      <c r="DJ327" s="104">
        <v>2.0757009722258464</v>
      </c>
      <c r="DK327" s="104">
        <v>2.5079152251668289</v>
      </c>
      <c r="DL327" s="104">
        <v>2.8556643782262876</v>
      </c>
      <c r="DM327" s="104">
        <v>3.3100782538138289</v>
      </c>
      <c r="DN327" s="104">
        <v>3.7899683921952261</v>
      </c>
      <c r="DO327" s="104">
        <v>4.262013290660537</v>
      </c>
      <c r="DP327" s="104">
        <v>4.6861220617989048</v>
      </c>
      <c r="DQ327" s="104">
        <v>5.0119502748451641</v>
      </c>
    </row>
    <row r="328" spans="1:121"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BI328" s="133"/>
      <c r="BJ328" s="133"/>
      <c r="BK328" s="133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3"/>
      <c r="BW328" s="133"/>
      <c r="BX328" s="133"/>
      <c r="BY328" s="133"/>
      <c r="BZ328" s="133"/>
      <c r="CA328" s="133"/>
      <c r="CB328" s="133"/>
      <c r="CC328" s="133"/>
      <c r="CD328" s="133"/>
      <c r="CE328" s="133"/>
      <c r="CF328" s="133"/>
      <c r="CG328" s="133"/>
      <c r="CH328" s="133"/>
    </row>
    <row r="329" spans="1:121" s="123" customFormat="1">
      <c r="A329" s="107" t="s">
        <v>1334</v>
      </c>
      <c r="B329" s="141"/>
      <c r="C329" s="136" t="s">
        <v>1320</v>
      </c>
      <c r="D329" s="102"/>
      <c r="E329" s="141"/>
      <c r="F329" s="123">
        <f t="shared" ref="F329:BF329" si="859">(F79/F$17)*100</f>
        <v>20.892700117025569</v>
      </c>
      <c r="G329" s="123">
        <f t="shared" si="859"/>
        <v>20.120344541838424</v>
      </c>
      <c r="H329" s="123">
        <f t="shared" si="859"/>
        <v>22.631413500490339</v>
      </c>
      <c r="I329" s="123">
        <f t="shared" si="859"/>
        <v>24.588235920029032</v>
      </c>
      <c r="J329" s="123">
        <f t="shared" si="859"/>
        <v>27.10728459231121</v>
      </c>
      <c r="K329" s="123">
        <f t="shared" si="859"/>
        <v>26.521194035962985</v>
      </c>
      <c r="L329" s="123">
        <f t="shared" si="859"/>
        <v>27.883957982903969</v>
      </c>
      <c r="M329" s="123">
        <f t="shared" si="859"/>
        <v>24.232948993550913</v>
      </c>
      <c r="N329" s="123">
        <f t="shared" si="859"/>
        <v>26.495218432422863</v>
      </c>
      <c r="O329" s="123">
        <f t="shared" si="859"/>
        <v>23.900227032614755</v>
      </c>
      <c r="P329" s="123">
        <f t="shared" si="859"/>
        <v>24.580300265781688</v>
      </c>
      <c r="Q329" s="123">
        <f t="shared" si="859"/>
        <v>20.648880418035347</v>
      </c>
      <c r="R329" s="123">
        <f t="shared" si="859"/>
        <v>22.379849254381657</v>
      </c>
      <c r="S329" s="123">
        <f t="shared" si="859"/>
        <v>21.653613924432719</v>
      </c>
      <c r="T329" s="123">
        <f t="shared" si="859"/>
        <v>19.871600921507813</v>
      </c>
      <c r="U329" s="123">
        <f t="shared" si="859"/>
        <v>21.8059938035518</v>
      </c>
      <c r="V329" s="123">
        <f t="shared" si="859"/>
        <v>22.539343116299811</v>
      </c>
      <c r="W329" s="123">
        <f t="shared" si="859"/>
        <v>22.920796431809265</v>
      </c>
      <c r="X329" s="123">
        <f t="shared" si="859"/>
        <v>24.622926081955576</v>
      </c>
      <c r="Y329" s="123">
        <f t="shared" si="859"/>
        <v>23.304166888953443</v>
      </c>
      <c r="Z329" s="123">
        <f t="shared" si="859"/>
        <v>23.344947534839893</v>
      </c>
      <c r="AA329" s="123">
        <f t="shared" si="859"/>
        <v>31.699898030138581</v>
      </c>
      <c r="AB329" s="123">
        <f t="shared" si="859"/>
        <v>37.353813927150767</v>
      </c>
      <c r="AC329" s="123">
        <f t="shared" si="859"/>
        <v>30.266510464050334</v>
      </c>
      <c r="AD329" s="123">
        <f t="shared" si="859"/>
        <v>28.843352084072709</v>
      </c>
      <c r="AE329" s="123">
        <f t="shared" si="859"/>
        <v>29.403710181586302</v>
      </c>
      <c r="AF329" s="123">
        <f t="shared" si="859"/>
        <v>30.92070151557315</v>
      </c>
      <c r="AG329" s="123">
        <f t="shared" si="859"/>
        <v>30.617090246079748</v>
      </c>
      <c r="AH329" s="123">
        <f t="shared" si="859"/>
        <v>31.592799638778914</v>
      </c>
      <c r="AI329" s="123">
        <f t="shared" si="859"/>
        <v>23.253547454948063</v>
      </c>
      <c r="AJ329" s="123">
        <f t="shared" si="859"/>
        <v>24.010492064403309</v>
      </c>
      <c r="AK329" s="123">
        <f t="shared" si="859"/>
        <v>22.580298680501905</v>
      </c>
      <c r="AL329" s="123">
        <f t="shared" si="859"/>
        <v>20.836813512888348</v>
      </c>
      <c r="AM329" s="123">
        <f t="shared" si="859"/>
        <v>19.786486431861739</v>
      </c>
      <c r="AN329" s="123">
        <f t="shared" si="859"/>
        <v>21.149545437941452</v>
      </c>
      <c r="AO329" s="123">
        <f t="shared" si="859"/>
        <v>22.292293469099068</v>
      </c>
      <c r="AP329" s="123">
        <f t="shared" si="859"/>
        <v>24.825179912280348</v>
      </c>
      <c r="AQ329" s="123">
        <f t="shared" si="859"/>
        <v>23.232760714782295</v>
      </c>
      <c r="AR329" s="123">
        <f t="shared" si="859"/>
        <v>18.849836841331204</v>
      </c>
      <c r="AS329" s="123">
        <f t="shared" si="859"/>
        <v>13.193167787076417</v>
      </c>
      <c r="AT329" s="123">
        <f t="shared" si="859"/>
        <v>15.409436008676792</v>
      </c>
      <c r="AU329" s="123">
        <f t="shared" si="859"/>
        <v>26.061239911934912</v>
      </c>
      <c r="AV329" s="123">
        <f t="shared" si="859"/>
        <v>42.095085488643015</v>
      </c>
      <c r="AW329" s="123">
        <f t="shared" si="859"/>
        <v>33.113414775655812</v>
      </c>
      <c r="AX329" s="123">
        <f t="shared" si="859"/>
        <v>34.681270887381736</v>
      </c>
      <c r="AY329" s="123">
        <f t="shared" si="859"/>
        <v>24.043523628543902</v>
      </c>
      <c r="AZ329" s="123">
        <f t="shared" si="859"/>
        <v>25.927796797108559</v>
      </c>
      <c r="BA329" s="123">
        <f t="shared" si="859"/>
        <v>35.683438903318468</v>
      </c>
      <c r="BB329" s="123">
        <f t="shared" si="859"/>
        <v>26.007711792703819</v>
      </c>
      <c r="BC329" s="123">
        <f t="shared" si="859"/>
        <v>26.94776983610944</v>
      </c>
      <c r="BD329" s="123">
        <f t="shared" si="859"/>
        <v>27.029584942467384</v>
      </c>
      <c r="BE329" s="123">
        <f ca="1">(BE79/BE$17)*100</f>
        <v>25.371216115511785</v>
      </c>
      <c r="BF329" s="123">
        <f t="shared" si="859"/>
        <v>24.145539319761873</v>
      </c>
      <c r="BG329" s="123">
        <f t="shared" ref="BG329:BP329" si="860">(BG79/BG$17)*100</f>
        <v>29.377830159419393</v>
      </c>
      <c r="BH329" s="123">
        <f t="shared" si="860"/>
        <v>24.281044740722404</v>
      </c>
      <c r="BI329" s="123">
        <f t="shared" si="860"/>
        <v>27.679914272822987</v>
      </c>
      <c r="BJ329" s="123">
        <f t="shared" si="860"/>
        <v>21.737969921676243</v>
      </c>
      <c r="BK329" s="123">
        <f t="shared" si="860"/>
        <v>24.477580957652922</v>
      </c>
      <c r="BL329" s="123">
        <f t="shared" si="860"/>
        <v>24.488864549105514</v>
      </c>
      <c r="BM329" s="123">
        <f t="shared" si="860"/>
        <v>23.321948059596018</v>
      </c>
      <c r="BN329" s="123">
        <f t="shared" si="860"/>
        <v>21.689025095408809</v>
      </c>
      <c r="BO329" s="123">
        <f t="shared" si="860"/>
        <v>20.778260072140366</v>
      </c>
      <c r="BP329" s="123">
        <f t="shared" si="860"/>
        <v>18.056339473549183</v>
      </c>
      <c r="BQ329" s="123">
        <f t="shared" ref="BQ329:CB329" si="861">(BQ79/BQ$17)*100</f>
        <v>21.276418705275422</v>
      </c>
      <c r="BR329" s="123">
        <f t="shared" si="861"/>
        <v>23.134154847709834</v>
      </c>
      <c r="BS329" s="123">
        <f t="shared" si="861"/>
        <v>23.2482228347599</v>
      </c>
      <c r="BT329" s="123">
        <f t="shared" si="861"/>
        <v>14.013372725859119</v>
      </c>
      <c r="BU329" s="123">
        <f t="shared" ca="1" si="861"/>
        <v>21.887082586939531</v>
      </c>
      <c r="BV329" s="123">
        <f t="shared" ca="1" si="861"/>
        <v>23.133633453585194</v>
      </c>
      <c r="BW329" s="123">
        <f t="shared" ca="1" si="861"/>
        <v>19.297707201072797</v>
      </c>
      <c r="BX329" s="123">
        <f t="shared" ca="1" si="861"/>
        <v>19.274119210838872</v>
      </c>
      <c r="BY329" s="123">
        <f t="shared" ca="1" si="861"/>
        <v>19.112439022845532</v>
      </c>
      <c r="BZ329" s="123">
        <f t="shared" ca="1" si="861"/>
        <v>18.927547211427559</v>
      </c>
      <c r="CA329" s="123">
        <f t="shared" ca="1" si="861"/>
        <v>18.72846966472229</v>
      </c>
      <c r="CB329" s="123">
        <f t="shared" ca="1" si="861"/>
        <v>18.512761937379235</v>
      </c>
      <c r="CC329" s="123">
        <f t="shared" ref="CC329:CG331" ca="1" si="862">(CC79/CC$17)*100</f>
        <v>18.283061782615061</v>
      </c>
      <c r="CD329" s="123">
        <f t="shared" ca="1" si="862"/>
        <v>18.043437979182229</v>
      </c>
      <c r="CE329" s="123">
        <f t="shared" ca="1" si="862"/>
        <v>17.800537963007308</v>
      </c>
      <c r="CF329" s="123">
        <f t="shared" ca="1" si="862"/>
        <v>17.564468801023455</v>
      </c>
      <c r="CG329" s="123">
        <f t="shared" ca="1" si="862"/>
        <v>17.349266914756996</v>
      </c>
      <c r="CH329" s="141"/>
      <c r="CI329" s="159">
        <f t="shared" ref="CI329:CR333" si="863">BQ329-DA329</f>
        <v>0</v>
      </c>
      <c r="CJ329" s="159">
        <f t="shared" si="863"/>
        <v>0</v>
      </c>
      <c r="CK329" s="159">
        <f t="shared" si="863"/>
        <v>0</v>
      </c>
      <c r="CL329" s="159">
        <f t="shared" si="863"/>
        <v>0</v>
      </c>
      <c r="CM329" s="159">
        <f t="shared" ca="1" si="863"/>
        <v>7.5291312996068172E-2</v>
      </c>
      <c r="CN329" s="159">
        <f t="shared" ca="1" si="863"/>
        <v>0.27659915719671346</v>
      </c>
      <c r="CO329" s="159">
        <f t="shared" ca="1" si="863"/>
        <v>0.1173273190308457</v>
      </c>
      <c r="CP329" s="159">
        <f t="shared" ca="1" si="863"/>
        <v>0.17796670989316965</v>
      </c>
      <c r="CQ329" s="159">
        <f t="shared" ca="1" si="863"/>
        <v>0.23414704274854969</v>
      </c>
      <c r="CR329" s="159">
        <f t="shared" ca="1" si="863"/>
        <v>0.37686243715867107</v>
      </c>
      <c r="CS329" s="159">
        <f t="shared" ref="CS329:CY333" ca="1" si="864">CA329-DK329</f>
        <v>0.45579347387443292</v>
      </c>
      <c r="CT329" s="159">
        <f t="shared" ca="1" si="864"/>
        <v>0.47089579851180119</v>
      </c>
      <c r="CU329" s="159">
        <f t="shared" ca="1" si="864"/>
        <v>0.50120377279680994</v>
      </c>
      <c r="CV329" s="159">
        <f t="shared" ca="1" si="864"/>
        <v>0.52921851519429097</v>
      </c>
      <c r="CW329" s="159">
        <f t="shared" ca="1" si="864"/>
        <v>0.55098210250142898</v>
      </c>
      <c r="CX329" s="159">
        <f t="shared" ca="1" si="864"/>
        <v>0.56439605473739363</v>
      </c>
      <c r="CY329" s="159">
        <f t="shared" ca="1" si="864"/>
        <v>0.56768479729402799</v>
      </c>
      <c r="CZ329" s="219"/>
      <c r="DA329" s="135">
        <v>21.276418705275422</v>
      </c>
      <c r="DB329" s="135">
        <v>23.134154847709834</v>
      </c>
      <c r="DC329" s="135">
        <v>23.2482228347599</v>
      </c>
      <c r="DD329" s="135">
        <v>14.013372725859119</v>
      </c>
      <c r="DE329" s="135">
        <v>21.811791273943463</v>
      </c>
      <c r="DF329" s="135">
        <v>22.85703429638848</v>
      </c>
      <c r="DG329" s="135">
        <v>19.180379882041951</v>
      </c>
      <c r="DH329" s="135">
        <v>19.096152500945703</v>
      </c>
      <c r="DI329" s="135">
        <v>18.878291980096982</v>
      </c>
      <c r="DJ329" s="135">
        <v>18.550684774268888</v>
      </c>
      <c r="DK329" s="135">
        <v>18.272676190847857</v>
      </c>
      <c r="DL329" s="135">
        <v>18.041866138867434</v>
      </c>
      <c r="DM329" s="135">
        <v>17.781858009818251</v>
      </c>
      <c r="DN329" s="135">
        <v>17.514219463987938</v>
      </c>
      <c r="DO329" s="135">
        <v>17.249555860505879</v>
      </c>
      <c r="DP329" s="135">
        <v>17.000072746286062</v>
      </c>
      <c r="DQ329" s="135">
        <v>16.781582117462968</v>
      </c>
    </row>
    <row r="330" spans="1:121" s="123" customFormat="1">
      <c r="A330" s="107" t="s">
        <v>1336</v>
      </c>
      <c r="B330" s="141"/>
      <c r="C330" s="136" t="s">
        <v>1320</v>
      </c>
      <c r="D330" s="102"/>
      <c r="E330" s="141"/>
      <c r="F330" s="123">
        <f t="shared" ref="F330:BF330" si="865">(F80/F$17)*100</f>
        <v>19.57037732480876</v>
      </c>
      <c r="G330" s="123">
        <f t="shared" si="865"/>
        <v>19.135862851717892</v>
      </c>
      <c r="H330" s="123">
        <f t="shared" si="865"/>
        <v>19.780083398235984</v>
      </c>
      <c r="I330" s="123">
        <f t="shared" si="865"/>
        <v>21.01680724842458</v>
      </c>
      <c r="J330" s="123">
        <f t="shared" si="865"/>
        <v>24.684229579028159</v>
      </c>
      <c r="K330" s="123">
        <f t="shared" si="865"/>
        <v>23.967686445081327</v>
      </c>
      <c r="L330" s="123">
        <f t="shared" si="865"/>
        <v>25.223597275697827</v>
      </c>
      <c r="M330" s="123">
        <f t="shared" si="865"/>
        <v>20.988860585993805</v>
      </c>
      <c r="N330" s="123">
        <f t="shared" si="865"/>
        <v>23.851057250615103</v>
      </c>
      <c r="O330" s="123">
        <f t="shared" si="865"/>
        <v>19.565159672337309</v>
      </c>
      <c r="P330" s="123">
        <f t="shared" si="865"/>
        <v>22.674705343838426</v>
      </c>
      <c r="Q330" s="123">
        <f t="shared" si="865"/>
        <v>19.017159768610529</v>
      </c>
      <c r="R330" s="123">
        <f t="shared" si="865"/>
        <v>19.622840939244579</v>
      </c>
      <c r="S330" s="123">
        <f t="shared" si="865"/>
        <v>19.176432575702751</v>
      </c>
      <c r="T330" s="123">
        <f t="shared" si="865"/>
        <v>17.714216294869285</v>
      </c>
      <c r="U330" s="123">
        <f t="shared" si="865"/>
        <v>18.502938539140558</v>
      </c>
      <c r="V330" s="123">
        <f t="shared" si="865"/>
        <v>18.887700699412065</v>
      </c>
      <c r="W330" s="123">
        <f t="shared" si="865"/>
        <v>19.542700901093799</v>
      </c>
      <c r="X330" s="123">
        <f t="shared" si="865"/>
        <v>21.539000255284293</v>
      </c>
      <c r="Y330" s="123">
        <f t="shared" si="865"/>
        <v>20.296778460956197</v>
      </c>
      <c r="Z330" s="123">
        <f t="shared" si="865"/>
        <v>19.174010789303978</v>
      </c>
      <c r="AA330" s="123">
        <f t="shared" si="865"/>
        <v>26.645244589815082</v>
      </c>
      <c r="AB330" s="123">
        <f t="shared" si="865"/>
        <v>24.121221440450505</v>
      </c>
      <c r="AC330" s="123">
        <f t="shared" si="865"/>
        <v>21.201622242741006</v>
      </c>
      <c r="AD330" s="123">
        <f t="shared" si="865"/>
        <v>23.193505382527487</v>
      </c>
      <c r="AE330" s="123">
        <f t="shared" si="865"/>
        <v>21.6715438326186</v>
      </c>
      <c r="AF330" s="123">
        <f t="shared" si="865"/>
        <v>23.96787109463709</v>
      </c>
      <c r="AG330" s="123">
        <f t="shared" si="865"/>
        <v>22.627776173763444</v>
      </c>
      <c r="AH330" s="123">
        <f t="shared" si="865"/>
        <v>23.650176368447472</v>
      </c>
      <c r="AI330" s="123">
        <f t="shared" si="865"/>
        <v>23.041323341753913</v>
      </c>
      <c r="AJ330" s="123">
        <f t="shared" si="865"/>
        <v>23.840727193253315</v>
      </c>
      <c r="AK330" s="123">
        <f t="shared" si="865"/>
        <v>22.387781811211234</v>
      </c>
      <c r="AL330" s="123">
        <f t="shared" si="865"/>
        <v>20.74249969308433</v>
      </c>
      <c r="AM330" s="123">
        <f t="shared" si="865"/>
        <v>19.434917240931146</v>
      </c>
      <c r="AN330" s="123">
        <f t="shared" si="865"/>
        <v>20.461931891230776</v>
      </c>
      <c r="AO330" s="123">
        <f t="shared" si="865"/>
        <v>20.960393219135458</v>
      </c>
      <c r="AP330" s="123">
        <f t="shared" si="865"/>
        <v>23.244335422064076</v>
      </c>
      <c r="AQ330" s="123">
        <f t="shared" si="865"/>
        <v>22.465074930359176</v>
      </c>
      <c r="AR330" s="123">
        <f t="shared" si="865"/>
        <v>17.867796966557766</v>
      </c>
      <c r="AS330" s="123">
        <f t="shared" si="865"/>
        <v>10.264096583893538</v>
      </c>
      <c r="AT330" s="123">
        <f t="shared" si="865"/>
        <v>13.679254584894499</v>
      </c>
      <c r="AU330" s="123">
        <f t="shared" si="865"/>
        <v>23.005590759054314</v>
      </c>
      <c r="AV330" s="123">
        <f t="shared" si="865"/>
        <v>29.565918604853142</v>
      </c>
      <c r="AW330" s="123">
        <f t="shared" si="865"/>
        <v>25.383950087568035</v>
      </c>
      <c r="AX330" s="123">
        <f t="shared" si="865"/>
        <v>28.725021168697847</v>
      </c>
      <c r="AY330" s="123">
        <f t="shared" si="865"/>
        <v>21.380215616316299</v>
      </c>
      <c r="AZ330" s="123">
        <f t="shared" si="865"/>
        <v>24.129130687895149</v>
      </c>
      <c r="BA330" s="123">
        <f t="shared" si="865"/>
        <v>34.446311216895701</v>
      </c>
      <c r="BB330" s="123">
        <f t="shared" si="865"/>
        <v>24.840429019055041</v>
      </c>
      <c r="BC330" s="123">
        <f t="shared" si="865"/>
        <v>26.605569423275938</v>
      </c>
      <c r="BD330" s="123">
        <f t="shared" si="865"/>
        <v>25.660638546903609</v>
      </c>
      <c r="BE330" s="123">
        <f ca="1">(BE80/BE$17)*100</f>
        <v>24.237413298610374</v>
      </c>
      <c r="BF330" s="123">
        <f t="shared" si="865"/>
        <v>21.92942286610327</v>
      </c>
      <c r="BG330" s="123">
        <f t="shared" ref="BG330:BP330" si="866">(BG80/BG$17)*100</f>
        <v>24.12753551268532</v>
      </c>
      <c r="BH330" s="123">
        <f t="shared" si="866"/>
        <v>21.769212526164917</v>
      </c>
      <c r="BI330" s="123">
        <f t="shared" si="866"/>
        <v>24.351406226500231</v>
      </c>
      <c r="BJ330" s="123">
        <f t="shared" si="866"/>
        <v>20.494298798034816</v>
      </c>
      <c r="BK330" s="123">
        <f t="shared" si="866"/>
        <v>23.679075560476061</v>
      </c>
      <c r="BL330" s="123">
        <f t="shared" si="866"/>
        <v>24.488864549105514</v>
      </c>
      <c r="BM330" s="123">
        <f t="shared" si="866"/>
        <v>23.321948059596018</v>
      </c>
      <c r="BN330" s="123">
        <f t="shared" si="866"/>
        <v>21.689025095408809</v>
      </c>
      <c r="BO330" s="123">
        <f t="shared" si="866"/>
        <v>20.778260072140366</v>
      </c>
      <c r="BP330" s="123">
        <f t="shared" si="866"/>
        <v>18.056339473549183</v>
      </c>
      <c r="BQ330" s="123">
        <f t="shared" ref="BQ330:CB330" si="867">(BQ80/BQ$17)*100</f>
        <v>21.276418705275422</v>
      </c>
      <c r="BR330" s="123">
        <f t="shared" si="867"/>
        <v>23.134154847709834</v>
      </c>
      <c r="BS330" s="123">
        <f t="shared" si="867"/>
        <v>23.2482228347599</v>
      </c>
      <c r="BT330" s="123">
        <f t="shared" si="867"/>
        <v>14.013372725859119</v>
      </c>
      <c r="BU330" s="123">
        <f t="shared" ca="1" si="867"/>
        <v>21.887082586939531</v>
      </c>
      <c r="BV330" s="123">
        <f t="shared" ca="1" si="867"/>
        <v>23.133633453585194</v>
      </c>
      <c r="BW330" s="123">
        <f t="shared" ca="1" si="867"/>
        <v>19.297707201072797</v>
      </c>
      <c r="BX330" s="123">
        <f t="shared" ca="1" si="867"/>
        <v>19.274119210838869</v>
      </c>
      <c r="BY330" s="123">
        <f t="shared" ca="1" si="867"/>
        <v>19.112439022845535</v>
      </c>
      <c r="BZ330" s="123">
        <f t="shared" ca="1" si="867"/>
        <v>18.927547211427576</v>
      </c>
      <c r="CA330" s="123">
        <f t="shared" ca="1" si="867"/>
        <v>18.72846966472229</v>
      </c>
      <c r="CB330" s="123">
        <f t="shared" ca="1" si="867"/>
        <v>18.512761937379231</v>
      </c>
      <c r="CC330" s="123">
        <f t="shared" ca="1" si="862"/>
        <v>18.283061782615071</v>
      </c>
      <c r="CD330" s="123">
        <f t="shared" ca="1" si="862"/>
        <v>18.043437979182222</v>
      </c>
      <c r="CE330" s="123">
        <f t="shared" ca="1" si="862"/>
        <v>17.800537963007269</v>
      </c>
      <c r="CF330" s="123">
        <f t="shared" ca="1" si="862"/>
        <v>17.564468801023452</v>
      </c>
      <c r="CG330" s="123">
        <f t="shared" ca="1" si="862"/>
        <v>17.349266914756988</v>
      </c>
      <c r="CH330" s="141"/>
      <c r="CI330" s="159">
        <f t="shared" si="863"/>
        <v>0</v>
      </c>
      <c r="CJ330" s="159">
        <f t="shared" si="863"/>
        <v>0</v>
      </c>
      <c r="CK330" s="159">
        <f t="shared" si="863"/>
        <v>0</v>
      </c>
      <c r="CL330" s="159">
        <f t="shared" si="863"/>
        <v>0</v>
      </c>
      <c r="CM330" s="159">
        <f t="shared" ca="1" si="863"/>
        <v>7.5291312996071724E-2</v>
      </c>
      <c r="CN330" s="159">
        <f t="shared" ca="1" si="863"/>
        <v>0.27659915719671702</v>
      </c>
      <c r="CO330" s="159">
        <f t="shared" ca="1" si="863"/>
        <v>0.11732731903085281</v>
      </c>
      <c r="CP330" s="159">
        <f t="shared" ca="1" si="863"/>
        <v>0.1779667098931732</v>
      </c>
      <c r="CQ330" s="159">
        <f t="shared" ca="1" si="863"/>
        <v>0.23414704274856035</v>
      </c>
      <c r="CR330" s="159">
        <f t="shared" ca="1" si="863"/>
        <v>0.37686243715869239</v>
      </c>
      <c r="CS330" s="159">
        <f t="shared" ca="1" si="864"/>
        <v>0.45579347387445779</v>
      </c>
      <c r="CT330" s="159">
        <f t="shared" ca="1" si="864"/>
        <v>0.4708957985118154</v>
      </c>
      <c r="CU330" s="159">
        <f t="shared" ca="1" si="864"/>
        <v>0.5012037727968206</v>
      </c>
      <c r="CV330" s="159">
        <f t="shared" ca="1" si="864"/>
        <v>0.52921851519429453</v>
      </c>
      <c r="CW330" s="159">
        <f t="shared" ca="1" si="864"/>
        <v>0.55098210250141477</v>
      </c>
      <c r="CX330" s="159">
        <f t="shared" ca="1" si="864"/>
        <v>0.56439605473739363</v>
      </c>
      <c r="CY330" s="159">
        <f t="shared" ca="1" si="864"/>
        <v>0.56768479729405286</v>
      </c>
      <c r="CZ330" s="219"/>
      <c r="DA330" s="135">
        <v>21.276418705275422</v>
      </c>
      <c r="DB330" s="135">
        <v>23.134154847709834</v>
      </c>
      <c r="DC330" s="135">
        <v>23.2482228347599</v>
      </c>
      <c r="DD330" s="135">
        <v>14.013372725859119</v>
      </c>
      <c r="DE330" s="135">
        <v>21.811791273943459</v>
      </c>
      <c r="DF330" s="135">
        <v>22.857034296388477</v>
      </c>
      <c r="DG330" s="135">
        <v>19.180379882041944</v>
      </c>
      <c r="DH330" s="135">
        <v>19.096152500945696</v>
      </c>
      <c r="DI330" s="135">
        <v>18.878291980096975</v>
      </c>
      <c r="DJ330" s="135">
        <v>18.550684774268884</v>
      </c>
      <c r="DK330" s="135">
        <v>18.272676190847832</v>
      </c>
      <c r="DL330" s="135">
        <v>18.041866138867416</v>
      </c>
      <c r="DM330" s="135">
        <v>17.781858009818251</v>
      </c>
      <c r="DN330" s="135">
        <v>17.514219463987928</v>
      </c>
      <c r="DO330" s="135">
        <v>17.249555860505854</v>
      </c>
      <c r="DP330" s="135">
        <v>17.000072746286058</v>
      </c>
      <c r="DQ330" s="135">
        <v>16.781582117462936</v>
      </c>
    </row>
    <row r="331" spans="1:121" s="123" customFormat="1">
      <c r="A331" s="107" t="s">
        <v>3230</v>
      </c>
      <c r="B331" s="141"/>
      <c r="C331" s="136" t="s">
        <v>1320</v>
      </c>
      <c r="D331" s="102"/>
      <c r="E331" s="141"/>
      <c r="F331" s="123">
        <f t="shared" ref="F331:BF331" si="868">(F81/F$17)*100</f>
        <v>17.653009276094387</v>
      </c>
      <c r="G331" s="123">
        <f t="shared" si="868"/>
        <v>16.859248943314157</v>
      </c>
      <c r="H331" s="123">
        <f t="shared" si="868"/>
        <v>17.922645564245961</v>
      </c>
      <c r="I331" s="123">
        <f t="shared" si="868"/>
        <v>19.117647609790833</v>
      </c>
      <c r="J331" s="123">
        <f t="shared" si="868"/>
        <v>19.229777899022977</v>
      </c>
      <c r="K331" s="123">
        <f t="shared" si="868"/>
        <v>18.617391442404667</v>
      </c>
      <c r="L331" s="123">
        <f t="shared" si="868"/>
        <v>18.791436575176014</v>
      </c>
      <c r="M331" s="123">
        <f t="shared" si="868"/>
        <v>17.31483279808392</v>
      </c>
      <c r="N331" s="123">
        <f t="shared" si="868"/>
        <v>17.060272004838545</v>
      </c>
      <c r="O331" s="123">
        <f t="shared" si="868"/>
        <v>16.239829519454268</v>
      </c>
      <c r="P331" s="123">
        <f t="shared" si="868"/>
        <v>17.150354446449743</v>
      </c>
      <c r="Q331" s="123">
        <f t="shared" si="868"/>
        <v>17.07867566380741</v>
      </c>
      <c r="R331" s="123">
        <f t="shared" si="868"/>
        <v>17.953637853692399</v>
      </c>
      <c r="S331" s="123">
        <f t="shared" si="868"/>
        <v>17.187827657337117</v>
      </c>
      <c r="T331" s="123">
        <f t="shared" si="868"/>
        <v>15.780225266269893</v>
      </c>
      <c r="U331" s="123">
        <f t="shared" si="868"/>
        <v>16.628616579328511</v>
      </c>
      <c r="V331" s="123">
        <f t="shared" si="868"/>
        <v>16.990068871342928</v>
      </c>
      <c r="W331" s="123">
        <f t="shared" si="868"/>
        <v>17.267372171604382</v>
      </c>
      <c r="X331" s="123">
        <f t="shared" si="868"/>
        <v>17.964878207623663</v>
      </c>
      <c r="Y331" s="123">
        <f t="shared" si="868"/>
        <v>16.843850989649852</v>
      </c>
      <c r="Z331" s="123">
        <f t="shared" si="868"/>
        <v>17.349866502327519</v>
      </c>
      <c r="AA331" s="123">
        <f t="shared" si="868"/>
        <v>24.587278485998635</v>
      </c>
      <c r="AB331" s="123">
        <f t="shared" si="868"/>
        <v>21.694137912766067</v>
      </c>
      <c r="AC331" s="123">
        <f t="shared" si="868"/>
        <v>19.911316546001988</v>
      </c>
      <c r="AD331" s="123">
        <f t="shared" si="868"/>
        <v>21.833886119517672</v>
      </c>
      <c r="AE331" s="123">
        <f t="shared" si="868"/>
        <v>20.092893223520939</v>
      </c>
      <c r="AF331" s="123">
        <f t="shared" si="868"/>
        <v>21.943871323864894</v>
      </c>
      <c r="AG331" s="123">
        <f t="shared" si="868"/>
        <v>20.5168688136472</v>
      </c>
      <c r="AH331" s="123">
        <f t="shared" si="868"/>
        <v>19.718050874614704</v>
      </c>
      <c r="AI331" s="123">
        <f t="shared" si="868"/>
        <v>19.389080672351117</v>
      </c>
      <c r="AJ331" s="123">
        <f t="shared" si="868"/>
        <v>20.451951500700041</v>
      </c>
      <c r="AK331" s="123">
        <f t="shared" si="868"/>
        <v>19.319067723159858</v>
      </c>
      <c r="AL331" s="123">
        <f t="shared" si="868"/>
        <v>17.278291860051446</v>
      </c>
      <c r="AM331" s="123">
        <f t="shared" si="868"/>
        <v>15.04887702063945</v>
      </c>
      <c r="AN331" s="123">
        <f t="shared" si="868"/>
        <v>16.625772087061776</v>
      </c>
      <c r="AO331" s="123">
        <f t="shared" si="868"/>
        <v>16.939912997651319</v>
      </c>
      <c r="AP331" s="123">
        <f t="shared" si="868"/>
        <v>18.226312922154591</v>
      </c>
      <c r="AQ331" s="123">
        <f t="shared" si="868"/>
        <v>18.338763805032709</v>
      </c>
      <c r="AR331" s="123">
        <f t="shared" si="868"/>
        <v>14.094522951069216</v>
      </c>
      <c r="AS331" s="123">
        <f t="shared" si="868"/>
        <v>7.2184113047057217</v>
      </c>
      <c r="AT331" s="123">
        <f t="shared" si="868"/>
        <v>11.937734174718992</v>
      </c>
      <c r="AU331" s="123">
        <f t="shared" si="868"/>
        <v>19.503596863417332</v>
      </c>
      <c r="AV331" s="123">
        <f t="shared" si="868"/>
        <v>25.064809829022717</v>
      </c>
      <c r="AW331" s="123">
        <f t="shared" si="868"/>
        <v>22.141638939036991</v>
      </c>
      <c r="AX331" s="123">
        <f t="shared" si="868"/>
        <v>23.038664086060226</v>
      </c>
      <c r="AY331" s="123">
        <f t="shared" si="868"/>
        <v>18.614555043885545</v>
      </c>
      <c r="AZ331" s="123">
        <f t="shared" si="868"/>
        <v>18.809331000130307</v>
      </c>
      <c r="BA331" s="123">
        <f t="shared" si="868"/>
        <v>26.600994430726072</v>
      </c>
      <c r="BB331" s="123">
        <f t="shared" si="868"/>
        <v>21.063076384295108</v>
      </c>
      <c r="BC331" s="123">
        <f t="shared" si="868"/>
        <v>21.404916285198492</v>
      </c>
      <c r="BD331" s="123">
        <f t="shared" si="868"/>
        <v>20.866691312384472</v>
      </c>
      <c r="BE331" s="123">
        <f ca="1">(BE81/BE$17)*100</f>
        <v>18.723634440747855</v>
      </c>
      <c r="BF331" s="123">
        <f t="shared" si="868"/>
        <v>16.756171683110608</v>
      </c>
      <c r="BG331" s="123">
        <f t="shared" ref="BG331:BP331" si="869">(BG81/BG$17)*100</f>
        <v>18.872278394640531</v>
      </c>
      <c r="BH331" s="123">
        <f t="shared" si="869"/>
        <v>17.355976943937474</v>
      </c>
      <c r="BI331" s="123">
        <f t="shared" si="869"/>
        <v>17.229094600691834</v>
      </c>
      <c r="BJ331" s="123">
        <f t="shared" si="869"/>
        <v>15.668921567809688</v>
      </c>
      <c r="BK331" s="123">
        <f t="shared" si="869"/>
        <v>18.459728757265431</v>
      </c>
      <c r="BL331" s="123">
        <f t="shared" si="869"/>
        <v>18.371059997566022</v>
      </c>
      <c r="BM331" s="123">
        <f t="shared" si="869"/>
        <v>18.454154643425003</v>
      </c>
      <c r="BN331" s="123">
        <f t="shared" si="869"/>
        <v>16.532323349138426</v>
      </c>
      <c r="BO331" s="123">
        <f t="shared" si="869"/>
        <v>16.591673289723055</v>
      </c>
      <c r="BP331" s="123">
        <f t="shared" si="869"/>
        <v>13.269023551747139</v>
      </c>
      <c r="BQ331" s="123">
        <f t="shared" ref="BQ331:CB331" si="870">(BQ81/BQ$17)*100</f>
        <v>14.744549841903812</v>
      </c>
      <c r="BR331" s="123">
        <f t="shared" si="870"/>
        <v>16.050530884290477</v>
      </c>
      <c r="BS331" s="123">
        <f t="shared" si="870"/>
        <v>16.070651385463513</v>
      </c>
      <c r="BT331" s="123">
        <f t="shared" si="870"/>
        <v>9.6345824910589339</v>
      </c>
      <c r="BU331" s="123">
        <f t="shared" ca="1" si="870"/>
        <v>16.413753819187619</v>
      </c>
      <c r="BV331" s="123">
        <f t="shared" ca="1" si="870"/>
        <v>13.778583157668194</v>
      </c>
      <c r="BW331" s="123">
        <f t="shared" ca="1" si="870"/>
        <v>13.950917347231929</v>
      </c>
      <c r="BX331" s="123">
        <f t="shared" ca="1" si="870"/>
        <v>13.948609378646944</v>
      </c>
      <c r="BY331" s="123">
        <f t="shared" ca="1" si="870"/>
        <v>13.864433470997984</v>
      </c>
      <c r="BZ331" s="123">
        <f t="shared" ca="1" si="870"/>
        <v>13.771188325178146</v>
      </c>
      <c r="CA331" s="123">
        <f t="shared" ca="1" si="870"/>
        <v>13.675809518725943</v>
      </c>
      <c r="CB331" s="123">
        <f t="shared" ca="1" si="870"/>
        <v>13.577669613847899</v>
      </c>
      <c r="CC331" s="123">
        <f t="shared" ca="1" si="862"/>
        <v>13.481720992620424</v>
      </c>
      <c r="CD331" s="123">
        <f t="shared" ca="1" si="862"/>
        <v>13.394477279861711</v>
      </c>
      <c r="CE331" s="123">
        <f t="shared" ca="1" si="862"/>
        <v>13.324836712355797</v>
      </c>
      <c r="CF331" s="123">
        <f t="shared" ca="1" si="862"/>
        <v>13.284396012112722</v>
      </c>
      <c r="CG331" s="123">
        <f t="shared" ca="1" si="862"/>
        <v>13.287069219496244</v>
      </c>
      <c r="CH331" s="141"/>
      <c r="CI331" s="159">
        <f t="shared" si="863"/>
        <v>0</v>
      </c>
      <c r="CJ331" s="159">
        <f t="shared" si="863"/>
        <v>0</v>
      </c>
      <c r="CK331" s="159">
        <f t="shared" si="863"/>
        <v>0</v>
      </c>
      <c r="CL331" s="159">
        <f t="shared" si="863"/>
        <v>0</v>
      </c>
      <c r="CM331" s="159">
        <f t="shared" ca="1" si="863"/>
        <v>-0.13957296755435777</v>
      </c>
      <c r="CN331" s="159">
        <f t="shared" ca="1" si="863"/>
        <v>-0.28854798966746742</v>
      </c>
      <c r="CO331" s="159">
        <f t="shared" ca="1" si="863"/>
        <v>-0.26527356922764156</v>
      </c>
      <c r="CP331" s="159">
        <f t="shared" ca="1" si="863"/>
        <v>-0.25847900759566933</v>
      </c>
      <c r="CQ331" s="159">
        <f t="shared" ca="1" si="863"/>
        <v>-0.24850659366992289</v>
      </c>
      <c r="CR331" s="159">
        <f t="shared" ca="1" si="863"/>
        <v>-2.4333013544806548E-2</v>
      </c>
      <c r="CS331" s="159">
        <f t="shared" ca="1" si="864"/>
        <v>1.7080989112070455E-2</v>
      </c>
      <c r="CT331" s="159">
        <f t="shared" ca="1" si="864"/>
        <v>-6.7605849530103512E-3</v>
      </c>
      <c r="CU331" s="159">
        <f t="shared" ca="1" si="864"/>
        <v>-1.0138575900596081E-2</v>
      </c>
      <c r="CV331" s="159">
        <f t="shared" ca="1" si="864"/>
        <v>-9.1030058607053377E-3</v>
      </c>
      <c r="CW331" s="159">
        <f t="shared" ca="1" si="864"/>
        <v>-6.1544026163851129E-3</v>
      </c>
      <c r="CX331" s="159">
        <f t="shared" ca="1" si="864"/>
        <v>-2.2527926688358235E-3</v>
      </c>
      <c r="CY331" s="159">
        <f t="shared" ca="1" si="864"/>
        <v>1.6978295231506735E-3</v>
      </c>
      <c r="CZ331" s="219"/>
      <c r="DA331" s="135">
        <v>14.744549841903812</v>
      </c>
      <c r="DB331" s="135">
        <v>16.050530884290477</v>
      </c>
      <c r="DC331" s="135">
        <v>16.070651385463513</v>
      </c>
      <c r="DD331" s="135">
        <v>9.6345824910589339</v>
      </c>
      <c r="DE331" s="135">
        <v>16.553326786741977</v>
      </c>
      <c r="DF331" s="135">
        <v>14.067131147335662</v>
      </c>
      <c r="DG331" s="135">
        <v>14.216190916459571</v>
      </c>
      <c r="DH331" s="135">
        <v>14.207088386242614</v>
      </c>
      <c r="DI331" s="135">
        <v>14.112940064667907</v>
      </c>
      <c r="DJ331" s="135">
        <v>13.795521338722953</v>
      </c>
      <c r="DK331" s="135">
        <v>13.658728529613873</v>
      </c>
      <c r="DL331" s="135">
        <v>13.584430198800909</v>
      </c>
      <c r="DM331" s="135">
        <v>13.49185956852102</v>
      </c>
      <c r="DN331" s="135">
        <v>13.403580285722416</v>
      </c>
      <c r="DO331" s="135">
        <v>13.330991114972182</v>
      </c>
      <c r="DP331" s="135">
        <v>13.286648804781558</v>
      </c>
      <c r="DQ331" s="135">
        <v>13.285371389973093</v>
      </c>
    </row>
    <row r="332" spans="1:121" s="123" customFormat="1">
      <c r="A332" s="107" t="s">
        <v>3232</v>
      </c>
      <c r="B332" s="141"/>
      <c r="C332" s="136" t="s">
        <v>1320</v>
      </c>
      <c r="D332" s="102"/>
      <c r="E332" s="141"/>
      <c r="F332" s="123">
        <f t="shared" ref="F332:AK332" si="871">(F84/F17)*100</f>
        <v>1.9173680487143721</v>
      </c>
      <c r="G332" s="123">
        <f t="shared" si="871"/>
        <v>2.276613908403736</v>
      </c>
      <c r="H332" s="123">
        <f t="shared" si="871"/>
        <v>1.8574378339900215</v>
      </c>
      <c r="I332" s="123">
        <f t="shared" si="871"/>
        <v>1.8991596386337481</v>
      </c>
      <c r="J332" s="123">
        <f t="shared" si="871"/>
        <v>5.4544516800051834</v>
      </c>
      <c r="K332" s="123">
        <f t="shared" si="871"/>
        <v>5.3502950026766607</v>
      </c>
      <c r="L332" s="123">
        <f t="shared" si="871"/>
        <v>6.4321607005218109</v>
      </c>
      <c r="M332" s="123">
        <f t="shared" si="871"/>
        <v>3.6740277879098815</v>
      </c>
      <c r="N332" s="123">
        <f t="shared" si="871"/>
        <v>6.790785245776557</v>
      </c>
      <c r="O332" s="123">
        <f t="shared" si="871"/>
        <v>3.3253301528830428</v>
      </c>
      <c r="P332" s="123">
        <f t="shared" si="871"/>
        <v>5.5243508973886852</v>
      </c>
      <c r="Q332" s="123">
        <f t="shared" si="871"/>
        <v>1.9384841048031183</v>
      </c>
      <c r="R332" s="123">
        <f t="shared" si="871"/>
        <v>1.669203085552182</v>
      </c>
      <c r="S332" s="123">
        <f t="shared" si="871"/>
        <v>1.9886049183656325</v>
      </c>
      <c r="T332" s="123">
        <f t="shared" si="871"/>
        <v>1.9339910285993911</v>
      </c>
      <c r="U332" s="123">
        <f t="shared" si="871"/>
        <v>1.8743219598120462</v>
      </c>
      <c r="V332" s="123">
        <f t="shared" si="871"/>
        <v>1.8976318280691402</v>
      </c>
      <c r="W332" s="123">
        <f t="shared" si="871"/>
        <v>2.2753287294894173</v>
      </c>
      <c r="X332" s="123">
        <f t="shared" si="871"/>
        <v>3.5741220476606288</v>
      </c>
      <c r="Y332" s="123">
        <f t="shared" si="871"/>
        <v>3.4529274713063463</v>
      </c>
      <c r="Z332" s="123">
        <f t="shared" si="871"/>
        <v>1.824144286976459</v>
      </c>
      <c r="AA332" s="123">
        <f t="shared" si="871"/>
        <v>2.0579661038164456</v>
      </c>
      <c r="AB332" s="123">
        <f t="shared" si="871"/>
        <v>2.4270835276844371</v>
      </c>
      <c r="AC332" s="123">
        <f t="shared" si="871"/>
        <v>1.2903056967390174</v>
      </c>
      <c r="AD332" s="123">
        <f t="shared" si="871"/>
        <v>1.3596192630098169</v>
      </c>
      <c r="AE332" s="123">
        <f t="shared" si="871"/>
        <v>1.5786506090976604</v>
      </c>
      <c r="AF332" s="123">
        <f t="shared" si="871"/>
        <v>2.0239997707721979</v>
      </c>
      <c r="AG332" s="123">
        <f t="shared" si="871"/>
        <v>2.1109073601162449</v>
      </c>
      <c r="AH332" s="123">
        <f t="shared" si="871"/>
        <v>3.9321254938327668</v>
      </c>
      <c r="AI332" s="123">
        <f t="shared" si="871"/>
        <v>3.6522426694027952</v>
      </c>
      <c r="AJ332" s="123">
        <f t="shared" si="871"/>
        <v>3.388775692553275</v>
      </c>
      <c r="AK332" s="123">
        <f t="shared" si="871"/>
        <v>3.0687140880513737</v>
      </c>
      <c r="AL332" s="123">
        <f t="shared" ref="AL332:BQ332" si="872">(AL84/AL17)*100</f>
        <v>3.4642078330328854</v>
      </c>
      <c r="AM332" s="123">
        <f t="shared" si="872"/>
        <v>4.3860402202916955</v>
      </c>
      <c r="AN332" s="123">
        <f t="shared" si="872"/>
        <v>3.8361598041690064</v>
      </c>
      <c r="AO332" s="123">
        <f t="shared" si="872"/>
        <v>4.0204802214841422</v>
      </c>
      <c r="AP332" s="123">
        <f t="shared" si="872"/>
        <v>5.0180224999094847</v>
      </c>
      <c r="AQ332" s="123">
        <f t="shared" si="872"/>
        <v>4.1263111253264642</v>
      </c>
      <c r="AR332" s="123">
        <f t="shared" si="872"/>
        <v>3.7732740154885489</v>
      </c>
      <c r="AS332" s="123">
        <f t="shared" si="872"/>
        <v>3.0456852791878171</v>
      </c>
      <c r="AT332" s="123">
        <f t="shared" si="872"/>
        <v>1.741520410175508</v>
      </c>
      <c r="AU332" s="123">
        <f t="shared" si="872"/>
        <v>3.5019938956369838</v>
      </c>
      <c r="AV332" s="123">
        <f t="shared" si="872"/>
        <v>4.5011087758304233</v>
      </c>
      <c r="AW332" s="123">
        <f t="shared" si="872"/>
        <v>3.2423111485310434</v>
      </c>
      <c r="AX332" s="123">
        <f t="shared" si="872"/>
        <v>5.6863570826376204</v>
      </c>
      <c r="AY332" s="123">
        <f t="shared" si="872"/>
        <v>2.7656605724307592</v>
      </c>
      <c r="AZ332" s="123">
        <f t="shared" si="872"/>
        <v>5.3197996877648448</v>
      </c>
      <c r="BA332" s="123">
        <f t="shared" si="872"/>
        <v>7.8453167861696302</v>
      </c>
      <c r="BB332" s="123">
        <f t="shared" si="872"/>
        <v>3.777352634759934</v>
      </c>
      <c r="BC332" s="123">
        <f t="shared" si="872"/>
        <v>5.2006531380774481</v>
      </c>
      <c r="BD332" s="123">
        <f t="shared" si="872"/>
        <v>4.7939472345191358</v>
      </c>
      <c r="BE332" s="123">
        <f t="shared" ca="1" si="872"/>
        <v>5.51377885786252</v>
      </c>
      <c r="BF332" s="123">
        <f t="shared" si="872"/>
        <v>5.1732511829926597</v>
      </c>
      <c r="BG332" s="123">
        <f t="shared" si="872"/>
        <v>5.2552571180447867</v>
      </c>
      <c r="BH332" s="123">
        <f t="shared" si="872"/>
        <v>4.4132355822274461</v>
      </c>
      <c r="BI332" s="123">
        <f t="shared" si="872"/>
        <v>7.1223116258083934</v>
      </c>
      <c r="BJ332" s="123">
        <f t="shared" si="872"/>
        <v>4.8253772302251283</v>
      </c>
      <c r="BK332" s="123">
        <f t="shared" si="872"/>
        <v>5.2193468032106285</v>
      </c>
      <c r="BL332" s="123">
        <f t="shared" si="872"/>
        <v>6.1178045515394919</v>
      </c>
      <c r="BM332" s="123">
        <f t="shared" si="872"/>
        <v>4.8677934161710148</v>
      </c>
      <c r="BN332" s="123">
        <f t="shared" si="872"/>
        <v>5.1567017462703824</v>
      </c>
      <c r="BO332" s="123">
        <f t="shared" si="872"/>
        <v>4.1865867824173133</v>
      </c>
      <c r="BP332" s="123">
        <f t="shared" si="872"/>
        <v>4.7873159218020422</v>
      </c>
      <c r="BQ332" s="123">
        <f t="shared" si="872"/>
        <v>6.5318688633716091</v>
      </c>
      <c r="BR332" s="123">
        <f t="shared" ref="BR332:CC332" si="873">(BR84/BR17)*100</f>
        <v>7.0836239634193596</v>
      </c>
      <c r="BS332" s="123">
        <f t="shared" si="873"/>
        <v>7.177571449296388</v>
      </c>
      <c r="BT332" s="123">
        <f t="shared" si="873"/>
        <v>4.3787902348001868</v>
      </c>
      <c r="BU332" s="123">
        <f t="shared" ca="1" si="873"/>
        <v>5.4733287677519122</v>
      </c>
      <c r="BV332" s="123">
        <f t="shared" ca="1" si="873"/>
        <v>9.3550502959169979</v>
      </c>
      <c r="BW332" s="123">
        <f t="shared" ca="1" si="873"/>
        <v>5.3467898538408685</v>
      </c>
      <c r="BX332" s="123">
        <f t="shared" ca="1" si="873"/>
        <v>5.3255098321919263</v>
      </c>
      <c r="BY332" s="123">
        <f t="shared" ca="1" si="873"/>
        <v>5.2480055518475481</v>
      </c>
      <c r="BZ332" s="123">
        <f t="shared" ca="1" si="873"/>
        <v>5.1563588862494143</v>
      </c>
      <c r="CA332" s="123">
        <f t="shared" ca="1" si="873"/>
        <v>5.0526601459963461</v>
      </c>
      <c r="CB332" s="123">
        <f t="shared" ca="1" si="873"/>
        <v>4.9350923235313395</v>
      </c>
      <c r="CC332" s="123">
        <f t="shared" ca="1" si="873"/>
        <v>4.8013407899946392</v>
      </c>
      <c r="CD332" s="123">
        <f ca="1">(CD84/CD17)*100</f>
        <v>4.6489606993205186</v>
      </c>
      <c r="CE332" s="123">
        <f ca="1">(CE84/CE17)*100</f>
        <v>4.4757012506515075</v>
      </c>
      <c r="CF332" s="123">
        <f ca="1">(CF84/CF17)*100</f>
        <v>4.2800727889107328</v>
      </c>
      <c r="CG332" s="123">
        <f ca="1">(CG84/CG17)*100</f>
        <v>4.0621976952607497</v>
      </c>
      <c r="CH332" s="141"/>
      <c r="CI332" s="159">
        <f t="shared" si="863"/>
        <v>0</v>
      </c>
      <c r="CJ332" s="159">
        <f t="shared" si="863"/>
        <v>0</v>
      </c>
      <c r="CK332" s="159">
        <f t="shared" si="863"/>
        <v>0</v>
      </c>
      <c r="CL332" s="159">
        <f t="shared" si="863"/>
        <v>0</v>
      </c>
      <c r="CM332" s="159">
        <f t="shared" ca="1" si="863"/>
        <v>0.21486428055042683</v>
      </c>
      <c r="CN332" s="159">
        <f t="shared" ca="1" si="863"/>
        <v>0.56514714686417911</v>
      </c>
      <c r="CO332" s="159">
        <f t="shared" ca="1" si="863"/>
        <v>0.38260088825848815</v>
      </c>
      <c r="CP332" s="159">
        <f t="shared" ca="1" si="863"/>
        <v>0.43644571748883809</v>
      </c>
      <c r="CQ332" s="159">
        <f t="shared" ca="1" si="863"/>
        <v>0.4826536364184717</v>
      </c>
      <c r="CR332" s="159">
        <f t="shared" ca="1" si="863"/>
        <v>0.40119545070347673</v>
      </c>
      <c r="CS332" s="159">
        <f t="shared" ca="1" si="864"/>
        <v>0.43871248476236246</v>
      </c>
      <c r="CT332" s="159">
        <f t="shared" ca="1" si="864"/>
        <v>0.47765638346481953</v>
      </c>
      <c r="CU332" s="159">
        <f t="shared" ca="1" si="864"/>
        <v>0.5113423486974078</v>
      </c>
      <c r="CV332" s="159">
        <f t="shared" ca="1" si="864"/>
        <v>0.53832152105499453</v>
      </c>
      <c r="CW332" s="159">
        <f t="shared" ca="1" si="864"/>
        <v>0.55713650511781099</v>
      </c>
      <c r="CX332" s="159">
        <f t="shared" ca="1" si="864"/>
        <v>0.56664884740622945</v>
      </c>
      <c r="CY332" s="159">
        <f t="shared" ca="1" si="864"/>
        <v>0.56598696777087465</v>
      </c>
      <c r="CZ332" s="219"/>
      <c r="DA332" s="135">
        <v>6.5318688633716091</v>
      </c>
      <c r="DB332" s="135">
        <v>7.0836239634193596</v>
      </c>
      <c r="DC332" s="135">
        <v>7.177571449296388</v>
      </c>
      <c r="DD332" s="135">
        <v>4.3787902348001868</v>
      </c>
      <c r="DE332" s="135">
        <v>5.2584644872014854</v>
      </c>
      <c r="DF332" s="135">
        <v>8.7899031490528188</v>
      </c>
      <c r="DG332" s="135">
        <v>4.9641889655823803</v>
      </c>
      <c r="DH332" s="135">
        <v>4.8890641147030882</v>
      </c>
      <c r="DI332" s="135">
        <v>4.7653519154290764</v>
      </c>
      <c r="DJ332" s="135">
        <v>4.7551634355459376</v>
      </c>
      <c r="DK332" s="135">
        <v>4.6139476612339836</v>
      </c>
      <c r="DL332" s="135">
        <v>4.45743594006652</v>
      </c>
      <c r="DM332" s="135">
        <v>4.2899984412972314</v>
      </c>
      <c r="DN332" s="135">
        <v>4.1106391782655241</v>
      </c>
      <c r="DO332" s="135">
        <v>3.9185647455336965</v>
      </c>
      <c r="DP332" s="135">
        <v>3.7134239415045034</v>
      </c>
      <c r="DQ332" s="135">
        <v>3.496210727489875</v>
      </c>
    </row>
    <row r="333" spans="1:121" s="123" customFormat="1">
      <c r="A333" s="107" t="s">
        <v>1317</v>
      </c>
      <c r="B333" s="141"/>
      <c r="C333" s="136" t="s">
        <v>1320</v>
      </c>
      <c r="D333" s="102"/>
      <c r="E333" s="141"/>
      <c r="F333" s="123">
        <f t="shared" ref="F333:AK333" si="874">(F85/F17)*100</f>
        <v>1.3223227922168079</v>
      </c>
      <c r="G333" s="123">
        <f t="shared" si="874"/>
        <v>0.98448169012053455</v>
      </c>
      <c r="H333" s="123">
        <f t="shared" si="874"/>
        <v>2.8513301022543547</v>
      </c>
      <c r="I333" s="123">
        <f t="shared" si="874"/>
        <v>3.571428671604445</v>
      </c>
      <c r="J333" s="123">
        <f t="shared" si="874"/>
        <v>2.4230550132830522</v>
      </c>
      <c r="K333" s="123">
        <f t="shared" si="874"/>
        <v>2.5535075908816567</v>
      </c>
      <c r="L333" s="123">
        <f t="shared" si="874"/>
        <v>2.6603607072061419</v>
      </c>
      <c r="M333" s="123">
        <f t="shared" si="874"/>
        <v>3.2440884075571095</v>
      </c>
      <c r="N333" s="123">
        <f t="shared" si="874"/>
        <v>2.6441611818077599</v>
      </c>
      <c r="O333" s="123">
        <f t="shared" si="874"/>
        <v>4.3350673602774439</v>
      </c>
      <c r="P333" s="123">
        <f t="shared" si="874"/>
        <v>1.9055949219432595</v>
      </c>
      <c r="Q333" s="123">
        <f t="shared" si="874"/>
        <v>1.6317206494248184</v>
      </c>
      <c r="R333" s="123">
        <f t="shared" si="874"/>
        <v>2.757008315137079</v>
      </c>
      <c r="S333" s="123">
        <f t="shared" si="874"/>
        <v>2.4771813487299679</v>
      </c>
      <c r="T333" s="123">
        <f t="shared" si="874"/>
        <v>2.1573846266385295</v>
      </c>
      <c r="U333" s="123">
        <f t="shared" si="874"/>
        <v>3.3030552644112419</v>
      </c>
      <c r="V333" s="123">
        <f t="shared" si="874"/>
        <v>3.6516424168877424</v>
      </c>
      <c r="W333" s="123">
        <f t="shared" si="874"/>
        <v>3.3780955307154663</v>
      </c>
      <c r="X333" s="123">
        <f t="shared" si="874"/>
        <v>3.0839258266712823</v>
      </c>
      <c r="Y333" s="123">
        <f t="shared" si="874"/>
        <v>3.0073884279972463</v>
      </c>
      <c r="Z333" s="123">
        <f t="shared" si="874"/>
        <v>4.170936745535915</v>
      </c>
      <c r="AA333" s="123">
        <f t="shared" si="874"/>
        <v>5.0546534403234977</v>
      </c>
      <c r="AB333" s="123">
        <f t="shared" si="874"/>
        <v>13.232592486700264</v>
      </c>
      <c r="AC333" s="123">
        <f t="shared" si="874"/>
        <v>9.0648882213093263</v>
      </c>
      <c r="AD333" s="123">
        <f t="shared" si="874"/>
        <v>5.6498467015452194</v>
      </c>
      <c r="AE333" s="123">
        <f t="shared" si="874"/>
        <v>7.7321663489677022</v>
      </c>
      <c r="AF333" s="123">
        <f t="shared" si="874"/>
        <v>6.9528304209360625</v>
      </c>
      <c r="AG333" s="123">
        <f t="shared" si="874"/>
        <v>7.9893140723163043</v>
      </c>
      <c r="AH333" s="123">
        <f t="shared" si="874"/>
        <v>7.942623270331441</v>
      </c>
      <c r="AI333" s="123">
        <f t="shared" si="874"/>
        <v>0.21222411319415388</v>
      </c>
      <c r="AJ333" s="123">
        <f t="shared" si="874"/>
        <v>0.16976487114999522</v>
      </c>
      <c r="AK333" s="123">
        <f t="shared" si="874"/>
        <v>0.19251686929067161</v>
      </c>
      <c r="AL333" s="123">
        <f t="shared" ref="AL333:BQ333" si="875">(AL85/AL17)*100</f>
        <v>9.4313819804015889E-2</v>
      </c>
      <c r="AM333" s="123">
        <f t="shared" si="875"/>
        <v>0.35156919093059247</v>
      </c>
      <c r="AN333" s="123">
        <f t="shared" si="875"/>
        <v>0.68761354671067398</v>
      </c>
      <c r="AO333" s="123">
        <f t="shared" si="875"/>
        <v>1.331900249963605</v>
      </c>
      <c r="AP333" s="123">
        <f t="shared" si="875"/>
        <v>1.5808444902162717</v>
      </c>
      <c r="AQ333" s="123">
        <f t="shared" si="875"/>
        <v>0.76768578442311985</v>
      </c>
      <c r="AR333" s="123">
        <f t="shared" si="875"/>
        <v>0.98203987477343879</v>
      </c>
      <c r="AS333" s="123">
        <f t="shared" si="875"/>
        <v>2.9290712031828781</v>
      </c>
      <c r="AT333" s="123">
        <f t="shared" si="875"/>
        <v>1.7301814237822917</v>
      </c>
      <c r="AU333" s="123">
        <f t="shared" si="875"/>
        <v>3.0556491528805987</v>
      </c>
      <c r="AV333" s="123">
        <f t="shared" si="875"/>
        <v>12.529166883789872</v>
      </c>
      <c r="AW333" s="123">
        <f t="shared" si="875"/>
        <v>7.729464688087778</v>
      </c>
      <c r="AX333" s="123">
        <f t="shared" si="875"/>
        <v>5.9562497186838907</v>
      </c>
      <c r="AY333" s="123">
        <f t="shared" si="875"/>
        <v>2.6633080122276014</v>
      </c>
      <c r="AZ333" s="123">
        <f t="shared" si="875"/>
        <v>1.7986661092134075</v>
      </c>
      <c r="BA333" s="123">
        <f t="shared" si="875"/>
        <v>1.2371276864227712</v>
      </c>
      <c r="BB333" s="123">
        <f t="shared" si="875"/>
        <v>1.1672827736487801</v>
      </c>
      <c r="BC333" s="123">
        <f t="shared" si="875"/>
        <v>0.34220041283350372</v>
      </c>
      <c r="BD333" s="123">
        <f t="shared" si="875"/>
        <v>1.3689463955637708</v>
      </c>
      <c r="BE333" s="123">
        <f t="shared" si="875"/>
        <v>1.1338028169014085</v>
      </c>
      <c r="BF333" s="123">
        <f t="shared" si="875"/>
        <v>2.216116453658604</v>
      </c>
      <c r="BG333" s="123">
        <f t="shared" si="875"/>
        <v>5.2502946467340736</v>
      </c>
      <c r="BH333" s="123">
        <f t="shared" si="875"/>
        <v>2.5118322145574905</v>
      </c>
      <c r="BI333" s="123">
        <f t="shared" si="875"/>
        <v>3.3285080463227557</v>
      </c>
      <c r="BJ333" s="123">
        <f t="shared" si="875"/>
        <v>1.2436711236414288</v>
      </c>
      <c r="BK333" s="123">
        <f t="shared" si="875"/>
        <v>0.79850539717686142</v>
      </c>
      <c r="BL333" s="123">
        <f t="shared" si="875"/>
        <v>0</v>
      </c>
      <c r="BM333" s="123">
        <f t="shared" si="875"/>
        <v>0</v>
      </c>
      <c r="BN333" s="123">
        <f t="shared" si="875"/>
        <v>0</v>
      </c>
      <c r="BO333" s="123">
        <f t="shared" si="875"/>
        <v>0</v>
      </c>
      <c r="BP333" s="123">
        <f t="shared" si="875"/>
        <v>0</v>
      </c>
      <c r="BQ333" s="123">
        <f t="shared" si="875"/>
        <v>0</v>
      </c>
      <c r="BR333" s="123">
        <f t="shared" ref="BR333:CC333" si="876">(BR85/BR17)*100</f>
        <v>0</v>
      </c>
      <c r="BS333" s="123">
        <f t="shared" si="876"/>
        <v>0</v>
      </c>
      <c r="BT333" s="123">
        <f t="shared" si="876"/>
        <v>0</v>
      </c>
      <c r="BU333" s="123">
        <f t="shared" ca="1" si="876"/>
        <v>0</v>
      </c>
      <c r="BV333" s="123">
        <f t="shared" ca="1" si="876"/>
        <v>0</v>
      </c>
      <c r="BW333" s="123">
        <f t="shared" ca="1" si="876"/>
        <v>0</v>
      </c>
      <c r="BX333" s="123">
        <f t="shared" ca="1" si="876"/>
        <v>0</v>
      </c>
      <c r="BY333" s="123">
        <f t="shared" ca="1" si="876"/>
        <v>0</v>
      </c>
      <c r="BZ333" s="123">
        <f t="shared" ca="1" si="876"/>
        <v>0</v>
      </c>
      <c r="CA333" s="123">
        <f t="shared" ca="1" si="876"/>
        <v>0</v>
      </c>
      <c r="CB333" s="123">
        <f t="shared" ca="1" si="876"/>
        <v>0</v>
      </c>
      <c r="CC333" s="123">
        <f t="shared" ca="1" si="876"/>
        <v>0</v>
      </c>
      <c r="CD333" s="123">
        <f ca="1">(CD85/CD17)*100</f>
        <v>0</v>
      </c>
      <c r="CE333" s="123">
        <f ca="1">(CE85/CE17)*100</f>
        <v>0</v>
      </c>
      <c r="CF333" s="123">
        <f ca="1">(CF85/CF17)*100</f>
        <v>0</v>
      </c>
      <c r="CG333" s="123">
        <f ca="1">(CG85/CG17)*100</f>
        <v>0</v>
      </c>
      <c r="CH333" s="141"/>
      <c r="CI333" s="159">
        <f t="shared" si="863"/>
        <v>0</v>
      </c>
      <c r="CJ333" s="159">
        <f t="shared" si="863"/>
        <v>0</v>
      </c>
      <c r="CK333" s="159">
        <f t="shared" si="863"/>
        <v>0</v>
      </c>
      <c r="CL333" s="159">
        <f t="shared" si="863"/>
        <v>0</v>
      </c>
      <c r="CM333" s="159">
        <f t="shared" ca="1" si="863"/>
        <v>0</v>
      </c>
      <c r="CN333" s="159">
        <f t="shared" ca="1" si="863"/>
        <v>0</v>
      </c>
      <c r="CO333" s="159">
        <f t="shared" ca="1" si="863"/>
        <v>0</v>
      </c>
      <c r="CP333" s="159">
        <f t="shared" ca="1" si="863"/>
        <v>0</v>
      </c>
      <c r="CQ333" s="159">
        <f t="shared" ca="1" si="863"/>
        <v>0</v>
      </c>
      <c r="CR333" s="159">
        <f t="shared" ca="1" si="863"/>
        <v>0</v>
      </c>
      <c r="CS333" s="159">
        <f t="shared" ca="1" si="864"/>
        <v>0</v>
      </c>
      <c r="CT333" s="159">
        <f t="shared" ca="1" si="864"/>
        <v>0</v>
      </c>
      <c r="CU333" s="159">
        <f t="shared" ca="1" si="864"/>
        <v>0</v>
      </c>
      <c r="CV333" s="159">
        <f t="shared" ca="1" si="864"/>
        <v>0</v>
      </c>
      <c r="CW333" s="159">
        <f t="shared" ca="1" si="864"/>
        <v>0</v>
      </c>
      <c r="CX333" s="159">
        <f t="shared" ca="1" si="864"/>
        <v>0</v>
      </c>
      <c r="CY333" s="159">
        <f t="shared" ca="1" si="864"/>
        <v>0</v>
      </c>
      <c r="CZ333" s="219"/>
      <c r="DA333" s="135">
        <v>0</v>
      </c>
      <c r="DB333" s="135">
        <v>0</v>
      </c>
      <c r="DC333" s="135">
        <v>0</v>
      </c>
      <c r="DD333" s="135">
        <v>0</v>
      </c>
      <c r="DE333" s="135">
        <v>0</v>
      </c>
      <c r="DF333" s="135">
        <v>0</v>
      </c>
      <c r="DG333" s="135">
        <v>0</v>
      </c>
      <c r="DH333" s="135">
        <v>0</v>
      </c>
      <c r="DI333" s="135">
        <v>0</v>
      </c>
      <c r="DJ333" s="135">
        <v>0</v>
      </c>
      <c r="DK333" s="135">
        <v>0</v>
      </c>
      <c r="DL333" s="135">
        <v>0</v>
      </c>
      <c r="DM333" s="135">
        <v>0</v>
      </c>
      <c r="DN333" s="135">
        <v>0</v>
      </c>
      <c r="DO333" s="135">
        <v>0</v>
      </c>
      <c r="DP333" s="135">
        <v>0</v>
      </c>
      <c r="DQ333" s="135">
        <v>0</v>
      </c>
    </row>
    <row r="334" spans="1:121" s="123" customFormat="1">
      <c r="A334" s="107"/>
      <c r="B334" s="141"/>
      <c r="C334" s="136"/>
      <c r="D334" s="102"/>
      <c r="E334" s="141"/>
      <c r="CH334" s="141"/>
      <c r="CI334" s="159"/>
      <c r="CJ334" s="159"/>
      <c r="CK334" s="159"/>
      <c r="CL334" s="159"/>
      <c r="CM334" s="159"/>
      <c r="CN334" s="159"/>
      <c r="CO334" s="159"/>
      <c r="CP334" s="159"/>
      <c r="CQ334" s="159"/>
      <c r="CR334" s="159"/>
      <c r="CS334" s="159"/>
      <c r="CT334" s="159"/>
      <c r="CU334" s="159"/>
      <c r="CV334" s="159"/>
      <c r="CW334" s="159"/>
      <c r="CX334" s="159"/>
      <c r="CY334" s="159"/>
      <c r="CZ334" s="219"/>
      <c r="DA334" s="135"/>
      <c r="DB334" s="135"/>
      <c r="DC334" s="135"/>
      <c r="DD334" s="135"/>
      <c r="DE334" s="135"/>
      <c r="DF334" s="135"/>
      <c r="DG334" s="135"/>
      <c r="DH334" s="135"/>
      <c r="DI334" s="135"/>
      <c r="DJ334" s="135"/>
      <c r="DK334" s="135"/>
      <c r="DL334" s="135"/>
      <c r="DM334" s="135"/>
      <c r="DN334" s="135"/>
      <c r="DO334" s="135"/>
      <c r="DP334" s="135"/>
      <c r="DQ334" s="135"/>
    </row>
    <row r="335" spans="1:121" s="123" customFormat="1">
      <c r="A335" s="107" t="s">
        <v>2968</v>
      </c>
      <c r="B335" s="141"/>
      <c r="C335" s="136" t="s">
        <v>1320</v>
      </c>
      <c r="D335" s="102"/>
      <c r="E335" s="141"/>
      <c r="F335" s="123">
        <f t="shared" ref="F335:AK335" si="877">(F87/F17)*100</f>
        <v>28.231591613828854</v>
      </c>
      <c r="G335" s="123">
        <f t="shared" si="877"/>
        <v>30.51893239373657</v>
      </c>
      <c r="H335" s="123">
        <f t="shared" si="877"/>
        <v>29.22960567797989</v>
      </c>
      <c r="I335" s="123">
        <f t="shared" si="877"/>
        <v>31.85385237095737</v>
      </c>
      <c r="J335" s="123">
        <f t="shared" si="877"/>
        <v>36.26054146796605</v>
      </c>
      <c r="K335" s="123">
        <f t="shared" si="877"/>
        <v>34.845702008033477</v>
      </c>
      <c r="L335" s="123">
        <f t="shared" si="877"/>
        <v>39.334974399284903</v>
      </c>
      <c r="M335" s="123">
        <f t="shared" si="877"/>
        <v>39.126079670032169</v>
      </c>
      <c r="N335" s="123">
        <f t="shared" si="877"/>
        <v>37.878748926519485</v>
      </c>
      <c r="O335" s="123">
        <f t="shared" si="877"/>
        <v>34.301876723647077</v>
      </c>
      <c r="P335" s="123">
        <f t="shared" si="877"/>
        <v>34.365988091271618</v>
      </c>
      <c r="Q335" s="123">
        <f t="shared" si="877"/>
        <v>32.109324451189359</v>
      </c>
      <c r="R335" s="123">
        <f t="shared" si="877"/>
        <v>29.688656636420696</v>
      </c>
      <c r="S335" s="123">
        <f t="shared" si="877"/>
        <v>28.306389048517534</v>
      </c>
      <c r="T335" s="123">
        <f t="shared" si="877"/>
        <v>26.818275470326469</v>
      </c>
      <c r="U335" s="123">
        <f t="shared" si="877"/>
        <v>27.208999184151878</v>
      </c>
      <c r="V335" s="123">
        <f t="shared" si="877"/>
        <v>28.427639018496638</v>
      </c>
      <c r="W335" s="123">
        <f t="shared" si="877"/>
        <v>28.097392511366472</v>
      </c>
      <c r="X335" s="123">
        <f t="shared" si="877"/>
        <v>28.430793902551184</v>
      </c>
      <c r="Y335" s="123">
        <f t="shared" si="877"/>
        <v>27.217051733465318</v>
      </c>
      <c r="Z335" s="123">
        <f t="shared" si="877"/>
        <v>27.758863964733671</v>
      </c>
      <c r="AA335" s="123">
        <f t="shared" si="877"/>
        <v>29.11390099083301</v>
      </c>
      <c r="AB335" s="123">
        <f t="shared" si="877"/>
        <v>31.853810240456671</v>
      </c>
      <c r="AC335" s="123">
        <f t="shared" si="877"/>
        <v>35.077975060000547</v>
      </c>
      <c r="AD335" s="123">
        <f t="shared" si="877"/>
        <v>33.101588565089472</v>
      </c>
      <c r="AE335" s="123">
        <f t="shared" si="877"/>
        <v>29.240475426290679</v>
      </c>
      <c r="AF335" s="123">
        <f t="shared" si="877"/>
        <v>30.119972698759451</v>
      </c>
      <c r="AG335" s="123">
        <f t="shared" si="877"/>
        <v>34.87064104364795</v>
      </c>
      <c r="AH335" s="123">
        <f t="shared" si="877"/>
        <v>37.342149659436323</v>
      </c>
      <c r="AI335" s="123">
        <f t="shared" si="877"/>
        <v>38.307343492255185</v>
      </c>
      <c r="AJ335" s="123">
        <f t="shared" si="877"/>
        <v>36.88141961212802</v>
      </c>
      <c r="AK335" s="123">
        <f t="shared" si="877"/>
        <v>39.307131640544156</v>
      </c>
      <c r="AL335" s="123">
        <f t="shared" ref="AL335:BQ335" si="878">(AL87/AL17)*100</f>
        <v>40.323873585251256</v>
      </c>
      <c r="AM335" s="123">
        <f t="shared" si="878"/>
        <v>36.863316722563056</v>
      </c>
      <c r="AN335" s="123">
        <f t="shared" si="878"/>
        <v>36.465232032445265</v>
      </c>
      <c r="AO335" s="123">
        <f t="shared" si="878"/>
        <v>30.844331929730114</v>
      </c>
      <c r="AP335" s="123">
        <f t="shared" si="878"/>
        <v>28.584963954685893</v>
      </c>
      <c r="AQ335" s="123">
        <f t="shared" si="878"/>
        <v>36.500334746708326</v>
      </c>
      <c r="AR335" s="123">
        <f t="shared" si="878"/>
        <v>29.504531224254404</v>
      </c>
      <c r="AS335" s="123">
        <f t="shared" si="878"/>
        <v>18.338112223899028</v>
      </c>
      <c r="AT335" s="123">
        <f t="shared" si="878"/>
        <v>19.708760599487281</v>
      </c>
      <c r="AU335" s="123">
        <f t="shared" si="878"/>
        <v>49.074604810736119</v>
      </c>
      <c r="AV335" s="123">
        <f t="shared" si="878"/>
        <v>38.464483854718516</v>
      </c>
      <c r="AW335" s="123">
        <f t="shared" si="878"/>
        <v>37.233804235108707</v>
      </c>
      <c r="AX335" s="123">
        <f t="shared" si="878"/>
        <v>51.854179020793076</v>
      </c>
      <c r="AY335" s="123">
        <f t="shared" si="878"/>
        <v>36.930195280713249</v>
      </c>
      <c r="AZ335" s="123">
        <f t="shared" si="878"/>
        <v>41.797058152887125</v>
      </c>
      <c r="BA335" s="123">
        <f t="shared" si="878"/>
        <v>44.154134647434276</v>
      </c>
      <c r="BB335" s="123">
        <f t="shared" si="878"/>
        <v>40.303424660908817</v>
      </c>
      <c r="BC335" s="123">
        <f t="shared" si="878"/>
        <v>33.579671377642171</v>
      </c>
      <c r="BD335" s="123">
        <f t="shared" ca="1" si="878"/>
        <v>32.747758831018956</v>
      </c>
      <c r="BE335" s="123">
        <f t="shared" ca="1" si="878"/>
        <v>29.755573056168348</v>
      </c>
      <c r="BF335" s="123">
        <f t="shared" si="878"/>
        <v>24.595145913991928</v>
      </c>
      <c r="BG335" s="123">
        <f t="shared" si="878"/>
        <v>25.024502202096642</v>
      </c>
      <c r="BH335" s="123">
        <f t="shared" si="878"/>
        <v>22.78487538796259</v>
      </c>
      <c r="BI335" s="123">
        <f t="shared" si="878"/>
        <v>26.879041961197174</v>
      </c>
      <c r="BJ335" s="123">
        <f t="shared" si="878"/>
        <v>24.651546873305698</v>
      </c>
      <c r="BK335" s="123">
        <f t="shared" si="878"/>
        <v>24.571685579850541</v>
      </c>
      <c r="BL335" s="123">
        <f t="shared" si="878"/>
        <v>26.838262139466956</v>
      </c>
      <c r="BM335" s="123">
        <f t="shared" si="878"/>
        <v>27.845827689770918</v>
      </c>
      <c r="BN335" s="123">
        <f t="shared" si="878"/>
        <v>30.049149994217643</v>
      </c>
      <c r="BO335" s="123">
        <f t="shared" si="878"/>
        <v>31.030751360273896</v>
      </c>
      <c r="BP335" s="123">
        <f t="shared" si="878"/>
        <v>28.79573092513726</v>
      </c>
      <c r="BQ335" s="123">
        <f t="shared" si="878"/>
        <v>31.138708603761025</v>
      </c>
      <c r="BR335" s="123">
        <f t="shared" ref="BR335:CC335" si="879">(BR87/BR17)*100</f>
        <v>31.089669069208707</v>
      </c>
      <c r="BS335" s="123">
        <f t="shared" si="879"/>
        <v>37.806470332221096</v>
      </c>
      <c r="BT335" s="123">
        <f t="shared" si="879"/>
        <v>29.687451407246151</v>
      </c>
      <c r="BU335" s="123">
        <f t="shared" ca="1" si="879"/>
        <v>24.90713265495808</v>
      </c>
      <c r="BV335" s="123">
        <f t="shared" ca="1" si="879"/>
        <v>22.965424343449151</v>
      </c>
      <c r="BW335" s="123">
        <f t="shared" ca="1" si="879"/>
        <v>22.525214433092003</v>
      </c>
      <c r="BX335" s="123">
        <f t="shared" ca="1" si="879"/>
        <v>22.438243949072739</v>
      </c>
      <c r="BY335" s="123">
        <f t="shared" ca="1" si="879"/>
        <v>22.288458582675712</v>
      </c>
      <c r="BZ335" s="123">
        <f t="shared" ca="1" si="879"/>
        <v>22.16347423585351</v>
      </c>
      <c r="CA335" s="123">
        <f t="shared" ca="1" si="879"/>
        <v>22.070011390322517</v>
      </c>
      <c r="CB335" s="123">
        <f t="shared" ca="1" si="879"/>
        <v>22.012072689061757</v>
      </c>
      <c r="CC335" s="123">
        <f t="shared" ca="1" si="879"/>
        <v>21.981517066581663</v>
      </c>
      <c r="CD335" s="123">
        <f ca="1">(CD87/CD17)*100</f>
        <v>21.967089710375951</v>
      </c>
      <c r="CE335" s="123">
        <f ca="1">(CE87/CE17)*100</f>
        <v>21.952217836288419</v>
      </c>
      <c r="CF335" s="123">
        <f ca="1">(CF87/CF17)*100</f>
        <v>21.914398138459632</v>
      </c>
      <c r="CG335" s="123">
        <f ca="1">(CG87/CG17)*100</f>
        <v>21.826111157233182</v>
      </c>
      <c r="CH335" s="141"/>
      <c r="CI335" s="159">
        <f t="shared" ref="CI335:CR337" si="880">BQ335-DA335</f>
        <v>0</v>
      </c>
      <c r="CJ335" s="159">
        <f t="shared" si="880"/>
        <v>0</v>
      </c>
      <c r="CK335" s="159">
        <f t="shared" si="880"/>
        <v>0</v>
      </c>
      <c r="CL335" s="159">
        <f t="shared" si="880"/>
        <v>0</v>
      </c>
      <c r="CM335" s="159">
        <f t="shared" ca="1" si="880"/>
        <v>-6.3306365626357781</v>
      </c>
      <c r="CN335" s="159">
        <f t="shared" ca="1" si="880"/>
        <v>-5.6035349602780684</v>
      </c>
      <c r="CO335" s="159">
        <f t="shared" ca="1" si="880"/>
        <v>-5.163253826997348</v>
      </c>
      <c r="CP335" s="159">
        <f t="shared" ca="1" si="880"/>
        <v>-4.847434240593703</v>
      </c>
      <c r="CQ335" s="159">
        <f t="shared" ca="1" si="880"/>
        <v>-4.4607114249201878</v>
      </c>
      <c r="CR335" s="159">
        <f t="shared" ca="1" si="880"/>
        <v>-0.92214368716357242</v>
      </c>
      <c r="CS335" s="159">
        <f t="shared" ref="CS335:CY337" ca="1" si="881">CA335-DK335</f>
        <v>-0.85451847784418433</v>
      </c>
      <c r="CT335" s="159">
        <f t="shared" ca="1" si="881"/>
        <v>-0.73485776107165179</v>
      </c>
      <c r="CU335" s="159">
        <f t="shared" ca="1" si="881"/>
        <v>-0.67729270128278429</v>
      </c>
      <c r="CV335" s="159">
        <f t="shared" ca="1" si="881"/>
        <v>-0.63819712484064084</v>
      </c>
      <c r="CW335" s="159">
        <f t="shared" ca="1" si="881"/>
        <v>-0.61418951101573072</v>
      </c>
      <c r="CX335" s="159">
        <f t="shared" ca="1" si="881"/>
        <v>-0.60229279788413947</v>
      </c>
      <c r="CY335" s="159">
        <f t="shared" ca="1" si="881"/>
        <v>-0.5982865119477232</v>
      </c>
      <c r="CZ335" s="219"/>
      <c r="DA335" s="135">
        <v>31.138708603761025</v>
      </c>
      <c r="DB335" s="135">
        <v>31.089669069208707</v>
      </c>
      <c r="DC335" s="135">
        <v>37.806470332221096</v>
      </c>
      <c r="DD335" s="135">
        <v>29.687451407246151</v>
      </c>
      <c r="DE335" s="135">
        <v>31.237769217593858</v>
      </c>
      <c r="DF335" s="135">
        <v>28.568959303727219</v>
      </c>
      <c r="DG335" s="135">
        <v>27.688468260089351</v>
      </c>
      <c r="DH335" s="135">
        <v>27.285678189666442</v>
      </c>
      <c r="DI335" s="135">
        <v>26.7491700075959</v>
      </c>
      <c r="DJ335" s="135">
        <v>23.085617923017082</v>
      </c>
      <c r="DK335" s="135">
        <v>22.924529868166701</v>
      </c>
      <c r="DL335" s="135">
        <v>22.746930450133409</v>
      </c>
      <c r="DM335" s="135">
        <v>22.658809767864447</v>
      </c>
      <c r="DN335" s="135">
        <v>22.605286835216592</v>
      </c>
      <c r="DO335" s="135">
        <v>22.56640734730415</v>
      </c>
      <c r="DP335" s="135">
        <v>22.516690936343771</v>
      </c>
      <c r="DQ335" s="135">
        <v>22.424397669180905</v>
      </c>
    </row>
    <row r="336" spans="1:121" s="123" customFormat="1">
      <c r="A336" s="107" t="s">
        <v>3233</v>
      </c>
      <c r="B336" s="141"/>
      <c r="C336" s="136" t="s">
        <v>1320</v>
      </c>
      <c r="D336" s="102"/>
      <c r="E336" s="141"/>
      <c r="F336" s="123">
        <f t="shared" ref="F336:AK336" si="882">(F88/F17)*100</f>
        <v>26.24810742550364</v>
      </c>
      <c r="G336" s="123">
        <f t="shared" si="882"/>
        <v>28.796089436025635</v>
      </c>
      <c r="H336" s="123">
        <f t="shared" si="882"/>
        <v>25.389038731716688</v>
      </c>
      <c r="I336" s="123">
        <f t="shared" si="882"/>
        <v>27.232003531285699</v>
      </c>
      <c r="J336" s="123">
        <f t="shared" si="882"/>
        <v>31.259768250837045</v>
      </c>
      <c r="K336" s="123">
        <f t="shared" si="882"/>
        <v>28.531573969837776</v>
      </c>
      <c r="L336" s="123">
        <f t="shared" si="882"/>
        <v>30.7627015911009</v>
      </c>
      <c r="M336" s="123">
        <f t="shared" si="882"/>
        <v>32.168878482984852</v>
      </c>
      <c r="N336" s="123">
        <f t="shared" si="882"/>
        <v>32.445541160654521</v>
      </c>
      <c r="O336" s="123">
        <f t="shared" si="882"/>
        <v>29.666689442557882</v>
      </c>
      <c r="P336" s="123">
        <f t="shared" si="882"/>
        <v>29.992491480731491</v>
      </c>
      <c r="Q336" s="123">
        <f t="shared" si="882"/>
        <v>27.730873938157423</v>
      </c>
      <c r="R336" s="123">
        <f t="shared" si="882"/>
        <v>24.880434303096067</v>
      </c>
      <c r="S336" s="123">
        <f t="shared" si="882"/>
        <v>23.637854968218747</v>
      </c>
      <c r="T336" s="123">
        <f t="shared" si="882"/>
        <v>23.547402036246655</v>
      </c>
      <c r="U336" s="123">
        <f t="shared" si="882"/>
        <v>23.274477522089967</v>
      </c>
      <c r="V336" s="123">
        <f t="shared" si="882"/>
        <v>23.614804793897708</v>
      </c>
      <c r="W336" s="123">
        <f t="shared" si="882"/>
        <v>24.133016116362384</v>
      </c>
      <c r="X336" s="123">
        <f t="shared" si="882"/>
        <v>22.922821277325085</v>
      </c>
      <c r="Y336" s="123">
        <f t="shared" si="882"/>
        <v>22.093352580499523</v>
      </c>
      <c r="Z336" s="123">
        <f t="shared" si="882"/>
        <v>23.321479332938161</v>
      </c>
      <c r="AA336" s="123">
        <f t="shared" si="882"/>
        <v>22.487791570032261</v>
      </c>
      <c r="AB336" s="123">
        <f t="shared" si="882"/>
        <v>21.857882908650197</v>
      </c>
      <c r="AC336" s="123">
        <f t="shared" si="882"/>
        <v>26.058279446786557</v>
      </c>
      <c r="AD336" s="123">
        <f t="shared" si="882"/>
        <v>25.152386119118091</v>
      </c>
      <c r="AE336" s="123">
        <f t="shared" si="882"/>
        <v>21.953445237879947</v>
      </c>
      <c r="AF336" s="123">
        <f t="shared" si="882"/>
        <v>23.329105118126076</v>
      </c>
      <c r="AG336" s="123">
        <f t="shared" si="882"/>
        <v>26.574094395722657</v>
      </c>
      <c r="AH336" s="123">
        <f t="shared" si="882"/>
        <v>28.849703388535552</v>
      </c>
      <c r="AI336" s="123">
        <f t="shared" si="882"/>
        <v>32.626633322702162</v>
      </c>
      <c r="AJ336" s="123">
        <f t="shared" si="882"/>
        <v>32.868366651422875</v>
      </c>
      <c r="AK336" s="123">
        <f t="shared" si="882"/>
        <v>36.617189713755991</v>
      </c>
      <c r="AL336" s="123">
        <f t="shared" ref="AL336:BQ336" si="883">(AL88/AL17)*100</f>
        <v>38.397985377657676</v>
      </c>
      <c r="AM336" s="123">
        <f t="shared" si="883"/>
        <v>35.019722141873629</v>
      </c>
      <c r="AN336" s="123">
        <f t="shared" si="883"/>
        <v>35.488096992382729</v>
      </c>
      <c r="AO336" s="123">
        <f t="shared" si="883"/>
        <v>28.366377976309455</v>
      </c>
      <c r="AP336" s="123">
        <f t="shared" si="883"/>
        <v>26.168383110195677</v>
      </c>
      <c r="AQ336" s="123">
        <f t="shared" si="883"/>
        <v>33.87681321133676</v>
      </c>
      <c r="AR336" s="123">
        <f t="shared" si="883"/>
        <v>27.584115999340909</v>
      </c>
      <c r="AS336" s="123">
        <f t="shared" si="883"/>
        <v>15.598093016874746</v>
      </c>
      <c r="AT336" s="123">
        <f t="shared" si="883"/>
        <v>10.860826267008481</v>
      </c>
      <c r="AU336" s="123">
        <f t="shared" si="883"/>
        <v>21.02312991681006</v>
      </c>
      <c r="AV336" s="123">
        <f t="shared" si="883"/>
        <v>24.430262342730423</v>
      </c>
      <c r="AW336" s="123">
        <f t="shared" si="883"/>
        <v>22.755631479157728</v>
      </c>
      <c r="AX336" s="123">
        <f t="shared" si="883"/>
        <v>40.797555714316061</v>
      </c>
      <c r="AY336" s="123">
        <f t="shared" si="883"/>
        <v>31.238456783448719</v>
      </c>
      <c r="AZ336" s="123">
        <f t="shared" si="883"/>
        <v>39.598688463848511</v>
      </c>
      <c r="BA336" s="123">
        <f t="shared" si="883"/>
        <v>41.998893267327624</v>
      </c>
      <c r="BB336" s="123">
        <f t="shared" si="883"/>
        <v>37.659236171084302</v>
      </c>
      <c r="BC336" s="123">
        <f t="shared" si="883"/>
        <v>32.141392279623943</v>
      </c>
      <c r="BD336" s="123">
        <f t="shared" ca="1" si="883"/>
        <v>30.327476692704575</v>
      </c>
      <c r="BE336" s="123">
        <f t="shared" ca="1" si="883"/>
        <v>27.661682275610506</v>
      </c>
      <c r="BF336" s="123">
        <f t="shared" si="883"/>
        <v>20.353024436951003</v>
      </c>
      <c r="BG336" s="123">
        <f t="shared" si="883"/>
        <v>20.620308913839093</v>
      </c>
      <c r="BH336" s="123">
        <f t="shared" si="883"/>
        <v>17.979810478341115</v>
      </c>
      <c r="BI336" s="123">
        <f t="shared" si="883"/>
        <v>21.178936682207855</v>
      </c>
      <c r="BJ336" s="123">
        <f t="shared" si="883"/>
        <v>20.041372292241864</v>
      </c>
      <c r="BK336" s="123">
        <f t="shared" si="883"/>
        <v>19.749515637973985</v>
      </c>
      <c r="BL336" s="123">
        <f t="shared" si="883"/>
        <v>22.399902640866497</v>
      </c>
      <c r="BM336" s="123">
        <f t="shared" si="883"/>
        <v>23.393793062834934</v>
      </c>
      <c r="BN336" s="123">
        <f t="shared" si="883"/>
        <v>24.885509425234183</v>
      </c>
      <c r="BO336" s="123">
        <f t="shared" si="883"/>
        <v>28.376841719141655</v>
      </c>
      <c r="BP336" s="123">
        <f t="shared" si="883"/>
        <v>25.01924162347991</v>
      </c>
      <c r="BQ336" s="123">
        <f t="shared" si="883"/>
        <v>25.992261607588617</v>
      </c>
      <c r="BR336" s="123">
        <f t="shared" ref="BR336:CC336" si="884">(BR88/BR17)*100</f>
        <v>26.362086336510888</v>
      </c>
      <c r="BS336" s="123">
        <f t="shared" si="884"/>
        <v>34.168721891774261</v>
      </c>
      <c r="BT336" s="123">
        <f t="shared" si="884"/>
        <v>26.568185352200281</v>
      </c>
      <c r="BU336" s="123">
        <f t="shared" ca="1" si="884"/>
        <v>18.646849318925941</v>
      </c>
      <c r="BV336" s="123">
        <f t="shared" ca="1" si="884"/>
        <v>17.570005617165965</v>
      </c>
      <c r="BW336" s="123">
        <f t="shared" ca="1" si="884"/>
        <v>17.69040228924257</v>
      </c>
      <c r="BX336" s="123">
        <f t="shared" ca="1" si="884"/>
        <v>17.989795828852774</v>
      </c>
      <c r="BY336" s="123">
        <f t="shared" ca="1" si="884"/>
        <v>18.276807664164927</v>
      </c>
      <c r="BZ336" s="123">
        <f t="shared" ca="1" si="884"/>
        <v>18.581462833285162</v>
      </c>
      <c r="CA336" s="123">
        <f t="shared" ca="1" si="884"/>
        <v>18.902300551705984</v>
      </c>
      <c r="CB336" s="123">
        <f t="shared" ca="1" si="884"/>
        <v>19.243518375115194</v>
      </c>
      <c r="CC336" s="123">
        <f t="shared" ca="1" si="884"/>
        <v>19.596378160831296</v>
      </c>
      <c r="CD336" s="123">
        <f ca="1">(CD88/CD17)*100</f>
        <v>19.948423179675366</v>
      </c>
      <c r="CE336" s="123">
        <f ca="1">(CE88/CE17)*100</f>
        <v>20.28088147852737</v>
      </c>
      <c r="CF336" s="123">
        <f ca="1">(CF88/CF17)*100</f>
        <v>20.567783409862578</v>
      </c>
      <c r="CG336" s="123">
        <f ca="1">(CG88/CG17)*100</f>
        <v>20.776838101700299</v>
      </c>
      <c r="CH336" s="141"/>
      <c r="CI336" s="159">
        <f t="shared" si="880"/>
        <v>0</v>
      </c>
      <c r="CJ336" s="159">
        <f t="shared" si="880"/>
        <v>0</v>
      </c>
      <c r="CK336" s="159">
        <f t="shared" si="880"/>
        <v>0</v>
      </c>
      <c r="CL336" s="159">
        <f t="shared" si="880"/>
        <v>0</v>
      </c>
      <c r="CM336" s="159">
        <f t="shared" ca="1" si="880"/>
        <v>-0.3353332019086217</v>
      </c>
      <c r="CN336" s="159">
        <f t="shared" ca="1" si="880"/>
        <v>-0.29131995901130736</v>
      </c>
      <c r="CO336" s="159">
        <f t="shared" ca="1" si="880"/>
        <v>-0.48427369537562726</v>
      </c>
      <c r="CP336" s="159">
        <f t="shared" ca="1" si="880"/>
        <v>-0.67157214165869661</v>
      </c>
      <c r="CQ336" s="159">
        <f t="shared" ca="1" si="880"/>
        <v>-0.82328938224441828</v>
      </c>
      <c r="CR336" s="159">
        <f t="shared" ca="1" si="880"/>
        <v>-1.2895873161348561</v>
      </c>
      <c r="CS336" s="159">
        <f t="shared" ca="1" si="881"/>
        <v>-1.2197954825762949</v>
      </c>
      <c r="CT336" s="159">
        <f t="shared" ca="1" si="881"/>
        <v>-1.0859821625449086</v>
      </c>
      <c r="CU336" s="159">
        <f t="shared" ca="1" si="881"/>
        <v>-1.0143040979294256</v>
      </c>
      <c r="CV336" s="159">
        <f t="shared" ca="1" si="881"/>
        <v>-0.95614141866181512</v>
      </c>
      <c r="CW336" s="159">
        <f t="shared" ca="1" si="881"/>
        <v>-0.90670165525388313</v>
      </c>
      <c r="CX336" s="159">
        <f t="shared" ca="1" si="881"/>
        <v>-0.86333044454291752</v>
      </c>
      <c r="CY336" s="159">
        <f t="shared" ca="1" si="881"/>
        <v>-0.8229285269969111</v>
      </c>
      <c r="CZ336" s="219"/>
      <c r="DA336" s="135">
        <v>25.992261607588617</v>
      </c>
      <c r="DB336" s="135">
        <v>26.362086336510888</v>
      </c>
      <c r="DC336" s="135">
        <v>34.168721891774261</v>
      </c>
      <c r="DD336" s="135">
        <v>26.568185352200281</v>
      </c>
      <c r="DE336" s="135">
        <v>18.982182520834563</v>
      </c>
      <c r="DF336" s="135">
        <v>17.861325576177272</v>
      </c>
      <c r="DG336" s="135">
        <v>18.174675984618197</v>
      </c>
      <c r="DH336" s="135">
        <v>18.661367970511471</v>
      </c>
      <c r="DI336" s="135">
        <v>19.100097046409346</v>
      </c>
      <c r="DJ336" s="135">
        <v>19.871050149420018</v>
      </c>
      <c r="DK336" s="135">
        <v>20.122096034282279</v>
      </c>
      <c r="DL336" s="135">
        <v>20.329500537660103</v>
      </c>
      <c r="DM336" s="135">
        <v>20.610682258760722</v>
      </c>
      <c r="DN336" s="135">
        <v>20.904564598337181</v>
      </c>
      <c r="DO336" s="135">
        <v>21.187583133781253</v>
      </c>
      <c r="DP336" s="135">
        <v>21.431113854405496</v>
      </c>
      <c r="DQ336" s="135">
        <v>21.599766628697211</v>
      </c>
    </row>
    <row r="337" spans="1:121" s="123" customFormat="1">
      <c r="A337" s="107" t="s">
        <v>3234</v>
      </c>
      <c r="B337" s="141"/>
      <c r="C337" s="136" t="s">
        <v>1320</v>
      </c>
      <c r="D337" s="102"/>
      <c r="E337" s="141"/>
      <c r="F337" s="123">
        <f t="shared" ref="F337:AK337" si="885">(F97/F17)*100</f>
        <v>1.9834841883252123</v>
      </c>
      <c r="G337" s="123">
        <f t="shared" si="885"/>
        <v>1.7228429577109354</v>
      </c>
      <c r="H337" s="123">
        <f t="shared" si="885"/>
        <v>3.8405669462632055</v>
      </c>
      <c r="I337" s="123">
        <f t="shared" si="885"/>
        <v>4.6218488396716717</v>
      </c>
      <c r="J337" s="123">
        <f t="shared" si="885"/>
        <v>5.0007732171290078</v>
      </c>
      <c r="K337" s="123">
        <f t="shared" si="885"/>
        <v>6.3141280381957046</v>
      </c>
      <c r="L337" s="123">
        <f t="shared" si="885"/>
        <v>8.5722728081840067</v>
      </c>
      <c r="M337" s="123">
        <f t="shared" si="885"/>
        <v>6.9572011870473114</v>
      </c>
      <c r="N337" s="123">
        <f t="shared" si="885"/>
        <v>5.4332077658649673</v>
      </c>
      <c r="O337" s="123">
        <f t="shared" si="885"/>
        <v>4.6351872810891939</v>
      </c>
      <c r="P337" s="123">
        <f t="shared" si="885"/>
        <v>4.3734966105401272</v>
      </c>
      <c r="Q337" s="123">
        <f t="shared" si="885"/>
        <v>4.3784505130319351</v>
      </c>
      <c r="R337" s="123">
        <f t="shared" si="885"/>
        <v>4.8082223333246317</v>
      </c>
      <c r="S337" s="123">
        <f t="shared" si="885"/>
        <v>4.6685340802987865</v>
      </c>
      <c r="T337" s="123">
        <f t="shared" si="885"/>
        <v>3.2708734340798138</v>
      </c>
      <c r="U337" s="123">
        <f t="shared" si="885"/>
        <v>3.9345216620619081</v>
      </c>
      <c r="V337" s="123">
        <f t="shared" si="885"/>
        <v>4.8128342245989311</v>
      </c>
      <c r="W337" s="123">
        <f t="shared" si="885"/>
        <v>3.9643763950040869</v>
      </c>
      <c r="X337" s="123">
        <f t="shared" si="885"/>
        <v>5.5079726252260972</v>
      </c>
      <c r="Y337" s="123">
        <f t="shared" si="885"/>
        <v>5.123699152965794</v>
      </c>
      <c r="Z337" s="123">
        <f t="shared" si="885"/>
        <v>4.4373846317955064</v>
      </c>
      <c r="AA337" s="123">
        <f t="shared" si="885"/>
        <v>6.6261094208007441</v>
      </c>
      <c r="AB337" s="123">
        <f t="shared" si="885"/>
        <v>9.9959273318064721</v>
      </c>
      <c r="AC337" s="123">
        <f t="shared" si="885"/>
        <v>9.0196956132139885</v>
      </c>
      <c r="AD337" s="123">
        <f t="shared" si="885"/>
        <v>7.9492024459713777</v>
      </c>
      <c r="AE337" s="123">
        <f t="shared" si="885"/>
        <v>7.2870301884107276</v>
      </c>
      <c r="AF337" s="123">
        <f t="shared" si="885"/>
        <v>6.790867580633372</v>
      </c>
      <c r="AG337" s="123">
        <f t="shared" si="885"/>
        <v>8.2965466479252878</v>
      </c>
      <c r="AH337" s="123">
        <f t="shared" si="885"/>
        <v>8.4924462709007784</v>
      </c>
      <c r="AI337" s="123">
        <f t="shared" si="885"/>
        <v>5.6807101695530191</v>
      </c>
      <c r="AJ337" s="123">
        <f t="shared" si="885"/>
        <v>4.0130529607051422</v>
      </c>
      <c r="AK337" s="123">
        <f t="shared" si="885"/>
        <v>2.6899419267881659</v>
      </c>
      <c r="AL337" s="123">
        <f t="shared" ref="AL337:BQ337" si="886">(AL97/AL17)*100</f>
        <v>1.9258882075935777</v>
      </c>
      <c r="AM337" s="123">
        <f t="shared" si="886"/>
        <v>1.8435945806894185</v>
      </c>
      <c r="AN337" s="123">
        <f t="shared" si="886"/>
        <v>0.97713504006253682</v>
      </c>
      <c r="AO337" s="123">
        <f t="shared" si="886"/>
        <v>2.4779539534206609</v>
      </c>
      <c r="AP337" s="123">
        <f t="shared" si="886"/>
        <v>2.4165808444902166</v>
      </c>
      <c r="AQ337" s="123">
        <f t="shared" si="886"/>
        <v>2.6235215353715686</v>
      </c>
      <c r="AR337" s="123">
        <f t="shared" si="886"/>
        <v>1.9204152249134947</v>
      </c>
      <c r="AS337" s="123">
        <f t="shared" si="886"/>
        <v>2.7400192070242833</v>
      </c>
      <c r="AT337" s="123">
        <f t="shared" si="886"/>
        <v>8.8479343324788005</v>
      </c>
      <c r="AU337" s="123">
        <f t="shared" si="886"/>
        <v>28.051474893926059</v>
      </c>
      <c r="AV337" s="123">
        <f t="shared" si="886"/>
        <v>14.034221511988095</v>
      </c>
      <c r="AW337" s="123">
        <f t="shared" si="886"/>
        <v>14.478172755950983</v>
      </c>
      <c r="AX337" s="123">
        <f t="shared" si="886"/>
        <v>11.056623306477022</v>
      </c>
      <c r="AY337" s="123">
        <f t="shared" si="886"/>
        <v>5.6917384972645335</v>
      </c>
      <c r="AZ337" s="123">
        <f t="shared" si="886"/>
        <v>2.1983696890386093</v>
      </c>
      <c r="BA337" s="123">
        <f t="shared" si="886"/>
        <v>2.155241380106657</v>
      </c>
      <c r="BB337" s="123">
        <f t="shared" si="886"/>
        <v>2.6441884898245069</v>
      </c>
      <c r="BC337" s="123">
        <f t="shared" si="886"/>
        <v>1.4382790980182363</v>
      </c>
      <c r="BD337" s="123">
        <f t="shared" ca="1" si="886"/>
        <v>2.420282138314382</v>
      </c>
      <c r="BE337" s="123">
        <f t="shared" ca="1" si="886"/>
        <v>2.0938907805578442</v>
      </c>
      <c r="BF337" s="123">
        <f t="shared" si="886"/>
        <v>4.2421214770409224</v>
      </c>
      <c r="BG337" s="123">
        <f t="shared" si="886"/>
        <v>4.4041932882575523</v>
      </c>
      <c r="BH337" s="123">
        <f t="shared" si="886"/>
        <v>4.8050649096214721</v>
      </c>
      <c r="BI337" s="123">
        <f t="shared" si="886"/>
        <v>5.7001052789893221</v>
      </c>
      <c r="BJ337" s="123">
        <f t="shared" si="886"/>
        <v>4.610174581063835</v>
      </c>
      <c r="BK337" s="123">
        <f t="shared" si="886"/>
        <v>4.8221699418765569</v>
      </c>
      <c r="BL337" s="123">
        <f t="shared" si="886"/>
        <v>4.4383594986004624</v>
      </c>
      <c r="BM337" s="123">
        <f t="shared" si="886"/>
        <v>4.4520346269359869</v>
      </c>
      <c r="BN337" s="123">
        <f t="shared" si="886"/>
        <v>5.1636405689834621</v>
      </c>
      <c r="BO337" s="123">
        <f t="shared" si="886"/>
        <v>2.6539096411322372</v>
      </c>
      <c r="BP337" s="123">
        <f t="shared" si="886"/>
        <v>3.7764893016573451</v>
      </c>
      <c r="BQ337" s="123">
        <f t="shared" si="886"/>
        <v>5.1464469961724078</v>
      </c>
      <c r="BR337" s="123">
        <f t="shared" ref="BR337:CC337" si="887">(BR97/BR17)*100</f>
        <v>4.7275827326978224</v>
      </c>
      <c r="BS337" s="123">
        <f t="shared" si="887"/>
        <v>3.6377484404468299</v>
      </c>
      <c r="BT337" s="123">
        <f t="shared" si="887"/>
        <v>3.1192660550458715</v>
      </c>
      <c r="BU337" s="123">
        <f t="shared" ca="1" si="887"/>
        <v>6.260283336032141</v>
      </c>
      <c r="BV337" s="123">
        <f t="shared" ca="1" si="887"/>
        <v>5.3954187262831841</v>
      </c>
      <c r="BW337" s="123">
        <f t="shared" ca="1" si="887"/>
        <v>4.8348121438494331</v>
      </c>
      <c r="BX337" s="123">
        <f t="shared" ca="1" si="887"/>
        <v>4.4484481202199646</v>
      </c>
      <c r="BY337" s="123">
        <f t="shared" ca="1" si="887"/>
        <v>4.0116509185107887</v>
      </c>
      <c r="BZ337" s="123">
        <f t="shared" ca="1" si="887"/>
        <v>3.5820114025683534</v>
      </c>
      <c r="CA337" s="123">
        <f t="shared" ca="1" si="887"/>
        <v>3.167710838616526</v>
      </c>
      <c r="CB337" s="123">
        <f t="shared" ca="1" si="887"/>
        <v>2.7685543139465505</v>
      </c>
      <c r="CC337" s="123">
        <f t="shared" ca="1" si="887"/>
        <v>2.3851389057503707</v>
      </c>
      <c r="CD337" s="123">
        <f ca="1">(CD97/CD17)*100</f>
        <v>2.0186665307005858</v>
      </c>
      <c r="CE337" s="123">
        <f ca="1">(CE97/CE17)*100</f>
        <v>1.6713363577610232</v>
      </c>
      <c r="CF337" s="123">
        <f ca="1">(CF97/CF17)*100</f>
        <v>1.3466147285970558</v>
      </c>
      <c r="CG337" s="123">
        <f ca="1">(CG97/CG17)*100</f>
        <v>1.0492730555328889</v>
      </c>
      <c r="CH337" s="141"/>
      <c r="CI337" s="159">
        <f t="shared" si="880"/>
        <v>0</v>
      </c>
      <c r="CJ337" s="159">
        <f t="shared" si="880"/>
        <v>0</v>
      </c>
      <c r="CK337" s="159">
        <f t="shared" si="880"/>
        <v>0</v>
      </c>
      <c r="CL337" s="159">
        <f t="shared" si="880"/>
        <v>0</v>
      </c>
      <c r="CM337" s="159">
        <f t="shared" ca="1" si="880"/>
        <v>-5.995303360727152</v>
      </c>
      <c r="CN337" s="159">
        <f t="shared" ca="1" si="880"/>
        <v>-5.3122150012667628</v>
      </c>
      <c r="CO337" s="159">
        <f t="shared" ca="1" si="880"/>
        <v>-4.6789801316217154</v>
      </c>
      <c r="CP337" s="159">
        <f t="shared" ca="1" si="880"/>
        <v>-4.1758620989350028</v>
      </c>
      <c r="CQ337" s="159">
        <f t="shared" ca="1" si="880"/>
        <v>-3.6374220426757793</v>
      </c>
      <c r="CR337" s="159">
        <f t="shared" ca="1" si="880"/>
        <v>0.36744362897128635</v>
      </c>
      <c r="CS337" s="159">
        <f t="shared" ca="1" si="881"/>
        <v>0.36527700473210389</v>
      </c>
      <c r="CT337" s="159">
        <f t="shared" ca="1" si="881"/>
        <v>0.35112440147324175</v>
      </c>
      <c r="CU337" s="159">
        <f t="shared" ca="1" si="881"/>
        <v>0.33701139664663415</v>
      </c>
      <c r="CV337" s="159">
        <f t="shared" ca="1" si="881"/>
        <v>0.3179442938211805</v>
      </c>
      <c r="CW337" s="159">
        <f t="shared" ca="1" si="881"/>
        <v>0.29251214423812733</v>
      </c>
      <c r="CX337" s="159">
        <f t="shared" ca="1" si="881"/>
        <v>0.2610376466587645</v>
      </c>
      <c r="CY337" s="159">
        <f t="shared" ca="1" si="881"/>
        <v>0.22464201504919146</v>
      </c>
      <c r="CZ337" s="219"/>
      <c r="DA337" s="135">
        <v>5.1464469961724078</v>
      </c>
      <c r="DB337" s="135">
        <v>4.7275827326978224</v>
      </c>
      <c r="DC337" s="135">
        <v>3.6377484404468299</v>
      </c>
      <c r="DD337" s="135">
        <v>3.1192660550458715</v>
      </c>
      <c r="DE337" s="135">
        <v>12.255586696759293</v>
      </c>
      <c r="DF337" s="135">
        <v>10.707633727549947</v>
      </c>
      <c r="DG337" s="135">
        <v>9.5137922754711486</v>
      </c>
      <c r="DH337" s="135">
        <v>8.6243102191549674</v>
      </c>
      <c r="DI337" s="135">
        <v>7.649072961186568</v>
      </c>
      <c r="DJ337" s="135">
        <v>3.214567773597067</v>
      </c>
      <c r="DK337" s="135">
        <v>2.8024338338844221</v>
      </c>
      <c r="DL337" s="135">
        <v>2.4174299124733087</v>
      </c>
      <c r="DM337" s="135">
        <v>2.0481275091037365</v>
      </c>
      <c r="DN337" s="135">
        <v>1.7007222368794053</v>
      </c>
      <c r="DO337" s="135">
        <v>1.3788242135228959</v>
      </c>
      <c r="DP337" s="135">
        <v>1.0855770819382913</v>
      </c>
      <c r="DQ337" s="135">
        <v>0.8246310404836974</v>
      </c>
    </row>
    <row r="338" spans="1:121" s="123" customFormat="1">
      <c r="A338" s="107"/>
      <c r="B338" s="141"/>
      <c r="C338" s="136"/>
      <c r="D338" s="102"/>
      <c r="E338" s="141"/>
      <c r="CH338" s="141"/>
      <c r="CI338" s="159"/>
      <c r="CJ338" s="159"/>
      <c r="CK338" s="159"/>
      <c r="CL338" s="159"/>
      <c r="CM338" s="159"/>
      <c r="CN338" s="159"/>
      <c r="CO338" s="159"/>
      <c r="CP338" s="159"/>
      <c r="CQ338" s="159"/>
      <c r="CR338" s="159"/>
      <c r="CS338" s="159"/>
      <c r="CT338" s="159"/>
      <c r="CU338" s="159"/>
      <c r="CV338" s="159"/>
      <c r="CW338" s="159"/>
      <c r="CX338" s="159"/>
      <c r="CY338" s="159"/>
      <c r="CZ338" s="219"/>
      <c r="DA338" s="135"/>
      <c r="DB338" s="135"/>
      <c r="DC338" s="135"/>
      <c r="DD338" s="135"/>
      <c r="DE338" s="135"/>
      <c r="DF338" s="135"/>
      <c r="DG338" s="135"/>
      <c r="DH338" s="135"/>
      <c r="DI338" s="135"/>
      <c r="DJ338" s="135"/>
      <c r="DK338" s="135"/>
      <c r="DL338" s="135"/>
      <c r="DM338" s="135"/>
      <c r="DN338" s="135"/>
      <c r="DO338" s="135"/>
      <c r="DP338" s="135"/>
      <c r="DQ338" s="135"/>
    </row>
    <row r="339" spans="1:121" s="123" customFormat="1">
      <c r="A339" s="107" t="s">
        <v>138</v>
      </c>
      <c r="B339" s="107"/>
      <c r="C339" s="136" t="s">
        <v>3141</v>
      </c>
      <c r="D339" s="147"/>
      <c r="E339" s="107"/>
      <c r="F339" s="213">
        <f t="shared" ref="F339:BF339" si="888">F341/F$17</f>
        <v>0</v>
      </c>
      <c r="G339" s="213">
        <f t="shared" si="888"/>
        <v>0</v>
      </c>
      <c r="H339" s="213">
        <f t="shared" si="888"/>
        <v>0</v>
      </c>
      <c r="I339" s="213">
        <f t="shared" si="888"/>
        <v>0</v>
      </c>
      <c r="J339" s="213">
        <f t="shared" si="888"/>
        <v>0</v>
      </c>
      <c r="K339" s="213">
        <f t="shared" si="888"/>
        <v>0</v>
      </c>
      <c r="L339" s="213">
        <f t="shared" si="888"/>
        <v>0</v>
      </c>
      <c r="M339" s="213">
        <f t="shared" si="888"/>
        <v>0</v>
      </c>
      <c r="N339" s="213">
        <f t="shared" si="888"/>
        <v>0</v>
      </c>
      <c r="O339" s="213">
        <f t="shared" si="888"/>
        <v>0</v>
      </c>
      <c r="P339" s="213">
        <f t="shared" si="888"/>
        <v>0</v>
      </c>
      <c r="Q339" s="213">
        <f t="shared" si="888"/>
        <v>0</v>
      </c>
      <c r="R339" s="213">
        <f t="shared" si="888"/>
        <v>0</v>
      </c>
      <c r="S339" s="213">
        <f t="shared" si="888"/>
        <v>0</v>
      </c>
      <c r="T339" s="213">
        <f t="shared" si="888"/>
        <v>0</v>
      </c>
      <c r="U339" s="213">
        <f t="shared" si="888"/>
        <v>0</v>
      </c>
      <c r="V339" s="213">
        <f t="shared" si="888"/>
        <v>0</v>
      </c>
      <c r="W339" s="213">
        <f t="shared" si="888"/>
        <v>0</v>
      </c>
      <c r="X339" s="213">
        <f t="shared" si="888"/>
        <v>0</v>
      </c>
      <c r="Y339" s="213">
        <f t="shared" si="888"/>
        <v>0</v>
      </c>
      <c r="Z339" s="213">
        <f t="shared" si="888"/>
        <v>0</v>
      </c>
      <c r="AA339" s="213">
        <f t="shared" si="888"/>
        <v>0</v>
      </c>
      <c r="AB339" s="213">
        <f t="shared" si="888"/>
        <v>0</v>
      </c>
      <c r="AC339" s="213">
        <f t="shared" si="888"/>
        <v>0</v>
      </c>
      <c r="AD339" s="213">
        <f t="shared" si="888"/>
        <v>0</v>
      </c>
      <c r="AE339" s="213">
        <f t="shared" si="888"/>
        <v>0</v>
      </c>
      <c r="AF339" s="213">
        <f t="shared" si="888"/>
        <v>0</v>
      </c>
      <c r="AG339" s="213">
        <f t="shared" si="888"/>
        <v>0</v>
      </c>
      <c r="AH339" s="213">
        <f t="shared" si="888"/>
        <v>0</v>
      </c>
      <c r="AI339" s="213">
        <f t="shared" si="888"/>
        <v>0</v>
      </c>
      <c r="AJ339" s="213">
        <f t="shared" si="888"/>
        <v>0</v>
      </c>
      <c r="AK339" s="213">
        <f t="shared" si="888"/>
        <v>0</v>
      </c>
      <c r="AL339" s="213">
        <f t="shared" si="888"/>
        <v>0</v>
      </c>
      <c r="AM339" s="213">
        <f t="shared" si="888"/>
        <v>0</v>
      </c>
      <c r="AN339" s="213">
        <f t="shared" si="888"/>
        <v>0</v>
      </c>
      <c r="AO339" s="213">
        <f t="shared" si="888"/>
        <v>0.91783411733312803</v>
      </c>
      <c r="AP339" s="213">
        <f t="shared" si="888"/>
        <v>0.85877958507911067</v>
      </c>
      <c r="AQ339" s="213">
        <f t="shared" si="888"/>
        <v>0.88841774346067082</v>
      </c>
      <c r="AR339" s="213">
        <f t="shared" si="888"/>
        <v>0.72374361609878324</v>
      </c>
      <c r="AS339" s="213">
        <f t="shared" si="888"/>
        <v>0.42040746330086431</v>
      </c>
      <c r="AT339" s="213">
        <f t="shared" si="888"/>
        <v>7.5182409781108267E-2</v>
      </c>
      <c r="AU339" s="213">
        <f t="shared" si="888"/>
        <v>0.24714164673861488</v>
      </c>
      <c r="AV339" s="213">
        <f t="shared" si="888"/>
        <v>0.19271639222293635</v>
      </c>
      <c r="AW339" s="213">
        <f t="shared" si="888"/>
        <v>0.20199864302589743</v>
      </c>
      <c r="AX339" s="213">
        <f t="shared" si="888"/>
        <v>0.24672773101678896</v>
      </c>
      <c r="AY339" s="213">
        <f t="shared" si="888"/>
        <v>0.41898585691607299</v>
      </c>
      <c r="AZ339" s="213">
        <f t="shared" si="888"/>
        <v>0.39744938993242618</v>
      </c>
      <c r="BA339" s="213">
        <f t="shared" si="888"/>
        <v>0.39268966129643279</v>
      </c>
      <c r="BB339" s="213">
        <f t="shared" si="888"/>
        <v>0.39437970446320864</v>
      </c>
      <c r="BC339" s="213">
        <f t="shared" si="888"/>
        <v>0.33617609044680585</v>
      </c>
      <c r="BD339" s="213">
        <f t="shared" si="888"/>
        <v>0.28687648798521259</v>
      </c>
      <c r="BE339" s="213">
        <f ca="1">BE341/BE$17</f>
        <v>0.26389297350035379</v>
      </c>
      <c r="BF339" s="213">
        <f t="shared" si="888"/>
        <v>0.29200838155502828</v>
      </c>
      <c r="BG339" s="213">
        <f>BG341/BG$17</f>
        <v>0.22973760932944606</v>
      </c>
      <c r="BH339" s="213">
        <f>BH341/BH$17</f>
        <v>0.27868345345995604</v>
      </c>
      <c r="BI339" s="213">
        <f>BI341/BI$17</f>
        <v>0.27627274778162131</v>
      </c>
      <c r="BJ339" s="213">
        <f t="shared" ref="BJ339:BP339" si="889">BJ341/BJ$17</f>
        <v>0.27523417885175205</v>
      </c>
      <c r="BK339" s="213">
        <f t="shared" si="889"/>
        <v>0.26846803210628289</v>
      </c>
      <c r="BL339" s="213">
        <f t="shared" si="889"/>
        <v>0.27295850066934407</v>
      </c>
      <c r="BM339" s="213">
        <f t="shared" si="889"/>
        <v>0.35606265826511979</v>
      </c>
      <c r="BN339" s="213">
        <f t="shared" si="889"/>
        <v>0.33251994911530014</v>
      </c>
      <c r="BO339" s="213">
        <f t="shared" si="889"/>
        <v>0.53333740906034111</v>
      </c>
      <c r="BP339" s="213">
        <f t="shared" si="889"/>
        <v>0.4903176150649084</v>
      </c>
      <c r="BQ339" s="213">
        <f t="shared" ref="BQ339:CB339" si="890">BQ341/BQ$17</f>
        <v>0.73797200033283405</v>
      </c>
      <c r="BR339" s="213">
        <f t="shared" si="890"/>
        <v>0.72504545454545455</v>
      </c>
      <c r="BS339" s="213">
        <f t="shared" si="890"/>
        <v>0.81037512694037428</v>
      </c>
      <c r="BT339" s="213">
        <f t="shared" si="890"/>
        <v>0.94480732477336782</v>
      </c>
      <c r="BU339" s="213">
        <f t="shared" ca="1" si="890"/>
        <v>0.68046120302841651</v>
      </c>
      <c r="BV339" s="213">
        <f t="shared" ca="1" si="890"/>
        <v>0.58477269381188479</v>
      </c>
      <c r="BW339" s="213">
        <f t="shared" ca="1" si="890"/>
        <v>0.55628743630234845</v>
      </c>
      <c r="BX339" s="213">
        <f t="shared" ca="1" si="890"/>
        <v>0.54347412251673821</v>
      </c>
      <c r="BY339" s="213">
        <f t="shared" ca="1" si="890"/>
        <v>0.52187009546902585</v>
      </c>
      <c r="BZ339" s="213">
        <f t="shared" ca="1" si="890"/>
        <v>0.49833815788970454</v>
      </c>
      <c r="CA339" s="213">
        <f t="shared" ca="1" si="890"/>
        <v>0.47411507078349763</v>
      </c>
      <c r="CB339" s="213">
        <f t="shared" ca="1" si="890"/>
        <v>0.44936594373757077</v>
      </c>
      <c r="CC339" s="213">
        <f ca="1">CC341/CC$17</f>
        <v>0.42411807950682756</v>
      </c>
      <c r="CD339" s="213">
        <f ca="1">CD341/CD$17</f>
        <v>0.39818960390212671</v>
      </c>
      <c r="CE339" s="213">
        <f ca="1">CE341/CE$17</f>
        <v>0.37119421308669059</v>
      </c>
      <c r="CF339" s="213">
        <f ca="1">CF341/CF$17</f>
        <v>0.34257469623471393</v>
      </c>
      <c r="CG339" s="213">
        <f ca="1">CG341/CG$17</f>
        <v>0.31170032029077932</v>
      </c>
      <c r="CH339" s="207"/>
      <c r="CI339" s="213">
        <f t="shared" ref="CI339:CU339" si="891">BQ339-DA339</f>
        <v>0</v>
      </c>
      <c r="CJ339" s="213">
        <f t="shared" si="891"/>
        <v>0</v>
      </c>
      <c r="CK339" s="213">
        <f t="shared" si="891"/>
        <v>0</v>
      </c>
      <c r="CL339" s="213">
        <f t="shared" si="891"/>
        <v>0</v>
      </c>
      <c r="CM339" s="213">
        <f t="shared" ca="1" si="891"/>
        <v>-3.9216109426621792E-2</v>
      </c>
      <c r="CN339" s="213">
        <f t="shared" ca="1" si="891"/>
        <v>-0.10112437444900357</v>
      </c>
      <c r="CO339" s="213">
        <f t="shared" ca="1" si="891"/>
        <v>-0.13821681736788605</v>
      </c>
      <c r="CP339" s="213">
        <f t="shared" ca="1" si="891"/>
        <v>-0.16799343937207012</v>
      </c>
      <c r="CQ339" s="213">
        <f t="shared" ca="1" si="891"/>
        <v>-0.1878534734806504</v>
      </c>
      <c r="CR339" s="213">
        <f t="shared" ca="1" si="891"/>
        <v>-0.18591867636977216</v>
      </c>
      <c r="CS339" s="213">
        <f t="shared" ca="1" si="891"/>
        <v>-0.16893296496169302</v>
      </c>
      <c r="CT339" s="213">
        <f t="shared" ca="1" si="891"/>
        <v>-0.15238951986782556</v>
      </c>
      <c r="CU339" s="213">
        <f t="shared" ca="1" si="891"/>
        <v>-0.13447880159075276</v>
      </c>
      <c r="CV339" s="213">
        <f ca="1">CD339-DN339</f>
        <v>-0.11656823406697175</v>
      </c>
      <c r="CW339" s="213">
        <f ca="1">CE339-DO339</f>
        <v>-9.9303219873645265E-2</v>
      </c>
      <c r="CX339" s="213">
        <f ca="1">CF339-DP339</f>
        <v>-8.302393479405451E-2</v>
      </c>
      <c r="CY339" s="213">
        <f ca="1">CG339-DQ339</f>
        <v>-6.802301874948119E-2</v>
      </c>
      <c r="CZ339" s="220"/>
      <c r="DA339" s="208">
        <v>0.73797200033283405</v>
      </c>
      <c r="DB339" s="208">
        <v>0.72504545454545455</v>
      </c>
      <c r="DC339" s="208">
        <v>0.81037512694037428</v>
      </c>
      <c r="DD339" s="208">
        <v>0.94480732477336782</v>
      </c>
      <c r="DE339" s="208">
        <v>0.7196773124550383</v>
      </c>
      <c r="DF339" s="208">
        <v>0.68589706826088837</v>
      </c>
      <c r="DG339" s="208">
        <v>0.69450425367023449</v>
      </c>
      <c r="DH339" s="208">
        <v>0.71146756188880833</v>
      </c>
      <c r="DI339" s="208">
        <v>0.70972356894967625</v>
      </c>
      <c r="DJ339" s="208">
        <v>0.6842568342594767</v>
      </c>
      <c r="DK339" s="208">
        <v>0.64304803574519065</v>
      </c>
      <c r="DL339" s="208">
        <v>0.60175546360539633</v>
      </c>
      <c r="DM339" s="208">
        <v>0.55859688109758032</v>
      </c>
      <c r="DN339" s="208">
        <v>0.51475783796909846</v>
      </c>
      <c r="DO339" s="135">
        <v>0.47049743296033586</v>
      </c>
      <c r="DP339" s="135">
        <v>0.42559863102876844</v>
      </c>
      <c r="DQ339" s="135">
        <v>0.37972333904026051</v>
      </c>
    </row>
    <row r="340" spans="1:121" s="123" customFormat="1">
      <c r="A340" s="107"/>
      <c r="B340" s="107"/>
      <c r="C340" s="136"/>
      <c r="D340" s="147"/>
      <c r="E340" s="107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  <c r="BR340" s="106"/>
      <c r="BS340" s="106"/>
      <c r="BT340" s="106"/>
      <c r="BU340" s="106"/>
      <c r="BV340" s="106"/>
      <c r="BW340" s="106"/>
      <c r="BX340" s="106"/>
      <c r="BY340" s="106"/>
      <c r="BZ340" s="106"/>
      <c r="CA340" s="106"/>
      <c r="CB340" s="106"/>
      <c r="CC340" s="106"/>
      <c r="CD340" s="106"/>
      <c r="CE340" s="106"/>
      <c r="CF340" s="106"/>
      <c r="CG340" s="106"/>
      <c r="CH340" s="141"/>
      <c r="CI340" s="106"/>
      <c r="CJ340" s="106"/>
      <c r="CK340" s="106"/>
      <c r="CL340" s="106"/>
      <c r="CM340" s="106"/>
      <c r="CN340" s="106"/>
      <c r="CO340" s="106"/>
      <c r="CP340" s="106"/>
      <c r="CQ340" s="106"/>
      <c r="CR340" s="106"/>
      <c r="CS340" s="106"/>
      <c r="CT340" s="106"/>
      <c r="CU340" s="106"/>
      <c r="CV340" s="106"/>
      <c r="CW340" s="106"/>
      <c r="CX340" s="106"/>
      <c r="CY340" s="106"/>
      <c r="CZ340" s="134"/>
      <c r="DA340" s="135"/>
      <c r="DB340" s="135"/>
      <c r="DC340" s="135"/>
      <c r="DD340" s="135"/>
      <c r="DE340" s="135"/>
      <c r="DF340" s="135"/>
      <c r="DG340" s="135"/>
      <c r="DH340" s="135"/>
      <c r="DI340" s="135"/>
      <c r="DJ340" s="135"/>
      <c r="DK340" s="135"/>
      <c r="DL340" s="135"/>
      <c r="DM340" s="135"/>
      <c r="DN340" s="135"/>
      <c r="DO340" s="135"/>
      <c r="DP340" s="135"/>
      <c r="DQ340" s="135"/>
    </row>
    <row r="341" spans="1:121" s="123" customFormat="1">
      <c r="A341" s="107" t="s">
        <v>138</v>
      </c>
      <c r="B341" s="107"/>
      <c r="C341" s="136" t="s">
        <v>1579</v>
      </c>
      <c r="D341" s="147"/>
      <c r="E341" s="107"/>
      <c r="F341" s="106">
        <f t="shared" ref="F341:BF341" si="892">F114+F117</f>
        <v>0</v>
      </c>
      <c r="G341" s="106">
        <f t="shared" si="892"/>
        <v>0</v>
      </c>
      <c r="H341" s="106">
        <f t="shared" si="892"/>
        <v>0</v>
      </c>
      <c r="I341" s="106">
        <f t="shared" si="892"/>
        <v>0</v>
      </c>
      <c r="J341" s="106">
        <f t="shared" si="892"/>
        <v>0</v>
      </c>
      <c r="K341" s="106">
        <f t="shared" si="892"/>
        <v>0</v>
      </c>
      <c r="L341" s="106">
        <f t="shared" si="892"/>
        <v>0</v>
      </c>
      <c r="M341" s="106">
        <f t="shared" si="892"/>
        <v>0</v>
      </c>
      <c r="N341" s="106">
        <f t="shared" si="892"/>
        <v>0</v>
      </c>
      <c r="O341" s="106">
        <f t="shared" si="892"/>
        <v>0</v>
      </c>
      <c r="P341" s="106">
        <f t="shared" si="892"/>
        <v>0</v>
      </c>
      <c r="Q341" s="106">
        <f t="shared" si="892"/>
        <v>0</v>
      </c>
      <c r="R341" s="106">
        <f t="shared" si="892"/>
        <v>0</v>
      </c>
      <c r="S341" s="106">
        <f t="shared" si="892"/>
        <v>0</v>
      </c>
      <c r="T341" s="106">
        <f t="shared" si="892"/>
        <v>0</v>
      </c>
      <c r="U341" s="106">
        <f t="shared" si="892"/>
        <v>0</v>
      </c>
      <c r="V341" s="106">
        <f t="shared" si="892"/>
        <v>0</v>
      </c>
      <c r="W341" s="106">
        <f t="shared" si="892"/>
        <v>0</v>
      </c>
      <c r="X341" s="106">
        <f t="shared" si="892"/>
        <v>0</v>
      </c>
      <c r="Y341" s="106">
        <f t="shared" si="892"/>
        <v>0</v>
      </c>
      <c r="Z341" s="106">
        <f t="shared" si="892"/>
        <v>0</v>
      </c>
      <c r="AA341" s="106">
        <f t="shared" si="892"/>
        <v>0</v>
      </c>
      <c r="AB341" s="106">
        <f t="shared" si="892"/>
        <v>0</v>
      </c>
      <c r="AC341" s="106">
        <f t="shared" si="892"/>
        <v>0</v>
      </c>
      <c r="AD341" s="106">
        <f t="shared" si="892"/>
        <v>0</v>
      </c>
      <c r="AE341" s="106">
        <f t="shared" si="892"/>
        <v>0</v>
      </c>
      <c r="AF341" s="106">
        <f t="shared" si="892"/>
        <v>0</v>
      </c>
      <c r="AG341" s="106">
        <f t="shared" si="892"/>
        <v>0</v>
      </c>
      <c r="AH341" s="106">
        <f t="shared" si="892"/>
        <v>0</v>
      </c>
      <c r="AI341" s="106">
        <f t="shared" si="892"/>
        <v>0</v>
      </c>
      <c r="AJ341" s="106">
        <f t="shared" si="892"/>
        <v>0</v>
      </c>
      <c r="AK341" s="106">
        <f t="shared" si="892"/>
        <v>0</v>
      </c>
      <c r="AL341" s="106">
        <f t="shared" si="892"/>
        <v>0</v>
      </c>
      <c r="AM341" s="106">
        <f t="shared" si="892"/>
        <v>0</v>
      </c>
      <c r="AN341" s="106">
        <f t="shared" si="892"/>
        <v>0</v>
      </c>
      <c r="AO341" s="106">
        <f t="shared" si="892"/>
        <v>2.9631999127864836</v>
      </c>
      <c r="AP341" s="106">
        <f t="shared" si="892"/>
        <v>3.3354999084472658</v>
      </c>
      <c r="AQ341" s="106">
        <f t="shared" si="892"/>
        <v>3.9809999084472656</v>
      </c>
      <c r="AR341" s="106">
        <f t="shared" si="892"/>
        <v>4.3924000061035153</v>
      </c>
      <c r="AS341" s="106">
        <f t="shared" si="892"/>
        <v>6.1286999999999994</v>
      </c>
      <c r="AT341" s="106">
        <f t="shared" si="892"/>
        <v>6.1000000000000005</v>
      </c>
      <c r="AU341" s="106">
        <f t="shared" si="892"/>
        <v>75.547000000000011</v>
      </c>
      <c r="AV341" s="106">
        <f t="shared" si="892"/>
        <v>66.569252500000005</v>
      </c>
      <c r="AW341" s="106">
        <f t="shared" si="892"/>
        <v>74.854435147463789</v>
      </c>
      <c r="AX341" s="106">
        <f t="shared" si="892"/>
        <v>109.631</v>
      </c>
      <c r="AY341" s="106">
        <f t="shared" si="892"/>
        <v>319.35521</v>
      </c>
      <c r="AZ341" s="106">
        <f t="shared" si="892"/>
        <v>497.18017300000002</v>
      </c>
      <c r="BA341" s="106">
        <f t="shared" si="892"/>
        <v>714.19607499999995</v>
      </c>
      <c r="BB341" s="106">
        <f t="shared" si="892"/>
        <v>1013.5164024999999</v>
      </c>
      <c r="BC341" s="106">
        <f t="shared" si="892"/>
        <v>1114.1443775</v>
      </c>
      <c r="BD341" s="106">
        <f t="shared" si="892"/>
        <v>1164.00135</v>
      </c>
      <c r="BE341" s="106">
        <f ca="1">BE114+BE117</f>
        <v>1292.8116771782331</v>
      </c>
      <c r="BF341" s="106">
        <f t="shared" si="892"/>
        <v>2104.3000000000002</v>
      </c>
      <c r="BG341" s="106">
        <f t="shared" ref="BG341:BQ341" si="893">BG114+BG117</f>
        <v>1851.8</v>
      </c>
      <c r="BH341" s="106">
        <f t="shared" si="893"/>
        <v>2702.7</v>
      </c>
      <c r="BI341" s="106">
        <f t="shared" si="893"/>
        <v>2939.1</v>
      </c>
      <c r="BJ341" s="106">
        <f t="shared" si="893"/>
        <v>3299.7</v>
      </c>
      <c r="BK341" s="106">
        <f t="shared" si="893"/>
        <v>3879.9</v>
      </c>
      <c r="BL341" s="106">
        <f t="shared" si="893"/>
        <v>4485.8</v>
      </c>
      <c r="BM341" s="106">
        <f t="shared" si="893"/>
        <v>6046.2999999999993</v>
      </c>
      <c r="BN341" s="106">
        <f t="shared" si="893"/>
        <v>5750.6</v>
      </c>
      <c r="BO341" s="106">
        <f t="shared" si="893"/>
        <v>8723.7999999999993</v>
      </c>
      <c r="BP341" s="106">
        <f t="shared" si="893"/>
        <v>9555.7999999999993</v>
      </c>
      <c r="BQ341" s="106">
        <f t="shared" si="893"/>
        <v>17737.895</v>
      </c>
      <c r="BR341" s="106">
        <f t="shared" ref="BR341:CB341" si="894">BR114+BR117</f>
        <v>18710.523000000001</v>
      </c>
      <c r="BS341" s="106">
        <f t="shared" si="894"/>
        <v>22343.663</v>
      </c>
      <c r="BT341" s="106">
        <f t="shared" si="894"/>
        <v>30380.279528087642</v>
      </c>
      <c r="BU341" s="106">
        <f t="shared" ca="1" si="894"/>
        <v>41691.905735472879</v>
      </c>
      <c r="BV341" s="106">
        <f t="shared" ca="1" si="894"/>
        <v>41572.323483881613</v>
      </c>
      <c r="BW341" s="106">
        <f t="shared" ca="1" si="894"/>
        <v>44132.854187325829</v>
      </c>
      <c r="BX341" s="106">
        <f t="shared" ca="1" si="894"/>
        <v>46861.124732009339</v>
      </c>
      <c r="BY341" s="106">
        <f t="shared" ca="1" si="894"/>
        <v>49897.828311834208</v>
      </c>
      <c r="BZ341" s="106">
        <f t="shared" ca="1" si="894"/>
        <v>53362.915151075023</v>
      </c>
      <c r="CA341" s="106">
        <f t="shared" ca="1" si="894"/>
        <v>57409.08142667108</v>
      </c>
      <c r="CB341" s="106">
        <f t="shared" ca="1" si="894"/>
        <v>62257.184350424206</v>
      </c>
      <c r="CC341" s="106">
        <f ca="1">CC114+CC117</f>
        <v>68204.884473634447</v>
      </c>
      <c r="CD341" s="106">
        <f ca="1">CD114+CD117</f>
        <v>75660.237917812279</v>
      </c>
      <c r="CE341" s="106">
        <f ca="1">CE114+CE117</f>
        <v>85188.251463619381</v>
      </c>
      <c r="CF341" s="106">
        <f ca="1">CF114+CF117</f>
        <v>97578.534004491376</v>
      </c>
      <c r="CG341" s="106">
        <f ca="1">CG114+CG117</f>
        <v>113943.90413711156</v>
      </c>
      <c r="CH341" s="141"/>
      <c r="CI341" s="106">
        <f t="shared" ref="CI341:CU341" si="895">BQ341-DA341</f>
        <v>0</v>
      </c>
      <c r="CJ341" s="106">
        <f t="shared" si="895"/>
        <v>0</v>
      </c>
      <c r="CK341" s="106">
        <f t="shared" si="895"/>
        <v>0</v>
      </c>
      <c r="CL341" s="106">
        <f t="shared" si="895"/>
        <v>0</v>
      </c>
      <c r="CM341" s="106">
        <f t="shared" ca="1" si="895"/>
        <v>-525.26294772767142</v>
      </c>
      <c r="CN341" s="106">
        <f t="shared" ca="1" si="895"/>
        <v>-4479.9248501202164</v>
      </c>
      <c r="CO341" s="106">
        <f t="shared" ca="1" si="895"/>
        <v>-8348.6946656953151</v>
      </c>
      <c r="CP341" s="106">
        <f t="shared" ca="1" si="895"/>
        <v>-12447.264963614878</v>
      </c>
      <c r="CQ341" s="106">
        <f t="shared" ca="1" si="895"/>
        <v>-16808.313539204086</v>
      </c>
      <c r="CR341" s="106">
        <f t="shared" ca="1" si="895"/>
        <v>-18077.994919038756</v>
      </c>
      <c r="CS341" s="106">
        <f t="shared" ca="1" si="895"/>
        <v>-19602.930505016542</v>
      </c>
      <c r="CT341" s="106">
        <f t="shared" ca="1" si="895"/>
        <v>-21287.066990264873</v>
      </c>
      <c r="CU341" s="106">
        <f t="shared" ca="1" si="895"/>
        <v>-23331.11687120967</v>
      </c>
      <c r="CV341" s="106">
        <f ca="1">CD341-DN341</f>
        <v>-25922.51989445879</v>
      </c>
      <c r="CW341" s="106">
        <f ca="1">CE341-DO341</f>
        <v>-29336.347028566466</v>
      </c>
      <c r="CX341" s="106">
        <f ca="1">CF341-DP341</f>
        <v>-34001.494829662523</v>
      </c>
      <c r="CY341" s="106">
        <f ca="1">CG341-DQ341</f>
        <v>-40602.190102339402</v>
      </c>
      <c r="CZ341" s="134"/>
      <c r="DA341" s="135">
        <v>17737.895</v>
      </c>
      <c r="DB341" s="135">
        <v>18710.523000000001</v>
      </c>
      <c r="DC341" s="135">
        <v>22343.663</v>
      </c>
      <c r="DD341" s="135">
        <v>30380.279528087642</v>
      </c>
      <c r="DE341" s="135">
        <v>42217.168683200551</v>
      </c>
      <c r="DF341" s="135">
        <v>46052.24833400183</v>
      </c>
      <c r="DG341" s="135">
        <v>52481.548853021144</v>
      </c>
      <c r="DH341" s="135">
        <v>59308.389695624217</v>
      </c>
      <c r="DI341" s="135">
        <v>66706.141851038294</v>
      </c>
      <c r="DJ341" s="135">
        <v>71440.91007011378</v>
      </c>
      <c r="DK341" s="135">
        <v>77012.011931687623</v>
      </c>
      <c r="DL341" s="135">
        <v>83544.251340689079</v>
      </c>
      <c r="DM341" s="135">
        <v>91536.001344844117</v>
      </c>
      <c r="DN341" s="135">
        <v>101582.75781227107</v>
      </c>
      <c r="DO341" s="135">
        <v>114524.59849218585</v>
      </c>
      <c r="DP341" s="135">
        <v>131580.0288341539</v>
      </c>
      <c r="DQ341" s="135">
        <v>154546.09423945096</v>
      </c>
    </row>
    <row r="342" spans="1:121" s="123" customFormat="1">
      <c r="A342" s="107"/>
      <c r="B342" s="107"/>
      <c r="C342" s="136"/>
      <c r="D342" s="147"/>
      <c r="E342" s="107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  <c r="AN342" s="106"/>
      <c r="AO342" s="106"/>
      <c r="AP342" s="106"/>
      <c r="AQ342" s="106"/>
      <c r="AR342" s="106"/>
      <c r="AS342" s="106"/>
      <c r="AT342" s="106"/>
      <c r="AU342" s="106"/>
      <c r="AV342" s="106"/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  <c r="BR342" s="106"/>
      <c r="BS342" s="106"/>
      <c r="BT342" s="106"/>
      <c r="BU342" s="106"/>
      <c r="BV342" s="106"/>
      <c r="BW342" s="106"/>
      <c r="BX342" s="106"/>
      <c r="BY342" s="106"/>
      <c r="BZ342" s="106"/>
      <c r="CA342" s="106"/>
      <c r="CB342" s="106"/>
      <c r="CC342" s="106"/>
      <c r="CD342" s="106"/>
      <c r="CE342" s="106"/>
      <c r="CF342" s="106"/>
      <c r="CG342" s="106"/>
      <c r="CH342" s="141"/>
      <c r="CI342" s="159"/>
      <c r="CJ342" s="159"/>
      <c r="CK342" s="159"/>
      <c r="CL342" s="159"/>
      <c r="CM342" s="159"/>
      <c r="CN342" s="159"/>
      <c r="CO342" s="159"/>
      <c r="CP342" s="159"/>
      <c r="CQ342" s="159"/>
      <c r="CR342" s="159"/>
      <c r="CS342" s="159"/>
      <c r="CT342" s="159"/>
      <c r="CU342" s="159"/>
      <c r="CV342" s="159"/>
      <c r="CW342" s="159"/>
      <c r="CX342" s="159"/>
      <c r="CY342" s="159"/>
      <c r="CZ342" s="134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5"/>
      <c r="DK342" s="135"/>
      <c r="DL342" s="135"/>
      <c r="DM342" s="135"/>
      <c r="DN342" s="135"/>
      <c r="DO342" s="135"/>
      <c r="DP342" s="135"/>
      <c r="DQ342" s="135"/>
    </row>
    <row r="343" spans="1:121" s="123" customFormat="1">
      <c r="A343" s="226" t="s">
        <v>1350</v>
      </c>
      <c r="B343" s="217"/>
      <c r="C343" s="217"/>
      <c r="D343" s="102"/>
      <c r="E343" s="141"/>
      <c r="CH343" s="141"/>
      <c r="CI343" s="161"/>
      <c r="CJ343" s="161"/>
      <c r="CK343" s="161"/>
      <c r="CL343" s="161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81"/>
      <c r="DA343" s="135"/>
      <c r="DB343" s="135"/>
      <c r="DC343" s="135"/>
      <c r="DD343" s="135"/>
      <c r="DE343" s="135"/>
      <c r="DF343" s="135"/>
      <c r="DG343" s="135"/>
      <c r="DH343" s="135"/>
      <c r="DI343" s="135"/>
      <c r="DJ343" s="135"/>
      <c r="DK343" s="135"/>
      <c r="DL343" s="135"/>
      <c r="DM343" s="135"/>
      <c r="DN343" s="135"/>
      <c r="DO343" s="135"/>
      <c r="DP343" s="135"/>
      <c r="DQ343" s="135"/>
    </row>
    <row r="344" spans="1:121" s="123" customFormat="1">
      <c r="A344" s="141" t="s">
        <v>3146</v>
      </c>
      <c r="B344" s="107"/>
      <c r="C344" s="136" t="s">
        <v>1579</v>
      </c>
      <c r="D344" s="147"/>
      <c r="E344" s="107"/>
      <c r="F344" s="106">
        <f t="shared" ref="F344:BF344" si="896">F172</f>
        <v>0</v>
      </c>
      <c r="G344" s="106">
        <f t="shared" si="896"/>
        <v>0</v>
      </c>
      <c r="H344" s="106">
        <f t="shared" si="896"/>
        <v>0</v>
      </c>
      <c r="I344" s="106">
        <f t="shared" si="896"/>
        <v>0</v>
      </c>
      <c r="J344" s="106">
        <f t="shared" si="896"/>
        <v>0</v>
      </c>
      <c r="K344" s="106">
        <f t="shared" si="896"/>
        <v>0</v>
      </c>
      <c r="L344" s="106">
        <f t="shared" si="896"/>
        <v>0</v>
      </c>
      <c r="M344" s="106">
        <f t="shared" si="896"/>
        <v>0</v>
      </c>
      <c r="N344" s="106">
        <f t="shared" si="896"/>
        <v>0</v>
      </c>
      <c r="O344" s="106">
        <f t="shared" si="896"/>
        <v>0</v>
      </c>
      <c r="P344" s="106">
        <f t="shared" si="896"/>
        <v>0</v>
      </c>
      <c r="Q344" s="106">
        <f t="shared" si="896"/>
        <v>0</v>
      </c>
      <c r="R344" s="106">
        <f t="shared" si="896"/>
        <v>0</v>
      </c>
      <c r="S344" s="106">
        <f t="shared" si="896"/>
        <v>0</v>
      </c>
      <c r="T344" s="106">
        <f t="shared" si="896"/>
        <v>0</v>
      </c>
      <c r="U344" s="106">
        <f t="shared" si="896"/>
        <v>0</v>
      </c>
      <c r="V344" s="106">
        <f t="shared" si="896"/>
        <v>0</v>
      </c>
      <c r="W344" s="106">
        <f t="shared" si="896"/>
        <v>0</v>
      </c>
      <c r="X344" s="106">
        <f t="shared" si="896"/>
        <v>0</v>
      </c>
      <c r="Y344" s="106">
        <f t="shared" si="896"/>
        <v>0</v>
      </c>
      <c r="Z344" s="106">
        <f t="shared" si="896"/>
        <v>0</v>
      </c>
      <c r="AA344" s="106">
        <f t="shared" si="896"/>
        <v>0</v>
      </c>
      <c r="AB344" s="106">
        <f t="shared" si="896"/>
        <v>0</v>
      </c>
      <c r="AC344" s="106">
        <f t="shared" si="896"/>
        <v>0</v>
      </c>
      <c r="AD344" s="106">
        <f t="shared" si="896"/>
        <v>0</v>
      </c>
      <c r="AE344" s="106">
        <f t="shared" si="896"/>
        <v>0</v>
      </c>
      <c r="AF344" s="106">
        <f t="shared" si="896"/>
        <v>0</v>
      </c>
      <c r="AG344" s="106">
        <f t="shared" si="896"/>
        <v>0</v>
      </c>
      <c r="AH344" s="106">
        <f t="shared" si="896"/>
        <v>0</v>
      </c>
      <c r="AI344" s="106">
        <f t="shared" si="896"/>
        <v>0</v>
      </c>
      <c r="AJ344" s="106">
        <f t="shared" si="896"/>
        <v>0</v>
      </c>
      <c r="AK344" s="106">
        <f t="shared" si="896"/>
        <v>0</v>
      </c>
      <c r="AL344" s="106">
        <f t="shared" si="896"/>
        <v>0</v>
      </c>
      <c r="AM344" s="106">
        <f t="shared" si="896"/>
        <v>0</v>
      </c>
      <c r="AN344" s="106">
        <f t="shared" si="896"/>
        <v>0</v>
      </c>
      <c r="AO344" s="106">
        <f t="shared" si="896"/>
        <v>0</v>
      </c>
      <c r="AP344" s="106">
        <f t="shared" si="896"/>
        <v>0</v>
      </c>
      <c r="AQ344" s="106">
        <f t="shared" si="896"/>
        <v>0</v>
      </c>
      <c r="AR344" s="106">
        <f t="shared" si="896"/>
        <v>0</v>
      </c>
      <c r="AS344" s="106">
        <f t="shared" si="896"/>
        <v>0</v>
      </c>
      <c r="AT344" s="106">
        <f t="shared" si="896"/>
        <v>0</v>
      </c>
      <c r="AU344" s="106">
        <f t="shared" si="896"/>
        <v>0</v>
      </c>
      <c r="AV344" s="106">
        <f t="shared" si="896"/>
        <v>0</v>
      </c>
      <c r="AW344" s="106">
        <f t="shared" si="896"/>
        <v>0</v>
      </c>
      <c r="AX344" s="106">
        <f t="shared" si="896"/>
        <v>0</v>
      </c>
      <c r="AY344" s="106">
        <f t="shared" si="896"/>
        <v>0</v>
      </c>
      <c r="AZ344" s="106">
        <f t="shared" si="896"/>
        <v>0</v>
      </c>
      <c r="BA344" s="106">
        <f t="shared" si="896"/>
        <v>0</v>
      </c>
      <c r="BB344" s="106">
        <f t="shared" si="896"/>
        <v>0</v>
      </c>
      <c r="BC344" s="106">
        <f t="shared" si="896"/>
        <v>0</v>
      </c>
      <c r="BD344" s="106">
        <f t="shared" si="896"/>
        <v>0</v>
      </c>
      <c r="BE344" s="106">
        <f t="shared" si="896"/>
        <v>0</v>
      </c>
      <c r="BF344" s="106">
        <f t="shared" si="896"/>
        <v>2766.9</v>
      </c>
      <c r="BG344" s="106">
        <f t="shared" ref="BG344:BN344" si="897">BG172</f>
        <v>3573.3</v>
      </c>
      <c r="BH344" s="106">
        <f t="shared" si="897"/>
        <v>4316.7</v>
      </c>
      <c r="BI344" s="106">
        <f t="shared" si="897"/>
        <v>4976.7000000000007</v>
      </c>
      <c r="BJ344" s="106">
        <f t="shared" si="897"/>
        <v>5508.1</v>
      </c>
      <c r="BK344" s="106">
        <f t="shared" si="897"/>
        <v>6693.8</v>
      </c>
      <c r="BL344" s="106">
        <f t="shared" si="897"/>
        <v>8114.6</v>
      </c>
      <c r="BM344" s="106">
        <f t="shared" si="897"/>
        <v>9010.7999999999993</v>
      </c>
      <c r="BN344" s="106">
        <f t="shared" si="897"/>
        <v>9500.0999999999985</v>
      </c>
      <c r="BO344" s="106">
        <f t="shared" ref="BO344:CB344" si="898">BO172</f>
        <v>10618.7</v>
      </c>
      <c r="BP344" s="106">
        <f t="shared" si="898"/>
        <v>16173.600000000002</v>
      </c>
      <c r="BQ344" s="106">
        <f t="shared" si="898"/>
        <v>17586.3</v>
      </c>
      <c r="BR344" s="106">
        <f t="shared" si="898"/>
        <v>19184.3</v>
      </c>
      <c r="BS344" s="106">
        <f t="shared" si="898"/>
        <v>20276.2</v>
      </c>
      <c r="BT344" s="106">
        <f t="shared" si="898"/>
        <v>32434</v>
      </c>
      <c r="BU344" s="106">
        <f t="shared" ca="1" si="898"/>
        <v>51115.98514803432</v>
      </c>
      <c r="BV344" s="106">
        <f t="shared" ca="1" si="898"/>
        <v>54489.527884579707</v>
      </c>
      <c r="BW344" s="106">
        <f t="shared" ca="1" si="898"/>
        <v>59147.571904729361</v>
      </c>
      <c r="BX344" s="106">
        <f t="shared" ca="1" si="898"/>
        <v>62588.014332914041</v>
      </c>
      <c r="BY344" s="106">
        <f t="shared" ca="1" si="898"/>
        <v>66418.870145794164</v>
      </c>
      <c r="BZ344" s="106">
        <f t="shared" ca="1" si="898"/>
        <v>70389.526622713063</v>
      </c>
      <c r="CA344" s="106">
        <f t="shared" ca="1" si="898"/>
        <v>74412.824643602187</v>
      </c>
      <c r="CB344" s="106">
        <f t="shared" ca="1" si="898"/>
        <v>78458.237109779642</v>
      </c>
      <c r="CC344" s="106">
        <f ca="1">CC172</f>
        <v>82523.61409342858</v>
      </c>
      <c r="CD344" s="106">
        <f ca="1">CD172</f>
        <v>86679.048852143867</v>
      </c>
      <c r="CE344" s="106">
        <f ca="1">CE172</f>
        <v>91145.570786453871</v>
      </c>
      <c r="CF344" s="106">
        <f ca="1">CF172</f>
        <v>96451.807725112551</v>
      </c>
      <c r="CG344" s="106">
        <f ca="1">CG172</f>
        <v>103748.70259493521</v>
      </c>
      <c r="CH344" s="141"/>
      <c r="CI344" s="159">
        <f t="shared" ref="CI344:CR345" si="899">BQ344-DA344</f>
        <v>0</v>
      </c>
      <c r="CJ344" s="159">
        <f t="shared" si="899"/>
        <v>0</v>
      </c>
      <c r="CK344" s="159">
        <f t="shared" si="899"/>
        <v>0</v>
      </c>
      <c r="CL344" s="159">
        <f t="shared" si="899"/>
        <v>0</v>
      </c>
      <c r="CM344" s="159">
        <f t="shared" ca="1" si="899"/>
        <v>2956.6909343765947</v>
      </c>
      <c r="CN344" s="159">
        <f t="shared" ca="1" si="899"/>
        <v>1397.5868576321081</v>
      </c>
      <c r="CO344" s="159">
        <f t="shared" ca="1" si="899"/>
        <v>-918.11704266119341</v>
      </c>
      <c r="CP344" s="159">
        <f t="shared" ca="1" si="899"/>
        <v>-4103.375040243729</v>
      </c>
      <c r="CQ344" s="159">
        <f t="shared" ca="1" si="899"/>
        <v>-8051.3420768309297</v>
      </c>
      <c r="CR344" s="159">
        <f t="shared" ca="1" si="899"/>
        <v>-10517.408143506647</v>
      </c>
      <c r="CS344" s="159">
        <f t="shared" ref="CS344:CY345" ca="1" si="900">CA344-DK344</f>
        <v>-14357.990926641636</v>
      </c>
      <c r="CT344" s="159">
        <f t="shared" ca="1" si="900"/>
        <v>-19124.892832025071</v>
      </c>
      <c r="CU344" s="159">
        <f t="shared" ca="1" si="900"/>
        <v>-25183.643651804217</v>
      </c>
      <c r="CV344" s="159">
        <f t="shared" ca="1" si="900"/>
        <v>-32794.37547214907</v>
      </c>
      <c r="CW344" s="159">
        <f t="shared" ca="1" si="900"/>
        <v>-42362.083825643524</v>
      </c>
      <c r="CX344" s="159">
        <f t="shared" ca="1" si="900"/>
        <v>-54534.319974050639</v>
      </c>
      <c r="CY344" s="159">
        <f t="shared" ca="1" si="900"/>
        <v>-70382.782486677708</v>
      </c>
      <c r="CZ344" s="134"/>
      <c r="DA344" s="135">
        <v>17586.3</v>
      </c>
      <c r="DB344" s="135">
        <v>19184.3</v>
      </c>
      <c r="DC344" s="135">
        <v>20276.2</v>
      </c>
      <c r="DD344" s="135">
        <v>32434</v>
      </c>
      <c r="DE344" s="135">
        <v>48159.294213657726</v>
      </c>
      <c r="DF344" s="135">
        <v>53091.941026947599</v>
      </c>
      <c r="DG344" s="135">
        <v>60065.688947390554</v>
      </c>
      <c r="DH344" s="135">
        <v>66691.38937315777</v>
      </c>
      <c r="DI344" s="135">
        <v>74470.212222625094</v>
      </c>
      <c r="DJ344" s="135">
        <v>80906.934766219711</v>
      </c>
      <c r="DK344" s="135">
        <v>88770.815570243823</v>
      </c>
      <c r="DL344" s="135">
        <v>97583.129941804713</v>
      </c>
      <c r="DM344" s="135">
        <v>107707.2577452328</v>
      </c>
      <c r="DN344" s="135">
        <v>119473.42432429294</v>
      </c>
      <c r="DO344" s="135">
        <v>133507.65461209739</v>
      </c>
      <c r="DP344" s="135">
        <v>150986.12769916319</v>
      </c>
      <c r="DQ344" s="135">
        <v>174131.48508161292</v>
      </c>
    </row>
    <row r="345" spans="1:121" s="123" customFormat="1">
      <c r="A345" s="141" t="s">
        <v>1316</v>
      </c>
      <c r="B345" s="107"/>
      <c r="C345" s="136" t="s">
        <v>1579</v>
      </c>
      <c r="D345" s="147"/>
      <c r="E345" s="107"/>
      <c r="F345" s="106">
        <f t="shared" ref="F345:BF345" si="901">F172</f>
        <v>0</v>
      </c>
      <c r="G345" s="106">
        <f t="shared" si="901"/>
        <v>0</v>
      </c>
      <c r="H345" s="106">
        <f t="shared" si="901"/>
        <v>0</v>
      </c>
      <c r="I345" s="106">
        <f t="shared" si="901"/>
        <v>0</v>
      </c>
      <c r="J345" s="106">
        <f t="shared" si="901"/>
        <v>0</v>
      </c>
      <c r="K345" s="106">
        <f t="shared" si="901"/>
        <v>0</v>
      </c>
      <c r="L345" s="106">
        <f t="shared" si="901"/>
        <v>0</v>
      </c>
      <c r="M345" s="106">
        <f t="shared" si="901"/>
        <v>0</v>
      </c>
      <c r="N345" s="106">
        <f t="shared" si="901"/>
        <v>0</v>
      </c>
      <c r="O345" s="106">
        <f t="shared" si="901"/>
        <v>0</v>
      </c>
      <c r="P345" s="106">
        <f t="shared" si="901"/>
        <v>0</v>
      </c>
      <c r="Q345" s="106">
        <f t="shared" si="901"/>
        <v>0</v>
      </c>
      <c r="R345" s="106">
        <f t="shared" si="901"/>
        <v>0</v>
      </c>
      <c r="S345" s="106">
        <f t="shared" si="901"/>
        <v>0</v>
      </c>
      <c r="T345" s="106">
        <f t="shared" si="901"/>
        <v>0</v>
      </c>
      <c r="U345" s="106">
        <f t="shared" si="901"/>
        <v>0</v>
      </c>
      <c r="V345" s="106">
        <f t="shared" si="901"/>
        <v>0</v>
      </c>
      <c r="W345" s="106">
        <f t="shared" si="901"/>
        <v>0</v>
      </c>
      <c r="X345" s="106">
        <f t="shared" si="901"/>
        <v>0</v>
      </c>
      <c r="Y345" s="106">
        <f t="shared" si="901"/>
        <v>0</v>
      </c>
      <c r="Z345" s="106">
        <f t="shared" si="901"/>
        <v>0</v>
      </c>
      <c r="AA345" s="106">
        <f t="shared" si="901"/>
        <v>0</v>
      </c>
      <c r="AB345" s="106">
        <f t="shared" si="901"/>
        <v>0</v>
      </c>
      <c r="AC345" s="106">
        <f t="shared" si="901"/>
        <v>0</v>
      </c>
      <c r="AD345" s="106">
        <f t="shared" si="901"/>
        <v>0</v>
      </c>
      <c r="AE345" s="106">
        <f t="shared" si="901"/>
        <v>0</v>
      </c>
      <c r="AF345" s="106">
        <f t="shared" si="901"/>
        <v>0</v>
      </c>
      <c r="AG345" s="106">
        <f t="shared" si="901"/>
        <v>0</v>
      </c>
      <c r="AH345" s="106">
        <f t="shared" si="901"/>
        <v>0</v>
      </c>
      <c r="AI345" s="106">
        <f t="shared" si="901"/>
        <v>0</v>
      </c>
      <c r="AJ345" s="106">
        <f t="shared" si="901"/>
        <v>0</v>
      </c>
      <c r="AK345" s="106">
        <f t="shared" si="901"/>
        <v>0</v>
      </c>
      <c r="AL345" s="106">
        <f t="shared" si="901"/>
        <v>0</v>
      </c>
      <c r="AM345" s="106">
        <f t="shared" si="901"/>
        <v>0</v>
      </c>
      <c r="AN345" s="106">
        <f t="shared" si="901"/>
        <v>0</v>
      </c>
      <c r="AO345" s="106">
        <f t="shared" si="901"/>
        <v>0</v>
      </c>
      <c r="AP345" s="106">
        <f t="shared" si="901"/>
        <v>0</v>
      </c>
      <c r="AQ345" s="106">
        <f t="shared" si="901"/>
        <v>0</v>
      </c>
      <c r="AR345" s="106">
        <f t="shared" si="901"/>
        <v>0</v>
      </c>
      <c r="AS345" s="106">
        <f t="shared" si="901"/>
        <v>0</v>
      </c>
      <c r="AT345" s="106">
        <f t="shared" si="901"/>
        <v>0</v>
      </c>
      <c r="AU345" s="106">
        <f t="shared" si="901"/>
        <v>0</v>
      </c>
      <c r="AV345" s="106">
        <f t="shared" si="901"/>
        <v>0</v>
      </c>
      <c r="AW345" s="106">
        <f t="shared" si="901"/>
        <v>0</v>
      </c>
      <c r="AX345" s="106">
        <f t="shared" si="901"/>
        <v>0</v>
      </c>
      <c r="AY345" s="106">
        <f t="shared" si="901"/>
        <v>0</v>
      </c>
      <c r="AZ345" s="106">
        <f t="shared" si="901"/>
        <v>0</v>
      </c>
      <c r="BA345" s="106">
        <f t="shared" si="901"/>
        <v>0</v>
      </c>
      <c r="BB345" s="106">
        <f t="shared" si="901"/>
        <v>0</v>
      </c>
      <c r="BC345" s="106">
        <f t="shared" si="901"/>
        <v>0</v>
      </c>
      <c r="BD345" s="106">
        <f t="shared" si="901"/>
        <v>0</v>
      </c>
      <c r="BE345" s="106">
        <f t="shared" si="901"/>
        <v>0</v>
      </c>
      <c r="BF345" s="106">
        <f t="shared" si="901"/>
        <v>2766.9</v>
      </c>
      <c r="BG345" s="106">
        <f t="shared" ref="BG345:BN345" si="902">BG172</f>
        <v>3573.3</v>
      </c>
      <c r="BH345" s="106">
        <f t="shared" si="902"/>
        <v>4316.7</v>
      </c>
      <c r="BI345" s="106">
        <f t="shared" si="902"/>
        <v>4976.7000000000007</v>
      </c>
      <c r="BJ345" s="106">
        <f t="shared" si="902"/>
        <v>5508.1</v>
      </c>
      <c r="BK345" s="106">
        <f t="shared" si="902"/>
        <v>6693.8</v>
      </c>
      <c r="BL345" s="106">
        <f t="shared" si="902"/>
        <v>8114.6</v>
      </c>
      <c r="BM345" s="106">
        <f t="shared" si="902"/>
        <v>9010.7999999999993</v>
      </c>
      <c r="BN345" s="106">
        <f t="shared" si="902"/>
        <v>9500.0999999999985</v>
      </c>
      <c r="BO345" s="106">
        <f t="shared" ref="BO345:CB345" si="903">BO172</f>
        <v>10618.7</v>
      </c>
      <c r="BP345" s="106">
        <f t="shared" si="903"/>
        <v>16173.600000000002</v>
      </c>
      <c r="BQ345" s="106">
        <f t="shared" si="903"/>
        <v>17586.3</v>
      </c>
      <c r="BR345" s="106">
        <f t="shared" si="903"/>
        <v>19184.3</v>
      </c>
      <c r="BS345" s="106">
        <f t="shared" si="903"/>
        <v>20276.2</v>
      </c>
      <c r="BT345" s="106">
        <f t="shared" si="903"/>
        <v>32434</v>
      </c>
      <c r="BU345" s="106">
        <f t="shared" ca="1" si="903"/>
        <v>51115.98514803432</v>
      </c>
      <c r="BV345" s="106">
        <f t="shared" ca="1" si="903"/>
        <v>54489.527884579707</v>
      </c>
      <c r="BW345" s="106">
        <f t="shared" ca="1" si="903"/>
        <v>59147.571904729361</v>
      </c>
      <c r="BX345" s="106">
        <f t="shared" ca="1" si="903"/>
        <v>62588.014332914041</v>
      </c>
      <c r="BY345" s="106">
        <f t="shared" ca="1" si="903"/>
        <v>66418.870145794164</v>
      </c>
      <c r="BZ345" s="106">
        <f t="shared" ca="1" si="903"/>
        <v>70389.526622713063</v>
      </c>
      <c r="CA345" s="106">
        <f t="shared" ca="1" si="903"/>
        <v>74412.824643602187</v>
      </c>
      <c r="CB345" s="106">
        <f t="shared" ca="1" si="903"/>
        <v>78458.237109779642</v>
      </c>
      <c r="CC345" s="106">
        <f ca="1">CC172</f>
        <v>82523.61409342858</v>
      </c>
      <c r="CD345" s="106">
        <f ca="1">CD172</f>
        <v>86679.048852143867</v>
      </c>
      <c r="CE345" s="106">
        <f ca="1">CE172</f>
        <v>91145.570786453871</v>
      </c>
      <c r="CF345" s="106">
        <f ca="1">CF172</f>
        <v>96451.807725112551</v>
      </c>
      <c r="CG345" s="106">
        <f ca="1">CG172</f>
        <v>103748.70259493521</v>
      </c>
      <c r="CH345" s="141"/>
      <c r="CI345" s="159">
        <f t="shared" si="899"/>
        <v>0</v>
      </c>
      <c r="CJ345" s="159">
        <f t="shared" si="899"/>
        <v>0</v>
      </c>
      <c r="CK345" s="159">
        <f t="shared" si="899"/>
        <v>0</v>
      </c>
      <c r="CL345" s="159">
        <f t="shared" si="899"/>
        <v>0</v>
      </c>
      <c r="CM345" s="159">
        <f t="shared" ca="1" si="899"/>
        <v>2956.6909343765947</v>
      </c>
      <c r="CN345" s="159">
        <f t="shared" ca="1" si="899"/>
        <v>1397.5868576321081</v>
      </c>
      <c r="CO345" s="159">
        <f t="shared" ca="1" si="899"/>
        <v>-918.11704266119341</v>
      </c>
      <c r="CP345" s="159">
        <f t="shared" ca="1" si="899"/>
        <v>-4103.375040243729</v>
      </c>
      <c r="CQ345" s="159">
        <f t="shared" ca="1" si="899"/>
        <v>-8051.3420768309297</v>
      </c>
      <c r="CR345" s="159">
        <f t="shared" ca="1" si="899"/>
        <v>-10517.408143506647</v>
      </c>
      <c r="CS345" s="159">
        <f t="shared" ca="1" si="900"/>
        <v>-14357.990926641636</v>
      </c>
      <c r="CT345" s="159">
        <f t="shared" ca="1" si="900"/>
        <v>-19124.892832025071</v>
      </c>
      <c r="CU345" s="159">
        <f t="shared" ca="1" si="900"/>
        <v>-25183.643651804217</v>
      </c>
      <c r="CV345" s="159">
        <f t="shared" ca="1" si="900"/>
        <v>-32794.37547214907</v>
      </c>
      <c r="CW345" s="159">
        <f t="shared" ca="1" si="900"/>
        <v>-42362.083825643524</v>
      </c>
      <c r="CX345" s="159">
        <f t="shared" ca="1" si="900"/>
        <v>-54534.319974050639</v>
      </c>
      <c r="CY345" s="159">
        <f t="shared" ca="1" si="900"/>
        <v>-70382.782486677708</v>
      </c>
      <c r="CZ345" s="134"/>
      <c r="DA345" s="135">
        <v>17586.3</v>
      </c>
      <c r="DB345" s="135">
        <v>19184.3</v>
      </c>
      <c r="DC345" s="135">
        <v>20276.2</v>
      </c>
      <c r="DD345" s="135">
        <v>32434</v>
      </c>
      <c r="DE345" s="135">
        <v>48159.294213657726</v>
      </c>
      <c r="DF345" s="135">
        <v>53091.941026947599</v>
      </c>
      <c r="DG345" s="135">
        <v>60065.688947390554</v>
      </c>
      <c r="DH345" s="135">
        <v>66691.38937315777</v>
      </c>
      <c r="DI345" s="135">
        <v>74470.212222625094</v>
      </c>
      <c r="DJ345" s="135">
        <v>80906.934766219711</v>
      </c>
      <c r="DK345" s="135">
        <v>88770.815570243823</v>
      </c>
      <c r="DL345" s="135">
        <v>97583.129941804713</v>
      </c>
      <c r="DM345" s="135">
        <v>107707.2577452328</v>
      </c>
      <c r="DN345" s="135">
        <v>119473.42432429294</v>
      </c>
      <c r="DO345" s="135">
        <v>133507.65461209739</v>
      </c>
      <c r="DP345" s="135">
        <v>150986.12769916319</v>
      </c>
      <c r="DQ345" s="135">
        <v>174131.48508161292</v>
      </c>
    </row>
    <row r="346" spans="1:121" s="123" customFormat="1">
      <c r="A346" s="141" t="s">
        <v>2401</v>
      </c>
      <c r="B346" s="107"/>
      <c r="C346" s="136" t="s">
        <v>1349</v>
      </c>
      <c r="D346" s="147"/>
      <c r="E346" s="107"/>
      <c r="F346" s="106">
        <f t="shared" ref="F346:BF346" si="904">F192</f>
        <v>4</v>
      </c>
      <c r="G346" s="106">
        <f t="shared" si="904"/>
        <v>4</v>
      </c>
      <c r="H346" s="106">
        <f t="shared" si="904"/>
        <v>5</v>
      </c>
      <c r="I346" s="106">
        <f t="shared" si="904"/>
        <v>6</v>
      </c>
      <c r="J346" s="106">
        <f t="shared" si="904"/>
        <v>7</v>
      </c>
      <c r="K346" s="106">
        <f t="shared" si="904"/>
        <v>7</v>
      </c>
      <c r="L346" s="106">
        <f t="shared" si="904"/>
        <v>7</v>
      </c>
      <c r="M346" s="106">
        <f t="shared" si="904"/>
        <v>7</v>
      </c>
      <c r="N346" s="106">
        <f t="shared" si="904"/>
        <v>8</v>
      </c>
      <c r="O346" s="106">
        <f t="shared" si="904"/>
        <v>8</v>
      </c>
      <c r="P346" s="106">
        <f t="shared" si="904"/>
        <v>8</v>
      </c>
      <c r="Q346" s="106">
        <f t="shared" si="904"/>
        <v>8</v>
      </c>
      <c r="R346" s="106">
        <f t="shared" si="904"/>
        <v>8</v>
      </c>
      <c r="S346" s="106">
        <f t="shared" si="904"/>
        <v>8</v>
      </c>
      <c r="T346" s="106">
        <f t="shared" si="904"/>
        <v>8</v>
      </c>
      <c r="U346" s="106">
        <f t="shared" si="904"/>
        <v>8</v>
      </c>
      <c r="V346" s="106">
        <f t="shared" si="904"/>
        <v>8</v>
      </c>
      <c r="W346" s="106">
        <f t="shared" si="904"/>
        <v>8</v>
      </c>
      <c r="X346" s="106">
        <f t="shared" si="904"/>
        <v>8</v>
      </c>
      <c r="Y346" s="106">
        <f t="shared" si="904"/>
        <v>8.5</v>
      </c>
      <c r="Z346" s="106">
        <f t="shared" si="904"/>
        <v>9</v>
      </c>
      <c r="AA346" s="106">
        <f t="shared" si="904"/>
        <v>9</v>
      </c>
      <c r="AB346" s="106">
        <f t="shared" si="904"/>
        <v>9</v>
      </c>
      <c r="AC346" s="106">
        <f t="shared" si="904"/>
        <v>9</v>
      </c>
      <c r="AD346" s="106">
        <f t="shared" si="904"/>
        <v>9.1999998092651367</v>
      </c>
      <c r="AE346" s="106">
        <f t="shared" si="904"/>
        <v>9.3999996185302734</v>
      </c>
      <c r="AF346" s="106">
        <f t="shared" si="904"/>
        <v>9.3000001907348633</v>
      </c>
      <c r="AG346" s="106">
        <f t="shared" si="904"/>
        <v>9.3999996185302734</v>
      </c>
      <c r="AH346" s="106">
        <f t="shared" si="904"/>
        <v>9.6000003814697266</v>
      </c>
      <c r="AI346" s="106">
        <f t="shared" si="904"/>
        <v>9.3999996185302734</v>
      </c>
      <c r="AJ346" s="106">
        <f t="shared" si="904"/>
        <v>9.3999996185302734</v>
      </c>
      <c r="AK346" s="106">
        <f t="shared" si="904"/>
        <v>9.3000001907348633</v>
      </c>
      <c r="AL346" s="106">
        <f t="shared" si="904"/>
        <v>9.3000001907348633</v>
      </c>
      <c r="AM346" s="106">
        <f t="shared" si="904"/>
        <v>9.5</v>
      </c>
      <c r="AN346" s="106">
        <f t="shared" si="904"/>
        <v>8.551666259765625</v>
      </c>
      <c r="AO346" s="106">
        <f t="shared" si="904"/>
        <v>8.7614336013793945</v>
      </c>
      <c r="AP346" s="106">
        <f t="shared" si="904"/>
        <v>8.8000001907348633</v>
      </c>
      <c r="AQ346" s="106">
        <f t="shared" si="904"/>
        <v>9.1999998092651367</v>
      </c>
      <c r="AR346" s="106">
        <f t="shared" si="904"/>
        <v>9</v>
      </c>
      <c r="AS346" s="106">
        <f t="shared" si="904"/>
        <v>9.6999999999999993</v>
      </c>
      <c r="AT346" s="106">
        <f t="shared" si="904"/>
        <v>32.200000000000003</v>
      </c>
      <c r="AU346" s="106">
        <f t="shared" si="904"/>
        <v>39.6</v>
      </c>
      <c r="AV346" s="106">
        <f t="shared" si="904"/>
        <v>34.9</v>
      </c>
      <c r="AW346" s="106">
        <f t="shared" si="904"/>
        <v>28.824999999999999</v>
      </c>
      <c r="AX346" s="106">
        <f t="shared" si="904"/>
        <v>21.5425</v>
      </c>
      <c r="AY346" s="106">
        <f t="shared" si="904"/>
        <v>22.4</v>
      </c>
      <c r="AZ346" s="106">
        <f t="shared" si="904"/>
        <v>22.3125</v>
      </c>
      <c r="BA346" s="106">
        <f t="shared" si="904"/>
        <v>21.297499999999999</v>
      </c>
      <c r="BB346" s="106">
        <f t="shared" si="904"/>
        <v>19.71</v>
      </c>
      <c r="BC346" s="106">
        <f t="shared" si="904"/>
        <v>19.6525</v>
      </c>
      <c r="BD346" s="106">
        <f t="shared" si="904"/>
        <v>19.6525</v>
      </c>
      <c r="BE346" s="106">
        <f t="shared" si="904"/>
        <v>19.6525</v>
      </c>
      <c r="BF346" s="106">
        <f t="shared" si="904"/>
        <v>6.6</v>
      </c>
      <c r="BG346" s="106">
        <f t="shared" ref="BG346:BN346" si="905">BG192</f>
        <v>6.3</v>
      </c>
      <c r="BH346" s="106">
        <f t="shared" si="905"/>
        <v>6.4</v>
      </c>
      <c r="BI346" s="106">
        <f t="shared" si="905"/>
        <v>6.2</v>
      </c>
      <c r="BJ346" s="106">
        <f t="shared" si="905"/>
        <v>6.2</v>
      </c>
      <c r="BK346" s="106">
        <f t="shared" si="905"/>
        <v>6.6</v>
      </c>
      <c r="BL346" s="106">
        <f t="shared" si="905"/>
        <v>7</v>
      </c>
      <c r="BM346" s="106">
        <f t="shared" si="905"/>
        <v>7.2</v>
      </c>
      <c r="BN346" s="106">
        <f t="shared" si="905"/>
        <v>7.4</v>
      </c>
      <c r="BO346" s="106">
        <f t="shared" ref="BO346:BV346" si="906">BO192</f>
        <v>7.7</v>
      </c>
      <c r="BP346" s="106">
        <f t="shared" si="906"/>
        <v>8.5</v>
      </c>
      <c r="BQ346" s="106">
        <f t="shared" si="906"/>
        <v>9.1</v>
      </c>
      <c r="BR346" s="106">
        <f t="shared" si="906"/>
        <v>9.1999999999999993</v>
      </c>
      <c r="BS346" s="106">
        <f t="shared" si="906"/>
        <v>9.1999999999999993</v>
      </c>
      <c r="BT346" s="106">
        <f t="shared" si="906"/>
        <v>9.1999999999999993</v>
      </c>
      <c r="BU346" s="106">
        <f t="shared" si="906"/>
        <v>9.1999999999999993</v>
      </c>
      <c r="BV346" s="106">
        <f t="shared" si="906"/>
        <v>9.1999999999999993</v>
      </c>
      <c r="BW346" s="106">
        <f t="shared" ref="BW346:CC346" si="907">BW192</f>
        <v>9.1999999999999993</v>
      </c>
      <c r="BX346" s="106">
        <f t="shared" si="907"/>
        <v>9.1999999999999993</v>
      </c>
      <c r="BY346" s="106">
        <f t="shared" si="907"/>
        <v>9.1999999999999993</v>
      </c>
      <c r="BZ346" s="106">
        <f t="shared" si="907"/>
        <v>9.1999999999999993</v>
      </c>
      <c r="CA346" s="106">
        <f t="shared" si="907"/>
        <v>9.1999999999999993</v>
      </c>
      <c r="CB346" s="106">
        <f t="shared" si="907"/>
        <v>9.1999999999999993</v>
      </c>
      <c r="CC346" s="106">
        <f t="shared" si="907"/>
        <v>9.1999999999999993</v>
      </c>
      <c r="CD346" s="106">
        <f>CD192</f>
        <v>9.1999999999999993</v>
      </c>
      <c r="CE346" s="106">
        <f>CE192</f>
        <v>9.1999999999999993</v>
      </c>
      <c r="CF346" s="106">
        <f>CF192</f>
        <v>9.1999999999999993</v>
      </c>
      <c r="CG346" s="106">
        <f>CG192</f>
        <v>9.1999999999999993</v>
      </c>
      <c r="CH346" s="141"/>
      <c r="CI346" s="159">
        <f>BQ346-DA346</f>
        <v>0</v>
      </c>
      <c r="CJ346" s="159">
        <f t="shared" ref="CJ346:CR346" si="908">BR346-DB346</f>
        <v>0</v>
      </c>
      <c r="CK346" s="159">
        <f t="shared" si="908"/>
        <v>0</v>
      </c>
      <c r="CL346" s="159">
        <f t="shared" si="908"/>
        <v>0</v>
      </c>
      <c r="CM346" s="159">
        <f t="shared" si="908"/>
        <v>0</v>
      </c>
      <c r="CN346" s="159">
        <f t="shared" si="908"/>
        <v>0</v>
      </c>
      <c r="CO346" s="159">
        <f t="shared" si="908"/>
        <v>0</v>
      </c>
      <c r="CP346" s="159">
        <f t="shared" si="908"/>
        <v>0</v>
      </c>
      <c r="CQ346" s="159">
        <f t="shared" si="908"/>
        <v>0</v>
      </c>
      <c r="CR346" s="159">
        <f t="shared" si="908"/>
        <v>0</v>
      </c>
      <c r="CS346" s="159">
        <f>CA346-DK346</f>
        <v>0</v>
      </c>
      <c r="CT346" s="159">
        <f>CB346-DL346</f>
        <v>0</v>
      </c>
      <c r="CU346" s="159">
        <f>CC346-DM346</f>
        <v>0</v>
      </c>
      <c r="CV346" s="159">
        <f t="shared" ref="CV346:CY348" si="909">CD346-DN346</f>
        <v>0</v>
      </c>
      <c r="CW346" s="159">
        <f t="shared" si="909"/>
        <v>0</v>
      </c>
      <c r="CX346" s="159">
        <f t="shared" si="909"/>
        <v>0</v>
      </c>
      <c r="CY346" s="159">
        <f t="shared" si="909"/>
        <v>0</v>
      </c>
      <c r="CZ346" s="134"/>
      <c r="DA346" s="135">
        <v>9.1</v>
      </c>
      <c r="DB346" s="135">
        <v>9.1999999999999993</v>
      </c>
      <c r="DC346" s="135">
        <v>9.1999999999999993</v>
      </c>
      <c r="DD346" s="135">
        <v>9.1999999999999993</v>
      </c>
      <c r="DE346" s="135">
        <v>9.1999999999999993</v>
      </c>
      <c r="DF346" s="135">
        <v>9.1999999999999993</v>
      </c>
      <c r="DG346" s="135">
        <v>9.1999999999999993</v>
      </c>
      <c r="DH346" s="135">
        <v>9.1999999999999993</v>
      </c>
      <c r="DI346" s="135">
        <v>9.1999999999999993</v>
      </c>
      <c r="DJ346" s="135">
        <v>9.1999999999999993</v>
      </c>
      <c r="DK346" s="135">
        <v>9.1999999999999993</v>
      </c>
      <c r="DL346" s="135">
        <v>9.1999999999999993</v>
      </c>
      <c r="DM346" s="135">
        <v>9.1999999999999993</v>
      </c>
      <c r="DN346" s="135">
        <v>9.1999999999999993</v>
      </c>
      <c r="DO346" s="135">
        <v>9.1999999999999993</v>
      </c>
      <c r="DP346" s="135">
        <v>9.1999999999999993</v>
      </c>
      <c r="DQ346" s="135">
        <v>9.1999999999999993</v>
      </c>
    </row>
    <row r="347" spans="1:121" s="123" customFormat="1">
      <c r="A347" s="141" t="s">
        <v>3146</v>
      </c>
      <c r="B347" s="107"/>
      <c r="C347" s="136" t="s">
        <v>1320</v>
      </c>
      <c r="D347" s="147"/>
      <c r="E347" s="107"/>
      <c r="F347" s="106">
        <f t="shared" ref="F347:AK347" si="910">(F172/F17)*100</f>
        <v>0</v>
      </c>
      <c r="G347" s="106">
        <f t="shared" si="910"/>
        <v>0</v>
      </c>
      <c r="H347" s="106">
        <f t="shared" si="910"/>
        <v>0</v>
      </c>
      <c r="I347" s="106">
        <f t="shared" si="910"/>
        <v>0</v>
      </c>
      <c r="J347" s="106">
        <f t="shared" si="910"/>
        <v>0</v>
      </c>
      <c r="K347" s="106">
        <f t="shared" si="910"/>
        <v>0</v>
      </c>
      <c r="L347" s="106">
        <f t="shared" si="910"/>
        <v>0</v>
      </c>
      <c r="M347" s="106">
        <f t="shared" si="910"/>
        <v>0</v>
      </c>
      <c r="N347" s="106">
        <f t="shared" si="910"/>
        <v>0</v>
      </c>
      <c r="O347" s="106">
        <f t="shared" si="910"/>
        <v>0</v>
      </c>
      <c r="P347" s="106">
        <f t="shared" si="910"/>
        <v>0</v>
      </c>
      <c r="Q347" s="106">
        <f t="shared" si="910"/>
        <v>0</v>
      </c>
      <c r="R347" s="106">
        <f t="shared" si="910"/>
        <v>0</v>
      </c>
      <c r="S347" s="106">
        <f t="shared" si="910"/>
        <v>0</v>
      </c>
      <c r="T347" s="106">
        <f t="shared" si="910"/>
        <v>0</v>
      </c>
      <c r="U347" s="106">
        <f t="shared" si="910"/>
        <v>0</v>
      </c>
      <c r="V347" s="106">
        <f t="shared" si="910"/>
        <v>0</v>
      </c>
      <c r="W347" s="106">
        <f t="shared" si="910"/>
        <v>0</v>
      </c>
      <c r="X347" s="106">
        <f t="shared" si="910"/>
        <v>0</v>
      </c>
      <c r="Y347" s="106">
        <f t="shared" si="910"/>
        <v>0</v>
      </c>
      <c r="Z347" s="106">
        <f t="shared" si="910"/>
        <v>0</v>
      </c>
      <c r="AA347" s="106">
        <f t="shared" si="910"/>
        <v>0</v>
      </c>
      <c r="AB347" s="106">
        <f t="shared" si="910"/>
        <v>0</v>
      </c>
      <c r="AC347" s="106">
        <f t="shared" si="910"/>
        <v>0</v>
      </c>
      <c r="AD347" s="106">
        <f t="shared" si="910"/>
        <v>0</v>
      </c>
      <c r="AE347" s="106">
        <f t="shared" si="910"/>
        <v>0</v>
      </c>
      <c r="AF347" s="106">
        <f t="shared" si="910"/>
        <v>0</v>
      </c>
      <c r="AG347" s="106">
        <f t="shared" si="910"/>
        <v>0</v>
      </c>
      <c r="AH347" s="106">
        <f t="shared" si="910"/>
        <v>0</v>
      </c>
      <c r="AI347" s="106">
        <f t="shared" si="910"/>
        <v>0</v>
      </c>
      <c r="AJ347" s="106">
        <f t="shared" si="910"/>
        <v>0</v>
      </c>
      <c r="AK347" s="106">
        <f t="shared" si="910"/>
        <v>0</v>
      </c>
      <c r="AL347" s="106">
        <f t="shared" ref="AL347:BQ347" si="911">(AL172/AL17)*100</f>
        <v>0</v>
      </c>
      <c r="AM347" s="106">
        <f t="shared" si="911"/>
        <v>0</v>
      </c>
      <c r="AN347" s="106">
        <f t="shared" si="911"/>
        <v>0</v>
      </c>
      <c r="AO347" s="106">
        <f t="shared" si="911"/>
        <v>0</v>
      </c>
      <c r="AP347" s="106">
        <f t="shared" si="911"/>
        <v>0</v>
      </c>
      <c r="AQ347" s="106">
        <f t="shared" si="911"/>
        <v>0</v>
      </c>
      <c r="AR347" s="106">
        <f t="shared" si="911"/>
        <v>0</v>
      </c>
      <c r="AS347" s="106">
        <f t="shared" si="911"/>
        <v>0</v>
      </c>
      <c r="AT347" s="106">
        <f t="shared" si="911"/>
        <v>0</v>
      </c>
      <c r="AU347" s="106">
        <f t="shared" si="911"/>
        <v>0</v>
      </c>
      <c r="AV347" s="106">
        <f t="shared" si="911"/>
        <v>0</v>
      </c>
      <c r="AW347" s="106">
        <f t="shared" si="911"/>
        <v>0</v>
      </c>
      <c r="AX347" s="106">
        <f t="shared" si="911"/>
        <v>0</v>
      </c>
      <c r="AY347" s="106">
        <f t="shared" si="911"/>
        <v>0</v>
      </c>
      <c r="AZ347" s="106">
        <f t="shared" si="911"/>
        <v>0</v>
      </c>
      <c r="BA347" s="106">
        <f t="shared" si="911"/>
        <v>0</v>
      </c>
      <c r="BB347" s="106">
        <f t="shared" si="911"/>
        <v>0</v>
      </c>
      <c r="BC347" s="106">
        <f t="shared" si="911"/>
        <v>0</v>
      </c>
      <c r="BD347" s="106">
        <f t="shared" si="911"/>
        <v>0</v>
      </c>
      <c r="BE347" s="106">
        <f t="shared" si="911"/>
        <v>0</v>
      </c>
      <c r="BF347" s="106">
        <f t="shared" si="911"/>
        <v>38.39557054244203</v>
      </c>
      <c r="BG347" s="106">
        <f t="shared" si="911"/>
        <v>44.330996836424539</v>
      </c>
      <c r="BH347" s="106">
        <f t="shared" si="911"/>
        <v>44.510780462152375</v>
      </c>
      <c r="BI347" s="106">
        <f t="shared" si="911"/>
        <v>46.780530906903302</v>
      </c>
      <c r="BJ347" s="106">
        <f t="shared" si="911"/>
        <v>45.944097358345779</v>
      </c>
      <c r="BK347" s="106">
        <f t="shared" si="911"/>
        <v>46.317464710766679</v>
      </c>
      <c r="BL347" s="106">
        <f t="shared" si="911"/>
        <v>49.376901545576246</v>
      </c>
      <c r="BM347" s="106">
        <f t="shared" si="911"/>
        <v>53.06401272009893</v>
      </c>
      <c r="BN347" s="106">
        <f t="shared" si="911"/>
        <v>54.932924713773559</v>
      </c>
      <c r="BO347" s="106">
        <f t="shared" si="911"/>
        <v>64.918383566668709</v>
      </c>
      <c r="BP347" s="106">
        <f t="shared" si="911"/>
        <v>82.988352403920175</v>
      </c>
      <c r="BQ347" s="106">
        <f t="shared" si="911"/>
        <v>73.166500249625557</v>
      </c>
      <c r="BR347" s="106">
        <f t="shared" ref="BR347:CC347" si="912">(BR172/BR17)*100</f>
        <v>74.34046345811052</v>
      </c>
      <c r="BS347" s="106">
        <f t="shared" si="912"/>
        <v>73.539097635282175</v>
      </c>
      <c r="BT347" s="106">
        <f t="shared" si="912"/>
        <v>100.86767221271964</v>
      </c>
      <c r="BU347" s="106">
        <f t="shared" ca="1" si="912"/>
        <v>83.427332318416973</v>
      </c>
      <c r="BV347" s="106">
        <f t="shared" ca="1" si="912"/>
        <v>76.647118407894055</v>
      </c>
      <c r="BW347" s="106">
        <f t="shared" ca="1" si="912"/>
        <v>74.554550672682026</v>
      </c>
      <c r="BX347" s="106">
        <f t="shared" ca="1" si="912"/>
        <v>72.586747254085751</v>
      </c>
      <c r="BY347" s="106">
        <f t="shared" ca="1" si="912"/>
        <v>69.465993364103355</v>
      </c>
      <c r="BZ347" s="106">
        <f t="shared" ca="1" si="912"/>
        <v>65.734390508057714</v>
      </c>
      <c r="CA347" s="106">
        <f t="shared" ca="1" si="912"/>
        <v>61.454112740272805</v>
      </c>
      <c r="CB347" s="106">
        <f t="shared" ca="1" si="912"/>
        <v>56.630347373848124</v>
      </c>
      <c r="CC347" s="106">
        <f t="shared" ca="1" si="912"/>
        <v>51.315616166459691</v>
      </c>
      <c r="CD347" s="106">
        <f ca="1">(CD172/CD17)*100</f>
        <v>45.618011625261708</v>
      </c>
      <c r="CE347" s="106">
        <f ca="1">(CE172/CE17)*100</f>
        <v>39.715228148406887</v>
      </c>
      <c r="CF347" s="106">
        <f ca="1">(CF172/CF17)*100</f>
        <v>33.861903204242225</v>
      </c>
      <c r="CG347" s="106">
        <f ca="1">(CG172/CG17)*100</f>
        <v>28.381074067534474</v>
      </c>
      <c r="CH347" s="141"/>
      <c r="CI347" s="159">
        <f>BQ347-DA347</f>
        <v>0</v>
      </c>
      <c r="CJ347" s="159">
        <f t="shared" ref="CJ347:CU348" si="913">BR347-DB347</f>
        <v>0</v>
      </c>
      <c r="CK347" s="159">
        <f t="shared" si="913"/>
        <v>0</v>
      </c>
      <c r="CL347" s="159">
        <f t="shared" si="913"/>
        <v>0</v>
      </c>
      <c r="CM347" s="159">
        <f t="shared" ca="1" si="913"/>
        <v>1.330042257350982</v>
      </c>
      <c r="CN347" s="159">
        <f t="shared" ca="1" si="913"/>
        <v>-2.427428473189579</v>
      </c>
      <c r="CO347" s="159">
        <f t="shared" ca="1" si="913"/>
        <v>-4.9321973088317037</v>
      </c>
      <c r="CP347" s="159">
        <f t="shared" ca="1" si="913"/>
        <v>-7.4167066245457107</v>
      </c>
      <c r="CQ347" s="159">
        <f t="shared" ca="1" si="913"/>
        <v>-9.7669877864300929</v>
      </c>
      <c r="CR347" s="159">
        <f t="shared" ca="1" si="913"/>
        <v>-11.75779568951279</v>
      </c>
      <c r="CS347" s="159">
        <f t="shared" ca="1" si="913"/>
        <v>-12.669257305661418</v>
      </c>
      <c r="CT347" s="159">
        <f t="shared" ca="1" si="913"/>
        <v>-13.657171702400888</v>
      </c>
      <c r="CU347" s="159">
        <f t="shared" ca="1" si="913"/>
        <v>-14.412553476215052</v>
      </c>
      <c r="CV347" s="159">
        <f t="shared" ca="1" si="909"/>
        <v>-14.923642218781247</v>
      </c>
      <c r="CW347" s="159">
        <f t="shared" ca="1" si="909"/>
        <v>-15.133258205232515</v>
      </c>
      <c r="CX347" s="159">
        <f t="shared" ca="1" si="909"/>
        <v>-14.974907231551555</v>
      </c>
      <c r="CY347" s="159">
        <f t="shared" ca="1" si="909"/>
        <v>-14.403435804828451</v>
      </c>
      <c r="CZ347" s="134"/>
      <c r="DA347" s="135">
        <v>73.166500249625557</v>
      </c>
      <c r="DB347" s="135">
        <v>74.34046345811052</v>
      </c>
      <c r="DC347" s="135">
        <v>73.539097635282175</v>
      </c>
      <c r="DD347" s="135">
        <v>100.86767221271964</v>
      </c>
      <c r="DE347" s="135">
        <v>82.097290061065991</v>
      </c>
      <c r="DF347" s="135">
        <v>79.074546881083634</v>
      </c>
      <c r="DG347" s="135">
        <v>79.48674798151373</v>
      </c>
      <c r="DH347" s="135">
        <v>80.003453878631461</v>
      </c>
      <c r="DI347" s="135">
        <v>79.232981150533448</v>
      </c>
      <c r="DJ347" s="135">
        <v>77.492186197570504</v>
      </c>
      <c r="DK347" s="135">
        <v>74.123370045934223</v>
      </c>
      <c r="DL347" s="135">
        <v>70.287519076249012</v>
      </c>
      <c r="DM347" s="135">
        <v>65.728169642674743</v>
      </c>
      <c r="DN347" s="135">
        <v>60.541653844042955</v>
      </c>
      <c r="DO347" s="135">
        <v>54.848486353639402</v>
      </c>
      <c r="DP347" s="135">
        <v>48.83681043579378</v>
      </c>
      <c r="DQ347" s="135">
        <v>42.784509872362925</v>
      </c>
    </row>
    <row r="348" spans="1:121" s="123" customFormat="1">
      <c r="A348" s="141" t="s">
        <v>1316</v>
      </c>
      <c r="B348" s="107"/>
      <c r="C348" s="136" t="s">
        <v>1320</v>
      </c>
      <c r="D348" s="147"/>
      <c r="E348" s="107"/>
      <c r="F348" s="106">
        <f t="shared" ref="F348:AK348" si="914">(F172/F17)*100</f>
        <v>0</v>
      </c>
      <c r="G348" s="106">
        <f t="shared" si="914"/>
        <v>0</v>
      </c>
      <c r="H348" s="106">
        <f t="shared" si="914"/>
        <v>0</v>
      </c>
      <c r="I348" s="106">
        <f t="shared" si="914"/>
        <v>0</v>
      </c>
      <c r="J348" s="106">
        <f t="shared" si="914"/>
        <v>0</v>
      </c>
      <c r="K348" s="106">
        <f t="shared" si="914"/>
        <v>0</v>
      </c>
      <c r="L348" s="106">
        <f t="shared" si="914"/>
        <v>0</v>
      </c>
      <c r="M348" s="106">
        <f t="shared" si="914"/>
        <v>0</v>
      </c>
      <c r="N348" s="106">
        <f t="shared" si="914"/>
        <v>0</v>
      </c>
      <c r="O348" s="106">
        <f t="shared" si="914"/>
        <v>0</v>
      </c>
      <c r="P348" s="106">
        <f t="shared" si="914"/>
        <v>0</v>
      </c>
      <c r="Q348" s="106">
        <f t="shared" si="914"/>
        <v>0</v>
      </c>
      <c r="R348" s="106">
        <f t="shared" si="914"/>
        <v>0</v>
      </c>
      <c r="S348" s="106">
        <f t="shared" si="914"/>
        <v>0</v>
      </c>
      <c r="T348" s="106">
        <f t="shared" si="914"/>
        <v>0</v>
      </c>
      <c r="U348" s="106">
        <f t="shared" si="914"/>
        <v>0</v>
      </c>
      <c r="V348" s="106">
        <f t="shared" si="914"/>
        <v>0</v>
      </c>
      <c r="W348" s="106">
        <f t="shared" si="914"/>
        <v>0</v>
      </c>
      <c r="X348" s="106">
        <f t="shared" si="914"/>
        <v>0</v>
      </c>
      <c r="Y348" s="106">
        <f t="shared" si="914"/>
        <v>0</v>
      </c>
      <c r="Z348" s="106">
        <f t="shared" si="914"/>
        <v>0</v>
      </c>
      <c r="AA348" s="106">
        <f t="shared" si="914"/>
        <v>0</v>
      </c>
      <c r="AB348" s="106">
        <f t="shared" si="914"/>
        <v>0</v>
      </c>
      <c r="AC348" s="106">
        <f t="shared" si="914"/>
        <v>0</v>
      </c>
      <c r="AD348" s="106">
        <f t="shared" si="914"/>
        <v>0</v>
      </c>
      <c r="AE348" s="106">
        <f t="shared" si="914"/>
        <v>0</v>
      </c>
      <c r="AF348" s="106">
        <f t="shared" si="914"/>
        <v>0</v>
      </c>
      <c r="AG348" s="106">
        <f t="shared" si="914"/>
        <v>0</v>
      </c>
      <c r="AH348" s="106">
        <f t="shared" si="914"/>
        <v>0</v>
      </c>
      <c r="AI348" s="106">
        <f t="shared" si="914"/>
        <v>0</v>
      </c>
      <c r="AJ348" s="106">
        <f t="shared" si="914"/>
        <v>0</v>
      </c>
      <c r="AK348" s="106">
        <f t="shared" si="914"/>
        <v>0</v>
      </c>
      <c r="AL348" s="106">
        <f t="shared" ref="AL348:BQ348" si="915">(AL172/AL17)*100</f>
        <v>0</v>
      </c>
      <c r="AM348" s="106">
        <f t="shared" si="915"/>
        <v>0</v>
      </c>
      <c r="AN348" s="106">
        <f t="shared" si="915"/>
        <v>0</v>
      </c>
      <c r="AO348" s="106">
        <f t="shared" si="915"/>
        <v>0</v>
      </c>
      <c r="AP348" s="106">
        <f t="shared" si="915"/>
        <v>0</v>
      </c>
      <c r="AQ348" s="106">
        <f t="shared" si="915"/>
        <v>0</v>
      </c>
      <c r="AR348" s="106">
        <f t="shared" si="915"/>
        <v>0</v>
      </c>
      <c r="AS348" s="106">
        <f t="shared" si="915"/>
        <v>0</v>
      </c>
      <c r="AT348" s="106">
        <f t="shared" si="915"/>
        <v>0</v>
      </c>
      <c r="AU348" s="106">
        <f t="shared" si="915"/>
        <v>0</v>
      </c>
      <c r="AV348" s="106">
        <f t="shared" si="915"/>
        <v>0</v>
      </c>
      <c r="AW348" s="106">
        <f t="shared" si="915"/>
        <v>0</v>
      </c>
      <c r="AX348" s="106">
        <f t="shared" si="915"/>
        <v>0</v>
      </c>
      <c r="AY348" s="106">
        <f t="shared" si="915"/>
        <v>0</v>
      </c>
      <c r="AZ348" s="106">
        <f t="shared" si="915"/>
        <v>0</v>
      </c>
      <c r="BA348" s="106">
        <f t="shared" si="915"/>
        <v>0</v>
      </c>
      <c r="BB348" s="106">
        <f t="shared" si="915"/>
        <v>0</v>
      </c>
      <c r="BC348" s="106">
        <f t="shared" si="915"/>
        <v>0</v>
      </c>
      <c r="BD348" s="106">
        <f t="shared" si="915"/>
        <v>0</v>
      </c>
      <c r="BE348" s="106">
        <f t="shared" si="915"/>
        <v>0</v>
      </c>
      <c r="BF348" s="106">
        <f t="shared" si="915"/>
        <v>38.39557054244203</v>
      </c>
      <c r="BG348" s="106">
        <f t="shared" si="915"/>
        <v>44.330996836424539</v>
      </c>
      <c r="BH348" s="106">
        <f t="shared" si="915"/>
        <v>44.510780462152375</v>
      </c>
      <c r="BI348" s="106">
        <f t="shared" si="915"/>
        <v>46.780530906903302</v>
      </c>
      <c r="BJ348" s="106">
        <f t="shared" si="915"/>
        <v>45.944097358345779</v>
      </c>
      <c r="BK348" s="106">
        <f t="shared" si="915"/>
        <v>46.317464710766679</v>
      </c>
      <c r="BL348" s="106">
        <f t="shared" si="915"/>
        <v>49.376901545576246</v>
      </c>
      <c r="BM348" s="106">
        <f t="shared" si="915"/>
        <v>53.06401272009893</v>
      </c>
      <c r="BN348" s="106">
        <f t="shared" si="915"/>
        <v>54.932924713773559</v>
      </c>
      <c r="BO348" s="106">
        <f t="shared" si="915"/>
        <v>64.918383566668709</v>
      </c>
      <c r="BP348" s="106">
        <f t="shared" si="915"/>
        <v>82.988352403920175</v>
      </c>
      <c r="BQ348" s="106">
        <f t="shared" si="915"/>
        <v>73.166500249625557</v>
      </c>
      <c r="BR348" s="106">
        <f t="shared" ref="BR348:CC348" si="916">(BR172/BR17)*100</f>
        <v>74.34046345811052</v>
      </c>
      <c r="BS348" s="106">
        <f t="shared" si="916"/>
        <v>73.539097635282175</v>
      </c>
      <c r="BT348" s="106">
        <f t="shared" si="916"/>
        <v>100.86767221271964</v>
      </c>
      <c r="BU348" s="106">
        <f t="shared" ca="1" si="916"/>
        <v>83.427332318416973</v>
      </c>
      <c r="BV348" s="106">
        <f t="shared" ca="1" si="916"/>
        <v>76.647118407894055</v>
      </c>
      <c r="BW348" s="106">
        <f t="shared" ca="1" si="916"/>
        <v>74.554550672682026</v>
      </c>
      <c r="BX348" s="106">
        <f t="shared" ca="1" si="916"/>
        <v>72.586747254085751</v>
      </c>
      <c r="BY348" s="106">
        <f t="shared" ca="1" si="916"/>
        <v>69.465993364103355</v>
      </c>
      <c r="BZ348" s="106">
        <f t="shared" ca="1" si="916"/>
        <v>65.734390508057714</v>
      </c>
      <c r="CA348" s="106">
        <f t="shared" ca="1" si="916"/>
        <v>61.454112740272805</v>
      </c>
      <c r="CB348" s="106">
        <f t="shared" ca="1" si="916"/>
        <v>56.630347373848124</v>
      </c>
      <c r="CC348" s="106">
        <f t="shared" ca="1" si="916"/>
        <v>51.315616166459691</v>
      </c>
      <c r="CD348" s="106">
        <f ca="1">(CD172/CD17)*100</f>
        <v>45.618011625261708</v>
      </c>
      <c r="CE348" s="106">
        <f ca="1">(CE172/CE17)*100</f>
        <v>39.715228148406887</v>
      </c>
      <c r="CF348" s="106">
        <f ca="1">(CF172/CF17)*100</f>
        <v>33.861903204242225</v>
      </c>
      <c r="CG348" s="106">
        <f ca="1">(CG172/CG17)*100</f>
        <v>28.381074067534474</v>
      </c>
      <c r="CH348" s="141"/>
      <c r="CI348" s="159">
        <f>BQ348-DA348</f>
        <v>0</v>
      </c>
      <c r="CJ348" s="159">
        <f t="shared" si="913"/>
        <v>0</v>
      </c>
      <c r="CK348" s="159">
        <f t="shared" si="913"/>
        <v>0</v>
      </c>
      <c r="CL348" s="159">
        <f t="shared" si="913"/>
        <v>0</v>
      </c>
      <c r="CM348" s="159">
        <f t="shared" ca="1" si="913"/>
        <v>1.330042257350982</v>
      </c>
      <c r="CN348" s="159">
        <f t="shared" ca="1" si="913"/>
        <v>-2.427428473189579</v>
      </c>
      <c r="CO348" s="159">
        <f t="shared" ca="1" si="913"/>
        <v>-4.9321973088317037</v>
      </c>
      <c r="CP348" s="159">
        <f t="shared" ca="1" si="913"/>
        <v>-7.4167066245457107</v>
      </c>
      <c r="CQ348" s="159">
        <f t="shared" ca="1" si="913"/>
        <v>-9.7669877864300929</v>
      </c>
      <c r="CR348" s="159">
        <f t="shared" ca="1" si="913"/>
        <v>-11.75779568951279</v>
      </c>
      <c r="CS348" s="159">
        <f t="shared" ca="1" si="913"/>
        <v>-12.669257305661418</v>
      </c>
      <c r="CT348" s="159">
        <f t="shared" ca="1" si="913"/>
        <v>-13.657171702400888</v>
      </c>
      <c r="CU348" s="159">
        <f t="shared" ca="1" si="913"/>
        <v>-14.412553476215052</v>
      </c>
      <c r="CV348" s="159">
        <f t="shared" ca="1" si="909"/>
        <v>-14.923642218781247</v>
      </c>
      <c r="CW348" s="159">
        <f t="shared" ca="1" si="909"/>
        <v>-15.133258205232515</v>
      </c>
      <c r="CX348" s="159">
        <f t="shared" ca="1" si="909"/>
        <v>-14.974907231551555</v>
      </c>
      <c r="CY348" s="159">
        <f t="shared" ca="1" si="909"/>
        <v>-14.403435804828451</v>
      </c>
      <c r="CZ348" s="134"/>
      <c r="DA348" s="135">
        <v>73.166500249625557</v>
      </c>
      <c r="DB348" s="135">
        <v>74.34046345811052</v>
      </c>
      <c r="DC348" s="135">
        <v>73.539097635282175</v>
      </c>
      <c r="DD348" s="135">
        <v>100.86767221271964</v>
      </c>
      <c r="DE348" s="135">
        <v>82.097290061065991</v>
      </c>
      <c r="DF348" s="135">
        <v>79.074546881083634</v>
      </c>
      <c r="DG348" s="135">
        <v>79.48674798151373</v>
      </c>
      <c r="DH348" s="135">
        <v>80.003453878631461</v>
      </c>
      <c r="DI348" s="135">
        <v>79.232981150533448</v>
      </c>
      <c r="DJ348" s="135">
        <v>77.492186197570504</v>
      </c>
      <c r="DK348" s="135">
        <v>74.123370045934223</v>
      </c>
      <c r="DL348" s="135">
        <v>70.287519076249012</v>
      </c>
      <c r="DM348" s="135">
        <v>65.728169642674743</v>
      </c>
      <c r="DN348" s="135">
        <v>60.541653844042955</v>
      </c>
      <c r="DO348" s="135">
        <v>54.848486353639402</v>
      </c>
      <c r="DP348" s="135">
        <v>48.83681043579378</v>
      </c>
      <c r="DQ348" s="135">
        <v>42.784509872362925</v>
      </c>
    </row>
    <row r="349" spans="1:121" s="123" customFormat="1">
      <c r="A349" s="141"/>
      <c r="B349" s="107"/>
      <c r="C349" s="136"/>
      <c r="D349" s="147"/>
      <c r="E349" s="107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  <c r="BR349" s="106"/>
      <c r="BS349" s="106"/>
      <c r="BT349" s="106"/>
      <c r="BU349" s="106"/>
      <c r="BV349" s="106"/>
      <c r="BW349" s="106"/>
      <c r="BX349" s="106"/>
      <c r="BY349" s="106"/>
      <c r="BZ349" s="106"/>
      <c r="CA349" s="106"/>
      <c r="CB349" s="106"/>
      <c r="CC349" s="106"/>
      <c r="CD349" s="106"/>
      <c r="CE349" s="106"/>
      <c r="CF349" s="106"/>
      <c r="CG349" s="106"/>
      <c r="CH349" s="141"/>
      <c r="CI349" s="159"/>
      <c r="CJ349" s="159"/>
      <c r="CK349" s="159"/>
      <c r="CL349" s="159"/>
      <c r="CM349" s="159"/>
      <c r="CN349" s="159"/>
      <c r="CO349" s="159"/>
      <c r="CP349" s="159"/>
      <c r="CQ349" s="159"/>
      <c r="CR349" s="159"/>
      <c r="CS349" s="159"/>
      <c r="CT349" s="159"/>
      <c r="CU349" s="159"/>
      <c r="CV349" s="159"/>
      <c r="CW349" s="159"/>
      <c r="CX349" s="159"/>
      <c r="CY349" s="159"/>
      <c r="CZ349" s="134"/>
      <c r="DA349" s="135"/>
      <c r="DB349" s="135"/>
      <c r="DC349" s="135"/>
      <c r="DD349" s="135"/>
      <c r="DE349" s="135"/>
      <c r="DF349" s="135"/>
      <c r="DG349" s="135"/>
      <c r="DH349" s="135"/>
      <c r="DI349" s="135"/>
      <c r="DJ349" s="135"/>
      <c r="DK349" s="135"/>
      <c r="DL349" s="135"/>
      <c r="DM349" s="135"/>
      <c r="DN349" s="135"/>
      <c r="DO349" s="135"/>
      <c r="DP349" s="135"/>
      <c r="DQ349" s="135"/>
    </row>
    <row r="350" spans="1:121" s="123" customFormat="1">
      <c r="A350" s="141"/>
      <c r="B350" s="141"/>
      <c r="C350" s="107"/>
      <c r="D350" s="147"/>
      <c r="E350" s="107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  <c r="AJ350" s="221"/>
      <c r="AK350" s="221"/>
      <c r="AL350" s="221"/>
      <c r="AM350" s="221"/>
      <c r="AN350" s="221"/>
      <c r="AO350" s="221"/>
      <c r="AP350" s="221"/>
      <c r="AQ350" s="221"/>
      <c r="AR350" s="221"/>
      <c r="AS350" s="221"/>
      <c r="AT350" s="221"/>
      <c r="AU350" s="221"/>
      <c r="AV350" s="221"/>
      <c r="AW350" s="221"/>
      <c r="AX350" s="221"/>
      <c r="AY350" s="221"/>
      <c r="AZ350" s="221"/>
      <c r="BA350" s="221"/>
      <c r="BB350" s="221"/>
      <c r="BC350" s="221"/>
      <c r="BD350" s="221"/>
      <c r="BE350" s="221"/>
      <c r="BF350" s="221"/>
      <c r="BG350" s="221"/>
      <c r="BH350" s="221"/>
      <c r="BI350" s="221"/>
      <c r="BJ350" s="221"/>
      <c r="BK350" s="221"/>
      <c r="BL350" s="221"/>
      <c r="BM350" s="221"/>
      <c r="BN350" s="221"/>
      <c r="BO350" s="221"/>
      <c r="BP350" s="221"/>
      <c r="BQ350" s="221"/>
      <c r="BR350" s="221"/>
      <c r="BS350" s="221"/>
      <c r="BT350" s="221"/>
      <c r="BU350" s="221"/>
      <c r="BV350" s="221"/>
      <c r="BW350" s="221"/>
      <c r="BX350" s="221"/>
      <c r="BY350" s="221"/>
      <c r="BZ350" s="221"/>
      <c r="CA350" s="221"/>
      <c r="CB350" s="221"/>
      <c r="CC350" s="221"/>
      <c r="CD350" s="221"/>
      <c r="CE350" s="221"/>
      <c r="CF350" s="221"/>
      <c r="CG350" s="221"/>
      <c r="CH350" s="255"/>
      <c r="CI350" s="106"/>
      <c r="CJ350" s="106"/>
      <c r="CK350" s="106"/>
      <c r="CL350" s="106"/>
      <c r="CM350" s="106"/>
      <c r="CN350" s="106"/>
      <c r="CO350" s="106"/>
      <c r="CP350" s="106"/>
      <c r="CQ350" s="106"/>
      <c r="CR350" s="106"/>
      <c r="CS350" s="106"/>
      <c r="CT350" s="106"/>
      <c r="CU350" s="106"/>
      <c r="CV350" s="106"/>
      <c r="CW350" s="106"/>
      <c r="CX350" s="106"/>
      <c r="CY350" s="106"/>
      <c r="CZ350" s="134"/>
      <c r="DA350" s="394"/>
      <c r="DB350" s="394"/>
      <c r="DC350" s="394"/>
      <c r="DD350" s="394"/>
      <c r="DE350" s="135"/>
      <c r="DF350" s="135"/>
      <c r="DG350" s="135"/>
      <c r="DH350" s="135"/>
      <c r="DI350" s="135"/>
      <c r="DJ350" s="135"/>
      <c r="DK350" s="135"/>
      <c r="DL350" s="135"/>
      <c r="DM350" s="135"/>
      <c r="DN350" s="135"/>
      <c r="DO350" s="135"/>
      <c r="DP350" s="135"/>
      <c r="DQ350" s="135"/>
    </row>
    <row r="351" spans="1:121" s="149" customFormat="1">
      <c r="A351" s="185" t="s">
        <v>1671</v>
      </c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185"/>
      <c r="AK351" s="185"/>
      <c r="AL351" s="185"/>
      <c r="AM351" s="185"/>
      <c r="AN351" s="185"/>
      <c r="AO351" s="185"/>
      <c r="AP351" s="185"/>
      <c r="AQ351" s="185"/>
      <c r="AR351" s="185"/>
      <c r="AS351" s="185"/>
      <c r="AT351" s="185"/>
      <c r="AU351" s="185"/>
      <c r="AV351" s="185"/>
      <c r="AW351" s="185"/>
      <c r="AX351" s="185"/>
      <c r="AY351" s="185"/>
      <c r="AZ351" s="185"/>
      <c r="BA351" s="185"/>
      <c r="BB351" s="185"/>
      <c r="BC351" s="185"/>
      <c r="BD351" s="185"/>
      <c r="BE351" s="185"/>
      <c r="BF351" s="185"/>
      <c r="BG351" s="185"/>
      <c r="BH351" s="185"/>
      <c r="BI351" s="185"/>
      <c r="BJ351" s="185"/>
      <c r="BK351" s="185"/>
      <c r="BL351" s="185"/>
      <c r="BM351" s="185"/>
      <c r="BN351" s="185"/>
      <c r="BO351" s="185"/>
      <c r="BP351" s="185"/>
      <c r="BQ351" s="185"/>
      <c r="BR351" s="185"/>
      <c r="BS351" s="185"/>
      <c r="BT351" s="185"/>
      <c r="BU351" s="185"/>
      <c r="BV351" s="185"/>
      <c r="BW351" s="185"/>
      <c r="BX351" s="185"/>
      <c r="BY351" s="185"/>
      <c r="BZ351" s="185"/>
      <c r="CA351" s="185"/>
      <c r="CB351" s="185"/>
      <c r="CC351" s="185"/>
      <c r="CD351" s="185"/>
      <c r="CE351" s="185"/>
      <c r="CF351" s="185"/>
      <c r="CG351" s="185"/>
      <c r="CH351" s="256"/>
      <c r="CI351" s="185"/>
      <c r="CJ351" s="185"/>
      <c r="CK351" s="185"/>
      <c r="CL351" s="185"/>
      <c r="CM351" s="185"/>
      <c r="CN351" s="185"/>
      <c r="CO351" s="185"/>
      <c r="CP351" s="185"/>
      <c r="CQ351" s="185"/>
      <c r="CR351" s="185"/>
      <c r="CS351" s="185"/>
      <c r="CT351" s="185"/>
      <c r="CU351" s="185"/>
      <c r="CV351" s="185"/>
      <c r="CW351" s="185"/>
      <c r="CX351" s="185"/>
      <c r="CY351" s="185"/>
      <c r="CZ351" s="211"/>
      <c r="DA351" s="215"/>
      <c r="DB351" s="215"/>
      <c r="DC351" s="215"/>
      <c r="DD351" s="215"/>
      <c r="DE351" s="215"/>
      <c r="DF351" s="215"/>
      <c r="DG351" s="385"/>
      <c r="DH351" s="385"/>
      <c r="DI351" s="385"/>
      <c r="DJ351" s="385"/>
      <c r="DK351" s="385"/>
      <c r="DL351" s="385"/>
      <c r="DM351" s="385"/>
      <c r="DN351" s="385"/>
      <c r="DO351" s="182"/>
      <c r="DP351" s="182"/>
      <c r="DQ351" s="182"/>
    </row>
    <row r="352" spans="1:121">
      <c r="A352" s="141" t="s">
        <v>1243</v>
      </c>
      <c r="B352" s="149"/>
      <c r="C352" s="150"/>
      <c r="D352" s="102"/>
      <c r="E352" s="149"/>
      <c r="F352" s="271">
        <f t="shared" ref="F352:BF352" si="917">(F64+F66)/F53</f>
        <v>0.2933919645950131</v>
      </c>
      <c r="G352" s="271">
        <f t="shared" si="917"/>
        <v>0.28699514977123197</v>
      </c>
      <c r="H352" s="271">
        <f t="shared" si="917"/>
        <v>0.29142548275879765</v>
      </c>
      <c r="I352" s="271">
        <f t="shared" si="917"/>
        <v>0.30169793813087997</v>
      </c>
      <c r="J352" s="271">
        <f t="shared" si="917"/>
        <v>0.32025884808206478</v>
      </c>
      <c r="K352" s="271">
        <f t="shared" si="917"/>
        <v>0.31814291405512019</v>
      </c>
      <c r="L352" s="271">
        <f t="shared" si="917"/>
        <v>0.31002106000685992</v>
      </c>
      <c r="M352" s="271">
        <f t="shared" si="917"/>
        <v>0.29579550414390199</v>
      </c>
      <c r="N352" s="271">
        <f t="shared" si="917"/>
        <v>0.28908262007016505</v>
      </c>
      <c r="O352" s="271">
        <f t="shared" si="917"/>
        <v>0.28278721134288026</v>
      </c>
      <c r="P352" s="271">
        <f t="shared" si="917"/>
        <v>0.28927481638802749</v>
      </c>
      <c r="Q352" s="271">
        <f t="shared" si="917"/>
        <v>0.26108407281463125</v>
      </c>
      <c r="R352" s="271">
        <f t="shared" si="917"/>
        <v>0.24102407078848243</v>
      </c>
      <c r="S352" s="271">
        <f t="shared" si="917"/>
        <v>0.22575818573742062</v>
      </c>
      <c r="T352" s="271">
        <f t="shared" si="917"/>
        <v>0.22983343123235478</v>
      </c>
      <c r="U352" s="271">
        <f t="shared" si="917"/>
        <v>0.23433864600154672</v>
      </c>
      <c r="V352" s="271">
        <f t="shared" si="917"/>
        <v>0.25064254565226929</v>
      </c>
      <c r="W352" s="271">
        <f t="shared" si="917"/>
        <v>0.24179841701348387</v>
      </c>
      <c r="X352" s="271">
        <f t="shared" si="917"/>
        <v>0.2605505898991225</v>
      </c>
      <c r="Y352" s="271">
        <f t="shared" si="917"/>
        <v>0.26478138610814306</v>
      </c>
      <c r="Z352" s="271">
        <f t="shared" si="917"/>
        <v>0.24669065837251664</v>
      </c>
      <c r="AA352" s="271">
        <f t="shared" si="917"/>
        <v>0.27679527201945175</v>
      </c>
      <c r="AB352" s="271">
        <f t="shared" si="917"/>
        <v>0.3028475533337871</v>
      </c>
      <c r="AC352" s="271">
        <f t="shared" si="917"/>
        <v>0.3068776018161164</v>
      </c>
      <c r="AD352" s="271">
        <f t="shared" si="917"/>
        <v>0.31859959129474913</v>
      </c>
      <c r="AE352" s="271">
        <f t="shared" si="917"/>
        <v>0.30729100704953655</v>
      </c>
      <c r="AF352" s="271">
        <f t="shared" si="917"/>
        <v>0.36053654658978418</v>
      </c>
      <c r="AG352" s="271">
        <f t="shared" si="917"/>
        <v>0.37744948986260279</v>
      </c>
      <c r="AH352" s="271">
        <f t="shared" si="917"/>
        <v>0.4209039587845162</v>
      </c>
      <c r="AI352" s="271">
        <f t="shared" si="917"/>
        <v>0.47368640516570815</v>
      </c>
      <c r="AJ352" s="271">
        <f t="shared" si="917"/>
        <v>0.48437537386658752</v>
      </c>
      <c r="AK352" s="271">
        <f t="shared" si="917"/>
        <v>0.51513662818940775</v>
      </c>
      <c r="AL352" s="271">
        <f t="shared" si="917"/>
        <v>0.47189031114243102</v>
      </c>
      <c r="AM352" s="271">
        <f t="shared" si="917"/>
        <v>0.38122852233676979</v>
      </c>
      <c r="AN352" s="271">
        <f t="shared" si="917"/>
        <v>0.3334553473381604</v>
      </c>
      <c r="AO352" s="271">
        <f t="shared" si="917"/>
        <v>0.30324857822184031</v>
      </c>
      <c r="AP352" s="271">
        <f t="shared" si="917"/>
        <v>0.27096943319898359</v>
      </c>
      <c r="AQ352" s="271">
        <f t="shared" si="917"/>
        <v>0.28079326727154658</v>
      </c>
      <c r="AR352" s="271">
        <f t="shared" si="917"/>
        <v>0.26675698897570288</v>
      </c>
      <c r="AS352" s="271">
        <f t="shared" si="917"/>
        <v>0.18277443043157449</v>
      </c>
      <c r="AT352" s="271">
        <f t="shared" si="917"/>
        <v>0.19689700004220512</v>
      </c>
      <c r="AU352" s="271">
        <f t="shared" si="917"/>
        <v>0.22449729433879675</v>
      </c>
      <c r="AV352" s="271">
        <f t="shared" si="917"/>
        <v>0.31531838436192916</v>
      </c>
      <c r="AW352" s="271">
        <f t="shared" si="917"/>
        <v>0.39429846157636972</v>
      </c>
      <c r="AX352" s="271">
        <f t="shared" si="917"/>
        <v>0.42962012383984394</v>
      </c>
      <c r="AY352" s="271">
        <f t="shared" si="917"/>
        <v>0.43294170353362821</v>
      </c>
      <c r="AZ352" s="271">
        <f t="shared" si="917"/>
        <v>0.35763701995940156</v>
      </c>
      <c r="BA352" s="271">
        <f t="shared" si="917"/>
        <v>0.38757082693226202</v>
      </c>
      <c r="BB352" s="271">
        <f t="shared" si="917"/>
        <v>0.31798741185883544</v>
      </c>
      <c r="BC352" s="271">
        <f t="shared" si="917"/>
        <v>0.29523660754797237</v>
      </c>
      <c r="BD352" s="271">
        <f ca="1">(BD64+BD66)/BD53</f>
        <v>0.28776774169914354</v>
      </c>
      <c r="BE352" s="271">
        <f ca="1">(BE64+BE66)/BE53</f>
        <v>0.27067534460750314</v>
      </c>
      <c r="BF352" s="271">
        <f t="shared" si="917"/>
        <v>0.524341709726866</v>
      </c>
      <c r="BG352" s="271">
        <f t="shared" ref="BG352:BP352" si="918">(BG64+BG66)/BG53</f>
        <v>0.53044818789897397</v>
      </c>
      <c r="BH352" s="271">
        <f t="shared" si="918"/>
        <v>0.48233841338560401</v>
      </c>
      <c r="BI352" s="271">
        <f t="shared" si="918"/>
        <v>0.52620311705250389</v>
      </c>
      <c r="BJ352" s="271">
        <f t="shared" si="918"/>
        <v>0.48419565860648078</v>
      </c>
      <c r="BK352" s="271">
        <f t="shared" si="918"/>
        <v>0.46503043905400965</v>
      </c>
      <c r="BL352" s="271">
        <f t="shared" si="918"/>
        <v>0.44038567993359728</v>
      </c>
      <c r="BM352" s="271">
        <f t="shared" si="918"/>
        <v>0.4572913944522059</v>
      </c>
      <c r="BN352" s="271">
        <f t="shared" si="918"/>
        <v>0.46033359937784579</v>
      </c>
      <c r="BO352" s="271">
        <f t="shared" si="918"/>
        <v>0.44156361990941295</v>
      </c>
      <c r="BP352" s="271">
        <f t="shared" si="918"/>
        <v>0.46619537884536155</v>
      </c>
      <c r="BQ352" s="271">
        <f t="shared" ref="BQ352:CB352" si="919">(BQ64+BQ66)/BQ53</f>
        <v>0.4712246464325428</v>
      </c>
      <c r="BR352" s="271">
        <f t="shared" si="919"/>
        <v>0.55683646247124197</v>
      </c>
      <c r="BS352" s="271">
        <f t="shared" si="919"/>
        <v>0.5694794205762328</v>
      </c>
      <c r="BT352" s="271">
        <f t="shared" ca="1" si="919"/>
        <v>0.55738627454797784</v>
      </c>
      <c r="BU352" s="271">
        <f t="shared" ca="1" si="919"/>
        <v>0.35837147162936012</v>
      </c>
      <c r="BV352" s="271">
        <f t="shared" ca="1" si="919"/>
        <v>0.37669983097922072</v>
      </c>
      <c r="BW352" s="271">
        <f t="shared" ca="1" si="919"/>
        <v>0.41439021587944491</v>
      </c>
      <c r="BX352" s="271">
        <f t="shared" ca="1" si="919"/>
        <v>0.42345055756203909</v>
      </c>
      <c r="BY352" s="271">
        <f t="shared" ca="1" si="919"/>
        <v>0.43971426561997029</v>
      </c>
      <c r="BZ352" s="271">
        <f t="shared" ca="1" si="919"/>
        <v>0.45708484980385899</v>
      </c>
      <c r="CA352" s="271">
        <f t="shared" ca="1" si="919"/>
        <v>0.47538438354992785</v>
      </c>
      <c r="CB352" s="271">
        <f t="shared" ca="1" si="919"/>
        <v>0.4947612043077419</v>
      </c>
      <c r="CC352" s="271">
        <f ca="1">(CC64+CC66)/CC53</f>
        <v>0.51493819762372117</v>
      </c>
      <c r="CD352" s="271">
        <f ca="1">(CD64+CD66)/CD53</f>
        <v>0.53552204699656158</v>
      </c>
      <c r="CE352" s="271">
        <f ca="1">(CE64+CE66)/CE53</f>
        <v>0.55590266511196329</v>
      </c>
      <c r="CF352" s="271">
        <f ca="1">(CF64+CF66)/CF53</f>
        <v>0.57520467449489154</v>
      </c>
      <c r="CG352" s="271">
        <f ca="1">(CG64+CG66)/CG53</f>
        <v>0.59229306103357793</v>
      </c>
      <c r="CI352" s="159">
        <f t="shared" ref="CI352:CI363" si="920">BQ352-DA352</f>
        <v>0</v>
      </c>
      <c r="CJ352" s="159">
        <f t="shared" ref="CJ352:CJ363" si="921">BR352-DB352</f>
        <v>0</v>
      </c>
      <c r="CK352" s="159">
        <f t="shared" ref="CK352:CK363" si="922">BS352-DC352</f>
        <v>0</v>
      </c>
      <c r="CL352" s="159">
        <f t="shared" ref="CL352:CL363" ca="1" si="923">BT352-DD352</f>
        <v>0</v>
      </c>
      <c r="CM352" s="159">
        <f t="shared" ref="CM352:CM363" ca="1" si="924">BU352-DE352</f>
        <v>-5.3941711871143272E-3</v>
      </c>
      <c r="CN352" s="159">
        <f t="shared" ref="CN352:CN363" ca="1" si="925">BV352-DF352</f>
        <v>3.2814773435346223E-3</v>
      </c>
      <c r="CO352" s="159">
        <f t="shared" ref="CO352:CO363" ca="1" si="926">BW352-DG352</f>
        <v>2.0538977095932998E-3</v>
      </c>
      <c r="CP352" s="159">
        <f t="shared" ref="CP352:CP363" ca="1" si="927">BX352-DH352</f>
        <v>-2.1282085125595707E-4</v>
      </c>
      <c r="CQ352" s="159">
        <f t="shared" ref="CQ352:CQ363" ca="1" si="928">BY352-DI352</f>
        <v>-2.6443603177455088E-3</v>
      </c>
      <c r="CR352" s="159">
        <f t="shared" ref="CR352:CR363" ca="1" si="929">BZ352-DJ352</f>
        <v>-1.8612782733901045E-2</v>
      </c>
      <c r="CS352" s="159">
        <f t="shared" ref="CS352:CS363" ca="1" si="930">CA352-DK352</f>
        <v>-1.8649678351344401E-2</v>
      </c>
      <c r="CT352" s="159">
        <f t="shared" ref="CT352:CT363" ca="1" si="931">CB352-DL352</f>
        <v>-1.6485028562787829E-2</v>
      </c>
      <c r="CU352" s="159">
        <f t="shared" ref="CU352:CU363" ca="1" si="932">CC352-DM352</f>
        <v>-1.6669499658368281E-2</v>
      </c>
      <c r="CV352" s="159">
        <f t="shared" ref="CV352:CV415" ca="1" si="933">CD352-DN352</f>
        <v>-1.7356315586733895E-2</v>
      </c>
      <c r="CW352" s="159">
        <f t="shared" ref="CW352:CW415" ca="1" si="934">CE352-DO352</f>
        <v>-1.8292339823690384E-2</v>
      </c>
      <c r="CX352" s="159">
        <f t="shared" ref="CX352:CX415" ca="1" si="935">CF352-DP352</f>
        <v>-1.9331072784185888E-2</v>
      </c>
      <c r="CY352" s="159">
        <f t="shared" ref="CY352:CY415" ca="1" si="936">CG352-DQ352</f>
        <v>-2.0306445545612783E-2</v>
      </c>
      <c r="CZ352" s="165"/>
      <c r="DA352" s="104">
        <v>0.4712246464325428</v>
      </c>
      <c r="DB352" s="104">
        <v>0.55683646247124197</v>
      </c>
      <c r="DC352" s="104">
        <v>0.5694794205762328</v>
      </c>
      <c r="DD352" s="104">
        <v>0.55738627454797784</v>
      </c>
      <c r="DE352" s="104">
        <v>0.36376564281647444</v>
      </c>
      <c r="DF352" s="104">
        <v>0.3734183536356861</v>
      </c>
      <c r="DG352" s="104">
        <v>0.41233631816985161</v>
      </c>
      <c r="DH352" s="104">
        <v>0.42366337841329504</v>
      </c>
      <c r="DI352" s="104">
        <v>0.4423586259377158</v>
      </c>
      <c r="DJ352" s="104">
        <v>0.47569763253776004</v>
      </c>
      <c r="DK352" s="104">
        <v>0.49403406190127225</v>
      </c>
      <c r="DL352" s="104">
        <v>0.51124623287052973</v>
      </c>
      <c r="DM352" s="104">
        <v>0.53160769728208945</v>
      </c>
      <c r="DN352" s="104">
        <v>0.55287836258329548</v>
      </c>
      <c r="DO352" s="104">
        <v>0.57419500493565367</v>
      </c>
      <c r="DP352" s="104">
        <v>0.59453574727907743</v>
      </c>
      <c r="DQ352" s="104">
        <v>0.61259950657919071</v>
      </c>
    </row>
    <row r="353" spans="1:121">
      <c r="A353" s="141" t="s">
        <v>1245</v>
      </c>
      <c r="B353" s="149"/>
      <c r="C353" s="158" t="s">
        <v>1349</v>
      </c>
      <c r="D353" s="102"/>
      <c r="E353" s="149"/>
      <c r="F353" s="164">
        <f t="shared" ref="F353:BF353" si="937">100*F54/F52</f>
        <v>6.4793816818623604</v>
      </c>
      <c r="G353" s="164">
        <f t="shared" si="937"/>
        <v>6.9529019364762759</v>
      </c>
      <c r="H353" s="164">
        <f t="shared" si="937"/>
        <v>7.2708915526434836</v>
      </c>
      <c r="I353" s="164">
        <f t="shared" si="937"/>
        <v>8.7499999198593024</v>
      </c>
      <c r="J353" s="164">
        <f t="shared" si="937"/>
        <v>8.9754603256569343</v>
      </c>
      <c r="K353" s="164">
        <f t="shared" si="937"/>
        <v>9.0110494021314729</v>
      </c>
      <c r="L353" s="164">
        <f t="shared" si="937"/>
        <v>9.2160804947960671</v>
      </c>
      <c r="M353" s="164">
        <f t="shared" si="937"/>
        <v>11.362790362499924</v>
      </c>
      <c r="N353" s="164">
        <f t="shared" si="937"/>
        <v>10.83189630743318</v>
      </c>
      <c r="O353" s="164">
        <f t="shared" si="937"/>
        <v>10.249999836156794</v>
      </c>
      <c r="P353" s="164">
        <f t="shared" si="937"/>
        <v>10.981412431575643</v>
      </c>
      <c r="Q353" s="164">
        <f t="shared" si="937"/>
        <v>10.330096660791517</v>
      </c>
      <c r="R353" s="164">
        <f t="shared" si="937"/>
        <v>9.9580055872388957</v>
      </c>
      <c r="S353" s="164">
        <f t="shared" si="937"/>
        <v>9.0952380591838686</v>
      </c>
      <c r="T353" s="164">
        <f t="shared" si="937"/>
        <v>8.7246374751497058</v>
      </c>
      <c r="U353" s="164">
        <f t="shared" si="937"/>
        <v>9.5086707574106235</v>
      </c>
      <c r="V353" s="164">
        <f t="shared" si="937"/>
        <v>10.525454411167878</v>
      </c>
      <c r="W353" s="164">
        <f t="shared" si="937"/>
        <v>9.8023257126024479</v>
      </c>
      <c r="X353" s="164">
        <f t="shared" si="937"/>
        <v>10.892628236362528</v>
      </c>
      <c r="Y353" s="164">
        <f t="shared" si="937"/>
        <v>10.257731853010213</v>
      </c>
      <c r="Z353" s="164">
        <f t="shared" si="937"/>
        <v>9.6463412382388167</v>
      </c>
      <c r="AA353" s="164">
        <f t="shared" si="937"/>
        <v>10.682468338383872</v>
      </c>
      <c r="AB353" s="164">
        <f t="shared" si="937"/>
        <v>11.788810631877475</v>
      </c>
      <c r="AC353" s="164">
        <f t="shared" si="937"/>
        <v>11.937619582965082</v>
      </c>
      <c r="AD353" s="164">
        <f t="shared" si="937"/>
        <v>12.050340329930835</v>
      </c>
      <c r="AE353" s="164">
        <f t="shared" si="937"/>
        <v>11.896796926388367</v>
      </c>
      <c r="AF353" s="164">
        <f t="shared" si="937"/>
        <v>11.936473024867377</v>
      </c>
      <c r="AG353" s="164">
        <f t="shared" si="937"/>
        <v>13.048841410795372</v>
      </c>
      <c r="AH353" s="164">
        <f t="shared" si="937"/>
        <v>15.901180088134126</v>
      </c>
      <c r="AI353" s="164">
        <f t="shared" si="937"/>
        <v>17.780694853015486</v>
      </c>
      <c r="AJ353" s="164">
        <f t="shared" si="937"/>
        <v>17.639985632431635</v>
      </c>
      <c r="AK353" s="164">
        <f t="shared" si="937"/>
        <v>18.473436838693274</v>
      </c>
      <c r="AL353" s="164">
        <f t="shared" si="937"/>
        <v>19.27302965259652</v>
      </c>
      <c r="AM353" s="164">
        <f t="shared" si="937"/>
        <v>20.150917509861088</v>
      </c>
      <c r="AN353" s="164">
        <f t="shared" si="937"/>
        <v>18.927467627878027</v>
      </c>
      <c r="AO353" s="164">
        <f t="shared" si="937"/>
        <v>17.438600947197898</v>
      </c>
      <c r="AP353" s="164">
        <f t="shared" si="937"/>
        <v>13.570803295571578</v>
      </c>
      <c r="AQ353" s="164">
        <f t="shared" si="937"/>
        <v>15.11916982816336</v>
      </c>
      <c r="AR353" s="164">
        <f t="shared" si="937"/>
        <v>13.894710825506673</v>
      </c>
      <c r="AS353" s="164">
        <f t="shared" si="937"/>
        <v>6.8488132802853618</v>
      </c>
      <c r="AT353" s="164">
        <f t="shared" si="937"/>
        <v>4.2154407414711104</v>
      </c>
      <c r="AU353" s="164">
        <f t="shared" si="937"/>
        <v>4.2958195254561105</v>
      </c>
      <c r="AV353" s="164">
        <f t="shared" si="937"/>
        <v>7.4139092019708999</v>
      </c>
      <c r="AW353" s="164">
        <f t="shared" si="937"/>
        <v>8.4432157034182556</v>
      </c>
      <c r="AX353" s="164">
        <f t="shared" si="937"/>
        <v>16.513705720844399</v>
      </c>
      <c r="AY353" s="164">
        <f t="shared" si="937"/>
        <v>13.316671258577033</v>
      </c>
      <c r="AZ353" s="164">
        <f t="shared" si="937"/>
        <v>12.967743121700948</v>
      </c>
      <c r="BA353" s="164">
        <f t="shared" si="937"/>
        <v>11.704767450235851</v>
      </c>
      <c r="BB353" s="164">
        <f t="shared" si="937"/>
        <v>14.696213860461498</v>
      </c>
      <c r="BC353" s="164">
        <f t="shared" si="937"/>
        <v>12.883561459901413</v>
      </c>
      <c r="BD353" s="164">
        <f t="shared" si="937"/>
        <v>11.193271719038817</v>
      </c>
      <c r="BE353" s="164">
        <f ca="1">100*BE54/BE52</f>
        <v>10.361879527710364</v>
      </c>
      <c r="BF353" s="164">
        <f t="shared" si="937"/>
        <v>8.3676782815036841</v>
      </c>
      <c r="BG353" s="164">
        <f t="shared" ref="BG353:BP353" si="938">100*BG54/BG52</f>
        <v>8.5900378388437435</v>
      </c>
      <c r="BH353" s="164">
        <f t="shared" si="938"/>
        <v>7.8211196007465373</v>
      </c>
      <c r="BI353" s="164">
        <f t="shared" si="938"/>
        <v>9.0953526846142285</v>
      </c>
      <c r="BJ353" s="164">
        <f t="shared" si="938"/>
        <v>8.969279404772827</v>
      </c>
      <c r="BK353" s="164">
        <f t="shared" si="938"/>
        <v>8.3642402435649039</v>
      </c>
      <c r="BL353" s="164">
        <f t="shared" si="938"/>
        <v>8.0053547523427042</v>
      </c>
      <c r="BM353" s="164">
        <f t="shared" si="938"/>
        <v>8.395265296507862</v>
      </c>
      <c r="BN353" s="164">
        <f t="shared" si="938"/>
        <v>7.9409043598936044</v>
      </c>
      <c r="BO353" s="164">
        <f t="shared" si="938"/>
        <v>9.3709115363452948</v>
      </c>
      <c r="BP353" s="164">
        <f t="shared" si="938"/>
        <v>8.2200215506182968</v>
      </c>
      <c r="BQ353" s="164">
        <f t="shared" ref="BQ353:CB353" si="939">100*BQ54/BQ52</f>
        <v>7.9984190381095024</v>
      </c>
      <c r="BR353" s="164">
        <f t="shared" si="939"/>
        <v>9.3544137022397891</v>
      </c>
      <c r="BS353" s="164">
        <f t="shared" si="939"/>
        <v>11.856230958943856</v>
      </c>
      <c r="BT353" s="164">
        <f t="shared" si="939"/>
        <v>10.166381589177423</v>
      </c>
      <c r="BU353" s="164">
        <f t="shared" ca="1" si="939"/>
        <v>6.6848736413279015</v>
      </c>
      <c r="BV353" s="164">
        <f t="shared" ca="1" si="939"/>
        <v>6.3439722917853807</v>
      </c>
      <c r="BW353" s="164">
        <f t="shared" ca="1" si="939"/>
        <v>5.9163550761479771</v>
      </c>
      <c r="BX353" s="164">
        <f t="shared" ca="1" si="939"/>
        <v>5.9505144953342146</v>
      </c>
      <c r="BY353" s="164">
        <f t="shared" ca="1" si="939"/>
        <v>6.0759857892191294</v>
      </c>
      <c r="BZ353" s="164">
        <f t="shared" ca="1" si="939"/>
        <v>6.2102113103322685</v>
      </c>
      <c r="CA353" s="164">
        <f t="shared" ca="1" si="939"/>
        <v>6.3502650712382502</v>
      </c>
      <c r="CB353" s="164">
        <f t="shared" ca="1" si="939"/>
        <v>6.4975076154611342</v>
      </c>
      <c r="CC353" s="164">
        <f ca="1">100*CC54/CC52</f>
        <v>6.6480211276549941</v>
      </c>
      <c r="CD353" s="164">
        <f ca="1">100*CD54/CD52</f>
        <v>6.7967645452936249</v>
      </c>
      <c r="CE353" s="164">
        <f ca="1">100*CE54/CE52</f>
        <v>6.9365212813454074</v>
      </c>
      <c r="CF353" s="164">
        <f ca="1">100*CF54/CF52</f>
        <v>7.0575536837721193</v>
      </c>
      <c r="CG353" s="164">
        <f ca="1">100*CG54/CG52</f>
        <v>7.1478960518265238</v>
      </c>
      <c r="CI353" s="159">
        <f t="shared" si="920"/>
        <v>0</v>
      </c>
      <c r="CJ353" s="159">
        <f t="shared" si="921"/>
        <v>0</v>
      </c>
      <c r="CK353" s="159">
        <f t="shared" si="922"/>
        <v>0</v>
      </c>
      <c r="CL353" s="159">
        <f t="shared" si="923"/>
        <v>0</v>
      </c>
      <c r="CM353" s="159">
        <f t="shared" ca="1" si="924"/>
        <v>-9.2913181810271084E-2</v>
      </c>
      <c r="CN353" s="159">
        <f t="shared" ca="1" si="925"/>
        <v>5.3681067347278955E-2</v>
      </c>
      <c r="CO353" s="159">
        <f t="shared" ca="1" si="926"/>
        <v>2.9326490782795922E-2</v>
      </c>
      <c r="CP353" s="159">
        <f t="shared" ca="1" si="927"/>
        <v>-1.0770551724776922E-3</v>
      </c>
      <c r="CQ353" s="159">
        <f t="shared" ca="1" si="928"/>
        <v>-3.248373142975769E-2</v>
      </c>
      <c r="CR353" s="159">
        <f t="shared" ca="1" si="929"/>
        <v>-0.23539019447529252</v>
      </c>
      <c r="CS353" s="159">
        <f t="shared" ca="1" si="930"/>
        <v>-0.23226656233687315</v>
      </c>
      <c r="CT353" s="159">
        <f t="shared" ca="1" si="931"/>
        <v>-0.20143458760781918</v>
      </c>
      <c r="CU353" s="159">
        <f t="shared" ca="1" si="932"/>
        <v>-0.19975892015101149</v>
      </c>
      <c r="CV353" s="159">
        <f t="shared" ca="1" si="933"/>
        <v>-0.20396931813955899</v>
      </c>
      <c r="CW353" s="159">
        <f t="shared" ca="1" si="934"/>
        <v>-0.21085086716561285</v>
      </c>
      <c r="CX353" s="159">
        <f t="shared" ca="1" si="935"/>
        <v>-0.21865183348511152</v>
      </c>
      <c r="CY353" s="159">
        <f t="shared" ca="1" si="936"/>
        <v>-0.22555321368298387</v>
      </c>
      <c r="CZ353" s="165"/>
      <c r="DA353" s="104">
        <v>7.9984190381095024</v>
      </c>
      <c r="DB353" s="104">
        <v>9.3544137022397891</v>
      </c>
      <c r="DC353" s="104">
        <v>11.856230958943856</v>
      </c>
      <c r="DD353" s="104">
        <v>10.166381589177423</v>
      </c>
      <c r="DE353" s="104">
        <v>6.7777868231381726</v>
      </c>
      <c r="DF353" s="104">
        <v>6.2902912244381017</v>
      </c>
      <c r="DG353" s="104">
        <v>5.8870285853651811</v>
      </c>
      <c r="DH353" s="104">
        <v>5.9515915505066923</v>
      </c>
      <c r="DI353" s="104">
        <v>6.108469520648887</v>
      </c>
      <c r="DJ353" s="104">
        <v>6.445601504807561</v>
      </c>
      <c r="DK353" s="104">
        <v>6.5825316335751234</v>
      </c>
      <c r="DL353" s="104">
        <v>6.6989422030689534</v>
      </c>
      <c r="DM353" s="104">
        <v>6.8477800478060056</v>
      </c>
      <c r="DN353" s="104">
        <v>7.0007338634331839</v>
      </c>
      <c r="DO353" s="104">
        <v>7.1473721485110202</v>
      </c>
      <c r="DP353" s="104">
        <v>7.2762055172572309</v>
      </c>
      <c r="DQ353" s="104">
        <v>7.3734492655095076</v>
      </c>
    </row>
    <row r="354" spans="1:121">
      <c r="A354" s="107" t="s">
        <v>1979</v>
      </c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BH354" s="128"/>
      <c r="BI354" s="128"/>
      <c r="BJ354" s="128"/>
      <c r="BK354" s="128"/>
      <c r="BL354" s="128">
        <v>100</v>
      </c>
      <c r="BM354" s="128">
        <f t="shared" ref="BM354:CB354" si="940">BL354*BM355/BL355</f>
        <v>99.700956501724917</v>
      </c>
      <c r="BN354" s="128">
        <f t="shared" si="940"/>
        <v>108.09847449592219</v>
      </c>
      <c r="BO354" s="128">
        <f t="shared" si="940"/>
        <v>101.99896924402994</v>
      </c>
      <c r="BP354" s="128">
        <f t="shared" si="940"/>
        <v>78.895583725374934</v>
      </c>
      <c r="BQ354" s="128">
        <f t="shared" si="940"/>
        <v>75.054029334062534</v>
      </c>
      <c r="BR354" s="128">
        <f t="shared" si="940"/>
        <v>90.358820279293312</v>
      </c>
      <c r="BS354" s="128">
        <f t="shared" si="940"/>
        <v>91.352634413867619</v>
      </c>
      <c r="BT354" s="128">
        <f t="shared" ca="1" si="940"/>
        <v>71.497280813218254</v>
      </c>
      <c r="BU354" s="128">
        <f t="shared" ca="1" si="940"/>
        <v>56.57733988473521</v>
      </c>
      <c r="BV354" s="128">
        <f t="shared" ca="1" si="940"/>
        <v>60.134256212724921</v>
      </c>
      <c r="BW354" s="128">
        <f t="shared" ca="1" si="940"/>
        <v>67.092870064756653</v>
      </c>
      <c r="BX354" s="128">
        <f t="shared" ca="1" si="940"/>
        <v>72.108174138161843</v>
      </c>
      <c r="BY354" s="128">
        <f t="shared" ca="1" si="940"/>
        <v>79.626676454212898</v>
      </c>
      <c r="BZ354" s="128">
        <f t="shared" ca="1" si="940"/>
        <v>88.360025422066926</v>
      </c>
      <c r="CA354" s="128">
        <f t="shared" ca="1" si="940"/>
        <v>98.634517746036806</v>
      </c>
      <c r="CB354" s="128">
        <f t="shared" ca="1" si="940"/>
        <v>110.82738855615602</v>
      </c>
      <c r="CC354" s="128">
        <f ca="1">CB354*CC355/CB355</f>
        <v>125.40328746509796</v>
      </c>
      <c r="CD354" s="128">
        <f ca="1">CC354*CD355/CC355</f>
        <v>142.97911609355083</v>
      </c>
      <c r="CE354" s="128">
        <f ca="1">CD354*CE355/CD355</f>
        <v>164.34700715231654</v>
      </c>
      <c r="CF354" s="128">
        <f ca="1">CE354*CF355/CE355</f>
        <v>190.50109721372863</v>
      </c>
      <c r="CG354" s="128">
        <f ca="1">CF354*CG355/CF355</f>
        <v>222.63911530123474</v>
      </c>
      <c r="CI354" s="159">
        <f t="shared" si="920"/>
        <v>0</v>
      </c>
      <c r="CJ354" s="159">
        <f t="shared" si="921"/>
        <v>0</v>
      </c>
      <c r="CK354" s="159">
        <f t="shared" si="922"/>
        <v>0</v>
      </c>
      <c r="CL354" s="159">
        <f t="shared" ca="1" si="923"/>
        <v>0</v>
      </c>
      <c r="CM354" s="159">
        <f t="shared" ca="1" si="924"/>
        <v>-4.0494346493812756</v>
      </c>
      <c r="CN354" s="159">
        <f t="shared" ca="1" si="925"/>
        <v>-5.5403470065317606</v>
      </c>
      <c r="CO354" s="159">
        <f t="shared" ca="1" si="926"/>
        <v>-7.2919442690100595</v>
      </c>
      <c r="CP354" s="159">
        <f t="shared" ca="1" si="927"/>
        <v>-9.0959398514775813</v>
      </c>
      <c r="CQ354" s="159">
        <f t="shared" ca="1" si="928"/>
        <v>-11.520740062229535</v>
      </c>
      <c r="CR354" s="159">
        <f t="shared" ca="1" si="929"/>
        <v>-13.138674235752987</v>
      </c>
      <c r="CS354" s="159">
        <f t="shared" ca="1" si="930"/>
        <v>-14.183436026194357</v>
      </c>
      <c r="CT354" s="159">
        <f t="shared" ca="1" si="931"/>
        <v>-16.795901786857229</v>
      </c>
      <c r="CU354" s="159">
        <f t="shared" ca="1" si="932"/>
        <v>-20.726401752956903</v>
      </c>
      <c r="CV354" s="159">
        <f t="shared" ca="1" si="933"/>
        <v>-25.716388419016681</v>
      </c>
      <c r="CW354" s="159">
        <f t="shared" ca="1" si="934"/>
        <v>-31.932164842568795</v>
      </c>
      <c r="CX354" s="159">
        <f t="shared" ca="1" si="935"/>
        <v>-39.584115587531556</v>
      </c>
      <c r="CY354" s="159">
        <f t="shared" ca="1" si="936"/>
        <v>-48.86343667151769</v>
      </c>
      <c r="DA354" s="104">
        <v>75.054029334062534</v>
      </c>
      <c r="DB354" s="104">
        <v>90.358820279293312</v>
      </c>
      <c r="DC354" s="104">
        <v>91.352634413867619</v>
      </c>
      <c r="DD354" s="104">
        <v>71.497280813218254</v>
      </c>
      <c r="DE354" s="104">
        <v>60.626774534116485</v>
      </c>
      <c r="DF354" s="104">
        <v>65.674603219256682</v>
      </c>
      <c r="DG354" s="104">
        <v>74.384814333766712</v>
      </c>
      <c r="DH354" s="104">
        <v>81.204113989639424</v>
      </c>
      <c r="DI354" s="104">
        <v>91.147416516442433</v>
      </c>
      <c r="DJ354" s="104">
        <v>101.49869965781991</v>
      </c>
      <c r="DK354" s="104">
        <v>112.81795377223116</v>
      </c>
      <c r="DL354" s="104">
        <v>127.62329034301325</v>
      </c>
      <c r="DM354" s="104">
        <v>146.12968921805486</v>
      </c>
      <c r="DN354" s="104">
        <v>168.69550451256751</v>
      </c>
      <c r="DO354" s="104">
        <v>196.27917199488533</v>
      </c>
      <c r="DP354" s="104">
        <v>230.08521280126018</v>
      </c>
      <c r="DQ354" s="104">
        <v>271.50255197275243</v>
      </c>
    </row>
    <row r="355" spans="1:121">
      <c r="A355" s="141" t="s">
        <v>3249</v>
      </c>
      <c r="B355" s="149"/>
      <c r="C355" s="150"/>
      <c r="D355" s="102"/>
      <c r="E355" s="149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/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>
        <f t="shared" ref="BL355:CC355" si="941">BL64*100/BL267</f>
        <v>3216.2997553721607</v>
      </c>
      <c r="BM355" s="128">
        <f t="shared" si="941"/>
        <v>3206.6816200686831</v>
      </c>
      <c r="BN355" s="128">
        <f t="shared" si="941"/>
        <v>3476.7709707733834</v>
      </c>
      <c r="BO355" s="128">
        <f t="shared" si="941"/>
        <v>3280.5925982778608</v>
      </c>
      <c r="BP355" s="128">
        <f t="shared" si="941"/>
        <v>2537.5184663586724</v>
      </c>
      <c r="BQ355" s="128">
        <f t="shared" si="941"/>
        <v>2413.9625618684036</v>
      </c>
      <c r="BR355" s="128">
        <f t="shared" si="941"/>
        <v>2906.2105156000816</v>
      </c>
      <c r="BS355" s="128">
        <f t="shared" si="941"/>
        <v>2938.1745571792489</v>
      </c>
      <c r="BT355" s="128">
        <f t="shared" ca="1" si="941"/>
        <v>2299.5668678932857</v>
      </c>
      <c r="BU355" s="128">
        <f t="shared" ca="1" si="941"/>
        <v>1819.6968443088147</v>
      </c>
      <c r="BV355" s="128">
        <f t="shared" ca="1" si="941"/>
        <v>1934.0979354647402</v>
      </c>
      <c r="BW355" s="128">
        <f t="shared" ca="1" si="941"/>
        <v>2157.9078157649301</v>
      </c>
      <c r="BX355" s="128">
        <f t="shared" ca="1" si="941"/>
        <v>2319.2150284090312</v>
      </c>
      <c r="BY355" s="128">
        <f t="shared" ca="1" si="941"/>
        <v>2561.0326000078321</v>
      </c>
      <c r="BZ355" s="128">
        <f t="shared" ca="1" si="941"/>
        <v>2841.9232814967186</v>
      </c>
      <c r="CA355" s="128">
        <f t="shared" ca="1" si="941"/>
        <v>3172.3817529782868</v>
      </c>
      <c r="CB355" s="128">
        <f t="shared" ca="1" si="941"/>
        <v>3564.5410270169978</v>
      </c>
      <c r="CC355" s="128">
        <f t="shared" ca="1" si="941"/>
        <v>4033.3456279685988</v>
      </c>
      <c r="CD355" s="128">
        <f ca="1">CD64*100/CD267</f>
        <v>4598.6369611501441</v>
      </c>
      <c r="CE355" s="128">
        <f ca="1">CE64*100/CE267</f>
        <v>5285.8923890014075</v>
      </c>
      <c r="CF355" s="128">
        <f ca="1">CF64*100/CF267</f>
        <v>6127.0863236664427</v>
      </c>
      <c r="CG355" s="128">
        <f ca="1">CG64*100/CG267</f>
        <v>7160.7413207963336</v>
      </c>
      <c r="CI355" s="159">
        <f t="shared" si="920"/>
        <v>0</v>
      </c>
      <c r="CJ355" s="159">
        <f t="shared" si="921"/>
        <v>0</v>
      </c>
      <c r="CK355" s="159">
        <f t="shared" si="922"/>
        <v>0</v>
      </c>
      <c r="CL355" s="159">
        <f t="shared" ca="1" si="923"/>
        <v>0</v>
      </c>
      <c r="CM355" s="159">
        <f t="shared" ca="1" si="924"/>
        <v>-130.24195672200563</v>
      </c>
      <c r="CN355" s="159">
        <f t="shared" ca="1" si="925"/>
        <v>-178.19416721785001</v>
      </c>
      <c r="CO355" s="159">
        <f t="shared" ca="1" si="926"/>
        <v>-234.53078568604496</v>
      </c>
      <c r="CP355" s="159">
        <f t="shared" ca="1" si="927"/>
        <v>-292.55269119187324</v>
      </c>
      <c r="CQ355" s="159">
        <f t="shared" ca="1" si="928"/>
        <v>-370.54153443855739</v>
      </c>
      <c r="CR355" s="159">
        <f t="shared" ca="1" si="929"/>
        <v>-422.57914730367111</v>
      </c>
      <c r="CS355" s="159">
        <f t="shared" ca="1" si="930"/>
        <v>-456.18181821386224</v>
      </c>
      <c r="CT355" s="159">
        <f t="shared" ca="1" si="931"/>
        <v>-540.20654808324434</v>
      </c>
      <c r="CU355" s="159">
        <f t="shared" ca="1" si="932"/>
        <v>-666.62320887780425</v>
      </c>
      <c r="CV355" s="159">
        <f t="shared" ca="1" si="933"/>
        <v>-827.11613781139295</v>
      </c>
      <c r="CW355" s="159">
        <f t="shared" ca="1" si="934"/>
        <v>-1027.0341397165948</v>
      </c>
      <c r="CX355" s="159">
        <f t="shared" ca="1" si="935"/>
        <v>-1273.1438128080208</v>
      </c>
      <c r="CY355" s="159">
        <f t="shared" ca="1" si="936"/>
        <v>-1571.5945941324653</v>
      </c>
      <c r="CZ355" s="165"/>
      <c r="DA355" s="104">
        <v>2413.9625618684036</v>
      </c>
      <c r="DB355" s="104">
        <v>2906.2105156000816</v>
      </c>
      <c r="DC355" s="104">
        <v>2938.1745571792489</v>
      </c>
      <c r="DD355" s="104">
        <v>2299.5668678932857</v>
      </c>
      <c r="DE355" s="104">
        <v>1949.9388010308203</v>
      </c>
      <c r="DF355" s="104">
        <v>2112.2921026825902</v>
      </c>
      <c r="DG355" s="104">
        <v>2392.4386014509751</v>
      </c>
      <c r="DH355" s="104">
        <v>2611.7677196009045</v>
      </c>
      <c r="DI355" s="104">
        <v>2931.5741344463895</v>
      </c>
      <c r="DJ355" s="104">
        <v>3264.5024288003897</v>
      </c>
      <c r="DK355" s="104">
        <v>3628.5635711921491</v>
      </c>
      <c r="DL355" s="104">
        <v>4104.7475751002421</v>
      </c>
      <c r="DM355" s="104">
        <v>4699.9688368464031</v>
      </c>
      <c r="DN355" s="104">
        <v>5425.753098961537</v>
      </c>
      <c r="DO355" s="104">
        <v>6312.9265287180024</v>
      </c>
      <c r="DP355" s="104">
        <v>7400.2301364744635</v>
      </c>
      <c r="DQ355" s="104">
        <v>8732.335914928799</v>
      </c>
    </row>
    <row r="356" spans="1:121">
      <c r="A356" s="141" t="str">
        <f>+A246</f>
        <v>GDP per capita</v>
      </c>
      <c r="B356" s="149"/>
      <c r="C356" s="158" t="s">
        <v>1980</v>
      </c>
      <c r="D356" s="99"/>
      <c r="E356" s="149"/>
      <c r="F356" s="141">
        <f t="shared" ref="F356:BF356" si="942">+F246</f>
        <v>344.36994114365729</v>
      </c>
      <c r="G356" s="141">
        <f t="shared" si="942"/>
        <v>357.75354196272247</v>
      </c>
      <c r="H356" s="141">
        <f t="shared" si="942"/>
        <v>371.60927565425658</v>
      </c>
      <c r="I356" s="141">
        <f t="shared" si="942"/>
        <v>395.88729011842304</v>
      </c>
      <c r="J356" s="141">
        <f t="shared" si="942"/>
        <v>388.37276113180081</v>
      </c>
      <c r="K356" s="141">
        <f t="shared" si="942"/>
        <v>415.85838646881456</v>
      </c>
      <c r="L356" s="141">
        <f t="shared" si="942"/>
        <v>441.44845123448584</v>
      </c>
      <c r="M356" s="141">
        <f t="shared" si="942"/>
        <v>461.04373259771268</v>
      </c>
      <c r="N356" s="141">
        <f t="shared" si="942"/>
        <v>481.45001772691393</v>
      </c>
      <c r="O356" s="141">
        <f t="shared" si="942"/>
        <v>506.61200521173345</v>
      </c>
      <c r="P356" s="141">
        <f t="shared" si="942"/>
        <v>522.81644074331007</v>
      </c>
      <c r="Q356" s="141">
        <f t="shared" si="942"/>
        <v>589.86618878714182</v>
      </c>
      <c r="R356" s="141">
        <f t="shared" si="942"/>
        <v>706.35077156827572</v>
      </c>
      <c r="S356" s="141">
        <f t="shared" si="942"/>
        <v>794.68551113480851</v>
      </c>
      <c r="T356" s="141">
        <f t="shared" si="942"/>
        <v>851.29325856785874</v>
      </c>
      <c r="U356" s="141">
        <f t="shared" si="942"/>
        <v>892.73114381912308</v>
      </c>
      <c r="V356" s="141">
        <f t="shared" si="942"/>
        <v>941.02197923584436</v>
      </c>
      <c r="W356" s="141">
        <f t="shared" si="942"/>
        <v>1024.5417072277294</v>
      </c>
      <c r="X356" s="141">
        <f t="shared" si="942"/>
        <v>1109.7350342962686</v>
      </c>
      <c r="Y356" s="141">
        <f t="shared" si="942"/>
        <v>1201.2588843976039</v>
      </c>
      <c r="Z356" s="141">
        <f t="shared" si="942"/>
        <v>1462.1332404350762</v>
      </c>
      <c r="AA356" s="141">
        <f t="shared" si="942"/>
        <v>1732.8256922766618</v>
      </c>
      <c r="AB356" s="141">
        <f t="shared" si="942"/>
        <v>1934.7322283701853</v>
      </c>
      <c r="AC356" s="141">
        <f t="shared" si="942"/>
        <v>2407.1114012072385</v>
      </c>
      <c r="AD356" s="141">
        <f t="shared" si="942"/>
        <v>2720.7574497820933</v>
      </c>
      <c r="AE356" s="141">
        <f t="shared" si="942"/>
        <v>2912.8595149441198</v>
      </c>
      <c r="AF356" s="141">
        <f t="shared" si="942"/>
        <v>3029.9512970515229</v>
      </c>
      <c r="AG356" s="141">
        <f t="shared" si="942"/>
        <v>3399.6533971863491</v>
      </c>
      <c r="AH356" s="141">
        <f t="shared" si="942"/>
        <v>3424.8577222364538</v>
      </c>
      <c r="AI356" s="141">
        <f t="shared" si="942"/>
        <v>3237.3890480622731</v>
      </c>
      <c r="AJ356" s="141">
        <f t="shared" si="942"/>
        <v>3199.2975553245446</v>
      </c>
      <c r="AK356" s="141">
        <f t="shared" si="942"/>
        <v>2677.5319535483873</v>
      </c>
      <c r="AL356" s="141">
        <f t="shared" si="942"/>
        <v>2213.6591338039079</v>
      </c>
      <c r="AM356" s="141">
        <f t="shared" si="942"/>
        <v>1671.4799470062596</v>
      </c>
      <c r="AN356" s="141">
        <f t="shared" si="942"/>
        <v>1994.7984848749006</v>
      </c>
      <c r="AO356" s="141">
        <f t="shared" si="942"/>
        <v>1778.6277366970726</v>
      </c>
      <c r="AP356" s="141">
        <f>+AP246</f>
        <v>1954.8375168389889</v>
      </c>
      <c r="AQ356" s="141">
        <f>+AQ246</f>
        <v>1766.4049205963172</v>
      </c>
      <c r="AR356" s="141">
        <f>+AR246</f>
        <v>1881.3522346693326</v>
      </c>
      <c r="AS356" s="141">
        <f>+AS246</f>
        <v>1930.7630913331561</v>
      </c>
      <c r="AT356" s="141">
        <f t="shared" si="942"/>
        <v>2984.8695729283886</v>
      </c>
      <c r="AU356" s="141">
        <f t="shared" si="942"/>
        <v>1648.8492408005459</v>
      </c>
      <c r="AV356" s="141">
        <f t="shared" si="942"/>
        <v>2067.3597009964983</v>
      </c>
      <c r="AW356" s="141">
        <f t="shared" si="942"/>
        <v>2027.9239520183658</v>
      </c>
      <c r="AX356" s="141">
        <f t="shared" si="942"/>
        <v>2256.6429719807575</v>
      </c>
      <c r="AY356" s="141">
        <f t="shared" si="942"/>
        <v>1754.6484723545204</v>
      </c>
      <c r="AZ356" s="141">
        <f t="shared" si="942"/>
        <v>1841.9481856943696</v>
      </c>
      <c r="BA356" s="141">
        <f t="shared" si="942"/>
        <v>1751.9285063055233</v>
      </c>
      <c r="BB356" s="141">
        <f t="shared" si="942"/>
        <v>2215.9882294403742</v>
      </c>
      <c r="BC356" s="141">
        <f t="shared" si="942"/>
        <v>2537.6509356394054</v>
      </c>
      <c r="BD356" s="141">
        <f t="shared" si="942"/>
        <v>3014.6033242887593</v>
      </c>
      <c r="BE356" s="141">
        <f t="shared" si="942"/>
        <v>3596.0193649105704</v>
      </c>
      <c r="BF356" s="141">
        <f t="shared" si="942"/>
        <v>5170.7061941768434</v>
      </c>
      <c r="BG356" s="141">
        <f t="shared" ref="BG356:BP356" si="943">+BG246</f>
        <v>5718.8250759693947</v>
      </c>
      <c r="BH356" s="141">
        <f t="shared" si="943"/>
        <v>6786.4381391350826</v>
      </c>
      <c r="BI356" s="141">
        <f t="shared" si="943"/>
        <v>7343.7178828157103</v>
      </c>
      <c r="BJ356" s="141">
        <f t="shared" si="943"/>
        <v>8166.3504516738039</v>
      </c>
      <c r="BK356" s="141">
        <f t="shared" si="943"/>
        <v>9684.9200656082357</v>
      </c>
      <c r="BL356" s="141">
        <f t="shared" si="943"/>
        <v>10978.009845972019</v>
      </c>
      <c r="BM356" s="141">
        <f t="shared" si="943"/>
        <v>11166.440854038196</v>
      </c>
      <c r="BN356" s="141">
        <f t="shared" si="943"/>
        <v>11198.233036597994</v>
      </c>
      <c r="BO356" s="141">
        <f t="shared" si="943"/>
        <v>10432.471793967392</v>
      </c>
      <c r="BP356" s="141">
        <f t="shared" si="943"/>
        <v>5207.537984044985</v>
      </c>
      <c r="BQ356" s="141">
        <f t="shared" ref="BQ356:CB356" si="944">+BQ246</f>
        <v>5486.0003825318954</v>
      </c>
      <c r="BR356" s="141">
        <f t="shared" si="944"/>
        <v>5807.6455405289535</v>
      </c>
      <c r="BS356" s="141">
        <f t="shared" si="944"/>
        <v>5624.9589506726816</v>
      </c>
      <c r="BT356" s="141">
        <f t="shared" si="944"/>
        <v>4053.5236656992743</v>
      </c>
      <c r="BU356" s="141">
        <f t="shared" ca="1" si="944"/>
        <v>4765.4415759785143</v>
      </c>
      <c r="BV356" s="141">
        <f t="shared" ca="1" si="944"/>
        <v>5458.3645626207399</v>
      </c>
      <c r="BW356" s="141">
        <f t="shared" ca="1" si="944"/>
        <v>6013.1030133004151</v>
      </c>
      <c r="BX356" s="141">
        <f t="shared" ca="1" si="944"/>
        <v>6451.4936319295521</v>
      </c>
      <c r="BY356" s="141">
        <f t="shared" ca="1" si="944"/>
        <v>7062.1383701192772</v>
      </c>
      <c r="BZ356" s="141">
        <f t="shared" ca="1" si="944"/>
        <v>7807.6969508008797</v>
      </c>
      <c r="CA356" s="141">
        <f t="shared" ca="1" si="944"/>
        <v>8715.5527602897309</v>
      </c>
      <c r="CB356" s="141">
        <f t="shared" ca="1" si="944"/>
        <v>9844.1443528539166</v>
      </c>
      <c r="CC356" s="141">
        <f ca="1">+CC246</f>
        <v>11279.968830192332</v>
      </c>
      <c r="CD356" s="141">
        <f ca="1">+CD246</f>
        <v>13156.717457399489</v>
      </c>
      <c r="CE356" s="141">
        <f ca="1">+CE246</f>
        <v>15686.961280940524</v>
      </c>
      <c r="CF356" s="141">
        <f ca="1">+CF246</f>
        <v>19219.844949135197</v>
      </c>
      <c r="CG356" s="141">
        <f ca="1">+CG246</f>
        <v>24349.793023537844</v>
      </c>
      <c r="CH356" s="141" t="s">
        <v>1344</v>
      </c>
      <c r="CI356" s="159">
        <f t="shared" si="920"/>
        <v>0</v>
      </c>
      <c r="CJ356" s="159">
        <f t="shared" si="921"/>
        <v>0</v>
      </c>
      <c r="CK356" s="159">
        <f t="shared" si="922"/>
        <v>0</v>
      </c>
      <c r="CL356" s="159">
        <f t="shared" si="923"/>
        <v>0</v>
      </c>
      <c r="CM356" s="159">
        <f t="shared" ca="1" si="924"/>
        <v>-448.88238250059021</v>
      </c>
      <c r="CN356" s="159">
        <f t="shared" ca="1" si="925"/>
        <v>-433.17995902853818</v>
      </c>
      <c r="CO356" s="159">
        <f t="shared" ca="1" si="926"/>
        <v>-532.64919318863576</v>
      </c>
      <c r="CP356" s="159">
        <f t="shared" ca="1" si="927"/>
        <v>-676.69871845616854</v>
      </c>
      <c r="CQ356" s="159">
        <f t="shared" ca="1" si="928"/>
        <v>-871.7398741144716</v>
      </c>
      <c r="CR356" s="159">
        <f t="shared" ca="1" si="929"/>
        <v>-892.46477398112529</v>
      </c>
      <c r="CS356" s="159">
        <f t="shared" ca="1" si="930"/>
        <v>-1136.0093388718888</v>
      </c>
      <c r="CT356" s="159">
        <f t="shared" ca="1" si="931"/>
        <v>-1429.8322677639117</v>
      </c>
      <c r="CU356" s="159">
        <f t="shared" ca="1" si="932"/>
        <v>-1856.0748941149395</v>
      </c>
      <c r="CV356" s="159">
        <f t="shared" ca="1" si="933"/>
        <v>-2459.6040142763704</v>
      </c>
      <c r="CW356" s="159">
        <f t="shared" ca="1" si="934"/>
        <v>-3327.9272556031228</v>
      </c>
      <c r="CX356" s="159">
        <f t="shared" ca="1" si="935"/>
        <v>-4621.6000486216799</v>
      </c>
      <c r="CY356" s="159">
        <f t="shared" ca="1" si="936"/>
        <v>-6633.2533003242279</v>
      </c>
      <c r="CZ356" s="165"/>
      <c r="DA356" s="104">
        <v>5486.0003825318954</v>
      </c>
      <c r="DB356" s="104">
        <v>5807.6455405289535</v>
      </c>
      <c r="DC356" s="104">
        <v>5624.9589506726816</v>
      </c>
      <c r="DD356" s="104">
        <v>4053.5236656992743</v>
      </c>
      <c r="DE356" s="104">
        <v>5214.3239584791045</v>
      </c>
      <c r="DF356" s="104">
        <v>5891.5445216492781</v>
      </c>
      <c r="DG356" s="104">
        <v>6545.7522064890509</v>
      </c>
      <c r="DH356" s="104">
        <v>7128.1923503857206</v>
      </c>
      <c r="DI356" s="104">
        <v>7933.8782442337488</v>
      </c>
      <c r="DJ356" s="104">
        <v>8700.161724782005</v>
      </c>
      <c r="DK356" s="104">
        <v>9851.5620991616197</v>
      </c>
      <c r="DL356" s="104">
        <v>11273.976620617828</v>
      </c>
      <c r="DM356" s="104">
        <v>13136.043724307272</v>
      </c>
      <c r="DN356" s="104">
        <v>15616.321471675859</v>
      </c>
      <c r="DO356" s="104">
        <v>19014.888536543647</v>
      </c>
      <c r="DP356" s="104">
        <v>23841.444997756877</v>
      </c>
      <c r="DQ356" s="104">
        <v>30983.046323862072</v>
      </c>
    </row>
    <row r="357" spans="1:121">
      <c r="A357" s="141" t="s">
        <v>487</v>
      </c>
      <c r="B357" s="149"/>
      <c r="C357" s="158"/>
      <c r="D357" s="99"/>
      <c r="E357" s="149"/>
      <c r="F357" s="141">
        <f t="shared" ref="F357:AK357" si="945">F245/(F367/$BQ367)</f>
        <v>16396.810894172268</v>
      </c>
      <c r="G357" s="141">
        <f t="shared" si="945"/>
        <v>16865.40287759043</v>
      </c>
      <c r="H357" s="141">
        <f t="shared" si="945"/>
        <v>17178.430121761477</v>
      </c>
      <c r="I357" s="141">
        <f t="shared" si="945"/>
        <v>16855.938327447304</v>
      </c>
      <c r="J357" s="141">
        <f t="shared" si="945"/>
        <v>16535.987572977694</v>
      </c>
      <c r="K357" s="141">
        <f t="shared" si="945"/>
        <v>17706.260065013088</v>
      </c>
      <c r="L357" s="141">
        <f t="shared" si="945"/>
        <v>18313.879892957633</v>
      </c>
      <c r="M357" s="141">
        <f t="shared" si="945"/>
        <v>18805.348542090978</v>
      </c>
      <c r="N357" s="141">
        <f t="shared" si="945"/>
        <v>19154.799139643928</v>
      </c>
      <c r="O357" s="141">
        <f t="shared" si="945"/>
        <v>19830.790103147508</v>
      </c>
      <c r="P357" s="141">
        <f t="shared" si="945"/>
        <v>19671.874802531944</v>
      </c>
      <c r="Q357" s="141">
        <f t="shared" si="945"/>
        <v>21690.31193388133</v>
      </c>
      <c r="R357" s="141">
        <f t="shared" si="945"/>
        <v>25585.967943676242</v>
      </c>
      <c r="S357" s="141">
        <f t="shared" si="945"/>
        <v>26786.688586978595</v>
      </c>
      <c r="T357" s="141">
        <f t="shared" si="945"/>
        <v>28694.781890371196</v>
      </c>
      <c r="U357" s="141">
        <f t="shared" si="945"/>
        <v>29884.012507394888</v>
      </c>
      <c r="V357" s="141">
        <f t="shared" si="945"/>
        <v>30862.014983141758</v>
      </c>
      <c r="W357" s="141">
        <f t="shared" si="945"/>
        <v>33801.784234510757</v>
      </c>
      <c r="X357" s="141">
        <f t="shared" si="945"/>
        <v>33845.255529013295</v>
      </c>
      <c r="Y357" s="141">
        <f t="shared" si="945"/>
        <v>32685.59023493472</v>
      </c>
      <c r="Z357" s="141">
        <f t="shared" si="945"/>
        <v>34308.514132581935</v>
      </c>
      <c r="AA357" s="141">
        <f t="shared" si="945"/>
        <v>37826.445367293818</v>
      </c>
      <c r="AB357" s="141">
        <f t="shared" si="945"/>
        <v>39470.964745576741</v>
      </c>
      <c r="AC357" s="141">
        <f t="shared" si="945"/>
        <v>42036.527189818837</v>
      </c>
      <c r="AD357" s="141">
        <f t="shared" si="945"/>
        <v>44994.201496988404</v>
      </c>
      <c r="AE357" s="141">
        <f t="shared" si="945"/>
        <v>41832.768245671607</v>
      </c>
      <c r="AF357" s="141">
        <f t="shared" si="945"/>
        <v>39605.894813184161</v>
      </c>
      <c r="AG357" s="141">
        <f t="shared" si="945"/>
        <v>40878.642737436428</v>
      </c>
      <c r="AH357" s="141">
        <f t="shared" si="945"/>
        <v>37552.681321084863</v>
      </c>
      <c r="AI357" s="141">
        <f t="shared" si="945"/>
        <v>35072.491703830688</v>
      </c>
      <c r="AJ357" s="141">
        <f t="shared" si="945"/>
        <v>34609.329429266596</v>
      </c>
      <c r="AK357" s="141">
        <f t="shared" si="945"/>
        <v>32709.441908268487</v>
      </c>
      <c r="AL357" s="141">
        <f t="shared" ref="AL357:BQ357" si="946">AL245/(AL367/$BQ367)</f>
        <v>31390.779184682073</v>
      </c>
      <c r="AM357" s="141">
        <f t="shared" si="946"/>
        <v>28764.595298047745</v>
      </c>
      <c r="AN357" s="141">
        <f t="shared" si="946"/>
        <v>31016.200824656222</v>
      </c>
      <c r="AO357" s="141">
        <f t="shared" si="946"/>
        <v>32162.893601750999</v>
      </c>
      <c r="AP357" s="141">
        <f t="shared" si="946"/>
        <v>31163.900336219533</v>
      </c>
      <c r="AQ357" s="141">
        <f t="shared" si="946"/>
        <v>32126.519605041991</v>
      </c>
      <c r="AR357" s="141">
        <f t="shared" si="946"/>
        <v>32363.629851355177</v>
      </c>
      <c r="AS357" s="141">
        <f t="shared" si="946"/>
        <v>28467.292626509599</v>
      </c>
      <c r="AT357" s="141">
        <f t="shared" si="946"/>
        <v>27973.846098910388</v>
      </c>
      <c r="AU357" s="141">
        <f t="shared" si="946"/>
        <v>30107.5629197663</v>
      </c>
      <c r="AV357" s="141">
        <f t="shared" si="946"/>
        <v>30311.621365572304</v>
      </c>
      <c r="AW357" s="141">
        <f t="shared" si="946"/>
        <v>27387.773007035488</v>
      </c>
      <c r="AX357" s="141">
        <f t="shared" si="946"/>
        <v>29660.051956044234</v>
      </c>
      <c r="AY357" s="141">
        <f t="shared" si="946"/>
        <v>28901.754112193146</v>
      </c>
      <c r="AZ357" s="141">
        <f t="shared" si="946"/>
        <v>28985.110539930567</v>
      </c>
      <c r="BA357" s="141">
        <f t="shared" si="946"/>
        <v>30295.770226452609</v>
      </c>
      <c r="BB357" s="141">
        <f t="shared" si="946"/>
        <v>30594.737215382134</v>
      </c>
      <c r="BC357" s="141">
        <f t="shared" si="946"/>
        <v>31979.856061396735</v>
      </c>
      <c r="BD357" s="141">
        <f t="shared" si="946"/>
        <v>34385.679680583336</v>
      </c>
      <c r="BE357" s="141">
        <f t="shared" si="946"/>
        <v>37369.151374534515</v>
      </c>
      <c r="BF357" s="141">
        <f t="shared" si="946"/>
        <v>38647.539009467153</v>
      </c>
      <c r="BG357" s="141">
        <f t="shared" si="946"/>
        <v>40163.529176794742</v>
      </c>
      <c r="BH357" s="141">
        <f t="shared" si="946"/>
        <v>41237.564052041002</v>
      </c>
      <c r="BI357" s="141">
        <f t="shared" si="946"/>
        <v>41900.061466590189</v>
      </c>
      <c r="BJ357" s="141">
        <f t="shared" si="946"/>
        <v>43454.386989220809</v>
      </c>
      <c r="BK357" s="141">
        <f t="shared" si="946"/>
        <v>45002.734528264402</v>
      </c>
      <c r="BL357" s="141">
        <f t="shared" si="946"/>
        <v>46325.882006324333</v>
      </c>
      <c r="BM357" s="141">
        <f t="shared" si="946"/>
        <v>46940.894745001788</v>
      </c>
      <c r="BN357" s="141">
        <f t="shared" si="946"/>
        <v>46390.615585308959</v>
      </c>
      <c r="BO357" s="141">
        <f t="shared" si="946"/>
        <v>44087.845966138666</v>
      </c>
      <c r="BP357" s="141">
        <f t="shared" si="946"/>
        <v>41023.386806126407</v>
      </c>
      <c r="BQ357" s="141">
        <f t="shared" si="946"/>
        <v>41199.862872814534</v>
      </c>
      <c r="BR357" s="141">
        <f t="shared" ref="BR357:CC357" si="947">BR245/(BR367/$BQ367)</f>
        <v>41798.769453103989</v>
      </c>
      <c r="BS357" s="141">
        <f t="shared" si="947"/>
        <v>41386.145865215512</v>
      </c>
      <c r="BT357" s="141">
        <f t="shared" ca="1" si="947"/>
        <v>34355.827452808808</v>
      </c>
      <c r="BU357" s="141">
        <f t="shared" ca="1" si="947"/>
        <v>36503.657453394328</v>
      </c>
      <c r="BV357" s="141">
        <f t="shared" ca="1" si="947"/>
        <v>36890.473804833062</v>
      </c>
      <c r="BW357" s="141">
        <f t="shared" ca="1" si="947"/>
        <v>37742.293132360101</v>
      </c>
      <c r="BX357" s="141">
        <f t="shared" ca="1" si="947"/>
        <v>38758.23086253053</v>
      </c>
      <c r="BY357" s="141">
        <f t="shared" ca="1" si="947"/>
        <v>39756.849985252746</v>
      </c>
      <c r="BZ357" s="141">
        <f t="shared" ca="1" si="947"/>
        <v>40904.006937443577</v>
      </c>
      <c r="CA357" s="141">
        <f t="shared" ca="1" si="947"/>
        <v>42190.89836209645</v>
      </c>
      <c r="CB357" s="141">
        <f t="shared" ca="1" si="947"/>
        <v>43642.433055883092</v>
      </c>
      <c r="CC357" s="141">
        <f t="shared" ca="1" si="947"/>
        <v>45293.807911666292</v>
      </c>
      <c r="CD357" s="141">
        <f ca="1">CD245/(CD367/$BQ367)</f>
        <v>47189.041700440015</v>
      </c>
      <c r="CE357" s="141">
        <f ca="1">CE245/(CE367/$BQ367)</f>
        <v>49382.016230703273</v>
      </c>
      <c r="CF357" s="141">
        <f ca="1">CF245/(CF367/$BQ367)</f>
        <v>51935.926913013514</v>
      </c>
      <c r="CG357" s="141">
        <f ca="1">CG245/(CG367/$BQ367)</f>
        <v>54919.53211684298</v>
      </c>
      <c r="CH357" s="141"/>
      <c r="CI357" s="159">
        <f t="shared" si="920"/>
        <v>0</v>
      </c>
      <c r="CJ357" s="159">
        <f t="shared" si="921"/>
        <v>0</v>
      </c>
      <c r="CK357" s="159">
        <f t="shared" si="922"/>
        <v>0</v>
      </c>
      <c r="CL357" s="159">
        <f t="shared" ca="1" si="923"/>
        <v>0</v>
      </c>
      <c r="CM357" s="159">
        <f t="shared" ca="1" si="924"/>
        <v>-1674.0563321268201</v>
      </c>
      <c r="CN357" s="159">
        <f t="shared" ca="1" si="925"/>
        <v>-2099.4849165343694</v>
      </c>
      <c r="CO357" s="159">
        <f t="shared" ca="1" si="926"/>
        <v>-2468.1830428808607</v>
      </c>
      <c r="CP357" s="159">
        <f t="shared" ca="1" si="927"/>
        <v>-2933.7441125053447</v>
      </c>
      <c r="CQ357" s="159">
        <f t="shared" ca="1" si="928"/>
        <v>-3436.5561736056698</v>
      </c>
      <c r="CR357" s="159">
        <f t="shared" ca="1" si="929"/>
        <v>-2814.1795556257275</v>
      </c>
      <c r="CS357" s="159">
        <f t="shared" ca="1" si="930"/>
        <v>-3353.9935825508146</v>
      </c>
      <c r="CT357" s="159">
        <f t="shared" ca="1" si="931"/>
        <v>-4009.0197725501566</v>
      </c>
      <c r="CU357" s="159">
        <f t="shared" ca="1" si="932"/>
        <v>-4730.2445942953782</v>
      </c>
      <c r="CV357" s="159">
        <f t="shared" ca="1" si="933"/>
        <v>-5527.0613159379354</v>
      </c>
      <c r="CW357" s="159">
        <f t="shared" ca="1" si="934"/>
        <v>-6403.3510141862207</v>
      </c>
      <c r="CX357" s="159">
        <f t="shared" ca="1" si="935"/>
        <v>-7365.6830704780223</v>
      </c>
      <c r="CY357" s="159">
        <f t="shared" ca="1" si="936"/>
        <v>-8418.517978363423</v>
      </c>
      <c r="CZ357" s="165"/>
      <c r="DA357" s="104">
        <v>41199.862872814534</v>
      </c>
      <c r="DB357" s="104">
        <v>41798.769453103989</v>
      </c>
      <c r="DC357" s="104">
        <v>41386.145865215512</v>
      </c>
      <c r="DD357" s="104">
        <v>34355.827452808808</v>
      </c>
      <c r="DE357" s="104">
        <v>38177.713785521148</v>
      </c>
      <c r="DF357" s="104">
        <v>38989.958721367431</v>
      </c>
      <c r="DG357" s="104">
        <v>40210.476175240961</v>
      </c>
      <c r="DH357" s="104">
        <v>41691.974975035875</v>
      </c>
      <c r="DI357" s="104">
        <v>43193.406158858415</v>
      </c>
      <c r="DJ357" s="104">
        <v>43718.186493069305</v>
      </c>
      <c r="DK357" s="104">
        <v>45544.891944647265</v>
      </c>
      <c r="DL357" s="104">
        <v>47651.452828433248</v>
      </c>
      <c r="DM357" s="104">
        <v>50024.05250596167</v>
      </c>
      <c r="DN357" s="104">
        <v>52716.103016377951</v>
      </c>
      <c r="DO357" s="104">
        <v>55785.367244889494</v>
      </c>
      <c r="DP357" s="104">
        <v>59301.609983491537</v>
      </c>
      <c r="DQ357" s="104">
        <v>63338.050095206403</v>
      </c>
    </row>
    <row r="358" spans="1:121">
      <c r="A358" s="141" t="s">
        <v>1347</v>
      </c>
      <c r="B358" s="149"/>
      <c r="C358" s="158" t="s">
        <v>2682</v>
      </c>
      <c r="D358" s="99"/>
      <c r="E358" s="149"/>
      <c r="F358" s="128">
        <f t="shared" ref="F358:AK358" si="948">+F15/F196</f>
        <v>33.050397877984082</v>
      </c>
      <c r="G358" s="128">
        <f t="shared" si="948"/>
        <v>30.50397877984085</v>
      </c>
      <c r="H358" s="128">
        <f t="shared" si="948"/>
        <v>36.870026525198945</v>
      </c>
      <c r="I358" s="128">
        <f t="shared" si="948"/>
        <v>41.379310344827587</v>
      </c>
      <c r="J358" s="128">
        <f t="shared" si="948"/>
        <v>38.779840039321535</v>
      </c>
      <c r="K358" s="128">
        <f t="shared" si="948"/>
        <v>47.745358090185675</v>
      </c>
      <c r="L358" s="128">
        <f t="shared" si="948"/>
        <v>52.042439508817559</v>
      </c>
      <c r="M358" s="128">
        <f t="shared" si="948"/>
        <v>50.079576406301811</v>
      </c>
      <c r="N358" s="128">
        <f t="shared" si="948"/>
        <v>50.557030796688494</v>
      </c>
      <c r="O358" s="128">
        <f t="shared" si="948"/>
        <v>55.437665782493369</v>
      </c>
      <c r="P358" s="128">
        <f t="shared" si="948"/>
        <v>57.718834510216347</v>
      </c>
      <c r="Q358" s="128">
        <f t="shared" si="948"/>
        <v>70.1326243757253</v>
      </c>
      <c r="R358" s="128">
        <f t="shared" si="948"/>
        <v>103.71352785145889</v>
      </c>
      <c r="S358" s="128">
        <f t="shared" si="948"/>
        <v>118.72679206989805</v>
      </c>
      <c r="T358" s="128">
        <f t="shared" si="948"/>
        <v>130.0795739778473</v>
      </c>
      <c r="U358" s="128">
        <f t="shared" si="948"/>
        <v>148.38196934060011</v>
      </c>
      <c r="V358" s="128">
        <f t="shared" si="948"/>
        <v>155.7559714077006</v>
      </c>
      <c r="W358" s="128">
        <f t="shared" si="948"/>
        <v>180.42440642096321</v>
      </c>
      <c r="X358" s="128">
        <f t="shared" si="948"/>
        <v>204.03362028405112</v>
      </c>
      <c r="Y358" s="128">
        <f t="shared" si="948"/>
        <v>201.9607843137255</v>
      </c>
      <c r="Z358" s="128">
        <f t="shared" si="948"/>
        <v>304.42578398546925</v>
      </c>
      <c r="AA358" s="128">
        <f t="shared" si="948"/>
        <v>323.64146342130607</v>
      </c>
      <c r="AB358" s="128">
        <f t="shared" si="948"/>
        <v>346.16247866334038</v>
      </c>
      <c r="AC358" s="128">
        <f t="shared" si="948"/>
        <v>396.19048302914916</v>
      </c>
      <c r="AD358" s="128">
        <f t="shared" si="948"/>
        <v>455.7983056503852</v>
      </c>
      <c r="AE358" s="128">
        <f t="shared" si="948"/>
        <v>513.55742980786067</v>
      </c>
      <c r="AF358" s="128">
        <f t="shared" si="948"/>
        <v>612.99717152485994</v>
      </c>
      <c r="AG358" s="128">
        <f t="shared" si="948"/>
        <v>565.71427887561276</v>
      </c>
      <c r="AH358" s="128">
        <f t="shared" si="948"/>
        <v>509.52380952380952</v>
      </c>
      <c r="AI358" s="128">
        <f t="shared" si="948"/>
        <v>433.78150576636904</v>
      </c>
      <c r="AJ358" s="128">
        <f t="shared" si="948"/>
        <v>426.10642889968489</v>
      </c>
      <c r="AK358" s="128">
        <f t="shared" si="948"/>
        <v>329.09346097789989</v>
      </c>
      <c r="AL358" s="128">
        <f t="shared" ref="AL358:BQ358" si="949">+AL15/AL196</f>
        <v>259.61832091824937</v>
      </c>
      <c r="AM358" s="128">
        <f t="shared" si="949"/>
        <v>195.72798334308334</v>
      </c>
      <c r="AN358" s="128">
        <f t="shared" si="949"/>
        <v>221.0280475780724</v>
      </c>
      <c r="AO358" s="128">
        <f t="shared" si="949"/>
        <v>222.02339530105709</v>
      </c>
      <c r="AP358" s="128">
        <f t="shared" si="949"/>
        <v>175.59713335557106</v>
      </c>
      <c r="AQ358" s="128">
        <f t="shared" si="949"/>
        <v>104.21175295488597</v>
      </c>
      <c r="AR358" s="128">
        <f t="shared" si="949"/>
        <v>81.152208837851859</v>
      </c>
      <c r="AS358" s="128">
        <f t="shared" si="949"/>
        <v>794.77038189903919</v>
      </c>
      <c r="AT358" s="128">
        <f t="shared" si="949"/>
        <v>1127.3568705631158</v>
      </c>
      <c r="AU358" s="128">
        <f t="shared" si="949"/>
        <v>506.07652950334784</v>
      </c>
      <c r="AV358" s="128">
        <f t="shared" si="949"/>
        <v>478.35322194227712</v>
      </c>
      <c r="AW358" s="128">
        <f t="shared" si="949"/>
        <v>478.47157502329912</v>
      </c>
      <c r="AX358" s="128">
        <f t="shared" si="949"/>
        <v>385.39294864621991</v>
      </c>
      <c r="AY358" s="128">
        <f t="shared" si="949"/>
        <v>386.58866225764484</v>
      </c>
      <c r="AZ358" s="128">
        <f t="shared" si="949"/>
        <v>440.41416922937395</v>
      </c>
      <c r="BA358" s="128">
        <f t="shared" si="949"/>
        <v>489.76771409372503</v>
      </c>
      <c r="BB358" s="128">
        <f t="shared" si="949"/>
        <v>388.63803759567043</v>
      </c>
      <c r="BC358" s="128">
        <f t="shared" si="949"/>
        <v>581.25192579263535</v>
      </c>
      <c r="BD358" s="128">
        <f t="shared" si="949"/>
        <v>956.6452289851926</v>
      </c>
      <c r="BE358" s="128">
        <f t="shared" si="949"/>
        <v>1144.7902815843984</v>
      </c>
      <c r="BF358" s="128">
        <f t="shared" si="949"/>
        <v>1375.2679710184254</v>
      </c>
      <c r="BG358" s="128">
        <f t="shared" si="949"/>
        <v>1578.6093547891055</v>
      </c>
      <c r="BH358" s="128">
        <f t="shared" si="949"/>
        <v>1996.8702794134938</v>
      </c>
      <c r="BI358" s="128">
        <f t="shared" si="949"/>
        <v>1698.370917116677</v>
      </c>
      <c r="BJ358" s="128">
        <f t="shared" si="949"/>
        <v>2280.1733105388366</v>
      </c>
      <c r="BK358" s="128">
        <f t="shared" si="949"/>
        <v>2802.3733105388364</v>
      </c>
      <c r="BL358" s="128">
        <f t="shared" si="949"/>
        <v>2830.1733105388366</v>
      </c>
      <c r="BM358" s="128">
        <f t="shared" si="949"/>
        <v>2549.3733105388364</v>
      </c>
      <c r="BN358" s="128">
        <f t="shared" si="949"/>
        <v>2310.6733105388362</v>
      </c>
      <c r="BO358" s="128">
        <f t="shared" si="949"/>
        <v>1811.1733105388362</v>
      </c>
      <c r="BP358" s="128">
        <f t="shared" si="949"/>
        <v>1604.526917307692</v>
      </c>
      <c r="BQ358" s="128">
        <f t="shared" si="949"/>
        <v>2178.4189031291608</v>
      </c>
      <c r="BR358" s="128">
        <f t="shared" ref="BR358:CC358" si="950">+BR15/BR196</f>
        <v>2284.463208831341</v>
      </c>
      <c r="BS358" s="128">
        <f t="shared" si="950"/>
        <v>2358.1225564024389</v>
      </c>
      <c r="BT358" s="128">
        <f t="shared" si="950"/>
        <v>2430.4370200381682</v>
      </c>
      <c r="BU358" s="128">
        <f t="shared" ca="1" si="950"/>
        <v>2667.1759187104321</v>
      </c>
      <c r="BV358" s="128">
        <f t="shared" ca="1" si="950"/>
        <v>2770.8597619531874</v>
      </c>
      <c r="BW358" s="128">
        <f t="shared" ca="1" si="950"/>
        <v>2870.5883316248382</v>
      </c>
      <c r="BX358" s="128">
        <f t="shared" ca="1" si="950"/>
        <v>2973.7655045461011</v>
      </c>
      <c r="BY358" s="128">
        <f t="shared" ca="1" si="950"/>
        <v>3126.4294061384203</v>
      </c>
      <c r="BZ358" s="128">
        <f t="shared" ca="1" si="950"/>
        <v>3287.2829272721656</v>
      </c>
      <c r="CA358" s="128">
        <f t="shared" ca="1" si="950"/>
        <v>3456.7888102612255</v>
      </c>
      <c r="CB358" s="128">
        <f t="shared" ca="1" si="950"/>
        <v>3635.5342694606938</v>
      </c>
      <c r="CC358" s="128">
        <f t="shared" ca="1" si="950"/>
        <v>3824.1808964120792</v>
      </c>
      <c r="CD358" s="128">
        <f ca="1">+CD15/CD196</f>
        <v>4023.4997147196887</v>
      </c>
      <c r="CE358" s="128">
        <f ca="1">+CE15/CE196</f>
        <v>4234.4076010449271</v>
      </c>
      <c r="CF358" s="128">
        <f ca="1">+CF15/CF196</f>
        <v>4458.0205857870551</v>
      </c>
      <c r="CG358" s="128">
        <f ca="1">+CG15/CG196</f>
        <v>4695.7314180883086</v>
      </c>
      <c r="CI358" s="159">
        <f t="shared" si="920"/>
        <v>0</v>
      </c>
      <c r="CJ358" s="159">
        <f t="shared" si="921"/>
        <v>0</v>
      </c>
      <c r="CK358" s="159">
        <f t="shared" si="922"/>
        <v>0</v>
      </c>
      <c r="CL358" s="159">
        <f t="shared" si="923"/>
        <v>0</v>
      </c>
      <c r="CM358" s="159">
        <f t="shared" ca="1" si="924"/>
        <v>-0.94935124161611384</v>
      </c>
      <c r="CN358" s="159">
        <f t="shared" ca="1" si="925"/>
        <v>-54.771430762365071</v>
      </c>
      <c r="CO358" s="159">
        <f t="shared" ca="1" si="926"/>
        <v>-115.04193516373925</v>
      </c>
      <c r="CP358" s="159">
        <f t="shared" ca="1" si="927"/>
        <v>-181.094012858322</v>
      </c>
      <c r="CQ358" s="159">
        <f t="shared" ca="1" si="928"/>
        <v>-256.89732556269064</v>
      </c>
      <c r="CR358" s="159">
        <f t="shared" ca="1" si="929"/>
        <v>-341.52283626663439</v>
      </c>
      <c r="CS358" s="159">
        <f t="shared" ca="1" si="930"/>
        <v>-435.53757609393961</v>
      </c>
      <c r="CT358" s="159">
        <f t="shared" ca="1" si="931"/>
        <v>-539.84851820875383</v>
      </c>
      <c r="CU358" s="159">
        <f t="shared" ca="1" si="932"/>
        <v>-655.87306308276311</v>
      </c>
      <c r="CV358" s="159">
        <f t="shared" ca="1" si="933"/>
        <v>-784.71908155349274</v>
      </c>
      <c r="CW358" s="159">
        <f t="shared" ca="1" si="934"/>
        <v>-927.70252809111844</v>
      </c>
      <c r="CX358" s="159">
        <f t="shared" ca="1" si="935"/>
        <v>-1086.3787968026209</v>
      </c>
      <c r="CY358" s="159">
        <f t="shared" ca="1" si="936"/>
        <v>-1262.5935947739581</v>
      </c>
      <c r="CZ358" s="165"/>
      <c r="DA358" s="104">
        <v>2178.4189031291608</v>
      </c>
      <c r="DB358" s="104">
        <v>2284.463208831341</v>
      </c>
      <c r="DC358" s="104">
        <v>2358.1225564024389</v>
      </c>
      <c r="DD358" s="104">
        <v>2430.4370200381682</v>
      </c>
      <c r="DE358" s="104">
        <v>2668.1252699520483</v>
      </c>
      <c r="DF358" s="104">
        <v>2825.6311927155525</v>
      </c>
      <c r="DG358" s="104">
        <v>2985.6302667885775</v>
      </c>
      <c r="DH358" s="104">
        <v>3154.8595174044231</v>
      </c>
      <c r="DI358" s="104">
        <v>3383.3267317011109</v>
      </c>
      <c r="DJ358" s="104">
        <v>3628.8057635388</v>
      </c>
      <c r="DK358" s="104">
        <v>3892.3263863551651</v>
      </c>
      <c r="DL358" s="104">
        <v>4175.3827876694477</v>
      </c>
      <c r="DM358" s="104">
        <v>4480.0539594948423</v>
      </c>
      <c r="DN358" s="104">
        <v>4808.2187962731814</v>
      </c>
      <c r="DO358" s="104">
        <v>5162.1101291360455</v>
      </c>
      <c r="DP358" s="104">
        <v>5544.399382589676</v>
      </c>
      <c r="DQ358" s="104">
        <v>5958.3250128622667</v>
      </c>
    </row>
    <row r="359" spans="1:121">
      <c r="A359" s="141" t="s">
        <v>1687</v>
      </c>
      <c r="B359" s="149"/>
      <c r="C359" s="150"/>
      <c r="D359" s="99"/>
      <c r="E359" s="149"/>
      <c r="F359" s="128">
        <f>+G359/(1+G29/100)</f>
        <v>86.572059189332307</v>
      </c>
      <c r="G359" s="128">
        <f>+H359/(1+H29/100)</f>
        <v>82.458184512613471</v>
      </c>
      <c r="H359" s="128">
        <v>100</v>
      </c>
      <c r="I359" s="128">
        <f t="shared" ref="I359:AN359" si="951">+H359*(1+I29/100)</f>
        <v>97.257038038526403</v>
      </c>
      <c r="J359" s="128">
        <f t="shared" si="951"/>
        <v>83.686549865037676</v>
      </c>
      <c r="K359" s="128">
        <f t="shared" si="951"/>
        <v>100.16334258705876</v>
      </c>
      <c r="L359" s="128">
        <f t="shared" si="951"/>
        <v>111.83256098756863</v>
      </c>
      <c r="M359" s="128">
        <f t="shared" si="951"/>
        <v>107.20300501151958</v>
      </c>
      <c r="N359" s="128">
        <f t="shared" si="951"/>
        <v>106.0534510157338</v>
      </c>
      <c r="O359" s="128">
        <f t="shared" si="951"/>
        <v>118.68947605613216</v>
      </c>
      <c r="P359" s="128">
        <f t="shared" si="951"/>
        <v>126.31324220549016</v>
      </c>
      <c r="Q359" s="128">
        <f t="shared" si="951"/>
        <v>151.26360326056968</v>
      </c>
      <c r="R359" s="128">
        <f t="shared" si="951"/>
        <v>201.1656552982129</v>
      </c>
      <c r="S359" s="128">
        <f t="shared" si="951"/>
        <v>222.74601653858352</v>
      </c>
      <c r="T359" s="128">
        <f t="shared" si="951"/>
        <v>237.7654376567823</v>
      </c>
      <c r="U359" s="128">
        <f t="shared" si="951"/>
        <v>259.78206226406371</v>
      </c>
      <c r="V359" s="128">
        <f t="shared" si="951"/>
        <v>255.45309553485276</v>
      </c>
      <c r="W359" s="128">
        <f t="shared" si="951"/>
        <v>287.59265991864953</v>
      </c>
      <c r="X359" s="128">
        <f t="shared" si="951"/>
        <v>305.50721069045295</v>
      </c>
      <c r="Y359" s="128">
        <f t="shared" si="951"/>
        <v>300.38099972065453</v>
      </c>
      <c r="Z359" s="128">
        <f t="shared" si="951"/>
        <v>314.21411832154507</v>
      </c>
      <c r="AA359" s="128">
        <f t="shared" si="951"/>
        <v>288.34833025538012</v>
      </c>
      <c r="AB359" s="128">
        <f t="shared" si="951"/>
        <v>279.99690353334546</v>
      </c>
      <c r="AC359" s="128">
        <f t="shared" si="951"/>
        <v>286.67976934042929</v>
      </c>
      <c r="AD359" s="128">
        <f t="shared" si="951"/>
        <v>311.76887512120118</v>
      </c>
      <c r="AE359" s="128">
        <f t="shared" si="951"/>
        <v>327.23282392814167</v>
      </c>
      <c r="AF359" s="128">
        <f t="shared" si="951"/>
        <v>329.17574541114624</v>
      </c>
      <c r="AG359" s="128">
        <f t="shared" si="951"/>
        <v>279.52495748976304</v>
      </c>
      <c r="AH359" s="128">
        <f t="shared" si="951"/>
        <v>280.18529923690033</v>
      </c>
      <c r="AI359" s="128">
        <f t="shared" si="951"/>
        <v>261.27359649381901</v>
      </c>
      <c r="AJ359" s="128">
        <f t="shared" si="951"/>
        <v>244.73073943357556</v>
      </c>
      <c r="AK359" s="128">
        <f t="shared" si="951"/>
        <v>273.54392074512941</v>
      </c>
      <c r="AL359" s="128">
        <f t="shared" si="951"/>
        <v>253.95827054052504</v>
      </c>
      <c r="AM359" s="128">
        <f t="shared" si="951"/>
        <v>269.16838021538211</v>
      </c>
      <c r="AN359" s="128">
        <f t="shared" si="951"/>
        <v>243.85639152378747</v>
      </c>
      <c r="AO359" s="128">
        <f t="shared" ref="AO359:BT359" si="952">+AN359*(1+AO29/100)</f>
        <v>227.31390774207668</v>
      </c>
      <c r="AP359" s="128">
        <f t="shared" si="952"/>
        <v>216.96581725801454</v>
      </c>
      <c r="AQ359" s="128">
        <f t="shared" si="952"/>
        <v>203.40427482531274</v>
      </c>
      <c r="AR359" s="128">
        <f t="shared" si="952"/>
        <v>232.16536134918022</v>
      </c>
      <c r="AS359" s="128">
        <f t="shared" si="952"/>
        <v>217.1428549908097</v>
      </c>
      <c r="AT359" s="128">
        <f t="shared" si="952"/>
        <v>211.61935902426922</v>
      </c>
      <c r="AU359" s="128">
        <f t="shared" si="952"/>
        <v>237.56249879471224</v>
      </c>
      <c r="AV359" s="128">
        <f t="shared" si="952"/>
        <v>214.65327812124335</v>
      </c>
      <c r="AW359" s="128">
        <f t="shared" si="952"/>
        <v>223.42271090786468</v>
      </c>
      <c r="AX359" s="128">
        <f t="shared" si="952"/>
        <v>216.86413401172899</v>
      </c>
      <c r="AY359" s="128">
        <f t="shared" si="952"/>
        <v>226.58984144662372</v>
      </c>
      <c r="AZ359" s="128">
        <f t="shared" si="952"/>
        <v>240.1030117203963</v>
      </c>
      <c r="BA359" s="128">
        <f t="shared" si="952"/>
        <v>259.66464717825994</v>
      </c>
      <c r="BB359" s="128">
        <f t="shared" si="952"/>
        <v>231.13184029201324</v>
      </c>
      <c r="BC359" s="128">
        <f t="shared" si="952"/>
        <v>320.333704289769</v>
      </c>
      <c r="BD359" s="128">
        <f t="shared" si="952"/>
        <v>437.65021541191385</v>
      </c>
      <c r="BE359" s="128">
        <f t="shared" si="952"/>
        <v>480.40082899283482</v>
      </c>
      <c r="BF359" s="128">
        <f t="shared" si="952"/>
        <v>456.7689563992721</v>
      </c>
      <c r="BG359" s="128">
        <f t="shared" si="952"/>
        <v>465.55710779067164</v>
      </c>
      <c r="BH359" s="128">
        <f t="shared" si="952"/>
        <v>523.74834932766771</v>
      </c>
      <c r="BI359" s="128">
        <f t="shared" si="952"/>
        <v>504.02205230751991</v>
      </c>
      <c r="BJ359" s="128">
        <f t="shared" si="952"/>
        <v>518.5899519454498</v>
      </c>
      <c r="BK359" s="128">
        <f t="shared" si="952"/>
        <v>542.13005805662351</v>
      </c>
      <c r="BL359" s="128">
        <f t="shared" si="952"/>
        <v>536.39065719362554</v>
      </c>
      <c r="BM359" s="128">
        <f t="shared" si="952"/>
        <v>541.82015898705981</v>
      </c>
      <c r="BN359" s="128">
        <f t="shared" si="952"/>
        <v>526.54337481938512</v>
      </c>
      <c r="BO359" s="128">
        <f t="shared" si="952"/>
        <v>453.2013072258265</v>
      </c>
      <c r="BP359" s="128">
        <f t="shared" ca="1" si="952"/>
        <v>366.5005880064117</v>
      </c>
      <c r="BQ359" s="128">
        <f t="shared" ca="1" si="952"/>
        <v>494.48615559388401</v>
      </c>
      <c r="BR359" s="128">
        <f t="shared" ca="1" si="952"/>
        <v>509.6462460397712</v>
      </c>
      <c r="BS359" s="128">
        <f t="shared" ca="1" si="952"/>
        <v>494.45163714621697</v>
      </c>
      <c r="BT359" s="128">
        <f t="shared" ca="1" si="952"/>
        <v>469.84216539717318</v>
      </c>
      <c r="BU359" s="128">
        <f t="shared" ref="BU359:CC359" ca="1" si="953">+BT359*(1+BU29/100)</f>
        <v>507.03926527928922</v>
      </c>
      <c r="BV359" s="128">
        <f t="shared" ca="1" si="953"/>
        <v>517.95824052537148</v>
      </c>
      <c r="BW359" s="128">
        <f t="shared" ca="1" si="953"/>
        <v>529.12062942901946</v>
      </c>
      <c r="BX359" s="128">
        <f t="shared" ca="1" si="953"/>
        <v>540.53393690631526</v>
      </c>
      <c r="BY359" s="128">
        <f t="shared" ca="1" si="953"/>
        <v>552.20659901607462</v>
      </c>
      <c r="BZ359" s="128">
        <f t="shared" ca="1" si="953"/>
        <v>564.13246905244227</v>
      </c>
      <c r="CA359" s="128">
        <f t="shared" ca="1" si="953"/>
        <v>576.31764089512706</v>
      </c>
      <c r="CB359" s="128">
        <f t="shared" ca="1" si="953"/>
        <v>588.76855244375884</v>
      </c>
      <c r="CC359" s="128">
        <f t="shared" ca="1" si="953"/>
        <v>601.49197905549056</v>
      </c>
      <c r="CD359" s="128">
        <f ca="1">+CC359*(1+CD29/100)</f>
        <v>614.49511552743638</v>
      </c>
      <c r="CE359" s="128">
        <f ca="1">+CD359*(1+CE29/100)</f>
        <v>627.78567649122544</v>
      </c>
      <c r="CF359" s="128">
        <f ca="1">+CE359*(1+CF29/100)</f>
        <v>641.37203184436396</v>
      </c>
      <c r="CG359" s="128">
        <f ca="1">+CF359*(1+CG29/100)</f>
        <v>655.26338966247692</v>
      </c>
      <c r="CI359" s="159">
        <f t="shared" ca="1" si="920"/>
        <v>0</v>
      </c>
      <c r="CJ359" s="159">
        <f t="shared" ca="1" si="921"/>
        <v>0</v>
      </c>
      <c r="CK359" s="159">
        <f t="shared" ca="1" si="922"/>
        <v>0</v>
      </c>
      <c r="CL359" s="159">
        <f t="shared" ca="1" si="923"/>
        <v>0</v>
      </c>
      <c r="CM359" s="159">
        <f t="shared" ca="1" si="924"/>
        <v>0.15684302007599626</v>
      </c>
      <c r="CN359" s="159">
        <f t="shared" ca="1" si="925"/>
        <v>-10.184617969193596</v>
      </c>
      <c r="CO359" s="159">
        <f t="shared" ca="1" si="926"/>
        <v>-21.179794652311898</v>
      </c>
      <c r="CP359" s="159">
        <f t="shared" ca="1" si="927"/>
        <v>-32.860807546272326</v>
      </c>
      <c r="CQ359" s="159">
        <f t="shared" ca="1" si="928"/>
        <v>-45.262508211775867</v>
      </c>
      <c r="CR359" s="159">
        <f t="shared" ca="1" si="929"/>
        <v>-58.420033320762514</v>
      </c>
      <c r="CS359" s="159">
        <f t="shared" ca="1" si="930"/>
        <v>-72.369915229820322</v>
      </c>
      <c r="CT359" s="159">
        <f t="shared" ca="1" si="931"/>
        <v>-87.150685555089126</v>
      </c>
      <c r="CU359" s="159">
        <f t="shared" ca="1" si="932"/>
        <v>-102.80333502207793</v>
      </c>
      <c r="CV359" s="159">
        <f t="shared" ca="1" si="933"/>
        <v>-119.37048898478702</v>
      </c>
      <c r="CW359" s="159">
        <f t="shared" ca="1" si="934"/>
        <v>-136.89689909230037</v>
      </c>
      <c r="CX359" s="159">
        <f t="shared" ca="1" si="935"/>
        <v>-155.42962475593765</v>
      </c>
      <c r="CY359" s="159">
        <f t="shared" ca="1" si="936"/>
        <v>-175.01824680956747</v>
      </c>
      <c r="CZ359" s="165"/>
      <c r="DA359" s="104">
        <v>494.48615559388401</v>
      </c>
      <c r="DB359" s="104">
        <v>509.6462460397712</v>
      </c>
      <c r="DC359" s="104">
        <v>494.45163714621697</v>
      </c>
      <c r="DD359" s="104">
        <v>469.84216539717318</v>
      </c>
      <c r="DE359" s="104">
        <v>506.88242225921323</v>
      </c>
      <c r="DF359" s="104">
        <v>528.14285849456508</v>
      </c>
      <c r="DG359" s="104">
        <v>550.30042408133136</v>
      </c>
      <c r="DH359" s="104">
        <v>573.39474445258759</v>
      </c>
      <c r="DI359" s="104">
        <v>597.46910722785049</v>
      </c>
      <c r="DJ359" s="104">
        <v>622.55250237320479</v>
      </c>
      <c r="DK359" s="104">
        <v>648.68755612494738</v>
      </c>
      <c r="DL359" s="104">
        <v>675.91923799884796</v>
      </c>
      <c r="DM359" s="104">
        <v>704.29531407756849</v>
      </c>
      <c r="DN359" s="104">
        <v>733.8656045122234</v>
      </c>
      <c r="DO359" s="104">
        <v>764.68257558352582</v>
      </c>
      <c r="DP359" s="104">
        <v>796.80165660030161</v>
      </c>
      <c r="DQ359" s="104">
        <v>830.2816364720444</v>
      </c>
    </row>
    <row r="360" spans="1:121">
      <c r="A360" s="141" t="s">
        <v>1990</v>
      </c>
      <c r="B360" s="149"/>
      <c r="C360" s="128" t="s">
        <v>1320</v>
      </c>
      <c r="D360" s="99"/>
      <c r="E360" s="149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>
        <f t="shared" ref="BQ360:CC360" si="954">100*BQ119/BQ17</f>
        <v>0</v>
      </c>
      <c r="BR360" s="128">
        <f t="shared" si="954"/>
        <v>0</v>
      </c>
      <c r="BS360" s="128">
        <f t="shared" si="954"/>
        <v>0</v>
      </c>
      <c r="BT360" s="128">
        <f t="shared" si="954"/>
        <v>0</v>
      </c>
      <c r="BU360" s="128">
        <f t="shared" ca="1" si="954"/>
        <v>0</v>
      </c>
      <c r="BV360" s="128">
        <f t="shared" ca="1" si="954"/>
        <v>0</v>
      </c>
      <c r="BW360" s="128">
        <f t="shared" ca="1" si="954"/>
        <v>0</v>
      </c>
      <c r="BX360" s="128">
        <f t="shared" ca="1" si="954"/>
        <v>0</v>
      </c>
      <c r="BY360" s="128">
        <f t="shared" ca="1" si="954"/>
        <v>0</v>
      </c>
      <c r="BZ360" s="128">
        <f t="shared" ca="1" si="954"/>
        <v>0</v>
      </c>
      <c r="CA360" s="128">
        <f t="shared" ca="1" si="954"/>
        <v>0</v>
      </c>
      <c r="CB360" s="128">
        <f t="shared" ca="1" si="954"/>
        <v>0</v>
      </c>
      <c r="CC360" s="128">
        <f t="shared" ca="1" si="954"/>
        <v>0</v>
      </c>
      <c r="CD360" s="128">
        <f ca="1">100*CD119/CD17</f>
        <v>0</v>
      </c>
      <c r="CE360" s="128">
        <f ca="1">100*CE119/CE17</f>
        <v>0</v>
      </c>
      <c r="CF360" s="128">
        <f ca="1">100*CF119/CF17</f>
        <v>0</v>
      </c>
      <c r="CG360" s="128">
        <f ca="1">100*CG119/CG17</f>
        <v>0</v>
      </c>
      <c r="CI360" s="159">
        <f t="shared" si="920"/>
        <v>0</v>
      </c>
      <c r="CJ360" s="159">
        <f t="shared" si="921"/>
        <v>0</v>
      </c>
      <c r="CK360" s="159">
        <f t="shared" si="922"/>
        <v>0</v>
      </c>
      <c r="CL360" s="159">
        <f t="shared" si="923"/>
        <v>0</v>
      </c>
      <c r="CM360" s="159">
        <f t="shared" ca="1" si="924"/>
        <v>0</v>
      </c>
      <c r="CN360" s="159">
        <f t="shared" ca="1" si="925"/>
        <v>0</v>
      </c>
      <c r="CO360" s="159">
        <f t="shared" ca="1" si="926"/>
        <v>0</v>
      </c>
      <c r="CP360" s="159">
        <f t="shared" ca="1" si="927"/>
        <v>0</v>
      </c>
      <c r="CQ360" s="159">
        <f t="shared" ca="1" si="928"/>
        <v>0</v>
      </c>
      <c r="CR360" s="159">
        <f t="shared" ca="1" si="929"/>
        <v>0</v>
      </c>
      <c r="CS360" s="159">
        <f t="shared" ca="1" si="930"/>
        <v>0</v>
      </c>
      <c r="CT360" s="159">
        <f t="shared" ca="1" si="931"/>
        <v>0</v>
      </c>
      <c r="CU360" s="159">
        <f t="shared" ca="1" si="932"/>
        <v>0</v>
      </c>
      <c r="CV360" s="159">
        <f t="shared" ca="1" si="933"/>
        <v>0</v>
      </c>
      <c r="CW360" s="159">
        <f t="shared" ca="1" si="934"/>
        <v>0</v>
      </c>
      <c r="CX360" s="159">
        <f t="shared" ca="1" si="935"/>
        <v>0</v>
      </c>
      <c r="CY360" s="159">
        <f t="shared" ca="1" si="936"/>
        <v>0</v>
      </c>
      <c r="CZ360" s="165"/>
      <c r="DA360" s="104">
        <v>0</v>
      </c>
      <c r="DB360" s="104">
        <v>0</v>
      </c>
      <c r="DC360" s="104">
        <v>0</v>
      </c>
      <c r="DD360" s="104">
        <v>0</v>
      </c>
      <c r="DE360" s="104">
        <v>0</v>
      </c>
      <c r="DF360" s="104">
        <v>0</v>
      </c>
      <c r="DG360" s="104">
        <v>0</v>
      </c>
      <c r="DH360" s="104">
        <v>0</v>
      </c>
      <c r="DI360" s="104">
        <v>0</v>
      </c>
      <c r="DJ360" s="104">
        <v>0</v>
      </c>
      <c r="DK360" s="104">
        <v>0</v>
      </c>
      <c r="DL360" s="104">
        <v>0</v>
      </c>
      <c r="DM360" s="104">
        <v>0</v>
      </c>
      <c r="DN360" s="104">
        <v>0</v>
      </c>
      <c r="DO360" s="104">
        <v>0</v>
      </c>
      <c r="DP360" s="104">
        <v>0</v>
      </c>
      <c r="DQ360" s="104">
        <v>0</v>
      </c>
    </row>
    <row r="361" spans="1:121">
      <c r="A361" s="128" t="str">
        <f>+A309</f>
        <v xml:space="preserve">Government Debt </v>
      </c>
      <c r="B361" s="123" t="s">
        <v>1344</v>
      </c>
      <c r="C361" s="128" t="s">
        <v>1320</v>
      </c>
      <c r="D361" s="99"/>
      <c r="E361" s="149"/>
      <c r="F361" s="128">
        <f t="shared" ref="F361:BF361" si="955">+F309</f>
        <v>0</v>
      </c>
      <c r="G361" s="128">
        <f t="shared" si="955"/>
        <v>0</v>
      </c>
      <c r="H361" s="128">
        <f t="shared" si="955"/>
        <v>0</v>
      </c>
      <c r="I361" s="128">
        <f t="shared" si="955"/>
        <v>0</v>
      </c>
      <c r="J361" s="128">
        <f t="shared" si="955"/>
        <v>0</v>
      </c>
      <c r="K361" s="128">
        <f t="shared" si="955"/>
        <v>0</v>
      </c>
      <c r="L361" s="128">
        <f t="shared" si="955"/>
        <v>0</v>
      </c>
      <c r="M361" s="128">
        <f t="shared" si="955"/>
        <v>0</v>
      </c>
      <c r="N361" s="128">
        <f t="shared" si="955"/>
        <v>0</v>
      </c>
      <c r="O361" s="128">
        <f t="shared" si="955"/>
        <v>0</v>
      </c>
      <c r="P361" s="128">
        <f t="shared" si="955"/>
        <v>0</v>
      </c>
      <c r="Q361" s="128">
        <f t="shared" si="955"/>
        <v>0</v>
      </c>
      <c r="R361" s="128">
        <f t="shared" si="955"/>
        <v>0</v>
      </c>
      <c r="S361" s="128">
        <f t="shared" si="955"/>
        <v>0</v>
      </c>
      <c r="T361" s="128">
        <f t="shared" si="955"/>
        <v>0</v>
      </c>
      <c r="U361" s="128">
        <f t="shared" si="955"/>
        <v>0</v>
      </c>
      <c r="V361" s="128">
        <f t="shared" si="955"/>
        <v>0</v>
      </c>
      <c r="W361" s="128">
        <f t="shared" si="955"/>
        <v>0</v>
      </c>
      <c r="X361" s="128">
        <f t="shared" si="955"/>
        <v>0</v>
      </c>
      <c r="Y361" s="128">
        <f t="shared" si="955"/>
        <v>0</v>
      </c>
      <c r="Z361" s="128">
        <f t="shared" si="955"/>
        <v>0</v>
      </c>
      <c r="AA361" s="128">
        <f t="shared" si="955"/>
        <v>0</v>
      </c>
      <c r="AB361" s="128">
        <f t="shared" si="955"/>
        <v>0</v>
      </c>
      <c r="AC361" s="128">
        <f t="shared" si="955"/>
        <v>0</v>
      </c>
      <c r="AD361" s="128">
        <f t="shared" si="955"/>
        <v>0</v>
      </c>
      <c r="AE361" s="128">
        <f t="shared" si="955"/>
        <v>0</v>
      </c>
      <c r="AF361" s="128">
        <f t="shared" si="955"/>
        <v>0</v>
      </c>
      <c r="AG361" s="128">
        <f t="shared" si="955"/>
        <v>0</v>
      </c>
      <c r="AH361" s="128">
        <f t="shared" si="955"/>
        <v>0</v>
      </c>
      <c r="AI361" s="128">
        <f t="shared" si="955"/>
        <v>0</v>
      </c>
      <c r="AJ361" s="128">
        <f t="shared" si="955"/>
        <v>0</v>
      </c>
      <c r="AK361" s="128">
        <f t="shared" si="955"/>
        <v>0</v>
      </c>
      <c r="AL361" s="128">
        <f t="shared" si="955"/>
        <v>0</v>
      </c>
      <c r="AM361" s="128">
        <f t="shared" si="955"/>
        <v>0</v>
      </c>
      <c r="AN361" s="128">
        <f t="shared" si="955"/>
        <v>0</v>
      </c>
      <c r="AO361" s="128">
        <f t="shared" si="955"/>
        <v>91.783411733312803</v>
      </c>
      <c r="AP361" s="128">
        <f t="shared" si="955"/>
        <v>85.877958507911075</v>
      </c>
      <c r="AQ361" s="128">
        <f t="shared" si="955"/>
        <v>88.841774346067083</v>
      </c>
      <c r="AR361" s="128">
        <f t="shared" si="955"/>
        <v>72.374361609878321</v>
      </c>
      <c r="AS361" s="128">
        <f t="shared" si="955"/>
        <v>42.040746330086435</v>
      </c>
      <c r="AT361" s="128">
        <f t="shared" si="955"/>
        <v>7.5182409781108266</v>
      </c>
      <c r="AU361" s="128">
        <f t="shared" si="955"/>
        <v>24.71416467386149</v>
      </c>
      <c r="AV361" s="128">
        <f t="shared" si="955"/>
        <v>19.271639222293636</v>
      </c>
      <c r="AW361" s="128">
        <f t="shared" si="955"/>
        <v>20.199864302589742</v>
      </c>
      <c r="AX361" s="128">
        <f t="shared" si="955"/>
        <v>24.672773101678896</v>
      </c>
      <c r="AY361" s="128">
        <f t="shared" si="955"/>
        <v>41.898585691607302</v>
      </c>
      <c r="AZ361" s="128">
        <f t="shared" si="955"/>
        <v>39.74493899324262</v>
      </c>
      <c r="BA361" s="128">
        <f t="shared" si="955"/>
        <v>39.268966129643282</v>
      </c>
      <c r="BB361" s="128">
        <f t="shared" si="955"/>
        <v>39.437970446320861</v>
      </c>
      <c r="BC361" s="128">
        <f t="shared" si="955"/>
        <v>33.617609044680584</v>
      </c>
      <c r="BD361" s="128">
        <f t="shared" si="955"/>
        <v>28.687648798521259</v>
      </c>
      <c r="BE361" s="128">
        <f ca="1">+BE309</f>
        <v>26.389297350035378</v>
      </c>
      <c r="BF361" s="128">
        <f t="shared" si="955"/>
        <v>29.200838155502829</v>
      </c>
      <c r="BG361" s="128">
        <f t="shared" ref="BG361:BP361" si="956">+BG309</f>
        <v>22.973760932944607</v>
      </c>
      <c r="BH361" s="128">
        <f t="shared" si="956"/>
        <v>27.868345345995603</v>
      </c>
      <c r="BI361" s="128">
        <f t="shared" si="956"/>
        <v>27.627274778162132</v>
      </c>
      <c r="BJ361" s="128">
        <f t="shared" si="956"/>
        <v>27.523417885175206</v>
      </c>
      <c r="BK361" s="128">
        <f t="shared" si="956"/>
        <v>26.846803210628288</v>
      </c>
      <c r="BL361" s="128">
        <f t="shared" si="956"/>
        <v>27.295850066934406</v>
      </c>
      <c r="BM361" s="128">
        <f t="shared" si="956"/>
        <v>35.606265826511979</v>
      </c>
      <c r="BN361" s="128">
        <f t="shared" si="956"/>
        <v>33.251994911530012</v>
      </c>
      <c r="BO361" s="128">
        <f t="shared" si="956"/>
        <v>53.333740906034109</v>
      </c>
      <c r="BP361" s="128">
        <f t="shared" si="956"/>
        <v>49.031761506490838</v>
      </c>
      <c r="BQ361" s="128">
        <f t="shared" ref="BQ361:CB361" si="957">+BQ309</f>
        <v>73.797200033283403</v>
      </c>
      <c r="BR361" s="128">
        <f t="shared" si="957"/>
        <v>72.50454545454545</v>
      </c>
      <c r="BS361" s="128">
        <f t="shared" si="957"/>
        <v>81.037512694037432</v>
      </c>
      <c r="BT361" s="128">
        <f t="shared" si="957"/>
        <v>94.480732477336787</v>
      </c>
      <c r="BU361" s="128">
        <f t="shared" ca="1" si="957"/>
        <v>68.046120302841643</v>
      </c>
      <c r="BV361" s="128">
        <f t="shared" ca="1" si="957"/>
        <v>58.477269381188478</v>
      </c>
      <c r="BW361" s="128">
        <f t="shared" ca="1" si="957"/>
        <v>55.628743630234844</v>
      </c>
      <c r="BX361" s="128">
        <f t="shared" ca="1" si="957"/>
        <v>54.347412251673823</v>
      </c>
      <c r="BY361" s="128">
        <f t="shared" ca="1" si="957"/>
        <v>52.187009546902587</v>
      </c>
      <c r="BZ361" s="128">
        <f t="shared" ca="1" si="957"/>
        <v>49.833815788970455</v>
      </c>
      <c r="CA361" s="128">
        <f t="shared" ca="1" si="957"/>
        <v>47.411507078349764</v>
      </c>
      <c r="CB361" s="128">
        <f t="shared" ca="1" si="957"/>
        <v>44.936594373757075</v>
      </c>
      <c r="CC361" s="128">
        <f ca="1">+CC309</f>
        <v>42.411807950682757</v>
      </c>
      <c r="CD361" s="128">
        <f ca="1">+CD309</f>
        <v>39.818960390212673</v>
      </c>
      <c r="CE361" s="128">
        <f ca="1">+CE309</f>
        <v>37.119421308669061</v>
      </c>
      <c r="CF361" s="128">
        <f ca="1">+CF309</f>
        <v>34.257469623471394</v>
      </c>
      <c r="CG361" s="128">
        <f ca="1">+CG309</f>
        <v>31.17003202907793</v>
      </c>
      <c r="CI361" s="159">
        <f t="shared" si="920"/>
        <v>0</v>
      </c>
      <c r="CJ361" s="159">
        <f t="shared" si="921"/>
        <v>0</v>
      </c>
      <c r="CK361" s="159">
        <f t="shared" si="922"/>
        <v>0</v>
      </c>
      <c r="CL361" s="159">
        <f t="shared" si="923"/>
        <v>0</v>
      </c>
      <c r="CM361" s="159">
        <f t="shared" ca="1" si="924"/>
        <v>-3.9216109426621841</v>
      </c>
      <c r="CN361" s="159">
        <f t="shared" ca="1" si="925"/>
        <v>-10.112437444900365</v>
      </c>
      <c r="CO361" s="159">
        <f t="shared" ca="1" si="926"/>
        <v>-13.821681736788612</v>
      </c>
      <c r="CP361" s="159">
        <f t="shared" ca="1" si="927"/>
        <v>-16.799343937207006</v>
      </c>
      <c r="CQ361" s="159">
        <f t="shared" ca="1" si="928"/>
        <v>-18.785347348065045</v>
      </c>
      <c r="CR361" s="159">
        <f t="shared" ca="1" si="929"/>
        <v>-18.591867636977213</v>
      </c>
      <c r="CS361" s="159">
        <f t="shared" ca="1" si="930"/>
        <v>-16.893296496169306</v>
      </c>
      <c r="CT361" s="159">
        <f t="shared" ca="1" si="931"/>
        <v>-15.23895198678256</v>
      </c>
      <c r="CU361" s="159">
        <f t="shared" ca="1" si="932"/>
        <v>-13.447880159075275</v>
      </c>
      <c r="CV361" s="159">
        <f t="shared" ca="1" si="933"/>
        <v>-11.656823406697171</v>
      </c>
      <c r="CW361" s="159">
        <f t="shared" ca="1" si="934"/>
        <v>-9.9303219873645219</v>
      </c>
      <c r="CX361" s="159">
        <f t="shared" ca="1" si="935"/>
        <v>-8.3023934794054526</v>
      </c>
      <c r="CY361" s="159">
        <f t="shared" ca="1" si="936"/>
        <v>-6.802301874948121</v>
      </c>
      <c r="CZ361" s="165"/>
      <c r="DA361" s="104">
        <v>73.797200033283403</v>
      </c>
      <c r="DB361" s="104">
        <v>72.50454545454545</v>
      </c>
      <c r="DC361" s="104">
        <v>81.037512694037432</v>
      </c>
      <c r="DD361" s="104">
        <v>94.480732477336787</v>
      </c>
      <c r="DE361" s="104">
        <v>71.967731245503828</v>
      </c>
      <c r="DF361" s="104">
        <v>68.589706826088843</v>
      </c>
      <c r="DG361" s="104">
        <v>69.450425367023456</v>
      </c>
      <c r="DH361" s="104">
        <v>71.146756188880829</v>
      </c>
      <c r="DI361" s="104">
        <v>70.972356894967632</v>
      </c>
      <c r="DJ361" s="104">
        <v>68.425683425947668</v>
      </c>
      <c r="DK361" s="104">
        <v>64.30480357451907</v>
      </c>
      <c r="DL361" s="104">
        <v>60.175546360539634</v>
      </c>
      <c r="DM361" s="104">
        <v>55.859688109758032</v>
      </c>
      <c r="DN361" s="104">
        <v>51.475783796909845</v>
      </c>
      <c r="DO361" s="104">
        <v>47.049743296033583</v>
      </c>
      <c r="DP361" s="104">
        <v>42.559863102876847</v>
      </c>
      <c r="DQ361" s="104">
        <v>37.972333904026051</v>
      </c>
    </row>
    <row r="362" spans="1:121">
      <c r="A362" s="141" t="s">
        <v>1991</v>
      </c>
      <c r="B362" s="149"/>
      <c r="C362" s="128" t="s">
        <v>1320</v>
      </c>
      <c r="D362" s="99"/>
      <c r="E362" s="149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/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>
        <f t="shared" ref="BP362:CC362" si="958">100*BP110/BP17</f>
        <v>1.8471958540715274</v>
      </c>
      <c r="BQ362" s="128">
        <f t="shared" si="958"/>
        <v>1.1025128973206857</v>
      </c>
      <c r="BR362" s="128">
        <f t="shared" si="958"/>
        <v>2.6582965201891033</v>
      </c>
      <c r="BS362" s="128">
        <f t="shared" si="958"/>
        <v>2.1906281735093573</v>
      </c>
      <c r="BT362" s="128">
        <f t="shared" si="958"/>
        <v>1.9821180080720577</v>
      </c>
      <c r="BU362" s="128">
        <f t="shared" ca="1" si="958"/>
        <v>1.6643690272536791</v>
      </c>
      <c r="BV362" s="128">
        <f t="shared" ca="1" si="958"/>
        <v>1.4344347268444662</v>
      </c>
      <c r="BW362" s="128">
        <f t="shared" ca="1" si="958"/>
        <v>1.285390956428053</v>
      </c>
      <c r="BX362" s="128">
        <f t="shared" ca="1" si="958"/>
        <v>1.1826715937958863</v>
      </c>
      <c r="BY362" s="128">
        <f t="shared" ca="1" si="958"/>
        <v>1.0665439850770437</v>
      </c>
      <c r="BZ362" s="128">
        <f t="shared" ca="1" si="958"/>
        <v>0.95231933024343673</v>
      </c>
      <c r="CA362" s="128">
        <f t="shared" ca="1" si="958"/>
        <v>0.84217271393194593</v>
      </c>
      <c r="CB362" s="128">
        <f t="shared" ca="1" si="958"/>
        <v>0.7360523163353736</v>
      </c>
      <c r="CC362" s="128">
        <f t="shared" ca="1" si="958"/>
        <v>0.63411687735921796</v>
      </c>
      <c r="CD362" s="128">
        <f ca="1">100*CD110/CD17</f>
        <v>0.53668594050907403</v>
      </c>
      <c r="CE362" s="128">
        <f ca="1">100*CE110/CE17</f>
        <v>0.44434418039352136</v>
      </c>
      <c r="CF362" s="128">
        <f ca="1">100*CF110/CF17</f>
        <v>0.35801316419986584</v>
      </c>
      <c r="CG362" s="128">
        <f ca="1">100*CG110/CG17</f>
        <v>0.27896142730620394</v>
      </c>
      <c r="CI362" s="159">
        <f t="shared" si="920"/>
        <v>0</v>
      </c>
      <c r="CJ362" s="159">
        <f t="shared" si="921"/>
        <v>0</v>
      </c>
      <c r="CK362" s="159">
        <f t="shared" si="922"/>
        <v>0</v>
      </c>
      <c r="CL362" s="159">
        <f t="shared" si="923"/>
        <v>0</v>
      </c>
      <c r="CM362" s="159">
        <f t="shared" ca="1" si="924"/>
        <v>-3.3632469876744064E-2</v>
      </c>
      <c r="CN362" s="159">
        <f t="shared" ca="1" si="925"/>
        <v>-0.2036661321894353</v>
      </c>
      <c r="CO362" s="159">
        <f t="shared" ca="1" si="926"/>
        <v>-0.30740441290270781</v>
      </c>
      <c r="CP362" s="159">
        <f t="shared" ca="1" si="927"/>
        <v>-0.3857007970375852</v>
      </c>
      <c r="CQ362" s="159">
        <f t="shared" ca="1" si="928"/>
        <v>-0.43489280920985651</v>
      </c>
      <c r="CR362" s="159">
        <f t="shared" ca="1" si="929"/>
        <v>-0.4987031367320236</v>
      </c>
      <c r="CS362" s="159">
        <f t="shared" ca="1" si="930"/>
        <v>-0.50947176346727052</v>
      </c>
      <c r="CT362" s="159">
        <f t="shared" ca="1" si="931"/>
        <v>-0.50465071195023259</v>
      </c>
      <c r="CU362" s="159">
        <f t="shared" ca="1" si="932"/>
        <v>-0.48037907162377225</v>
      </c>
      <c r="CV362" s="159">
        <f t="shared" ca="1" si="933"/>
        <v>-0.4413567762664401</v>
      </c>
      <c r="CW362" s="159">
        <f t="shared" ca="1" si="934"/>
        <v>-0.391218134450036</v>
      </c>
      <c r="CX362" s="159">
        <f t="shared" ca="1" si="935"/>
        <v>-0.33340997473642608</v>
      </c>
      <c r="CY362" s="159">
        <f t="shared" ca="1" si="936"/>
        <v>-0.27175927744103306</v>
      </c>
      <c r="CZ362" s="165"/>
      <c r="DA362" s="104">
        <v>1.1025128973206857</v>
      </c>
      <c r="DB362" s="104">
        <v>2.6582965201891033</v>
      </c>
      <c r="DC362" s="104">
        <v>2.1906281735093573</v>
      </c>
      <c r="DD362" s="104">
        <v>1.9821180080720577</v>
      </c>
      <c r="DE362" s="104">
        <v>1.6980014971304231</v>
      </c>
      <c r="DF362" s="104">
        <v>1.6381008590339015</v>
      </c>
      <c r="DG362" s="104">
        <v>1.5927953693307608</v>
      </c>
      <c r="DH362" s="104">
        <v>1.5683723908334715</v>
      </c>
      <c r="DI362" s="104">
        <v>1.5014367942869002</v>
      </c>
      <c r="DJ362" s="104">
        <v>1.4510224669754603</v>
      </c>
      <c r="DK362" s="104">
        <v>1.3516444773992164</v>
      </c>
      <c r="DL362" s="104">
        <v>1.2407030282856062</v>
      </c>
      <c r="DM362" s="104">
        <v>1.1144959489829902</v>
      </c>
      <c r="DN362" s="104">
        <v>0.97804271677551413</v>
      </c>
      <c r="DO362" s="104">
        <v>0.83556231484355736</v>
      </c>
      <c r="DP362" s="104">
        <v>0.69142313893629193</v>
      </c>
      <c r="DQ362" s="104">
        <v>0.550720704747237</v>
      </c>
    </row>
    <row r="363" spans="1:121">
      <c r="A363" s="141" t="s">
        <v>695</v>
      </c>
      <c r="B363" s="149"/>
      <c r="C363" s="158" t="s">
        <v>1579</v>
      </c>
      <c r="D363" s="99"/>
      <c r="E363" s="149"/>
      <c r="F363" s="243">
        <f t="shared" ref="F363:AK363" si="959">+G363/(1+G32/100)</f>
        <v>3820.456938342139</v>
      </c>
      <c r="G363" s="243">
        <f t="shared" si="959"/>
        <v>4064.5620934992944</v>
      </c>
      <c r="H363" s="243">
        <f t="shared" si="959"/>
        <v>4214.3845553484316</v>
      </c>
      <c r="I363" s="243">
        <f t="shared" si="959"/>
        <v>4300.678364031618</v>
      </c>
      <c r="J363" s="243">
        <f t="shared" si="959"/>
        <v>4381.316083357211</v>
      </c>
      <c r="K363" s="243">
        <f t="shared" si="959"/>
        <v>4865.1423993107674</v>
      </c>
      <c r="L363" s="243">
        <f t="shared" si="959"/>
        <v>5211.8156712831878</v>
      </c>
      <c r="M363" s="243">
        <f t="shared" si="959"/>
        <v>5536.2198898327179</v>
      </c>
      <c r="N363" s="243">
        <f t="shared" si="959"/>
        <v>5827.0666686428385</v>
      </c>
      <c r="O363" s="243">
        <f t="shared" si="959"/>
        <v>6227.3129053377161</v>
      </c>
      <c r="P363" s="243">
        <f t="shared" si="959"/>
        <v>6389.7578833039506</v>
      </c>
      <c r="Q363" s="243">
        <f t="shared" si="959"/>
        <v>7173.0916690993245</v>
      </c>
      <c r="R363" s="243">
        <f t="shared" si="959"/>
        <v>8712.4843313129295</v>
      </c>
      <c r="S363" s="243">
        <f t="shared" si="959"/>
        <v>9384.2145865158618</v>
      </c>
      <c r="T363" s="243">
        <f t="shared" si="959"/>
        <v>10277.949309041183</v>
      </c>
      <c r="U363" s="243">
        <f t="shared" si="959"/>
        <v>10967.842072685113</v>
      </c>
      <c r="V363" s="243">
        <f t="shared" si="959"/>
        <v>11387.353607465469</v>
      </c>
      <c r="W363" s="243">
        <f t="shared" si="959"/>
        <v>12538.398853821212</v>
      </c>
      <c r="X363" s="243">
        <f t="shared" si="959"/>
        <v>12687.376594357987</v>
      </c>
      <c r="Y363" s="243">
        <f t="shared" si="959"/>
        <v>12316.80978334662</v>
      </c>
      <c r="Z363" s="243">
        <f t="shared" si="959"/>
        <v>12827.367944636779</v>
      </c>
      <c r="AA363" s="243">
        <f t="shared" si="959"/>
        <v>13548.745186898244</v>
      </c>
      <c r="AB363" s="243">
        <f t="shared" si="959"/>
        <v>13750.445590565992</v>
      </c>
      <c r="AC363" s="243">
        <f t="shared" si="959"/>
        <v>14937.091363944532</v>
      </c>
      <c r="AD363" s="243">
        <f t="shared" si="959"/>
        <v>16217.657919089381</v>
      </c>
      <c r="AE363" s="243">
        <f t="shared" si="959"/>
        <v>14983.737221928708</v>
      </c>
      <c r="AF363" s="243">
        <f t="shared" si="959"/>
        <v>13855.750269923019</v>
      </c>
      <c r="AG363" s="243">
        <f t="shared" si="959"/>
        <v>14252.869983219643</v>
      </c>
      <c r="AH363" s="243">
        <f t="shared" si="959"/>
        <v>13376.985243581608</v>
      </c>
      <c r="AI363" s="243">
        <f t="shared" si="959"/>
        <v>12761.949402356118</v>
      </c>
      <c r="AJ363" s="243">
        <f t="shared" si="959"/>
        <v>12851.534641890426</v>
      </c>
      <c r="AK363" s="243">
        <f t="shared" si="959"/>
        <v>12441.351864744352</v>
      </c>
      <c r="AL363" s="243">
        <f t="shared" ref="AL363:BP363" si="960">+AM363/(1+AM32/100)</f>
        <v>12223.186034698621</v>
      </c>
      <c r="AM363" s="243">
        <f t="shared" si="960"/>
        <v>11333.250547430813</v>
      </c>
      <c r="AN363" s="243">
        <f t="shared" si="960"/>
        <v>12313.431727388519</v>
      </c>
      <c r="AO363" s="243">
        <f t="shared" si="960"/>
        <v>12897.320334302149</v>
      </c>
      <c r="AP363" s="243">
        <f t="shared" si="960"/>
        <v>12517.510356348292</v>
      </c>
      <c r="AQ363" s="243">
        <f t="shared" si="960"/>
        <v>12921.157679069469</v>
      </c>
      <c r="AR363" s="243">
        <f t="shared" si="960"/>
        <v>13052.478464460502</v>
      </c>
      <c r="AS363" s="243">
        <f t="shared" si="960"/>
        <v>11495.690575729732</v>
      </c>
      <c r="AT363" s="243">
        <f t="shared" si="960"/>
        <v>11329.771330057993</v>
      </c>
      <c r="AU363" s="243">
        <f t="shared" si="960"/>
        <v>12309.958820753167</v>
      </c>
      <c r="AV363" s="243">
        <f t="shared" si="960"/>
        <v>12531.672997925823</v>
      </c>
      <c r="AW363" s="243">
        <f t="shared" si="960"/>
        <v>12258.00396374002</v>
      </c>
      <c r="AX363" s="243">
        <f t="shared" si="960"/>
        <v>13474.137888602951</v>
      </c>
      <c r="AY363" s="243">
        <f t="shared" si="960"/>
        <v>13326.598821132258</v>
      </c>
      <c r="AZ363" s="243">
        <f t="shared" si="960"/>
        <v>13524.452577931601</v>
      </c>
      <c r="BA363" s="243">
        <f t="shared" si="960"/>
        <v>14345.047202225309</v>
      </c>
      <c r="BB363" s="243">
        <f t="shared" si="960"/>
        <v>14660.998073611117</v>
      </c>
      <c r="BC363" s="243">
        <f t="shared" si="960"/>
        <v>15551.804002657229</v>
      </c>
      <c r="BD363" s="243">
        <f t="shared" si="960"/>
        <v>16745.396183448076</v>
      </c>
      <c r="BE363" s="243">
        <f t="shared" si="960"/>
        <v>18419.935801792886</v>
      </c>
      <c r="BF363" s="243">
        <f t="shared" si="960"/>
        <v>19488.292078296876</v>
      </c>
      <c r="BG363" s="243">
        <f t="shared" si="960"/>
        <v>20482.194974290014</v>
      </c>
      <c r="BH363" s="243">
        <f t="shared" si="960"/>
        <v>21321.964968235905</v>
      </c>
      <c r="BI363" s="243">
        <f t="shared" si="960"/>
        <v>21961.623917282977</v>
      </c>
      <c r="BJ363" s="243">
        <f t="shared" si="960"/>
        <v>23081.666737064414</v>
      </c>
      <c r="BK363" s="243">
        <f t="shared" si="960"/>
        <v>24297.426399155229</v>
      </c>
      <c r="BL363" s="243">
        <f t="shared" si="960"/>
        <v>25091.858078141497</v>
      </c>
      <c r="BM363" s="243">
        <f t="shared" si="960"/>
        <v>25827.912988384371</v>
      </c>
      <c r="BN363" s="243">
        <f t="shared" si="960"/>
        <v>25921.823442449841</v>
      </c>
      <c r="BO363" s="243">
        <f t="shared" si="960"/>
        <v>25010.638225976767</v>
      </c>
      <c r="BP363" s="243">
        <f t="shared" si="960"/>
        <v>23619.748257655752</v>
      </c>
      <c r="BQ363" s="243">
        <f>BQ17</f>
        <v>24036</v>
      </c>
      <c r="BR363" s="243">
        <f t="shared" ref="BR363:CC363" si="961">+BQ363*(1+BR32/100)</f>
        <v>24665.453854276664</v>
      </c>
      <c r="BS363" s="243">
        <f t="shared" si="961"/>
        <v>24739.450215839497</v>
      </c>
      <c r="BT363" s="243">
        <f t="shared" ca="1" si="961"/>
        <v>20803.907698348743</v>
      </c>
      <c r="BU363" s="243">
        <f t="shared" ca="1" si="961"/>
        <v>22391.868300459882</v>
      </c>
      <c r="BV363" s="243">
        <f t="shared" ca="1" si="961"/>
        <v>22923.325922901724</v>
      </c>
      <c r="BW363" s="243">
        <f t="shared" ca="1" si="961"/>
        <v>23757.521161496297</v>
      </c>
      <c r="BX363" s="243">
        <f t="shared" ca="1" si="961"/>
        <v>24714.181515051027</v>
      </c>
      <c r="BY363" s="243">
        <f t="shared" ca="1" si="961"/>
        <v>25680.513246941144</v>
      </c>
      <c r="BZ363" s="243">
        <f t="shared" ca="1" si="961"/>
        <v>26764.98663754377</v>
      </c>
      <c r="CA363" s="243">
        <f t="shared" ca="1" si="961"/>
        <v>27965.938335539231</v>
      </c>
      <c r="CB363" s="243">
        <f t="shared" ca="1" si="961"/>
        <v>29304.142844608283</v>
      </c>
      <c r="CC363" s="243">
        <f t="shared" ca="1" si="961"/>
        <v>30808.343478909803</v>
      </c>
      <c r="CD363" s="243">
        <f ca="1">+CC363*(1+CD32/100)</f>
        <v>32514.727370390701</v>
      </c>
      <c r="CE363" s="243">
        <f ca="1">+CD363*(1+CE32/100)</f>
        <v>34468.090312120039</v>
      </c>
      <c r="CF363" s="243">
        <f ca="1">+CE363*(1+CF32/100)</f>
        <v>36721.950145984323</v>
      </c>
      <c r="CG363" s="243">
        <f ca="1">+CF363*(1+CG32/100)</f>
        <v>39336.355814403505</v>
      </c>
      <c r="CH363" s="244" t="s">
        <v>1344</v>
      </c>
      <c r="CI363" s="159">
        <f t="shared" si="920"/>
        <v>0</v>
      </c>
      <c r="CJ363" s="159">
        <f t="shared" si="921"/>
        <v>0</v>
      </c>
      <c r="CK363" s="159">
        <f t="shared" si="922"/>
        <v>0</v>
      </c>
      <c r="CL363" s="159">
        <f t="shared" ca="1" si="923"/>
        <v>0</v>
      </c>
      <c r="CM363" s="159">
        <f t="shared" ca="1" si="924"/>
        <v>-1026.8902222850847</v>
      </c>
      <c r="CN363" s="159">
        <f t="shared" ca="1" si="925"/>
        <v>-1304.5963374324601</v>
      </c>
      <c r="CO363" s="159">
        <f t="shared" ca="1" si="926"/>
        <v>-1553.6393262075617</v>
      </c>
      <c r="CP363" s="159">
        <f t="shared" ca="1" si="927"/>
        <v>-1870.7016007085949</v>
      </c>
      <c r="CQ363" s="159">
        <f t="shared" ca="1" si="928"/>
        <v>-2219.806809967944</v>
      </c>
      <c r="CR363" s="159">
        <f t="shared" ca="1" si="929"/>
        <v>-1841.4205316648804</v>
      </c>
      <c r="CS363" s="159">
        <f t="shared" ca="1" si="930"/>
        <v>-2223.1709053077793</v>
      </c>
      <c r="CT363" s="159">
        <f t="shared" ca="1" si="931"/>
        <v>-2691.8959337403758</v>
      </c>
      <c r="CU363" s="159">
        <f t="shared" ca="1" si="932"/>
        <v>-3217.4596687591038</v>
      </c>
      <c r="CV363" s="159">
        <f t="shared" ca="1" si="933"/>
        <v>-3808.318316527253</v>
      </c>
      <c r="CW363" s="159">
        <f t="shared" ca="1" si="934"/>
        <v>-4469.4667796886788</v>
      </c>
      <c r="CX363" s="159">
        <f t="shared" ca="1" si="935"/>
        <v>-5207.9988282145932</v>
      </c>
      <c r="CY363" s="159">
        <f t="shared" ca="1" si="936"/>
        <v>-6029.8004346124799</v>
      </c>
      <c r="CZ363" s="165"/>
      <c r="DA363" s="104">
        <v>24036</v>
      </c>
      <c r="DB363" s="104">
        <v>24665.453854276664</v>
      </c>
      <c r="DC363" s="104">
        <v>24739.450215839497</v>
      </c>
      <c r="DD363" s="104">
        <v>20803.907698348743</v>
      </c>
      <c r="DE363" s="104">
        <v>23418.758522744967</v>
      </c>
      <c r="DF363" s="104">
        <v>24227.922260334184</v>
      </c>
      <c r="DG363" s="104">
        <v>25311.160487703859</v>
      </c>
      <c r="DH363" s="104">
        <v>26584.883115759621</v>
      </c>
      <c r="DI363" s="104">
        <v>27900.320056909088</v>
      </c>
      <c r="DJ363" s="104">
        <v>28606.407169208651</v>
      </c>
      <c r="DK363" s="104">
        <v>30189.10924084701</v>
      </c>
      <c r="DL363" s="104">
        <v>31996.038778348659</v>
      </c>
      <c r="DM363" s="104">
        <v>34025.803147668907</v>
      </c>
      <c r="DN363" s="104">
        <v>36323.045686917954</v>
      </c>
      <c r="DO363" s="104">
        <v>38937.557091808718</v>
      </c>
      <c r="DP363" s="104">
        <v>41929.948974198916</v>
      </c>
      <c r="DQ363" s="104">
        <v>45366.156249015985</v>
      </c>
    </row>
    <row r="364" spans="1:121" s="149" customFormat="1">
      <c r="A364" s="185" t="s">
        <v>3210</v>
      </c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5"/>
      <c r="AS364" s="185"/>
      <c r="AT364" s="185"/>
      <c r="AU364" s="185"/>
      <c r="AV364" s="185"/>
      <c r="AW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J364" s="185"/>
      <c r="BK364" s="185"/>
      <c r="BL364" s="185"/>
      <c r="BM364" s="185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5"/>
      <c r="CB364" s="185"/>
      <c r="CC364" s="185"/>
      <c r="CD364" s="185"/>
      <c r="CE364" s="185"/>
      <c r="CF364" s="185"/>
      <c r="CG364" s="185"/>
      <c r="CH364" s="185"/>
      <c r="CI364" s="159">
        <f t="shared" ref="CI364:CI417" si="962">BQ364-DA364</f>
        <v>0</v>
      </c>
      <c r="CJ364" s="159">
        <f t="shared" ref="CJ364:CJ416" si="963">BR364-DB364</f>
        <v>0</v>
      </c>
      <c r="CK364" s="159">
        <f t="shared" ref="CK364:CK416" si="964">BS364-DC364</f>
        <v>0</v>
      </c>
      <c r="CL364" s="159">
        <f t="shared" ref="CL364:CL416" si="965">BT364-DD364</f>
        <v>0</v>
      </c>
      <c r="CM364" s="159">
        <f t="shared" ref="CM364:CM416" si="966">BU364-DE364</f>
        <v>0</v>
      </c>
      <c r="CN364" s="159">
        <f t="shared" ref="CN364:CN416" si="967">BV364-DF364</f>
        <v>0</v>
      </c>
      <c r="CO364" s="159">
        <f t="shared" ref="CO364:CO416" si="968">BW364-DG364</f>
        <v>0</v>
      </c>
      <c r="CP364" s="159">
        <f t="shared" ref="CP364:CP416" si="969">BX364-DH364</f>
        <v>0</v>
      </c>
      <c r="CQ364" s="159">
        <f t="shared" ref="CQ364:CQ416" si="970">BY364-DI364</f>
        <v>0</v>
      </c>
      <c r="CR364" s="159">
        <f t="shared" ref="CR364:CR416" si="971">BZ364-DJ364</f>
        <v>0</v>
      </c>
      <c r="CS364" s="159">
        <f t="shared" ref="CS364:CS416" si="972">CA364-DK364</f>
        <v>0</v>
      </c>
      <c r="CT364" s="159">
        <f t="shared" ref="CT364:CT416" si="973">CB364-DL364</f>
        <v>0</v>
      </c>
      <c r="CU364" s="159">
        <f t="shared" ref="CU364:CU416" si="974">CC364-DM364</f>
        <v>0</v>
      </c>
      <c r="CV364" s="159">
        <f t="shared" si="933"/>
        <v>0</v>
      </c>
      <c r="CW364" s="159">
        <f t="shared" si="934"/>
        <v>0</v>
      </c>
      <c r="CX364" s="159">
        <f t="shared" si="935"/>
        <v>0</v>
      </c>
      <c r="CY364" s="159">
        <f t="shared" si="936"/>
        <v>0</v>
      </c>
      <c r="CZ364" s="211"/>
      <c r="DA364" s="215"/>
      <c r="DB364" s="215"/>
      <c r="DC364" s="215"/>
      <c r="DD364" s="215"/>
      <c r="DE364" s="215"/>
      <c r="DF364" s="215"/>
      <c r="DG364" s="385"/>
      <c r="DH364" s="385"/>
      <c r="DI364" s="385"/>
      <c r="DJ364" s="385"/>
      <c r="DK364" s="385"/>
      <c r="DL364" s="385"/>
      <c r="DM364" s="385"/>
      <c r="DN364" s="385"/>
      <c r="DO364" s="182"/>
      <c r="DP364" s="182"/>
      <c r="DQ364" s="182"/>
    </row>
    <row r="365" spans="1:121">
      <c r="A365" s="141" t="s">
        <v>1955</v>
      </c>
      <c r="B365" s="149"/>
      <c r="C365" s="150"/>
      <c r="D365" s="102"/>
      <c r="E365" s="149"/>
      <c r="F365" s="149"/>
      <c r="G365" s="149"/>
      <c r="H365" s="149">
        <v>100</v>
      </c>
      <c r="I365" s="149">
        <f t="shared" ref="I365:AN365" si="975">+H365*(1+I288/100)</f>
        <v>102.04760167350346</v>
      </c>
      <c r="J365" s="149">
        <f t="shared" si="975"/>
        <v>103.96099420488166</v>
      </c>
      <c r="K365" s="149">
        <f t="shared" si="975"/>
        <v>115.44134939315077</v>
      </c>
      <c r="L365" s="149">
        <f t="shared" si="975"/>
        <v>123.66730189984504</v>
      </c>
      <c r="M365" s="149">
        <f t="shared" si="975"/>
        <v>131.36484858285556</v>
      </c>
      <c r="N365" s="149">
        <f t="shared" si="975"/>
        <v>138.26613571008295</v>
      </c>
      <c r="O365" s="149">
        <f t="shared" si="975"/>
        <v>147.76328129417374</v>
      </c>
      <c r="P365" s="149">
        <f t="shared" si="975"/>
        <v>151.61781748641747</v>
      </c>
      <c r="Q365" s="149">
        <f t="shared" si="975"/>
        <v>170.20496290486898</v>
      </c>
      <c r="R365" s="149">
        <f t="shared" si="975"/>
        <v>206.73206768129424</v>
      </c>
      <c r="S365" s="149">
        <f t="shared" si="975"/>
        <v>222.67105583913681</v>
      </c>
      <c r="T365" s="149">
        <f t="shared" si="975"/>
        <v>243.87782306191178</v>
      </c>
      <c r="U365" s="149">
        <f t="shared" si="975"/>
        <v>260.2477758885563</v>
      </c>
      <c r="V365" s="149">
        <f t="shared" si="975"/>
        <v>270.20205341759572</v>
      </c>
      <c r="W365" s="149">
        <f t="shared" si="975"/>
        <v>297.51435088923876</v>
      </c>
      <c r="X365" s="149">
        <f t="shared" si="975"/>
        <v>301.04933301012068</v>
      </c>
      <c r="Y365" s="149">
        <f t="shared" si="975"/>
        <v>292.25642846748502</v>
      </c>
      <c r="Z365" s="149">
        <f t="shared" si="975"/>
        <v>304.3710837530881</v>
      </c>
      <c r="AA365" s="149">
        <f t="shared" si="975"/>
        <v>321.48810838117936</v>
      </c>
      <c r="AB365" s="149">
        <f t="shared" si="975"/>
        <v>326.27410740473243</v>
      </c>
      <c r="AC365" s="149">
        <f t="shared" si="975"/>
        <v>354.43114333237651</v>
      </c>
      <c r="AD365" s="149">
        <f t="shared" si="975"/>
        <v>384.81675571128716</v>
      </c>
      <c r="AE365" s="149">
        <f t="shared" si="975"/>
        <v>355.53796824053495</v>
      </c>
      <c r="AF365" s="149">
        <f t="shared" si="975"/>
        <v>328.77280390416291</v>
      </c>
      <c r="AG365" s="149">
        <f t="shared" si="975"/>
        <v>338.19576253741445</v>
      </c>
      <c r="AH365" s="149">
        <f t="shared" si="975"/>
        <v>317.41254429677099</v>
      </c>
      <c r="AI365" s="149">
        <f t="shared" si="975"/>
        <v>302.81881576658844</v>
      </c>
      <c r="AJ365" s="149">
        <f t="shared" si="975"/>
        <v>304.94451735736084</v>
      </c>
      <c r="AK365" s="149">
        <f t="shared" si="975"/>
        <v>295.21159498734323</v>
      </c>
      <c r="AL365" s="149">
        <f t="shared" si="975"/>
        <v>290.03490009439952</v>
      </c>
      <c r="AM365" s="149">
        <f t="shared" si="975"/>
        <v>268.91828210237503</v>
      </c>
      <c r="AN365" s="149">
        <f t="shared" si="975"/>
        <v>292.17627308741146</v>
      </c>
      <c r="AO365" s="149">
        <f t="shared" ref="AO365:BT365" si="976">+AN365*(1+AO288/100)</f>
        <v>306.03093203571802</v>
      </c>
      <c r="AP365" s="149">
        <f t="shared" si="976"/>
        <v>297.01870325199576</v>
      </c>
      <c r="AQ365" s="149">
        <f t="shared" si="976"/>
        <v>306.59655067953798</v>
      </c>
      <c r="AR365" s="149">
        <f t="shared" si="976"/>
        <v>309.71256403015582</v>
      </c>
      <c r="AS365" s="149">
        <f t="shared" si="976"/>
        <v>272.77270084764041</v>
      </c>
      <c r="AT365" s="149">
        <f t="shared" si="976"/>
        <v>268.83572633825037</v>
      </c>
      <c r="AU365" s="149">
        <f t="shared" si="976"/>
        <v>292.09386706608757</v>
      </c>
      <c r="AV365" s="149">
        <f t="shared" si="976"/>
        <v>297.35475805173058</v>
      </c>
      <c r="AW365" s="149">
        <f t="shared" si="976"/>
        <v>290.86106886433805</v>
      </c>
      <c r="AX365" s="149">
        <f t="shared" si="976"/>
        <v>319.71780723007521</v>
      </c>
      <c r="AY365" s="149">
        <f t="shared" si="976"/>
        <v>316.21696231350364</v>
      </c>
      <c r="AZ365" s="149">
        <f t="shared" si="976"/>
        <v>320.91168711141631</v>
      </c>
      <c r="BA365" s="149">
        <f t="shared" si="976"/>
        <v>340.38296728332898</v>
      </c>
      <c r="BB365" s="149">
        <f t="shared" si="976"/>
        <v>347.87993077197979</v>
      </c>
      <c r="BC365" s="149">
        <f t="shared" si="976"/>
        <v>369.01720283025929</v>
      </c>
      <c r="BD365" s="149">
        <f t="shared" si="976"/>
        <v>397.33906489849591</v>
      </c>
      <c r="BE365" s="149">
        <f t="shared" si="976"/>
        <v>437.07297138834554</v>
      </c>
      <c r="BF365" s="149">
        <f t="shared" si="976"/>
        <v>462.42320372886962</v>
      </c>
      <c r="BG365" s="149">
        <f t="shared" si="976"/>
        <v>486.00678711904192</v>
      </c>
      <c r="BH365" s="149">
        <f t="shared" si="976"/>
        <v>505.93306539092259</v>
      </c>
      <c r="BI365" s="149">
        <f t="shared" si="976"/>
        <v>521.11105735265016</v>
      </c>
      <c r="BJ365" s="149">
        <f t="shared" si="976"/>
        <v>547.68772127763543</v>
      </c>
      <c r="BK365" s="149">
        <f t="shared" si="976"/>
        <v>576.53557904011484</v>
      </c>
      <c r="BL365" s="149">
        <f t="shared" si="976"/>
        <v>595.3860581208163</v>
      </c>
      <c r="BM365" s="149">
        <f t="shared" si="976"/>
        <v>612.85135822753659</v>
      </c>
      <c r="BN365" s="149">
        <f t="shared" si="976"/>
        <v>615.079689620463</v>
      </c>
      <c r="BO365" s="149">
        <f t="shared" si="976"/>
        <v>593.45885259179897</v>
      </c>
      <c r="BP365" s="149">
        <f t="shared" si="976"/>
        <v>560.45545790737583</v>
      </c>
      <c r="BQ365" s="149">
        <f t="shared" si="976"/>
        <v>570.33238624359012</v>
      </c>
      <c r="BR365" s="149">
        <f t="shared" si="976"/>
        <v>585.26822909347516</v>
      </c>
      <c r="BS365" s="149">
        <f t="shared" si="976"/>
        <v>587.02403378075564</v>
      </c>
      <c r="BT365" s="149">
        <f t="shared" ca="1" si="976"/>
        <v>493.64046932894968</v>
      </c>
      <c r="BU365" s="149">
        <f t="shared" ref="BU365:CC365" ca="1" si="977">+BT365*(1+BU288/100)</f>
        <v>531.32000666722786</v>
      </c>
      <c r="BV365" s="149">
        <f t="shared" ca="1" si="977"/>
        <v>543.93056973906175</v>
      </c>
      <c r="BW365" s="149">
        <f t="shared" ca="1" si="977"/>
        <v>563.72456878302432</v>
      </c>
      <c r="BX365" s="149">
        <f t="shared" ca="1" si="977"/>
        <v>586.42445155334815</v>
      </c>
      <c r="BY365" s="149">
        <f t="shared" ca="1" si="977"/>
        <v>609.35381927475737</v>
      </c>
      <c r="BZ365" s="149">
        <f t="shared" ca="1" si="977"/>
        <v>635.08648264137719</v>
      </c>
      <c r="CA365" s="149">
        <f t="shared" ca="1" si="977"/>
        <v>663.58297322554438</v>
      </c>
      <c r="CB365" s="149">
        <f t="shared" ca="1" si="977"/>
        <v>695.33623379050039</v>
      </c>
      <c r="CC365" s="149">
        <f t="shared" ca="1" si="977"/>
        <v>731.0282930828248</v>
      </c>
      <c r="CD365" s="149">
        <f ca="1">+CC365*(1+CD288/100)</f>
        <v>771.51780867093953</v>
      </c>
      <c r="CE365" s="149">
        <f ca="1">+CD365*(1+CE288/100)</f>
        <v>817.86770664715414</v>
      </c>
      <c r="CF365" s="149">
        <f ca="1">+CE365*(1+CF288/100)</f>
        <v>871.34787212004471</v>
      </c>
      <c r="CG365" s="149">
        <f ca="1">+CF365*(1+CG288/100)</f>
        <v>933.38316183040752</v>
      </c>
      <c r="CI365" s="159">
        <f t="shared" ref="CI365:CU365" si="978">BQ365-DA365</f>
        <v>0</v>
      </c>
      <c r="CJ365" s="159">
        <f t="shared" si="978"/>
        <v>0</v>
      </c>
      <c r="CK365" s="159">
        <f t="shared" si="978"/>
        <v>0</v>
      </c>
      <c r="CL365" s="159">
        <f t="shared" ca="1" si="978"/>
        <v>0</v>
      </c>
      <c r="CM365" s="159">
        <f t="shared" ca="1" si="978"/>
        <v>-24.366315147531395</v>
      </c>
      <c r="CN365" s="159">
        <f t="shared" ca="1" si="978"/>
        <v>-30.955797229676591</v>
      </c>
      <c r="CO365" s="159">
        <f t="shared" ca="1" si="978"/>
        <v>-36.865153281654443</v>
      </c>
      <c r="CP365" s="159">
        <f t="shared" ca="1" si="978"/>
        <v>-44.388488429099766</v>
      </c>
      <c r="CQ365" s="159">
        <f t="shared" ca="1" si="978"/>
        <v>-52.672146568846529</v>
      </c>
      <c r="CR365" s="159">
        <f t="shared" ca="1" si="978"/>
        <v>-43.693699696387739</v>
      </c>
      <c r="CS365" s="159">
        <f t="shared" ca="1" si="978"/>
        <v>-52.751970687781409</v>
      </c>
      <c r="CT365" s="159">
        <f t="shared" ca="1" si="978"/>
        <v>-63.873998644099402</v>
      </c>
      <c r="CU365" s="159">
        <f t="shared" ca="1" si="978"/>
        <v>-76.344710040185532</v>
      </c>
      <c r="CV365" s="159">
        <f t="shared" ca="1" si="933"/>
        <v>-90.364755909476116</v>
      </c>
      <c r="CW365" s="159">
        <f t="shared" ca="1" si="934"/>
        <v>-106.05265658580072</v>
      </c>
      <c r="CX365" s="159">
        <f t="shared" ca="1" si="935"/>
        <v>-123.57673486642784</v>
      </c>
      <c r="CY365" s="159">
        <f t="shared" ca="1" si="936"/>
        <v>-143.07665461995271</v>
      </c>
      <c r="CZ365" s="165"/>
      <c r="DA365" s="104">
        <v>570.33238624359012</v>
      </c>
      <c r="DB365" s="104">
        <v>585.26822909347516</v>
      </c>
      <c r="DC365" s="104">
        <v>587.02403378075564</v>
      </c>
      <c r="DD365" s="104">
        <v>493.64046932894968</v>
      </c>
      <c r="DE365" s="104">
        <v>555.68632181475925</v>
      </c>
      <c r="DF365" s="104">
        <v>574.88636696873834</v>
      </c>
      <c r="DG365" s="104">
        <v>600.58972206467877</v>
      </c>
      <c r="DH365" s="104">
        <v>630.81293998244792</v>
      </c>
      <c r="DI365" s="104">
        <v>662.0259658436039</v>
      </c>
      <c r="DJ365" s="104">
        <v>678.78018233776493</v>
      </c>
      <c r="DK365" s="104">
        <v>716.33494391332579</v>
      </c>
      <c r="DL365" s="104">
        <v>759.21023243459979</v>
      </c>
      <c r="DM365" s="104">
        <v>807.37300312301034</v>
      </c>
      <c r="DN365" s="104">
        <v>861.88256458041565</v>
      </c>
      <c r="DO365" s="104">
        <v>923.92036323295486</v>
      </c>
      <c r="DP365" s="104">
        <v>994.92460698647255</v>
      </c>
      <c r="DQ365" s="104">
        <v>1076.4598164503602</v>
      </c>
    </row>
    <row r="366" spans="1:121">
      <c r="A366" s="141" t="s">
        <v>1934</v>
      </c>
      <c r="B366" s="149"/>
      <c r="C366" s="150"/>
      <c r="D366" s="102"/>
      <c r="E366" s="149"/>
      <c r="F366" s="149"/>
      <c r="G366" s="149"/>
      <c r="H366" s="149">
        <f>+SOURCE!H35</f>
        <v>100</v>
      </c>
      <c r="I366" s="149">
        <f>+SOURCE!I35</f>
        <v>108.35913312693501</v>
      </c>
      <c r="J366" s="149">
        <f>+SOURCE!J35</f>
        <v>110.39086687306504</v>
      </c>
      <c r="K366" s="149">
        <f>+SOURCE!K35</f>
        <v>122.58126934984523</v>
      </c>
      <c r="L366" s="149">
        <f>+SOURCE!L35</f>
        <v>131.31598793363503</v>
      </c>
      <c r="M366" s="149">
        <f>+SOURCE!M35</f>
        <v>139.48961937716265</v>
      </c>
      <c r="N366" s="149">
        <f>+SOURCE!N35</f>
        <v>146.81774349083898</v>
      </c>
      <c r="O366" s="149">
        <f>+SOURCE!O35</f>
        <v>156.90227703984823</v>
      </c>
      <c r="P366" s="149">
        <f>+SOURCE!P35</f>
        <v>160.99521203830375</v>
      </c>
      <c r="Q366" s="149">
        <f>+SOURCE!Q35</f>
        <v>180.73195187165783</v>
      </c>
      <c r="R366" s="149">
        <f>+SOURCE!R35</f>
        <v>219.51821773485526</v>
      </c>
      <c r="S366" s="149">
        <f>+SOURCE!S35</f>
        <v>236.44301470588243</v>
      </c>
      <c r="T366" s="149">
        <f>+SOURCE!T35</f>
        <v>258.96139705882359</v>
      </c>
      <c r="U366" s="149">
        <f>+SOURCE!U35</f>
        <v>276.34381338742406</v>
      </c>
      <c r="V366" s="149">
        <f>+SOURCE!V35</f>
        <v>286.91375198728156</v>
      </c>
      <c r="W366" s="149">
        <f>+SOURCE!W35</f>
        <v>315.91528489151494</v>
      </c>
      <c r="X366" s="149">
        <f>+SOURCE!X35</f>
        <v>319.66890175223762</v>
      </c>
      <c r="Y366" s="149">
        <f>+SOURCE!Y35</f>
        <v>310.33216577527367</v>
      </c>
      <c r="Z366" s="149">
        <f>+SOURCE!Z35</f>
        <v>323.19609910983274</v>
      </c>
      <c r="AA366" s="149">
        <f>+SOURCE!AA35</f>
        <v>341.3717928056696</v>
      </c>
      <c r="AB366" s="149">
        <f>+SOURCE!AB35</f>
        <v>346.45380058276396</v>
      </c>
      <c r="AC366" s="149">
        <f>+SOURCE!AC35</f>
        <v>376.3523180835009</v>
      </c>
      <c r="AD366" s="149">
        <f>+SOURCE!AD35</f>
        <v>408.61724702758534</v>
      </c>
      <c r="AE366" s="149">
        <f>+SOURCE!AE35</f>
        <v>377.52759888975703</v>
      </c>
      <c r="AF366" s="149">
        <f>+SOURCE!AF35</f>
        <v>349.10703870091061</v>
      </c>
      <c r="AG366" s="149">
        <f>+SOURCE!AG35</f>
        <v>359.11279691810967</v>
      </c>
      <c r="AH366" s="149">
        <f>+SOURCE!AH35</f>
        <v>337.04415958404115</v>
      </c>
      <c r="AI366" s="149">
        <f>+SOURCE!AI35</f>
        <v>321.54782506282527</v>
      </c>
      <c r="AJ366" s="149">
        <f>+SOURCE!AJ35</f>
        <v>323.8049989491808</v>
      </c>
      <c r="AK366" s="149">
        <f>+SOURCE!AK35</f>
        <v>313.47010608044718</v>
      </c>
      <c r="AL366" s="149">
        <f>+SOURCE!AL35</f>
        <v>307.97323832595822</v>
      </c>
      <c r="AM366" s="149">
        <f>+SOURCE!AM35</f>
        <v>285.55058083412092</v>
      </c>
      <c r="AN366" s="149">
        <f>+SOURCE!AN35</f>
        <v>310.24705287347308</v>
      </c>
      <c r="AO366" s="149">
        <f>+SOURCE!AO35</f>
        <v>324.95860717546543</v>
      </c>
      <c r="AP366" s="149">
        <f>+SOURCE!AP35</f>
        <v>311.44012355187499</v>
      </c>
      <c r="AQ366" s="149">
        <f>+SOURCE!AQ35</f>
        <v>319.45996845528686</v>
      </c>
      <c r="AR366" s="149">
        <f>+SOURCE!AR35</f>
        <v>319.19535745296696</v>
      </c>
      <c r="AS366" s="149">
        <f>+SOURCE!AS35</f>
        <v>284.50280705077887</v>
      </c>
      <c r="AT366" s="149">
        <f>+SOURCE!AT35</f>
        <v>281.44981061006172</v>
      </c>
      <c r="AU366" s="149">
        <f>+SOURCE!AU35</f>
        <v>302.54615558148612</v>
      </c>
      <c r="AV366" s="149">
        <f>+SOURCE!AV35</f>
        <v>314.82890204149084</v>
      </c>
      <c r="AW366" s="149">
        <f>+SOURCE!AW35</f>
        <v>308.63972537265198</v>
      </c>
      <c r="AX366" s="149">
        <f>+SOURCE!AX35</f>
        <v>343.27341601749748</v>
      </c>
      <c r="AY366" s="149">
        <f>+SOURCE!AY35</f>
        <v>340.93324259400083</v>
      </c>
      <c r="AZ366" s="149">
        <f>+SOURCE!AZ35</f>
        <v>332.06951094954377</v>
      </c>
      <c r="BA366" s="149">
        <f>+SOURCE!BA35</f>
        <v>352.21779081572311</v>
      </c>
      <c r="BB366" s="149">
        <f>+SOURCE!BB35</f>
        <v>359.97541728826269</v>
      </c>
      <c r="BC366" s="149">
        <f>+SOURCE!BC35</f>
        <v>381.84761414833969</v>
      </c>
      <c r="BD366" s="149">
        <f>+SOURCE!BD35</f>
        <v>411.15420304460048</v>
      </c>
      <c r="BE366" s="149">
        <f>+SOURCE!BE35</f>
        <v>452.26962334906057</v>
      </c>
      <c r="BF366" s="149">
        <f>+SOURCE!BF35</f>
        <v>478.50126150330613</v>
      </c>
      <c r="BG366" s="149">
        <f>+SOURCE!BG35</f>
        <v>502.90482583997471</v>
      </c>
      <c r="BH366" s="149">
        <f>+SOURCE!BH35</f>
        <v>523.52392369941367</v>
      </c>
      <c r="BI366" s="149">
        <f>+SOURCE!BI35</f>
        <v>539.22964141039608</v>
      </c>
      <c r="BJ366" s="149">
        <f>+SOURCE!BJ35</f>
        <v>566.73035312232628</v>
      </c>
      <c r="BK366" s="149">
        <f>+SOURCE!BK35</f>
        <v>596.58122613151852</v>
      </c>
      <c r="BL366" s="149">
        <f>+SOURCE!BL35</f>
        <v>616.08712018554183</v>
      </c>
      <c r="BM366" s="149">
        <f>+SOURCE!BM35</f>
        <v>634.15967378192136</v>
      </c>
      <c r="BN366" s="149">
        <f>+SOURCE!BN35</f>
        <v>636.465482344218</v>
      </c>
      <c r="BO366" s="149">
        <f>+SOURCE!BO35</f>
        <v>614.09290737490687</v>
      </c>
      <c r="BP366" s="149">
        <f>+SOURCE!BP35</f>
        <v>579.94201299278291</v>
      </c>
      <c r="BQ366" s="141" t="s">
        <v>1344</v>
      </c>
      <c r="BR366" s="128"/>
      <c r="BS366" s="128"/>
      <c r="BT366" s="128"/>
      <c r="BU366" s="128"/>
      <c r="BV366" s="128"/>
      <c r="BW366" s="128"/>
      <c r="BX366" s="128"/>
      <c r="BY366" s="128"/>
      <c r="BZ366" s="128"/>
      <c r="CA366" s="128"/>
      <c r="CB366" s="128"/>
      <c r="CC366" s="128"/>
      <c r="CD366" s="128"/>
      <c r="CE366" s="128"/>
      <c r="CF366" s="128"/>
      <c r="CG366" s="128"/>
      <c r="CI366" s="159" t="e">
        <f t="shared" si="962"/>
        <v>#VALUE!</v>
      </c>
      <c r="CJ366" s="159">
        <f t="shared" si="963"/>
        <v>0</v>
      </c>
      <c r="CK366" s="159">
        <f t="shared" si="964"/>
        <v>0</v>
      </c>
      <c r="CL366" s="159">
        <f t="shared" si="965"/>
        <v>0</v>
      </c>
      <c r="CM366" s="159">
        <f t="shared" si="966"/>
        <v>0</v>
      </c>
      <c r="CN366" s="159">
        <f t="shared" si="967"/>
        <v>0</v>
      </c>
      <c r="CO366" s="159">
        <f t="shared" si="968"/>
        <v>0</v>
      </c>
      <c r="CP366" s="159">
        <f t="shared" si="969"/>
        <v>0</v>
      </c>
      <c r="CQ366" s="159">
        <f t="shared" si="970"/>
        <v>0</v>
      </c>
      <c r="CR366" s="159">
        <f t="shared" si="971"/>
        <v>0</v>
      </c>
      <c r="CS366" s="159">
        <f t="shared" si="972"/>
        <v>0</v>
      </c>
      <c r="CT366" s="159">
        <f t="shared" si="973"/>
        <v>0</v>
      </c>
      <c r="CU366" s="159">
        <f t="shared" si="974"/>
        <v>0</v>
      </c>
      <c r="CV366" s="159">
        <f t="shared" si="933"/>
        <v>0</v>
      </c>
      <c r="CW366" s="159">
        <f t="shared" si="934"/>
        <v>0</v>
      </c>
      <c r="CX366" s="159">
        <f t="shared" si="935"/>
        <v>0</v>
      </c>
      <c r="CY366" s="159">
        <f t="shared" si="936"/>
        <v>0</v>
      </c>
      <c r="CZ366" s="165"/>
      <c r="DA366" s="104" t="s">
        <v>1344</v>
      </c>
    </row>
    <row r="367" spans="1:121">
      <c r="A367" s="141" t="s">
        <v>1956</v>
      </c>
      <c r="B367" s="149"/>
      <c r="C367" s="150"/>
      <c r="D367" s="102"/>
      <c r="E367" s="149"/>
      <c r="F367" s="149">
        <f>+G367/(1+G299/100)</f>
        <v>97.087378635158373</v>
      </c>
      <c r="G367" s="149">
        <f>+H367/(1+H299/100)</f>
        <v>98.058252421509962</v>
      </c>
      <c r="H367" s="149">
        <v>100</v>
      </c>
      <c r="I367" s="149">
        <f t="shared" ref="I367:AN367" si="979">+H367*(1+I299/100)</f>
        <v>108.57142857142857</v>
      </c>
      <c r="J367" s="149">
        <f t="shared" si="979"/>
        <v>108.57142857142857</v>
      </c>
      <c r="K367" s="149">
        <f t="shared" si="979"/>
        <v>108.57142857142857</v>
      </c>
      <c r="L367" s="149">
        <f t="shared" si="979"/>
        <v>111.42857142857143</v>
      </c>
      <c r="M367" s="149">
        <f t="shared" si="979"/>
        <v>113.33333333333333</v>
      </c>
      <c r="N367" s="149">
        <f t="shared" si="979"/>
        <v>116.1904761904762</v>
      </c>
      <c r="O367" s="149">
        <f t="shared" si="979"/>
        <v>118.09523809523812</v>
      </c>
      <c r="P367" s="149">
        <f t="shared" si="979"/>
        <v>122.85714285714288</v>
      </c>
      <c r="Q367" s="149">
        <f t="shared" si="979"/>
        <v>125.71428571428571</v>
      </c>
      <c r="R367" s="149">
        <f t="shared" si="979"/>
        <v>127.61904761904761</v>
      </c>
      <c r="S367" s="149">
        <f t="shared" si="979"/>
        <v>137.14285714285717</v>
      </c>
      <c r="T367" s="149">
        <f t="shared" si="979"/>
        <v>137.14285714285717</v>
      </c>
      <c r="U367" s="149">
        <f t="shared" si="979"/>
        <v>138.09523809523813</v>
      </c>
      <c r="V367" s="149">
        <f t="shared" si="979"/>
        <v>140.95238095238099</v>
      </c>
      <c r="W367" s="149">
        <f t="shared" si="979"/>
        <v>140.11574621200566</v>
      </c>
      <c r="X367" s="149">
        <f t="shared" si="979"/>
        <v>143.53086174374903</v>
      </c>
      <c r="Y367" s="149">
        <f t="shared" si="979"/>
        <v>160.88074680724355</v>
      </c>
      <c r="Z367" s="149">
        <f t="shared" si="979"/>
        <v>186.55583348043112</v>
      </c>
      <c r="AA367" s="149">
        <f t="shared" si="979"/>
        <v>200.53174806950335</v>
      </c>
      <c r="AB367" s="149">
        <f t="shared" si="979"/>
        <v>214.56897043436857</v>
      </c>
      <c r="AC367" s="149">
        <f t="shared" si="979"/>
        <v>250.66468508687916</v>
      </c>
      <c r="AD367" s="149">
        <f t="shared" si="979"/>
        <v>264.70190745174443</v>
      </c>
      <c r="AE367" s="149">
        <f t="shared" si="979"/>
        <v>304.80825706564514</v>
      </c>
      <c r="AF367" s="149">
        <f t="shared" si="979"/>
        <v>334.88801927607062</v>
      </c>
      <c r="AG367" s="149">
        <f t="shared" si="979"/>
        <v>364.05078081207847</v>
      </c>
      <c r="AH367" s="149">
        <f t="shared" si="979"/>
        <v>399.2320285136405</v>
      </c>
      <c r="AI367" s="149">
        <f t="shared" si="979"/>
        <v>404.06577330401745</v>
      </c>
      <c r="AJ367" s="149">
        <f t="shared" si="979"/>
        <v>404.65530856511043</v>
      </c>
      <c r="AK367" s="149">
        <f t="shared" si="979"/>
        <v>409.55214054200519</v>
      </c>
      <c r="AL367" s="149">
        <f t="shared" si="979"/>
        <v>425.45713542169767</v>
      </c>
      <c r="AM367" s="149">
        <f t="shared" si="979"/>
        <v>504.7009417310307</v>
      </c>
      <c r="AN367" s="149">
        <f t="shared" si="979"/>
        <v>550.320438296887</v>
      </c>
      <c r="AO367" s="149">
        <f t="shared" ref="AO367:BT367" si="980">+AN367*(1+AO299/100)</f>
        <v>613.87909017573008</v>
      </c>
      <c r="AP367" s="149">
        <f t="shared" si="980"/>
        <v>760.93372753293875</v>
      </c>
      <c r="AQ367" s="149">
        <f t="shared" si="980"/>
        <v>850.47017873419611</v>
      </c>
      <c r="AR367" s="149">
        <f t="shared" si="980"/>
        <v>1140.2753196024319</v>
      </c>
      <c r="AS367" s="149">
        <f t="shared" si="980"/>
        <v>3109.9145239954996</v>
      </c>
      <c r="AT367" s="149">
        <f t="shared" si="980"/>
        <v>17562.163699257151</v>
      </c>
      <c r="AU367" s="149">
        <f t="shared" si="980"/>
        <v>60897.611473142046</v>
      </c>
      <c r="AV367" s="149">
        <f t="shared" si="980"/>
        <v>67597.641253616282</v>
      </c>
      <c r="AW367" s="149">
        <f t="shared" si="980"/>
        <v>74136.9816196912</v>
      </c>
      <c r="AX367" s="149">
        <f t="shared" si="980"/>
        <v>80872.337425618534</v>
      </c>
      <c r="AY367" s="149">
        <f t="shared" si="980"/>
        <v>140262.27881321081</v>
      </c>
      <c r="AZ367" s="149">
        <f t="shared" si="980"/>
        <v>226828.61618844554</v>
      </c>
      <c r="BA367" s="149">
        <f t="shared" si="980"/>
        <v>310922.09292555018</v>
      </c>
      <c r="BB367" s="149">
        <f t="shared" si="980"/>
        <v>429871.11115988955</v>
      </c>
      <c r="BC367" s="149">
        <f t="shared" si="980"/>
        <v>522612.0856034733</v>
      </c>
      <c r="BD367" s="149">
        <f t="shared" si="980"/>
        <v>594221.92744816281</v>
      </c>
      <c r="BE367" s="149">
        <f t="shared" si="980"/>
        <v>652236.2006539068</v>
      </c>
      <c r="BF367" s="149">
        <f t="shared" si="980"/>
        <v>906826.34833702189</v>
      </c>
      <c r="BG367" s="149">
        <f t="shared" si="980"/>
        <v>965097.20671262278</v>
      </c>
      <c r="BH367" s="149">
        <f t="shared" si="980"/>
        <v>1115436.8932712558</v>
      </c>
      <c r="BI367" s="149">
        <f t="shared" si="980"/>
        <v>1187948.0191823107</v>
      </c>
      <c r="BJ367" s="149">
        <f t="shared" si="980"/>
        <v>1273768.4828136887</v>
      </c>
      <c r="BK367" s="149">
        <f t="shared" si="980"/>
        <v>1458657.2332047394</v>
      </c>
      <c r="BL367" s="149">
        <f t="shared" si="980"/>
        <v>1606186.7260648299</v>
      </c>
      <c r="BM367" s="149">
        <f t="shared" si="980"/>
        <v>1612350.7339248585</v>
      </c>
      <c r="BN367" s="149">
        <f t="shared" si="980"/>
        <v>1636121.2250395957</v>
      </c>
      <c r="BO367" s="149">
        <f t="shared" si="980"/>
        <v>1603852.5969893348</v>
      </c>
      <c r="BP367" s="149">
        <f t="shared" si="980"/>
        <v>2023484.4130632754</v>
      </c>
      <c r="BQ367" s="149">
        <f t="shared" si="980"/>
        <v>2452367.6145438389</v>
      </c>
      <c r="BR367" s="149">
        <f t="shared" si="980"/>
        <v>2565766.6400468601</v>
      </c>
      <c r="BS367" s="149">
        <f t="shared" si="980"/>
        <v>2733152.0821311935</v>
      </c>
      <c r="BT367" s="149">
        <f t="shared" ca="1" si="980"/>
        <v>3790435.9983252632</v>
      </c>
      <c r="BU367" s="149">
        <f t="shared" ref="BU367:CC367" ca="1" si="981">+BT367*(1+BU299/100)</f>
        <v>6710326.0027486766</v>
      </c>
      <c r="BV367" s="149">
        <f t="shared" ca="1" si="981"/>
        <v>7605454.2140528001</v>
      </c>
      <c r="BW367" s="149">
        <f t="shared" ca="1" si="981"/>
        <v>8189308.11383837</v>
      </c>
      <c r="BX367" s="149">
        <f t="shared" ca="1" si="981"/>
        <v>8556047.329152789</v>
      </c>
      <c r="BY367" s="149">
        <f t="shared" ca="1" si="981"/>
        <v>9130637.6071541365</v>
      </c>
      <c r="BZ367" s="149">
        <f t="shared" ca="1" si="981"/>
        <v>9811466.953850504</v>
      </c>
      <c r="CA367" s="149">
        <f t="shared" ca="1" si="981"/>
        <v>10618251.656025859</v>
      </c>
      <c r="CB367" s="149">
        <f t="shared" ca="1" si="981"/>
        <v>11594335.673275225</v>
      </c>
      <c r="CC367" s="149">
        <f t="shared" ca="1" si="981"/>
        <v>12801059.500615554</v>
      </c>
      <c r="CD367" s="149">
        <f ca="1">+CC367*(1+CD299/100)</f>
        <v>14331222.573063537</v>
      </c>
      <c r="CE367" s="149">
        <f ca="1">+CD367*(1+CE299/100)</f>
        <v>16328521.308970699</v>
      </c>
      <c r="CF367" s="149">
        <f ca="1">+CE367*(1+CF299/100)</f>
        <v>19022116.773776885</v>
      </c>
      <c r="CG367" s="149">
        <f ca="1">+CF367*(1+CG299/100)</f>
        <v>22790050.943096835</v>
      </c>
      <c r="CI367" s="159">
        <f t="shared" si="962"/>
        <v>0</v>
      </c>
      <c r="CJ367" s="159">
        <f t="shared" ref="CJ367:CU367" si="982">BR367-DB367</f>
        <v>0</v>
      </c>
      <c r="CK367" s="159">
        <f t="shared" si="982"/>
        <v>0</v>
      </c>
      <c r="CL367" s="159">
        <f t="shared" ca="1" si="982"/>
        <v>0</v>
      </c>
      <c r="CM367" s="159">
        <f t="shared" ca="1" si="982"/>
        <v>567432.3663373664</v>
      </c>
      <c r="CN367" s="159">
        <f t="shared" ca="1" si="982"/>
        <v>809330.24711020291</v>
      </c>
      <c r="CO367" s="159">
        <f t="shared" ca="1" si="982"/>
        <v>867720.75945010316</v>
      </c>
      <c r="CP367" s="159">
        <f t="shared" ca="1" si="982"/>
        <v>866303.97202640213</v>
      </c>
      <c r="CQ367" s="159">
        <f t="shared" ca="1" si="982"/>
        <v>869250.32272922155</v>
      </c>
      <c r="CR367" s="159">
        <f t="shared" ca="1" si="982"/>
        <v>860909.37055570818</v>
      </c>
      <c r="CS367" s="159">
        <f t="shared" ca="1" si="982"/>
        <v>889652.11583125964</v>
      </c>
      <c r="CT367" s="159">
        <f t="shared" ca="1" si="982"/>
        <v>953251.28693612106</v>
      </c>
      <c r="CU367" s="159">
        <f t="shared" ca="1" si="982"/>
        <v>990496.04114914127</v>
      </c>
      <c r="CV367" s="159">
        <f t="shared" ca="1" si="933"/>
        <v>1007660.6024106536</v>
      </c>
      <c r="CW367" s="159">
        <f t="shared" ca="1" si="934"/>
        <v>997948.18012573756</v>
      </c>
      <c r="CX367" s="159">
        <f t="shared" ca="1" si="935"/>
        <v>939928.23257226869</v>
      </c>
      <c r="CY367" s="159">
        <f t="shared" ca="1" si="936"/>
        <v>788954.19659424573</v>
      </c>
      <c r="CZ367" s="165"/>
      <c r="DA367" s="104">
        <v>2452367.6145438389</v>
      </c>
      <c r="DB367" s="104">
        <v>2565766.6400468601</v>
      </c>
      <c r="DC367" s="104">
        <v>2733152.0821311935</v>
      </c>
      <c r="DD367" s="104">
        <v>3790435.9983252632</v>
      </c>
      <c r="DE367" s="104">
        <v>6142893.6364113102</v>
      </c>
      <c r="DF367" s="104">
        <v>6796123.9669425972</v>
      </c>
      <c r="DG367" s="104">
        <v>7321587.3543882668</v>
      </c>
      <c r="DH367" s="104">
        <v>7689743.3571263868</v>
      </c>
      <c r="DI367" s="104">
        <v>8261387.284424915</v>
      </c>
      <c r="DJ367" s="104">
        <v>8950557.5832947958</v>
      </c>
      <c r="DK367" s="104">
        <v>9728599.540194599</v>
      </c>
      <c r="DL367" s="104">
        <v>10641084.386339104</v>
      </c>
      <c r="DM367" s="104">
        <v>11810563.459466413</v>
      </c>
      <c r="DN367" s="104">
        <v>13323561.970652884</v>
      </c>
      <c r="DO367" s="104">
        <v>15330573.128844962</v>
      </c>
      <c r="DP367" s="104">
        <v>18082188.541204616</v>
      </c>
      <c r="DQ367" s="104">
        <v>22001096.746502589</v>
      </c>
    </row>
    <row r="368" spans="1:121">
      <c r="A368" s="141" t="s">
        <v>1960</v>
      </c>
      <c r="B368" s="149"/>
      <c r="C368" s="150"/>
      <c r="D368" s="102"/>
      <c r="E368" s="149"/>
      <c r="F368" s="149"/>
      <c r="G368" s="149"/>
      <c r="H368" s="149">
        <f>+SOURCE!H45</f>
        <v>100</v>
      </c>
      <c r="I368" s="149">
        <f>+SOURCE!I45</f>
        <v>108.57142857142857</v>
      </c>
      <c r="J368" s="149">
        <f>+SOURCE!J45</f>
        <v>108.57142857142857</v>
      </c>
      <c r="K368" s="149">
        <f>+SOURCE!K45</f>
        <v>108.57142857142857</v>
      </c>
      <c r="L368" s="149">
        <f>+SOURCE!L45</f>
        <v>111.42857142857143</v>
      </c>
      <c r="M368" s="149">
        <f>+SOURCE!M45</f>
        <v>113.33333333333333</v>
      </c>
      <c r="N368" s="149">
        <f>+SOURCE!N45</f>
        <v>116.19047619047619</v>
      </c>
      <c r="O368" s="149">
        <f>+SOURCE!O45</f>
        <v>118.0952380952381</v>
      </c>
      <c r="P368" s="149">
        <f>+SOURCE!P45</f>
        <v>122.85714285714286</v>
      </c>
      <c r="Q368" s="149">
        <f>+SOURCE!Q45</f>
        <v>125.71428571428571</v>
      </c>
      <c r="R368" s="149">
        <f>+SOURCE!R45</f>
        <v>127.61904761904762</v>
      </c>
      <c r="S368" s="149">
        <f>+SOURCE!S45</f>
        <v>137.14285714285717</v>
      </c>
      <c r="T368" s="149">
        <f>+SOURCE!T45</f>
        <v>137.14285714285717</v>
      </c>
      <c r="U368" s="149">
        <f>+SOURCE!U45</f>
        <v>138.09523809523813</v>
      </c>
      <c r="V368" s="149">
        <f>+SOURCE!V45</f>
        <v>140.95238095238099</v>
      </c>
      <c r="W368" s="149">
        <f>+SOURCE!W45</f>
        <v>140.11574621200566</v>
      </c>
      <c r="X368" s="149">
        <f>+SOURCE!X45</f>
        <v>143.53086174374903</v>
      </c>
      <c r="Y368" s="149">
        <f>+SOURCE!Y45</f>
        <v>160.88074680724355</v>
      </c>
      <c r="Z368" s="149">
        <f>+SOURCE!Z45</f>
        <v>186.55583348043112</v>
      </c>
      <c r="AA368" s="149">
        <f>+SOURCE!AA45</f>
        <v>200.53174806950338</v>
      </c>
      <c r="AB368" s="149">
        <f>+SOURCE!AB45</f>
        <v>214.56897043436859</v>
      </c>
      <c r="AC368" s="149">
        <f>+SOURCE!AC45</f>
        <v>250.66468508687919</v>
      </c>
      <c r="AD368" s="149">
        <f>+SOURCE!AD45</f>
        <v>264.70190745174443</v>
      </c>
      <c r="AE368" s="149">
        <f>+SOURCE!AE45</f>
        <v>304.80825706564514</v>
      </c>
      <c r="AF368" s="149">
        <f>+SOURCE!AF45</f>
        <v>334.88801927607062</v>
      </c>
      <c r="AG368" s="149">
        <f>+SOURCE!AG45</f>
        <v>364.05078081207847</v>
      </c>
      <c r="AH368" s="149">
        <f>+SOURCE!AH45</f>
        <v>399.23202851364044</v>
      </c>
      <c r="AI368" s="149">
        <f>+SOURCE!AI45</f>
        <v>404.0657733040174</v>
      </c>
      <c r="AJ368" s="149">
        <f>+SOURCE!AJ45</f>
        <v>404.65530856511037</v>
      </c>
      <c r="AK368" s="149">
        <f>+SOURCE!AK45</f>
        <v>409.55214054200519</v>
      </c>
      <c r="AL368" s="149">
        <f>+SOURCE!AL45</f>
        <v>425.45713542169773</v>
      </c>
      <c r="AM368" s="149">
        <f>+SOURCE!AM45</f>
        <v>504.70094173103081</v>
      </c>
      <c r="AN368" s="149">
        <f>+SOURCE!AN45</f>
        <v>550.32043829688712</v>
      </c>
      <c r="AO368" s="149">
        <f>+SOURCE!AO45</f>
        <v>613.8790901757302</v>
      </c>
      <c r="AP368" s="149">
        <f>+SOURCE!AP45</f>
        <v>760.93372753293886</v>
      </c>
      <c r="AQ368" s="149">
        <f>+SOURCE!AQ45</f>
        <v>850.47017873419622</v>
      </c>
      <c r="AR368" s="149">
        <f>+SOURCE!AR45</f>
        <v>1140.2753196024321</v>
      </c>
      <c r="AS368" s="149">
        <f>+SOURCE!AS45</f>
        <v>3109.9145239955001</v>
      </c>
      <c r="AT368" s="149">
        <f>+SOURCE!AT45</f>
        <v>17562.163699257155</v>
      </c>
      <c r="AU368" s="149">
        <f>+SOURCE!AU45</f>
        <v>60897.61147314206</v>
      </c>
      <c r="AV368" s="149">
        <f>+SOURCE!AV45</f>
        <v>67597.641253616297</v>
      </c>
      <c r="AW368" s="149">
        <f>+SOURCE!AW45</f>
        <v>74136.981619691214</v>
      </c>
      <c r="AX368" s="149">
        <f>+SOURCE!AX45</f>
        <v>80872.337425618563</v>
      </c>
      <c r="AY368" s="149">
        <f>+SOURCE!AY45</f>
        <v>140262.27881321087</v>
      </c>
      <c r="AZ368" s="149">
        <f>+SOURCE!AZ45</f>
        <v>226828.61618844562</v>
      </c>
      <c r="BA368" s="149">
        <f>+SOURCE!BA45</f>
        <v>310922.0929255503</v>
      </c>
      <c r="BB368" s="149">
        <f>+SOURCE!BB45</f>
        <v>429871.11115988967</v>
      </c>
      <c r="BC368" s="149">
        <f>+SOURCE!BC45</f>
        <v>522612.08560347342</v>
      </c>
      <c r="BD368" s="149">
        <f>+SOURCE!BD45</f>
        <v>594221.92744816293</v>
      </c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128"/>
      <c r="BZ368" s="128"/>
      <c r="CA368" s="128"/>
      <c r="CB368" s="128"/>
      <c r="CC368" s="128"/>
      <c r="CD368" s="128"/>
      <c r="CE368" s="128"/>
      <c r="CF368" s="128"/>
      <c r="CG368" s="128"/>
      <c r="CI368" s="159">
        <f t="shared" si="962"/>
        <v>0</v>
      </c>
      <c r="CJ368" s="159">
        <f t="shared" si="963"/>
        <v>0</v>
      </c>
      <c r="CK368" s="159">
        <f t="shared" si="964"/>
        <v>0</v>
      </c>
      <c r="CL368" s="159">
        <f t="shared" si="965"/>
        <v>0</v>
      </c>
      <c r="CM368" s="159">
        <f t="shared" si="966"/>
        <v>0</v>
      </c>
      <c r="CN368" s="159">
        <f t="shared" si="967"/>
        <v>0</v>
      </c>
      <c r="CO368" s="159">
        <f t="shared" si="968"/>
        <v>0</v>
      </c>
      <c r="CP368" s="159">
        <f t="shared" si="969"/>
        <v>0</v>
      </c>
      <c r="CQ368" s="159">
        <f t="shared" si="970"/>
        <v>0</v>
      </c>
      <c r="CR368" s="159">
        <f t="shared" si="971"/>
        <v>0</v>
      </c>
      <c r="CS368" s="159">
        <f t="shared" si="972"/>
        <v>0</v>
      </c>
      <c r="CT368" s="159">
        <f t="shared" si="973"/>
        <v>0</v>
      </c>
      <c r="CU368" s="159">
        <f t="shared" si="974"/>
        <v>0</v>
      </c>
      <c r="CV368" s="159">
        <f t="shared" si="933"/>
        <v>0</v>
      </c>
      <c r="CW368" s="159">
        <f t="shared" si="934"/>
        <v>0</v>
      </c>
      <c r="CX368" s="159">
        <f t="shared" si="935"/>
        <v>0</v>
      </c>
      <c r="CY368" s="159">
        <f t="shared" si="936"/>
        <v>0</v>
      </c>
      <c r="CZ368" s="165"/>
    </row>
    <row r="369" spans="1:121">
      <c r="A369" s="141" t="s">
        <v>1957</v>
      </c>
      <c r="B369" s="149"/>
      <c r="C369" s="150"/>
      <c r="D369" s="102"/>
      <c r="E369" s="149"/>
      <c r="F369" s="149">
        <f>+G369/(1+G48/100)</f>
        <v>97.087378635158373</v>
      </c>
      <c r="G369" s="149">
        <f>+H369/(1+H48/100)</f>
        <v>98.058252421509962</v>
      </c>
      <c r="H369" s="149">
        <v>100</v>
      </c>
      <c r="I369" s="149">
        <f t="shared" ref="I369:AN369" si="983">+H369*(1+I48/100)</f>
        <v>108.7</v>
      </c>
      <c r="J369" s="149">
        <f t="shared" si="983"/>
        <v>108.7</v>
      </c>
      <c r="K369" s="149">
        <f t="shared" si="983"/>
        <v>108.7</v>
      </c>
      <c r="L369" s="149">
        <f t="shared" si="983"/>
        <v>111.5262</v>
      </c>
      <c r="M369" s="149">
        <f t="shared" si="983"/>
        <v>113.42214539999999</v>
      </c>
      <c r="N369" s="149">
        <f t="shared" si="983"/>
        <v>116.25769903499999</v>
      </c>
      <c r="O369" s="149">
        <f t="shared" si="983"/>
        <v>118.23407991859497</v>
      </c>
      <c r="P369" s="149">
        <f t="shared" si="983"/>
        <v>123.08167719525736</v>
      </c>
      <c r="Q369" s="149">
        <f t="shared" si="983"/>
        <v>125.91255577074827</v>
      </c>
      <c r="R369" s="149">
        <f t="shared" si="983"/>
        <v>127.80124410730949</v>
      </c>
      <c r="S369" s="149">
        <f t="shared" si="983"/>
        <v>137.3863374153577</v>
      </c>
      <c r="T369" s="149">
        <f t="shared" si="983"/>
        <v>137.3863374153577</v>
      </c>
      <c r="U369" s="149">
        <f t="shared" si="983"/>
        <v>138.76020078951129</v>
      </c>
      <c r="V369" s="149">
        <f t="shared" si="983"/>
        <v>141.2578844037225</v>
      </c>
      <c r="W369" s="149">
        <f t="shared" si="983"/>
        <v>140.41033709730016</v>
      </c>
      <c r="X369" s="149">
        <f t="shared" si="983"/>
        <v>143.78018518763537</v>
      </c>
      <c r="Y369" s="149">
        <f t="shared" si="983"/>
        <v>161.03380741015164</v>
      </c>
      <c r="Z369" s="149">
        <f t="shared" si="983"/>
        <v>186.63818278836575</v>
      </c>
      <c r="AA369" s="149">
        <f t="shared" si="983"/>
        <v>200.63604649749317</v>
      </c>
      <c r="AB369" s="149">
        <f t="shared" si="983"/>
        <v>219.29519882176004</v>
      </c>
      <c r="AC369" s="149">
        <f t="shared" si="983"/>
        <v>238.59317631807494</v>
      </c>
      <c r="AD369" s="149">
        <f t="shared" si="983"/>
        <v>257.68063042352094</v>
      </c>
      <c r="AE369" s="149">
        <f t="shared" si="983"/>
        <v>293.7559186828139</v>
      </c>
      <c r="AF369" s="149">
        <f t="shared" si="983"/>
        <v>332.53169994894535</v>
      </c>
      <c r="AG369" s="149">
        <f t="shared" si="983"/>
        <v>361.46195784450356</v>
      </c>
      <c r="AH369" s="149">
        <f t="shared" si="983"/>
        <v>387.8486807671523</v>
      </c>
      <c r="AI369" s="149">
        <f t="shared" si="983"/>
        <v>404.91402272090704</v>
      </c>
      <c r="AJ369" s="149">
        <f t="shared" si="983"/>
        <v>419.8958415615806</v>
      </c>
      <c r="AK369" s="149">
        <f t="shared" si="983"/>
        <v>465.66448829179285</v>
      </c>
      <c r="AL369" s="149">
        <f t="shared" si="983"/>
        <v>552.7437476023581</v>
      </c>
      <c r="AM369" s="149">
        <f t="shared" si="983"/>
        <v>847.90890882201734</v>
      </c>
      <c r="AN369" s="149">
        <f t="shared" si="983"/>
        <v>909.80625916602457</v>
      </c>
      <c r="AO369" s="149">
        <f t="shared" ref="AO369:BT369" si="984">+AN369*(1+AO48/100)</f>
        <v>917.08470923935283</v>
      </c>
      <c r="AP369" s="149">
        <f t="shared" si="984"/>
        <v>1117.0091758535318</v>
      </c>
      <c r="AQ369" s="149">
        <f t="shared" si="984"/>
        <v>1407.4315615754501</v>
      </c>
      <c r="AR369" s="149">
        <f t="shared" si="984"/>
        <v>2022.4791539839218</v>
      </c>
      <c r="AS369" s="149">
        <f t="shared" si="984"/>
        <v>4924.7367399508494</v>
      </c>
      <c r="AT369" s="149">
        <f t="shared" si="984"/>
        <v>23072.391626669731</v>
      </c>
      <c r="AU369" s="149">
        <f t="shared" si="984"/>
        <v>77430.946299103613</v>
      </c>
      <c r="AV369" s="149">
        <f t="shared" si="984"/>
        <v>76888.929675009887</v>
      </c>
      <c r="AW369" s="149">
        <f t="shared" si="984"/>
        <v>82348.043681935582</v>
      </c>
      <c r="AX369" s="149">
        <f t="shared" si="984"/>
        <v>97747.127850457546</v>
      </c>
      <c r="AY369" s="149">
        <f t="shared" si="984"/>
        <v>194321.2901667096</v>
      </c>
      <c r="AZ369" s="149">
        <f t="shared" si="984"/>
        <v>309553.81523556839</v>
      </c>
      <c r="BA369" s="149">
        <f t="shared" si="984"/>
        <v>429041.58791649784</v>
      </c>
      <c r="BB369" s="149">
        <f t="shared" si="984"/>
        <v>495543.03404355503</v>
      </c>
      <c r="BC369" s="149">
        <f t="shared" si="984"/>
        <v>613977.8191799646</v>
      </c>
      <c r="BD369" s="149">
        <f t="shared" si="984"/>
        <v>672919.68982124131</v>
      </c>
      <c r="BE369" s="149">
        <f t="shared" si="984"/>
        <v>736847.06035425921</v>
      </c>
      <c r="BF369" s="149">
        <f t="shared" si="984"/>
        <v>820110.77817429055</v>
      </c>
      <c r="BG369" s="149">
        <f t="shared" si="984"/>
        <v>872597.86797744525</v>
      </c>
      <c r="BH369" s="149">
        <f t="shared" si="984"/>
        <v>1000869.7545701297</v>
      </c>
      <c r="BI369" s="149">
        <f t="shared" si="984"/>
        <v>999868.88481555949</v>
      </c>
      <c r="BJ369" s="149">
        <f t="shared" si="984"/>
        <v>1068859.837867833</v>
      </c>
      <c r="BK369" s="149">
        <f t="shared" si="984"/>
        <v>1258048.0291704393</v>
      </c>
      <c r="BL369" s="149">
        <f t="shared" si="984"/>
        <v>1320950.4306289614</v>
      </c>
      <c r="BM369" s="149">
        <f t="shared" si="984"/>
        <v>1346048.4888109115</v>
      </c>
      <c r="BN369" s="149">
        <f t="shared" si="984"/>
        <v>1391814.1374304825</v>
      </c>
      <c r="BO369" s="149">
        <f t="shared" si="984"/>
        <v>1487849.3129131857</v>
      </c>
      <c r="BP369" s="149">
        <f t="shared" si="984"/>
        <v>2313605.6815800038</v>
      </c>
      <c r="BQ369" s="149">
        <f t="shared" si="984"/>
        <v>2822598.9315276048</v>
      </c>
      <c r="BR369" s="149">
        <f t="shared" si="984"/>
        <v>3017358.2578030094</v>
      </c>
      <c r="BS369" s="149">
        <f t="shared" si="984"/>
        <v>3150122.0211463417</v>
      </c>
      <c r="BT369" s="149">
        <f t="shared" ca="1" si="984"/>
        <v>4228877.9254095946</v>
      </c>
      <c r="BU369" s="149">
        <f t="shared" ref="BU369:CC369" ca="1" si="985">+BT369*(1+BU48/100)</f>
        <v>6385229.3960664095</v>
      </c>
      <c r="BV369" s="149">
        <f t="shared" ca="1" si="985"/>
        <v>7433283.5907362103</v>
      </c>
      <c r="BW369" s="149">
        <f t="shared" ca="1" si="985"/>
        <v>8076672.4252471859</v>
      </c>
      <c r="BX369" s="149">
        <f t="shared" ca="1" si="985"/>
        <v>8488567.2607561536</v>
      </c>
      <c r="BY369" s="149">
        <f t="shared" ca="1" si="985"/>
        <v>9005662.3409033399</v>
      </c>
      <c r="BZ369" s="149">
        <f t="shared" ca="1" si="985"/>
        <v>9621071.8266662546</v>
      </c>
      <c r="CA369" s="149">
        <f t="shared" ca="1" si="985"/>
        <v>10350101.676975243</v>
      </c>
      <c r="CB369" s="149">
        <f t="shared" ca="1" si="985"/>
        <v>11229878.777683845</v>
      </c>
      <c r="CC369" s="149">
        <f t="shared" ca="1" si="985"/>
        <v>12312449.599729432</v>
      </c>
      <c r="CD369" s="149">
        <f ca="1">+CC369*(1+CD48/100)</f>
        <v>13675703.53383792</v>
      </c>
      <c r="CE369" s="149">
        <f ca="1">+CD369*(1+CE48/100)</f>
        <v>15438972.359060515</v>
      </c>
      <c r="CF369" s="149">
        <f ca="1">+CE369*(1+CF48/100)</f>
        <v>17790646.501641478</v>
      </c>
      <c r="CG369" s="149">
        <f ca="1">+CF369*(1+CG48/100)</f>
        <v>21038716.708550282</v>
      </c>
      <c r="CI369" s="159">
        <f t="shared" si="962"/>
        <v>0</v>
      </c>
      <c r="CJ369" s="159">
        <f t="shared" ref="CJ369:CU373" si="986">BR369-DB369</f>
        <v>0</v>
      </c>
      <c r="CK369" s="159">
        <f t="shared" si="986"/>
        <v>0</v>
      </c>
      <c r="CL369" s="159">
        <f t="shared" ca="1" si="986"/>
        <v>0</v>
      </c>
      <c r="CM369" s="159">
        <f t="shared" ca="1" si="986"/>
        <v>511866.61063698772</v>
      </c>
      <c r="CN369" s="159">
        <f t="shared" ca="1" si="986"/>
        <v>837090.75576592237</v>
      </c>
      <c r="CO369" s="159">
        <f t="shared" ca="1" si="986"/>
        <v>934067.50671967864</v>
      </c>
      <c r="CP369" s="159">
        <f t="shared" ca="1" si="986"/>
        <v>954558.40320554096</v>
      </c>
      <c r="CQ369" s="159">
        <f t="shared" ca="1" si="986"/>
        <v>967186.44598509371</v>
      </c>
      <c r="CR369" s="159">
        <f t="shared" ca="1" si="986"/>
        <v>970233.43898914382</v>
      </c>
      <c r="CS369" s="159">
        <f t="shared" ca="1" si="986"/>
        <v>1002172.6060665138</v>
      </c>
      <c r="CT369" s="159">
        <f t="shared" ca="1" si="986"/>
        <v>1065704.4197461307</v>
      </c>
      <c r="CU369" s="159">
        <f t="shared" ca="1" si="986"/>
        <v>1102496.2185194902</v>
      </c>
      <c r="CV369" s="159">
        <f t="shared" ca="1" si="933"/>
        <v>1117069.4948099796</v>
      </c>
      <c r="CW369" s="159">
        <f t="shared" ca="1" si="934"/>
        <v>1102333.71581476</v>
      </c>
      <c r="CX369" s="159">
        <f t="shared" ca="1" si="935"/>
        <v>1037134.7090488411</v>
      </c>
      <c r="CY369" s="159">
        <f t="shared" ca="1" si="936"/>
        <v>878616.48847291619</v>
      </c>
      <c r="CZ369" s="165"/>
      <c r="DA369" s="104">
        <v>2822598.9315276048</v>
      </c>
      <c r="DB369" s="104">
        <v>3017358.2578030094</v>
      </c>
      <c r="DC369" s="104">
        <v>3150122.0211463417</v>
      </c>
      <c r="DD369" s="104">
        <v>4228877.9254095946</v>
      </c>
      <c r="DE369" s="104">
        <v>5873362.7854294218</v>
      </c>
      <c r="DF369" s="104">
        <v>6596192.834970288</v>
      </c>
      <c r="DG369" s="104">
        <v>7142604.9185275072</v>
      </c>
      <c r="DH369" s="104">
        <v>7534008.8575506127</v>
      </c>
      <c r="DI369" s="104">
        <v>8038475.8949182462</v>
      </c>
      <c r="DJ369" s="104">
        <v>8650838.3876771107</v>
      </c>
      <c r="DK369" s="104">
        <v>9347929.070908729</v>
      </c>
      <c r="DL369" s="104">
        <v>10164174.357937714</v>
      </c>
      <c r="DM369" s="104">
        <v>11209953.381209942</v>
      </c>
      <c r="DN369" s="104">
        <v>12558634.03902794</v>
      </c>
      <c r="DO369" s="104">
        <v>14336638.643245755</v>
      </c>
      <c r="DP369" s="104">
        <v>16753511.792592637</v>
      </c>
      <c r="DQ369" s="104">
        <v>20160100.220077366</v>
      </c>
    </row>
    <row r="370" spans="1:121">
      <c r="A370" s="123" t="s">
        <v>485</v>
      </c>
      <c r="B370" s="128"/>
      <c r="C370" s="128"/>
      <c r="D370" s="112"/>
      <c r="E370" s="128"/>
      <c r="F370" s="128">
        <f t="shared" ref="F370:AK370" si="987">+F228/(F369/$BQ369)</f>
        <v>43168.656994679404</v>
      </c>
      <c r="G370" s="128">
        <f t="shared" si="987"/>
        <v>42798.630752932404</v>
      </c>
      <c r="H370" s="128">
        <f t="shared" si="987"/>
        <v>42237.570916384597</v>
      </c>
      <c r="I370" s="128">
        <f t="shared" si="987"/>
        <v>45537.692120811</v>
      </c>
      <c r="J370" s="128">
        <f t="shared" si="987"/>
        <v>47308.022649879204</v>
      </c>
      <c r="K370" s="128">
        <f t="shared" si="987"/>
        <v>48058.393421236375</v>
      </c>
      <c r="L370" s="128">
        <f t="shared" si="987"/>
        <v>48898.315630626319</v>
      </c>
      <c r="M370" s="128">
        <f t="shared" si="987"/>
        <v>60475.799293331336</v>
      </c>
      <c r="N370" s="128">
        <f t="shared" si="987"/>
        <v>55953.34550916811</v>
      </c>
      <c r="O370" s="128">
        <f t="shared" si="987"/>
        <v>52519.342031959022</v>
      </c>
      <c r="P370" s="128">
        <f t="shared" si="987"/>
        <v>54550.351418885264</v>
      </c>
      <c r="Q370" s="128">
        <f t="shared" si="987"/>
        <v>54830.033515613453</v>
      </c>
      <c r="R370" s="128">
        <f t="shared" si="987"/>
        <v>61423.26136636005</v>
      </c>
      <c r="S370" s="128">
        <f t="shared" si="987"/>
        <v>54310.488415496795</v>
      </c>
      <c r="T370" s="128">
        <f t="shared" si="987"/>
        <v>55689.764452096242</v>
      </c>
      <c r="U370" s="128">
        <f t="shared" si="987"/>
        <v>57709.594265808475</v>
      </c>
      <c r="V370" s="128">
        <f t="shared" si="987"/>
        <v>57117.59742803673</v>
      </c>
      <c r="W370" s="128">
        <f t="shared" si="987"/>
        <v>58332.057197165443</v>
      </c>
      <c r="X370" s="128">
        <f t="shared" si="987"/>
        <v>66998.643030306048</v>
      </c>
      <c r="Y370" s="128">
        <f t="shared" si="987"/>
        <v>57196.10820041284</v>
      </c>
      <c r="Z370" s="128">
        <f t="shared" si="987"/>
        <v>50124.929645474142</v>
      </c>
      <c r="AA370" s="128">
        <f t="shared" si="987"/>
        <v>56631.901396494723</v>
      </c>
      <c r="AB370" s="128">
        <f t="shared" si="987"/>
        <v>55826.49923998498</v>
      </c>
      <c r="AC370" s="128">
        <f t="shared" si="987"/>
        <v>60060.375039440267</v>
      </c>
      <c r="AD370" s="128">
        <f t="shared" si="987"/>
        <v>59246.368865942801</v>
      </c>
      <c r="AE370" s="128">
        <f t="shared" si="987"/>
        <v>53759.934341758213</v>
      </c>
      <c r="AF370" s="128">
        <f t="shared" si="987"/>
        <v>54461.996011657437</v>
      </c>
      <c r="AG370" s="128">
        <f t="shared" si="987"/>
        <v>60902.338169461917</v>
      </c>
      <c r="AH370" s="128">
        <f t="shared" si="987"/>
        <v>71390.358941843806</v>
      </c>
      <c r="AI370" s="128">
        <f t="shared" si="987"/>
        <v>70439.598390866464</v>
      </c>
      <c r="AJ370" s="128">
        <f t="shared" si="987"/>
        <v>67960.843933001219</v>
      </c>
      <c r="AK370" s="128">
        <f t="shared" si="987"/>
        <v>61225.361382385709</v>
      </c>
      <c r="AL370" s="128">
        <f t="shared" ref="AL370:BQ370" si="988">+AL228/(AL369/$BQ369)</f>
        <v>54208.732805919979</v>
      </c>
      <c r="AM370" s="128">
        <f t="shared" si="988"/>
        <v>37849.199124363855</v>
      </c>
      <c r="AN370" s="128">
        <f t="shared" si="988"/>
        <v>36915.487022986621</v>
      </c>
      <c r="AO370" s="128">
        <f t="shared" si="988"/>
        <v>38959.655961517659</v>
      </c>
      <c r="AP370" s="128">
        <f t="shared" si="988"/>
        <v>30657.547325290219</v>
      </c>
      <c r="AQ370" s="128">
        <f t="shared" si="988"/>
        <v>31733.55186794898</v>
      </c>
      <c r="AR370" s="128">
        <f t="shared" si="988"/>
        <v>27563.502815557593</v>
      </c>
      <c r="AS370" s="128">
        <f t="shared" si="988"/>
        <v>14076.591525480802</v>
      </c>
      <c r="AT370" s="128">
        <f t="shared" si="988"/>
        <v>10853.41043151892</v>
      </c>
      <c r="AU370" s="128">
        <f t="shared" si="988"/>
        <v>12881.790004527858</v>
      </c>
      <c r="AV370" s="128">
        <f t="shared" si="988"/>
        <v>25642.457539441875</v>
      </c>
      <c r="AW370" s="128">
        <f t="shared" si="988"/>
        <v>29228.932565585579</v>
      </c>
      <c r="AX370" s="128">
        <f t="shared" si="988"/>
        <v>56163.329680044219</v>
      </c>
      <c r="AY370" s="128">
        <f t="shared" si="988"/>
        <v>38912.21612507799</v>
      </c>
      <c r="AZ370" s="128">
        <f t="shared" si="988"/>
        <v>38444.192982715154</v>
      </c>
      <c r="BA370" s="128">
        <f t="shared" si="988"/>
        <v>40163.860479487586</v>
      </c>
      <c r="BB370" s="128">
        <f t="shared" si="988"/>
        <v>60382.992429461039</v>
      </c>
      <c r="BC370" s="128">
        <f t="shared" si="988"/>
        <v>54357.679909280145</v>
      </c>
      <c r="BD370" s="128">
        <f t="shared" si="988"/>
        <v>53421.857817067583</v>
      </c>
      <c r="BE370" s="128">
        <f t="shared" si="988"/>
        <v>53039.099846773664</v>
      </c>
      <c r="BF370" s="128">
        <f t="shared" si="988"/>
        <v>55422.159791112346</v>
      </c>
      <c r="BG370" s="128">
        <f t="shared" si="988"/>
        <v>57490.457690800598</v>
      </c>
      <c r="BH370" s="128">
        <f t="shared" si="988"/>
        <v>54953.366837795715</v>
      </c>
      <c r="BI370" s="128">
        <f t="shared" si="988"/>
        <v>69137.335386523497</v>
      </c>
      <c r="BJ370" s="128">
        <f t="shared" si="988"/>
        <v>72042.487445885519</v>
      </c>
      <c r="BK370" s="128">
        <f t="shared" si="988"/>
        <v>67475.039345465862</v>
      </c>
      <c r="BL370" s="128">
        <f t="shared" si="988"/>
        <v>68655.190662075387</v>
      </c>
      <c r="BM370" s="128">
        <f t="shared" si="988"/>
        <v>78627.308314913593</v>
      </c>
      <c r="BN370" s="128">
        <f t="shared" si="988"/>
        <v>72154.208442100004</v>
      </c>
      <c r="BO370" s="128">
        <f t="shared" si="988"/>
        <v>66996.325689369609</v>
      </c>
      <c r="BP370" s="128">
        <f t="shared" si="988"/>
        <v>44586.775995055628</v>
      </c>
      <c r="BQ370" s="128">
        <f t="shared" si="988"/>
        <v>43539.196538936958</v>
      </c>
      <c r="BR370" s="128">
        <f t="shared" ref="BR370:CC370" si="989">+BR228/(BR369/$BQ369)</f>
        <v>49484.317703856439</v>
      </c>
      <c r="BS370" s="128">
        <f t="shared" si="989"/>
        <v>48562.09713786166</v>
      </c>
      <c r="BT370" s="128">
        <f t="shared" ca="1" si="989"/>
        <v>41449.128438555214</v>
      </c>
      <c r="BU370" s="128">
        <f t="shared" ca="1" si="989"/>
        <v>34394.635211559522</v>
      </c>
      <c r="BV370" s="128">
        <f t="shared" ca="1" si="989"/>
        <v>34981.664550769019</v>
      </c>
      <c r="BW370" s="128">
        <f t="shared" ca="1" si="989"/>
        <v>38075.405366127212</v>
      </c>
      <c r="BX370" s="128">
        <f t="shared" ca="1" si="989"/>
        <v>39601.712955577546</v>
      </c>
      <c r="BY370" s="128">
        <f t="shared" ca="1" si="989"/>
        <v>42264.947444217483</v>
      </c>
      <c r="BZ370" s="128">
        <f t="shared" ca="1" si="989"/>
        <v>45285.413252093829</v>
      </c>
      <c r="CA370" s="128">
        <f t="shared" ca="1" si="989"/>
        <v>48674.789876509829</v>
      </c>
      <c r="CB370" s="128">
        <f t="shared" ca="1" si="989"/>
        <v>52519.557615802092</v>
      </c>
      <c r="CC370" s="128">
        <f t="shared" ca="1" si="989"/>
        <v>56890.090807073284</v>
      </c>
      <c r="CD370" s="128">
        <f ca="1">+CD228/(CD369/$BQ369)</f>
        <v>61871.457049646437</v>
      </c>
      <c r="CE370" s="128">
        <f ca="1">+CE228/(CE369/$BQ369)</f>
        <v>67555.677048572034</v>
      </c>
      <c r="CF370" s="128">
        <f ca="1">+CF228/(CF369/$BQ369)</f>
        <v>74032.340223000254</v>
      </c>
      <c r="CG370" s="128">
        <f ca="1">+CG228/(CG369/$BQ369)</f>
        <v>81371.597086859154</v>
      </c>
      <c r="CH370" s="128"/>
      <c r="CI370" s="159">
        <f t="shared" si="962"/>
        <v>0</v>
      </c>
      <c r="CJ370" s="159">
        <f t="shared" si="986"/>
        <v>0</v>
      </c>
      <c r="CK370" s="159">
        <f t="shared" si="986"/>
        <v>0</v>
      </c>
      <c r="CL370" s="159">
        <f t="shared" ca="1" si="986"/>
        <v>0</v>
      </c>
      <c r="CM370" s="159">
        <f t="shared" ca="1" si="986"/>
        <v>-1902.9723450452657</v>
      </c>
      <c r="CN370" s="159">
        <f t="shared" ca="1" si="986"/>
        <v>-1934.1098240764113</v>
      </c>
      <c r="CO370" s="159">
        <f t="shared" ca="1" si="986"/>
        <v>-2731.2744075834271</v>
      </c>
      <c r="CP370" s="159">
        <f t="shared" ca="1" si="986"/>
        <v>-3543.0443988344705</v>
      </c>
      <c r="CQ370" s="159">
        <f t="shared" ca="1" si="986"/>
        <v>-4529.6055022788787</v>
      </c>
      <c r="CR370" s="159">
        <f t="shared" ca="1" si="986"/>
        <v>-5682.0593442389072</v>
      </c>
      <c r="CS370" s="159">
        <f t="shared" ca="1" si="986"/>
        <v>-6577.7962429330364</v>
      </c>
      <c r="CT370" s="159">
        <f t="shared" ca="1" si="986"/>
        <v>-7430.6462269169933</v>
      </c>
      <c r="CU370" s="159">
        <f t="shared" ca="1" si="986"/>
        <v>-8694.141051066108</v>
      </c>
      <c r="CV370" s="159">
        <f t="shared" ca="1" si="933"/>
        <v>-10202.473017770659</v>
      </c>
      <c r="CW370" s="159">
        <f t="shared" ca="1" si="934"/>
        <v>-11950.447818961446</v>
      </c>
      <c r="CX370" s="159">
        <f t="shared" ca="1" si="935"/>
        <v>-13940.551296550315</v>
      </c>
      <c r="CY370" s="159">
        <f t="shared" ca="1" si="936"/>
        <v>-16156.278128853533</v>
      </c>
      <c r="CZ370" s="128"/>
      <c r="DA370" s="104">
        <v>43539.196538936958</v>
      </c>
      <c r="DB370" s="104">
        <v>49484.317703856439</v>
      </c>
      <c r="DC370" s="104">
        <v>48562.09713786166</v>
      </c>
      <c r="DD370" s="104">
        <v>41449.128438555214</v>
      </c>
      <c r="DE370" s="104">
        <v>36297.607556604788</v>
      </c>
      <c r="DF370" s="104">
        <v>36915.77437484543</v>
      </c>
      <c r="DG370" s="104">
        <v>40806.679773710639</v>
      </c>
      <c r="DH370" s="104">
        <v>43144.757354412017</v>
      </c>
      <c r="DI370" s="104">
        <v>46794.552946496362</v>
      </c>
      <c r="DJ370" s="104">
        <v>50967.472596332736</v>
      </c>
      <c r="DK370" s="104">
        <v>55252.586119442865</v>
      </c>
      <c r="DL370" s="104">
        <v>59950.203842719086</v>
      </c>
      <c r="DM370" s="104">
        <v>65584.231858139392</v>
      </c>
      <c r="DN370" s="104">
        <v>72073.930067417095</v>
      </c>
      <c r="DO370" s="104">
        <v>79506.124867533479</v>
      </c>
      <c r="DP370" s="104">
        <v>87972.891519550569</v>
      </c>
      <c r="DQ370" s="104">
        <v>97527.875215712687</v>
      </c>
    </row>
    <row r="371" spans="1:121">
      <c r="A371" s="123" t="s">
        <v>486</v>
      </c>
      <c r="B371" s="128"/>
      <c r="C371" s="128"/>
      <c r="D371" s="112"/>
      <c r="E371" s="128"/>
      <c r="F371" s="128">
        <f t="shared" ref="F371:AK371" si="990">+F229/(F369/$BQ369)</f>
        <v>25031.53347201856</v>
      </c>
      <c r="G371" s="128">
        <f t="shared" si="990"/>
        <v>25085.652997027439</v>
      </c>
      <c r="H371" s="128">
        <f t="shared" si="990"/>
        <v>20247.22060478013</v>
      </c>
      <c r="I371" s="128">
        <f t="shared" si="990"/>
        <v>20137.954080259024</v>
      </c>
      <c r="J371" s="128">
        <f t="shared" si="990"/>
        <v>20571.857373043913</v>
      </c>
      <c r="K371" s="128">
        <f t="shared" si="990"/>
        <v>21434.430285165745</v>
      </c>
      <c r="L371" s="128">
        <f t="shared" si="990"/>
        <v>21063.170298800065</v>
      </c>
      <c r="M371" s="128">
        <f t="shared" si="990"/>
        <v>20618.764181465285</v>
      </c>
      <c r="N371" s="128">
        <f t="shared" si="990"/>
        <v>21179.326609011336</v>
      </c>
      <c r="O371" s="128">
        <f t="shared" si="990"/>
        <v>22131.298161165047</v>
      </c>
      <c r="P371" s="128">
        <f t="shared" si="990"/>
        <v>22876.035826271156</v>
      </c>
      <c r="Q371" s="128">
        <f t="shared" si="990"/>
        <v>23061.530739836566</v>
      </c>
      <c r="R371" s="128">
        <f t="shared" si="990"/>
        <v>25847.628963476021</v>
      </c>
      <c r="S371" s="128">
        <f t="shared" si="990"/>
        <v>26154.469194501395</v>
      </c>
      <c r="T371" s="128">
        <f t="shared" si="990"/>
        <v>28923.986158908785</v>
      </c>
      <c r="U371" s="128">
        <f t="shared" si="990"/>
        <v>30986.311335007198</v>
      </c>
      <c r="V371" s="128">
        <f t="shared" si="990"/>
        <v>33379.18809595691</v>
      </c>
      <c r="W371" s="128">
        <f t="shared" si="990"/>
        <v>37783.468995929026</v>
      </c>
      <c r="X371" s="128">
        <f t="shared" si="990"/>
        <v>41149.336223512073</v>
      </c>
      <c r="Y371" s="128">
        <f t="shared" si="990"/>
        <v>42125.355284694211</v>
      </c>
      <c r="Z371" s="128">
        <f t="shared" si="990"/>
        <v>41716.631305650648</v>
      </c>
      <c r="AA371" s="128">
        <f t="shared" si="990"/>
        <v>46166.74805603781</v>
      </c>
      <c r="AB371" s="128">
        <f t="shared" si="990"/>
        <v>50668.537287005296</v>
      </c>
      <c r="AC371" s="128">
        <f t="shared" si="990"/>
        <v>58940.400891730751</v>
      </c>
      <c r="AD371" s="128">
        <f t="shared" si="990"/>
        <v>64675.189734157066</v>
      </c>
      <c r="AE371" s="128">
        <f t="shared" si="990"/>
        <v>59623.513117959381</v>
      </c>
      <c r="AF371" s="128">
        <f t="shared" si="990"/>
        <v>62110.405377440875</v>
      </c>
      <c r="AG371" s="128">
        <f t="shared" si="990"/>
        <v>66257.629292832615</v>
      </c>
      <c r="AH371" s="128">
        <f t="shared" si="990"/>
        <v>68624.221860250851</v>
      </c>
      <c r="AI371" s="128">
        <f t="shared" si="990"/>
        <v>71398.913642238622</v>
      </c>
      <c r="AJ371" s="128">
        <f t="shared" si="990"/>
        <v>73924.996336134325</v>
      </c>
      <c r="AK371" s="128">
        <f t="shared" si="990"/>
        <v>71351.213073395338</v>
      </c>
      <c r="AL371" s="128">
        <f t="shared" ref="AL371:BQ371" si="991">+AL229/(AL369/$BQ369)</f>
        <v>59475.404553192537</v>
      </c>
      <c r="AM371" s="128">
        <f t="shared" si="991"/>
        <v>36269.895747553717</v>
      </c>
      <c r="AN371" s="128">
        <f t="shared" si="991"/>
        <v>38068.874906837278</v>
      </c>
      <c r="AO371" s="128">
        <f t="shared" si="991"/>
        <v>44569.474193048358</v>
      </c>
      <c r="AP371" s="128">
        <f t="shared" si="991"/>
        <v>43205.674978492389</v>
      </c>
      <c r="AQ371" s="128">
        <f t="shared" si="991"/>
        <v>39616.254914310884</v>
      </c>
      <c r="AR371" s="128">
        <f t="shared" si="991"/>
        <v>35633.705348565483</v>
      </c>
      <c r="AS371" s="128">
        <f t="shared" si="991"/>
        <v>27466.815003589305</v>
      </c>
      <c r="AT371" s="128">
        <f t="shared" si="991"/>
        <v>39559.839580379266</v>
      </c>
      <c r="AU371" s="128">
        <f t="shared" si="991"/>
        <v>54262.802482652398</v>
      </c>
      <c r="AV371" s="128">
        <f t="shared" si="991"/>
        <v>70276.504530126243</v>
      </c>
      <c r="AW371" s="128">
        <f t="shared" si="991"/>
        <v>88009.723197652464</v>
      </c>
      <c r="AX371" s="128">
        <f t="shared" si="991"/>
        <v>88411.533170400086</v>
      </c>
      <c r="AY371" s="128">
        <f t="shared" si="991"/>
        <v>82851.692131954929</v>
      </c>
      <c r="AZ371" s="128">
        <f t="shared" si="991"/>
        <v>69876.79777197729</v>
      </c>
      <c r="BA371" s="128">
        <f t="shared" si="991"/>
        <v>114570.31164549135</v>
      </c>
      <c r="BB371" s="128">
        <f t="shared" si="991"/>
        <v>106090.9059875121</v>
      </c>
      <c r="BC371" s="128">
        <f t="shared" si="991"/>
        <v>100288.98607401949</v>
      </c>
      <c r="BD371" s="128">
        <f t="shared" si="991"/>
        <v>110652.6444055241</v>
      </c>
      <c r="BE371" s="128">
        <f t="shared" si="991"/>
        <v>111603.11714218439</v>
      </c>
      <c r="BF371" s="128">
        <f t="shared" si="991"/>
        <v>120636.39232552679</v>
      </c>
      <c r="BG371" s="128">
        <f t="shared" si="991"/>
        <v>122388.71777087278</v>
      </c>
      <c r="BH371" s="128">
        <f t="shared" si="991"/>
        <v>114785.22646170281</v>
      </c>
      <c r="BI371" s="128">
        <f t="shared" si="991"/>
        <v>128243.3196438263</v>
      </c>
      <c r="BJ371" s="128">
        <f t="shared" si="991"/>
        <v>123934.46675984116</v>
      </c>
      <c r="BK371" s="128">
        <f t="shared" si="991"/>
        <v>124697.8420913781</v>
      </c>
      <c r="BL371" s="128">
        <f t="shared" si="991"/>
        <v>129958.95593823565</v>
      </c>
      <c r="BM371" s="128">
        <f t="shared" si="991"/>
        <v>130093.06977447022</v>
      </c>
      <c r="BN371" s="128">
        <f t="shared" si="991"/>
        <v>126374.75342287964</v>
      </c>
      <c r="BO371" s="128">
        <f t="shared" si="991"/>
        <v>121771.69333154058</v>
      </c>
      <c r="BP371" s="128">
        <f t="shared" si="991"/>
        <v>99186.859070710954</v>
      </c>
      <c r="BQ371" s="128">
        <f t="shared" si="991"/>
        <v>96677.000688290427</v>
      </c>
      <c r="BR371" s="128">
        <f t="shared" ref="BR371:CC371" si="992">+BR229/(BR369/$BQ369)</f>
        <v>114456.14423825841</v>
      </c>
      <c r="BS371" s="128">
        <f t="shared" si="992"/>
        <v>114615.37576053156</v>
      </c>
      <c r="BT371" s="128">
        <f t="shared" ca="1" si="992"/>
        <v>97827.476796252915</v>
      </c>
      <c r="BU371" s="128">
        <f t="shared" ca="1" si="992"/>
        <v>81177.590574970993</v>
      </c>
      <c r="BV371" s="128">
        <f t="shared" ca="1" si="992"/>
        <v>82563.086512367328</v>
      </c>
      <c r="BW371" s="128">
        <f t="shared" ca="1" si="992"/>
        <v>89864.877146559593</v>
      </c>
      <c r="BX371" s="128">
        <f t="shared" ca="1" si="992"/>
        <v>93467.240475193714</v>
      </c>
      <c r="BY371" s="128">
        <f t="shared" ca="1" si="992"/>
        <v>99752.957930667559</v>
      </c>
      <c r="BZ371" s="128">
        <f t="shared" ca="1" si="992"/>
        <v>106881.80622893576</v>
      </c>
      <c r="CA371" s="128">
        <f t="shared" ca="1" si="992"/>
        <v>114881.3511064682</v>
      </c>
      <c r="CB371" s="128">
        <f t="shared" ca="1" si="992"/>
        <v>123955.70178576345</v>
      </c>
      <c r="CC371" s="128">
        <f t="shared" ca="1" si="992"/>
        <v>134270.9544934321</v>
      </c>
      <c r="CD371" s="128">
        <f ca="1">+CD229/(CD369/$BQ369)</f>
        <v>146027.88422553436</v>
      </c>
      <c r="CE371" s="128">
        <f ca="1">+CE229/(CE369/$BQ369)</f>
        <v>159443.67657142307</v>
      </c>
      <c r="CF371" s="128">
        <f ca="1">+CF229/(CF369/$BQ369)</f>
        <v>174729.77884382004</v>
      </c>
      <c r="CG371" s="128">
        <f ca="1">+CG229/(CG369/$BQ369)</f>
        <v>192051.75900596625</v>
      </c>
      <c r="CH371" s="128"/>
      <c r="CI371" s="159">
        <f t="shared" si="962"/>
        <v>0</v>
      </c>
      <c r="CJ371" s="159">
        <f t="shared" si="986"/>
        <v>0</v>
      </c>
      <c r="CK371" s="159">
        <f t="shared" si="986"/>
        <v>0</v>
      </c>
      <c r="CL371" s="159">
        <f t="shared" ca="1" si="986"/>
        <v>0</v>
      </c>
      <c r="CM371" s="159">
        <f t="shared" ca="1" si="986"/>
        <v>-4491.3606134034344</v>
      </c>
      <c r="CN371" s="159">
        <f t="shared" ca="1" si="986"/>
        <v>-4564.8507233807322</v>
      </c>
      <c r="CO371" s="159">
        <f t="shared" ca="1" si="986"/>
        <v>-6446.3040309317439</v>
      </c>
      <c r="CP371" s="159">
        <f t="shared" ca="1" si="986"/>
        <v>-8362.2287553980423</v>
      </c>
      <c r="CQ371" s="159">
        <f t="shared" ca="1" si="986"/>
        <v>-10690.692274199289</v>
      </c>
      <c r="CR371" s="159">
        <f t="shared" ca="1" si="986"/>
        <v>-13410.692808112406</v>
      </c>
      <c r="CS371" s="159">
        <f t="shared" ca="1" si="986"/>
        <v>-15524.794695741904</v>
      </c>
      <c r="CT371" s="159">
        <f t="shared" ca="1" si="986"/>
        <v>-17537.675669645847</v>
      </c>
      <c r="CU371" s="159">
        <f t="shared" ca="1" si="986"/>
        <v>-20519.753104033356</v>
      </c>
      <c r="CV371" s="159">
        <f t="shared" ca="1" si="933"/>
        <v>-24079.690695787198</v>
      </c>
      <c r="CW371" s="159">
        <f t="shared" ca="1" si="934"/>
        <v>-28205.228933759674</v>
      </c>
      <c r="CX371" s="159">
        <f t="shared" ca="1" si="935"/>
        <v>-32902.234856684692</v>
      </c>
      <c r="CY371" s="159">
        <f t="shared" ca="1" si="936"/>
        <v>-38131.752905425645</v>
      </c>
      <c r="CZ371" s="128"/>
      <c r="DA371" s="104">
        <v>96677.000688290427</v>
      </c>
      <c r="DB371" s="104">
        <v>114456.14423825841</v>
      </c>
      <c r="DC371" s="104">
        <v>114615.37576053156</v>
      </c>
      <c r="DD371" s="104">
        <v>97827.476796252915</v>
      </c>
      <c r="DE371" s="104">
        <v>85668.951188374427</v>
      </c>
      <c r="DF371" s="104">
        <v>87127.937235748061</v>
      </c>
      <c r="DG371" s="104">
        <v>96311.181177491337</v>
      </c>
      <c r="DH371" s="104">
        <v>101829.46923059176</v>
      </c>
      <c r="DI371" s="104">
        <v>110443.65020486685</v>
      </c>
      <c r="DJ371" s="104">
        <v>120292.49903704817</v>
      </c>
      <c r="DK371" s="104">
        <v>130406.1458022101</v>
      </c>
      <c r="DL371" s="104">
        <v>141493.3774554093</v>
      </c>
      <c r="DM371" s="104">
        <v>154790.70759746546</v>
      </c>
      <c r="DN371" s="104">
        <v>170107.57492132156</v>
      </c>
      <c r="DO371" s="104">
        <v>187648.90550518275</v>
      </c>
      <c r="DP371" s="104">
        <v>207632.01370050473</v>
      </c>
      <c r="DQ371" s="104">
        <v>230183.51191139189</v>
      </c>
    </row>
    <row r="372" spans="1:121">
      <c r="A372" s="123" t="s">
        <v>2625</v>
      </c>
      <c r="B372" s="128"/>
      <c r="C372" s="128"/>
      <c r="D372" s="112"/>
      <c r="E372" s="128"/>
      <c r="F372" s="206" t="s">
        <v>1344</v>
      </c>
      <c r="G372" s="164">
        <f>+(G371/F371-1)*100</f>
        <v>0.2162053917686535</v>
      </c>
      <c r="H372" s="164">
        <f t="shared" ref="H372:BQ372" si="993">+(H371/G371-1)*100</f>
        <v>-19.28764777548604</v>
      </c>
      <c r="I372" s="164">
        <f t="shared" si="993"/>
        <v>-0.5396618462057412</v>
      </c>
      <c r="J372" s="164">
        <f t="shared" si="993"/>
        <v>2.1546542963380766</v>
      </c>
      <c r="K372" s="164">
        <f t="shared" si="993"/>
        <v>4.192975366687568</v>
      </c>
      <c r="L372" s="164">
        <f t="shared" si="993"/>
        <v>-1.7320730312231358</v>
      </c>
      <c r="M372" s="164">
        <f t="shared" si="993"/>
        <v>-2.1098728777789733</v>
      </c>
      <c r="N372" s="164">
        <f t="shared" si="993"/>
        <v>2.7187004158569117</v>
      </c>
      <c r="O372" s="164">
        <f t="shared" si="993"/>
        <v>4.4948150133756748</v>
      </c>
      <c r="P372" s="164">
        <f t="shared" si="993"/>
        <v>3.3650880291014262</v>
      </c>
      <c r="Q372" s="164">
        <f t="shared" si="993"/>
        <v>0.81087000813482302</v>
      </c>
      <c r="R372" s="164">
        <f t="shared" si="993"/>
        <v>12.081150445172927</v>
      </c>
      <c r="S372" s="164">
        <f t="shared" si="993"/>
        <v>1.1871117132598696</v>
      </c>
      <c r="T372" s="164">
        <f t="shared" si="993"/>
        <v>10.589077315282092</v>
      </c>
      <c r="U372" s="164">
        <f t="shared" si="993"/>
        <v>7.1301554521841171</v>
      </c>
      <c r="V372" s="164">
        <f t="shared" si="993"/>
        <v>7.7223672578488722</v>
      </c>
      <c r="W372" s="164">
        <f t="shared" si="993"/>
        <v>13.194691516494949</v>
      </c>
      <c r="X372" s="164">
        <f t="shared" si="993"/>
        <v>8.908306508186703</v>
      </c>
      <c r="Y372" s="164">
        <f t="shared" si="993"/>
        <v>2.3718950310174236</v>
      </c>
      <c r="Z372" s="164">
        <f t="shared" si="993"/>
        <v>-0.9702564554798343</v>
      </c>
      <c r="AA372" s="164">
        <f t="shared" si="993"/>
        <v>10.667488268124803</v>
      </c>
      <c r="AB372" s="164">
        <f t="shared" si="993"/>
        <v>9.7511508185570186</v>
      </c>
      <c r="AC372" s="164">
        <f t="shared" si="993"/>
        <v>16.325443850629775</v>
      </c>
      <c r="AD372" s="164">
        <f t="shared" si="993"/>
        <v>9.729809698717018</v>
      </c>
      <c r="AE372" s="164">
        <f t="shared" si="993"/>
        <v>-7.8108415869551422</v>
      </c>
      <c r="AF372" s="164">
        <f t="shared" si="993"/>
        <v>4.1709924984819624</v>
      </c>
      <c r="AG372" s="164">
        <f t="shared" si="993"/>
        <v>6.6771805628852876</v>
      </c>
      <c r="AH372" s="164">
        <f t="shared" si="993"/>
        <v>3.5718038702514221</v>
      </c>
      <c r="AI372" s="164">
        <f t="shared" si="993"/>
        <v>4.0433125604517173</v>
      </c>
      <c r="AJ372" s="164">
        <f t="shared" si="993"/>
        <v>3.5379847746048965</v>
      </c>
      <c r="AK372" s="164">
        <f t="shared" si="993"/>
        <v>-3.4816143257364374</v>
      </c>
      <c r="AL372" s="164">
        <f t="shared" si="993"/>
        <v>-16.644157833710217</v>
      </c>
      <c r="AM372" s="164">
        <f t="shared" si="993"/>
        <v>-39.016983541296803</v>
      </c>
      <c r="AN372" s="164">
        <f t="shared" si="993"/>
        <v>4.9599788535507283</v>
      </c>
      <c r="AO372" s="164">
        <f t="shared" si="993"/>
        <v>17.075890217715759</v>
      </c>
      <c r="AP372" s="164">
        <f t="shared" si="993"/>
        <v>-3.0599401030597884</v>
      </c>
      <c r="AQ372" s="164">
        <f t="shared" si="993"/>
        <v>-8.3077513913815793</v>
      </c>
      <c r="AR372" s="164">
        <f t="shared" si="993"/>
        <v>-10.052816891348193</v>
      </c>
      <c r="AS372" s="164">
        <f t="shared" si="993"/>
        <v>-22.919003974154361</v>
      </c>
      <c r="AT372" s="164">
        <f t="shared" si="993"/>
        <v>44.02776432290991</v>
      </c>
      <c r="AU372" s="164">
        <f t="shared" si="993"/>
        <v>37.166386563320273</v>
      </c>
      <c r="AV372" s="164">
        <f t="shared" si="993"/>
        <v>29.511380383630879</v>
      </c>
      <c r="AW372" s="164">
        <f t="shared" si="993"/>
        <v>25.233495584465658</v>
      </c>
      <c r="AX372" s="164">
        <f t="shared" si="993"/>
        <v>0.45655179694774617</v>
      </c>
      <c r="AY372" s="164">
        <f t="shared" si="993"/>
        <v>-6.2885924936166298</v>
      </c>
      <c r="AZ372" s="164">
        <f t="shared" si="993"/>
        <v>-15.660385474460782</v>
      </c>
      <c r="BA372" s="164">
        <f t="shared" si="993"/>
        <v>63.960449388877862</v>
      </c>
      <c r="BB372" s="164">
        <f t="shared" si="993"/>
        <v>-7.4010496578001961</v>
      </c>
      <c r="BC372" s="164">
        <f t="shared" si="993"/>
        <v>-5.4688192729502756</v>
      </c>
      <c r="BD372" s="164">
        <f t="shared" si="993"/>
        <v>10.333795102739995</v>
      </c>
      <c r="BE372" s="164">
        <f t="shared" si="993"/>
        <v>0.85896974425387906</v>
      </c>
      <c r="BF372" s="164">
        <f t="shared" si="993"/>
        <v>8.0941065219834805</v>
      </c>
      <c r="BG372" s="164">
        <f t="shared" si="993"/>
        <v>1.4525678458764846</v>
      </c>
      <c r="BH372" s="164">
        <f t="shared" si="993"/>
        <v>-6.212575348166216</v>
      </c>
      <c r="BI372" s="164">
        <f t="shared" si="993"/>
        <v>11.724586514287761</v>
      </c>
      <c r="BJ372" s="164">
        <f t="shared" si="993"/>
        <v>-3.3599043567744791</v>
      </c>
      <c r="BK372" s="164">
        <f t="shared" si="993"/>
        <v>0.61595079358851557</v>
      </c>
      <c r="BL372" s="164">
        <f t="shared" si="993"/>
        <v>4.2190897281143336</v>
      </c>
      <c r="BM372" s="164">
        <f t="shared" si="993"/>
        <v>0.10319707115706844</v>
      </c>
      <c r="BN372" s="164">
        <f t="shared" si="993"/>
        <v>-2.8581971030714137</v>
      </c>
      <c r="BO372" s="164">
        <f t="shared" si="993"/>
        <v>-3.6423889793368303</v>
      </c>
      <c r="BP372" s="164">
        <f t="shared" si="993"/>
        <v>-18.546867209392602</v>
      </c>
      <c r="BQ372" s="164">
        <f t="shared" si="993"/>
        <v>-2.5304343800535478</v>
      </c>
      <c r="BR372" s="164">
        <f t="shared" ref="BR372:CB372" si="994">+(BR371/BQ371-1)*100</f>
        <v>18.39025148007245</v>
      </c>
      <c r="BS372" s="164">
        <f t="shared" si="994"/>
        <v>0.13912011743266728</v>
      </c>
      <c r="BT372" s="164">
        <f t="shared" ca="1" si="994"/>
        <v>-14.647161301773314</v>
      </c>
      <c r="BU372" s="164">
        <f t="shared" ca="1" si="994"/>
        <v>-17.019641890548755</v>
      </c>
      <c r="BV372" s="164">
        <f t="shared" ca="1" si="994"/>
        <v>1.7067468097821559</v>
      </c>
      <c r="BW372" s="164">
        <f t="shared" ca="1" si="994"/>
        <v>8.8438925222332987</v>
      </c>
      <c r="BX372" s="164">
        <f t="shared" ca="1" si="994"/>
        <v>4.0086443591961674</v>
      </c>
      <c r="BY372" s="164">
        <f t="shared" ca="1" si="994"/>
        <v>6.7250487160173344</v>
      </c>
      <c r="BZ372" s="164">
        <f t="shared" ca="1" si="994"/>
        <v>7.1465031675782997</v>
      </c>
      <c r="CA372" s="164">
        <f t="shared" ca="1" si="994"/>
        <v>7.4844776298014448</v>
      </c>
      <c r="CB372" s="164">
        <f t="shared" ca="1" si="994"/>
        <v>7.8988892382415132</v>
      </c>
      <c r="CC372" s="164">
        <f ca="1">+(CC371/CB371-1)*100</f>
        <v>8.3217250671508758</v>
      </c>
      <c r="CD372" s="164">
        <f ca="1">+(CD371/CC371-1)*100</f>
        <v>8.7561228535672164</v>
      </c>
      <c r="CE372" s="164">
        <f ca="1">+(CE371/CD371-1)*100</f>
        <v>9.1871442341577403</v>
      </c>
      <c r="CF372" s="164">
        <f ca="1">+(CF371/CE371-1)*100</f>
        <v>9.5871486415138651</v>
      </c>
      <c r="CG372" s="164">
        <f ca="1">+(CG371/CF371-1)*100</f>
        <v>9.9135821476825861</v>
      </c>
      <c r="CH372" s="128"/>
      <c r="CI372" s="159">
        <f t="shared" si="962"/>
        <v>0</v>
      </c>
      <c r="CJ372" s="159">
        <f t="shared" si="986"/>
        <v>0</v>
      </c>
      <c r="CK372" s="159">
        <f t="shared" si="986"/>
        <v>0</v>
      </c>
      <c r="CL372" s="159">
        <f t="shared" ca="1" si="986"/>
        <v>0</v>
      </c>
      <c r="CM372" s="159">
        <f t="shared" ca="1" si="986"/>
        <v>-4.5911034000781576</v>
      </c>
      <c r="CN372" s="159">
        <f t="shared" ca="1" si="986"/>
        <v>3.6956726606973689E-3</v>
      </c>
      <c r="CO372" s="159">
        <f t="shared" ca="1" si="986"/>
        <v>-1.6960608303814286</v>
      </c>
      <c r="CP372" s="159">
        <f t="shared" ca="1" si="986"/>
        <v>-1.7209998894096135</v>
      </c>
      <c r="CQ372" s="159">
        <f t="shared" ca="1" si="986"/>
        <v>-1.7343697994306462</v>
      </c>
      <c r="CR372" s="159">
        <f t="shared" ca="1" si="986"/>
        <v>-1.7710297226442249</v>
      </c>
      <c r="CS372" s="159">
        <f t="shared" ca="1" si="986"/>
        <v>-0.92306801612207501</v>
      </c>
      <c r="CT372" s="159">
        <f t="shared" ca="1" si="986"/>
        <v>-0.60318831722543376</v>
      </c>
      <c r="CU372" s="159">
        <f t="shared" ca="1" si="986"/>
        <v>-1.0761212357594641</v>
      </c>
      <c r="CV372" s="159">
        <f t="shared" ca="1" si="933"/>
        <v>-1.1390882747956965</v>
      </c>
      <c r="CW372" s="159">
        <f t="shared" ca="1" si="934"/>
        <v>-1.1247602133511059</v>
      </c>
      <c r="CX372" s="159">
        <f t="shared" ca="1" si="935"/>
        <v>-1.0620518648914778</v>
      </c>
      <c r="CY372" s="159">
        <f t="shared" ca="1" si="936"/>
        <v>-0.94769969848598379</v>
      </c>
      <c r="CZ372" s="128"/>
      <c r="DA372" s="104">
        <v>-2.5304343800535478</v>
      </c>
      <c r="DB372" s="104">
        <v>18.39025148007245</v>
      </c>
      <c r="DC372" s="104">
        <v>0.13912011743266728</v>
      </c>
      <c r="DD372" s="104">
        <v>-14.647161301773314</v>
      </c>
      <c r="DE372" s="104">
        <v>-12.428538490470597</v>
      </c>
      <c r="DF372" s="104">
        <v>1.7030511371214585</v>
      </c>
      <c r="DG372" s="104">
        <v>10.539953352614727</v>
      </c>
      <c r="DH372" s="104">
        <v>5.7296442486057808</v>
      </c>
      <c r="DI372" s="104">
        <v>8.4594185154479806</v>
      </c>
      <c r="DJ372" s="104">
        <v>8.9175328902225246</v>
      </c>
      <c r="DK372" s="104">
        <v>8.4075456459235198</v>
      </c>
      <c r="DL372" s="104">
        <v>8.502077555466947</v>
      </c>
      <c r="DM372" s="104">
        <v>9.3978463029103398</v>
      </c>
      <c r="DN372" s="104">
        <v>9.8952111283629129</v>
      </c>
      <c r="DO372" s="104">
        <v>10.311904447508846</v>
      </c>
      <c r="DP372" s="104">
        <v>10.649200506405343</v>
      </c>
      <c r="DQ372" s="104">
        <v>10.86128184616857</v>
      </c>
    </row>
    <row r="373" spans="1:121">
      <c r="A373" s="123" t="s">
        <v>488</v>
      </c>
      <c r="B373" s="128"/>
      <c r="C373" s="128"/>
      <c r="D373" s="112"/>
      <c r="E373" s="553" t="s">
        <v>2636</v>
      </c>
      <c r="F373" s="545">
        <f t="shared" ref="F373:AK373" ca="1" si="995">+F15/(F270/$BQ270)</f>
        <v>2856.994196316477</v>
      </c>
      <c r="G373" s="128">
        <f t="shared" ca="1" si="995"/>
        <v>2721.2308081538517</v>
      </c>
      <c r="H373" s="128">
        <f t="shared" ca="1" si="995"/>
        <v>3300.1342731934515</v>
      </c>
      <c r="I373" s="128">
        <f t="shared" ca="1" si="995"/>
        <v>3209.6128454022019</v>
      </c>
      <c r="J373" s="128">
        <f t="shared" ca="1" si="995"/>
        <v>2761.7685141492361</v>
      </c>
      <c r="K373" s="128">
        <f t="shared" ca="1" si="995"/>
        <v>3305.5247978916982</v>
      </c>
      <c r="L373" s="128">
        <f t="shared" ca="1" si="995"/>
        <v>3690.6246737407209</v>
      </c>
      <c r="M373" s="128">
        <f t="shared" ca="1" si="995"/>
        <v>3537.8431102784502</v>
      </c>
      <c r="N373" s="546">
        <f t="shared" ca="1" si="995"/>
        <v>3499.9062848746594</v>
      </c>
      <c r="O373" s="128">
        <f t="shared" ca="1" si="995"/>
        <v>3916.912078002154</v>
      </c>
      <c r="P373" s="128">
        <f t="shared" ca="1" si="995"/>
        <v>4168.5065976052374</v>
      </c>
      <c r="Q373" s="128">
        <f t="shared" ca="1" si="995"/>
        <v>4991.9020140694274</v>
      </c>
      <c r="R373" s="128">
        <f t="shared" ca="1" si="995"/>
        <v>6638.7367363905223</v>
      </c>
      <c r="S373" s="128">
        <f t="shared" ca="1" si="995"/>
        <v>7350.9176339629475</v>
      </c>
      <c r="T373" s="128">
        <f t="shared" ca="1" si="995"/>
        <v>7846.5786979198792</v>
      </c>
      <c r="U373" s="546">
        <f t="shared" ca="1" si="995"/>
        <v>8573.1568723851178</v>
      </c>
      <c r="V373" s="128">
        <f t="shared" ca="1" si="995"/>
        <v>8430.2951576792857</v>
      </c>
      <c r="W373" s="128">
        <f t="shared" ca="1" si="995"/>
        <v>9490.9439371640383</v>
      </c>
      <c r="X373" s="128">
        <f t="shared" ca="1" si="995"/>
        <v>10082.148167072964</v>
      </c>
      <c r="Y373" s="128">
        <f t="shared" ca="1" si="995"/>
        <v>9912.9763219424422</v>
      </c>
      <c r="Z373" s="128">
        <f t="shared" ca="1" si="995"/>
        <v>10369.487809941929</v>
      </c>
      <c r="AA373" s="128">
        <f t="shared" ca="1" si="995"/>
        <v>9515.8820729388372</v>
      </c>
      <c r="AB373" s="128">
        <f t="shared" ca="1" si="995"/>
        <v>9240.2737773843346</v>
      </c>
      <c r="AC373" s="128">
        <f t="shared" ca="1" si="995"/>
        <v>9460.8173223154336</v>
      </c>
      <c r="AD373" s="128">
        <f t="shared" ca="1" si="995"/>
        <v>10288.791501024445</v>
      </c>
      <c r="AE373" s="128">
        <f t="shared" ca="1" si="995"/>
        <v>10799.122575591378</v>
      </c>
      <c r="AF373" s="545">
        <f t="shared" ca="1" si="995"/>
        <v>10863.24159335325</v>
      </c>
      <c r="AG373" s="128">
        <f t="shared" ca="1" si="995"/>
        <v>9224.698924249089</v>
      </c>
      <c r="AH373" s="128">
        <f t="shared" ca="1" si="995"/>
        <v>9246.4910885665704</v>
      </c>
      <c r="AI373" s="128">
        <f t="shared" ca="1" si="995"/>
        <v>8622.3795046976793</v>
      </c>
      <c r="AJ373" s="128">
        <f t="shared" ca="1" si="995"/>
        <v>8076.4430090871838</v>
      </c>
      <c r="AK373" s="128">
        <f t="shared" ca="1" si="995"/>
        <v>9027.3166807471425</v>
      </c>
      <c r="AL373" s="128">
        <f t="shared" ref="AL373:BQ373" ca="1" si="996">+AL15/(AL270/$BQ270)</f>
        <v>8380.9639257172093</v>
      </c>
      <c r="AM373" s="128">
        <f t="shared" ca="1" si="996"/>
        <v>8882.9179680874804</v>
      </c>
      <c r="AN373" s="128">
        <f t="shared" ca="1" si="996"/>
        <v>8047.588354049316</v>
      </c>
      <c r="AO373" s="128">
        <f t="shared" ca="1" si="996"/>
        <v>7501.6641771316108</v>
      </c>
      <c r="AP373" s="128">
        <f t="shared" ca="1" si="996"/>
        <v>7160.1632964460068</v>
      </c>
      <c r="AQ373" s="545">
        <f t="shared" ca="1" si="996"/>
        <v>6712.6141866507432</v>
      </c>
      <c r="AR373" s="128">
        <f t="shared" ca="1" si="996"/>
        <v>7661.7686603677166</v>
      </c>
      <c r="AS373" s="128">
        <f t="shared" ca="1" si="996"/>
        <v>7166.0057793424648</v>
      </c>
      <c r="AT373" s="128">
        <f t="shared" ca="1" si="996"/>
        <v>6983.7229958722046</v>
      </c>
      <c r="AU373" s="128">
        <f t="shared" ca="1" si="996"/>
        <v>7839.8814429790755</v>
      </c>
      <c r="AV373" s="128">
        <f t="shared" ca="1" si="996"/>
        <v>7083.8463998124089</v>
      </c>
      <c r="AW373" s="128">
        <f t="shared" ca="1" si="996"/>
        <v>7373.2494567683643</v>
      </c>
      <c r="AX373" s="128">
        <f t="shared" ca="1" si="996"/>
        <v>7156.8076127852428</v>
      </c>
      <c r="AY373" s="128">
        <f t="shared" ca="1" si="996"/>
        <v>7477.7690171547265</v>
      </c>
      <c r="AZ373" s="545">
        <f t="shared" ca="1" si="996"/>
        <v>7923.7217807544839</v>
      </c>
      <c r="BA373" s="128">
        <f t="shared" ca="1" si="996"/>
        <v>8569.2820168966045</v>
      </c>
      <c r="BB373" s="128">
        <f t="shared" ca="1" si="996"/>
        <v>7627.6610777394753</v>
      </c>
      <c r="BC373" s="128">
        <f t="shared" ca="1" si="996"/>
        <v>10571.442363856821</v>
      </c>
      <c r="BD373" s="128">
        <f t="shared" ca="1" si="996"/>
        <v>14443.044755513529</v>
      </c>
      <c r="BE373" s="128">
        <f t="shared" ca="1" si="996"/>
        <v>15853.872406297995</v>
      </c>
      <c r="BF373" s="128">
        <f t="shared" ca="1" si="996"/>
        <v>15073.988879440421</v>
      </c>
      <c r="BG373" s="128">
        <f t="shared" ca="1" si="996"/>
        <v>15364.009675488125</v>
      </c>
      <c r="BH373" s="545">
        <f t="shared" ca="1" si="996"/>
        <v>17284.398781447315</v>
      </c>
      <c r="BI373" s="128">
        <f t="shared" ca="1" si="996"/>
        <v>16633.404492653481</v>
      </c>
      <c r="BJ373" s="128">
        <f t="shared" ca="1" si="996"/>
        <v>17114.164741489229</v>
      </c>
      <c r="BK373" s="128">
        <f t="shared" ca="1" si="996"/>
        <v>17891.019851210178</v>
      </c>
      <c r="BL373" s="128">
        <f t="shared" ca="1" si="996"/>
        <v>17701.61191625442</v>
      </c>
      <c r="BM373" s="128">
        <f t="shared" ca="1" si="996"/>
        <v>17956.323023181561</v>
      </c>
      <c r="BN373" s="128">
        <f t="shared" ca="1" si="996"/>
        <v>17493.60820415436</v>
      </c>
      <c r="BO373" s="128">
        <f t="shared" ca="1" si="996"/>
        <v>15083.615531094356</v>
      </c>
      <c r="BP373" s="545">
        <f t="shared" ca="1" si="996"/>
        <v>12138.457585069342</v>
      </c>
      <c r="BQ373" s="128">
        <f t="shared" ca="1" si="996"/>
        <v>16359.925962499998</v>
      </c>
      <c r="BR373" s="128">
        <f t="shared" ref="BR373:CC373" ca="1" si="997">+BR15/(BR270/$BQ270)</f>
        <v>16861.265822798468</v>
      </c>
      <c r="BS373" s="128">
        <f t="shared" ca="1" si="997"/>
        <v>16612.050434309262</v>
      </c>
      <c r="BT373" s="128">
        <f t="shared" ca="1" si="997"/>
        <v>15845.319983942863</v>
      </c>
      <c r="BU373" s="128">
        <f t="shared" ca="1" si="997"/>
        <v>17095.366742743034</v>
      </c>
      <c r="BV373" s="128">
        <f t="shared" ca="1" si="997"/>
        <v>17463.962210638721</v>
      </c>
      <c r="BW373" s="128">
        <f t="shared" ca="1" si="997"/>
        <v>17840.658537133822</v>
      </c>
      <c r="BX373" s="128">
        <f t="shared" ca="1" si="997"/>
        <v>18225.737339822779</v>
      </c>
      <c r="BY373" s="128">
        <f t="shared" ca="1" si="997"/>
        <v>18619.174415900929</v>
      </c>
      <c r="BZ373" s="128">
        <f t="shared" ca="1" si="997"/>
        <v>19021.161189512812</v>
      </c>
      <c r="CA373" s="128">
        <f t="shared" ca="1" si="997"/>
        <v>19431.904118371789</v>
      </c>
      <c r="CB373" s="128">
        <f t="shared" ca="1" si="997"/>
        <v>19851.625871934295</v>
      </c>
      <c r="CC373" s="128">
        <f t="shared" ca="1" si="997"/>
        <v>20280.562013992705</v>
      </c>
      <c r="CD373" s="128">
        <f ca="1">+CD15/(CD270/$BQ270)</f>
        <v>20718.96494676263</v>
      </c>
      <c r="CE373" s="128">
        <f ca="1">+CE15/(CE270/$BQ270)</f>
        <v>21167.108265183899</v>
      </c>
      <c r="CF373" s="128">
        <f ca="1">+CF15/(CF270/$BQ270)</f>
        <v>21625.292730861314</v>
      </c>
      <c r="CG373" s="128">
        <f ca="1">+CG15/(CG270/$BQ270)</f>
        <v>22093.854429485902</v>
      </c>
      <c r="CH373" s="128"/>
      <c r="CI373" s="159">
        <f ca="1">BQ373-DA373</f>
        <v>0</v>
      </c>
      <c r="CJ373" s="159">
        <f t="shared" ca="1" si="986"/>
        <v>0</v>
      </c>
      <c r="CK373" s="159">
        <f t="shared" ca="1" si="986"/>
        <v>0</v>
      </c>
      <c r="CL373" s="159">
        <f t="shared" ca="1" si="986"/>
        <v>0</v>
      </c>
      <c r="CM373" s="159">
        <f t="shared" ca="1" si="986"/>
        <v>1.2314395499925013</v>
      </c>
      <c r="CN373" s="159">
        <f t="shared" ca="1" si="986"/>
        <v>-347.52294081264336</v>
      </c>
      <c r="CO373" s="159">
        <f t="shared" ca="1" si="986"/>
        <v>-718.41849580975031</v>
      </c>
      <c r="CP373" s="159">
        <f t="shared" ca="1" si="986"/>
        <v>-1112.4725661011798</v>
      </c>
      <c r="CQ373" s="159">
        <f t="shared" ca="1" si="986"/>
        <v>-1530.8286297771265</v>
      </c>
      <c r="CR373" s="159">
        <f t="shared" ca="1" si="986"/>
        <v>-1974.6788345584355</v>
      </c>
      <c r="CS373" s="159">
        <f t="shared" ca="1" si="986"/>
        <v>-2445.243348825381</v>
      </c>
      <c r="CT373" s="159">
        <f t="shared" ca="1" si="986"/>
        <v>-2943.8235892894772</v>
      </c>
      <c r="CU373" s="159">
        <f t="shared" ca="1" si="986"/>
        <v>-3471.8228568454215</v>
      </c>
      <c r="CV373" s="159">
        <f t="shared" ca="1" si="933"/>
        <v>-4030.6799992137458</v>
      </c>
      <c r="CW373" s="159">
        <f t="shared" ca="1" si="934"/>
        <v>-4621.9100243253197</v>
      </c>
      <c r="CX373" s="159">
        <f t="shared" ca="1" si="935"/>
        <v>-5247.1102638793927</v>
      </c>
      <c r="CY373" s="159">
        <f t="shared" ca="1" si="936"/>
        <v>-5907.968147567437</v>
      </c>
      <c r="CZ373" s="128"/>
      <c r="DA373" s="104">
        <v>16359.925962499998</v>
      </c>
      <c r="DB373" s="104">
        <v>16861.265822798468</v>
      </c>
      <c r="DC373" s="104">
        <v>16612.050434309262</v>
      </c>
      <c r="DD373" s="104">
        <v>15845.319983942863</v>
      </c>
      <c r="DE373" s="104">
        <v>17094.135303193041</v>
      </c>
      <c r="DF373" s="104">
        <v>17811.485151451365</v>
      </c>
      <c r="DG373" s="104">
        <v>18559.077032943573</v>
      </c>
      <c r="DH373" s="104">
        <v>19338.209905923959</v>
      </c>
      <c r="DI373" s="104">
        <v>20150.003045678055</v>
      </c>
      <c r="DJ373" s="104">
        <v>20995.840024071247</v>
      </c>
      <c r="DK373" s="104">
        <v>21877.14746719717</v>
      </c>
      <c r="DL373" s="104">
        <v>22795.449461223772</v>
      </c>
      <c r="DM373" s="104">
        <v>23752.384870838127</v>
      </c>
      <c r="DN373" s="104">
        <v>24749.644945976375</v>
      </c>
      <c r="DO373" s="104">
        <v>25789.018289509218</v>
      </c>
      <c r="DP373" s="104">
        <v>26872.402994740707</v>
      </c>
      <c r="DQ373" s="104">
        <v>28001.822577053339</v>
      </c>
    </row>
    <row r="374" spans="1:121">
      <c r="A374" s="123" t="s">
        <v>490</v>
      </c>
      <c r="B374" s="128"/>
      <c r="C374" s="128"/>
      <c r="D374" s="112"/>
      <c r="E374" s="128">
        <f ca="1">+BP373/G373</f>
        <v>4.4606497724110223</v>
      </c>
      <c r="F374" s="128"/>
      <c r="G374" s="128"/>
      <c r="H374" s="128"/>
      <c r="I374" s="128"/>
      <c r="J374" s="128"/>
      <c r="K374" s="128"/>
      <c r="L374" s="128"/>
      <c r="M374" s="128"/>
      <c r="N374" s="128">
        <f ca="1">+N373/F373</f>
        <v>1.225030939645271</v>
      </c>
      <c r="O374" s="128"/>
      <c r="P374" s="128"/>
      <c r="Q374" s="128"/>
      <c r="R374" s="128"/>
      <c r="S374" s="128"/>
      <c r="T374" s="128"/>
      <c r="U374" s="128">
        <f ca="1">+U373/N373</f>
        <v>2.4495389803536254</v>
      </c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>
        <f ca="1">+AF373/U373</f>
        <v>1.2671226894663148</v>
      </c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>
        <f ca="1">+AQ373/AF373</f>
        <v>0.61791999459515867</v>
      </c>
      <c r="AR374" s="128"/>
      <c r="AS374" s="128"/>
      <c r="AT374" s="128"/>
      <c r="AU374" s="128"/>
      <c r="AV374" s="128"/>
      <c r="AW374" s="128"/>
      <c r="AX374" s="128"/>
      <c r="AY374" s="128"/>
      <c r="AZ374" s="128">
        <f ca="1">+AZ373/AQ373</f>
        <v>1.1804226431651992</v>
      </c>
      <c r="BA374" s="128"/>
      <c r="BB374" s="128"/>
      <c r="BC374" s="128"/>
      <c r="BD374" s="128"/>
      <c r="BE374" s="128"/>
      <c r="BF374" s="128"/>
      <c r="BG374" s="128"/>
      <c r="BH374" s="128">
        <f ca="1">+BH373/AZ373</f>
        <v>2.1813485202658796</v>
      </c>
      <c r="BI374" s="128"/>
      <c r="BJ374" s="128"/>
      <c r="BK374" s="128"/>
      <c r="BL374" s="128"/>
      <c r="BM374" s="151"/>
      <c r="BN374" s="128"/>
      <c r="BO374" s="128"/>
      <c r="BP374" s="128">
        <f ca="1">+BP373/BH373</f>
        <v>0.70227826484184619</v>
      </c>
      <c r="BQ374" s="128">
        <f ca="1">+BQ373/AZ373</f>
        <v>2.0646769807384922</v>
      </c>
      <c r="BR374" s="128"/>
      <c r="BS374" s="128"/>
      <c r="BT374" s="128"/>
      <c r="BU374" s="128"/>
      <c r="BV374" s="128"/>
      <c r="BW374" s="128"/>
      <c r="BX374" s="128"/>
      <c r="BY374" s="128"/>
      <c r="BZ374" s="128"/>
      <c r="CA374" s="128"/>
      <c r="CB374" s="128"/>
      <c r="CC374" s="128"/>
      <c r="CD374" s="128"/>
      <c r="CE374" s="128"/>
      <c r="CF374" s="128"/>
      <c r="CG374" s="128"/>
      <c r="CH374" s="128"/>
      <c r="CI374" s="159">
        <f ca="1">BQ374-DA374</f>
        <v>0</v>
      </c>
      <c r="CJ374" s="159">
        <f t="shared" si="963"/>
        <v>0</v>
      </c>
      <c r="CK374" s="159">
        <f t="shared" si="964"/>
        <v>0</v>
      </c>
      <c r="CL374" s="159">
        <f t="shared" si="965"/>
        <v>0</v>
      </c>
      <c r="CM374" s="159">
        <f t="shared" si="966"/>
        <v>0</v>
      </c>
      <c r="CN374" s="159">
        <f t="shared" si="967"/>
        <v>0</v>
      </c>
      <c r="CO374" s="159">
        <f t="shared" si="968"/>
        <v>0</v>
      </c>
      <c r="CP374" s="159">
        <f t="shared" si="969"/>
        <v>0</v>
      </c>
      <c r="CQ374" s="159">
        <f t="shared" si="970"/>
        <v>0</v>
      </c>
      <c r="CR374" s="159">
        <f t="shared" si="971"/>
        <v>0</v>
      </c>
      <c r="CS374" s="159">
        <f t="shared" si="972"/>
        <v>0</v>
      </c>
      <c r="CT374" s="159">
        <f t="shared" si="973"/>
        <v>0</v>
      </c>
      <c r="CU374" s="159">
        <f t="shared" si="974"/>
        <v>0</v>
      </c>
      <c r="CV374" s="159">
        <f t="shared" si="933"/>
        <v>0</v>
      </c>
      <c r="CW374" s="159">
        <f t="shared" si="934"/>
        <v>0</v>
      </c>
      <c r="CX374" s="159">
        <f t="shared" si="935"/>
        <v>0</v>
      </c>
      <c r="CY374" s="159">
        <f t="shared" si="936"/>
        <v>0</v>
      </c>
      <c r="CZ374" s="128"/>
      <c r="DA374" s="104">
        <v>2.0646769807384922</v>
      </c>
    </row>
    <row r="375" spans="1:121">
      <c r="A375" s="123" t="s">
        <v>489</v>
      </c>
      <c r="B375" s="128"/>
      <c r="C375" s="128"/>
      <c r="D375" s="112"/>
      <c r="E375" s="164">
        <f ca="1">+(E374^(1/63)-1)*100</f>
        <v>2.4018745343458603</v>
      </c>
      <c r="F375" s="128"/>
      <c r="G375" s="128"/>
      <c r="H375" s="128"/>
      <c r="I375" s="128"/>
      <c r="J375" s="128"/>
      <c r="K375" s="128"/>
      <c r="L375" s="128"/>
      <c r="M375" s="128"/>
      <c r="N375" s="128">
        <f ca="1">+(N374^(0.125)-1)*100</f>
        <v>2.5695339470981349</v>
      </c>
      <c r="O375" s="128"/>
      <c r="P375" s="128"/>
      <c r="Q375" s="128"/>
      <c r="R375" s="128"/>
      <c r="S375" s="128"/>
      <c r="T375" s="128"/>
      <c r="U375" s="128">
        <f ca="1">(U374^(1/7)-1)*100</f>
        <v>13.653673964366387</v>
      </c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>
        <f ca="1">(AF374^(1/11)-1)*100</f>
        <v>2.1755893952919658</v>
      </c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>
        <f ca="1">(AQ374^(1/11)-1)*100</f>
        <v>-4.2819503713865448</v>
      </c>
      <c r="AR375" s="128"/>
      <c r="AS375" s="128"/>
      <c r="AT375" s="128"/>
      <c r="AU375" s="128"/>
      <c r="AV375" s="128"/>
      <c r="AW375" s="128"/>
      <c r="AX375" s="128"/>
      <c r="AY375" s="128"/>
      <c r="AZ375" s="128">
        <f ca="1">(AZ374^(1/9)-1)*100</f>
        <v>1.8601168822420799</v>
      </c>
      <c r="BA375" s="128"/>
      <c r="BB375" s="128"/>
      <c r="BC375" s="128"/>
      <c r="BD375" s="128"/>
      <c r="BE375" s="128"/>
      <c r="BF375" s="128"/>
      <c r="BG375" s="128"/>
      <c r="BH375" s="128">
        <f ca="1">(BH374^(1/8)-1)*100</f>
        <v>10.240362450625318</v>
      </c>
      <c r="BI375" s="128"/>
      <c r="BJ375" s="128"/>
      <c r="BK375" s="128"/>
      <c r="BL375" s="128"/>
      <c r="BM375" s="151"/>
      <c r="BN375" s="128"/>
      <c r="BO375" s="128"/>
      <c r="BP375" s="128">
        <f ca="1">(BP374^(1/8)-1)*100</f>
        <v>-4.3216552323140478</v>
      </c>
      <c r="BQ375" s="128">
        <f ca="1">(BQ374^(1/17)-1)*100</f>
        <v>4.3567902157989336</v>
      </c>
      <c r="BR375" s="128"/>
      <c r="BS375" s="128"/>
      <c r="BT375" s="128"/>
      <c r="BU375" s="128"/>
      <c r="BV375" s="128"/>
      <c r="BW375" s="128"/>
      <c r="BX375" s="128"/>
      <c r="BY375" s="128"/>
      <c r="BZ375" s="128"/>
      <c r="CA375" s="128"/>
      <c r="CB375" s="128"/>
      <c r="CC375" s="128"/>
      <c r="CD375" s="128"/>
      <c r="CE375" s="128"/>
      <c r="CF375" s="128"/>
      <c r="CG375" s="128"/>
      <c r="CH375" s="128"/>
      <c r="CI375" s="159">
        <f ca="1">BQ375-DA375</f>
        <v>0</v>
      </c>
      <c r="CJ375" s="159">
        <f t="shared" si="963"/>
        <v>0</v>
      </c>
      <c r="CK375" s="159">
        <f t="shared" si="964"/>
        <v>0</v>
      </c>
      <c r="CL375" s="159">
        <f t="shared" si="965"/>
        <v>0</v>
      </c>
      <c r="CM375" s="159">
        <f t="shared" si="966"/>
        <v>0</v>
      </c>
      <c r="CN375" s="159">
        <f t="shared" si="967"/>
        <v>0</v>
      </c>
      <c r="CO375" s="159">
        <f t="shared" si="968"/>
        <v>0</v>
      </c>
      <c r="CP375" s="159">
        <f t="shared" si="969"/>
        <v>0</v>
      </c>
      <c r="CQ375" s="159">
        <f t="shared" si="970"/>
        <v>0</v>
      </c>
      <c r="CR375" s="159">
        <f t="shared" si="971"/>
        <v>0</v>
      </c>
      <c r="CS375" s="159">
        <f t="shared" si="972"/>
        <v>0</v>
      </c>
      <c r="CT375" s="159">
        <f t="shared" si="973"/>
        <v>0</v>
      </c>
      <c r="CU375" s="159">
        <f t="shared" si="974"/>
        <v>0</v>
      </c>
      <c r="CV375" s="159">
        <f t="shared" si="933"/>
        <v>0</v>
      </c>
      <c r="CW375" s="159">
        <f t="shared" si="934"/>
        <v>0</v>
      </c>
      <c r="CX375" s="159">
        <f t="shared" si="935"/>
        <v>0</v>
      </c>
      <c r="CY375" s="159">
        <f t="shared" si="936"/>
        <v>0</v>
      </c>
      <c r="CZ375" s="128"/>
      <c r="DA375" s="104">
        <v>4.3567902157989336</v>
      </c>
    </row>
    <row r="376" spans="1:121">
      <c r="A376" s="128"/>
      <c r="B376" s="128"/>
      <c r="C376" s="128"/>
      <c r="D376" s="650" t="s">
        <v>2636</v>
      </c>
      <c r="E376" s="554" t="s">
        <v>2637</v>
      </c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N376" s="128"/>
      <c r="BO376" s="128"/>
      <c r="BP376" s="128">
        <f ca="1">+BP373/F373</f>
        <v>4.2486812191356416</v>
      </c>
      <c r="BQ376" s="128"/>
      <c r="BR376" s="128"/>
      <c r="BS376" s="128"/>
      <c r="BT376" s="128"/>
      <c r="BU376" s="128"/>
      <c r="BV376" s="128"/>
      <c r="BW376" s="128"/>
      <c r="BX376" s="128"/>
      <c r="BY376" s="128"/>
      <c r="BZ376" s="128"/>
      <c r="CA376" s="128"/>
      <c r="CB376" s="128"/>
      <c r="CC376" s="128"/>
      <c r="CD376" s="128"/>
      <c r="CE376" s="128"/>
      <c r="CF376" s="128"/>
      <c r="CG376" s="128"/>
      <c r="CH376" s="128"/>
      <c r="CI376" s="159">
        <f t="shared" si="962"/>
        <v>0</v>
      </c>
      <c r="CJ376" s="159">
        <f t="shared" si="963"/>
        <v>0</v>
      </c>
      <c r="CK376" s="159">
        <f t="shared" si="964"/>
        <v>0</v>
      </c>
      <c r="CL376" s="159">
        <f t="shared" si="965"/>
        <v>0</v>
      </c>
      <c r="CM376" s="159">
        <f t="shared" si="966"/>
        <v>0</v>
      </c>
      <c r="CN376" s="159">
        <f t="shared" si="967"/>
        <v>0</v>
      </c>
      <c r="CO376" s="159">
        <f t="shared" si="968"/>
        <v>0</v>
      </c>
      <c r="CP376" s="159">
        <f t="shared" si="969"/>
        <v>0</v>
      </c>
      <c r="CQ376" s="159">
        <f t="shared" si="970"/>
        <v>0</v>
      </c>
      <c r="CR376" s="159">
        <f t="shared" si="971"/>
        <v>0</v>
      </c>
      <c r="CS376" s="159">
        <f t="shared" si="972"/>
        <v>0</v>
      </c>
      <c r="CT376" s="159">
        <f t="shared" si="973"/>
        <v>0</v>
      </c>
      <c r="CU376" s="159">
        <f t="shared" si="974"/>
        <v>0</v>
      </c>
      <c r="CV376" s="159">
        <f t="shared" si="933"/>
        <v>0</v>
      </c>
      <c r="CW376" s="159">
        <f t="shared" si="934"/>
        <v>0</v>
      </c>
      <c r="CX376" s="159">
        <f t="shared" si="935"/>
        <v>0</v>
      </c>
      <c r="CY376" s="159">
        <f t="shared" si="936"/>
        <v>0</v>
      </c>
      <c r="CZ376" s="128"/>
    </row>
    <row r="377" spans="1:121">
      <c r="A377" s="123" t="s">
        <v>2793</v>
      </c>
      <c r="B377" s="128"/>
      <c r="C377" s="123" t="s">
        <v>1349</v>
      </c>
      <c r="D377" s="112">
        <f t="shared" ref="D377:D383" si="998">+AVERAGE(G377:BQ377)</f>
        <v>28.926805076503538</v>
      </c>
      <c r="E377" s="128">
        <f t="shared" ref="E377:E383" si="999">+AVERAGE(AZ377:BQ377)</f>
        <v>14.616132558335089</v>
      </c>
      <c r="F377" s="128"/>
      <c r="G377" s="128">
        <f t="shared" ref="G377:BP377" si="1000">+G301</f>
        <v>1.2183674456863525</v>
      </c>
      <c r="H377" s="128">
        <f t="shared" si="1000"/>
        <v>-17.689383370237387</v>
      </c>
      <c r="I377" s="128">
        <f t="shared" si="1000"/>
        <v>8.1133875731743252</v>
      </c>
      <c r="J377" s="128">
        <f t="shared" si="1000"/>
        <v>2.1546542963380766</v>
      </c>
      <c r="K377" s="128">
        <f t="shared" si="1000"/>
        <v>4.192975366687568</v>
      </c>
      <c r="L377" s="128">
        <f t="shared" si="1000"/>
        <v>0.82289306996508049</v>
      </c>
      <c r="M377" s="128">
        <f t="shared" si="1000"/>
        <v>-0.44574071670127058</v>
      </c>
      <c r="N377" s="128">
        <f t="shared" si="1000"/>
        <v>5.2866679262533411</v>
      </c>
      <c r="O377" s="128">
        <f t="shared" si="1000"/>
        <v>6.2712268686030415</v>
      </c>
      <c r="P377" s="128">
        <f t="shared" si="1000"/>
        <v>7.6030566382945919</v>
      </c>
      <c r="Q377" s="128">
        <f t="shared" si="1000"/>
        <v>3.1295200183219185</v>
      </c>
      <c r="R377" s="128">
        <f t="shared" si="1000"/>
        <v>13.762367701850465</v>
      </c>
      <c r="S377" s="128">
        <f t="shared" si="1000"/>
        <v>8.7761450917543726</v>
      </c>
      <c r="T377" s="128">
        <f t="shared" si="1000"/>
        <v>10.589077315282115</v>
      </c>
      <c r="U377" s="128">
        <f t="shared" si="1000"/>
        <v>8.201457006705958</v>
      </c>
      <c r="V377" s="128">
        <f t="shared" si="1000"/>
        <v>9.661369868490155</v>
      </c>
      <c r="W377" s="128">
        <f t="shared" si="1000"/>
        <v>12.515523367395964</v>
      </c>
      <c r="X377" s="128">
        <f t="shared" si="1000"/>
        <v>11.522105864383203</v>
      </c>
      <c r="Y377" s="128">
        <f t="shared" si="1000"/>
        <v>14.656522434739539</v>
      </c>
      <c r="Z377" s="128">
        <f t="shared" si="1000"/>
        <v>14.775472768098874</v>
      </c>
      <c r="AA377" s="128">
        <f t="shared" si="1000"/>
        <v>18.967549888234171</v>
      </c>
      <c r="AB377" s="128">
        <f t="shared" si="1000"/>
        <v>19.958007844682825</v>
      </c>
      <c r="AC377" s="128">
        <f t="shared" si="1000"/>
        <v>26.562082909485184</v>
      </c>
      <c r="AD377" s="128">
        <f t="shared" si="1000"/>
        <v>18.508194474614402</v>
      </c>
      <c r="AE377" s="128">
        <f t="shared" si="1000"/>
        <v>5.0956405908711755</v>
      </c>
      <c r="AF377" s="128">
        <f t="shared" si="1000"/>
        <v>17.921563508281579</v>
      </c>
      <c r="AG377" s="128">
        <f t="shared" si="1000"/>
        <v>15.958095271856321</v>
      </c>
      <c r="AH377" s="128">
        <f t="shared" si="1000"/>
        <v>11.13254555277976</v>
      </c>
      <c r="AI377" s="128">
        <f t="shared" si="1000"/>
        <v>8.6212183131116014</v>
      </c>
      <c r="AJ377" s="128">
        <f t="shared" si="1000"/>
        <v>7.3688902112652999</v>
      </c>
      <c r="AK377" s="128">
        <f t="shared" si="1000"/>
        <v>7.0388897127582783</v>
      </c>
      <c r="AL377" s="128">
        <f t="shared" si="1000"/>
        <v>-1.0566153486140317</v>
      </c>
      <c r="AM377" s="128">
        <f t="shared" si="1000"/>
        <v>-6.4520527523492905</v>
      </c>
      <c r="AN377" s="128">
        <f t="shared" si="1000"/>
        <v>12.622057309859947</v>
      </c>
      <c r="AO377" s="128">
        <f t="shared" si="1000"/>
        <v>18.012497339457511</v>
      </c>
      <c r="AP377" s="128">
        <f t="shared" si="1000"/>
        <v>18.0729929544732</v>
      </c>
      <c r="AQ377" s="128">
        <f t="shared" si="1000"/>
        <v>15.532233246859217</v>
      </c>
      <c r="AR377" s="128">
        <f t="shared" si="1000"/>
        <v>29.254102127132619</v>
      </c>
      <c r="AS377" s="128">
        <f t="shared" si="1000"/>
        <v>87.692225322934149</v>
      </c>
      <c r="AT377" s="128">
        <f t="shared" si="1000"/>
        <v>574.77007585283297</v>
      </c>
      <c r="AU377" s="128">
        <f t="shared" si="1000"/>
        <v>360.33039330650274</v>
      </c>
      <c r="AV377" s="128">
        <f t="shared" si="1000"/>
        <v>28.604800720945445</v>
      </c>
      <c r="AW377" s="128">
        <f t="shared" si="1000"/>
        <v>34.125073770962743</v>
      </c>
      <c r="AX377" s="128">
        <f t="shared" si="1000"/>
        <v>19.241926982976977</v>
      </c>
      <c r="AY377" s="128">
        <f t="shared" si="1000"/>
        <v>86.298278122690149</v>
      </c>
      <c r="AZ377" s="128">
        <f t="shared" si="1000"/>
        <v>34.35300593918398</v>
      </c>
      <c r="BA377" s="128">
        <f t="shared" si="1000"/>
        <v>64.067428366893807</v>
      </c>
      <c r="BB377" s="128">
        <f t="shared" si="1000"/>
        <v>3.4747203191959342</v>
      </c>
      <c r="BC377" s="128">
        <f t="shared" si="1000"/>
        <v>17.781773775167188</v>
      </c>
      <c r="BD377" s="128">
        <f t="shared" si="1000"/>
        <v>15.253034010783949</v>
      </c>
      <c r="BE377" s="128">
        <f t="shared" si="1000"/>
        <v>11.432202320793561</v>
      </c>
      <c r="BF377" s="128">
        <f t="shared" si="1000"/>
        <v>7.4038108476406572</v>
      </c>
      <c r="BG377" s="128">
        <f t="shared" si="1000"/>
        <v>7.945532188012594</v>
      </c>
      <c r="BH377" s="128">
        <f t="shared" si="1000"/>
        <v>7.5741760756533827</v>
      </c>
      <c r="BI377" s="128">
        <f t="shared" si="1000"/>
        <v>11.612861927773466</v>
      </c>
      <c r="BJ377" s="128">
        <f t="shared" si="1000"/>
        <v>3.3082622426080732</v>
      </c>
      <c r="BK377" s="128">
        <f t="shared" si="1000"/>
        <v>18.42497408405368</v>
      </c>
      <c r="BL377" s="128">
        <f t="shared" si="1000"/>
        <v>9.4300442145200503</v>
      </c>
      <c r="BM377" s="128">
        <f t="shared" si="1000"/>
        <v>2.0051578155090066</v>
      </c>
      <c r="BN377" s="128">
        <f t="shared" si="1000"/>
        <v>0.44462419542417031</v>
      </c>
      <c r="BO377" s="128">
        <f t="shared" si="1000"/>
        <v>3.0062861810888908</v>
      </c>
      <c r="BP377" s="128">
        <f t="shared" si="1000"/>
        <v>26.659621489394492</v>
      </c>
      <c r="BQ377" s="128">
        <f t="shared" ref="BQ377:CB377" si="1001">+BQ301</f>
        <v>18.912870056334707</v>
      </c>
      <c r="BR377" s="128">
        <f t="shared" si="1001"/>
        <v>26.559178832197428</v>
      </c>
      <c r="BS377" s="128">
        <f t="shared" si="1001"/>
        <v>4.5452414025996868</v>
      </c>
      <c r="BT377" s="128">
        <f t="shared" ca="1" si="1001"/>
        <v>14.581826678138231</v>
      </c>
      <c r="BU377" s="128">
        <f t="shared" ca="1" si="1001"/>
        <v>25.292957432737097</v>
      </c>
      <c r="BV377" s="128">
        <f t="shared" ca="1" si="1001"/>
        <v>18.400615738888824</v>
      </c>
      <c r="BW377" s="128">
        <f t="shared" ca="1" si="1001"/>
        <v>18.264889891523993</v>
      </c>
      <c r="BX377" s="128">
        <f t="shared" ca="1" si="1001"/>
        <v>9.3128861563408272</v>
      </c>
      <c r="BY377" s="128">
        <f t="shared" ca="1" si="1001"/>
        <v>13.226381146362653</v>
      </c>
      <c r="BZ377" s="128">
        <f t="shared" ca="1" si="1001"/>
        <v>14.468449285429298</v>
      </c>
      <c r="CA377" s="128">
        <f t="shared" ca="1" si="1001"/>
        <v>15.629037201616125</v>
      </c>
      <c r="CB377" s="128">
        <f t="shared" ca="1" si="1001"/>
        <v>17.070487248227572</v>
      </c>
      <c r="CC377" s="128">
        <f ca="1">+CC301</f>
        <v>18.764040721027598</v>
      </c>
      <c r="CD377" s="128">
        <f ca="1">+CD301</f>
        <v>20.797773147247511</v>
      </c>
      <c r="CE377" s="128">
        <f ca="1">+CE301</f>
        <v>23.265124724653031</v>
      </c>
      <c r="CF377" s="128">
        <f ca="1">+CF301</f>
        <v>26.279533200917339</v>
      </c>
      <c r="CG377" s="128">
        <f ca="1">+CG301</f>
        <v>29.980701770095397</v>
      </c>
      <c r="CH377" s="128"/>
      <c r="CI377" s="159">
        <f t="shared" ref="CI377:CU377" si="1002">BQ377-DA377</f>
        <v>0</v>
      </c>
      <c r="CJ377" s="159">
        <f t="shared" si="1002"/>
        <v>0</v>
      </c>
      <c r="CK377" s="159">
        <f t="shared" si="1002"/>
        <v>0</v>
      </c>
      <c r="CL377" s="159">
        <f t="shared" ca="1" si="1002"/>
        <v>0</v>
      </c>
      <c r="CM377" s="159">
        <f t="shared" ca="1" si="1002"/>
        <v>3.6675588830927595</v>
      </c>
      <c r="CN377" s="159">
        <f t="shared" ca="1" si="1002"/>
        <v>4.1810516299694207</v>
      </c>
      <c r="CO377" s="159">
        <f t="shared" ca="1" si="1002"/>
        <v>-1.4319161697474954</v>
      </c>
      <c r="CP377" s="159">
        <f t="shared" ca="1" si="1002"/>
        <v>-2.2105825726126191</v>
      </c>
      <c r="CQ377" s="159">
        <f t="shared" ca="1" si="1002"/>
        <v>-2.4953332553280685</v>
      </c>
      <c r="CR377" s="159">
        <f t="shared" ca="1" si="1002"/>
        <v>-2.7463047220407795</v>
      </c>
      <c r="CS377" s="159">
        <f t="shared" ca="1" si="1002"/>
        <v>-1.5140652395222425</v>
      </c>
      <c r="CT377" s="159">
        <f t="shared" ca="1" si="1002"/>
        <v>-0.90580740556132255</v>
      </c>
      <c r="CU377" s="159">
        <f t="shared" ca="1" si="1002"/>
        <v>-1.8896113980628044</v>
      </c>
      <c r="CV377" s="159">
        <f t="shared" ca="1" si="933"/>
        <v>-2.319040301431798</v>
      </c>
      <c r="CW377" s="159">
        <f t="shared" ca="1" si="934"/>
        <v>-2.664328048429109</v>
      </c>
      <c r="CX377" s="159">
        <f t="shared" ca="1" si="935"/>
        <v>-3.0229296464918889</v>
      </c>
      <c r="CY377" s="159">
        <f t="shared" ca="1" si="936"/>
        <v>-3.4226455527719857</v>
      </c>
      <c r="CZ377" s="128"/>
      <c r="DA377" s="104">
        <v>18.912870056334707</v>
      </c>
      <c r="DB377" s="104">
        <v>26.559178832197428</v>
      </c>
      <c r="DC377" s="104">
        <v>4.5452414025996868</v>
      </c>
      <c r="DD377" s="104">
        <v>14.581826678138231</v>
      </c>
      <c r="DE377" s="104">
        <v>21.625398549644338</v>
      </c>
      <c r="DF377" s="104">
        <v>14.219564108919403</v>
      </c>
      <c r="DG377" s="104">
        <v>19.696806061271488</v>
      </c>
      <c r="DH377" s="104">
        <v>11.523468728953446</v>
      </c>
      <c r="DI377" s="104">
        <v>15.721714401690722</v>
      </c>
      <c r="DJ377" s="104">
        <v>17.214754007470077</v>
      </c>
      <c r="DK377" s="104">
        <v>17.143102441138367</v>
      </c>
      <c r="DL377" s="104">
        <v>17.976294653788894</v>
      </c>
      <c r="DM377" s="104">
        <v>20.653652119090403</v>
      </c>
      <c r="DN377" s="104">
        <v>23.116813448679309</v>
      </c>
      <c r="DO377" s="104">
        <v>25.92945277308214</v>
      </c>
      <c r="DP377" s="104">
        <v>29.302462847409227</v>
      </c>
      <c r="DQ377" s="104">
        <v>33.403347322867383</v>
      </c>
    </row>
    <row r="378" spans="1:121">
      <c r="A378" s="123" t="s">
        <v>2631</v>
      </c>
      <c r="B378" s="128"/>
      <c r="C378" s="123"/>
      <c r="D378" s="112">
        <f t="shared" ca="1" si="998"/>
        <v>25.225315134083395</v>
      </c>
      <c r="E378" s="128">
        <f t="shared" ca="1" si="999"/>
        <v>15.741224289237003</v>
      </c>
      <c r="F378" s="128"/>
      <c r="G378" s="128">
        <f t="shared" ref="G378:BQ378" si="1003">+G379+G380+G381+G382+G383</f>
        <v>-6.9000000000000057</v>
      </c>
      <c r="H378" s="128">
        <f t="shared" si="1003"/>
        <v>21.592079210281376</v>
      </c>
      <c r="I378" s="128">
        <f t="shared" si="1003"/>
        <v>31.722433190345765</v>
      </c>
      <c r="J378" s="128">
        <f t="shared" si="1003"/>
        <v>24.509940962791443</v>
      </c>
      <c r="K378" s="128">
        <f t="shared" si="1003"/>
        <v>13.88346183300018</v>
      </c>
      <c r="L378" s="128">
        <f t="shared" si="1003"/>
        <v>20.041495003700263</v>
      </c>
      <c r="M378" s="128">
        <f t="shared" si="1003"/>
        <v>23.467041344642638</v>
      </c>
      <c r="N378" s="128">
        <f t="shared" si="1003"/>
        <v>16.785505585670471</v>
      </c>
      <c r="O378" s="128">
        <f t="shared" si="1003"/>
        <v>15.688920192718506</v>
      </c>
      <c r="P378" s="128">
        <f t="shared" si="1003"/>
        <v>15.265038795471192</v>
      </c>
      <c r="Q378" s="128">
        <f t="shared" si="1003"/>
        <v>14.463306722640992</v>
      </c>
      <c r="R378" s="128">
        <f t="shared" si="1003"/>
        <v>20.238704700469967</v>
      </c>
      <c r="S378" s="128">
        <f t="shared" si="1003"/>
        <v>20.342347240447996</v>
      </c>
      <c r="T378" s="128">
        <f t="shared" si="1003"/>
        <v>19.576601028442383</v>
      </c>
      <c r="U378" s="128">
        <f t="shared" si="1003"/>
        <v>16.175777101516726</v>
      </c>
      <c r="V378" s="128">
        <f t="shared" si="1003"/>
        <v>13.518861646652226</v>
      </c>
      <c r="W378" s="128">
        <f t="shared" si="1003"/>
        <v>18.274125080108647</v>
      </c>
      <c r="X378" s="128">
        <f t="shared" si="1003"/>
        <v>9.4876405906677181</v>
      </c>
      <c r="Y378" s="128">
        <f t="shared" si="1003"/>
        <v>13.314852247238166</v>
      </c>
      <c r="Z378" s="128">
        <f t="shared" si="1003"/>
        <v>14.564984951019284</v>
      </c>
      <c r="AA378" s="128">
        <f t="shared" si="1003"/>
        <v>14.377061233520514</v>
      </c>
      <c r="AB378" s="128">
        <f t="shared" si="1003"/>
        <v>23.22653743743896</v>
      </c>
      <c r="AC378" s="128">
        <f t="shared" si="1003"/>
        <v>23.560003032684318</v>
      </c>
      <c r="AD378" s="128">
        <f t="shared" si="1003"/>
        <v>24.177250356674207</v>
      </c>
      <c r="AE378" s="128">
        <f t="shared" si="1003"/>
        <v>27.188924598693845</v>
      </c>
      <c r="AF378" s="128">
        <f t="shared" si="1003"/>
        <v>17.107359771728511</v>
      </c>
      <c r="AG378" s="128">
        <f t="shared" si="1003"/>
        <v>10.45898557662964</v>
      </c>
      <c r="AH378" s="128">
        <f t="shared" si="1003"/>
        <v>14.74684705734253</v>
      </c>
      <c r="AI378" s="128">
        <f t="shared" si="1003"/>
        <v>12.79670780181884</v>
      </c>
      <c r="AJ378" s="128">
        <f t="shared" si="1003"/>
        <v>2.1665542030334528</v>
      </c>
      <c r="AK378" s="128">
        <f t="shared" si="1003"/>
        <v>4.1097262763976978</v>
      </c>
      <c r="AL378" s="128">
        <f t="shared" si="1003"/>
        <v>11.358507003784196</v>
      </c>
      <c r="AM378" s="128">
        <f t="shared" si="1003"/>
        <v>20.752523269653317</v>
      </c>
      <c r="AN378" s="128">
        <f t="shared" si="1003"/>
        <v>15.103057174682602</v>
      </c>
      <c r="AO378" s="128">
        <f t="shared" si="1003"/>
        <v>-10.709995994567876</v>
      </c>
      <c r="AP378" s="128">
        <f t="shared" si="1003"/>
        <v>13.839995422363295</v>
      </c>
      <c r="AQ378" s="128">
        <f t="shared" si="1003"/>
        <v>23.47000228881836</v>
      </c>
      <c r="AR378" s="128">
        <f t="shared" si="1003"/>
        <v>27.130000000000003</v>
      </c>
      <c r="AS378" s="128">
        <f t="shared" si="1003"/>
        <v>62.500018959045406</v>
      </c>
      <c r="AT378" s="128">
        <f t="shared" si="1003"/>
        <v>214.05332069396974</v>
      </c>
      <c r="AU378" s="128">
        <f t="shared" si="1003"/>
        <v>255.14000000000001</v>
      </c>
      <c r="AV378" s="128">
        <f t="shared" si="1003"/>
        <v>116.46000000000001</v>
      </c>
      <c r="AW378" s="128">
        <f t="shared" si="1003"/>
        <v>-0.43999999999998352</v>
      </c>
      <c r="AX378" s="128">
        <f t="shared" si="1003"/>
        <v>1.080884027700753</v>
      </c>
      <c r="AY378" s="128">
        <f t="shared" si="1003"/>
        <v>46.185428621749345</v>
      </c>
      <c r="AZ378" s="128">
        <f t="shared" si="1003"/>
        <v>54.866922562874251</v>
      </c>
      <c r="BA378" s="128">
        <f t="shared" si="1003"/>
        <v>34.859631388713602</v>
      </c>
      <c r="BB378" s="128">
        <f t="shared" si="1003"/>
        <v>14.488772147797429</v>
      </c>
      <c r="BC378" s="128">
        <f t="shared" si="1003"/>
        <v>11.398736421033069</v>
      </c>
      <c r="BD378" s="128">
        <f t="shared" si="1003"/>
        <v>11.780448748701646</v>
      </c>
      <c r="BE378" s="128">
        <f ca="1">+BE379+BE380+BE381+BE382+BE383</f>
        <v>23.876671981741602</v>
      </c>
      <c r="BF378" s="128">
        <f ca="1">+BF379+BF380+BF381+BF382+BF383</f>
        <v>21.727006587245711</v>
      </c>
      <c r="BG378" s="128">
        <f ca="1">+BG379+BG380+BG381+BG382+BG383</f>
        <v>-31.646542262073197</v>
      </c>
      <c r="BH378" s="128">
        <f t="shared" si="1003"/>
        <v>9.1700870389664644</v>
      </c>
      <c r="BI378" s="128">
        <f t="shared" si="1003"/>
        <v>9.5342819379634776</v>
      </c>
      <c r="BJ378" s="128">
        <f t="shared" si="1003"/>
        <v>2.2174817818655104</v>
      </c>
      <c r="BK378" s="128">
        <f t="shared" si="1003"/>
        <v>22.782500582368488</v>
      </c>
      <c r="BL378" s="128">
        <f t="shared" si="1003"/>
        <v>12.572347587597484</v>
      </c>
      <c r="BM378" s="128">
        <f t="shared" si="1003"/>
        <v>5.1779220262627899</v>
      </c>
      <c r="BN378" s="128">
        <f t="shared" si="1003"/>
        <v>13.983421027229898</v>
      </c>
      <c r="BO378" s="128">
        <f t="shared" si="1003"/>
        <v>20.067727015795658</v>
      </c>
      <c r="BP378" s="128">
        <f t="shared" si="1003"/>
        <v>25.573916541941532</v>
      </c>
      <c r="BQ378" s="128">
        <f t="shared" si="1003"/>
        <v>20.910704090240628</v>
      </c>
      <c r="BR378" s="128">
        <f t="shared" ref="BR378:CB378" si="1004">+BR379+BR380+BR381+BR382+BR383</f>
        <v>24.429531176315859</v>
      </c>
      <c r="BS378" s="128">
        <f t="shared" si="1004"/>
        <v>-2.474884176517719</v>
      </c>
      <c r="BT378" s="128">
        <f t="shared" ca="1" si="1004"/>
        <v>15.511767838943504</v>
      </c>
      <c r="BU378" s="128">
        <f t="shared" ca="1" si="1004"/>
        <v>26.169609385808045</v>
      </c>
      <c r="BV378" s="128">
        <f t="shared" ca="1" si="1004"/>
        <v>19.311557949143115</v>
      </c>
      <c r="BW378" s="128">
        <f t="shared" ca="1" si="1004"/>
        <v>6.1765073547502496</v>
      </c>
      <c r="BX378" s="128">
        <f t="shared" ca="1" si="1004"/>
        <v>-0.73095904841705028</v>
      </c>
      <c r="BY378" s="128">
        <f t="shared" ca="1" si="1004"/>
        <v>5.1630658172762516</v>
      </c>
      <c r="BZ378" s="128">
        <f t="shared" ca="1" si="1004"/>
        <v>8.398954512865032</v>
      </c>
      <c r="CA378" s="128">
        <f t="shared" ca="1" si="1004"/>
        <v>11.553768359817099</v>
      </c>
      <c r="CB378" s="128">
        <f t="shared" ca="1" si="1004"/>
        <v>14.988047013161603</v>
      </c>
      <c r="CC378" s="128">
        <f ca="1">+CC379+CC380+CC381+CC382+CC383</f>
        <v>18.673174846793742</v>
      </c>
      <c r="CD378" s="128">
        <f ca="1">+CD379+CD380+CD381+CD382+CD383</f>
        <v>22.696789201241522</v>
      </c>
      <c r="CE378" s="128">
        <f ca="1">+CE379+CE380+CE381+CE382+CE383</f>
        <v>27.151865397664416</v>
      </c>
      <c r="CF378" s="128">
        <f ca="1">+CF379+CF380+CF381+CF382+CF383</f>
        <v>32.151276816833203</v>
      </c>
      <c r="CG378" s="128">
        <f ca="1">+CG379+CG380+CG381+CG382+CG383</f>
        <v>37.834031612035723</v>
      </c>
      <c r="CH378" s="128"/>
      <c r="CI378" s="159">
        <f t="shared" si="962"/>
        <v>0</v>
      </c>
      <c r="CJ378" s="159">
        <f t="shared" ref="CJ378:CU381" si="1005">BR378-DB378</f>
        <v>0</v>
      </c>
      <c r="CK378" s="159">
        <f t="shared" si="1005"/>
        <v>0</v>
      </c>
      <c r="CL378" s="159">
        <f t="shared" ca="1" si="1005"/>
        <v>0</v>
      </c>
      <c r="CM378" s="159">
        <f t="shared" ca="1" si="1005"/>
        <v>4.8416305191634024</v>
      </c>
      <c r="CN378" s="159">
        <f t="shared" ca="1" si="1005"/>
        <v>5.2799676940501126</v>
      </c>
      <c r="CO378" s="159">
        <f t="shared" ca="1" si="1005"/>
        <v>-0.25138039034484017</v>
      </c>
      <c r="CP378" s="159">
        <f t="shared" ca="1" si="1005"/>
        <v>-1.1062976976322165</v>
      </c>
      <c r="CQ378" s="159">
        <f t="shared" ca="1" si="1005"/>
        <v>-1.3484754651776942</v>
      </c>
      <c r="CR378" s="159">
        <f t="shared" ca="1" si="1005"/>
        <v>-1.5835617506523985</v>
      </c>
      <c r="CS378" s="159">
        <f t="shared" ca="1" si="1005"/>
        <v>-0.35815522751130757</v>
      </c>
      <c r="CT378" s="159">
        <f t="shared" ca="1" si="1005"/>
        <v>0.25524439859131043</v>
      </c>
      <c r="CU378" s="159">
        <f t="shared" ca="1" si="1005"/>
        <v>-0.69741837398517958</v>
      </c>
      <c r="CV378" s="159">
        <f t="shared" ca="1" si="933"/>
        <v>-1.100563950166638</v>
      </c>
      <c r="CW378" s="159">
        <f t="shared" ca="1" si="934"/>
        <v>-1.4165609797562055</v>
      </c>
      <c r="CX378" s="159">
        <f t="shared" ca="1" si="935"/>
        <v>-1.7403121953928178</v>
      </c>
      <c r="CY378" s="159">
        <f t="shared" ca="1" si="936"/>
        <v>-2.097837671577615</v>
      </c>
      <c r="CZ378" s="128"/>
      <c r="DA378" s="104">
        <v>20.910704090240628</v>
      </c>
      <c r="DB378" s="104">
        <v>24.429531176315859</v>
      </c>
      <c r="DC378" s="104">
        <v>-2.474884176517719</v>
      </c>
      <c r="DD378" s="104">
        <v>15.511767838943504</v>
      </c>
      <c r="DE378" s="104">
        <v>21.327978866644642</v>
      </c>
      <c r="DF378" s="104">
        <v>14.031590255093002</v>
      </c>
      <c r="DG378" s="104">
        <v>6.4278877450950898</v>
      </c>
      <c r="DH378" s="104">
        <v>0.37533864921516624</v>
      </c>
      <c r="DI378" s="104">
        <v>6.5115412824539458</v>
      </c>
      <c r="DJ378" s="104">
        <v>9.9825162635174305</v>
      </c>
      <c r="DK378" s="104">
        <v>11.911923587328406</v>
      </c>
      <c r="DL378" s="104">
        <v>14.732802614570293</v>
      </c>
      <c r="DM378" s="104">
        <v>19.370593220778922</v>
      </c>
      <c r="DN378" s="104">
        <v>23.79735315140816</v>
      </c>
      <c r="DO378" s="104">
        <v>28.568426377420622</v>
      </c>
      <c r="DP378" s="104">
        <v>33.891589012226021</v>
      </c>
      <c r="DQ378" s="104">
        <v>39.931869283613338</v>
      </c>
    </row>
    <row r="379" spans="1:121">
      <c r="A379" s="123" t="s">
        <v>2628</v>
      </c>
      <c r="B379" s="128"/>
      <c r="C379" s="128"/>
      <c r="D379" s="112">
        <f t="shared" si="998"/>
        <v>19.112129498739087</v>
      </c>
      <c r="E379" s="128">
        <f t="shared" si="999"/>
        <v>15.395555555555559</v>
      </c>
      <c r="F379" s="128"/>
      <c r="G379" s="128">
        <f t="shared" ref="G379:BQ379" si="1006">0.8*(0.5*G36+0.5*F36)</f>
        <v>1.2000000000000002</v>
      </c>
      <c r="H379" s="128">
        <f t="shared" si="1006"/>
        <v>1.1920792102813722</v>
      </c>
      <c r="I379" s="128">
        <f t="shared" si="1006"/>
        <v>4.2720792102813716</v>
      </c>
      <c r="J379" s="128">
        <f t="shared" si="1006"/>
        <v>3.48</v>
      </c>
      <c r="K379" s="128">
        <f t="shared" si="1006"/>
        <v>0</v>
      </c>
      <c r="L379" s="128">
        <f t="shared" si="1006"/>
        <v>1.04</v>
      </c>
      <c r="M379" s="128">
        <f t="shared" si="1006"/>
        <v>1.72</v>
      </c>
      <c r="N379" s="128">
        <f t="shared" si="1006"/>
        <v>1.6800000000000002</v>
      </c>
      <c r="O379" s="128">
        <f t="shared" si="1006"/>
        <v>1.6800000000000002</v>
      </c>
      <c r="P379" s="128">
        <f t="shared" si="1006"/>
        <v>2.3199999999999998</v>
      </c>
      <c r="Q379" s="128">
        <f t="shared" si="1006"/>
        <v>2.56</v>
      </c>
      <c r="R379" s="128">
        <f t="shared" si="1006"/>
        <v>1.52</v>
      </c>
      <c r="S379" s="128">
        <f t="shared" si="1006"/>
        <v>3.6</v>
      </c>
      <c r="T379" s="128">
        <f t="shared" si="1006"/>
        <v>3</v>
      </c>
      <c r="U379" s="128">
        <f t="shared" si="1006"/>
        <v>0.4</v>
      </c>
      <c r="V379" s="128">
        <f t="shared" si="1006"/>
        <v>1.1199999999999999</v>
      </c>
      <c r="W379" s="128">
        <f t="shared" si="1006"/>
        <v>0.48000000000000009</v>
      </c>
      <c r="X379" s="128">
        <f t="shared" si="1006"/>
        <v>0.72</v>
      </c>
      <c r="Y379" s="128">
        <f t="shared" si="1006"/>
        <v>5.7600000000000007</v>
      </c>
      <c r="Z379" s="128">
        <f t="shared" si="1006"/>
        <v>11.16</v>
      </c>
      <c r="AA379" s="128">
        <f t="shared" si="1006"/>
        <v>9.36</v>
      </c>
      <c r="AB379" s="128">
        <f t="shared" si="1006"/>
        <v>6.7200000000000006</v>
      </c>
      <c r="AC379" s="128">
        <f t="shared" si="1006"/>
        <v>7.2400000000000011</v>
      </c>
      <c r="AD379" s="128">
        <f t="shared" si="1006"/>
        <v>6.7200000000000006</v>
      </c>
      <c r="AE379" s="128">
        <f t="shared" si="1006"/>
        <v>8.8000000000000007</v>
      </c>
      <c r="AF379" s="128">
        <f t="shared" si="1006"/>
        <v>10.88</v>
      </c>
      <c r="AG379" s="128">
        <f t="shared" si="1006"/>
        <v>8.76</v>
      </c>
      <c r="AH379" s="128">
        <f t="shared" si="1006"/>
        <v>6.4</v>
      </c>
      <c r="AI379" s="128">
        <f t="shared" si="1006"/>
        <v>4.68</v>
      </c>
      <c r="AJ379" s="128">
        <f t="shared" si="1006"/>
        <v>3.2400000000000007</v>
      </c>
      <c r="AK379" s="128">
        <f t="shared" si="1006"/>
        <v>5.8400000000000007</v>
      </c>
      <c r="AL379" s="128">
        <f t="shared" si="1006"/>
        <v>11.840000000000002</v>
      </c>
      <c r="AM379" s="128">
        <f t="shared" si="1006"/>
        <v>28.84</v>
      </c>
      <c r="AN379" s="128">
        <f t="shared" si="1006"/>
        <v>24.28</v>
      </c>
      <c r="AO379" s="128">
        <f t="shared" si="1006"/>
        <v>3.24</v>
      </c>
      <c r="AP379" s="128">
        <f t="shared" si="1006"/>
        <v>9.0400000000000009</v>
      </c>
      <c r="AQ379" s="128">
        <f t="shared" si="1006"/>
        <v>19.12</v>
      </c>
      <c r="AR379" s="128">
        <f t="shared" si="1006"/>
        <v>27.880000000000003</v>
      </c>
      <c r="AS379" s="128">
        <f t="shared" si="1006"/>
        <v>74.88</v>
      </c>
      <c r="AT379" s="128">
        <f t="shared" si="1006"/>
        <v>204.8</v>
      </c>
      <c r="AU379" s="128">
        <f t="shared" si="1006"/>
        <v>241.64000000000001</v>
      </c>
      <c r="AV379" s="128">
        <f t="shared" si="1006"/>
        <v>93.960000000000008</v>
      </c>
      <c r="AW379" s="128">
        <f t="shared" si="1006"/>
        <v>2.56</v>
      </c>
      <c r="AX379" s="128">
        <f t="shared" si="1006"/>
        <v>10.32</v>
      </c>
      <c r="AY379" s="128">
        <f t="shared" si="1006"/>
        <v>47</v>
      </c>
      <c r="AZ379" s="128">
        <f t="shared" si="1006"/>
        <v>63.24</v>
      </c>
      <c r="BA379" s="128">
        <f t="shared" si="1006"/>
        <v>39.160000000000004</v>
      </c>
      <c r="BB379" s="128">
        <f t="shared" si="1006"/>
        <v>21.64</v>
      </c>
      <c r="BC379" s="128">
        <f t="shared" si="1006"/>
        <v>15.76</v>
      </c>
      <c r="BD379" s="128">
        <f t="shared" si="1006"/>
        <v>13.4</v>
      </c>
      <c r="BE379" s="128">
        <f t="shared" si="1006"/>
        <v>7.6400000000000006</v>
      </c>
      <c r="BF379" s="128">
        <f t="shared" si="1006"/>
        <v>8.32</v>
      </c>
      <c r="BG379" s="128">
        <f t="shared" si="1006"/>
        <v>7.0800000000000018</v>
      </c>
      <c r="BH379" s="128">
        <f t="shared" si="1006"/>
        <v>8.4400000000000013</v>
      </c>
      <c r="BI379" s="128">
        <f t="shared" si="1006"/>
        <v>5.84</v>
      </c>
      <c r="BJ379" s="128">
        <f t="shared" si="1006"/>
        <v>2.7200000000000006</v>
      </c>
      <c r="BK379" s="128">
        <f t="shared" si="1006"/>
        <v>9.8400000000000016</v>
      </c>
      <c r="BL379" s="128">
        <f t="shared" si="1006"/>
        <v>9.08</v>
      </c>
      <c r="BM379" s="128">
        <f t="shared" si="1006"/>
        <v>2.7600000000000002</v>
      </c>
      <c r="BN379" s="128">
        <f t="shared" si="1006"/>
        <v>2.12</v>
      </c>
      <c r="BO379" s="128">
        <f t="shared" si="1006"/>
        <v>4.12</v>
      </c>
      <c r="BP379" s="128">
        <f t="shared" si="1006"/>
        <v>24.96</v>
      </c>
      <c r="BQ379" s="128">
        <f t="shared" si="1006"/>
        <v>31</v>
      </c>
      <c r="BR379" s="128">
        <f t="shared" ref="BR379:CB379" si="1007">0.8*(0.5*BR36+0.5*BQ36)</f>
        <v>11.56</v>
      </c>
      <c r="BS379" s="128">
        <f t="shared" si="1007"/>
        <v>4.5200000000000005</v>
      </c>
      <c r="BT379" s="128">
        <f t="shared" ca="1" si="1007"/>
        <v>15.457957057176968</v>
      </c>
      <c r="BU379" s="128">
        <f t="shared" ca="1" si="1007"/>
        <v>34.094397992018649</v>
      </c>
      <c r="BV379" s="128">
        <f t="shared" ca="1" si="1007"/>
        <v>26.96193219387429</v>
      </c>
      <c r="BW379" s="128">
        <f t="shared" ca="1" si="1007"/>
        <v>10.027696496636104</v>
      </c>
      <c r="BX379" s="128">
        <f t="shared" ca="1" si="1007"/>
        <v>5.5021286804382417</v>
      </c>
      <c r="BY379" s="128">
        <f t="shared" ca="1" si="1007"/>
        <v>4.4765894396410166</v>
      </c>
      <c r="BZ379" s="128">
        <f t="shared" ca="1" si="1007"/>
        <v>5.1700995299190984</v>
      </c>
      <c r="CA379" s="128">
        <f t="shared" ca="1" si="1007"/>
        <v>5.7644049817964191</v>
      </c>
      <c r="CB379" s="128">
        <f t="shared" ca="1" si="1007"/>
        <v>6.4310427838889117</v>
      </c>
      <c r="CC379" s="128">
        <f ca="1">0.8*(0.5*CC36+0.5*CB36)</f>
        <v>7.2561087634877488</v>
      </c>
      <c r="CD379" s="128">
        <f ca="1">0.8*(0.5*CD36+0.5*CC36)</f>
        <v>8.2849008256633869</v>
      </c>
      <c r="CE379" s="128">
        <f ca="1">0.8*(0.5*CE36+0.5*CD36)</f>
        <v>9.5862399692252378</v>
      </c>
      <c r="CF379" s="128">
        <f ca="1">0.8*(0.5*CF36+0.5*CE36)</f>
        <v>11.250202150875417</v>
      </c>
      <c r="CG379" s="128">
        <f ca="1">0.8*(0.5*CG36+0.5*CF36)</f>
        <v>13.395697246138036</v>
      </c>
      <c r="CH379" s="128"/>
      <c r="CI379" s="159">
        <f t="shared" si="962"/>
        <v>0</v>
      </c>
      <c r="CJ379" s="159">
        <f t="shared" si="1005"/>
        <v>0</v>
      </c>
      <c r="CK379" s="159">
        <f t="shared" si="1005"/>
        <v>0</v>
      </c>
      <c r="CL379" s="159">
        <f t="shared" ca="1" si="1005"/>
        <v>0</v>
      </c>
      <c r="CM379" s="159">
        <f t="shared" ca="1" si="1005"/>
        <v>4.8416305191633988</v>
      </c>
      <c r="CN379" s="159">
        <f t="shared" ca="1" si="1005"/>
        <v>6.4843538447453142</v>
      </c>
      <c r="CO379" s="159">
        <f t="shared" ca="1" si="1005"/>
        <v>1.7914288082336256</v>
      </c>
      <c r="CP379" s="159">
        <f t="shared" ca="1" si="1005"/>
        <v>-3.3105335074212761E-3</v>
      </c>
      <c r="CQ379" s="159">
        <f t="shared" ca="1" si="1005"/>
        <v>-0.39369588756647023</v>
      </c>
      <c r="CR379" s="159">
        <f t="shared" ca="1" si="1005"/>
        <v>-0.5554035395544501</v>
      </c>
      <c r="CS379" s="159">
        <f t="shared" ca="1" si="1005"/>
        <v>-0.50598054482262889</v>
      </c>
      <c r="CT379" s="159">
        <f t="shared" ca="1" si="1005"/>
        <v>-0.28491759297530539</v>
      </c>
      <c r="CU379" s="159">
        <f t="shared" ca="1" si="1005"/>
        <v>-0.35217261428615743</v>
      </c>
      <c r="CV379" s="159">
        <f t="shared" ca="1" si="933"/>
        <v>-0.64308834564044481</v>
      </c>
      <c r="CW379" s="159">
        <f t="shared" ca="1" si="934"/>
        <v>-0.88925080536913192</v>
      </c>
      <c r="CX379" s="159">
        <f t="shared" ca="1" si="935"/>
        <v>-1.1560560519885641</v>
      </c>
      <c r="CY379" s="159">
        <f t="shared" ca="1" si="936"/>
        <v>-1.4809413212333542</v>
      </c>
      <c r="CZ379" s="128"/>
      <c r="DA379" s="104">
        <v>31</v>
      </c>
      <c r="DB379" s="104">
        <v>11.56</v>
      </c>
      <c r="DC379" s="104">
        <v>4.5200000000000005</v>
      </c>
      <c r="DD379" s="104">
        <v>15.457957057176968</v>
      </c>
      <c r="DE379" s="104">
        <v>29.25276747285525</v>
      </c>
      <c r="DF379" s="104">
        <v>20.477578349128976</v>
      </c>
      <c r="DG379" s="104">
        <v>8.2362676884024779</v>
      </c>
      <c r="DH379" s="104">
        <v>5.5054392139456629</v>
      </c>
      <c r="DI379" s="104">
        <v>4.8702853272074869</v>
      </c>
      <c r="DJ379" s="104">
        <v>5.7255030694735485</v>
      </c>
      <c r="DK379" s="104">
        <v>6.270385526619048</v>
      </c>
      <c r="DL379" s="104">
        <v>6.7159603768642171</v>
      </c>
      <c r="DM379" s="104">
        <v>7.6082813777739062</v>
      </c>
      <c r="DN379" s="104">
        <v>8.9279891713038317</v>
      </c>
      <c r="DO379" s="104">
        <v>10.47549077459437</v>
      </c>
      <c r="DP379" s="104">
        <v>12.406258202863981</v>
      </c>
      <c r="DQ379" s="104">
        <v>14.876638567371391</v>
      </c>
    </row>
    <row r="380" spans="1:121">
      <c r="A380" s="123" t="s">
        <v>2629</v>
      </c>
      <c r="B380" s="128"/>
      <c r="C380" s="128"/>
      <c r="D380" s="112">
        <f t="shared" ca="1" si="998"/>
        <v>-0.68587252583273872</v>
      </c>
      <c r="E380" s="128">
        <f t="shared" ca="1" si="999"/>
        <v>6.1445493898382511E-2</v>
      </c>
      <c r="F380" s="128"/>
      <c r="G380" s="128">
        <f t="shared" ref="G380:BQ380" si="1008">-3*(F209-E209)</f>
        <v>-20.400000000000002</v>
      </c>
      <c r="H380" s="128">
        <f t="shared" si="1008"/>
        <v>5.4000000000000021</v>
      </c>
      <c r="I380" s="128">
        <f t="shared" si="1008"/>
        <v>8.3002359867095947</v>
      </c>
      <c r="J380" s="128">
        <f t="shared" si="1008"/>
        <v>1.2532153129577637</v>
      </c>
      <c r="K380" s="128">
        <f t="shared" si="1008"/>
        <v>-3.9288425445556667</v>
      </c>
      <c r="L380" s="128">
        <f t="shared" si="1008"/>
        <v>0.79279375076294345</v>
      </c>
      <c r="M380" s="128">
        <f t="shared" si="1008"/>
        <v>2.3588933944702135</v>
      </c>
      <c r="N380" s="128">
        <f t="shared" si="1008"/>
        <v>-2.8550949096679688</v>
      </c>
      <c r="O380" s="128">
        <f t="shared" si="1008"/>
        <v>-2.6344535350799574</v>
      </c>
      <c r="P380" s="128">
        <f t="shared" si="1008"/>
        <v>-2.4655566215515123</v>
      </c>
      <c r="Q380" s="128">
        <f t="shared" si="1008"/>
        <v>-2.3381924629211426</v>
      </c>
      <c r="R380" s="128">
        <f t="shared" si="1008"/>
        <v>2.9848036766052219</v>
      </c>
      <c r="S380" s="128">
        <f t="shared" si="1008"/>
        <v>0.67229747772216797</v>
      </c>
      <c r="T380" s="128">
        <f t="shared" si="1008"/>
        <v>0.33770084381103516</v>
      </c>
      <c r="U380" s="128">
        <f t="shared" si="1008"/>
        <v>-0.30874872207641335</v>
      </c>
      <c r="V380" s="128">
        <f t="shared" si="1008"/>
        <v>-2.4571094512939426</v>
      </c>
      <c r="W380" s="128">
        <f t="shared" si="1008"/>
        <v>1.9587693214416504</v>
      </c>
      <c r="X380" s="128">
        <f t="shared" si="1008"/>
        <v>-4.711810111999517</v>
      </c>
      <c r="Y380" s="128">
        <f t="shared" si="1008"/>
        <v>-3.9497323036193794</v>
      </c>
      <c r="Z380" s="128">
        <f t="shared" si="1008"/>
        <v>-5.3997330665588406</v>
      </c>
      <c r="AA380" s="128">
        <f t="shared" si="1008"/>
        <v>-2.5251045227050728</v>
      </c>
      <c r="AB380" s="128">
        <f t="shared" si="1008"/>
        <v>5.9762477874755806</v>
      </c>
      <c r="AC380" s="128">
        <f t="shared" si="1008"/>
        <v>3.8598089218139595</v>
      </c>
      <c r="AD380" s="128">
        <f t="shared" si="1008"/>
        <v>3.3313708305358967</v>
      </c>
      <c r="AE380" s="128">
        <f t="shared" si="1008"/>
        <v>2.8420300483703587</v>
      </c>
      <c r="AF380" s="128">
        <f t="shared" si="1008"/>
        <v>-6.2130231857299831</v>
      </c>
      <c r="AG380" s="128">
        <f t="shared" si="1008"/>
        <v>-7.1609315872192356</v>
      </c>
      <c r="AH380" s="128">
        <f t="shared" si="1008"/>
        <v>-0.34204673767089844</v>
      </c>
      <c r="AI380" s="128">
        <f t="shared" si="1008"/>
        <v>-0.38145732879639205</v>
      </c>
      <c r="AJ380" s="128">
        <f t="shared" si="1008"/>
        <v>-6.3810739517211861</v>
      </c>
      <c r="AK380" s="128">
        <f t="shared" si="1008"/>
        <v>-4.6919345855712944</v>
      </c>
      <c r="AL380" s="128">
        <f t="shared" si="1008"/>
        <v>-2.2954359054565323</v>
      </c>
      <c r="AM380" s="128">
        <f t="shared" si="1008"/>
        <v>-6.6009464263916069</v>
      </c>
      <c r="AN380" s="128">
        <f t="shared" si="1008"/>
        <v>-5.1269416809082138</v>
      </c>
      <c r="AO380" s="128">
        <f t="shared" si="1008"/>
        <v>-6.5999965667724609</v>
      </c>
      <c r="AP380" s="128">
        <f t="shared" si="1008"/>
        <v>8.0999965667724716</v>
      </c>
      <c r="AQ380" s="128">
        <f t="shared" si="1008"/>
        <v>5.1000022888183594</v>
      </c>
      <c r="AR380" s="128">
        <f t="shared" si="1008"/>
        <v>0</v>
      </c>
      <c r="AS380" s="128">
        <f t="shared" si="1008"/>
        <v>-7.7533206939697266</v>
      </c>
      <c r="AT380" s="128">
        <f t="shared" si="1008"/>
        <v>9.2533206939697212</v>
      </c>
      <c r="AU380" s="128">
        <f t="shared" si="1008"/>
        <v>9</v>
      </c>
      <c r="AV380" s="128">
        <f t="shared" si="1008"/>
        <v>12.000000000000005</v>
      </c>
      <c r="AW380" s="128">
        <f t="shared" si="1008"/>
        <v>-8.9999999999999893</v>
      </c>
      <c r="AX380" s="128">
        <f t="shared" si="1008"/>
        <v>-10.159410648199502</v>
      </c>
      <c r="AY380" s="128">
        <f t="shared" si="1008"/>
        <v>-1.1565773694339381</v>
      </c>
      <c r="AZ380" s="128">
        <f t="shared" si="1008"/>
        <v>-5.8100556188726884</v>
      </c>
      <c r="BA380" s="128">
        <f t="shared" si="1008"/>
        <v>-1.1582311953555617</v>
      </c>
      <c r="BB380" s="128">
        <f t="shared" si="1008"/>
        <v>-2.6727269575144881</v>
      </c>
      <c r="BC380" s="128">
        <f t="shared" si="1008"/>
        <v>7.8158210480768986E-2</v>
      </c>
      <c r="BD380" s="128">
        <f t="shared" si="1008"/>
        <v>1.8799136920995636</v>
      </c>
      <c r="BE380" s="128">
        <f ca="1">-3*(BD209-BC209)</f>
        <v>13.15742461675968</v>
      </c>
      <c r="BF380" s="128">
        <f ca="1">-3*(BE209-BD209)</f>
        <v>6.8851728148425266</v>
      </c>
      <c r="BG380" s="128">
        <f ca="1">-3*(BF209-BE209)</f>
        <v>-30.165584022984255</v>
      </c>
      <c r="BH380" s="128">
        <f t="shared" si="1008"/>
        <v>6.1940301853702699</v>
      </c>
      <c r="BI380" s="128">
        <f t="shared" si="1008"/>
        <v>6.1054833895781897</v>
      </c>
      <c r="BJ380" s="128">
        <f t="shared" si="1008"/>
        <v>1.2724554889868145</v>
      </c>
      <c r="BK380" s="128">
        <f t="shared" si="1008"/>
        <v>9.8116495263265264</v>
      </c>
      <c r="BL380" s="128">
        <f t="shared" si="1008"/>
        <v>0.24099768770368435</v>
      </c>
      <c r="BM380" s="128">
        <f t="shared" si="1008"/>
        <v>-0.5556185824206743</v>
      </c>
      <c r="BN380" s="128">
        <f t="shared" si="1008"/>
        <v>5.9265869456976237</v>
      </c>
      <c r="BO380" s="128">
        <f t="shared" si="1008"/>
        <v>6.6739286228422561</v>
      </c>
      <c r="BP380" s="128">
        <f t="shared" si="1008"/>
        <v>-5.7732545673412492</v>
      </c>
      <c r="BQ380" s="128">
        <f t="shared" si="1008"/>
        <v>-10.9843113460281</v>
      </c>
      <c r="BR380" s="128">
        <f t="shared" ref="BR380:CB380" si="1009">-3*(BQ209-BP209)</f>
        <v>7.9830104933647519</v>
      </c>
      <c r="BS380" s="128">
        <f t="shared" si="1009"/>
        <v>-7.9209365729792154</v>
      </c>
      <c r="BT380" s="128">
        <f t="shared" si="1009"/>
        <v>-0.58149440979664035</v>
      </c>
      <c r="BU380" s="128">
        <f t="shared" ca="1" si="1009"/>
        <v>-5.7067291985158555</v>
      </c>
      <c r="BV380" s="128">
        <f t="shared" ca="1" si="1009"/>
        <v>-3.6215432246909494</v>
      </c>
      <c r="BW380" s="128">
        <f t="shared" ca="1" si="1009"/>
        <v>-1.2149054145637521</v>
      </c>
      <c r="BX380" s="128">
        <f t="shared" ca="1" si="1009"/>
        <v>-3.7312026676887946</v>
      </c>
      <c r="BY380" s="128">
        <f t="shared" ca="1" si="1009"/>
        <v>0.79224095920115545</v>
      </c>
      <c r="BZ380" s="128">
        <f t="shared" ca="1" si="1009"/>
        <v>0.88974637634118992</v>
      </c>
      <c r="CA380" s="128">
        <f t="shared" ca="1" si="1009"/>
        <v>0.9668365142774924</v>
      </c>
      <c r="CB380" s="128">
        <f t="shared" ca="1" si="1009"/>
        <v>1.1563182436862469</v>
      </c>
      <c r="CC380" s="128">
        <f ca="1">-3*(CB209-CA209)</f>
        <v>1.3442533984792888</v>
      </c>
      <c r="CD380" s="128">
        <f ca="1">-3*(CC209-CB209)</f>
        <v>1.5593837938348223</v>
      </c>
      <c r="CE380" s="128">
        <f ca="1">-3*(CD209-CC209)</f>
        <v>1.8087472311308517</v>
      </c>
      <c r="CF380" s="128">
        <f ca="1">-3*(CE209-CD209)</f>
        <v>2.096130979098584</v>
      </c>
      <c r="CG380" s="128">
        <f ca="1">-3*(CF209-CE209)</f>
        <v>2.4222604526930152</v>
      </c>
      <c r="CH380" s="123" t="s">
        <v>1344</v>
      </c>
      <c r="CI380" s="159">
        <f t="shared" si="962"/>
        <v>0</v>
      </c>
      <c r="CJ380" s="159">
        <f t="shared" si="1005"/>
        <v>0</v>
      </c>
      <c r="CK380" s="159">
        <f t="shared" si="1005"/>
        <v>0</v>
      </c>
      <c r="CL380" s="159">
        <f t="shared" si="1005"/>
        <v>0</v>
      </c>
      <c r="CM380" s="159">
        <f t="shared" ca="1" si="1005"/>
        <v>0</v>
      </c>
      <c r="CN380" s="159">
        <f t="shared" ca="1" si="1005"/>
        <v>-0.80292410046346774</v>
      </c>
      <c r="CO380" s="159">
        <f t="shared" ca="1" si="1005"/>
        <v>-1.0942314322311546</v>
      </c>
      <c r="CP380" s="159">
        <f t="shared" ca="1" si="1005"/>
        <v>-0.10293959851832568</v>
      </c>
      <c r="CQ380" s="159">
        <f t="shared" ca="1" si="1005"/>
        <v>3.0178658663643887E-2</v>
      </c>
      <c r="CR380" s="159">
        <f t="shared" ca="1" si="1005"/>
        <v>-2.8799983215598957E-2</v>
      </c>
      <c r="CS380" s="159">
        <f t="shared" ca="1" si="1005"/>
        <v>0.7647890301291973</v>
      </c>
      <c r="CT380" s="159">
        <f t="shared" ca="1" si="1005"/>
        <v>0.77141713625642083</v>
      </c>
      <c r="CU380" s="159">
        <f t="shared" ca="1" si="1005"/>
        <v>-7.5993743339761721E-2</v>
      </c>
      <c r="CV380" s="159">
        <f t="shared" ca="1" si="933"/>
        <v>-0.12548239211118783</v>
      </c>
      <c r="CW380" s="159">
        <f t="shared" ca="1" si="934"/>
        <v>-0.13021130798086133</v>
      </c>
      <c r="CX380" s="159">
        <f t="shared" ca="1" si="935"/>
        <v>-0.12477151799929231</v>
      </c>
      <c r="CY380" s="159">
        <f t="shared" ca="1" si="936"/>
        <v>-0.10494114995963955</v>
      </c>
      <c r="CZ380" s="128"/>
      <c r="DA380" s="104">
        <v>-10.9843113460281</v>
      </c>
      <c r="DB380" s="104">
        <v>7.9830104933647519</v>
      </c>
      <c r="DC380" s="104">
        <v>-7.9209365729792154</v>
      </c>
      <c r="DD380" s="104">
        <v>-0.58149440979664035</v>
      </c>
      <c r="DE380" s="104">
        <v>-5.7067291985158555</v>
      </c>
      <c r="DF380" s="104">
        <v>-2.8186191242274816</v>
      </c>
      <c r="DG380" s="104">
        <v>-0.12067398233259752</v>
      </c>
      <c r="DH380" s="104">
        <v>-3.6282630691704689</v>
      </c>
      <c r="DI380" s="104">
        <v>0.76206230053751156</v>
      </c>
      <c r="DJ380" s="104">
        <v>0.91854635955678887</v>
      </c>
      <c r="DK380" s="104">
        <v>0.2020474841482951</v>
      </c>
      <c r="DL380" s="104">
        <v>0.38490110742982608</v>
      </c>
      <c r="DM380" s="104">
        <v>1.4202471418190505</v>
      </c>
      <c r="DN380" s="104">
        <v>1.6848661859460101</v>
      </c>
      <c r="DO380" s="104">
        <v>1.938958539111713</v>
      </c>
      <c r="DP380" s="104">
        <v>2.2209024970978763</v>
      </c>
      <c r="DQ380" s="104">
        <v>2.5272016026526547</v>
      </c>
    </row>
    <row r="381" spans="1:121">
      <c r="A381" s="123" t="s">
        <v>2630</v>
      </c>
      <c r="B381" s="128"/>
      <c r="C381" s="128"/>
      <c r="D381" s="112">
        <f t="shared" ca="1" si="998"/>
        <v>-3.700941838822962</v>
      </c>
      <c r="E381" s="128">
        <f t="shared" ca="1" si="999"/>
        <v>-10.215776760216935</v>
      </c>
      <c r="F381" s="128"/>
      <c r="G381" s="123">
        <f t="shared" ref="G381:BQ381" si="1010">-1.5*(F209-8)</f>
        <v>1.7999999999999989</v>
      </c>
      <c r="H381" s="123">
        <f t="shared" si="1010"/>
        <v>4.5</v>
      </c>
      <c r="I381" s="123">
        <f t="shared" si="1010"/>
        <v>8.6501179933547974</v>
      </c>
      <c r="J381" s="123">
        <f t="shared" si="1010"/>
        <v>9.2767256498336792</v>
      </c>
      <c r="K381" s="123">
        <f t="shared" si="1010"/>
        <v>7.3123043775558454</v>
      </c>
      <c r="L381" s="123">
        <f t="shared" si="1010"/>
        <v>7.7087012529373169</v>
      </c>
      <c r="M381" s="123">
        <f t="shared" si="1010"/>
        <v>8.8881479501724243</v>
      </c>
      <c r="N381" s="123">
        <f t="shared" si="1010"/>
        <v>7.4606004953384399</v>
      </c>
      <c r="O381" s="123">
        <f t="shared" si="1010"/>
        <v>6.1433737277984619</v>
      </c>
      <c r="P381" s="123">
        <f t="shared" si="1010"/>
        <v>4.9105954170227051</v>
      </c>
      <c r="Q381" s="123">
        <f t="shared" si="1010"/>
        <v>3.7414991855621338</v>
      </c>
      <c r="R381" s="123">
        <f t="shared" si="1010"/>
        <v>5.2339010238647443</v>
      </c>
      <c r="S381" s="123">
        <f t="shared" si="1010"/>
        <v>5.5700497627258283</v>
      </c>
      <c r="T381" s="123">
        <f t="shared" si="1010"/>
        <v>5.7389001846313459</v>
      </c>
      <c r="U381" s="123">
        <f t="shared" si="1010"/>
        <v>5.5845258235931396</v>
      </c>
      <c r="V381" s="123">
        <f t="shared" si="1010"/>
        <v>4.3559710979461688</v>
      </c>
      <c r="W381" s="123">
        <f t="shared" si="1010"/>
        <v>5.335355758666994</v>
      </c>
      <c r="X381" s="123">
        <f t="shared" si="1010"/>
        <v>2.979450702667235</v>
      </c>
      <c r="Y381" s="123">
        <f t="shared" si="1010"/>
        <v>1.0045845508575453</v>
      </c>
      <c r="Z381" s="123">
        <f t="shared" si="1010"/>
        <v>-1.695281982421875</v>
      </c>
      <c r="AA381" s="123">
        <f t="shared" si="1010"/>
        <v>-2.9578342437744114</v>
      </c>
      <c r="AB381" s="123">
        <f t="shared" si="1010"/>
        <v>3.0289649963378906E-2</v>
      </c>
      <c r="AC381" s="123">
        <f t="shared" si="1010"/>
        <v>1.9601941108703587</v>
      </c>
      <c r="AD381" s="123">
        <f t="shared" si="1010"/>
        <v>3.625879526138307</v>
      </c>
      <c r="AE381" s="123">
        <f t="shared" si="1010"/>
        <v>5.0468945503234863</v>
      </c>
      <c r="AF381" s="123">
        <f t="shared" si="1010"/>
        <v>1.9403829574584948</v>
      </c>
      <c r="AG381" s="123">
        <f t="shared" si="1010"/>
        <v>-1.640082836151123</v>
      </c>
      <c r="AH381" s="123">
        <f t="shared" si="1010"/>
        <v>-1.8111062049865723</v>
      </c>
      <c r="AI381" s="123">
        <f t="shared" si="1010"/>
        <v>-2.0018348693847683</v>
      </c>
      <c r="AJ381" s="123">
        <f t="shared" si="1010"/>
        <v>-5.1923718452453613</v>
      </c>
      <c r="AK381" s="123">
        <f t="shared" si="1010"/>
        <v>-7.5383391380310085</v>
      </c>
      <c r="AL381" s="123">
        <f t="shared" si="1010"/>
        <v>-8.6860570907592738</v>
      </c>
      <c r="AM381" s="123">
        <f t="shared" si="1010"/>
        <v>-11.986530303955078</v>
      </c>
      <c r="AN381" s="123">
        <f t="shared" si="1010"/>
        <v>-14.550001144409185</v>
      </c>
      <c r="AO381" s="123">
        <f t="shared" si="1010"/>
        <v>-17.849999427795417</v>
      </c>
      <c r="AP381" s="123">
        <f t="shared" si="1010"/>
        <v>-13.80000114440918</v>
      </c>
      <c r="AQ381" s="123">
        <f t="shared" si="1010"/>
        <v>-11.25</v>
      </c>
      <c r="AR381" s="123">
        <f t="shared" si="1010"/>
        <v>-11.25</v>
      </c>
      <c r="AS381" s="123">
        <f t="shared" si="1010"/>
        <v>-15.126660346984863</v>
      </c>
      <c r="AT381" s="123">
        <f t="shared" si="1010"/>
        <v>-10.500000000000004</v>
      </c>
      <c r="AU381" s="123">
        <f t="shared" si="1010"/>
        <v>-6.0000000000000027</v>
      </c>
      <c r="AV381" s="123">
        <f t="shared" si="1010"/>
        <v>0</v>
      </c>
      <c r="AW381" s="123">
        <f t="shared" si="1010"/>
        <v>-4.4999999999999947</v>
      </c>
      <c r="AX381" s="123">
        <f t="shared" si="1010"/>
        <v>-9.579705324099745</v>
      </c>
      <c r="AY381" s="123">
        <f t="shared" si="1010"/>
        <v>-10.157994008816715</v>
      </c>
      <c r="AZ381" s="123">
        <f t="shared" si="1010"/>
        <v>-13.063021818253059</v>
      </c>
      <c r="BA381" s="123">
        <f t="shared" si="1010"/>
        <v>-13.64213741593084</v>
      </c>
      <c r="BB381" s="123">
        <f t="shared" si="1010"/>
        <v>-14.978500894688084</v>
      </c>
      <c r="BC381" s="123">
        <f t="shared" si="1010"/>
        <v>-14.939421789447699</v>
      </c>
      <c r="BD381" s="123">
        <f t="shared" si="1010"/>
        <v>-13.999464943397918</v>
      </c>
      <c r="BE381" s="123">
        <f ca="1">-1.5*(BD209-8)</f>
        <v>-7.4207526350180775</v>
      </c>
      <c r="BF381" s="123">
        <f ca="1">-1.5*(BE209-8)</f>
        <v>-3.9781662275968142</v>
      </c>
      <c r="BG381" s="123">
        <f t="shared" si="1010"/>
        <v>-19.06095823908894</v>
      </c>
      <c r="BH381" s="123">
        <f t="shared" si="1010"/>
        <v>-15.963943146403807</v>
      </c>
      <c r="BI381" s="123">
        <f t="shared" si="1010"/>
        <v>-12.911201451614712</v>
      </c>
      <c r="BJ381" s="123">
        <f t="shared" si="1010"/>
        <v>-12.274973707121305</v>
      </c>
      <c r="BK381" s="123">
        <f t="shared" si="1010"/>
        <v>-7.3691489439580415</v>
      </c>
      <c r="BL381" s="123">
        <f t="shared" si="1010"/>
        <v>-7.2486501001061994</v>
      </c>
      <c r="BM381" s="123">
        <f t="shared" si="1010"/>
        <v>-7.5264593913165365</v>
      </c>
      <c r="BN381" s="123">
        <f t="shared" si="1010"/>
        <v>-4.5631659184677247</v>
      </c>
      <c r="BO381" s="123">
        <f t="shared" si="1010"/>
        <v>-1.2262016070465966</v>
      </c>
      <c r="BP381" s="123">
        <f t="shared" si="1010"/>
        <v>-4.1128288907172212</v>
      </c>
      <c r="BQ381" s="123">
        <f t="shared" si="1010"/>
        <v>-9.6049845637312714</v>
      </c>
      <c r="BR381" s="123">
        <f t="shared" ref="BR381:CB381" si="1011">-1.5*(BQ209-8)</f>
        <v>-5.6134793170488955</v>
      </c>
      <c r="BS381" s="123">
        <f t="shared" si="1011"/>
        <v>-9.5739476035385032</v>
      </c>
      <c r="BT381" s="123">
        <f t="shared" si="1011"/>
        <v>-9.8646948084368233</v>
      </c>
      <c r="BU381" s="123">
        <f t="shared" ca="1" si="1011"/>
        <v>-12.718059407694751</v>
      </c>
      <c r="BV381" s="123">
        <f t="shared" ca="1" si="1011"/>
        <v>-14.528831020040226</v>
      </c>
      <c r="BW381" s="123">
        <f t="shared" ca="1" si="1011"/>
        <v>-15.136283727322102</v>
      </c>
      <c r="BX381" s="123">
        <f t="shared" ca="1" si="1011"/>
        <v>-17.001885061166497</v>
      </c>
      <c r="BY381" s="123">
        <f t="shared" ca="1" si="1011"/>
        <v>-16.605764581565921</v>
      </c>
      <c r="BZ381" s="123">
        <f t="shared" ca="1" si="1011"/>
        <v>-16.160891393395325</v>
      </c>
      <c r="CA381" s="123">
        <f t="shared" ca="1" si="1011"/>
        <v>-15.67747313625658</v>
      </c>
      <c r="CB381" s="123">
        <f t="shared" ca="1" si="1011"/>
        <v>-15.099314014413457</v>
      </c>
      <c r="CC381" s="123">
        <f ca="1">-1.5*(CB209-8)</f>
        <v>-14.427187315173812</v>
      </c>
      <c r="CD381" s="123">
        <f ca="1">-1.5*(CC209-8)</f>
        <v>-13.647495418256401</v>
      </c>
      <c r="CE381" s="123">
        <f ca="1">-1.5*(CD209-8)</f>
        <v>-12.743121802690975</v>
      </c>
      <c r="CF381" s="123">
        <f ca="1">-1.5*(CE209-8)</f>
        <v>-11.695056313141684</v>
      </c>
      <c r="CG381" s="123">
        <f ca="1">-1.5*(CF209-8)</f>
        <v>-10.483926086795176</v>
      </c>
      <c r="CH381" s="128"/>
      <c r="CI381" s="159">
        <f t="shared" si="962"/>
        <v>0</v>
      </c>
      <c r="CJ381" s="159">
        <f t="shared" si="1005"/>
        <v>0</v>
      </c>
      <c r="CK381" s="159">
        <f t="shared" si="1005"/>
        <v>0</v>
      </c>
      <c r="CL381" s="159">
        <f t="shared" si="1005"/>
        <v>0</v>
      </c>
      <c r="CM381" s="159">
        <f t="shared" ca="1" si="1005"/>
        <v>0</v>
      </c>
      <c r="CN381" s="159">
        <f t="shared" ca="1" si="1005"/>
        <v>-0.40146205023173387</v>
      </c>
      <c r="CO381" s="159">
        <f t="shared" ca="1" si="1005"/>
        <v>-0.94857776634731117</v>
      </c>
      <c r="CP381" s="159">
        <f t="shared" ca="1" si="1005"/>
        <v>-1.0000475656064722</v>
      </c>
      <c r="CQ381" s="159">
        <f t="shared" ca="1" si="1005"/>
        <v>-0.98495823627465207</v>
      </c>
      <c r="CR381" s="159">
        <f t="shared" ca="1" si="1005"/>
        <v>-0.99935822788244977</v>
      </c>
      <c r="CS381" s="159">
        <f t="shared" ca="1" si="1005"/>
        <v>-0.61696371281785289</v>
      </c>
      <c r="CT381" s="159">
        <f t="shared" ca="1" si="1005"/>
        <v>-0.23125514468964248</v>
      </c>
      <c r="CU381" s="159">
        <f t="shared" ca="1" si="1005"/>
        <v>-0.26925201635952334</v>
      </c>
      <c r="CV381" s="159">
        <f t="shared" ca="1" si="933"/>
        <v>-0.33199321241511726</v>
      </c>
      <c r="CW381" s="159">
        <f t="shared" ca="1" si="934"/>
        <v>-0.39709886640554792</v>
      </c>
      <c r="CX381" s="159">
        <f t="shared" ca="1" si="935"/>
        <v>-0.45948462540519586</v>
      </c>
      <c r="CY381" s="159">
        <f t="shared" ca="1" si="936"/>
        <v>-0.51195520038501385</v>
      </c>
      <c r="CZ381" s="128"/>
      <c r="DA381" s="104">
        <v>-9.6049845637312714</v>
      </c>
      <c r="DB381" s="104">
        <v>-5.6134793170488955</v>
      </c>
      <c r="DC381" s="104">
        <v>-9.5739476035385032</v>
      </c>
      <c r="DD381" s="104">
        <v>-9.8646948084368233</v>
      </c>
      <c r="DE381" s="104">
        <v>-12.718059407694751</v>
      </c>
      <c r="DF381" s="104">
        <v>-14.127368969808492</v>
      </c>
      <c r="DG381" s="104">
        <v>-14.187705960974791</v>
      </c>
      <c r="DH381" s="104">
        <v>-16.001837495560025</v>
      </c>
      <c r="DI381" s="104">
        <v>-15.620806345291269</v>
      </c>
      <c r="DJ381" s="104">
        <v>-15.161533165512875</v>
      </c>
      <c r="DK381" s="104">
        <v>-15.060509423438727</v>
      </c>
      <c r="DL381" s="104">
        <v>-14.868058869723814</v>
      </c>
      <c r="DM381" s="104">
        <v>-14.157935298814289</v>
      </c>
      <c r="DN381" s="104">
        <v>-13.315502205841284</v>
      </c>
      <c r="DO381" s="104">
        <v>-12.346022936285427</v>
      </c>
      <c r="DP381" s="104">
        <v>-11.235571687736488</v>
      </c>
      <c r="DQ381" s="104">
        <v>-9.9719708864101619</v>
      </c>
    </row>
    <row r="382" spans="1:121">
      <c r="A382" s="123" t="s">
        <v>2632</v>
      </c>
      <c r="B382" s="128"/>
      <c r="C382" s="128"/>
      <c r="D382" s="112">
        <f t="shared" si="998"/>
        <v>0.5</v>
      </c>
      <c r="E382" s="128">
        <f t="shared" si="999"/>
        <v>0.5</v>
      </c>
      <c r="F382" s="128"/>
      <c r="G382" s="164">
        <v>0.5</v>
      </c>
      <c r="H382" s="164">
        <v>0.5</v>
      </c>
      <c r="I382" s="164">
        <v>0.5</v>
      </c>
      <c r="J382" s="164">
        <v>0.5</v>
      </c>
      <c r="K382" s="164">
        <v>0.5</v>
      </c>
      <c r="L382" s="164">
        <v>0.5</v>
      </c>
      <c r="M382" s="164">
        <v>0.5</v>
      </c>
      <c r="N382" s="164">
        <v>0.5</v>
      </c>
      <c r="O382" s="164">
        <v>0.5</v>
      </c>
      <c r="P382" s="164">
        <v>0.5</v>
      </c>
      <c r="Q382" s="164">
        <v>0.5</v>
      </c>
      <c r="R382" s="164">
        <v>0.5</v>
      </c>
      <c r="S382" s="164">
        <v>0.5</v>
      </c>
      <c r="T382" s="164">
        <v>0.5</v>
      </c>
      <c r="U382" s="164">
        <v>0.5</v>
      </c>
      <c r="V382" s="164">
        <v>0.5</v>
      </c>
      <c r="W382" s="164">
        <v>0.5</v>
      </c>
      <c r="X382" s="164">
        <v>0.5</v>
      </c>
      <c r="Y382" s="164">
        <v>0.5</v>
      </c>
      <c r="Z382" s="164">
        <v>0.5</v>
      </c>
      <c r="AA382" s="164">
        <v>0.5</v>
      </c>
      <c r="AB382" s="164">
        <v>0.5</v>
      </c>
      <c r="AC382" s="164">
        <v>0.5</v>
      </c>
      <c r="AD382" s="164">
        <v>0.5</v>
      </c>
      <c r="AE382" s="164">
        <v>0.5</v>
      </c>
      <c r="AF382" s="164">
        <v>0.5</v>
      </c>
      <c r="AG382" s="164">
        <v>0.5</v>
      </c>
      <c r="AH382" s="164">
        <v>0.5</v>
      </c>
      <c r="AI382" s="164">
        <v>0.5</v>
      </c>
      <c r="AJ382" s="164">
        <v>0.5</v>
      </c>
      <c r="AK382" s="164">
        <v>0.5</v>
      </c>
      <c r="AL382" s="164">
        <v>0.5</v>
      </c>
      <c r="AM382" s="164">
        <v>0.5</v>
      </c>
      <c r="AN382" s="164">
        <v>0.5</v>
      </c>
      <c r="AO382" s="164">
        <v>0.5</v>
      </c>
      <c r="AP382" s="164">
        <v>0.5</v>
      </c>
      <c r="AQ382" s="164">
        <v>0.5</v>
      </c>
      <c r="AR382" s="164">
        <v>0.5</v>
      </c>
      <c r="AS382" s="164">
        <v>0.5</v>
      </c>
      <c r="AT382" s="164">
        <v>0.5</v>
      </c>
      <c r="AU382" s="164">
        <v>0.5</v>
      </c>
      <c r="AV382" s="164">
        <v>0.5</v>
      </c>
      <c r="AW382" s="164">
        <v>0.5</v>
      </c>
      <c r="AX382" s="164">
        <v>0.5</v>
      </c>
      <c r="AY382" s="164">
        <v>0.5</v>
      </c>
      <c r="AZ382" s="164">
        <v>0.5</v>
      </c>
      <c r="BA382" s="164">
        <v>0.5</v>
      </c>
      <c r="BB382" s="164">
        <v>0.5</v>
      </c>
      <c r="BC382" s="164">
        <v>0.5</v>
      </c>
      <c r="BD382" s="164">
        <v>0.5</v>
      </c>
      <c r="BE382" s="164">
        <v>0.5</v>
      </c>
      <c r="BF382" s="164">
        <v>0.5</v>
      </c>
      <c r="BG382" s="164">
        <v>0.5</v>
      </c>
      <c r="BH382" s="164">
        <v>0.5</v>
      </c>
      <c r="BI382" s="164">
        <v>0.5</v>
      </c>
      <c r="BJ382" s="164">
        <v>0.5</v>
      </c>
      <c r="BK382" s="164">
        <v>0.5</v>
      </c>
      <c r="BL382" s="164">
        <v>0.5</v>
      </c>
      <c r="BM382" s="164">
        <v>0.5</v>
      </c>
      <c r="BN382" s="164">
        <v>0.5</v>
      </c>
      <c r="BO382" s="164">
        <v>0.5</v>
      </c>
      <c r="BP382" s="164">
        <v>0.5</v>
      </c>
      <c r="BQ382" s="164">
        <v>0.5</v>
      </c>
      <c r="BR382" s="164">
        <v>0.5</v>
      </c>
      <c r="BS382" s="164">
        <v>0.5</v>
      </c>
      <c r="BT382" s="164">
        <v>0.5</v>
      </c>
      <c r="BU382" s="164">
        <v>0.5</v>
      </c>
      <c r="BV382" s="164">
        <v>0.5</v>
      </c>
      <c r="BW382" s="164">
        <v>1.5</v>
      </c>
      <c r="BX382" s="164">
        <v>2.5</v>
      </c>
      <c r="BY382" s="164">
        <v>3.5</v>
      </c>
      <c r="BZ382" s="164">
        <v>4.5</v>
      </c>
      <c r="CA382" s="164">
        <v>5.5</v>
      </c>
      <c r="CB382" s="164">
        <v>6.5</v>
      </c>
      <c r="CC382" s="164">
        <v>7.5</v>
      </c>
      <c r="CD382" s="164">
        <v>8.5</v>
      </c>
      <c r="CE382" s="164">
        <v>9.5</v>
      </c>
      <c r="CF382" s="164">
        <v>10.5</v>
      </c>
      <c r="CG382" s="164">
        <v>11.5</v>
      </c>
      <c r="CH382" s="128"/>
      <c r="CI382" s="159">
        <f t="shared" si="962"/>
        <v>0</v>
      </c>
      <c r="CJ382" s="159">
        <f t="shared" si="963"/>
        <v>0</v>
      </c>
      <c r="CK382" s="159">
        <f t="shared" si="964"/>
        <v>0</v>
      </c>
      <c r="CL382" s="159">
        <f t="shared" si="965"/>
        <v>0</v>
      </c>
      <c r="CM382" s="159">
        <f t="shared" si="966"/>
        <v>0</v>
      </c>
      <c r="CN382" s="159">
        <f t="shared" si="967"/>
        <v>0</v>
      </c>
      <c r="CO382" s="159">
        <f t="shared" si="968"/>
        <v>0</v>
      </c>
      <c r="CP382" s="159">
        <f t="shared" si="969"/>
        <v>0</v>
      </c>
      <c r="CQ382" s="159">
        <f t="shared" si="970"/>
        <v>0</v>
      </c>
      <c r="CR382" s="159">
        <f t="shared" si="971"/>
        <v>0</v>
      </c>
      <c r="CS382" s="159">
        <f t="shared" si="972"/>
        <v>0</v>
      </c>
      <c r="CT382" s="159">
        <f t="shared" si="973"/>
        <v>0</v>
      </c>
      <c r="CU382" s="159">
        <f t="shared" si="974"/>
        <v>0</v>
      </c>
      <c r="CV382" s="159">
        <f t="shared" si="933"/>
        <v>0</v>
      </c>
      <c r="CW382" s="159">
        <f t="shared" si="934"/>
        <v>0</v>
      </c>
      <c r="CX382" s="159">
        <f t="shared" si="935"/>
        <v>0</v>
      </c>
      <c r="CY382" s="159">
        <f t="shared" si="936"/>
        <v>0</v>
      </c>
      <c r="CZ382" s="128"/>
      <c r="DA382" s="104">
        <v>0.5</v>
      </c>
      <c r="DB382" s="104">
        <v>0.5</v>
      </c>
      <c r="DC382" s="104">
        <v>0.5</v>
      </c>
      <c r="DD382" s="104">
        <v>0.5</v>
      </c>
      <c r="DE382" s="104">
        <v>0.5</v>
      </c>
      <c r="DF382" s="104">
        <v>0.5</v>
      </c>
      <c r="DG382" s="104">
        <v>1.5</v>
      </c>
      <c r="DH382" s="104">
        <v>2.5</v>
      </c>
      <c r="DI382" s="104">
        <v>3.5</v>
      </c>
      <c r="DJ382" s="104">
        <v>4.5</v>
      </c>
      <c r="DK382" s="104">
        <v>5.5</v>
      </c>
      <c r="DL382" s="104">
        <v>6.5</v>
      </c>
      <c r="DM382" s="104">
        <v>7.5</v>
      </c>
      <c r="DN382" s="104">
        <v>8.5</v>
      </c>
      <c r="DO382" s="104">
        <v>9.5</v>
      </c>
      <c r="DP382" s="104">
        <v>10.5</v>
      </c>
      <c r="DQ382" s="104">
        <v>11.5</v>
      </c>
    </row>
    <row r="383" spans="1:121">
      <c r="A383" s="123" t="s">
        <v>2633</v>
      </c>
      <c r="B383" s="128"/>
      <c r="C383" s="128"/>
      <c r="D383" s="112">
        <f t="shared" si="998"/>
        <v>10</v>
      </c>
      <c r="E383" s="128">
        <f t="shared" si="999"/>
        <v>10</v>
      </c>
      <c r="F383" s="128"/>
      <c r="G383" s="164">
        <v>10</v>
      </c>
      <c r="H383" s="164">
        <v>10</v>
      </c>
      <c r="I383" s="164">
        <v>10</v>
      </c>
      <c r="J383" s="164">
        <v>10</v>
      </c>
      <c r="K383" s="164">
        <v>10</v>
      </c>
      <c r="L383" s="164">
        <v>10</v>
      </c>
      <c r="M383" s="164">
        <v>10</v>
      </c>
      <c r="N383" s="164">
        <v>10</v>
      </c>
      <c r="O383" s="164">
        <v>10</v>
      </c>
      <c r="P383" s="164">
        <v>10</v>
      </c>
      <c r="Q383" s="164">
        <v>10</v>
      </c>
      <c r="R383" s="164">
        <v>10</v>
      </c>
      <c r="S383" s="164">
        <v>10</v>
      </c>
      <c r="T383" s="164">
        <v>10</v>
      </c>
      <c r="U383" s="164">
        <v>10</v>
      </c>
      <c r="V383" s="164">
        <v>10</v>
      </c>
      <c r="W383" s="164">
        <v>10</v>
      </c>
      <c r="X383" s="164">
        <v>10</v>
      </c>
      <c r="Y383" s="164">
        <v>10</v>
      </c>
      <c r="Z383" s="164">
        <v>10</v>
      </c>
      <c r="AA383" s="164">
        <v>10</v>
      </c>
      <c r="AB383" s="164">
        <v>10</v>
      </c>
      <c r="AC383" s="164">
        <v>10</v>
      </c>
      <c r="AD383" s="164">
        <v>10</v>
      </c>
      <c r="AE383" s="164">
        <v>10</v>
      </c>
      <c r="AF383" s="164">
        <v>10</v>
      </c>
      <c r="AG383" s="164">
        <v>10</v>
      </c>
      <c r="AH383" s="164">
        <v>10</v>
      </c>
      <c r="AI383" s="164">
        <v>10</v>
      </c>
      <c r="AJ383" s="164">
        <v>10</v>
      </c>
      <c r="AK383" s="164">
        <v>10</v>
      </c>
      <c r="AL383" s="164">
        <v>10</v>
      </c>
      <c r="AM383" s="164">
        <v>10</v>
      </c>
      <c r="AN383" s="164">
        <v>10</v>
      </c>
      <c r="AO383" s="164">
        <v>10</v>
      </c>
      <c r="AP383" s="164">
        <v>10</v>
      </c>
      <c r="AQ383" s="164">
        <v>10</v>
      </c>
      <c r="AR383" s="164">
        <v>10</v>
      </c>
      <c r="AS383" s="164">
        <v>10</v>
      </c>
      <c r="AT383" s="164">
        <v>10</v>
      </c>
      <c r="AU383" s="164">
        <v>10</v>
      </c>
      <c r="AV383" s="164">
        <v>10</v>
      </c>
      <c r="AW383" s="164">
        <v>10</v>
      </c>
      <c r="AX383" s="164">
        <v>10</v>
      </c>
      <c r="AY383" s="164">
        <v>10</v>
      </c>
      <c r="AZ383" s="164">
        <v>10</v>
      </c>
      <c r="BA383" s="164">
        <v>10</v>
      </c>
      <c r="BB383" s="164">
        <v>10</v>
      </c>
      <c r="BC383" s="164">
        <v>10</v>
      </c>
      <c r="BD383" s="164">
        <v>10</v>
      </c>
      <c r="BE383" s="164">
        <v>10</v>
      </c>
      <c r="BF383" s="164">
        <v>10</v>
      </c>
      <c r="BG383" s="164">
        <v>10</v>
      </c>
      <c r="BH383" s="164">
        <v>10</v>
      </c>
      <c r="BI383" s="164">
        <v>10</v>
      </c>
      <c r="BJ383" s="164">
        <v>10</v>
      </c>
      <c r="BK383" s="164">
        <v>10</v>
      </c>
      <c r="BL383" s="164">
        <v>10</v>
      </c>
      <c r="BM383" s="164">
        <v>10</v>
      </c>
      <c r="BN383" s="164">
        <v>10</v>
      </c>
      <c r="BO383" s="164">
        <v>10</v>
      </c>
      <c r="BP383" s="164">
        <v>10</v>
      </c>
      <c r="BQ383" s="164">
        <v>10</v>
      </c>
      <c r="BR383" s="164">
        <v>10</v>
      </c>
      <c r="BS383" s="164">
        <v>10</v>
      </c>
      <c r="BT383" s="164">
        <v>10</v>
      </c>
      <c r="BU383" s="164">
        <v>10</v>
      </c>
      <c r="BV383" s="164">
        <v>10</v>
      </c>
      <c r="BW383" s="164">
        <v>11</v>
      </c>
      <c r="BX383" s="164">
        <v>12</v>
      </c>
      <c r="BY383" s="164">
        <v>13</v>
      </c>
      <c r="BZ383" s="164">
        <v>14</v>
      </c>
      <c r="CA383" s="164">
        <v>15</v>
      </c>
      <c r="CB383" s="164">
        <v>16</v>
      </c>
      <c r="CC383" s="164">
        <v>17</v>
      </c>
      <c r="CD383" s="164">
        <v>18</v>
      </c>
      <c r="CE383" s="164">
        <v>19</v>
      </c>
      <c r="CF383" s="164">
        <v>20</v>
      </c>
      <c r="CG383" s="164">
        <v>21</v>
      </c>
      <c r="CH383" s="128"/>
      <c r="CI383" s="159">
        <f t="shared" si="962"/>
        <v>0</v>
      </c>
      <c r="CJ383" s="159">
        <f t="shared" si="963"/>
        <v>0</v>
      </c>
      <c r="CK383" s="159">
        <f t="shared" si="964"/>
        <v>0</v>
      </c>
      <c r="CL383" s="159">
        <f t="shared" si="965"/>
        <v>0</v>
      </c>
      <c r="CM383" s="159">
        <f t="shared" si="966"/>
        <v>0</v>
      </c>
      <c r="CN383" s="159">
        <f t="shared" si="967"/>
        <v>0</v>
      </c>
      <c r="CO383" s="159">
        <f t="shared" si="968"/>
        <v>0</v>
      </c>
      <c r="CP383" s="159">
        <f t="shared" si="969"/>
        <v>0</v>
      </c>
      <c r="CQ383" s="159">
        <f t="shared" si="970"/>
        <v>0</v>
      </c>
      <c r="CR383" s="159">
        <f t="shared" si="971"/>
        <v>0</v>
      </c>
      <c r="CS383" s="159">
        <f t="shared" si="972"/>
        <v>0</v>
      </c>
      <c r="CT383" s="159">
        <f t="shared" si="973"/>
        <v>0</v>
      </c>
      <c r="CU383" s="159">
        <f t="shared" si="974"/>
        <v>0</v>
      </c>
      <c r="CV383" s="159">
        <f t="shared" si="933"/>
        <v>0</v>
      </c>
      <c r="CW383" s="159">
        <f t="shared" si="934"/>
        <v>0</v>
      </c>
      <c r="CX383" s="159">
        <f t="shared" si="935"/>
        <v>0</v>
      </c>
      <c r="CY383" s="159">
        <f t="shared" si="936"/>
        <v>0</v>
      </c>
      <c r="CZ383" s="128"/>
      <c r="DA383" s="104">
        <v>10</v>
      </c>
      <c r="DB383" s="104">
        <v>10</v>
      </c>
      <c r="DC383" s="104">
        <v>10</v>
      </c>
      <c r="DD383" s="104">
        <v>10</v>
      </c>
      <c r="DE383" s="104">
        <v>10</v>
      </c>
      <c r="DF383" s="104">
        <v>10</v>
      </c>
      <c r="DG383" s="104">
        <v>11</v>
      </c>
      <c r="DH383" s="104">
        <v>12</v>
      </c>
      <c r="DI383" s="104">
        <v>13</v>
      </c>
      <c r="DJ383" s="104">
        <v>14</v>
      </c>
      <c r="DK383" s="104">
        <v>15</v>
      </c>
      <c r="DL383" s="104">
        <v>16</v>
      </c>
      <c r="DM383" s="104">
        <v>17</v>
      </c>
      <c r="DN383" s="104">
        <v>18</v>
      </c>
      <c r="DO383" s="104">
        <v>19</v>
      </c>
      <c r="DP383" s="104">
        <v>20</v>
      </c>
      <c r="DQ383" s="104">
        <v>21</v>
      </c>
    </row>
    <row r="384" spans="1:121">
      <c r="A384" s="123" t="s">
        <v>2046</v>
      </c>
      <c r="B384" s="128"/>
      <c r="C384" s="128"/>
      <c r="D384" s="112"/>
      <c r="E384" s="128"/>
      <c r="F384" s="164">
        <f t="shared" ref="F384:AK384" si="1012">+F83*100/F8</f>
        <v>17.117803620139373</v>
      </c>
      <c r="G384" s="164">
        <f t="shared" si="1012"/>
        <v>15.288356332485485</v>
      </c>
      <c r="H384" s="164">
        <f t="shared" si="1012"/>
        <v>15.866355435195793</v>
      </c>
      <c r="I384" s="164">
        <f t="shared" si="1012"/>
        <v>18.374516994488793</v>
      </c>
      <c r="J384" s="164">
        <f t="shared" si="1012"/>
        <v>18.9066086007468</v>
      </c>
      <c r="K384" s="164">
        <f t="shared" si="1012"/>
        <v>17.712758850214456</v>
      </c>
      <c r="L384" s="164">
        <f t="shared" si="1012"/>
        <v>19.378527666751324</v>
      </c>
      <c r="M384" s="164">
        <f t="shared" si="1012"/>
        <v>17.571150402387172</v>
      </c>
      <c r="N384" s="164">
        <f t="shared" si="1012"/>
        <v>16.788384107028424</v>
      </c>
      <c r="O384" s="164">
        <f t="shared" si="1012"/>
        <v>16.173519366405607</v>
      </c>
      <c r="P384" s="164">
        <f t="shared" si="1012"/>
        <v>18.343767539702576</v>
      </c>
      <c r="Q384" s="164">
        <f t="shared" si="1012"/>
        <v>16.950282985741673</v>
      </c>
      <c r="R384" s="164">
        <f t="shared" si="1012"/>
        <v>15.839448170967598</v>
      </c>
      <c r="S384" s="164">
        <f t="shared" si="1012"/>
        <v>13.710637964056138</v>
      </c>
      <c r="T384" s="164">
        <f t="shared" si="1012"/>
        <v>13.883234545412401</v>
      </c>
      <c r="U384" s="164">
        <f t="shared" si="1012"/>
        <v>13.875939966089492</v>
      </c>
      <c r="V384" s="164">
        <f t="shared" si="1012"/>
        <v>14.11138011790363</v>
      </c>
      <c r="W384" s="164">
        <f t="shared" si="1012"/>
        <v>14.666853158996195</v>
      </c>
      <c r="X384" s="164">
        <f t="shared" si="1012"/>
        <v>15.203438455126459</v>
      </c>
      <c r="Y384" s="164">
        <f t="shared" si="1012"/>
        <v>15.191031578245449</v>
      </c>
      <c r="Z384" s="164">
        <f t="shared" si="1012"/>
        <v>19.698227299257521</v>
      </c>
      <c r="AA384" s="164">
        <f t="shared" si="1012"/>
        <v>36.226027210281543</v>
      </c>
      <c r="AB384" s="164">
        <f t="shared" si="1012"/>
        <v>26.269846374956</v>
      </c>
      <c r="AC384" s="164">
        <f t="shared" si="1012"/>
        <v>21.805882903615554</v>
      </c>
      <c r="AD384" s="164">
        <f t="shared" si="1012"/>
        <v>23.424856658225401</v>
      </c>
      <c r="AE384" s="164">
        <f t="shared" si="1012"/>
        <v>20.619063844023199</v>
      </c>
      <c r="AF384" s="164">
        <f t="shared" si="1012"/>
        <v>22.184229317228958</v>
      </c>
      <c r="AG384" s="164">
        <f t="shared" si="1012"/>
        <v>22.243073658353161</v>
      </c>
      <c r="AH384" s="164">
        <f t="shared" si="1012"/>
        <v>19.409948657004517</v>
      </c>
      <c r="AI384" s="164">
        <f t="shared" si="1012"/>
        <v>17.464542815329111</v>
      </c>
      <c r="AJ384" s="164">
        <f t="shared" si="1012"/>
        <v>16.397279033370666</v>
      </c>
      <c r="AK384" s="164">
        <f t="shared" si="1012"/>
        <v>15.056017316915485</v>
      </c>
      <c r="AL384" s="164">
        <f t="shared" ref="AL384:BQ384" si="1013">+AL83*100/AL8</f>
        <v>12.572574946863124</v>
      </c>
      <c r="AM384" s="164">
        <f t="shared" si="1013"/>
        <v>8.5121448737619083</v>
      </c>
      <c r="AN384" s="164">
        <f t="shared" si="1013"/>
        <v>8.510347010274856</v>
      </c>
      <c r="AO384" s="164">
        <f t="shared" si="1013"/>
        <v>7.0037180729652206</v>
      </c>
      <c r="AP384" s="164">
        <f t="shared" si="1013"/>
        <v>7.2530400327913656</v>
      </c>
      <c r="AQ384" s="164">
        <f t="shared" si="1013"/>
        <v>6.1591978374850518</v>
      </c>
      <c r="AR384" s="164">
        <f t="shared" si="1013"/>
        <v>5.1569872250744817</v>
      </c>
      <c r="AS384" s="164">
        <f t="shared" si="1013"/>
        <v>2.5767317504653695</v>
      </c>
      <c r="AT384" s="164">
        <f t="shared" si="1013"/>
        <v>6.2644727482364395</v>
      </c>
      <c r="AU384" s="164">
        <f t="shared" si="1013"/>
        <v>13.923391524590114</v>
      </c>
      <c r="AV384" s="164">
        <f t="shared" si="1013"/>
        <v>20.477108132919007</v>
      </c>
      <c r="AW384" s="164">
        <f t="shared" si="1013"/>
        <v>14.990661949457682</v>
      </c>
      <c r="AX384" s="164">
        <f t="shared" si="1013"/>
        <v>20.452718265188373</v>
      </c>
      <c r="AY384" s="164">
        <f t="shared" si="1013"/>
        <v>18.703294339725169</v>
      </c>
      <c r="AZ384" s="164">
        <f t="shared" si="1013"/>
        <v>17.365149938246972</v>
      </c>
      <c r="BA384" s="164">
        <f t="shared" si="1013"/>
        <v>31.236051998913464</v>
      </c>
      <c r="BB384" s="164">
        <f t="shared" si="1013"/>
        <v>20.116216623786247</v>
      </c>
      <c r="BC384" s="164">
        <f t="shared" si="1013"/>
        <v>19.402827436550972</v>
      </c>
      <c r="BD384" s="164">
        <f t="shared" si="1013"/>
        <v>17.776009548438431</v>
      </c>
      <c r="BE384" s="164">
        <f t="shared" ca="1" si="1013"/>
        <v>17.313627491188832</v>
      </c>
      <c r="BF384" s="164">
        <f t="shared" si="1013"/>
        <v>20.674949630624582</v>
      </c>
      <c r="BG384" s="164">
        <f t="shared" si="1013"/>
        <v>22.678737931241919</v>
      </c>
      <c r="BH384" s="164">
        <f t="shared" si="1013"/>
        <v>20.761279576740311</v>
      </c>
      <c r="BI384" s="164">
        <f t="shared" si="1013"/>
        <v>21.265903463829581</v>
      </c>
      <c r="BJ384" s="164">
        <f t="shared" si="1013"/>
        <v>20.096954134938905</v>
      </c>
      <c r="BK384" s="164">
        <f t="shared" si="1013"/>
        <v>23.229900646353773</v>
      </c>
      <c r="BL384" s="164">
        <f t="shared" si="1013"/>
        <v>19.350477680098422</v>
      </c>
      <c r="BM384" s="164">
        <f t="shared" si="1013"/>
        <v>15.629892704873384</v>
      </c>
      <c r="BN384" s="164">
        <f t="shared" si="1013"/>
        <v>14.697652326311054</v>
      </c>
      <c r="BO384" s="164">
        <f t="shared" si="1013"/>
        <v>17.002024503705485</v>
      </c>
      <c r="BP384" s="164">
        <f t="shared" si="1013"/>
        <v>15.415328842375269</v>
      </c>
      <c r="BQ384" s="164">
        <f t="shared" si="1013"/>
        <v>13.540157166393007</v>
      </c>
      <c r="BR384" s="164">
        <f t="shared" ref="BR384:CC384" si="1014">+BR83*100/BR8</f>
        <v>14.303684326797551</v>
      </c>
      <c r="BS384" s="164">
        <f t="shared" si="1014"/>
        <v>18.186783962663839</v>
      </c>
      <c r="BT384" s="164">
        <f t="shared" ca="1" si="1014"/>
        <v>11.396604939271178</v>
      </c>
      <c r="BU384" s="164">
        <f t="shared" ca="1" si="1014"/>
        <v>21.263163642714289</v>
      </c>
      <c r="BV384" s="164">
        <f t="shared" ca="1" si="1014"/>
        <v>18.533398977641482</v>
      </c>
      <c r="BW384" s="164">
        <f t="shared" ca="1" si="1014"/>
        <v>16.543794546048723</v>
      </c>
      <c r="BX384" s="164">
        <f t="shared" ca="1" si="1014"/>
        <v>15.380669631906125</v>
      </c>
      <c r="BY384" s="164">
        <f t="shared" ca="1" si="1014"/>
        <v>14.436671379669013</v>
      </c>
      <c r="BZ384" s="164">
        <f t="shared" ca="1" si="1014"/>
        <v>13.4810165443518</v>
      </c>
      <c r="CA384" s="164">
        <f t="shared" ca="1" si="1014"/>
        <v>12.559507958864382</v>
      </c>
      <c r="CB384" s="164">
        <f t="shared" ca="1" si="1014"/>
        <v>11.67523171093649</v>
      </c>
      <c r="CC384" s="164">
        <f t="shared" ca="1" si="1014"/>
        <v>10.830397741428923</v>
      </c>
      <c r="CD384" s="164">
        <f ca="1">+CD83*100/CD8</f>
        <v>10.027799683266666</v>
      </c>
      <c r="CE384" s="164">
        <f ca="1">+CE83*100/CE8</f>
        <v>9.2714131143458864</v>
      </c>
      <c r="CF384" s="164">
        <f ca="1">+CF83*100/CF8</f>
        <v>8.5667253032025936</v>
      </c>
      <c r="CG384" s="164">
        <f ca="1">+CG83*100/CG8</f>
        <v>7.9206914124487078</v>
      </c>
      <c r="CH384" s="128"/>
      <c r="CI384" s="159">
        <f t="shared" ref="CI384:CR385" si="1015">BQ384-DA384</f>
        <v>0</v>
      </c>
      <c r="CJ384" s="159">
        <f t="shared" si="1015"/>
        <v>0</v>
      </c>
      <c r="CK384" s="159">
        <f t="shared" si="1015"/>
        <v>0</v>
      </c>
      <c r="CL384" s="159">
        <f t="shared" ca="1" si="1015"/>
        <v>0</v>
      </c>
      <c r="CM384" s="159">
        <f t="shared" ca="1" si="1015"/>
        <v>0.68221368629310319</v>
      </c>
      <c r="CN384" s="159">
        <f t="shared" ca="1" si="1015"/>
        <v>0.20818411778127199</v>
      </c>
      <c r="CO384" s="159">
        <f t="shared" ca="1" si="1015"/>
        <v>0.12660227004167268</v>
      </c>
      <c r="CP384" s="159">
        <f t="shared" ca="1" si="1015"/>
        <v>0.16217697292935185</v>
      </c>
      <c r="CQ384" s="159">
        <f t="shared" ca="1" si="1015"/>
        <v>0.22682129948605834</v>
      </c>
      <c r="CR384" s="159">
        <f t="shared" ca="1" si="1015"/>
        <v>0.54631343125542919</v>
      </c>
      <c r="CS384" s="159">
        <f t="shared" ca="1" si="972"/>
        <v>0.45006997708865981</v>
      </c>
      <c r="CT384" s="159">
        <f t="shared" ca="1" si="973"/>
        <v>0.38593846377400887</v>
      </c>
      <c r="CU384" s="159">
        <f t="shared" ca="1" si="974"/>
        <v>0.35278437572087817</v>
      </c>
      <c r="CV384" s="159">
        <f t="shared" ca="1" si="933"/>
        <v>0.33390127672097059</v>
      </c>
      <c r="CW384" s="159">
        <f t="shared" ca="1" si="934"/>
        <v>0.32012423362592912</v>
      </c>
      <c r="CX384" s="159">
        <f t="shared" ca="1" si="935"/>
        <v>0.30747848179366422</v>
      </c>
      <c r="CY384" s="159">
        <f t="shared" ca="1" si="936"/>
        <v>0.29366069692104713</v>
      </c>
      <c r="CZ384" s="128"/>
      <c r="DA384" s="104">
        <v>13.540157166393007</v>
      </c>
      <c r="DB384" s="104">
        <v>14.303684326797551</v>
      </c>
      <c r="DC384" s="104">
        <v>18.186783962663839</v>
      </c>
      <c r="DD384" s="104">
        <v>11.396604939271178</v>
      </c>
      <c r="DE384" s="104">
        <v>20.580949956421186</v>
      </c>
      <c r="DF384" s="104">
        <v>18.32521485986021</v>
      </c>
      <c r="DG384" s="104">
        <v>16.41719227600705</v>
      </c>
      <c r="DH384" s="104">
        <v>15.218492658976773</v>
      </c>
      <c r="DI384" s="104">
        <v>14.209850080182955</v>
      </c>
      <c r="DJ384" s="104">
        <v>12.93470311309637</v>
      </c>
      <c r="DK384" s="104">
        <v>12.109437981775722</v>
      </c>
      <c r="DL384" s="104">
        <v>11.289293247162481</v>
      </c>
      <c r="DM384" s="104">
        <v>10.477613365708045</v>
      </c>
      <c r="DN384" s="104">
        <v>9.6938984065456957</v>
      </c>
      <c r="DO384" s="104">
        <v>8.9512888807199573</v>
      </c>
      <c r="DP384" s="104">
        <v>8.2592468214089294</v>
      </c>
      <c r="DQ384" s="104">
        <v>7.6270307155276607</v>
      </c>
    </row>
    <row r="385" spans="1:121">
      <c r="A385" s="123" t="s">
        <v>2630</v>
      </c>
      <c r="B385" s="128"/>
      <c r="C385" s="128"/>
      <c r="D385" s="112"/>
      <c r="E385" s="123" t="s">
        <v>1344</v>
      </c>
      <c r="F385" s="128">
        <f t="shared" ref="F385:BP385" si="1016">+F209</f>
        <v>6.8000000000000007</v>
      </c>
      <c r="G385" s="128">
        <f t="shared" si="1016"/>
        <v>5</v>
      </c>
      <c r="H385" s="128">
        <f t="shared" si="1016"/>
        <v>2.2332546710968018</v>
      </c>
      <c r="I385" s="128">
        <f t="shared" si="1016"/>
        <v>1.8155162334442139</v>
      </c>
      <c r="J385" s="128">
        <f t="shared" si="1016"/>
        <v>3.1251304149627694</v>
      </c>
      <c r="K385" s="128">
        <f t="shared" si="1016"/>
        <v>2.8608658313751216</v>
      </c>
      <c r="L385" s="128">
        <f t="shared" si="1016"/>
        <v>2.0745680332183838</v>
      </c>
      <c r="M385" s="128">
        <f t="shared" si="1016"/>
        <v>3.02626633644104</v>
      </c>
      <c r="N385" s="128">
        <f t="shared" si="1016"/>
        <v>3.9044175148010258</v>
      </c>
      <c r="O385" s="128">
        <f t="shared" si="1016"/>
        <v>4.7262697219848633</v>
      </c>
      <c r="P385" s="128">
        <f t="shared" si="1016"/>
        <v>5.5056672096252441</v>
      </c>
      <c r="Q385" s="128">
        <f t="shared" si="1016"/>
        <v>4.5107326507568368</v>
      </c>
      <c r="R385" s="128">
        <f t="shared" si="1016"/>
        <v>4.2866334915161142</v>
      </c>
      <c r="S385" s="128">
        <f t="shared" si="1016"/>
        <v>4.1740665435791025</v>
      </c>
      <c r="T385" s="128">
        <f t="shared" si="1016"/>
        <v>4.2769827842712402</v>
      </c>
      <c r="U385" s="128">
        <f t="shared" si="1016"/>
        <v>5.0960192680358878</v>
      </c>
      <c r="V385" s="128">
        <f t="shared" si="1016"/>
        <v>4.443096160888671</v>
      </c>
      <c r="W385" s="128">
        <f t="shared" si="1016"/>
        <v>6.0136995315551767</v>
      </c>
      <c r="X385" s="128">
        <f t="shared" si="1016"/>
        <v>7.3302769660949698</v>
      </c>
      <c r="Y385" s="128">
        <f t="shared" si="1016"/>
        <v>9.13018798828125</v>
      </c>
      <c r="Z385" s="128">
        <f t="shared" si="1016"/>
        <v>9.9718894958496076</v>
      </c>
      <c r="AA385" s="128">
        <f t="shared" si="1016"/>
        <v>7.9798069000244141</v>
      </c>
      <c r="AB385" s="128">
        <f t="shared" si="1016"/>
        <v>6.6932039260864276</v>
      </c>
      <c r="AC385" s="128">
        <f t="shared" si="1016"/>
        <v>5.582746982574462</v>
      </c>
      <c r="AD385" s="128">
        <f t="shared" si="1016"/>
        <v>4.6354036331176758</v>
      </c>
      <c r="AE385" s="128">
        <f t="shared" si="1016"/>
        <v>6.7064113616943368</v>
      </c>
      <c r="AF385" s="128">
        <f t="shared" si="1016"/>
        <v>9.093388557434082</v>
      </c>
      <c r="AG385" s="128">
        <f t="shared" si="1016"/>
        <v>9.2074041366577148</v>
      </c>
      <c r="AH385" s="128">
        <f t="shared" si="1016"/>
        <v>9.3345565795898455</v>
      </c>
      <c r="AI385" s="128">
        <f t="shared" si="1016"/>
        <v>11.461581230163574</v>
      </c>
      <c r="AJ385" s="128">
        <f t="shared" si="1016"/>
        <v>13.025559425354006</v>
      </c>
      <c r="AK385" s="128">
        <f t="shared" si="1016"/>
        <v>13.79070472717285</v>
      </c>
      <c r="AL385" s="128">
        <f t="shared" si="1016"/>
        <v>15.991020202636719</v>
      </c>
      <c r="AM385" s="128">
        <f t="shared" si="1016"/>
        <v>17.700000762939457</v>
      </c>
      <c r="AN385" s="128">
        <f t="shared" si="1016"/>
        <v>19.899999618530277</v>
      </c>
      <c r="AO385" s="128">
        <f t="shared" si="1016"/>
        <v>17.200000762939453</v>
      </c>
      <c r="AP385" s="128">
        <f t="shared" si="1016"/>
        <v>15.5</v>
      </c>
      <c r="AQ385" s="128">
        <f t="shared" si="1016"/>
        <v>15.5</v>
      </c>
      <c r="AR385" s="128">
        <f t="shared" si="1016"/>
        <v>18.084440231323242</v>
      </c>
      <c r="AS385" s="128">
        <f t="shared" si="1016"/>
        <v>15.000000000000002</v>
      </c>
      <c r="AT385" s="128">
        <f t="shared" si="1016"/>
        <v>12.000000000000002</v>
      </c>
      <c r="AU385" s="128">
        <f t="shared" si="1016"/>
        <v>8</v>
      </c>
      <c r="AV385" s="128">
        <f t="shared" si="1016"/>
        <v>10.999999999999996</v>
      </c>
      <c r="AW385" s="128">
        <f t="shared" si="1016"/>
        <v>14.386470216066497</v>
      </c>
      <c r="AX385" s="128">
        <f t="shared" si="1016"/>
        <v>14.77199600587781</v>
      </c>
      <c r="AY385" s="128">
        <f t="shared" si="1016"/>
        <v>16.708681212168706</v>
      </c>
      <c r="AZ385" s="128">
        <f t="shared" si="1016"/>
        <v>17.094758277287227</v>
      </c>
      <c r="BA385" s="128">
        <f t="shared" si="1016"/>
        <v>17.985667263125389</v>
      </c>
      <c r="BB385" s="128">
        <f t="shared" si="1016"/>
        <v>17.959614526298466</v>
      </c>
      <c r="BC385" s="128">
        <f t="shared" si="1016"/>
        <v>17.332976628931945</v>
      </c>
      <c r="BD385" s="128">
        <f ca="1">+BD209</f>
        <v>12.947168423345385</v>
      </c>
      <c r="BE385" s="128">
        <f ca="1">+BE209</f>
        <v>10.652110818397876</v>
      </c>
      <c r="BF385" s="128">
        <f t="shared" si="1016"/>
        <v>20.707305492725961</v>
      </c>
      <c r="BG385" s="128">
        <f t="shared" si="1016"/>
        <v>18.642628764269205</v>
      </c>
      <c r="BH385" s="128">
        <f t="shared" si="1016"/>
        <v>16.607467634409808</v>
      </c>
      <c r="BI385" s="128">
        <f t="shared" si="1016"/>
        <v>16.183315804747537</v>
      </c>
      <c r="BJ385" s="128">
        <f t="shared" si="1016"/>
        <v>12.912765962638694</v>
      </c>
      <c r="BK385" s="128">
        <f t="shared" si="1016"/>
        <v>12.8324334000708</v>
      </c>
      <c r="BL385" s="128">
        <f t="shared" si="1016"/>
        <v>13.017639594211024</v>
      </c>
      <c r="BM385" s="128">
        <f t="shared" si="1016"/>
        <v>11.042110612311816</v>
      </c>
      <c r="BN385" s="128">
        <f t="shared" si="1016"/>
        <v>8.8174677380310644</v>
      </c>
      <c r="BO385" s="128">
        <f t="shared" si="1016"/>
        <v>10.741885927144814</v>
      </c>
      <c r="BP385" s="128">
        <f t="shared" si="1016"/>
        <v>14.403323042487514</v>
      </c>
      <c r="BQ385" s="128">
        <f t="shared" ref="BQ385:CB385" si="1017">+BQ209</f>
        <v>11.742319544699264</v>
      </c>
      <c r="BR385" s="128">
        <f t="shared" si="1017"/>
        <v>14.382631735692335</v>
      </c>
      <c r="BS385" s="128">
        <f t="shared" si="1017"/>
        <v>14.576463205624549</v>
      </c>
      <c r="BT385" s="128">
        <f t="shared" ca="1" si="1017"/>
        <v>16.478706271796501</v>
      </c>
      <c r="BU385" s="128">
        <f t="shared" ca="1" si="1017"/>
        <v>17.685887346693484</v>
      </c>
      <c r="BV385" s="128">
        <f t="shared" ca="1" si="1017"/>
        <v>18.090855818214735</v>
      </c>
      <c r="BW385" s="128">
        <f t="shared" ca="1" si="1017"/>
        <v>19.334590040777666</v>
      </c>
      <c r="BX385" s="128">
        <f t="shared" ca="1" si="1017"/>
        <v>19.070509721043948</v>
      </c>
      <c r="BY385" s="128">
        <f t="shared" ca="1" si="1017"/>
        <v>18.773927595596884</v>
      </c>
      <c r="BZ385" s="128">
        <f t="shared" ca="1" si="1017"/>
        <v>18.451648757504387</v>
      </c>
      <c r="CA385" s="128">
        <f t="shared" ca="1" si="1017"/>
        <v>18.066209342942305</v>
      </c>
      <c r="CB385" s="128">
        <f t="shared" ca="1" si="1017"/>
        <v>17.618124876782542</v>
      </c>
      <c r="CC385" s="128">
        <f ca="1">+CC209</f>
        <v>17.098330278837601</v>
      </c>
      <c r="CD385" s="128">
        <f ca="1">+CD209</f>
        <v>16.495414535127317</v>
      </c>
      <c r="CE385" s="128">
        <f ca="1">+CE209</f>
        <v>15.796704208761122</v>
      </c>
      <c r="CF385" s="128">
        <f ca="1">+CF209</f>
        <v>14.989284057863451</v>
      </c>
      <c r="CG385" s="128">
        <f ca="1">+CG209</f>
        <v>14.062119076468887</v>
      </c>
      <c r="CH385" s="128"/>
      <c r="CI385" s="159">
        <f t="shared" si="1015"/>
        <v>0</v>
      </c>
      <c r="CJ385" s="159">
        <f t="shared" si="1015"/>
        <v>0</v>
      </c>
      <c r="CK385" s="159">
        <f t="shared" si="1015"/>
        <v>0</v>
      </c>
      <c r="CL385" s="159">
        <f t="shared" ca="1" si="1015"/>
        <v>0</v>
      </c>
      <c r="CM385" s="159">
        <f t="shared" ca="1" si="1015"/>
        <v>0.26764136682115591</v>
      </c>
      <c r="CN385" s="159">
        <f t="shared" ca="1" si="1015"/>
        <v>0.63238517756487411</v>
      </c>
      <c r="CO385" s="159">
        <f t="shared" ca="1" si="1015"/>
        <v>0.66669837707098267</v>
      </c>
      <c r="CP385" s="159">
        <f t="shared" ca="1" si="1015"/>
        <v>0.65663882418310138</v>
      </c>
      <c r="CQ385" s="159">
        <f t="shared" ca="1" si="1015"/>
        <v>0.66623881858830103</v>
      </c>
      <c r="CR385" s="159">
        <f t="shared" ca="1" si="1015"/>
        <v>0.4113091418785686</v>
      </c>
      <c r="CS385" s="159">
        <f t="shared" ca="1" si="972"/>
        <v>0.15417009645976165</v>
      </c>
      <c r="CT385" s="159">
        <f t="shared" ca="1" si="973"/>
        <v>0.17950134423968223</v>
      </c>
      <c r="CU385" s="159">
        <f t="shared" ca="1" si="974"/>
        <v>0.22132880827674484</v>
      </c>
      <c r="CV385" s="159">
        <f t="shared" ca="1" si="933"/>
        <v>0.26473257760369862</v>
      </c>
      <c r="CW385" s="159">
        <f t="shared" ca="1" si="934"/>
        <v>0.30632308360346272</v>
      </c>
      <c r="CX385" s="159">
        <f t="shared" ca="1" si="935"/>
        <v>0.34130346692334257</v>
      </c>
      <c r="CY385" s="159">
        <f t="shared" ca="1" si="936"/>
        <v>0.36463761911615578</v>
      </c>
      <c r="CZ385" s="128"/>
      <c r="DA385" s="104">
        <v>11.742319544699264</v>
      </c>
      <c r="DB385" s="104">
        <v>14.382631735692335</v>
      </c>
      <c r="DC385" s="104">
        <v>14.576463205624549</v>
      </c>
      <c r="DD385" s="104">
        <v>16.478706271796501</v>
      </c>
      <c r="DE385" s="104">
        <v>17.418245979872328</v>
      </c>
      <c r="DF385" s="104">
        <v>17.45847064064986</v>
      </c>
      <c r="DG385" s="104">
        <v>18.667891663706683</v>
      </c>
      <c r="DH385" s="104">
        <v>18.413870896860846</v>
      </c>
      <c r="DI385" s="104">
        <v>18.107688777008583</v>
      </c>
      <c r="DJ385" s="104">
        <v>18.040339615625818</v>
      </c>
      <c r="DK385" s="104">
        <v>17.912039246482543</v>
      </c>
      <c r="DL385" s="104">
        <v>17.438623532542859</v>
      </c>
      <c r="DM385" s="104">
        <v>16.877001470560856</v>
      </c>
      <c r="DN385" s="104">
        <v>16.230681957523618</v>
      </c>
      <c r="DO385" s="104">
        <v>15.49038112515766</v>
      </c>
      <c r="DP385" s="104">
        <v>14.647980590940108</v>
      </c>
      <c r="DQ385" s="104">
        <v>13.697481457352731</v>
      </c>
    </row>
    <row r="386" spans="1:121">
      <c r="A386" s="128"/>
      <c r="B386" s="128"/>
      <c r="C386" s="128"/>
      <c r="D386" s="112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51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8"/>
      <c r="CA386" s="128"/>
      <c r="CB386" s="128"/>
      <c r="CC386" s="128"/>
      <c r="CD386" s="128"/>
      <c r="CE386" s="128"/>
      <c r="CF386" s="128"/>
      <c r="CG386" s="128"/>
      <c r="CH386" s="128"/>
      <c r="CI386" s="159">
        <f t="shared" si="962"/>
        <v>0</v>
      </c>
      <c r="CJ386" s="159">
        <f t="shared" si="963"/>
        <v>0</v>
      </c>
      <c r="CK386" s="159">
        <f t="shared" si="964"/>
        <v>0</v>
      </c>
      <c r="CL386" s="159">
        <f t="shared" si="965"/>
        <v>0</v>
      </c>
      <c r="CM386" s="159">
        <f t="shared" si="966"/>
        <v>0</v>
      </c>
      <c r="CN386" s="159">
        <f t="shared" si="967"/>
        <v>0</v>
      </c>
      <c r="CO386" s="159">
        <f t="shared" si="968"/>
        <v>0</v>
      </c>
      <c r="CP386" s="159">
        <f t="shared" si="969"/>
        <v>0</v>
      </c>
      <c r="CQ386" s="159">
        <f t="shared" si="970"/>
        <v>0</v>
      </c>
      <c r="CR386" s="159">
        <f t="shared" si="971"/>
        <v>0</v>
      </c>
      <c r="CS386" s="159">
        <f t="shared" si="972"/>
        <v>0</v>
      </c>
      <c r="CT386" s="159">
        <f t="shared" si="973"/>
        <v>0</v>
      </c>
      <c r="CU386" s="159">
        <f t="shared" si="974"/>
        <v>0</v>
      </c>
      <c r="CV386" s="159">
        <f t="shared" si="933"/>
        <v>0</v>
      </c>
      <c r="CW386" s="159">
        <f t="shared" si="934"/>
        <v>0</v>
      </c>
      <c r="CX386" s="159">
        <f t="shared" si="935"/>
        <v>0</v>
      </c>
      <c r="CY386" s="159">
        <f t="shared" si="936"/>
        <v>0</v>
      </c>
      <c r="CZ386" s="128"/>
    </row>
    <row r="387" spans="1:121" s="605" customFormat="1">
      <c r="A387" s="602" t="s">
        <v>2041</v>
      </c>
      <c r="B387" s="603"/>
      <c r="C387" s="604"/>
      <c r="D387" s="651"/>
      <c r="BM387" s="606"/>
      <c r="CI387" s="159">
        <f t="shared" si="962"/>
        <v>0</v>
      </c>
      <c r="CJ387" s="159">
        <f t="shared" si="963"/>
        <v>0</v>
      </c>
      <c r="CK387" s="159">
        <f t="shared" si="964"/>
        <v>0</v>
      </c>
      <c r="CL387" s="159">
        <f t="shared" si="965"/>
        <v>0</v>
      </c>
      <c r="CM387" s="159">
        <f t="shared" si="966"/>
        <v>0</v>
      </c>
      <c r="CN387" s="159">
        <f t="shared" si="967"/>
        <v>0</v>
      </c>
      <c r="CO387" s="159">
        <f t="shared" si="968"/>
        <v>0</v>
      </c>
      <c r="CP387" s="159">
        <f t="shared" si="969"/>
        <v>0</v>
      </c>
      <c r="CQ387" s="159">
        <f t="shared" si="970"/>
        <v>0</v>
      </c>
      <c r="CR387" s="159">
        <f t="shared" si="971"/>
        <v>0</v>
      </c>
      <c r="CS387" s="159">
        <f t="shared" si="972"/>
        <v>0</v>
      </c>
      <c r="CT387" s="159">
        <f t="shared" si="973"/>
        <v>0</v>
      </c>
      <c r="CU387" s="159">
        <f t="shared" si="974"/>
        <v>0</v>
      </c>
      <c r="CV387" s="159">
        <f t="shared" si="933"/>
        <v>0</v>
      </c>
      <c r="CW387" s="159">
        <f t="shared" si="934"/>
        <v>0</v>
      </c>
      <c r="CX387" s="159">
        <f t="shared" si="935"/>
        <v>0</v>
      </c>
      <c r="CY387" s="159">
        <f t="shared" si="936"/>
        <v>0</v>
      </c>
    </row>
    <row r="388" spans="1:121">
      <c r="A388" s="189" t="s">
        <v>3203</v>
      </c>
      <c r="B388" s="149"/>
      <c r="C388" s="150"/>
      <c r="D388" s="102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51"/>
      <c r="BN388" s="128"/>
      <c r="BO388" s="128"/>
      <c r="BP388" s="128"/>
      <c r="BQ388" s="128"/>
      <c r="BR388" s="128"/>
      <c r="BS388" s="128"/>
      <c r="BT388" s="128"/>
      <c r="BU388" s="128"/>
      <c r="BV388" s="128"/>
      <c r="BW388" s="128"/>
      <c r="BX388" s="128"/>
      <c r="BY388" s="128"/>
      <c r="BZ388" s="128"/>
      <c r="CA388" s="128"/>
      <c r="CB388" s="128"/>
      <c r="CC388" s="128"/>
      <c r="CD388" s="128"/>
      <c r="CE388" s="128"/>
      <c r="CF388" s="128"/>
      <c r="CG388" s="128"/>
      <c r="CH388" s="128"/>
      <c r="CI388" s="159">
        <f t="shared" si="962"/>
        <v>0</v>
      </c>
      <c r="CJ388" s="159">
        <f t="shared" si="963"/>
        <v>0</v>
      </c>
      <c r="CK388" s="159">
        <f t="shared" si="964"/>
        <v>0</v>
      </c>
      <c r="CL388" s="159">
        <f t="shared" si="965"/>
        <v>0</v>
      </c>
      <c r="CM388" s="159">
        <f t="shared" si="966"/>
        <v>0</v>
      </c>
      <c r="CN388" s="159">
        <f t="shared" si="967"/>
        <v>0</v>
      </c>
      <c r="CO388" s="159">
        <f t="shared" si="968"/>
        <v>0</v>
      </c>
      <c r="CP388" s="159">
        <f t="shared" si="969"/>
        <v>0</v>
      </c>
      <c r="CQ388" s="159">
        <f t="shared" si="970"/>
        <v>0</v>
      </c>
      <c r="CR388" s="159">
        <f t="shared" si="971"/>
        <v>0</v>
      </c>
      <c r="CS388" s="159">
        <f t="shared" si="972"/>
        <v>0</v>
      </c>
      <c r="CT388" s="159">
        <f t="shared" si="973"/>
        <v>0</v>
      </c>
      <c r="CU388" s="159">
        <f t="shared" si="974"/>
        <v>0</v>
      </c>
      <c r="CV388" s="159">
        <f t="shared" si="933"/>
        <v>0</v>
      </c>
      <c r="CW388" s="159">
        <f t="shared" si="934"/>
        <v>0</v>
      </c>
      <c r="CX388" s="159">
        <f t="shared" si="935"/>
        <v>0</v>
      </c>
      <c r="CY388" s="159">
        <f t="shared" si="936"/>
        <v>0</v>
      </c>
      <c r="CZ388" s="128"/>
    </row>
    <row r="389" spans="1:121">
      <c r="A389" s="182" t="s">
        <v>1895</v>
      </c>
      <c r="B389" s="182"/>
      <c r="C389" s="182"/>
      <c r="D389" s="646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  <c r="AV389" s="128"/>
      <c r="AW389" s="128"/>
      <c r="AX389" s="128"/>
      <c r="AY389" s="128"/>
      <c r="AZ389" s="128"/>
      <c r="BA389" s="128"/>
      <c r="BB389" s="128"/>
      <c r="BC389" s="128">
        <f t="shared" ref="BC389:BZ389" si="1018">+BC122/BC$196</f>
        <v>46.010874735741702</v>
      </c>
      <c r="BD389" s="128">
        <f t="shared" si="1018"/>
        <v>184.46319864680291</v>
      </c>
      <c r="BE389" s="128">
        <f t="shared" si="1018"/>
        <v>304.30751495714355</v>
      </c>
      <c r="BF389" s="128">
        <f t="shared" si="1018"/>
        <v>-35.83202898157451</v>
      </c>
      <c r="BG389" s="128">
        <f t="shared" si="1018"/>
        <v>-33.790645210894532</v>
      </c>
      <c r="BH389" s="128">
        <f t="shared" si="1018"/>
        <v>-30.829720586506319</v>
      </c>
      <c r="BI389" s="128">
        <f t="shared" si="1018"/>
        <v>9.8709171166768712</v>
      </c>
      <c r="BJ389" s="128">
        <f t="shared" si="1018"/>
        <v>-45.326689461163603</v>
      </c>
      <c r="BK389" s="128">
        <f t="shared" si="1018"/>
        <v>-45.326689461163603</v>
      </c>
      <c r="BL389" s="128">
        <f t="shared" si="1018"/>
        <v>-45.326689461163603</v>
      </c>
      <c r="BM389" s="128">
        <f t="shared" si="1018"/>
        <v>-45.326689461163603</v>
      </c>
      <c r="BN389" s="128">
        <f t="shared" si="1018"/>
        <v>-45.326689461163603</v>
      </c>
      <c r="BO389" s="128">
        <f t="shared" si="1018"/>
        <v>-45.326689461163603</v>
      </c>
      <c r="BP389" s="128">
        <f t="shared" si="1018"/>
        <v>-19.273082692307771</v>
      </c>
      <c r="BQ389" s="128">
        <f t="shared" si="1018"/>
        <v>-16.68109687083895</v>
      </c>
      <c r="BR389" s="128">
        <f t="shared" si="1018"/>
        <v>-16.636791168658764</v>
      </c>
      <c r="BS389" s="128">
        <f t="shared" si="1018"/>
        <v>-15.277443597561039</v>
      </c>
      <c r="BT389" s="128">
        <f t="shared" si="1018"/>
        <v>-9.5629799618321005</v>
      </c>
      <c r="BU389" s="128">
        <f t="shared" si="1018"/>
        <v>-5.9768624761450617</v>
      </c>
      <c r="BV389" s="128">
        <f t="shared" si="1018"/>
        <v>-5.9768624761450617</v>
      </c>
      <c r="BW389" s="128">
        <f t="shared" si="1018"/>
        <v>-5.9768624761450617</v>
      </c>
      <c r="BX389" s="128">
        <f t="shared" si="1018"/>
        <v>-5.9768624761450617</v>
      </c>
      <c r="BY389" s="128">
        <f t="shared" si="1018"/>
        <v>-5.9768624761450617</v>
      </c>
      <c r="BZ389" s="128">
        <f t="shared" si="1018"/>
        <v>-5.9768624761450617</v>
      </c>
      <c r="CA389" s="128">
        <f t="shared" ref="CA389:CG390" si="1019">+CA122/CA$196</f>
        <v>-5.9768624761450617</v>
      </c>
      <c r="CB389" s="128">
        <f t="shared" si="1019"/>
        <v>-5.9768624761450617</v>
      </c>
      <c r="CC389" s="128">
        <f t="shared" si="1019"/>
        <v>-5.9768624761450617</v>
      </c>
      <c r="CD389" s="128">
        <f t="shared" si="1019"/>
        <v>-5.9768624761450617</v>
      </c>
      <c r="CE389" s="128">
        <f t="shared" si="1019"/>
        <v>-5.9768624761450617</v>
      </c>
      <c r="CF389" s="128">
        <f t="shared" si="1019"/>
        <v>-5.9768624761450617</v>
      </c>
      <c r="CG389" s="128">
        <f t="shared" si="1019"/>
        <v>-5.9768624761450617</v>
      </c>
      <c r="CH389" s="128"/>
      <c r="CI389" s="159">
        <f t="shared" si="962"/>
        <v>0</v>
      </c>
      <c r="CJ389" s="159">
        <f t="shared" si="963"/>
        <v>0</v>
      </c>
      <c r="CK389" s="159">
        <f t="shared" si="964"/>
        <v>0</v>
      </c>
      <c r="CL389" s="159">
        <f t="shared" si="965"/>
        <v>0</v>
      </c>
      <c r="CM389" s="159">
        <f t="shared" si="966"/>
        <v>0.85383749659215269</v>
      </c>
      <c r="CN389" s="159">
        <f t="shared" si="967"/>
        <v>0.85383749659215269</v>
      </c>
      <c r="CO389" s="159">
        <f t="shared" si="968"/>
        <v>0.85383749659215269</v>
      </c>
      <c r="CP389" s="159">
        <f t="shared" si="969"/>
        <v>0.85383749659215269</v>
      </c>
      <c r="CQ389" s="159">
        <f t="shared" si="970"/>
        <v>0.85383749659215269</v>
      </c>
      <c r="CR389" s="159">
        <f t="shared" si="971"/>
        <v>0.85383749659215269</v>
      </c>
      <c r="CS389" s="159">
        <f t="shared" si="972"/>
        <v>0.85383749659215269</v>
      </c>
      <c r="CT389" s="159">
        <f t="shared" si="973"/>
        <v>0.85383749659215269</v>
      </c>
      <c r="CU389" s="159">
        <f t="shared" si="974"/>
        <v>0.85383749659215269</v>
      </c>
      <c r="CV389" s="159">
        <f t="shared" si="933"/>
        <v>0.85383749659215269</v>
      </c>
      <c r="CW389" s="159">
        <f t="shared" si="934"/>
        <v>0.85383749659215269</v>
      </c>
      <c r="CX389" s="159">
        <f t="shared" si="935"/>
        <v>0.85383749659215269</v>
      </c>
      <c r="CY389" s="159">
        <f t="shared" si="936"/>
        <v>0.85383749659215269</v>
      </c>
      <c r="CZ389" s="128"/>
      <c r="DA389" s="104">
        <v>-16.68109687083895</v>
      </c>
      <c r="DB389" s="104">
        <v>-16.636791168658764</v>
      </c>
      <c r="DC389" s="104">
        <v>-15.277443597561039</v>
      </c>
      <c r="DD389" s="104">
        <v>-9.5629799618321005</v>
      </c>
      <c r="DE389" s="104">
        <v>-6.8306999727372144</v>
      </c>
      <c r="DF389" s="104">
        <v>-6.8306999727372144</v>
      </c>
      <c r="DG389" s="104">
        <v>-6.8306999727372144</v>
      </c>
      <c r="DH389" s="104">
        <v>-6.8306999727372144</v>
      </c>
      <c r="DI389" s="104">
        <v>-6.8306999727372144</v>
      </c>
      <c r="DJ389" s="104">
        <v>-6.8306999727372144</v>
      </c>
      <c r="DK389" s="104">
        <v>-6.8306999727372144</v>
      </c>
      <c r="DL389" s="104">
        <v>-6.8306999727372144</v>
      </c>
      <c r="DM389" s="104">
        <v>-6.8306999727372144</v>
      </c>
      <c r="DN389" s="104">
        <v>-6.8306999727372144</v>
      </c>
      <c r="DO389" s="104">
        <v>-6.8306999727372144</v>
      </c>
      <c r="DP389" s="104">
        <v>-6.8306999727372144</v>
      </c>
      <c r="DQ389" s="104">
        <v>-6.8306999727372144</v>
      </c>
    </row>
    <row r="390" spans="1:121">
      <c r="A390" s="182" t="s">
        <v>1896</v>
      </c>
      <c r="B390" s="182"/>
      <c r="C390" s="182"/>
      <c r="D390" s="646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>
        <f t="shared" ref="BC390:BE391" ca="1" si="1020">+BC123/BC$196</f>
        <v>96.740456951211101</v>
      </c>
      <c r="BD390" s="128">
        <f t="shared" ca="1" si="1020"/>
        <v>126.57941521912853</v>
      </c>
      <c r="BE390" s="128">
        <f t="shared" ca="1" si="1020"/>
        <v>428.17613806626645</v>
      </c>
      <c r="BF390" s="128">
        <f t="shared" ref="BF390:BZ390" si="1021">+BF123/BF$196</f>
        <v>12.328379148462547</v>
      </c>
      <c r="BG390" s="128">
        <f t="shared" si="1021"/>
        <v>15.462510289182715</v>
      </c>
      <c r="BH390" s="128">
        <f t="shared" si="1021"/>
        <v>19.790628024567074</v>
      </c>
      <c r="BI390" s="128">
        <f t="shared" si="1021"/>
        <v>9.7073078071149297</v>
      </c>
      <c r="BJ390" s="128">
        <f t="shared" si="1021"/>
        <v>9.8928025471943286</v>
      </c>
      <c r="BK390" s="128">
        <f t="shared" si="1021"/>
        <v>9.8928025471943286</v>
      </c>
      <c r="BL390" s="128">
        <f t="shared" si="1021"/>
        <v>9.8928025471943286</v>
      </c>
      <c r="BM390" s="128">
        <f t="shared" si="1021"/>
        <v>9.8928025471943286</v>
      </c>
      <c r="BN390" s="128">
        <f t="shared" si="1021"/>
        <v>9.8928025471943286</v>
      </c>
      <c r="BO390" s="128">
        <f t="shared" si="1021"/>
        <v>9.8928025471943286</v>
      </c>
      <c r="BP390" s="128">
        <f t="shared" si="1021"/>
        <v>4.2064576923075947</v>
      </c>
      <c r="BQ390" s="128">
        <f t="shared" si="1021"/>
        <v>3.6407423435418598</v>
      </c>
      <c r="BR390" s="128">
        <f t="shared" si="1021"/>
        <v>3.6310723771579503</v>
      </c>
      <c r="BS390" s="128">
        <f t="shared" si="1021"/>
        <v>3.3343871951218742</v>
      </c>
      <c r="BT390" s="128">
        <f t="shared" si="1021"/>
        <v>2.0871736641220888</v>
      </c>
      <c r="BU390" s="128">
        <f t="shared" si="1021"/>
        <v>1.3044835400763055</v>
      </c>
      <c r="BV390" s="128">
        <f t="shared" si="1021"/>
        <v>1.3044835400763055</v>
      </c>
      <c r="BW390" s="128">
        <f t="shared" si="1021"/>
        <v>1.3044835400763055</v>
      </c>
      <c r="BX390" s="128">
        <f t="shared" si="1021"/>
        <v>1.3044835400763055</v>
      </c>
      <c r="BY390" s="128">
        <f t="shared" si="1021"/>
        <v>1.3044835400763055</v>
      </c>
      <c r="BZ390" s="128">
        <f t="shared" si="1021"/>
        <v>1.3044835400763055</v>
      </c>
      <c r="CA390" s="128">
        <f t="shared" si="1019"/>
        <v>1.3044835400763055</v>
      </c>
      <c r="CB390" s="128">
        <f t="shared" si="1019"/>
        <v>1.3044835400763055</v>
      </c>
      <c r="CC390" s="128">
        <f t="shared" si="1019"/>
        <v>1.3044835400763055</v>
      </c>
      <c r="CD390" s="128">
        <f t="shared" si="1019"/>
        <v>1.3044835400763055</v>
      </c>
      <c r="CE390" s="128">
        <f t="shared" si="1019"/>
        <v>1.3044835400763055</v>
      </c>
      <c r="CF390" s="128">
        <f t="shared" si="1019"/>
        <v>1.3044835400763055</v>
      </c>
      <c r="CG390" s="128">
        <f t="shared" si="1019"/>
        <v>1.3044835400763055</v>
      </c>
      <c r="CH390" s="128"/>
      <c r="CI390" s="159">
        <f t="shared" si="962"/>
        <v>0</v>
      </c>
      <c r="CJ390" s="159">
        <f t="shared" si="963"/>
        <v>0</v>
      </c>
      <c r="CK390" s="159">
        <f t="shared" si="964"/>
        <v>0</v>
      </c>
      <c r="CL390" s="159">
        <f t="shared" si="965"/>
        <v>0</v>
      </c>
      <c r="CM390" s="159">
        <f t="shared" si="966"/>
        <v>-0.18635479143947231</v>
      </c>
      <c r="CN390" s="159">
        <f t="shared" si="967"/>
        <v>-0.18635479143947231</v>
      </c>
      <c r="CO390" s="159">
        <f t="shared" si="968"/>
        <v>-0.18635479143947231</v>
      </c>
      <c r="CP390" s="159">
        <f t="shared" si="969"/>
        <v>-0.18635479143947231</v>
      </c>
      <c r="CQ390" s="159">
        <f t="shared" si="970"/>
        <v>-0.18635479143947231</v>
      </c>
      <c r="CR390" s="159">
        <f t="shared" si="971"/>
        <v>-0.18635479143947231</v>
      </c>
      <c r="CS390" s="159">
        <f t="shared" si="972"/>
        <v>-0.18635479143947231</v>
      </c>
      <c r="CT390" s="159">
        <f t="shared" si="973"/>
        <v>-0.18635479143947231</v>
      </c>
      <c r="CU390" s="159">
        <f t="shared" si="974"/>
        <v>-0.18635479143947231</v>
      </c>
      <c r="CV390" s="159">
        <f t="shared" si="933"/>
        <v>-0.18635479143947231</v>
      </c>
      <c r="CW390" s="159">
        <f t="shared" si="934"/>
        <v>-0.18635479143947231</v>
      </c>
      <c r="CX390" s="159">
        <f t="shared" si="935"/>
        <v>-0.18635479143947231</v>
      </c>
      <c r="CY390" s="159">
        <f t="shared" si="936"/>
        <v>-0.18635479143947231</v>
      </c>
      <c r="CZ390" s="128"/>
      <c r="DA390" s="104">
        <v>3.6407423435418598</v>
      </c>
      <c r="DB390" s="104">
        <v>3.6310723771579503</v>
      </c>
      <c r="DC390" s="104">
        <v>3.3343871951218742</v>
      </c>
      <c r="DD390" s="104">
        <v>2.0871736641220888</v>
      </c>
      <c r="DE390" s="104">
        <v>1.4908383315157778</v>
      </c>
      <c r="DF390" s="104">
        <v>1.4908383315157778</v>
      </c>
      <c r="DG390" s="104">
        <v>1.4908383315157778</v>
      </c>
      <c r="DH390" s="104">
        <v>1.4908383315157778</v>
      </c>
      <c r="DI390" s="104">
        <v>1.4908383315157778</v>
      </c>
      <c r="DJ390" s="104">
        <v>1.4908383315157778</v>
      </c>
      <c r="DK390" s="104">
        <v>1.4908383315157778</v>
      </c>
      <c r="DL390" s="104">
        <v>1.4908383315157778</v>
      </c>
      <c r="DM390" s="104">
        <v>1.4908383315157778</v>
      </c>
      <c r="DN390" s="104">
        <v>1.4908383315157778</v>
      </c>
      <c r="DO390" s="104">
        <v>1.4908383315157778</v>
      </c>
      <c r="DP390" s="104">
        <v>1.4908383315157778</v>
      </c>
      <c r="DQ390" s="104">
        <v>1.4908383315157778</v>
      </c>
    </row>
    <row r="391" spans="1:121">
      <c r="A391" s="166" t="s">
        <v>2143</v>
      </c>
      <c r="B391" s="166"/>
      <c r="C391" s="146" t="s">
        <v>2682</v>
      </c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>
        <f t="shared" ca="1" si="1020"/>
        <v>-188.69035740656793</v>
      </c>
      <c r="BD391" s="128">
        <f t="shared" ca="1" si="1020"/>
        <v>-168.5546833580245</v>
      </c>
      <c r="BE391" s="128">
        <f t="shared" ca="1" si="1020"/>
        <v>-205.57402515564576</v>
      </c>
      <c r="BF391" s="128">
        <f t="shared" ref="BF391:BQ391" si="1022">+BF124/BF$196</f>
        <v>220.59999999999985</v>
      </c>
      <c r="BG391" s="128">
        <f t="shared" si="1022"/>
        <v>324.5000000000004</v>
      </c>
      <c r="BH391" s="128">
        <f t="shared" si="1022"/>
        <v>324.69999999999993</v>
      </c>
      <c r="BI391" s="128">
        <f t="shared" si="1022"/>
        <v>111.29999999999998</v>
      </c>
      <c r="BJ391" s="128">
        <f t="shared" si="1022"/>
        <v>650.69999999999993</v>
      </c>
      <c r="BK391" s="128">
        <f t="shared" si="1022"/>
        <v>431.30000000000035</v>
      </c>
      <c r="BL391" s="128">
        <f t="shared" si="1022"/>
        <v>162.40000000000009</v>
      </c>
      <c r="BM391" s="128">
        <f t="shared" si="1022"/>
        <v>-195.90000000000009</v>
      </c>
      <c r="BN391" s="128">
        <f t="shared" si="1022"/>
        <v>-415.5</v>
      </c>
      <c r="BO391" s="128">
        <f t="shared" si="1022"/>
        <v>-808.1999999999997</v>
      </c>
      <c r="BP391" s="128">
        <f t="shared" si="1022"/>
        <v>-238.4000000000002</v>
      </c>
      <c r="BQ391" s="128">
        <f t="shared" si="1022"/>
        <v>-1.7000000000002038</v>
      </c>
      <c r="BR391" s="128">
        <f t="shared" ref="BR391:CB391" si="1023">+BR124/BR$196</f>
        <v>-117.80000000000022</v>
      </c>
      <c r="BS391" s="128">
        <f t="shared" si="1023"/>
        <v>-410.7000000000001</v>
      </c>
      <c r="BT391" s="128">
        <f t="shared" si="1023"/>
        <v>249.30000000000015</v>
      </c>
      <c r="BU391" s="128">
        <f t="shared" ca="1" si="1023"/>
        <v>338.41529605586857</v>
      </c>
      <c r="BV391" s="128">
        <f t="shared" ca="1" si="1023"/>
        <v>299.01401775858216</v>
      </c>
      <c r="BW391" s="128">
        <f t="shared" ca="1" si="1023"/>
        <v>245.61779157000043</v>
      </c>
      <c r="BX391" s="128">
        <f t="shared" ca="1" si="1023"/>
        <v>190.82745472395183</v>
      </c>
      <c r="BY391" s="128">
        <f t="shared" ca="1" si="1023"/>
        <v>173.86452211920135</v>
      </c>
      <c r="BZ391" s="128">
        <f t="shared" ca="1" si="1023"/>
        <v>142.7153640381778</v>
      </c>
      <c r="CA391" s="128">
        <f t="shared" ca="1" si="1023"/>
        <v>96.303789949451769</v>
      </c>
      <c r="CB391" s="128">
        <f t="shared" ca="1" si="1023"/>
        <v>30.245669529458517</v>
      </c>
      <c r="CC391" s="128">
        <f t="shared" ref="CC391:CG393" ca="1" si="1024">+CC124/CC$196</f>
        <v>-61.489600782923652</v>
      </c>
      <c r="CD391" s="128">
        <f t="shared" ca="1" si="1024"/>
        <v>-186.98126298980952</v>
      </c>
      <c r="CE391" s="128">
        <f t="shared" ca="1" si="1024"/>
        <v>-357.03733113597792</v>
      </c>
      <c r="CF391" s="128">
        <f t="shared" ca="1" si="1024"/>
        <v>-586.01930893362851</v>
      </c>
      <c r="CG391" s="128">
        <f t="shared" ca="1" si="1024"/>
        <v>-892.76076248248228</v>
      </c>
      <c r="CH391" s="128"/>
      <c r="CI391" s="159">
        <f t="shared" si="962"/>
        <v>0</v>
      </c>
      <c r="CJ391" s="159">
        <f t="shared" ref="CJ391:CU392" si="1025">BR391-DB391</f>
        <v>0</v>
      </c>
      <c r="CK391" s="159">
        <f t="shared" si="1025"/>
        <v>0</v>
      </c>
      <c r="CL391" s="159">
        <f t="shared" si="1025"/>
        <v>0</v>
      </c>
      <c r="CM391" s="159">
        <f t="shared" ca="1" si="1025"/>
        <v>133.23307120153154</v>
      </c>
      <c r="CN391" s="159">
        <f t="shared" ca="1" si="1025"/>
        <v>105.73434139627449</v>
      </c>
      <c r="CO391" s="159">
        <f t="shared" ca="1" si="1025"/>
        <v>81.995984830461225</v>
      </c>
      <c r="CP391" s="159">
        <f t="shared" ca="1" si="1025"/>
        <v>62.112239011816229</v>
      </c>
      <c r="CQ391" s="159">
        <f t="shared" ca="1" si="1025"/>
        <v>39.197059935278617</v>
      </c>
      <c r="CR391" s="159">
        <f t="shared" ca="1" si="1025"/>
        <v>-65.890499895057673</v>
      </c>
      <c r="CS391" s="159">
        <f t="shared" ca="1" si="1025"/>
        <v>-99.595693431872164</v>
      </c>
      <c r="CT391" s="159">
        <f t="shared" ca="1" si="1025"/>
        <v>-131.11993730761861</v>
      </c>
      <c r="CU391" s="159">
        <f t="shared" ca="1" si="1025"/>
        <v>-160.56687365416744</v>
      </c>
      <c r="CV391" s="159">
        <f t="shared" ca="1" si="933"/>
        <v>-186.74426976591081</v>
      </c>
      <c r="CW391" s="159">
        <f t="shared" ca="1" si="934"/>
        <v>-207.97783344453327</v>
      </c>
      <c r="CX391" s="159">
        <f t="shared" ca="1" si="935"/>
        <v>-221.36587947463801</v>
      </c>
      <c r="CY391" s="159">
        <f t="shared" ca="1" si="936"/>
        <v>-222.91090510093943</v>
      </c>
      <c r="CZ391" s="128"/>
      <c r="DA391" s="104">
        <v>-1.7000000000002038</v>
      </c>
      <c r="DB391" s="104">
        <v>-117.80000000000022</v>
      </c>
      <c r="DC391" s="104">
        <v>-410.7000000000001</v>
      </c>
      <c r="DD391" s="104">
        <v>249.30000000000015</v>
      </c>
      <c r="DE391" s="104">
        <v>205.18222485433702</v>
      </c>
      <c r="DF391" s="104">
        <v>193.27967636230767</v>
      </c>
      <c r="DG391" s="104">
        <v>163.62180673953921</v>
      </c>
      <c r="DH391" s="104">
        <v>128.7152157121356</v>
      </c>
      <c r="DI391" s="104">
        <v>134.66746218392274</v>
      </c>
      <c r="DJ391" s="104">
        <v>208.60586393323547</v>
      </c>
      <c r="DK391" s="104">
        <v>195.89948338132393</v>
      </c>
      <c r="DL391" s="104">
        <v>161.36560683707714</v>
      </c>
      <c r="DM391" s="104">
        <v>99.077272871243792</v>
      </c>
      <c r="DN391" s="104">
        <v>-0.2369932238987098</v>
      </c>
      <c r="DO391" s="104">
        <v>-149.05949769144465</v>
      </c>
      <c r="DP391" s="104">
        <v>-364.6534294589905</v>
      </c>
      <c r="DQ391" s="104">
        <v>-669.84985738154285</v>
      </c>
    </row>
    <row r="392" spans="1:121">
      <c r="A392" s="107" t="s">
        <v>1929</v>
      </c>
      <c r="B392" s="107"/>
      <c r="C392" s="146" t="s">
        <v>2682</v>
      </c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8"/>
      <c r="BC392" s="128">
        <f t="shared" ref="BC392:BR392" si="1026">+BC125/BC$196</f>
        <v>535.24105105689364</v>
      </c>
      <c r="BD392" s="128">
        <f t="shared" si="1026"/>
        <v>772.18203033838961</v>
      </c>
      <c r="BE392" s="128">
        <f t="shared" si="1026"/>
        <v>840.48276662725482</v>
      </c>
      <c r="BF392" s="128">
        <f t="shared" si="1026"/>
        <v>1411.1</v>
      </c>
      <c r="BG392" s="128">
        <f t="shared" si="1026"/>
        <v>1612.4</v>
      </c>
      <c r="BH392" s="128">
        <f t="shared" si="1026"/>
        <v>2027.7</v>
      </c>
      <c r="BI392" s="128">
        <f t="shared" si="1026"/>
        <v>1688.5</v>
      </c>
      <c r="BJ392" s="128">
        <f t="shared" si="1026"/>
        <v>2325.5</v>
      </c>
      <c r="BK392" s="128">
        <f t="shared" si="1026"/>
        <v>2847.7000000000003</v>
      </c>
      <c r="BL392" s="128">
        <f t="shared" si="1026"/>
        <v>2875.5</v>
      </c>
      <c r="BM392" s="128">
        <f t="shared" si="1026"/>
        <v>2594.6999999999998</v>
      </c>
      <c r="BN392" s="128">
        <f t="shared" si="1026"/>
        <v>2356</v>
      </c>
      <c r="BO392" s="128">
        <f t="shared" si="1026"/>
        <v>1856.5</v>
      </c>
      <c r="BP392" s="128">
        <f t="shared" si="1026"/>
        <v>1623.7999999999997</v>
      </c>
      <c r="BQ392" s="128">
        <f t="shared" si="1026"/>
        <v>2195.1</v>
      </c>
      <c r="BR392" s="128">
        <f t="shared" si="1026"/>
        <v>2301.1</v>
      </c>
      <c r="BS392" s="128">
        <f t="shared" ref="BS392:CB392" si="1027">+BS125/BS$196</f>
        <v>2373.4</v>
      </c>
      <c r="BT392" s="128">
        <f t="shared" si="1027"/>
        <v>2440</v>
      </c>
      <c r="BU392" s="128">
        <f t="shared" ca="1" si="1027"/>
        <v>2673.1527811865776</v>
      </c>
      <c r="BV392" s="128">
        <f t="shared" ca="1" si="1027"/>
        <v>2776.8366244293325</v>
      </c>
      <c r="BW392" s="128">
        <f t="shared" ca="1" si="1027"/>
        <v>2876.5651941009837</v>
      </c>
      <c r="BX392" s="128">
        <f t="shared" ca="1" si="1027"/>
        <v>2979.7423670222461</v>
      </c>
      <c r="BY392" s="128">
        <f t="shared" ca="1" si="1027"/>
        <v>3132.4062686145653</v>
      </c>
      <c r="BZ392" s="128">
        <f t="shared" ca="1" si="1027"/>
        <v>3293.2597897483111</v>
      </c>
      <c r="CA392" s="128">
        <f t="shared" ca="1" si="1027"/>
        <v>3462.7656727373706</v>
      </c>
      <c r="CB392" s="128">
        <f t="shared" ca="1" si="1027"/>
        <v>3641.5111319368393</v>
      </c>
      <c r="CC392" s="128">
        <f t="shared" ca="1" si="1024"/>
        <v>3830.1577588882246</v>
      </c>
      <c r="CD392" s="128">
        <f t="shared" ca="1" si="1024"/>
        <v>4029.4765771958341</v>
      </c>
      <c r="CE392" s="128">
        <f t="shared" ca="1" si="1024"/>
        <v>4240.3844635210735</v>
      </c>
      <c r="CF392" s="128">
        <f t="shared" ca="1" si="1024"/>
        <v>4463.9974482631997</v>
      </c>
      <c r="CG392" s="128">
        <f t="shared" ca="1" si="1024"/>
        <v>4701.7082805644532</v>
      </c>
      <c r="CH392" s="128"/>
      <c r="CI392" s="159">
        <f t="shared" si="962"/>
        <v>0</v>
      </c>
      <c r="CJ392" s="159">
        <f t="shared" si="1025"/>
        <v>0</v>
      </c>
      <c r="CK392" s="159">
        <f t="shared" si="1025"/>
        <v>0</v>
      </c>
      <c r="CL392" s="159">
        <f t="shared" si="1025"/>
        <v>0</v>
      </c>
      <c r="CM392" s="159">
        <f t="shared" ca="1" si="1025"/>
        <v>-1.803188738208064</v>
      </c>
      <c r="CN392" s="159">
        <f t="shared" ca="1" si="1025"/>
        <v>-55.625268258957476</v>
      </c>
      <c r="CO392" s="159">
        <f t="shared" ca="1" si="1025"/>
        <v>-115.89577266033075</v>
      </c>
      <c r="CP392" s="159">
        <f t="shared" ca="1" si="1025"/>
        <v>-181.94785035491441</v>
      </c>
      <c r="CQ392" s="159">
        <f t="shared" ca="1" si="1025"/>
        <v>-257.75116305928304</v>
      </c>
      <c r="CR392" s="159">
        <f t="shared" ca="1" si="1025"/>
        <v>-342.37667376322634</v>
      </c>
      <c r="CS392" s="159">
        <f t="shared" ca="1" si="1025"/>
        <v>-436.39141359053201</v>
      </c>
      <c r="CT392" s="159">
        <f t="shared" ca="1" si="1025"/>
        <v>-540.70235570534578</v>
      </c>
      <c r="CU392" s="159">
        <f t="shared" ca="1" si="1025"/>
        <v>-656.72690057935506</v>
      </c>
      <c r="CV392" s="159">
        <f t="shared" ca="1" si="933"/>
        <v>-785.57291905008378</v>
      </c>
      <c r="CW392" s="159">
        <f t="shared" ca="1" si="934"/>
        <v>-928.55636558770857</v>
      </c>
      <c r="CX392" s="159">
        <f t="shared" ca="1" si="935"/>
        <v>-1087.2326342992128</v>
      </c>
      <c r="CY392" s="159">
        <f t="shared" ca="1" si="936"/>
        <v>-1263.447432270551</v>
      </c>
      <c r="CZ392" s="128"/>
      <c r="DA392" s="104">
        <v>2195.1</v>
      </c>
      <c r="DB392" s="104">
        <v>2301.1</v>
      </c>
      <c r="DC392" s="104">
        <v>2373.4</v>
      </c>
      <c r="DD392" s="104">
        <v>2440</v>
      </c>
      <c r="DE392" s="104">
        <v>2674.9559699247857</v>
      </c>
      <c r="DF392" s="104">
        <v>2832.4618926882899</v>
      </c>
      <c r="DG392" s="104">
        <v>2992.4609667613145</v>
      </c>
      <c r="DH392" s="104">
        <v>3161.6902173771605</v>
      </c>
      <c r="DI392" s="104">
        <v>3390.1574316738484</v>
      </c>
      <c r="DJ392" s="104">
        <v>3635.6364635115374</v>
      </c>
      <c r="DK392" s="104">
        <v>3899.1570863279026</v>
      </c>
      <c r="DL392" s="104">
        <v>4182.2134876421851</v>
      </c>
      <c r="DM392" s="104">
        <v>4486.8846594675797</v>
      </c>
      <c r="DN392" s="104">
        <v>4815.0494962459179</v>
      </c>
      <c r="DO392" s="104">
        <v>5168.9408291087821</v>
      </c>
      <c r="DP392" s="104">
        <v>5551.2300825624125</v>
      </c>
      <c r="DQ392" s="104">
        <v>5965.1557128350041</v>
      </c>
    </row>
    <row r="393" spans="1:121">
      <c r="A393" s="191" t="s">
        <v>2393</v>
      </c>
      <c r="B393" s="107"/>
      <c r="C393" s="146" t="s">
        <v>2682</v>
      </c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  <c r="AV393" s="128"/>
      <c r="AW393" s="128"/>
      <c r="AX393" s="128"/>
      <c r="AY393" s="128"/>
      <c r="AZ393" s="128"/>
      <c r="BA393" s="128"/>
      <c r="BB393" s="128"/>
      <c r="BC393" s="128">
        <f t="shared" ref="BC393:BZ393" si="1028">+BC126/BC$196</f>
        <v>127.29999999999998</v>
      </c>
      <c r="BD393" s="128">
        <f t="shared" si="1028"/>
        <v>263.3</v>
      </c>
      <c r="BE393" s="128">
        <f t="shared" si="1028"/>
        <v>289.3</v>
      </c>
      <c r="BF393" s="128">
        <f t="shared" si="1028"/>
        <v>403.00000000000006</v>
      </c>
      <c r="BG393" s="128">
        <f t="shared" si="1028"/>
        <v>482.4</v>
      </c>
      <c r="BH393" s="128">
        <f t="shared" si="1028"/>
        <v>715.5</v>
      </c>
      <c r="BI393" s="128">
        <f t="shared" si="1028"/>
        <v>871.9</v>
      </c>
      <c r="BJ393" s="128">
        <f t="shared" si="1028"/>
        <v>1159.7</v>
      </c>
      <c r="BK393" s="128">
        <f t="shared" si="1028"/>
        <v>1513.6</v>
      </c>
      <c r="BL393" s="128">
        <f t="shared" si="1028"/>
        <v>1863.3596555498266</v>
      </c>
      <c r="BM393" s="128">
        <f t="shared" si="1028"/>
        <v>1518.5476649208977</v>
      </c>
      <c r="BN393" s="128">
        <f t="shared" si="1028"/>
        <v>1261.295487232368</v>
      </c>
      <c r="BO393" s="128">
        <f t="shared" si="1028"/>
        <v>1171.9265872477454</v>
      </c>
      <c r="BP393" s="128">
        <f t="shared" si="1028"/>
        <v>1144.0839999999998</v>
      </c>
      <c r="BQ393" s="128">
        <f t="shared" si="1028"/>
        <v>1646.5756249999997</v>
      </c>
      <c r="BR393" s="128">
        <f t="shared" si="1028"/>
        <v>1726.1705744999995</v>
      </c>
      <c r="BS393" s="128">
        <f t="shared" si="1028"/>
        <v>2022.3866599999997</v>
      </c>
      <c r="BT393" s="128">
        <f t="shared" si="1028"/>
        <v>2211.6242688999996</v>
      </c>
      <c r="BU393" s="128">
        <f t="shared" si="1028"/>
        <v>2295.6399890039997</v>
      </c>
      <c r="BV393" s="128">
        <f t="shared" si="1028"/>
        <v>2374.6170772007999</v>
      </c>
      <c r="BW393" s="128">
        <f t="shared" si="1028"/>
        <v>2451.2360509955442</v>
      </c>
      <c r="BX393" s="128">
        <f t="shared" si="1028"/>
        <v>2531.5335771688692</v>
      </c>
      <c r="BY393" s="128">
        <f t="shared" si="1028"/>
        <v>2659.6291761736138</v>
      </c>
      <c r="BZ393" s="128">
        <f t="shared" si="1028"/>
        <v>2794.2064124879989</v>
      </c>
      <c r="CA393" s="128">
        <f>+CA126/CA$196</f>
        <v>2935.5932569598917</v>
      </c>
      <c r="CB393" s="128">
        <f>+CB126/CB$196</f>
        <v>3084.1342757620623</v>
      </c>
      <c r="CC393" s="128">
        <f t="shared" si="1024"/>
        <v>3240.1914701156229</v>
      </c>
      <c r="CD393" s="128">
        <f t="shared" si="1024"/>
        <v>3404.1451585034733</v>
      </c>
      <c r="CE393" s="128">
        <f t="shared" si="1024"/>
        <v>3576.3949035237497</v>
      </c>
      <c r="CF393" s="128">
        <f t="shared" si="1024"/>
        <v>3757.3604856420511</v>
      </c>
      <c r="CG393" s="128">
        <f t="shared" si="1024"/>
        <v>3947.482926215539</v>
      </c>
      <c r="CH393" s="128"/>
      <c r="CI393" s="159">
        <f t="shared" si="962"/>
        <v>0</v>
      </c>
      <c r="CJ393" s="159">
        <f t="shared" si="963"/>
        <v>0</v>
      </c>
      <c r="CK393" s="159">
        <f t="shared" si="964"/>
        <v>0</v>
      </c>
      <c r="CL393" s="159">
        <f t="shared" si="965"/>
        <v>0</v>
      </c>
      <c r="CM393" s="159">
        <f t="shared" si="966"/>
        <v>0</v>
      </c>
      <c r="CN393" s="159">
        <f t="shared" si="967"/>
        <v>-47.492341544016199</v>
      </c>
      <c r="CO393" s="159">
        <f t="shared" si="968"/>
        <v>-99.029936460220597</v>
      </c>
      <c r="CP393" s="159">
        <f t="shared" si="969"/>
        <v>-154.9501071913528</v>
      </c>
      <c r="CQ393" s="159">
        <f t="shared" si="970"/>
        <v>-219.23897779101253</v>
      </c>
      <c r="CR393" s="159">
        <f t="shared" si="971"/>
        <v>-290.82324771834237</v>
      </c>
      <c r="CS393" s="159">
        <f t="shared" si="972"/>
        <v>-370.3615472731467</v>
      </c>
      <c r="CT393" s="159">
        <f t="shared" si="973"/>
        <v>-458.56656391171236</v>
      </c>
      <c r="CU393" s="159">
        <f t="shared" si="974"/>
        <v>-556.20926208887022</v>
      </c>
      <c r="CV393" s="159">
        <f t="shared" si="933"/>
        <v>-664.12342293564916</v>
      </c>
      <c r="CW393" s="159">
        <f t="shared" si="934"/>
        <v>-783.21052756939253</v>
      </c>
      <c r="CX393" s="159">
        <f t="shared" si="935"/>
        <v>-914.44500958253366</v>
      </c>
      <c r="CY393" s="159">
        <f t="shared" si="936"/>
        <v>-1058.8799041330694</v>
      </c>
      <c r="CZ393" s="128"/>
      <c r="DA393" s="104">
        <v>1646.5756249999997</v>
      </c>
      <c r="DB393" s="104">
        <v>1726.1705744999995</v>
      </c>
      <c r="DC393" s="104">
        <v>2022.3866599999997</v>
      </c>
      <c r="DD393" s="104">
        <v>2211.6242688999996</v>
      </c>
      <c r="DE393" s="104">
        <v>2295.6399890039997</v>
      </c>
      <c r="DF393" s="104">
        <v>2422.1094187448161</v>
      </c>
      <c r="DG393" s="104">
        <v>2550.2659874557648</v>
      </c>
      <c r="DH393" s="104">
        <v>2686.483684360222</v>
      </c>
      <c r="DI393" s="104">
        <v>2878.8681539646263</v>
      </c>
      <c r="DJ393" s="104">
        <v>3085.0296602063413</v>
      </c>
      <c r="DK393" s="104">
        <v>3305.9548042330384</v>
      </c>
      <c r="DL393" s="104">
        <v>3542.7008396737747</v>
      </c>
      <c r="DM393" s="104">
        <v>3796.4007322044931</v>
      </c>
      <c r="DN393" s="104">
        <v>4068.2685814391225</v>
      </c>
      <c r="DO393" s="104">
        <v>4359.6054310931422</v>
      </c>
      <c r="DP393" s="104">
        <v>4671.8054952245848</v>
      </c>
      <c r="DQ393" s="104">
        <v>5006.3628303486084</v>
      </c>
    </row>
    <row r="394" spans="1:121">
      <c r="A394" s="192"/>
      <c r="B394" s="107"/>
      <c r="C394" s="136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59">
        <f t="shared" si="962"/>
        <v>0</v>
      </c>
      <c r="CJ394" s="159">
        <f t="shared" si="963"/>
        <v>0</v>
      </c>
      <c r="CK394" s="159">
        <f t="shared" si="964"/>
        <v>0</v>
      </c>
      <c r="CL394" s="159">
        <f t="shared" si="965"/>
        <v>0</v>
      </c>
      <c r="CM394" s="159">
        <f t="shared" si="966"/>
        <v>0</v>
      </c>
      <c r="CN394" s="159">
        <f t="shared" si="967"/>
        <v>0</v>
      </c>
      <c r="CO394" s="159">
        <f t="shared" si="968"/>
        <v>0</v>
      </c>
      <c r="CP394" s="159">
        <f t="shared" si="969"/>
        <v>0</v>
      </c>
      <c r="CQ394" s="159">
        <f t="shared" si="970"/>
        <v>0</v>
      </c>
      <c r="CR394" s="159">
        <f t="shared" si="971"/>
        <v>0</v>
      </c>
      <c r="CS394" s="159">
        <f t="shared" si="972"/>
        <v>0</v>
      </c>
      <c r="CT394" s="159">
        <f t="shared" si="973"/>
        <v>0</v>
      </c>
      <c r="CU394" s="159">
        <f t="shared" si="974"/>
        <v>0</v>
      </c>
      <c r="CV394" s="159">
        <f t="shared" si="933"/>
        <v>0</v>
      </c>
      <c r="CW394" s="159">
        <f t="shared" si="934"/>
        <v>0</v>
      </c>
      <c r="CX394" s="159">
        <f t="shared" si="935"/>
        <v>0</v>
      </c>
      <c r="CY394" s="159">
        <f t="shared" si="936"/>
        <v>0</v>
      </c>
      <c r="CZ394" s="128"/>
    </row>
    <row r="395" spans="1:121">
      <c r="A395" s="192"/>
      <c r="B395" s="107"/>
      <c r="C395" s="136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  <c r="AV395" s="128"/>
      <c r="AW395" s="128"/>
      <c r="AX395" s="128"/>
      <c r="AY395" s="128"/>
      <c r="AZ395" s="128"/>
      <c r="BA395" s="128"/>
      <c r="BB395" s="128"/>
      <c r="BC395" s="128"/>
      <c r="BD395" s="128"/>
      <c r="BE395" s="128"/>
      <c r="BF395" s="128"/>
      <c r="BG395" s="128"/>
      <c r="BH395" s="128"/>
      <c r="BI395" s="128"/>
      <c r="BJ395" s="128"/>
      <c r="BK395" s="128"/>
      <c r="BL395" s="128"/>
      <c r="BM395" s="128"/>
      <c r="BN395" s="128"/>
      <c r="BO395" s="128"/>
      <c r="BP395" s="128"/>
      <c r="BQ395" s="128"/>
      <c r="BR395" s="128"/>
      <c r="BS395" s="128"/>
      <c r="BT395" s="128"/>
      <c r="BU395" s="128"/>
      <c r="BV395" s="128"/>
      <c r="BW395" s="128"/>
      <c r="BX395" s="128"/>
      <c r="BY395" s="128"/>
      <c r="BZ395" s="128"/>
      <c r="CA395" s="128"/>
      <c r="CB395" s="128"/>
      <c r="CC395" s="128"/>
      <c r="CD395" s="128"/>
      <c r="CE395" s="128"/>
      <c r="CF395" s="128"/>
      <c r="CG395" s="128"/>
      <c r="CH395" s="128"/>
      <c r="CI395" s="159">
        <f t="shared" si="962"/>
        <v>0</v>
      </c>
      <c r="CJ395" s="159">
        <f t="shared" si="963"/>
        <v>0</v>
      </c>
      <c r="CK395" s="159">
        <f t="shared" si="964"/>
        <v>0</v>
      </c>
      <c r="CL395" s="159">
        <f t="shared" si="965"/>
        <v>0</v>
      </c>
      <c r="CM395" s="159">
        <f t="shared" si="966"/>
        <v>0</v>
      </c>
      <c r="CN395" s="159">
        <f t="shared" si="967"/>
        <v>0</v>
      </c>
      <c r="CO395" s="159">
        <f t="shared" si="968"/>
        <v>0</v>
      </c>
      <c r="CP395" s="159">
        <f t="shared" si="969"/>
        <v>0</v>
      </c>
      <c r="CQ395" s="159">
        <f t="shared" si="970"/>
        <v>0</v>
      </c>
      <c r="CR395" s="159">
        <f t="shared" si="971"/>
        <v>0</v>
      </c>
      <c r="CS395" s="159">
        <f t="shared" si="972"/>
        <v>0</v>
      </c>
      <c r="CT395" s="159">
        <f t="shared" si="973"/>
        <v>0</v>
      </c>
      <c r="CU395" s="159">
        <f t="shared" si="974"/>
        <v>0</v>
      </c>
      <c r="CV395" s="159">
        <f t="shared" si="933"/>
        <v>0</v>
      </c>
      <c r="CW395" s="159">
        <f t="shared" si="934"/>
        <v>0</v>
      </c>
      <c r="CX395" s="159">
        <f t="shared" si="935"/>
        <v>0</v>
      </c>
      <c r="CY395" s="159">
        <f t="shared" si="936"/>
        <v>0</v>
      </c>
      <c r="CZ395" s="128"/>
    </row>
    <row r="396" spans="1:121">
      <c r="A396" s="192" t="s">
        <v>2042</v>
      </c>
      <c r="B396" s="107"/>
      <c r="C396" s="136" t="s">
        <v>2043</v>
      </c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>
        <f t="shared" ref="BC396:BZ396" si="1029">+BC129/BC$196</f>
        <v>342.61</v>
      </c>
      <c r="BD396" s="128">
        <f t="shared" si="1029"/>
        <v>411.63</v>
      </c>
      <c r="BE396" s="128">
        <f t="shared" si="1029"/>
        <v>428.2088544215402</v>
      </c>
      <c r="BF396" s="128">
        <f t="shared" si="1029"/>
        <v>600.44786851879712</v>
      </c>
      <c r="BG396" s="128">
        <f t="shared" si="1029"/>
        <v>702.14029110936247</v>
      </c>
      <c r="BH396" s="128">
        <f t="shared" si="1029"/>
        <v>871.69999999999993</v>
      </c>
      <c r="BI396" s="128">
        <f t="shared" si="1029"/>
        <v>973.00000000000011</v>
      </c>
      <c r="BJ396" s="128">
        <f t="shared" si="1029"/>
        <v>1224.7</v>
      </c>
      <c r="BK396" s="128">
        <f t="shared" si="1029"/>
        <v>1569.2</v>
      </c>
      <c r="BL396" s="128">
        <f t="shared" si="1029"/>
        <v>1669.5</v>
      </c>
      <c r="BM396" s="128">
        <f t="shared" si="1029"/>
        <v>1411.5</v>
      </c>
      <c r="BN396" s="128">
        <f t="shared" si="1029"/>
        <v>1265.5999999999999</v>
      </c>
      <c r="BO396" s="128">
        <f t="shared" si="1029"/>
        <v>1160.06</v>
      </c>
      <c r="BP396" s="128">
        <f t="shared" si="1029"/>
        <v>1249</v>
      </c>
      <c r="BQ396" s="128">
        <f t="shared" si="1029"/>
        <v>1250</v>
      </c>
      <c r="BR396" s="128">
        <f t="shared" si="1029"/>
        <v>1269</v>
      </c>
      <c r="BS396" s="128">
        <f t="shared" si="1029"/>
        <v>1400</v>
      </c>
      <c r="BT396" s="128">
        <f t="shared" si="1029"/>
        <v>1531</v>
      </c>
      <c r="BU396" s="128">
        <f t="shared" si="1029"/>
        <v>1558</v>
      </c>
      <c r="BV396" s="128">
        <f t="shared" si="1029"/>
        <v>1580</v>
      </c>
      <c r="BW396" s="128">
        <f t="shared" si="1029"/>
        <v>1599</v>
      </c>
      <c r="BX396" s="128">
        <f t="shared" si="1029"/>
        <v>1618.9999999999998</v>
      </c>
      <c r="BY396" s="128">
        <f t="shared" si="1029"/>
        <v>1667.57</v>
      </c>
      <c r="BZ396" s="128">
        <f t="shared" si="1029"/>
        <v>1717.5971</v>
      </c>
      <c r="CA396" s="128">
        <f t="shared" ref="CA396:CG396" si="1030">+CA129/CA$196</f>
        <v>1769.1250129999999</v>
      </c>
      <c r="CB396" s="128">
        <f t="shared" si="1030"/>
        <v>1822.1987633900001</v>
      </c>
      <c r="CC396" s="128">
        <f t="shared" si="1030"/>
        <v>1876.8647262917004</v>
      </c>
      <c r="CD396" s="128">
        <f t="shared" si="1030"/>
        <v>1933.1706680804514</v>
      </c>
      <c r="CE396" s="128">
        <f t="shared" si="1030"/>
        <v>1991.165788122865</v>
      </c>
      <c r="CF396" s="128">
        <f t="shared" si="1030"/>
        <v>2050.9007617665511</v>
      </c>
      <c r="CG396" s="128">
        <f t="shared" si="1030"/>
        <v>2112.4277846195478</v>
      </c>
      <c r="CH396" s="128"/>
      <c r="CI396" s="159">
        <f t="shared" si="962"/>
        <v>0</v>
      </c>
      <c r="CJ396" s="159">
        <f t="shared" si="963"/>
        <v>0</v>
      </c>
      <c r="CK396" s="159">
        <f t="shared" si="964"/>
        <v>0</v>
      </c>
      <c r="CL396" s="159">
        <f t="shared" si="965"/>
        <v>0</v>
      </c>
      <c r="CM396" s="159">
        <f t="shared" si="966"/>
        <v>0</v>
      </c>
      <c r="CN396" s="159">
        <f t="shared" si="967"/>
        <v>0</v>
      </c>
      <c r="CO396" s="159">
        <f t="shared" si="968"/>
        <v>0</v>
      </c>
      <c r="CP396" s="159">
        <f t="shared" si="969"/>
        <v>0</v>
      </c>
      <c r="CQ396" s="159">
        <f t="shared" si="970"/>
        <v>0</v>
      </c>
      <c r="CR396" s="159">
        <f t="shared" si="971"/>
        <v>0</v>
      </c>
      <c r="CS396" s="159">
        <f t="shared" si="972"/>
        <v>0</v>
      </c>
      <c r="CT396" s="159">
        <f t="shared" si="973"/>
        <v>0</v>
      </c>
      <c r="CU396" s="159">
        <f t="shared" si="974"/>
        <v>0</v>
      </c>
      <c r="CV396" s="159">
        <f t="shared" si="933"/>
        <v>0</v>
      </c>
      <c r="CW396" s="159">
        <f t="shared" si="934"/>
        <v>0</v>
      </c>
      <c r="CX396" s="159">
        <f t="shared" si="935"/>
        <v>0</v>
      </c>
      <c r="CY396" s="159">
        <f t="shared" si="936"/>
        <v>0</v>
      </c>
      <c r="CZ396" s="128"/>
      <c r="DA396" s="104">
        <v>1250</v>
      </c>
      <c r="DB396" s="104">
        <v>1269</v>
      </c>
      <c r="DC396" s="104">
        <v>1400</v>
      </c>
      <c r="DD396" s="104">
        <v>1531</v>
      </c>
      <c r="DE396" s="104">
        <v>1558</v>
      </c>
      <c r="DF396" s="104">
        <v>1580</v>
      </c>
      <c r="DG396" s="104">
        <v>1599</v>
      </c>
      <c r="DH396" s="104">
        <v>1619</v>
      </c>
      <c r="DI396" s="104">
        <v>1667.57</v>
      </c>
      <c r="DJ396" s="104">
        <v>1717.5971</v>
      </c>
      <c r="DK396" s="104">
        <v>1769.1250130000001</v>
      </c>
      <c r="DL396" s="104">
        <v>1822.1987633900001</v>
      </c>
      <c r="DM396" s="104">
        <v>1876.8647262917004</v>
      </c>
      <c r="DN396" s="104">
        <v>1933.1706680804516</v>
      </c>
      <c r="DO396" s="104">
        <v>1991.165788122865</v>
      </c>
      <c r="DP396" s="104">
        <v>2050.9007617665511</v>
      </c>
      <c r="DQ396" s="104">
        <v>2112.4277846195478</v>
      </c>
    </row>
    <row r="397" spans="1:121">
      <c r="A397" s="191" t="s">
        <v>825</v>
      </c>
      <c r="B397" s="141"/>
      <c r="C397" s="146" t="s">
        <v>2682</v>
      </c>
      <c r="D397" s="102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>
        <f t="shared" ref="BC397:BR397" si="1031">+BC130/BC$196</f>
        <v>407.94105105689368</v>
      </c>
      <c r="BD397" s="128">
        <f t="shared" si="1031"/>
        <v>508.8820303383896</v>
      </c>
      <c r="BE397" s="128">
        <f t="shared" si="1031"/>
        <v>551.18276662725475</v>
      </c>
      <c r="BF397" s="128">
        <f t="shared" si="1031"/>
        <v>1008.0999999999999</v>
      </c>
      <c r="BG397" s="128">
        <f t="shared" si="1031"/>
        <v>1130</v>
      </c>
      <c r="BH397" s="128">
        <f t="shared" si="1031"/>
        <v>1312.2</v>
      </c>
      <c r="BI397" s="128">
        <f t="shared" si="1031"/>
        <v>816.60000000000014</v>
      </c>
      <c r="BJ397" s="128">
        <f t="shared" si="1031"/>
        <v>1165.8</v>
      </c>
      <c r="BK397" s="128">
        <f t="shared" si="1031"/>
        <v>1334.1000000000001</v>
      </c>
      <c r="BL397" s="128">
        <f t="shared" si="1031"/>
        <v>1012.1403444501734</v>
      </c>
      <c r="BM397" s="128">
        <f t="shared" si="1031"/>
        <v>1076.1523350791024</v>
      </c>
      <c r="BN397" s="128">
        <f t="shared" si="1031"/>
        <v>1094.704512767632</v>
      </c>
      <c r="BO397" s="128">
        <f t="shared" si="1031"/>
        <v>684.57341275225451</v>
      </c>
      <c r="BP397" s="128">
        <f t="shared" si="1031"/>
        <v>479.71599999999995</v>
      </c>
      <c r="BQ397" s="128">
        <f t="shared" si="1031"/>
        <v>548.52437500000008</v>
      </c>
      <c r="BR397" s="128">
        <f t="shared" si="1031"/>
        <v>574.92942550000043</v>
      </c>
      <c r="BS397" s="128">
        <f t="shared" ref="BS397:CB397" si="1032">+BS130/BS$196</f>
        <v>351.0133400000002</v>
      </c>
      <c r="BT397" s="128">
        <f t="shared" ca="1" si="1032"/>
        <v>218.07030737049516</v>
      </c>
      <c r="BU397" s="128">
        <f t="shared" ca="1" si="1032"/>
        <v>377.51279218257736</v>
      </c>
      <c r="BV397" s="128">
        <f t="shared" ca="1" si="1032"/>
        <v>402.21954722853258</v>
      </c>
      <c r="BW397" s="128">
        <f t="shared" ca="1" si="1032"/>
        <v>425.32914310543947</v>
      </c>
      <c r="BX397" s="128">
        <f t="shared" ca="1" si="1032"/>
        <v>448.20878985337714</v>
      </c>
      <c r="BY397" s="128">
        <f t="shared" ca="1" si="1032"/>
        <v>472.77709244095155</v>
      </c>
      <c r="BZ397" s="128">
        <f t="shared" ca="1" si="1032"/>
        <v>499.05337726031189</v>
      </c>
      <c r="CA397" s="128">
        <f t="shared" ca="1" si="1032"/>
        <v>527.1724157774787</v>
      </c>
      <c r="CB397" s="128">
        <f t="shared" ca="1" si="1032"/>
        <v>557.376856174777</v>
      </c>
      <c r="CC397" s="128">
        <f t="shared" ref="CC397:CG411" ca="1" si="1033">+CC130/CC$196</f>
        <v>589.96628877260173</v>
      </c>
      <c r="CD397" s="128">
        <f t="shared" ca="1" si="1033"/>
        <v>625.33141869236044</v>
      </c>
      <c r="CE397" s="128">
        <f t="shared" ca="1" si="1033"/>
        <v>663.98955999732311</v>
      </c>
      <c r="CF397" s="128">
        <f t="shared" ca="1" si="1033"/>
        <v>706.63696262114865</v>
      </c>
      <c r="CG397" s="128">
        <f t="shared" ca="1" si="1033"/>
        <v>754.22535434891472</v>
      </c>
      <c r="CH397" s="128"/>
      <c r="CI397" s="159">
        <f t="shared" si="962"/>
        <v>0</v>
      </c>
      <c r="CJ397" s="159">
        <f t="shared" ref="CJ397:CU398" si="1034">BR397-DB397</f>
        <v>0</v>
      </c>
      <c r="CK397" s="159">
        <f t="shared" si="1034"/>
        <v>0</v>
      </c>
      <c r="CL397" s="159">
        <f t="shared" ca="1" si="1034"/>
        <v>0</v>
      </c>
      <c r="CM397" s="159">
        <f t="shared" ca="1" si="1034"/>
        <v>-1.8031887382083482</v>
      </c>
      <c r="CN397" s="159">
        <f t="shared" ca="1" si="1034"/>
        <v>-8.1329267149412203</v>
      </c>
      <c r="CO397" s="159">
        <f t="shared" ca="1" si="1034"/>
        <v>-16.86583620011055</v>
      </c>
      <c r="CP397" s="159">
        <f t="shared" ca="1" si="1034"/>
        <v>-26.997743163560926</v>
      </c>
      <c r="CQ397" s="159">
        <f t="shared" ca="1" si="1034"/>
        <v>-38.512185268270343</v>
      </c>
      <c r="CR397" s="159">
        <f t="shared" ca="1" si="1034"/>
        <v>-51.553426044884418</v>
      </c>
      <c r="CS397" s="159">
        <f t="shared" ca="1" si="1034"/>
        <v>-66.029866317386109</v>
      </c>
      <c r="CT397" s="159">
        <f t="shared" ca="1" si="1034"/>
        <v>-82.135791793633189</v>
      </c>
      <c r="CU397" s="159">
        <f t="shared" ca="1" si="1034"/>
        <v>-100.51763849048473</v>
      </c>
      <c r="CV397" s="159">
        <f t="shared" ca="1" si="933"/>
        <v>-121.44949611443542</v>
      </c>
      <c r="CW397" s="159">
        <f t="shared" ca="1" si="934"/>
        <v>-145.34583801831718</v>
      </c>
      <c r="CX397" s="159">
        <f t="shared" ca="1" si="935"/>
        <v>-172.78762471667949</v>
      </c>
      <c r="CY397" s="159">
        <f t="shared" ca="1" si="936"/>
        <v>-204.56752813748096</v>
      </c>
      <c r="CZ397" s="128"/>
      <c r="DA397" s="104">
        <v>548.52437500000008</v>
      </c>
      <c r="DB397" s="104">
        <v>574.92942550000043</v>
      </c>
      <c r="DC397" s="104">
        <v>351.0133400000002</v>
      </c>
      <c r="DD397" s="104">
        <v>218.07030737049516</v>
      </c>
      <c r="DE397" s="104">
        <v>379.31598092078571</v>
      </c>
      <c r="DF397" s="104">
        <v>410.3524739434738</v>
      </c>
      <c r="DG397" s="104">
        <v>442.19497930555002</v>
      </c>
      <c r="DH397" s="104">
        <v>475.20653301693807</v>
      </c>
      <c r="DI397" s="104">
        <v>511.28927770922189</v>
      </c>
      <c r="DJ397" s="104">
        <v>550.60680330519631</v>
      </c>
      <c r="DK397" s="104">
        <v>593.20228209486481</v>
      </c>
      <c r="DL397" s="104">
        <v>639.51264796841019</v>
      </c>
      <c r="DM397" s="104">
        <v>690.48392726308646</v>
      </c>
      <c r="DN397" s="104">
        <v>746.78091480679586</v>
      </c>
      <c r="DO397" s="104">
        <v>809.33539801564029</v>
      </c>
      <c r="DP397" s="104">
        <v>879.42458733782814</v>
      </c>
      <c r="DQ397" s="104">
        <v>958.79288248639568</v>
      </c>
    </row>
    <row r="398" spans="1:121">
      <c r="A398" s="136" t="s">
        <v>1930</v>
      </c>
      <c r="B398" s="107"/>
      <c r="C398" s="146" t="s">
        <v>2682</v>
      </c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  <c r="AV398" s="128"/>
      <c r="AW398" s="128"/>
      <c r="AX398" s="128"/>
      <c r="AY398" s="128"/>
      <c r="AZ398" s="128"/>
      <c r="BA398" s="128"/>
      <c r="BB398" s="128"/>
      <c r="BC398" s="128">
        <f ca="1">+BC131/BC$196</f>
        <v>670.69081726955858</v>
      </c>
      <c r="BD398" s="128">
        <f ca="1">+BD131/BD$196</f>
        <v>890.85113845196133</v>
      </c>
      <c r="BE398" s="128">
        <f ca="1">+BE131/BE$196</f>
        <v>999.19353982578525</v>
      </c>
      <c r="BF398" s="128">
        <f t="shared" ref="BF398:BQ398" si="1035">+BF131/BF$196</f>
        <v>1171.9000000000001</v>
      </c>
      <c r="BG398" s="128">
        <f t="shared" si="1035"/>
        <v>1362.6999999999998</v>
      </c>
      <c r="BH398" s="128">
        <f t="shared" si="1035"/>
        <v>1813.9</v>
      </c>
      <c r="BI398" s="128">
        <f t="shared" si="1035"/>
        <v>1676</v>
      </c>
      <c r="BJ398" s="128">
        <f t="shared" si="1035"/>
        <v>1657</v>
      </c>
      <c r="BK398" s="128">
        <f t="shared" si="1035"/>
        <v>2241.6</v>
      </c>
      <c r="BL398" s="128">
        <f t="shared" si="1035"/>
        <v>2593.4</v>
      </c>
      <c r="BM398" s="128">
        <f t="shared" si="1035"/>
        <v>2726</v>
      </c>
      <c r="BN398" s="128">
        <f t="shared" si="1035"/>
        <v>2773.2</v>
      </c>
      <c r="BO398" s="128">
        <f t="shared" si="1035"/>
        <v>2701.8999999999996</v>
      </c>
      <c r="BP398" s="128">
        <f t="shared" si="1035"/>
        <v>1788.4</v>
      </c>
      <c r="BQ398" s="128">
        <f t="shared" si="1035"/>
        <v>1839.8</v>
      </c>
      <c r="BR398" s="128">
        <f>+BR131/BR$196</f>
        <v>2134.4</v>
      </c>
      <c r="BS398" s="128">
        <f t="shared" ref="BS398:CB398" si="1036">+BS131/BS$196</f>
        <v>2460.6999999999998</v>
      </c>
      <c r="BT398" s="128">
        <f t="shared" si="1036"/>
        <v>1931</v>
      </c>
      <c r="BU398" s="128">
        <f t="shared" ca="1" si="1036"/>
        <v>2072.7210826352821</v>
      </c>
      <c r="BV398" s="128">
        <f t="shared" ca="1" si="1036"/>
        <v>2213.5126466680686</v>
      </c>
      <c r="BW398" s="128">
        <f t="shared" ca="1" si="1036"/>
        <v>2364.3696992737241</v>
      </c>
      <c r="BX398" s="128">
        <f t="shared" ca="1" si="1036"/>
        <v>2520.0983999380201</v>
      </c>
      <c r="BY398" s="128">
        <f t="shared" ca="1" si="1036"/>
        <v>2687.5186360437528</v>
      </c>
      <c r="BZ398" s="128">
        <f t="shared" ca="1" si="1036"/>
        <v>2877.3503685739752</v>
      </c>
      <c r="CA398" s="128">
        <f t="shared" ca="1" si="1036"/>
        <v>3091.1361411340818</v>
      </c>
      <c r="CB398" s="128">
        <f t="shared" ca="1" si="1036"/>
        <v>3333.851086623647</v>
      </c>
      <c r="CC398" s="128">
        <f t="shared" ca="1" si="1033"/>
        <v>3612.1913731987811</v>
      </c>
      <c r="CD398" s="128">
        <f t="shared" ca="1" si="1033"/>
        <v>3935.011432009936</v>
      </c>
      <c r="CE398" s="128">
        <f t="shared" ca="1" si="1033"/>
        <v>4314.0405197529462</v>
      </c>
      <c r="CF398" s="128">
        <f t="shared" ca="1" si="1033"/>
        <v>4764.7607452378243</v>
      </c>
      <c r="CG398" s="128">
        <f t="shared" ca="1" si="1033"/>
        <v>5307.4032156968942</v>
      </c>
      <c r="CH398" s="128"/>
      <c r="CI398" s="159">
        <f t="shared" si="962"/>
        <v>0</v>
      </c>
      <c r="CJ398" s="159">
        <f t="shared" si="1034"/>
        <v>0</v>
      </c>
      <c r="CK398" s="159">
        <f t="shared" si="1034"/>
        <v>0</v>
      </c>
      <c r="CL398" s="159">
        <f t="shared" si="1034"/>
        <v>0</v>
      </c>
      <c r="CM398" s="159">
        <f t="shared" ca="1" si="1034"/>
        <v>-129.37765629253681</v>
      </c>
      <c r="CN398" s="159">
        <f t="shared" ca="1" si="1034"/>
        <v>-150.04240236082569</v>
      </c>
      <c r="CO398" s="159">
        <f t="shared" ca="1" si="1034"/>
        <v>-180.91594654918208</v>
      </c>
      <c r="CP398" s="159">
        <f t="shared" ca="1" si="1034"/>
        <v>-221.42567477791681</v>
      </c>
      <c r="CQ398" s="159">
        <f t="shared" ca="1" si="1034"/>
        <v>-268.65520475854555</v>
      </c>
      <c r="CR398" s="159">
        <f t="shared" ca="1" si="1034"/>
        <v>-242.53455198494885</v>
      </c>
      <c r="CS398" s="159">
        <f t="shared" ca="1" si="1034"/>
        <v>-297.18549462823739</v>
      </c>
      <c r="CT398" s="159">
        <f t="shared" ca="1" si="1034"/>
        <v>-364.31358922010531</v>
      </c>
      <c r="CU398" s="159">
        <f t="shared" ca="1" si="1034"/>
        <v>-445.23259410036144</v>
      </c>
      <c r="CV398" s="159">
        <f t="shared" ca="1" si="933"/>
        <v>-542.24261281214103</v>
      </c>
      <c r="CW398" s="159">
        <f t="shared" ca="1" si="934"/>
        <v>-658.33389202394847</v>
      </c>
      <c r="CX398" s="159">
        <f t="shared" ca="1" si="935"/>
        <v>-797.96351105814574</v>
      </c>
      <c r="CY398" s="159">
        <f t="shared" ca="1" si="936"/>
        <v>-966.97467975596192</v>
      </c>
      <c r="CZ398" s="128"/>
      <c r="DA398" s="104">
        <v>1839.8</v>
      </c>
      <c r="DB398" s="104">
        <v>2134.4</v>
      </c>
      <c r="DC398" s="104">
        <v>2460.6999999999998</v>
      </c>
      <c r="DD398" s="104">
        <v>1931</v>
      </c>
      <c r="DE398" s="104">
        <v>2202.0987389278189</v>
      </c>
      <c r="DF398" s="104">
        <v>2363.5550490288942</v>
      </c>
      <c r="DG398" s="104">
        <v>2545.2856458229062</v>
      </c>
      <c r="DH398" s="104">
        <v>2741.5240747159369</v>
      </c>
      <c r="DI398" s="104">
        <v>2956.1738408022984</v>
      </c>
      <c r="DJ398" s="104">
        <v>3119.884920558924</v>
      </c>
      <c r="DK398" s="104">
        <v>3388.3216357623191</v>
      </c>
      <c r="DL398" s="104">
        <v>3698.1646758437523</v>
      </c>
      <c r="DM398" s="104">
        <v>4057.4239672991425</v>
      </c>
      <c r="DN398" s="104">
        <v>4477.254044822077</v>
      </c>
      <c r="DO398" s="104">
        <v>4972.3744117768947</v>
      </c>
      <c r="DP398" s="104">
        <v>5562.72425629597</v>
      </c>
      <c r="DQ398" s="104">
        <v>6274.3778954528561</v>
      </c>
    </row>
    <row r="399" spans="1:121">
      <c r="A399" s="107" t="s">
        <v>1844</v>
      </c>
      <c r="B399" s="107"/>
      <c r="C399" s="146" t="s">
        <v>2682</v>
      </c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>
        <f t="shared" ref="BC399:BZ399" si="1037">+BC132/BC$196</f>
        <v>-47.661913197602388</v>
      </c>
      <c r="BD399" s="128">
        <f t="shared" si="1037"/>
        <v>-62.630955288413695</v>
      </c>
      <c r="BE399" s="128">
        <f ca="1">+BE132/BE$196</f>
        <v>-55.347614441249718</v>
      </c>
      <c r="BF399" s="128">
        <f t="shared" si="1037"/>
        <v>-54.5</v>
      </c>
      <c r="BG399" s="128">
        <f t="shared" si="1037"/>
        <v>-2.600000000000001</v>
      </c>
      <c r="BH399" s="128">
        <f t="shared" si="1037"/>
        <v>20.400000000000002</v>
      </c>
      <c r="BI399" s="128">
        <f t="shared" si="1037"/>
        <v>4.8000000000000016</v>
      </c>
      <c r="BJ399" s="128">
        <f t="shared" si="1037"/>
        <v>-104.30000000000001</v>
      </c>
      <c r="BK399" s="128">
        <f t="shared" si="1037"/>
        <v>-262.10000000000002</v>
      </c>
      <c r="BL399" s="128">
        <f t="shared" si="1037"/>
        <v>-192.5</v>
      </c>
      <c r="BM399" s="128">
        <f t="shared" si="1037"/>
        <v>-131.20000000000002</v>
      </c>
      <c r="BN399" s="128">
        <f t="shared" si="1037"/>
        <v>-69.5</v>
      </c>
      <c r="BO399" s="128">
        <f t="shared" si="1037"/>
        <v>-28.100000000000005</v>
      </c>
      <c r="BP399" s="128">
        <f t="shared" si="1037"/>
        <v>-175.59999999999997</v>
      </c>
      <c r="BQ399" s="128">
        <f t="shared" si="1037"/>
        <v>-456.69999999999993</v>
      </c>
      <c r="BR399" s="128">
        <f t="shared" si="1037"/>
        <v>-387.3</v>
      </c>
      <c r="BS399" s="128">
        <f t="shared" si="1037"/>
        <v>-413.09999999999997</v>
      </c>
      <c r="BT399" s="128">
        <f t="shared" si="1037"/>
        <v>-376.4</v>
      </c>
      <c r="BU399" s="128">
        <f t="shared" si="1037"/>
        <v>-382.95494649542661</v>
      </c>
      <c r="BV399" s="128">
        <f t="shared" si="1037"/>
        <v>-389.64099192076179</v>
      </c>
      <c r="BW399" s="128">
        <f t="shared" si="1037"/>
        <v>-396.46075825460366</v>
      </c>
      <c r="BX399" s="128">
        <f t="shared" si="1037"/>
        <v>-403.41691991512232</v>
      </c>
      <c r="BY399" s="128">
        <f t="shared" si="1037"/>
        <v>-410.51220480885144</v>
      </c>
      <c r="BZ399" s="128">
        <f t="shared" si="1037"/>
        <v>-417.74939540045506</v>
      </c>
      <c r="CA399" s="128">
        <f t="shared" ref="CA399:CB411" si="1038">+CA132/CA$196</f>
        <v>-425.13132980389082</v>
      </c>
      <c r="CB399" s="128">
        <f t="shared" si="1038"/>
        <v>-432.66090289539534</v>
      </c>
      <c r="CC399" s="128">
        <f t="shared" si="1033"/>
        <v>-440.3410674487298</v>
      </c>
      <c r="CD399" s="128">
        <f t="shared" si="1033"/>
        <v>-448.17483529313103</v>
      </c>
      <c r="CE399" s="128">
        <f t="shared" si="1033"/>
        <v>-456.16527849442025</v>
      </c>
      <c r="CF399" s="128">
        <f t="shared" si="1033"/>
        <v>-464.31553055973518</v>
      </c>
      <c r="CG399" s="128">
        <f t="shared" si="1033"/>
        <v>-472.62878766635657</v>
      </c>
      <c r="CH399" s="128"/>
      <c r="CI399" s="159">
        <f t="shared" si="962"/>
        <v>0</v>
      </c>
      <c r="CJ399" s="159">
        <f t="shared" si="963"/>
        <v>0</v>
      </c>
      <c r="CK399" s="159">
        <f t="shared" si="964"/>
        <v>0</v>
      </c>
      <c r="CL399" s="159">
        <f t="shared" si="965"/>
        <v>0</v>
      </c>
      <c r="CM399" s="159">
        <f t="shared" si="966"/>
        <v>5.6586036472028809</v>
      </c>
      <c r="CN399" s="159">
        <f t="shared" si="967"/>
        <v>11.317207294405762</v>
      </c>
      <c r="CO399" s="159">
        <f t="shared" si="968"/>
        <v>16.9758109416087</v>
      </c>
      <c r="CP399" s="159">
        <f t="shared" si="969"/>
        <v>22.63441458881158</v>
      </c>
      <c r="CQ399" s="159">
        <f t="shared" si="970"/>
        <v>28.293018236014461</v>
      </c>
      <c r="CR399" s="159">
        <f t="shared" si="971"/>
        <v>33.951621883217399</v>
      </c>
      <c r="CS399" s="159">
        <f t="shared" si="972"/>
        <v>39.610225530420223</v>
      </c>
      <c r="CT399" s="159">
        <f t="shared" si="973"/>
        <v>45.26882917762299</v>
      </c>
      <c r="CU399" s="159">
        <f t="shared" si="974"/>
        <v>50.927432824825928</v>
      </c>
      <c r="CV399" s="159">
        <f t="shared" si="933"/>
        <v>56.586036472028866</v>
      </c>
      <c r="CW399" s="159">
        <f t="shared" si="934"/>
        <v>62.24464011923169</v>
      </c>
      <c r="CX399" s="159">
        <f t="shared" si="935"/>
        <v>67.903243766434798</v>
      </c>
      <c r="CY399" s="159">
        <f t="shared" si="936"/>
        <v>73.561847413637622</v>
      </c>
      <c r="CZ399" s="128"/>
      <c r="DA399" s="104">
        <v>-456.69999999999993</v>
      </c>
      <c r="DB399" s="104">
        <v>-387.3</v>
      </c>
      <c r="DC399" s="104">
        <v>-413.09999999999997</v>
      </c>
      <c r="DD399" s="104">
        <v>-376.4</v>
      </c>
      <c r="DE399" s="104">
        <v>-388.61355014262949</v>
      </c>
      <c r="DF399" s="104">
        <v>-400.95819921516755</v>
      </c>
      <c r="DG399" s="104">
        <v>-413.43656919621236</v>
      </c>
      <c r="DH399" s="104">
        <v>-426.0513345039339</v>
      </c>
      <c r="DI399" s="104">
        <v>-438.8052230448659</v>
      </c>
      <c r="DJ399" s="104">
        <v>-451.70101728367246</v>
      </c>
      <c r="DK399" s="104">
        <v>-464.74155533431104</v>
      </c>
      <c r="DL399" s="104">
        <v>-477.92973207301833</v>
      </c>
      <c r="DM399" s="104">
        <v>-491.26850027355573</v>
      </c>
      <c r="DN399" s="104">
        <v>-504.76087176515989</v>
      </c>
      <c r="DO399" s="104">
        <v>-518.40991861365194</v>
      </c>
      <c r="DP399" s="104">
        <v>-532.21877432616998</v>
      </c>
      <c r="DQ399" s="104">
        <v>-546.19063507999419</v>
      </c>
    </row>
    <row r="400" spans="1:121">
      <c r="A400" s="178" t="s">
        <v>1845</v>
      </c>
      <c r="B400" s="107"/>
      <c r="C400" s="146" t="s">
        <v>2682</v>
      </c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>
        <f t="shared" ref="BC400:BZ400" si="1039">+BC133/BC$196</f>
        <v>11.254913971177576</v>
      </c>
      <c r="BD400" s="128">
        <f t="shared" si="1039"/>
        <v>15.533183179108661</v>
      </c>
      <c r="BE400" s="128">
        <f ca="1">+BE133/BE$196</f>
        <v>9.7859614538838411</v>
      </c>
      <c r="BF400" s="128">
        <f t="shared" si="1039"/>
        <v>24.999999999999996</v>
      </c>
      <c r="BG400" s="128">
        <f t="shared" si="1039"/>
        <v>43.6</v>
      </c>
      <c r="BH400" s="128">
        <f t="shared" si="1039"/>
        <v>42.2</v>
      </c>
      <c r="BI400" s="128">
        <f t="shared" si="1039"/>
        <v>29.8</v>
      </c>
      <c r="BJ400" s="128">
        <f t="shared" si="1039"/>
        <v>26.1</v>
      </c>
      <c r="BK400" s="128">
        <f t="shared" si="1039"/>
        <v>16.2</v>
      </c>
      <c r="BL400" s="128">
        <f t="shared" si="1039"/>
        <v>27.099999999999998</v>
      </c>
      <c r="BM400" s="128">
        <f t="shared" si="1039"/>
        <v>27.099999999999998</v>
      </c>
      <c r="BN400" s="128">
        <f t="shared" si="1039"/>
        <v>21.6</v>
      </c>
      <c r="BO400" s="128">
        <f t="shared" si="1039"/>
        <v>14.5</v>
      </c>
      <c r="BP400" s="128">
        <f t="shared" si="1039"/>
        <v>20.6</v>
      </c>
      <c r="BQ400" s="128">
        <f t="shared" si="1039"/>
        <v>27.5</v>
      </c>
      <c r="BR400" s="128">
        <f t="shared" si="1039"/>
        <v>35.5</v>
      </c>
      <c r="BS400" s="128">
        <f t="shared" si="1039"/>
        <v>21.1</v>
      </c>
      <c r="BT400" s="128">
        <f t="shared" si="1039"/>
        <v>8</v>
      </c>
      <c r="BU400" s="128">
        <f t="shared" si="1039"/>
        <v>8.16</v>
      </c>
      <c r="BV400" s="128">
        <f t="shared" si="1039"/>
        <v>8.3231999999999999</v>
      </c>
      <c r="BW400" s="128">
        <f t="shared" si="1039"/>
        <v>8.4896639999999994</v>
      </c>
      <c r="BX400" s="128">
        <f t="shared" si="1039"/>
        <v>8.6594572799999998</v>
      </c>
      <c r="BY400" s="128">
        <f t="shared" si="1039"/>
        <v>8.8326464256000001</v>
      </c>
      <c r="BZ400" s="128">
        <f t="shared" si="1039"/>
        <v>9.0092993541120006</v>
      </c>
      <c r="CA400" s="128">
        <f t="shared" si="1038"/>
        <v>9.1894853411942403</v>
      </c>
      <c r="CB400" s="128">
        <f t="shared" si="1038"/>
        <v>9.3732750480181242</v>
      </c>
      <c r="CC400" s="128">
        <f t="shared" si="1033"/>
        <v>9.5607405489784867</v>
      </c>
      <c r="CD400" s="128">
        <f t="shared" si="1033"/>
        <v>9.7519553599580568</v>
      </c>
      <c r="CE400" s="128">
        <f t="shared" si="1033"/>
        <v>9.9469944671572179</v>
      </c>
      <c r="CF400" s="128">
        <f t="shared" si="1033"/>
        <v>10.145934356500362</v>
      </c>
      <c r="CG400" s="128">
        <f t="shared" si="1033"/>
        <v>10.348853043630371</v>
      </c>
      <c r="CH400" s="128"/>
      <c r="CI400" s="159">
        <f t="shared" si="962"/>
        <v>0</v>
      </c>
      <c r="CJ400" s="159">
        <f t="shared" si="963"/>
        <v>0</v>
      </c>
      <c r="CK400" s="159">
        <f t="shared" si="964"/>
        <v>0</v>
      </c>
      <c r="CL400" s="159">
        <f t="shared" si="965"/>
        <v>0</v>
      </c>
      <c r="CM400" s="159">
        <f t="shared" si="966"/>
        <v>0</v>
      </c>
      <c r="CN400" s="159">
        <f t="shared" si="967"/>
        <v>0</v>
      </c>
      <c r="CO400" s="159">
        <f t="shared" si="968"/>
        <v>0</v>
      </c>
      <c r="CP400" s="159">
        <f t="shared" si="969"/>
        <v>0</v>
      </c>
      <c r="CQ400" s="159">
        <f t="shared" si="970"/>
        <v>0</v>
      </c>
      <c r="CR400" s="159">
        <f t="shared" si="971"/>
        <v>0</v>
      </c>
      <c r="CS400" s="159">
        <f t="shared" si="972"/>
        <v>0</v>
      </c>
      <c r="CT400" s="159">
        <f t="shared" si="973"/>
        <v>0</v>
      </c>
      <c r="CU400" s="159">
        <f t="shared" si="974"/>
        <v>0</v>
      </c>
      <c r="CV400" s="159">
        <f t="shared" si="933"/>
        <v>0</v>
      </c>
      <c r="CW400" s="159">
        <f t="shared" si="934"/>
        <v>0</v>
      </c>
      <c r="CX400" s="159">
        <f t="shared" si="935"/>
        <v>0</v>
      </c>
      <c r="CY400" s="159">
        <f t="shared" si="936"/>
        <v>0</v>
      </c>
      <c r="CZ400" s="128"/>
      <c r="DA400" s="104">
        <v>27.5</v>
      </c>
      <c r="DB400" s="104">
        <v>35.5</v>
      </c>
      <c r="DC400" s="104">
        <v>21.1</v>
      </c>
      <c r="DD400" s="104">
        <v>8</v>
      </c>
      <c r="DE400" s="104">
        <v>8.16</v>
      </c>
      <c r="DF400" s="104">
        <v>8.3231999999999999</v>
      </c>
      <c r="DG400" s="104">
        <v>8.4896639999999994</v>
      </c>
      <c r="DH400" s="104">
        <v>8.6594572799999998</v>
      </c>
      <c r="DI400" s="104">
        <v>8.8326464256000001</v>
      </c>
      <c r="DJ400" s="104">
        <v>9.0092993541119988</v>
      </c>
      <c r="DK400" s="104">
        <v>9.1894853411942403</v>
      </c>
      <c r="DL400" s="104">
        <v>9.3732750480181259</v>
      </c>
      <c r="DM400" s="104">
        <v>9.5607405489784867</v>
      </c>
      <c r="DN400" s="104">
        <v>9.7519553599580568</v>
      </c>
      <c r="DO400" s="104">
        <v>9.9469944671572179</v>
      </c>
      <c r="DP400" s="104">
        <v>10.145934356500362</v>
      </c>
      <c r="DQ400" s="104">
        <v>10.348853043630371</v>
      </c>
    </row>
    <row r="401" spans="1:121">
      <c r="A401" s="178" t="s">
        <v>1846</v>
      </c>
      <c r="B401" s="107"/>
      <c r="C401" s="146" t="s">
        <v>2682</v>
      </c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  <c r="AV401" s="128"/>
      <c r="AW401" s="128"/>
      <c r="AX401" s="128"/>
      <c r="AY401" s="128"/>
      <c r="AZ401" s="128"/>
      <c r="BA401" s="128"/>
      <c r="BB401" s="128"/>
      <c r="BC401" s="128">
        <f t="shared" ref="BC401:BZ401" si="1040">+BC134/BC$196</f>
        <v>58.91682716877996</v>
      </c>
      <c r="BD401" s="128">
        <f t="shared" si="1040"/>
        <v>78.164138467522363</v>
      </c>
      <c r="BE401" s="128">
        <f ca="1">+BE134/BE$196</f>
        <v>65.133575895133561</v>
      </c>
      <c r="BF401" s="128">
        <f t="shared" si="1040"/>
        <v>79.5</v>
      </c>
      <c r="BG401" s="128">
        <f t="shared" si="1040"/>
        <v>46.2</v>
      </c>
      <c r="BH401" s="128">
        <f t="shared" si="1040"/>
        <v>21.8</v>
      </c>
      <c r="BI401" s="128">
        <f t="shared" si="1040"/>
        <v>24.999999999999996</v>
      </c>
      <c r="BJ401" s="128">
        <f t="shared" si="1040"/>
        <v>130.4</v>
      </c>
      <c r="BK401" s="128">
        <f t="shared" si="1040"/>
        <v>278.3</v>
      </c>
      <c r="BL401" s="128">
        <f t="shared" si="1040"/>
        <v>219.6</v>
      </c>
      <c r="BM401" s="128">
        <f t="shared" si="1040"/>
        <v>158.30000000000001</v>
      </c>
      <c r="BN401" s="128">
        <f t="shared" si="1040"/>
        <v>91.1</v>
      </c>
      <c r="BO401" s="128">
        <f t="shared" si="1040"/>
        <v>42.6</v>
      </c>
      <c r="BP401" s="128">
        <f t="shared" si="1040"/>
        <v>196.2</v>
      </c>
      <c r="BQ401" s="128">
        <f t="shared" si="1040"/>
        <v>484.2</v>
      </c>
      <c r="BR401" s="128">
        <f t="shared" si="1040"/>
        <v>422.8</v>
      </c>
      <c r="BS401" s="128">
        <f t="shared" si="1040"/>
        <v>434.2</v>
      </c>
      <c r="BT401" s="128">
        <f t="shared" si="1040"/>
        <v>384.4</v>
      </c>
      <c r="BU401" s="128">
        <f t="shared" si="1040"/>
        <v>391.11494649542658</v>
      </c>
      <c r="BV401" s="128">
        <f t="shared" si="1040"/>
        <v>397.96419192076178</v>
      </c>
      <c r="BW401" s="128">
        <f t="shared" si="1040"/>
        <v>404.95042225460361</v>
      </c>
      <c r="BX401" s="128">
        <f t="shared" si="1040"/>
        <v>412.07637719512229</v>
      </c>
      <c r="BY401" s="128">
        <f t="shared" si="1040"/>
        <v>419.34485123445143</v>
      </c>
      <c r="BZ401" s="128">
        <f t="shared" si="1040"/>
        <v>426.75869475456705</v>
      </c>
      <c r="CA401" s="128">
        <f t="shared" si="1038"/>
        <v>434.32081514508502</v>
      </c>
      <c r="CB401" s="128">
        <f t="shared" si="1038"/>
        <v>442.0341779434134</v>
      </c>
      <c r="CC401" s="128">
        <f t="shared" si="1033"/>
        <v>449.90180799770826</v>
      </c>
      <c r="CD401" s="128">
        <f t="shared" si="1033"/>
        <v>457.92679065308909</v>
      </c>
      <c r="CE401" s="128">
        <f t="shared" si="1033"/>
        <v>466.11227296157745</v>
      </c>
      <c r="CF401" s="128">
        <f t="shared" si="1033"/>
        <v>474.46146491623557</v>
      </c>
      <c r="CG401" s="128">
        <f t="shared" si="1033"/>
        <v>482.97764070998693</v>
      </c>
      <c r="CH401" s="128"/>
      <c r="CI401" s="159">
        <f t="shared" si="962"/>
        <v>0</v>
      </c>
      <c r="CJ401" s="159">
        <f t="shared" si="963"/>
        <v>0</v>
      </c>
      <c r="CK401" s="159">
        <f t="shared" si="964"/>
        <v>0</v>
      </c>
      <c r="CL401" s="159">
        <f t="shared" si="965"/>
        <v>0</v>
      </c>
      <c r="CM401" s="159">
        <f t="shared" si="966"/>
        <v>-5.6586036472029377</v>
      </c>
      <c r="CN401" s="159">
        <f t="shared" si="967"/>
        <v>-11.317207294405762</v>
      </c>
      <c r="CO401" s="159">
        <f t="shared" si="968"/>
        <v>-16.9758109416087</v>
      </c>
      <c r="CP401" s="159">
        <f t="shared" si="969"/>
        <v>-22.63441458881158</v>
      </c>
      <c r="CQ401" s="159">
        <f t="shared" si="970"/>
        <v>-28.293018236014461</v>
      </c>
      <c r="CR401" s="159">
        <f t="shared" si="971"/>
        <v>-33.951621883217399</v>
      </c>
      <c r="CS401" s="159">
        <f t="shared" si="972"/>
        <v>-39.61022553042028</v>
      </c>
      <c r="CT401" s="159">
        <f t="shared" si="973"/>
        <v>-45.268829177623047</v>
      </c>
      <c r="CU401" s="159">
        <f t="shared" si="974"/>
        <v>-50.927432824825985</v>
      </c>
      <c r="CV401" s="159">
        <f t="shared" si="933"/>
        <v>-56.586036472028866</v>
      </c>
      <c r="CW401" s="159">
        <f t="shared" si="934"/>
        <v>-62.244640119231804</v>
      </c>
      <c r="CX401" s="159">
        <f t="shared" si="935"/>
        <v>-67.903243766434741</v>
      </c>
      <c r="CY401" s="159">
        <f t="shared" si="936"/>
        <v>-73.561847413637736</v>
      </c>
      <c r="CZ401" s="128"/>
      <c r="DA401" s="104">
        <v>484.2</v>
      </c>
      <c r="DB401" s="104">
        <v>422.8</v>
      </c>
      <c r="DC401" s="104">
        <v>434.2</v>
      </c>
      <c r="DD401" s="104">
        <v>384.4</v>
      </c>
      <c r="DE401" s="104">
        <v>396.77355014262952</v>
      </c>
      <c r="DF401" s="104">
        <v>409.28139921516754</v>
      </c>
      <c r="DG401" s="104">
        <v>421.92623319621231</v>
      </c>
      <c r="DH401" s="104">
        <v>434.71079178393387</v>
      </c>
      <c r="DI401" s="104">
        <v>447.63786947046589</v>
      </c>
      <c r="DJ401" s="104">
        <v>460.71031663778444</v>
      </c>
      <c r="DK401" s="104">
        <v>473.9310406755053</v>
      </c>
      <c r="DL401" s="104">
        <v>487.30300712103644</v>
      </c>
      <c r="DM401" s="104">
        <v>500.82924082253425</v>
      </c>
      <c r="DN401" s="104">
        <v>514.51282712511795</v>
      </c>
      <c r="DO401" s="104">
        <v>528.35691308080925</v>
      </c>
      <c r="DP401" s="104">
        <v>542.36470868267031</v>
      </c>
      <c r="DQ401" s="104">
        <v>556.53948812362466</v>
      </c>
    </row>
    <row r="402" spans="1:121">
      <c r="A402" s="138" t="s">
        <v>1847</v>
      </c>
      <c r="B402" s="107"/>
      <c r="C402" s="146" t="s">
        <v>2682</v>
      </c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>
        <f t="shared" ref="BC402:BZ402" si="1041">+BC135/BC$196</f>
        <v>-5.578677996300617</v>
      </c>
      <c r="BD402" s="128">
        <f t="shared" si="1041"/>
        <v>12.745380043960814</v>
      </c>
      <c r="BE402" s="128">
        <f ca="1">+BE135/BE$196</f>
        <v>8.484362484134417</v>
      </c>
      <c r="BF402" s="128">
        <f t="shared" si="1041"/>
        <v>35.9</v>
      </c>
      <c r="BG402" s="128">
        <f t="shared" si="1041"/>
        <v>77.400000000000006</v>
      </c>
      <c r="BH402" s="128">
        <f t="shared" si="1041"/>
        <v>90.5</v>
      </c>
      <c r="BI402" s="128">
        <f t="shared" si="1041"/>
        <v>94</v>
      </c>
      <c r="BJ402" s="128">
        <f t="shared" si="1041"/>
        <v>86.5</v>
      </c>
      <c r="BK402" s="128">
        <f t="shared" si="1041"/>
        <v>87.3</v>
      </c>
      <c r="BL402" s="128">
        <f t="shared" si="1041"/>
        <v>72.8</v>
      </c>
      <c r="BM402" s="128">
        <f t="shared" si="1041"/>
        <v>66.599999999999994</v>
      </c>
      <c r="BN402" s="128">
        <f t="shared" si="1041"/>
        <v>71.2</v>
      </c>
      <c r="BO402" s="128">
        <f t="shared" si="1041"/>
        <v>65.3</v>
      </c>
      <c r="BP402" s="128">
        <f t="shared" si="1041"/>
        <v>101.79999999999998</v>
      </c>
      <c r="BQ402" s="128">
        <f t="shared" si="1041"/>
        <v>99.7</v>
      </c>
      <c r="BR402" s="128">
        <f t="shared" si="1041"/>
        <v>102.80000000000001</v>
      </c>
      <c r="BS402" s="128">
        <f t="shared" si="1041"/>
        <v>89.7</v>
      </c>
      <c r="BT402" s="128">
        <f t="shared" si="1041"/>
        <v>116.69999999999999</v>
      </c>
      <c r="BU402" s="128">
        <f t="shared" si="1041"/>
        <v>120.93854399999999</v>
      </c>
      <c r="BV402" s="128">
        <f t="shared" si="1041"/>
        <v>125.33103191808</v>
      </c>
      <c r="BW402" s="128">
        <f t="shared" si="1041"/>
        <v>129.88305499734469</v>
      </c>
      <c r="BX402" s="128">
        <f t="shared" si="1041"/>
        <v>134.60040755484823</v>
      </c>
      <c r="BY402" s="128">
        <f t="shared" si="1041"/>
        <v>139.4890943572403</v>
      </c>
      <c r="BZ402" s="128">
        <f t="shared" si="1041"/>
        <v>144.55533826429527</v>
      </c>
      <c r="CA402" s="128">
        <f t="shared" si="1038"/>
        <v>149.80558815005449</v>
      </c>
      <c r="CB402" s="128">
        <f t="shared" si="1038"/>
        <v>155.24652711166451</v>
      </c>
      <c r="CC402" s="128">
        <f t="shared" si="1033"/>
        <v>160.88508097636017</v>
      </c>
      <c r="CD402" s="128">
        <f t="shared" si="1033"/>
        <v>166.72842711742157</v>
      </c>
      <c r="CE402" s="128">
        <f t="shared" si="1033"/>
        <v>172.78400359032634</v>
      </c>
      <c r="CF402" s="128">
        <f t="shared" si="1033"/>
        <v>179.05951860072699</v>
      </c>
      <c r="CG402" s="128">
        <f t="shared" si="1033"/>
        <v>185.56296031630538</v>
      </c>
      <c r="CH402" s="128"/>
      <c r="CI402" s="159">
        <f t="shared" si="962"/>
        <v>0</v>
      </c>
      <c r="CJ402" s="159">
        <f t="shared" si="963"/>
        <v>0</v>
      </c>
      <c r="CK402" s="159">
        <f t="shared" si="964"/>
        <v>0</v>
      </c>
      <c r="CL402" s="159">
        <f t="shared" si="965"/>
        <v>0</v>
      </c>
      <c r="CM402" s="159">
        <f t="shared" si="966"/>
        <v>0</v>
      </c>
      <c r="CN402" s="159">
        <f t="shared" si="967"/>
        <v>0</v>
      </c>
      <c r="CO402" s="159">
        <f t="shared" si="968"/>
        <v>0</v>
      </c>
      <c r="CP402" s="159">
        <f t="shared" si="969"/>
        <v>0</v>
      </c>
      <c r="CQ402" s="159">
        <f t="shared" si="970"/>
        <v>0</v>
      </c>
      <c r="CR402" s="159">
        <f t="shared" si="971"/>
        <v>0</v>
      </c>
      <c r="CS402" s="159">
        <f t="shared" si="972"/>
        <v>0</v>
      </c>
      <c r="CT402" s="159">
        <f t="shared" si="973"/>
        <v>0</v>
      </c>
      <c r="CU402" s="159">
        <f t="shared" si="974"/>
        <v>0</v>
      </c>
      <c r="CV402" s="159">
        <f t="shared" si="933"/>
        <v>0</v>
      </c>
      <c r="CW402" s="159">
        <f t="shared" si="934"/>
        <v>0</v>
      </c>
      <c r="CX402" s="159">
        <f t="shared" si="935"/>
        <v>0</v>
      </c>
      <c r="CY402" s="159">
        <f t="shared" si="936"/>
        <v>0</v>
      </c>
      <c r="CZ402" s="128"/>
      <c r="DA402" s="104">
        <v>99.7</v>
      </c>
      <c r="DB402" s="104">
        <v>102.80000000000001</v>
      </c>
      <c r="DC402" s="104">
        <v>89.7</v>
      </c>
      <c r="DD402" s="104">
        <v>116.69999999999999</v>
      </c>
      <c r="DE402" s="104">
        <v>120.93854400000001</v>
      </c>
      <c r="DF402" s="104">
        <v>125.33103191808</v>
      </c>
      <c r="DG402" s="104">
        <v>129.88305499734466</v>
      </c>
      <c r="DH402" s="104">
        <v>134.60040755484823</v>
      </c>
      <c r="DI402" s="104">
        <v>139.48909435724033</v>
      </c>
      <c r="DJ402" s="104">
        <v>144.55533826429527</v>
      </c>
      <c r="DK402" s="104">
        <v>149.80558815005449</v>
      </c>
      <c r="DL402" s="104">
        <v>155.24652711166448</v>
      </c>
      <c r="DM402" s="104">
        <v>160.88508097636014</v>
      </c>
      <c r="DN402" s="104">
        <v>166.72842711742155</v>
      </c>
      <c r="DO402" s="104">
        <v>172.78400359032631</v>
      </c>
      <c r="DP402" s="104">
        <v>179.05951860072696</v>
      </c>
      <c r="DQ402" s="104">
        <v>185.56296031630538</v>
      </c>
    </row>
    <row r="403" spans="1:121">
      <c r="A403" s="145" t="s">
        <v>2144</v>
      </c>
      <c r="B403" s="145"/>
      <c r="C403" s="146" t="s">
        <v>2682</v>
      </c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>
        <f t="shared" ref="BC403:BZ403" si="1042">+BC136/BC$196</f>
        <v>-22.337705134733341</v>
      </c>
      <c r="BD403" s="128">
        <f t="shared" si="1042"/>
        <v>-13.117418794605303</v>
      </c>
      <c r="BE403" s="128">
        <f t="shared" si="1042"/>
        <v>-11.740938518455156</v>
      </c>
      <c r="BF403" s="128">
        <f t="shared" si="1042"/>
        <v>-236.2</v>
      </c>
      <c r="BG403" s="128">
        <f t="shared" si="1042"/>
        <v>-358.29999999999995</v>
      </c>
      <c r="BH403" s="128">
        <f t="shared" si="1042"/>
        <v>-16.300000000000015</v>
      </c>
      <c r="BI403" s="128">
        <f t="shared" si="1042"/>
        <v>-52.800000000000004</v>
      </c>
      <c r="BJ403" s="128">
        <f t="shared" si="1042"/>
        <v>-447.69999999999993</v>
      </c>
      <c r="BK403" s="128">
        <f t="shared" si="1042"/>
        <v>-49.900000000000013</v>
      </c>
      <c r="BL403" s="128">
        <f t="shared" si="1042"/>
        <v>495.7</v>
      </c>
      <c r="BM403" s="128">
        <f t="shared" si="1042"/>
        <v>429.2</v>
      </c>
      <c r="BN403" s="128">
        <f t="shared" si="1042"/>
        <v>689.4</v>
      </c>
      <c r="BO403" s="128">
        <f t="shared" si="1042"/>
        <v>738.50000000000011</v>
      </c>
      <c r="BP403" s="128">
        <f t="shared" si="1042"/>
        <v>431.99999999999994</v>
      </c>
      <c r="BQ403" s="128">
        <f t="shared" si="1042"/>
        <v>266.06666666666666</v>
      </c>
      <c r="BR403" s="128">
        <f t="shared" si="1042"/>
        <v>299.09999999999997</v>
      </c>
      <c r="BS403" s="128">
        <f t="shared" si="1042"/>
        <v>777.6</v>
      </c>
      <c r="BT403" s="128">
        <f t="shared" si="1042"/>
        <v>-301.60000000000002</v>
      </c>
      <c r="BU403" s="128">
        <f t="shared" si="1042"/>
        <v>-185.24475524475523</v>
      </c>
      <c r="BV403" s="128">
        <f t="shared" si="1042"/>
        <v>-185.24475524475523</v>
      </c>
      <c r="BW403" s="128">
        <f t="shared" si="1042"/>
        <v>-185.24475524475523</v>
      </c>
      <c r="BX403" s="128">
        <f t="shared" si="1042"/>
        <v>-185.24475524475523</v>
      </c>
      <c r="BY403" s="128">
        <f t="shared" si="1042"/>
        <v>-185.24475524475523</v>
      </c>
      <c r="BZ403" s="128">
        <f t="shared" si="1042"/>
        <v>-185.24475524475523</v>
      </c>
      <c r="CA403" s="128">
        <f t="shared" si="1038"/>
        <v>-185.24475524475523</v>
      </c>
      <c r="CB403" s="128">
        <f t="shared" si="1038"/>
        <v>-185.24475524475523</v>
      </c>
      <c r="CC403" s="128">
        <f t="shared" si="1033"/>
        <v>-185.24475524475523</v>
      </c>
      <c r="CD403" s="128">
        <f t="shared" si="1033"/>
        <v>-185.24475524475523</v>
      </c>
      <c r="CE403" s="128">
        <f t="shared" si="1033"/>
        <v>-185.24475524475523</v>
      </c>
      <c r="CF403" s="128">
        <f t="shared" si="1033"/>
        <v>-185.24475524475523</v>
      </c>
      <c r="CG403" s="128">
        <f t="shared" si="1033"/>
        <v>-185.24475524475523</v>
      </c>
      <c r="CH403" s="128"/>
      <c r="CI403" s="159">
        <f t="shared" si="962"/>
        <v>0</v>
      </c>
      <c r="CJ403" s="159">
        <f t="shared" ref="CJ403:CU403" si="1043">BR403-DB403</f>
        <v>0</v>
      </c>
      <c r="CK403" s="159">
        <f t="shared" si="1043"/>
        <v>0</v>
      </c>
      <c r="CL403" s="159">
        <f t="shared" si="1043"/>
        <v>0</v>
      </c>
      <c r="CM403" s="159">
        <f t="shared" si="1043"/>
        <v>-148</v>
      </c>
      <c r="CN403" s="159">
        <f t="shared" si="1043"/>
        <v>-148</v>
      </c>
      <c r="CO403" s="159">
        <f t="shared" si="1043"/>
        <v>-148</v>
      </c>
      <c r="CP403" s="159">
        <f t="shared" si="1043"/>
        <v>-148</v>
      </c>
      <c r="CQ403" s="159">
        <f t="shared" si="1043"/>
        <v>-148</v>
      </c>
      <c r="CR403" s="159">
        <f t="shared" si="1043"/>
        <v>-148</v>
      </c>
      <c r="CS403" s="159">
        <f t="shared" si="1043"/>
        <v>-148</v>
      </c>
      <c r="CT403" s="159">
        <f t="shared" si="1043"/>
        <v>-148</v>
      </c>
      <c r="CU403" s="159">
        <f t="shared" si="1043"/>
        <v>-148</v>
      </c>
      <c r="CV403" s="159">
        <f t="shared" si="933"/>
        <v>-148</v>
      </c>
      <c r="CW403" s="159">
        <f t="shared" si="934"/>
        <v>-148</v>
      </c>
      <c r="CX403" s="159">
        <f t="shared" si="935"/>
        <v>-148</v>
      </c>
      <c r="CY403" s="159">
        <f t="shared" si="936"/>
        <v>-148</v>
      </c>
      <c r="CZ403" s="128"/>
      <c r="DA403" s="104">
        <v>266.06666666666666</v>
      </c>
      <c r="DB403" s="104">
        <v>299.09999999999997</v>
      </c>
      <c r="DC403" s="104">
        <v>777.6</v>
      </c>
      <c r="DD403" s="104">
        <v>-301.60000000000002</v>
      </c>
      <c r="DE403" s="104">
        <v>-37.244755244755233</v>
      </c>
      <c r="DF403" s="104">
        <v>-37.244755244755233</v>
      </c>
      <c r="DG403" s="104">
        <v>-37.244755244755233</v>
      </c>
      <c r="DH403" s="104">
        <v>-37.244755244755233</v>
      </c>
      <c r="DI403" s="104">
        <v>-37.244755244755233</v>
      </c>
      <c r="DJ403" s="104">
        <v>-37.244755244755233</v>
      </c>
      <c r="DK403" s="104">
        <v>-37.244755244755233</v>
      </c>
      <c r="DL403" s="104">
        <v>-37.244755244755233</v>
      </c>
      <c r="DM403" s="104">
        <v>-37.244755244755233</v>
      </c>
      <c r="DN403" s="104">
        <v>-37.244755244755233</v>
      </c>
      <c r="DO403" s="104">
        <v>-37.244755244755233</v>
      </c>
      <c r="DP403" s="104">
        <v>-37.244755244755233</v>
      </c>
      <c r="DQ403" s="104">
        <v>-37.244755244755233</v>
      </c>
    </row>
    <row r="404" spans="1:121">
      <c r="A404" s="194" t="s">
        <v>1848</v>
      </c>
      <c r="C404" s="146" t="s">
        <v>2682</v>
      </c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  <c r="AV404" s="128"/>
      <c r="AW404" s="128"/>
      <c r="AX404" s="128"/>
      <c r="AY404" s="128"/>
      <c r="AZ404" s="128"/>
      <c r="BA404" s="128"/>
      <c r="BB404" s="128"/>
      <c r="BC404" s="128">
        <f t="shared" ref="BC404:BZ404" si="1044">+BC137/BC$196</f>
        <v>0</v>
      </c>
      <c r="BD404" s="128">
        <f t="shared" si="1044"/>
        <v>0</v>
      </c>
      <c r="BE404" s="128">
        <f t="shared" si="1044"/>
        <v>0</v>
      </c>
      <c r="BF404" s="128">
        <f t="shared" si="1044"/>
        <v>19.3</v>
      </c>
      <c r="BG404" s="128">
        <f t="shared" si="1044"/>
        <v>8.1</v>
      </c>
      <c r="BH404" s="128">
        <f t="shared" si="1044"/>
        <v>31.900000000000002</v>
      </c>
      <c r="BI404" s="128">
        <f t="shared" si="1044"/>
        <v>88.4</v>
      </c>
      <c r="BJ404" s="128">
        <f t="shared" si="1044"/>
        <v>53.9</v>
      </c>
      <c r="BK404" s="128">
        <f t="shared" si="1044"/>
        <v>35</v>
      </c>
      <c r="BL404" s="128">
        <f t="shared" si="1044"/>
        <v>8.6</v>
      </c>
      <c r="BM404" s="128">
        <f t="shared" si="1044"/>
        <v>0.1</v>
      </c>
      <c r="BN404" s="128">
        <f t="shared" si="1044"/>
        <v>0.7</v>
      </c>
      <c r="BO404" s="128">
        <f t="shared" si="1044"/>
        <v>1.4000000000000001</v>
      </c>
      <c r="BP404" s="128">
        <f t="shared" si="1044"/>
        <v>19.399999999999999</v>
      </c>
      <c r="BQ404" s="128">
        <f t="shared" si="1044"/>
        <v>6.6666666666666661</v>
      </c>
      <c r="BR404" s="128">
        <f t="shared" si="1044"/>
        <v>0.9</v>
      </c>
      <c r="BS404" s="128">
        <f t="shared" si="1044"/>
        <v>4.0999999999999996</v>
      </c>
      <c r="BT404" s="128">
        <f t="shared" si="1044"/>
        <v>0</v>
      </c>
      <c r="BU404" s="128">
        <f t="shared" si="1044"/>
        <v>0</v>
      </c>
      <c r="BV404" s="128">
        <f t="shared" si="1044"/>
        <v>0</v>
      </c>
      <c r="BW404" s="128">
        <f t="shared" si="1044"/>
        <v>0</v>
      </c>
      <c r="BX404" s="128">
        <f t="shared" si="1044"/>
        <v>0</v>
      </c>
      <c r="BY404" s="128">
        <f t="shared" si="1044"/>
        <v>0</v>
      </c>
      <c r="BZ404" s="128">
        <f t="shared" si="1044"/>
        <v>0</v>
      </c>
      <c r="CA404" s="128">
        <f t="shared" si="1038"/>
        <v>0</v>
      </c>
      <c r="CB404" s="128">
        <f t="shared" si="1038"/>
        <v>0</v>
      </c>
      <c r="CC404" s="128">
        <f t="shared" si="1033"/>
        <v>0</v>
      </c>
      <c r="CD404" s="128">
        <f t="shared" si="1033"/>
        <v>0</v>
      </c>
      <c r="CE404" s="128">
        <f t="shared" si="1033"/>
        <v>0</v>
      </c>
      <c r="CF404" s="128">
        <f t="shared" si="1033"/>
        <v>0</v>
      </c>
      <c r="CG404" s="128">
        <f t="shared" si="1033"/>
        <v>0</v>
      </c>
      <c r="CH404" s="128"/>
      <c r="CI404" s="159">
        <f t="shared" si="962"/>
        <v>0</v>
      </c>
      <c r="CJ404" s="159">
        <f t="shared" si="963"/>
        <v>0</v>
      </c>
      <c r="CK404" s="159">
        <f t="shared" si="964"/>
        <v>0</v>
      </c>
      <c r="CL404" s="159">
        <f t="shared" si="965"/>
        <v>0</v>
      </c>
      <c r="CM404" s="159">
        <f t="shared" si="966"/>
        <v>0</v>
      </c>
      <c r="CN404" s="159">
        <f t="shared" si="967"/>
        <v>0</v>
      </c>
      <c r="CO404" s="159">
        <f t="shared" si="968"/>
        <v>0</v>
      </c>
      <c r="CP404" s="159">
        <f t="shared" si="969"/>
        <v>0</v>
      </c>
      <c r="CQ404" s="159">
        <f t="shared" si="970"/>
        <v>0</v>
      </c>
      <c r="CR404" s="159">
        <f t="shared" si="971"/>
        <v>0</v>
      </c>
      <c r="CS404" s="159">
        <f t="shared" si="972"/>
        <v>0</v>
      </c>
      <c r="CT404" s="159">
        <f t="shared" si="973"/>
        <v>0</v>
      </c>
      <c r="CU404" s="159">
        <f t="shared" si="974"/>
        <v>0</v>
      </c>
      <c r="CV404" s="159">
        <f t="shared" si="933"/>
        <v>0</v>
      </c>
      <c r="CW404" s="159">
        <f t="shared" si="934"/>
        <v>0</v>
      </c>
      <c r="CX404" s="159">
        <f t="shared" si="935"/>
        <v>0</v>
      </c>
      <c r="CY404" s="159">
        <f t="shared" si="936"/>
        <v>0</v>
      </c>
      <c r="CZ404" s="128"/>
      <c r="DA404" s="104">
        <v>6.6666666666666661</v>
      </c>
      <c r="DB404" s="104">
        <v>0.9</v>
      </c>
      <c r="DC404" s="104">
        <v>4.0999999999999996</v>
      </c>
      <c r="DD404" s="104">
        <v>0</v>
      </c>
      <c r="DE404" s="104">
        <v>0</v>
      </c>
      <c r="DF404" s="104">
        <v>0</v>
      </c>
      <c r="DG404" s="104">
        <v>0</v>
      </c>
      <c r="DH404" s="104">
        <v>0</v>
      </c>
      <c r="DI404" s="104">
        <v>0</v>
      </c>
      <c r="DJ404" s="104">
        <v>0</v>
      </c>
      <c r="DK404" s="104">
        <v>0</v>
      </c>
      <c r="DL404" s="104">
        <v>0</v>
      </c>
      <c r="DM404" s="104">
        <v>0</v>
      </c>
      <c r="DN404" s="104">
        <v>0</v>
      </c>
      <c r="DO404" s="104">
        <v>0</v>
      </c>
      <c r="DP404" s="104">
        <v>0</v>
      </c>
      <c r="DQ404" s="104">
        <v>0</v>
      </c>
    </row>
    <row r="405" spans="1:121">
      <c r="A405" s="195" t="s">
        <v>1845</v>
      </c>
      <c r="C405" s="146" t="s">
        <v>2682</v>
      </c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  <c r="AV405" s="128"/>
      <c r="AW405" s="128"/>
      <c r="AX405" s="128"/>
      <c r="AY405" s="128"/>
      <c r="AZ405" s="128"/>
      <c r="BA405" s="128"/>
      <c r="BB405" s="128"/>
      <c r="BC405" s="128">
        <f t="shared" ref="BC405:BZ405" si="1045">+BC138/BC$196</f>
        <v>0</v>
      </c>
      <c r="BD405" s="128">
        <f t="shared" si="1045"/>
        <v>0</v>
      </c>
      <c r="BE405" s="128">
        <f t="shared" si="1045"/>
        <v>0</v>
      </c>
      <c r="BF405" s="128">
        <f t="shared" si="1045"/>
        <v>19.3</v>
      </c>
      <c r="BG405" s="128">
        <f t="shared" si="1045"/>
        <v>8.1</v>
      </c>
      <c r="BH405" s="128">
        <f t="shared" si="1045"/>
        <v>31.900000000000002</v>
      </c>
      <c r="BI405" s="128">
        <f t="shared" si="1045"/>
        <v>87.9</v>
      </c>
      <c r="BJ405" s="128">
        <f t="shared" si="1045"/>
        <v>53.9</v>
      </c>
      <c r="BK405" s="128">
        <f t="shared" si="1045"/>
        <v>35</v>
      </c>
      <c r="BL405" s="128">
        <f t="shared" si="1045"/>
        <v>0.8</v>
      </c>
      <c r="BM405" s="128">
        <f t="shared" si="1045"/>
        <v>0.1</v>
      </c>
      <c r="BN405" s="128">
        <f t="shared" si="1045"/>
        <v>0.1</v>
      </c>
      <c r="BO405" s="128">
        <f t="shared" si="1045"/>
        <v>1.3</v>
      </c>
      <c r="BP405" s="128">
        <f t="shared" si="1045"/>
        <v>19.399999999999999</v>
      </c>
      <c r="BQ405" s="128">
        <f t="shared" si="1045"/>
        <v>1.0666666666666664</v>
      </c>
      <c r="BR405" s="128">
        <f t="shared" si="1045"/>
        <v>0.2</v>
      </c>
      <c r="BS405" s="128">
        <f t="shared" si="1045"/>
        <v>0.6</v>
      </c>
      <c r="BT405" s="128">
        <f t="shared" si="1045"/>
        <v>0</v>
      </c>
      <c r="BU405" s="128">
        <f t="shared" si="1045"/>
        <v>0</v>
      </c>
      <c r="BV405" s="128">
        <f t="shared" si="1045"/>
        <v>0</v>
      </c>
      <c r="BW405" s="128">
        <f t="shared" si="1045"/>
        <v>0</v>
      </c>
      <c r="BX405" s="128">
        <f t="shared" si="1045"/>
        <v>0</v>
      </c>
      <c r="BY405" s="128">
        <f t="shared" si="1045"/>
        <v>0</v>
      </c>
      <c r="BZ405" s="128">
        <f t="shared" si="1045"/>
        <v>0</v>
      </c>
      <c r="CA405" s="128">
        <f t="shared" si="1038"/>
        <v>0</v>
      </c>
      <c r="CB405" s="128">
        <f t="shared" si="1038"/>
        <v>0</v>
      </c>
      <c r="CC405" s="128">
        <f t="shared" si="1033"/>
        <v>0</v>
      </c>
      <c r="CD405" s="128">
        <f t="shared" si="1033"/>
        <v>0</v>
      </c>
      <c r="CE405" s="128">
        <f t="shared" si="1033"/>
        <v>0</v>
      </c>
      <c r="CF405" s="128">
        <f t="shared" si="1033"/>
        <v>0</v>
      </c>
      <c r="CG405" s="128">
        <f t="shared" si="1033"/>
        <v>0</v>
      </c>
      <c r="CH405" s="128"/>
      <c r="CI405" s="159">
        <f t="shared" si="962"/>
        <v>0</v>
      </c>
      <c r="CJ405" s="159">
        <f t="shared" si="963"/>
        <v>0</v>
      </c>
      <c r="CK405" s="159">
        <f t="shared" si="964"/>
        <v>0</v>
      </c>
      <c r="CL405" s="159">
        <f t="shared" si="965"/>
        <v>0</v>
      </c>
      <c r="CM405" s="159">
        <f t="shared" si="966"/>
        <v>0</v>
      </c>
      <c r="CN405" s="159">
        <f t="shared" si="967"/>
        <v>0</v>
      </c>
      <c r="CO405" s="159">
        <f t="shared" si="968"/>
        <v>0</v>
      </c>
      <c r="CP405" s="159">
        <f t="shared" si="969"/>
        <v>0</v>
      </c>
      <c r="CQ405" s="159">
        <f t="shared" si="970"/>
        <v>0</v>
      </c>
      <c r="CR405" s="159">
        <f t="shared" si="971"/>
        <v>0</v>
      </c>
      <c r="CS405" s="159">
        <f t="shared" si="972"/>
        <v>0</v>
      </c>
      <c r="CT405" s="159">
        <f t="shared" si="973"/>
        <v>0</v>
      </c>
      <c r="CU405" s="159">
        <f t="shared" si="974"/>
        <v>0</v>
      </c>
      <c r="CV405" s="159">
        <f t="shared" si="933"/>
        <v>0</v>
      </c>
      <c r="CW405" s="159">
        <f t="shared" si="934"/>
        <v>0</v>
      </c>
      <c r="CX405" s="159">
        <f t="shared" si="935"/>
        <v>0</v>
      </c>
      <c r="CY405" s="159">
        <f t="shared" si="936"/>
        <v>0</v>
      </c>
      <c r="CZ405" s="128"/>
      <c r="DA405" s="104">
        <v>1.0666666666666664</v>
      </c>
      <c r="DB405" s="104">
        <v>0.2</v>
      </c>
      <c r="DC405" s="104">
        <v>0.6</v>
      </c>
      <c r="DD405" s="104">
        <v>0</v>
      </c>
      <c r="DE405" s="104">
        <v>0</v>
      </c>
      <c r="DF405" s="104">
        <v>0</v>
      </c>
      <c r="DG405" s="104">
        <v>0</v>
      </c>
      <c r="DH405" s="104">
        <v>0</v>
      </c>
      <c r="DI405" s="104">
        <v>0</v>
      </c>
      <c r="DJ405" s="104">
        <v>0</v>
      </c>
      <c r="DK405" s="104">
        <v>0</v>
      </c>
      <c r="DL405" s="104">
        <v>0</v>
      </c>
      <c r="DM405" s="104">
        <v>0</v>
      </c>
      <c r="DN405" s="104">
        <v>0</v>
      </c>
      <c r="DO405" s="104">
        <v>0</v>
      </c>
      <c r="DP405" s="104">
        <v>0</v>
      </c>
      <c r="DQ405" s="104">
        <v>0</v>
      </c>
    </row>
    <row r="406" spans="1:121">
      <c r="A406" s="178" t="s">
        <v>1846</v>
      </c>
      <c r="B406" s="107"/>
      <c r="C406" s="146" t="s">
        <v>2682</v>
      </c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  <c r="AV406" s="128"/>
      <c r="AW406" s="128"/>
      <c r="AX406" s="128"/>
      <c r="AY406" s="128"/>
      <c r="AZ406" s="128"/>
      <c r="BA406" s="128"/>
      <c r="BB406" s="128"/>
      <c r="BC406" s="128">
        <f t="shared" ref="BC406:BZ406" si="1046">+BC139/BC$196</f>
        <v>0</v>
      </c>
      <c r="BD406" s="128">
        <f t="shared" si="1046"/>
        <v>0</v>
      </c>
      <c r="BE406" s="128">
        <f t="shared" si="1046"/>
        <v>0</v>
      </c>
      <c r="BF406" s="128">
        <f t="shared" si="1046"/>
        <v>0</v>
      </c>
      <c r="BG406" s="128">
        <f t="shared" si="1046"/>
        <v>0</v>
      </c>
      <c r="BH406" s="128">
        <f t="shared" si="1046"/>
        <v>0</v>
      </c>
      <c r="BI406" s="128">
        <f t="shared" si="1046"/>
        <v>-0.5</v>
      </c>
      <c r="BJ406" s="128">
        <f t="shared" si="1046"/>
        <v>0</v>
      </c>
      <c r="BK406" s="128">
        <f t="shared" si="1046"/>
        <v>0</v>
      </c>
      <c r="BL406" s="128">
        <f t="shared" si="1046"/>
        <v>-7.8</v>
      </c>
      <c r="BM406" s="128">
        <f t="shared" si="1046"/>
        <v>0</v>
      </c>
      <c r="BN406" s="128">
        <f t="shared" si="1046"/>
        <v>-0.6</v>
      </c>
      <c r="BO406" s="128">
        <f t="shared" si="1046"/>
        <v>-0.1</v>
      </c>
      <c r="BP406" s="128">
        <f t="shared" si="1046"/>
        <v>0</v>
      </c>
      <c r="BQ406" s="128">
        <f t="shared" si="1046"/>
        <v>-5.6</v>
      </c>
      <c r="BR406" s="128">
        <f t="shared" si="1046"/>
        <v>-0.7</v>
      </c>
      <c r="BS406" s="128">
        <f t="shared" si="1046"/>
        <v>-3.5</v>
      </c>
      <c r="BT406" s="128">
        <f t="shared" si="1046"/>
        <v>0</v>
      </c>
      <c r="BU406" s="128">
        <f t="shared" si="1046"/>
        <v>0</v>
      </c>
      <c r="BV406" s="128">
        <f t="shared" si="1046"/>
        <v>0</v>
      </c>
      <c r="BW406" s="128">
        <f t="shared" si="1046"/>
        <v>0</v>
      </c>
      <c r="BX406" s="128">
        <f t="shared" si="1046"/>
        <v>0</v>
      </c>
      <c r="BY406" s="128">
        <f t="shared" si="1046"/>
        <v>0</v>
      </c>
      <c r="BZ406" s="128">
        <f t="shared" si="1046"/>
        <v>0</v>
      </c>
      <c r="CA406" s="128">
        <f t="shared" si="1038"/>
        <v>0</v>
      </c>
      <c r="CB406" s="128">
        <f t="shared" si="1038"/>
        <v>0</v>
      </c>
      <c r="CC406" s="128">
        <f t="shared" si="1033"/>
        <v>0</v>
      </c>
      <c r="CD406" s="128">
        <f t="shared" si="1033"/>
        <v>0</v>
      </c>
      <c r="CE406" s="128">
        <f t="shared" si="1033"/>
        <v>0</v>
      </c>
      <c r="CF406" s="128">
        <f t="shared" si="1033"/>
        <v>0</v>
      </c>
      <c r="CG406" s="128">
        <f t="shared" si="1033"/>
        <v>0</v>
      </c>
      <c r="CH406" s="128"/>
      <c r="CI406" s="159">
        <f t="shared" si="962"/>
        <v>0</v>
      </c>
      <c r="CJ406" s="159">
        <f t="shared" si="963"/>
        <v>0</v>
      </c>
      <c r="CK406" s="159">
        <f t="shared" si="964"/>
        <v>0</v>
      </c>
      <c r="CL406" s="159">
        <f t="shared" si="965"/>
        <v>0</v>
      </c>
      <c r="CM406" s="159">
        <f t="shared" si="966"/>
        <v>0</v>
      </c>
      <c r="CN406" s="159">
        <f t="shared" si="967"/>
        <v>0</v>
      </c>
      <c r="CO406" s="159">
        <f t="shared" si="968"/>
        <v>0</v>
      </c>
      <c r="CP406" s="159">
        <f t="shared" si="969"/>
        <v>0</v>
      </c>
      <c r="CQ406" s="159">
        <f t="shared" si="970"/>
        <v>0</v>
      </c>
      <c r="CR406" s="159">
        <f t="shared" si="971"/>
        <v>0</v>
      </c>
      <c r="CS406" s="159">
        <f t="shared" si="972"/>
        <v>0</v>
      </c>
      <c r="CT406" s="159">
        <f t="shared" si="973"/>
        <v>0</v>
      </c>
      <c r="CU406" s="159">
        <f t="shared" si="974"/>
        <v>0</v>
      </c>
      <c r="CV406" s="159">
        <f t="shared" si="933"/>
        <v>0</v>
      </c>
      <c r="CW406" s="159">
        <f t="shared" si="934"/>
        <v>0</v>
      </c>
      <c r="CX406" s="159">
        <f t="shared" si="935"/>
        <v>0</v>
      </c>
      <c r="CY406" s="159">
        <f t="shared" si="936"/>
        <v>0</v>
      </c>
      <c r="CZ406" s="128"/>
      <c r="DA406" s="104">
        <v>-5.6</v>
      </c>
      <c r="DB406" s="104">
        <v>-0.7</v>
      </c>
      <c r="DC406" s="104">
        <v>-3.5</v>
      </c>
      <c r="DD406" s="104">
        <v>0</v>
      </c>
      <c r="DE406" s="104">
        <v>0</v>
      </c>
      <c r="DF406" s="104">
        <v>0</v>
      </c>
      <c r="DG406" s="104">
        <v>0</v>
      </c>
      <c r="DH406" s="104">
        <v>0</v>
      </c>
      <c r="DI406" s="104">
        <v>0</v>
      </c>
      <c r="DJ406" s="104">
        <v>0</v>
      </c>
      <c r="DK406" s="104">
        <v>0</v>
      </c>
      <c r="DL406" s="104">
        <v>0</v>
      </c>
      <c r="DM406" s="104">
        <v>0</v>
      </c>
      <c r="DN406" s="104">
        <v>0</v>
      </c>
      <c r="DO406" s="104">
        <v>0</v>
      </c>
      <c r="DP406" s="104">
        <v>0</v>
      </c>
      <c r="DQ406" s="104">
        <v>0</v>
      </c>
    </row>
    <row r="407" spans="1:121">
      <c r="A407" s="138" t="s">
        <v>1849</v>
      </c>
      <c r="B407" s="107"/>
      <c r="C407" s="146" t="s">
        <v>2682</v>
      </c>
      <c r="D407" s="64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  <c r="AV407" s="128"/>
      <c r="AW407" s="128"/>
      <c r="AX407" s="128"/>
      <c r="AY407" s="128"/>
      <c r="AZ407" s="128"/>
      <c r="BA407" s="128"/>
      <c r="BB407" s="128"/>
      <c r="BC407" s="128">
        <f t="shared" ref="BC407:BZ407" si="1047">+BC140/BC$196</f>
        <v>0</v>
      </c>
      <c r="BD407" s="128">
        <f t="shared" si="1047"/>
        <v>0</v>
      </c>
      <c r="BE407" s="128">
        <f t="shared" si="1047"/>
        <v>0</v>
      </c>
      <c r="BF407" s="128">
        <f t="shared" si="1047"/>
        <v>-255.5</v>
      </c>
      <c r="BG407" s="128">
        <f t="shared" si="1047"/>
        <v>-366.4</v>
      </c>
      <c r="BH407" s="128">
        <f t="shared" si="1047"/>
        <v>-48.200000000000017</v>
      </c>
      <c r="BI407" s="128">
        <f t="shared" si="1047"/>
        <v>-141.20000000000002</v>
      </c>
      <c r="BJ407" s="128">
        <f t="shared" si="1047"/>
        <v>-501.6</v>
      </c>
      <c r="BK407" s="128">
        <f t="shared" si="1047"/>
        <v>-84.90000000000002</v>
      </c>
      <c r="BL407" s="128">
        <f t="shared" si="1047"/>
        <v>487.1</v>
      </c>
      <c r="BM407" s="128">
        <f t="shared" si="1047"/>
        <v>429.1</v>
      </c>
      <c r="BN407" s="128">
        <f t="shared" si="1047"/>
        <v>688.7</v>
      </c>
      <c r="BO407" s="128">
        <f t="shared" si="1047"/>
        <v>737.1</v>
      </c>
      <c r="BP407" s="128">
        <f t="shared" si="1047"/>
        <v>412.59999999999997</v>
      </c>
      <c r="BQ407" s="128">
        <f t="shared" si="1047"/>
        <v>259.39999999999998</v>
      </c>
      <c r="BR407" s="128">
        <f t="shared" si="1047"/>
        <v>298.2</v>
      </c>
      <c r="BS407" s="128">
        <f t="shared" si="1047"/>
        <v>773.5</v>
      </c>
      <c r="BT407" s="128">
        <f t="shared" si="1047"/>
        <v>-301.60000000000002</v>
      </c>
      <c r="BU407" s="128">
        <f t="shared" si="1047"/>
        <v>-185.24475524475523</v>
      </c>
      <c r="BV407" s="128">
        <f t="shared" si="1047"/>
        <v>-185.24475524475523</v>
      </c>
      <c r="BW407" s="128">
        <f t="shared" si="1047"/>
        <v>-185.24475524475523</v>
      </c>
      <c r="BX407" s="128">
        <f t="shared" si="1047"/>
        <v>-185.24475524475523</v>
      </c>
      <c r="BY407" s="128">
        <f t="shared" si="1047"/>
        <v>-185.24475524475523</v>
      </c>
      <c r="BZ407" s="128">
        <f t="shared" si="1047"/>
        <v>-185.24475524475523</v>
      </c>
      <c r="CA407" s="128">
        <f t="shared" si="1038"/>
        <v>-185.24475524475523</v>
      </c>
      <c r="CB407" s="128">
        <f t="shared" si="1038"/>
        <v>-185.24475524475523</v>
      </c>
      <c r="CC407" s="128">
        <f t="shared" si="1033"/>
        <v>-185.24475524475523</v>
      </c>
      <c r="CD407" s="128">
        <f t="shared" si="1033"/>
        <v>-185.24475524475523</v>
      </c>
      <c r="CE407" s="128">
        <f t="shared" si="1033"/>
        <v>-185.24475524475523</v>
      </c>
      <c r="CF407" s="128">
        <f t="shared" si="1033"/>
        <v>-185.24475524475523</v>
      </c>
      <c r="CG407" s="128">
        <f t="shared" si="1033"/>
        <v>-185.24475524475523</v>
      </c>
      <c r="CH407" s="128"/>
      <c r="CI407" s="159">
        <f t="shared" si="962"/>
        <v>0</v>
      </c>
      <c r="CJ407" s="159">
        <f t="shared" ref="CJ407:CU407" si="1048">BR407-DB407</f>
        <v>0</v>
      </c>
      <c r="CK407" s="159">
        <f t="shared" si="1048"/>
        <v>0</v>
      </c>
      <c r="CL407" s="159">
        <f t="shared" si="1048"/>
        <v>0</v>
      </c>
      <c r="CM407" s="159">
        <f t="shared" si="1048"/>
        <v>-148</v>
      </c>
      <c r="CN407" s="159">
        <f t="shared" si="1048"/>
        <v>-148</v>
      </c>
      <c r="CO407" s="159">
        <f t="shared" si="1048"/>
        <v>-148</v>
      </c>
      <c r="CP407" s="159">
        <f t="shared" si="1048"/>
        <v>-148</v>
      </c>
      <c r="CQ407" s="159">
        <f t="shared" si="1048"/>
        <v>-148</v>
      </c>
      <c r="CR407" s="159">
        <f t="shared" si="1048"/>
        <v>-148</v>
      </c>
      <c r="CS407" s="159">
        <f t="shared" si="1048"/>
        <v>-148</v>
      </c>
      <c r="CT407" s="159">
        <f t="shared" si="1048"/>
        <v>-148</v>
      </c>
      <c r="CU407" s="159">
        <f t="shared" si="1048"/>
        <v>-148</v>
      </c>
      <c r="CV407" s="159">
        <f t="shared" si="933"/>
        <v>-148</v>
      </c>
      <c r="CW407" s="159">
        <f t="shared" si="934"/>
        <v>-148</v>
      </c>
      <c r="CX407" s="159">
        <f t="shared" si="935"/>
        <v>-148</v>
      </c>
      <c r="CY407" s="159">
        <f t="shared" si="936"/>
        <v>-148</v>
      </c>
      <c r="CZ407" s="128"/>
      <c r="DA407" s="104">
        <v>259.39999999999998</v>
      </c>
      <c r="DB407" s="104">
        <v>298.2</v>
      </c>
      <c r="DC407" s="104">
        <v>773.5</v>
      </c>
      <c r="DD407" s="104">
        <v>-301.60000000000002</v>
      </c>
      <c r="DE407" s="104">
        <v>-37.244755244755233</v>
      </c>
      <c r="DF407" s="104">
        <v>-37.244755244755233</v>
      </c>
      <c r="DG407" s="104">
        <v>-37.244755244755233</v>
      </c>
      <c r="DH407" s="104">
        <v>-37.244755244755233</v>
      </c>
      <c r="DI407" s="104">
        <v>-37.244755244755233</v>
      </c>
      <c r="DJ407" s="104">
        <v>-37.244755244755233</v>
      </c>
      <c r="DK407" s="104">
        <v>-37.244755244755233</v>
      </c>
      <c r="DL407" s="104">
        <v>-37.244755244755233</v>
      </c>
      <c r="DM407" s="104">
        <v>-37.244755244755233</v>
      </c>
      <c r="DN407" s="104">
        <v>-37.244755244755233</v>
      </c>
      <c r="DO407" s="104">
        <v>-37.244755244755233</v>
      </c>
      <c r="DP407" s="104">
        <v>-37.244755244755233</v>
      </c>
      <c r="DQ407" s="104">
        <v>-37.244755244755233</v>
      </c>
    </row>
    <row r="408" spans="1:121">
      <c r="A408" s="178" t="s">
        <v>826</v>
      </c>
      <c r="B408" s="107"/>
      <c r="C408" s="146" t="s">
        <v>2682</v>
      </c>
      <c r="D408" s="644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  <c r="AV408" s="128"/>
      <c r="AW408" s="128"/>
      <c r="AX408" s="128"/>
      <c r="AY408" s="128"/>
      <c r="AZ408" s="128"/>
      <c r="BA408" s="128"/>
      <c r="BB408" s="128"/>
      <c r="BC408" s="128">
        <f t="shared" ref="BC408:BZ408" si="1049">+BC141/BC$196</f>
        <v>0</v>
      </c>
      <c r="BD408" s="128">
        <f t="shared" si="1049"/>
        <v>0</v>
      </c>
      <c r="BE408" s="128">
        <f t="shared" si="1049"/>
        <v>0</v>
      </c>
      <c r="BF408" s="128">
        <f t="shared" si="1049"/>
        <v>-163.4</v>
      </c>
      <c r="BG408" s="128">
        <f t="shared" si="1049"/>
        <v>-246.7</v>
      </c>
      <c r="BH408" s="128">
        <f t="shared" si="1049"/>
        <v>-231.4</v>
      </c>
      <c r="BI408" s="128">
        <f t="shared" si="1049"/>
        <v>-93.40000000000002</v>
      </c>
      <c r="BJ408" s="128">
        <f t="shared" si="1049"/>
        <v>-247.7</v>
      </c>
      <c r="BK408" s="128">
        <f t="shared" si="1049"/>
        <v>72.900000000000006</v>
      </c>
      <c r="BL408" s="128">
        <f t="shared" si="1049"/>
        <v>172.8</v>
      </c>
      <c r="BM408" s="128">
        <f t="shared" si="1049"/>
        <v>187.59999999999997</v>
      </c>
      <c r="BN408" s="128">
        <f t="shared" si="1049"/>
        <v>164.1</v>
      </c>
      <c r="BO408" s="128">
        <f t="shared" si="1049"/>
        <v>278.5</v>
      </c>
      <c r="BP408" s="128">
        <f t="shared" si="1049"/>
        <v>300</v>
      </c>
      <c r="BQ408" s="128">
        <f t="shared" si="1049"/>
        <v>98.2</v>
      </c>
      <c r="BR408" s="128">
        <f t="shared" si="1049"/>
        <v>119.2</v>
      </c>
      <c r="BS408" s="128">
        <f t="shared" si="1049"/>
        <v>-19.5</v>
      </c>
      <c r="BT408" s="128">
        <f t="shared" si="1049"/>
        <v>-99.4</v>
      </c>
      <c r="BU408" s="128">
        <f t="shared" si="1049"/>
        <v>0</v>
      </c>
      <c r="BV408" s="128">
        <f t="shared" si="1049"/>
        <v>0</v>
      </c>
      <c r="BW408" s="128">
        <f t="shared" si="1049"/>
        <v>0</v>
      </c>
      <c r="BX408" s="128">
        <f t="shared" si="1049"/>
        <v>0</v>
      </c>
      <c r="BY408" s="128">
        <f t="shared" si="1049"/>
        <v>0</v>
      </c>
      <c r="BZ408" s="128">
        <f t="shared" si="1049"/>
        <v>0</v>
      </c>
      <c r="CA408" s="128">
        <f t="shared" si="1038"/>
        <v>0</v>
      </c>
      <c r="CB408" s="128">
        <f t="shared" si="1038"/>
        <v>0</v>
      </c>
      <c r="CC408" s="128">
        <f t="shared" si="1033"/>
        <v>0</v>
      </c>
      <c r="CD408" s="128">
        <f t="shared" si="1033"/>
        <v>0</v>
      </c>
      <c r="CE408" s="128">
        <f t="shared" si="1033"/>
        <v>0</v>
      </c>
      <c r="CF408" s="128">
        <f t="shared" si="1033"/>
        <v>0</v>
      </c>
      <c r="CG408" s="128">
        <f t="shared" si="1033"/>
        <v>0</v>
      </c>
      <c r="CH408" s="128"/>
      <c r="CI408" s="159">
        <f t="shared" si="962"/>
        <v>0</v>
      </c>
      <c r="CJ408" s="159">
        <f t="shared" si="963"/>
        <v>0</v>
      </c>
      <c r="CK408" s="159">
        <f t="shared" si="964"/>
        <v>0</v>
      </c>
      <c r="CL408" s="159">
        <f t="shared" si="965"/>
        <v>0</v>
      </c>
      <c r="CM408" s="159">
        <f t="shared" si="966"/>
        <v>-8</v>
      </c>
      <c r="CN408" s="159">
        <f t="shared" si="967"/>
        <v>-8</v>
      </c>
      <c r="CO408" s="159">
        <f t="shared" si="968"/>
        <v>-8</v>
      </c>
      <c r="CP408" s="159">
        <f t="shared" si="969"/>
        <v>-8</v>
      </c>
      <c r="CQ408" s="159">
        <f t="shared" si="970"/>
        <v>-8</v>
      </c>
      <c r="CR408" s="159">
        <f t="shared" si="971"/>
        <v>-8</v>
      </c>
      <c r="CS408" s="159">
        <f t="shared" si="972"/>
        <v>-8</v>
      </c>
      <c r="CT408" s="159">
        <f t="shared" si="973"/>
        <v>-8</v>
      </c>
      <c r="CU408" s="159">
        <f t="shared" si="974"/>
        <v>-8</v>
      </c>
      <c r="CV408" s="159">
        <f t="shared" si="933"/>
        <v>-8</v>
      </c>
      <c r="CW408" s="159">
        <f t="shared" si="934"/>
        <v>-8</v>
      </c>
      <c r="CX408" s="159">
        <f t="shared" si="935"/>
        <v>-8</v>
      </c>
      <c r="CY408" s="159">
        <f t="shared" si="936"/>
        <v>-8</v>
      </c>
      <c r="CZ408" s="128"/>
      <c r="DA408" s="104">
        <v>98.2</v>
      </c>
      <c r="DB408" s="104">
        <v>119.2</v>
      </c>
      <c r="DC408" s="104">
        <v>-19.5</v>
      </c>
      <c r="DD408" s="104">
        <v>-99.4</v>
      </c>
      <c r="DE408" s="104">
        <v>8</v>
      </c>
      <c r="DF408" s="104">
        <v>8</v>
      </c>
      <c r="DG408" s="104">
        <v>8</v>
      </c>
      <c r="DH408" s="104">
        <v>8</v>
      </c>
      <c r="DI408" s="104">
        <v>8</v>
      </c>
      <c r="DJ408" s="104">
        <v>8</v>
      </c>
      <c r="DK408" s="104">
        <v>8</v>
      </c>
      <c r="DL408" s="104">
        <v>8</v>
      </c>
      <c r="DM408" s="104">
        <v>8</v>
      </c>
      <c r="DN408" s="104">
        <v>8</v>
      </c>
      <c r="DO408" s="104">
        <v>8</v>
      </c>
      <c r="DP408" s="104">
        <v>8</v>
      </c>
      <c r="DQ408" s="104">
        <v>8</v>
      </c>
    </row>
    <row r="409" spans="1:121">
      <c r="A409" s="178" t="s">
        <v>3068</v>
      </c>
      <c r="B409" s="107"/>
      <c r="C409" s="146" t="s">
        <v>2682</v>
      </c>
      <c r="D409" s="644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/>
      <c r="BC409" s="128">
        <f t="shared" ref="BC409:BZ409" si="1050">+BC142/BC$196</f>
        <v>0</v>
      </c>
      <c r="BD409" s="128">
        <f t="shared" si="1050"/>
        <v>0</v>
      </c>
      <c r="BE409" s="128">
        <f t="shared" si="1050"/>
        <v>0</v>
      </c>
      <c r="BF409" s="128">
        <f t="shared" si="1050"/>
        <v>-92.1</v>
      </c>
      <c r="BG409" s="128">
        <f t="shared" si="1050"/>
        <v>-119.7</v>
      </c>
      <c r="BH409" s="128">
        <f t="shared" si="1050"/>
        <v>183.2</v>
      </c>
      <c r="BI409" s="128">
        <f t="shared" si="1050"/>
        <v>-47.800000000000011</v>
      </c>
      <c r="BJ409" s="128">
        <f t="shared" si="1050"/>
        <v>-253.89999999999998</v>
      </c>
      <c r="BK409" s="128">
        <f t="shared" si="1050"/>
        <v>-157.80000000000001</v>
      </c>
      <c r="BL409" s="128">
        <f t="shared" si="1050"/>
        <v>314.29999999999995</v>
      </c>
      <c r="BM409" s="128">
        <f t="shared" si="1050"/>
        <v>241.50000000000003</v>
      </c>
      <c r="BN409" s="128">
        <f t="shared" si="1050"/>
        <v>524.6</v>
      </c>
      <c r="BO409" s="128">
        <f t="shared" si="1050"/>
        <v>458.6</v>
      </c>
      <c r="BP409" s="128">
        <f t="shared" si="1050"/>
        <v>112.59999999999994</v>
      </c>
      <c r="BQ409" s="128">
        <f t="shared" si="1050"/>
        <v>161.19999999999999</v>
      </c>
      <c r="BR409" s="128">
        <f t="shared" si="1050"/>
        <v>179</v>
      </c>
      <c r="BS409" s="128">
        <f t="shared" si="1050"/>
        <v>793</v>
      </c>
      <c r="BT409" s="128">
        <f t="shared" si="1050"/>
        <v>-202.20000000000002</v>
      </c>
      <c r="BU409" s="128">
        <f t="shared" si="1050"/>
        <v>-185.24475524475523</v>
      </c>
      <c r="BV409" s="128">
        <f t="shared" si="1050"/>
        <v>-185.24475524475523</v>
      </c>
      <c r="BW409" s="128">
        <f t="shared" si="1050"/>
        <v>-185.24475524475523</v>
      </c>
      <c r="BX409" s="128">
        <f t="shared" si="1050"/>
        <v>-185.24475524475523</v>
      </c>
      <c r="BY409" s="128">
        <f t="shared" si="1050"/>
        <v>-185.24475524475523</v>
      </c>
      <c r="BZ409" s="128">
        <f t="shared" si="1050"/>
        <v>-185.24475524475523</v>
      </c>
      <c r="CA409" s="128">
        <f t="shared" si="1038"/>
        <v>-185.24475524475523</v>
      </c>
      <c r="CB409" s="128">
        <f t="shared" si="1038"/>
        <v>-185.24475524475523</v>
      </c>
      <c r="CC409" s="128">
        <f t="shared" si="1033"/>
        <v>-185.24475524475523</v>
      </c>
      <c r="CD409" s="128">
        <f t="shared" si="1033"/>
        <v>-185.24475524475523</v>
      </c>
      <c r="CE409" s="128">
        <f t="shared" si="1033"/>
        <v>-185.24475524475523</v>
      </c>
      <c r="CF409" s="128">
        <f t="shared" si="1033"/>
        <v>-185.24475524475523</v>
      </c>
      <c r="CG409" s="128">
        <f t="shared" si="1033"/>
        <v>-185.24475524475523</v>
      </c>
      <c r="CH409" s="128"/>
      <c r="CI409" s="159">
        <f t="shared" si="962"/>
        <v>0</v>
      </c>
      <c r="CJ409" s="159">
        <f t="shared" ref="CJ409:CU409" si="1051">BR409-DB409</f>
        <v>0</v>
      </c>
      <c r="CK409" s="159">
        <f t="shared" si="1051"/>
        <v>0</v>
      </c>
      <c r="CL409" s="159">
        <f t="shared" si="1051"/>
        <v>0</v>
      </c>
      <c r="CM409" s="159">
        <f t="shared" si="1051"/>
        <v>-140</v>
      </c>
      <c r="CN409" s="159">
        <f t="shared" si="1051"/>
        <v>-140</v>
      </c>
      <c r="CO409" s="159">
        <f t="shared" si="1051"/>
        <v>-140</v>
      </c>
      <c r="CP409" s="159">
        <f t="shared" si="1051"/>
        <v>-140</v>
      </c>
      <c r="CQ409" s="159">
        <f t="shared" si="1051"/>
        <v>-140</v>
      </c>
      <c r="CR409" s="159">
        <f t="shared" si="1051"/>
        <v>-140</v>
      </c>
      <c r="CS409" s="159">
        <f t="shared" si="1051"/>
        <v>-140</v>
      </c>
      <c r="CT409" s="159">
        <f t="shared" si="1051"/>
        <v>-140</v>
      </c>
      <c r="CU409" s="159">
        <f t="shared" si="1051"/>
        <v>-140</v>
      </c>
      <c r="CV409" s="159">
        <f t="shared" si="933"/>
        <v>-140</v>
      </c>
      <c r="CW409" s="159">
        <f t="shared" si="934"/>
        <v>-140</v>
      </c>
      <c r="CX409" s="159">
        <f t="shared" si="935"/>
        <v>-140</v>
      </c>
      <c r="CY409" s="159">
        <f t="shared" si="936"/>
        <v>-140</v>
      </c>
      <c r="CZ409" s="128"/>
      <c r="DA409" s="104">
        <v>161.19999999999999</v>
      </c>
      <c r="DB409" s="104">
        <v>179</v>
      </c>
      <c r="DC409" s="104">
        <v>793</v>
      </c>
      <c r="DD409" s="104">
        <v>-202.20000000000002</v>
      </c>
      <c r="DE409" s="104">
        <v>-45.244755244755233</v>
      </c>
      <c r="DF409" s="104">
        <v>-45.244755244755233</v>
      </c>
      <c r="DG409" s="104">
        <v>-45.244755244755233</v>
      </c>
      <c r="DH409" s="104">
        <v>-45.244755244755233</v>
      </c>
      <c r="DI409" s="104">
        <v>-45.244755244755233</v>
      </c>
      <c r="DJ409" s="104">
        <v>-45.244755244755233</v>
      </c>
      <c r="DK409" s="104">
        <v>-45.244755244755233</v>
      </c>
      <c r="DL409" s="104">
        <v>-45.244755244755233</v>
      </c>
      <c r="DM409" s="104">
        <v>-45.244755244755233</v>
      </c>
      <c r="DN409" s="104">
        <v>-45.244755244755233</v>
      </c>
      <c r="DO409" s="104">
        <v>-45.244755244755233</v>
      </c>
      <c r="DP409" s="104">
        <v>-45.244755244755233</v>
      </c>
      <c r="DQ409" s="104">
        <v>-45.244755244755233</v>
      </c>
    </row>
    <row r="410" spans="1:121">
      <c r="A410" s="178" t="s">
        <v>2988</v>
      </c>
      <c r="B410" s="107"/>
      <c r="C410" s="146" t="s">
        <v>2682</v>
      </c>
      <c r="D410" s="644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/>
      <c r="BC410" s="128">
        <f t="shared" ref="BC410:BZ410" si="1052">+BC143/BC$196</f>
        <v>0</v>
      </c>
      <c r="BD410" s="128">
        <f t="shared" si="1052"/>
        <v>0</v>
      </c>
      <c r="BE410" s="128">
        <f t="shared" si="1052"/>
        <v>0</v>
      </c>
      <c r="BF410" s="128">
        <f t="shared" si="1052"/>
        <v>-28.909210966685663</v>
      </c>
      <c r="BG410" s="128">
        <f t="shared" si="1052"/>
        <v>-98.739970873698567</v>
      </c>
      <c r="BH410" s="128">
        <f t="shared" si="1052"/>
        <v>12.229428418948379</v>
      </c>
      <c r="BI410" s="128">
        <f t="shared" si="1052"/>
        <v>-5.8976237641674167</v>
      </c>
      <c r="BJ410" s="128">
        <f t="shared" si="1052"/>
        <v>66.755311931833589</v>
      </c>
      <c r="BK410" s="128">
        <f t="shared" si="1052"/>
        <v>149.64768029813752</v>
      </c>
      <c r="BL410" s="128">
        <f t="shared" si="1052"/>
        <v>125.76773131439217</v>
      </c>
      <c r="BM410" s="128">
        <f t="shared" si="1052"/>
        <v>200.59157146346095</v>
      </c>
      <c r="BN410" s="128">
        <f t="shared" si="1052"/>
        <v>93.457436704567044</v>
      </c>
      <c r="BO410" s="128">
        <f t="shared" si="1052"/>
        <v>96.930883829475434</v>
      </c>
      <c r="BP410" s="128">
        <f t="shared" si="1052"/>
        <v>725.07692307692309</v>
      </c>
      <c r="BQ410" s="128">
        <f t="shared" si="1052"/>
        <v>130.98535286284954</v>
      </c>
      <c r="BR410" s="128">
        <f t="shared" si="1052"/>
        <v>43.426294820717132</v>
      </c>
      <c r="BS410" s="128">
        <f t="shared" si="1052"/>
        <v>50.341463414634156</v>
      </c>
      <c r="BT410" s="128">
        <f t="shared" si="1052"/>
        <v>0</v>
      </c>
      <c r="BU410" s="128">
        <f t="shared" si="1052"/>
        <v>0</v>
      </c>
      <c r="BV410" s="128">
        <f t="shared" si="1052"/>
        <v>0</v>
      </c>
      <c r="BW410" s="128">
        <f t="shared" si="1052"/>
        <v>0</v>
      </c>
      <c r="BX410" s="128">
        <f t="shared" si="1052"/>
        <v>0</v>
      </c>
      <c r="BY410" s="128">
        <f t="shared" si="1052"/>
        <v>0</v>
      </c>
      <c r="BZ410" s="128">
        <f t="shared" si="1052"/>
        <v>0</v>
      </c>
      <c r="CA410" s="128">
        <f t="shared" si="1038"/>
        <v>0</v>
      </c>
      <c r="CB410" s="128">
        <f t="shared" si="1038"/>
        <v>0</v>
      </c>
      <c r="CC410" s="128">
        <f t="shared" si="1033"/>
        <v>0</v>
      </c>
      <c r="CD410" s="128">
        <f t="shared" si="1033"/>
        <v>0</v>
      </c>
      <c r="CE410" s="128">
        <f t="shared" si="1033"/>
        <v>0</v>
      </c>
      <c r="CF410" s="128">
        <f t="shared" si="1033"/>
        <v>0</v>
      </c>
      <c r="CG410" s="128">
        <f t="shared" si="1033"/>
        <v>0</v>
      </c>
      <c r="CH410" s="128"/>
      <c r="CI410" s="159">
        <f t="shared" si="962"/>
        <v>0</v>
      </c>
      <c r="CJ410" s="159">
        <f t="shared" si="963"/>
        <v>0</v>
      </c>
      <c r="CK410" s="159">
        <f t="shared" si="964"/>
        <v>0</v>
      </c>
      <c r="CL410" s="159">
        <f t="shared" si="965"/>
        <v>0</v>
      </c>
      <c r="CM410" s="159">
        <f t="shared" si="966"/>
        <v>-140</v>
      </c>
      <c r="CN410" s="159">
        <f t="shared" si="967"/>
        <v>-140</v>
      </c>
      <c r="CO410" s="159">
        <f t="shared" si="968"/>
        <v>-140</v>
      </c>
      <c r="CP410" s="159">
        <f t="shared" si="969"/>
        <v>-140</v>
      </c>
      <c r="CQ410" s="159">
        <f t="shared" si="970"/>
        <v>-140</v>
      </c>
      <c r="CR410" s="159">
        <f t="shared" si="971"/>
        <v>-140</v>
      </c>
      <c r="CS410" s="159">
        <f t="shared" si="972"/>
        <v>-140</v>
      </c>
      <c r="CT410" s="159">
        <f t="shared" si="973"/>
        <v>-140</v>
      </c>
      <c r="CU410" s="159">
        <f t="shared" si="974"/>
        <v>-140</v>
      </c>
      <c r="CV410" s="159">
        <f t="shared" si="933"/>
        <v>-140</v>
      </c>
      <c r="CW410" s="159">
        <f t="shared" si="934"/>
        <v>-140</v>
      </c>
      <c r="CX410" s="159">
        <f t="shared" si="935"/>
        <v>-140</v>
      </c>
      <c r="CY410" s="159">
        <f t="shared" si="936"/>
        <v>-140</v>
      </c>
      <c r="CZ410" s="128"/>
      <c r="DA410" s="104">
        <v>130.98535286284954</v>
      </c>
      <c r="DB410" s="104">
        <v>43.426294820717132</v>
      </c>
      <c r="DC410" s="104">
        <v>50.341463414634156</v>
      </c>
      <c r="DD410" s="104">
        <v>0</v>
      </c>
      <c r="DE410" s="104">
        <v>140</v>
      </c>
      <c r="DF410" s="104">
        <v>140</v>
      </c>
      <c r="DG410" s="104">
        <v>140</v>
      </c>
      <c r="DH410" s="104">
        <v>140</v>
      </c>
      <c r="DI410" s="104">
        <v>140</v>
      </c>
      <c r="DJ410" s="104">
        <v>140</v>
      </c>
      <c r="DK410" s="104">
        <v>140</v>
      </c>
      <c r="DL410" s="104">
        <v>140</v>
      </c>
      <c r="DM410" s="104">
        <v>140</v>
      </c>
      <c r="DN410" s="104">
        <v>140</v>
      </c>
      <c r="DO410" s="104">
        <v>140</v>
      </c>
      <c r="DP410" s="104">
        <v>140</v>
      </c>
      <c r="DQ410" s="104">
        <v>140</v>
      </c>
    </row>
    <row r="411" spans="1:121">
      <c r="A411" s="178" t="s">
        <v>2989</v>
      </c>
      <c r="B411" s="107"/>
      <c r="C411" s="146" t="s">
        <v>2682</v>
      </c>
      <c r="D411" s="644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  <c r="AV411" s="128"/>
      <c r="AW411" s="128"/>
      <c r="AX411" s="128"/>
      <c r="AY411" s="128"/>
      <c r="AZ411" s="128"/>
      <c r="BA411" s="128"/>
      <c r="BB411" s="128"/>
      <c r="BC411" s="128">
        <f t="shared" ref="BC411:BZ411" si="1053">+BC144/BC$196</f>
        <v>0</v>
      </c>
      <c r="BD411" s="128">
        <f t="shared" si="1053"/>
        <v>0</v>
      </c>
      <c r="BE411" s="128">
        <f t="shared" si="1053"/>
        <v>0</v>
      </c>
      <c r="BF411" s="128">
        <f t="shared" si="1053"/>
        <v>-63.190789033314331</v>
      </c>
      <c r="BG411" s="128">
        <f t="shared" si="1053"/>
        <v>-20.960029126301425</v>
      </c>
      <c r="BH411" s="128">
        <f t="shared" si="1053"/>
        <v>170.97057158105162</v>
      </c>
      <c r="BI411" s="128">
        <f t="shared" si="1053"/>
        <v>-41.902376235832591</v>
      </c>
      <c r="BJ411" s="128">
        <f t="shared" si="1053"/>
        <v>-320.65531193183358</v>
      </c>
      <c r="BK411" s="128">
        <f t="shared" si="1053"/>
        <v>-307.44768029813753</v>
      </c>
      <c r="BL411" s="128">
        <f t="shared" si="1053"/>
        <v>188.53226868560779</v>
      </c>
      <c r="BM411" s="128">
        <f t="shared" si="1053"/>
        <v>40.908428536539077</v>
      </c>
      <c r="BN411" s="128">
        <f t="shared" si="1053"/>
        <v>431.14256329543304</v>
      </c>
      <c r="BO411" s="128">
        <f t="shared" si="1053"/>
        <v>361.6691161705246</v>
      </c>
      <c r="BP411" s="128">
        <f t="shared" si="1053"/>
        <v>-612.47692307692319</v>
      </c>
      <c r="BQ411" s="128">
        <f t="shared" si="1053"/>
        <v>30.21464713715044</v>
      </c>
      <c r="BR411" s="128">
        <f t="shared" si="1053"/>
        <v>135.57370517928288</v>
      </c>
      <c r="BS411" s="128">
        <f t="shared" si="1053"/>
        <v>742.65853658536582</v>
      </c>
      <c r="BT411" s="128">
        <f t="shared" si="1053"/>
        <v>-202.20000000000002</v>
      </c>
      <c r="BU411" s="128">
        <f t="shared" si="1053"/>
        <v>-185.24475524475523</v>
      </c>
      <c r="BV411" s="128">
        <f t="shared" si="1053"/>
        <v>-185.24475524475523</v>
      </c>
      <c r="BW411" s="128">
        <f t="shared" si="1053"/>
        <v>-185.24475524475523</v>
      </c>
      <c r="BX411" s="128">
        <f t="shared" si="1053"/>
        <v>-185.24475524475523</v>
      </c>
      <c r="BY411" s="128">
        <f t="shared" si="1053"/>
        <v>-185.24475524475523</v>
      </c>
      <c r="BZ411" s="128">
        <f t="shared" si="1053"/>
        <v>-185.24475524475523</v>
      </c>
      <c r="CA411" s="128">
        <f t="shared" si="1038"/>
        <v>-185.24475524475523</v>
      </c>
      <c r="CB411" s="128">
        <f t="shared" si="1038"/>
        <v>-185.24475524475523</v>
      </c>
      <c r="CC411" s="128">
        <f t="shared" si="1033"/>
        <v>-185.24475524475523</v>
      </c>
      <c r="CD411" s="128">
        <f t="shared" si="1033"/>
        <v>-185.24475524475523</v>
      </c>
      <c r="CE411" s="128">
        <f t="shared" si="1033"/>
        <v>-185.24475524475523</v>
      </c>
      <c r="CF411" s="128">
        <f t="shared" si="1033"/>
        <v>-185.24475524475523</v>
      </c>
      <c r="CG411" s="128">
        <f t="shared" si="1033"/>
        <v>-185.24475524475523</v>
      </c>
      <c r="CH411" s="128"/>
      <c r="CI411" s="159">
        <f t="shared" si="962"/>
        <v>0</v>
      </c>
      <c r="CJ411" s="159">
        <f t="shared" ref="CJ411:CU411" si="1054">BR411-DB411</f>
        <v>0</v>
      </c>
      <c r="CK411" s="159">
        <f t="shared" si="1054"/>
        <v>0</v>
      </c>
      <c r="CL411" s="159">
        <f t="shared" si="1054"/>
        <v>0</v>
      </c>
      <c r="CM411" s="159">
        <f t="shared" si="1054"/>
        <v>0</v>
      </c>
      <c r="CN411" s="159">
        <f t="shared" si="1054"/>
        <v>0</v>
      </c>
      <c r="CO411" s="159">
        <f t="shared" si="1054"/>
        <v>0</v>
      </c>
      <c r="CP411" s="159">
        <f t="shared" si="1054"/>
        <v>0</v>
      </c>
      <c r="CQ411" s="159">
        <f t="shared" si="1054"/>
        <v>0</v>
      </c>
      <c r="CR411" s="159">
        <f t="shared" si="1054"/>
        <v>0</v>
      </c>
      <c r="CS411" s="159">
        <f t="shared" si="1054"/>
        <v>0</v>
      </c>
      <c r="CT411" s="159">
        <f t="shared" si="1054"/>
        <v>0</v>
      </c>
      <c r="CU411" s="159">
        <f t="shared" si="1054"/>
        <v>0</v>
      </c>
      <c r="CV411" s="159">
        <f t="shared" si="933"/>
        <v>0</v>
      </c>
      <c r="CW411" s="159">
        <f t="shared" si="934"/>
        <v>0</v>
      </c>
      <c r="CX411" s="159">
        <f t="shared" si="935"/>
        <v>0</v>
      </c>
      <c r="CY411" s="159">
        <f t="shared" si="936"/>
        <v>0</v>
      </c>
      <c r="CZ411" s="128"/>
      <c r="DA411" s="104">
        <v>30.21464713715044</v>
      </c>
      <c r="DB411" s="104">
        <v>135.57370517928288</v>
      </c>
      <c r="DC411" s="104">
        <v>742.65853658536582</v>
      </c>
      <c r="DD411" s="104">
        <v>-202.20000000000002</v>
      </c>
      <c r="DE411" s="104">
        <v>-185.24475524475523</v>
      </c>
      <c r="DF411" s="104">
        <v>-185.24475524475523</v>
      </c>
      <c r="DG411" s="104">
        <v>-185.24475524475523</v>
      </c>
      <c r="DH411" s="104">
        <v>-185.24475524475523</v>
      </c>
      <c r="DI411" s="104">
        <v>-185.24475524475523</v>
      </c>
      <c r="DJ411" s="104">
        <v>-185.24475524475523</v>
      </c>
      <c r="DK411" s="104">
        <v>-185.24475524475523</v>
      </c>
      <c r="DL411" s="104">
        <v>-185.24475524475523</v>
      </c>
      <c r="DM411" s="104">
        <v>-185.24475524475523</v>
      </c>
      <c r="DN411" s="104">
        <v>-185.24475524475523</v>
      </c>
      <c r="DO411" s="104">
        <v>-185.24475524475523</v>
      </c>
      <c r="DP411" s="104">
        <v>-185.24475524475523</v>
      </c>
      <c r="DQ411" s="104">
        <v>-185.24475524475523</v>
      </c>
    </row>
    <row r="412" spans="1:121">
      <c r="A412" s="178"/>
      <c r="B412" s="107"/>
      <c r="C412" s="146"/>
      <c r="D412" s="644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8"/>
      <c r="CA412" s="128"/>
      <c r="CB412" s="128"/>
      <c r="CC412" s="128"/>
      <c r="CD412" s="128"/>
      <c r="CE412" s="128"/>
      <c r="CF412" s="128"/>
      <c r="CG412" s="128"/>
      <c r="CH412" s="128"/>
      <c r="CI412" s="159">
        <f t="shared" si="962"/>
        <v>0</v>
      </c>
      <c r="CJ412" s="159">
        <f t="shared" si="963"/>
        <v>0</v>
      </c>
      <c r="CK412" s="159">
        <f t="shared" si="964"/>
        <v>0</v>
      </c>
      <c r="CL412" s="159">
        <f t="shared" si="965"/>
        <v>0</v>
      </c>
      <c r="CM412" s="159">
        <f t="shared" si="966"/>
        <v>0</v>
      </c>
      <c r="CN412" s="159">
        <f t="shared" si="967"/>
        <v>0</v>
      </c>
      <c r="CO412" s="159">
        <f t="shared" si="968"/>
        <v>0</v>
      </c>
      <c r="CP412" s="159">
        <f t="shared" si="969"/>
        <v>0</v>
      </c>
      <c r="CQ412" s="159">
        <f t="shared" si="970"/>
        <v>0</v>
      </c>
      <c r="CR412" s="159">
        <f t="shared" si="971"/>
        <v>0</v>
      </c>
      <c r="CS412" s="159">
        <f t="shared" si="972"/>
        <v>0</v>
      </c>
      <c r="CT412" s="159">
        <f t="shared" si="973"/>
        <v>0</v>
      </c>
      <c r="CU412" s="159">
        <f t="shared" si="974"/>
        <v>0</v>
      </c>
      <c r="CV412" s="159">
        <f t="shared" si="933"/>
        <v>0</v>
      </c>
      <c r="CW412" s="159">
        <f t="shared" si="934"/>
        <v>0</v>
      </c>
      <c r="CX412" s="159">
        <f t="shared" si="935"/>
        <v>0</v>
      </c>
      <c r="CY412" s="159">
        <f t="shared" si="936"/>
        <v>0</v>
      </c>
      <c r="CZ412" s="128"/>
    </row>
    <row r="413" spans="1:121">
      <c r="A413" s="385" t="s">
        <v>2970</v>
      </c>
      <c r="B413" s="145"/>
      <c r="C413" s="146" t="s">
        <v>2682</v>
      </c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/>
      <c r="BC413" s="128">
        <f t="shared" ref="BC413:BZ413" si="1055">+BC146/BC$196</f>
        <v>0</v>
      </c>
      <c r="BD413" s="128">
        <f t="shared" si="1055"/>
        <v>0</v>
      </c>
      <c r="BE413" s="128">
        <f t="shared" si="1055"/>
        <v>0</v>
      </c>
      <c r="BF413" s="128">
        <f t="shared" si="1055"/>
        <v>79.5</v>
      </c>
      <c r="BG413" s="128">
        <f t="shared" si="1055"/>
        <v>179.8</v>
      </c>
      <c r="BH413" s="128">
        <f t="shared" si="1055"/>
        <v>-99.999999999999986</v>
      </c>
      <c r="BI413" s="128">
        <f t="shared" si="1055"/>
        <v>-18.899999999999999</v>
      </c>
      <c r="BJ413" s="128">
        <f t="shared" si="1055"/>
        <v>-168.1</v>
      </c>
      <c r="BK413" s="128">
        <f t="shared" si="1055"/>
        <v>-253.69999999999996</v>
      </c>
      <c r="BL413" s="128">
        <f t="shared" si="1055"/>
        <v>-462.4</v>
      </c>
      <c r="BM413" s="128">
        <f t="shared" si="1055"/>
        <v>-381.19999999999993</v>
      </c>
      <c r="BN413" s="128">
        <f t="shared" si="1055"/>
        <v>-422.9</v>
      </c>
      <c r="BO413" s="128">
        <f t="shared" si="1055"/>
        <v>-195.99999999999997</v>
      </c>
      <c r="BP413" s="128">
        <f t="shared" si="1055"/>
        <v>-117.5</v>
      </c>
      <c r="BQ413" s="128">
        <f t="shared" si="1055"/>
        <v>-231.46666666666661</v>
      </c>
      <c r="BR413" s="128">
        <f t="shared" si="1055"/>
        <v>-32.000000000000028</v>
      </c>
      <c r="BS413" s="128">
        <f t="shared" si="1055"/>
        <v>-315.10000000000019</v>
      </c>
      <c r="BT413" s="128">
        <f t="shared" si="1055"/>
        <v>-46.699999999999989</v>
      </c>
      <c r="BU413" s="128">
        <f t="shared" si="1055"/>
        <v>-29.187499999999993</v>
      </c>
      <c r="BV413" s="128">
        <f t="shared" si="1055"/>
        <v>-29.187499999999993</v>
      </c>
      <c r="BW413" s="128">
        <f t="shared" si="1055"/>
        <v>-29.187499999999993</v>
      </c>
      <c r="BX413" s="128">
        <f t="shared" si="1055"/>
        <v>-29.187499999999993</v>
      </c>
      <c r="BY413" s="128">
        <f t="shared" si="1055"/>
        <v>-29.187499999999993</v>
      </c>
      <c r="BZ413" s="128">
        <f t="shared" si="1055"/>
        <v>-29.187499999999993</v>
      </c>
      <c r="CA413" s="128">
        <f t="shared" ref="CA413:CG413" si="1056">+CA146/CA$196</f>
        <v>-29.187499999999993</v>
      </c>
      <c r="CB413" s="128">
        <f t="shared" si="1056"/>
        <v>-29.187499999999993</v>
      </c>
      <c r="CC413" s="128">
        <f t="shared" si="1056"/>
        <v>-29.187499999999993</v>
      </c>
      <c r="CD413" s="128">
        <f t="shared" si="1056"/>
        <v>-29.187499999999993</v>
      </c>
      <c r="CE413" s="128">
        <f t="shared" si="1056"/>
        <v>-29.187499999999993</v>
      </c>
      <c r="CF413" s="128">
        <f t="shared" si="1056"/>
        <v>-29.187499999999993</v>
      </c>
      <c r="CG413" s="128">
        <f t="shared" si="1056"/>
        <v>-29.187499999999993</v>
      </c>
      <c r="CH413" s="128"/>
      <c r="CI413" s="159">
        <f t="shared" si="962"/>
        <v>0</v>
      </c>
      <c r="CJ413" s="159">
        <f t="shared" si="963"/>
        <v>0</v>
      </c>
      <c r="CK413" s="159">
        <f t="shared" si="964"/>
        <v>0</v>
      </c>
      <c r="CL413" s="159">
        <f t="shared" si="965"/>
        <v>0</v>
      </c>
      <c r="CM413" s="159">
        <f t="shared" si="966"/>
        <v>4.1696428571428541</v>
      </c>
      <c r="CN413" s="159">
        <f t="shared" si="967"/>
        <v>4.1696428571428541</v>
      </c>
      <c r="CO413" s="159">
        <f t="shared" si="968"/>
        <v>4.1696428571428541</v>
      </c>
      <c r="CP413" s="159">
        <f t="shared" si="969"/>
        <v>4.1696428571428541</v>
      </c>
      <c r="CQ413" s="159">
        <f t="shared" si="970"/>
        <v>4.1696428571428541</v>
      </c>
      <c r="CR413" s="159">
        <f t="shared" si="971"/>
        <v>4.1696428571428541</v>
      </c>
      <c r="CS413" s="159">
        <f t="shared" si="972"/>
        <v>4.1696428571428541</v>
      </c>
      <c r="CT413" s="159">
        <f t="shared" si="973"/>
        <v>4.1696428571428541</v>
      </c>
      <c r="CU413" s="159">
        <f t="shared" si="974"/>
        <v>4.1696428571428541</v>
      </c>
      <c r="CV413" s="159">
        <f t="shared" si="933"/>
        <v>4.1696428571428541</v>
      </c>
      <c r="CW413" s="159">
        <f t="shared" si="934"/>
        <v>4.1696428571428541</v>
      </c>
      <c r="CX413" s="159">
        <f t="shared" si="935"/>
        <v>4.1696428571428541</v>
      </c>
      <c r="CY413" s="159">
        <f t="shared" si="936"/>
        <v>4.1696428571428541</v>
      </c>
      <c r="CZ413" s="128"/>
      <c r="DA413" s="104">
        <v>-231.46666666666661</v>
      </c>
      <c r="DB413" s="104">
        <v>-32.000000000000028</v>
      </c>
      <c r="DC413" s="104">
        <v>-315.10000000000019</v>
      </c>
      <c r="DD413" s="104">
        <v>-46.699999999999989</v>
      </c>
      <c r="DE413" s="104">
        <v>-33.357142857142847</v>
      </c>
      <c r="DF413" s="104">
        <v>-33.357142857142847</v>
      </c>
      <c r="DG413" s="104">
        <v>-33.357142857142847</v>
      </c>
      <c r="DH413" s="104">
        <v>-33.357142857142847</v>
      </c>
      <c r="DI413" s="104">
        <v>-33.357142857142847</v>
      </c>
      <c r="DJ413" s="104">
        <v>-33.357142857142847</v>
      </c>
      <c r="DK413" s="104">
        <v>-33.357142857142847</v>
      </c>
      <c r="DL413" s="104">
        <v>-33.357142857142847</v>
      </c>
      <c r="DM413" s="104">
        <v>-33.357142857142847</v>
      </c>
      <c r="DN413" s="104">
        <v>-33.357142857142847</v>
      </c>
      <c r="DO413" s="104">
        <v>-33.357142857142847</v>
      </c>
      <c r="DP413" s="104">
        <v>-33.357142857142847</v>
      </c>
      <c r="DQ413" s="104">
        <v>-33.357142857142847</v>
      </c>
    </row>
    <row r="414" spans="1:121">
      <c r="A414" s="141"/>
      <c r="B414" s="141"/>
      <c r="C414" s="146"/>
      <c r="D414" s="102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  <c r="AV414" s="128"/>
      <c r="AW414" s="128"/>
      <c r="AX414" s="128"/>
      <c r="AY414" s="128"/>
      <c r="AZ414" s="128"/>
      <c r="BA414" s="128"/>
      <c r="BB414" s="128"/>
      <c r="BC414" s="128"/>
      <c r="BD414" s="128"/>
      <c r="BE414" s="128"/>
      <c r="BF414" s="128"/>
      <c r="BG414" s="128"/>
      <c r="BH414" s="128"/>
      <c r="BI414" s="128"/>
      <c r="BJ414" s="128"/>
      <c r="BK414" s="128"/>
      <c r="BL414" s="128"/>
      <c r="BM414" s="128"/>
      <c r="BN414" s="128"/>
      <c r="BO414" s="128"/>
      <c r="BP414" s="128"/>
      <c r="BQ414" s="128"/>
      <c r="BR414" s="128"/>
      <c r="BS414" s="128"/>
      <c r="BT414" s="128"/>
      <c r="BU414" s="128"/>
      <c r="BV414" s="128"/>
      <c r="BW414" s="128"/>
      <c r="BX414" s="128"/>
      <c r="BY414" s="128"/>
      <c r="BZ414" s="128"/>
      <c r="CA414" s="128"/>
      <c r="CB414" s="128"/>
      <c r="CC414" s="128"/>
      <c r="CD414" s="128"/>
      <c r="CE414" s="128"/>
      <c r="CF414" s="128"/>
      <c r="CG414" s="128"/>
      <c r="CH414" s="128"/>
      <c r="CI414" s="159">
        <f t="shared" si="962"/>
        <v>0</v>
      </c>
      <c r="CJ414" s="159">
        <f t="shared" si="963"/>
        <v>0</v>
      </c>
      <c r="CK414" s="159">
        <f t="shared" si="964"/>
        <v>0</v>
      </c>
      <c r="CL414" s="159">
        <f t="shared" si="965"/>
        <v>0</v>
      </c>
      <c r="CM414" s="159">
        <f t="shared" si="966"/>
        <v>0</v>
      </c>
      <c r="CN414" s="159">
        <f t="shared" si="967"/>
        <v>0</v>
      </c>
      <c r="CO414" s="159">
        <f t="shared" si="968"/>
        <v>0</v>
      </c>
      <c r="CP414" s="159">
        <f t="shared" si="969"/>
        <v>0</v>
      </c>
      <c r="CQ414" s="159">
        <f t="shared" si="970"/>
        <v>0</v>
      </c>
      <c r="CR414" s="159">
        <f t="shared" si="971"/>
        <v>0</v>
      </c>
      <c r="CS414" s="159">
        <f t="shared" si="972"/>
        <v>0</v>
      </c>
      <c r="CT414" s="159">
        <f t="shared" si="973"/>
        <v>0</v>
      </c>
      <c r="CU414" s="159">
        <f t="shared" si="974"/>
        <v>0</v>
      </c>
      <c r="CV414" s="159">
        <f t="shared" si="933"/>
        <v>0</v>
      </c>
      <c r="CW414" s="159">
        <f t="shared" si="934"/>
        <v>0</v>
      </c>
      <c r="CX414" s="159">
        <f t="shared" si="935"/>
        <v>0</v>
      </c>
      <c r="CY414" s="159">
        <f t="shared" si="936"/>
        <v>0</v>
      </c>
      <c r="CZ414" s="128"/>
    </row>
    <row r="415" spans="1:121">
      <c r="A415" s="145" t="s">
        <v>124</v>
      </c>
      <c r="B415" s="99"/>
      <c r="C415" s="146" t="s">
        <v>2682</v>
      </c>
      <c r="D415" s="102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  <c r="AV415" s="128"/>
      <c r="AW415" s="128"/>
      <c r="AX415" s="128"/>
      <c r="AY415" s="128"/>
      <c r="AZ415" s="128"/>
      <c r="BA415" s="128"/>
      <c r="BB415" s="128"/>
      <c r="BC415" s="128">
        <f t="shared" ref="BC415:BQ415" si="1057">+BC148/BC$196</f>
        <v>0</v>
      </c>
      <c r="BD415" s="128">
        <f t="shared" si="1057"/>
        <v>0</v>
      </c>
      <c r="BE415" s="128">
        <f t="shared" si="1057"/>
        <v>0</v>
      </c>
      <c r="BF415" s="128">
        <f t="shared" si="1057"/>
        <v>63.899999999999864</v>
      </c>
      <c r="BG415" s="128">
        <f t="shared" si="1057"/>
        <v>146.00000000000043</v>
      </c>
      <c r="BH415" s="128">
        <f t="shared" si="1057"/>
        <v>208.39999999999995</v>
      </c>
      <c r="BI415" s="128">
        <f t="shared" si="1057"/>
        <v>39.599999999999987</v>
      </c>
      <c r="BJ415" s="128">
        <f t="shared" si="1057"/>
        <v>34.899999999999892</v>
      </c>
      <c r="BK415" s="128">
        <f t="shared" si="1057"/>
        <v>127.7000000000004</v>
      </c>
      <c r="BL415" s="128">
        <f t="shared" si="1057"/>
        <v>195.70000000000007</v>
      </c>
      <c r="BM415" s="128">
        <f t="shared" si="1057"/>
        <v>-147.90000000000006</v>
      </c>
      <c r="BN415" s="128">
        <f t="shared" si="1057"/>
        <v>-149</v>
      </c>
      <c r="BO415" s="128">
        <f t="shared" si="1057"/>
        <v>-265.69999999999965</v>
      </c>
      <c r="BP415" s="128">
        <f t="shared" si="1057"/>
        <v>76.099999999999739</v>
      </c>
      <c r="BQ415" s="128">
        <f t="shared" si="1057"/>
        <v>32.899999999999828</v>
      </c>
      <c r="BR415" s="128">
        <f t="shared" ref="BR415:CB415" si="1058">+BR148/BR$196</f>
        <v>149.29999999999973</v>
      </c>
      <c r="BS415" s="128">
        <f t="shared" si="1058"/>
        <v>51.799999999999699</v>
      </c>
      <c r="BT415" s="128">
        <f t="shared" si="1058"/>
        <v>-98.999999999999829</v>
      </c>
      <c r="BU415" s="128">
        <f t="shared" ca="1" si="1058"/>
        <v>123.98304081111338</v>
      </c>
      <c r="BV415" s="128">
        <f t="shared" ca="1" si="1058"/>
        <v>84.581762513826959</v>
      </c>
      <c r="BW415" s="128">
        <f t="shared" ca="1" si="1058"/>
        <v>31.185536325245245</v>
      </c>
      <c r="BX415" s="128">
        <f t="shared" ca="1" si="1058"/>
        <v>-23.604800520803359</v>
      </c>
      <c r="BY415" s="128">
        <f t="shared" ca="1" si="1058"/>
        <v>-40.567733125553822</v>
      </c>
      <c r="BZ415" s="128">
        <f t="shared" ca="1" si="1058"/>
        <v>-71.716891206577401</v>
      </c>
      <c r="CA415" s="128">
        <f t="shared" ca="1" si="1058"/>
        <v>-118.12846529530343</v>
      </c>
      <c r="CB415" s="128">
        <f t="shared" ca="1" si="1058"/>
        <v>-184.18658571529667</v>
      </c>
      <c r="CC415" s="128">
        <f ca="1">+CC148/CC$196</f>
        <v>-275.92185602767887</v>
      </c>
      <c r="CD415" s="128">
        <f ca="1">+CD148/CD$196</f>
        <v>-401.41351823456466</v>
      </c>
      <c r="CE415" s="128">
        <f ca="1">+CE148/CE$196</f>
        <v>-571.46958638073318</v>
      </c>
      <c r="CF415" s="128">
        <f ca="1">+CF148/CF$196</f>
        <v>-800.45156417838371</v>
      </c>
      <c r="CG415" s="128">
        <f ca="1">+CG148/CG$196</f>
        <v>-1107.1930177272375</v>
      </c>
      <c r="CH415" s="128"/>
      <c r="CI415" s="159">
        <f t="shared" si="962"/>
        <v>0</v>
      </c>
      <c r="CJ415" s="159">
        <f t="shared" ref="CJ415:CU415" si="1059">BR415-DB415</f>
        <v>0</v>
      </c>
      <c r="CK415" s="159">
        <f t="shared" si="1059"/>
        <v>0</v>
      </c>
      <c r="CL415" s="159">
        <f t="shared" si="1059"/>
        <v>0</v>
      </c>
      <c r="CM415" s="159">
        <f t="shared" ca="1" si="1059"/>
        <v>-10.59728594132558</v>
      </c>
      <c r="CN415" s="159">
        <f t="shared" ca="1" si="1059"/>
        <v>-38.096015746582623</v>
      </c>
      <c r="CO415" s="159">
        <f t="shared" ca="1" si="1059"/>
        <v>-61.834372312395892</v>
      </c>
      <c r="CP415" s="159">
        <f t="shared" ca="1" si="1059"/>
        <v>-81.718118131040882</v>
      </c>
      <c r="CQ415" s="159">
        <f t="shared" ca="1" si="1059"/>
        <v>-104.63329720757849</v>
      </c>
      <c r="CR415" s="159">
        <f t="shared" ca="1" si="1059"/>
        <v>-209.72085703791478</v>
      </c>
      <c r="CS415" s="159">
        <f t="shared" ca="1" si="1059"/>
        <v>-243.42605057472929</v>
      </c>
      <c r="CT415" s="159">
        <f t="shared" ca="1" si="1059"/>
        <v>-274.95029445047572</v>
      </c>
      <c r="CU415" s="159">
        <f t="shared" ca="1" si="1059"/>
        <v>-304.39723079702458</v>
      </c>
      <c r="CV415" s="159">
        <f t="shared" ca="1" si="933"/>
        <v>-330.57462690876787</v>
      </c>
      <c r="CW415" s="159">
        <f t="shared" ca="1" si="934"/>
        <v>-351.80819058739047</v>
      </c>
      <c r="CX415" s="159">
        <f t="shared" ca="1" si="935"/>
        <v>-365.19623661749512</v>
      </c>
      <c r="CY415" s="159">
        <f t="shared" ca="1" si="936"/>
        <v>-366.74126224379654</v>
      </c>
      <c r="CZ415" s="128"/>
      <c r="DA415" s="104">
        <v>32.899999999999828</v>
      </c>
      <c r="DB415" s="104">
        <v>149.29999999999973</v>
      </c>
      <c r="DC415" s="104">
        <v>51.799999999999699</v>
      </c>
      <c r="DD415" s="104">
        <v>-98.999999999999829</v>
      </c>
      <c r="DE415" s="104">
        <v>134.58032675243896</v>
      </c>
      <c r="DF415" s="104">
        <v>122.67777826040958</v>
      </c>
      <c r="DG415" s="104">
        <v>93.019908637641137</v>
      </c>
      <c r="DH415" s="104">
        <v>58.113317610237516</v>
      </c>
      <c r="DI415" s="104">
        <v>64.065564082024679</v>
      </c>
      <c r="DJ415" s="104">
        <v>138.00396583133738</v>
      </c>
      <c r="DK415" s="104">
        <v>125.29758527942586</v>
      </c>
      <c r="DL415" s="104">
        <v>90.763708735179065</v>
      </c>
      <c r="DM415" s="104">
        <v>28.475374769345713</v>
      </c>
      <c r="DN415" s="104">
        <v>-70.83889132579678</v>
      </c>
      <c r="DO415" s="104">
        <v>-219.66139579334271</v>
      </c>
      <c r="DP415" s="104">
        <v>-435.25532756088859</v>
      </c>
      <c r="DQ415" s="104">
        <v>-740.45175548344093</v>
      </c>
    </row>
    <row r="416" spans="1:121">
      <c r="A416" s="149"/>
      <c r="B416" s="149"/>
      <c r="C416" s="146"/>
      <c r="D416" s="102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8"/>
      <c r="CA416" s="128"/>
      <c r="CB416" s="128"/>
      <c r="CC416" s="128"/>
      <c r="CD416" s="128"/>
      <c r="CE416" s="128"/>
      <c r="CF416" s="128"/>
      <c r="CG416" s="128"/>
      <c r="CH416" s="128"/>
      <c r="CI416" s="159">
        <f t="shared" si="962"/>
        <v>0</v>
      </c>
      <c r="CJ416" s="159">
        <f t="shared" si="963"/>
        <v>0</v>
      </c>
      <c r="CK416" s="159">
        <f t="shared" si="964"/>
        <v>0</v>
      </c>
      <c r="CL416" s="159">
        <f t="shared" si="965"/>
        <v>0</v>
      </c>
      <c r="CM416" s="159">
        <f t="shared" si="966"/>
        <v>0</v>
      </c>
      <c r="CN416" s="159">
        <f t="shared" si="967"/>
        <v>0</v>
      </c>
      <c r="CO416" s="159">
        <f t="shared" si="968"/>
        <v>0</v>
      </c>
      <c r="CP416" s="159">
        <f t="shared" si="969"/>
        <v>0</v>
      </c>
      <c r="CQ416" s="159">
        <f t="shared" si="970"/>
        <v>0</v>
      </c>
      <c r="CR416" s="159">
        <f t="shared" si="971"/>
        <v>0</v>
      </c>
      <c r="CS416" s="159">
        <f t="shared" si="972"/>
        <v>0</v>
      </c>
      <c r="CT416" s="159">
        <f t="shared" si="973"/>
        <v>0</v>
      </c>
      <c r="CU416" s="159">
        <f t="shared" si="974"/>
        <v>0</v>
      </c>
      <c r="CV416" s="159">
        <f t="shared" ref="CV416:CY417" si="1060">CD416-DN416</f>
        <v>0</v>
      </c>
      <c r="CW416" s="159">
        <f t="shared" si="1060"/>
        <v>0</v>
      </c>
      <c r="CX416" s="159">
        <f t="shared" si="1060"/>
        <v>0</v>
      </c>
      <c r="CY416" s="159">
        <f t="shared" si="1060"/>
        <v>0</v>
      </c>
      <c r="CZ416" s="128"/>
    </row>
    <row r="417" spans="1:121">
      <c r="A417" s="131" t="s">
        <v>2969</v>
      </c>
      <c r="C417" s="146" t="s">
        <v>2682</v>
      </c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>
        <f t="shared" ref="BC417:BQ417" si="1061">+BC150/BC$196</f>
        <v>0</v>
      </c>
      <c r="BD417" s="128">
        <f t="shared" si="1061"/>
        <v>0</v>
      </c>
      <c r="BE417" s="128">
        <f t="shared" si="1061"/>
        <v>0</v>
      </c>
      <c r="BF417" s="128">
        <f t="shared" si="1061"/>
        <v>-63.899999999999864</v>
      </c>
      <c r="BG417" s="128">
        <f t="shared" si="1061"/>
        <v>-146.00000000000043</v>
      </c>
      <c r="BH417" s="128">
        <f t="shared" si="1061"/>
        <v>-208.39999999999995</v>
      </c>
      <c r="BI417" s="128">
        <f t="shared" si="1061"/>
        <v>-39.599999999999987</v>
      </c>
      <c r="BJ417" s="128">
        <f t="shared" si="1061"/>
        <v>-34.899999999999892</v>
      </c>
      <c r="BK417" s="128">
        <f t="shared" si="1061"/>
        <v>-127.7000000000004</v>
      </c>
      <c r="BL417" s="128">
        <f t="shared" si="1061"/>
        <v>-195.70000000000007</v>
      </c>
      <c r="BM417" s="128">
        <f t="shared" si="1061"/>
        <v>147.90000000000006</v>
      </c>
      <c r="BN417" s="128">
        <f t="shared" si="1061"/>
        <v>149</v>
      </c>
      <c r="BO417" s="128">
        <f t="shared" si="1061"/>
        <v>265.69999999999965</v>
      </c>
      <c r="BP417" s="128">
        <f t="shared" si="1061"/>
        <v>-76.099999999999739</v>
      </c>
      <c r="BQ417" s="128">
        <f t="shared" si="1061"/>
        <v>-32.899999999999828</v>
      </c>
      <c r="BR417" s="128">
        <f t="shared" ref="BR417:CB417" si="1062">+BR150/BR$196</f>
        <v>-149.29999999999973</v>
      </c>
      <c r="BS417" s="128">
        <f t="shared" si="1062"/>
        <v>-51.799999999999699</v>
      </c>
      <c r="BT417" s="128">
        <f t="shared" si="1062"/>
        <v>98.999999999999829</v>
      </c>
      <c r="BU417" s="128">
        <f t="shared" ca="1" si="1062"/>
        <v>-123.98304081111338</v>
      </c>
      <c r="BV417" s="128">
        <f t="shared" ca="1" si="1062"/>
        <v>-84.581762513826959</v>
      </c>
      <c r="BW417" s="128">
        <f t="shared" ca="1" si="1062"/>
        <v>-31.185536325245245</v>
      </c>
      <c r="BX417" s="128">
        <f t="shared" ca="1" si="1062"/>
        <v>23.604800520803359</v>
      </c>
      <c r="BY417" s="128">
        <f t="shared" ca="1" si="1062"/>
        <v>40.567733125553822</v>
      </c>
      <c r="BZ417" s="128">
        <f t="shared" ca="1" si="1062"/>
        <v>71.716891206577401</v>
      </c>
      <c r="CA417" s="128">
        <f t="shared" ca="1" si="1062"/>
        <v>118.12846529530343</v>
      </c>
      <c r="CB417" s="128">
        <f t="shared" ca="1" si="1062"/>
        <v>184.18658571529667</v>
      </c>
      <c r="CC417" s="128">
        <f ca="1">+CC150/CC$196</f>
        <v>275.92185602767887</v>
      </c>
      <c r="CD417" s="128">
        <f ca="1">+CD150/CD$196</f>
        <v>401.41351823456466</v>
      </c>
      <c r="CE417" s="128">
        <f ca="1">+CE150/CE$196</f>
        <v>571.46958638073318</v>
      </c>
      <c r="CF417" s="128">
        <f ca="1">+CF150/CF$196</f>
        <v>800.45156417838371</v>
      </c>
      <c r="CG417" s="128">
        <f ca="1">+CG150/CG$196</f>
        <v>1107.1930177272375</v>
      </c>
      <c r="CH417" s="128"/>
      <c r="CI417" s="159">
        <f t="shared" si="962"/>
        <v>0</v>
      </c>
      <c r="CJ417" s="159">
        <f t="shared" ref="CJ417:CU417" si="1063">BR417-DB417</f>
        <v>0</v>
      </c>
      <c r="CK417" s="159">
        <f t="shared" si="1063"/>
        <v>0</v>
      </c>
      <c r="CL417" s="159">
        <f t="shared" si="1063"/>
        <v>0</v>
      </c>
      <c r="CM417" s="159">
        <f t="shared" ca="1" si="1063"/>
        <v>10.59728594132558</v>
      </c>
      <c r="CN417" s="159">
        <f t="shared" ca="1" si="1063"/>
        <v>38.096015746582623</v>
      </c>
      <c r="CO417" s="159">
        <f t="shared" ca="1" si="1063"/>
        <v>61.834372312395892</v>
      </c>
      <c r="CP417" s="159">
        <f t="shared" ca="1" si="1063"/>
        <v>81.718118131040882</v>
      </c>
      <c r="CQ417" s="159">
        <f t="shared" ca="1" si="1063"/>
        <v>104.63329720757849</v>
      </c>
      <c r="CR417" s="159">
        <f t="shared" ca="1" si="1063"/>
        <v>209.72085703791478</v>
      </c>
      <c r="CS417" s="159">
        <f t="shared" ca="1" si="1063"/>
        <v>243.42605057472929</v>
      </c>
      <c r="CT417" s="159">
        <f t="shared" ca="1" si="1063"/>
        <v>274.95029445047572</v>
      </c>
      <c r="CU417" s="159">
        <f t="shared" ca="1" si="1063"/>
        <v>304.39723079702458</v>
      </c>
      <c r="CV417" s="159">
        <f t="shared" ca="1" si="1060"/>
        <v>330.57462690876787</v>
      </c>
      <c r="CW417" s="159">
        <f t="shared" ca="1" si="1060"/>
        <v>351.80819058739047</v>
      </c>
      <c r="CX417" s="159">
        <f t="shared" ca="1" si="1060"/>
        <v>365.19623661749512</v>
      </c>
      <c r="CY417" s="159">
        <f t="shared" ca="1" si="1060"/>
        <v>366.74126224379654</v>
      </c>
      <c r="CZ417" s="128"/>
      <c r="DA417" s="104">
        <v>-32.899999999999828</v>
      </c>
      <c r="DB417" s="104">
        <v>-149.29999999999973</v>
      </c>
      <c r="DC417" s="104">
        <v>-51.799999999999699</v>
      </c>
      <c r="DD417" s="104">
        <v>98.999999999999829</v>
      </c>
      <c r="DE417" s="104">
        <v>-134.58032675243896</v>
      </c>
      <c r="DF417" s="104">
        <v>-122.67777826040958</v>
      </c>
      <c r="DG417" s="104">
        <v>-93.019908637641137</v>
      </c>
      <c r="DH417" s="104">
        <v>-58.113317610237516</v>
      </c>
      <c r="DI417" s="104">
        <v>-64.065564082024679</v>
      </c>
      <c r="DJ417" s="104">
        <v>-138.00396583133738</v>
      </c>
      <c r="DK417" s="104">
        <v>-125.29758527942586</v>
      </c>
      <c r="DL417" s="104">
        <v>-90.763708735179065</v>
      </c>
      <c r="DM417" s="104">
        <v>-28.475374769345713</v>
      </c>
      <c r="DN417" s="104">
        <v>70.83889132579678</v>
      </c>
      <c r="DO417" s="104">
        <v>219.66139579334271</v>
      </c>
      <c r="DP417" s="104">
        <v>435.25532756088859</v>
      </c>
      <c r="DQ417" s="104">
        <v>740.45175548344093</v>
      </c>
    </row>
    <row r="418" spans="1:121">
      <c r="C418" s="146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  <c r="AV418" s="128"/>
      <c r="AW418" s="128"/>
      <c r="AX418" s="128"/>
      <c r="AY418" s="128"/>
      <c r="AZ418" s="128"/>
      <c r="BA418" s="128"/>
      <c r="BB418" s="128"/>
      <c r="BC418" s="128"/>
      <c r="BD418" s="128"/>
      <c r="BE418" s="128"/>
      <c r="BF418" s="128"/>
      <c r="BG418" s="128"/>
      <c r="BH418" s="128"/>
      <c r="BI418" s="128"/>
      <c r="BJ418" s="128"/>
      <c r="BK418" s="128"/>
      <c r="BL418" s="128"/>
      <c r="BM418" s="128"/>
      <c r="BN418" s="128"/>
      <c r="BO418" s="128"/>
      <c r="BP418" s="128"/>
      <c r="BQ418" s="128"/>
      <c r="BR418" s="128"/>
      <c r="BS418" s="128"/>
      <c r="BT418" s="128"/>
      <c r="BU418" s="128"/>
      <c r="BV418" s="128"/>
      <c r="BW418" s="128"/>
      <c r="BX418" s="128"/>
      <c r="BY418" s="128"/>
      <c r="BZ418" s="128"/>
      <c r="CA418" s="128"/>
      <c r="CB418" s="128"/>
      <c r="CC418" s="128"/>
      <c r="CD418" s="128"/>
      <c r="CE418" s="128"/>
      <c r="CF418" s="128"/>
      <c r="CG418" s="128"/>
      <c r="CH418" s="128"/>
      <c r="CI418" s="159"/>
      <c r="CJ418" s="159"/>
      <c r="CK418" s="159"/>
      <c r="CL418" s="159"/>
      <c r="CM418" s="159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28"/>
    </row>
    <row r="419" spans="1:121">
      <c r="A419" s="128"/>
      <c r="B419" s="128"/>
      <c r="C419" s="128"/>
      <c r="D419" s="112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</row>
    <row r="420" spans="1:121" s="605" customFormat="1">
      <c r="A420" s="602" t="s">
        <v>2833</v>
      </c>
      <c r="B420" s="603"/>
      <c r="C420" s="604"/>
      <c r="D420" s="651"/>
    </row>
    <row r="421" spans="1:121">
      <c r="A421" s="128"/>
      <c r="B421" s="128"/>
      <c r="C421" s="128"/>
      <c r="D421" s="112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607">
        <f>+BF2</f>
        <v>2006</v>
      </c>
      <c r="BG421" s="607">
        <f t="shared" ref="BG421:BZ421" si="1064">+BG2</f>
        <v>2007</v>
      </c>
      <c r="BH421" s="607">
        <f t="shared" si="1064"/>
        <v>2008</v>
      </c>
      <c r="BI421" s="607">
        <f t="shared" si="1064"/>
        <v>2009</v>
      </c>
      <c r="BJ421" s="607">
        <f t="shared" si="1064"/>
        <v>2010</v>
      </c>
      <c r="BK421" s="607">
        <f t="shared" si="1064"/>
        <v>2011</v>
      </c>
      <c r="BL421" s="607">
        <f t="shared" si="1064"/>
        <v>2012</v>
      </c>
      <c r="BM421" s="607">
        <f t="shared" si="1064"/>
        <v>2013</v>
      </c>
      <c r="BN421" s="607">
        <f t="shared" si="1064"/>
        <v>2014</v>
      </c>
      <c r="BO421" s="607">
        <f t="shared" si="1064"/>
        <v>2015</v>
      </c>
      <c r="BP421" s="607">
        <f t="shared" si="1064"/>
        <v>2016</v>
      </c>
      <c r="BQ421" s="607">
        <f t="shared" si="1064"/>
        <v>2017</v>
      </c>
      <c r="BR421" s="607">
        <f t="shared" si="1064"/>
        <v>2018</v>
      </c>
      <c r="BS421" s="607">
        <f t="shared" si="1064"/>
        <v>2019</v>
      </c>
      <c r="BT421" s="607">
        <f t="shared" si="1064"/>
        <v>2020</v>
      </c>
      <c r="BU421" s="607">
        <f t="shared" si="1064"/>
        <v>2021</v>
      </c>
      <c r="BV421" s="607">
        <f t="shared" si="1064"/>
        <v>2022</v>
      </c>
      <c r="BW421" s="607">
        <f t="shared" si="1064"/>
        <v>2023</v>
      </c>
      <c r="BX421" s="607">
        <f t="shared" si="1064"/>
        <v>2024</v>
      </c>
      <c r="BY421" s="607">
        <f t="shared" si="1064"/>
        <v>2025</v>
      </c>
      <c r="BZ421" s="607">
        <f t="shared" si="1064"/>
        <v>2026</v>
      </c>
      <c r="CA421" s="607">
        <f t="shared" ref="CA421:CG421" si="1065">+CA2</f>
        <v>2027</v>
      </c>
      <c r="CB421" s="607">
        <f t="shared" si="1065"/>
        <v>2028</v>
      </c>
      <c r="CC421" s="607">
        <f t="shared" si="1065"/>
        <v>2029</v>
      </c>
      <c r="CD421" s="607">
        <f t="shared" si="1065"/>
        <v>2030</v>
      </c>
      <c r="CE421" s="607">
        <f t="shared" si="1065"/>
        <v>2031</v>
      </c>
      <c r="CF421" s="607">
        <f t="shared" si="1065"/>
        <v>2032</v>
      </c>
      <c r="CG421" s="607">
        <f t="shared" si="1065"/>
        <v>2033</v>
      </c>
      <c r="CH421" s="128"/>
      <c r="CI421" s="128"/>
      <c r="CJ421" s="128"/>
      <c r="CK421" s="128"/>
      <c r="CL421" s="128"/>
      <c r="CM421" s="128"/>
      <c r="CN421" s="128"/>
      <c r="CO421" s="128"/>
      <c r="CP421" s="128"/>
      <c r="CQ421" s="128"/>
      <c r="CR421" s="128"/>
      <c r="CS421" s="128"/>
      <c r="CT421" s="128"/>
      <c r="CU421" s="128"/>
      <c r="CV421" s="128"/>
      <c r="CW421" s="128"/>
      <c r="CX421" s="128"/>
      <c r="CY421" s="128"/>
      <c r="CZ421" s="128"/>
      <c r="DA421" s="104">
        <v>2017</v>
      </c>
      <c r="DB421" s="104">
        <v>2018</v>
      </c>
      <c r="DC421" s="104">
        <v>2019</v>
      </c>
      <c r="DD421" s="104">
        <v>2020</v>
      </c>
      <c r="DE421" s="104">
        <v>2021</v>
      </c>
      <c r="DF421" s="104">
        <v>2022</v>
      </c>
      <c r="DG421" s="104">
        <v>2023</v>
      </c>
      <c r="DH421" s="104">
        <v>2024</v>
      </c>
      <c r="DI421" s="104">
        <v>2025</v>
      </c>
      <c r="DJ421" s="104">
        <v>2026</v>
      </c>
      <c r="DK421" s="104">
        <v>2027</v>
      </c>
      <c r="DL421" s="104">
        <v>2028</v>
      </c>
      <c r="DM421" s="104">
        <v>2029</v>
      </c>
      <c r="DN421" s="104">
        <v>2030</v>
      </c>
      <c r="DO421" s="104">
        <v>2031</v>
      </c>
      <c r="DP421" s="104">
        <v>2032</v>
      </c>
      <c r="DQ421" s="104">
        <v>2033</v>
      </c>
    </row>
    <row r="422" spans="1:121">
      <c r="A422" s="373" t="s">
        <v>2832</v>
      </c>
      <c r="B422" s="373"/>
      <c r="C422" s="373"/>
      <c r="D422" s="373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  <c r="BE422" s="128"/>
      <c r="BF422" s="128"/>
      <c r="BG422" s="128"/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8"/>
      <c r="CB422" s="128"/>
      <c r="CC422" s="128"/>
      <c r="CD422" s="128"/>
      <c r="CE422" s="128"/>
      <c r="CF422" s="128"/>
      <c r="CG422" s="128"/>
      <c r="CH422" s="128"/>
      <c r="CI422" s="128"/>
      <c r="CJ422" s="128"/>
      <c r="CK422" s="128"/>
      <c r="CL422" s="128"/>
      <c r="CM422" s="128"/>
      <c r="CN422" s="128"/>
      <c r="CO422" s="128"/>
      <c r="CP422" s="128"/>
      <c r="CQ422" s="128"/>
      <c r="CR422" s="128"/>
      <c r="CS422" s="128"/>
      <c r="CT422" s="128"/>
      <c r="CU422" s="128"/>
      <c r="CV422" s="128"/>
      <c r="CW422" s="128"/>
      <c r="CX422" s="128"/>
      <c r="CY422" s="128"/>
      <c r="CZ422" s="128"/>
    </row>
    <row r="423" spans="1:121">
      <c r="A423" s="107" t="s">
        <v>952</v>
      </c>
      <c r="B423" s="107"/>
      <c r="C423" s="107" t="s">
        <v>1344</v>
      </c>
      <c r="D423" s="145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64">
        <f t="shared" ref="BF423:BP423" ca="1" si="1066">+(BF164-BE164)/1000</f>
        <v>0.14015391836951313</v>
      </c>
      <c r="BG423" s="164">
        <f t="shared" si="1066"/>
        <v>0.70199999999999996</v>
      </c>
      <c r="BH423" s="164">
        <f t="shared" si="1066"/>
        <v>0.48609999999999992</v>
      </c>
      <c r="BI423" s="164">
        <f t="shared" si="1066"/>
        <v>0.23130000000000017</v>
      </c>
      <c r="BJ423" s="164">
        <f t="shared" si="1066"/>
        <v>0.1205</v>
      </c>
      <c r="BK423" s="164">
        <f t="shared" si="1066"/>
        <v>1.4317999999999997</v>
      </c>
      <c r="BL423" s="164">
        <f t="shared" si="1066"/>
        <v>0.69060000000000032</v>
      </c>
      <c r="BM423" s="164">
        <f t="shared" si="1066"/>
        <v>-0.50480000000000014</v>
      </c>
      <c r="BN423" s="164">
        <f t="shared" si="1066"/>
        <v>-0.74890000000000012</v>
      </c>
      <c r="BO423" s="164">
        <f t="shared" si="1066"/>
        <v>-0.83990000000000009</v>
      </c>
      <c r="BP423" s="164">
        <f t="shared" si="1066"/>
        <v>3.4521000000000002</v>
      </c>
      <c r="BQ423" s="164">
        <f>+(BQ164-BP164)/1000</f>
        <v>-8.430000000000018E-2</v>
      </c>
      <c r="BR423" s="164">
        <f t="shared" ref="BR423:CB423" si="1067">+(BR164-BQ164)/1000</f>
        <v>2.0617000000000005</v>
      </c>
      <c r="BS423" s="164">
        <f t="shared" si="1067"/>
        <v>-2.5632000000000006</v>
      </c>
      <c r="BT423" s="164">
        <f t="shared" si="1067"/>
        <v>4.8319999999999999</v>
      </c>
      <c r="BU423" s="164">
        <f t="shared" ca="1" si="1067"/>
        <v>8.3313750033823819</v>
      </c>
      <c r="BV423" s="164">
        <f t="shared" ca="1" si="1067"/>
        <v>1.7728337422898113</v>
      </c>
      <c r="BW423" s="164">
        <f t="shared" ca="1" si="1067"/>
        <v>0.6536488413771403</v>
      </c>
      <c r="BX423" s="164">
        <f t="shared" ca="1" si="1067"/>
        <v>-0.49475661891603884</v>
      </c>
      <c r="BY423" s="164">
        <f t="shared" ca="1" si="1067"/>
        <v>-0.85029968631160957</v>
      </c>
      <c r="BZ423" s="164">
        <f t="shared" ca="1" si="1067"/>
        <v>-1.5031860396898629</v>
      </c>
      <c r="CA423" s="164">
        <f t="shared" ca="1" si="1067"/>
        <v>-2.4759726325895608</v>
      </c>
      <c r="CB423" s="164">
        <f t="shared" ca="1" si="1067"/>
        <v>-3.86055083659262</v>
      </c>
      <c r="CC423" s="164">
        <f ca="1">+(CC164-CB164)/1000</f>
        <v>-5.7833221023401489</v>
      </c>
      <c r="CD423" s="164">
        <f ca="1">+(CD164-CC164)/1000</f>
        <v>-8.4136273421964756</v>
      </c>
      <c r="CE423" s="164">
        <f ca="1">+(CE164-CD164)/1000</f>
        <v>-11.978002530540167</v>
      </c>
      <c r="CF423" s="164">
        <f ca="1">+(CF164-CE164)/1000</f>
        <v>-16.777464785178928</v>
      </c>
      <c r="CG423" s="164">
        <f ca="1">+(CG164-CF164)/1000</f>
        <v>-23.2067656515629</v>
      </c>
      <c r="CH423" s="128"/>
      <c r="CI423" s="159">
        <f t="shared" ref="CI423:CI431" si="1068">BQ423-DA423</f>
        <v>0</v>
      </c>
      <c r="CJ423" s="159">
        <f t="shared" ref="CJ423:CJ431" si="1069">BR423-DB423</f>
        <v>0</v>
      </c>
      <c r="CK423" s="159">
        <f t="shared" ref="CK423:CK431" si="1070">BS423-DC423</f>
        <v>0</v>
      </c>
      <c r="CL423" s="159">
        <f t="shared" ref="CL423:CL431" si="1071">BT423-DD423</f>
        <v>0</v>
      </c>
      <c r="CM423" s="159">
        <f t="shared" ref="CM423:CM431" ca="1" si="1072">BU423-DE423</f>
        <v>2.1289689553738249</v>
      </c>
      <c r="CN423" s="159">
        <f t="shared" ref="CN423:CN431" ca="1" si="1073">BV423-DF423</f>
        <v>-0.47707671100610227</v>
      </c>
      <c r="CO423" s="159">
        <f t="shared" ref="CO423:CO431" ca="1" si="1074">BW423-DG423</f>
        <v>-1.0523362830371989</v>
      </c>
      <c r="CP423" s="159">
        <f t="shared" ref="CP423:CP431" ca="1" si="1075">BX423-DH423</f>
        <v>-1.5605548638877953</v>
      </c>
      <c r="CQ423" s="159">
        <f t="shared" ref="CQ423:CQ431" ca="1" si="1076">BY423-DI423</f>
        <v>-2.0252621315759427</v>
      </c>
      <c r="CR423" s="159">
        <f t="shared" ref="CR423:CR431" ca="1" si="1077">BZ423-DJ423</f>
        <v>-4.0341787730365901</v>
      </c>
      <c r="CS423" s="159">
        <f t="shared" ref="CS423:CS431" ca="1" si="1078">CA423-DK423</f>
        <v>-4.7739303466142307</v>
      </c>
      <c r="CT423" s="159">
        <f t="shared" ref="CT423:CT431" ca="1" si="1079">CB423-DL423</f>
        <v>-5.5251572547958041</v>
      </c>
      <c r="CU423" s="159">
        <f t="shared" ref="CU423:CU431" ca="1" si="1080">CC423-DM423</f>
        <v>-6.3055604756099486</v>
      </c>
      <c r="CV423" s="159">
        <f t="shared" ref="CV423:CV431" ca="1" si="1081">CD423-DN423</f>
        <v>-7.1144420752813637</v>
      </c>
      <c r="CW423" s="159">
        <f t="shared" ref="CW423:CW431" ca="1" si="1082">CE423-DO423</f>
        <v>-7.9494125316902586</v>
      </c>
      <c r="CX423" s="159">
        <f t="shared" ref="CX423:CX431" ca="1" si="1083">CF423-DP423</f>
        <v>-8.7948820777122325</v>
      </c>
      <c r="CY423" s="159">
        <f t="shared" ref="CY423:CY431" ca="1" si="1084">CG423-DQ423</f>
        <v>-9.6268804559965933</v>
      </c>
      <c r="CZ423" s="128"/>
      <c r="DA423" s="104">
        <v>-8.430000000000018E-2</v>
      </c>
      <c r="DB423" s="104">
        <v>2.0617000000000005</v>
      </c>
      <c r="DC423" s="104">
        <v>-2.5632000000000006</v>
      </c>
      <c r="DD423" s="104">
        <v>4.8319999999999999</v>
      </c>
      <c r="DE423" s="104">
        <v>6.202406048008557</v>
      </c>
      <c r="DF423" s="104">
        <v>2.2499104532959135</v>
      </c>
      <c r="DG423" s="104">
        <v>1.7059851244143391</v>
      </c>
      <c r="DH423" s="104">
        <v>1.0657982449717565</v>
      </c>
      <c r="DI423" s="104">
        <v>1.174962445264333</v>
      </c>
      <c r="DJ423" s="104">
        <v>2.5309927333467277</v>
      </c>
      <c r="DK423" s="104">
        <v>2.2979577140246694</v>
      </c>
      <c r="DL423" s="104">
        <v>1.6646064182031841</v>
      </c>
      <c r="DM423" s="104">
        <v>0.52223837326979994</v>
      </c>
      <c r="DN423" s="104">
        <v>-1.299185266915112</v>
      </c>
      <c r="DO423" s="104">
        <v>-4.0285899988499079</v>
      </c>
      <c r="DP423" s="104">
        <v>-7.9825827074666957</v>
      </c>
      <c r="DQ423" s="104">
        <v>-13.579885195566307</v>
      </c>
    </row>
    <row r="424" spans="1:121">
      <c r="A424" s="107" t="s">
        <v>2834</v>
      </c>
      <c r="B424" s="107"/>
      <c r="C424" s="107" t="s">
        <v>2840</v>
      </c>
      <c r="D424" s="145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  <c r="BE424" s="128"/>
      <c r="BF424" s="164">
        <f>+BF156/1000</f>
        <v>0</v>
      </c>
      <c r="BG424" s="164">
        <f t="shared" ref="BG424:BR424" si="1085">+BG156/1000</f>
        <v>-3.4829887076479066E-3</v>
      </c>
      <c r="BH424" s="164">
        <f t="shared" si="1085"/>
        <v>7.8103195237953478E-3</v>
      </c>
      <c r="BI424" s="164">
        <f t="shared" si="1085"/>
        <v>-1.5990227549793647E-3</v>
      </c>
      <c r="BJ424" s="164">
        <f t="shared" si="1085"/>
        <v>1.3122489111171093E-3</v>
      </c>
      <c r="BK424" s="164">
        <f t="shared" si="1085"/>
        <v>0.59339684716345731</v>
      </c>
      <c r="BL424" s="164">
        <f t="shared" si="1085"/>
        <v>-1.3467646859568966E-3</v>
      </c>
      <c r="BM424" s="164">
        <f t="shared" si="1085"/>
        <v>-1.3161104854543786E-3</v>
      </c>
      <c r="BN424" s="164">
        <f t="shared" si="1085"/>
        <v>7.3669330112538511E-4</v>
      </c>
      <c r="BO424" s="164">
        <f t="shared" si="1085"/>
        <v>0.83942328948080447</v>
      </c>
      <c r="BP424" s="164">
        <f t="shared" si="1085"/>
        <v>2.5640767764184731</v>
      </c>
      <c r="BQ424" s="164">
        <f t="shared" si="1085"/>
        <v>3.9782614565282461E-2</v>
      </c>
      <c r="BR424" s="164">
        <f t="shared" si="1085"/>
        <v>2.0775412880321953E-3</v>
      </c>
      <c r="BS424" s="164">
        <f t="shared" ref="BS424:CB424" si="1086">+BS156/1000</f>
        <v>-1.2798661127905335E-4</v>
      </c>
      <c r="BT424" s="164">
        <f t="shared" si="1086"/>
        <v>5.2493208658389188</v>
      </c>
      <c r="BU424" s="164">
        <f t="shared" si="1086"/>
        <v>5.2929009009009027</v>
      </c>
      <c r="BV424" s="164">
        <f t="shared" ca="1" si="1086"/>
        <v>0</v>
      </c>
      <c r="BW424" s="164">
        <f t="shared" ca="1" si="1086"/>
        <v>0</v>
      </c>
      <c r="BX424" s="164">
        <f t="shared" ca="1" si="1086"/>
        <v>0</v>
      </c>
      <c r="BY424" s="164">
        <f t="shared" ca="1" si="1086"/>
        <v>0</v>
      </c>
      <c r="BZ424" s="164">
        <f t="shared" ca="1" si="1086"/>
        <v>0</v>
      </c>
      <c r="CA424" s="164">
        <f t="shared" ca="1" si="1086"/>
        <v>0</v>
      </c>
      <c r="CB424" s="164">
        <f t="shared" ca="1" si="1086"/>
        <v>0</v>
      </c>
      <c r="CC424" s="164">
        <f ca="1">+CC156/1000</f>
        <v>0</v>
      </c>
      <c r="CD424" s="164">
        <f ca="1">+CD156/1000</f>
        <v>0</v>
      </c>
      <c r="CE424" s="164">
        <f ca="1">+CE156/1000</f>
        <v>0</v>
      </c>
      <c r="CF424" s="164">
        <f ca="1">+CF156/1000</f>
        <v>0</v>
      </c>
      <c r="CG424" s="164">
        <f ca="1">+CG156/1000</f>
        <v>0</v>
      </c>
      <c r="CH424" s="128"/>
      <c r="CI424" s="159">
        <f t="shared" si="1068"/>
        <v>0</v>
      </c>
      <c r="CJ424" s="159">
        <f t="shared" si="1069"/>
        <v>0</v>
      </c>
      <c r="CK424" s="159">
        <f t="shared" si="1070"/>
        <v>0</v>
      </c>
      <c r="CL424" s="159">
        <f t="shared" si="1071"/>
        <v>0</v>
      </c>
      <c r="CM424" s="159">
        <f t="shared" si="1072"/>
        <v>1.9984876126126125</v>
      </c>
      <c r="CN424" s="159">
        <f t="shared" ca="1" si="1073"/>
        <v>0</v>
      </c>
      <c r="CO424" s="159">
        <f t="shared" ca="1" si="1074"/>
        <v>0</v>
      </c>
      <c r="CP424" s="159">
        <f t="shared" ca="1" si="1075"/>
        <v>0</v>
      </c>
      <c r="CQ424" s="159">
        <f t="shared" ca="1" si="1076"/>
        <v>0</v>
      </c>
      <c r="CR424" s="159">
        <f t="shared" ca="1" si="1077"/>
        <v>0</v>
      </c>
      <c r="CS424" s="159">
        <f t="shared" ca="1" si="1078"/>
        <v>0</v>
      </c>
      <c r="CT424" s="159">
        <f t="shared" ca="1" si="1079"/>
        <v>0</v>
      </c>
      <c r="CU424" s="159">
        <f t="shared" ca="1" si="1080"/>
        <v>0</v>
      </c>
      <c r="CV424" s="159">
        <f t="shared" ca="1" si="1081"/>
        <v>0</v>
      </c>
      <c r="CW424" s="159">
        <f t="shared" ca="1" si="1082"/>
        <v>0</v>
      </c>
      <c r="CX424" s="159">
        <f t="shared" ca="1" si="1083"/>
        <v>0</v>
      </c>
      <c r="CY424" s="159">
        <f t="shared" ca="1" si="1084"/>
        <v>0</v>
      </c>
      <c r="CZ424" s="128"/>
      <c r="DA424" s="104">
        <v>3.9782614565282461E-2</v>
      </c>
      <c r="DB424" s="104">
        <v>2.0775412880321953E-3</v>
      </c>
      <c r="DC424" s="104">
        <v>-1.2798661127905335E-4</v>
      </c>
      <c r="DD424" s="104">
        <v>5.2493208658389188</v>
      </c>
      <c r="DE424" s="104">
        <v>3.2944132882882902</v>
      </c>
      <c r="DF424" s="104">
        <v>0</v>
      </c>
      <c r="DG424" s="104">
        <v>0</v>
      </c>
      <c r="DH424" s="104">
        <v>0</v>
      </c>
      <c r="DI424" s="104">
        <v>0</v>
      </c>
      <c r="DJ424" s="104">
        <v>0</v>
      </c>
      <c r="DK424" s="104">
        <v>0</v>
      </c>
      <c r="DL424" s="104">
        <v>0</v>
      </c>
      <c r="DM424" s="104">
        <v>0</v>
      </c>
      <c r="DN424" s="104">
        <v>0</v>
      </c>
      <c r="DO424" s="104">
        <v>0</v>
      </c>
      <c r="DP424" s="104">
        <v>0</v>
      </c>
      <c r="DQ424" s="104">
        <v>0</v>
      </c>
    </row>
    <row r="425" spans="1:121">
      <c r="A425" s="107" t="s">
        <v>2835</v>
      </c>
      <c r="B425" s="107"/>
      <c r="C425" s="107" t="s">
        <v>2840</v>
      </c>
      <c r="D425" s="145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  <c r="BE425" s="128"/>
      <c r="BF425" s="164">
        <f t="shared" ref="BF425:CC425" ca="1" si="1087">(BF164-BE164)/1000-BF424</f>
        <v>0.14015391836951313</v>
      </c>
      <c r="BG425" s="164">
        <f t="shared" si="1087"/>
        <v>0.70548298870764792</v>
      </c>
      <c r="BH425" s="164">
        <f t="shared" si="1087"/>
        <v>0.47828968047620457</v>
      </c>
      <c r="BI425" s="164">
        <f t="shared" si="1087"/>
        <v>0.23289902275497953</v>
      </c>
      <c r="BJ425" s="164">
        <f t="shared" si="1087"/>
        <v>0.11918775108888288</v>
      </c>
      <c r="BK425" s="164">
        <f t="shared" si="1087"/>
        <v>0.83840315283654243</v>
      </c>
      <c r="BL425" s="164">
        <f t="shared" si="1087"/>
        <v>0.69194676468595717</v>
      </c>
      <c r="BM425" s="164">
        <f t="shared" si="1087"/>
        <v>-0.50348388951454581</v>
      </c>
      <c r="BN425" s="164">
        <f t="shared" si="1087"/>
        <v>-0.74963669330112548</v>
      </c>
      <c r="BO425" s="164">
        <f t="shared" si="1087"/>
        <v>-1.6793232894808046</v>
      </c>
      <c r="BP425" s="164">
        <f t="shared" si="1087"/>
        <v>0.88802322358152708</v>
      </c>
      <c r="BQ425" s="164">
        <f t="shared" si="1087"/>
        <v>-0.12408261456528263</v>
      </c>
      <c r="BR425" s="164">
        <f t="shared" si="1087"/>
        <v>2.0596224587119685</v>
      </c>
      <c r="BS425" s="164">
        <f t="shared" si="1087"/>
        <v>-2.5630720133887217</v>
      </c>
      <c r="BT425" s="164">
        <f t="shared" si="1087"/>
        <v>-0.41732086583891892</v>
      </c>
      <c r="BU425" s="164">
        <f t="shared" ca="1" si="1087"/>
        <v>3.0384741024814792</v>
      </c>
      <c r="BV425" s="164">
        <f t="shared" ca="1" si="1087"/>
        <v>1.7728337422898113</v>
      </c>
      <c r="BW425" s="164">
        <f t="shared" ca="1" si="1087"/>
        <v>0.6536488413771403</v>
      </c>
      <c r="BX425" s="164">
        <f t="shared" ca="1" si="1087"/>
        <v>-0.49475661891603884</v>
      </c>
      <c r="BY425" s="164">
        <f t="shared" ca="1" si="1087"/>
        <v>-0.85029968631160957</v>
      </c>
      <c r="BZ425" s="164">
        <f t="shared" ca="1" si="1087"/>
        <v>-1.5031860396898629</v>
      </c>
      <c r="CA425" s="164">
        <f t="shared" ca="1" si="1087"/>
        <v>-2.4759726325895608</v>
      </c>
      <c r="CB425" s="164">
        <f t="shared" ca="1" si="1087"/>
        <v>-3.86055083659262</v>
      </c>
      <c r="CC425" s="164">
        <f t="shared" ca="1" si="1087"/>
        <v>-5.7833221023401489</v>
      </c>
      <c r="CD425" s="164">
        <f ca="1">(CD164-CC164)/1000-CD424</f>
        <v>-8.4136273421964756</v>
      </c>
      <c r="CE425" s="164">
        <f ca="1">(CE164-CD164)/1000-CE424</f>
        <v>-11.978002530540167</v>
      </c>
      <c r="CF425" s="164">
        <f ca="1">(CF164-CE164)/1000-CF424</f>
        <v>-16.777464785178928</v>
      </c>
      <c r="CG425" s="164">
        <f ca="1">(CG164-CF164)/1000-CG424</f>
        <v>-23.2067656515629</v>
      </c>
      <c r="CH425" s="123" t="s">
        <v>1344</v>
      </c>
      <c r="CI425" s="159">
        <f t="shared" si="1068"/>
        <v>0</v>
      </c>
      <c r="CJ425" s="159">
        <f t="shared" si="1069"/>
        <v>0</v>
      </c>
      <c r="CK425" s="159">
        <f t="shared" si="1070"/>
        <v>0</v>
      </c>
      <c r="CL425" s="159">
        <f t="shared" si="1071"/>
        <v>0</v>
      </c>
      <c r="CM425" s="159">
        <f t="shared" ca="1" si="1072"/>
        <v>0.13048134276121237</v>
      </c>
      <c r="CN425" s="159">
        <f t="shared" ca="1" si="1073"/>
        <v>-0.47707671100610227</v>
      </c>
      <c r="CO425" s="159">
        <f t="shared" ca="1" si="1074"/>
        <v>-1.0523362830371989</v>
      </c>
      <c r="CP425" s="159">
        <f t="shared" ca="1" si="1075"/>
        <v>-1.5605548638877953</v>
      </c>
      <c r="CQ425" s="159">
        <f t="shared" ca="1" si="1076"/>
        <v>-2.0252621315759427</v>
      </c>
      <c r="CR425" s="159">
        <f t="shared" ca="1" si="1077"/>
        <v>-4.0341787730365901</v>
      </c>
      <c r="CS425" s="159">
        <f t="shared" ca="1" si="1078"/>
        <v>-4.7739303466142307</v>
      </c>
      <c r="CT425" s="159">
        <f t="shared" ca="1" si="1079"/>
        <v>-5.5251572547958041</v>
      </c>
      <c r="CU425" s="159">
        <f t="shared" ca="1" si="1080"/>
        <v>-6.3055604756099486</v>
      </c>
      <c r="CV425" s="159">
        <f t="shared" ca="1" si="1081"/>
        <v>-7.1144420752813637</v>
      </c>
      <c r="CW425" s="159">
        <f t="shared" ca="1" si="1082"/>
        <v>-7.9494125316902586</v>
      </c>
      <c r="CX425" s="159">
        <f t="shared" ca="1" si="1083"/>
        <v>-8.7948820777122325</v>
      </c>
      <c r="CY425" s="159">
        <f t="shared" ca="1" si="1084"/>
        <v>-9.6268804559965933</v>
      </c>
      <c r="CZ425" s="128"/>
      <c r="DA425" s="104">
        <v>-0.12408261456528263</v>
      </c>
      <c r="DB425" s="104">
        <v>2.0596224587119685</v>
      </c>
      <c r="DC425" s="104">
        <v>-2.5630720133887217</v>
      </c>
      <c r="DD425" s="104">
        <v>-0.41732086583891892</v>
      </c>
      <c r="DE425" s="104">
        <v>2.9079927597202668</v>
      </c>
      <c r="DF425" s="104">
        <v>2.2499104532959135</v>
      </c>
      <c r="DG425" s="104">
        <v>1.7059851244143391</v>
      </c>
      <c r="DH425" s="104">
        <v>1.0657982449717565</v>
      </c>
      <c r="DI425" s="104">
        <v>1.174962445264333</v>
      </c>
      <c r="DJ425" s="104">
        <v>2.5309927333467277</v>
      </c>
      <c r="DK425" s="104">
        <v>2.2979577140246694</v>
      </c>
      <c r="DL425" s="104">
        <v>1.6646064182031841</v>
      </c>
      <c r="DM425" s="104">
        <v>0.52223837326979994</v>
      </c>
      <c r="DN425" s="104">
        <v>-1.299185266915112</v>
      </c>
      <c r="DO425" s="104">
        <v>-4.0285899988499079</v>
      </c>
      <c r="DP425" s="104">
        <v>-7.9825827074666957</v>
      </c>
      <c r="DQ425" s="104">
        <v>-13.579885195566307</v>
      </c>
    </row>
    <row r="426" spans="1:121">
      <c r="A426" s="107" t="s">
        <v>2677</v>
      </c>
      <c r="B426" s="107"/>
      <c r="C426" s="107" t="s">
        <v>2840</v>
      </c>
      <c r="D426" s="145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  <c r="BE426" s="128"/>
      <c r="BF426" s="164">
        <f>(BF165-BE165)/1000</f>
        <v>0.33039999999999997</v>
      </c>
      <c r="BG426" s="164">
        <f t="shared" ref="BG426:BQ426" si="1088">(BG165-BF165)/1000</f>
        <v>-0.1913</v>
      </c>
      <c r="BH426" s="164">
        <f t="shared" si="1088"/>
        <v>-0.21219999999999997</v>
      </c>
      <c r="BI426" s="164">
        <f t="shared" si="1088"/>
        <v>0.1888</v>
      </c>
      <c r="BJ426" s="164">
        <f t="shared" si="1088"/>
        <v>7.5700000000000017E-2</v>
      </c>
      <c r="BK426" s="164">
        <f t="shared" si="1088"/>
        <v>-0.25490000000000002</v>
      </c>
      <c r="BL426" s="164">
        <f t="shared" si="1088"/>
        <v>5.4099999999999995E-2</v>
      </c>
      <c r="BM426" s="164">
        <f t="shared" si="1088"/>
        <v>0.53490000000000004</v>
      </c>
      <c r="BN426" s="164">
        <f t="shared" si="1088"/>
        <v>0.7659999999999999</v>
      </c>
      <c r="BO426" s="164">
        <f t="shared" si="1088"/>
        <v>1.3441999999999994</v>
      </c>
      <c r="BP426" s="164">
        <f t="shared" si="1088"/>
        <v>-0.28529999999999928</v>
      </c>
      <c r="BQ426" s="164">
        <f t="shared" si="1088"/>
        <v>1.4969999999999994</v>
      </c>
      <c r="BR426" s="164">
        <f t="shared" ref="BR426:CB426" si="1089">(BR165-BQ165)/1000</f>
        <v>-0.35129999999999972</v>
      </c>
      <c r="BS426" s="164">
        <f t="shared" si="1089"/>
        <v>1.4810999999999999</v>
      </c>
      <c r="BT426" s="164">
        <f t="shared" si="1089"/>
        <v>6.5548000000000002</v>
      </c>
      <c r="BU426" s="164">
        <f t="shared" ca="1" si="1089"/>
        <v>1.850386799304115</v>
      </c>
      <c r="BV426" s="164">
        <f t="shared" ca="1" si="1089"/>
        <v>-0.11958225159126414</v>
      </c>
      <c r="BW426" s="164">
        <f t="shared" ca="1" si="1089"/>
        <v>2.5605307034442157</v>
      </c>
      <c r="BX426" s="164">
        <f t="shared" ca="1" si="1089"/>
        <v>2.7282705446835172</v>
      </c>
      <c r="BY426" s="164">
        <f t="shared" ca="1" si="1089"/>
        <v>3.0367035798248616</v>
      </c>
      <c r="BZ426" s="164">
        <f t="shared" ca="1" si="1089"/>
        <v>3.4650868392408083</v>
      </c>
      <c r="CA426" s="164">
        <f t="shared" ca="1" si="1089"/>
        <v>4.0461662755960495</v>
      </c>
      <c r="CB426" s="164">
        <f t="shared" ca="1" si="1089"/>
        <v>4.848102923753129</v>
      </c>
      <c r="CC426" s="164">
        <f ca="1">(CC165-CB165)/1000</f>
        <v>5.9477001232102262</v>
      </c>
      <c r="CD426" s="164">
        <f ca="1">(CD165-CC165)/1000</f>
        <v>7.4553534441778542</v>
      </c>
      <c r="CE426" s="164">
        <f ca="1">(CE165-CD165)/1000</f>
        <v>9.5280135458070951</v>
      </c>
      <c r="CF426" s="164">
        <f ca="1">(CF165-CE165)/1000</f>
        <v>12.390282540872017</v>
      </c>
      <c r="CG426" s="164">
        <f ca="1">(CG165-CF165)/1000</f>
        <v>16.365370132620185</v>
      </c>
      <c r="CH426" s="128"/>
      <c r="CI426" s="159">
        <f t="shared" si="1068"/>
        <v>0</v>
      </c>
      <c r="CJ426" s="159">
        <f t="shared" si="1069"/>
        <v>0</v>
      </c>
      <c r="CK426" s="159">
        <f t="shared" si="1070"/>
        <v>0</v>
      </c>
      <c r="CL426" s="159">
        <f t="shared" si="1071"/>
        <v>0</v>
      </c>
      <c r="CM426" s="159">
        <f t="shared" ca="1" si="1072"/>
        <v>-1.1114094170880453</v>
      </c>
      <c r="CN426" s="159">
        <f t="shared" ca="1" si="1073"/>
        <v>-1.3870619023925446</v>
      </c>
      <c r="CO426" s="159">
        <f t="shared" ca="1" si="1074"/>
        <v>-1.3011698155750984</v>
      </c>
      <c r="CP426" s="159">
        <f t="shared" ca="1" si="1075"/>
        <v>-1.5309702979195645</v>
      </c>
      <c r="CQ426" s="159">
        <f t="shared" ca="1" si="1076"/>
        <v>-1.79344857558922</v>
      </c>
      <c r="CR426" s="159">
        <f t="shared" ca="1" si="1077"/>
        <v>1.2979186201653139</v>
      </c>
      <c r="CS426" s="159">
        <f t="shared" ca="1" si="1078"/>
        <v>1.0426644140221684</v>
      </c>
      <c r="CT426" s="159">
        <f t="shared" ca="1" si="1079"/>
        <v>0.88346351475167095</v>
      </c>
      <c r="CU426" s="159">
        <f t="shared" ca="1" si="1080"/>
        <v>0.52355011905518012</v>
      </c>
      <c r="CV426" s="159">
        <f t="shared" ca="1" si="1081"/>
        <v>-2.3803023249106658E-2</v>
      </c>
      <c r="CW426" s="159">
        <f t="shared" ca="1" si="1082"/>
        <v>-0.84622713410773542</v>
      </c>
      <c r="CX426" s="159">
        <f t="shared" ca="1" si="1083"/>
        <v>-2.0975478010960433</v>
      </c>
      <c r="CY426" s="159">
        <f t="shared" ca="1" si="1084"/>
        <v>-4.033095272676988</v>
      </c>
      <c r="CZ426" s="128"/>
      <c r="DA426" s="104">
        <v>1.4969999999999994</v>
      </c>
      <c r="DB426" s="104">
        <v>-0.35129999999999972</v>
      </c>
      <c r="DC426" s="104">
        <v>1.4810999999999999</v>
      </c>
      <c r="DD426" s="104">
        <v>6.5548000000000002</v>
      </c>
      <c r="DE426" s="104">
        <v>2.9617962163921603</v>
      </c>
      <c r="DF426" s="104">
        <v>1.2674796508012804</v>
      </c>
      <c r="DG426" s="104">
        <v>3.8617005190193141</v>
      </c>
      <c r="DH426" s="104">
        <v>4.2592408426030817</v>
      </c>
      <c r="DI426" s="104">
        <v>4.8301521554140816</v>
      </c>
      <c r="DJ426" s="104">
        <v>2.1671682190754944</v>
      </c>
      <c r="DK426" s="104">
        <v>3.0035018615738811</v>
      </c>
      <c r="DL426" s="104">
        <v>3.9646394090014581</v>
      </c>
      <c r="DM426" s="104">
        <v>5.4241500041550461</v>
      </c>
      <c r="DN426" s="104">
        <v>7.4791564674269608</v>
      </c>
      <c r="DO426" s="104">
        <v>10.374240679914831</v>
      </c>
      <c r="DP426" s="104">
        <v>14.48783034196806</v>
      </c>
      <c r="DQ426" s="104">
        <v>20.398465405297173</v>
      </c>
    </row>
    <row r="427" spans="1:121">
      <c r="A427" s="107" t="s">
        <v>1623</v>
      </c>
      <c r="B427" s="107"/>
      <c r="C427" s="107" t="s">
        <v>2840</v>
      </c>
      <c r="D427" s="145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  <c r="BE427" s="128"/>
      <c r="BF427" s="164">
        <f>(BF168-BE168)/1000</f>
        <v>1.3344</v>
      </c>
      <c r="BG427" s="164">
        <f t="shared" ref="BG427:BQ427" si="1090">(BG168-BF168)/1000</f>
        <v>0.45210000000000011</v>
      </c>
      <c r="BH427" s="164">
        <f t="shared" si="1090"/>
        <v>0.62619999999999965</v>
      </c>
      <c r="BI427" s="164">
        <f t="shared" si="1090"/>
        <v>0.30030000000000018</v>
      </c>
      <c r="BJ427" s="164">
        <f t="shared" si="1090"/>
        <v>0.34599999999999997</v>
      </c>
      <c r="BK427" s="164">
        <f t="shared" si="1090"/>
        <v>0.6104000000000005</v>
      </c>
      <c r="BL427" s="164">
        <f t="shared" si="1090"/>
        <v>0.57219999999999982</v>
      </c>
      <c r="BM427" s="164">
        <f t="shared" si="1090"/>
        <v>0.75979999999999925</v>
      </c>
      <c r="BN427" s="164">
        <f t="shared" si="1090"/>
        <v>0.42630000000000018</v>
      </c>
      <c r="BO427" s="164">
        <f t="shared" si="1090"/>
        <v>0.88340000000000052</v>
      </c>
      <c r="BP427" s="164">
        <f t="shared" si="1090"/>
        <v>1.8430999999999986</v>
      </c>
      <c r="BQ427" s="164">
        <f t="shared" si="1090"/>
        <v>6.1900000000001454E-2</v>
      </c>
      <c r="BR427" s="164">
        <f t="shared" ref="BR427:CB427" si="1091">(BR168-BQ168)/1000</f>
        <v>-5.0700000000000731E-2</v>
      </c>
      <c r="BS427" s="164">
        <f t="shared" si="1091"/>
        <v>0.11660000000000037</v>
      </c>
      <c r="BT427" s="164">
        <f t="shared" si="1091"/>
        <v>2.512</v>
      </c>
      <c r="BU427" s="164">
        <f t="shared" ca="1" si="1091"/>
        <v>7.5831710807300592</v>
      </c>
      <c r="BV427" s="164">
        <f t="shared" ca="1" si="1091"/>
        <v>1.6673851531936708</v>
      </c>
      <c r="BW427" s="164">
        <f t="shared" ca="1" si="1091"/>
        <v>1.3994596526595924</v>
      </c>
      <c r="BX427" s="164">
        <f t="shared" ca="1" si="1091"/>
        <v>1.1698104438740338</v>
      </c>
      <c r="BY427" s="164">
        <f t="shared" ca="1" si="1091"/>
        <v>1.5938782006318906</v>
      </c>
      <c r="BZ427" s="164">
        <f t="shared" ca="1" si="1091"/>
        <v>1.9469781067147305</v>
      </c>
      <c r="CA427" s="164">
        <f t="shared" ca="1" si="1091"/>
        <v>2.3776612412524374</v>
      </c>
      <c r="CB427" s="164">
        <f t="shared" ca="1" si="1091"/>
        <v>2.9638184864459616</v>
      </c>
      <c r="CC427" s="164">
        <f ca="1">(CC168-CB168)/1000</f>
        <v>3.7810270608913235</v>
      </c>
      <c r="CD427" s="164">
        <f ca="1">(CD168-CC168)/1000</f>
        <v>4.9564409006794374</v>
      </c>
      <c r="CE427" s="164">
        <f ca="1">(CE168-CD168)/1000</f>
        <v>6.7037995142719229</v>
      </c>
      <c r="CF427" s="164">
        <f ca="1">(CF168-CE168)/1000</f>
        <v>9.3953063287276084</v>
      </c>
      <c r="CG427" s="164">
        <f ca="1">(CG168-CF168)/1000</f>
        <v>13.703479304844944</v>
      </c>
      <c r="CH427" s="128"/>
      <c r="CI427" s="159">
        <f t="shared" si="1068"/>
        <v>0</v>
      </c>
      <c r="CJ427" s="159">
        <f t="shared" si="1069"/>
        <v>0</v>
      </c>
      <c r="CK427" s="159">
        <f t="shared" si="1070"/>
        <v>0</v>
      </c>
      <c r="CL427" s="159">
        <f t="shared" si="1071"/>
        <v>0</v>
      </c>
      <c r="CM427" s="159">
        <f t="shared" ca="1" si="1072"/>
        <v>1.4398116428864203</v>
      </c>
      <c r="CN427" s="159">
        <f t="shared" ca="1" si="1073"/>
        <v>0.22765822787153245</v>
      </c>
      <c r="CO427" s="159">
        <f t="shared" ca="1" si="1074"/>
        <v>-3.0913865968570375E-2</v>
      </c>
      <c r="CP427" s="159">
        <f t="shared" ca="1" si="1075"/>
        <v>-0.15333972185760647</v>
      </c>
      <c r="CQ427" s="159">
        <f t="shared" ca="1" si="1076"/>
        <v>-0.21049799971417449</v>
      </c>
      <c r="CR427" s="159">
        <f t="shared" ca="1" si="1077"/>
        <v>0.17835626031509677</v>
      </c>
      <c r="CS427" s="159">
        <f t="shared" ca="1" si="1078"/>
        <v>-0.22906502446211752</v>
      </c>
      <c r="CT427" s="159">
        <f t="shared" ca="1" si="1079"/>
        <v>-0.27428627482369494</v>
      </c>
      <c r="CU427" s="159">
        <f t="shared" ca="1" si="1080"/>
        <v>-0.46894674211422904</v>
      </c>
      <c r="CV427" s="159">
        <f t="shared" ca="1" si="1081"/>
        <v>-0.72634148386331798</v>
      </c>
      <c r="CW427" s="159">
        <f t="shared" ca="1" si="1082"/>
        <v>-1.1177179570143565</v>
      </c>
      <c r="CX427" s="159">
        <f t="shared" ca="1" si="1083"/>
        <v>-1.767649507531468</v>
      </c>
      <c r="CY427" s="159">
        <f t="shared" ca="1" si="1084"/>
        <v>-2.9055927784148885</v>
      </c>
      <c r="CZ427" s="128"/>
      <c r="DA427" s="104">
        <v>6.1900000000001454E-2</v>
      </c>
      <c r="DB427" s="104">
        <v>-5.0700000000000731E-2</v>
      </c>
      <c r="DC427" s="104">
        <v>0.11660000000000037</v>
      </c>
      <c r="DD427" s="104">
        <v>2.512</v>
      </c>
      <c r="DE427" s="104">
        <v>6.1433594378436389</v>
      </c>
      <c r="DF427" s="104">
        <v>1.4397269253221383</v>
      </c>
      <c r="DG427" s="104">
        <v>1.4303735186281628</v>
      </c>
      <c r="DH427" s="104">
        <v>1.3231501657316402</v>
      </c>
      <c r="DI427" s="104">
        <v>1.8043762003460651</v>
      </c>
      <c r="DJ427" s="104">
        <v>1.7686218463996337</v>
      </c>
      <c r="DK427" s="104">
        <v>2.6067262657145549</v>
      </c>
      <c r="DL427" s="104">
        <v>3.2381047612696565</v>
      </c>
      <c r="DM427" s="104">
        <v>4.2499738030055525</v>
      </c>
      <c r="DN427" s="104">
        <v>5.6827823845427554</v>
      </c>
      <c r="DO427" s="104">
        <v>7.8215174712862794</v>
      </c>
      <c r="DP427" s="104">
        <v>11.162955836259076</v>
      </c>
      <c r="DQ427" s="104">
        <v>16.609072083259832</v>
      </c>
    </row>
    <row r="428" spans="1:121">
      <c r="A428" s="141" t="s">
        <v>2839</v>
      </c>
      <c r="B428" s="149"/>
      <c r="C428" s="107" t="s">
        <v>2840</v>
      </c>
      <c r="D428" s="99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  <c r="BE428" s="128"/>
      <c r="BF428" s="164">
        <f>(BF171-BE171)/1000</f>
        <v>0.32589999999999997</v>
      </c>
      <c r="BG428" s="164">
        <f t="shared" ref="BG428:BQ428" si="1092">(BG171-BF171)/1000</f>
        <v>0.15640000000000004</v>
      </c>
      <c r="BH428" s="164">
        <f t="shared" si="1092"/>
        <v>0.15669999999999998</v>
      </c>
      <c r="BI428" s="164">
        <f t="shared" si="1092"/>
        <v>6.0400000000000093E-2</v>
      </c>
      <c r="BJ428" s="164">
        <f t="shared" si="1092"/>
        <v>1.0799999999999841E-2</v>
      </c>
      <c r="BK428" s="164">
        <f t="shared" si="1092"/>
        <v>0.60160000000000002</v>
      </c>
      <c r="BL428" s="164">
        <f t="shared" si="1092"/>
        <v>-0.10389999999999987</v>
      </c>
      <c r="BM428" s="164">
        <f t="shared" si="1092"/>
        <v>-0.10629999999999995</v>
      </c>
      <c r="BN428" s="164">
        <f t="shared" si="1092"/>
        <v>-4.5900000000000094E-2</v>
      </c>
      <c r="BO428" s="164">
        <f t="shared" si="1092"/>
        <v>0.26909999999999989</v>
      </c>
      <c r="BP428" s="164">
        <f t="shared" si="1092"/>
        <v>-0.54500000000000004</v>
      </c>
      <c r="BQ428" s="164">
        <f t="shared" si="1092"/>
        <v>6.1900000000000094E-2</v>
      </c>
      <c r="BR428" s="164">
        <f t="shared" ref="BR428:CB428" si="1093">(BR171-BQ171)/1000</f>
        <v>6.1699999999999929E-2</v>
      </c>
      <c r="BS428" s="164">
        <f t="shared" si="1093"/>
        <v>-2.0573999999999999</v>
      </c>
      <c r="BT428" s="164">
        <f t="shared" si="1093"/>
        <v>1.7410000000000001</v>
      </c>
      <c r="BU428" s="164">
        <f t="shared" ca="1" si="1093"/>
        <v>-0.91705226461776801</v>
      </c>
      <c r="BV428" s="164">
        <f t="shared" ca="1" si="1093"/>
        <v>-5.2906092653173406E-2</v>
      </c>
      <c r="BW428" s="164">
        <f t="shared" ca="1" si="1093"/>
        <v>-4.4404822668698898E-2</v>
      </c>
      <c r="BX428" s="164">
        <f t="shared" ca="1" si="1093"/>
        <v>-3.7118058543166625E-2</v>
      </c>
      <c r="BY428" s="164">
        <f t="shared" ca="1" si="1093"/>
        <v>-5.0573718734983404E-2</v>
      </c>
      <c r="BZ428" s="164">
        <f t="shared" ca="1" si="1093"/>
        <v>-6.1777570653219184E-2</v>
      </c>
      <c r="CA428" s="164">
        <f t="shared" ca="1" si="1093"/>
        <v>-7.5443136630201593E-2</v>
      </c>
      <c r="CB428" s="164">
        <f t="shared" ca="1" si="1093"/>
        <v>-9.4041892570986302E-2</v>
      </c>
      <c r="CC428" s="164">
        <f t="shared" ref="CC428:CG429" ca="1" si="1094">(CC171-CB171)/1000</f>
        <v>-0.11997190188752926</v>
      </c>
      <c r="CD428" s="164">
        <f t="shared" ca="1" si="1094"/>
        <v>-0.15726775605448051</v>
      </c>
      <c r="CE428" s="164">
        <f t="shared" ca="1" si="1094"/>
        <v>-0.21271140477113612</v>
      </c>
      <c r="CF428" s="164">
        <f t="shared" ca="1" si="1094"/>
        <v>-0.29811285423799133</v>
      </c>
      <c r="CG428" s="164">
        <f t="shared" ca="1" si="1094"/>
        <v>-0.43481108392043372</v>
      </c>
      <c r="CH428" s="128"/>
      <c r="CI428" s="159">
        <f t="shared" si="1068"/>
        <v>0</v>
      </c>
      <c r="CJ428" s="159">
        <f t="shared" si="1069"/>
        <v>0</v>
      </c>
      <c r="CK428" s="159">
        <f t="shared" si="1070"/>
        <v>0</v>
      </c>
      <c r="CL428" s="159">
        <f t="shared" si="1071"/>
        <v>0</v>
      </c>
      <c r="CM428" s="159">
        <f t="shared" ca="1" si="1072"/>
        <v>-0.49931975320439453</v>
      </c>
      <c r="CN428" s="159">
        <f t="shared" ca="1" si="1073"/>
        <v>-7.7376308782636669E-2</v>
      </c>
      <c r="CO428" s="159">
        <f t="shared" ca="1" si="1074"/>
        <v>-6.8716064287563827E-2</v>
      </c>
      <c r="CP428" s="159">
        <f t="shared" ca="1" si="1075"/>
        <v>-5.960688608241952E-2</v>
      </c>
      <c r="CQ428" s="159">
        <f t="shared" ca="1" si="1076"/>
        <v>-8.1241670292150334E-2</v>
      </c>
      <c r="CR428" s="159">
        <f t="shared" ca="1" si="1077"/>
        <v>-9.1837825880443008E-2</v>
      </c>
      <c r="CS428" s="159">
        <f t="shared" ca="1" si="1078"/>
        <v>-0.11974817391920778</v>
      </c>
      <c r="CT428" s="159">
        <f t="shared" ca="1" si="1079"/>
        <v>-0.14907810948440089</v>
      </c>
      <c r="CU428" s="159">
        <f t="shared" ca="1" si="1080"/>
        <v>-0.19220627888984487</v>
      </c>
      <c r="CV428" s="159">
        <f t="shared" ca="1" si="1081"/>
        <v>-0.25385476204893515</v>
      </c>
      <c r="CW428" s="159">
        <f t="shared" ca="1" si="1082"/>
        <v>-0.34564926931786111</v>
      </c>
      <c r="CX428" s="159">
        <f t="shared" ca="1" si="1083"/>
        <v>-0.4878432379326616</v>
      </c>
      <c r="CY428" s="159">
        <f t="shared" ca="1" si="1084"/>
        <v>-0.71710599446137824</v>
      </c>
      <c r="CZ428" s="128"/>
      <c r="DA428" s="104">
        <v>6.1900000000000094E-2</v>
      </c>
      <c r="DB428" s="104">
        <v>6.1699999999999929E-2</v>
      </c>
      <c r="DC428" s="104">
        <v>-2.0573999999999999</v>
      </c>
      <c r="DD428" s="104">
        <v>1.7410000000000001</v>
      </c>
      <c r="DE428" s="104">
        <v>-0.41773251141337348</v>
      </c>
      <c r="DF428" s="104">
        <v>2.4470216129463266E-2</v>
      </c>
      <c r="DG428" s="104">
        <v>2.4311241618864925E-2</v>
      </c>
      <c r="DH428" s="104">
        <v>2.2488827539252895E-2</v>
      </c>
      <c r="DI428" s="104">
        <v>3.0667951557166929E-2</v>
      </c>
      <c r="DJ428" s="104">
        <v>3.0060255227223821E-2</v>
      </c>
      <c r="DK428" s="104">
        <v>4.4305037289006179E-2</v>
      </c>
      <c r="DL428" s="104">
        <v>5.5036216913414593E-2</v>
      </c>
      <c r="DM428" s="104">
        <v>7.2234377002315622E-2</v>
      </c>
      <c r="DN428" s="104">
        <v>9.6587005994454619E-2</v>
      </c>
      <c r="DO428" s="104">
        <v>0.13293786454672499</v>
      </c>
      <c r="DP428" s="104">
        <v>0.1897303836946703</v>
      </c>
      <c r="DQ428" s="104">
        <v>0.28229491054094447</v>
      </c>
    </row>
    <row r="429" spans="1:121">
      <c r="A429" s="99" t="s">
        <v>3077</v>
      </c>
      <c r="B429" s="99"/>
      <c r="C429" s="107" t="s">
        <v>2840</v>
      </c>
      <c r="D429" s="99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  <c r="BE429" s="128"/>
      <c r="BF429" s="164">
        <f>(BF172-BE172)/1000</f>
        <v>2.7669000000000001</v>
      </c>
      <c r="BG429" s="164">
        <f t="shared" ref="BG429:BQ429" si="1095">(BG172-BF172)/1000</f>
        <v>0.80640000000000012</v>
      </c>
      <c r="BH429" s="164">
        <f t="shared" si="1095"/>
        <v>0.74339999999999962</v>
      </c>
      <c r="BI429" s="164">
        <f t="shared" si="1095"/>
        <v>0.66000000000000092</v>
      </c>
      <c r="BJ429" s="164">
        <f t="shared" si="1095"/>
        <v>0.53139999999999965</v>
      </c>
      <c r="BK429" s="164">
        <f t="shared" si="1095"/>
        <v>1.1856999999999998</v>
      </c>
      <c r="BL429" s="164">
        <f t="shared" si="1095"/>
        <v>1.4208000000000003</v>
      </c>
      <c r="BM429" s="164">
        <f t="shared" si="1095"/>
        <v>0.89619999999999889</v>
      </c>
      <c r="BN429" s="164">
        <f t="shared" si="1095"/>
        <v>0.48929999999999929</v>
      </c>
      <c r="BO429" s="164">
        <f t="shared" si="1095"/>
        <v>1.1186000000000023</v>
      </c>
      <c r="BP429" s="164">
        <f t="shared" si="1095"/>
        <v>5.5549000000000017</v>
      </c>
      <c r="BQ429" s="164">
        <f t="shared" si="1095"/>
        <v>1.4126999999999972</v>
      </c>
      <c r="BR429" s="164">
        <f t="shared" ref="BR429:CB429" si="1096">(BR172-BQ172)/1000</f>
        <v>1.5980000000000001</v>
      </c>
      <c r="BS429" s="164">
        <f t="shared" si="1096"/>
        <v>1.0919000000000014</v>
      </c>
      <c r="BT429" s="164">
        <f t="shared" si="1096"/>
        <v>12.1578</v>
      </c>
      <c r="BU429" s="164">
        <f t="shared" ca="1" si="1096"/>
        <v>18.681985148034322</v>
      </c>
      <c r="BV429" s="164">
        <f t="shared" ca="1" si="1096"/>
        <v>3.3735427365453869</v>
      </c>
      <c r="BW429" s="164">
        <f t="shared" ca="1" si="1096"/>
        <v>4.6580440201496529</v>
      </c>
      <c r="BX429" s="164">
        <f t="shared" ca="1" si="1096"/>
        <v>3.4404424281846806</v>
      </c>
      <c r="BY429" s="164">
        <f t="shared" ca="1" si="1096"/>
        <v>3.8308558128801233</v>
      </c>
      <c r="BZ429" s="164">
        <f t="shared" ca="1" si="1096"/>
        <v>3.970656476918899</v>
      </c>
      <c r="CA429" s="164">
        <f t="shared" ca="1" si="1096"/>
        <v>4.0232980208891238</v>
      </c>
      <c r="CB429" s="164">
        <f t="shared" ca="1" si="1096"/>
        <v>4.0454124661774546</v>
      </c>
      <c r="CC429" s="164">
        <f t="shared" ca="1" si="1094"/>
        <v>4.0653769836489371</v>
      </c>
      <c r="CD429" s="164">
        <f t="shared" ca="1" si="1094"/>
        <v>4.1554347587152876</v>
      </c>
      <c r="CE429" s="164">
        <f t="shared" ca="1" si="1094"/>
        <v>4.4665219343100038</v>
      </c>
      <c r="CF429" s="164">
        <f t="shared" ca="1" si="1094"/>
        <v>5.3062369386586798</v>
      </c>
      <c r="CG429" s="164">
        <f t="shared" ca="1" si="1094"/>
        <v>7.2968948698226592</v>
      </c>
      <c r="CH429" s="128"/>
      <c r="CI429" s="159">
        <f t="shared" si="1068"/>
        <v>0</v>
      </c>
      <c r="CJ429" s="159">
        <f t="shared" si="1069"/>
        <v>0</v>
      </c>
      <c r="CK429" s="159">
        <f t="shared" si="1070"/>
        <v>0</v>
      </c>
      <c r="CL429" s="159">
        <f t="shared" si="1071"/>
        <v>0</v>
      </c>
      <c r="CM429" s="159">
        <f t="shared" ca="1" si="1072"/>
        <v>2.9566909343765957</v>
      </c>
      <c r="CN429" s="159">
        <f t="shared" ca="1" si="1073"/>
        <v>-1.5591040767444868</v>
      </c>
      <c r="CO429" s="159">
        <f t="shared" ca="1" si="1074"/>
        <v>-2.3157039002933013</v>
      </c>
      <c r="CP429" s="159">
        <f t="shared" ca="1" si="1075"/>
        <v>-3.1852579975825357</v>
      </c>
      <c r="CQ429" s="159">
        <f t="shared" ca="1" si="1076"/>
        <v>-3.9479670365872006</v>
      </c>
      <c r="CR429" s="159">
        <f t="shared" ca="1" si="1077"/>
        <v>-2.4660660666757179</v>
      </c>
      <c r="CS429" s="159">
        <f t="shared" ca="1" si="1078"/>
        <v>-3.8405827831349892</v>
      </c>
      <c r="CT429" s="159">
        <f t="shared" ca="1" si="1079"/>
        <v>-4.7669019053834347</v>
      </c>
      <c r="CU429" s="159">
        <f t="shared" ca="1" si="1080"/>
        <v>-6.0587508197791475</v>
      </c>
      <c r="CV429" s="159">
        <f t="shared" ca="1" si="1081"/>
        <v>-7.6107318203448528</v>
      </c>
      <c r="CW429" s="159">
        <f t="shared" ca="1" si="1082"/>
        <v>-9.5677083534944529</v>
      </c>
      <c r="CX429" s="159">
        <f t="shared" ca="1" si="1083"/>
        <v>-12.172236148407114</v>
      </c>
      <c r="CY429" s="159">
        <f t="shared" ca="1" si="1084"/>
        <v>-15.848462512627069</v>
      </c>
      <c r="CZ429" s="128"/>
      <c r="DA429" s="104">
        <v>1.4126999999999972</v>
      </c>
      <c r="DB429" s="104">
        <v>1.5980000000000001</v>
      </c>
      <c r="DC429" s="104">
        <v>1.0919000000000014</v>
      </c>
      <c r="DD429" s="104">
        <v>12.1578</v>
      </c>
      <c r="DE429" s="104">
        <v>15.725294213657726</v>
      </c>
      <c r="DF429" s="104">
        <v>4.9326468132898738</v>
      </c>
      <c r="DG429" s="104">
        <v>6.9737479204429542</v>
      </c>
      <c r="DH429" s="104">
        <v>6.6257004257672163</v>
      </c>
      <c r="DI429" s="104">
        <v>7.7788228494673239</v>
      </c>
      <c r="DJ429" s="104">
        <v>6.4367225435946169</v>
      </c>
      <c r="DK429" s="104">
        <v>7.863880804024113</v>
      </c>
      <c r="DL429" s="104">
        <v>8.8123143715608894</v>
      </c>
      <c r="DM429" s="104">
        <v>10.124127803428085</v>
      </c>
      <c r="DN429" s="104">
        <v>11.76616657906014</v>
      </c>
      <c r="DO429" s="104">
        <v>14.034230287804457</v>
      </c>
      <c r="DP429" s="104">
        <v>17.478473087065794</v>
      </c>
      <c r="DQ429" s="104">
        <v>23.145357382449728</v>
      </c>
    </row>
    <row r="430" spans="1:121">
      <c r="A430" s="141" t="s">
        <v>949</v>
      </c>
      <c r="B430" s="141"/>
      <c r="C430" s="107" t="s">
        <v>2840</v>
      </c>
      <c r="D430" s="99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  <c r="BE430" s="128"/>
      <c r="BF430" s="164">
        <f>(BF174-BE174)/1000</f>
        <v>2.6499999999999999E-2</v>
      </c>
      <c r="BG430" s="164">
        <f t="shared" ref="BG430:BQ430" si="1097">(BG174-BF174)/1000</f>
        <v>-2.8999999999999985E-3</v>
      </c>
      <c r="BH430" s="164">
        <f t="shared" si="1097"/>
        <v>-3.6000000000000016E-3</v>
      </c>
      <c r="BI430" s="164">
        <f t="shared" si="1097"/>
        <v>-2E-3</v>
      </c>
      <c r="BJ430" s="164">
        <f t="shared" si="1097"/>
        <v>-8.9999999999999857E-4</v>
      </c>
      <c r="BK430" s="164">
        <f t="shared" si="1097"/>
        <v>-9.0000000000000214E-4</v>
      </c>
      <c r="BL430" s="164">
        <f t="shared" si="1097"/>
        <v>-2.2999999999999991E-3</v>
      </c>
      <c r="BM430" s="164">
        <f t="shared" si="1097"/>
        <v>3.4000000000000002E-3</v>
      </c>
      <c r="BN430" s="164">
        <f t="shared" si="1097"/>
        <v>2.6999999999999993E-3</v>
      </c>
      <c r="BO430" s="164">
        <f t="shared" si="1097"/>
        <v>6.0000000000000147E-4</v>
      </c>
      <c r="BP430" s="164">
        <f t="shared" si="1097"/>
        <v>-1.1000000000000014E-3</v>
      </c>
      <c r="BQ430" s="164">
        <f t="shared" si="1097"/>
        <v>-4.4000000000000003E-3</v>
      </c>
      <c r="BR430" s="164">
        <f t="shared" ref="BR430:CB430" si="1098">(BR174-BQ174)/1000</f>
        <v>-3.0999999999999995E-3</v>
      </c>
      <c r="BS430" s="164">
        <f t="shared" si="1098"/>
        <v>6.9999999999999934E-4</v>
      </c>
      <c r="BT430" s="164">
        <f t="shared" si="1098"/>
        <v>-1.5E-3</v>
      </c>
      <c r="BU430" s="164">
        <f t="shared" ca="1" si="1098"/>
        <v>1.0141153387876327E-2</v>
      </c>
      <c r="BV430" s="164">
        <f t="shared" ca="1" si="1098"/>
        <v>3.4209037764735511E-3</v>
      </c>
      <c r="BW430" s="164">
        <f t="shared" ca="1" si="1098"/>
        <v>2.8712123300581494E-3</v>
      </c>
      <c r="BX430" s="164">
        <f t="shared" ca="1" si="1098"/>
        <v>2.4000507366530818E-3</v>
      </c>
      <c r="BY430" s="164">
        <f t="shared" ca="1" si="1098"/>
        <v>3.2700926629560564E-3</v>
      </c>
      <c r="BZ430" s="164">
        <f t="shared" ca="1" si="1098"/>
        <v>3.9945328439650535E-3</v>
      </c>
      <c r="CA430" s="164">
        <f t="shared" ca="1" si="1098"/>
        <v>4.8781472617745155E-3</v>
      </c>
      <c r="CB430" s="164">
        <f t="shared" ca="1" si="1098"/>
        <v>6.0807413533970449E-3</v>
      </c>
      <c r="CC430" s="164">
        <f ca="1">(CC174-CB174)/1000</f>
        <v>7.7573737098338849E-3</v>
      </c>
      <c r="CD430" s="164">
        <f ca="1">(CD174-CC174)/1000</f>
        <v>1.016892069749217E-2</v>
      </c>
      <c r="CE430" s="164">
        <f ca="1">(CE174-CD174)/1000</f>
        <v>1.3753902648808207E-2</v>
      </c>
      <c r="CF430" s="164">
        <f ca="1">(CF174-CE174)/1000</f>
        <v>1.9275953632854097E-2</v>
      </c>
      <c r="CG430" s="164">
        <f ca="1">(CG174-CF174)/1000</f>
        <v>2.8114850378139763E-2</v>
      </c>
      <c r="CH430" s="128"/>
      <c r="CI430" s="159">
        <f t="shared" si="1068"/>
        <v>0</v>
      </c>
      <c r="CJ430" s="159">
        <f t="shared" si="1069"/>
        <v>0</v>
      </c>
      <c r="CK430" s="159">
        <f t="shared" si="1070"/>
        <v>0</v>
      </c>
      <c r="CL430" s="159">
        <f t="shared" si="1071"/>
        <v>0</v>
      </c>
      <c r="CM430" s="159">
        <f t="shared" ca="1" si="1072"/>
        <v>9.0868665146691917E-4</v>
      </c>
      <c r="CN430" s="159">
        <f t="shared" ca="1" si="1073"/>
        <v>4.6707678185770604E-4</v>
      </c>
      <c r="CO430" s="159">
        <f t="shared" ca="1" si="1074"/>
        <v>-6.3424674637836773E-5</v>
      </c>
      <c r="CP430" s="159">
        <f t="shared" ca="1" si="1075"/>
        <v>-3.1460063835961815E-4</v>
      </c>
      <c r="CQ430" s="159">
        <f t="shared" ca="1" si="1076"/>
        <v>-4.3186986568948503E-4</v>
      </c>
      <c r="CR430" s="159">
        <f t="shared" ca="1" si="1077"/>
        <v>3.6592601493483541E-4</v>
      </c>
      <c r="CS430" s="159">
        <f t="shared" ca="1" si="1078"/>
        <v>-4.6996304707377576E-4</v>
      </c>
      <c r="CT430" s="159">
        <f t="shared" ca="1" si="1079"/>
        <v>-5.6274157868210772E-4</v>
      </c>
      <c r="CU430" s="159">
        <f t="shared" ca="1" si="1080"/>
        <v>-9.6211824723931808E-4</v>
      </c>
      <c r="CV430" s="159">
        <f t="shared" ca="1" si="1081"/>
        <v>-1.4902041801188089E-3</v>
      </c>
      <c r="CW430" s="159">
        <f t="shared" ca="1" si="1082"/>
        <v>-2.2931747790001129E-3</v>
      </c>
      <c r="CX430" s="159">
        <f t="shared" ca="1" si="1083"/>
        <v>-3.6266119223947145E-3</v>
      </c>
      <c r="CY430" s="159">
        <f t="shared" ca="1" si="1084"/>
        <v>-5.9612821246096855E-3</v>
      </c>
      <c r="CZ430" s="128"/>
      <c r="DA430" s="104">
        <v>-4.4000000000000003E-3</v>
      </c>
      <c r="DB430" s="104">
        <v>-3.0999999999999995E-3</v>
      </c>
      <c r="DC430" s="104">
        <v>6.9999999999999934E-4</v>
      </c>
      <c r="DD430" s="104">
        <v>-1.5E-3</v>
      </c>
      <c r="DE430" s="104">
        <v>9.2324667364094073E-3</v>
      </c>
      <c r="DF430" s="104">
        <v>2.9538269946158451E-3</v>
      </c>
      <c r="DG430" s="104">
        <v>2.9346370046959861E-3</v>
      </c>
      <c r="DH430" s="104">
        <v>2.7146513750126999E-3</v>
      </c>
      <c r="DI430" s="104">
        <v>3.7019625286455415E-3</v>
      </c>
      <c r="DJ430" s="104">
        <v>3.6286068290302181E-3</v>
      </c>
      <c r="DK430" s="104">
        <v>5.3481103088482912E-3</v>
      </c>
      <c r="DL430" s="104">
        <v>6.6434829320791526E-3</v>
      </c>
      <c r="DM430" s="104">
        <v>8.719491957073203E-3</v>
      </c>
      <c r="DN430" s="104">
        <v>1.1659124877610979E-2</v>
      </c>
      <c r="DO430" s="104">
        <v>1.604707742780832E-2</v>
      </c>
      <c r="DP430" s="104">
        <v>2.2902565555248812E-2</v>
      </c>
      <c r="DQ430" s="104">
        <v>3.4076132502749448E-2</v>
      </c>
    </row>
    <row r="431" spans="1:121">
      <c r="A431" s="107" t="s">
        <v>950</v>
      </c>
      <c r="B431" s="107"/>
      <c r="C431" s="107" t="s">
        <v>2840</v>
      </c>
      <c r="D431" s="145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64">
        <f>(BF188-BE188)/1000</f>
        <v>0.28229999999999994</v>
      </c>
      <c r="BG431" s="164">
        <f t="shared" ref="BG431:BZ431" si="1099">(BG188-BF188)/1000</f>
        <v>0.39059999999999989</v>
      </c>
      <c r="BH431" s="164">
        <f t="shared" si="1099"/>
        <v>0.45629999999999993</v>
      </c>
      <c r="BI431" s="164">
        <f t="shared" si="1099"/>
        <v>0.11520000000000027</v>
      </c>
      <c r="BJ431" s="164">
        <f t="shared" si="1099"/>
        <v>8.4500000000000006E-2</v>
      </c>
      <c r="BK431" s="164">
        <f t="shared" si="1099"/>
        <v>0.91179999999999972</v>
      </c>
      <c r="BL431" s="164">
        <f t="shared" si="1099"/>
        <v>0.4498000000000002</v>
      </c>
      <c r="BM431" s="164">
        <f t="shared" si="1099"/>
        <v>0.53290000000000004</v>
      </c>
      <c r="BN431" s="164">
        <f t="shared" si="1099"/>
        <v>0.26250000000000001</v>
      </c>
      <c r="BO431" s="164">
        <f t="shared" si="1099"/>
        <v>1.0336999999999998</v>
      </c>
      <c r="BP431" s="164">
        <f t="shared" si="1099"/>
        <v>4.9012999999999991</v>
      </c>
      <c r="BQ431" s="164">
        <f t="shared" si="1099"/>
        <v>0.71190000000000142</v>
      </c>
      <c r="BR431" s="164">
        <f t="shared" si="1099"/>
        <v>0.28329999999999927</v>
      </c>
      <c r="BS431" s="164">
        <f t="shared" si="1099"/>
        <v>-0.66900000000000004</v>
      </c>
      <c r="BT431" s="164">
        <f t="shared" si="1099"/>
        <v>9.2729999999999997</v>
      </c>
      <c r="BU431" s="164">
        <f t="shared" si="1099"/>
        <v>12.042600000000002</v>
      </c>
      <c r="BV431" s="164">
        <f t="shared" si="1099"/>
        <v>0</v>
      </c>
      <c r="BW431" s="164">
        <f t="shared" si="1099"/>
        <v>0</v>
      </c>
      <c r="BX431" s="164">
        <f t="shared" si="1099"/>
        <v>0</v>
      </c>
      <c r="BY431" s="164">
        <f t="shared" si="1099"/>
        <v>0</v>
      </c>
      <c r="BZ431" s="164">
        <f t="shared" si="1099"/>
        <v>0</v>
      </c>
      <c r="CA431" s="164">
        <f t="shared" ref="CA431:CG431" si="1100">(CA188-BZ188)/1000</f>
        <v>0</v>
      </c>
      <c r="CB431" s="164">
        <f t="shared" si="1100"/>
        <v>0</v>
      </c>
      <c r="CC431" s="164">
        <f t="shared" si="1100"/>
        <v>0</v>
      </c>
      <c r="CD431" s="164">
        <f t="shared" si="1100"/>
        <v>0</v>
      </c>
      <c r="CE431" s="164">
        <f t="shared" si="1100"/>
        <v>0</v>
      </c>
      <c r="CF431" s="164">
        <f t="shared" si="1100"/>
        <v>0</v>
      </c>
      <c r="CG431" s="164">
        <f t="shared" si="1100"/>
        <v>0</v>
      </c>
      <c r="CH431" s="128"/>
      <c r="CI431" s="159">
        <f t="shared" si="1068"/>
        <v>0</v>
      </c>
      <c r="CJ431" s="159">
        <f t="shared" si="1069"/>
        <v>0</v>
      </c>
      <c r="CK431" s="159">
        <f t="shared" si="1070"/>
        <v>0</v>
      </c>
      <c r="CL431" s="159">
        <f t="shared" si="1071"/>
        <v>0</v>
      </c>
      <c r="CM431" s="159">
        <f t="shared" si="1072"/>
        <v>4.0142000000000007</v>
      </c>
      <c r="CN431" s="159">
        <f t="shared" si="1073"/>
        <v>0</v>
      </c>
      <c r="CO431" s="159">
        <f t="shared" si="1074"/>
        <v>0</v>
      </c>
      <c r="CP431" s="159">
        <f t="shared" si="1075"/>
        <v>0</v>
      </c>
      <c r="CQ431" s="159">
        <f t="shared" si="1076"/>
        <v>0</v>
      </c>
      <c r="CR431" s="159">
        <f t="shared" si="1077"/>
        <v>0</v>
      </c>
      <c r="CS431" s="159">
        <f t="shared" si="1078"/>
        <v>0</v>
      </c>
      <c r="CT431" s="159">
        <f t="shared" si="1079"/>
        <v>0</v>
      </c>
      <c r="CU431" s="159">
        <f t="shared" si="1080"/>
        <v>0</v>
      </c>
      <c r="CV431" s="159">
        <f t="shared" si="1081"/>
        <v>0</v>
      </c>
      <c r="CW431" s="159">
        <f t="shared" si="1082"/>
        <v>0</v>
      </c>
      <c r="CX431" s="159">
        <f t="shared" si="1083"/>
        <v>0</v>
      </c>
      <c r="CY431" s="159">
        <f t="shared" si="1084"/>
        <v>0</v>
      </c>
      <c r="CZ431" s="128"/>
      <c r="DA431" s="104">
        <v>0.71190000000000142</v>
      </c>
      <c r="DB431" s="104">
        <v>0.28329999999999927</v>
      </c>
      <c r="DC431" s="104">
        <v>-0.66900000000000004</v>
      </c>
      <c r="DD431" s="104">
        <v>9.2729999999999997</v>
      </c>
      <c r="DE431" s="104">
        <v>8.0284000000000013</v>
      </c>
      <c r="DF431" s="104">
        <v>0</v>
      </c>
      <c r="DG431" s="104">
        <v>0</v>
      </c>
      <c r="DH431" s="104">
        <v>0</v>
      </c>
      <c r="DI431" s="104">
        <v>0</v>
      </c>
      <c r="DJ431" s="104">
        <v>0</v>
      </c>
      <c r="DK431" s="104">
        <v>0</v>
      </c>
      <c r="DL431" s="104">
        <v>0</v>
      </c>
      <c r="DM431" s="104">
        <v>0</v>
      </c>
      <c r="DN431" s="104">
        <v>0</v>
      </c>
      <c r="DO431" s="104">
        <v>0</v>
      </c>
      <c r="DP431" s="104">
        <v>0</v>
      </c>
      <c r="DQ431" s="104">
        <v>0</v>
      </c>
    </row>
    <row r="432" spans="1:121">
      <c r="A432" s="107"/>
      <c r="B432" s="107"/>
      <c r="C432" s="107"/>
      <c r="D432" s="145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64"/>
      <c r="BG432" s="164"/>
      <c r="BH432" s="164"/>
      <c r="BI432" s="164"/>
      <c r="BJ432" s="164"/>
      <c r="BK432" s="164"/>
      <c r="BL432" s="164"/>
      <c r="BM432" s="164"/>
      <c r="BN432" s="164"/>
      <c r="BO432" s="164"/>
      <c r="BP432" s="164"/>
      <c r="BQ432" s="164"/>
      <c r="BR432" s="164"/>
      <c r="BS432" s="164"/>
      <c r="BT432" s="164"/>
      <c r="BU432" s="164"/>
      <c r="BV432" s="164"/>
      <c r="BW432" s="164"/>
      <c r="BX432" s="164"/>
      <c r="BY432" s="164"/>
      <c r="BZ432" s="164"/>
      <c r="CA432" s="164"/>
      <c r="CB432" s="164"/>
      <c r="CC432" s="164"/>
      <c r="CD432" s="164"/>
      <c r="CE432" s="164"/>
      <c r="CF432" s="164"/>
      <c r="CG432" s="164"/>
      <c r="CH432" s="128"/>
      <c r="CI432" s="128"/>
      <c r="CJ432" s="128"/>
      <c r="CK432" s="128"/>
      <c r="CL432" s="128"/>
      <c r="CM432" s="128"/>
      <c r="CN432" s="128"/>
      <c r="CO432" s="128"/>
      <c r="CP432" s="128"/>
      <c r="CQ432" s="128"/>
      <c r="CR432" s="128"/>
      <c r="CS432" s="128"/>
      <c r="CT432" s="128"/>
      <c r="CU432" s="128"/>
      <c r="CV432" s="128"/>
      <c r="CW432" s="128"/>
      <c r="CX432" s="128"/>
      <c r="CY432" s="128"/>
      <c r="CZ432" s="128"/>
    </row>
    <row r="433" spans="1:121">
      <c r="A433" s="128" t="str">
        <f>+A191</f>
        <v>rate vv ingezetenen/ M2</v>
      </c>
      <c r="B433" s="128"/>
      <c r="C433" s="128" t="str">
        <f>+C191</f>
        <v>rate</v>
      </c>
      <c r="D433" s="112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  <c r="BE433" s="128"/>
      <c r="BF433" s="271">
        <f t="shared" ref="BF433:BQ433" si="1101">+BF191</f>
        <v>0.47728493180109549</v>
      </c>
      <c r="BG433" s="271">
        <f t="shared" si="1101"/>
        <v>0.47923269391159296</v>
      </c>
      <c r="BH433" s="271">
        <f t="shared" si="1101"/>
        <v>0.50272102568832722</v>
      </c>
      <c r="BI433" s="271">
        <f t="shared" si="1101"/>
        <v>0.45953791943621369</v>
      </c>
      <c r="BJ433" s="271">
        <f t="shared" si="1101"/>
        <v>0.43072523574233951</v>
      </c>
      <c r="BK433" s="271">
        <f t="shared" si="1101"/>
        <v>0.4905441051549157</v>
      </c>
      <c r="BL433" s="271">
        <f t="shared" si="1101"/>
        <v>0.46027606229855078</v>
      </c>
      <c r="BM433" s="271">
        <f t="shared" si="1101"/>
        <v>0.47344402476711611</v>
      </c>
      <c r="BN433" s="271">
        <f t="shared" si="1101"/>
        <v>0.47654461040734436</v>
      </c>
      <c r="BO433" s="271">
        <f t="shared" si="1101"/>
        <v>0.52357767898263985</v>
      </c>
      <c r="BP433" s="271">
        <f t="shared" si="1101"/>
        <v>0.64668284639753959</v>
      </c>
      <c r="BQ433" s="271">
        <f t="shared" si="1101"/>
        <v>0.63538334801011287</v>
      </c>
      <c r="BR433" s="271">
        <f t="shared" ref="BR433:CB433" si="1102">+BR191</f>
        <v>0.59734536324140741</v>
      </c>
      <c r="BS433" s="271">
        <f t="shared" si="1102"/>
        <v>0.53223055766406091</v>
      </c>
      <c r="BT433" s="271">
        <f t="shared" si="1102"/>
        <v>0.61861993293224182</v>
      </c>
      <c r="BU433" s="271">
        <f t="shared" ca="1" si="1102"/>
        <v>0.62798746674221173</v>
      </c>
      <c r="BV433" s="271">
        <f t="shared" ca="1" si="1102"/>
        <v>0.58908590819614004</v>
      </c>
      <c r="BW433" s="271">
        <f t="shared" ca="1" si="1102"/>
        <v>0.54268675377552256</v>
      </c>
      <c r="BX433" s="271">
        <f t="shared" ca="1" si="1102"/>
        <v>0.51284895016025056</v>
      </c>
      <c r="BY433" s="271">
        <f t="shared" ca="1" si="1102"/>
        <v>0.48325883534326258</v>
      </c>
      <c r="BZ433" s="271">
        <f t="shared" ca="1" si="1102"/>
        <v>0.4559853464468972</v>
      </c>
      <c r="CA433" s="271">
        <f t="shared" ca="1" si="1102"/>
        <v>0.43131555546695488</v>
      </c>
      <c r="CB433" s="271">
        <f t="shared" ca="1" si="1102"/>
        <v>0.40905660648726522</v>
      </c>
      <c r="CC433" s="271">
        <f ca="1">+CC191</f>
        <v>0.38888041349321451</v>
      </c>
      <c r="CD433" s="271">
        <f ca="1">+CD191</f>
        <v>0.37020593831680948</v>
      </c>
      <c r="CE433" s="271">
        <f ca="1">+CE191</f>
        <v>0.35202434898051327</v>
      </c>
      <c r="CF433" s="271">
        <f ca="1">+CF191</f>
        <v>0.33260756607022046</v>
      </c>
      <c r="CG433" s="271">
        <f ca="1">+CG191</f>
        <v>0.30915313058223592</v>
      </c>
      <c r="CH433" s="128"/>
      <c r="CI433" s="128"/>
      <c r="CJ433" s="128"/>
      <c r="CK433" s="128"/>
      <c r="CL433" s="128"/>
      <c r="CM433" s="128"/>
      <c r="CN433" s="128"/>
      <c r="CO433" s="128"/>
      <c r="CP433" s="128"/>
      <c r="CQ433" s="128"/>
      <c r="CR433" s="128"/>
      <c r="CS433" s="128"/>
      <c r="CT433" s="128"/>
      <c r="CU433" s="128"/>
      <c r="CV433" s="128"/>
      <c r="CW433" s="128"/>
      <c r="CX433" s="128"/>
      <c r="CY433" s="128"/>
      <c r="CZ433" s="128"/>
      <c r="DA433" s="104">
        <v>0.63538334801011287</v>
      </c>
      <c r="DB433" s="104">
        <v>0.59734536324140741</v>
      </c>
      <c r="DC433" s="104">
        <v>0.53223055766406091</v>
      </c>
      <c r="DD433" s="104">
        <v>0.61861993293224182</v>
      </c>
      <c r="DE433" s="104">
        <v>0.58322041107457212</v>
      </c>
      <c r="DF433" s="104">
        <v>0.52902620425084845</v>
      </c>
      <c r="DG433" s="104">
        <v>0.46760626008331085</v>
      </c>
      <c r="DH433" s="104">
        <v>0.42115139432698057</v>
      </c>
      <c r="DI433" s="104">
        <v>0.37715822108759606</v>
      </c>
      <c r="DJ433" s="104">
        <v>0.34714917332781503</v>
      </c>
      <c r="DK433" s="104">
        <v>0.31639004150818423</v>
      </c>
      <c r="DL433" s="104">
        <v>0.28781083506813554</v>
      </c>
      <c r="DM433" s="104">
        <v>0.26074860485818202</v>
      </c>
      <c r="DN433" s="104">
        <v>0.23505849182236793</v>
      </c>
      <c r="DO433" s="104">
        <v>0.21033675565721968</v>
      </c>
      <c r="DP433" s="104">
        <v>0.18597319977047946</v>
      </c>
      <c r="DQ433" s="104">
        <v>0.16123759927848577</v>
      </c>
    </row>
    <row r="434" spans="1:121">
      <c r="A434" s="123" t="s">
        <v>716</v>
      </c>
      <c r="B434" s="128"/>
      <c r="C434" s="128" t="str">
        <f>+C197</f>
        <v>rate</v>
      </c>
      <c r="D434" s="112" t="s">
        <v>1344</v>
      </c>
      <c r="E434" s="128"/>
      <c r="F434" s="271">
        <f t="shared" ref="F434:AK434" si="1103">+F179/F17</f>
        <v>0.35306019647739217</v>
      </c>
      <c r="G434" s="271">
        <f t="shared" si="1103"/>
        <v>0.31811065631579216</v>
      </c>
      <c r="H434" s="271">
        <f t="shared" si="1103"/>
        <v>0.29968061659755529</v>
      </c>
      <c r="I434" s="271">
        <f t="shared" si="1103"/>
        <v>0.29464286534475664</v>
      </c>
      <c r="J434" s="271">
        <f t="shared" si="1103"/>
        <v>0.30107749401432149</v>
      </c>
      <c r="K434" s="271">
        <f t="shared" si="1103"/>
        <v>0.27252890814744829</v>
      </c>
      <c r="L434" s="271">
        <f t="shared" si="1103"/>
        <v>0.27954901197533416</v>
      </c>
      <c r="M434" s="271">
        <f t="shared" si="1103"/>
        <v>0.27477037885679678</v>
      </c>
      <c r="N434" s="271">
        <f t="shared" si="1103"/>
        <v>0.2633294752458667</v>
      </c>
      <c r="O434" s="271">
        <f t="shared" si="1103"/>
        <v>0.24743231134413396</v>
      </c>
      <c r="P434" s="271">
        <f t="shared" si="1103"/>
        <v>0.26865765429575378</v>
      </c>
      <c r="Q434" s="271">
        <f t="shared" si="1103"/>
        <v>0.24638982247218275</v>
      </c>
      <c r="R434" s="271">
        <f t="shared" si="1103"/>
        <v>0.2256335636659641</v>
      </c>
      <c r="S434" s="271">
        <f t="shared" si="1103"/>
        <v>0.21437146523328682</v>
      </c>
      <c r="T434" s="271">
        <f t="shared" si="1103"/>
        <v>0.20947509670849909</v>
      </c>
      <c r="U434" s="271">
        <f t="shared" si="1103"/>
        <v>0.21809880268434592</v>
      </c>
      <c r="V434" s="271">
        <f t="shared" si="1103"/>
        <v>0.22291826025232089</v>
      </c>
      <c r="W434" s="271">
        <f t="shared" si="1103"/>
        <v>0.22167006470542774</v>
      </c>
      <c r="X434" s="271">
        <f t="shared" si="1103"/>
        <v>0.22476298391395175</v>
      </c>
      <c r="Y434" s="271">
        <f t="shared" si="1103"/>
        <v>0.21249737197049404</v>
      </c>
      <c r="Z434" s="271">
        <f t="shared" si="1103"/>
        <v>0.20885427341668375</v>
      </c>
      <c r="AA434" s="271">
        <f t="shared" si="1103"/>
        <v>0.19126447605941899</v>
      </c>
      <c r="AB434" s="271">
        <f t="shared" si="1103"/>
        <v>0.20372540802800226</v>
      </c>
      <c r="AC434" s="271">
        <f t="shared" si="1103"/>
        <v>0.18411417642762776</v>
      </c>
      <c r="AD434" s="271">
        <f t="shared" si="1103"/>
        <v>0.17532233853462159</v>
      </c>
      <c r="AE434" s="271">
        <f t="shared" si="1103"/>
        <v>0.18111525760463934</v>
      </c>
      <c r="AF434" s="271">
        <f t="shared" si="1103"/>
        <v>0.19385867554568997</v>
      </c>
      <c r="AG434" s="271">
        <f t="shared" si="1103"/>
        <v>0.25503114631679447</v>
      </c>
      <c r="AH434" s="271">
        <f t="shared" si="1103"/>
        <v>0.36791109886577578</v>
      </c>
      <c r="AI434" s="271">
        <f t="shared" si="1103"/>
        <v>0.40257189463221627</v>
      </c>
      <c r="AJ434" s="271">
        <f t="shared" si="1103"/>
        <v>0.4927425515660811</v>
      </c>
      <c r="AK434" s="271">
        <f t="shared" si="1103"/>
        <v>0.68584134684801756</v>
      </c>
      <c r="AL434" s="271">
        <f t="shared" ref="AL434:BQ434" si="1104">+AL179/AL17</f>
        <v>0.8706580275207727</v>
      </c>
      <c r="AM434" s="271">
        <f t="shared" si="1104"/>
        <v>0.91725261533184721</v>
      </c>
      <c r="AN434" s="271">
        <f t="shared" si="1104"/>
        <v>0.86404070672196542</v>
      </c>
      <c r="AO434" s="271">
        <f t="shared" si="1104"/>
        <v>0.50770179063147558</v>
      </c>
      <c r="AP434" s="271">
        <f t="shared" si="1104"/>
        <v>0.62237384140061791</v>
      </c>
      <c r="AQ434" s="271">
        <f t="shared" si="1104"/>
        <v>0.70792233876366872</v>
      </c>
      <c r="AR434" s="271">
        <f t="shared" si="1104"/>
        <v>0.58271543911682322</v>
      </c>
      <c r="AS434" s="271">
        <f t="shared" si="1104"/>
        <v>0.45626286184661818</v>
      </c>
      <c r="AT434" s="271">
        <f t="shared" si="1104"/>
        <v>0.28718201538158156</v>
      </c>
      <c r="AU434" s="271">
        <f t="shared" si="1104"/>
        <v>0.20219181308741407</v>
      </c>
      <c r="AV434" s="271">
        <f t="shared" si="1104"/>
        <v>0.22714387452015772</v>
      </c>
      <c r="AW434" s="271">
        <f t="shared" si="1104"/>
        <v>0.24454312152392674</v>
      </c>
      <c r="AX434" s="271">
        <f t="shared" si="1104"/>
        <v>0.20614844488454787</v>
      </c>
      <c r="AY434" s="271">
        <f t="shared" si="1104"/>
        <v>0.17846656433266422</v>
      </c>
      <c r="AZ434" s="271">
        <f t="shared" si="1104"/>
        <v>0.21537947458165024</v>
      </c>
      <c r="BA434" s="271">
        <f t="shared" si="1104"/>
        <v>0.21015720318970005</v>
      </c>
      <c r="BB434" s="271">
        <f t="shared" si="1104"/>
        <v>0.19681699677030234</v>
      </c>
      <c r="BC434" s="271">
        <f t="shared" si="1104"/>
        <v>0.15032425926378529</v>
      </c>
      <c r="BD434" s="271">
        <f t="shared" si="1104"/>
        <v>0.15317313616759087</v>
      </c>
      <c r="BE434" s="271">
        <f t="shared" ca="1" si="1104"/>
        <v>0.20750414890128585</v>
      </c>
      <c r="BF434" s="271">
        <f t="shared" si="1104"/>
        <v>0.21502019066650013</v>
      </c>
      <c r="BG434" s="271">
        <f t="shared" si="1104"/>
        <v>0.24055579678679984</v>
      </c>
      <c r="BH434" s="271">
        <f t="shared" si="1104"/>
        <v>0.25098730679205206</v>
      </c>
      <c r="BI434" s="271">
        <f t="shared" si="1104"/>
        <v>0.25172018348623854</v>
      </c>
      <c r="BJ434" s="271">
        <f t="shared" si="1104"/>
        <v>0.2505526037018192</v>
      </c>
      <c r="BK434" s="271">
        <f t="shared" si="1104"/>
        <v>0.24539856075283698</v>
      </c>
      <c r="BL434" s="271">
        <f t="shared" si="1104"/>
        <v>0.26197517342095655</v>
      </c>
      <c r="BM434" s="271">
        <f t="shared" si="1104"/>
        <v>0.26302926800541782</v>
      </c>
      <c r="BN434" s="271">
        <f t="shared" si="1104"/>
        <v>0.26890250954088118</v>
      </c>
      <c r="BO434" s="271">
        <f t="shared" si="1104"/>
        <v>0.30117992296875951</v>
      </c>
      <c r="BP434" s="271">
        <f t="shared" si="1104"/>
        <v>0.35097234337318489</v>
      </c>
      <c r="BQ434" s="271">
        <f t="shared" si="1104"/>
        <v>0.32262023631219838</v>
      </c>
      <c r="BR434" s="271">
        <f t="shared" ref="BR434:CC434" si="1105">+BR179/BR17</f>
        <v>0.34104471828256994</v>
      </c>
      <c r="BS434" s="271">
        <f t="shared" si="1105"/>
        <v>0.35938633396199043</v>
      </c>
      <c r="BT434" s="271">
        <f t="shared" si="1105"/>
        <v>0.4967812159850723</v>
      </c>
      <c r="BU434" s="271">
        <f t="shared" ca="1" si="1105"/>
        <v>0.4108861708251812</v>
      </c>
      <c r="BV434" s="271">
        <f t="shared" ca="1" si="1105"/>
        <v>0.37749308424730205</v>
      </c>
      <c r="BW434" s="271">
        <f t="shared" ca="1" si="1105"/>
        <v>0.36718702363119654</v>
      </c>
      <c r="BX434" s="271">
        <f t="shared" ca="1" si="1105"/>
        <v>0.35749543708354375</v>
      </c>
      <c r="BY434" s="271">
        <f t="shared" ca="1" si="1105"/>
        <v>0.34212547881796479</v>
      </c>
      <c r="BZ434" s="271">
        <f t="shared" ca="1" si="1105"/>
        <v>0.32374704136884569</v>
      </c>
      <c r="CA434" s="271">
        <f t="shared" ca="1" si="1105"/>
        <v>0.30266633684193067</v>
      </c>
      <c r="CB434" s="271">
        <f t="shared" ca="1" si="1105"/>
        <v>0.27890891316206762</v>
      </c>
      <c r="CC434" s="271">
        <f t="shared" ca="1" si="1105"/>
        <v>0.25273344411513449</v>
      </c>
      <c r="CD434" s="271">
        <f ca="1">+CD179/CD17</f>
        <v>0.22467229379722845</v>
      </c>
      <c r="CE434" s="271">
        <f ca="1">+CE179/CE17</f>
        <v>0.19560062108979828</v>
      </c>
      <c r="CF434" s="271">
        <f ca="1">+CF179/CF17</f>
        <v>0.16677253554435637</v>
      </c>
      <c r="CG434" s="271">
        <f ca="1">+CG179/CG17</f>
        <v>0.13977902113670707</v>
      </c>
      <c r="CH434" s="128"/>
      <c r="CI434" s="128"/>
      <c r="CJ434" s="128"/>
      <c r="CK434" s="128"/>
      <c r="CL434" s="128"/>
      <c r="CM434" s="128"/>
      <c r="CN434" s="128"/>
      <c r="CO434" s="128"/>
      <c r="CP434" s="128"/>
      <c r="CQ434" s="128"/>
      <c r="CR434" s="128"/>
      <c r="CS434" s="128"/>
      <c r="CT434" s="128"/>
      <c r="CU434" s="128"/>
      <c r="CV434" s="128"/>
      <c r="CW434" s="128"/>
      <c r="CX434" s="128"/>
      <c r="CY434" s="128"/>
      <c r="CZ434" s="128"/>
      <c r="DA434" s="104">
        <v>0.32262023631219838</v>
      </c>
      <c r="DB434" s="104">
        <v>0.34104471828256994</v>
      </c>
      <c r="DC434" s="104">
        <v>0.35938633396199043</v>
      </c>
      <c r="DD434" s="104">
        <v>0.4967812159850723</v>
      </c>
      <c r="DE434" s="104">
        <v>0.40433560813820929</v>
      </c>
      <c r="DF434" s="104">
        <v>0.38944836032510016</v>
      </c>
      <c r="DG434" s="104">
        <v>0.39147848315246359</v>
      </c>
      <c r="DH434" s="104">
        <v>0.39402330031980609</v>
      </c>
      <c r="DI434" s="104">
        <v>0.39022866155843289</v>
      </c>
      <c r="DJ434" s="104">
        <v>0.38165510955170234</v>
      </c>
      <c r="DK434" s="104">
        <v>0.36506342514452528</v>
      </c>
      <c r="DL434" s="104">
        <v>0.34617155753961948</v>
      </c>
      <c r="DM434" s="104">
        <v>0.32371640311774258</v>
      </c>
      <c r="DN434" s="104">
        <v>0.29817240503938525</v>
      </c>
      <c r="DO434" s="104">
        <v>0.27013310754548797</v>
      </c>
      <c r="DP434" s="104">
        <v>0.24052513100492379</v>
      </c>
      <c r="DQ434" s="104">
        <v>0.21071707489089389</v>
      </c>
    </row>
    <row r="435" spans="1:121">
      <c r="A435" s="123" t="s">
        <v>724</v>
      </c>
      <c r="B435" s="128"/>
      <c r="C435" s="123" t="s">
        <v>918</v>
      </c>
      <c r="D435" s="112"/>
      <c r="E435" s="128"/>
      <c r="F435" s="271"/>
      <c r="G435" s="271"/>
      <c r="H435" s="271"/>
      <c r="I435" s="271">
        <f t="shared" ref="I435:AN435" si="1106">+I178/I17</f>
        <v>0.15756302521008403</v>
      </c>
      <c r="J435" s="271">
        <f t="shared" si="1106"/>
        <v>0.15466309223075733</v>
      </c>
      <c r="K435" s="271">
        <f t="shared" si="1106"/>
        <v>0.18570964297321141</v>
      </c>
      <c r="L435" s="271">
        <f t="shared" si="1106"/>
        <v>0.16891178581985558</v>
      </c>
      <c r="M435" s="271">
        <f t="shared" si="1106"/>
        <v>0.19542700801250737</v>
      </c>
      <c r="N435" s="271">
        <f t="shared" si="1106"/>
        <v>0.18110692552883223</v>
      </c>
      <c r="O435" s="271">
        <f t="shared" si="1106"/>
        <v>0.20008003201280514</v>
      </c>
      <c r="P435" s="271">
        <f t="shared" si="1106"/>
        <v>0.21867483052700637</v>
      </c>
      <c r="Q435" s="271">
        <f t="shared" si="1106"/>
        <v>0.21756275325664248</v>
      </c>
      <c r="R435" s="271">
        <f t="shared" si="1106"/>
        <v>0.19850459868986967</v>
      </c>
      <c r="S435" s="271">
        <f t="shared" si="1106"/>
        <v>0.19055241144076679</v>
      </c>
      <c r="T435" s="271">
        <f t="shared" si="1106"/>
        <v>0.17398263653287402</v>
      </c>
      <c r="U435" s="271">
        <f t="shared" si="1106"/>
        <v>0.16191447677336832</v>
      </c>
      <c r="V435" s="271">
        <f t="shared" si="1106"/>
        <v>0.15278838808250575</v>
      </c>
      <c r="W435" s="271">
        <f t="shared" si="1106"/>
        <v>0.27918144001786765</v>
      </c>
      <c r="X435" s="271">
        <f t="shared" si="1106"/>
        <v>0.26933850463262232</v>
      </c>
      <c r="Y435" s="271">
        <f t="shared" si="1106"/>
        <v>0.24752168908800634</v>
      </c>
      <c r="Z435" s="271">
        <f t="shared" si="1106"/>
        <v>0.20496003279360528</v>
      </c>
      <c r="AA435" s="271">
        <f t="shared" si="1106"/>
        <v>0.27078500573161596</v>
      </c>
      <c r="AB435" s="271">
        <f t="shared" si="1106"/>
        <v>0.33247720453166441</v>
      </c>
      <c r="AC435" s="271">
        <f t="shared" si="1106"/>
        <v>0.32748875076141143</v>
      </c>
      <c r="AD435" s="271">
        <f t="shared" si="1106"/>
        <v>0.34276116972961851</v>
      </c>
      <c r="AE435" s="271">
        <f t="shared" si="1106"/>
        <v>0.32217359787365424</v>
      </c>
      <c r="AF435" s="271">
        <f t="shared" si="1106"/>
        <v>0.36995930447650754</v>
      </c>
      <c r="AG435" s="271">
        <f t="shared" si="1106"/>
        <v>0.37810399750451368</v>
      </c>
      <c r="AH435" s="271">
        <f t="shared" si="1106"/>
        <v>0.41328006612481055</v>
      </c>
      <c r="AI435" s="271">
        <f t="shared" si="1106"/>
        <v>0.52312945551735135</v>
      </c>
      <c r="AJ435" s="271">
        <f t="shared" si="1106"/>
        <v>0.56588291882409525</v>
      </c>
      <c r="AK435" s="271">
        <f t="shared" si="1106"/>
        <v>0.77006747716268642</v>
      </c>
      <c r="AL435" s="271">
        <f t="shared" si="1106"/>
        <v>0.9289911250695565</v>
      </c>
      <c r="AM435" s="271">
        <f t="shared" si="1106"/>
        <v>1.0718573143543133</v>
      </c>
      <c r="AN435" s="271">
        <f t="shared" si="1106"/>
        <v>1.0857056000694854</v>
      </c>
      <c r="AO435" s="271">
        <f t="shared" ref="AO435:BT435" si="1107">+AO178/AO17</f>
        <v>1.1460537034570557</v>
      </c>
      <c r="AP435" s="271">
        <f t="shared" si="1107"/>
        <v>0.97837281153450051</v>
      </c>
      <c r="AQ435" s="271">
        <f t="shared" si="1107"/>
        <v>1.0488730194153091</v>
      </c>
      <c r="AR435" s="271">
        <f t="shared" si="1107"/>
        <v>0.92272202998846597</v>
      </c>
      <c r="AS435" s="271">
        <f t="shared" si="1107"/>
        <v>0.65166689532171773</v>
      </c>
      <c r="AT435" s="271">
        <f t="shared" si="1107"/>
        <v>0.45972194833366198</v>
      </c>
      <c r="AU435" s="271">
        <f t="shared" si="1107"/>
        <v>0.30129251544901087</v>
      </c>
      <c r="AV435" s="271">
        <f t="shared" si="1107"/>
        <v>0.37374140915854626</v>
      </c>
      <c r="AW435" s="271">
        <f t="shared" si="1107"/>
        <v>0.44202294309561785</v>
      </c>
      <c r="AX435" s="271">
        <f t="shared" si="1107"/>
        <v>0.47103569338794621</v>
      </c>
      <c r="AY435" s="271">
        <f t="shared" si="1107"/>
        <v>0.45591110061531598</v>
      </c>
      <c r="AZ435" s="271">
        <f t="shared" si="1107"/>
        <v>0.55598767953685546</v>
      </c>
      <c r="BA435" s="271">
        <f t="shared" si="1107"/>
        <v>0.51596472041739039</v>
      </c>
      <c r="BB435" s="271">
        <f t="shared" si="1107"/>
        <v>0.48935756255107199</v>
      </c>
      <c r="BC435" s="271">
        <f t="shared" si="1107"/>
        <v>0.45172711470054783</v>
      </c>
      <c r="BD435" s="271">
        <f t="shared" si="1107"/>
        <v>0.48258780036968574</v>
      </c>
      <c r="BE435" s="271">
        <f t="shared" si="1107"/>
        <v>0.44415186772810777</v>
      </c>
      <c r="BF435" s="271">
        <f t="shared" si="1107"/>
        <v>0.3876191665625911</v>
      </c>
      <c r="BG435" s="271">
        <f t="shared" si="1107"/>
        <v>0.44625023261584268</v>
      </c>
      <c r="BH435" s="271">
        <f t="shared" si="1107"/>
        <v>0.44715975294129778</v>
      </c>
      <c r="BI435" s="271">
        <f t="shared" si="1107"/>
        <v>0.4695066927357498</v>
      </c>
      <c r="BJ435" s="271">
        <f t="shared" si="1107"/>
        <v>0.46085897553529576</v>
      </c>
      <c r="BK435" s="271">
        <f t="shared" si="1107"/>
        <v>0.4643025186825353</v>
      </c>
      <c r="BL435" s="271">
        <f t="shared" si="1107"/>
        <v>0.49462090787391993</v>
      </c>
      <c r="BM435" s="271">
        <f t="shared" si="1107"/>
        <v>0.53165891290265588</v>
      </c>
      <c r="BN435" s="271">
        <f t="shared" si="1107"/>
        <v>0.5504914999421765</v>
      </c>
      <c r="BO435" s="271">
        <f t="shared" si="1107"/>
        <v>0.6504432353120988</v>
      </c>
      <c r="BP435" s="271">
        <f t="shared" si="1107"/>
        <v>0.83088408846015704</v>
      </c>
      <c r="BQ435" s="271">
        <f t="shared" si="1107"/>
        <v>0.73229738725245463</v>
      </c>
      <c r="BR435" s="271">
        <f t="shared" si="1107"/>
        <v>0.74388126792218856</v>
      </c>
      <c r="BS435" s="271">
        <f t="shared" si="1107"/>
        <v>0.73582620049325409</v>
      </c>
      <c r="BT435" s="271">
        <f t="shared" si="1107"/>
        <v>1.0090125952417974</v>
      </c>
      <c r="BU435" s="271">
        <f t="shared" ref="BU435:CC435" ca="1" si="1108">+BU178/BU17</f>
        <v>0.83462163604375605</v>
      </c>
      <c r="BV435" s="271">
        <f t="shared" ca="1" si="1108"/>
        <v>0.76681949693852691</v>
      </c>
      <c r="BW435" s="271">
        <f t="shared" ca="1" si="1108"/>
        <v>0.74589381958640666</v>
      </c>
      <c r="BX435" s="271">
        <f t="shared" ca="1" si="1108"/>
        <v>0.72621578540044385</v>
      </c>
      <c r="BY435" s="271">
        <f t="shared" ca="1" si="1108"/>
        <v>0.69500824650061988</v>
      </c>
      <c r="BZ435" s="271">
        <f t="shared" ca="1" si="1108"/>
        <v>0.65769221794016353</v>
      </c>
      <c r="CA435" s="271">
        <f t="shared" ca="1" si="1108"/>
        <v>0.6148894402623144</v>
      </c>
      <c r="CB435" s="271">
        <f t="shared" ca="1" si="1108"/>
        <v>0.56665178659806759</v>
      </c>
      <c r="CC435" s="271">
        <f t="shared" ca="1" si="1108"/>
        <v>0.51350447452418324</v>
      </c>
      <c r="CD435" s="271">
        <f ca="1">+CD178/CD17</f>
        <v>0.45652842911220343</v>
      </c>
      <c r="CE435" s="271">
        <f ca="1">+CE178/CE17</f>
        <v>0.3975005943436552</v>
      </c>
      <c r="CF435" s="271">
        <f ca="1">+CF178/CF17</f>
        <v>0.33896734490200869</v>
      </c>
      <c r="CG435" s="271">
        <f ca="1">+CG178/CG17</f>
        <v>0.28415905353493109</v>
      </c>
      <c r="CH435" s="128"/>
      <c r="CI435" s="128"/>
      <c r="CJ435" s="128"/>
      <c r="CK435" s="128"/>
      <c r="CL435" s="128"/>
      <c r="CM435" s="128"/>
      <c r="CN435" s="128"/>
      <c r="CO435" s="128"/>
      <c r="CP435" s="128"/>
      <c r="CQ435" s="128"/>
      <c r="CR435" s="128"/>
      <c r="CS435" s="128"/>
      <c r="CT435" s="128"/>
      <c r="CU435" s="128"/>
      <c r="CV435" s="128"/>
      <c r="CW435" s="128"/>
      <c r="CX435" s="128"/>
      <c r="CY435" s="128"/>
      <c r="CZ435" s="128"/>
      <c r="DA435" s="104">
        <v>0.73229738725245463</v>
      </c>
      <c r="DB435" s="104">
        <v>0.74388126792218856</v>
      </c>
      <c r="DC435" s="104">
        <v>0.73582620049325409</v>
      </c>
      <c r="DD435" s="104">
        <v>1.0090125952417974</v>
      </c>
      <c r="DE435" s="104">
        <v>0.82132121347024634</v>
      </c>
      <c r="DF435" s="104">
        <v>0.79109378167042266</v>
      </c>
      <c r="DG435" s="104">
        <v>0.79521579267472375</v>
      </c>
      <c r="DH435" s="104">
        <v>0.80038285164590106</v>
      </c>
      <c r="DI435" s="104">
        <v>0.79267812436492091</v>
      </c>
      <c r="DJ435" s="104">
        <v>0.77527017483529137</v>
      </c>
      <c r="DK435" s="104">
        <v>0.74158201331892859</v>
      </c>
      <c r="DL435" s="104">
        <v>0.70322350362207664</v>
      </c>
      <c r="DM435" s="104">
        <v>0.65763000928633375</v>
      </c>
      <c r="DN435" s="104">
        <v>0.60576485130001589</v>
      </c>
      <c r="DO435" s="104">
        <v>0.54883317639598039</v>
      </c>
      <c r="DP435" s="104">
        <v>0.48871641721752423</v>
      </c>
      <c r="DQ435" s="104">
        <v>0.42819341158321561</v>
      </c>
    </row>
    <row r="436" spans="1:121">
      <c r="A436" s="128"/>
      <c r="B436" s="128"/>
      <c r="C436" s="128"/>
      <c r="D436" s="112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  <c r="AV436" s="128"/>
      <c r="AW436" s="128"/>
      <c r="AX436" s="128"/>
      <c r="AY436" s="128"/>
      <c r="AZ436" s="128"/>
      <c r="BA436" s="128"/>
      <c r="BB436" s="128"/>
      <c r="BC436" s="128"/>
      <c r="BD436" s="128"/>
      <c r="BE436" s="128"/>
      <c r="BF436" s="128"/>
      <c r="BG436" s="128"/>
      <c r="BH436" s="128"/>
      <c r="BI436" s="128"/>
      <c r="BJ436" s="128"/>
      <c r="BK436" s="128"/>
      <c r="BL436" s="128"/>
      <c r="BM436" s="151"/>
      <c r="BN436" s="128"/>
      <c r="BO436" s="128"/>
      <c r="BP436" s="128"/>
      <c r="BQ436" s="128"/>
      <c r="BR436" s="128"/>
      <c r="BS436" s="128"/>
      <c r="BT436" s="128"/>
      <c r="BU436" s="128"/>
      <c r="BV436" s="128"/>
      <c r="BW436" s="128"/>
      <c r="BX436" s="128"/>
      <c r="BY436" s="128"/>
      <c r="BZ436" s="128"/>
      <c r="CA436" s="128"/>
      <c r="CB436" s="128"/>
      <c r="CC436" s="128"/>
      <c r="CD436" s="128"/>
      <c r="CE436" s="128"/>
      <c r="CF436" s="128"/>
      <c r="CG436" s="128"/>
      <c r="CH436" s="128"/>
      <c r="CI436" s="128"/>
      <c r="CJ436" s="128"/>
      <c r="CK436" s="128"/>
      <c r="CL436" s="128"/>
      <c r="CM436" s="128"/>
      <c r="CN436" s="128"/>
      <c r="CO436" s="128"/>
      <c r="CP436" s="128"/>
      <c r="CQ436" s="128"/>
      <c r="CR436" s="128"/>
      <c r="CS436" s="128"/>
      <c r="CT436" s="128"/>
      <c r="CU436" s="128"/>
      <c r="CV436" s="128"/>
      <c r="CW436" s="128"/>
      <c r="CX436" s="128"/>
      <c r="CY436" s="128"/>
      <c r="CZ436" s="128"/>
    </row>
    <row r="437" spans="1:121" s="605" customFormat="1">
      <c r="A437" s="602" t="s">
        <v>753</v>
      </c>
      <c r="B437" s="603"/>
      <c r="C437" s="604"/>
      <c r="D437" s="651"/>
    </row>
    <row r="438" spans="1:121">
      <c r="A438" s="128"/>
      <c r="B438" s="128"/>
      <c r="C438" s="128"/>
      <c r="D438" s="112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/>
      <c r="BH438" s="128"/>
      <c r="BI438" s="128"/>
      <c r="BJ438" s="128"/>
      <c r="BK438" s="128"/>
      <c r="BL438" s="128"/>
      <c r="BM438" s="151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28"/>
      <c r="CC438" s="128"/>
      <c r="CD438" s="128"/>
      <c r="CE438" s="128"/>
      <c r="CF438" s="128"/>
      <c r="CG438" s="128"/>
      <c r="CH438" s="128"/>
      <c r="CI438" s="128"/>
      <c r="CJ438" s="128"/>
      <c r="CK438" s="128"/>
      <c r="CL438" s="128"/>
      <c r="CM438" s="128"/>
      <c r="CN438" s="128"/>
      <c r="CO438" s="128"/>
      <c r="CP438" s="128"/>
      <c r="CQ438" s="128"/>
      <c r="CR438" s="128"/>
      <c r="CS438" s="128"/>
      <c r="CT438" s="128"/>
      <c r="CU438" s="128"/>
      <c r="CV438" s="128"/>
      <c r="CW438" s="128"/>
      <c r="CX438" s="128"/>
      <c r="CY438" s="128"/>
      <c r="CZ438" s="128"/>
    </row>
    <row r="439" spans="1:121">
      <c r="A439" s="123" t="s">
        <v>754</v>
      </c>
      <c r="B439" s="128"/>
      <c r="C439" s="128"/>
      <c r="D439" s="112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51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/>
      <c r="BZ439" s="128"/>
      <c r="CA439" s="128"/>
      <c r="CB439" s="128"/>
      <c r="CC439" s="128"/>
      <c r="CD439" s="128"/>
      <c r="CE439" s="128"/>
      <c r="CF439" s="128"/>
      <c r="CG439" s="128"/>
      <c r="CH439" s="128"/>
      <c r="CI439" s="128"/>
      <c r="CJ439" s="128"/>
      <c r="CK439" s="128"/>
      <c r="CL439" s="128"/>
      <c r="CM439" s="128"/>
      <c r="CN439" s="128"/>
      <c r="CO439" s="128"/>
      <c r="CP439" s="128"/>
      <c r="CQ439" s="128"/>
      <c r="CR439" s="128"/>
      <c r="CS439" s="128"/>
      <c r="CT439" s="128"/>
      <c r="CU439" s="128"/>
      <c r="CV439" s="128"/>
      <c r="CW439" s="128"/>
      <c r="CX439" s="128"/>
      <c r="CY439" s="128"/>
      <c r="CZ439" s="128"/>
    </row>
    <row r="440" spans="1:121">
      <c r="A440" s="123" t="s">
        <v>755</v>
      </c>
      <c r="B440" s="128"/>
      <c r="C440" s="123" t="s">
        <v>918</v>
      </c>
      <c r="D440" s="112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  <c r="AV440" s="128"/>
      <c r="AW440" s="128"/>
      <c r="AX440" s="128"/>
      <c r="AY440" s="128"/>
      <c r="AZ440" s="128"/>
      <c r="BA440" s="128"/>
      <c r="BB440" s="128"/>
      <c r="BC440" s="128"/>
      <c r="BD440" s="128"/>
      <c r="BE440" s="128"/>
      <c r="BF440" s="128"/>
      <c r="BG440" s="128"/>
      <c r="BH440" s="128"/>
      <c r="BI440" s="128"/>
      <c r="BJ440" s="128"/>
      <c r="BK440" s="128"/>
      <c r="BL440" s="128"/>
      <c r="BM440" s="128"/>
      <c r="BN440" s="128"/>
      <c r="BO440" s="128"/>
      <c r="BP440" s="128">
        <f t="shared" ref="BP440:CB440" si="1109">100*BP109/BP114</f>
        <v>4.1083985146559217</v>
      </c>
      <c r="BQ440" s="128">
        <f t="shared" si="1109"/>
        <v>14.608713430061071</v>
      </c>
      <c r="BR440" s="128">
        <f t="shared" si="1109"/>
        <v>5.576237929122918</v>
      </c>
      <c r="BS440" s="128">
        <f t="shared" si="1109"/>
        <v>3.9053806009610481</v>
      </c>
      <c r="BT440" s="128">
        <f t="shared" si="1109"/>
        <v>3.9053806009610481</v>
      </c>
      <c r="BU440" s="128">
        <f t="shared" ca="1" si="1109"/>
        <v>3.9053806009610477</v>
      </c>
      <c r="BV440" s="128">
        <f t="shared" ca="1" si="1109"/>
        <v>3.9053806009610472</v>
      </c>
      <c r="BW440" s="128">
        <f t="shared" ca="1" si="1109"/>
        <v>3.9053806009610477</v>
      </c>
      <c r="BX440" s="128">
        <f t="shared" ca="1" si="1109"/>
        <v>3.905380600961049</v>
      </c>
      <c r="BY440" s="128">
        <f t="shared" ca="1" si="1109"/>
        <v>3.9053806009610481</v>
      </c>
      <c r="BZ440" s="128">
        <f t="shared" ca="1" si="1109"/>
        <v>3.9053806009610472</v>
      </c>
      <c r="CA440" s="128">
        <f t="shared" ca="1" si="1109"/>
        <v>3.9053806009610459</v>
      </c>
      <c r="CB440" s="128">
        <f t="shared" ca="1" si="1109"/>
        <v>3.9053806009610468</v>
      </c>
      <c r="CC440" s="128">
        <f ca="1">100*CC109/CC114</f>
        <v>3.9053806009610459</v>
      </c>
      <c r="CD440" s="128">
        <f ca="1">100*CD109/CD114</f>
        <v>3.9053806009610459</v>
      </c>
      <c r="CE440" s="128">
        <f ca="1">100*CE109/CE114</f>
        <v>3.9053806009610477</v>
      </c>
      <c r="CF440" s="128">
        <f ca="1">100*CF109/CF114</f>
        <v>3.9053806009610494</v>
      </c>
      <c r="CG440" s="128">
        <f ca="1">100*CG109/CG114</f>
        <v>3.9053806009610503</v>
      </c>
      <c r="CH440" s="128"/>
      <c r="CI440" s="128"/>
      <c r="CJ440" s="128"/>
      <c r="CK440" s="128"/>
      <c r="CL440" s="128"/>
      <c r="CM440" s="128"/>
      <c r="CN440" s="128"/>
      <c r="CO440" s="128"/>
      <c r="CP440" s="128"/>
      <c r="CQ440" s="128"/>
      <c r="CR440" s="128"/>
      <c r="CS440" s="128"/>
      <c r="CT440" s="128"/>
      <c r="CU440" s="128"/>
      <c r="CV440" s="128"/>
      <c r="CW440" s="128"/>
      <c r="CX440" s="128"/>
      <c r="CY440" s="128"/>
      <c r="CZ440" s="128"/>
      <c r="DA440" s="104">
        <v>14.608713430061071</v>
      </c>
      <c r="DB440" s="104">
        <v>5.576237929122918</v>
      </c>
      <c r="DC440" s="104">
        <v>3.9053806009610481</v>
      </c>
      <c r="DD440" s="104">
        <v>3.9053806009610481</v>
      </c>
      <c r="DE440" s="104">
        <v>3.9053806009610472</v>
      </c>
      <c r="DF440" s="104">
        <v>3.9053806009610481</v>
      </c>
      <c r="DG440" s="104">
        <v>3.9053806009610481</v>
      </c>
      <c r="DH440" s="104">
        <v>3.9053806009610486</v>
      </c>
      <c r="DI440" s="104">
        <v>3.9053806009610508</v>
      </c>
      <c r="DJ440" s="104">
        <v>3.9053806009610512</v>
      </c>
      <c r="DK440" s="104">
        <v>3.9053806009610534</v>
      </c>
      <c r="DL440" s="104">
        <v>3.9053806009610565</v>
      </c>
      <c r="DM440" s="104">
        <v>3.9053806009610574</v>
      </c>
      <c r="DN440" s="104">
        <v>3.905380600961057</v>
      </c>
      <c r="DO440" s="104">
        <v>3.9053806009610592</v>
      </c>
      <c r="DP440" s="104">
        <v>3.905380600961061</v>
      </c>
      <c r="DQ440" s="104">
        <v>3.9053806009610628</v>
      </c>
    </row>
    <row r="441" spans="1:121">
      <c r="A441" s="123" t="s">
        <v>756</v>
      </c>
      <c r="B441" s="128"/>
      <c r="C441" s="123" t="s">
        <v>918</v>
      </c>
      <c r="D441" s="112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  <c r="AV441" s="128"/>
      <c r="AW441" s="128"/>
      <c r="AX441" s="128"/>
      <c r="AY441" s="128"/>
      <c r="AZ441" s="128"/>
      <c r="BA441" s="128"/>
      <c r="BB441" s="128"/>
      <c r="BC441" s="128"/>
      <c r="BD441" s="128"/>
      <c r="BE441" s="128">
        <f t="shared" ref="BE441:CB441" si="1110">100*BE110/BE117</f>
        <v>17.562805233129623</v>
      </c>
      <c r="BF441" s="128">
        <f t="shared" si="1110"/>
        <v>8.3897549869904608</v>
      </c>
      <c r="BG441" s="128">
        <f t="shared" si="1110"/>
        <v>9.5202698269498907</v>
      </c>
      <c r="BH441" s="128">
        <f t="shared" si="1110"/>
        <v>6.490754305524491</v>
      </c>
      <c r="BI441" s="128">
        <f t="shared" si="1110"/>
        <v>6.4668885793871871</v>
      </c>
      <c r="BJ441" s="128">
        <f t="shared" si="1110"/>
        <v>6.4421249791886339</v>
      </c>
      <c r="BK441" s="128">
        <f t="shared" si="1110"/>
        <v>4.9438096252129471</v>
      </c>
      <c r="BL441" s="128">
        <f t="shared" si="1110"/>
        <v>4.2737988292036375</v>
      </c>
      <c r="BM441" s="128">
        <f t="shared" si="1110"/>
        <v>3.5205826155525903</v>
      </c>
      <c r="BN441" s="128">
        <f t="shared" si="1110"/>
        <v>3.1843048773797116</v>
      </c>
      <c r="BO441" s="128">
        <f t="shared" si="1110"/>
        <v>2.3659991439403205</v>
      </c>
      <c r="BP441" s="128">
        <f t="shared" si="1110"/>
        <v>6.2514109087120362</v>
      </c>
      <c r="BQ441" s="128">
        <f t="shared" si="1110"/>
        <v>2.1209418678646812</v>
      </c>
      <c r="BR441" s="128">
        <f t="shared" si="1110"/>
        <v>5.3177659739565897</v>
      </c>
      <c r="BS441" s="128">
        <f t="shared" si="1110"/>
        <v>4.0418597480020901</v>
      </c>
      <c r="BT441" s="128">
        <f t="shared" si="1110"/>
        <v>4.0418597480020901</v>
      </c>
      <c r="BU441" s="128">
        <f t="shared" si="1110"/>
        <v>4.0418597480020901</v>
      </c>
      <c r="BV441" s="128">
        <f t="shared" si="1110"/>
        <v>4.0418597480020901</v>
      </c>
      <c r="BW441" s="128">
        <f t="shared" si="1110"/>
        <v>4.0418597480020901</v>
      </c>
      <c r="BX441" s="128">
        <f t="shared" si="1110"/>
        <v>4.0418597480020901</v>
      </c>
      <c r="BY441" s="128">
        <f t="shared" si="1110"/>
        <v>4.0418597480020901</v>
      </c>
      <c r="BZ441" s="128">
        <f t="shared" si="1110"/>
        <v>4.0418597480020901</v>
      </c>
      <c r="CA441" s="128">
        <f t="shared" si="1110"/>
        <v>4.0418597480020901</v>
      </c>
      <c r="CB441" s="128">
        <f t="shared" si="1110"/>
        <v>4.0418597480020901</v>
      </c>
      <c r="CC441" s="128">
        <f>100*CC110/CC117</f>
        <v>4.0418597480020901</v>
      </c>
      <c r="CD441" s="128">
        <f>100*CD110/CD117</f>
        <v>4.0418597480020901</v>
      </c>
      <c r="CE441" s="128">
        <f>100*CE110/CE117</f>
        <v>4.0418597480020901</v>
      </c>
      <c r="CF441" s="128">
        <f>100*CF110/CF117</f>
        <v>4.0418597480020901</v>
      </c>
      <c r="CG441" s="128">
        <f>100*CG110/CG117</f>
        <v>4.0418597480020901</v>
      </c>
      <c r="CH441" s="128"/>
      <c r="CI441" s="128"/>
      <c r="CJ441" s="128"/>
      <c r="CK441" s="128"/>
      <c r="CL441" s="128"/>
      <c r="CM441" s="128"/>
      <c r="CN441" s="128"/>
      <c r="CO441" s="128"/>
      <c r="CP441" s="128"/>
      <c r="CQ441" s="128"/>
      <c r="CR441" s="128"/>
      <c r="CS441" s="128"/>
      <c r="CT441" s="128"/>
      <c r="CU441" s="128"/>
      <c r="CV441" s="128"/>
      <c r="CW441" s="128"/>
      <c r="CX441" s="128"/>
      <c r="CY441" s="128"/>
      <c r="CZ441" s="128"/>
      <c r="DA441" s="104">
        <v>2.1209418678646812</v>
      </c>
      <c r="DB441" s="104">
        <v>5.3177659739565897</v>
      </c>
      <c r="DC441" s="104">
        <v>4.0418597480020901</v>
      </c>
      <c r="DD441" s="104">
        <v>4.0418597480020901</v>
      </c>
      <c r="DE441" s="104">
        <v>4.0418597480020892</v>
      </c>
      <c r="DF441" s="104">
        <v>4.0418597480020892</v>
      </c>
      <c r="DG441" s="104">
        <v>4.0418597480020892</v>
      </c>
      <c r="DH441" s="104">
        <v>4.0418597480020892</v>
      </c>
      <c r="DI441" s="104">
        <v>4.0418597480020884</v>
      </c>
      <c r="DJ441" s="104">
        <v>4.0418597480020892</v>
      </c>
      <c r="DK441" s="104">
        <v>4.0418597480020892</v>
      </c>
      <c r="DL441" s="104">
        <v>4.0418597480020884</v>
      </c>
      <c r="DM441" s="104">
        <v>4.0418597480020884</v>
      </c>
      <c r="DN441" s="104">
        <v>4.0418597480020884</v>
      </c>
      <c r="DO441" s="104">
        <v>4.0418597480020892</v>
      </c>
      <c r="DP441" s="104">
        <v>4.0418597480020884</v>
      </c>
      <c r="DQ441" s="104">
        <v>4.0418597480020884</v>
      </c>
    </row>
    <row r="442" spans="1:121">
      <c r="A442" s="128"/>
      <c r="B442" s="128"/>
      <c r="C442" s="128"/>
      <c r="D442" s="112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51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8"/>
      <c r="BX442" s="128"/>
      <c r="BY442" s="128"/>
      <c r="BZ442" s="128"/>
      <c r="CA442" s="128"/>
      <c r="CB442" s="128"/>
      <c r="CC442" s="128"/>
      <c r="CD442" s="128"/>
      <c r="CE442" s="128"/>
      <c r="CF442" s="128"/>
      <c r="CG442" s="128"/>
      <c r="CH442" s="128"/>
      <c r="CI442" s="128"/>
      <c r="CJ442" s="128"/>
      <c r="CK442" s="128"/>
      <c r="CL442" s="128"/>
      <c r="CM442" s="128"/>
      <c r="CN442" s="128"/>
      <c r="CO442" s="128"/>
      <c r="CP442" s="128"/>
      <c r="CQ442" s="128"/>
      <c r="CR442" s="128"/>
      <c r="CS442" s="128"/>
      <c r="CT442" s="128"/>
      <c r="CU442" s="128"/>
      <c r="CV442" s="128"/>
      <c r="CW442" s="128"/>
      <c r="CX442" s="128"/>
      <c r="CY442" s="128"/>
      <c r="CZ442" s="128"/>
    </row>
    <row r="443" spans="1:121">
      <c r="A443" s="128"/>
      <c r="B443" s="128"/>
      <c r="C443" s="128"/>
      <c r="D443" s="112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  <c r="AV443" s="128"/>
      <c r="AW443" s="128"/>
      <c r="AX443" s="128"/>
      <c r="AY443" s="128"/>
      <c r="AZ443" s="128"/>
      <c r="BA443" s="128"/>
      <c r="BB443" s="128"/>
      <c r="BC443" s="128"/>
      <c r="BD443" s="128"/>
      <c r="BE443" s="128"/>
      <c r="BF443" s="128"/>
      <c r="BG443" s="128"/>
      <c r="BH443" s="128"/>
      <c r="BI443" s="128"/>
      <c r="BJ443" s="128"/>
      <c r="BK443" s="128"/>
      <c r="BL443" s="128"/>
      <c r="BM443" s="151"/>
      <c r="BN443" s="128"/>
      <c r="BO443" s="128"/>
      <c r="BP443" s="128"/>
      <c r="BQ443" s="128"/>
      <c r="BR443" s="128"/>
      <c r="BS443" s="128"/>
      <c r="BT443" s="128"/>
      <c r="BU443" s="128"/>
      <c r="BV443" s="128"/>
      <c r="BW443" s="128"/>
      <c r="BX443" s="128"/>
      <c r="BY443" s="128"/>
      <c r="BZ443" s="128"/>
      <c r="CA443" s="128"/>
      <c r="CB443" s="128"/>
      <c r="CC443" s="128"/>
      <c r="CD443" s="128"/>
      <c r="CE443" s="128"/>
      <c r="CF443" s="128"/>
      <c r="CG443" s="128"/>
      <c r="CH443" s="128"/>
      <c r="CI443" s="128"/>
      <c r="CJ443" s="128"/>
      <c r="CK443" s="128"/>
      <c r="CL443" s="128"/>
      <c r="CM443" s="128"/>
      <c r="CN443" s="128"/>
      <c r="CO443" s="128"/>
      <c r="CP443" s="128"/>
      <c r="CQ443" s="128"/>
      <c r="CR443" s="128"/>
      <c r="CS443" s="128"/>
      <c r="CT443" s="128"/>
      <c r="CU443" s="128"/>
      <c r="CV443" s="128"/>
      <c r="CW443" s="128"/>
      <c r="CX443" s="128"/>
      <c r="CY443" s="128"/>
      <c r="CZ443" s="128"/>
    </row>
    <row r="444" spans="1:121">
      <c r="A444" s="128"/>
      <c r="B444" s="128"/>
      <c r="C444" s="128"/>
      <c r="D444" s="112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51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</row>
    <row r="445" spans="1:121">
      <c r="A445" s="128"/>
      <c r="B445" s="128"/>
      <c r="C445" s="128"/>
      <c r="D445" s="112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/>
      <c r="BI445" s="128"/>
      <c r="BJ445" s="128"/>
      <c r="BK445" s="128"/>
      <c r="BL445" s="128"/>
      <c r="BM445" s="151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8"/>
      <c r="CA445" s="128"/>
      <c r="CB445" s="128"/>
      <c r="CC445" s="128"/>
      <c r="CD445" s="128"/>
      <c r="CE445" s="128"/>
      <c r="CF445" s="128"/>
      <c r="CG445" s="128"/>
      <c r="CH445" s="128"/>
      <c r="CI445" s="128"/>
      <c r="CJ445" s="128"/>
      <c r="CK445" s="128"/>
      <c r="CL445" s="128"/>
      <c r="CM445" s="128"/>
      <c r="CN445" s="128"/>
      <c r="CO445" s="128"/>
      <c r="CP445" s="128"/>
      <c r="CQ445" s="128"/>
      <c r="CR445" s="128"/>
      <c r="CS445" s="128"/>
      <c r="CT445" s="128"/>
      <c r="CU445" s="128"/>
      <c r="CV445" s="128"/>
      <c r="CW445" s="128"/>
      <c r="CX445" s="128"/>
      <c r="CY445" s="128"/>
      <c r="CZ445" s="128"/>
    </row>
    <row r="446" spans="1:121">
      <c r="A446" s="128"/>
      <c r="B446" s="128"/>
      <c r="C446" s="128"/>
      <c r="D446" s="112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  <c r="AV446" s="128"/>
      <c r="AW446" s="128"/>
      <c r="AX446" s="128"/>
      <c r="AY446" s="128"/>
      <c r="AZ446" s="128"/>
      <c r="BA446" s="128"/>
      <c r="BB446" s="128"/>
      <c r="BC446" s="128"/>
      <c r="BD446" s="128"/>
      <c r="BE446" s="128"/>
      <c r="BF446" s="128"/>
      <c r="BG446" s="128"/>
      <c r="BH446" s="128"/>
      <c r="BI446" s="128"/>
      <c r="BJ446" s="128"/>
      <c r="BK446" s="128"/>
      <c r="BL446" s="128"/>
      <c r="BM446" s="151"/>
      <c r="BN446" s="128"/>
      <c r="BO446" s="128"/>
      <c r="BP446" s="128"/>
      <c r="BQ446" s="128"/>
      <c r="BR446" s="128"/>
      <c r="BS446" s="128"/>
      <c r="BT446" s="128"/>
      <c r="BU446" s="128"/>
      <c r="BV446" s="128"/>
      <c r="BW446" s="128"/>
      <c r="BX446" s="128"/>
      <c r="BY446" s="128"/>
      <c r="BZ446" s="128"/>
      <c r="CA446" s="128"/>
      <c r="CB446" s="128"/>
      <c r="CC446" s="128"/>
      <c r="CD446" s="128"/>
      <c r="CE446" s="128"/>
      <c r="CF446" s="128"/>
      <c r="CG446" s="128"/>
      <c r="CH446" s="128"/>
      <c r="CI446" s="128"/>
      <c r="CJ446" s="128"/>
      <c r="CK446" s="128"/>
      <c r="CL446" s="128"/>
      <c r="CM446" s="128"/>
      <c r="CN446" s="128"/>
      <c r="CO446" s="128"/>
      <c r="CP446" s="128"/>
      <c r="CQ446" s="128"/>
      <c r="CR446" s="128"/>
      <c r="CS446" s="128"/>
      <c r="CT446" s="128"/>
      <c r="CU446" s="128"/>
      <c r="CV446" s="128"/>
      <c r="CW446" s="128"/>
      <c r="CX446" s="128"/>
      <c r="CY446" s="128"/>
      <c r="CZ446" s="128"/>
    </row>
    <row r="447" spans="1:121">
      <c r="A447" s="128"/>
      <c r="B447" s="128"/>
      <c r="C447" s="128"/>
      <c r="D447" s="112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  <c r="AV447" s="128"/>
      <c r="AW447" s="128"/>
      <c r="AX447" s="128"/>
      <c r="AY447" s="128"/>
      <c r="AZ447" s="128"/>
      <c r="BA447" s="128"/>
      <c r="BB447" s="128"/>
      <c r="BC447" s="128"/>
      <c r="BD447" s="128"/>
      <c r="BE447" s="128"/>
      <c r="BF447" s="128"/>
      <c r="BG447" s="128"/>
      <c r="BH447" s="128"/>
      <c r="BI447" s="128"/>
      <c r="BJ447" s="128"/>
      <c r="BK447" s="128"/>
      <c r="BL447" s="128"/>
      <c r="BM447" s="151"/>
      <c r="BN447" s="128"/>
      <c r="BO447" s="128"/>
      <c r="BP447" s="128"/>
      <c r="BQ447" s="128"/>
      <c r="BR447" s="128"/>
      <c r="BS447" s="128"/>
      <c r="BT447" s="128"/>
      <c r="BU447" s="128"/>
      <c r="BV447" s="128"/>
      <c r="BW447" s="128"/>
      <c r="BX447" s="128"/>
      <c r="BY447" s="128"/>
      <c r="BZ447" s="128"/>
      <c r="CA447" s="128"/>
      <c r="CB447" s="128"/>
      <c r="CC447" s="128"/>
      <c r="CD447" s="128"/>
      <c r="CE447" s="128"/>
      <c r="CF447" s="128"/>
      <c r="CG447" s="128"/>
      <c r="CH447" s="128"/>
      <c r="CI447" s="128"/>
      <c r="CJ447" s="128"/>
      <c r="CK447" s="128"/>
      <c r="CL447" s="128"/>
      <c r="CM447" s="128"/>
      <c r="CN447" s="128"/>
      <c r="CO447" s="128"/>
      <c r="CP447" s="128"/>
      <c r="CQ447" s="128"/>
      <c r="CR447" s="128"/>
      <c r="CS447" s="128"/>
      <c r="CT447" s="128"/>
      <c r="CU447" s="128"/>
      <c r="CV447" s="128"/>
      <c r="CW447" s="128"/>
      <c r="CX447" s="128"/>
      <c r="CY447" s="128"/>
      <c r="CZ447" s="128"/>
    </row>
    <row r="448" spans="1:121">
      <c r="A448" s="128"/>
      <c r="B448" s="128"/>
      <c r="C448" s="128"/>
      <c r="D448" s="112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51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</row>
    <row r="449" spans="1:104">
      <c r="A449" s="128"/>
      <c r="B449" s="128"/>
      <c r="C449" s="128"/>
      <c r="D449" s="112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51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</row>
    <row r="450" spans="1:104">
      <c r="A450" s="128"/>
      <c r="B450" s="128"/>
      <c r="C450" s="128"/>
      <c r="D450" s="112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51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</row>
    <row r="451" spans="1:104">
      <c r="A451" s="128"/>
      <c r="B451" s="128"/>
      <c r="C451" s="128"/>
      <c r="D451" s="112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51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</row>
    <row r="452" spans="1:104">
      <c r="A452" s="128"/>
      <c r="B452" s="128"/>
      <c r="C452" s="128"/>
      <c r="D452" s="112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51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</row>
    <row r="453" spans="1:104">
      <c r="A453" s="128"/>
      <c r="B453" s="128"/>
      <c r="C453" s="128"/>
      <c r="D453" s="112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51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</row>
    <row r="454" spans="1:104">
      <c r="A454" s="128"/>
      <c r="B454" s="128"/>
      <c r="C454" s="128"/>
      <c r="D454" s="112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51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</row>
    <row r="455" spans="1:104">
      <c r="A455" s="128"/>
      <c r="B455" s="128"/>
      <c r="C455" s="128"/>
      <c r="D455" s="112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51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</row>
    <row r="456" spans="1:104">
      <c r="A456" s="128"/>
      <c r="B456" s="128"/>
      <c r="C456" s="128"/>
      <c r="D456" s="112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51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</row>
    <row r="457" spans="1:104">
      <c r="A457" s="128"/>
      <c r="B457" s="128"/>
      <c r="C457" s="128"/>
      <c r="D457" s="112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51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</row>
    <row r="458" spans="1:104">
      <c r="A458" s="128"/>
      <c r="B458" s="128"/>
      <c r="C458" s="128"/>
      <c r="D458" s="112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51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</row>
    <row r="459" spans="1:104">
      <c r="A459" s="128"/>
      <c r="B459" s="128"/>
      <c r="C459" s="128"/>
      <c r="D459" s="112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51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</row>
    <row r="460" spans="1:104">
      <c r="A460" s="128"/>
      <c r="B460" s="128"/>
      <c r="C460" s="128"/>
      <c r="D460" s="112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51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</row>
    <row r="461" spans="1:104">
      <c r="A461" s="128"/>
      <c r="B461" s="128"/>
      <c r="C461" s="128"/>
      <c r="D461" s="112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51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</row>
    <row r="462" spans="1:104">
      <c r="A462" s="128"/>
      <c r="B462" s="128"/>
      <c r="C462" s="128"/>
      <c r="D462" s="112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51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</row>
    <row r="463" spans="1:104">
      <c r="A463" s="128"/>
      <c r="B463" s="128"/>
      <c r="C463" s="128"/>
      <c r="D463" s="112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51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</row>
    <row r="464" spans="1:104">
      <c r="A464" s="128"/>
      <c r="B464" s="128"/>
      <c r="C464" s="128"/>
      <c r="D464" s="112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51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8"/>
      <c r="CA464" s="128"/>
      <c r="CB464" s="128"/>
      <c r="CC464" s="128"/>
      <c r="CD464" s="128"/>
      <c r="CE464" s="128"/>
      <c r="CF464" s="128"/>
      <c r="CG464" s="128"/>
      <c r="CH464" s="128"/>
      <c r="CI464" s="128"/>
      <c r="CJ464" s="128"/>
      <c r="CK464" s="128"/>
      <c r="CL464" s="128"/>
      <c r="CM464" s="128"/>
      <c r="CN464" s="128"/>
      <c r="CO464" s="128"/>
      <c r="CP464" s="128"/>
      <c r="CQ464" s="128"/>
      <c r="CR464" s="128"/>
      <c r="CS464" s="128"/>
      <c r="CT464" s="128"/>
      <c r="CU464" s="128"/>
      <c r="CV464" s="128"/>
      <c r="CW464" s="128"/>
      <c r="CX464" s="128"/>
      <c r="CY464" s="128"/>
      <c r="CZ464" s="128"/>
    </row>
    <row r="465" spans="1:104">
      <c r="A465" s="128"/>
      <c r="B465" s="128"/>
      <c r="C465" s="128"/>
      <c r="D465" s="112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51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8"/>
      <c r="CA465" s="128"/>
      <c r="CB465" s="128"/>
      <c r="CC465" s="128"/>
      <c r="CD465" s="128"/>
      <c r="CE465" s="128"/>
      <c r="CF465" s="128"/>
      <c r="CG465" s="128"/>
      <c r="CH465" s="128"/>
      <c r="CI465" s="128"/>
      <c r="CJ465" s="128"/>
      <c r="CK465" s="128"/>
      <c r="CL465" s="128"/>
      <c r="CM465" s="128"/>
      <c r="CN465" s="128"/>
      <c r="CO465" s="128"/>
      <c r="CP465" s="128"/>
      <c r="CQ465" s="128"/>
      <c r="CR465" s="128"/>
      <c r="CS465" s="128"/>
      <c r="CT465" s="128"/>
      <c r="CU465" s="128"/>
      <c r="CV465" s="128"/>
      <c r="CW465" s="128"/>
      <c r="CX465" s="128"/>
      <c r="CY465" s="128"/>
      <c r="CZ465" s="128"/>
    </row>
    <row r="466" spans="1:104">
      <c r="A466" s="128"/>
      <c r="B466" s="128"/>
      <c r="C466" s="128"/>
      <c r="D466" s="112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51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8"/>
      <c r="CA466" s="128"/>
      <c r="CB466" s="128"/>
      <c r="CC466" s="128"/>
      <c r="CD466" s="128"/>
      <c r="CE466" s="128"/>
      <c r="CF466" s="128"/>
      <c r="CG466" s="128"/>
      <c r="CH466" s="128"/>
      <c r="CI466" s="128"/>
      <c r="CJ466" s="128"/>
      <c r="CK466" s="128"/>
      <c r="CL466" s="128"/>
      <c r="CM466" s="128"/>
      <c r="CN466" s="128"/>
      <c r="CO466" s="128"/>
      <c r="CP466" s="128"/>
      <c r="CQ466" s="128"/>
      <c r="CR466" s="128"/>
      <c r="CS466" s="128"/>
      <c r="CT466" s="128"/>
      <c r="CU466" s="128"/>
      <c r="CV466" s="128"/>
      <c r="CW466" s="128"/>
      <c r="CX466" s="128"/>
      <c r="CY466" s="128"/>
      <c r="CZ466" s="128"/>
    </row>
    <row r="467" spans="1:104">
      <c r="A467" s="128"/>
      <c r="B467" s="128"/>
      <c r="C467" s="128"/>
      <c r="D467" s="112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51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8"/>
      <c r="CA467" s="128"/>
      <c r="CB467" s="128"/>
      <c r="CC467" s="128"/>
      <c r="CD467" s="128"/>
      <c r="CE467" s="128"/>
      <c r="CF467" s="128"/>
      <c r="CG467" s="128"/>
      <c r="CH467" s="128"/>
      <c r="CI467" s="128"/>
      <c r="CJ467" s="128"/>
      <c r="CK467" s="128"/>
      <c r="CL467" s="128"/>
      <c r="CM467" s="128"/>
      <c r="CN467" s="128"/>
      <c r="CO467" s="128"/>
      <c r="CP467" s="128"/>
      <c r="CQ467" s="128"/>
      <c r="CR467" s="128"/>
      <c r="CS467" s="128"/>
      <c r="CT467" s="128"/>
      <c r="CU467" s="128"/>
      <c r="CV467" s="128"/>
      <c r="CW467" s="128"/>
      <c r="CX467" s="128"/>
      <c r="CY467" s="128"/>
      <c r="CZ467" s="128"/>
    </row>
    <row r="468" spans="1:104">
      <c r="A468" s="128"/>
      <c r="B468" s="128"/>
      <c r="C468" s="128"/>
      <c r="D468" s="112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51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8"/>
      <c r="CA468" s="128"/>
      <c r="CB468" s="128"/>
      <c r="CC468" s="128"/>
      <c r="CD468" s="128"/>
      <c r="CE468" s="128"/>
      <c r="CF468" s="128"/>
      <c r="CG468" s="128"/>
      <c r="CH468" s="128"/>
      <c r="CI468" s="128"/>
      <c r="CJ468" s="128"/>
      <c r="CK468" s="128"/>
      <c r="CL468" s="128"/>
      <c r="CM468" s="128"/>
      <c r="CN468" s="128"/>
      <c r="CO468" s="128"/>
      <c r="CP468" s="128"/>
      <c r="CQ468" s="128"/>
      <c r="CR468" s="128"/>
      <c r="CS468" s="128"/>
      <c r="CT468" s="128"/>
      <c r="CU468" s="128"/>
      <c r="CV468" s="128"/>
      <c r="CW468" s="128"/>
      <c r="CX468" s="128"/>
      <c r="CY468" s="128"/>
      <c r="CZ468" s="128"/>
    </row>
    <row r="469" spans="1:104">
      <c r="A469" s="128"/>
      <c r="B469" s="128"/>
      <c r="C469" s="128"/>
      <c r="D469" s="112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51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8"/>
      <c r="CA469" s="128"/>
      <c r="CB469" s="128"/>
      <c r="CC469" s="128"/>
      <c r="CD469" s="128"/>
      <c r="CE469" s="128"/>
      <c r="CF469" s="128"/>
      <c r="CG469" s="128"/>
      <c r="CH469" s="128"/>
      <c r="CI469" s="128"/>
      <c r="CJ469" s="128"/>
      <c r="CK469" s="128"/>
      <c r="CL469" s="128"/>
      <c r="CM469" s="128"/>
      <c r="CN469" s="128"/>
      <c r="CO469" s="128"/>
      <c r="CP469" s="128"/>
      <c r="CQ469" s="128"/>
      <c r="CR469" s="128"/>
      <c r="CS469" s="128"/>
      <c r="CT469" s="128"/>
      <c r="CU469" s="128"/>
      <c r="CV469" s="128"/>
      <c r="CW469" s="128"/>
      <c r="CX469" s="128"/>
      <c r="CY469" s="128"/>
      <c r="CZ469" s="128"/>
    </row>
    <row r="470" spans="1:104">
      <c r="A470" s="128"/>
      <c r="B470" s="128"/>
      <c r="C470" s="128"/>
      <c r="D470" s="112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51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8"/>
      <c r="CA470" s="128"/>
      <c r="CB470" s="128"/>
      <c r="CC470" s="128"/>
      <c r="CD470" s="128"/>
      <c r="CE470" s="128"/>
      <c r="CF470" s="128"/>
      <c r="CG470" s="128"/>
      <c r="CH470" s="128"/>
      <c r="CI470" s="128"/>
      <c r="CJ470" s="128"/>
      <c r="CK470" s="128"/>
      <c r="CL470" s="128"/>
      <c r="CM470" s="128"/>
      <c r="CN470" s="128"/>
      <c r="CO470" s="128"/>
      <c r="CP470" s="128"/>
      <c r="CQ470" s="128"/>
      <c r="CR470" s="128"/>
      <c r="CS470" s="128"/>
      <c r="CT470" s="128"/>
      <c r="CU470" s="128"/>
      <c r="CV470" s="128"/>
      <c r="CW470" s="128"/>
      <c r="CX470" s="128"/>
      <c r="CY470" s="128"/>
      <c r="CZ470" s="128"/>
    </row>
    <row r="471" spans="1:104">
      <c r="A471" s="128"/>
      <c r="B471" s="128"/>
      <c r="C471" s="128"/>
      <c r="D471" s="112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51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8"/>
      <c r="BX471" s="128"/>
      <c r="BY471" s="128"/>
      <c r="BZ471" s="128"/>
      <c r="CA471" s="128"/>
      <c r="CB471" s="128"/>
      <c r="CC471" s="128"/>
      <c r="CD471" s="128"/>
      <c r="CE471" s="128"/>
      <c r="CF471" s="128"/>
      <c r="CG471" s="128"/>
      <c r="CH471" s="128"/>
      <c r="CI471" s="128"/>
      <c r="CJ471" s="128"/>
      <c r="CK471" s="128"/>
      <c r="CL471" s="128"/>
      <c r="CM471" s="128"/>
      <c r="CN471" s="128"/>
      <c r="CO471" s="128"/>
      <c r="CP471" s="128"/>
      <c r="CQ471" s="128"/>
      <c r="CR471" s="128"/>
      <c r="CS471" s="128"/>
      <c r="CT471" s="128"/>
      <c r="CU471" s="128"/>
      <c r="CV471" s="128"/>
      <c r="CW471" s="128"/>
      <c r="CX471" s="128"/>
      <c r="CY471" s="128"/>
      <c r="CZ471" s="128"/>
    </row>
    <row r="472" spans="1:104">
      <c r="A472" s="128"/>
      <c r="B472" s="128"/>
      <c r="C472" s="128"/>
      <c r="D472" s="112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51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8"/>
      <c r="CA472" s="128"/>
      <c r="CB472" s="128"/>
      <c r="CC472" s="128"/>
      <c r="CD472" s="128"/>
      <c r="CE472" s="128"/>
      <c r="CF472" s="128"/>
      <c r="CG472" s="128"/>
      <c r="CH472" s="128"/>
      <c r="CI472" s="128"/>
      <c r="CJ472" s="128"/>
      <c r="CK472" s="128"/>
      <c r="CL472" s="128"/>
      <c r="CM472" s="128"/>
      <c r="CN472" s="128"/>
      <c r="CO472" s="128"/>
      <c r="CP472" s="128"/>
      <c r="CQ472" s="128"/>
      <c r="CR472" s="128"/>
      <c r="CS472" s="128"/>
      <c r="CT472" s="128"/>
      <c r="CU472" s="128"/>
      <c r="CV472" s="128"/>
      <c r="CW472" s="128"/>
      <c r="CX472" s="128"/>
      <c r="CY472" s="128"/>
      <c r="CZ472" s="128"/>
    </row>
    <row r="473" spans="1:104">
      <c r="A473" s="128"/>
      <c r="B473" s="128"/>
      <c r="C473" s="128"/>
      <c r="D473" s="112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51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8"/>
      <c r="CA473" s="128"/>
      <c r="CB473" s="128"/>
      <c r="CC473" s="128"/>
      <c r="CD473" s="128"/>
      <c r="CE473" s="128"/>
      <c r="CF473" s="128"/>
      <c r="CG473" s="128"/>
      <c r="CH473" s="128"/>
      <c r="CI473" s="128"/>
      <c r="CJ473" s="128"/>
      <c r="CK473" s="128"/>
      <c r="CL473" s="128"/>
      <c r="CM473" s="128"/>
      <c r="CN473" s="128"/>
      <c r="CO473" s="128"/>
      <c r="CP473" s="128"/>
      <c r="CQ473" s="128"/>
      <c r="CR473" s="128"/>
      <c r="CS473" s="128"/>
      <c r="CT473" s="128"/>
      <c r="CU473" s="128"/>
      <c r="CV473" s="128"/>
      <c r="CW473" s="128"/>
      <c r="CX473" s="128"/>
      <c r="CY473" s="128"/>
      <c r="CZ473" s="128"/>
    </row>
    <row r="474" spans="1:104">
      <c r="A474" s="128"/>
      <c r="B474" s="128"/>
      <c r="C474" s="128"/>
      <c r="D474" s="112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  <c r="AV474" s="128"/>
      <c r="AW474" s="128"/>
      <c r="AX474" s="128"/>
      <c r="AY474" s="128"/>
      <c r="AZ474" s="128"/>
      <c r="BA474" s="128"/>
      <c r="BB474" s="128"/>
      <c r="BC474" s="128"/>
      <c r="BD474" s="128"/>
      <c r="BE474" s="128"/>
      <c r="BF474" s="128"/>
      <c r="BG474" s="128"/>
      <c r="BH474" s="128"/>
      <c r="BI474" s="128"/>
      <c r="BJ474" s="128"/>
      <c r="BK474" s="128"/>
      <c r="BL474" s="128"/>
      <c r="BM474" s="151"/>
      <c r="BN474" s="128"/>
      <c r="BO474" s="128"/>
      <c r="BP474" s="128"/>
      <c r="BQ474" s="128"/>
      <c r="BR474" s="128"/>
      <c r="BS474" s="128"/>
      <c r="BT474" s="128"/>
      <c r="BU474" s="128"/>
      <c r="BV474" s="128"/>
      <c r="BW474" s="128"/>
      <c r="BX474" s="128"/>
      <c r="BY474" s="128"/>
      <c r="BZ474" s="128"/>
      <c r="CA474" s="128"/>
      <c r="CB474" s="128"/>
      <c r="CC474" s="128"/>
      <c r="CD474" s="128"/>
      <c r="CE474" s="128"/>
      <c r="CF474" s="128"/>
      <c r="CG474" s="128"/>
      <c r="CH474" s="128"/>
      <c r="CI474" s="128"/>
      <c r="CJ474" s="128"/>
      <c r="CK474" s="128"/>
      <c r="CL474" s="128"/>
      <c r="CM474" s="128"/>
      <c r="CN474" s="128"/>
      <c r="CO474" s="128"/>
      <c r="CP474" s="128"/>
      <c r="CQ474" s="128"/>
      <c r="CR474" s="128"/>
      <c r="CS474" s="128"/>
      <c r="CT474" s="128"/>
      <c r="CU474" s="128"/>
      <c r="CV474" s="128"/>
      <c r="CW474" s="128"/>
      <c r="CX474" s="128"/>
      <c r="CY474" s="128"/>
      <c r="CZ474" s="128"/>
    </row>
    <row r="475" spans="1:104">
      <c r="A475" s="128"/>
      <c r="B475" s="128"/>
      <c r="C475" s="128"/>
      <c r="D475" s="112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51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8"/>
      <c r="CA475" s="128"/>
      <c r="CB475" s="128"/>
      <c r="CC475" s="128"/>
      <c r="CD475" s="128"/>
      <c r="CE475" s="128"/>
      <c r="CF475" s="128"/>
      <c r="CG475" s="128"/>
      <c r="CH475" s="128"/>
      <c r="CI475" s="128"/>
      <c r="CJ475" s="128"/>
      <c r="CK475" s="128"/>
      <c r="CL475" s="128"/>
      <c r="CM475" s="128"/>
      <c r="CN475" s="128"/>
      <c r="CO475" s="128"/>
      <c r="CP475" s="128"/>
      <c r="CQ475" s="128"/>
      <c r="CR475" s="128"/>
      <c r="CS475" s="128"/>
      <c r="CT475" s="128"/>
      <c r="CU475" s="128"/>
      <c r="CV475" s="128"/>
      <c r="CW475" s="128"/>
      <c r="CX475" s="128"/>
      <c r="CY475" s="128"/>
      <c r="CZ475" s="128"/>
    </row>
    <row r="476" spans="1:104">
      <c r="A476" s="128"/>
      <c r="B476" s="128"/>
      <c r="C476" s="128"/>
      <c r="D476" s="112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51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8"/>
      <c r="CA476" s="128"/>
      <c r="CB476" s="128"/>
      <c r="CC476" s="128"/>
      <c r="CD476" s="128"/>
      <c r="CE476" s="128"/>
      <c r="CF476" s="128"/>
      <c r="CG476" s="128"/>
      <c r="CH476" s="128"/>
      <c r="CI476" s="128"/>
      <c r="CJ476" s="128"/>
      <c r="CK476" s="128"/>
      <c r="CL476" s="128"/>
      <c r="CM476" s="128"/>
      <c r="CN476" s="128"/>
      <c r="CO476" s="128"/>
      <c r="CP476" s="128"/>
      <c r="CQ476" s="128"/>
      <c r="CR476" s="128"/>
      <c r="CS476" s="128"/>
      <c r="CT476" s="128"/>
      <c r="CU476" s="128"/>
      <c r="CV476" s="128"/>
      <c r="CW476" s="128"/>
      <c r="CX476" s="128"/>
      <c r="CY476" s="128"/>
      <c r="CZ476" s="128"/>
    </row>
    <row r="477" spans="1:104">
      <c r="A477" s="128"/>
      <c r="B477" s="128"/>
      <c r="C477" s="128"/>
      <c r="D477" s="112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51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8"/>
      <c r="CA477" s="128"/>
      <c r="CB477" s="128"/>
      <c r="CC477" s="128"/>
      <c r="CD477" s="128"/>
      <c r="CE477" s="128"/>
      <c r="CF477" s="128"/>
      <c r="CG477" s="128"/>
      <c r="CH477" s="128"/>
      <c r="CI477" s="128"/>
      <c r="CJ477" s="128"/>
      <c r="CK477" s="128"/>
      <c r="CL477" s="128"/>
      <c r="CM477" s="128"/>
      <c r="CN477" s="128"/>
      <c r="CO477" s="128"/>
      <c r="CP477" s="128"/>
      <c r="CQ477" s="128"/>
      <c r="CR477" s="128"/>
      <c r="CS477" s="128"/>
      <c r="CT477" s="128"/>
      <c r="CU477" s="128"/>
      <c r="CV477" s="128"/>
      <c r="CW477" s="128"/>
      <c r="CX477" s="128"/>
      <c r="CY477" s="128"/>
      <c r="CZ477" s="128"/>
    </row>
    <row r="478" spans="1:104">
      <c r="A478" s="128"/>
      <c r="B478" s="128"/>
      <c r="C478" s="128"/>
      <c r="D478" s="112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51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128"/>
      <c r="CO478" s="128"/>
      <c r="CP478" s="128"/>
      <c r="CQ478" s="128"/>
      <c r="CR478" s="128"/>
      <c r="CS478" s="128"/>
      <c r="CT478" s="128"/>
      <c r="CU478" s="128"/>
      <c r="CV478" s="128"/>
      <c r="CW478" s="128"/>
      <c r="CX478" s="128"/>
      <c r="CY478" s="128"/>
      <c r="CZ478" s="128"/>
    </row>
    <row r="479" spans="1:104">
      <c r="A479" s="128"/>
      <c r="B479" s="128"/>
      <c r="C479" s="128"/>
      <c r="D479" s="112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51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  <c r="CC479" s="128"/>
      <c r="CD479" s="128"/>
      <c r="CE479" s="128"/>
      <c r="CF479" s="128"/>
      <c r="CG479" s="128"/>
      <c r="CH479" s="128"/>
      <c r="CI479" s="128"/>
      <c r="CJ479" s="128"/>
      <c r="CK479" s="128"/>
      <c r="CL479" s="128"/>
      <c r="CM479" s="128"/>
      <c r="CN479" s="128"/>
      <c r="CO479" s="128"/>
      <c r="CP479" s="128"/>
      <c r="CQ479" s="128"/>
      <c r="CR479" s="128"/>
      <c r="CS479" s="128"/>
      <c r="CT479" s="128"/>
      <c r="CU479" s="128"/>
      <c r="CV479" s="128"/>
      <c r="CW479" s="128"/>
      <c r="CX479" s="128"/>
      <c r="CY479" s="128"/>
      <c r="CZ479" s="128"/>
    </row>
    <row r="480" spans="1:104">
      <c r="A480" s="128"/>
      <c r="B480" s="128"/>
      <c r="C480" s="128"/>
      <c r="D480" s="112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51"/>
      <c r="BN480" s="128"/>
      <c r="BO480" s="128"/>
      <c r="BP480" s="128"/>
      <c r="BQ480" s="128"/>
      <c r="BR480" s="128"/>
      <c r="BS480" s="128"/>
      <c r="BT480" s="128"/>
      <c r="BU480" s="128"/>
      <c r="BV480" s="128"/>
      <c r="BW480" s="128"/>
      <c r="BX480" s="128"/>
      <c r="BY480" s="128"/>
      <c r="BZ480" s="128"/>
      <c r="CA480" s="128"/>
      <c r="CB480" s="128"/>
      <c r="CC480" s="128"/>
      <c r="CD480" s="128"/>
      <c r="CE480" s="128"/>
      <c r="CF480" s="128"/>
      <c r="CG480" s="128"/>
      <c r="CH480" s="128"/>
      <c r="CI480" s="128"/>
      <c r="CJ480" s="128"/>
      <c r="CK480" s="128"/>
      <c r="CL480" s="128"/>
      <c r="CM480" s="128"/>
      <c r="CN480" s="128"/>
      <c r="CO480" s="128"/>
      <c r="CP480" s="128"/>
      <c r="CQ480" s="128"/>
      <c r="CR480" s="128"/>
      <c r="CS480" s="128"/>
      <c r="CT480" s="128"/>
      <c r="CU480" s="128"/>
      <c r="CV480" s="128"/>
      <c r="CW480" s="128"/>
      <c r="CX480" s="128"/>
      <c r="CY480" s="128"/>
      <c r="CZ480" s="128"/>
    </row>
    <row r="481" spans="1:104">
      <c r="A481" s="128"/>
      <c r="B481" s="128"/>
      <c r="C481" s="128"/>
      <c r="D481" s="112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51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8"/>
      <c r="CA481" s="128"/>
      <c r="CB481" s="128"/>
      <c r="CC481" s="128"/>
      <c r="CD481" s="128"/>
      <c r="CE481" s="128"/>
      <c r="CF481" s="128"/>
      <c r="CG481" s="128"/>
      <c r="CH481" s="128"/>
      <c r="CI481" s="128"/>
      <c r="CJ481" s="128"/>
      <c r="CK481" s="128"/>
      <c r="CL481" s="128"/>
      <c r="CM481" s="128"/>
      <c r="CN481" s="128"/>
      <c r="CO481" s="128"/>
      <c r="CP481" s="128"/>
      <c r="CQ481" s="128"/>
      <c r="CR481" s="128"/>
      <c r="CS481" s="128"/>
      <c r="CT481" s="128"/>
      <c r="CU481" s="128"/>
      <c r="CV481" s="128"/>
      <c r="CW481" s="128"/>
      <c r="CX481" s="128"/>
      <c r="CY481" s="128"/>
      <c r="CZ481" s="128"/>
    </row>
    <row r="482" spans="1:104">
      <c r="A482" s="128"/>
      <c r="B482" s="128"/>
      <c r="C482" s="128"/>
      <c r="D482" s="112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51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8"/>
      <c r="BX482" s="128"/>
      <c r="BY482" s="128"/>
      <c r="BZ482" s="128"/>
      <c r="CA482" s="128"/>
      <c r="CB482" s="128"/>
      <c r="CC482" s="128"/>
      <c r="CD482" s="128"/>
      <c r="CE482" s="128"/>
      <c r="CF482" s="128"/>
      <c r="CG482" s="128"/>
      <c r="CH482" s="128"/>
      <c r="CI482" s="128"/>
      <c r="CJ482" s="128"/>
      <c r="CK482" s="128"/>
      <c r="CL482" s="128"/>
      <c r="CM482" s="128"/>
      <c r="CN482" s="128"/>
      <c r="CO482" s="128"/>
      <c r="CP482" s="128"/>
      <c r="CQ482" s="128"/>
      <c r="CR482" s="128"/>
      <c r="CS482" s="128"/>
      <c r="CT482" s="128"/>
      <c r="CU482" s="128"/>
      <c r="CV482" s="128"/>
      <c r="CW482" s="128"/>
      <c r="CX482" s="128"/>
      <c r="CY482" s="128"/>
      <c r="CZ482" s="128"/>
    </row>
    <row r="483" spans="1:104">
      <c r="A483" s="128"/>
      <c r="B483" s="128"/>
      <c r="C483" s="128"/>
      <c r="D483" s="112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51"/>
      <c r="BN483" s="128"/>
      <c r="BO483" s="128"/>
      <c r="BP483" s="128"/>
      <c r="BQ483" s="128"/>
      <c r="BR483" s="128"/>
      <c r="BS483" s="128"/>
      <c r="BT483" s="128"/>
      <c r="BU483" s="128"/>
      <c r="BV483" s="128"/>
      <c r="BW483" s="128"/>
      <c r="BX483" s="128"/>
      <c r="BY483" s="128"/>
      <c r="BZ483" s="128"/>
      <c r="CA483" s="128"/>
      <c r="CB483" s="128"/>
      <c r="CC483" s="128"/>
      <c r="CD483" s="128"/>
      <c r="CE483" s="128"/>
      <c r="CF483" s="128"/>
      <c r="CG483" s="128"/>
      <c r="CH483" s="128"/>
      <c r="CI483" s="128"/>
      <c r="CJ483" s="128"/>
      <c r="CK483" s="128"/>
      <c r="CL483" s="128"/>
      <c r="CM483" s="128"/>
      <c r="CN483" s="128"/>
      <c r="CO483" s="128"/>
      <c r="CP483" s="128"/>
      <c r="CQ483" s="128"/>
      <c r="CR483" s="128"/>
      <c r="CS483" s="128"/>
      <c r="CT483" s="128"/>
      <c r="CU483" s="128"/>
      <c r="CV483" s="128"/>
      <c r="CW483" s="128"/>
      <c r="CX483" s="128"/>
      <c r="CY483" s="128"/>
      <c r="CZ483" s="128"/>
    </row>
    <row r="484" spans="1:104">
      <c r="A484" s="128"/>
      <c r="B484" s="128"/>
      <c r="C484" s="128"/>
      <c r="D484" s="112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/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51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8"/>
      <c r="BX484" s="128"/>
      <c r="BY484" s="128"/>
      <c r="BZ484" s="128"/>
      <c r="CA484" s="128"/>
      <c r="CB484" s="128"/>
      <c r="CC484" s="128"/>
      <c r="CD484" s="128"/>
      <c r="CE484" s="128"/>
      <c r="CF484" s="128"/>
      <c r="CG484" s="128"/>
      <c r="CH484" s="128"/>
      <c r="CI484" s="128"/>
      <c r="CJ484" s="128"/>
      <c r="CK484" s="128"/>
      <c r="CL484" s="128"/>
      <c r="CM484" s="128"/>
      <c r="CN484" s="128"/>
      <c r="CO484" s="128"/>
      <c r="CP484" s="128"/>
      <c r="CQ484" s="128"/>
      <c r="CR484" s="128"/>
      <c r="CS484" s="128"/>
      <c r="CT484" s="128"/>
      <c r="CU484" s="128"/>
      <c r="CV484" s="128"/>
      <c r="CW484" s="128"/>
      <c r="CX484" s="128"/>
      <c r="CY484" s="128"/>
      <c r="CZ484" s="128"/>
    </row>
    <row r="485" spans="1:104">
      <c r="A485" s="128"/>
      <c r="B485" s="128"/>
      <c r="C485" s="128"/>
      <c r="D485" s="112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51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8"/>
      <c r="CD485" s="128"/>
      <c r="CE485" s="128"/>
      <c r="CF485" s="128"/>
      <c r="CG485" s="128"/>
      <c r="CH485" s="128"/>
      <c r="CI485" s="128"/>
      <c r="CJ485" s="128"/>
      <c r="CK485" s="128"/>
      <c r="CL485" s="128"/>
      <c r="CM485" s="128"/>
      <c r="CN485" s="128"/>
      <c r="CO485" s="128"/>
      <c r="CP485" s="128"/>
      <c r="CQ485" s="128"/>
      <c r="CR485" s="128"/>
      <c r="CS485" s="128"/>
      <c r="CT485" s="128"/>
      <c r="CU485" s="128"/>
      <c r="CV485" s="128"/>
      <c r="CW485" s="128"/>
      <c r="CX485" s="128"/>
      <c r="CY485" s="128"/>
      <c r="CZ485" s="128"/>
    </row>
    <row r="486" spans="1:104">
      <c r="A486" s="128"/>
      <c r="B486" s="128"/>
      <c r="C486" s="128"/>
      <c r="D486" s="112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51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8"/>
      <c r="BX486" s="128"/>
      <c r="BY486" s="128"/>
      <c r="BZ486" s="128"/>
      <c r="CA486" s="128"/>
      <c r="CB486" s="128"/>
      <c r="CC486" s="128"/>
      <c r="CD486" s="128"/>
      <c r="CE486" s="128"/>
      <c r="CF486" s="128"/>
      <c r="CG486" s="128"/>
      <c r="CH486" s="128"/>
      <c r="CI486" s="128"/>
      <c r="CJ486" s="128"/>
      <c r="CK486" s="128"/>
      <c r="CL486" s="128"/>
      <c r="CM486" s="128"/>
      <c r="CN486" s="128"/>
      <c r="CO486" s="128"/>
      <c r="CP486" s="128"/>
      <c r="CQ486" s="128"/>
      <c r="CR486" s="128"/>
      <c r="CS486" s="128"/>
      <c r="CT486" s="128"/>
      <c r="CU486" s="128"/>
      <c r="CV486" s="128"/>
      <c r="CW486" s="128"/>
      <c r="CX486" s="128"/>
      <c r="CY486" s="128"/>
      <c r="CZ486" s="128"/>
    </row>
    <row r="487" spans="1:104">
      <c r="A487" s="128"/>
      <c r="B487" s="128"/>
      <c r="C487" s="128"/>
      <c r="D487" s="112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51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28"/>
      <c r="CD487" s="128"/>
      <c r="CE487" s="128"/>
      <c r="CF487" s="128"/>
      <c r="CG487" s="128"/>
      <c r="CH487" s="128"/>
      <c r="CI487" s="128"/>
      <c r="CJ487" s="128"/>
      <c r="CK487" s="128"/>
      <c r="CL487" s="128"/>
      <c r="CM487" s="128"/>
      <c r="CN487" s="128"/>
      <c r="CO487" s="128"/>
      <c r="CP487" s="128"/>
      <c r="CQ487" s="128"/>
      <c r="CR487" s="128"/>
      <c r="CS487" s="128"/>
      <c r="CT487" s="128"/>
      <c r="CU487" s="128"/>
      <c r="CV487" s="128"/>
      <c r="CW487" s="128"/>
      <c r="CX487" s="128"/>
      <c r="CY487" s="128"/>
      <c r="CZ487" s="128"/>
    </row>
    <row r="488" spans="1:104">
      <c r="A488" s="128"/>
      <c r="B488" s="128"/>
      <c r="C488" s="128"/>
      <c r="D488" s="112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51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8"/>
      <c r="CA488" s="128"/>
      <c r="CB488" s="128"/>
      <c r="CC488" s="128"/>
      <c r="CD488" s="128"/>
      <c r="CE488" s="128"/>
      <c r="CF488" s="128"/>
      <c r="CG488" s="128"/>
      <c r="CH488" s="128"/>
      <c r="CI488" s="128"/>
      <c r="CJ488" s="128"/>
      <c r="CK488" s="128"/>
      <c r="CL488" s="128"/>
      <c r="CM488" s="128"/>
      <c r="CN488" s="128"/>
      <c r="CO488" s="128"/>
      <c r="CP488" s="128"/>
      <c r="CQ488" s="128"/>
      <c r="CR488" s="128"/>
      <c r="CS488" s="128"/>
      <c r="CT488" s="128"/>
      <c r="CU488" s="128"/>
      <c r="CV488" s="128"/>
      <c r="CW488" s="128"/>
      <c r="CX488" s="128"/>
      <c r="CY488" s="128"/>
      <c r="CZ488" s="128"/>
    </row>
    <row r="489" spans="1:104">
      <c r="A489" s="128"/>
      <c r="B489" s="128"/>
      <c r="C489" s="128"/>
      <c r="D489" s="112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  <c r="AV489" s="128"/>
      <c r="AW489" s="128"/>
      <c r="AX489" s="128"/>
      <c r="AY489" s="128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51"/>
      <c r="BN489" s="128"/>
      <c r="BO489" s="128"/>
      <c r="BP489" s="128"/>
      <c r="BQ489" s="128"/>
      <c r="BR489" s="128"/>
      <c r="BS489" s="128"/>
      <c r="BT489" s="128"/>
      <c r="BU489" s="128"/>
      <c r="BV489" s="128"/>
      <c r="BW489" s="128"/>
      <c r="BX489" s="128"/>
      <c r="BY489" s="128"/>
      <c r="BZ489" s="128"/>
      <c r="CA489" s="128"/>
      <c r="CB489" s="128"/>
      <c r="CC489" s="128"/>
      <c r="CD489" s="128"/>
      <c r="CE489" s="128"/>
      <c r="CF489" s="128"/>
      <c r="CG489" s="128"/>
      <c r="CH489" s="128"/>
      <c r="CI489" s="128"/>
      <c r="CJ489" s="128"/>
      <c r="CK489" s="128"/>
      <c r="CL489" s="128"/>
      <c r="CM489" s="128"/>
      <c r="CN489" s="128"/>
      <c r="CO489" s="128"/>
      <c r="CP489" s="128"/>
      <c r="CQ489" s="128"/>
      <c r="CR489" s="128"/>
      <c r="CS489" s="128"/>
      <c r="CT489" s="128"/>
      <c r="CU489" s="128"/>
      <c r="CV489" s="128"/>
      <c r="CW489" s="128"/>
      <c r="CX489" s="128"/>
      <c r="CY489" s="128"/>
      <c r="CZ489" s="128"/>
    </row>
    <row r="490" spans="1:104">
      <c r="A490" s="128"/>
      <c r="B490" s="128"/>
      <c r="C490" s="128"/>
      <c r="D490" s="112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51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8"/>
      <c r="CA490" s="128"/>
      <c r="CB490" s="128"/>
      <c r="CC490" s="128"/>
      <c r="CD490" s="128"/>
      <c r="CE490" s="128"/>
      <c r="CF490" s="128"/>
      <c r="CG490" s="128"/>
      <c r="CH490" s="128"/>
      <c r="CI490" s="128"/>
      <c r="CJ490" s="128"/>
      <c r="CK490" s="128"/>
      <c r="CL490" s="128"/>
      <c r="CM490" s="128"/>
      <c r="CN490" s="128"/>
      <c r="CO490" s="128"/>
      <c r="CP490" s="128"/>
      <c r="CQ490" s="128"/>
      <c r="CR490" s="128"/>
      <c r="CS490" s="128"/>
      <c r="CT490" s="128"/>
      <c r="CU490" s="128"/>
      <c r="CV490" s="128"/>
      <c r="CW490" s="128"/>
      <c r="CX490" s="128"/>
      <c r="CY490" s="128"/>
      <c r="CZ490" s="128"/>
    </row>
    <row r="491" spans="1:104">
      <c r="A491" s="128"/>
      <c r="B491" s="128"/>
      <c r="C491" s="128"/>
      <c r="D491" s="112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51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</row>
    <row r="492" spans="1:104">
      <c r="A492" s="128"/>
      <c r="B492" s="128"/>
      <c r="C492" s="128"/>
      <c r="D492" s="112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51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</row>
    <row r="493" spans="1:104">
      <c r="A493" s="128"/>
      <c r="B493" s="128"/>
      <c r="C493" s="128"/>
      <c r="D493" s="112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51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8"/>
      <c r="CA493" s="128"/>
      <c r="CB493" s="128"/>
      <c r="CC493" s="128"/>
      <c r="CD493" s="128"/>
      <c r="CE493" s="128"/>
      <c r="CF493" s="128"/>
      <c r="CG493" s="128"/>
      <c r="CH493" s="128"/>
      <c r="CI493" s="128"/>
      <c r="CJ493" s="128"/>
      <c r="CK493" s="128"/>
      <c r="CL493" s="128"/>
      <c r="CM493" s="128"/>
      <c r="CN493" s="128"/>
      <c r="CO493" s="128"/>
      <c r="CP493" s="128"/>
      <c r="CQ493" s="128"/>
      <c r="CR493" s="128"/>
      <c r="CS493" s="128"/>
      <c r="CT493" s="128"/>
      <c r="CU493" s="128"/>
      <c r="CV493" s="128"/>
      <c r="CW493" s="128"/>
      <c r="CX493" s="128"/>
      <c r="CY493" s="128"/>
      <c r="CZ493" s="128"/>
    </row>
    <row r="494" spans="1:104">
      <c r="A494" s="128"/>
      <c r="B494" s="128"/>
      <c r="C494" s="128"/>
      <c r="D494" s="112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51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</row>
    <row r="495" spans="1:104">
      <c r="A495" s="128"/>
      <c r="B495" s="128"/>
      <c r="C495" s="128"/>
      <c r="D495" s="112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51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</row>
    <row r="496" spans="1:104">
      <c r="A496" s="128"/>
      <c r="B496" s="128"/>
      <c r="C496" s="128"/>
      <c r="D496" s="112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51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</row>
    <row r="497" spans="1:104">
      <c r="A497" s="128"/>
      <c r="B497" s="128"/>
      <c r="C497" s="128"/>
      <c r="D497" s="112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51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</row>
    <row r="498" spans="1:104">
      <c r="A498" s="128"/>
      <c r="B498" s="128"/>
      <c r="C498" s="128"/>
      <c r="D498" s="112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  <c r="AV498" s="128"/>
      <c r="AW498" s="128"/>
      <c r="AX498" s="128"/>
      <c r="AY498" s="128"/>
      <c r="AZ498" s="128"/>
      <c r="BA498" s="128"/>
      <c r="BB498" s="128"/>
      <c r="BC498" s="128"/>
      <c r="BD498" s="128"/>
      <c r="BE498" s="128"/>
      <c r="BF498" s="128"/>
      <c r="BG498" s="128"/>
      <c r="BH498" s="128"/>
      <c r="BI498" s="128"/>
      <c r="BJ498" s="128"/>
      <c r="BK498" s="128"/>
      <c r="BL498" s="128"/>
      <c r="BM498" s="151"/>
      <c r="BN498" s="128"/>
      <c r="BO498" s="128"/>
      <c r="BP498" s="128"/>
      <c r="BQ498" s="128"/>
      <c r="BR498" s="128"/>
      <c r="BS498" s="128"/>
      <c r="BT498" s="128"/>
      <c r="BU498" s="128"/>
      <c r="BV498" s="128"/>
      <c r="BW498" s="128"/>
      <c r="BX498" s="128"/>
      <c r="BY498" s="128"/>
      <c r="BZ498" s="128"/>
      <c r="CA498" s="128"/>
      <c r="CB498" s="128"/>
      <c r="CC498" s="128"/>
      <c r="CD498" s="128"/>
      <c r="CE498" s="128"/>
      <c r="CF498" s="128"/>
      <c r="CG498" s="128"/>
      <c r="CH498" s="128"/>
      <c r="CI498" s="128"/>
      <c r="CJ498" s="128"/>
      <c r="CK498" s="128"/>
      <c r="CL498" s="128"/>
      <c r="CM498" s="128"/>
      <c r="CN498" s="128"/>
      <c r="CO498" s="128"/>
      <c r="CP498" s="128"/>
      <c r="CQ498" s="128"/>
      <c r="CR498" s="128"/>
      <c r="CS498" s="128"/>
      <c r="CT498" s="128"/>
      <c r="CU498" s="128"/>
      <c r="CV498" s="128"/>
      <c r="CW498" s="128"/>
      <c r="CX498" s="128"/>
      <c r="CY498" s="128"/>
      <c r="CZ498" s="128"/>
    </row>
    <row r="499" spans="1:104">
      <c r="A499" s="128"/>
      <c r="B499" s="128"/>
      <c r="C499" s="128"/>
      <c r="D499" s="112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  <c r="AV499" s="128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51"/>
      <c r="BN499" s="128"/>
      <c r="BO499" s="128"/>
      <c r="BP499" s="128"/>
      <c r="BQ499" s="128"/>
      <c r="BR499" s="128"/>
      <c r="BS499" s="128"/>
      <c r="BT499" s="128"/>
      <c r="BU499" s="128"/>
      <c r="BV499" s="128"/>
      <c r="BW499" s="128"/>
      <c r="BX499" s="128"/>
      <c r="BY499" s="128"/>
      <c r="BZ499" s="128"/>
      <c r="CA499" s="128"/>
      <c r="CB499" s="128"/>
      <c r="CC499" s="128"/>
      <c r="CD499" s="128"/>
      <c r="CE499" s="128"/>
      <c r="CF499" s="128"/>
      <c r="CG499" s="128"/>
      <c r="CH499" s="128"/>
      <c r="CI499" s="128"/>
      <c r="CJ499" s="128"/>
      <c r="CK499" s="128"/>
      <c r="CL499" s="128"/>
      <c r="CM499" s="128"/>
      <c r="CN499" s="128"/>
      <c r="CO499" s="128"/>
      <c r="CP499" s="128"/>
      <c r="CQ499" s="128"/>
      <c r="CR499" s="128"/>
      <c r="CS499" s="128"/>
      <c r="CT499" s="128"/>
      <c r="CU499" s="128"/>
      <c r="CV499" s="128"/>
      <c r="CW499" s="128"/>
      <c r="CX499" s="128"/>
      <c r="CY499" s="128"/>
      <c r="CZ499" s="128"/>
    </row>
    <row r="500" spans="1:104">
      <c r="A500" s="128"/>
      <c r="B500" s="128"/>
      <c r="C500" s="128"/>
      <c r="D500" s="112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  <c r="AV500" s="128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51"/>
      <c r="BN500" s="128"/>
      <c r="BO500" s="128"/>
      <c r="BP500" s="128"/>
      <c r="BQ500" s="128"/>
      <c r="BR500" s="128"/>
      <c r="BS500" s="128"/>
      <c r="BT500" s="128"/>
      <c r="BU500" s="128"/>
      <c r="BV500" s="128"/>
      <c r="BW500" s="128"/>
      <c r="BX500" s="128"/>
      <c r="BY500" s="128"/>
      <c r="BZ500" s="128"/>
      <c r="CA500" s="128"/>
      <c r="CB500" s="128"/>
      <c r="CC500" s="128"/>
      <c r="CD500" s="128"/>
      <c r="CE500" s="128"/>
      <c r="CF500" s="128"/>
      <c r="CG500" s="128"/>
      <c r="CH500" s="128"/>
      <c r="CI500" s="128"/>
      <c r="CJ500" s="128"/>
      <c r="CK500" s="128"/>
      <c r="CL500" s="128"/>
      <c r="CM500" s="128"/>
      <c r="CN500" s="128"/>
      <c r="CO500" s="128"/>
      <c r="CP500" s="128"/>
      <c r="CQ500" s="128"/>
      <c r="CR500" s="128"/>
      <c r="CS500" s="128"/>
      <c r="CT500" s="128"/>
      <c r="CU500" s="128"/>
      <c r="CV500" s="128"/>
      <c r="CW500" s="128"/>
      <c r="CX500" s="128"/>
      <c r="CY500" s="128"/>
      <c r="CZ500" s="128"/>
    </row>
    <row r="501" spans="1:104">
      <c r="A501" s="128"/>
      <c r="B501" s="128"/>
      <c r="C501" s="128"/>
      <c r="D501" s="112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51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</row>
    <row r="502" spans="1:104">
      <c r="A502" s="128"/>
      <c r="B502" s="128"/>
      <c r="C502" s="128"/>
      <c r="D502" s="112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51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</row>
    <row r="503" spans="1:104">
      <c r="A503" s="128"/>
      <c r="B503" s="128"/>
      <c r="C503" s="128"/>
      <c r="D503" s="112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51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</row>
    <row r="504" spans="1:104">
      <c r="A504" s="128"/>
      <c r="B504" s="128"/>
      <c r="C504" s="128"/>
      <c r="D504" s="112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51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8"/>
      <c r="BX504" s="128"/>
      <c r="BY504" s="128"/>
      <c r="BZ504" s="128"/>
      <c r="CA504" s="128"/>
      <c r="CB504" s="128"/>
      <c r="CC504" s="128"/>
      <c r="CD504" s="128"/>
      <c r="CE504" s="128"/>
      <c r="CF504" s="128"/>
      <c r="CG504" s="128"/>
      <c r="CH504" s="128"/>
      <c r="CI504" s="128"/>
      <c r="CJ504" s="128"/>
      <c r="CK504" s="128"/>
      <c r="CL504" s="128"/>
      <c r="CM504" s="128"/>
      <c r="CN504" s="128"/>
      <c r="CO504" s="128"/>
      <c r="CP504" s="128"/>
      <c r="CQ504" s="128"/>
      <c r="CR504" s="128"/>
      <c r="CS504" s="128"/>
      <c r="CT504" s="128"/>
      <c r="CU504" s="128"/>
      <c r="CV504" s="128"/>
      <c r="CW504" s="128"/>
      <c r="CX504" s="128"/>
      <c r="CY504" s="128"/>
      <c r="CZ504" s="128"/>
    </row>
    <row r="505" spans="1:104">
      <c r="A505" s="128"/>
      <c r="B505" s="128"/>
      <c r="C505" s="128"/>
      <c r="D505" s="112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51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</row>
    <row r="506" spans="1:104">
      <c r="A506" s="128"/>
      <c r="B506" s="128"/>
      <c r="C506" s="128"/>
      <c r="D506" s="112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51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</row>
    <row r="507" spans="1:104">
      <c r="A507" s="128"/>
      <c r="B507" s="128"/>
      <c r="C507" s="128"/>
      <c r="D507" s="112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51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8"/>
      <c r="BX507" s="128"/>
      <c r="BY507" s="128"/>
      <c r="BZ507" s="128"/>
      <c r="CA507" s="128"/>
      <c r="CB507" s="128"/>
      <c r="CC507" s="128"/>
      <c r="CD507" s="128"/>
      <c r="CE507" s="128"/>
      <c r="CF507" s="128"/>
      <c r="CG507" s="128"/>
      <c r="CH507" s="128"/>
      <c r="CI507" s="128"/>
      <c r="CJ507" s="128"/>
      <c r="CK507" s="128"/>
      <c r="CL507" s="128"/>
      <c r="CM507" s="128"/>
      <c r="CN507" s="128"/>
      <c r="CO507" s="128"/>
      <c r="CP507" s="128"/>
      <c r="CQ507" s="128"/>
      <c r="CR507" s="128"/>
      <c r="CS507" s="128"/>
      <c r="CT507" s="128"/>
      <c r="CU507" s="128"/>
      <c r="CV507" s="128"/>
      <c r="CW507" s="128"/>
      <c r="CX507" s="128"/>
      <c r="CY507" s="128"/>
      <c r="CZ507" s="128"/>
    </row>
    <row r="508" spans="1:104">
      <c r="A508" s="128"/>
      <c r="B508" s="128"/>
      <c r="C508" s="128"/>
      <c r="D508" s="112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51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</row>
    <row r="509" spans="1:104">
      <c r="A509" s="128"/>
      <c r="B509" s="128"/>
      <c r="C509" s="128"/>
      <c r="D509" s="112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51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</row>
    <row r="510" spans="1:104">
      <c r="A510" s="128"/>
      <c r="B510" s="128"/>
      <c r="C510" s="128"/>
      <c r="D510" s="112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51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</row>
    <row r="511" spans="1:104">
      <c r="A511" s="128"/>
      <c r="B511" s="128"/>
      <c r="C511" s="128"/>
      <c r="D511" s="112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51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</row>
    <row r="512" spans="1:104">
      <c r="A512" s="128"/>
      <c r="B512" s="128"/>
      <c r="C512" s="128"/>
      <c r="D512" s="112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51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8"/>
      <c r="CA512" s="128"/>
      <c r="CB512" s="128"/>
      <c r="CC512" s="128"/>
      <c r="CD512" s="128"/>
      <c r="CE512" s="128"/>
      <c r="CF512" s="128"/>
      <c r="CG512" s="128"/>
      <c r="CH512" s="128"/>
      <c r="CI512" s="128"/>
      <c r="CJ512" s="128"/>
      <c r="CK512" s="128"/>
      <c r="CL512" s="128"/>
      <c r="CM512" s="128"/>
      <c r="CN512" s="128"/>
      <c r="CO512" s="128"/>
      <c r="CP512" s="128"/>
      <c r="CQ512" s="128"/>
      <c r="CR512" s="128"/>
      <c r="CS512" s="128"/>
      <c r="CT512" s="128"/>
      <c r="CU512" s="128"/>
      <c r="CV512" s="128"/>
      <c r="CW512" s="128"/>
      <c r="CX512" s="128"/>
      <c r="CY512" s="128"/>
      <c r="CZ512" s="128"/>
    </row>
    <row r="513" spans="1:104">
      <c r="A513" s="128"/>
      <c r="B513" s="128"/>
      <c r="C513" s="128"/>
      <c r="D513" s="112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51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</row>
    <row r="514" spans="1:104">
      <c r="A514" s="128"/>
      <c r="B514" s="128"/>
      <c r="C514" s="128"/>
      <c r="D514" s="112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51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</row>
    <row r="515" spans="1:104">
      <c r="A515" s="128"/>
      <c r="B515" s="128"/>
      <c r="C515" s="128"/>
      <c r="D515" s="112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51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</row>
    <row r="516" spans="1:104">
      <c r="A516" s="128"/>
      <c r="B516" s="128"/>
      <c r="C516" s="128"/>
      <c r="D516" s="112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51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</row>
    <row r="517" spans="1:104">
      <c r="A517" s="128"/>
      <c r="B517" s="128"/>
      <c r="C517" s="128"/>
      <c r="D517" s="112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51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</row>
    <row r="518" spans="1:104">
      <c r="A518" s="128"/>
      <c r="B518" s="128"/>
      <c r="C518" s="128"/>
      <c r="D518" s="112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51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</row>
    <row r="519" spans="1:104">
      <c r="A519" s="128"/>
      <c r="B519" s="128"/>
      <c r="C519" s="128"/>
      <c r="D519" s="112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51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</row>
    <row r="520" spans="1:104">
      <c r="A520" s="128"/>
      <c r="B520" s="128"/>
      <c r="C520" s="128"/>
      <c r="D520" s="112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51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</row>
    <row r="521" spans="1:104">
      <c r="A521" s="128"/>
      <c r="B521" s="128"/>
      <c r="C521" s="128"/>
      <c r="D521" s="112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  <c r="AV521" s="128"/>
      <c r="AW521" s="128"/>
      <c r="AX521" s="128"/>
      <c r="AY521" s="128"/>
      <c r="AZ521" s="128"/>
      <c r="BA521" s="128"/>
      <c r="BB521" s="128"/>
      <c r="BC521" s="128"/>
      <c r="BD521" s="128"/>
      <c r="BE521" s="128"/>
      <c r="BF521" s="128"/>
      <c r="BG521" s="128"/>
      <c r="BH521" s="128"/>
      <c r="BI521" s="128"/>
      <c r="BJ521" s="128"/>
      <c r="BK521" s="128"/>
      <c r="BL521" s="128"/>
      <c r="BM521" s="151"/>
      <c r="BN521" s="128"/>
      <c r="BO521" s="128"/>
      <c r="BP521" s="128"/>
      <c r="BQ521" s="128"/>
      <c r="BR521" s="128"/>
      <c r="BS521" s="128"/>
      <c r="BT521" s="128"/>
      <c r="BU521" s="128"/>
      <c r="BV521" s="128"/>
      <c r="BW521" s="128"/>
      <c r="BX521" s="128"/>
      <c r="BY521" s="128"/>
      <c r="BZ521" s="128"/>
      <c r="CA521" s="128"/>
      <c r="CB521" s="128"/>
      <c r="CC521" s="128"/>
      <c r="CD521" s="128"/>
      <c r="CE521" s="128"/>
      <c r="CF521" s="128"/>
      <c r="CG521" s="128"/>
      <c r="CH521" s="128"/>
      <c r="CI521" s="128"/>
      <c r="CJ521" s="128"/>
      <c r="CK521" s="128"/>
      <c r="CL521" s="128"/>
      <c r="CM521" s="128"/>
      <c r="CN521" s="128"/>
      <c r="CO521" s="128"/>
      <c r="CP521" s="128"/>
      <c r="CQ521" s="128"/>
      <c r="CR521" s="128"/>
      <c r="CS521" s="128"/>
      <c r="CT521" s="128"/>
      <c r="CU521" s="128"/>
      <c r="CV521" s="128"/>
      <c r="CW521" s="128"/>
      <c r="CX521" s="128"/>
      <c r="CY521" s="128"/>
      <c r="CZ521" s="128"/>
    </row>
    <row r="522" spans="1:104">
      <c r="A522" s="128"/>
      <c r="B522" s="128"/>
      <c r="C522" s="128"/>
      <c r="D522" s="112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  <c r="AV522" s="128"/>
      <c r="AW522" s="128"/>
      <c r="AX522" s="128"/>
      <c r="AY522" s="128"/>
      <c r="AZ522" s="128"/>
      <c r="BA522" s="128"/>
      <c r="BB522" s="128"/>
      <c r="BC522" s="128"/>
      <c r="BD522" s="128"/>
      <c r="BE522" s="128"/>
      <c r="BF522" s="128"/>
      <c r="BG522" s="128"/>
      <c r="BH522" s="128"/>
      <c r="BI522" s="128"/>
      <c r="BJ522" s="128"/>
      <c r="BK522" s="128"/>
      <c r="BL522" s="128"/>
      <c r="BM522" s="151"/>
      <c r="BN522" s="128"/>
      <c r="BO522" s="128"/>
      <c r="BP522" s="128"/>
      <c r="BQ522" s="128"/>
      <c r="BR522" s="128"/>
      <c r="BS522" s="128"/>
      <c r="BT522" s="128"/>
      <c r="BU522" s="128"/>
      <c r="BV522" s="128"/>
      <c r="BW522" s="128"/>
      <c r="BX522" s="128"/>
      <c r="BY522" s="128"/>
      <c r="BZ522" s="128"/>
      <c r="CA522" s="128"/>
      <c r="CB522" s="128"/>
      <c r="CC522" s="128"/>
      <c r="CD522" s="128"/>
      <c r="CE522" s="128"/>
      <c r="CF522" s="128"/>
      <c r="CG522" s="128"/>
      <c r="CH522" s="128"/>
      <c r="CI522" s="128"/>
      <c r="CJ522" s="128"/>
      <c r="CK522" s="128"/>
      <c r="CL522" s="128"/>
      <c r="CM522" s="128"/>
      <c r="CN522" s="128"/>
      <c r="CO522" s="128"/>
      <c r="CP522" s="128"/>
      <c r="CQ522" s="128"/>
      <c r="CR522" s="128"/>
      <c r="CS522" s="128"/>
      <c r="CT522" s="128"/>
      <c r="CU522" s="128"/>
      <c r="CV522" s="128"/>
      <c r="CW522" s="128"/>
      <c r="CX522" s="128"/>
      <c r="CY522" s="128"/>
      <c r="CZ522" s="128"/>
    </row>
    <row r="523" spans="1:104">
      <c r="A523" s="128"/>
      <c r="B523" s="128"/>
      <c r="C523" s="128"/>
      <c r="D523" s="112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  <c r="AV523" s="128"/>
      <c r="AW523" s="128"/>
      <c r="AX523" s="128"/>
      <c r="AY523" s="128"/>
      <c r="AZ523" s="128"/>
      <c r="BA523" s="128"/>
      <c r="BB523" s="128"/>
      <c r="BC523" s="128"/>
      <c r="BD523" s="128"/>
      <c r="BE523" s="128"/>
      <c r="BF523" s="128"/>
      <c r="BG523" s="128"/>
      <c r="BH523" s="128"/>
      <c r="BI523" s="128"/>
      <c r="BJ523" s="128"/>
      <c r="BK523" s="128"/>
      <c r="BL523" s="128"/>
      <c r="BM523" s="151"/>
      <c r="BN523" s="128"/>
      <c r="BO523" s="128"/>
      <c r="BP523" s="128"/>
      <c r="BQ523" s="128"/>
      <c r="BR523" s="128"/>
      <c r="BS523" s="128"/>
      <c r="BT523" s="128"/>
      <c r="BU523" s="128"/>
      <c r="BV523" s="128"/>
      <c r="BW523" s="128"/>
      <c r="BX523" s="128"/>
      <c r="BY523" s="128"/>
      <c r="BZ523" s="128"/>
      <c r="CA523" s="128"/>
      <c r="CB523" s="128"/>
      <c r="CC523" s="128"/>
      <c r="CD523" s="128"/>
      <c r="CE523" s="128"/>
      <c r="CF523" s="128"/>
      <c r="CG523" s="128"/>
      <c r="CH523" s="128"/>
      <c r="CI523" s="128"/>
      <c r="CJ523" s="128"/>
      <c r="CK523" s="128"/>
      <c r="CL523" s="128"/>
      <c r="CM523" s="128"/>
      <c r="CN523" s="128"/>
      <c r="CO523" s="128"/>
      <c r="CP523" s="128"/>
      <c r="CQ523" s="128"/>
      <c r="CR523" s="128"/>
      <c r="CS523" s="128"/>
      <c r="CT523" s="128"/>
      <c r="CU523" s="128"/>
      <c r="CV523" s="128"/>
      <c r="CW523" s="128"/>
      <c r="CX523" s="128"/>
      <c r="CY523" s="128"/>
      <c r="CZ523" s="128"/>
    </row>
    <row r="524" spans="1:104">
      <c r="A524" s="128"/>
      <c r="B524" s="128"/>
      <c r="C524" s="128"/>
      <c r="D524" s="112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  <c r="AV524" s="128"/>
      <c r="AW524" s="128"/>
      <c r="AX524" s="128"/>
      <c r="AY524" s="128"/>
      <c r="AZ524" s="128"/>
      <c r="BA524" s="128"/>
      <c r="BB524" s="128"/>
      <c r="BC524" s="128"/>
      <c r="BD524" s="128"/>
      <c r="BE524" s="128"/>
      <c r="BF524" s="128"/>
      <c r="BG524" s="128"/>
      <c r="BH524" s="128"/>
      <c r="BI524" s="128"/>
      <c r="BJ524" s="128"/>
      <c r="BK524" s="128"/>
      <c r="BL524" s="128"/>
      <c r="BM524" s="151"/>
      <c r="BN524" s="128"/>
      <c r="BO524" s="128"/>
      <c r="BP524" s="128"/>
      <c r="BQ524" s="128"/>
      <c r="BR524" s="128"/>
      <c r="BS524" s="128"/>
      <c r="BT524" s="128"/>
      <c r="BU524" s="128"/>
      <c r="BV524" s="128"/>
      <c r="BW524" s="128"/>
      <c r="BX524" s="128"/>
      <c r="BY524" s="128"/>
      <c r="BZ524" s="128"/>
      <c r="CA524" s="128"/>
      <c r="CB524" s="128"/>
      <c r="CC524" s="128"/>
      <c r="CD524" s="128"/>
      <c r="CE524" s="128"/>
      <c r="CF524" s="128"/>
      <c r="CG524" s="128"/>
      <c r="CH524" s="128"/>
      <c r="CI524" s="128"/>
      <c r="CJ524" s="128"/>
      <c r="CK524" s="128"/>
      <c r="CL524" s="128"/>
      <c r="CM524" s="128"/>
      <c r="CN524" s="128"/>
      <c r="CO524" s="128"/>
      <c r="CP524" s="128"/>
      <c r="CQ524" s="128"/>
      <c r="CR524" s="128"/>
      <c r="CS524" s="128"/>
      <c r="CT524" s="128"/>
      <c r="CU524" s="128"/>
      <c r="CV524" s="128"/>
      <c r="CW524" s="128"/>
      <c r="CX524" s="128"/>
      <c r="CY524" s="128"/>
      <c r="CZ524" s="128"/>
    </row>
    <row r="525" spans="1:104">
      <c r="A525" s="128"/>
      <c r="B525" s="128"/>
      <c r="C525" s="128"/>
      <c r="D525" s="112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  <c r="AV525" s="128"/>
      <c r="AW525" s="128"/>
      <c r="AX525" s="128"/>
      <c r="AY525" s="128"/>
      <c r="AZ525" s="128"/>
      <c r="BA525" s="128"/>
      <c r="BB525" s="128"/>
      <c r="BC525" s="128"/>
      <c r="BD525" s="128"/>
      <c r="BE525" s="128"/>
      <c r="BF525" s="128"/>
      <c r="BG525" s="128"/>
      <c r="BH525" s="128"/>
      <c r="BI525" s="128"/>
      <c r="BJ525" s="128"/>
      <c r="BK525" s="128"/>
      <c r="BL525" s="128"/>
      <c r="BM525" s="151"/>
      <c r="BN525" s="128"/>
      <c r="BO525" s="128"/>
      <c r="BP525" s="128"/>
      <c r="BQ525" s="128"/>
      <c r="BR525" s="128"/>
      <c r="BS525" s="128"/>
      <c r="BT525" s="128"/>
      <c r="BU525" s="128"/>
      <c r="BV525" s="128"/>
      <c r="BW525" s="128"/>
      <c r="BX525" s="128"/>
      <c r="BY525" s="128"/>
      <c r="BZ525" s="128"/>
      <c r="CA525" s="128"/>
      <c r="CB525" s="128"/>
      <c r="CC525" s="128"/>
      <c r="CD525" s="128"/>
      <c r="CE525" s="128"/>
      <c r="CF525" s="128"/>
      <c r="CG525" s="128"/>
      <c r="CH525" s="128"/>
      <c r="CI525" s="128"/>
      <c r="CJ525" s="128"/>
      <c r="CK525" s="128"/>
      <c r="CL525" s="128"/>
      <c r="CM525" s="128"/>
      <c r="CN525" s="128"/>
      <c r="CO525" s="128"/>
      <c r="CP525" s="128"/>
      <c r="CQ525" s="128"/>
      <c r="CR525" s="128"/>
      <c r="CS525" s="128"/>
      <c r="CT525" s="128"/>
      <c r="CU525" s="128"/>
      <c r="CV525" s="128"/>
      <c r="CW525" s="128"/>
      <c r="CX525" s="128"/>
      <c r="CY525" s="128"/>
      <c r="CZ525" s="128"/>
    </row>
    <row r="526" spans="1:104">
      <c r="A526" s="128"/>
      <c r="B526" s="128"/>
      <c r="C526" s="128"/>
      <c r="D526" s="112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  <c r="AV526" s="128"/>
      <c r="AW526" s="128"/>
      <c r="AX526" s="128"/>
      <c r="AY526" s="128"/>
      <c r="AZ526" s="128"/>
      <c r="BA526" s="128"/>
      <c r="BB526" s="128"/>
      <c r="BC526" s="128"/>
      <c r="BD526" s="128"/>
      <c r="BE526" s="128"/>
      <c r="BF526" s="128"/>
      <c r="BG526" s="128"/>
      <c r="BH526" s="128"/>
      <c r="BI526" s="128"/>
      <c r="BJ526" s="128"/>
      <c r="BK526" s="128"/>
      <c r="BL526" s="128"/>
      <c r="BM526" s="151"/>
      <c r="BN526" s="128"/>
      <c r="BO526" s="128"/>
      <c r="BP526" s="128"/>
      <c r="BQ526" s="128"/>
      <c r="BR526" s="128"/>
      <c r="BS526" s="128"/>
      <c r="BT526" s="128"/>
      <c r="BU526" s="128"/>
      <c r="BV526" s="128"/>
      <c r="BW526" s="128"/>
      <c r="BX526" s="128"/>
      <c r="BY526" s="128"/>
      <c r="BZ526" s="128"/>
      <c r="CA526" s="128"/>
      <c r="CB526" s="128"/>
      <c r="CC526" s="128"/>
      <c r="CD526" s="128"/>
      <c r="CE526" s="128"/>
      <c r="CF526" s="128"/>
      <c r="CG526" s="128"/>
      <c r="CH526" s="128"/>
      <c r="CI526" s="128"/>
      <c r="CJ526" s="128"/>
      <c r="CK526" s="128"/>
      <c r="CL526" s="128"/>
      <c r="CM526" s="128"/>
      <c r="CN526" s="128"/>
      <c r="CO526" s="128"/>
      <c r="CP526" s="128"/>
      <c r="CQ526" s="128"/>
      <c r="CR526" s="128"/>
      <c r="CS526" s="128"/>
      <c r="CT526" s="128"/>
      <c r="CU526" s="128"/>
      <c r="CV526" s="128"/>
      <c r="CW526" s="128"/>
      <c r="CX526" s="128"/>
      <c r="CY526" s="128"/>
      <c r="CZ526" s="128"/>
    </row>
    <row r="527" spans="1:104">
      <c r="A527" s="128"/>
      <c r="B527" s="128"/>
      <c r="C527" s="128"/>
      <c r="D527" s="112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51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8"/>
      <c r="CA527" s="128"/>
      <c r="CB527" s="128"/>
      <c r="CC527" s="128"/>
      <c r="CD527" s="128"/>
      <c r="CE527" s="128"/>
      <c r="CF527" s="128"/>
      <c r="CG527" s="128"/>
      <c r="CH527" s="128"/>
      <c r="CI527" s="128"/>
      <c r="CJ527" s="128"/>
      <c r="CK527" s="128"/>
      <c r="CL527" s="128"/>
      <c r="CM527" s="128"/>
      <c r="CN527" s="128"/>
      <c r="CO527" s="128"/>
      <c r="CP527" s="128"/>
      <c r="CQ527" s="128"/>
      <c r="CR527" s="128"/>
      <c r="CS527" s="128"/>
      <c r="CT527" s="128"/>
      <c r="CU527" s="128"/>
      <c r="CV527" s="128"/>
      <c r="CW527" s="128"/>
      <c r="CX527" s="128"/>
      <c r="CY527" s="128"/>
      <c r="CZ527" s="128"/>
    </row>
    <row r="528" spans="1:104">
      <c r="A528" s="128"/>
      <c r="B528" s="128"/>
      <c r="C528" s="128"/>
      <c r="D528" s="112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51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8"/>
      <c r="CA528" s="128"/>
      <c r="CB528" s="128"/>
      <c r="CC528" s="128"/>
      <c r="CD528" s="128"/>
      <c r="CE528" s="128"/>
      <c r="CF528" s="128"/>
      <c r="CG528" s="128"/>
      <c r="CH528" s="128"/>
      <c r="CI528" s="128"/>
      <c r="CJ528" s="128"/>
      <c r="CK528" s="128"/>
      <c r="CL528" s="128"/>
      <c r="CM528" s="128"/>
      <c r="CN528" s="128"/>
      <c r="CO528" s="128"/>
      <c r="CP528" s="128"/>
      <c r="CQ528" s="128"/>
      <c r="CR528" s="128"/>
      <c r="CS528" s="128"/>
      <c r="CT528" s="128"/>
      <c r="CU528" s="128"/>
      <c r="CV528" s="128"/>
      <c r="CW528" s="128"/>
      <c r="CX528" s="128"/>
      <c r="CY528" s="128"/>
      <c r="CZ528" s="128"/>
    </row>
    <row r="529" spans="1:104">
      <c r="A529" s="128"/>
      <c r="B529" s="128"/>
      <c r="C529" s="128"/>
      <c r="D529" s="112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/>
      <c r="BJ529" s="128"/>
      <c r="BK529" s="128"/>
      <c r="BL529" s="128"/>
      <c r="BM529" s="151"/>
      <c r="BN529" s="128"/>
      <c r="BO529" s="128"/>
      <c r="BP529" s="128"/>
      <c r="BQ529" s="128"/>
      <c r="BR529" s="128"/>
      <c r="BS529" s="128"/>
      <c r="BT529" s="128"/>
      <c r="BU529" s="128"/>
      <c r="BV529" s="128"/>
      <c r="BW529" s="128"/>
      <c r="BX529" s="128"/>
      <c r="BY529" s="128"/>
      <c r="BZ529" s="128"/>
      <c r="CA529" s="128"/>
      <c r="CB529" s="128"/>
      <c r="CC529" s="128"/>
      <c r="CD529" s="128"/>
      <c r="CE529" s="128"/>
      <c r="CF529" s="128"/>
      <c r="CG529" s="128"/>
      <c r="CH529" s="128"/>
      <c r="CI529" s="128"/>
      <c r="CJ529" s="128"/>
      <c r="CK529" s="128"/>
      <c r="CL529" s="128"/>
      <c r="CM529" s="128"/>
      <c r="CN529" s="128"/>
      <c r="CO529" s="128"/>
      <c r="CP529" s="128"/>
      <c r="CQ529" s="128"/>
      <c r="CR529" s="128"/>
      <c r="CS529" s="128"/>
      <c r="CT529" s="128"/>
      <c r="CU529" s="128"/>
      <c r="CV529" s="128"/>
      <c r="CW529" s="128"/>
      <c r="CX529" s="128"/>
      <c r="CY529" s="128"/>
      <c r="CZ529" s="128"/>
    </row>
    <row r="530" spans="1:104">
      <c r="A530" s="128"/>
      <c r="B530" s="128"/>
      <c r="C530" s="128"/>
      <c r="D530" s="112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  <c r="AV530" s="128"/>
      <c r="AW530" s="128"/>
      <c r="AX530" s="128"/>
      <c r="AY530" s="128"/>
      <c r="AZ530" s="128"/>
      <c r="BA530" s="128"/>
      <c r="BB530" s="128"/>
      <c r="BC530" s="128"/>
      <c r="BD530" s="128"/>
      <c r="BE530" s="128"/>
      <c r="BF530" s="128"/>
      <c r="BG530" s="128"/>
      <c r="BH530" s="128"/>
      <c r="BI530" s="128"/>
      <c r="BJ530" s="128"/>
      <c r="BK530" s="128"/>
      <c r="BL530" s="128"/>
      <c r="BM530" s="151"/>
      <c r="BN530" s="128"/>
      <c r="BO530" s="128"/>
      <c r="BP530" s="128"/>
      <c r="BQ530" s="128"/>
      <c r="BR530" s="128"/>
      <c r="BS530" s="128"/>
      <c r="BT530" s="128"/>
      <c r="BU530" s="128"/>
      <c r="BV530" s="128"/>
      <c r="BW530" s="128"/>
      <c r="BX530" s="128"/>
      <c r="BY530" s="128"/>
      <c r="BZ530" s="128"/>
      <c r="CA530" s="128"/>
      <c r="CB530" s="128"/>
      <c r="CC530" s="128"/>
      <c r="CD530" s="128"/>
      <c r="CE530" s="128"/>
      <c r="CF530" s="128"/>
      <c r="CG530" s="128"/>
      <c r="CH530" s="128"/>
      <c r="CI530" s="128"/>
      <c r="CJ530" s="128"/>
      <c r="CK530" s="128"/>
      <c r="CL530" s="128"/>
      <c r="CM530" s="128"/>
      <c r="CN530" s="128"/>
      <c r="CO530" s="128"/>
      <c r="CP530" s="128"/>
      <c r="CQ530" s="128"/>
      <c r="CR530" s="128"/>
      <c r="CS530" s="128"/>
      <c r="CT530" s="128"/>
      <c r="CU530" s="128"/>
      <c r="CV530" s="128"/>
      <c r="CW530" s="128"/>
      <c r="CX530" s="128"/>
      <c r="CY530" s="128"/>
      <c r="CZ530" s="128"/>
    </row>
    <row r="531" spans="1:104">
      <c r="A531" s="128"/>
      <c r="B531" s="128"/>
      <c r="C531" s="128"/>
      <c r="D531" s="112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  <c r="AV531" s="128"/>
      <c r="AW531" s="128"/>
      <c r="AX531" s="128"/>
      <c r="AY531" s="128"/>
      <c r="AZ531" s="128"/>
      <c r="BA531" s="128"/>
      <c r="BB531" s="128"/>
      <c r="BC531" s="128"/>
      <c r="BD531" s="128"/>
      <c r="BE531" s="128"/>
      <c r="BF531" s="128"/>
      <c r="BG531" s="128"/>
      <c r="BH531" s="128"/>
      <c r="BI531" s="128"/>
      <c r="BJ531" s="128"/>
      <c r="BK531" s="128"/>
      <c r="BL531" s="128"/>
      <c r="BM531" s="151"/>
      <c r="BN531" s="128"/>
      <c r="BO531" s="128"/>
      <c r="BP531" s="128"/>
      <c r="BQ531" s="128"/>
      <c r="BR531" s="128"/>
      <c r="BS531" s="128"/>
      <c r="BT531" s="128"/>
      <c r="BU531" s="128"/>
      <c r="BV531" s="128"/>
      <c r="BW531" s="128"/>
      <c r="BX531" s="128"/>
      <c r="BY531" s="128"/>
      <c r="BZ531" s="128"/>
      <c r="CA531" s="128"/>
      <c r="CB531" s="128"/>
      <c r="CC531" s="128"/>
      <c r="CD531" s="128"/>
      <c r="CE531" s="128"/>
      <c r="CF531" s="128"/>
      <c r="CG531" s="128"/>
      <c r="CH531" s="128"/>
      <c r="CI531" s="128"/>
      <c r="CJ531" s="128"/>
      <c r="CK531" s="128"/>
      <c r="CL531" s="128"/>
      <c r="CM531" s="128"/>
      <c r="CN531" s="128"/>
      <c r="CO531" s="128"/>
      <c r="CP531" s="128"/>
      <c r="CQ531" s="128"/>
      <c r="CR531" s="128"/>
      <c r="CS531" s="128"/>
      <c r="CT531" s="128"/>
      <c r="CU531" s="128"/>
      <c r="CV531" s="128"/>
      <c r="CW531" s="128"/>
      <c r="CX531" s="128"/>
      <c r="CY531" s="128"/>
      <c r="CZ531" s="128"/>
    </row>
    <row r="532" spans="1:104">
      <c r="A532" s="128"/>
      <c r="B532" s="128"/>
      <c r="C532" s="128"/>
      <c r="D532" s="112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  <c r="AV532" s="128"/>
      <c r="AW532" s="128"/>
      <c r="AX532" s="128"/>
      <c r="AY532" s="128"/>
      <c r="AZ532" s="128"/>
      <c r="BA532" s="128"/>
      <c r="BB532" s="128"/>
      <c r="BC532" s="128"/>
      <c r="BD532" s="128"/>
      <c r="BE532" s="128"/>
      <c r="BF532" s="128"/>
      <c r="BG532" s="128"/>
      <c r="BH532" s="128"/>
      <c r="BI532" s="128"/>
      <c r="BJ532" s="128"/>
      <c r="BK532" s="128"/>
      <c r="BL532" s="128"/>
      <c r="BM532" s="151"/>
      <c r="BN532" s="128"/>
      <c r="BO532" s="128"/>
      <c r="BP532" s="128"/>
      <c r="BQ532" s="128"/>
      <c r="BR532" s="128"/>
      <c r="BS532" s="128"/>
      <c r="BT532" s="128"/>
      <c r="BU532" s="128"/>
      <c r="BV532" s="128"/>
      <c r="BW532" s="128"/>
      <c r="BX532" s="128"/>
      <c r="BY532" s="128"/>
      <c r="BZ532" s="128"/>
      <c r="CA532" s="128"/>
      <c r="CB532" s="128"/>
      <c r="CC532" s="128"/>
      <c r="CD532" s="128"/>
      <c r="CE532" s="128"/>
      <c r="CF532" s="128"/>
      <c r="CG532" s="128"/>
      <c r="CH532" s="128"/>
      <c r="CI532" s="128"/>
      <c r="CJ532" s="128"/>
      <c r="CK532" s="128"/>
      <c r="CL532" s="128"/>
      <c r="CM532" s="128"/>
      <c r="CN532" s="128"/>
      <c r="CO532" s="128"/>
      <c r="CP532" s="128"/>
      <c r="CQ532" s="128"/>
      <c r="CR532" s="128"/>
      <c r="CS532" s="128"/>
      <c r="CT532" s="128"/>
      <c r="CU532" s="128"/>
      <c r="CV532" s="128"/>
      <c r="CW532" s="128"/>
      <c r="CX532" s="128"/>
      <c r="CY532" s="128"/>
      <c r="CZ532" s="128"/>
    </row>
    <row r="533" spans="1:104">
      <c r="A533" s="128"/>
      <c r="B533" s="128"/>
      <c r="C533" s="128"/>
      <c r="D533" s="112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  <c r="AV533" s="128"/>
      <c r="AW533" s="128"/>
      <c r="AX533" s="128"/>
      <c r="AY533" s="128"/>
      <c r="AZ533" s="128"/>
      <c r="BA533" s="128"/>
      <c r="BB533" s="128"/>
      <c r="BC533" s="128"/>
      <c r="BD533" s="128"/>
      <c r="BE533" s="128"/>
      <c r="BF533" s="128"/>
      <c r="BG533" s="128"/>
      <c r="BH533" s="128"/>
      <c r="BI533" s="128"/>
      <c r="BJ533" s="128"/>
      <c r="BK533" s="128"/>
      <c r="BL533" s="128"/>
      <c r="BM533" s="151"/>
      <c r="BN533" s="128"/>
      <c r="BO533" s="128"/>
      <c r="BP533" s="128"/>
      <c r="BQ533" s="128"/>
      <c r="BR533" s="128"/>
      <c r="BS533" s="128"/>
      <c r="BT533" s="128"/>
      <c r="BU533" s="128"/>
      <c r="BV533" s="128"/>
      <c r="BW533" s="128"/>
      <c r="BX533" s="128"/>
      <c r="BY533" s="128"/>
      <c r="BZ533" s="128"/>
      <c r="CA533" s="128"/>
      <c r="CB533" s="128"/>
      <c r="CC533" s="128"/>
      <c r="CD533" s="128"/>
      <c r="CE533" s="128"/>
      <c r="CF533" s="128"/>
      <c r="CG533" s="128"/>
      <c r="CH533" s="128"/>
      <c r="CI533" s="128"/>
      <c r="CJ533" s="128"/>
      <c r="CK533" s="128"/>
      <c r="CL533" s="128"/>
      <c r="CM533" s="128"/>
      <c r="CN533" s="128"/>
      <c r="CO533" s="128"/>
      <c r="CP533" s="128"/>
      <c r="CQ533" s="128"/>
      <c r="CR533" s="128"/>
      <c r="CS533" s="128"/>
      <c r="CT533" s="128"/>
      <c r="CU533" s="128"/>
      <c r="CV533" s="128"/>
      <c r="CW533" s="128"/>
      <c r="CX533" s="128"/>
      <c r="CY533" s="128"/>
      <c r="CZ533" s="128"/>
    </row>
    <row r="534" spans="1:104">
      <c r="A534" s="128"/>
      <c r="B534" s="128"/>
      <c r="C534" s="128"/>
      <c r="D534" s="112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  <c r="AV534" s="128"/>
      <c r="AW534" s="128"/>
      <c r="AX534" s="128"/>
      <c r="AY534" s="128"/>
      <c r="AZ534" s="128"/>
      <c r="BA534" s="128"/>
      <c r="BB534" s="128"/>
      <c r="BC534" s="128"/>
      <c r="BD534" s="128"/>
      <c r="BE534" s="128"/>
      <c r="BF534" s="128"/>
      <c r="BG534" s="128"/>
      <c r="BH534" s="128"/>
      <c r="BI534" s="128"/>
      <c r="BJ534" s="128"/>
      <c r="BK534" s="128"/>
      <c r="BL534" s="128"/>
      <c r="BM534" s="151"/>
      <c r="BN534" s="128"/>
      <c r="BO534" s="128"/>
      <c r="BP534" s="128"/>
      <c r="BQ534" s="128"/>
      <c r="BR534" s="128"/>
      <c r="BS534" s="128"/>
      <c r="BT534" s="128"/>
      <c r="BU534" s="128"/>
      <c r="BV534" s="128"/>
      <c r="BW534" s="128"/>
      <c r="BX534" s="128"/>
      <c r="BY534" s="128"/>
      <c r="BZ534" s="128"/>
      <c r="CA534" s="128"/>
      <c r="CB534" s="128"/>
      <c r="CC534" s="128"/>
      <c r="CD534" s="128"/>
      <c r="CE534" s="128"/>
      <c r="CF534" s="128"/>
      <c r="CG534" s="128"/>
      <c r="CH534" s="128"/>
      <c r="CI534" s="128"/>
      <c r="CJ534" s="128"/>
      <c r="CK534" s="128"/>
      <c r="CL534" s="128"/>
      <c r="CM534" s="128"/>
      <c r="CN534" s="128"/>
      <c r="CO534" s="128"/>
      <c r="CP534" s="128"/>
      <c r="CQ534" s="128"/>
      <c r="CR534" s="128"/>
      <c r="CS534" s="128"/>
      <c r="CT534" s="128"/>
      <c r="CU534" s="128"/>
      <c r="CV534" s="128"/>
      <c r="CW534" s="128"/>
      <c r="CX534" s="128"/>
      <c r="CY534" s="128"/>
      <c r="CZ534" s="128"/>
    </row>
    <row r="535" spans="1:104">
      <c r="A535" s="128"/>
      <c r="B535" s="128"/>
      <c r="C535" s="128"/>
      <c r="D535" s="112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  <c r="AC535" s="128"/>
      <c r="AD535" s="128"/>
      <c r="AE535" s="128"/>
      <c r="AF535" s="128"/>
      <c r="AG535" s="128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51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8"/>
      <c r="BX535" s="128"/>
      <c r="BY535" s="128"/>
      <c r="BZ535" s="128"/>
      <c r="CA535" s="128"/>
      <c r="CB535" s="128"/>
      <c r="CC535" s="128"/>
      <c r="CD535" s="128"/>
      <c r="CE535" s="128"/>
      <c r="CF535" s="128"/>
      <c r="CG535" s="128"/>
      <c r="CH535" s="128"/>
      <c r="CI535" s="128"/>
      <c r="CJ535" s="128"/>
      <c r="CK535" s="128"/>
      <c r="CL535" s="128"/>
      <c r="CM535" s="128"/>
      <c r="CN535" s="128"/>
      <c r="CO535" s="128"/>
      <c r="CP535" s="128"/>
      <c r="CQ535" s="128"/>
      <c r="CR535" s="128"/>
      <c r="CS535" s="128"/>
      <c r="CT535" s="128"/>
      <c r="CU535" s="128"/>
      <c r="CV535" s="128"/>
      <c r="CW535" s="128"/>
      <c r="CX535" s="128"/>
      <c r="CY535" s="128"/>
      <c r="CZ535" s="128"/>
    </row>
    <row r="536" spans="1:104">
      <c r="A536" s="128"/>
      <c r="B536" s="128"/>
      <c r="C536" s="128"/>
      <c r="D536" s="112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51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8"/>
      <c r="CA536" s="128"/>
      <c r="CB536" s="128"/>
      <c r="CC536" s="128"/>
      <c r="CD536" s="128"/>
      <c r="CE536" s="128"/>
      <c r="CF536" s="128"/>
      <c r="CG536" s="128"/>
      <c r="CH536" s="128"/>
      <c r="CI536" s="128"/>
      <c r="CJ536" s="128"/>
      <c r="CK536" s="128"/>
      <c r="CL536" s="128"/>
      <c r="CM536" s="128"/>
      <c r="CN536" s="128"/>
      <c r="CO536" s="128"/>
      <c r="CP536" s="128"/>
      <c r="CQ536" s="128"/>
      <c r="CR536" s="128"/>
      <c r="CS536" s="128"/>
      <c r="CT536" s="128"/>
      <c r="CU536" s="128"/>
      <c r="CV536" s="128"/>
      <c r="CW536" s="128"/>
      <c r="CX536" s="128"/>
      <c r="CY536" s="128"/>
      <c r="CZ536" s="128"/>
    </row>
    <row r="537" spans="1:104">
      <c r="A537" s="128"/>
      <c r="B537" s="128"/>
      <c r="C537" s="128"/>
      <c r="D537" s="112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51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8"/>
      <c r="CA537" s="128"/>
      <c r="CB537" s="128"/>
      <c r="CC537" s="128"/>
      <c r="CD537" s="128"/>
      <c r="CE537" s="128"/>
      <c r="CF537" s="128"/>
      <c r="CG537" s="128"/>
      <c r="CH537" s="128"/>
      <c r="CI537" s="128"/>
      <c r="CJ537" s="128"/>
      <c r="CK537" s="128"/>
      <c r="CL537" s="128"/>
      <c r="CM537" s="128"/>
      <c r="CN537" s="128"/>
      <c r="CO537" s="128"/>
      <c r="CP537" s="128"/>
      <c r="CQ537" s="128"/>
      <c r="CR537" s="128"/>
      <c r="CS537" s="128"/>
      <c r="CT537" s="128"/>
      <c r="CU537" s="128"/>
      <c r="CV537" s="128"/>
      <c r="CW537" s="128"/>
      <c r="CX537" s="128"/>
      <c r="CY537" s="128"/>
      <c r="CZ537" s="128"/>
    </row>
    <row r="538" spans="1:104">
      <c r="A538" s="128"/>
      <c r="B538" s="128"/>
      <c r="C538" s="128"/>
      <c r="D538" s="112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/>
      <c r="BJ538" s="128"/>
      <c r="BK538" s="128"/>
      <c r="BL538" s="128"/>
      <c r="BM538" s="151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8"/>
      <c r="CD538" s="128"/>
      <c r="CE538" s="128"/>
      <c r="CF538" s="128"/>
      <c r="CG538" s="128"/>
      <c r="CH538" s="128"/>
      <c r="CI538" s="128"/>
      <c r="CJ538" s="128"/>
      <c r="CK538" s="128"/>
      <c r="CL538" s="128"/>
      <c r="CM538" s="128"/>
      <c r="CN538" s="128"/>
      <c r="CO538" s="128"/>
      <c r="CP538" s="128"/>
      <c r="CQ538" s="128"/>
      <c r="CR538" s="128"/>
      <c r="CS538" s="128"/>
      <c r="CT538" s="128"/>
      <c r="CU538" s="128"/>
      <c r="CV538" s="128"/>
      <c r="CW538" s="128"/>
      <c r="CX538" s="128"/>
      <c r="CY538" s="128"/>
      <c r="CZ538" s="128"/>
    </row>
    <row r="539" spans="1:104">
      <c r="A539" s="128"/>
      <c r="B539" s="128"/>
      <c r="C539" s="128"/>
      <c r="D539" s="112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51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8"/>
      <c r="CA539" s="128"/>
      <c r="CB539" s="128"/>
      <c r="CC539" s="128"/>
      <c r="CD539" s="128"/>
      <c r="CE539" s="128"/>
      <c r="CF539" s="128"/>
      <c r="CG539" s="128"/>
      <c r="CH539" s="128"/>
      <c r="CI539" s="128"/>
      <c r="CJ539" s="128"/>
      <c r="CK539" s="128"/>
      <c r="CL539" s="128"/>
      <c r="CM539" s="128"/>
      <c r="CN539" s="128"/>
      <c r="CO539" s="128"/>
      <c r="CP539" s="128"/>
      <c r="CQ539" s="128"/>
      <c r="CR539" s="128"/>
      <c r="CS539" s="128"/>
      <c r="CT539" s="128"/>
      <c r="CU539" s="128"/>
      <c r="CV539" s="128"/>
      <c r="CW539" s="128"/>
      <c r="CX539" s="128"/>
      <c r="CY539" s="128"/>
      <c r="CZ539" s="128"/>
    </row>
    <row r="540" spans="1:104">
      <c r="A540" s="128"/>
      <c r="B540" s="128"/>
      <c r="C540" s="128"/>
      <c r="D540" s="112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51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8"/>
      <c r="CA540" s="128"/>
      <c r="CB540" s="128"/>
      <c r="CC540" s="128"/>
      <c r="CD540" s="128"/>
      <c r="CE540" s="128"/>
      <c r="CF540" s="128"/>
      <c r="CG540" s="128"/>
      <c r="CH540" s="128"/>
      <c r="CI540" s="128"/>
      <c r="CJ540" s="128"/>
      <c r="CK540" s="128"/>
      <c r="CL540" s="128"/>
      <c r="CM540" s="128"/>
      <c r="CN540" s="128"/>
      <c r="CO540" s="128"/>
      <c r="CP540" s="128"/>
      <c r="CQ540" s="128"/>
      <c r="CR540" s="128"/>
      <c r="CS540" s="128"/>
      <c r="CT540" s="128"/>
      <c r="CU540" s="128"/>
      <c r="CV540" s="128"/>
      <c r="CW540" s="128"/>
      <c r="CX540" s="128"/>
      <c r="CY540" s="128"/>
      <c r="CZ540" s="128"/>
    </row>
    <row r="541" spans="1:104">
      <c r="A541" s="128"/>
      <c r="B541" s="128"/>
      <c r="C541" s="128"/>
      <c r="D541" s="112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  <c r="AV541" s="128"/>
      <c r="AW541" s="128"/>
      <c r="AX541" s="128"/>
      <c r="AY541" s="128"/>
      <c r="AZ541" s="128"/>
      <c r="BA541" s="128"/>
      <c r="BB541" s="128"/>
      <c r="BC541" s="128"/>
      <c r="BD541" s="128"/>
      <c r="BE541" s="128"/>
      <c r="BF541" s="128"/>
      <c r="BG541" s="128"/>
      <c r="BH541" s="128"/>
      <c r="BI541" s="128"/>
      <c r="BJ541" s="128"/>
      <c r="BK541" s="128"/>
      <c r="BL541" s="128"/>
      <c r="BM541" s="151"/>
      <c r="BN541" s="128"/>
      <c r="BO541" s="128"/>
      <c r="BP541" s="128"/>
      <c r="BQ541" s="128"/>
      <c r="BR541" s="128"/>
      <c r="BS541" s="128"/>
      <c r="BT541" s="128"/>
      <c r="BU541" s="128"/>
      <c r="BV541" s="128"/>
      <c r="BW541" s="128"/>
      <c r="BX541" s="128"/>
      <c r="BY541" s="128"/>
      <c r="BZ541" s="128"/>
      <c r="CA541" s="128"/>
      <c r="CB541" s="128"/>
      <c r="CC541" s="128"/>
      <c r="CD541" s="128"/>
      <c r="CE541" s="128"/>
      <c r="CF541" s="128"/>
      <c r="CG541" s="128"/>
      <c r="CH541" s="128"/>
      <c r="CI541" s="128"/>
      <c r="CJ541" s="128"/>
      <c r="CK541" s="128"/>
      <c r="CL541" s="128"/>
      <c r="CM541" s="128"/>
      <c r="CN541" s="128"/>
      <c r="CO541" s="128"/>
      <c r="CP541" s="128"/>
      <c r="CQ541" s="128"/>
      <c r="CR541" s="128"/>
      <c r="CS541" s="128"/>
      <c r="CT541" s="128"/>
      <c r="CU541" s="128"/>
      <c r="CV541" s="128"/>
      <c r="CW541" s="128"/>
      <c r="CX541" s="128"/>
      <c r="CY541" s="128"/>
      <c r="CZ541" s="128"/>
    </row>
    <row r="542" spans="1:104">
      <c r="A542" s="128"/>
      <c r="B542" s="128"/>
      <c r="C542" s="128"/>
      <c r="D542" s="112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  <c r="AV542" s="128"/>
      <c r="AW542" s="128"/>
      <c r="AX542" s="128"/>
      <c r="AY542" s="128"/>
      <c r="AZ542" s="128"/>
      <c r="BA542" s="128"/>
      <c r="BB542" s="128"/>
      <c r="BC542" s="128"/>
      <c r="BD542" s="128"/>
      <c r="BE542" s="128"/>
      <c r="BF542" s="128"/>
      <c r="BG542" s="128"/>
      <c r="BH542" s="128"/>
      <c r="BI542" s="128"/>
      <c r="BJ542" s="128"/>
      <c r="BK542" s="128"/>
      <c r="BL542" s="128"/>
      <c r="BM542" s="151"/>
      <c r="BN542" s="128"/>
      <c r="BO542" s="128"/>
      <c r="BP542" s="128"/>
      <c r="BQ542" s="128"/>
      <c r="BR542" s="128"/>
      <c r="BS542" s="128"/>
      <c r="BT542" s="128"/>
      <c r="BU542" s="128"/>
      <c r="BV542" s="128"/>
      <c r="BW542" s="128"/>
      <c r="BX542" s="128"/>
      <c r="BY542" s="128"/>
      <c r="BZ542" s="128"/>
      <c r="CA542" s="128"/>
      <c r="CB542" s="128"/>
      <c r="CC542" s="128"/>
      <c r="CD542" s="128"/>
      <c r="CE542" s="128"/>
      <c r="CF542" s="128"/>
      <c r="CG542" s="128"/>
      <c r="CH542" s="128"/>
      <c r="CI542" s="128"/>
      <c r="CJ542" s="128"/>
      <c r="CK542" s="128"/>
      <c r="CL542" s="128"/>
      <c r="CM542" s="128"/>
      <c r="CN542" s="128"/>
      <c r="CO542" s="128"/>
      <c r="CP542" s="128"/>
      <c r="CQ542" s="128"/>
      <c r="CR542" s="128"/>
      <c r="CS542" s="128"/>
      <c r="CT542" s="128"/>
      <c r="CU542" s="128"/>
      <c r="CV542" s="128"/>
      <c r="CW542" s="128"/>
      <c r="CX542" s="128"/>
      <c r="CY542" s="128"/>
      <c r="CZ542" s="128"/>
    </row>
    <row r="543" spans="1:104">
      <c r="A543" s="128"/>
      <c r="B543" s="128"/>
      <c r="C543" s="128"/>
      <c r="D543" s="112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51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28"/>
      <c r="CD543" s="128"/>
      <c r="CE543" s="128"/>
      <c r="CF543" s="128"/>
      <c r="CG543" s="128"/>
      <c r="CH543" s="128"/>
      <c r="CI543" s="128"/>
      <c r="CJ543" s="128"/>
      <c r="CK543" s="128"/>
      <c r="CL543" s="128"/>
      <c r="CM543" s="128"/>
      <c r="CN543" s="128"/>
      <c r="CO543" s="128"/>
      <c r="CP543" s="128"/>
      <c r="CQ543" s="128"/>
      <c r="CR543" s="128"/>
      <c r="CS543" s="128"/>
      <c r="CT543" s="128"/>
      <c r="CU543" s="128"/>
      <c r="CV543" s="128"/>
      <c r="CW543" s="128"/>
      <c r="CX543" s="128"/>
      <c r="CY543" s="128"/>
      <c r="CZ543" s="128"/>
    </row>
    <row r="544" spans="1:104">
      <c r="A544" s="128"/>
      <c r="B544" s="128"/>
      <c r="C544" s="128"/>
      <c r="D544" s="112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  <c r="AV544" s="128"/>
      <c r="AW544" s="128"/>
      <c r="AX544" s="128"/>
      <c r="AY544" s="128"/>
      <c r="AZ544" s="128"/>
      <c r="BA544" s="128"/>
      <c r="BB544" s="128"/>
      <c r="BC544" s="128"/>
      <c r="BD544" s="128"/>
      <c r="BE544" s="128"/>
      <c r="BF544" s="128"/>
      <c r="BG544" s="128"/>
      <c r="BH544" s="128"/>
      <c r="BI544" s="128"/>
      <c r="BJ544" s="128"/>
      <c r="BK544" s="128"/>
      <c r="BL544" s="128"/>
      <c r="BM544" s="151"/>
      <c r="BN544" s="128"/>
      <c r="BO544" s="128"/>
      <c r="BP544" s="128"/>
      <c r="BQ544" s="128"/>
      <c r="BR544" s="128"/>
      <c r="BS544" s="128"/>
      <c r="BT544" s="128"/>
      <c r="BU544" s="128"/>
      <c r="BV544" s="128"/>
      <c r="BW544" s="128"/>
      <c r="BX544" s="128"/>
      <c r="BY544" s="128"/>
      <c r="BZ544" s="128"/>
      <c r="CA544" s="128"/>
      <c r="CB544" s="128"/>
      <c r="CC544" s="128"/>
      <c r="CD544" s="128"/>
      <c r="CE544" s="128"/>
      <c r="CF544" s="128"/>
      <c r="CG544" s="128"/>
      <c r="CH544" s="128"/>
      <c r="CI544" s="128"/>
      <c r="CJ544" s="128"/>
      <c r="CK544" s="128"/>
      <c r="CL544" s="128"/>
      <c r="CM544" s="128"/>
      <c r="CN544" s="128"/>
      <c r="CO544" s="128"/>
      <c r="CP544" s="128"/>
      <c r="CQ544" s="128"/>
      <c r="CR544" s="128"/>
      <c r="CS544" s="128"/>
      <c r="CT544" s="128"/>
      <c r="CU544" s="128"/>
      <c r="CV544" s="128"/>
      <c r="CW544" s="128"/>
      <c r="CX544" s="128"/>
      <c r="CY544" s="128"/>
      <c r="CZ544" s="128"/>
    </row>
    <row r="545" spans="1:104">
      <c r="A545" s="128"/>
      <c r="B545" s="128"/>
      <c r="C545" s="128"/>
      <c r="D545" s="112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51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8"/>
      <c r="CA545" s="128"/>
      <c r="CB545" s="128"/>
      <c r="CC545" s="128"/>
      <c r="CD545" s="128"/>
      <c r="CE545" s="128"/>
      <c r="CF545" s="128"/>
      <c r="CG545" s="128"/>
      <c r="CH545" s="128"/>
      <c r="CI545" s="128"/>
      <c r="CJ545" s="128"/>
      <c r="CK545" s="128"/>
      <c r="CL545" s="128"/>
      <c r="CM545" s="128"/>
      <c r="CN545" s="128"/>
      <c r="CO545" s="128"/>
      <c r="CP545" s="128"/>
      <c r="CQ545" s="128"/>
      <c r="CR545" s="128"/>
      <c r="CS545" s="128"/>
      <c r="CT545" s="128"/>
      <c r="CU545" s="128"/>
      <c r="CV545" s="128"/>
      <c r="CW545" s="128"/>
      <c r="CX545" s="128"/>
      <c r="CY545" s="128"/>
      <c r="CZ545" s="128"/>
    </row>
    <row r="546" spans="1:104">
      <c r="A546" s="128"/>
      <c r="B546" s="128"/>
      <c r="C546" s="128"/>
      <c r="D546" s="112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/>
      <c r="BK546" s="128"/>
      <c r="BL546" s="128"/>
      <c r="BM546" s="151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8"/>
      <c r="CA546" s="128"/>
      <c r="CB546" s="128"/>
      <c r="CC546" s="128"/>
      <c r="CD546" s="128"/>
      <c r="CE546" s="128"/>
      <c r="CF546" s="128"/>
      <c r="CG546" s="128"/>
      <c r="CH546" s="128"/>
      <c r="CI546" s="128"/>
      <c r="CJ546" s="128"/>
      <c r="CK546" s="128"/>
      <c r="CL546" s="128"/>
      <c r="CM546" s="128"/>
      <c r="CN546" s="128"/>
      <c r="CO546" s="128"/>
      <c r="CP546" s="128"/>
      <c r="CQ546" s="128"/>
      <c r="CR546" s="128"/>
      <c r="CS546" s="128"/>
      <c r="CT546" s="128"/>
      <c r="CU546" s="128"/>
      <c r="CV546" s="128"/>
      <c r="CW546" s="128"/>
      <c r="CX546" s="128"/>
      <c r="CY546" s="128"/>
      <c r="CZ546" s="128"/>
    </row>
    <row r="547" spans="1:104">
      <c r="A547" s="128"/>
      <c r="B547" s="128"/>
      <c r="C547" s="128"/>
      <c r="D547" s="112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51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8"/>
      <c r="BX547" s="128"/>
      <c r="BY547" s="128"/>
      <c r="BZ547" s="128"/>
      <c r="CA547" s="128"/>
      <c r="CB547" s="128"/>
      <c r="CC547" s="128"/>
      <c r="CD547" s="128"/>
      <c r="CE547" s="128"/>
      <c r="CF547" s="128"/>
      <c r="CG547" s="128"/>
      <c r="CH547" s="128"/>
      <c r="CI547" s="128"/>
      <c r="CJ547" s="128"/>
      <c r="CK547" s="128"/>
      <c r="CL547" s="128"/>
      <c r="CM547" s="128"/>
      <c r="CN547" s="128"/>
      <c r="CO547" s="128"/>
      <c r="CP547" s="128"/>
      <c r="CQ547" s="128"/>
      <c r="CR547" s="128"/>
      <c r="CS547" s="128"/>
      <c r="CT547" s="128"/>
      <c r="CU547" s="128"/>
      <c r="CV547" s="128"/>
      <c r="CW547" s="128"/>
      <c r="CX547" s="128"/>
      <c r="CY547" s="128"/>
      <c r="CZ547" s="128"/>
    </row>
    <row r="548" spans="1:104">
      <c r="A548" s="128"/>
      <c r="B548" s="128"/>
      <c r="C548" s="128"/>
      <c r="D548" s="112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51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8"/>
      <c r="BX548" s="128"/>
      <c r="BY548" s="128"/>
      <c r="BZ548" s="128"/>
      <c r="CA548" s="128"/>
      <c r="CB548" s="128"/>
      <c r="CC548" s="128"/>
      <c r="CD548" s="128"/>
      <c r="CE548" s="128"/>
      <c r="CF548" s="128"/>
      <c r="CG548" s="128"/>
      <c r="CH548" s="128"/>
      <c r="CI548" s="128"/>
      <c r="CJ548" s="128"/>
      <c r="CK548" s="128"/>
      <c r="CL548" s="128"/>
      <c r="CM548" s="128"/>
      <c r="CN548" s="128"/>
      <c r="CO548" s="128"/>
      <c r="CP548" s="128"/>
      <c r="CQ548" s="128"/>
      <c r="CR548" s="128"/>
      <c r="CS548" s="128"/>
      <c r="CT548" s="128"/>
      <c r="CU548" s="128"/>
      <c r="CV548" s="128"/>
      <c r="CW548" s="128"/>
      <c r="CX548" s="128"/>
      <c r="CY548" s="128"/>
      <c r="CZ548" s="128"/>
    </row>
    <row r="549" spans="1:104">
      <c r="A549" s="128"/>
      <c r="B549" s="128"/>
      <c r="C549" s="128"/>
      <c r="D549" s="112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51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8"/>
      <c r="CA549" s="128"/>
      <c r="CB549" s="128"/>
      <c r="CC549" s="128"/>
      <c r="CD549" s="128"/>
      <c r="CE549" s="128"/>
      <c r="CF549" s="128"/>
      <c r="CG549" s="128"/>
      <c r="CH549" s="128"/>
      <c r="CI549" s="128"/>
      <c r="CJ549" s="128"/>
      <c r="CK549" s="128"/>
      <c r="CL549" s="128"/>
      <c r="CM549" s="128"/>
      <c r="CN549" s="128"/>
      <c r="CO549" s="128"/>
      <c r="CP549" s="128"/>
      <c r="CQ549" s="128"/>
      <c r="CR549" s="128"/>
      <c r="CS549" s="128"/>
      <c r="CT549" s="128"/>
      <c r="CU549" s="128"/>
      <c r="CV549" s="128"/>
      <c r="CW549" s="128"/>
      <c r="CX549" s="128"/>
      <c r="CY549" s="128"/>
      <c r="CZ549" s="128"/>
    </row>
    <row r="550" spans="1:104">
      <c r="A550" s="128"/>
      <c r="B550" s="128"/>
      <c r="C550" s="128"/>
      <c r="D550" s="112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51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8"/>
      <c r="CA550" s="128"/>
      <c r="CB550" s="128"/>
      <c r="CC550" s="128"/>
      <c r="CD550" s="128"/>
      <c r="CE550" s="128"/>
      <c r="CF550" s="128"/>
      <c r="CG550" s="128"/>
      <c r="CH550" s="128"/>
      <c r="CI550" s="128"/>
      <c r="CJ550" s="128"/>
      <c r="CK550" s="128"/>
      <c r="CL550" s="128"/>
      <c r="CM550" s="128"/>
      <c r="CN550" s="128"/>
      <c r="CO550" s="128"/>
      <c r="CP550" s="128"/>
      <c r="CQ550" s="128"/>
      <c r="CR550" s="128"/>
      <c r="CS550" s="128"/>
      <c r="CT550" s="128"/>
      <c r="CU550" s="128"/>
      <c r="CV550" s="128"/>
      <c r="CW550" s="128"/>
      <c r="CX550" s="128"/>
      <c r="CY550" s="128"/>
      <c r="CZ550" s="128"/>
    </row>
    <row r="551" spans="1:104">
      <c r="A551" s="128"/>
      <c r="B551" s="128"/>
      <c r="C551" s="128"/>
      <c r="D551" s="112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51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8"/>
      <c r="BX551" s="128"/>
      <c r="BY551" s="128"/>
      <c r="BZ551" s="128"/>
      <c r="CA551" s="128"/>
      <c r="CB551" s="128"/>
      <c r="CC551" s="128"/>
      <c r="CD551" s="128"/>
      <c r="CE551" s="128"/>
      <c r="CF551" s="128"/>
      <c r="CG551" s="128"/>
      <c r="CH551" s="128"/>
      <c r="CI551" s="128"/>
      <c r="CJ551" s="128"/>
      <c r="CK551" s="128"/>
      <c r="CL551" s="128"/>
      <c r="CM551" s="128"/>
      <c r="CN551" s="128"/>
      <c r="CO551" s="128"/>
      <c r="CP551" s="128"/>
      <c r="CQ551" s="128"/>
      <c r="CR551" s="128"/>
      <c r="CS551" s="128"/>
      <c r="CT551" s="128"/>
      <c r="CU551" s="128"/>
      <c r="CV551" s="128"/>
      <c r="CW551" s="128"/>
      <c r="CX551" s="128"/>
      <c r="CY551" s="128"/>
      <c r="CZ551" s="128"/>
    </row>
    <row r="552" spans="1:104">
      <c r="A552" s="128"/>
      <c r="B552" s="128"/>
      <c r="C552" s="128"/>
      <c r="D552" s="112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  <c r="AV552" s="128"/>
      <c r="AW552" s="128"/>
      <c r="AX552" s="128"/>
      <c r="AY552" s="128"/>
      <c r="AZ552" s="128"/>
      <c r="BA552" s="128"/>
      <c r="BB552" s="128"/>
      <c r="BC552" s="128"/>
      <c r="BD552" s="128"/>
      <c r="BE552" s="128"/>
      <c r="BF552" s="128"/>
      <c r="BG552" s="128"/>
      <c r="BH552" s="128"/>
      <c r="BI552" s="128"/>
      <c r="BJ552" s="128"/>
      <c r="BK552" s="128"/>
      <c r="BL552" s="128"/>
      <c r="BM552" s="151"/>
      <c r="BN552" s="128"/>
      <c r="BO552" s="128"/>
      <c r="BP552" s="128"/>
      <c r="BQ552" s="128"/>
      <c r="BR552" s="128"/>
      <c r="BS552" s="128"/>
      <c r="BT552" s="128"/>
      <c r="BU552" s="128"/>
      <c r="BV552" s="128"/>
      <c r="BW552" s="128"/>
      <c r="BX552" s="128"/>
      <c r="BY552" s="128"/>
      <c r="BZ552" s="128"/>
      <c r="CA552" s="128"/>
      <c r="CB552" s="128"/>
      <c r="CC552" s="128"/>
      <c r="CD552" s="128"/>
      <c r="CE552" s="128"/>
      <c r="CF552" s="128"/>
      <c r="CG552" s="128"/>
      <c r="CH552" s="128"/>
      <c r="CI552" s="128"/>
      <c r="CJ552" s="128"/>
      <c r="CK552" s="128"/>
      <c r="CL552" s="128"/>
      <c r="CM552" s="128"/>
      <c r="CN552" s="128"/>
      <c r="CO552" s="128"/>
      <c r="CP552" s="128"/>
      <c r="CQ552" s="128"/>
      <c r="CR552" s="128"/>
      <c r="CS552" s="128"/>
      <c r="CT552" s="128"/>
      <c r="CU552" s="128"/>
      <c r="CV552" s="128"/>
      <c r="CW552" s="128"/>
      <c r="CX552" s="128"/>
      <c r="CY552" s="128"/>
      <c r="CZ552" s="128"/>
    </row>
    <row r="553" spans="1:104">
      <c r="A553" s="128"/>
      <c r="B553" s="128"/>
      <c r="C553" s="128"/>
      <c r="D553" s="112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  <c r="AV553" s="128"/>
      <c r="AW553" s="128"/>
      <c r="AX553" s="128"/>
      <c r="AY553" s="128"/>
      <c r="AZ553" s="128"/>
      <c r="BA553" s="128"/>
      <c r="BB553" s="128"/>
      <c r="BC553" s="128"/>
      <c r="BD553" s="128"/>
      <c r="BE553" s="128"/>
      <c r="BF553" s="128"/>
      <c r="BG553" s="128"/>
      <c r="BH553" s="128"/>
      <c r="BI553" s="128"/>
      <c r="BJ553" s="128"/>
      <c r="BK553" s="128"/>
      <c r="BL553" s="128"/>
      <c r="BM553" s="151"/>
      <c r="BN553" s="128"/>
      <c r="BO553" s="128"/>
      <c r="BP553" s="128"/>
      <c r="BQ553" s="128"/>
      <c r="BR553" s="128"/>
      <c r="BS553" s="128"/>
      <c r="BT553" s="128"/>
      <c r="BU553" s="128"/>
      <c r="BV553" s="128"/>
      <c r="BW553" s="128"/>
      <c r="BX553" s="128"/>
      <c r="BY553" s="128"/>
      <c r="BZ553" s="128"/>
      <c r="CA553" s="128"/>
      <c r="CB553" s="128"/>
      <c r="CC553" s="128"/>
      <c r="CD553" s="128"/>
      <c r="CE553" s="128"/>
      <c r="CF553" s="128"/>
      <c r="CG553" s="128"/>
      <c r="CH553" s="128"/>
      <c r="CI553" s="128"/>
      <c r="CJ553" s="128"/>
      <c r="CK553" s="128"/>
      <c r="CL553" s="128"/>
      <c r="CM553" s="128"/>
      <c r="CN553" s="128"/>
      <c r="CO553" s="128"/>
      <c r="CP553" s="128"/>
      <c r="CQ553" s="128"/>
      <c r="CR553" s="128"/>
      <c r="CS553" s="128"/>
      <c r="CT553" s="128"/>
      <c r="CU553" s="128"/>
      <c r="CV553" s="128"/>
      <c r="CW553" s="128"/>
      <c r="CX553" s="128"/>
      <c r="CY553" s="128"/>
      <c r="CZ553" s="128"/>
    </row>
    <row r="554" spans="1:104">
      <c r="A554" s="128"/>
      <c r="B554" s="128"/>
      <c r="C554" s="128"/>
      <c r="D554" s="112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51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  <c r="CC554" s="128"/>
      <c r="CD554" s="128"/>
      <c r="CE554" s="128"/>
      <c r="CF554" s="128"/>
      <c r="CG554" s="128"/>
      <c r="CH554" s="128"/>
      <c r="CI554" s="128"/>
      <c r="CJ554" s="128"/>
      <c r="CK554" s="128"/>
      <c r="CL554" s="128"/>
      <c r="CM554" s="128"/>
      <c r="CN554" s="128"/>
      <c r="CO554" s="128"/>
      <c r="CP554" s="128"/>
      <c r="CQ554" s="128"/>
      <c r="CR554" s="128"/>
      <c r="CS554" s="128"/>
      <c r="CT554" s="128"/>
      <c r="CU554" s="128"/>
      <c r="CV554" s="128"/>
      <c r="CW554" s="128"/>
      <c r="CX554" s="128"/>
      <c r="CY554" s="128"/>
      <c r="CZ554" s="128"/>
    </row>
    <row r="555" spans="1:104">
      <c r="A555" s="128"/>
      <c r="B555" s="128"/>
      <c r="C555" s="128"/>
      <c r="D555" s="112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  <c r="AV555" s="128"/>
      <c r="AW555" s="128"/>
      <c r="AX555" s="128"/>
      <c r="AY555" s="128"/>
      <c r="AZ555" s="128"/>
      <c r="BA555" s="128"/>
      <c r="BB555" s="128"/>
      <c r="BC555" s="128"/>
      <c r="BD555" s="128"/>
      <c r="BE555" s="128"/>
      <c r="BF555" s="128"/>
      <c r="BG555" s="128"/>
      <c r="BH555" s="128"/>
      <c r="BI555" s="128"/>
      <c r="BJ555" s="128"/>
      <c r="BK555" s="128"/>
      <c r="BL555" s="128"/>
      <c r="BM555" s="151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8"/>
      <c r="CA555" s="128"/>
      <c r="CB555" s="128"/>
      <c r="CC555" s="128"/>
      <c r="CD555" s="128"/>
      <c r="CE555" s="128"/>
      <c r="CF555" s="128"/>
      <c r="CG555" s="128"/>
      <c r="CH555" s="128"/>
      <c r="CI555" s="128"/>
      <c r="CJ555" s="128"/>
      <c r="CK555" s="128"/>
      <c r="CL555" s="128"/>
      <c r="CM555" s="128"/>
      <c r="CN555" s="128"/>
      <c r="CO555" s="128"/>
      <c r="CP555" s="128"/>
      <c r="CQ555" s="128"/>
      <c r="CR555" s="128"/>
      <c r="CS555" s="128"/>
      <c r="CT555" s="128"/>
      <c r="CU555" s="128"/>
      <c r="CV555" s="128"/>
      <c r="CW555" s="128"/>
      <c r="CX555" s="128"/>
      <c r="CY555" s="128"/>
      <c r="CZ555" s="128"/>
    </row>
    <row r="556" spans="1:104">
      <c r="A556" s="128"/>
      <c r="B556" s="128"/>
      <c r="C556" s="128"/>
      <c r="D556" s="112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51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8"/>
      <c r="CA556" s="128"/>
      <c r="CB556" s="128"/>
      <c r="CC556" s="128"/>
      <c r="CD556" s="128"/>
      <c r="CE556" s="128"/>
      <c r="CF556" s="128"/>
      <c r="CG556" s="128"/>
      <c r="CH556" s="128"/>
      <c r="CI556" s="128"/>
      <c r="CJ556" s="128"/>
      <c r="CK556" s="128"/>
      <c r="CL556" s="128"/>
      <c r="CM556" s="128"/>
      <c r="CN556" s="128"/>
      <c r="CO556" s="128"/>
      <c r="CP556" s="128"/>
      <c r="CQ556" s="128"/>
      <c r="CR556" s="128"/>
      <c r="CS556" s="128"/>
      <c r="CT556" s="128"/>
      <c r="CU556" s="128"/>
      <c r="CV556" s="128"/>
      <c r="CW556" s="128"/>
      <c r="CX556" s="128"/>
      <c r="CY556" s="128"/>
      <c r="CZ556" s="128"/>
    </row>
    <row r="557" spans="1:104">
      <c r="A557" s="128"/>
      <c r="B557" s="128"/>
      <c r="C557" s="128"/>
      <c r="D557" s="112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51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128"/>
      <c r="CO557" s="128"/>
      <c r="CP557" s="128"/>
      <c r="CQ557" s="128"/>
      <c r="CR557" s="128"/>
      <c r="CS557" s="128"/>
      <c r="CT557" s="128"/>
      <c r="CU557" s="128"/>
      <c r="CV557" s="128"/>
      <c r="CW557" s="128"/>
      <c r="CX557" s="128"/>
      <c r="CY557" s="128"/>
      <c r="CZ557" s="128"/>
    </row>
    <row r="558" spans="1:104">
      <c r="A558" s="128"/>
      <c r="B558" s="128"/>
      <c r="C558" s="128"/>
      <c r="D558" s="112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51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8"/>
      <c r="CA558" s="128"/>
      <c r="CB558" s="128"/>
      <c r="CC558" s="128"/>
      <c r="CD558" s="128"/>
      <c r="CE558" s="128"/>
      <c r="CF558" s="128"/>
      <c r="CG558" s="128"/>
      <c r="CH558" s="128"/>
      <c r="CI558" s="128"/>
      <c r="CJ558" s="128"/>
      <c r="CK558" s="128"/>
      <c r="CL558" s="128"/>
      <c r="CM558" s="128"/>
      <c r="CN558" s="128"/>
      <c r="CO558" s="128"/>
      <c r="CP558" s="128"/>
      <c r="CQ558" s="128"/>
      <c r="CR558" s="128"/>
      <c r="CS558" s="128"/>
      <c r="CT558" s="128"/>
      <c r="CU558" s="128"/>
      <c r="CV558" s="128"/>
      <c r="CW558" s="128"/>
      <c r="CX558" s="128"/>
      <c r="CY558" s="128"/>
      <c r="CZ558" s="128"/>
    </row>
    <row r="559" spans="1:104">
      <c r="A559" s="128"/>
      <c r="B559" s="128"/>
      <c r="C559" s="128"/>
      <c r="D559" s="112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51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28"/>
      <c r="CC559" s="128"/>
      <c r="CD559" s="128"/>
      <c r="CE559" s="128"/>
      <c r="CF559" s="128"/>
      <c r="CG559" s="128"/>
      <c r="CH559" s="128"/>
      <c r="CI559" s="128"/>
      <c r="CJ559" s="128"/>
      <c r="CK559" s="128"/>
      <c r="CL559" s="128"/>
      <c r="CM559" s="128"/>
      <c r="CN559" s="128"/>
      <c r="CO559" s="128"/>
      <c r="CP559" s="128"/>
      <c r="CQ559" s="128"/>
      <c r="CR559" s="128"/>
      <c r="CS559" s="128"/>
      <c r="CT559" s="128"/>
      <c r="CU559" s="128"/>
      <c r="CV559" s="128"/>
      <c r="CW559" s="128"/>
      <c r="CX559" s="128"/>
      <c r="CY559" s="128"/>
      <c r="CZ559" s="128"/>
    </row>
    <row r="560" spans="1:104">
      <c r="A560" s="128"/>
      <c r="B560" s="128"/>
      <c r="C560" s="128"/>
      <c r="D560" s="112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51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8"/>
      <c r="CA560" s="128"/>
      <c r="CB560" s="128"/>
      <c r="CC560" s="128"/>
      <c r="CD560" s="128"/>
      <c r="CE560" s="128"/>
      <c r="CF560" s="128"/>
      <c r="CG560" s="128"/>
      <c r="CH560" s="128"/>
      <c r="CI560" s="128"/>
      <c r="CJ560" s="128"/>
      <c r="CK560" s="128"/>
      <c r="CL560" s="128"/>
      <c r="CM560" s="128"/>
      <c r="CN560" s="128"/>
      <c r="CO560" s="128"/>
      <c r="CP560" s="128"/>
      <c r="CQ560" s="128"/>
      <c r="CR560" s="128"/>
      <c r="CS560" s="128"/>
      <c r="CT560" s="128"/>
      <c r="CU560" s="128"/>
      <c r="CV560" s="128"/>
      <c r="CW560" s="128"/>
      <c r="CX560" s="128"/>
      <c r="CY560" s="128"/>
      <c r="CZ560" s="128"/>
    </row>
    <row r="561" spans="1:104">
      <c r="A561" s="128"/>
      <c r="B561" s="128"/>
      <c r="C561" s="128"/>
      <c r="D561" s="112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51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8"/>
      <c r="CA561" s="128"/>
      <c r="CB561" s="128"/>
      <c r="CC561" s="128"/>
      <c r="CD561" s="128"/>
      <c r="CE561" s="128"/>
      <c r="CF561" s="128"/>
      <c r="CG561" s="128"/>
      <c r="CH561" s="128"/>
      <c r="CI561" s="128"/>
      <c r="CJ561" s="128"/>
      <c r="CK561" s="128"/>
      <c r="CL561" s="128"/>
      <c r="CM561" s="128"/>
      <c r="CN561" s="128"/>
      <c r="CO561" s="128"/>
      <c r="CP561" s="128"/>
      <c r="CQ561" s="128"/>
      <c r="CR561" s="128"/>
      <c r="CS561" s="128"/>
      <c r="CT561" s="128"/>
      <c r="CU561" s="128"/>
      <c r="CV561" s="128"/>
      <c r="CW561" s="128"/>
      <c r="CX561" s="128"/>
      <c r="CY561" s="128"/>
      <c r="CZ561" s="128"/>
    </row>
    <row r="562" spans="1:104">
      <c r="A562" s="128"/>
      <c r="B562" s="128"/>
      <c r="C562" s="128"/>
      <c r="D562" s="112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51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8"/>
      <c r="CA562" s="128"/>
      <c r="CB562" s="128"/>
      <c r="CC562" s="128"/>
      <c r="CD562" s="128"/>
      <c r="CE562" s="128"/>
      <c r="CF562" s="128"/>
      <c r="CG562" s="128"/>
      <c r="CH562" s="128"/>
      <c r="CI562" s="128"/>
      <c r="CJ562" s="128"/>
      <c r="CK562" s="128"/>
      <c r="CL562" s="128"/>
      <c r="CM562" s="128"/>
      <c r="CN562" s="128"/>
      <c r="CO562" s="128"/>
      <c r="CP562" s="128"/>
      <c r="CQ562" s="128"/>
      <c r="CR562" s="128"/>
      <c r="CS562" s="128"/>
      <c r="CT562" s="128"/>
      <c r="CU562" s="128"/>
      <c r="CV562" s="128"/>
      <c r="CW562" s="128"/>
      <c r="CX562" s="128"/>
      <c r="CY562" s="128"/>
      <c r="CZ562" s="128"/>
    </row>
    <row r="563" spans="1:104">
      <c r="A563" s="128"/>
      <c r="B563" s="128"/>
      <c r="C563" s="128"/>
      <c r="D563" s="112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51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8"/>
      <c r="CA563" s="128"/>
      <c r="CB563" s="128"/>
      <c r="CC563" s="128"/>
      <c r="CD563" s="128"/>
      <c r="CE563" s="128"/>
      <c r="CF563" s="128"/>
      <c r="CG563" s="128"/>
      <c r="CH563" s="128"/>
      <c r="CI563" s="128"/>
      <c r="CJ563" s="128"/>
      <c r="CK563" s="128"/>
      <c r="CL563" s="128"/>
      <c r="CM563" s="128"/>
      <c r="CN563" s="128"/>
      <c r="CO563" s="128"/>
      <c r="CP563" s="128"/>
      <c r="CQ563" s="128"/>
      <c r="CR563" s="128"/>
      <c r="CS563" s="128"/>
      <c r="CT563" s="128"/>
      <c r="CU563" s="128"/>
      <c r="CV563" s="128"/>
      <c r="CW563" s="128"/>
      <c r="CX563" s="128"/>
      <c r="CY563" s="128"/>
      <c r="CZ563" s="128"/>
    </row>
    <row r="564" spans="1:104">
      <c r="A564" s="128"/>
      <c r="B564" s="128"/>
      <c r="C564" s="128"/>
      <c r="D564" s="112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51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8"/>
      <c r="CA564" s="128"/>
      <c r="CB564" s="128"/>
      <c r="CC564" s="128"/>
      <c r="CD564" s="128"/>
      <c r="CE564" s="128"/>
      <c r="CF564" s="128"/>
      <c r="CG564" s="128"/>
      <c r="CH564" s="128"/>
      <c r="CI564" s="128"/>
      <c r="CJ564" s="128"/>
      <c r="CK564" s="128"/>
      <c r="CL564" s="128"/>
      <c r="CM564" s="128"/>
      <c r="CN564" s="128"/>
      <c r="CO564" s="128"/>
      <c r="CP564" s="128"/>
      <c r="CQ564" s="128"/>
      <c r="CR564" s="128"/>
      <c r="CS564" s="128"/>
      <c r="CT564" s="128"/>
      <c r="CU564" s="128"/>
      <c r="CV564" s="128"/>
      <c r="CW564" s="128"/>
      <c r="CX564" s="128"/>
      <c r="CY564" s="128"/>
      <c r="CZ564" s="128"/>
    </row>
    <row r="565" spans="1:104">
      <c r="A565" s="128"/>
      <c r="B565" s="128"/>
      <c r="C565" s="128"/>
      <c r="D565" s="112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51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8"/>
      <c r="CA565" s="128"/>
      <c r="CB565" s="128"/>
      <c r="CC565" s="128"/>
      <c r="CD565" s="128"/>
      <c r="CE565" s="128"/>
      <c r="CF565" s="128"/>
      <c r="CG565" s="128"/>
      <c r="CH565" s="128"/>
      <c r="CI565" s="128"/>
      <c r="CJ565" s="128"/>
      <c r="CK565" s="128"/>
      <c r="CL565" s="128"/>
      <c r="CM565" s="128"/>
      <c r="CN565" s="128"/>
      <c r="CO565" s="128"/>
      <c r="CP565" s="128"/>
      <c r="CQ565" s="128"/>
      <c r="CR565" s="128"/>
      <c r="CS565" s="128"/>
      <c r="CT565" s="128"/>
      <c r="CU565" s="128"/>
      <c r="CV565" s="128"/>
      <c r="CW565" s="128"/>
      <c r="CX565" s="128"/>
      <c r="CY565" s="128"/>
      <c r="CZ565" s="128"/>
    </row>
    <row r="566" spans="1:104">
      <c r="A566" s="128"/>
      <c r="B566" s="128"/>
      <c r="C566" s="128"/>
      <c r="D566" s="112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51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28"/>
      <c r="CD566" s="128"/>
      <c r="CE566" s="128"/>
      <c r="CF566" s="128"/>
      <c r="CG566" s="128"/>
      <c r="CH566" s="128"/>
      <c r="CI566" s="128"/>
      <c r="CJ566" s="128"/>
      <c r="CK566" s="128"/>
      <c r="CL566" s="128"/>
      <c r="CM566" s="128"/>
      <c r="CN566" s="128"/>
      <c r="CO566" s="128"/>
      <c r="CP566" s="128"/>
      <c r="CQ566" s="128"/>
      <c r="CR566" s="128"/>
      <c r="CS566" s="128"/>
      <c r="CT566" s="128"/>
      <c r="CU566" s="128"/>
      <c r="CV566" s="128"/>
      <c r="CW566" s="128"/>
      <c r="CX566" s="128"/>
      <c r="CY566" s="128"/>
      <c r="CZ566" s="128"/>
    </row>
    <row r="567" spans="1:104">
      <c r="A567" s="128"/>
      <c r="B567" s="128"/>
      <c r="C567" s="128"/>
      <c r="D567" s="112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51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8"/>
      <c r="CA567" s="128"/>
      <c r="CB567" s="128"/>
      <c r="CC567" s="128"/>
      <c r="CD567" s="128"/>
      <c r="CE567" s="128"/>
      <c r="CF567" s="128"/>
      <c r="CG567" s="128"/>
      <c r="CH567" s="128"/>
      <c r="CI567" s="128"/>
      <c r="CJ567" s="128"/>
      <c r="CK567" s="128"/>
      <c r="CL567" s="128"/>
      <c r="CM567" s="128"/>
      <c r="CN567" s="128"/>
      <c r="CO567" s="128"/>
      <c r="CP567" s="128"/>
      <c r="CQ567" s="128"/>
      <c r="CR567" s="128"/>
      <c r="CS567" s="128"/>
      <c r="CT567" s="128"/>
      <c r="CU567" s="128"/>
      <c r="CV567" s="128"/>
      <c r="CW567" s="128"/>
      <c r="CX567" s="128"/>
      <c r="CY567" s="128"/>
      <c r="CZ567" s="128"/>
    </row>
    <row r="568" spans="1:104">
      <c r="A568" s="128"/>
      <c r="B568" s="128"/>
      <c r="C568" s="128"/>
      <c r="D568" s="112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51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8"/>
      <c r="CA568" s="128"/>
      <c r="CB568" s="128"/>
      <c r="CC568" s="128"/>
      <c r="CD568" s="128"/>
      <c r="CE568" s="128"/>
      <c r="CF568" s="128"/>
      <c r="CG568" s="128"/>
      <c r="CH568" s="128"/>
      <c r="CI568" s="128"/>
      <c r="CJ568" s="128"/>
      <c r="CK568" s="128"/>
      <c r="CL568" s="128"/>
      <c r="CM568" s="128"/>
      <c r="CN568" s="128"/>
      <c r="CO568" s="128"/>
      <c r="CP568" s="128"/>
      <c r="CQ568" s="128"/>
      <c r="CR568" s="128"/>
      <c r="CS568" s="128"/>
      <c r="CT568" s="128"/>
      <c r="CU568" s="128"/>
      <c r="CV568" s="128"/>
      <c r="CW568" s="128"/>
      <c r="CX568" s="128"/>
      <c r="CY568" s="128"/>
      <c r="CZ568" s="128"/>
    </row>
    <row r="569" spans="1:104">
      <c r="A569" s="128"/>
      <c r="B569" s="128"/>
      <c r="C569" s="128"/>
      <c r="D569" s="112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51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8"/>
      <c r="CA569" s="128"/>
      <c r="CB569" s="128"/>
      <c r="CC569" s="128"/>
      <c r="CD569" s="128"/>
      <c r="CE569" s="128"/>
      <c r="CF569" s="128"/>
      <c r="CG569" s="128"/>
      <c r="CH569" s="128"/>
      <c r="CI569" s="128"/>
      <c r="CJ569" s="128"/>
      <c r="CK569" s="128"/>
      <c r="CL569" s="128"/>
      <c r="CM569" s="128"/>
      <c r="CN569" s="128"/>
      <c r="CO569" s="128"/>
      <c r="CP569" s="128"/>
      <c r="CQ569" s="128"/>
      <c r="CR569" s="128"/>
      <c r="CS569" s="128"/>
      <c r="CT569" s="128"/>
      <c r="CU569" s="128"/>
      <c r="CV569" s="128"/>
      <c r="CW569" s="128"/>
      <c r="CX569" s="128"/>
      <c r="CY569" s="128"/>
      <c r="CZ569" s="128"/>
    </row>
    <row r="570" spans="1:104">
      <c r="A570" s="128"/>
      <c r="B570" s="128"/>
      <c r="C570" s="128"/>
      <c r="D570" s="112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  <c r="AV570" s="128"/>
      <c r="AW570" s="128"/>
      <c r="AX570" s="128"/>
      <c r="AY570" s="128"/>
      <c r="AZ570" s="128"/>
      <c r="BA570" s="128"/>
      <c r="BB570" s="128"/>
      <c r="BC570" s="128"/>
      <c r="BD570" s="128"/>
      <c r="BE570" s="128"/>
      <c r="BF570" s="128"/>
      <c r="BG570" s="128"/>
      <c r="BH570" s="128"/>
      <c r="BI570" s="128"/>
      <c r="BJ570" s="128"/>
      <c r="BK570" s="128"/>
      <c r="BL570" s="128"/>
      <c r="BM570" s="151"/>
      <c r="BN570" s="128"/>
      <c r="BO570" s="128"/>
      <c r="BP570" s="128"/>
      <c r="BQ570" s="128"/>
      <c r="BR570" s="128"/>
      <c r="BS570" s="128"/>
      <c r="BT570" s="128"/>
      <c r="BU570" s="128"/>
      <c r="BV570" s="128"/>
      <c r="BW570" s="128"/>
      <c r="BX570" s="128"/>
      <c r="BY570" s="128"/>
      <c r="BZ570" s="128"/>
      <c r="CA570" s="128"/>
      <c r="CB570" s="128"/>
      <c r="CC570" s="128"/>
      <c r="CD570" s="128"/>
      <c r="CE570" s="128"/>
      <c r="CF570" s="128"/>
      <c r="CG570" s="128"/>
      <c r="CH570" s="128"/>
      <c r="CI570" s="128"/>
      <c r="CJ570" s="128"/>
      <c r="CK570" s="128"/>
      <c r="CL570" s="128"/>
      <c r="CM570" s="128"/>
      <c r="CN570" s="128"/>
      <c r="CO570" s="128"/>
      <c r="CP570" s="128"/>
      <c r="CQ570" s="128"/>
      <c r="CR570" s="128"/>
      <c r="CS570" s="128"/>
      <c r="CT570" s="128"/>
      <c r="CU570" s="128"/>
      <c r="CV570" s="128"/>
      <c r="CW570" s="128"/>
      <c r="CX570" s="128"/>
      <c r="CY570" s="128"/>
      <c r="CZ570" s="128"/>
    </row>
    <row r="571" spans="1:104">
      <c r="A571" s="128"/>
      <c r="B571" s="128"/>
      <c r="C571" s="128"/>
      <c r="D571" s="112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51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8"/>
      <c r="CA571" s="128"/>
      <c r="CB571" s="128"/>
      <c r="CC571" s="128"/>
      <c r="CD571" s="128"/>
      <c r="CE571" s="128"/>
      <c r="CF571" s="128"/>
      <c r="CG571" s="128"/>
      <c r="CH571" s="128"/>
      <c r="CI571" s="128"/>
      <c r="CJ571" s="128"/>
      <c r="CK571" s="128"/>
      <c r="CL571" s="128"/>
      <c r="CM571" s="128"/>
      <c r="CN571" s="128"/>
      <c r="CO571" s="128"/>
      <c r="CP571" s="128"/>
      <c r="CQ571" s="128"/>
      <c r="CR571" s="128"/>
      <c r="CS571" s="128"/>
      <c r="CT571" s="128"/>
      <c r="CU571" s="128"/>
      <c r="CV571" s="128"/>
      <c r="CW571" s="128"/>
      <c r="CX571" s="128"/>
      <c r="CY571" s="128"/>
      <c r="CZ571" s="128"/>
    </row>
    <row r="572" spans="1:104">
      <c r="A572" s="128"/>
      <c r="B572" s="128"/>
      <c r="C572" s="128"/>
      <c r="D572" s="112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51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8"/>
      <c r="CA572" s="128"/>
      <c r="CB572" s="128"/>
      <c r="CC572" s="128"/>
      <c r="CD572" s="128"/>
      <c r="CE572" s="128"/>
      <c r="CF572" s="128"/>
      <c r="CG572" s="128"/>
      <c r="CH572" s="128"/>
      <c r="CI572" s="128"/>
      <c r="CJ572" s="128"/>
      <c r="CK572" s="128"/>
      <c r="CL572" s="128"/>
      <c r="CM572" s="128"/>
      <c r="CN572" s="128"/>
      <c r="CO572" s="128"/>
      <c r="CP572" s="128"/>
      <c r="CQ572" s="128"/>
      <c r="CR572" s="128"/>
      <c r="CS572" s="128"/>
      <c r="CT572" s="128"/>
      <c r="CU572" s="128"/>
      <c r="CV572" s="128"/>
      <c r="CW572" s="128"/>
      <c r="CX572" s="128"/>
      <c r="CY572" s="128"/>
      <c r="CZ572" s="128"/>
    </row>
    <row r="573" spans="1:104">
      <c r="A573" s="128"/>
      <c r="B573" s="128"/>
      <c r="C573" s="128"/>
      <c r="D573" s="112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  <c r="AV573" s="128"/>
      <c r="AW573" s="128"/>
      <c r="AX573" s="128"/>
      <c r="AY573" s="128"/>
      <c r="AZ573" s="128"/>
      <c r="BA573" s="128"/>
      <c r="BB573" s="128"/>
      <c r="BC573" s="128"/>
      <c r="BD573" s="128"/>
      <c r="BE573" s="128"/>
      <c r="BF573" s="128"/>
      <c r="BG573" s="128"/>
      <c r="BH573" s="128"/>
      <c r="BI573" s="128"/>
      <c r="BJ573" s="128"/>
      <c r="BK573" s="128"/>
      <c r="BL573" s="128"/>
      <c r="BM573" s="151"/>
      <c r="BN573" s="128"/>
      <c r="BO573" s="128"/>
      <c r="BP573" s="128"/>
      <c r="BQ573" s="128"/>
      <c r="BR573" s="128"/>
      <c r="BS573" s="128"/>
      <c r="BT573" s="128"/>
      <c r="BU573" s="128"/>
      <c r="BV573" s="128"/>
      <c r="BW573" s="128"/>
      <c r="BX573" s="128"/>
      <c r="BY573" s="128"/>
      <c r="BZ573" s="128"/>
      <c r="CA573" s="128"/>
      <c r="CB573" s="128"/>
      <c r="CC573" s="128"/>
      <c r="CD573" s="128"/>
      <c r="CE573" s="128"/>
      <c r="CF573" s="128"/>
      <c r="CG573" s="128"/>
      <c r="CH573" s="128"/>
      <c r="CI573" s="128"/>
      <c r="CJ573" s="128"/>
      <c r="CK573" s="128"/>
      <c r="CL573" s="128"/>
      <c r="CM573" s="128"/>
      <c r="CN573" s="128"/>
      <c r="CO573" s="128"/>
      <c r="CP573" s="128"/>
      <c r="CQ573" s="128"/>
      <c r="CR573" s="128"/>
      <c r="CS573" s="128"/>
      <c r="CT573" s="128"/>
      <c r="CU573" s="128"/>
      <c r="CV573" s="128"/>
      <c r="CW573" s="128"/>
      <c r="CX573" s="128"/>
      <c r="CY573" s="128"/>
      <c r="CZ573" s="128"/>
    </row>
    <row r="574" spans="1:104">
      <c r="A574" s="128"/>
      <c r="B574" s="128"/>
      <c r="C574" s="128"/>
      <c r="D574" s="112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  <c r="AV574" s="128"/>
      <c r="AW574" s="128"/>
      <c r="AX574" s="128"/>
      <c r="AY574" s="128"/>
      <c r="AZ574" s="128"/>
      <c r="BA574" s="128"/>
      <c r="BB574" s="128"/>
      <c r="BC574" s="128"/>
      <c r="BD574" s="128"/>
      <c r="BE574" s="128"/>
      <c r="BF574" s="128"/>
      <c r="BG574" s="128"/>
      <c r="BH574" s="128"/>
      <c r="BI574" s="128"/>
      <c r="BJ574" s="128"/>
      <c r="BK574" s="128"/>
      <c r="BL574" s="128"/>
      <c r="BM574" s="151"/>
      <c r="BN574" s="128"/>
      <c r="BO574" s="128"/>
      <c r="BP574" s="128"/>
      <c r="BQ574" s="128"/>
      <c r="BR574" s="128"/>
      <c r="BS574" s="128"/>
      <c r="BT574" s="128"/>
      <c r="BU574" s="128"/>
      <c r="BV574" s="128"/>
      <c r="BW574" s="128"/>
      <c r="BX574" s="128"/>
      <c r="BY574" s="128"/>
      <c r="BZ574" s="128"/>
      <c r="CA574" s="128"/>
      <c r="CB574" s="128"/>
      <c r="CC574" s="128"/>
      <c r="CD574" s="128"/>
      <c r="CE574" s="128"/>
      <c r="CF574" s="128"/>
      <c r="CG574" s="128"/>
      <c r="CH574" s="128"/>
      <c r="CI574" s="128"/>
      <c r="CJ574" s="128"/>
      <c r="CK574" s="128"/>
      <c r="CL574" s="128"/>
      <c r="CM574" s="128"/>
      <c r="CN574" s="128"/>
      <c r="CO574" s="128"/>
      <c r="CP574" s="128"/>
      <c r="CQ574" s="128"/>
      <c r="CR574" s="128"/>
      <c r="CS574" s="128"/>
      <c r="CT574" s="128"/>
      <c r="CU574" s="128"/>
      <c r="CV574" s="128"/>
      <c r="CW574" s="128"/>
      <c r="CX574" s="128"/>
      <c r="CY574" s="128"/>
      <c r="CZ574" s="128"/>
    </row>
    <row r="575" spans="1:104">
      <c r="A575" s="128"/>
      <c r="B575" s="128"/>
      <c r="C575" s="128"/>
      <c r="D575" s="112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  <c r="AV575" s="128"/>
      <c r="AW575" s="128"/>
      <c r="AX575" s="128"/>
      <c r="AY575" s="128"/>
      <c r="AZ575" s="128"/>
      <c r="BA575" s="128"/>
      <c r="BB575" s="128"/>
      <c r="BC575" s="128"/>
      <c r="BD575" s="128"/>
      <c r="BE575" s="128"/>
      <c r="BF575" s="128"/>
      <c r="BG575" s="128"/>
      <c r="BH575" s="128"/>
      <c r="BI575" s="128"/>
      <c r="BJ575" s="128"/>
      <c r="BK575" s="128"/>
      <c r="BL575" s="128"/>
      <c r="BM575" s="151"/>
      <c r="BN575" s="128"/>
      <c r="BO575" s="128"/>
      <c r="BP575" s="128"/>
      <c r="BQ575" s="128"/>
      <c r="BR575" s="128"/>
      <c r="BS575" s="128"/>
      <c r="BT575" s="128"/>
      <c r="BU575" s="128"/>
      <c r="BV575" s="128"/>
      <c r="BW575" s="128"/>
      <c r="BX575" s="128"/>
      <c r="BY575" s="128"/>
      <c r="BZ575" s="128"/>
      <c r="CA575" s="128"/>
      <c r="CB575" s="128"/>
      <c r="CC575" s="128"/>
      <c r="CD575" s="128"/>
      <c r="CE575" s="128"/>
      <c r="CF575" s="128"/>
      <c r="CG575" s="128"/>
      <c r="CH575" s="128"/>
      <c r="CI575" s="128"/>
      <c r="CJ575" s="128"/>
      <c r="CK575" s="128"/>
      <c r="CL575" s="128"/>
      <c r="CM575" s="128"/>
      <c r="CN575" s="128"/>
      <c r="CO575" s="128"/>
      <c r="CP575" s="128"/>
      <c r="CQ575" s="128"/>
      <c r="CR575" s="128"/>
      <c r="CS575" s="128"/>
      <c r="CT575" s="128"/>
      <c r="CU575" s="128"/>
      <c r="CV575" s="128"/>
      <c r="CW575" s="128"/>
      <c r="CX575" s="128"/>
      <c r="CY575" s="128"/>
      <c r="CZ575" s="128"/>
    </row>
    <row r="576" spans="1:104">
      <c r="A576" s="128"/>
      <c r="B576" s="128"/>
      <c r="C576" s="128"/>
      <c r="D576" s="112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51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8"/>
      <c r="BX576" s="128"/>
      <c r="BY576" s="128"/>
      <c r="BZ576" s="128"/>
      <c r="CA576" s="128"/>
      <c r="CB576" s="128"/>
      <c r="CC576" s="128"/>
      <c r="CD576" s="128"/>
      <c r="CE576" s="128"/>
      <c r="CF576" s="128"/>
      <c r="CG576" s="128"/>
      <c r="CH576" s="128"/>
      <c r="CI576" s="128"/>
      <c r="CJ576" s="128"/>
      <c r="CK576" s="128"/>
      <c r="CL576" s="128"/>
      <c r="CM576" s="128"/>
      <c r="CN576" s="128"/>
      <c r="CO576" s="128"/>
      <c r="CP576" s="128"/>
      <c r="CQ576" s="128"/>
      <c r="CR576" s="128"/>
      <c r="CS576" s="128"/>
      <c r="CT576" s="128"/>
      <c r="CU576" s="128"/>
      <c r="CV576" s="128"/>
      <c r="CW576" s="128"/>
      <c r="CX576" s="128"/>
      <c r="CY576" s="128"/>
      <c r="CZ576" s="128"/>
    </row>
    <row r="577" spans="1:104">
      <c r="A577" s="128"/>
      <c r="B577" s="128"/>
      <c r="C577" s="128"/>
      <c r="D577" s="112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51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8"/>
      <c r="CA577" s="128"/>
      <c r="CB577" s="128"/>
      <c r="CC577" s="128"/>
      <c r="CD577" s="128"/>
      <c r="CE577" s="128"/>
      <c r="CF577" s="128"/>
      <c r="CG577" s="128"/>
      <c r="CH577" s="128"/>
      <c r="CI577" s="128"/>
      <c r="CJ577" s="128"/>
      <c r="CK577" s="128"/>
      <c r="CL577" s="128"/>
      <c r="CM577" s="128"/>
      <c r="CN577" s="128"/>
      <c r="CO577" s="128"/>
      <c r="CP577" s="128"/>
      <c r="CQ577" s="128"/>
      <c r="CR577" s="128"/>
      <c r="CS577" s="128"/>
      <c r="CT577" s="128"/>
      <c r="CU577" s="128"/>
      <c r="CV577" s="128"/>
      <c r="CW577" s="128"/>
      <c r="CX577" s="128"/>
      <c r="CY577" s="128"/>
      <c r="CZ577" s="128"/>
    </row>
    <row r="578" spans="1:104">
      <c r="A578" s="128"/>
      <c r="B578" s="128"/>
      <c r="C578" s="128"/>
      <c r="D578" s="112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51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28"/>
      <c r="CD578" s="128"/>
      <c r="CE578" s="128"/>
      <c r="CF578" s="128"/>
      <c r="CG578" s="128"/>
      <c r="CH578" s="128"/>
      <c r="CI578" s="128"/>
      <c r="CJ578" s="128"/>
      <c r="CK578" s="128"/>
      <c r="CL578" s="128"/>
      <c r="CM578" s="128"/>
      <c r="CN578" s="128"/>
      <c r="CO578" s="128"/>
      <c r="CP578" s="128"/>
      <c r="CQ578" s="128"/>
      <c r="CR578" s="128"/>
      <c r="CS578" s="128"/>
      <c r="CT578" s="128"/>
      <c r="CU578" s="128"/>
      <c r="CV578" s="128"/>
      <c r="CW578" s="128"/>
      <c r="CX578" s="128"/>
      <c r="CY578" s="128"/>
      <c r="CZ578" s="128"/>
    </row>
    <row r="579" spans="1:104">
      <c r="A579" s="128"/>
      <c r="B579" s="128"/>
      <c r="C579" s="128"/>
      <c r="D579" s="112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51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8"/>
      <c r="CA579" s="128"/>
      <c r="CB579" s="128"/>
      <c r="CC579" s="128"/>
      <c r="CD579" s="128"/>
      <c r="CE579" s="128"/>
      <c r="CF579" s="128"/>
      <c r="CG579" s="128"/>
      <c r="CH579" s="128"/>
      <c r="CI579" s="128"/>
      <c r="CJ579" s="128"/>
      <c r="CK579" s="128"/>
      <c r="CL579" s="128"/>
      <c r="CM579" s="128"/>
      <c r="CN579" s="128"/>
      <c r="CO579" s="128"/>
      <c r="CP579" s="128"/>
      <c r="CQ579" s="128"/>
      <c r="CR579" s="128"/>
      <c r="CS579" s="128"/>
      <c r="CT579" s="128"/>
      <c r="CU579" s="128"/>
      <c r="CV579" s="128"/>
      <c r="CW579" s="128"/>
      <c r="CX579" s="128"/>
      <c r="CY579" s="128"/>
      <c r="CZ579" s="128"/>
    </row>
    <row r="580" spans="1:104">
      <c r="A580" s="128"/>
      <c r="B580" s="128"/>
      <c r="C580" s="128"/>
      <c r="D580" s="112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51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/>
      <c r="BZ580" s="128"/>
      <c r="CA580" s="128"/>
      <c r="CB580" s="128"/>
      <c r="CC580" s="128"/>
      <c r="CD580" s="128"/>
      <c r="CE580" s="128"/>
      <c r="CF580" s="128"/>
      <c r="CG580" s="128"/>
      <c r="CH580" s="128"/>
      <c r="CI580" s="128"/>
      <c r="CJ580" s="128"/>
      <c r="CK580" s="128"/>
      <c r="CL580" s="128"/>
      <c r="CM580" s="128"/>
      <c r="CN580" s="128"/>
      <c r="CO580" s="128"/>
      <c r="CP580" s="128"/>
      <c r="CQ580" s="128"/>
      <c r="CR580" s="128"/>
      <c r="CS580" s="128"/>
      <c r="CT580" s="128"/>
      <c r="CU580" s="128"/>
      <c r="CV580" s="128"/>
      <c r="CW580" s="128"/>
      <c r="CX580" s="128"/>
      <c r="CY580" s="128"/>
      <c r="CZ580" s="128"/>
    </row>
    <row r="581" spans="1:104">
      <c r="A581" s="128"/>
      <c r="B581" s="128"/>
      <c r="C581" s="128"/>
      <c r="D581" s="112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  <c r="AV581" s="128"/>
      <c r="AW581" s="128"/>
      <c r="AX581" s="128"/>
      <c r="AY581" s="128"/>
      <c r="AZ581" s="128"/>
      <c r="BA581" s="128"/>
      <c r="BB581" s="128"/>
      <c r="BC581" s="128"/>
      <c r="BD581" s="128"/>
      <c r="BE581" s="128"/>
      <c r="BF581" s="128"/>
      <c r="BG581" s="128"/>
      <c r="BH581" s="128"/>
      <c r="BI581" s="128"/>
      <c r="BJ581" s="128"/>
      <c r="BK581" s="128"/>
      <c r="BL581" s="128"/>
      <c r="BM581" s="151"/>
      <c r="BN581" s="128"/>
      <c r="BO581" s="128"/>
      <c r="BP581" s="128"/>
      <c r="BQ581" s="128"/>
      <c r="BR581" s="128"/>
      <c r="BS581" s="128"/>
      <c r="BT581" s="128"/>
      <c r="BU581" s="128"/>
      <c r="BV581" s="128"/>
      <c r="BW581" s="128"/>
      <c r="BX581" s="128"/>
      <c r="BY581" s="128"/>
      <c r="BZ581" s="128"/>
      <c r="CA581" s="128"/>
      <c r="CB581" s="128"/>
      <c r="CC581" s="128"/>
      <c r="CD581" s="128"/>
      <c r="CE581" s="128"/>
      <c r="CF581" s="128"/>
      <c r="CG581" s="128"/>
      <c r="CH581" s="128"/>
      <c r="CI581" s="128"/>
      <c r="CJ581" s="128"/>
      <c r="CK581" s="128"/>
      <c r="CL581" s="128"/>
      <c r="CM581" s="128"/>
      <c r="CN581" s="128"/>
      <c r="CO581" s="128"/>
      <c r="CP581" s="128"/>
      <c r="CQ581" s="128"/>
      <c r="CR581" s="128"/>
      <c r="CS581" s="128"/>
      <c r="CT581" s="128"/>
      <c r="CU581" s="128"/>
      <c r="CV581" s="128"/>
      <c r="CW581" s="128"/>
      <c r="CX581" s="128"/>
      <c r="CY581" s="128"/>
      <c r="CZ581" s="128"/>
    </row>
    <row r="582" spans="1:104">
      <c r="A582" s="128"/>
      <c r="B582" s="128"/>
      <c r="C582" s="128"/>
      <c r="D582" s="112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  <c r="AV582" s="128"/>
      <c r="AW582" s="128"/>
      <c r="AX582" s="128"/>
      <c r="AY582" s="128"/>
      <c r="AZ582" s="128"/>
      <c r="BA582" s="128"/>
      <c r="BB582" s="128"/>
      <c r="BC582" s="128"/>
      <c r="BD582" s="128"/>
      <c r="BE582" s="128"/>
      <c r="BF582" s="128"/>
      <c r="BG582" s="128"/>
      <c r="BH582" s="128"/>
      <c r="BI582" s="128"/>
      <c r="BJ582" s="128"/>
      <c r="BK582" s="128"/>
      <c r="BL582" s="128"/>
      <c r="BM582" s="151"/>
      <c r="BN582" s="128"/>
      <c r="BO582" s="128"/>
      <c r="BP582" s="128"/>
      <c r="BQ582" s="128"/>
      <c r="BR582" s="128"/>
      <c r="BS582" s="128"/>
      <c r="BT582" s="128"/>
      <c r="BU582" s="128"/>
      <c r="BV582" s="128"/>
      <c r="BW582" s="128"/>
      <c r="BX582" s="128"/>
      <c r="BY582" s="128"/>
      <c r="BZ582" s="128"/>
      <c r="CA582" s="128"/>
      <c r="CB582" s="128"/>
      <c r="CC582" s="128"/>
      <c r="CD582" s="128"/>
      <c r="CE582" s="128"/>
      <c r="CF582" s="128"/>
      <c r="CG582" s="128"/>
      <c r="CH582" s="128"/>
      <c r="CI582" s="128"/>
      <c r="CJ582" s="128"/>
      <c r="CK582" s="128"/>
      <c r="CL582" s="128"/>
      <c r="CM582" s="128"/>
      <c r="CN582" s="128"/>
      <c r="CO582" s="128"/>
      <c r="CP582" s="128"/>
      <c r="CQ582" s="128"/>
      <c r="CR582" s="128"/>
      <c r="CS582" s="128"/>
      <c r="CT582" s="128"/>
      <c r="CU582" s="128"/>
      <c r="CV582" s="128"/>
      <c r="CW582" s="128"/>
      <c r="CX582" s="128"/>
      <c r="CY582" s="128"/>
      <c r="CZ582" s="128"/>
    </row>
    <row r="583" spans="1:104">
      <c r="A583" s="128"/>
      <c r="B583" s="128"/>
      <c r="C583" s="128"/>
      <c r="D583" s="112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51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28"/>
      <c r="CC583" s="128"/>
      <c r="CD583" s="128"/>
      <c r="CE583" s="128"/>
      <c r="CF583" s="128"/>
      <c r="CG583" s="128"/>
      <c r="CH583" s="128"/>
      <c r="CI583" s="128"/>
      <c r="CJ583" s="128"/>
      <c r="CK583" s="128"/>
      <c r="CL583" s="128"/>
      <c r="CM583" s="128"/>
      <c r="CN583" s="128"/>
      <c r="CO583" s="128"/>
      <c r="CP583" s="128"/>
      <c r="CQ583" s="128"/>
      <c r="CR583" s="128"/>
      <c r="CS583" s="128"/>
      <c r="CT583" s="128"/>
      <c r="CU583" s="128"/>
      <c r="CV583" s="128"/>
      <c r="CW583" s="128"/>
      <c r="CX583" s="128"/>
      <c r="CY583" s="128"/>
      <c r="CZ583" s="128"/>
    </row>
    <row r="584" spans="1:104">
      <c r="A584" s="128"/>
      <c r="B584" s="128"/>
      <c r="C584" s="128"/>
      <c r="D584" s="112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  <c r="AV584" s="128"/>
      <c r="AW584" s="128"/>
      <c r="AX584" s="128"/>
      <c r="AY584" s="128"/>
      <c r="AZ584" s="128"/>
      <c r="BA584" s="128"/>
      <c r="BB584" s="128"/>
      <c r="BC584" s="128"/>
      <c r="BD584" s="128"/>
      <c r="BE584" s="128"/>
      <c r="BF584" s="128"/>
      <c r="BG584" s="128"/>
      <c r="BH584" s="128"/>
      <c r="BI584" s="128"/>
      <c r="BJ584" s="128"/>
      <c r="BK584" s="128"/>
      <c r="BL584" s="128"/>
      <c r="BM584" s="151"/>
      <c r="BN584" s="128"/>
      <c r="BO584" s="128"/>
      <c r="BP584" s="128"/>
      <c r="BQ584" s="128"/>
      <c r="BR584" s="128"/>
      <c r="BS584" s="128"/>
      <c r="BT584" s="128"/>
      <c r="BU584" s="128"/>
      <c r="BV584" s="128"/>
      <c r="BW584" s="128"/>
      <c r="BX584" s="128"/>
      <c r="BY584" s="128"/>
      <c r="BZ584" s="128"/>
      <c r="CA584" s="128"/>
      <c r="CB584" s="128"/>
      <c r="CC584" s="128"/>
      <c r="CD584" s="128"/>
      <c r="CE584" s="128"/>
      <c r="CF584" s="128"/>
      <c r="CG584" s="128"/>
      <c r="CH584" s="128"/>
      <c r="CI584" s="128"/>
      <c r="CJ584" s="128"/>
      <c r="CK584" s="128"/>
      <c r="CL584" s="128"/>
      <c r="CM584" s="128"/>
      <c r="CN584" s="128"/>
      <c r="CO584" s="128"/>
      <c r="CP584" s="128"/>
      <c r="CQ584" s="128"/>
      <c r="CR584" s="128"/>
      <c r="CS584" s="128"/>
      <c r="CT584" s="128"/>
      <c r="CU584" s="128"/>
      <c r="CV584" s="128"/>
      <c r="CW584" s="128"/>
      <c r="CX584" s="128"/>
      <c r="CY584" s="128"/>
      <c r="CZ584" s="128"/>
    </row>
    <row r="585" spans="1:104">
      <c r="A585" s="128"/>
      <c r="B585" s="128"/>
      <c r="C585" s="128"/>
      <c r="D585" s="112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  <c r="AV585" s="128"/>
      <c r="AW585" s="128"/>
      <c r="AX585" s="128"/>
      <c r="AY585" s="128"/>
      <c r="AZ585" s="128"/>
      <c r="BA585" s="128"/>
      <c r="BB585" s="128"/>
      <c r="BC585" s="128"/>
      <c r="BD585" s="128"/>
      <c r="BE585" s="128"/>
      <c r="BF585" s="128"/>
      <c r="BG585" s="128"/>
      <c r="BH585" s="128"/>
      <c r="BI585" s="128"/>
      <c r="BJ585" s="128"/>
      <c r="BK585" s="128"/>
      <c r="BL585" s="128"/>
      <c r="BM585" s="151"/>
      <c r="BN585" s="128"/>
      <c r="BO585" s="128"/>
      <c r="BP585" s="128"/>
      <c r="BQ585" s="128"/>
      <c r="BR585" s="128"/>
      <c r="BS585" s="128"/>
      <c r="BT585" s="128"/>
      <c r="BU585" s="128"/>
      <c r="BV585" s="128"/>
      <c r="BW585" s="128"/>
      <c r="BX585" s="128"/>
      <c r="BY585" s="128"/>
      <c r="BZ585" s="128"/>
      <c r="CA585" s="128"/>
      <c r="CB585" s="128"/>
      <c r="CC585" s="128"/>
      <c r="CD585" s="128"/>
      <c r="CE585" s="128"/>
      <c r="CF585" s="128"/>
      <c r="CG585" s="128"/>
      <c r="CH585" s="128"/>
      <c r="CI585" s="128"/>
      <c r="CJ585" s="128"/>
      <c r="CK585" s="128"/>
      <c r="CL585" s="128"/>
      <c r="CM585" s="128"/>
      <c r="CN585" s="128"/>
      <c r="CO585" s="128"/>
      <c r="CP585" s="128"/>
      <c r="CQ585" s="128"/>
      <c r="CR585" s="128"/>
      <c r="CS585" s="128"/>
      <c r="CT585" s="128"/>
      <c r="CU585" s="128"/>
      <c r="CV585" s="128"/>
      <c r="CW585" s="128"/>
      <c r="CX585" s="128"/>
      <c r="CY585" s="128"/>
      <c r="CZ585" s="128"/>
    </row>
    <row r="586" spans="1:104">
      <c r="A586" s="128"/>
      <c r="B586" s="128"/>
      <c r="C586" s="128"/>
      <c r="D586" s="112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51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8"/>
      <c r="CA586" s="128"/>
      <c r="CB586" s="128"/>
      <c r="CC586" s="128"/>
      <c r="CD586" s="128"/>
      <c r="CE586" s="128"/>
      <c r="CF586" s="128"/>
      <c r="CG586" s="128"/>
      <c r="CH586" s="128"/>
      <c r="CI586" s="128"/>
      <c r="CJ586" s="128"/>
      <c r="CK586" s="128"/>
      <c r="CL586" s="128"/>
      <c r="CM586" s="128"/>
      <c r="CN586" s="128"/>
      <c r="CO586" s="128"/>
      <c r="CP586" s="128"/>
      <c r="CQ586" s="128"/>
      <c r="CR586" s="128"/>
      <c r="CS586" s="128"/>
      <c r="CT586" s="128"/>
      <c r="CU586" s="128"/>
      <c r="CV586" s="128"/>
      <c r="CW586" s="128"/>
      <c r="CX586" s="128"/>
      <c r="CY586" s="128"/>
      <c r="CZ586" s="128"/>
    </row>
    <row r="587" spans="1:104">
      <c r="A587" s="128"/>
      <c r="B587" s="128"/>
      <c r="C587" s="128"/>
      <c r="D587" s="112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/>
      <c r="BJ587" s="128"/>
      <c r="BK587" s="128"/>
      <c r="BL587" s="128"/>
      <c r="BM587" s="151"/>
      <c r="BN587" s="128"/>
      <c r="BO587" s="128"/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8"/>
      <c r="CA587" s="128"/>
      <c r="CB587" s="128"/>
      <c r="CC587" s="128"/>
      <c r="CD587" s="128"/>
      <c r="CE587" s="128"/>
      <c r="CF587" s="128"/>
      <c r="CG587" s="128"/>
      <c r="CH587" s="128"/>
      <c r="CI587" s="128"/>
      <c r="CJ587" s="128"/>
      <c r="CK587" s="128"/>
      <c r="CL587" s="128"/>
      <c r="CM587" s="128"/>
      <c r="CN587" s="128"/>
      <c r="CO587" s="128"/>
      <c r="CP587" s="128"/>
      <c r="CQ587" s="128"/>
      <c r="CR587" s="128"/>
      <c r="CS587" s="128"/>
      <c r="CT587" s="128"/>
      <c r="CU587" s="128"/>
      <c r="CV587" s="128"/>
      <c r="CW587" s="128"/>
      <c r="CX587" s="128"/>
      <c r="CY587" s="128"/>
      <c r="CZ587" s="128"/>
    </row>
    <row r="588" spans="1:104">
      <c r="A588" s="128"/>
      <c r="B588" s="128"/>
      <c r="C588" s="128"/>
      <c r="D588" s="112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51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8"/>
      <c r="CA588" s="128"/>
      <c r="CB588" s="128"/>
      <c r="CC588" s="128"/>
      <c r="CD588" s="128"/>
      <c r="CE588" s="128"/>
      <c r="CF588" s="128"/>
      <c r="CG588" s="128"/>
      <c r="CH588" s="128"/>
      <c r="CI588" s="128"/>
      <c r="CJ588" s="128"/>
      <c r="CK588" s="128"/>
      <c r="CL588" s="128"/>
      <c r="CM588" s="128"/>
      <c r="CN588" s="128"/>
      <c r="CO588" s="128"/>
      <c r="CP588" s="128"/>
      <c r="CQ588" s="128"/>
      <c r="CR588" s="128"/>
      <c r="CS588" s="128"/>
      <c r="CT588" s="128"/>
      <c r="CU588" s="128"/>
      <c r="CV588" s="128"/>
      <c r="CW588" s="128"/>
      <c r="CX588" s="128"/>
      <c r="CY588" s="128"/>
      <c r="CZ588" s="128"/>
    </row>
    <row r="589" spans="1:104">
      <c r="A589" s="128"/>
      <c r="B589" s="128"/>
      <c r="C589" s="128"/>
      <c r="D589" s="112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51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8"/>
      <c r="CA589" s="128"/>
      <c r="CB589" s="128"/>
      <c r="CC589" s="128"/>
      <c r="CD589" s="128"/>
      <c r="CE589" s="128"/>
      <c r="CF589" s="128"/>
      <c r="CG589" s="128"/>
      <c r="CH589" s="128"/>
      <c r="CI589" s="128"/>
      <c r="CJ589" s="128"/>
      <c r="CK589" s="128"/>
      <c r="CL589" s="128"/>
      <c r="CM589" s="128"/>
      <c r="CN589" s="128"/>
      <c r="CO589" s="128"/>
      <c r="CP589" s="128"/>
      <c r="CQ589" s="128"/>
      <c r="CR589" s="128"/>
      <c r="CS589" s="128"/>
      <c r="CT589" s="128"/>
      <c r="CU589" s="128"/>
      <c r="CV589" s="128"/>
      <c r="CW589" s="128"/>
      <c r="CX589" s="128"/>
      <c r="CY589" s="128"/>
      <c r="CZ589" s="128"/>
    </row>
    <row r="590" spans="1:104">
      <c r="A590" s="128"/>
      <c r="B590" s="128"/>
      <c r="C590" s="128"/>
      <c r="D590" s="112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  <c r="AV590" s="128"/>
      <c r="AW590" s="128"/>
      <c r="AX590" s="128"/>
      <c r="AY590" s="128"/>
      <c r="AZ590" s="128"/>
      <c r="BA590" s="128"/>
      <c r="BB590" s="128"/>
      <c r="BC590" s="128"/>
      <c r="BD590" s="128"/>
      <c r="BE590" s="128"/>
      <c r="BF590" s="128"/>
      <c r="BG590" s="128"/>
      <c r="BH590" s="128"/>
      <c r="BI590" s="128"/>
      <c r="BJ590" s="128"/>
      <c r="BK590" s="128"/>
      <c r="BL590" s="128"/>
      <c r="BM590" s="151"/>
      <c r="BN590" s="128"/>
      <c r="BO590" s="128"/>
      <c r="BP590" s="128"/>
      <c r="BQ590" s="128"/>
      <c r="BR590" s="128"/>
      <c r="BS590" s="128"/>
      <c r="BT590" s="128"/>
      <c r="BU590" s="128"/>
      <c r="BV590" s="128"/>
      <c r="BW590" s="128"/>
      <c r="BX590" s="128"/>
      <c r="BY590" s="128"/>
      <c r="BZ590" s="128"/>
      <c r="CA590" s="128"/>
      <c r="CB590" s="128"/>
      <c r="CC590" s="128"/>
      <c r="CD590" s="128"/>
      <c r="CE590" s="128"/>
      <c r="CF590" s="128"/>
      <c r="CG590" s="128"/>
      <c r="CH590" s="128"/>
      <c r="CI590" s="128"/>
      <c r="CJ590" s="128"/>
      <c r="CK590" s="128"/>
      <c r="CL590" s="128"/>
      <c r="CM590" s="128"/>
      <c r="CN590" s="128"/>
      <c r="CO590" s="128"/>
      <c r="CP590" s="128"/>
      <c r="CQ590" s="128"/>
      <c r="CR590" s="128"/>
      <c r="CS590" s="128"/>
      <c r="CT590" s="128"/>
      <c r="CU590" s="128"/>
      <c r="CV590" s="128"/>
      <c r="CW590" s="128"/>
      <c r="CX590" s="128"/>
      <c r="CY590" s="128"/>
      <c r="CZ590" s="128"/>
    </row>
    <row r="591" spans="1:104">
      <c r="A591" s="128"/>
      <c r="B591" s="128"/>
      <c r="C591" s="128"/>
      <c r="D591" s="112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/>
      <c r="BK591" s="128"/>
      <c r="BL591" s="128"/>
      <c r="BM591" s="151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8"/>
      <c r="BX591" s="128"/>
      <c r="BY591" s="128"/>
      <c r="BZ591" s="128"/>
      <c r="CA591" s="128"/>
      <c r="CB591" s="128"/>
      <c r="CC591" s="128"/>
      <c r="CD591" s="128"/>
      <c r="CE591" s="128"/>
      <c r="CF591" s="128"/>
      <c r="CG591" s="128"/>
      <c r="CH591" s="128"/>
      <c r="CI591" s="128"/>
      <c r="CJ591" s="128"/>
      <c r="CK591" s="128"/>
      <c r="CL591" s="128"/>
      <c r="CM591" s="128"/>
      <c r="CN591" s="128"/>
      <c r="CO591" s="128"/>
      <c r="CP591" s="128"/>
      <c r="CQ591" s="128"/>
      <c r="CR591" s="128"/>
      <c r="CS591" s="128"/>
      <c r="CT591" s="128"/>
      <c r="CU591" s="128"/>
      <c r="CV591" s="128"/>
      <c r="CW591" s="128"/>
      <c r="CX591" s="128"/>
      <c r="CY591" s="128"/>
      <c r="CZ591" s="128"/>
    </row>
    <row r="592" spans="1:104">
      <c r="A592" s="128"/>
      <c r="B592" s="128"/>
      <c r="C592" s="128"/>
      <c r="D592" s="112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  <c r="AV592" s="128"/>
      <c r="AW592" s="128"/>
      <c r="AX592" s="128"/>
      <c r="AY592" s="128"/>
      <c r="AZ592" s="128"/>
      <c r="BA592" s="128"/>
      <c r="BB592" s="128"/>
      <c r="BC592" s="128"/>
      <c r="BD592" s="128"/>
      <c r="BE592" s="128"/>
      <c r="BF592" s="128"/>
      <c r="BG592" s="128"/>
      <c r="BH592" s="128"/>
      <c r="BI592" s="128"/>
      <c r="BJ592" s="128"/>
      <c r="BK592" s="128"/>
      <c r="BL592" s="128"/>
      <c r="BM592" s="151"/>
      <c r="BN592" s="128"/>
      <c r="BO592" s="128"/>
      <c r="BP592" s="128"/>
      <c r="BQ592" s="128"/>
      <c r="BR592" s="128"/>
      <c r="BS592" s="128"/>
      <c r="BT592" s="128"/>
      <c r="BU592" s="128"/>
      <c r="BV592" s="128"/>
      <c r="BW592" s="128"/>
      <c r="BX592" s="128"/>
      <c r="BY592" s="128"/>
      <c r="BZ592" s="128"/>
      <c r="CA592" s="128"/>
      <c r="CB592" s="128"/>
      <c r="CC592" s="128"/>
      <c r="CD592" s="128"/>
      <c r="CE592" s="128"/>
      <c r="CF592" s="128"/>
      <c r="CG592" s="128"/>
      <c r="CH592" s="128"/>
      <c r="CI592" s="128"/>
      <c r="CJ592" s="128"/>
      <c r="CK592" s="128"/>
      <c r="CL592" s="128"/>
      <c r="CM592" s="128"/>
      <c r="CN592" s="128"/>
      <c r="CO592" s="128"/>
      <c r="CP592" s="128"/>
      <c r="CQ592" s="128"/>
      <c r="CR592" s="128"/>
      <c r="CS592" s="128"/>
      <c r="CT592" s="128"/>
      <c r="CU592" s="128"/>
      <c r="CV592" s="128"/>
      <c r="CW592" s="128"/>
      <c r="CX592" s="128"/>
      <c r="CY592" s="128"/>
      <c r="CZ592" s="128"/>
    </row>
    <row r="593" spans="1:104">
      <c r="A593" s="128"/>
      <c r="B593" s="128"/>
      <c r="C593" s="128"/>
      <c r="D593" s="112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  <c r="AV593" s="128"/>
      <c r="AW593" s="128"/>
      <c r="AX593" s="128"/>
      <c r="AY593" s="128"/>
      <c r="AZ593" s="128"/>
      <c r="BA593" s="128"/>
      <c r="BB593" s="128"/>
      <c r="BC593" s="128"/>
      <c r="BD593" s="128"/>
      <c r="BE593" s="128"/>
      <c r="BF593" s="128"/>
      <c r="BG593" s="128"/>
      <c r="BH593" s="128"/>
      <c r="BI593" s="128"/>
      <c r="BJ593" s="128"/>
      <c r="BK593" s="128"/>
      <c r="BL593" s="128"/>
      <c r="BM593" s="151"/>
      <c r="BN593" s="128"/>
      <c r="BO593" s="128"/>
      <c r="BP593" s="128"/>
      <c r="BQ593" s="128"/>
      <c r="BR593" s="128"/>
      <c r="BS593" s="128"/>
      <c r="BT593" s="128"/>
      <c r="BU593" s="128"/>
      <c r="BV593" s="128"/>
      <c r="BW593" s="128"/>
      <c r="BX593" s="128"/>
      <c r="BY593" s="128"/>
      <c r="BZ593" s="128"/>
      <c r="CA593" s="128"/>
      <c r="CB593" s="128"/>
      <c r="CC593" s="128"/>
      <c r="CD593" s="128"/>
      <c r="CE593" s="128"/>
      <c r="CF593" s="128"/>
      <c r="CG593" s="128"/>
      <c r="CH593" s="128"/>
      <c r="CI593" s="128"/>
      <c r="CJ593" s="128"/>
      <c r="CK593" s="128"/>
      <c r="CL593" s="128"/>
      <c r="CM593" s="128"/>
      <c r="CN593" s="128"/>
      <c r="CO593" s="128"/>
      <c r="CP593" s="128"/>
      <c r="CQ593" s="128"/>
      <c r="CR593" s="128"/>
      <c r="CS593" s="128"/>
      <c r="CT593" s="128"/>
      <c r="CU593" s="128"/>
      <c r="CV593" s="128"/>
      <c r="CW593" s="128"/>
      <c r="CX593" s="128"/>
      <c r="CY593" s="128"/>
      <c r="CZ593" s="128"/>
    </row>
    <row r="594" spans="1:104">
      <c r="A594" s="128"/>
      <c r="B594" s="128"/>
      <c r="C594" s="128"/>
      <c r="D594" s="112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  <c r="AV594" s="128"/>
      <c r="AW594" s="128"/>
      <c r="AX594" s="128"/>
      <c r="AY594" s="128"/>
      <c r="AZ594" s="128"/>
      <c r="BA594" s="128"/>
      <c r="BB594" s="128"/>
      <c r="BC594" s="128"/>
      <c r="BD594" s="128"/>
      <c r="BE594" s="128"/>
      <c r="BF594" s="128"/>
      <c r="BG594" s="128"/>
      <c r="BH594" s="128"/>
      <c r="BI594" s="128"/>
      <c r="BJ594" s="128"/>
      <c r="BK594" s="128"/>
      <c r="BL594" s="128"/>
      <c r="BM594" s="151"/>
      <c r="BN594" s="128"/>
      <c r="BO594" s="128"/>
      <c r="BP594" s="128"/>
      <c r="BQ594" s="128"/>
      <c r="BR594" s="128"/>
      <c r="BS594" s="128"/>
      <c r="BT594" s="128"/>
      <c r="BU594" s="128"/>
      <c r="BV594" s="128"/>
      <c r="BW594" s="128"/>
      <c r="BX594" s="128"/>
      <c r="BY594" s="128"/>
      <c r="BZ594" s="128"/>
      <c r="CA594" s="128"/>
      <c r="CB594" s="128"/>
      <c r="CC594" s="128"/>
      <c r="CD594" s="128"/>
      <c r="CE594" s="128"/>
      <c r="CF594" s="128"/>
      <c r="CG594" s="128"/>
      <c r="CH594" s="128"/>
      <c r="CI594" s="128"/>
      <c r="CJ594" s="128"/>
      <c r="CK594" s="128"/>
      <c r="CL594" s="128"/>
      <c r="CM594" s="128"/>
      <c r="CN594" s="128"/>
      <c r="CO594" s="128"/>
      <c r="CP594" s="128"/>
      <c r="CQ594" s="128"/>
      <c r="CR594" s="128"/>
      <c r="CS594" s="128"/>
      <c r="CT594" s="128"/>
      <c r="CU594" s="128"/>
      <c r="CV594" s="128"/>
      <c r="CW594" s="128"/>
      <c r="CX594" s="128"/>
      <c r="CY594" s="128"/>
      <c r="CZ594" s="128"/>
    </row>
    <row r="595" spans="1:104">
      <c r="A595" s="128"/>
      <c r="B595" s="128"/>
      <c r="C595" s="128"/>
      <c r="D595" s="112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51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28"/>
      <c r="BY595" s="128"/>
      <c r="BZ595" s="128"/>
      <c r="CA595" s="128"/>
      <c r="CB595" s="128"/>
      <c r="CC595" s="128"/>
      <c r="CD595" s="128"/>
      <c r="CE595" s="128"/>
      <c r="CF595" s="128"/>
      <c r="CG595" s="128"/>
      <c r="CH595" s="128"/>
      <c r="CI595" s="128"/>
      <c r="CJ595" s="128"/>
      <c r="CK595" s="128"/>
      <c r="CL595" s="128"/>
      <c r="CM595" s="128"/>
      <c r="CN595" s="128"/>
      <c r="CO595" s="128"/>
      <c r="CP595" s="128"/>
      <c r="CQ595" s="128"/>
      <c r="CR595" s="128"/>
      <c r="CS595" s="128"/>
      <c r="CT595" s="128"/>
      <c r="CU595" s="128"/>
      <c r="CV595" s="128"/>
      <c r="CW595" s="128"/>
      <c r="CX595" s="128"/>
      <c r="CY595" s="128"/>
      <c r="CZ595" s="128"/>
    </row>
    <row r="596" spans="1:104">
      <c r="A596" s="128"/>
      <c r="B596" s="128"/>
      <c r="C596" s="128"/>
      <c r="D596" s="112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/>
      <c r="BK596" s="128"/>
      <c r="BL596" s="128"/>
      <c r="BM596" s="151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8"/>
      <c r="BX596" s="128"/>
      <c r="BY596" s="128"/>
      <c r="BZ596" s="128"/>
      <c r="CA596" s="128"/>
      <c r="CB596" s="128"/>
      <c r="CC596" s="128"/>
      <c r="CD596" s="128"/>
      <c r="CE596" s="128"/>
      <c r="CF596" s="128"/>
      <c r="CG596" s="128"/>
      <c r="CH596" s="128"/>
      <c r="CI596" s="128"/>
      <c r="CJ596" s="128"/>
      <c r="CK596" s="128"/>
      <c r="CL596" s="128"/>
      <c r="CM596" s="128"/>
      <c r="CN596" s="128"/>
      <c r="CO596" s="128"/>
      <c r="CP596" s="128"/>
      <c r="CQ596" s="128"/>
      <c r="CR596" s="128"/>
      <c r="CS596" s="128"/>
      <c r="CT596" s="128"/>
      <c r="CU596" s="128"/>
      <c r="CV596" s="128"/>
      <c r="CW596" s="128"/>
      <c r="CX596" s="128"/>
      <c r="CY596" s="128"/>
      <c r="CZ596" s="128"/>
    </row>
    <row r="597" spans="1:104">
      <c r="A597" s="128"/>
      <c r="B597" s="128"/>
      <c r="C597" s="128"/>
      <c r="D597" s="112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  <c r="AV597" s="128"/>
      <c r="AW597" s="128"/>
      <c r="AX597" s="128"/>
      <c r="AY597" s="128"/>
      <c r="AZ597" s="128"/>
      <c r="BA597" s="128"/>
      <c r="BB597" s="128"/>
      <c r="BC597" s="128"/>
      <c r="BD597" s="128"/>
      <c r="BE597" s="128"/>
      <c r="BF597" s="128"/>
      <c r="BG597" s="128"/>
      <c r="BH597" s="128"/>
      <c r="BI597" s="128"/>
      <c r="BJ597" s="128"/>
      <c r="BK597" s="128"/>
      <c r="BL597" s="128"/>
      <c r="BM597" s="151"/>
      <c r="BN597" s="128"/>
      <c r="BO597" s="128"/>
      <c r="BP597" s="128"/>
      <c r="BQ597" s="128"/>
      <c r="BR597" s="128"/>
      <c r="BS597" s="128"/>
      <c r="BT597" s="128"/>
      <c r="BU597" s="128"/>
      <c r="BV597" s="128"/>
      <c r="BW597" s="128"/>
      <c r="BX597" s="128"/>
      <c r="BY597" s="128"/>
      <c r="BZ597" s="128"/>
      <c r="CA597" s="128"/>
      <c r="CB597" s="128"/>
      <c r="CC597" s="128"/>
      <c r="CD597" s="128"/>
      <c r="CE597" s="128"/>
      <c r="CF597" s="128"/>
      <c r="CG597" s="128"/>
      <c r="CH597" s="128"/>
      <c r="CI597" s="128"/>
      <c r="CJ597" s="128"/>
      <c r="CK597" s="128"/>
      <c r="CL597" s="128"/>
      <c r="CM597" s="128"/>
      <c r="CN597" s="128"/>
      <c r="CO597" s="128"/>
      <c r="CP597" s="128"/>
      <c r="CQ597" s="128"/>
      <c r="CR597" s="128"/>
      <c r="CS597" s="128"/>
      <c r="CT597" s="128"/>
      <c r="CU597" s="128"/>
      <c r="CV597" s="128"/>
      <c r="CW597" s="128"/>
      <c r="CX597" s="128"/>
      <c r="CY597" s="128"/>
      <c r="CZ597" s="128"/>
    </row>
    <row r="598" spans="1:104">
      <c r="A598" s="128"/>
      <c r="B598" s="128"/>
      <c r="C598" s="128"/>
      <c r="D598" s="112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51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28"/>
      <c r="CD598" s="128"/>
      <c r="CE598" s="128"/>
      <c r="CF598" s="128"/>
      <c r="CG598" s="128"/>
      <c r="CH598" s="128"/>
      <c r="CI598" s="128"/>
      <c r="CJ598" s="128"/>
      <c r="CK598" s="128"/>
      <c r="CL598" s="128"/>
      <c r="CM598" s="128"/>
      <c r="CN598" s="128"/>
      <c r="CO598" s="128"/>
      <c r="CP598" s="128"/>
      <c r="CQ598" s="128"/>
      <c r="CR598" s="128"/>
      <c r="CS598" s="128"/>
      <c r="CT598" s="128"/>
      <c r="CU598" s="128"/>
      <c r="CV598" s="128"/>
      <c r="CW598" s="128"/>
      <c r="CX598" s="128"/>
      <c r="CY598" s="128"/>
      <c r="CZ598" s="128"/>
    </row>
    <row r="599" spans="1:104">
      <c r="A599" s="128"/>
      <c r="B599" s="128"/>
      <c r="C599" s="128"/>
      <c r="D599" s="112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  <c r="AV599" s="128"/>
      <c r="AW599" s="128"/>
      <c r="AX599" s="128"/>
      <c r="AY599" s="128"/>
      <c r="AZ599" s="128"/>
      <c r="BA599" s="128"/>
      <c r="BB599" s="128"/>
      <c r="BC599" s="128"/>
      <c r="BD599" s="128"/>
      <c r="BE599" s="128"/>
      <c r="BF599" s="128"/>
      <c r="BG599" s="128"/>
      <c r="BH599" s="128"/>
      <c r="BI599" s="128"/>
      <c r="BJ599" s="128"/>
      <c r="BK599" s="128"/>
      <c r="BL599" s="128"/>
      <c r="BM599" s="151"/>
      <c r="BN599" s="128"/>
      <c r="BO599" s="128"/>
      <c r="BP599" s="128"/>
      <c r="BQ599" s="128"/>
      <c r="BR599" s="128"/>
      <c r="BS599" s="128"/>
      <c r="BT599" s="128"/>
      <c r="BU599" s="128"/>
      <c r="BV599" s="128"/>
      <c r="BW599" s="128"/>
      <c r="BX599" s="128"/>
      <c r="BY599" s="128"/>
      <c r="BZ599" s="128"/>
      <c r="CA599" s="128"/>
      <c r="CB599" s="128"/>
      <c r="CC599" s="128"/>
      <c r="CD599" s="128"/>
      <c r="CE599" s="128"/>
      <c r="CF599" s="128"/>
      <c r="CG599" s="128"/>
      <c r="CH599" s="128"/>
      <c r="CI599" s="128"/>
      <c r="CJ599" s="128"/>
      <c r="CK599" s="128"/>
      <c r="CL599" s="128"/>
      <c r="CM599" s="128"/>
      <c r="CN599" s="128"/>
      <c r="CO599" s="128"/>
      <c r="CP599" s="128"/>
      <c r="CQ599" s="128"/>
      <c r="CR599" s="128"/>
      <c r="CS599" s="128"/>
      <c r="CT599" s="128"/>
      <c r="CU599" s="128"/>
      <c r="CV599" s="128"/>
      <c r="CW599" s="128"/>
      <c r="CX599" s="128"/>
      <c r="CY599" s="128"/>
      <c r="CZ599" s="128"/>
    </row>
    <row r="600" spans="1:104">
      <c r="A600" s="128"/>
      <c r="B600" s="128"/>
      <c r="C600" s="128"/>
      <c r="D600" s="112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  <c r="AV600" s="128"/>
      <c r="AW600" s="128"/>
      <c r="AX600" s="128"/>
      <c r="AY600" s="128"/>
      <c r="AZ600" s="128"/>
      <c r="BA600" s="128"/>
      <c r="BB600" s="128"/>
      <c r="BC600" s="128"/>
      <c r="BD600" s="128"/>
      <c r="BE600" s="128"/>
      <c r="BF600" s="128"/>
      <c r="BG600" s="128"/>
      <c r="BH600" s="128"/>
      <c r="BI600" s="128"/>
      <c r="BJ600" s="128"/>
      <c r="BK600" s="128"/>
      <c r="BL600" s="128"/>
      <c r="BM600" s="151"/>
      <c r="BN600" s="128"/>
      <c r="BO600" s="128"/>
      <c r="BP600" s="128"/>
      <c r="BQ600" s="128"/>
      <c r="BR600" s="128"/>
      <c r="BS600" s="128"/>
      <c r="BT600" s="128"/>
      <c r="BU600" s="128"/>
      <c r="BV600" s="128"/>
      <c r="BW600" s="128"/>
      <c r="BX600" s="128"/>
      <c r="BY600" s="128"/>
      <c r="BZ600" s="128"/>
      <c r="CA600" s="128"/>
      <c r="CB600" s="128"/>
      <c r="CC600" s="128"/>
      <c r="CD600" s="128"/>
      <c r="CE600" s="128"/>
      <c r="CF600" s="128"/>
      <c r="CG600" s="128"/>
      <c r="CH600" s="128"/>
      <c r="CI600" s="128"/>
      <c r="CJ600" s="128"/>
      <c r="CK600" s="128"/>
      <c r="CL600" s="128"/>
      <c r="CM600" s="128"/>
      <c r="CN600" s="128"/>
      <c r="CO600" s="128"/>
      <c r="CP600" s="128"/>
      <c r="CQ600" s="128"/>
      <c r="CR600" s="128"/>
      <c r="CS600" s="128"/>
      <c r="CT600" s="128"/>
      <c r="CU600" s="128"/>
      <c r="CV600" s="128"/>
      <c r="CW600" s="128"/>
      <c r="CX600" s="128"/>
      <c r="CY600" s="128"/>
      <c r="CZ600" s="128"/>
    </row>
    <row r="601" spans="1:104">
      <c r="A601" s="128"/>
      <c r="B601" s="128"/>
      <c r="C601" s="128"/>
      <c r="D601" s="112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  <c r="AV601" s="128"/>
      <c r="AW601" s="128"/>
      <c r="AX601" s="128"/>
      <c r="AY601" s="128"/>
      <c r="AZ601" s="128"/>
      <c r="BA601" s="128"/>
      <c r="BB601" s="128"/>
      <c r="BC601" s="128"/>
      <c r="BD601" s="128"/>
      <c r="BE601" s="128"/>
      <c r="BF601" s="128"/>
      <c r="BG601" s="128"/>
      <c r="BH601" s="128"/>
      <c r="BI601" s="128"/>
      <c r="BJ601" s="128"/>
      <c r="BK601" s="128"/>
      <c r="BL601" s="128"/>
      <c r="BM601" s="151"/>
      <c r="BN601" s="128"/>
      <c r="BO601" s="128"/>
      <c r="BP601" s="128"/>
      <c r="BQ601" s="128"/>
      <c r="BR601" s="128"/>
      <c r="BS601" s="128"/>
      <c r="BT601" s="128"/>
      <c r="BU601" s="128"/>
      <c r="BV601" s="128"/>
      <c r="BW601" s="128"/>
      <c r="BX601" s="128"/>
      <c r="BY601" s="128"/>
      <c r="BZ601" s="128"/>
      <c r="CA601" s="128"/>
      <c r="CB601" s="128"/>
      <c r="CC601" s="128"/>
      <c r="CD601" s="128"/>
      <c r="CE601" s="128"/>
      <c r="CF601" s="128"/>
      <c r="CG601" s="128"/>
      <c r="CH601" s="128"/>
      <c r="CI601" s="128"/>
      <c r="CJ601" s="128"/>
      <c r="CK601" s="128"/>
      <c r="CL601" s="128"/>
      <c r="CM601" s="128"/>
      <c r="CN601" s="128"/>
      <c r="CO601" s="128"/>
      <c r="CP601" s="128"/>
      <c r="CQ601" s="128"/>
      <c r="CR601" s="128"/>
      <c r="CS601" s="128"/>
      <c r="CT601" s="128"/>
      <c r="CU601" s="128"/>
      <c r="CV601" s="128"/>
      <c r="CW601" s="128"/>
      <c r="CX601" s="128"/>
      <c r="CY601" s="128"/>
      <c r="CZ601" s="128"/>
    </row>
    <row r="602" spans="1:104">
      <c r="A602" s="128"/>
      <c r="B602" s="128"/>
      <c r="C602" s="128"/>
      <c r="D602" s="112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/>
      <c r="BK602" s="128"/>
      <c r="BL602" s="128"/>
      <c r="BM602" s="151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8"/>
      <c r="CA602" s="128"/>
      <c r="CB602" s="128"/>
      <c r="CC602" s="128"/>
      <c r="CD602" s="128"/>
      <c r="CE602" s="128"/>
      <c r="CF602" s="128"/>
      <c r="CG602" s="128"/>
      <c r="CH602" s="128"/>
      <c r="CI602" s="128"/>
      <c r="CJ602" s="128"/>
      <c r="CK602" s="128"/>
      <c r="CL602" s="128"/>
      <c r="CM602" s="128"/>
      <c r="CN602" s="128"/>
      <c r="CO602" s="128"/>
      <c r="CP602" s="128"/>
      <c r="CQ602" s="128"/>
      <c r="CR602" s="128"/>
      <c r="CS602" s="128"/>
      <c r="CT602" s="128"/>
      <c r="CU602" s="128"/>
      <c r="CV602" s="128"/>
      <c r="CW602" s="128"/>
      <c r="CX602" s="128"/>
      <c r="CY602" s="128"/>
      <c r="CZ602" s="128"/>
    </row>
    <row r="603" spans="1:104">
      <c r="A603" s="128"/>
      <c r="B603" s="128"/>
      <c r="C603" s="128"/>
      <c r="D603" s="112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  <c r="AV603" s="128"/>
      <c r="AW603" s="128"/>
      <c r="AX603" s="128"/>
      <c r="AY603" s="128"/>
      <c r="AZ603" s="128"/>
      <c r="BA603" s="128"/>
      <c r="BB603" s="128"/>
      <c r="BC603" s="128"/>
      <c r="BD603" s="128"/>
      <c r="BE603" s="128"/>
      <c r="BF603" s="128"/>
      <c r="BG603" s="128"/>
      <c r="BH603" s="128"/>
      <c r="BI603" s="128"/>
      <c r="BJ603" s="128"/>
      <c r="BK603" s="128"/>
      <c r="BL603" s="128"/>
      <c r="BM603" s="151"/>
      <c r="BN603" s="128"/>
      <c r="BO603" s="128"/>
      <c r="BP603" s="128"/>
      <c r="BQ603" s="128"/>
      <c r="BR603" s="128"/>
      <c r="BS603" s="128"/>
      <c r="BT603" s="128"/>
      <c r="BU603" s="128"/>
      <c r="BV603" s="128"/>
      <c r="BW603" s="128"/>
      <c r="BX603" s="128"/>
      <c r="BY603" s="128"/>
      <c r="BZ603" s="128"/>
      <c r="CA603" s="128"/>
      <c r="CB603" s="128"/>
      <c r="CC603" s="128"/>
      <c r="CD603" s="128"/>
      <c r="CE603" s="128"/>
      <c r="CF603" s="128"/>
      <c r="CG603" s="128"/>
      <c r="CH603" s="128"/>
      <c r="CI603" s="128"/>
      <c r="CJ603" s="128"/>
      <c r="CK603" s="128"/>
      <c r="CL603" s="128"/>
      <c r="CM603" s="128"/>
      <c r="CN603" s="128"/>
      <c r="CO603" s="128"/>
      <c r="CP603" s="128"/>
      <c r="CQ603" s="128"/>
      <c r="CR603" s="128"/>
      <c r="CS603" s="128"/>
      <c r="CT603" s="128"/>
      <c r="CU603" s="128"/>
      <c r="CV603" s="128"/>
      <c r="CW603" s="128"/>
      <c r="CX603" s="128"/>
      <c r="CY603" s="128"/>
      <c r="CZ603" s="128"/>
    </row>
    <row r="604" spans="1:104">
      <c r="A604" s="128"/>
      <c r="B604" s="128"/>
      <c r="C604" s="128"/>
      <c r="D604" s="112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  <c r="AV604" s="128"/>
      <c r="AW604" s="128"/>
      <c r="AX604" s="128"/>
      <c r="AY604" s="128"/>
      <c r="AZ604" s="128"/>
      <c r="BA604" s="128"/>
      <c r="BB604" s="128"/>
      <c r="BC604" s="128"/>
      <c r="BD604" s="128"/>
      <c r="BE604" s="128"/>
      <c r="BF604" s="128"/>
      <c r="BG604" s="128"/>
      <c r="BH604" s="128"/>
      <c r="BI604" s="128"/>
      <c r="BJ604" s="128"/>
      <c r="BK604" s="128"/>
      <c r="BL604" s="128"/>
      <c r="BM604" s="151"/>
      <c r="BN604" s="128"/>
      <c r="BO604" s="128"/>
      <c r="BP604" s="128"/>
      <c r="BQ604" s="128"/>
      <c r="BR604" s="128"/>
      <c r="BS604" s="128"/>
      <c r="BT604" s="128"/>
      <c r="BU604" s="128"/>
      <c r="BV604" s="128"/>
      <c r="BW604" s="128"/>
      <c r="BX604" s="128"/>
      <c r="BY604" s="128"/>
      <c r="BZ604" s="128"/>
      <c r="CA604" s="128"/>
      <c r="CB604" s="128"/>
      <c r="CC604" s="128"/>
      <c r="CD604" s="128"/>
      <c r="CE604" s="128"/>
      <c r="CF604" s="128"/>
      <c r="CG604" s="128"/>
      <c r="CH604" s="128"/>
      <c r="CI604" s="128"/>
      <c r="CJ604" s="128"/>
      <c r="CK604" s="128"/>
      <c r="CL604" s="128"/>
      <c r="CM604" s="128"/>
      <c r="CN604" s="128"/>
      <c r="CO604" s="128"/>
      <c r="CP604" s="128"/>
      <c r="CQ604" s="128"/>
      <c r="CR604" s="128"/>
      <c r="CS604" s="128"/>
      <c r="CT604" s="128"/>
      <c r="CU604" s="128"/>
      <c r="CV604" s="128"/>
      <c r="CW604" s="128"/>
      <c r="CX604" s="128"/>
      <c r="CY604" s="128"/>
      <c r="CZ604" s="128"/>
    </row>
    <row r="605" spans="1:104">
      <c r="A605" s="128"/>
      <c r="B605" s="128"/>
      <c r="C605" s="128"/>
      <c r="D605" s="112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51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8"/>
      <c r="BX605" s="128"/>
      <c r="BY605" s="128"/>
      <c r="BZ605" s="128"/>
      <c r="CA605" s="128"/>
      <c r="CB605" s="128"/>
      <c r="CC605" s="128"/>
      <c r="CD605" s="128"/>
      <c r="CE605" s="128"/>
      <c r="CF605" s="128"/>
      <c r="CG605" s="128"/>
      <c r="CH605" s="128"/>
      <c r="CI605" s="128"/>
      <c r="CJ605" s="128"/>
      <c r="CK605" s="128"/>
      <c r="CL605" s="128"/>
      <c r="CM605" s="128"/>
      <c r="CN605" s="128"/>
      <c r="CO605" s="128"/>
      <c r="CP605" s="128"/>
      <c r="CQ605" s="128"/>
      <c r="CR605" s="128"/>
      <c r="CS605" s="128"/>
      <c r="CT605" s="128"/>
      <c r="CU605" s="128"/>
      <c r="CV605" s="128"/>
      <c r="CW605" s="128"/>
      <c r="CX605" s="128"/>
      <c r="CY605" s="128"/>
      <c r="CZ605" s="128"/>
    </row>
    <row r="606" spans="1:104">
      <c r="A606" s="128"/>
      <c r="B606" s="128"/>
      <c r="C606" s="128"/>
      <c r="D606" s="112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51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8"/>
      <c r="CA606" s="128"/>
      <c r="CB606" s="128"/>
      <c r="CC606" s="128"/>
      <c r="CD606" s="128"/>
      <c r="CE606" s="128"/>
      <c r="CF606" s="128"/>
      <c r="CG606" s="128"/>
      <c r="CH606" s="128"/>
      <c r="CI606" s="128"/>
      <c r="CJ606" s="128"/>
      <c r="CK606" s="128"/>
      <c r="CL606" s="128"/>
      <c r="CM606" s="128"/>
      <c r="CN606" s="128"/>
      <c r="CO606" s="128"/>
      <c r="CP606" s="128"/>
      <c r="CQ606" s="128"/>
      <c r="CR606" s="128"/>
      <c r="CS606" s="128"/>
      <c r="CT606" s="128"/>
      <c r="CU606" s="128"/>
      <c r="CV606" s="128"/>
      <c r="CW606" s="128"/>
      <c r="CX606" s="128"/>
      <c r="CY606" s="128"/>
      <c r="CZ606" s="128"/>
    </row>
    <row r="607" spans="1:104">
      <c r="A607" s="128"/>
      <c r="B607" s="128"/>
      <c r="C607" s="128"/>
      <c r="D607" s="112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51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8"/>
      <c r="CA607" s="128"/>
      <c r="CB607" s="128"/>
      <c r="CC607" s="128"/>
      <c r="CD607" s="128"/>
      <c r="CE607" s="128"/>
      <c r="CF607" s="128"/>
      <c r="CG607" s="128"/>
      <c r="CH607" s="128"/>
      <c r="CI607" s="128"/>
      <c r="CJ607" s="128"/>
      <c r="CK607" s="128"/>
      <c r="CL607" s="128"/>
      <c r="CM607" s="128"/>
      <c r="CN607" s="128"/>
      <c r="CO607" s="128"/>
      <c r="CP607" s="128"/>
      <c r="CQ607" s="128"/>
      <c r="CR607" s="128"/>
      <c r="CS607" s="128"/>
      <c r="CT607" s="128"/>
      <c r="CU607" s="128"/>
      <c r="CV607" s="128"/>
      <c r="CW607" s="128"/>
      <c r="CX607" s="128"/>
      <c r="CY607" s="128"/>
      <c r="CZ607" s="128"/>
    </row>
    <row r="608" spans="1:104">
      <c r="A608" s="128"/>
      <c r="B608" s="128"/>
      <c r="C608" s="128"/>
      <c r="D608" s="112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51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8"/>
      <c r="BX608" s="128"/>
      <c r="BY608" s="128"/>
      <c r="BZ608" s="128"/>
      <c r="CA608" s="128"/>
      <c r="CB608" s="128"/>
      <c r="CC608" s="128"/>
      <c r="CD608" s="128"/>
      <c r="CE608" s="128"/>
      <c r="CF608" s="128"/>
      <c r="CG608" s="128"/>
      <c r="CH608" s="128"/>
      <c r="CI608" s="128"/>
      <c r="CJ608" s="128"/>
      <c r="CK608" s="128"/>
      <c r="CL608" s="128"/>
      <c r="CM608" s="128"/>
      <c r="CN608" s="128"/>
      <c r="CO608" s="128"/>
      <c r="CP608" s="128"/>
      <c r="CQ608" s="128"/>
      <c r="CR608" s="128"/>
      <c r="CS608" s="128"/>
      <c r="CT608" s="128"/>
      <c r="CU608" s="128"/>
      <c r="CV608" s="128"/>
      <c r="CW608" s="128"/>
      <c r="CX608" s="128"/>
      <c r="CY608" s="128"/>
      <c r="CZ608" s="128"/>
    </row>
    <row r="609" spans="1:104">
      <c r="A609" s="128"/>
      <c r="B609" s="128"/>
      <c r="C609" s="128"/>
      <c r="D609" s="112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  <c r="AV609" s="128"/>
      <c r="AW609" s="128"/>
      <c r="AX609" s="128"/>
      <c r="AY609" s="128"/>
      <c r="AZ609" s="128"/>
      <c r="BA609" s="128"/>
      <c r="BB609" s="128"/>
      <c r="BC609" s="128"/>
      <c r="BD609" s="128"/>
      <c r="BE609" s="128"/>
      <c r="BF609" s="128"/>
      <c r="BG609" s="128"/>
      <c r="BH609" s="128"/>
      <c r="BI609" s="128"/>
      <c r="BJ609" s="128"/>
      <c r="BK609" s="128"/>
      <c r="BL609" s="128"/>
      <c r="BM609" s="151"/>
      <c r="BN609" s="128"/>
      <c r="BO609" s="128"/>
      <c r="BP609" s="128"/>
      <c r="BQ609" s="128"/>
      <c r="BR609" s="128"/>
      <c r="BS609" s="128"/>
      <c r="BT609" s="128"/>
      <c r="BU609" s="128"/>
      <c r="BV609" s="128"/>
      <c r="BW609" s="128"/>
      <c r="BX609" s="128"/>
      <c r="BY609" s="128"/>
      <c r="BZ609" s="128"/>
      <c r="CA609" s="128"/>
      <c r="CB609" s="128"/>
      <c r="CC609" s="128"/>
      <c r="CD609" s="128"/>
      <c r="CE609" s="128"/>
      <c r="CF609" s="128"/>
      <c r="CG609" s="128"/>
      <c r="CH609" s="128"/>
      <c r="CI609" s="128"/>
      <c r="CJ609" s="128"/>
      <c r="CK609" s="128"/>
      <c r="CL609" s="128"/>
      <c r="CM609" s="128"/>
      <c r="CN609" s="128"/>
      <c r="CO609" s="128"/>
      <c r="CP609" s="128"/>
      <c r="CQ609" s="128"/>
      <c r="CR609" s="128"/>
      <c r="CS609" s="128"/>
      <c r="CT609" s="128"/>
      <c r="CU609" s="128"/>
      <c r="CV609" s="128"/>
      <c r="CW609" s="128"/>
      <c r="CX609" s="128"/>
      <c r="CY609" s="128"/>
      <c r="CZ609" s="128"/>
    </row>
    <row r="610" spans="1:104">
      <c r="A610" s="128"/>
      <c r="B610" s="128"/>
      <c r="C610" s="128"/>
      <c r="D610" s="112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51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28"/>
      <c r="CC610" s="128"/>
      <c r="CD610" s="128"/>
      <c r="CE610" s="128"/>
      <c r="CF610" s="128"/>
      <c r="CG610" s="128"/>
      <c r="CH610" s="128"/>
      <c r="CI610" s="128"/>
      <c r="CJ610" s="128"/>
      <c r="CK610" s="128"/>
      <c r="CL610" s="128"/>
      <c r="CM610" s="128"/>
      <c r="CN610" s="128"/>
      <c r="CO610" s="128"/>
      <c r="CP610" s="128"/>
      <c r="CQ610" s="128"/>
      <c r="CR610" s="128"/>
      <c r="CS610" s="128"/>
      <c r="CT610" s="128"/>
      <c r="CU610" s="128"/>
      <c r="CV610" s="128"/>
      <c r="CW610" s="128"/>
      <c r="CX610" s="128"/>
      <c r="CY610" s="128"/>
      <c r="CZ610" s="128"/>
    </row>
    <row r="611" spans="1:104">
      <c r="A611" s="128"/>
      <c r="B611" s="128"/>
      <c r="C611" s="128"/>
      <c r="D611" s="112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  <c r="AV611" s="128"/>
      <c r="AW611" s="128"/>
      <c r="AX611" s="128"/>
      <c r="AY611" s="128"/>
      <c r="AZ611" s="128"/>
      <c r="BA611" s="128"/>
      <c r="BB611" s="128"/>
      <c r="BC611" s="128"/>
      <c r="BD611" s="128"/>
      <c r="BE611" s="128"/>
      <c r="BF611" s="128"/>
      <c r="BG611" s="128"/>
      <c r="BH611" s="128"/>
      <c r="BI611" s="128"/>
      <c r="BJ611" s="128"/>
      <c r="BK611" s="128"/>
      <c r="BL611" s="128"/>
      <c r="BM611" s="151"/>
      <c r="BN611" s="128"/>
      <c r="BO611" s="128"/>
      <c r="BP611" s="128"/>
      <c r="BQ611" s="128"/>
      <c r="BR611" s="128"/>
      <c r="BS611" s="128"/>
      <c r="BT611" s="128"/>
      <c r="BU611" s="128"/>
      <c r="BV611" s="128"/>
      <c r="BW611" s="128"/>
      <c r="BX611" s="128"/>
      <c r="BY611" s="128"/>
      <c r="BZ611" s="128"/>
      <c r="CA611" s="128"/>
      <c r="CB611" s="128"/>
      <c r="CC611" s="128"/>
      <c r="CD611" s="128"/>
      <c r="CE611" s="128"/>
      <c r="CF611" s="128"/>
      <c r="CG611" s="128"/>
      <c r="CH611" s="128"/>
      <c r="CI611" s="128"/>
      <c r="CJ611" s="128"/>
      <c r="CK611" s="128"/>
      <c r="CL611" s="128"/>
      <c r="CM611" s="128"/>
      <c r="CN611" s="128"/>
      <c r="CO611" s="128"/>
      <c r="CP611" s="128"/>
      <c r="CQ611" s="128"/>
      <c r="CR611" s="128"/>
      <c r="CS611" s="128"/>
      <c r="CT611" s="128"/>
      <c r="CU611" s="128"/>
      <c r="CV611" s="128"/>
      <c r="CW611" s="128"/>
      <c r="CX611" s="128"/>
      <c r="CY611" s="128"/>
      <c r="CZ611" s="128"/>
    </row>
    <row r="612" spans="1:104">
      <c r="A612" s="128"/>
      <c r="B612" s="128"/>
      <c r="C612" s="128"/>
      <c r="D612" s="112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51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8"/>
      <c r="BX612" s="128"/>
      <c r="BY612" s="128"/>
      <c r="BZ612" s="128"/>
      <c r="CA612" s="128"/>
      <c r="CB612" s="128"/>
      <c r="CC612" s="128"/>
      <c r="CD612" s="128"/>
      <c r="CE612" s="128"/>
      <c r="CF612" s="128"/>
      <c r="CG612" s="128"/>
      <c r="CH612" s="128"/>
      <c r="CI612" s="128"/>
      <c r="CJ612" s="128"/>
      <c r="CK612" s="128"/>
      <c r="CL612" s="128"/>
      <c r="CM612" s="128"/>
      <c r="CN612" s="128"/>
      <c r="CO612" s="128"/>
      <c r="CP612" s="128"/>
      <c r="CQ612" s="128"/>
      <c r="CR612" s="128"/>
      <c r="CS612" s="128"/>
      <c r="CT612" s="128"/>
      <c r="CU612" s="128"/>
      <c r="CV612" s="128"/>
      <c r="CW612" s="128"/>
      <c r="CX612" s="128"/>
      <c r="CY612" s="128"/>
      <c r="CZ612" s="128"/>
    </row>
    <row r="613" spans="1:104">
      <c r="A613" s="128"/>
      <c r="B613" s="128"/>
      <c r="C613" s="128"/>
      <c r="D613" s="112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51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8"/>
      <c r="BX613" s="128"/>
      <c r="BY613" s="128"/>
      <c r="BZ613" s="128"/>
      <c r="CA613" s="128"/>
      <c r="CB613" s="128"/>
      <c r="CC613" s="128"/>
      <c r="CD613" s="128"/>
      <c r="CE613" s="128"/>
      <c r="CF613" s="128"/>
      <c r="CG613" s="128"/>
      <c r="CH613" s="128"/>
      <c r="CI613" s="128"/>
      <c r="CJ613" s="128"/>
      <c r="CK613" s="128"/>
      <c r="CL613" s="128"/>
      <c r="CM613" s="128"/>
      <c r="CN613" s="128"/>
      <c r="CO613" s="128"/>
      <c r="CP613" s="128"/>
      <c r="CQ613" s="128"/>
      <c r="CR613" s="128"/>
      <c r="CS613" s="128"/>
      <c r="CT613" s="128"/>
      <c r="CU613" s="128"/>
      <c r="CV613" s="128"/>
      <c r="CW613" s="128"/>
      <c r="CX613" s="128"/>
      <c r="CY613" s="128"/>
      <c r="CZ613" s="128"/>
    </row>
    <row r="614" spans="1:104">
      <c r="A614" s="128"/>
      <c r="B614" s="128"/>
      <c r="C614" s="128"/>
      <c r="D614" s="112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  <c r="AV614" s="128"/>
      <c r="AW614" s="128"/>
      <c r="AX614" s="128"/>
      <c r="AY614" s="128"/>
      <c r="AZ614" s="128"/>
      <c r="BA614" s="128"/>
      <c r="BB614" s="128"/>
      <c r="BC614" s="128"/>
      <c r="BD614" s="128"/>
      <c r="BE614" s="128"/>
      <c r="BF614" s="128"/>
      <c r="BG614" s="128"/>
      <c r="BH614" s="128"/>
      <c r="BI614" s="128"/>
      <c r="BJ614" s="128"/>
      <c r="BK614" s="128"/>
      <c r="BL614" s="128"/>
      <c r="BM614" s="151"/>
      <c r="BN614" s="128"/>
      <c r="BO614" s="128"/>
      <c r="BP614" s="128"/>
      <c r="BQ614" s="128"/>
      <c r="BR614" s="128"/>
      <c r="BS614" s="128"/>
      <c r="BT614" s="128"/>
      <c r="BU614" s="128"/>
      <c r="BV614" s="128"/>
      <c r="BW614" s="128"/>
      <c r="BX614" s="128"/>
      <c r="BY614" s="128"/>
      <c r="BZ614" s="128"/>
      <c r="CA614" s="128"/>
      <c r="CB614" s="128"/>
      <c r="CC614" s="128"/>
      <c r="CD614" s="128"/>
      <c r="CE614" s="128"/>
      <c r="CF614" s="128"/>
      <c r="CG614" s="128"/>
      <c r="CH614" s="128"/>
      <c r="CI614" s="128"/>
      <c r="CJ614" s="128"/>
      <c r="CK614" s="128"/>
      <c r="CL614" s="128"/>
      <c r="CM614" s="128"/>
      <c r="CN614" s="128"/>
      <c r="CO614" s="128"/>
      <c r="CP614" s="128"/>
      <c r="CQ614" s="128"/>
      <c r="CR614" s="128"/>
      <c r="CS614" s="128"/>
      <c r="CT614" s="128"/>
      <c r="CU614" s="128"/>
      <c r="CV614" s="128"/>
      <c r="CW614" s="128"/>
      <c r="CX614" s="128"/>
      <c r="CY614" s="128"/>
      <c r="CZ614" s="128"/>
    </row>
    <row r="615" spans="1:104">
      <c r="A615" s="128"/>
      <c r="B615" s="128"/>
      <c r="C615" s="128"/>
      <c r="D615" s="112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  <c r="AV615" s="128"/>
      <c r="AW615" s="128"/>
      <c r="AX615" s="128"/>
      <c r="AY615" s="128"/>
      <c r="AZ615" s="128"/>
      <c r="BA615" s="128"/>
      <c r="BB615" s="128"/>
      <c r="BC615" s="128"/>
      <c r="BD615" s="128"/>
      <c r="BE615" s="128"/>
      <c r="BF615" s="128"/>
      <c r="BG615" s="128"/>
      <c r="BH615" s="128"/>
      <c r="BI615" s="128"/>
      <c r="BJ615" s="128"/>
      <c r="BK615" s="128"/>
      <c r="BL615" s="128"/>
      <c r="BM615" s="151"/>
      <c r="BN615" s="128"/>
      <c r="BO615" s="128"/>
      <c r="BP615" s="128"/>
      <c r="BQ615" s="128"/>
      <c r="BR615" s="128"/>
      <c r="BS615" s="128"/>
      <c r="BT615" s="128"/>
      <c r="BU615" s="128"/>
      <c r="BV615" s="128"/>
      <c r="BW615" s="128"/>
      <c r="BX615" s="128"/>
      <c r="BY615" s="128"/>
      <c r="BZ615" s="128"/>
      <c r="CA615" s="128"/>
      <c r="CB615" s="128"/>
      <c r="CC615" s="128"/>
      <c r="CD615" s="128"/>
      <c r="CE615" s="128"/>
      <c r="CF615" s="128"/>
      <c r="CG615" s="128"/>
      <c r="CH615" s="128"/>
      <c r="CI615" s="128"/>
      <c r="CJ615" s="128"/>
      <c r="CK615" s="128"/>
      <c r="CL615" s="128"/>
      <c r="CM615" s="128"/>
      <c r="CN615" s="128"/>
      <c r="CO615" s="128"/>
      <c r="CP615" s="128"/>
      <c r="CQ615" s="128"/>
      <c r="CR615" s="128"/>
      <c r="CS615" s="128"/>
      <c r="CT615" s="128"/>
      <c r="CU615" s="128"/>
      <c r="CV615" s="128"/>
      <c r="CW615" s="128"/>
      <c r="CX615" s="128"/>
      <c r="CY615" s="128"/>
      <c r="CZ615" s="128"/>
    </row>
    <row r="616" spans="1:104">
      <c r="A616" s="128"/>
      <c r="B616" s="128"/>
      <c r="C616" s="128"/>
      <c r="D616" s="112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51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8"/>
      <c r="CA616" s="128"/>
      <c r="CB616" s="128"/>
      <c r="CC616" s="128"/>
      <c r="CD616" s="128"/>
      <c r="CE616" s="128"/>
      <c r="CF616" s="128"/>
      <c r="CG616" s="128"/>
      <c r="CH616" s="128"/>
      <c r="CI616" s="128"/>
      <c r="CJ616" s="128"/>
      <c r="CK616" s="128"/>
      <c r="CL616" s="128"/>
      <c r="CM616" s="128"/>
      <c r="CN616" s="128"/>
      <c r="CO616" s="128"/>
      <c r="CP616" s="128"/>
      <c r="CQ616" s="128"/>
      <c r="CR616" s="128"/>
      <c r="CS616" s="128"/>
      <c r="CT616" s="128"/>
      <c r="CU616" s="128"/>
      <c r="CV616" s="128"/>
      <c r="CW616" s="128"/>
      <c r="CX616" s="128"/>
      <c r="CY616" s="128"/>
      <c r="CZ616" s="128"/>
    </row>
    <row r="617" spans="1:104">
      <c r="A617" s="128"/>
      <c r="B617" s="128"/>
      <c r="C617" s="128"/>
      <c r="D617" s="112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51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8"/>
      <c r="CA617" s="128"/>
      <c r="CB617" s="128"/>
      <c r="CC617" s="128"/>
      <c r="CD617" s="128"/>
      <c r="CE617" s="128"/>
      <c r="CF617" s="128"/>
      <c r="CG617" s="128"/>
      <c r="CH617" s="128"/>
      <c r="CI617" s="128"/>
      <c r="CJ617" s="128"/>
      <c r="CK617" s="128"/>
      <c r="CL617" s="128"/>
      <c r="CM617" s="128"/>
      <c r="CN617" s="128"/>
      <c r="CO617" s="128"/>
      <c r="CP617" s="128"/>
      <c r="CQ617" s="128"/>
      <c r="CR617" s="128"/>
      <c r="CS617" s="128"/>
      <c r="CT617" s="128"/>
      <c r="CU617" s="128"/>
      <c r="CV617" s="128"/>
      <c r="CW617" s="128"/>
      <c r="CX617" s="128"/>
      <c r="CY617" s="128"/>
      <c r="CZ617" s="128"/>
    </row>
    <row r="618" spans="1:104">
      <c r="A618" s="128"/>
      <c r="B618" s="128"/>
      <c r="C618" s="128"/>
      <c r="D618" s="112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51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8"/>
      <c r="CA618" s="128"/>
      <c r="CB618" s="128"/>
      <c r="CC618" s="128"/>
      <c r="CD618" s="128"/>
      <c r="CE618" s="128"/>
      <c r="CF618" s="128"/>
      <c r="CG618" s="128"/>
      <c r="CH618" s="128"/>
      <c r="CI618" s="128"/>
      <c r="CJ618" s="128"/>
      <c r="CK618" s="128"/>
      <c r="CL618" s="128"/>
      <c r="CM618" s="128"/>
      <c r="CN618" s="128"/>
      <c r="CO618" s="128"/>
      <c r="CP618" s="128"/>
      <c r="CQ618" s="128"/>
      <c r="CR618" s="128"/>
      <c r="CS618" s="128"/>
      <c r="CT618" s="128"/>
      <c r="CU618" s="128"/>
      <c r="CV618" s="128"/>
      <c r="CW618" s="128"/>
      <c r="CX618" s="128"/>
      <c r="CY618" s="128"/>
      <c r="CZ618" s="128"/>
    </row>
    <row r="619" spans="1:104">
      <c r="A619" s="128"/>
      <c r="B619" s="128"/>
      <c r="C619" s="128"/>
      <c r="D619" s="112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51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8"/>
      <c r="CA619" s="128"/>
      <c r="CB619" s="128"/>
      <c r="CC619" s="128"/>
      <c r="CD619" s="128"/>
      <c r="CE619" s="128"/>
      <c r="CF619" s="128"/>
      <c r="CG619" s="128"/>
      <c r="CH619" s="128"/>
      <c r="CI619" s="128"/>
      <c r="CJ619" s="128"/>
      <c r="CK619" s="128"/>
      <c r="CL619" s="128"/>
      <c r="CM619" s="128"/>
      <c r="CN619" s="128"/>
      <c r="CO619" s="128"/>
      <c r="CP619" s="128"/>
      <c r="CQ619" s="128"/>
      <c r="CR619" s="128"/>
      <c r="CS619" s="128"/>
      <c r="CT619" s="128"/>
      <c r="CU619" s="128"/>
      <c r="CV619" s="128"/>
      <c r="CW619" s="128"/>
      <c r="CX619" s="128"/>
      <c r="CY619" s="128"/>
      <c r="CZ619" s="128"/>
    </row>
    <row r="620" spans="1:104">
      <c r="A620" s="128"/>
      <c r="B620" s="128"/>
      <c r="C620" s="128"/>
      <c r="D620" s="112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  <c r="AV620" s="128"/>
      <c r="AW620" s="128"/>
      <c r="AX620" s="128"/>
      <c r="AY620" s="128"/>
      <c r="AZ620" s="128"/>
      <c r="BA620" s="128"/>
      <c r="BB620" s="128"/>
      <c r="BC620" s="128"/>
      <c r="BD620" s="128"/>
      <c r="BE620" s="128"/>
      <c r="BF620" s="128"/>
      <c r="BG620" s="128"/>
      <c r="BH620" s="128"/>
      <c r="BI620" s="128"/>
      <c r="BJ620" s="128"/>
      <c r="BK620" s="128"/>
      <c r="BL620" s="128"/>
      <c r="BM620" s="151"/>
      <c r="BN620" s="128"/>
      <c r="BO620" s="128"/>
      <c r="BP620" s="128"/>
      <c r="BQ620" s="128"/>
      <c r="BR620" s="128"/>
      <c r="BS620" s="128"/>
      <c r="BT620" s="128"/>
      <c r="BU620" s="128"/>
      <c r="BV620" s="128"/>
      <c r="BW620" s="128"/>
      <c r="BX620" s="128"/>
      <c r="BY620" s="128"/>
      <c r="BZ620" s="128"/>
      <c r="CA620" s="128"/>
      <c r="CB620" s="128"/>
      <c r="CC620" s="128"/>
      <c r="CD620" s="128"/>
      <c r="CE620" s="128"/>
      <c r="CF620" s="128"/>
      <c r="CG620" s="128"/>
      <c r="CH620" s="128"/>
      <c r="CI620" s="128"/>
      <c r="CJ620" s="128"/>
      <c r="CK620" s="128"/>
      <c r="CL620" s="128"/>
      <c r="CM620" s="128"/>
      <c r="CN620" s="128"/>
      <c r="CO620" s="128"/>
      <c r="CP620" s="128"/>
      <c r="CQ620" s="128"/>
      <c r="CR620" s="128"/>
      <c r="CS620" s="128"/>
      <c r="CT620" s="128"/>
      <c r="CU620" s="128"/>
      <c r="CV620" s="128"/>
      <c r="CW620" s="128"/>
      <c r="CX620" s="128"/>
      <c r="CY620" s="128"/>
      <c r="CZ620" s="128"/>
    </row>
    <row r="621" spans="1:104">
      <c r="A621" s="128"/>
      <c r="B621" s="128"/>
      <c r="C621" s="128"/>
      <c r="D621" s="112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51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8"/>
      <c r="BX621" s="128"/>
      <c r="BY621" s="128"/>
      <c r="BZ621" s="128"/>
      <c r="CA621" s="128"/>
      <c r="CB621" s="128"/>
      <c r="CC621" s="128"/>
      <c r="CD621" s="128"/>
      <c r="CE621" s="128"/>
      <c r="CF621" s="128"/>
      <c r="CG621" s="128"/>
      <c r="CH621" s="128"/>
      <c r="CI621" s="128"/>
      <c r="CJ621" s="128"/>
      <c r="CK621" s="128"/>
      <c r="CL621" s="128"/>
      <c r="CM621" s="128"/>
      <c r="CN621" s="128"/>
      <c r="CO621" s="128"/>
      <c r="CP621" s="128"/>
      <c r="CQ621" s="128"/>
      <c r="CR621" s="128"/>
      <c r="CS621" s="128"/>
      <c r="CT621" s="128"/>
      <c r="CU621" s="128"/>
      <c r="CV621" s="128"/>
      <c r="CW621" s="128"/>
      <c r="CX621" s="128"/>
      <c r="CY621" s="128"/>
      <c r="CZ621" s="128"/>
    </row>
    <row r="622" spans="1:104">
      <c r="A622" s="128"/>
      <c r="B622" s="128"/>
      <c r="C622" s="128"/>
      <c r="D622" s="112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51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8"/>
      <c r="BX622" s="128"/>
      <c r="BY622" s="128"/>
      <c r="BZ622" s="128"/>
      <c r="CA622" s="128"/>
      <c r="CB622" s="128"/>
      <c r="CC622" s="128"/>
      <c r="CD622" s="128"/>
      <c r="CE622" s="128"/>
      <c r="CF622" s="128"/>
      <c r="CG622" s="128"/>
      <c r="CH622" s="128"/>
      <c r="CI622" s="128"/>
      <c r="CJ622" s="128"/>
      <c r="CK622" s="128"/>
      <c r="CL622" s="128"/>
      <c r="CM622" s="128"/>
      <c r="CN622" s="128"/>
      <c r="CO622" s="128"/>
      <c r="CP622" s="128"/>
      <c r="CQ622" s="128"/>
      <c r="CR622" s="128"/>
      <c r="CS622" s="128"/>
      <c r="CT622" s="128"/>
      <c r="CU622" s="128"/>
      <c r="CV622" s="128"/>
      <c r="CW622" s="128"/>
      <c r="CX622" s="128"/>
      <c r="CY622" s="128"/>
      <c r="CZ622" s="128"/>
    </row>
    <row r="623" spans="1:104">
      <c r="A623" s="128"/>
      <c r="B623" s="128"/>
      <c r="C623" s="128"/>
      <c r="D623" s="112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51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8"/>
      <c r="CA623" s="128"/>
      <c r="CB623" s="128"/>
      <c r="CC623" s="128"/>
      <c r="CD623" s="128"/>
      <c r="CE623" s="128"/>
      <c r="CF623" s="128"/>
      <c r="CG623" s="128"/>
      <c r="CH623" s="128"/>
      <c r="CI623" s="128"/>
      <c r="CJ623" s="128"/>
      <c r="CK623" s="128"/>
      <c r="CL623" s="128"/>
      <c r="CM623" s="128"/>
      <c r="CN623" s="128"/>
      <c r="CO623" s="128"/>
      <c r="CP623" s="128"/>
      <c r="CQ623" s="128"/>
      <c r="CR623" s="128"/>
      <c r="CS623" s="128"/>
      <c r="CT623" s="128"/>
      <c r="CU623" s="128"/>
      <c r="CV623" s="128"/>
      <c r="CW623" s="128"/>
      <c r="CX623" s="128"/>
      <c r="CY623" s="128"/>
      <c r="CZ623" s="128"/>
    </row>
    <row r="624" spans="1:104">
      <c r="A624" s="128"/>
      <c r="B624" s="128"/>
      <c r="C624" s="128"/>
      <c r="D624" s="112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51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8"/>
      <c r="CA624" s="128"/>
      <c r="CB624" s="128"/>
      <c r="CC624" s="128"/>
      <c r="CD624" s="128"/>
      <c r="CE624" s="128"/>
      <c r="CF624" s="128"/>
      <c r="CG624" s="128"/>
      <c r="CH624" s="128"/>
      <c r="CI624" s="128"/>
      <c r="CJ624" s="128"/>
      <c r="CK624" s="128"/>
      <c r="CL624" s="128"/>
      <c r="CM624" s="128"/>
      <c r="CN624" s="128"/>
      <c r="CO624" s="128"/>
      <c r="CP624" s="128"/>
      <c r="CQ624" s="128"/>
      <c r="CR624" s="128"/>
      <c r="CS624" s="128"/>
      <c r="CT624" s="128"/>
      <c r="CU624" s="128"/>
      <c r="CV624" s="128"/>
      <c r="CW624" s="128"/>
      <c r="CX624" s="128"/>
      <c r="CY624" s="128"/>
      <c r="CZ624" s="128"/>
    </row>
    <row r="625" spans="1:104">
      <c r="A625" s="128"/>
      <c r="B625" s="128"/>
      <c r="C625" s="128"/>
      <c r="D625" s="112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  <c r="AV625" s="128"/>
      <c r="AW625" s="128"/>
      <c r="AX625" s="128"/>
      <c r="AY625" s="128"/>
      <c r="AZ625" s="128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51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28"/>
      <c r="BY625" s="128"/>
      <c r="BZ625" s="128"/>
      <c r="CA625" s="128"/>
      <c r="CB625" s="128"/>
      <c r="CC625" s="128"/>
      <c r="CD625" s="128"/>
      <c r="CE625" s="128"/>
      <c r="CF625" s="128"/>
      <c r="CG625" s="128"/>
      <c r="CH625" s="128"/>
      <c r="CI625" s="128"/>
      <c r="CJ625" s="128"/>
      <c r="CK625" s="128"/>
      <c r="CL625" s="128"/>
      <c r="CM625" s="128"/>
      <c r="CN625" s="128"/>
      <c r="CO625" s="128"/>
      <c r="CP625" s="128"/>
      <c r="CQ625" s="128"/>
      <c r="CR625" s="128"/>
      <c r="CS625" s="128"/>
      <c r="CT625" s="128"/>
      <c r="CU625" s="128"/>
      <c r="CV625" s="128"/>
      <c r="CW625" s="128"/>
      <c r="CX625" s="128"/>
      <c r="CY625" s="128"/>
      <c r="CZ625" s="128"/>
    </row>
    <row r="626" spans="1:104">
      <c r="A626" s="128"/>
      <c r="B626" s="128"/>
      <c r="C626" s="128"/>
      <c r="D626" s="112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  <c r="AV626" s="128"/>
      <c r="AW626" s="128"/>
      <c r="AX626" s="128"/>
      <c r="AY626" s="128"/>
      <c r="AZ626" s="128"/>
      <c r="BA626" s="128"/>
      <c r="BB626" s="128"/>
      <c r="BC626" s="128"/>
      <c r="BD626" s="128"/>
      <c r="BE626" s="128"/>
      <c r="BF626" s="128"/>
      <c r="BG626" s="128"/>
      <c r="BH626" s="128"/>
      <c r="BI626" s="128"/>
      <c r="BJ626" s="128"/>
      <c r="BK626" s="128"/>
      <c r="BL626" s="128"/>
      <c r="BM626" s="151"/>
      <c r="BN626" s="128"/>
      <c r="BO626" s="128"/>
      <c r="BP626" s="128"/>
      <c r="BQ626" s="128"/>
      <c r="BR626" s="128"/>
      <c r="BS626" s="128"/>
      <c r="BT626" s="128"/>
      <c r="BU626" s="128"/>
      <c r="BV626" s="128"/>
      <c r="BW626" s="128"/>
      <c r="BX626" s="128"/>
      <c r="BY626" s="128"/>
      <c r="BZ626" s="128"/>
      <c r="CA626" s="128"/>
      <c r="CB626" s="128"/>
      <c r="CC626" s="128"/>
      <c r="CD626" s="128"/>
      <c r="CE626" s="128"/>
      <c r="CF626" s="128"/>
      <c r="CG626" s="128"/>
      <c r="CH626" s="128"/>
      <c r="CI626" s="128"/>
      <c r="CJ626" s="128"/>
      <c r="CK626" s="128"/>
      <c r="CL626" s="128"/>
      <c r="CM626" s="128"/>
      <c r="CN626" s="128"/>
      <c r="CO626" s="128"/>
      <c r="CP626" s="128"/>
      <c r="CQ626" s="128"/>
      <c r="CR626" s="128"/>
      <c r="CS626" s="128"/>
      <c r="CT626" s="128"/>
      <c r="CU626" s="128"/>
      <c r="CV626" s="128"/>
      <c r="CW626" s="128"/>
      <c r="CX626" s="128"/>
      <c r="CY626" s="128"/>
      <c r="CZ626" s="128"/>
    </row>
    <row r="627" spans="1:104">
      <c r="A627" s="128"/>
      <c r="B627" s="128"/>
      <c r="C627" s="128"/>
      <c r="D627" s="112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51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8"/>
      <c r="CA627" s="128"/>
      <c r="CB627" s="128"/>
      <c r="CC627" s="128"/>
      <c r="CD627" s="128"/>
      <c r="CE627" s="128"/>
      <c r="CF627" s="128"/>
      <c r="CG627" s="128"/>
      <c r="CH627" s="128"/>
      <c r="CI627" s="128"/>
      <c r="CJ627" s="128"/>
      <c r="CK627" s="128"/>
      <c r="CL627" s="128"/>
      <c r="CM627" s="128"/>
      <c r="CN627" s="128"/>
      <c r="CO627" s="128"/>
      <c r="CP627" s="128"/>
      <c r="CQ627" s="128"/>
      <c r="CR627" s="128"/>
      <c r="CS627" s="128"/>
      <c r="CT627" s="128"/>
      <c r="CU627" s="128"/>
      <c r="CV627" s="128"/>
      <c r="CW627" s="128"/>
      <c r="CX627" s="128"/>
      <c r="CY627" s="128"/>
      <c r="CZ627" s="128"/>
    </row>
    <row r="628" spans="1:104">
      <c r="A628" s="128"/>
      <c r="B628" s="128"/>
      <c r="C628" s="128"/>
      <c r="D628" s="112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51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8"/>
      <c r="CA628" s="128"/>
      <c r="CB628" s="128"/>
      <c r="CC628" s="128"/>
      <c r="CD628" s="128"/>
      <c r="CE628" s="128"/>
      <c r="CF628" s="128"/>
      <c r="CG628" s="128"/>
      <c r="CH628" s="128"/>
      <c r="CI628" s="128"/>
      <c r="CJ628" s="128"/>
      <c r="CK628" s="128"/>
      <c r="CL628" s="128"/>
      <c r="CM628" s="128"/>
      <c r="CN628" s="128"/>
      <c r="CO628" s="128"/>
      <c r="CP628" s="128"/>
      <c r="CQ628" s="128"/>
      <c r="CR628" s="128"/>
      <c r="CS628" s="128"/>
      <c r="CT628" s="128"/>
      <c r="CU628" s="128"/>
      <c r="CV628" s="128"/>
      <c r="CW628" s="128"/>
      <c r="CX628" s="128"/>
      <c r="CY628" s="128"/>
      <c r="CZ628" s="128"/>
    </row>
    <row r="629" spans="1:104">
      <c r="A629" s="128"/>
      <c r="B629" s="128"/>
      <c r="C629" s="128"/>
      <c r="D629" s="112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51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8"/>
      <c r="BX629" s="128"/>
      <c r="BY629" s="128"/>
      <c r="BZ629" s="128"/>
      <c r="CA629" s="128"/>
      <c r="CB629" s="128"/>
      <c r="CC629" s="128"/>
      <c r="CD629" s="128"/>
      <c r="CE629" s="128"/>
      <c r="CF629" s="128"/>
      <c r="CG629" s="128"/>
      <c r="CH629" s="128"/>
      <c r="CI629" s="128"/>
      <c r="CJ629" s="128"/>
      <c r="CK629" s="128"/>
      <c r="CL629" s="128"/>
      <c r="CM629" s="128"/>
      <c r="CN629" s="128"/>
      <c r="CO629" s="128"/>
      <c r="CP629" s="128"/>
      <c r="CQ629" s="128"/>
      <c r="CR629" s="128"/>
      <c r="CS629" s="128"/>
      <c r="CT629" s="128"/>
      <c r="CU629" s="128"/>
      <c r="CV629" s="128"/>
      <c r="CW629" s="128"/>
      <c r="CX629" s="128"/>
      <c r="CY629" s="128"/>
      <c r="CZ629" s="128"/>
    </row>
    <row r="630" spans="1:104">
      <c r="A630" s="128"/>
      <c r="B630" s="128"/>
      <c r="C630" s="128"/>
      <c r="D630" s="112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/>
      <c r="BH630" s="128"/>
      <c r="BI630" s="128"/>
      <c r="BJ630" s="128"/>
      <c r="BK630" s="128"/>
      <c r="BL630" s="128"/>
      <c r="BM630" s="151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8"/>
      <c r="CA630" s="128"/>
      <c r="CB630" s="128"/>
      <c r="CC630" s="128"/>
      <c r="CD630" s="128"/>
      <c r="CE630" s="128"/>
      <c r="CF630" s="128"/>
      <c r="CG630" s="128"/>
      <c r="CH630" s="128"/>
      <c r="CI630" s="128"/>
      <c r="CJ630" s="128"/>
      <c r="CK630" s="128"/>
      <c r="CL630" s="128"/>
      <c r="CM630" s="128"/>
      <c r="CN630" s="128"/>
      <c r="CO630" s="128"/>
      <c r="CP630" s="128"/>
      <c r="CQ630" s="128"/>
      <c r="CR630" s="128"/>
      <c r="CS630" s="128"/>
      <c r="CT630" s="128"/>
      <c r="CU630" s="128"/>
      <c r="CV630" s="128"/>
      <c r="CW630" s="128"/>
      <c r="CX630" s="128"/>
      <c r="CY630" s="128"/>
      <c r="CZ630" s="128"/>
    </row>
    <row r="631" spans="1:104">
      <c r="A631" s="128"/>
      <c r="B631" s="128"/>
      <c r="C631" s="128"/>
      <c r="D631" s="112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  <c r="AV631" s="128"/>
      <c r="AW631" s="128"/>
      <c r="AX631" s="128"/>
      <c r="AY631" s="128"/>
      <c r="AZ631" s="128"/>
      <c r="BA631" s="128"/>
      <c r="BB631" s="128"/>
      <c r="BC631" s="128"/>
      <c r="BD631" s="128"/>
      <c r="BE631" s="128"/>
      <c r="BF631" s="128"/>
      <c r="BG631" s="128"/>
      <c r="BH631" s="128"/>
      <c r="BI631" s="128"/>
      <c r="BJ631" s="128"/>
      <c r="BK631" s="128"/>
      <c r="BL631" s="128"/>
      <c r="BM631" s="151"/>
      <c r="BN631" s="128"/>
      <c r="BO631" s="128"/>
      <c r="BP631" s="128"/>
      <c r="BQ631" s="128"/>
      <c r="BR631" s="128"/>
      <c r="BS631" s="128"/>
      <c r="BT631" s="128"/>
      <c r="BU631" s="128"/>
      <c r="BV631" s="128"/>
      <c r="BW631" s="128"/>
      <c r="BX631" s="128"/>
      <c r="BY631" s="128"/>
      <c r="BZ631" s="128"/>
      <c r="CA631" s="128"/>
      <c r="CB631" s="128"/>
      <c r="CC631" s="128"/>
      <c r="CD631" s="128"/>
      <c r="CE631" s="128"/>
      <c r="CF631" s="128"/>
      <c r="CG631" s="128"/>
      <c r="CH631" s="128"/>
      <c r="CI631" s="128"/>
      <c r="CJ631" s="128"/>
      <c r="CK631" s="128"/>
      <c r="CL631" s="128"/>
      <c r="CM631" s="128"/>
      <c r="CN631" s="128"/>
      <c r="CO631" s="128"/>
      <c r="CP631" s="128"/>
      <c r="CQ631" s="128"/>
      <c r="CR631" s="128"/>
      <c r="CS631" s="128"/>
      <c r="CT631" s="128"/>
      <c r="CU631" s="128"/>
      <c r="CV631" s="128"/>
      <c r="CW631" s="128"/>
      <c r="CX631" s="128"/>
      <c r="CY631" s="128"/>
      <c r="CZ631" s="128"/>
    </row>
    <row r="632" spans="1:104">
      <c r="A632" s="128"/>
      <c r="B632" s="128"/>
      <c r="C632" s="128"/>
      <c r="D632" s="112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51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8"/>
      <c r="CA632" s="128"/>
      <c r="CB632" s="128"/>
      <c r="CC632" s="128"/>
      <c r="CD632" s="128"/>
      <c r="CE632" s="128"/>
      <c r="CF632" s="128"/>
      <c r="CG632" s="128"/>
      <c r="CH632" s="128"/>
      <c r="CI632" s="128"/>
      <c r="CJ632" s="128"/>
      <c r="CK632" s="128"/>
      <c r="CL632" s="128"/>
      <c r="CM632" s="128"/>
      <c r="CN632" s="128"/>
      <c r="CO632" s="128"/>
      <c r="CP632" s="128"/>
      <c r="CQ632" s="128"/>
      <c r="CR632" s="128"/>
      <c r="CS632" s="128"/>
      <c r="CT632" s="128"/>
      <c r="CU632" s="128"/>
      <c r="CV632" s="128"/>
      <c r="CW632" s="128"/>
      <c r="CX632" s="128"/>
      <c r="CY632" s="128"/>
      <c r="CZ632" s="128"/>
    </row>
    <row r="633" spans="1:104">
      <c r="A633" s="128"/>
      <c r="B633" s="128"/>
      <c r="C633" s="128"/>
      <c r="D633" s="112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51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8"/>
      <c r="CA633" s="128"/>
      <c r="CB633" s="128"/>
      <c r="CC633" s="128"/>
      <c r="CD633" s="128"/>
      <c r="CE633" s="128"/>
      <c r="CF633" s="128"/>
      <c r="CG633" s="128"/>
      <c r="CH633" s="128"/>
      <c r="CI633" s="128"/>
      <c r="CJ633" s="128"/>
      <c r="CK633" s="128"/>
      <c r="CL633" s="128"/>
      <c r="CM633" s="128"/>
      <c r="CN633" s="128"/>
      <c r="CO633" s="128"/>
      <c r="CP633" s="128"/>
      <c r="CQ633" s="128"/>
      <c r="CR633" s="128"/>
      <c r="CS633" s="128"/>
      <c r="CT633" s="128"/>
      <c r="CU633" s="128"/>
      <c r="CV633" s="128"/>
      <c r="CW633" s="128"/>
      <c r="CX633" s="128"/>
      <c r="CY633" s="128"/>
      <c r="CZ633" s="128"/>
    </row>
    <row r="634" spans="1:104">
      <c r="A634" s="128"/>
      <c r="B634" s="128"/>
      <c r="C634" s="128"/>
      <c r="D634" s="112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51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8"/>
      <c r="CA634" s="128"/>
      <c r="CB634" s="128"/>
      <c r="CC634" s="128"/>
      <c r="CD634" s="128"/>
      <c r="CE634" s="128"/>
      <c r="CF634" s="128"/>
      <c r="CG634" s="128"/>
      <c r="CH634" s="128"/>
      <c r="CI634" s="128"/>
      <c r="CJ634" s="128"/>
      <c r="CK634" s="128"/>
      <c r="CL634" s="128"/>
      <c r="CM634" s="128"/>
      <c r="CN634" s="128"/>
      <c r="CO634" s="128"/>
      <c r="CP634" s="128"/>
      <c r="CQ634" s="128"/>
      <c r="CR634" s="128"/>
      <c r="CS634" s="128"/>
      <c r="CT634" s="128"/>
      <c r="CU634" s="128"/>
      <c r="CV634" s="128"/>
      <c r="CW634" s="128"/>
      <c r="CX634" s="128"/>
      <c r="CY634" s="128"/>
      <c r="CZ634" s="128"/>
    </row>
    <row r="635" spans="1:104">
      <c r="A635" s="128"/>
      <c r="B635" s="128"/>
      <c r="C635" s="128"/>
      <c r="D635" s="112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/>
      <c r="BK635" s="128"/>
      <c r="BL635" s="128"/>
      <c r="BM635" s="151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8"/>
      <c r="BX635" s="128"/>
      <c r="BY635" s="128"/>
      <c r="BZ635" s="128"/>
      <c r="CA635" s="128"/>
      <c r="CB635" s="128"/>
      <c r="CC635" s="128"/>
      <c r="CD635" s="128"/>
      <c r="CE635" s="128"/>
      <c r="CF635" s="128"/>
      <c r="CG635" s="128"/>
      <c r="CH635" s="128"/>
      <c r="CI635" s="128"/>
      <c r="CJ635" s="128"/>
      <c r="CK635" s="128"/>
      <c r="CL635" s="128"/>
      <c r="CM635" s="128"/>
      <c r="CN635" s="128"/>
      <c r="CO635" s="128"/>
      <c r="CP635" s="128"/>
      <c r="CQ635" s="128"/>
      <c r="CR635" s="128"/>
      <c r="CS635" s="128"/>
      <c r="CT635" s="128"/>
      <c r="CU635" s="128"/>
      <c r="CV635" s="128"/>
      <c r="CW635" s="128"/>
      <c r="CX635" s="128"/>
      <c r="CY635" s="128"/>
      <c r="CZ635" s="128"/>
    </row>
    <row r="636" spans="1:104">
      <c r="A636" s="128"/>
      <c r="B636" s="128"/>
      <c r="C636" s="128"/>
      <c r="D636" s="112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51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128"/>
      <c r="CO636" s="128"/>
      <c r="CP636" s="128"/>
      <c r="CQ636" s="128"/>
      <c r="CR636" s="128"/>
      <c r="CS636" s="128"/>
      <c r="CT636" s="128"/>
      <c r="CU636" s="128"/>
      <c r="CV636" s="128"/>
      <c r="CW636" s="128"/>
      <c r="CX636" s="128"/>
      <c r="CY636" s="128"/>
      <c r="CZ636" s="128"/>
    </row>
    <row r="637" spans="1:104">
      <c r="A637" s="128"/>
      <c r="B637" s="128"/>
      <c r="C637" s="128"/>
      <c r="D637" s="112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  <c r="AV637" s="128"/>
      <c r="AW637" s="128"/>
      <c r="AX637" s="128"/>
      <c r="AY637" s="128"/>
      <c r="AZ637" s="128"/>
      <c r="BA637" s="128"/>
      <c r="BB637" s="128"/>
      <c r="BC637" s="128"/>
      <c r="BD637" s="128"/>
      <c r="BE637" s="128"/>
      <c r="BF637" s="128"/>
      <c r="BG637" s="128"/>
      <c r="BH637" s="128"/>
      <c r="BI637" s="128"/>
      <c r="BJ637" s="128"/>
      <c r="BK637" s="128"/>
      <c r="BL637" s="128"/>
      <c r="BM637" s="151"/>
      <c r="BN637" s="128"/>
      <c r="BO637" s="128"/>
      <c r="BP637" s="128"/>
      <c r="BQ637" s="128"/>
      <c r="BR637" s="128"/>
      <c r="BS637" s="128"/>
      <c r="BT637" s="128"/>
      <c r="BU637" s="128"/>
      <c r="BV637" s="128"/>
      <c r="BW637" s="128"/>
      <c r="BX637" s="128"/>
      <c r="BY637" s="128"/>
      <c r="BZ637" s="128"/>
      <c r="CA637" s="128"/>
      <c r="CB637" s="128"/>
      <c r="CC637" s="128"/>
      <c r="CD637" s="128"/>
      <c r="CE637" s="128"/>
      <c r="CF637" s="128"/>
      <c r="CG637" s="128"/>
      <c r="CH637" s="128"/>
      <c r="CI637" s="128"/>
      <c r="CJ637" s="128"/>
      <c r="CK637" s="128"/>
      <c r="CL637" s="128"/>
      <c r="CM637" s="128"/>
      <c r="CN637" s="128"/>
      <c r="CO637" s="128"/>
      <c r="CP637" s="128"/>
      <c r="CQ637" s="128"/>
      <c r="CR637" s="128"/>
      <c r="CS637" s="128"/>
      <c r="CT637" s="128"/>
      <c r="CU637" s="128"/>
      <c r="CV637" s="128"/>
      <c r="CW637" s="128"/>
      <c r="CX637" s="128"/>
      <c r="CY637" s="128"/>
      <c r="CZ637" s="128"/>
    </row>
    <row r="638" spans="1:104">
      <c r="A638" s="128"/>
      <c r="B638" s="128"/>
      <c r="C638" s="128"/>
      <c r="D638" s="112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/>
      <c r="BK638" s="128"/>
      <c r="BL638" s="128"/>
      <c r="BM638" s="151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8"/>
      <c r="BX638" s="128"/>
      <c r="BY638" s="128"/>
      <c r="BZ638" s="128"/>
      <c r="CA638" s="128"/>
      <c r="CB638" s="128"/>
      <c r="CC638" s="128"/>
      <c r="CD638" s="128"/>
      <c r="CE638" s="128"/>
      <c r="CF638" s="128"/>
      <c r="CG638" s="128"/>
      <c r="CH638" s="128"/>
      <c r="CI638" s="128"/>
      <c r="CJ638" s="128"/>
      <c r="CK638" s="128"/>
      <c r="CL638" s="128"/>
      <c r="CM638" s="128"/>
      <c r="CN638" s="128"/>
      <c r="CO638" s="128"/>
      <c r="CP638" s="128"/>
      <c r="CQ638" s="128"/>
      <c r="CR638" s="128"/>
      <c r="CS638" s="128"/>
      <c r="CT638" s="128"/>
      <c r="CU638" s="128"/>
      <c r="CV638" s="128"/>
      <c r="CW638" s="128"/>
      <c r="CX638" s="128"/>
      <c r="CY638" s="128"/>
      <c r="CZ638" s="128"/>
    </row>
    <row r="639" spans="1:104">
      <c r="A639" s="128"/>
      <c r="B639" s="128"/>
      <c r="C639" s="128"/>
      <c r="D639" s="112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  <c r="AV639" s="128"/>
      <c r="AW639" s="128"/>
      <c r="AX639" s="128"/>
      <c r="AY639" s="128"/>
      <c r="AZ639" s="128"/>
      <c r="BA639" s="128"/>
      <c r="BB639" s="128"/>
      <c r="BC639" s="128"/>
      <c r="BD639" s="128"/>
      <c r="BE639" s="128"/>
      <c r="BF639" s="128"/>
      <c r="BG639" s="128"/>
      <c r="BH639" s="128"/>
      <c r="BI639" s="128"/>
      <c r="BJ639" s="128"/>
      <c r="BK639" s="128"/>
      <c r="BL639" s="128"/>
      <c r="BM639" s="151"/>
      <c r="BN639" s="128"/>
      <c r="BO639" s="128"/>
      <c r="BP639" s="128"/>
      <c r="BQ639" s="128"/>
      <c r="BR639" s="128"/>
      <c r="BS639" s="128"/>
      <c r="BT639" s="128"/>
      <c r="BU639" s="128"/>
      <c r="BV639" s="128"/>
      <c r="BW639" s="128"/>
      <c r="BX639" s="128"/>
      <c r="BY639" s="128"/>
      <c r="BZ639" s="128"/>
      <c r="CA639" s="128"/>
      <c r="CB639" s="128"/>
      <c r="CC639" s="128"/>
      <c r="CD639" s="128"/>
      <c r="CE639" s="128"/>
      <c r="CF639" s="128"/>
      <c r="CG639" s="128"/>
      <c r="CH639" s="128"/>
      <c r="CI639" s="128"/>
      <c r="CJ639" s="128"/>
      <c r="CK639" s="128"/>
      <c r="CL639" s="128"/>
      <c r="CM639" s="128"/>
      <c r="CN639" s="128"/>
      <c r="CO639" s="128"/>
      <c r="CP639" s="128"/>
      <c r="CQ639" s="128"/>
      <c r="CR639" s="128"/>
      <c r="CS639" s="128"/>
      <c r="CT639" s="128"/>
      <c r="CU639" s="128"/>
      <c r="CV639" s="128"/>
      <c r="CW639" s="128"/>
      <c r="CX639" s="128"/>
      <c r="CY639" s="128"/>
      <c r="CZ639" s="128"/>
    </row>
    <row r="640" spans="1:104">
      <c r="A640" s="128"/>
      <c r="B640" s="128"/>
      <c r="C640" s="128"/>
      <c r="D640" s="112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/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51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8"/>
      <c r="CA640" s="128"/>
      <c r="CB640" s="128"/>
      <c r="CC640" s="128"/>
      <c r="CD640" s="128"/>
      <c r="CE640" s="128"/>
      <c r="CF640" s="128"/>
      <c r="CG640" s="128"/>
      <c r="CH640" s="128"/>
      <c r="CI640" s="128"/>
      <c r="CJ640" s="128"/>
      <c r="CK640" s="128"/>
      <c r="CL640" s="128"/>
      <c r="CM640" s="128"/>
      <c r="CN640" s="128"/>
      <c r="CO640" s="128"/>
      <c r="CP640" s="128"/>
      <c r="CQ640" s="128"/>
      <c r="CR640" s="128"/>
      <c r="CS640" s="128"/>
      <c r="CT640" s="128"/>
      <c r="CU640" s="128"/>
      <c r="CV640" s="128"/>
      <c r="CW640" s="128"/>
      <c r="CX640" s="128"/>
      <c r="CY640" s="128"/>
      <c r="CZ640" s="128"/>
    </row>
    <row r="641" spans="1:104">
      <c r="A641" s="128"/>
      <c r="B641" s="128"/>
      <c r="C641" s="128"/>
      <c r="D641" s="112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51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8"/>
      <c r="CA641" s="128"/>
      <c r="CB641" s="128"/>
      <c r="CC641" s="128"/>
      <c r="CD641" s="128"/>
      <c r="CE641" s="128"/>
      <c r="CF641" s="128"/>
      <c r="CG641" s="128"/>
      <c r="CH641" s="128"/>
      <c r="CI641" s="128"/>
      <c r="CJ641" s="128"/>
      <c r="CK641" s="128"/>
      <c r="CL641" s="128"/>
      <c r="CM641" s="128"/>
      <c r="CN641" s="128"/>
      <c r="CO641" s="128"/>
      <c r="CP641" s="128"/>
      <c r="CQ641" s="128"/>
      <c r="CR641" s="128"/>
      <c r="CS641" s="128"/>
      <c r="CT641" s="128"/>
      <c r="CU641" s="128"/>
      <c r="CV641" s="128"/>
      <c r="CW641" s="128"/>
      <c r="CX641" s="128"/>
      <c r="CY641" s="128"/>
      <c r="CZ641" s="128"/>
    </row>
    <row r="642" spans="1:104">
      <c r="A642" s="128"/>
      <c r="B642" s="128"/>
      <c r="C642" s="128"/>
      <c r="D642" s="112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51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/>
      <c r="BZ642" s="128"/>
      <c r="CA642" s="128"/>
      <c r="CB642" s="128"/>
      <c r="CC642" s="128"/>
      <c r="CD642" s="128"/>
      <c r="CE642" s="128"/>
      <c r="CF642" s="128"/>
      <c r="CG642" s="128"/>
      <c r="CH642" s="128"/>
      <c r="CI642" s="128"/>
      <c r="CJ642" s="128"/>
      <c r="CK642" s="128"/>
      <c r="CL642" s="128"/>
      <c r="CM642" s="128"/>
      <c r="CN642" s="128"/>
      <c r="CO642" s="128"/>
      <c r="CP642" s="128"/>
      <c r="CQ642" s="128"/>
      <c r="CR642" s="128"/>
      <c r="CS642" s="128"/>
      <c r="CT642" s="128"/>
      <c r="CU642" s="128"/>
      <c r="CV642" s="128"/>
      <c r="CW642" s="128"/>
      <c r="CX642" s="128"/>
      <c r="CY642" s="128"/>
      <c r="CZ642" s="128"/>
    </row>
    <row r="643" spans="1:104">
      <c r="A643" s="128"/>
      <c r="B643" s="128"/>
      <c r="C643" s="128"/>
      <c r="D643" s="112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  <c r="AV643" s="128"/>
      <c r="AW643" s="128"/>
      <c r="AX643" s="128"/>
      <c r="AY643" s="128"/>
      <c r="AZ643" s="128"/>
      <c r="BA643" s="128"/>
      <c r="BB643" s="128"/>
      <c r="BC643" s="128"/>
      <c r="BD643" s="128"/>
      <c r="BE643" s="128"/>
      <c r="BF643" s="128"/>
      <c r="BG643" s="128"/>
      <c r="BH643" s="128"/>
      <c r="BI643" s="128"/>
      <c r="BJ643" s="128"/>
      <c r="BK643" s="128"/>
      <c r="BL643" s="128"/>
      <c r="BM643" s="151"/>
      <c r="BN643" s="128"/>
      <c r="BO643" s="128"/>
      <c r="BP643" s="128"/>
      <c r="BQ643" s="128"/>
      <c r="BR643" s="128"/>
      <c r="BS643" s="128"/>
      <c r="BT643" s="128"/>
      <c r="BU643" s="128"/>
      <c r="BV643" s="128"/>
      <c r="BW643" s="128"/>
      <c r="BX643" s="128"/>
      <c r="BY643" s="128"/>
      <c r="BZ643" s="128"/>
      <c r="CA643" s="128"/>
      <c r="CB643" s="128"/>
      <c r="CC643" s="128"/>
      <c r="CD643" s="128"/>
      <c r="CE643" s="128"/>
      <c r="CF643" s="128"/>
      <c r="CG643" s="128"/>
      <c r="CH643" s="128"/>
      <c r="CI643" s="128"/>
      <c r="CJ643" s="128"/>
      <c r="CK643" s="128"/>
      <c r="CL643" s="128"/>
      <c r="CM643" s="128"/>
      <c r="CN643" s="128"/>
      <c r="CO643" s="128"/>
      <c r="CP643" s="128"/>
      <c r="CQ643" s="128"/>
      <c r="CR643" s="128"/>
      <c r="CS643" s="128"/>
      <c r="CT643" s="128"/>
      <c r="CU643" s="128"/>
      <c r="CV643" s="128"/>
      <c r="CW643" s="128"/>
      <c r="CX643" s="128"/>
      <c r="CY643" s="128"/>
      <c r="CZ643" s="128"/>
    </row>
    <row r="644" spans="1:104">
      <c r="A644" s="128"/>
      <c r="B644" s="128"/>
      <c r="C644" s="128"/>
      <c r="D644" s="112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51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8"/>
      <c r="BX644" s="128"/>
      <c r="BY644" s="128"/>
      <c r="BZ644" s="128"/>
      <c r="CA644" s="128"/>
      <c r="CB644" s="128"/>
      <c r="CC644" s="128"/>
      <c r="CD644" s="128"/>
      <c r="CE644" s="128"/>
      <c r="CF644" s="128"/>
      <c r="CG644" s="128"/>
      <c r="CH644" s="128"/>
      <c r="CI644" s="128"/>
      <c r="CJ644" s="128"/>
      <c r="CK644" s="128"/>
      <c r="CL644" s="128"/>
      <c r="CM644" s="128"/>
      <c r="CN644" s="128"/>
      <c r="CO644" s="128"/>
      <c r="CP644" s="128"/>
      <c r="CQ644" s="128"/>
      <c r="CR644" s="128"/>
      <c r="CS644" s="128"/>
      <c r="CT644" s="128"/>
      <c r="CU644" s="128"/>
      <c r="CV644" s="128"/>
      <c r="CW644" s="128"/>
      <c r="CX644" s="128"/>
      <c r="CY644" s="128"/>
      <c r="CZ644" s="128"/>
    </row>
    <row r="645" spans="1:104">
      <c r="A645" s="128"/>
      <c r="B645" s="128"/>
      <c r="C645" s="128"/>
      <c r="D645" s="112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  <c r="AV645" s="128"/>
      <c r="AW645" s="128"/>
      <c r="AX645" s="128"/>
      <c r="AY645" s="128"/>
      <c r="AZ645" s="128"/>
      <c r="BA645" s="128"/>
      <c r="BB645" s="128"/>
      <c r="BC645" s="128"/>
      <c r="BD645" s="128"/>
      <c r="BE645" s="128"/>
      <c r="BF645" s="128"/>
      <c r="BG645" s="128"/>
      <c r="BH645" s="128"/>
      <c r="BI645" s="128"/>
      <c r="BJ645" s="128"/>
      <c r="BK645" s="128"/>
      <c r="BL645" s="128"/>
      <c r="BM645" s="151"/>
      <c r="BN645" s="128"/>
      <c r="BO645" s="128"/>
      <c r="BP645" s="128"/>
      <c r="BQ645" s="128"/>
      <c r="BR645" s="128"/>
      <c r="BS645" s="128"/>
      <c r="BT645" s="128"/>
      <c r="BU645" s="128"/>
      <c r="BV645" s="128"/>
      <c r="BW645" s="128"/>
      <c r="BX645" s="128"/>
      <c r="BY645" s="128"/>
      <c r="BZ645" s="128"/>
      <c r="CA645" s="128"/>
      <c r="CB645" s="128"/>
      <c r="CC645" s="128"/>
      <c r="CD645" s="128"/>
      <c r="CE645" s="128"/>
      <c r="CF645" s="128"/>
      <c r="CG645" s="128"/>
      <c r="CH645" s="128"/>
      <c r="CI645" s="128"/>
      <c r="CJ645" s="128"/>
      <c r="CK645" s="128"/>
      <c r="CL645" s="128"/>
      <c r="CM645" s="128"/>
      <c r="CN645" s="128"/>
      <c r="CO645" s="128"/>
      <c r="CP645" s="128"/>
      <c r="CQ645" s="128"/>
      <c r="CR645" s="128"/>
      <c r="CS645" s="128"/>
      <c r="CT645" s="128"/>
      <c r="CU645" s="128"/>
      <c r="CV645" s="128"/>
      <c r="CW645" s="128"/>
      <c r="CX645" s="128"/>
      <c r="CY645" s="128"/>
      <c r="CZ645" s="128"/>
    </row>
    <row r="646" spans="1:104">
      <c r="A646" s="128"/>
      <c r="B646" s="128"/>
      <c r="C646" s="128"/>
      <c r="D646" s="112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51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8"/>
      <c r="CA646" s="128"/>
      <c r="CB646" s="128"/>
      <c r="CC646" s="128"/>
      <c r="CD646" s="128"/>
      <c r="CE646" s="128"/>
      <c r="CF646" s="128"/>
      <c r="CG646" s="128"/>
      <c r="CH646" s="128"/>
      <c r="CI646" s="128"/>
      <c r="CJ646" s="128"/>
      <c r="CK646" s="128"/>
      <c r="CL646" s="128"/>
      <c r="CM646" s="128"/>
      <c r="CN646" s="128"/>
      <c r="CO646" s="128"/>
      <c r="CP646" s="128"/>
      <c r="CQ646" s="128"/>
      <c r="CR646" s="128"/>
      <c r="CS646" s="128"/>
      <c r="CT646" s="128"/>
      <c r="CU646" s="128"/>
      <c r="CV646" s="128"/>
      <c r="CW646" s="128"/>
      <c r="CX646" s="128"/>
      <c r="CY646" s="128"/>
      <c r="CZ646" s="128"/>
    </row>
    <row r="647" spans="1:104">
      <c r="A647" s="128"/>
      <c r="B647" s="128"/>
      <c r="C647" s="128"/>
      <c r="D647" s="112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  <c r="AV647" s="128"/>
      <c r="AW647" s="128"/>
      <c r="AX647" s="128"/>
      <c r="AY647" s="128"/>
      <c r="AZ647" s="128"/>
      <c r="BA647" s="128"/>
      <c r="BB647" s="128"/>
      <c r="BC647" s="128"/>
      <c r="BD647" s="128"/>
      <c r="BE647" s="128"/>
      <c r="BF647" s="128"/>
      <c r="BG647" s="128"/>
      <c r="BH647" s="128"/>
      <c r="BI647" s="128"/>
      <c r="BJ647" s="128"/>
      <c r="BK647" s="128"/>
      <c r="BL647" s="128"/>
      <c r="BM647" s="151"/>
      <c r="BN647" s="128"/>
      <c r="BO647" s="128"/>
      <c r="BP647" s="128"/>
      <c r="BQ647" s="128"/>
      <c r="BR647" s="128"/>
      <c r="BS647" s="128"/>
      <c r="BT647" s="128"/>
      <c r="BU647" s="128"/>
      <c r="BV647" s="128"/>
      <c r="BW647" s="128"/>
      <c r="BX647" s="128"/>
      <c r="BY647" s="128"/>
      <c r="BZ647" s="128"/>
      <c r="CA647" s="128"/>
      <c r="CB647" s="128"/>
      <c r="CC647" s="128"/>
      <c r="CD647" s="128"/>
      <c r="CE647" s="128"/>
      <c r="CF647" s="128"/>
      <c r="CG647" s="128"/>
      <c r="CH647" s="128"/>
      <c r="CI647" s="128"/>
      <c r="CJ647" s="128"/>
      <c r="CK647" s="128"/>
      <c r="CL647" s="128"/>
      <c r="CM647" s="128"/>
      <c r="CN647" s="128"/>
      <c r="CO647" s="128"/>
      <c r="CP647" s="128"/>
      <c r="CQ647" s="128"/>
      <c r="CR647" s="128"/>
      <c r="CS647" s="128"/>
      <c r="CT647" s="128"/>
      <c r="CU647" s="128"/>
      <c r="CV647" s="128"/>
      <c r="CW647" s="128"/>
      <c r="CX647" s="128"/>
      <c r="CY647" s="128"/>
      <c r="CZ647" s="128"/>
    </row>
    <row r="648" spans="1:104">
      <c r="A648" s="128"/>
      <c r="B648" s="128"/>
      <c r="C648" s="128"/>
      <c r="D648" s="112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  <c r="AV648" s="128"/>
      <c r="AW648" s="128"/>
      <c r="AX648" s="128"/>
      <c r="AY648" s="128"/>
      <c r="AZ648" s="128"/>
      <c r="BA648" s="128"/>
      <c r="BB648" s="128"/>
      <c r="BC648" s="128"/>
      <c r="BD648" s="128"/>
      <c r="BE648" s="128"/>
      <c r="BF648" s="128"/>
      <c r="BG648" s="128"/>
      <c r="BH648" s="128"/>
      <c r="BI648" s="128"/>
      <c r="BJ648" s="128"/>
      <c r="BK648" s="128"/>
      <c r="BL648" s="128"/>
      <c r="BM648" s="151"/>
      <c r="BN648" s="128"/>
      <c r="BO648" s="128"/>
      <c r="BP648" s="128"/>
      <c r="BQ648" s="128"/>
      <c r="BR648" s="128"/>
      <c r="BS648" s="128"/>
      <c r="BT648" s="128"/>
      <c r="BU648" s="128"/>
      <c r="BV648" s="128"/>
      <c r="BW648" s="128"/>
      <c r="BX648" s="128"/>
      <c r="BY648" s="128"/>
      <c r="BZ648" s="128"/>
      <c r="CA648" s="128"/>
      <c r="CB648" s="128"/>
      <c r="CC648" s="128"/>
      <c r="CD648" s="128"/>
      <c r="CE648" s="128"/>
      <c r="CF648" s="128"/>
      <c r="CG648" s="128"/>
      <c r="CH648" s="128"/>
      <c r="CI648" s="128"/>
      <c r="CJ648" s="128"/>
      <c r="CK648" s="128"/>
      <c r="CL648" s="128"/>
      <c r="CM648" s="128"/>
      <c r="CN648" s="128"/>
      <c r="CO648" s="128"/>
      <c r="CP648" s="128"/>
      <c r="CQ648" s="128"/>
      <c r="CR648" s="128"/>
      <c r="CS648" s="128"/>
      <c r="CT648" s="128"/>
      <c r="CU648" s="128"/>
      <c r="CV648" s="128"/>
      <c r="CW648" s="128"/>
      <c r="CX648" s="128"/>
      <c r="CY648" s="128"/>
      <c r="CZ648" s="128"/>
    </row>
    <row r="649" spans="1:104">
      <c r="A649" s="128"/>
      <c r="B649" s="128"/>
      <c r="C649" s="128"/>
      <c r="D649" s="112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51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8"/>
      <c r="CA649" s="128"/>
      <c r="CB649" s="128"/>
      <c r="CC649" s="128"/>
      <c r="CD649" s="128"/>
      <c r="CE649" s="128"/>
      <c r="CF649" s="128"/>
      <c r="CG649" s="128"/>
      <c r="CH649" s="128"/>
      <c r="CI649" s="128"/>
      <c r="CJ649" s="128"/>
      <c r="CK649" s="128"/>
      <c r="CL649" s="128"/>
      <c r="CM649" s="128"/>
      <c r="CN649" s="128"/>
      <c r="CO649" s="128"/>
      <c r="CP649" s="128"/>
      <c r="CQ649" s="128"/>
      <c r="CR649" s="128"/>
      <c r="CS649" s="128"/>
      <c r="CT649" s="128"/>
      <c r="CU649" s="128"/>
      <c r="CV649" s="128"/>
      <c r="CW649" s="128"/>
      <c r="CX649" s="128"/>
      <c r="CY649" s="128"/>
      <c r="CZ649" s="128"/>
    </row>
    <row r="650" spans="1:104">
      <c r="A650" s="128"/>
      <c r="B650" s="128"/>
      <c r="C650" s="128"/>
      <c r="D650" s="112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  <c r="AV650" s="128"/>
      <c r="AW650" s="128"/>
      <c r="AX650" s="128"/>
      <c r="AY650" s="128"/>
      <c r="AZ650" s="128"/>
      <c r="BA650" s="128"/>
      <c r="BB650" s="128"/>
      <c r="BC650" s="128"/>
      <c r="BD650" s="128"/>
      <c r="BE650" s="128"/>
      <c r="BF650" s="128"/>
      <c r="BG650" s="128"/>
      <c r="BH650" s="128"/>
      <c r="BI650" s="128"/>
      <c r="BJ650" s="128"/>
      <c r="BK650" s="128"/>
      <c r="BL650" s="128"/>
      <c r="BM650" s="151"/>
      <c r="BN650" s="128"/>
      <c r="BO650" s="128"/>
      <c r="BP650" s="128"/>
      <c r="BQ650" s="128"/>
      <c r="BR650" s="128"/>
      <c r="BS650" s="128"/>
      <c r="BT650" s="128"/>
      <c r="BU650" s="128"/>
      <c r="BV650" s="128"/>
      <c r="BW650" s="128"/>
      <c r="BX650" s="128"/>
      <c r="BY650" s="128"/>
      <c r="BZ650" s="128"/>
      <c r="CA650" s="128"/>
      <c r="CB650" s="128"/>
      <c r="CC650" s="128"/>
      <c r="CD650" s="128"/>
      <c r="CE650" s="128"/>
      <c r="CF650" s="128"/>
      <c r="CG650" s="128"/>
      <c r="CH650" s="128"/>
      <c r="CI650" s="128"/>
      <c r="CJ650" s="128"/>
      <c r="CK650" s="128"/>
      <c r="CL650" s="128"/>
      <c r="CM650" s="128"/>
      <c r="CN650" s="128"/>
      <c r="CO650" s="128"/>
      <c r="CP650" s="128"/>
      <c r="CQ650" s="128"/>
      <c r="CR650" s="128"/>
      <c r="CS650" s="128"/>
      <c r="CT650" s="128"/>
      <c r="CU650" s="128"/>
      <c r="CV650" s="128"/>
      <c r="CW650" s="128"/>
      <c r="CX650" s="128"/>
      <c r="CY650" s="128"/>
      <c r="CZ650" s="128"/>
    </row>
    <row r="651" spans="1:104">
      <c r="A651" s="128"/>
      <c r="B651" s="128"/>
      <c r="C651" s="128"/>
      <c r="D651" s="112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51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8"/>
      <c r="BX651" s="128"/>
      <c r="BY651" s="128"/>
      <c r="BZ651" s="128"/>
      <c r="CA651" s="128"/>
      <c r="CB651" s="128"/>
      <c r="CC651" s="128"/>
      <c r="CD651" s="128"/>
      <c r="CE651" s="128"/>
      <c r="CF651" s="128"/>
      <c r="CG651" s="128"/>
      <c r="CH651" s="128"/>
      <c r="CI651" s="128"/>
      <c r="CJ651" s="128"/>
      <c r="CK651" s="128"/>
      <c r="CL651" s="128"/>
      <c r="CM651" s="128"/>
      <c r="CN651" s="128"/>
      <c r="CO651" s="128"/>
      <c r="CP651" s="128"/>
      <c r="CQ651" s="128"/>
      <c r="CR651" s="128"/>
      <c r="CS651" s="128"/>
      <c r="CT651" s="128"/>
      <c r="CU651" s="128"/>
      <c r="CV651" s="128"/>
      <c r="CW651" s="128"/>
      <c r="CX651" s="128"/>
      <c r="CY651" s="128"/>
      <c r="CZ651" s="128"/>
    </row>
    <row r="652" spans="1:104">
      <c r="A652" s="128"/>
      <c r="B652" s="128"/>
      <c r="C652" s="128"/>
      <c r="D652" s="112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51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8"/>
      <c r="CA652" s="128"/>
      <c r="CB652" s="128"/>
      <c r="CC652" s="128"/>
      <c r="CD652" s="128"/>
      <c r="CE652" s="128"/>
      <c r="CF652" s="128"/>
      <c r="CG652" s="128"/>
      <c r="CH652" s="128"/>
      <c r="CI652" s="128"/>
      <c r="CJ652" s="128"/>
      <c r="CK652" s="128"/>
      <c r="CL652" s="128"/>
      <c r="CM652" s="128"/>
      <c r="CN652" s="128"/>
      <c r="CO652" s="128"/>
      <c r="CP652" s="128"/>
      <c r="CQ652" s="128"/>
      <c r="CR652" s="128"/>
      <c r="CS652" s="128"/>
      <c r="CT652" s="128"/>
      <c r="CU652" s="128"/>
      <c r="CV652" s="128"/>
      <c r="CW652" s="128"/>
      <c r="CX652" s="128"/>
      <c r="CY652" s="128"/>
      <c r="CZ652" s="128"/>
    </row>
    <row r="653" spans="1:104">
      <c r="A653" s="128"/>
      <c r="B653" s="128"/>
      <c r="C653" s="128"/>
      <c r="D653" s="112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51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8"/>
      <c r="CA653" s="128"/>
      <c r="CB653" s="128"/>
      <c r="CC653" s="128"/>
      <c r="CD653" s="128"/>
      <c r="CE653" s="128"/>
      <c r="CF653" s="128"/>
      <c r="CG653" s="128"/>
      <c r="CH653" s="128"/>
      <c r="CI653" s="128"/>
      <c r="CJ653" s="128"/>
      <c r="CK653" s="128"/>
      <c r="CL653" s="128"/>
      <c r="CM653" s="128"/>
      <c r="CN653" s="128"/>
      <c r="CO653" s="128"/>
      <c r="CP653" s="128"/>
      <c r="CQ653" s="128"/>
      <c r="CR653" s="128"/>
      <c r="CS653" s="128"/>
      <c r="CT653" s="128"/>
      <c r="CU653" s="128"/>
      <c r="CV653" s="128"/>
      <c r="CW653" s="128"/>
      <c r="CX653" s="128"/>
      <c r="CY653" s="128"/>
      <c r="CZ653" s="128"/>
    </row>
    <row r="654" spans="1:104">
      <c r="A654" s="128"/>
      <c r="B654" s="128"/>
      <c r="C654" s="128"/>
      <c r="D654" s="112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51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8"/>
      <c r="CA654" s="128"/>
      <c r="CB654" s="128"/>
      <c r="CC654" s="128"/>
      <c r="CD654" s="128"/>
      <c r="CE654" s="128"/>
      <c r="CF654" s="128"/>
      <c r="CG654" s="128"/>
      <c r="CH654" s="128"/>
      <c r="CI654" s="128"/>
      <c r="CJ654" s="128"/>
      <c r="CK654" s="128"/>
      <c r="CL654" s="128"/>
      <c r="CM654" s="128"/>
      <c r="CN654" s="128"/>
      <c r="CO654" s="128"/>
      <c r="CP654" s="128"/>
      <c r="CQ654" s="128"/>
      <c r="CR654" s="128"/>
      <c r="CS654" s="128"/>
      <c r="CT654" s="128"/>
      <c r="CU654" s="128"/>
      <c r="CV654" s="128"/>
      <c r="CW654" s="128"/>
      <c r="CX654" s="128"/>
      <c r="CY654" s="128"/>
      <c r="CZ654" s="128"/>
    </row>
    <row r="655" spans="1:104">
      <c r="A655" s="128"/>
      <c r="B655" s="128"/>
      <c r="C655" s="128"/>
      <c r="D655" s="112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  <c r="AC655" s="128"/>
      <c r="AD655" s="128"/>
      <c r="AE655" s="128"/>
      <c r="AF655" s="128"/>
      <c r="AG655" s="128"/>
      <c r="AH655" s="128"/>
      <c r="AI655" s="128"/>
      <c r="AJ655" s="128"/>
      <c r="AK655" s="128"/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51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8"/>
      <c r="CA655" s="128"/>
      <c r="CB655" s="128"/>
      <c r="CC655" s="128"/>
      <c r="CD655" s="128"/>
      <c r="CE655" s="128"/>
      <c r="CF655" s="128"/>
      <c r="CG655" s="128"/>
      <c r="CH655" s="128"/>
      <c r="CI655" s="128"/>
      <c r="CJ655" s="128"/>
      <c r="CK655" s="128"/>
      <c r="CL655" s="128"/>
      <c r="CM655" s="128"/>
      <c r="CN655" s="128"/>
      <c r="CO655" s="128"/>
      <c r="CP655" s="128"/>
      <c r="CQ655" s="128"/>
      <c r="CR655" s="128"/>
      <c r="CS655" s="128"/>
      <c r="CT655" s="128"/>
      <c r="CU655" s="128"/>
      <c r="CV655" s="128"/>
      <c r="CW655" s="128"/>
      <c r="CX655" s="128"/>
      <c r="CY655" s="128"/>
      <c r="CZ655" s="128"/>
    </row>
    <row r="656" spans="1:104">
      <c r="A656" s="128"/>
      <c r="B656" s="128"/>
      <c r="C656" s="128"/>
      <c r="D656" s="112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  <c r="AV656" s="128"/>
      <c r="AW656" s="128"/>
      <c r="AX656" s="128"/>
      <c r="AY656" s="128"/>
      <c r="AZ656" s="128"/>
      <c r="BA656" s="128"/>
      <c r="BB656" s="128"/>
      <c r="BC656" s="128"/>
      <c r="BD656" s="128"/>
      <c r="BE656" s="128"/>
      <c r="BF656" s="128"/>
      <c r="BG656" s="128"/>
      <c r="BH656" s="128"/>
      <c r="BI656" s="128"/>
      <c r="BJ656" s="128"/>
      <c r="BK656" s="128"/>
      <c r="BL656" s="128"/>
      <c r="BM656" s="151"/>
      <c r="BN656" s="128"/>
      <c r="BO656" s="128"/>
      <c r="BP656" s="128"/>
      <c r="BQ656" s="128"/>
      <c r="BR656" s="128"/>
      <c r="BS656" s="128"/>
      <c r="BT656" s="128"/>
      <c r="BU656" s="128"/>
      <c r="BV656" s="128"/>
      <c r="BW656" s="128"/>
      <c r="BX656" s="128"/>
      <c r="BY656" s="128"/>
      <c r="BZ656" s="128"/>
      <c r="CA656" s="128"/>
      <c r="CB656" s="128"/>
      <c r="CC656" s="128"/>
      <c r="CD656" s="128"/>
      <c r="CE656" s="128"/>
      <c r="CF656" s="128"/>
      <c r="CG656" s="128"/>
      <c r="CH656" s="128"/>
      <c r="CI656" s="128"/>
      <c r="CJ656" s="128"/>
      <c r="CK656" s="128"/>
      <c r="CL656" s="128"/>
      <c r="CM656" s="128"/>
      <c r="CN656" s="128"/>
      <c r="CO656" s="128"/>
      <c r="CP656" s="128"/>
      <c r="CQ656" s="128"/>
      <c r="CR656" s="128"/>
      <c r="CS656" s="128"/>
      <c r="CT656" s="128"/>
      <c r="CU656" s="128"/>
      <c r="CV656" s="128"/>
      <c r="CW656" s="128"/>
      <c r="CX656" s="128"/>
      <c r="CY656" s="128"/>
      <c r="CZ656" s="128"/>
    </row>
    <row r="657" spans="1:104">
      <c r="A657" s="128"/>
      <c r="B657" s="128"/>
      <c r="C657" s="128"/>
      <c r="D657" s="112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51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8"/>
      <c r="CA657" s="128"/>
      <c r="CB657" s="128"/>
      <c r="CC657" s="128"/>
      <c r="CD657" s="128"/>
      <c r="CE657" s="128"/>
      <c r="CF657" s="128"/>
      <c r="CG657" s="128"/>
      <c r="CH657" s="128"/>
      <c r="CI657" s="128"/>
      <c r="CJ657" s="128"/>
      <c r="CK657" s="128"/>
      <c r="CL657" s="128"/>
      <c r="CM657" s="128"/>
      <c r="CN657" s="128"/>
      <c r="CO657" s="128"/>
      <c r="CP657" s="128"/>
      <c r="CQ657" s="128"/>
      <c r="CR657" s="128"/>
      <c r="CS657" s="128"/>
      <c r="CT657" s="128"/>
      <c r="CU657" s="128"/>
      <c r="CV657" s="128"/>
      <c r="CW657" s="128"/>
      <c r="CX657" s="128"/>
      <c r="CY657" s="128"/>
      <c r="CZ657" s="128"/>
    </row>
    <row r="658" spans="1:104">
      <c r="A658" s="128"/>
      <c r="B658" s="128"/>
      <c r="C658" s="128"/>
      <c r="D658" s="112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51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8"/>
      <c r="BX658" s="128"/>
      <c r="BY658" s="128"/>
      <c r="BZ658" s="128"/>
      <c r="CA658" s="128"/>
      <c r="CB658" s="128"/>
      <c r="CC658" s="128"/>
      <c r="CD658" s="128"/>
      <c r="CE658" s="128"/>
      <c r="CF658" s="128"/>
      <c r="CG658" s="128"/>
      <c r="CH658" s="128"/>
      <c r="CI658" s="128"/>
      <c r="CJ658" s="128"/>
      <c r="CK658" s="128"/>
      <c r="CL658" s="128"/>
      <c r="CM658" s="128"/>
      <c r="CN658" s="128"/>
      <c r="CO658" s="128"/>
      <c r="CP658" s="128"/>
      <c r="CQ658" s="128"/>
      <c r="CR658" s="128"/>
      <c r="CS658" s="128"/>
      <c r="CT658" s="128"/>
      <c r="CU658" s="128"/>
      <c r="CV658" s="128"/>
      <c r="CW658" s="128"/>
      <c r="CX658" s="128"/>
      <c r="CY658" s="128"/>
      <c r="CZ658" s="128"/>
    </row>
    <row r="659" spans="1:104">
      <c r="A659" s="128"/>
      <c r="B659" s="128"/>
      <c r="C659" s="128"/>
      <c r="D659" s="112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51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8"/>
      <c r="BX659" s="128"/>
      <c r="BY659" s="128"/>
      <c r="BZ659" s="128"/>
      <c r="CA659" s="128"/>
      <c r="CB659" s="128"/>
      <c r="CC659" s="128"/>
      <c r="CD659" s="128"/>
      <c r="CE659" s="128"/>
      <c r="CF659" s="128"/>
      <c r="CG659" s="128"/>
      <c r="CH659" s="128"/>
      <c r="CI659" s="128"/>
      <c r="CJ659" s="128"/>
      <c r="CK659" s="128"/>
      <c r="CL659" s="128"/>
      <c r="CM659" s="128"/>
      <c r="CN659" s="128"/>
      <c r="CO659" s="128"/>
      <c r="CP659" s="128"/>
      <c r="CQ659" s="128"/>
      <c r="CR659" s="128"/>
      <c r="CS659" s="128"/>
      <c r="CT659" s="128"/>
      <c r="CU659" s="128"/>
      <c r="CV659" s="128"/>
      <c r="CW659" s="128"/>
      <c r="CX659" s="128"/>
      <c r="CY659" s="128"/>
      <c r="CZ659" s="128"/>
    </row>
    <row r="660" spans="1:104">
      <c r="A660" s="128"/>
      <c r="B660" s="128"/>
      <c r="C660" s="128"/>
      <c r="D660" s="112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51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8"/>
      <c r="CA660" s="128"/>
      <c r="CB660" s="128"/>
      <c r="CC660" s="128"/>
      <c r="CD660" s="128"/>
      <c r="CE660" s="128"/>
      <c r="CF660" s="128"/>
      <c r="CG660" s="128"/>
      <c r="CH660" s="128"/>
      <c r="CI660" s="128"/>
      <c r="CJ660" s="128"/>
      <c r="CK660" s="128"/>
      <c r="CL660" s="128"/>
      <c r="CM660" s="128"/>
      <c r="CN660" s="128"/>
      <c r="CO660" s="128"/>
      <c r="CP660" s="128"/>
      <c r="CQ660" s="128"/>
      <c r="CR660" s="128"/>
      <c r="CS660" s="128"/>
      <c r="CT660" s="128"/>
      <c r="CU660" s="128"/>
      <c r="CV660" s="128"/>
      <c r="CW660" s="128"/>
      <c r="CX660" s="128"/>
      <c r="CY660" s="128"/>
      <c r="CZ660" s="128"/>
    </row>
    <row r="661" spans="1:104">
      <c r="A661" s="128"/>
      <c r="B661" s="128"/>
      <c r="C661" s="128"/>
      <c r="D661" s="112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  <c r="AV661" s="128"/>
      <c r="AW661" s="128"/>
      <c r="AX661" s="128"/>
      <c r="AY661" s="128"/>
      <c r="AZ661" s="128"/>
      <c r="BA661" s="128"/>
      <c r="BB661" s="128"/>
      <c r="BC661" s="128"/>
      <c r="BD661" s="128"/>
      <c r="BE661" s="128"/>
      <c r="BF661" s="128"/>
      <c r="BG661" s="128"/>
      <c r="BH661" s="128"/>
      <c r="BI661" s="128"/>
      <c r="BJ661" s="128"/>
      <c r="BK661" s="128"/>
      <c r="BL661" s="128"/>
      <c r="BM661" s="151"/>
      <c r="BN661" s="128"/>
      <c r="BO661" s="128"/>
      <c r="BP661" s="128"/>
      <c r="BQ661" s="128"/>
      <c r="BR661" s="128"/>
      <c r="BS661" s="128"/>
      <c r="BT661" s="128"/>
      <c r="BU661" s="128"/>
      <c r="BV661" s="128"/>
      <c r="BW661" s="128"/>
      <c r="BX661" s="128"/>
      <c r="BY661" s="128"/>
      <c r="BZ661" s="128"/>
      <c r="CA661" s="128"/>
      <c r="CB661" s="128"/>
      <c r="CC661" s="128"/>
      <c r="CD661" s="128"/>
      <c r="CE661" s="128"/>
      <c r="CF661" s="128"/>
      <c r="CG661" s="128"/>
      <c r="CH661" s="128"/>
      <c r="CI661" s="128"/>
      <c r="CJ661" s="128"/>
      <c r="CK661" s="128"/>
      <c r="CL661" s="128"/>
      <c r="CM661" s="128"/>
      <c r="CN661" s="128"/>
      <c r="CO661" s="128"/>
      <c r="CP661" s="128"/>
      <c r="CQ661" s="128"/>
      <c r="CR661" s="128"/>
      <c r="CS661" s="128"/>
      <c r="CT661" s="128"/>
      <c r="CU661" s="128"/>
      <c r="CV661" s="128"/>
      <c r="CW661" s="128"/>
      <c r="CX661" s="128"/>
      <c r="CY661" s="128"/>
      <c r="CZ661" s="128"/>
    </row>
    <row r="662" spans="1:104">
      <c r="A662" s="128"/>
      <c r="B662" s="128"/>
      <c r="C662" s="128"/>
      <c r="D662" s="112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51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8"/>
      <c r="CA662" s="128"/>
      <c r="CB662" s="128"/>
      <c r="CC662" s="128"/>
      <c r="CD662" s="128"/>
      <c r="CE662" s="128"/>
      <c r="CF662" s="128"/>
      <c r="CG662" s="128"/>
      <c r="CH662" s="128"/>
      <c r="CI662" s="128"/>
      <c r="CJ662" s="128"/>
      <c r="CK662" s="128"/>
      <c r="CL662" s="128"/>
      <c r="CM662" s="128"/>
      <c r="CN662" s="128"/>
      <c r="CO662" s="128"/>
      <c r="CP662" s="128"/>
      <c r="CQ662" s="128"/>
      <c r="CR662" s="128"/>
      <c r="CS662" s="128"/>
      <c r="CT662" s="128"/>
      <c r="CU662" s="128"/>
      <c r="CV662" s="128"/>
      <c r="CW662" s="128"/>
      <c r="CX662" s="128"/>
      <c r="CY662" s="128"/>
      <c r="CZ662" s="128"/>
    </row>
    <row r="663" spans="1:104">
      <c r="A663" s="128"/>
      <c r="B663" s="128"/>
      <c r="C663" s="128"/>
      <c r="D663" s="112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  <c r="AV663" s="128"/>
      <c r="AW663" s="128"/>
      <c r="AX663" s="128"/>
      <c r="AY663" s="128"/>
      <c r="AZ663" s="128"/>
      <c r="BA663" s="128"/>
      <c r="BB663" s="128"/>
      <c r="BC663" s="128"/>
      <c r="BD663" s="128"/>
      <c r="BE663" s="128"/>
      <c r="BF663" s="128"/>
      <c r="BG663" s="128"/>
      <c r="BH663" s="128"/>
      <c r="BI663" s="128"/>
      <c r="BJ663" s="128"/>
      <c r="BK663" s="128"/>
      <c r="BL663" s="128"/>
      <c r="BM663" s="151"/>
      <c r="BN663" s="128"/>
      <c r="BO663" s="128"/>
      <c r="BP663" s="128"/>
      <c r="BQ663" s="128"/>
      <c r="BR663" s="128"/>
      <c r="BS663" s="128"/>
      <c r="BT663" s="128"/>
      <c r="BU663" s="128"/>
      <c r="BV663" s="128"/>
      <c r="BW663" s="128"/>
      <c r="BX663" s="128"/>
      <c r="BY663" s="128"/>
      <c r="BZ663" s="128"/>
      <c r="CA663" s="128"/>
      <c r="CB663" s="128"/>
      <c r="CC663" s="128"/>
      <c r="CD663" s="128"/>
      <c r="CE663" s="128"/>
      <c r="CF663" s="128"/>
      <c r="CG663" s="128"/>
      <c r="CH663" s="128"/>
      <c r="CI663" s="128"/>
      <c r="CJ663" s="128"/>
      <c r="CK663" s="128"/>
      <c r="CL663" s="128"/>
      <c r="CM663" s="128"/>
      <c r="CN663" s="128"/>
      <c r="CO663" s="128"/>
      <c r="CP663" s="128"/>
      <c r="CQ663" s="128"/>
      <c r="CR663" s="128"/>
      <c r="CS663" s="128"/>
      <c r="CT663" s="128"/>
      <c r="CU663" s="128"/>
      <c r="CV663" s="128"/>
      <c r="CW663" s="128"/>
      <c r="CX663" s="128"/>
      <c r="CY663" s="128"/>
      <c r="CZ663" s="128"/>
    </row>
    <row r="664" spans="1:104">
      <c r="A664" s="128"/>
      <c r="B664" s="128"/>
      <c r="C664" s="128"/>
      <c r="D664" s="112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/>
      <c r="BI664" s="128"/>
      <c r="BJ664" s="128"/>
      <c r="BK664" s="128"/>
      <c r="BL664" s="128"/>
      <c r="BM664" s="151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8"/>
      <c r="CA664" s="128"/>
      <c r="CB664" s="128"/>
      <c r="CC664" s="128"/>
      <c r="CD664" s="128"/>
      <c r="CE664" s="128"/>
      <c r="CF664" s="128"/>
      <c r="CG664" s="128"/>
      <c r="CH664" s="128"/>
      <c r="CI664" s="128"/>
      <c r="CJ664" s="128"/>
      <c r="CK664" s="128"/>
      <c r="CL664" s="128"/>
      <c r="CM664" s="128"/>
      <c r="CN664" s="128"/>
      <c r="CO664" s="128"/>
      <c r="CP664" s="128"/>
      <c r="CQ664" s="128"/>
      <c r="CR664" s="128"/>
      <c r="CS664" s="128"/>
      <c r="CT664" s="128"/>
      <c r="CU664" s="128"/>
      <c r="CV664" s="128"/>
      <c r="CW664" s="128"/>
      <c r="CX664" s="128"/>
      <c r="CY664" s="128"/>
      <c r="CZ664" s="128"/>
    </row>
    <row r="665" spans="1:104">
      <c r="A665" s="128"/>
      <c r="B665" s="128"/>
      <c r="C665" s="128"/>
      <c r="D665" s="112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  <c r="AV665" s="128"/>
      <c r="AW665" s="128"/>
      <c r="AX665" s="128"/>
      <c r="AY665" s="128"/>
      <c r="AZ665" s="128"/>
      <c r="BA665" s="128"/>
      <c r="BB665" s="128"/>
      <c r="BC665" s="128"/>
      <c r="BD665" s="128"/>
      <c r="BE665" s="128"/>
      <c r="BF665" s="128"/>
      <c r="BG665" s="128"/>
      <c r="BH665" s="128"/>
      <c r="BI665" s="128"/>
      <c r="BJ665" s="128"/>
      <c r="BK665" s="128"/>
      <c r="BL665" s="128"/>
      <c r="BM665" s="151"/>
      <c r="BN665" s="128"/>
      <c r="BO665" s="128"/>
      <c r="BP665" s="128"/>
      <c r="BQ665" s="128"/>
      <c r="BR665" s="128"/>
      <c r="BS665" s="128"/>
      <c r="BT665" s="128"/>
      <c r="BU665" s="128"/>
      <c r="BV665" s="128"/>
      <c r="BW665" s="128"/>
      <c r="BX665" s="128"/>
      <c r="BY665" s="128"/>
      <c r="BZ665" s="128"/>
      <c r="CA665" s="128"/>
      <c r="CB665" s="128"/>
      <c r="CC665" s="128"/>
      <c r="CD665" s="128"/>
      <c r="CE665" s="128"/>
      <c r="CF665" s="128"/>
      <c r="CG665" s="128"/>
      <c r="CH665" s="128"/>
      <c r="CI665" s="128"/>
      <c r="CJ665" s="128"/>
      <c r="CK665" s="128"/>
      <c r="CL665" s="128"/>
      <c r="CM665" s="128"/>
      <c r="CN665" s="128"/>
      <c r="CO665" s="128"/>
      <c r="CP665" s="128"/>
      <c r="CQ665" s="128"/>
      <c r="CR665" s="128"/>
      <c r="CS665" s="128"/>
      <c r="CT665" s="128"/>
      <c r="CU665" s="128"/>
      <c r="CV665" s="128"/>
      <c r="CW665" s="128"/>
      <c r="CX665" s="128"/>
      <c r="CY665" s="128"/>
      <c r="CZ665" s="128"/>
    </row>
    <row r="666" spans="1:104">
      <c r="A666" s="128"/>
      <c r="B666" s="128"/>
      <c r="C666" s="128"/>
      <c r="D666" s="112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  <c r="AV666" s="128"/>
      <c r="AW666" s="128"/>
      <c r="AX666" s="128"/>
      <c r="AY666" s="128"/>
      <c r="AZ666" s="128"/>
      <c r="BA666" s="128"/>
      <c r="BB666" s="128"/>
      <c r="BC666" s="128"/>
      <c r="BD666" s="128"/>
      <c r="BE666" s="128"/>
      <c r="BF666" s="128"/>
      <c r="BG666" s="128"/>
      <c r="BH666" s="128"/>
      <c r="BI666" s="128"/>
      <c r="BJ666" s="128"/>
      <c r="BK666" s="128"/>
      <c r="BL666" s="128"/>
      <c r="BM666" s="151"/>
      <c r="BN666" s="128"/>
      <c r="BO666" s="128"/>
      <c r="BP666" s="128"/>
      <c r="BQ666" s="128"/>
      <c r="BR666" s="128"/>
      <c r="BS666" s="128"/>
      <c r="BT666" s="128"/>
      <c r="BU666" s="128"/>
      <c r="BV666" s="128"/>
      <c r="BW666" s="128"/>
      <c r="BX666" s="128"/>
      <c r="BY666" s="128"/>
      <c r="BZ666" s="128"/>
      <c r="CA666" s="128"/>
      <c r="CB666" s="128"/>
      <c r="CC666" s="128"/>
      <c r="CD666" s="128"/>
      <c r="CE666" s="128"/>
      <c r="CF666" s="128"/>
      <c r="CG666" s="128"/>
      <c r="CH666" s="128"/>
      <c r="CI666" s="128"/>
      <c r="CJ666" s="128"/>
      <c r="CK666" s="128"/>
      <c r="CL666" s="128"/>
      <c r="CM666" s="128"/>
      <c r="CN666" s="128"/>
      <c r="CO666" s="128"/>
      <c r="CP666" s="128"/>
      <c r="CQ666" s="128"/>
      <c r="CR666" s="128"/>
      <c r="CS666" s="128"/>
      <c r="CT666" s="128"/>
      <c r="CU666" s="128"/>
      <c r="CV666" s="128"/>
      <c r="CW666" s="128"/>
      <c r="CX666" s="128"/>
      <c r="CY666" s="128"/>
      <c r="CZ666" s="128"/>
    </row>
    <row r="667" spans="1:104">
      <c r="A667" s="128"/>
      <c r="B667" s="128"/>
      <c r="C667" s="128"/>
      <c r="D667" s="112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  <c r="AV667" s="128"/>
      <c r="AW667" s="128"/>
      <c r="AX667" s="128"/>
      <c r="AY667" s="128"/>
      <c r="AZ667" s="128"/>
      <c r="BA667" s="128"/>
      <c r="BB667" s="128"/>
      <c r="BC667" s="128"/>
      <c r="BD667" s="128"/>
      <c r="BE667" s="128"/>
      <c r="BF667" s="128"/>
      <c r="BG667" s="128"/>
      <c r="BH667" s="128"/>
      <c r="BI667" s="128"/>
      <c r="BJ667" s="128"/>
      <c r="BK667" s="128"/>
      <c r="BL667" s="128"/>
      <c r="BM667" s="151"/>
      <c r="BN667" s="128"/>
      <c r="BO667" s="128"/>
      <c r="BP667" s="128"/>
      <c r="BQ667" s="128"/>
      <c r="BR667" s="128"/>
      <c r="BS667" s="128"/>
      <c r="BT667" s="128"/>
      <c r="BU667" s="128"/>
      <c r="BV667" s="128"/>
      <c r="BW667" s="128"/>
      <c r="BX667" s="128"/>
      <c r="BY667" s="128"/>
      <c r="BZ667" s="128"/>
      <c r="CA667" s="128"/>
      <c r="CB667" s="128"/>
      <c r="CC667" s="128"/>
      <c r="CD667" s="128"/>
      <c r="CE667" s="128"/>
      <c r="CF667" s="128"/>
      <c r="CG667" s="128"/>
      <c r="CH667" s="128"/>
      <c r="CI667" s="128"/>
      <c r="CJ667" s="128"/>
      <c r="CK667" s="128"/>
      <c r="CL667" s="128"/>
      <c r="CM667" s="128"/>
      <c r="CN667" s="128"/>
      <c r="CO667" s="128"/>
      <c r="CP667" s="128"/>
      <c r="CQ667" s="128"/>
      <c r="CR667" s="128"/>
      <c r="CS667" s="128"/>
      <c r="CT667" s="128"/>
      <c r="CU667" s="128"/>
      <c r="CV667" s="128"/>
      <c r="CW667" s="128"/>
      <c r="CX667" s="128"/>
      <c r="CY667" s="128"/>
      <c r="CZ667" s="128"/>
    </row>
    <row r="668" spans="1:104">
      <c r="A668" s="128"/>
      <c r="B668" s="128"/>
      <c r="C668" s="128"/>
      <c r="D668" s="112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51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8"/>
      <c r="CA668" s="128"/>
      <c r="CB668" s="128"/>
      <c r="CC668" s="128"/>
      <c r="CD668" s="128"/>
      <c r="CE668" s="128"/>
      <c r="CF668" s="128"/>
      <c r="CG668" s="128"/>
      <c r="CH668" s="128"/>
      <c r="CI668" s="128"/>
      <c r="CJ668" s="128"/>
      <c r="CK668" s="128"/>
      <c r="CL668" s="128"/>
      <c r="CM668" s="128"/>
      <c r="CN668" s="128"/>
      <c r="CO668" s="128"/>
      <c r="CP668" s="128"/>
      <c r="CQ668" s="128"/>
      <c r="CR668" s="128"/>
      <c r="CS668" s="128"/>
      <c r="CT668" s="128"/>
      <c r="CU668" s="128"/>
      <c r="CV668" s="128"/>
      <c r="CW668" s="128"/>
      <c r="CX668" s="128"/>
      <c r="CY668" s="128"/>
      <c r="CZ668" s="128"/>
    </row>
    <row r="669" spans="1:104">
      <c r="A669" s="128"/>
      <c r="B669" s="128"/>
      <c r="C669" s="128"/>
      <c r="D669" s="112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51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8"/>
      <c r="CA669" s="128"/>
      <c r="CB669" s="128"/>
      <c r="CC669" s="128"/>
      <c r="CD669" s="128"/>
      <c r="CE669" s="128"/>
      <c r="CF669" s="128"/>
      <c r="CG669" s="128"/>
      <c r="CH669" s="128"/>
      <c r="CI669" s="128"/>
      <c r="CJ669" s="128"/>
      <c r="CK669" s="128"/>
      <c r="CL669" s="128"/>
      <c r="CM669" s="128"/>
      <c r="CN669" s="128"/>
      <c r="CO669" s="128"/>
      <c r="CP669" s="128"/>
      <c r="CQ669" s="128"/>
      <c r="CR669" s="128"/>
      <c r="CS669" s="128"/>
      <c r="CT669" s="128"/>
      <c r="CU669" s="128"/>
      <c r="CV669" s="128"/>
      <c r="CW669" s="128"/>
      <c r="CX669" s="128"/>
      <c r="CY669" s="128"/>
      <c r="CZ669" s="128"/>
    </row>
    <row r="670" spans="1:104">
      <c r="A670" s="128"/>
      <c r="B670" s="128"/>
      <c r="C670" s="128"/>
      <c r="D670" s="112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51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8"/>
      <c r="CA670" s="128"/>
      <c r="CB670" s="128"/>
      <c r="CC670" s="128"/>
      <c r="CD670" s="128"/>
      <c r="CE670" s="128"/>
      <c r="CF670" s="128"/>
      <c r="CG670" s="128"/>
      <c r="CH670" s="128"/>
      <c r="CI670" s="128"/>
      <c r="CJ670" s="128"/>
      <c r="CK670" s="128"/>
      <c r="CL670" s="128"/>
      <c r="CM670" s="128"/>
      <c r="CN670" s="128"/>
      <c r="CO670" s="128"/>
      <c r="CP670" s="128"/>
      <c r="CQ670" s="128"/>
      <c r="CR670" s="128"/>
      <c r="CS670" s="128"/>
      <c r="CT670" s="128"/>
      <c r="CU670" s="128"/>
      <c r="CV670" s="128"/>
      <c r="CW670" s="128"/>
      <c r="CX670" s="128"/>
      <c r="CY670" s="128"/>
      <c r="CZ670" s="128"/>
    </row>
    <row r="671" spans="1:104">
      <c r="A671" s="128"/>
      <c r="B671" s="128"/>
      <c r="C671" s="128"/>
      <c r="D671" s="112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51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8"/>
      <c r="CA671" s="128"/>
      <c r="CB671" s="128"/>
      <c r="CC671" s="128"/>
      <c r="CD671" s="128"/>
      <c r="CE671" s="128"/>
      <c r="CF671" s="128"/>
      <c r="CG671" s="128"/>
      <c r="CH671" s="128"/>
      <c r="CI671" s="128"/>
      <c r="CJ671" s="128"/>
      <c r="CK671" s="128"/>
      <c r="CL671" s="128"/>
      <c r="CM671" s="128"/>
      <c r="CN671" s="128"/>
      <c r="CO671" s="128"/>
      <c r="CP671" s="128"/>
      <c r="CQ671" s="128"/>
      <c r="CR671" s="128"/>
      <c r="CS671" s="128"/>
      <c r="CT671" s="128"/>
      <c r="CU671" s="128"/>
      <c r="CV671" s="128"/>
      <c r="CW671" s="128"/>
      <c r="CX671" s="128"/>
      <c r="CY671" s="128"/>
      <c r="CZ671" s="128"/>
    </row>
    <row r="672" spans="1:104">
      <c r="A672" s="128"/>
      <c r="B672" s="128"/>
      <c r="C672" s="128"/>
      <c r="D672" s="112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  <c r="AV672" s="128"/>
      <c r="AW672" s="128"/>
      <c r="AX672" s="128"/>
      <c r="AY672" s="128"/>
      <c r="AZ672" s="128"/>
      <c r="BA672" s="128"/>
      <c r="BB672" s="128"/>
      <c r="BC672" s="128"/>
      <c r="BD672" s="128"/>
      <c r="BE672" s="128"/>
      <c r="BF672" s="128"/>
      <c r="BG672" s="128"/>
      <c r="BH672" s="128"/>
      <c r="BI672" s="128"/>
      <c r="BJ672" s="128"/>
      <c r="BK672" s="128"/>
      <c r="BL672" s="128"/>
      <c r="BM672" s="151"/>
      <c r="BN672" s="128"/>
      <c r="BO672" s="128"/>
      <c r="BP672" s="128"/>
      <c r="BQ672" s="128"/>
      <c r="BR672" s="128"/>
      <c r="BS672" s="128"/>
      <c r="BT672" s="128"/>
      <c r="BU672" s="128"/>
      <c r="BV672" s="128"/>
      <c r="BW672" s="128"/>
      <c r="BX672" s="128"/>
      <c r="BY672" s="128"/>
      <c r="BZ672" s="128"/>
      <c r="CA672" s="128"/>
      <c r="CB672" s="128"/>
      <c r="CC672" s="128"/>
      <c r="CD672" s="128"/>
      <c r="CE672" s="128"/>
      <c r="CF672" s="128"/>
      <c r="CG672" s="128"/>
      <c r="CH672" s="128"/>
      <c r="CI672" s="128"/>
      <c r="CJ672" s="128"/>
      <c r="CK672" s="128"/>
      <c r="CL672" s="128"/>
      <c r="CM672" s="128"/>
      <c r="CN672" s="128"/>
      <c r="CO672" s="128"/>
      <c r="CP672" s="128"/>
      <c r="CQ672" s="128"/>
      <c r="CR672" s="128"/>
      <c r="CS672" s="128"/>
      <c r="CT672" s="128"/>
      <c r="CU672" s="128"/>
      <c r="CV672" s="128"/>
      <c r="CW672" s="128"/>
      <c r="CX672" s="128"/>
      <c r="CY672" s="128"/>
      <c r="CZ672" s="128"/>
    </row>
    <row r="673" spans="1:104">
      <c r="A673" s="128"/>
      <c r="B673" s="128"/>
      <c r="C673" s="128"/>
      <c r="D673" s="112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  <c r="AV673" s="128"/>
      <c r="AW673" s="128"/>
      <c r="AX673" s="128"/>
      <c r="AY673" s="128"/>
      <c r="AZ673" s="128"/>
      <c r="BA673" s="128"/>
      <c r="BB673" s="128"/>
      <c r="BC673" s="128"/>
      <c r="BD673" s="128"/>
      <c r="BE673" s="128"/>
      <c r="BF673" s="128"/>
      <c r="BG673" s="128"/>
      <c r="BH673" s="128"/>
      <c r="BI673" s="128"/>
      <c r="BJ673" s="128"/>
      <c r="BK673" s="128"/>
      <c r="BL673" s="128"/>
      <c r="BM673" s="151"/>
      <c r="BN673" s="128"/>
      <c r="BO673" s="128"/>
      <c r="BP673" s="128"/>
      <c r="BQ673" s="128"/>
      <c r="BR673" s="128"/>
      <c r="BS673" s="128"/>
      <c r="BT673" s="128"/>
      <c r="BU673" s="128"/>
      <c r="BV673" s="128"/>
      <c r="BW673" s="128"/>
      <c r="BX673" s="128"/>
      <c r="BY673" s="128"/>
      <c r="BZ673" s="128"/>
      <c r="CA673" s="128"/>
      <c r="CB673" s="128"/>
      <c r="CC673" s="128"/>
      <c r="CD673" s="128"/>
      <c r="CE673" s="128"/>
      <c r="CF673" s="128"/>
      <c r="CG673" s="128"/>
      <c r="CH673" s="128"/>
      <c r="CI673" s="128"/>
      <c r="CJ673" s="128"/>
      <c r="CK673" s="128"/>
      <c r="CL673" s="128"/>
      <c r="CM673" s="128"/>
      <c r="CN673" s="128"/>
      <c r="CO673" s="128"/>
      <c r="CP673" s="128"/>
      <c r="CQ673" s="128"/>
      <c r="CR673" s="128"/>
      <c r="CS673" s="128"/>
      <c r="CT673" s="128"/>
      <c r="CU673" s="128"/>
      <c r="CV673" s="128"/>
      <c r="CW673" s="128"/>
      <c r="CX673" s="128"/>
      <c r="CY673" s="128"/>
      <c r="CZ673" s="128"/>
    </row>
    <row r="674" spans="1:104">
      <c r="A674" s="128"/>
      <c r="B674" s="128"/>
      <c r="C674" s="128"/>
      <c r="D674" s="112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  <c r="AV674" s="128"/>
      <c r="AW674" s="128"/>
      <c r="AX674" s="128"/>
      <c r="AY674" s="128"/>
      <c r="AZ674" s="128"/>
      <c r="BA674" s="128"/>
      <c r="BB674" s="128"/>
      <c r="BC674" s="128"/>
      <c r="BD674" s="128"/>
      <c r="BE674" s="128"/>
      <c r="BF674" s="128"/>
      <c r="BG674" s="128"/>
      <c r="BH674" s="128"/>
      <c r="BI674" s="128"/>
      <c r="BJ674" s="128"/>
      <c r="BK674" s="128"/>
      <c r="BL674" s="128"/>
      <c r="BM674" s="151"/>
      <c r="BN674" s="128"/>
      <c r="BO674" s="128"/>
      <c r="BP674" s="128"/>
      <c r="BQ674" s="128"/>
      <c r="BR674" s="128"/>
      <c r="BS674" s="128"/>
      <c r="BT674" s="128"/>
      <c r="BU674" s="128"/>
      <c r="BV674" s="128"/>
      <c r="BW674" s="128"/>
      <c r="BX674" s="128"/>
      <c r="BY674" s="128"/>
      <c r="BZ674" s="128"/>
      <c r="CA674" s="128"/>
      <c r="CB674" s="128"/>
      <c r="CC674" s="128"/>
      <c r="CD674" s="128"/>
      <c r="CE674" s="128"/>
      <c r="CF674" s="128"/>
      <c r="CG674" s="128"/>
      <c r="CH674" s="128"/>
      <c r="CI674" s="128"/>
      <c r="CJ674" s="128"/>
      <c r="CK674" s="128"/>
      <c r="CL674" s="128"/>
      <c r="CM674" s="128"/>
      <c r="CN674" s="128"/>
      <c r="CO674" s="128"/>
      <c r="CP674" s="128"/>
      <c r="CQ674" s="128"/>
      <c r="CR674" s="128"/>
      <c r="CS674" s="128"/>
      <c r="CT674" s="128"/>
      <c r="CU674" s="128"/>
      <c r="CV674" s="128"/>
      <c r="CW674" s="128"/>
      <c r="CX674" s="128"/>
      <c r="CY674" s="128"/>
      <c r="CZ674" s="128"/>
    </row>
    <row r="675" spans="1:104">
      <c r="A675" s="128"/>
      <c r="B675" s="128"/>
      <c r="C675" s="128"/>
      <c r="D675" s="112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  <c r="AV675" s="128"/>
      <c r="AW675" s="128"/>
      <c r="AX675" s="128"/>
      <c r="AY675" s="128"/>
      <c r="AZ675" s="128"/>
      <c r="BA675" s="128"/>
      <c r="BB675" s="128"/>
      <c r="BC675" s="128"/>
      <c r="BD675" s="128"/>
      <c r="BE675" s="128"/>
      <c r="BF675" s="128"/>
      <c r="BG675" s="128"/>
      <c r="BH675" s="128"/>
      <c r="BI675" s="128"/>
      <c r="BJ675" s="128"/>
      <c r="BK675" s="128"/>
      <c r="BL675" s="128"/>
      <c r="BM675" s="151"/>
      <c r="BN675" s="128"/>
      <c r="BO675" s="128"/>
      <c r="BP675" s="128"/>
      <c r="BQ675" s="128"/>
      <c r="BR675" s="128"/>
      <c r="BS675" s="128"/>
      <c r="BT675" s="128"/>
      <c r="BU675" s="128"/>
      <c r="BV675" s="128"/>
      <c r="BW675" s="128"/>
      <c r="BX675" s="128"/>
      <c r="BY675" s="128"/>
      <c r="BZ675" s="128"/>
      <c r="CA675" s="128"/>
      <c r="CB675" s="128"/>
      <c r="CC675" s="128"/>
      <c r="CD675" s="128"/>
      <c r="CE675" s="128"/>
      <c r="CF675" s="128"/>
      <c r="CG675" s="128"/>
      <c r="CH675" s="128"/>
      <c r="CI675" s="128"/>
      <c r="CJ675" s="128"/>
      <c r="CK675" s="128"/>
      <c r="CL675" s="128"/>
      <c r="CM675" s="128"/>
      <c r="CN675" s="128"/>
      <c r="CO675" s="128"/>
      <c r="CP675" s="128"/>
      <c r="CQ675" s="128"/>
      <c r="CR675" s="128"/>
      <c r="CS675" s="128"/>
      <c r="CT675" s="128"/>
      <c r="CU675" s="128"/>
      <c r="CV675" s="128"/>
      <c r="CW675" s="128"/>
      <c r="CX675" s="128"/>
      <c r="CY675" s="128"/>
      <c r="CZ675" s="128"/>
    </row>
    <row r="676" spans="1:104">
      <c r="A676" s="128"/>
      <c r="B676" s="128"/>
      <c r="C676" s="128"/>
      <c r="D676" s="112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  <c r="AV676" s="128"/>
      <c r="AW676" s="128"/>
      <c r="AX676" s="128"/>
      <c r="AY676" s="128"/>
      <c r="AZ676" s="128"/>
      <c r="BA676" s="128"/>
      <c r="BB676" s="128"/>
      <c r="BC676" s="128"/>
      <c r="BD676" s="128"/>
      <c r="BE676" s="128"/>
      <c r="BF676" s="128"/>
      <c r="BG676" s="128"/>
      <c r="BH676" s="128"/>
      <c r="BI676" s="128"/>
      <c r="BJ676" s="128"/>
      <c r="BK676" s="128"/>
      <c r="BL676" s="128"/>
      <c r="BM676" s="151"/>
      <c r="BN676" s="128"/>
      <c r="BO676" s="128"/>
      <c r="BP676" s="128"/>
      <c r="BQ676" s="128"/>
      <c r="BR676" s="128"/>
      <c r="BS676" s="128"/>
      <c r="BT676" s="128"/>
      <c r="BU676" s="128"/>
      <c r="BV676" s="128"/>
      <c r="BW676" s="128"/>
      <c r="BX676" s="128"/>
      <c r="BY676" s="128"/>
      <c r="BZ676" s="128"/>
      <c r="CA676" s="128"/>
      <c r="CB676" s="128"/>
      <c r="CC676" s="128"/>
      <c r="CD676" s="128"/>
      <c r="CE676" s="128"/>
      <c r="CF676" s="128"/>
      <c r="CG676" s="128"/>
      <c r="CH676" s="128"/>
      <c r="CI676" s="128"/>
      <c r="CJ676" s="128"/>
      <c r="CK676" s="128"/>
      <c r="CL676" s="128"/>
      <c r="CM676" s="128"/>
      <c r="CN676" s="128"/>
      <c r="CO676" s="128"/>
      <c r="CP676" s="128"/>
      <c r="CQ676" s="128"/>
      <c r="CR676" s="128"/>
      <c r="CS676" s="128"/>
      <c r="CT676" s="128"/>
      <c r="CU676" s="128"/>
      <c r="CV676" s="128"/>
      <c r="CW676" s="128"/>
      <c r="CX676" s="128"/>
      <c r="CY676" s="128"/>
      <c r="CZ676" s="128"/>
    </row>
    <row r="677" spans="1:104">
      <c r="A677" s="128"/>
      <c r="B677" s="128"/>
      <c r="C677" s="128"/>
      <c r="D677" s="112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  <c r="AV677" s="128"/>
      <c r="AW677" s="128"/>
      <c r="AX677" s="128"/>
      <c r="AY677" s="128"/>
      <c r="AZ677" s="128"/>
      <c r="BA677" s="128"/>
      <c r="BB677" s="128"/>
      <c r="BC677" s="128"/>
      <c r="BD677" s="128"/>
      <c r="BE677" s="128"/>
      <c r="BF677" s="128"/>
      <c r="BG677" s="128"/>
      <c r="BH677" s="128"/>
      <c r="BI677" s="128"/>
      <c r="BJ677" s="128"/>
      <c r="BK677" s="128"/>
      <c r="BL677" s="128"/>
      <c r="BM677" s="151"/>
      <c r="BN677" s="128"/>
      <c r="BO677" s="128"/>
      <c r="BP677" s="128"/>
      <c r="BQ677" s="128"/>
      <c r="BR677" s="128"/>
      <c r="BS677" s="128"/>
      <c r="BT677" s="128"/>
      <c r="BU677" s="128"/>
      <c r="BV677" s="128"/>
      <c r="BW677" s="128"/>
      <c r="BX677" s="128"/>
      <c r="BY677" s="128"/>
      <c r="BZ677" s="128"/>
      <c r="CA677" s="128"/>
      <c r="CB677" s="128"/>
      <c r="CC677" s="128"/>
      <c r="CD677" s="128"/>
      <c r="CE677" s="128"/>
      <c r="CF677" s="128"/>
      <c r="CG677" s="128"/>
      <c r="CH677" s="128"/>
      <c r="CI677" s="128"/>
      <c r="CJ677" s="128"/>
      <c r="CK677" s="128"/>
      <c r="CL677" s="128"/>
      <c r="CM677" s="128"/>
      <c r="CN677" s="128"/>
      <c r="CO677" s="128"/>
      <c r="CP677" s="128"/>
      <c r="CQ677" s="128"/>
      <c r="CR677" s="128"/>
      <c r="CS677" s="128"/>
      <c r="CT677" s="128"/>
      <c r="CU677" s="128"/>
      <c r="CV677" s="128"/>
      <c r="CW677" s="128"/>
      <c r="CX677" s="128"/>
      <c r="CY677" s="128"/>
      <c r="CZ677" s="128"/>
    </row>
    <row r="678" spans="1:104">
      <c r="A678" s="128"/>
      <c r="B678" s="128"/>
      <c r="C678" s="128"/>
      <c r="D678" s="112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51"/>
      <c r="BN678" s="128"/>
      <c r="BO678" s="128"/>
      <c r="BP678" s="128"/>
      <c r="BQ678" s="128"/>
      <c r="BR678" s="128"/>
      <c r="BS678" s="128"/>
      <c r="BT678" s="128"/>
      <c r="BU678" s="128"/>
      <c r="BV678" s="128"/>
      <c r="BW678" s="128"/>
      <c r="BX678" s="128"/>
      <c r="BY678" s="128"/>
      <c r="BZ678" s="128"/>
      <c r="CA678" s="128"/>
      <c r="CB678" s="128"/>
      <c r="CC678" s="128"/>
      <c r="CD678" s="128"/>
      <c r="CE678" s="128"/>
      <c r="CF678" s="128"/>
      <c r="CG678" s="128"/>
      <c r="CH678" s="128"/>
      <c r="CI678" s="128"/>
      <c r="CJ678" s="128"/>
      <c r="CK678" s="128"/>
      <c r="CL678" s="128"/>
      <c r="CM678" s="128"/>
      <c r="CN678" s="128"/>
      <c r="CO678" s="128"/>
      <c r="CP678" s="128"/>
      <c r="CQ678" s="128"/>
      <c r="CR678" s="128"/>
      <c r="CS678" s="128"/>
      <c r="CT678" s="128"/>
      <c r="CU678" s="128"/>
      <c r="CV678" s="128"/>
      <c r="CW678" s="128"/>
      <c r="CX678" s="128"/>
      <c r="CY678" s="128"/>
      <c r="CZ678" s="128"/>
    </row>
    <row r="679" spans="1:104">
      <c r="A679" s="128"/>
      <c r="B679" s="128"/>
      <c r="C679" s="128"/>
      <c r="D679" s="112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  <c r="AV679" s="128"/>
      <c r="AW679" s="128"/>
      <c r="AX679" s="128"/>
      <c r="AY679" s="128"/>
      <c r="AZ679" s="128"/>
      <c r="BA679" s="128"/>
      <c r="BB679" s="128"/>
      <c r="BC679" s="128"/>
      <c r="BD679" s="128"/>
      <c r="BE679" s="128"/>
      <c r="BF679" s="128"/>
      <c r="BG679" s="128"/>
      <c r="BH679" s="128"/>
      <c r="BI679" s="128"/>
      <c r="BJ679" s="128"/>
      <c r="BK679" s="128"/>
      <c r="BL679" s="128"/>
      <c r="BM679" s="151"/>
      <c r="BN679" s="128"/>
      <c r="BO679" s="128"/>
      <c r="BP679" s="128"/>
      <c r="BQ679" s="128"/>
      <c r="BR679" s="128"/>
      <c r="BS679" s="128"/>
      <c r="BT679" s="128"/>
      <c r="BU679" s="128"/>
      <c r="BV679" s="128"/>
      <c r="BW679" s="128"/>
      <c r="BX679" s="128"/>
      <c r="BY679" s="128"/>
      <c r="BZ679" s="128"/>
      <c r="CA679" s="128"/>
      <c r="CB679" s="128"/>
      <c r="CC679" s="128"/>
      <c r="CD679" s="128"/>
      <c r="CE679" s="128"/>
      <c r="CF679" s="128"/>
      <c r="CG679" s="128"/>
      <c r="CH679" s="128"/>
      <c r="CI679" s="128"/>
      <c r="CJ679" s="128"/>
      <c r="CK679" s="128"/>
      <c r="CL679" s="128"/>
      <c r="CM679" s="128"/>
      <c r="CN679" s="128"/>
      <c r="CO679" s="128"/>
      <c r="CP679" s="128"/>
      <c r="CQ679" s="128"/>
      <c r="CR679" s="128"/>
      <c r="CS679" s="128"/>
      <c r="CT679" s="128"/>
      <c r="CU679" s="128"/>
      <c r="CV679" s="128"/>
      <c r="CW679" s="128"/>
      <c r="CX679" s="128"/>
      <c r="CY679" s="128"/>
      <c r="CZ679" s="128"/>
    </row>
    <row r="680" spans="1:104">
      <c r="A680" s="128"/>
      <c r="B680" s="128"/>
      <c r="C680" s="128"/>
      <c r="D680" s="112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  <c r="AV680" s="128"/>
      <c r="AW680" s="128"/>
      <c r="AX680" s="128"/>
      <c r="AY680" s="128"/>
      <c r="AZ680" s="128"/>
      <c r="BA680" s="128"/>
      <c r="BB680" s="128"/>
      <c r="BC680" s="128"/>
      <c r="BD680" s="128"/>
      <c r="BE680" s="128"/>
      <c r="BF680" s="128"/>
      <c r="BG680" s="128"/>
      <c r="BH680" s="128"/>
      <c r="BI680" s="128"/>
      <c r="BJ680" s="128"/>
      <c r="BK680" s="128"/>
      <c r="BL680" s="128"/>
      <c r="BM680" s="151"/>
      <c r="BN680" s="128"/>
      <c r="BO680" s="128"/>
      <c r="BP680" s="128"/>
      <c r="BQ680" s="128"/>
      <c r="BR680" s="128"/>
      <c r="BS680" s="128"/>
      <c r="BT680" s="128"/>
      <c r="BU680" s="128"/>
      <c r="BV680" s="128"/>
      <c r="BW680" s="128"/>
      <c r="BX680" s="128"/>
      <c r="BY680" s="128"/>
      <c r="BZ680" s="128"/>
      <c r="CA680" s="128"/>
      <c r="CB680" s="128"/>
      <c r="CC680" s="128"/>
      <c r="CD680" s="128"/>
      <c r="CE680" s="128"/>
      <c r="CF680" s="128"/>
      <c r="CG680" s="128"/>
      <c r="CH680" s="128"/>
      <c r="CI680" s="128"/>
      <c r="CJ680" s="128"/>
      <c r="CK680" s="128"/>
      <c r="CL680" s="128"/>
      <c r="CM680" s="128"/>
      <c r="CN680" s="128"/>
      <c r="CO680" s="128"/>
      <c r="CP680" s="128"/>
      <c r="CQ680" s="128"/>
      <c r="CR680" s="128"/>
      <c r="CS680" s="128"/>
      <c r="CT680" s="128"/>
      <c r="CU680" s="128"/>
      <c r="CV680" s="128"/>
      <c r="CW680" s="128"/>
      <c r="CX680" s="128"/>
      <c r="CY680" s="128"/>
      <c r="CZ680" s="128"/>
    </row>
    <row r="681" spans="1:104">
      <c r="A681" s="128"/>
      <c r="B681" s="128"/>
      <c r="C681" s="128"/>
      <c r="D681" s="112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51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28"/>
      <c r="BY681" s="128"/>
      <c r="BZ681" s="128"/>
      <c r="CA681" s="128"/>
      <c r="CB681" s="128"/>
      <c r="CC681" s="128"/>
      <c r="CD681" s="128"/>
      <c r="CE681" s="128"/>
      <c r="CF681" s="128"/>
      <c r="CG681" s="128"/>
      <c r="CH681" s="128"/>
      <c r="CI681" s="128"/>
      <c r="CJ681" s="128"/>
      <c r="CK681" s="128"/>
      <c r="CL681" s="128"/>
      <c r="CM681" s="128"/>
      <c r="CN681" s="128"/>
      <c r="CO681" s="128"/>
      <c r="CP681" s="128"/>
      <c r="CQ681" s="128"/>
      <c r="CR681" s="128"/>
      <c r="CS681" s="128"/>
      <c r="CT681" s="128"/>
      <c r="CU681" s="128"/>
      <c r="CV681" s="128"/>
      <c r="CW681" s="128"/>
      <c r="CX681" s="128"/>
      <c r="CY681" s="128"/>
      <c r="CZ681" s="128"/>
    </row>
    <row r="682" spans="1:104">
      <c r="A682" s="128"/>
      <c r="B682" s="128"/>
      <c r="C682" s="128"/>
      <c r="D682" s="112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51"/>
      <c r="BN682" s="128"/>
      <c r="BO682" s="128"/>
      <c r="BP682" s="128"/>
      <c r="BQ682" s="128"/>
      <c r="BR682" s="128"/>
      <c r="BS682" s="128"/>
      <c r="BT682" s="128"/>
      <c r="BU682" s="128"/>
      <c r="BV682" s="128"/>
      <c r="BW682" s="128"/>
      <c r="BX682" s="128"/>
      <c r="BY682" s="128"/>
      <c r="BZ682" s="128"/>
      <c r="CA682" s="128"/>
      <c r="CB682" s="128"/>
      <c r="CC682" s="128"/>
      <c r="CD682" s="128"/>
      <c r="CE682" s="128"/>
      <c r="CF682" s="128"/>
      <c r="CG682" s="128"/>
      <c r="CH682" s="128"/>
      <c r="CI682" s="128"/>
      <c r="CJ682" s="128"/>
      <c r="CK682" s="128"/>
      <c r="CL682" s="128"/>
      <c r="CM682" s="128"/>
      <c r="CN682" s="128"/>
      <c r="CO682" s="128"/>
      <c r="CP682" s="128"/>
      <c r="CQ682" s="128"/>
      <c r="CR682" s="128"/>
      <c r="CS682" s="128"/>
      <c r="CT682" s="128"/>
      <c r="CU682" s="128"/>
      <c r="CV682" s="128"/>
      <c r="CW682" s="128"/>
      <c r="CX682" s="128"/>
      <c r="CY682" s="128"/>
      <c r="CZ682" s="128"/>
    </row>
    <row r="683" spans="1:104">
      <c r="A683" s="128"/>
      <c r="B683" s="128"/>
      <c r="C683" s="128"/>
      <c r="D683" s="112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51"/>
      <c r="BN683" s="128"/>
      <c r="BO683" s="128"/>
      <c r="BP683" s="128"/>
      <c r="BQ683" s="128"/>
      <c r="BR683" s="128"/>
      <c r="BS683" s="128"/>
      <c r="BT683" s="128"/>
      <c r="BU683" s="128"/>
      <c r="BV683" s="128"/>
      <c r="BW683" s="128"/>
      <c r="BX683" s="128"/>
      <c r="BY683" s="128"/>
      <c r="BZ683" s="128"/>
      <c r="CA683" s="128"/>
      <c r="CB683" s="128"/>
      <c r="CC683" s="128"/>
      <c r="CD683" s="128"/>
      <c r="CE683" s="128"/>
      <c r="CF683" s="128"/>
      <c r="CG683" s="128"/>
      <c r="CH683" s="128"/>
      <c r="CI683" s="128"/>
      <c r="CJ683" s="128"/>
      <c r="CK683" s="128"/>
      <c r="CL683" s="128"/>
      <c r="CM683" s="128"/>
      <c r="CN683" s="128"/>
      <c r="CO683" s="128"/>
      <c r="CP683" s="128"/>
      <c r="CQ683" s="128"/>
      <c r="CR683" s="128"/>
      <c r="CS683" s="128"/>
      <c r="CT683" s="128"/>
      <c r="CU683" s="128"/>
      <c r="CV683" s="128"/>
      <c r="CW683" s="128"/>
      <c r="CX683" s="128"/>
      <c r="CY683" s="128"/>
      <c r="CZ683" s="128"/>
    </row>
    <row r="684" spans="1:104">
      <c r="A684" s="128"/>
      <c r="B684" s="128"/>
      <c r="C684" s="128"/>
      <c r="D684" s="112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51"/>
      <c r="BN684" s="128"/>
      <c r="BO684" s="128"/>
      <c r="BP684" s="128"/>
      <c r="BQ684" s="128"/>
      <c r="BR684" s="128"/>
      <c r="BS684" s="128"/>
      <c r="BT684" s="128"/>
      <c r="BU684" s="128"/>
      <c r="BV684" s="128"/>
      <c r="BW684" s="128"/>
      <c r="BX684" s="128"/>
      <c r="BY684" s="128"/>
      <c r="BZ684" s="128"/>
      <c r="CA684" s="128"/>
      <c r="CB684" s="128"/>
      <c r="CC684" s="128"/>
      <c r="CD684" s="128"/>
      <c r="CE684" s="128"/>
      <c r="CF684" s="128"/>
      <c r="CG684" s="128"/>
      <c r="CH684" s="128"/>
      <c r="CI684" s="128"/>
      <c r="CJ684" s="128"/>
      <c r="CK684" s="128"/>
      <c r="CL684" s="128"/>
      <c r="CM684" s="128"/>
      <c r="CN684" s="128"/>
      <c r="CO684" s="128"/>
      <c r="CP684" s="128"/>
      <c r="CQ684" s="128"/>
      <c r="CR684" s="128"/>
      <c r="CS684" s="128"/>
      <c r="CT684" s="128"/>
      <c r="CU684" s="128"/>
      <c r="CV684" s="128"/>
      <c r="CW684" s="128"/>
      <c r="CX684" s="128"/>
      <c r="CY684" s="128"/>
      <c r="CZ684" s="128"/>
    </row>
    <row r="685" spans="1:104">
      <c r="A685" s="128"/>
      <c r="B685" s="128"/>
      <c r="C685" s="128"/>
      <c r="D685" s="112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51"/>
      <c r="BN685" s="128"/>
      <c r="BO685" s="128"/>
      <c r="BP685" s="128"/>
      <c r="BQ685" s="128"/>
      <c r="BR685" s="128"/>
      <c r="BS685" s="128"/>
      <c r="BT685" s="128"/>
      <c r="BU685" s="128"/>
      <c r="BV685" s="128"/>
      <c r="BW685" s="128"/>
      <c r="BX685" s="128"/>
      <c r="BY685" s="128"/>
      <c r="BZ685" s="128"/>
      <c r="CA685" s="128"/>
      <c r="CB685" s="128"/>
      <c r="CC685" s="128"/>
      <c r="CD685" s="128"/>
      <c r="CE685" s="128"/>
      <c r="CF685" s="128"/>
      <c r="CG685" s="128"/>
      <c r="CH685" s="128"/>
      <c r="CI685" s="128"/>
      <c r="CJ685" s="128"/>
      <c r="CK685" s="128"/>
      <c r="CL685" s="128"/>
      <c r="CM685" s="128"/>
      <c r="CN685" s="128"/>
      <c r="CO685" s="128"/>
      <c r="CP685" s="128"/>
      <c r="CQ685" s="128"/>
      <c r="CR685" s="128"/>
      <c r="CS685" s="128"/>
      <c r="CT685" s="128"/>
      <c r="CU685" s="128"/>
      <c r="CV685" s="128"/>
      <c r="CW685" s="128"/>
      <c r="CX685" s="128"/>
      <c r="CY685" s="128"/>
      <c r="CZ685" s="128"/>
    </row>
    <row r="686" spans="1:104">
      <c r="A686" s="128"/>
      <c r="B686" s="128"/>
      <c r="C686" s="128"/>
      <c r="D686" s="112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51"/>
      <c r="BN686" s="128"/>
      <c r="BO686" s="128"/>
      <c r="BP686" s="128"/>
      <c r="BQ686" s="128"/>
      <c r="BR686" s="128"/>
      <c r="BS686" s="128"/>
      <c r="BT686" s="128"/>
      <c r="BU686" s="128"/>
      <c r="BV686" s="128"/>
      <c r="BW686" s="128"/>
      <c r="BX686" s="128"/>
      <c r="BY686" s="128"/>
      <c r="BZ686" s="128"/>
      <c r="CA686" s="128"/>
      <c r="CB686" s="128"/>
      <c r="CC686" s="128"/>
      <c r="CD686" s="128"/>
      <c r="CE686" s="128"/>
      <c r="CF686" s="128"/>
      <c r="CG686" s="128"/>
      <c r="CH686" s="128"/>
      <c r="CI686" s="128"/>
      <c r="CJ686" s="128"/>
      <c r="CK686" s="128"/>
      <c r="CL686" s="128"/>
      <c r="CM686" s="128"/>
      <c r="CN686" s="128"/>
      <c r="CO686" s="128"/>
      <c r="CP686" s="128"/>
      <c r="CQ686" s="128"/>
      <c r="CR686" s="128"/>
      <c r="CS686" s="128"/>
      <c r="CT686" s="128"/>
      <c r="CU686" s="128"/>
      <c r="CV686" s="128"/>
      <c r="CW686" s="128"/>
      <c r="CX686" s="128"/>
      <c r="CY686" s="128"/>
      <c r="CZ686" s="128"/>
    </row>
    <row r="687" spans="1:104">
      <c r="A687" s="128"/>
      <c r="B687" s="128"/>
      <c r="C687" s="128"/>
      <c r="D687" s="112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51"/>
      <c r="BN687" s="128"/>
      <c r="BO687" s="128"/>
      <c r="BP687" s="128"/>
      <c r="BQ687" s="128"/>
      <c r="BR687" s="128"/>
      <c r="BS687" s="128"/>
      <c r="BT687" s="128"/>
      <c r="BU687" s="128"/>
      <c r="BV687" s="128"/>
      <c r="BW687" s="128"/>
      <c r="BX687" s="128"/>
      <c r="BY687" s="128"/>
      <c r="BZ687" s="128"/>
      <c r="CA687" s="128"/>
      <c r="CB687" s="128"/>
      <c r="CC687" s="128"/>
      <c r="CD687" s="128"/>
      <c r="CE687" s="128"/>
      <c r="CF687" s="128"/>
      <c r="CG687" s="128"/>
      <c r="CH687" s="128"/>
      <c r="CI687" s="128"/>
      <c r="CJ687" s="128"/>
      <c r="CK687" s="128"/>
      <c r="CL687" s="128"/>
      <c r="CM687" s="128"/>
      <c r="CN687" s="128"/>
      <c r="CO687" s="128"/>
      <c r="CP687" s="128"/>
      <c r="CQ687" s="128"/>
      <c r="CR687" s="128"/>
      <c r="CS687" s="128"/>
      <c r="CT687" s="128"/>
      <c r="CU687" s="128"/>
      <c r="CV687" s="128"/>
      <c r="CW687" s="128"/>
      <c r="CX687" s="128"/>
      <c r="CY687" s="128"/>
      <c r="CZ687" s="128"/>
    </row>
    <row r="688" spans="1:104">
      <c r="A688" s="128"/>
      <c r="B688" s="128"/>
      <c r="C688" s="128"/>
      <c r="D688" s="112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  <c r="AV688" s="128"/>
      <c r="AW688" s="128"/>
      <c r="AX688" s="128"/>
      <c r="AY688" s="128"/>
      <c r="AZ688" s="128"/>
      <c r="BA688" s="128"/>
      <c r="BB688" s="128"/>
      <c r="BC688" s="128"/>
      <c r="BD688" s="128"/>
      <c r="BE688" s="128"/>
      <c r="BF688" s="128"/>
      <c r="BG688" s="128"/>
      <c r="BH688" s="128"/>
      <c r="BI688" s="128"/>
      <c r="BJ688" s="128"/>
      <c r="BK688" s="128"/>
      <c r="BL688" s="128"/>
      <c r="BM688" s="151"/>
      <c r="BN688" s="128"/>
      <c r="BO688" s="128"/>
      <c r="BP688" s="128"/>
      <c r="BQ688" s="128"/>
      <c r="BR688" s="128"/>
      <c r="BS688" s="128"/>
      <c r="BT688" s="128"/>
      <c r="BU688" s="128"/>
      <c r="BV688" s="128"/>
      <c r="BW688" s="128"/>
      <c r="BX688" s="128"/>
      <c r="BY688" s="128"/>
      <c r="BZ688" s="128"/>
      <c r="CA688" s="128"/>
      <c r="CB688" s="128"/>
      <c r="CC688" s="128"/>
      <c r="CD688" s="128"/>
      <c r="CE688" s="128"/>
      <c r="CF688" s="128"/>
      <c r="CG688" s="128"/>
      <c r="CH688" s="128"/>
      <c r="CI688" s="128"/>
      <c r="CJ688" s="128"/>
      <c r="CK688" s="128"/>
      <c r="CL688" s="128"/>
      <c r="CM688" s="128"/>
      <c r="CN688" s="128"/>
      <c r="CO688" s="128"/>
      <c r="CP688" s="128"/>
      <c r="CQ688" s="128"/>
      <c r="CR688" s="128"/>
      <c r="CS688" s="128"/>
      <c r="CT688" s="128"/>
      <c r="CU688" s="128"/>
      <c r="CV688" s="128"/>
      <c r="CW688" s="128"/>
      <c r="CX688" s="128"/>
      <c r="CY688" s="128"/>
      <c r="CZ688" s="128"/>
    </row>
    <row r="689" spans="1:104">
      <c r="A689" s="128"/>
      <c r="B689" s="128"/>
      <c r="C689" s="128"/>
      <c r="D689" s="112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  <c r="AV689" s="128"/>
      <c r="AW689" s="128"/>
      <c r="AX689" s="128"/>
      <c r="AY689" s="128"/>
      <c r="AZ689" s="128"/>
      <c r="BA689" s="128"/>
      <c r="BB689" s="128"/>
      <c r="BC689" s="128"/>
      <c r="BD689" s="128"/>
      <c r="BE689" s="128"/>
      <c r="BF689" s="128"/>
      <c r="BG689" s="128"/>
      <c r="BH689" s="128"/>
      <c r="BI689" s="128"/>
      <c r="BJ689" s="128"/>
      <c r="BK689" s="128"/>
      <c r="BL689" s="128"/>
      <c r="BM689" s="151"/>
      <c r="BN689" s="128"/>
      <c r="BO689" s="128"/>
      <c r="BP689" s="128"/>
      <c r="BQ689" s="128"/>
      <c r="BR689" s="128"/>
      <c r="BS689" s="128"/>
      <c r="BT689" s="128"/>
      <c r="BU689" s="128"/>
      <c r="BV689" s="128"/>
      <c r="BW689" s="128"/>
      <c r="BX689" s="128"/>
      <c r="BY689" s="128"/>
      <c r="BZ689" s="128"/>
      <c r="CA689" s="128"/>
      <c r="CB689" s="128"/>
      <c r="CC689" s="128"/>
      <c r="CD689" s="128"/>
      <c r="CE689" s="128"/>
      <c r="CF689" s="128"/>
      <c r="CG689" s="128"/>
      <c r="CH689" s="128"/>
      <c r="CI689" s="128"/>
      <c r="CJ689" s="128"/>
      <c r="CK689" s="128"/>
      <c r="CL689" s="128"/>
      <c r="CM689" s="128"/>
      <c r="CN689" s="128"/>
      <c r="CO689" s="128"/>
      <c r="CP689" s="128"/>
      <c r="CQ689" s="128"/>
      <c r="CR689" s="128"/>
      <c r="CS689" s="128"/>
      <c r="CT689" s="128"/>
      <c r="CU689" s="128"/>
      <c r="CV689" s="128"/>
      <c r="CW689" s="128"/>
      <c r="CX689" s="128"/>
      <c r="CY689" s="128"/>
      <c r="CZ689" s="128"/>
    </row>
    <row r="690" spans="1:104">
      <c r="A690" s="128"/>
      <c r="B690" s="128"/>
      <c r="C690" s="128"/>
      <c r="D690" s="112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51"/>
      <c r="BN690" s="128"/>
      <c r="BO690" s="128"/>
      <c r="BP690" s="128"/>
      <c r="BQ690" s="128"/>
      <c r="BR690" s="128"/>
      <c r="BS690" s="128"/>
      <c r="BT690" s="128"/>
      <c r="BU690" s="128"/>
      <c r="BV690" s="128"/>
      <c r="BW690" s="128"/>
      <c r="BX690" s="128"/>
      <c r="BY690" s="128"/>
      <c r="BZ690" s="128"/>
      <c r="CA690" s="128"/>
      <c r="CB690" s="128"/>
      <c r="CC690" s="128"/>
      <c r="CD690" s="128"/>
      <c r="CE690" s="128"/>
      <c r="CF690" s="128"/>
      <c r="CG690" s="128"/>
      <c r="CH690" s="128"/>
      <c r="CI690" s="128"/>
      <c r="CJ690" s="128"/>
      <c r="CK690" s="128"/>
      <c r="CL690" s="128"/>
      <c r="CM690" s="128"/>
      <c r="CN690" s="128"/>
      <c r="CO690" s="128"/>
      <c r="CP690" s="128"/>
      <c r="CQ690" s="128"/>
      <c r="CR690" s="128"/>
      <c r="CS690" s="128"/>
      <c r="CT690" s="128"/>
      <c r="CU690" s="128"/>
      <c r="CV690" s="128"/>
      <c r="CW690" s="128"/>
      <c r="CX690" s="128"/>
      <c r="CY690" s="128"/>
      <c r="CZ690" s="128"/>
    </row>
    <row r="691" spans="1:104">
      <c r="A691" s="128"/>
      <c r="B691" s="128"/>
      <c r="C691" s="128"/>
      <c r="D691" s="112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51"/>
      <c r="BN691" s="128"/>
      <c r="BO691" s="128"/>
      <c r="BP691" s="128"/>
      <c r="BQ691" s="128"/>
      <c r="BR691" s="128"/>
      <c r="BS691" s="128"/>
      <c r="BT691" s="128"/>
      <c r="BU691" s="128"/>
      <c r="BV691" s="128"/>
      <c r="BW691" s="128"/>
      <c r="BX691" s="128"/>
      <c r="BY691" s="128"/>
      <c r="BZ691" s="128"/>
      <c r="CA691" s="128"/>
      <c r="CB691" s="128"/>
      <c r="CC691" s="128"/>
      <c r="CD691" s="128"/>
      <c r="CE691" s="128"/>
      <c r="CF691" s="128"/>
      <c r="CG691" s="128"/>
      <c r="CH691" s="128"/>
      <c r="CI691" s="128"/>
      <c r="CJ691" s="128"/>
      <c r="CK691" s="128"/>
      <c r="CL691" s="128"/>
      <c r="CM691" s="128"/>
      <c r="CN691" s="128"/>
      <c r="CO691" s="128"/>
      <c r="CP691" s="128"/>
      <c r="CQ691" s="128"/>
      <c r="CR691" s="128"/>
      <c r="CS691" s="128"/>
      <c r="CT691" s="128"/>
      <c r="CU691" s="128"/>
      <c r="CV691" s="128"/>
      <c r="CW691" s="128"/>
      <c r="CX691" s="128"/>
      <c r="CY691" s="128"/>
      <c r="CZ691" s="128"/>
    </row>
    <row r="692" spans="1:104">
      <c r="A692" s="128"/>
      <c r="B692" s="128"/>
      <c r="C692" s="128"/>
      <c r="D692" s="112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51"/>
      <c r="BN692" s="128"/>
      <c r="BO692" s="128"/>
      <c r="BP692" s="128"/>
      <c r="BQ692" s="128"/>
      <c r="BR692" s="128"/>
      <c r="BS692" s="128"/>
      <c r="BT692" s="128"/>
      <c r="BU692" s="128"/>
      <c r="BV692" s="128"/>
      <c r="BW692" s="128"/>
      <c r="BX692" s="128"/>
      <c r="BY692" s="128"/>
      <c r="BZ692" s="128"/>
      <c r="CA692" s="128"/>
      <c r="CB692" s="128"/>
      <c r="CC692" s="128"/>
      <c r="CD692" s="128"/>
      <c r="CE692" s="128"/>
      <c r="CF692" s="128"/>
      <c r="CG692" s="128"/>
      <c r="CH692" s="128"/>
      <c r="CI692" s="128"/>
      <c r="CJ692" s="128"/>
      <c r="CK692" s="128"/>
      <c r="CL692" s="128"/>
      <c r="CM692" s="128"/>
      <c r="CN692" s="128"/>
      <c r="CO692" s="128"/>
      <c r="CP692" s="128"/>
      <c r="CQ692" s="128"/>
      <c r="CR692" s="128"/>
      <c r="CS692" s="128"/>
      <c r="CT692" s="128"/>
      <c r="CU692" s="128"/>
      <c r="CV692" s="128"/>
      <c r="CW692" s="128"/>
      <c r="CX692" s="128"/>
      <c r="CY692" s="128"/>
      <c r="CZ692" s="128"/>
    </row>
    <row r="693" spans="1:104">
      <c r="A693" s="128"/>
      <c r="B693" s="128"/>
      <c r="C693" s="128"/>
      <c r="D693" s="112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51"/>
      <c r="BN693" s="128"/>
      <c r="BO693" s="128"/>
      <c r="BP693" s="128"/>
      <c r="BQ693" s="128"/>
      <c r="BR693" s="128"/>
      <c r="BS693" s="128"/>
      <c r="BT693" s="128"/>
      <c r="BU693" s="128"/>
      <c r="BV693" s="128"/>
      <c r="BW693" s="128"/>
      <c r="BX693" s="128"/>
      <c r="BY693" s="128"/>
      <c r="BZ693" s="128"/>
      <c r="CA693" s="128"/>
      <c r="CB693" s="128"/>
      <c r="CC693" s="128"/>
      <c r="CD693" s="128"/>
      <c r="CE693" s="128"/>
      <c r="CF693" s="128"/>
      <c r="CG693" s="128"/>
      <c r="CH693" s="128"/>
      <c r="CI693" s="128"/>
      <c r="CJ693" s="128"/>
      <c r="CK693" s="128"/>
      <c r="CL693" s="128"/>
      <c r="CM693" s="128"/>
      <c r="CN693" s="128"/>
      <c r="CO693" s="128"/>
      <c r="CP693" s="128"/>
      <c r="CQ693" s="128"/>
      <c r="CR693" s="128"/>
      <c r="CS693" s="128"/>
      <c r="CT693" s="128"/>
      <c r="CU693" s="128"/>
      <c r="CV693" s="128"/>
      <c r="CW693" s="128"/>
      <c r="CX693" s="128"/>
      <c r="CY693" s="128"/>
      <c r="CZ693" s="128"/>
    </row>
    <row r="694" spans="1:104">
      <c r="A694" s="128"/>
      <c r="B694" s="128"/>
      <c r="C694" s="128"/>
      <c r="D694" s="112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51"/>
      <c r="BN694" s="128"/>
      <c r="BO694" s="128"/>
      <c r="BP694" s="128"/>
      <c r="BQ694" s="128"/>
      <c r="BR694" s="128"/>
      <c r="BS694" s="128"/>
      <c r="BT694" s="128"/>
      <c r="BU694" s="128"/>
      <c r="BV694" s="128"/>
      <c r="BW694" s="128"/>
      <c r="BX694" s="128"/>
      <c r="BY694" s="128"/>
      <c r="BZ694" s="128"/>
      <c r="CA694" s="128"/>
      <c r="CB694" s="128"/>
      <c r="CC694" s="128"/>
      <c r="CD694" s="128"/>
      <c r="CE694" s="128"/>
      <c r="CF694" s="128"/>
      <c r="CG694" s="128"/>
      <c r="CH694" s="128"/>
      <c r="CI694" s="128"/>
      <c r="CJ694" s="128"/>
      <c r="CK694" s="128"/>
      <c r="CL694" s="128"/>
      <c r="CM694" s="128"/>
      <c r="CN694" s="128"/>
      <c r="CO694" s="128"/>
      <c r="CP694" s="128"/>
      <c r="CQ694" s="128"/>
      <c r="CR694" s="128"/>
      <c r="CS694" s="128"/>
      <c r="CT694" s="128"/>
      <c r="CU694" s="128"/>
      <c r="CV694" s="128"/>
      <c r="CW694" s="128"/>
      <c r="CX694" s="128"/>
      <c r="CY694" s="128"/>
      <c r="CZ694" s="128"/>
    </row>
    <row r="695" spans="1:104">
      <c r="A695" s="128"/>
      <c r="B695" s="128"/>
      <c r="C695" s="128"/>
      <c r="D695" s="112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51"/>
      <c r="BN695" s="128"/>
      <c r="BO695" s="128"/>
      <c r="BP695" s="128"/>
      <c r="BQ695" s="128"/>
      <c r="BR695" s="128"/>
      <c r="BS695" s="128"/>
      <c r="BT695" s="128"/>
      <c r="BU695" s="128"/>
      <c r="BV695" s="128"/>
      <c r="BW695" s="128"/>
      <c r="BX695" s="128"/>
      <c r="BY695" s="128"/>
      <c r="BZ695" s="128"/>
      <c r="CA695" s="128"/>
      <c r="CB695" s="128"/>
      <c r="CC695" s="128"/>
      <c r="CD695" s="128"/>
      <c r="CE695" s="128"/>
      <c r="CF695" s="128"/>
      <c r="CG695" s="128"/>
      <c r="CH695" s="128"/>
      <c r="CI695" s="128"/>
      <c r="CJ695" s="128"/>
      <c r="CK695" s="128"/>
      <c r="CL695" s="128"/>
      <c r="CM695" s="128"/>
      <c r="CN695" s="128"/>
      <c r="CO695" s="128"/>
      <c r="CP695" s="128"/>
      <c r="CQ695" s="128"/>
      <c r="CR695" s="128"/>
      <c r="CS695" s="128"/>
      <c r="CT695" s="128"/>
      <c r="CU695" s="128"/>
      <c r="CV695" s="128"/>
      <c r="CW695" s="128"/>
      <c r="CX695" s="128"/>
      <c r="CY695" s="128"/>
      <c r="CZ695" s="128"/>
    </row>
    <row r="696" spans="1:104">
      <c r="A696" s="128"/>
      <c r="B696" s="128"/>
      <c r="C696" s="128"/>
      <c r="D696" s="112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28"/>
      <c r="BI696" s="128"/>
      <c r="BJ696" s="128"/>
      <c r="BK696" s="128"/>
      <c r="BL696" s="128"/>
      <c r="BM696" s="151"/>
      <c r="BN696" s="128"/>
      <c r="BO696" s="128"/>
      <c r="BP696" s="128"/>
      <c r="BQ696" s="128"/>
      <c r="BR696" s="128"/>
      <c r="BS696" s="128"/>
      <c r="BT696" s="128"/>
      <c r="BU696" s="128"/>
      <c r="BV696" s="128"/>
      <c r="BW696" s="128"/>
      <c r="BX696" s="128"/>
      <c r="BY696" s="128"/>
      <c r="BZ696" s="128"/>
      <c r="CA696" s="128"/>
      <c r="CB696" s="128"/>
      <c r="CC696" s="128"/>
      <c r="CD696" s="128"/>
      <c r="CE696" s="128"/>
      <c r="CF696" s="128"/>
      <c r="CG696" s="128"/>
      <c r="CH696" s="128"/>
      <c r="CI696" s="128"/>
      <c r="CJ696" s="128"/>
      <c r="CK696" s="128"/>
      <c r="CL696" s="128"/>
      <c r="CM696" s="128"/>
      <c r="CN696" s="128"/>
      <c r="CO696" s="128"/>
      <c r="CP696" s="128"/>
      <c r="CQ696" s="128"/>
      <c r="CR696" s="128"/>
      <c r="CS696" s="128"/>
      <c r="CT696" s="128"/>
      <c r="CU696" s="128"/>
      <c r="CV696" s="128"/>
      <c r="CW696" s="128"/>
      <c r="CX696" s="128"/>
      <c r="CY696" s="128"/>
      <c r="CZ696" s="128"/>
    </row>
    <row r="697" spans="1:104">
      <c r="A697" s="128"/>
      <c r="B697" s="128"/>
      <c r="C697" s="128"/>
      <c r="D697" s="112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28"/>
      <c r="BI697" s="128"/>
      <c r="BJ697" s="128"/>
      <c r="BK697" s="128"/>
      <c r="BL697" s="128"/>
      <c r="BM697" s="151"/>
      <c r="BN697" s="128"/>
      <c r="BO697" s="128"/>
      <c r="BP697" s="128"/>
      <c r="BQ697" s="128"/>
      <c r="BR697" s="128"/>
      <c r="BS697" s="128"/>
      <c r="BT697" s="128"/>
      <c r="BU697" s="128"/>
      <c r="BV697" s="128"/>
      <c r="BW697" s="128"/>
      <c r="BX697" s="128"/>
      <c r="BY697" s="128"/>
      <c r="BZ697" s="128"/>
      <c r="CA697" s="128"/>
      <c r="CB697" s="128"/>
      <c r="CC697" s="128"/>
      <c r="CD697" s="128"/>
      <c r="CE697" s="128"/>
      <c r="CF697" s="128"/>
      <c r="CG697" s="128"/>
      <c r="CH697" s="128"/>
      <c r="CI697" s="128"/>
      <c r="CJ697" s="128"/>
      <c r="CK697" s="128"/>
      <c r="CL697" s="128"/>
      <c r="CM697" s="128"/>
      <c r="CN697" s="128"/>
      <c r="CO697" s="128"/>
      <c r="CP697" s="128"/>
      <c r="CQ697" s="128"/>
      <c r="CR697" s="128"/>
      <c r="CS697" s="128"/>
      <c r="CT697" s="128"/>
      <c r="CU697" s="128"/>
      <c r="CV697" s="128"/>
      <c r="CW697" s="128"/>
      <c r="CX697" s="128"/>
      <c r="CY697" s="128"/>
      <c r="CZ697" s="128"/>
    </row>
    <row r="698" spans="1:104">
      <c r="A698" s="128"/>
      <c r="B698" s="128"/>
      <c r="C698" s="128"/>
      <c r="D698" s="112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  <c r="AV698" s="128"/>
      <c r="AW698" s="128"/>
      <c r="AX698" s="128"/>
      <c r="AY698" s="128"/>
      <c r="AZ698" s="128"/>
      <c r="BA698" s="128"/>
      <c r="BB698" s="128"/>
      <c r="BC698" s="128"/>
      <c r="BD698" s="128"/>
      <c r="BE698" s="128"/>
      <c r="BF698" s="128"/>
      <c r="BG698" s="128"/>
      <c r="BH698" s="128"/>
      <c r="BI698" s="128"/>
      <c r="BJ698" s="128"/>
      <c r="BK698" s="128"/>
      <c r="BL698" s="128"/>
      <c r="BM698" s="151"/>
      <c r="BN698" s="128"/>
      <c r="BO698" s="128"/>
      <c r="BP698" s="128"/>
      <c r="BQ698" s="128"/>
      <c r="BR698" s="128"/>
      <c r="BS698" s="128"/>
      <c r="BT698" s="128"/>
      <c r="BU698" s="128"/>
      <c r="BV698" s="128"/>
      <c r="BW698" s="128"/>
      <c r="BX698" s="128"/>
      <c r="BY698" s="128"/>
      <c r="BZ698" s="128"/>
      <c r="CA698" s="128"/>
      <c r="CB698" s="128"/>
      <c r="CC698" s="128"/>
      <c r="CD698" s="128"/>
      <c r="CE698" s="128"/>
      <c r="CF698" s="128"/>
      <c r="CG698" s="128"/>
      <c r="CH698" s="128"/>
      <c r="CI698" s="128"/>
      <c r="CJ698" s="128"/>
      <c r="CK698" s="128"/>
      <c r="CL698" s="128"/>
      <c r="CM698" s="128"/>
      <c r="CN698" s="128"/>
      <c r="CO698" s="128"/>
      <c r="CP698" s="128"/>
      <c r="CQ698" s="128"/>
      <c r="CR698" s="128"/>
      <c r="CS698" s="128"/>
      <c r="CT698" s="128"/>
      <c r="CU698" s="128"/>
      <c r="CV698" s="128"/>
      <c r="CW698" s="128"/>
      <c r="CX698" s="128"/>
      <c r="CY698" s="128"/>
      <c r="CZ698" s="128"/>
    </row>
    <row r="699" spans="1:104">
      <c r="A699" s="128"/>
      <c r="B699" s="128"/>
      <c r="C699" s="128"/>
      <c r="D699" s="112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  <c r="AV699" s="128"/>
      <c r="AW699" s="128"/>
      <c r="AX699" s="128"/>
      <c r="AY699" s="128"/>
      <c r="AZ699" s="128"/>
      <c r="BA699" s="128"/>
      <c r="BB699" s="128"/>
      <c r="BC699" s="128"/>
      <c r="BD699" s="128"/>
      <c r="BE699" s="128"/>
      <c r="BF699" s="128"/>
      <c r="BG699" s="128"/>
      <c r="BH699" s="128"/>
      <c r="BI699" s="128"/>
      <c r="BJ699" s="128"/>
      <c r="BK699" s="128"/>
      <c r="BL699" s="128"/>
      <c r="BM699" s="151"/>
      <c r="BN699" s="128"/>
      <c r="BO699" s="128"/>
      <c r="BP699" s="128"/>
      <c r="BQ699" s="128"/>
      <c r="BR699" s="128"/>
      <c r="BS699" s="128"/>
      <c r="BT699" s="128"/>
      <c r="BU699" s="128"/>
      <c r="BV699" s="128"/>
      <c r="BW699" s="128"/>
      <c r="BX699" s="128"/>
      <c r="BY699" s="128"/>
      <c r="BZ699" s="128"/>
      <c r="CA699" s="128"/>
      <c r="CB699" s="128"/>
      <c r="CC699" s="128"/>
      <c r="CD699" s="128"/>
      <c r="CE699" s="128"/>
      <c r="CF699" s="128"/>
      <c r="CG699" s="128"/>
      <c r="CH699" s="128"/>
      <c r="CI699" s="128"/>
      <c r="CJ699" s="128"/>
      <c r="CK699" s="128"/>
      <c r="CL699" s="128"/>
      <c r="CM699" s="128"/>
      <c r="CN699" s="128"/>
      <c r="CO699" s="128"/>
      <c r="CP699" s="128"/>
      <c r="CQ699" s="128"/>
      <c r="CR699" s="128"/>
      <c r="CS699" s="128"/>
      <c r="CT699" s="128"/>
      <c r="CU699" s="128"/>
      <c r="CV699" s="128"/>
      <c r="CW699" s="128"/>
      <c r="CX699" s="128"/>
      <c r="CY699" s="128"/>
      <c r="CZ699" s="128"/>
    </row>
    <row r="700" spans="1:104">
      <c r="A700" s="128"/>
      <c r="B700" s="128"/>
      <c r="C700" s="128"/>
      <c r="D700" s="112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  <c r="AV700" s="128"/>
      <c r="AW700" s="128"/>
      <c r="AX700" s="128"/>
      <c r="AY700" s="128"/>
      <c r="AZ700" s="128"/>
      <c r="BA700" s="128"/>
      <c r="BB700" s="128"/>
      <c r="BC700" s="128"/>
      <c r="BD700" s="128"/>
      <c r="BE700" s="128"/>
      <c r="BF700" s="128"/>
      <c r="BG700" s="128"/>
      <c r="BH700" s="128"/>
      <c r="BI700" s="128"/>
      <c r="BJ700" s="128"/>
      <c r="BK700" s="128"/>
      <c r="BL700" s="128"/>
      <c r="BM700" s="151"/>
      <c r="BN700" s="128"/>
      <c r="BO700" s="128"/>
      <c r="BP700" s="128"/>
      <c r="BQ700" s="128"/>
      <c r="BR700" s="128"/>
      <c r="BS700" s="128"/>
      <c r="BT700" s="128"/>
      <c r="BU700" s="128"/>
      <c r="BV700" s="128"/>
      <c r="BW700" s="128"/>
      <c r="BX700" s="128"/>
      <c r="BY700" s="128"/>
      <c r="BZ700" s="128"/>
      <c r="CA700" s="128"/>
      <c r="CB700" s="128"/>
      <c r="CC700" s="128"/>
      <c r="CD700" s="128"/>
      <c r="CE700" s="128"/>
      <c r="CF700" s="128"/>
      <c r="CG700" s="128"/>
      <c r="CH700" s="128"/>
      <c r="CI700" s="128"/>
      <c r="CJ700" s="128"/>
      <c r="CK700" s="128"/>
      <c r="CL700" s="128"/>
      <c r="CM700" s="128"/>
      <c r="CN700" s="128"/>
      <c r="CO700" s="128"/>
      <c r="CP700" s="128"/>
      <c r="CQ700" s="128"/>
      <c r="CR700" s="128"/>
      <c r="CS700" s="128"/>
      <c r="CT700" s="128"/>
      <c r="CU700" s="128"/>
      <c r="CV700" s="128"/>
      <c r="CW700" s="128"/>
      <c r="CX700" s="128"/>
      <c r="CY700" s="128"/>
      <c r="CZ700" s="128"/>
    </row>
    <row r="701" spans="1:104">
      <c r="A701" s="128"/>
      <c r="B701" s="128"/>
      <c r="C701" s="128"/>
      <c r="D701" s="112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51"/>
      <c r="BN701" s="128"/>
      <c r="BO701" s="128"/>
      <c r="BP701" s="128"/>
      <c r="BQ701" s="128"/>
      <c r="BR701" s="128"/>
      <c r="BS701" s="128"/>
      <c r="BT701" s="128"/>
      <c r="BU701" s="128"/>
      <c r="BV701" s="128"/>
      <c r="BW701" s="128"/>
      <c r="BX701" s="128"/>
      <c r="BY701" s="128"/>
      <c r="BZ701" s="128"/>
      <c r="CA701" s="128"/>
      <c r="CB701" s="128"/>
      <c r="CC701" s="128"/>
      <c r="CD701" s="128"/>
      <c r="CE701" s="128"/>
      <c r="CF701" s="128"/>
      <c r="CG701" s="128"/>
      <c r="CH701" s="128"/>
      <c r="CI701" s="128"/>
      <c r="CJ701" s="128"/>
      <c r="CK701" s="128"/>
      <c r="CL701" s="128"/>
      <c r="CM701" s="128"/>
      <c r="CN701" s="128"/>
      <c r="CO701" s="128"/>
      <c r="CP701" s="128"/>
      <c r="CQ701" s="128"/>
      <c r="CR701" s="128"/>
      <c r="CS701" s="128"/>
      <c r="CT701" s="128"/>
      <c r="CU701" s="128"/>
      <c r="CV701" s="128"/>
      <c r="CW701" s="128"/>
      <c r="CX701" s="128"/>
      <c r="CY701" s="128"/>
      <c r="CZ701" s="128"/>
    </row>
    <row r="702" spans="1:104">
      <c r="A702" s="128"/>
      <c r="B702" s="128"/>
      <c r="C702" s="128"/>
      <c r="D702" s="112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  <c r="AV702" s="128"/>
      <c r="AW702" s="128"/>
      <c r="AX702" s="128"/>
      <c r="AY702" s="128"/>
      <c r="AZ702" s="128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51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28"/>
      <c r="BY702" s="128"/>
      <c r="BZ702" s="128"/>
      <c r="CA702" s="128"/>
      <c r="CB702" s="128"/>
      <c r="CC702" s="128"/>
      <c r="CD702" s="128"/>
      <c r="CE702" s="128"/>
      <c r="CF702" s="128"/>
      <c r="CG702" s="128"/>
      <c r="CH702" s="128"/>
      <c r="CI702" s="128"/>
      <c r="CJ702" s="128"/>
      <c r="CK702" s="128"/>
      <c r="CL702" s="128"/>
      <c r="CM702" s="128"/>
      <c r="CN702" s="128"/>
      <c r="CO702" s="128"/>
      <c r="CP702" s="128"/>
      <c r="CQ702" s="128"/>
      <c r="CR702" s="128"/>
      <c r="CS702" s="128"/>
      <c r="CT702" s="128"/>
      <c r="CU702" s="128"/>
      <c r="CV702" s="128"/>
      <c r="CW702" s="128"/>
      <c r="CX702" s="128"/>
      <c r="CY702" s="128"/>
      <c r="CZ702" s="128"/>
    </row>
    <row r="703" spans="1:104">
      <c r="A703" s="128"/>
      <c r="B703" s="128"/>
      <c r="C703" s="128"/>
      <c r="D703" s="112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51"/>
      <c r="BN703" s="128"/>
      <c r="BO703" s="128"/>
      <c r="BP703" s="128"/>
      <c r="BQ703" s="128"/>
      <c r="BR703" s="128"/>
      <c r="BS703" s="128"/>
      <c r="BT703" s="128"/>
      <c r="BU703" s="128"/>
      <c r="BV703" s="128"/>
      <c r="BW703" s="128"/>
      <c r="BX703" s="128"/>
      <c r="BY703" s="128"/>
      <c r="BZ703" s="128"/>
      <c r="CA703" s="128"/>
      <c r="CB703" s="128"/>
      <c r="CC703" s="128"/>
      <c r="CD703" s="128"/>
      <c r="CE703" s="128"/>
      <c r="CF703" s="128"/>
      <c r="CG703" s="128"/>
      <c r="CH703" s="128"/>
      <c r="CI703" s="128"/>
      <c r="CJ703" s="128"/>
      <c r="CK703" s="128"/>
      <c r="CL703" s="128"/>
      <c r="CM703" s="128"/>
      <c r="CN703" s="128"/>
      <c r="CO703" s="128"/>
      <c r="CP703" s="128"/>
      <c r="CQ703" s="128"/>
      <c r="CR703" s="128"/>
      <c r="CS703" s="128"/>
      <c r="CT703" s="128"/>
      <c r="CU703" s="128"/>
      <c r="CV703" s="128"/>
      <c r="CW703" s="128"/>
      <c r="CX703" s="128"/>
      <c r="CY703" s="128"/>
      <c r="CZ703" s="128"/>
    </row>
    <row r="704" spans="1:104">
      <c r="A704" s="128"/>
      <c r="B704" s="128"/>
      <c r="C704" s="128"/>
      <c r="D704" s="112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51"/>
      <c r="BN704" s="128"/>
      <c r="BO704" s="128"/>
      <c r="BP704" s="128"/>
      <c r="BQ704" s="128"/>
      <c r="BR704" s="128"/>
      <c r="BS704" s="128"/>
      <c r="BT704" s="128"/>
      <c r="BU704" s="128"/>
      <c r="BV704" s="128"/>
      <c r="BW704" s="128"/>
      <c r="BX704" s="128"/>
      <c r="BY704" s="128"/>
      <c r="BZ704" s="128"/>
      <c r="CA704" s="128"/>
      <c r="CB704" s="128"/>
      <c r="CC704" s="128"/>
      <c r="CD704" s="128"/>
      <c r="CE704" s="128"/>
      <c r="CF704" s="128"/>
      <c r="CG704" s="128"/>
      <c r="CH704" s="128"/>
      <c r="CI704" s="128"/>
      <c r="CJ704" s="128"/>
      <c r="CK704" s="128"/>
      <c r="CL704" s="128"/>
      <c r="CM704" s="128"/>
      <c r="CN704" s="128"/>
      <c r="CO704" s="128"/>
      <c r="CP704" s="128"/>
      <c r="CQ704" s="128"/>
      <c r="CR704" s="128"/>
      <c r="CS704" s="128"/>
      <c r="CT704" s="128"/>
      <c r="CU704" s="128"/>
      <c r="CV704" s="128"/>
      <c r="CW704" s="128"/>
      <c r="CX704" s="128"/>
      <c r="CY704" s="128"/>
      <c r="CZ704" s="128"/>
    </row>
    <row r="705" spans="1:104">
      <c r="A705" s="128"/>
      <c r="B705" s="128"/>
      <c r="C705" s="128"/>
      <c r="D705" s="112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  <c r="AV705" s="128"/>
      <c r="AW705" s="128"/>
      <c r="AX705" s="128"/>
      <c r="AY705" s="128"/>
      <c r="AZ705" s="128"/>
      <c r="BA705" s="128"/>
      <c r="BB705" s="128"/>
      <c r="BC705" s="128"/>
      <c r="BD705" s="128"/>
      <c r="BE705" s="128"/>
      <c r="BF705" s="128"/>
      <c r="BG705" s="128"/>
      <c r="BH705" s="128"/>
      <c r="BI705" s="128"/>
      <c r="BJ705" s="128"/>
      <c r="BK705" s="128"/>
      <c r="BL705" s="128"/>
      <c r="BM705" s="151"/>
      <c r="BN705" s="128"/>
      <c r="BO705" s="128"/>
      <c r="BP705" s="128"/>
      <c r="BQ705" s="128"/>
      <c r="BR705" s="128"/>
      <c r="BS705" s="128"/>
      <c r="BT705" s="128"/>
      <c r="BU705" s="128"/>
      <c r="BV705" s="128"/>
      <c r="BW705" s="128"/>
      <c r="BX705" s="128"/>
      <c r="BY705" s="128"/>
      <c r="BZ705" s="128"/>
      <c r="CA705" s="128"/>
      <c r="CB705" s="128"/>
      <c r="CC705" s="128"/>
      <c r="CD705" s="128"/>
      <c r="CE705" s="128"/>
      <c r="CF705" s="128"/>
      <c r="CG705" s="128"/>
      <c r="CH705" s="128"/>
      <c r="CI705" s="128"/>
      <c r="CJ705" s="128"/>
      <c r="CK705" s="128"/>
      <c r="CL705" s="128"/>
      <c r="CM705" s="128"/>
      <c r="CN705" s="128"/>
      <c r="CO705" s="128"/>
      <c r="CP705" s="128"/>
      <c r="CQ705" s="128"/>
      <c r="CR705" s="128"/>
      <c r="CS705" s="128"/>
      <c r="CT705" s="128"/>
      <c r="CU705" s="128"/>
      <c r="CV705" s="128"/>
      <c r="CW705" s="128"/>
      <c r="CX705" s="128"/>
      <c r="CY705" s="128"/>
      <c r="CZ705" s="128"/>
    </row>
    <row r="706" spans="1:104">
      <c r="A706" s="128"/>
      <c r="B706" s="128"/>
      <c r="C706" s="128"/>
      <c r="D706" s="112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  <c r="AV706" s="128"/>
      <c r="AW706" s="128"/>
      <c r="AX706" s="128"/>
      <c r="AY706" s="128"/>
      <c r="AZ706" s="128"/>
      <c r="BA706" s="128"/>
      <c r="BB706" s="128"/>
      <c r="BC706" s="128"/>
      <c r="BD706" s="128"/>
      <c r="BE706" s="128"/>
      <c r="BF706" s="128"/>
      <c r="BG706" s="128"/>
      <c r="BH706" s="128"/>
      <c r="BI706" s="128"/>
      <c r="BJ706" s="128"/>
      <c r="BK706" s="128"/>
      <c r="BL706" s="128"/>
      <c r="BM706" s="151"/>
      <c r="BN706" s="128"/>
      <c r="BO706" s="128"/>
      <c r="BP706" s="128"/>
      <c r="BQ706" s="128"/>
      <c r="BR706" s="128"/>
      <c r="BS706" s="128"/>
      <c r="BT706" s="128"/>
      <c r="BU706" s="128"/>
      <c r="BV706" s="128"/>
      <c r="BW706" s="128"/>
      <c r="BX706" s="128"/>
      <c r="BY706" s="128"/>
      <c r="BZ706" s="128"/>
      <c r="CA706" s="128"/>
      <c r="CB706" s="128"/>
      <c r="CC706" s="128"/>
      <c r="CD706" s="128"/>
      <c r="CE706" s="128"/>
      <c r="CF706" s="128"/>
      <c r="CG706" s="128"/>
      <c r="CH706" s="128"/>
      <c r="CI706" s="128"/>
      <c r="CJ706" s="128"/>
      <c r="CK706" s="128"/>
      <c r="CL706" s="128"/>
      <c r="CM706" s="128"/>
      <c r="CN706" s="128"/>
      <c r="CO706" s="128"/>
      <c r="CP706" s="128"/>
      <c r="CQ706" s="128"/>
      <c r="CR706" s="128"/>
      <c r="CS706" s="128"/>
      <c r="CT706" s="128"/>
      <c r="CU706" s="128"/>
      <c r="CV706" s="128"/>
      <c r="CW706" s="128"/>
      <c r="CX706" s="128"/>
      <c r="CY706" s="128"/>
      <c r="CZ706" s="128"/>
    </row>
    <row r="707" spans="1:104">
      <c r="A707" s="128"/>
      <c r="B707" s="128"/>
      <c r="C707" s="128"/>
      <c r="D707" s="112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  <c r="AV707" s="128"/>
      <c r="AW707" s="128"/>
      <c r="AX707" s="128"/>
      <c r="AY707" s="128"/>
      <c r="AZ707" s="128"/>
      <c r="BA707" s="128"/>
      <c r="BB707" s="128"/>
      <c r="BC707" s="128"/>
      <c r="BD707" s="128"/>
      <c r="BE707" s="128"/>
      <c r="BF707" s="128"/>
      <c r="BG707" s="128"/>
      <c r="BH707" s="128"/>
      <c r="BI707" s="128"/>
      <c r="BJ707" s="128"/>
      <c r="BK707" s="128"/>
      <c r="BL707" s="128"/>
      <c r="BM707" s="151"/>
      <c r="BN707" s="128"/>
      <c r="BO707" s="128"/>
      <c r="BP707" s="128"/>
      <c r="BQ707" s="128"/>
      <c r="BR707" s="128"/>
      <c r="BS707" s="128"/>
      <c r="BT707" s="128"/>
      <c r="BU707" s="128"/>
      <c r="BV707" s="128"/>
      <c r="BW707" s="128"/>
      <c r="BX707" s="128"/>
      <c r="BY707" s="128"/>
      <c r="BZ707" s="128"/>
      <c r="CA707" s="128"/>
      <c r="CB707" s="128"/>
      <c r="CC707" s="128"/>
      <c r="CD707" s="128"/>
      <c r="CE707" s="128"/>
      <c r="CF707" s="128"/>
      <c r="CG707" s="128"/>
      <c r="CH707" s="128"/>
      <c r="CI707" s="128"/>
      <c r="CJ707" s="128"/>
      <c r="CK707" s="128"/>
      <c r="CL707" s="128"/>
      <c r="CM707" s="128"/>
      <c r="CN707" s="128"/>
      <c r="CO707" s="128"/>
      <c r="CP707" s="128"/>
      <c r="CQ707" s="128"/>
      <c r="CR707" s="128"/>
      <c r="CS707" s="128"/>
      <c r="CT707" s="128"/>
      <c r="CU707" s="128"/>
      <c r="CV707" s="128"/>
      <c r="CW707" s="128"/>
      <c r="CX707" s="128"/>
      <c r="CY707" s="128"/>
      <c r="CZ707" s="128"/>
    </row>
    <row r="708" spans="1:104">
      <c r="A708" s="128"/>
      <c r="B708" s="128"/>
      <c r="C708" s="128"/>
      <c r="D708" s="112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28"/>
      <c r="BB708" s="128"/>
      <c r="BC708" s="128"/>
      <c r="BD708" s="128"/>
      <c r="BE708" s="128"/>
      <c r="BF708" s="128"/>
      <c r="BG708" s="128"/>
      <c r="BH708" s="128"/>
      <c r="BI708" s="128"/>
      <c r="BJ708" s="128"/>
      <c r="BK708" s="128"/>
      <c r="BL708" s="128"/>
      <c r="BM708" s="151"/>
      <c r="BN708" s="128"/>
      <c r="BO708" s="128"/>
      <c r="BP708" s="128"/>
      <c r="BQ708" s="128"/>
      <c r="BR708" s="128"/>
      <c r="BS708" s="128"/>
      <c r="BT708" s="128"/>
      <c r="BU708" s="128"/>
      <c r="BV708" s="128"/>
      <c r="BW708" s="128"/>
      <c r="BX708" s="128"/>
      <c r="BY708" s="128"/>
      <c r="BZ708" s="128"/>
      <c r="CA708" s="128"/>
      <c r="CB708" s="128"/>
      <c r="CC708" s="128"/>
      <c r="CD708" s="128"/>
      <c r="CE708" s="128"/>
      <c r="CF708" s="128"/>
      <c r="CG708" s="128"/>
      <c r="CH708" s="128"/>
      <c r="CI708" s="128"/>
      <c r="CJ708" s="128"/>
      <c r="CK708" s="128"/>
      <c r="CL708" s="128"/>
      <c r="CM708" s="128"/>
      <c r="CN708" s="128"/>
      <c r="CO708" s="128"/>
      <c r="CP708" s="128"/>
      <c r="CQ708" s="128"/>
      <c r="CR708" s="128"/>
      <c r="CS708" s="128"/>
      <c r="CT708" s="128"/>
      <c r="CU708" s="128"/>
      <c r="CV708" s="128"/>
      <c r="CW708" s="128"/>
      <c r="CX708" s="128"/>
      <c r="CY708" s="128"/>
      <c r="CZ708" s="128"/>
    </row>
    <row r="709" spans="1:104">
      <c r="A709" s="128"/>
      <c r="B709" s="128"/>
      <c r="C709" s="128"/>
      <c r="D709" s="112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  <c r="AV709" s="128"/>
      <c r="AW709" s="128"/>
      <c r="AX709" s="128"/>
      <c r="AY709" s="128"/>
      <c r="AZ709" s="128"/>
      <c r="BA709" s="128"/>
      <c r="BB709" s="128"/>
      <c r="BC709" s="128"/>
      <c r="BD709" s="128"/>
      <c r="BE709" s="128"/>
      <c r="BF709" s="128"/>
      <c r="BG709" s="128"/>
      <c r="BH709" s="128"/>
      <c r="BI709" s="128"/>
      <c r="BJ709" s="128"/>
      <c r="BK709" s="128"/>
      <c r="BL709" s="128"/>
      <c r="BM709" s="151"/>
      <c r="BN709" s="128"/>
      <c r="BO709" s="128"/>
      <c r="BP709" s="128"/>
      <c r="BQ709" s="128"/>
      <c r="BR709" s="128"/>
      <c r="BS709" s="128"/>
      <c r="BT709" s="128"/>
      <c r="BU709" s="128"/>
      <c r="BV709" s="128"/>
      <c r="BW709" s="128"/>
      <c r="BX709" s="128"/>
      <c r="BY709" s="128"/>
      <c r="BZ709" s="128"/>
      <c r="CA709" s="128"/>
      <c r="CB709" s="128"/>
      <c r="CC709" s="128"/>
      <c r="CD709" s="128"/>
      <c r="CE709" s="128"/>
      <c r="CF709" s="128"/>
      <c r="CG709" s="128"/>
      <c r="CH709" s="128"/>
      <c r="CI709" s="128"/>
      <c r="CJ709" s="128"/>
      <c r="CK709" s="128"/>
      <c r="CL709" s="128"/>
      <c r="CM709" s="128"/>
      <c r="CN709" s="128"/>
      <c r="CO709" s="128"/>
      <c r="CP709" s="128"/>
      <c r="CQ709" s="128"/>
      <c r="CR709" s="128"/>
      <c r="CS709" s="128"/>
      <c r="CT709" s="128"/>
      <c r="CU709" s="128"/>
      <c r="CV709" s="128"/>
      <c r="CW709" s="128"/>
      <c r="CX709" s="128"/>
      <c r="CY709" s="128"/>
      <c r="CZ709" s="128"/>
    </row>
    <row r="710" spans="1:104">
      <c r="A710" s="128"/>
      <c r="B710" s="128"/>
      <c r="C710" s="128"/>
      <c r="D710" s="112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  <c r="AV710" s="128"/>
      <c r="AW710" s="128"/>
      <c r="AX710" s="128"/>
      <c r="AY710" s="128"/>
      <c r="AZ710" s="128"/>
      <c r="BA710" s="128"/>
      <c r="BB710" s="128"/>
      <c r="BC710" s="128"/>
      <c r="BD710" s="128"/>
      <c r="BE710" s="128"/>
      <c r="BF710" s="128"/>
      <c r="BG710" s="128"/>
      <c r="BH710" s="128"/>
      <c r="BI710" s="128"/>
      <c r="BJ710" s="128"/>
      <c r="BK710" s="128"/>
      <c r="BL710" s="128"/>
      <c r="BM710" s="151"/>
      <c r="BN710" s="128"/>
      <c r="BO710" s="128"/>
      <c r="BP710" s="128"/>
      <c r="BQ710" s="128"/>
      <c r="BR710" s="128"/>
      <c r="BS710" s="128"/>
      <c r="BT710" s="128"/>
      <c r="BU710" s="128"/>
      <c r="BV710" s="128"/>
      <c r="BW710" s="128"/>
      <c r="BX710" s="128"/>
      <c r="BY710" s="128"/>
      <c r="BZ710" s="128"/>
      <c r="CA710" s="128"/>
      <c r="CB710" s="128"/>
      <c r="CC710" s="128"/>
      <c r="CD710" s="128"/>
      <c r="CE710" s="128"/>
      <c r="CF710" s="128"/>
      <c r="CG710" s="128"/>
      <c r="CH710" s="128"/>
      <c r="CI710" s="128"/>
      <c r="CJ710" s="128"/>
      <c r="CK710" s="128"/>
      <c r="CL710" s="128"/>
      <c r="CM710" s="128"/>
      <c r="CN710" s="128"/>
      <c r="CO710" s="128"/>
      <c r="CP710" s="128"/>
      <c r="CQ710" s="128"/>
      <c r="CR710" s="128"/>
      <c r="CS710" s="128"/>
      <c r="CT710" s="128"/>
      <c r="CU710" s="128"/>
      <c r="CV710" s="128"/>
      <c r="CW710" s="128"/>
      <c r="CX710" s="128"/>
      <c r="CY710" s="128"/>
      <c r="CZ710" s="128"/>
    </row>
    <row r="711" spans="1:104">
      <c r="A711" s="128"/>
      <c r="B711" s="128"/>
      <c r="C711" s="128"/>
      <c r="D711" s="112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  <c r="AV711" s="128"/>
      <c r="AW711" s="128"/>
      <c r="AX711" s="128"/>
      <c r="AY711" s="128"/>
      <c r="AZ711" s="128"/>
      <c r="BA711" s="128"/>
      <c r="BB711" s="128"/>
      <c r="BC711" s="128"/>
      <c r="BD711" s="128"/>
      <c r="BE711" s="128"/>
      <c r="BF711" s="128"/>
      <c r="BG711" s="128"/>
      <c r="BH711" s="128"/>
      <c r="BI711" s="128"/>
      <c r="BJ711" s="128"/>
      <c r="BK711" s="128"/>
      <c r="BL711" s="128"/>
      <c r="BM711" s="151"/>
      <c r="BN711" s="128"/>
      <c r="BO711" s="128"/>
      <c r="BP711" s="128"/>
      <c r="BQ711" s="128"/>
      <c r="BR711" s="128"/>
      <c r="BS711" s="128"/>
      <c r="BT711" s="128"/>
      <c r="BU711" s="128"/>
      <c r="BV711" s="128"/>
      <c r="BW711" s="128"/>
      <c r="BX711" s="128"/>
      <c r="BY711" s="128"/>
      <c r="BZ711" s="128"/>
      <c r="CA711" s="128"/>
      <c r="CB711" s="128"/>
      <c r="CC711" s="128"/>
      <c r="CD711" s="128"/>
      <c r="CE711" s="128"/>
      <c r="CF711" s="128"/>
      <c r="CG711" s="128"/>
      <c r="CH711" s="128"/>
      <c r="CI711" s="128"/>
      <c r="CJ711" s="128"/>
      <c r="CK711" s="128"/>
      <c r="CL711" s="128"/>
      <c r="CM711" s="128"/>
      <c r="CN711" s="128"/>
      <c r="CO711" s="128"/>
      <c r="CP711" s="128"/>
      <c r="CQ711" s="128"/>
      <c r="CR711" s="128"/>
      <c r="CS711" s="128"/>
      <c r="CT711" s="128"/>
      <c r="CU711" s="128"/>
      <c r="CV711" s="128"/>
      <c r="CW711" s="128"/>
      <c r="CX711" s="128"/>
      <c r="CY711" s="128"/>
      <c r="CZ711" s="128"/>
    </row>
    <row r="712" spans="1:104">
      <c r="A712" s="128"/>
      <c r="B712" s="128"/>
      <c r="C712" s="128"/>
      <c r="D712" s="112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  <c r="AV712" s="128"/>
      <c r="AW712" s="128"/>
      <c r="AX712" s="128"/>
      <c r="AY712" s="128"/>
      <c r="AZ712" s="128"/>
      <c r="BA712" s="128"/>
      <c r="BB712" s="128"/>
      <c r="BC712" s="128"/>
      <c r="BD712" s="128"/>
      <c r="BE712" s="128"/>
      <c r="BF712" s="128"/>
      <c r="BG712" s="128"/>
      <c r="BH712" s="128"/>
      <c r="BI712" s="128"/>
      <c r="BJ712" s="128"/>
      <c r="BK712" s="128"/>
      <c r="BL712" s="128"/>
      <c r="BM712" s="151"/>
      <c r="BN712" s="128"/>
      <c r="BO712" s="128"/>
      <c r="BP712" s="128"/>
      <c r="BQ712" s="128"/>
      <c r="BR712" s="128"/>
      <c r="BS712" s="128"/>
      <c r="BT712" s="128"/>
      <c r="BU712" s="128"/>
      <c r="BV712" s="128"/>
      <c r="BW712" s="128"/>
      <c r="BX712" s="128"/>
      <c r="BY712" s="128"/>
      <c r="BZ712" s="128"/>
      <c r="CA712" s="128"/>
      <c r="CB712" s="128"/>
      <c r="CC712" s="128"/>
      <c r="CD712" s="128"/>
      <c r="CE712" s="128"/>
      <c r="CF712" s="128"/>
      <c r="CG712" s="128"/>
      <c r="CH712" s="128"/>
      <c r="CI712" s="128"/>
      <c r="CJ712" s="128"/>
      <c r="CK712" s="128"/>
      <c r="CL712" s="128"/>
      <c r="CM712" s="128"/>
      <c r="CN712" s="128"/>
      <c r="CO712" s="128"/>
      <c r="CP712" s="128"/>
      <c r="CQ712" s="128"/>
      <c r="CR712" s="128"/>
      <c r="CS712" s="128"/>
      <c r="CT712" s="128"/>
      <c r="CU712" s="128"/>
      <c r="CV712" s="128"/>
      <c r="CW712" s="128"/>
      <c r="CX712" s="128"/>
      <c r="CY712" s="128"/>
      <c r="CZ712" s="128"/>
    </row>
    <row r="713" spans="1:104">
      <c r="A713" s="128"/>
      <c r="B713" s="128"/>
      <c r="C713" s="128"/>
      <c r="D713" s="112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  <c r="AV713" s="128"/>
      <c r="AW713" s="128"/>
      <c r="AX713" s="128"/>
      <c r="AY713" s="128"/>
      <c r="AZ713" s="128"/>
      <c r="BA713" s="128"/>
      <c r="BB713" s="128"/>
      <c r="BC713" s="128"/>
      <c r="BD713" s="128"/>
      <c r="BE713" s="128"/>
      <c r="BF713" s="128"/>
      <c r="BG713" s="128"/>
      <c r="BH713" s="128"/>
      <c r="BI713" s="128"/>
      <c r="BJ713" s="128"/>
      <c r="BK713" s="128"/>
      <c r="BL713" s="128"/>
      <c r="BM713" s="151"/>
      <c r="BN713" s="128"/>
      <c r="BO713" s="128"/>
      <c r="BP713" s="128"/>
      <c r="BQ713" s="128"/>
      <c r="BR713" s="128"/>
      <c r="BS713" s="128"/>
      <c r="BT713" s="128"/>
      <c r="BU713" s="128"/>
      <c r="BV713" s="128"/>
      <c r="BW713" s="128"/>
      <c r="BX713" s="128"/>
      <c r="BY713" s="128"/>
      <c r="BZ713" s="128"/>
      <c r="CA713" s="128"/>
      <c r="CB713" s="128"/>
      <c r="CC713" s="128"/>
      <c r="CD713" s="128"/>
      <c r="CE713" s="128"/>
      <c r="CF713" s="128"/>
      <c r="CG713" s="128"/>
      <c r="CH713" s="128"/>
      <c r="CI713" s="128"/>
      <c r="CJ713" s="128"/>
      <c r="CK713" s="128"/>
      <c r="CL713" s="128"/>
      <c r="CM713" s="128"/>
      <c r="CN713" s="128"/>
      <c r="CO713" s="128"/>
      <c r="CP713" s="128"/>
      <c r="CQ713" s="128"/>
      <c r="CR713" s="128"/>
      <c r="CS713" s="128"/>
      <c r="CT713" s="128"/>
      <c r="CU713" s="128"/>
      <c r="CV713" s="128"/>
      <c r="CW713" s="128"/>
      <c r="CX713" s="128"/>
      <c r="CY713" s="128"/>
      <c r="CZ713" s="128"/>
    </row>
    <row r="714" spans="1:104">
      <c r="A714" s="128"/>
      <c r="B714" s="128"/>
      <c r="C714" s="128"/>
      <c r="D714" s="112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  <c r="AV714" s="128"/>
      <c r="AW714" s="128"/>
      <c r="AX714" s="128"/>
      <c r="AY714" s="128"/>
      <c r="AZ714" s="128"/>
      <c r="BA714" s="128"/>
      <c r="BB714" s="128"/>
      <c r="BC714" s="128"/>
      <c r="BD714" s="128"/>
      <c r="BE714" s="128"/>
      <c r="BF714" s="128"/>
      <c r="BG714" s="128"/>
      <c r="BH714" s="128"/>
      <c r="BI714" s="128"/>
      <c r="BJ714" s="128"/>
      <c r="BK714" s="128"/>
      <c r="BL714" s="128"/>
      <c r="BM714" s="151"/>
      <c r="BN714" s="128"/>
      <c r="BO714" s="128"/>
      <c r="BP714" s="128"/>
      <c r="BQ714" s="128"/>
      <c r="BR714" s="128"/>
      <c r="BS714" s="128"/>
      <c r="BT714" s="128"/>
      <c r="BU714" s="128"/>
      <c r="BV714" s="128"/>
      <c r="BW714" s="128"/>
      <c r="BX714" s="128"/>
      <c r="BY714" s="128"/>
      <c r="BZ714" s="128"/>
      <c r="CA714" s="128"/>
      <c r="CB714" s="128"/>
      <c r="CC714" s="128"/>
      <c r="CD714" s="128"/>
      <c r="CE714" s="128"/>
      <c r="CF714" s="128"/>
      <c r="CG714" s="128"/>
      <c r="CH714" s="128"/>
      <c r="CI714" s="128"/>
      <c r="CJ714" s="128"/>
      <c r="CK714" s="128"/>
      <c r="CL714" s="128"/>
      <c r="CM714" s="128"/>
      <c r="CN714" s="128"/>
      <c r="CO714" s="128"/>
      <c r="CP714" s="128"/>
      <c r="CQ714" s="128"/>
      <c r="CR714" s="128"/>
      <c r="CS714" s="128"/>
      <c r="CT714" s="128"/>
      <c r="CU714" s="128"/>
      <c r="CV714" s="128"/>
      <c r="CW714" s="128"/>
      <c r="CX714" s="128"/>
      <c r="CY714" s="128"/>
      <c r="CZ714" s="128"/>
    </row>
    <row r="715" spans="1:104">
      <c r="A715" s="128"/>
      <c r="B715" s="128"/>
      <c r="C715" s="128"/>
      <c r="D715" s="112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51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128"/>
      <c r="CO715" s="128"/>
      <c r="CP715" s="128"/>
      <c r="CQ715" s="128"/>
      <c r="CR715" s="128"/>
      <c r="CS715" s="128"/>
      <c r="CT715" s="128"/>
      <c r="CU715" s="128"/>
      <c r="CV715" s="128"/>
      <c r="CW715" s="128"/>
      <c r="CX715" s="128"/>
      <c r="CY715" s="128"/>
      <c r="CZ715" s="128"/>
    </row>
    <row r="716" spans="1:104">
      <c r="A716" s="128"/>
      <c r="B716" s="128"/>
      <c r="C716" s="128"/>
      <c r="D716" s="112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  <c r="AV716" s="128"/>
      <c r="AW716" s="128"/>
      <c r="AX716" s="128"/>
      <c r="AY716" s="128"/>
      <c r="AZ716" s="128"/>
      <c r="BA716" s="128"/>
      <c r="BB716" s="128"/>
      <c r="BC716" s="128"/>
      <c r="BD716" s="128"/>
      <c r="BE716" s="128"/>
      <c r="BF716" s="128"/>
      <c r="BG716" s="128"/>
      <c r="BH716" s="128"/>
      <c r="BI716" s="128"/>
      <c r="BJ716" s="128"/>
      <c r="BK716" s="128"/>
      <c r="BL716" s="128"/>
      <c r="BM716" s="151"/>
      <c r="BN716" s="128"/>
      <c r="BO716" s="128"/>
      <c r="BP716" s="128"/>
      <c r="BQ716" s="128"/>
      <c r="BR716" s="128"/>
      <c r="BS716" s="128"/>
      <c r="BT716" s="128"/>
      <c r="BU716" s="128"/>
      <c r="BV716" s="128"/>
      <c r="BW716" s="128"/>
      <c r="BX716" s="128"/>
      <c r="BY716" s="128"/>
      <c r="BZ716" s="128"/>
      <c r="CA716" s="128"/>
      <c r="CB716" s="128"/>
      <c r="CC716" s="128"/>
      <c r="CD716" s="128"/>
      <c r="CE716" s="128"/>
      <c r="CF716" s="128"/>
      <c r="CG716" s="128"/>
      <c r="CH716" s="128"/>
      <c r="CI716" s="128"/>
      <c r="CJ716" s="128"/>
      <c r="CK716" s="128"/>
      <c r="CL716" s="128"/>
      <c r="CM716" s="128"/>
      <c r="CN716" s="128"/>
      <c r="CO716" s="128"/>
      <c r="CP716" s="128"/>
      <c r="CQ716" s="128"/>
      <c r="CR716" s="128"/>
      <c r="CS716" s="128"/>
      <c r="CT716" s="128"/>
      <c r="CU716" s="128"/>
      <c r="CV716" s="128"/>
      <c r="CW716" s="128"/>
      <c r="CX716" s="128"/>
      <c r="CY716" s="128"/>
      <c r="CZ716" s="128"/>
    </row>
    <row r="717" spans="1:104">
      <c r="A717" s="128"/>
      <c r="B717" s="128"/>
      <c r="C717" s="128"/>
      <c r="D717" s="112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  <c r="AV717" s="128"/>
      <c r="AW717" s="128"/>
      <c r="AX717" s="128"/>
      <c r="AY717" s="128"/>
      <c r="AZ717" s="128"/>
      <c r="BA717" s="128"/>
      <c r="BB717" s="128"/>
      <c r="BC717" s="128"/>
      <c r="BD717" s="128"/>
      <c r="BE717" s="128"/>
      <c r="BF717" s="128"/>
      <c r="BG717" s="128"/>
      <c r="BH717" s="128"/>
      <c r="BI717" s="128"/>
      <c r="BJ717" s="128"/>
      <c r="BK717" s="128"/>
      <c r="BL717" s="128"/>
      <c r="BM717" s="151"/>
      <c r="BN717" s="128"/>
      <c r="BO717" s="128"/>
      <c r="BP717" s="128"/>
      <c r="BQ717" s="128"/>
      <c r="BR717" s="128"/>
      <c r="BS717" s="128"/>
      <c r="BT717" s="128"/>
      <c r="BU717" s="128"/>
      <c r="BV717" s="128"/>
      <c r="BW717" s="128"/>
      <c r="BX717" s="128"/>
      <c r="BY717" s="128"/>
      <c r="BZ717" s="128"/>
      <c r="CA717" s="128"/>
      <c r="CB717" s="128"/>
      <c r="CC717" s="128"/>
      <c r="CD717" s="128"/>
      <c r="CE717" s="128"/>
      <c r="CF717" s="128"/>
      <c r="CG717" s="128"/>
      <c r="CH717" s="128"/>
      <c r="CI717" s="128"/>
      <c r="CJ717" s="128"/>
      <c r="CK717" s="128"/>
      <c r="CL717" s="128"/>
      <c r="CM717" s="128"/>
      <c r="CN717" s="128"/>
      <c r="CO717" s="128"/>
      <c r="CP717" s="128"/>
      <c r="CQ717" s="128"/>
      <c r="CR717" s="128"/>
      <c r="CS717" s="128"/>
      <c r="CT717" s="128"/>
      <c r="CU717" s="128"/>
      <c r="CV717" s="128"/>
      <c r="CW717" s="128"/>
      <c r="CX717" s="128"/>
      <c r="CY717" s="128"/>
      <c r="CZ717" s="128"/>
    </row>
    <row r="718" spans="1:104">
      <c r="A718" s="128"/>
      <c r="B718" s="128"/>
      <c r="C718" s="128"/>
      <c r="D718" s="112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  <c r="AV718" s="128"/>
      <c r="AW718" s="128"/>
      <c r="AX718" s="128"/>
      <c r="AY718" s="128"/>
      <c r="AZ718" s="128"/>
      <c r="BA718" s="128"/>
      <c r="BB718" s="128"/>
      <c r="BC718" s="128"/>
      <c r="BD718" s="128"/>
      <c r="BE718" s="128"/>
      <c r="BF718" s="128"/>
      <c r="BG718" s="128"/>
      <c r="BH718" s="128"/>
      <c r="BI718" s="128"/>
      <c r="BJ718" s="128"/>
      <c r="BK718" s="128"/>
      <c r="BL718" s="128"/>
      <c r="BM718" s="151"/>
      <c r="BN718" s="128"/>
      <c r="BO718" s="128"/>
      <c r="BP718" s="128"/>
      <c r="BQ718" s="128"/>
      <c r="BR718" s="128"/>
      <c r="BS718" s="128"/>
      <c r="BT718" s="128"/>
      <c r="BU718" s="128"/>
      <c r="BV718" s="128"/>
      <c r="BW718" s="128"/>
      <c r="BX718" s="128"/>
      <c r="BY718" s="128"/>
      <c r="BZ718" s="128"/>
      <c r="CA718" s="128"/>
      <c r="CB718" s="128"/>
      <c r="CC718" s="128"/>
      <c r="CD718" s="128"/>
      <c r="CE718" s="128"/>
      <c r="CF718" s="128"/>
      <c r="CG718" s="128"/>
      <c r="CH718" s="128"/>
      <c r="CI718" s="128"/>
      <c r="CJ718" s="128"/>
      <c r="CK718" s="128"/>
      <c r="CL718" s="128"/>
      <c r="CM718" s="128"/>
      <c r="CN718" s="128"/>
      <c r="CO718" s="128"/>
      <c r="CP718" s="128"/>
      <c r="CQ718" s="128"/>
      <c r="CR718" s="128"/>
      <c r="CS718" s="128"/>
      <c r="CT718" s="128"/>
      <c r="CU718" s="128"/>
      <c r="CV718" s="128"/>
      <c r="CW718" s="128"/>
      <c r="CX718" s="128"/>
      <c r="CY718" s="128"/>
      <c r="CZ718" s="128"/>
    </row>
    <row r="719" spans="1:104">
      <c r="A719" s="128"/>
      <c r="B719" s="128"/>
      <c r="C719" s="128"/>
      <c r="D719" s="112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  <c r="AV719" s="128"/>
      <c r="AW719" s="128"/>
      <c r="AX719" s="128"/>
      <c r="AY719" s="128"/>
      <c r="AZ719" s="128"/>
      <c r="BA719" s="128"/>
      <c r="BB719" s="128"/>
      <c r="BC719" s="128"/>
      <c r="BD719" s="128"/>
      <c r="BE719" s="128"/>
      <c r="BF719" s="128"/>
      <c r="BG719" s="128"/>
      <c r="BH719" s="128"/>
      <c r="BI719" s="128"/>
      <c r="BJ719" s="128"/>
      <c r="BK719" s="128"/>
      <c r="BL719" s="128"/>
      <c r="BM719" s="151"/>
      <c r="BN719" s="128"/>
      <c r="BO719" s="128"/>
      <c r="BP719" s="128"/>
      <c r="BQ719" s="128"/>
      <c r="BR719" s="128"/>
      <c r="BS719" s="128"/>
      <c r="BT719" s="128"/>
      <c r="BU719" s="128"/>
      <c r="BV719" s="128"/>
      <c r="BW719" s="128"/>
      <c r="BX719" s="128"/>
      <c r="BY719" s="128"/>
      <c r="BZ719" s="128"/>
      <c r="CA719" s="128"/>
      <c r="CB719" s="128"/>
      <c r="CC719" s="128"/>
      <c r="CD719" s="128"/>
      <c r="CE719" s="128"/>
      <c r="CF719" s="128"/>
      <c r="CG719" s="128"/>
      <c r="CH719" s="128"/>
      <c r="CI719" s="128"/>
      <c r="CJ719" s="128"/>
      <c r="CK719" s="128"/>
      <c r="CL719" s="128"/>
      <c r="CM719" s="128"/>
      <c r="CN719" s="128"/>
      <c r="CO719" s="128"/>
      <c r="CP719" s="128"/>
      <c r="CQ719" s="128"/>
      <c r="CR719" s="128"/>
      <c r="CS719" s="128"/>
      <c r="CT719" s="128"/>
      <c r="CU719" s="128"/>
      <c r="CV719" s="128"/>
      <c r="CW719" s="128"/>
      <c r="CX719" s="128"/>
      <c r="CY719" s="128"/>
      <c r="CZ719" s="128"/>
    </row>
    <row r="720" spans="1:104">
      <c r="A720" s="128"/>
      <c r="B720" s="128"/>
      <c r="C720" s="128"/>
      <c r="D720" s="112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  <c r="AV720" s="128"/>
      <c r="AW720" s="128"/>
      <c r="AX720" s="128"/>
      <c r="AY720" s="128"/>
      <c r="AZ720" s="128"/>
      <c r="BA720" s="128"/>
      <c r="BB720" s="128"/>
      <c r="BC720" s="128"/>
      <c r="BD720" s="128"/>
      <c r="BE720" s="128"/>
      <c r="BF720" s="128"/>
      <c r="BG720" s="128"/>
      <c r="BH720" s="128"/>
      <c r="BI720" s="128"/>
      <c r="BJ720" s="128"/>
      <c r="BK720" s="128"/>
      <c r="BL720" s="128"/>
      <c r="BM720" s="151"/>
      <c r="BN720" s="128"/>
      <c r="BO720" s="128"/>
      <c r="BP720" s="128"/>
      <c r="BQ720" s="128"/>
      <c r="BR720" s="128"/>
      <c r="BS720" s="128"/>
      <c r="BT720" s="128"/>
      <c r="BU720" s="128"/>
      <c r="BV720" s="128"/>
      <c r="BW720" s="128"/>
      <c r="BX720" s="128"/>
      <c r="BY720" s="128"/>
      <c r="BZ720" s="128"/>
      <c r="CA720" s="128"/>
      <c r="CB720" s="128"/>
      <c r="CC720" s="128"/>
      <c r="CD720" s="128"/>
      <c r="CE720" s="128"/>
      <c r="CF720" s="128"/>
      <c r="CG720" s="128"/>
      <c r="CH720" s="128"/>
      <c r="CI720" s="128"/>
      <c r="CJ720" s="128"/>
      <c r="CK720" s="128"/>
      <c r="CL720" s="128"/>
      <c r="CM720" s="128"/>
      <c r="CN720" s="128"/>
      <c r="CO720" s="128"/>
      <c r="CP720" s="128"/>
      <c r="CQ720" s="128"/>
      <c r="CR720" s="128"/>
      <c r="CS720" s="128"/>
      <c r="CT720" s="128"/>
      <c r="CU720" s="128"/>
      <c r="CV720" s="128"/>
      <c r="CW720" s="128"/>
      <c r="CX720" s="128"/>
      <c r="CY720" s="128"/>
      <c r="CZ720" s="128"/>
    </row>
    <row r="721" spans="1:104">
      <c r="A721" s="128"/>
      <c r="B721" s="128"/>
      <c r="C721" s="128"/>
      <c r="D721" s="112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  <c r="AC721" s="128"/>
      <c r="AD721" s="128"/>
      <c r="AE721" s="128"/>
      <c r="AF721" s="128"/>
      <c r="AG721" s="128"/>
      <c r="AH721" s="128"/>
      <c r="AI721" s="128"/>
      <c r="AJ721" s="128"/>
      <c r="AK721" s="128"/>
      <c r="AL721" s="128"/>
      <c r="AM721" s="128"/>
      <c r="AN721" s="128"/>
      <c r="AO721" s="128"/>
      <c r="AP721" s="128"/>
      <c r="AQ721" s="128"/>
      <c r="AR721" s="128"/>
      <c r="AS721" s="128"/>
      <c r="AT721" s="128"/>
      <c r="AU721" s="128"/>
      <c r="AV721" s="128"/>
      <c r="AW721" s="128"/>
      <c r="AX721" s="128"/>
      <c r="AY721" s="128"/>
      <c r="AZ721" s="128"/>
      <c r="BA721" s="128"/>
      <c r="BB721" s="128"/>
      <c r="BC721" s="128"/>
      <c r="BD721" s="128"/>
      <c r="BE721" s="128"/>
      <c r="BF721" s="128"/>
      <c r="BG721" s="128"/>
      <c r="BH721" s="128"/>
      <c r="BI721" s="128"/>
      <c r="BJ721" s="128"/>
      <c r="BK721" s="128"/>
      <c r="BL721" s="128"/>
      <c r="BM721" s="151"/>
      <c r="BN721" s="128"/>
      <c r="BO721" s="128"/>
      <c r="BP721" s="128"/>
      <c r="BQ721" s="128"/>
      <c r="BR721" s="128"/>
      <c r="BS721" s="128"/>
      <c r="BT721" s="128"/>
      <c r="BU721" s="128"/>
      <c r="BV721" s="128"/>
      <c r="BW721" s="128"/>
      <c r="BX721" s="128"/>
      <c r="BY721" s="128"/>
      <c r="BZ721" s="128"/>
      <c r="CA721" s="128"/>
      <c r="CB721" s="128"/>
      <c r="CC721" s="128"/>
      <c r="CD721" s="128"/>
      <c r="CE721" s="128"/>
      <c r="CF721" s="128"/>
      <c r="CG721" s="128"/>
      <c r="CH721" s="128"/>
      <c r="CI721" s="128"/>
      <c r="CJ721" s="128"/>
      <c r="CK721" s="128"/>
      <c r="CL721" s="128"/>
      <c r="CM721" s="128"/>
      <c r="CN721" s="128"/>
      <c r="CO721" s="128"/>
      <c r="CP721" s="128"/>
      <c r="CQ721" s="128"/>
      <c r="CR721" s="128"/>
      <c r="CS721" s="128"/>
      <c r="CT721" s="128"/>
      <c r="CU721" s="128"/>
      <c r="CV721" s="128"/>
      <c r="CW721" s="128"/>
      <c r="CX721" s="128"/>
      <c r="CY721" s="128"/>
      <c r="CZ721" s="128"/>
    </row>
    <row r="722" spans="1:104">
      <c r="A722" s="128"/>
      <c r="B722" s="128"/>
      <c r="C722" s="128"/>
      <c r="D722" s="112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  <c r="AV722" s="128"/>
      <c r="AW722" s="128"/>
      <c r="AX722" s="128"/>
      <c r="AY722" s="128"/>
      <c r="AZ722" s="128"/>
      <c r="BA722" s="128"/>
      <c r="BB722" s="128"/>
      <c r="BC722" s="128"/>
      <c r="BD722" s="128"/>
      <c r="BE722" s="128"/>
      <c r="BF722" s="128"/>
      <c r="BG722" s="128"/>
      <c r="BH722" s="128"/>
      <c r="BI722" s="128"/>
      <c r="BJ722" s="128"/>
      <c r="BK722" s="128"/>
      <c r="BL722" s="128"/>
      <c r="BM722" s="151"/>
      <c r="BN722" s="128"/>
      <c r="BO722" s="128"/>
      <c r="BP722" s="128"/>
      <c r="BQ722" s="128"/>
      <c r="BR722" s="128"/>
      <c r="BS722" s="128"/>
      <c r="BT722" s="128"/>
      <c r="BU722" s="128"/>
      <c r="BV722" s="128"/>
      <c r="BW722" s="128"/>
      <c r="BX722" s="128"/>
      <c r="BY722" s="128"/>
      <c r="BZ722" s="128"/>
      <c r="CA722" s="128"/>
      <c r="CB722" s="128"/>
      <c r="CC722" s="128"/>
      <c r="CD722" s="128"/>
      <c r="CE722" s="128"/>
      <c r="CF722" s="128"/>
      <c r="CG722" s="128"/>
      <c r="CH722" s="128"/>
      <c r="CI722" s="128"/>
      <c r="CJ722" s="128"/>
      <c r="CK722" s="128"/>
      <c r="CL722" s="128"/>
      <c r="CM722" s="128"/>
      <c r="CN722" s="128"/>
      <c r="CO722" s="128"/>
      <c r="CP722" s="128"/>
      <c r="CQ722" s="128"/>
      <c r="CR722" s="128"/>
      <c r="CS722" s="128"/>
      <c r="CT722" s="128"/>
      <c r="CU722" s="128"/>
      <c r="CV722" s="128"/>
      <c r="CW722" s="128"/>
      <c r="CX722" s="128"/>
      <c r="CY722" s="128"/>
      <c r="CZ722" s="128"/>
    </row>
    <row r="723" spans="1:104">
      <c r="A723" s="128"/>
      <c r="B723" s="128"/>
      <c r="C723" s="128"/>
      <c r="D723" s="112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  <c r="AV723" s="128"/>
      <c r="AW723" s="128"/>
      <c r="AX723" s="128"/>
      <c r="AY723" s="128"/>
      <c r="AZ723" s="128"/>
      <c r="BA723" s="128"/>
      <c r="BB723" s="128"/>
      <c r="BC723" s="128"/>
      <c r="BD723" s="128"/>
      <c r="BE723" s="128"/>
      <c r="BF723" s="128"/>
      <c r="BG723" s="128"/>
      <c r="BH723" s="128"/>
      <c r="BI723" s="128"/>
      <c r="BJ723" s="128"/>
      <c r="BK723" s="128"/>
      <c r="BL723" s="128"/>
      <c r="BM723" s="151"/>
      <c r="BN723" s="128"/>
      <c r="BO723" s="128"/>
      <c r="BP723" s="128"/>
      <c r="BQ723" s="128"/>
      <c r="BR723" s="128"/>
      <c r="BS723" s="128"/>
      <c r="BT723" s="128"/>
      <c r="BU723" s="128"/>
      <c r="BV723" s="128"/>
      <c r="BW723" s="128"/>
      <c r="BX723" s="128"/>
      <c r="BY723" s="128"/>
      <c r="BZ723" s="128"/>
      <c r="CA723" s="128"/>
      <c r="CB723" s="128"/>
      <c r="CC723" s="128"/>
      <c r="CD723" s="128"/>
      <c r="CE723" s="128"/>
      <c r="CF723" s="128"/>
      <c r="CG723" s="128"/>
      <c r="CH723" s="128"/>
      <c r="CI723" s="128"/>
      <c r="CJ723" s="128"/>
      <c r="CK723" s="128"/>
      <c r="CL723" s="128"/>
      <c r="CM723" s="128"/>
      <c r="CN723" s="128"/>
      <c r="CO723" s="128"/>
      <c r="CP723" s="128"/>
      <c r="CQ723" s="128"/>
      <c r="CR723" s="128"/>
      <c r="CS723" s="128"/>
      <c r="CT723" s="128"/>
      <c r="CU723" s="128"/>
      <c r="CV723" s="128"/>
      <c r="CW723" s="128"/>
      <c r="CX723" s="128"/>
      <c r="CY723" s="128"/>
      <c r="CZ723" s="128"/>
    </row>
    <row r="724" spans="1:104">
      <c r="A724" s="128"/>
      <c r="B724" s="128"/>
      <c r="C724" s="128"/>
      <c r="D724" s="112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  <c r="AV724" s="128"/>
      <c r="AW724" s="128"/>
      <c r="AX724" s="128"/>
      <c r="AY724" s="128"/>
      <c r="AZ724" s="128"/>
      <c r="BA724" s="128"/>
      <c r="BB724" s="128"/>
      <c r="BC724" s="128"/>
      <c r="BD724" s="128"/>
      <c r="BE724" s="128"/>
      <c r="BF724" s="128"/>
      <c r="BG724" s="128"/>
      <c r="BH724" s="128"/>
      <c r="BI724" s="128"/>
      <c r="BJ724" s="128"/>
      <c r="BK724" s="128"/>
      <c r="BL724" s="128"/>
      <c r="BM724" s="151"/>
      <c r="BN724" s="128"/>
      <c r="BO724" s="128"/>
      <c r="BP724" s="128"/>
      <c r="BQ724" s="128"/>
      <c r="BR724" s="128"/>
      <c r="BS724" s="128"/>
      <c r="BT724" s="128"/>
      <c r="BU724" s="128"/>
      <c r="BV724" s="128"/>
      <c r="BW724" s="128"/>
      <c r="BX724" s="128"/>
      <c r="BY724" s="128"/>
      <c r="BZ724" s="128"/>
      <c r="CA724" s="128"/>
      <c r="CB724" s="128"/>
      <c r="CC724" s="128"/>
      <c r="CD724" s="128"/>
      <c r="CE724" s="128"/>
      <c r="CF724" s="128"/>
      <c r="CG724" s="128"/>
      <c r="CH724" s="128"/>
      <c r="CI724" s="128"/>
      <c r="CJ724" s="128"/>
      <c r="CK724" s="128"/>
      <c r="CL724" s="128"/>
      <c r="CM724" s="128"/>
      <c r="CN724" s="128"/>
      <c r="CO724" s="128"/>
      <c r="CP724" s="128"/>
      <c r="CQ724" s="128"/>
      <c r="CR724" s="128"/>
      <c r="CS724" s="128"/>
      <c r="CT724" s="128"/>
      <c r="CU724" s="128"/>
      <c r="CV724" s="128"/>
      <c r="CW724" s="128"/>
      <c r="CX724" s="128"/>
      <c r="CY724" s="128"/>
      <c r="CZ724" s="128"/>
    </row>
    <row r="725" spans="1:104">
      <c r="A725" s="128"/>
      <c r="B725" s="128"/>
      <c r="C725" s="128"/>
      <c r="D725" s="112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  <c r="AV725" s="128"/>
      <c r="AW725" s="128"/>
      <c r="AX725" s="128"/>
      <c r="AY725" s="128"/>
      <c r="AZ725" s="128"/>
      <c r="BA725" s="128"/>
      <c r="BB725" s="128"/>
      <c r="BC725" s="128"/>
      <c r="BD725" s="128"/>
      <c r="BE725" s="128"/>
      <c r="BF725" s="128"/>
      <c r="BG725" s="128"/>
      <c r="BH725" s="128"/>
      <c r="BI725" s="128"/>
      <c r="BJ725" s="128"/>
      <c r="BK725" s="128"/>
      <c r="BL725" s="128"/>
      <c r="BM725" s="151"/>
      <c r="BN725" s="128"/>
      <c r="BO725" s="128"/>
      <c r="BP725" s="128"/>
      <c r="BQ725" s="128"/>
      <c r="BR725" s="128"/>
      <c r="BS725" s="128"/>
      <c r="BT725" s="128"/>
      <c r="BU725" s="128"/>
      <c r="BV725" s="128"/>
      <c r="BW725" s="128"/>
      <c r="BX725" s="128"/>
      <c r="BY725" s="128"/>
      <c r="BZ725" s="128"/>
      <c r="CA725" s="128"/>
      <c r="CB725" s="128"/>
      <c r="CC725" s="128"/>
      <c r="CD725" s="128"/>
      <c r="CE725" s="128"/>
      <c r="CF725" s="128"/>
      <c r="CG725" s="128"/>
      <c r="CH725" s="128"/>
      <c r="CI725" s="128"/>
      <c r="CJ725" s="128"/>
      <c r="CK725" s="128"/>
      <c r="CL725" s="128"/>
      <c r="CM725" s="128"/>
      <c r="CN725" s="128"/>
      <c r="CO725" s="128"/>
      <c r="CP725" s="128"/>
      <c r="CQ725" s="128"/>
      <c r="CR725" s="128"/>
      <c r="CS725" s="128"/>
      <c r="CT725" s="128"/>
      <c r="CU725" s="128"/>
      <c r="CV725" s="128"/>
      <c r="CW725" s="128"/>
      <c r="CX725" s="128"/>
      <c r="CY725" s="128"/>
      <c r="CZ725" s="128"/>
    </row>
    <row r="726" spans="1:104">
      <c r="A726" s="128"/>
      <c r="B726" s="128"/>
      <c r="C726" s="128"/>
      <c r="D726" s="112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  <c r="AV726" s="128"/>
      <c r="AW726" s="128"/>
      <c r="AX726" s="128"/>
      <c r="AY726" s="128"/>
      <c r="AZ726" s="128"/>
      <c r="BA726" s="128"/>
      <c r="BB726" s="128"/>
      <c r="BC726" s="128"/>
      <c r="BD726" s="128"/>
      <c r="BE726" s="128"/>
      <c r="BF726" s="128"/>
      <c r="BG726" s="128"/>
      <c r="BH726" s="128"/>
      <c r="BI726" s="128"/>
      <c r="BJ726" s="128"/>
      <c r="BK726" s="128"/>
      <c r="BL726" s="128"/>
      <c r="BM726" s="151"/>
      <c r="BN726" s="128"/>
      <c r="BO726" s="128"/>
      <c r="BP726" s="128"/>
      <c r="BQ726" s="128"/>
      <c r="BR726" s="128"/>
      <c r="BS726" s="128"/>
      <c r="BT726" s="128"/>
      <c r="BU726" s="128"/>
      <c r="BV726" s="128"/>
      <c r="BW726" s="128"/>
      <c r="BX726" s="128"/>
      <c r="BY726" s="128"/>
      <c r="BZ726" s="128"/>
      <c r="CA726" s="128"/>
      <c r="CB726" s="128"/>
      <c r="CC726" s="128"/>
      <c r="CD726" s="128"/>
      <c r="CE726" s="128"/>
      <c r="CF726" s="128"/>
      <c r="CG726" s="128"/>
      <c r="CH726" s="128"/>
      <c r="CI726" s="128"/>
      <c r="CJ726" s="128"/>
      <c r="CK726" s="128"/>
      <c r="CL726" s="128"/>
      <c r="CM726" s="128"/>
      <c r="CN726" s="128"/>
      <c r="CO726" s="128"/>
      <c r="CP726" s="128"/>
      <c r="CQ726" s="128"/>
      <c r="CR726" s="128"/>
      <c r="CS726" s="128"/>
      <c r="CT726" s="128"/>
      <c r="CU726" s="128"/>
      <c r="CV726" s="128"/>
      <c r="CW726" s="128"/>
      <c r="CX726" s="128"/>
      <c r="CY726" s="128"/>
      <c r="CZ726" s="128"/>
    </row>
    <row r="727" spans="1:104">
      <c r="A727" s="128"/>
      <c r="B727" s="128"/>
      <c r="C727" s="128"/>
      <c r="D727" s="112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  <c r="AV727" s="128"/>
      <c r="AW727" s="128"/>
      <c r="AX727" s="128"/>
      <c r="AY727" s="128"/>
      <c r="AZ727" s="128"/>
      <c r="BA727" s="128"/>
      <c r="BB727" s="128"/>
      <c r="BC727" s="128"/>
      <c r="BD727" s="128"/>
      <c r="BE727" s="128"/>
      <c r="BF727" s="128"/>
      <c r="BG727" s="128"/>
      <c r="BH727" s="128"/>
      <c r="BI727" s="128"/>
      <c r="BJ727" s="128"/>
      <c r="BK727" s="128"/>
      <c r="BL727" s="128"/>
      <c r="BM727" s="151"/>
      <c r="BN727" s="128"/>
      <c r="BO727" s="128"/>
      <c r="BP727" s="128"/>
      <c r="BQ727" s="128"/>
      <c r="BR727" s="128"/>
      <c r="BS727" s="128"/>
      <c r="BT727" s="128"/>
      <c r="BU727" s="128"/>
      <c r="BV727" s="128"/>
      <c r="BW727" s="128"/>
      <c r="BX727" s="128"/>
      <c r="BY727" s="128"/>
      <c r="BZ727" s="128"/>
      <c r="CA727" s="128"/>
      <c r="CB727" s="128"/>
      <c r="CC727" s="128"/>
      <c r="CD727" s="128"/>
      <c r="CE727" s="128"/>
      <c r="CF727" s="128"/>
      <c r="CG727" s="128"/>
      <c r="CH727" s="128"/>
      <c r="CI727" s="128"/>
      <c r="CJ727" s="128"/>
      <c r="CK727" s="128"/>
      <c r="CL727" s="128"/>
      <c r="CM727" s="128"/>
      <c r="CN727" s="128"/>
      <c r="CO727" s="128"/>
      <c r="CP727" s="128"/>
      <c r="CQ727" s="128"/>
      <c r="CR727" s="128"/>
      <c r="CS727" s="128"/>
      <c r="CT727" s="128"/>
      <c r="CU727" s="128"/>
      <c r="CV727" s="128"/>
      <c r="CW727" s="128"/>
      <c r="CX727" s="128"/>
      <c r="CY727" s="128"/>
      <c r="CZ727" s="128"/>
    </row>
    <row r="728" spans="1:104">
      <c r="A728" s="128"/>
      <c r="B728" s="128"/>
      <c r="C728" s="128"/>
      <c r="D728" s="112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  <c r="AV728" s="128"/>
      <c r="AW728" s="128"/>
      <c r="AX728" s="128"/>
      <c r="AY728" s="128"/>
      <c r="AZ728" s="128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51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28"/>
      <c r="BY728" s="128"/>
      <c r="BZ728" s="128"/>
      <c r="CA728" s="128"/>
      <c r="CB728" s="128"/>
      <c r="CC728" s="128"/>
      <c r="CD728" s="128"/>
      <c r="CE728" s="128"/>
      <c r="CF728" s="128"/>
      <c r="CG728" s="128"/>
      <c r="CH728" s="128"/>
      <c r="CI728" s="128"/>
      <c r="CJ728" s="128"/>
      <c r="CK728" s="128"/>
      <c r="CL728" s="128"/>
      <c r="CM728" s="128"/>
      <c r="CN728" s="128"/>
      <c r="CO728" s="128"/>
      <c r="CP728" s="128"/>
      <c r="CQ728" s="128"/>
      <c r="CR728" s="128"/>
      <c r="CS728" s="128"/>
      <c r="CT728" s="128"/>
      <c r="CU728" s="128"/>
      <c r="CV728" s="128"/>
      <c r="CW728" s="128"/>
      <c r="CX728" s="128"/>
      <c r="CY728" s="128"/>
      <c r="CZ728" s="128"/>
    </row>
    <row r="729" spans="1:104">
      <c r="A729" s="128"/>
      <c r="B729" s="128"/>
      <c r="C729" s="128"/>
      <c r="D729" s="112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  <c r="AV729" s="128"/>
      <c r="AW729" s="128"/>
      <c r="AX729" s="128"/>
      <c r="AY729" s="128"/>
      <c r="AZ729" s="128"/>
      <c r="BA729" s="128"/>
      <c r="BB729" s="128"/>
      <c r="BC729" s="128"/>
      <c r="BD729" s="128"/>
      <c r="BE729" s="128"/>
      <c r="BF729" s="128"/>
      <c r="BG729" s="128"/>
      <c r="BH729" s="128"/>
      <c r="BI729" s="128"/>
      <c r="BJ729" s="128"/>
      <c r="BK729" s="128"/>
      <c r="BL729" s="128"/>
      <c r="BM729" s="151"/>
      <c r="BN729" s="128"/>
      <c r="BO729" s="128"/>
      <c r="BP729" s="128"/>
      <c r="BQ729" s="128"/>
      <c r="BR729" s="128"/>
      <c r="BS729" s="128"/>
      <c r="BT729" s="128"/>
      <c r="BU729" s="128"/>
      <c r="BV729" s="128"/>
      <c r="BW729" s="128"/>
      <c r="BX729" s="128"/>
      <c r="BY729" s="128"/>
      <c r="BZ729" s="128"/>
      <c r="CA729" s="128"/>
      <c r="CB729" s="128"/>
      <c r="CC729" s="128"/>
      <c r="CD729" s="128"/>
      <c r="CE729" s="128"/>
      <c r="CF729" s="128"/>
      <c r="CG729" s="128"/>
      <c r="CH729" s="128"/>
      <c r="CI729" s="128"/>
      <c r="CJ729" s="128"/>
      <c r="CK729" s="128"/>
      <c r="CL729" s="128"/>
      <c r="CM729" s="128"/>
      <c r="CN729" s="128"/>
      <c r="CO729" s="128"/>
      <c r="CP729" s="128"/>
      <c r="CQ729" s="128"/>
      <c r="CR729" s="128"/>
      <c r="CS729" s="128"/>
      <c r="CT729" s="128"/>
      <c r="CU729" s="128"/>
      <c r="CV729" s="128"/>
      <c r="CW729" s="128"/>
      <c r="CX729" s="128"/>
      <c r="CY729" s="128"/>
      <c r="CZ729" s="128"/>
    </row>
    <row r="730" spans="1:104">
      <c r="A730" s="128"/>
      <c r="B730" s="128"/>
      <c r="C730" s="128"/>
      <c r="D730" s="112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  <c r="AV730" s="128"/>
      <c r="AW730" s="128"/>
      <c r="AX730" s="128"/>
      <c r="AY730" s="128"/>
      <c r="AZ730" s="128"/>
      <c r="BA730" s="128"/>
      <c r="BB730" s="128"/>
      <c r="BC730" s="128"/>
      <c r="BD730" s="128"/>
      <c r="BE730" s="128"/>
      <c r="BF730" s="128"/>
      <c r="BG730" s="128"/>
      <c r="BH730" s="128"/>
      <c r="BI730" s="128"/>
      <c r="BJ730" s="128"/>
      <c r="BK730" s="128"/>
      <c r="BL730" s="128"/>
      <c r="BM730" s="151"/>
      <c r="BN730" s="128"/>
      <c r="BO730" s="128"/>
      <c r="BP730" s="128"/>
      <c r="BQ730" s="128"/>
      <c r="BR730" s="128"/>
      <c r="BS730" s="128"/>
      <c r="BT730" s="128"/>
      <c r="BU730" s="128"/>
      <c r="BV730" s="128"/>
      <c r="BW730" s="128"/>
      <c r="BX730" s="128"/>
      <c r="BY730" s="128"/>
      <c r="BZ730" s="128"/>
      <c r="CA730" s="128"/>
      <c r="CB730" s="128"/>
      <c r="CC730" s="128"/>
      <c r="CD730" s="128"/>
      <c r="CE730" s="128"/>
      <c r="CF730" s="128"/>
      <c r="CG730" s="128"/>
      <c r="CH730" s="128"/>
      <c r="CI730" s="128"/>
      <c r="CJ730" s="128"/>
      <c r="CK730" s="128"/>
      <c r="CL730" s="128"/>
      <c r="CM730" s="128"/>
      <c r="CN730" s="128"/>
      <c r="CO730" s="128"/>
      <c r="CP730" s="128"/>
      <c r="CQ730" s="128"/>
      <c r="CR730" s="128"/>
      <c r="CS730" s="128"/>
      <c r="CT730" s="128"/>
      <c r="CU730" s="128"/>
      <c r="CV730" s="128"/>
      <c r="CW730" s="128"/>
      <c r="CX730" s="128"/>
      <c r="CY730" s="128"/>
      <c r="CZ730" s="128"/>
    </row>
    <row r="731" spans="1:104">
      <c r="A731" s="128"/>
      <c r="B731" s="128"/>
      <c r="C731" s="128"/>
      <c r="D731" s="112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  <c r="AV731" s="128"/>
      <c r="AW731" s="128"/>
      <c r="AX731" s="128"/>
      <c r="AY731" s="128"/>
      <c r="AZ731" s="128"/>
      <c r="BA731" s="128"/>
      <c r="BB731" s="128"/>
      <c r="BC731" s="128"/>
      <c r="BD731" s="128"/>
      <c r="BE731" s="128"/>
      <c r="BF731" s="128"/>
      <c r="BG731" s="128"/>
      <c r="BH731" s="128"/>
      <c r="BI731" s="128"/>
      <c r="BJ731" s="128"/>
      <c r="BK731" s="128"/>
      <c r="BL731" s="128"/>
      <c r="BM731" s="151"/>
      <c r="BN731" s="128"/>
      <c r="BO731" s="128"/>
      <c r="BP731" s="128"/>
      <c r="BQ731" s="128"/>
      <c r="BR731" s="128"/>
      <c r="BS731" s="128"/>
      <c r="BT731" s="128"/>
      <c r="BU731" s="128"/>
      <c r="BV731" s="128"/>
      <c r="BW731" s="128"/>
      <c r="BX731" s="128"/>
      <c r="BY731" s="128"/>
      <c r="BZ731" s="128"/>
      <c r="CA731" s="128"/>
      <c r="CB731" s="128"/>
      <c r="CC731" s="128"/>
      <c r="CD731" s="128"/>
      <c r="CE731" s="128"/>
      <c r="CF731" s="128"/>
      <c r="CG731" s="128"/>
      <c r="CH731" s="128"/>
      <c r="CI731" s="128"/>
      <c r="CJ731" s="128"/>
      <c r="CK731" s="128"/>
      <c r="CL731" s="128"/>
      <c r="CM731" s="128"/>
      <c r="CN731" s="128"/>
      <c r="CO731" s="128"/>
      <c r="CP731" s="128"/>
      <c r="CQ731" s="128"/>
      <c r="CR731" s="128"/>
      <c r="CS731" s="128"/>
      <c r="CT731" s="128"/>
      <c r="CU731" s="128"/>
      <c r="CV731" s="128"/>
      <c r="CW731" s="128"/>
      <c r="CX731" s="128"/>
      <c r="CY731" s="128"/>
      <c r="CZ731" s="128"/>
    </row>
    <row r="732" spans="1:104">
      <c r="A732" s="128"/>
      <c r="B732" s="128"/>
      <c r="C732" s="128"/>
      <c r="D732" s="112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  <c r="AV732" s="128"/>
      <c r="AW732" s="128"/>
      <c r="AX732" s="128"/>
      <c r="AY732" s="128"/>
      <c r="AZ732" s="128"/>
      <c r="BA732" s="128"/>
      <c r="BB732" s="128"/>
      <c r="BC732" s="128"/>
      <c r="BD732" s="128"/>
      <c r="BE732" s="128"/>
      <c r="BF732" s="128"/>
      <c r="BG732" s="128"/>
      <c r="BH732" s="128"/>
      <c r="BI732" s="128"/>
      <c r="BJ732" s="128"/>
      <c r="BK732" s="128"/>
      <c r="BL732" s="128"/>
      <c r="BM732" s="151"/>
      <c r="BN732" s="128"/>
      <c r="BO732" s="128"/>
      <c r="BP732" s="128"/>
      <c r="BQ732" s="128"/>
      <c r="BR732" s="128"/>
      <c r="BS732" s="128"/>
      <c r="BT732" s="128"/>
      <c r="BU732" s="128"/>
      <c r="BV732" s="128"/>
      <c r="BW732" s="128"/>
      <c r="BX732" s="128"/>
      <c r="BY732" s="128"/>
      <c r="BZ732" s="128"/>
      <c r="CA732" s="128"/>
      <c r="CB732" s="128"/>
      <c r="CC732" s="128"/>
      <c r="CD732" s="128"/>
      <c r="CE732" s="128"/>
      <c r="CF732" s="128"/>
      <c r="CG732" s="128"/>
      <c r="CH732" s="128"/>
      <c r="CI732" s="128"/>
      <c r="CJ732" s="128"/>
      <c r="CK732" s="128"/>
      <c r="CL732" s="128"/>
      <c r="CM732" s="128"/>
      <c r="CN732" s="128"/>
      <c r="CO732" s="128"/>
      <c r="CP732" s="128"/>
      <c r="CQ732" s="128"/>
      <c r="CR732" s="128"/>
      <c r="CS732" s="128"/>
      <c r="CT732" s="128"/>
      <c r="CU732" s="128"/>
      <c r="CV732" s="128"/>
      <c r="CW732" s="128"/>
      <c r="CX732" s="128"/>
      <c r="CY732" s="128"/>
      <c r="CZ732" s="128"/>
    </row>
    <row r="733" spans="1:104">
      <c r="A733" s="128"/>
      <c r="B733" s="128"/>
      <c r="C733" s="128"/>
      <c r="D733" s="112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  <c r="AV733" s="128"/>
      <c r="AW733" s="128"/>
      <c r="AX733" s="128"/>
      <c r="AY733" s="128"/>
      <c r="AZ733" s="128"/>
      <c r="BA733" s="128"/>
      <c r="BB733" s="128"/>
      <c r="BC733" s="128"/>
      <c r="BD733" s="128"/>
      <c r="BE733" s="128"/>
      <c r="BF733" s="128"/>
      <c r="BG733" s="128"/>
      <c r="BH733" s="128"/>
      <c r="BI733" s="128"/>
      <c r="BJ733" s="128"/>
      <c r="BK733" s="128"/>
      <c r="BL733" s="128"/>
      <c r="BM733" s="151"/>
      <c r="BN733" s="128"/>
      <c r="BO733" s="128"/>
      <c r="BP733" s="128"/>
      <c r="BQ733" s="128"/>
      <c r="BR733" s="128"/>
      <c r="BS733" s="128"/>
      <c r="BT733" s="128"/>
      <c r="BU733" s="128"/>
      <c r="BV733" s="128"/>
      <c r="BW733" s="128"/>
      <c r="BX733" s="128"/>
      <c r="BY733" s="128"/>
      <c r="BZ733" s="128"/>
      <c r="CA733" s="128"/>
      <c r="CB733" s="128"/>
      <c r="CC733" s="128"/>
      <c r="CD733" s="128"/>
      <c r="CE733" s="128"/>
      <c r="CF733" s="128"/>
      <c r="CG733" s="128"/>
      <c r="CH733" s="128"/>
      <c r="CI733" s="128"/>
      <c r="CJ733" s="128"/>
      <c r="CK733" s="128"/>
      <c r="CL733" s="128"/>
      <c r="CM733" s="128"/>
      <c r="CN733" s="128"/>
      <c r="CO733" s="128"/>
      <c r="CP733" s="128"/>
      <c r="CQ733" s="128"/>
      <c r="CR733" s="128"/>
      <c r="CS733" s="128"/>
      <c r="CT733" s="128"/>
      <c r="CU733" s="128"/>
      <c r="CV733" s="128"/>
      <c r="CW733" s="128"/>
      <c r="CX733" s="128"/>
      <c r="CY733" s="128"/>
      <c r="CZ733" s="128"/>
    </row>
    <row r="734" spans="1:104">
      <c r="A734" s="128"/>
      <c r="B734" s="128"/>
      <c r="C734" s="128"/>
      <c r="D734" s="112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  <c r="AV734" s="128"/>
      <c r="AW734" s="128"/>
      <c r="AX734" s="128"/>
      <c r="AY734" s="128"/>
      <c r="AZ734" s="128"/>
      <c r="BA734" s="128"/>
      <c r="BB734" s="128"/>
      <c r="BC734" s="128"/>
      <c r="BD734" s="128"/>
      <c r="BE734" s="128"/>
      <c r="BF734" s="128"/>
      <c r="BG734" s="128"/>
      <c r="BH734" s="128"/>
      <c r="BI734" s="128"/>
      <c r="BJ734" s="128"/>
      <c r="BK734" s="128"/>
      <c r="BL734" s="128"/>
      <c r="BM734" s="151"/>
      <c r="BN734" s="128"/>
      <c r="BO734" s="128"/>
      <c r="BP734" s="128"/>
      <c r="BQ734" s="128"/>
      <c r="BR734" s="128"/>
      <c r="BS734" s="128"/>
      <c r="BT734" s="128"/>
      <c r="BU734" s="128"/>
      <c r="BV734" s="128"/>
      <c r="BW734" s="128"/>
      <c r="BX734" s="128"/>
      <c r="BY734" s="128"/>
      <c r="BZ734" s="128"/>
      <c r="CA734" s="128"/>
      <c r="CB734" s="128"/>
      <c r="CC734" s="128"/>
      <c r="CD734" s="128"/>
      <c r="CE734" s="128"/>
      <c r="CF734" s="128"/>
      <c r="CG734" s="128"/>
      <c r="CH734" s="128"/>
      <c r="CI734" s="128"/>
      <c r="CJ734" s="128"/>
      <c r="CK734" s="128"/>
      <c r="CL734" s="128"/>
      <c r="CM734" s="128"/>
      <c r="CN734" s="128"/>
      <c r="CO734" s="128"/>
      <c r="CP734" s="128"/>
      <c r="CQ734" s="128"/>
      <c r="CR734" s="128"/>
      <c r="CS734" s="128"/>
      <c r="CT734" s="128"/>
      <c r="CU734" s="128"/>
      <c r="CV734" s="128"/>
      <c r="CW734" s="128"/>
      <c r="CX734" s="128"/>
      <c r="CY734" s="128"/>
      <c r="CZ734" s="128"/>
    </row>
    <row r="735" spans="1:104">
      <c r="A735" s="128"/>
      <c r="B735" s="128"/>
      <c r="C735" s="128"/>
      <c r="D735" s="112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  <c r="AV735" s="128"/>
      <c r="AW735" s="128"/>
      <c r="AX735" s="128"/>
      <c r="AY735" s="128"/>
      <c r="AZ735" s="128"/>
      <c r="BA735" s="128"/>
      <c r="BB735" s="128"/>
      <c r="BC735" s="128"/>
      <c r="BD735" s="128"/>
      <c r="BE735" s="128"/>
      <c r="BF735" s="128"/>
      <c r="BG735" s="128"/>
      <c r="BH735" s="128"/>
      <c r="BI735" s="128"/>
      <c r="BJ735" s="128"/>
      <c r="BK735" s="128"/>
      <c r="BL735" s="128"/>
      <c r="BM735" s="151"/>
      <c r="BN735" s="128"/>
      <c r="BO735" s="128"/>
      <c r="BP735" s="128"/>
      <c r="BQ735" s="128"/>
      <c r="BR735" s="128"/>
      <c r="BS735" s="128"/>
      <c r="BT735" s="128"/>
      <c r="BU735" s="128"/>
      <c r="BV735" s="128"/>
      <c r="BW735" s="128"/>
      <c r="BX735" s="128"/>
      <c r="BY735" s="128"/>
      <c r="BZ735" s="128"/>
      <c r="CA735" s="128"/>
      <c r="CB735" s="128"/>
      <c r="CC735" s="128"/>
      <c r="CD735" s="128"/>
      <c r="CE735" s="128"/>
      <c r="CF735" s="128"/>
      <c r="CG735" s="128"/>
      <c r="CH735" s="128"/>
      <c r="CI735" s="128"/>
      <c r="CJ735" s="128"/>
      <c r="CK735" s="128"/>
      <c r="CL735" s="128"/>
      <c r="CM735" s="128"/>
      <c r="CN735" s="128"/>
      <c r="CO735" s="128"/>
      <c r="CP735" s="128"/>
      <c r="CQ735" s="128"/>
      <c r="CR735" s="128"/>
      <c r="CS735" s="128"/>
      <c r="CT735" s="128"/>
      <c r="CU735" s="128"/>
      <c r="CV735" s="128"/>
      <c r="CW735" s="128"/>
      <c r="CX735" s="128"/>
      <c r="CY735" s="128"/>
      <c r="CZ735" s="128"/>
    </row>
    <row r="736" spans="1:104">
      <c r="A736" s="128"/>
      <c r="B736" s="128"/>
      <c r="C736" s="128"/>
      <c r="D736" s="112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  <c r="AV736" s="128"/>
      <c r="AW736" s="128"/>
      <c r="AX736" s="128"/>
      <c r="AY736" s="128"/>
      <c r="AZ736" s="128"/>
      <c r="BA736" s="128"/>
      <c r="BB736" s="128"/>
      <c r="BC736" s="128"/>
      <c r="BD736" s="128"/>
      <c r="BE736" s="128"/>
      <c r="BF736" s="128"/>
      <c r="BG736" s="128"/>
      <c r="BH736" s="128"/>
      <c r="BI736" s="128"/>
      <c r="BJ736" s="128"/>
      <c r="BK736" s="128"/>
      <c r="BL736" s="128"/>
      <c r="BM736" s="151"/>
      <c r="BN736" s="128"/>
      <c r="BO736" s="128"/>
      <c r="BP736" s="128"/>
      <c r="BQ736" s="128"/>
      <c r="BR736" s="128"/>
      <c r="BS736" s="128"/>
      <c r="BT736" s="128"/>
      <c r="BU736" s="128"/>
      <c r="BV736" s="128"/>
      <c r="BW736" s="128"/>
      <c r="BX736" s="128"/>
      <c r="BY736" s="128"/>
      <c r="BZ736" s="128"/>
      <c r="CA736" s="128"/>
      <c r="CB736" s="128"/>
      <c r="CC736" s="128"/>
      <c r="CD736" s="128"/>
      <c r="CE736" s="128"/>
      <c r="CF736" s="128"/>
      <c r="CG736" s="128"/>
      <c r="CH736" s="128"/>
      <c r="CI736" s="128"/>
      <c r="CJ736" s="128"/>
      <c r="CK736" s="128"/>
      <c r="CL736" s="128"/>
      <c r="CM736" s="128"/>
      <c r="CN736" s="128"/>
      <c r="CO736" s="128"/>
      <c r="CP736" s="128"/>
      <c r="CQ736" s="128"/>
      <c r="CR736" s="128"/>
      <c r="CS736" s="128"/>
      <c r="CT736" s="128"/>
      <c r="CU736" s="128"/>
      <c r="CV736" s="128"/>
      <c r="CW736" s="128"/>
      <c r="CX736" s="128"/>
      <c r="CY736" s="128"/>
      <c r="CZ736" s="128"/>
    </row>
    <row r="737" spans="1:104">
      <c r="A737" s="128"/>
      <c r="B737" s="128"/>
      <c r="C737" s="128"/>
      <c r="D737" s="112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  <c r="AV737" s="128"/>
      <c r="AW737" s="128"/>
      <c r="AX737" s="128"/>
      <c r="AY737" s="128"/>
      <c r="AZ737" s="128"/>
      <c r="BA737" s="128"/>
      <c r="BB737" s="128"/>
      <c r="BC737" s="128"/>
      <c r="BD737" s="128"/>
      <c r="BE737" s="128"/>
      <c r="BF737" s="128"/>
      <c r="BG737" s="128"/>
      <c r="BH737" s="128"/>
      <c r="BI737" s="128"/>
      <c r="BJ737" s="128"/>
      <c r="BK737" s="128"/>
      <c r="BL737" s="128"/>
      <c r="BM737" s="151"/>
      <c r="BN737" s="128"/>
      <c r="BO737" s="128"/>
      <c r="BP737" s="128"/>
      <c r="BQ737" s="128"/>
      <c r="BR737" s="128"/>
      <c r="BS737" s="128"/>
      <c r="BT737" s="128"/>
      <c r="BU737" s="128"/>
      <c r="BV737" s="128"/>
      <c r="BW737" s="128"/>
      <c r="BX737" s="128"/>
      <c r="BY737" s="128"/>
      <c r="BZ737" s="128"/>
      <c r="CA737" s="128"/>
      <c r="CB737" s="128"/>
      <c r="CC737" s="128"/>
      <c r="CD737" s="128"/>
      <c r="CE737" s="128"/>
      <c r="CF737" s="128"/>
      <c r="CG737" s="128"/>
      <c r="CH737" s="128"/>
      <c r="CI737" s="128"/>
      <c r="CJ737" s="128"/>
      <c r="CK737" s="128"/>
      <c r="CL737" s="128"/>
      <c r="CM737" s="128"/>
      <c r="CN737" s="128"/>
      <c r="CO737" s="128"/>
      <c r="CP737" s="128"/>
      <c r="CQ737" s="128"/>
      <c r="CR737" s="128"/>
      <c r="CS737" s="128"/>
      <c r="CT737" s="128"/>
      <c r="CU737" s="128"/>
      <c r="CV737" s="128"/>
      <c r="CW737" s="128"/>
      <c r="CX737" s="128"/>
      <c r="CY737" s="128"/>
      <c r="CZ737" s="128"/>
    </row>
    <row r="738" spans="1:104">
      <c r="A738" s="128"/>
      <c r="B738" s="128"/>
      <c r="C738" s="128"/>
      <c r="D738" s="112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  <c r="AV738" s="128"/>
      <c r="AW738" s="128"/>
      <c r="AX738" s="128"/>
      <c r="AY738" s="128"/>
      <c r="AZ738" s="128"/>
      <c r="BA738" s="128"/>
      <c r="BB738" s="128"/>
      <c r="BC738" s="128"/>
      <c r="BD738" s="128"/>
      <c r="BE738" s="128"/>
      <c r="BF738" s="128"/>
      <c r="BG738" s="128"/>
      <c r="BH738" s="128"/>
      <c r="BI738" s="128"/>
      <c r="BJ738" s="128"/>
      <c r="BK738" s="128"/>
      <c r="BL738" s="128"/>
      <c r="BM738" s="151"/>
      <c r="BN738" s="128"/>
      <c r="BO738" s="128"/>
      <c r="BP738" s="128"/>
      <c r="BQ738" s="128"/>
      <c r="BR738" s="128"/>
      <c r="BS738" s="128"/>
      <c r="BT738" s="128"/>
      <c r="BU738" s="128"/>
      <c r="BV738" s="128"/>
      <c r="BW738" s="128"/>
      <c r="BX738" s="128"/>
      <c r="BY738" s="128"/>
      <c r="BZ738" s="128"/>
      <c r="CA738" s="128"/>
      <c r="CB738" s="128"/>
      <c r="CC738" s="128"/>
      <c r="CD738" s="128"/>
      <c r="CE738" s="128"/>
      <c r="CF738" s="128"/>
      <c r="CG738" s="128"/>
      <c r="CH738" s="128"/>
      <c r="CI738" s="128"/>
      <c r="CJ738" s="128"/>
      <c r="CK738" s="128"/>
      <c r="CL738" s="128"/>
      <c r="CM738" s="128"/>
      <c r="CN738" s="128"/>
      <c r="CO738" s="128"/>
      <c r="CP738" s="128"/>
      <c r="CQ738" s="128"/>
      <c r="CR738" s="128"/>
      <c r="CS738" s="128"/>
      <c r="CT738" s="128"/>
      <c r="CU738" s="128"/>
      <c r="CV738" s="128"/>
      <c r="CW738" s="128"/>
      <c r="CX738" s="128"/>
      <c r="CY738" s="128"/>
      <c r="CZ738" s="128"/>
    </row>
    <row r="739" spans="1:104">
      <c r="A739" s="128"/>
      <c r="B739" s="128"/>
      <c r="C739" s="128"/>
      <c r="D739" s="112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  <c r="AV739" s="128"/>
      <c r="AW739" s="128"/>
      <c r="AX739" s="128"/>
      <c r="AY739" s="128"/>
      <c r="AZ739" s="128"/>
      <c r="BA739" s="128"/>
      <c r="BB739" s="128"/>
      <c r="BC739" s="128"/>
      <c r="BD739" s="128"/>
      <c r="BE739" s="128"/>
      <c r="BF739" s="128"/>
      <c r="BG739" s="128"/>
      <c r="BH739" s="128"/>
      <c r="BI739" s="128"/>
      <c r="BJ739" s="128"/>
      <c r="BK739" s="128"/>
      <c r="BL739" s="128"/>
      <c r="BM739" s="151"/>
      <c r="BN739" s="128"/>
      <c r="BO739" s="128"/>
      <c r="BP739" s="128"/>
      <c r="BQ739" s="128"/>
      <c r="BR739" s="128"/>
      <c r="BS739" s="128"/>
      <c r="BT739" s="128"/>
      <c r="BU739" s="128"/>
      <c r="BV739" s="128"/>
      <c r="BW739" s="128"/>
      <c r="BX739" s="128"/>
      <c r="BY739" s="128"/>
      <c r="BZ739" s="128"/>
      <c r="CA739" s="128"/>
      <c r="CB739" s="128"/>
      <c r="CC739" s="128"/>
      <c r="CD739" s="128"/>
      <c r="CE739" s="128"/>
      <c r="CF739" s="128"/>
      <c r="CG739" s="128"/>
      <c r="CH739" s="128"/>
      <c r="CI739" s="128"/>
      <c r="CJ739" s="128"/>
      <c r="CK739" s="128"/>
      <c r="CL739" s="128"/>
      <c r="CM739" s="128"/>
      <c r="CN739" s="128"/>
      <c r="CO739" s="128"/>
      <c r="CP739" s="128"/>
      <c r="CQ739" s="128"/>
      <c r="CR739" s="128"/>
      <c r="CS739" s="128"/>
      <c r="CT739" s="128"/>
      <c r="CU739" s="128"/>
      <c r="CV739" s="128"/>
      <c r="CW739" s="128"/>
      <c r="CX739" s="128"/>
      <c r="CY739" s="128"/>
      <c r="CZ739" s="128"/>
    </row>
    <row r="740" spans="1:104">
      <c r="A740" s="128"/>
      <c r="B740" s="128"/>
      <c r="C740" s="128"/>
      <c r="D740" s="112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  <c r="AV740" s="128"/>
      <c r="AW740" s="128"/>
      <c r="AX740" s="128"/>
      <c r="AY740" s="128"/>
      <c r="AZ740" s="128"/>
      <c r="BA740" s="128"/>
      <c r="BB740" s="128"/>
      <c r="BC740" s="128"/>
      <c r="BD740" s="128"/>
      <c r="BE740" s="128"/>
      <c r="BF740" s="128"/>
      <c r="BG740" s="128"/>
      <c r="BH740" s="128"/>
      <c r="BI740" s="128"/>
      <c r="BJ740" s="128"/>
      <c r="BK740" s="128"/>
      <c r="BL740" s="128"/>
      <c r="BM740" s="151"/>
      <c r="BN740" s="128"/>
      <c r="BO740" s="128"/>
      <c r="BP740" s="128"/>
      <c r="BQ740" s="128"/>
      <c r="BR740" s="128"/>
      <c r="BS740" s="128"/>
      <c r="BT740" s="128"/>
      <c r="BU740" s="128"/>
      <c r="BV740" s="128"/>
      <c r="BW740" s="128"/>
      <c r="BX740" s="128"/>
      <c r="BY740" s="128"/>
      <c r="BZ740" s="128"/>
      <c r="CA740" s="128"/>
      <c r="CB740" s="128"/>
      <c r="CC740" s="128"/>
      <c r="CD740" s="128"/>
      <c r="CE740" s="128"/>
      <c r="CF740" s="128"/>
      <c r="CG740" s="128"/>
      <c r="CH740" s="128"/>
      <c r="CI740" s="128"/>
      <c r="CJ740" s="128"/>
      <c r="CK740" s="128"/>
      <c r="CL740" s="128"/>
      <c r="CM740" s="128"/>
      <c r="CN740" s="128"/>
      <c r="CO740" s="128"/>
      <c r="CP740" s="128"/>
      <c r="CQ740" s="128"/>
      <c r="CR740" s="128"/>
      <c r="CS740" s="128"/>
      <c r="CT740" s="128"/>
      <c r="CU740" s="128"/>
      <c r="CV740" s="128"/>
      <c r="CW740" s="128"/>
      <c r="CX740" s="128"/>
      <c r="CY740" s="128"/>
      <c r="CZ740" s="128"/>
    </row>
    <row r="741" spans="1:104">
      <c r="A741" s="128"/>
      <c r="B741" s="128"/>
      <c r="C741" s="128"/>
      <c r="D741" s="112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  <c r="AV741" s="128"/>
      <c r="AW741" s="128"/>
      <c r="AX741" s="128"/>
      <c r="AY741" s="128"/>
      <c r="AZ741" s="128"/>
      <c r="BA741" s="128"/>
      <c r="BB741" s="128"/>
      <c r="BC741" s="128"/>
      <c r="BD741" s="128"/>
      <c r="BE741" s="128"/>
      <c r="BF741" s="128"/>
      <c r="BG741" s="128"/>
      <c r="BH741" s="128"/>
      <c r="BI741" s="128"/>
      <c r="BJ741" s="128"/>
      <c r="BK741" s="128"/>
      <c r="BL741" s="128"/>
      <c r="BM741" s="151"/>
      <c r="BN741" s="128"/>
      <c r="BO741" s="128"/>
      <c r="BP741" s="128"/>
      <c r="BQ741" s="128"/>
      <c r="BR741" s="128"/>
      <c r="BS741" s="128"/>
      <c r="BT741" s="128"/>
      <c r="BU741" s="128"/>
      <c r="BV741" s="128"/>
      <c r="BW741" s="128"/>
      <c r="BX741" s="128"/>
      <c r="BY741" s="128"/>
      <c r="BZ741" s="128"/>
      <c r="CA741" s="128"/>
      <c r="CB741" s="128"/>
      <c r="CC741" s="128"/>
      <c r="CD741" s="128"/>
      <c r="CE741" s="128"/>
      <c r="CF741" s="128"/>
      <c r="CG741" s="128"/>
      <c r="CH741" s="128"/>
      <c r="CI741" s="128"/>
      <c r="CJ741" s="128"/>
      <c r="CK741" s="128"/>
      <c r="CL741" s="128"/>
      <c r="CM741" s="128"/>
      <c r="CN741" s="128"/>
      <c r="CO741" s="128"/>
      <c r="CP741" s="128"/>
      <c r="CQ741" s="128"/>
      <c r="CR741" s="128"/>
      <c r="CS741" s="128"/>
      <c r="CT741" s="128"/>
      <c r="CU741" s="128"/>
      <c r="CV741" s="128"/>
      <c r="CW741" s="128"/>
      <c r="CX741" s="128"/>
      <c r="CY741" s="128"/>
      <c r="CZ741" s="128"/>
    </row>
    <row r="742" spans="1:104">
      <c r="A742" s="128"/>
      <c r="B742" s="128"/>
      <c r="C742" s="128"/>
      <c r="D742" s="112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  <c r="AV742" s="128"/>
      <c r="AW742" s="128"/>
      <c r="AX742" s="128"/>
      <c r="AY742" s="128"/>
      <c r="AZ742" s="128"/>
      <c r="BA742" s="128"/>
      <c r="BB742" s="128"/>
      <c r="BC742" s="128"/>
      <c r="BD742" s="128"/>
      <c r="BE742" s="128"/>
      <c r="BF742" s="128"/>
      <c r="BG742" s="128"/>
      <c r="BH742" s="128"/>
      <c r="BI742" s="128"/>
      <c r="BJ742" s="128"/>
      <c r="BK742" s="128"/>
      <c r="BL742" s="128"/>
      <c r="BM742" s="151"/>
      <c r="BN742" s="128"/>
      <c r="BO742" s="128"/>
      <c r="BP742" s="128"/>
      <c r="BQ742" s="128"/>
      <c r="BR742" s="128"/>
      <c r="BS742" s="128"/>
      <c r="BT742" s="128"/>
      <c r="BU742" s="128"/>
      <c r="BV742" s="128"/>
      <c r="BW742" s="128"/>
      <c r="BX742" s="128"/>
      <c r="BY742" s="128"/>
      <c r="BZ742" s="128"/>
      <c r="CA742" s="128"/>
      <c r="CB742" s="128"/>
      <c r="CC742" s="128"/>
      <c r="CD742" s="128"/>
      <c r="CE742" s="128"/>
      <c r="CF742" s="128"/>
      <c r="CG742" s="128"/>
      <c r="CH742" s="128"/>
      <c r="CI742" s="128"/>
      <c r="CJ742" s="128"/>
      <c r="CK742" s="128"/>
      <c r="CL742" s="128"/>
      <c r="CM742" s="128"/>
      <c r="CN742" s="128"/>
      <c r="CO742" s="128"/>
      <c r="CP742" s="128"/>
      <c r="CQ742" s="128"/>
      <c r="CR742" s="128"/>
      <c r="CS742" s="128"/>
      <c r="CT742" s="128"/>
      <c r="CU742" s="128"/>
      <c r="CV742" s="128"/>
      <c r="CW742" s="128"/>
      <c r="CX742" s="128"/>
      <c r="CY742" s="128"/>
      <c r="CZ742" s="128"/>
    </row>
    <row r="743" spans="1:104">
      <c r="A743" s="128"/>
      <c r="B743" s="128"/>
      <c r="C743" s="128"/>
      <c r="D743" s="112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  <c r="AV743" s="128"/>
      <c r="AW743" s="128"/>
      <c r="AX743" s="128"/>
      <c r="AY743" s="128"/>
      <c r="AZ743" s="128"/>
      <c r="BA743" s="128"/>
      <c r="BB743" s="128"/>
      <c r="BC743" s="128"/>
      <c r="BD743" s="128"/>
      <c r="BE743" s="128"/>
      <c r="BF743" s="128"/>
      <c r="BG743" s="128"/>
      <c r="BH743" s="128"/>
      <c r="BI743" s="128"/>
      <c r="BJ743" s="128"/>
      <c r="BK743" s="128"/>
      <c r="BL743" s="128"/>
      <c r="BM743" s="151"/>
      <c r="BN743" s="128"/>
      <c r="BO743" s="128"/>
      <c r="BP743" s="128"/>
      <c r="BQ743" s="128"/>
      <c r="BR743" s="128"/>
      <c r="BS743" s="128"/>
      <c r="BT743" s="128"/>
      <c r="BU743" s="128"/>
      <c r="BV743" s="128"/>
      <c r="BW743" s="128"/>
      <c r="BX743" s="128"/>
      <c r="BY743" s="128"/>
      <c r="BZ743" s="128"/>
      <c r="CA743" s="128"/>
      <c r="CB743" s="128"/>
      <c r="CC743" s="128"/>
      <c r="CD743" s="128"/>
      <c r="CE743" s="128"/>
      <c r="CF743" s="128"/>
      <c r="CG743" s="128"/>
      <c r="CH743" s="128"/>
      <c r="CI743" s="128"/>
      <c r="CJ743" s="128"/>
      <c r="CK743" s="128"/>
      <c r="CL743" s="128"/>
      <c r="CM743" s="128"/>
      <c r="CN743" s="128"/>
      <c r="CO743" s="128"/>
      <c r="CP743" s="128"/>
      <c r="CQ743" s="128"/>
      <c r="CR743" s="128"/>
      <c r="CS743" s="128"/>
      <c r="CT743" s="128"/>
      <c r="CU743" s="128"/>
      <c r="CV743" s="128"/>
      <c r="CW743" s="128"/>
      <c r="CX743" s="128"/>
      <c r="CY743" s="128"/>
      <c r="CZ743" s="128"/>
    </row>
    <row r="744" spans="1:104">
      <c r="A744" s="128"/>
      <c r="B744" s="128"/>
      <c r="C744" s="128"/>
      <c r="D744" s="112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  <c r="AV744" s="128"/>
      <c r="AW744" s="128"/>
      <c r="AX744" s="128"/>
      <c r="AY744" s="128"/>
      <c r="AZ744" s="128"/>
      <c r="BA744" s="128"/>
      <c r="BB744" s="128"/>
      <c r="BC744" s="128"/>
      <c r="BD744" s="128"/>
      <c r="BE744" s="128"/>
      <c r="BF744" s="128"/>
      <c r="BG744" s="128"/>
      <c r="BH744" s="128"/>
      <c r="BI744" s="128"/>
      <c r="BJ744" s="128"/>
      <c r="BK744" s="128"/>
      <c r="BL744" s="128"/>
      <c r="BM744" s="151"/>
      <c r="BN744" s="128"/>
      <c r="BO744" s="128"/>
      <c r="BP744" s="128"/>
      <c r="BQ744" s="128"/>
      <c r="BR744" s="128"/>
      <c r="BS744" s="128"/>
      <c r="BT744" s="128"/>
      <c r="BU744" s="128"/>
      <c r="BV744" s="128"/>
      <c r="BW744" s="128"/>
      <c r="BX744" s="128"/>
      <c r="BY744" s="128"/>
      <c r="BZ744" s="128"/>
      <c r="CA744" s="128"/>
      <c r="CB744" s="128"/>
      <c r="CC744" s="128"/>
      <c r="CD744" s="128"/>
      <c r="CE744" s="128"/>
      <c r="CF744" s="128"/>
      <c r="CG744" s="128"/>
      <c r="CH744" s="128"/>
      <c r="CI744" s="128"/>
      <c r="CJ744" s="128"/>
      <c r="CK744" s="128"/>
      <c r="CL744" s="128"/>
      <c r="CM744" s="128"/>
      <c r="CN744" s="128"/>
      <c r="CO744" s="128"/>
      <c r="CP744" s="128"/>
      <c r="CQ744" s="128"/>
      <c r="CR744" s="128"/>
      <c r="CS744" s="128"/>
      <c r="CT744" s="128"/>
      <c r="CU744" s="128"/>
      <c r="CV744" s="128"/>
      <c r="CW744" s="128"/>
      <c r="CX744" s="128"/>
      <c r="CY744" s="128"/>
      <c r="CZ744" s="128"/>
    </row>
    <row r="745" spans="1:104">
      <c r="A745" s="128"/>
      <c r="B745" s="128"/>
      <c r="C745" s="128"/>
      <c r="D745" s="112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  <c r="AV745" s="128"/>
      <c r="AW745" s="128"/>
      <c r="AX745" s="128"/>
      <c r="AY745" s="128"/>
      <c r="AZ745" s="128"/>
      <c r="BA745" s="128"/>
      <c r="BB745" s="128"/>
      <c r="BC745" s="128"/>
      <c r="BD745" s="128"/>
      <c r="BE745" s="128"/>
      <c r="BF745" s="128"/>
      <c r="BG745" s="128"/>
      <c r="BH745" s="128"/>
      <c r="BI745" s="128"/>
      <c r="BJ745" s="128"/>
      <c r="BK745" s="128"/>
      <c r="BL745" s="128"/>
      <c r="BM745" s="151"/>
      <c r="BN745" s="128"/>
      <c r="BO745" s="128"/>
      <c r="BP745" s="128"/>
      <c r="BQ745" s="128"/>
      <c r="BR745" s="128"/>
      <c r="BS745" s="128"/>
      <c r="BT745" s="128"/>
      <c r="BU745" s="128"/>
      <c r="BV745" s="128"/>
      <c r="BW745" s="128"/>
      <c r="BX745" s="128"/>
      <c r="BY745" s="128"/>
      <c r="BZ745" s="128"/>
      <c r="CA745" s="128"/>
      <c r="CB745" s="128"/>
      <c r="CC745" s="128"/>
      <c r="CD745" s="128"/>
      <c r="CE745" s="128"/>
      <c r="CF745" s="128"/>
      <c r="CG745" s="128"/>
      <c r="CH745" s="128"/>
      <c r="CI745" s="128"/>
      <c r="CJ745" s="128"/>
      <c r="CK745" s="128"/>
      <c r="CL745" s="128"/>
      <c r="CM745" s="128"/>
      <c r="CN745" s="128"/>
      <c r="CO745" s="128"/>
      <c r="CP745" s="128"/>
      <c r="CQ745" s="128"/>
      <c r="CR745" s="128"/>
      <c r="CS745" s="128"/>
      <c r="CT745" s="128"/>
      <c r="CU745" s="128"/>
      <c r="CV745" s="128"/>
      <c r="CW745" s="128"/>
      <c r="CX745" s="128"/>
      <c r="CY745" s="128"/>
      <c r="CZ745" s="128"/>
    </row>
    <row r="746" spans="1:104">
      <c r="A746" s="128"/>
      <c r="B746" s="128"/>
      <c r="C746" s="128"/>
      <c r="D746" s="112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  <c r="AV746" s="128"/>
      <c r="AW746" s="128"/>
      <c r="AX746" s="128"/>
      <c r="AY746" s="128"/>
      <c r="AZ746" s="128"/>
      <c r="BA746" s="128"/>
      <c r="BB746" s="128"/>
      <c r="BC746" s="128"/>
      <c r="BD746" s="128"/>
      <c r="BE746" s="128"/>
      <c r="BF746" s="128"/>
      <c r="BG746" s="128"/>
      <c r="BH746" s="128"/>
      <c r="BI746" s="128"/>
      <c r="BJ746" s="128"/>
      <c r="BK746" s="128"/>
      <c r="BL746" s="128"/>
      <c r="BM746" s="151"/>
      <c r="BN746" s="128"/>
      <c r="BO746" s="128"/>
      <c r="BP746" s="128"/>
      <c r="BQ746" s="128"/>
      <c r="BR746" s="128"/>
      <c r="BS746" s="128"/>
      <c r="BT746" s="128"/>
      <c r="BU746" s="128"/>
      <c r="BV746" s="128"/>
      <c r="BW746" s="128"/>
      <c r="BX746" s="128"/>
      <c r="BY746" s="128"/>
      <c r="BZ746" s="128"/>
      <c r="CA746" s="128"/>
      <c r="CB746" s="128"/>
      <c r="CC746" s="128"/>
      <c r="CD746" s="128"/>
      <c r="CE746" s="128"/>
      <c r="CF746" s="128"/>
      <c r="CG746" s="128"/>
      <c r="CH746" s="128"/>
      <c r="CI746" s="128"/>
      <c r="CJ746" s="128"/>
      <c r="CK746" s="128"/>
      <c r="CL746" s="128"/>
      <c r="CM746" s="128"/>
      <c r="CN746" s="128"/>
      <c r="CO746" s="128"/>
      <c r="CP746" s="128"/>
      <c r="CQ746" s="128"/>
      <c r="CR746" s="128"/>
      <c r="CS746" s="128"/>
      <c r="CT746" s="128"/>
      <c r="CU746" s="128"/>
      <c r="CV746" s="128"/>
      <c r="CW746" s="128"/>
      <c r="CX746" s="128"/>
      <c r="CY746" s="128"/>
      <c r="CZ746" s="128"/>
    </row>
    <row r="747" spans="1:104">
      <c r="A747" s="128"/>
      <c r="B747" s="128"/>
      <c r="C747" s="128"/>
      <c r="D747" s="112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  <c r="AV747" s="128"/>
      <c r="AW747" s="128"/>
      <c r="AX747" s="128"/>
      <c r="AY747" s="128"/>
      <c r="AZ747" s="128"/>
      <c r="BA747" s="128"/>
      <c r="BB747" s="128"/>
      <c r="BC747" s="128"/>
      <c r="BD747" s="128"/>
      <c r="BE747" s="128"/>
      <c r="BF747" s="128"/>
      <c r="BG747" s="128"/>
      <c r="BH747" s="128"/>
      <c r="BI747" s="128"/>
      <c r="BJ747" s="128"/>
      <c r="BK747" s="128"/>
      <c r="BL747" s="128"/>
      <c r="BM747" s="151"/>
      <c r="BN747" s="128"/>
      <c r="BO747" s="128"/>
      <c r="BP747" s="128"/>
      <c r="BQ747" s="128"/>
      <c r="BR747" s="128"/>
      <c r="BS747" s="128"/>
      <c r="BT747" s="128"/>
      <c r="BU747" s="128"/>
      <c r="BV747" s="128"/>
      <c r="BW747" s="128"/>
      <c r="BX747" s="128"/>
      <c r="BY747" s="128"/>
      <c r="BZ747" s="128"/>
      <c r="CA747" s="128"/>
      <c r="CB747" s="128"/>
      <c r="CC747" s="128"/>
      <c r="CD747" s="128"/>
      <c r="CE747" s="128"/>
      <c r="CF747" s="128"/>
      <c r="CG747" s="128"/>
      <c r="CH747" s="128"/>
      <c r="CI747" s="128"/>
      <c r="CJ747" s="128"/>
      <c r="CK747" s="128"/>
      <c r="CL747" s="128"/>
      <c r="CM747" s="128"/>
      <c r="CN747" s="128"/>
      <c r="CO747" s="128"/>
      <c r="CP747" s="128"/>
      <c r="CQ747" s="128"/>
      <c r="CR747" s="128"/>
      <c r="CS747" s="128"/>
      <c r="CT747" s="128"/>
      <c r="CU747" s="128"/>
      <c r="CV747" s="128"/>
      <c r="CW747" s="128"/>
      <c r="CX747" s="128"/>
      <c r="CY747" s="128"/>
      <c r="CZ747" s="128"/>
    </row>
    <row r="748" spans="1:104">
      <c r="A748" s="128"/>
      <c r="B748" s="128"/>
      <c r="C748" s="128"/>
      <c r="D748" s="112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  <c r="AV748" s="128"/>
      <c r="AW748" s="128"/>
      <c r="AX748" s="128"/>
      <c r="AY748" s="128"/>
      <c r="AZ748" s="128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51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28"/>
      <c r="BY748" s="128"/>
      <c r="BZ748" s="128"/>
      <c r="CA748" s="128"/>
      <c r="CB748" s="128"/>
      <c r="CC748" s="128"/>
      <c r="CD748" s="128"/>
      <c r="CE748" s="128"/>
      <c r="CF748" s="128"/>
      <c r="CG748" s="128"/>
      <c r="CH748" s="128"/>
      <c r="CI748" s="128"/>
      <c r="CJ748" s="128"/>
      <c r="CK748" s="128"/>
      <c r="CL748" s="128"/>
      <c r="CM748" s="128"/>
      <c r="CN748" s="128"/>
      <c r="CO748" s="128"/>
      <c r="CP748" s="128"/>
      <c r="CQ748" s="128"/>
      <c r="CR748" s="128"/>
      <c r="CS748" s="128"/>
      <c r="CT748" s="128"/>
      <c r="CU748" s="128"/>
      <c r="CV748" s="128"/>
      <c r="CW748" s="128"/>
      <c r="CX748" s="128"/>
      <c r="CY748" s="128"/>
      <c r="CZ748" s="128"/>
    </row>
    <row r="749" spans="1:104">
      <c r="A749" s="128"/>
      <c r="B749" s="128"/>
      <c r="C749" s="128"/>
      <c r="D749" s="112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  <c r="AV749" s="128"/>
      <c r="AW749" s="128"/>
      <c r="AX749" s="128"/>
      <c r="AY749" s="128"/>
      <c r="AZ749" s="128"/>
      <c r="BA749" s="128"/>
      <c r="BB749" s="128"/>
      <c r="BC749" s="128"/>
      <c r="BD749" s="128"/>
      <c r="BE749" s="128"/>
      <c r="BF749" s="128"/>
      <c r="BG749" s="128"/>
      <c r="BH749" s="128"/>
      <c r="BI749" s="128"/>
      <c r="BJ749" s="128"/>
      <c r="BK749" s="128"/>
      <c r="BL749" s="128"/>
      <c r="BM749" s="151"/>
      <c r="BN749" s="128"/>
      <c r="BO749" s="128"/>
      <c r="BP749" s="128"/>
      <c r="BQ749" s="128"/>
      <c r="BR749" s="128"/>
      <c r="BS749" s="128"/>
      <c r="BT749" s="128"/>
      <c r="BU749" s="128"/>
      <c r="BV749" s="128"/>
      <c r="BW749" s="128"/>
      <c r="BX749" s="128"/>
      <c r="BY749" s="128"/>
      <c r="BZ749" s="128"/>
      <c r="CA749" s="128"/>
      <c r="CB749" s="128"/>
      <c r="CC749" s="128"/>
      <c r="CD749" s="128"/>
      <c r="CE749" s="128"/>
      <c r="CF749" s="128"/>
      <c r="CG749" s="128"/>
      <c r="CH749" s="128"/>
      <c r="CI749" s="128"/>
      <c r="CJ749" s="128"/>
      <c r="CK749" s="128"/>
      <c r="CL749" s="128"/>
      <c r="CM749" s="128"/>
      <c r="CN749" s="128"/>
      <c r="CO749" s="128"/>
      <c r="CP749" s="128"/>
      <c r="CQ749" s="128"/>
      <c r="CR749" s="128"/>
      <c r="CS749" s="128"/>
      <c r="CT749" s="128"/>
      <c r="CU749" s="128"/>
      <c r="CV749" s="128"/>
      <c r="CW749" s="128"/>
      <c r="CX749" s="128"/>
      <c r="CY749" s="128"/>
      <c r="CZ749" s="128"/>
    </row>
    <row r="750" spans="1:104">
      <c r="A750" s="128"/>
      <c r="B750" s="128"/>
      <c r="C750" s="128"/>
      <c r="D750" s="112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  <c r="AV750" s="128"/>
      <c r="AW750" s="128"/>
      <c r="AX750" s="128"/>
      <c r="AY750" s="128"/>
      <c r="AZ750" s="128"/>
      <c r="BA750" s="128"/>
      <c r="BB750" s="128"/>
      <c r="BC750" s="128"/>
      <c r="BD750" s="128"/>
      <c r="BE750" s="128"/>
      <c r="BF750" s="128"/>
      <c r="BG750" s="128"/>
      <c r="BH750" s="128"/>
      <c r="BI750" s="128"/>
      <c r="BJ750" s="128"/>
      <c r="BK750" s="128"/>
      <c r="BL750" s="128"/>
      <c r="BM750" s="151"/>
      <c r="BN750" s="128"/>
      <c r="BO750" s="128"/>
      <c r="BP750" s="128"/>
      <c r="BQ750" s="128"/>
      <c r="BR750" s="128"/>
      <c r="BS750" s="128"/>
      <c r="BT750" s="128"/>
      <c r="BU750" s="128"/>
      <c r="BV750" s="128"/>
      <c r="BW750" s="128"/>
      <c r="BX750" s="128"/>
      <c r="BY750" s="128"/>
      <c r="BZ750" s="128"/>
      <c r="CA750" s="128"/>
      <c r="CB750" s="128"/>
      <c r="CC750" s="128"/>
      <c r="CD750" s="128"/>
      <c r="CE750" s="128"/>
      <c r="CF750" s="128"/>
      <c r="CG750" s="128"/>
      <c r="CH750" s="128"/>
      <c r="CI750" s="128"/>
      <c r="CJ750" s="128"/>
      <c r="CK750" s="128"/>
      <c r="CL750" s="128"/>
      <c r="CM750" s="128"/>
      <c r="CN750" s="128"/>
      <c r="CO750" s="128"/>
      <c r="CP750" s="128"/>
      <c r="CQ750" s="128"/>
      <c r="CR750" s="128"/>
      <c r="CS750" s="128"/>
      <c r="CT750" s="128"/>
      <c r="CU750" s="128"/>
      <c r="CV750" s="128"/>
      <c r="CW750" s="128"/>
      <c r="CX750" s="128"/>
      <c r="CY750" s="128"/>
      <c r="CZ750" s="128"/>
    </row>
    <row r="751" spans="1:104">
      <c r="A751" s="128"/>
      <c r="B751" s="128"/>
      <c r="C751" s="128"/>
      <c r="D751" s="112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  <c r="AV751" s="128"/>
      <c r="AW751" s="128"/>
      <c r="AX751" s="128"/>
      <c r="AY751" s="128"/>
      <c r="AZ751" s="128"/>
      <c r="BA751" s="128"/>
      <c r="BB751" s="128"/>
      <c r="BC751" s="128"/>
      <c r="BD751" s="128"/>
      <c r="BE751" s="128"/>
      <c r="BF751" s="128"/>
      <c r="BG751" s="128"/>
      <c r="BH751" s="128"/>
      <c r="BI751" s="128"/>
      <c r="BJ751" s="128"/>
      <c r="BK751" s="128"/>
      <c r="BL751" s="128"/>
      <c r="BM751" s="151"/>
      <c r="BN751" s="128"/>
      <c r="BO751" s="128"/>
      <c r="BP751" s="128"/>
      <c r="BQ751" s="128"/>
      <c r="BR751" s="128"/>
      <c r="BS751" s="128"/>
      <c r="BT751" s="128"/>
      <c r="BU751" s="128"/>
      <c r="BV751" s="128"/>
      <c r="BW751" s="128"/>
      <c r="BX751" s="128"/>
      <c r="BY751" s="128"/>
      <c r="BZ751" s="128"/>
      <c r="CA751" s="128"/>
      <c r="CB751" s="128"/>
      <c r="CC751" s="128"/>
      <c r="CD751" s="128"/>
      <c r="CE751" s="128"/>
      <c r="CF751" s="128"/>
      <c r="CG751" s="128"/>
      <c r="CH751" s="128"/>
      <c r="CI751" s="128"/>
      <c r="CJ751" s="128"/>
      <c r="CK751" s="128"/>
      <c r="CL751" s="128"/>
      <c r="CM751" s="128"/>
      <c r="CN751" s="128"/>
      <c r="CO751" s="128"/>
      <c r="CP751" s="128"/>
      <c r="CQ751" s="128"/>
      <c r="CR751" s="128"/>
      <c r="CS751" s="128"/>
      <c r="CT751" s="128"/>
      <c r="CU751" s="128"/>
      <c r="CV751" s="128"/>
      <c r="CW751" s="128"/>
      <c r="CX751" s="128"/>
      <c r="CY751" s="128"/>
      <c r="CZ751" s="128"/>
    </row>
    <row r="752" spans="1:104">
      <c r="A752" s="128"/>
      <c r="B752" s="128"/>
      <c r="C752" s="128"/>
      <c r="D752" s="112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  <c r="AV752" s="128"/>
      <c r="AW752" s="128"/>
      <c r="AX752" s="128"/>
      <c r="AY752" s="128"/>
      <c r="AZ752" s="128"/>
      <c r="BA752" s="128"/>
      <c r="BB752" s="128"/>
      <c r="BC752" s="128"/>
      <c r="BD752" s="128"/>
      <c r="BE752" s="128"/>
      <c r="BF752" s="128"/>
      <c r="BG752" s="128"/>
      <c r="BH752" s="128"/>
      <c r="BI752" s="128"/>
      <c r="BJ752" s="128"/>
      <c r="BK752" s="128"/>
      <c r="BL752" s="128"/>
      <c r="BM752" s="151"/>
      <c r="BN752" s="128"/>
      <c r="BO752" s="128"/>
      <c r="BP752" s="128"/>
      <c r="BQ752" s="128"/>
      <c r="BR752" s="128"/>
      <c r="BS752" s="128"/>
      <c r="BT752" s="128"/>
      <c r="BU752" s="128"/>
      <c r="BV752" s="128"/>
      <c r="BW752" s="128"/>
      <c r="BX752" s="128"/>
      <c r="BY752" s="128"/>
      <c r="BZ752" s="128"/>
      <c r="CA752" s="128"/>
      <c r="CB752" s="128"/>
      <c r="CC752" s="128"/>
      <c r="CD752" s="128"/>
      <c r="CE752" s="128"/>
      <c r="CF752" s="128"/>
      <c r="CG752" s="128"/>
      <c r="CH752" s="128"/>
      <c r="CI752" s="128"/>
      <c r="CJ752" s="128"/>
      <c r="CK752" s="128"/>
      <c r="CL752" s="128"/>
      <c r="CM752" s="128"/>
      <c r="CN752" s="128"/>
      <c r="CO752" s="128"/>
      <c r="CP752" s="128"/>
      <c r="CQ752" s="128"/>
      <c r="CR752" s="128"/>
      <c r="CS752" s="128"/>
      <c r="CT752" s="128"/>
      <c r="CU752" s="128"/>
      <c r="CV752" s="128"/>
      <c r="CW752" s="128"/>
      <c r="CX752" s="128"/>
      <c r="CY752" s="128"/>
      <c r="CZ752" s="128"/>
    </row>
    <row r="753" spans="1:104">
      <c r="A753" s="128"/>
      <c r="B753" s="128"/>
      <c r="C753" s="128"/>
      <c r="D753" s="112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  <c r="AV753" s="128"/>
      <c r="AW753" s="128"/>
      <c r="AX753" s="128"/>
      <c r="AY753" s="128"/>
      <c r="AZ753" s="128"/>
      <c r="BA753" s="128"/>
      <c r="BB753" s="128"/>
      <c r="BC753" s="128"/>
      <c r="BD753" s="128"/>
      <c r="BE753" s="128"/>
      <c r="BF753" s="128"/>
      <c r="BG753" s="128"/>
      <c r="BH753" s="128"/>
      <c r="BI753" s="128"/>
      <c r="BJ753" s="128"/>
      <c r="BK753" s="128"/>
      <c r="BL753" s="128"/>
      <c r="BM753" s="151"/>
      <c r="BN753" s="128"/>
      <c r="BO753" s="128"/>
      <c r="BP753" s="128"/>
      <c r="BQ753" s="128"/>
      <c r="BR753" s="128"/>
      <c r="BS753" s="128"/>
      <c r="BT753" s="128"/>
      <c r="BU753" s="128"/>
      <c r="BV753" s="128"/>
      <c r="BW753" s="128"/>
      <c r="BX753" s="128"/>
      <c r="BY753" s="128"/>
      <c r="BZ753" s="128"/>
      <c r="CA753" s="128"/>
      <c r="CB753" s="128"/>
      <c r="CC753" s="128"/>
      <c r="CD753" s="128"/>
      <c r="CE753" s="128"/>
      <c r="CF753" s="128"/>
      <c r="CG753" s="128"/>
      <c r="CH753" s="128"/>
      <c r="CI753" s="128"/>
      <c r="CJ753" s="128"/>
      <c r="CK753" s="128"/>
      <c r="CL753" s="128"/>
      <c r="CM753" s="128"/>
      <c r="CN753" s="128"/>
      <c r="CO753" s="128"/>
      <c r="CP753" s="128"/>
      <c r="CQ753" s="128"/>
      <c r="CR753" s="128"/>
      <c r="CS753" s="128"/>
      <c r="CT753" s="128"/>
      <c r="CU753" s="128"/>
      <c r="CV753" s="128"/>
      <c r="CW753" s="128"/>
      <c r="CX753" s="128"/>
      <c r="CY753" s="128"/>
      <c r="CZ753" s="128"/>
    </row>
    <row r="754" spans="1:104">
      <c r="A754" s="128"/>
      <c r="B754" s="128"/>
      <c r="C754" s="128"/>
      <c r="D754" s="112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  <c r="AV754" s="128"/>
      <c r="AW754" s="128"/>
      <c r="AX754" s="128"/>
      <c r="AY754" s="128"/>
      <c r="AZ754" s="128"/>
      <c r="BA754" s="128"/>
      <c r="BB754" s="128"/>
      <c r="BC754" s="128"/>
      <c r="BD754" s="128"/>
      <c r="BE754" s="128"/>
      <c r="BF754" s="128"/>
      <c r="BG754" s="128"/>
      <c r="BH754" s="128"/>
      <c r="BI754" s="128"/>
      <c r="BJ754" s="128"/>
      <c r="BK754" s="128"/>
      <c r="BL754" s="128"/>
      <c r="BM754" s="151"/>
      <c r="BN754" s="128"/>
      <c r="BO754" s="128"/>
      <c r="BP754" s="128"/>
      <c r="BQ754" s="128"/>
      <c r="BR754" s="128"/>
      <c r="BS754" s="128"/>
      <c r="BT754" s="128"/>
      <c r="BU754" s="128"/>
      <c r="BV754" s="128"/>
      <c r="BW754" s="128"/>
      <c r="BX754" s="128"/>
      <c r="BY754" s="128"/>
      <c r="BZ754" s="128"/>
      <c r="CA754" s="128"/>
      <c r="CB754" s="128"/>
      <c r="CC754" s="128"/>
      <c r="CD754" s="128"/>
      <c r="CE754" s="128"/>
      <c r="CF754" s="128"/>
      <c r="CG754" s="128"/>
      <c r="CH754" s="128"/>
      <c r="CI754" s="128"/>
      <c r="CJ754" s="128"/>
      <c r="CK754" s="128"/>
      <c r="CL754" s="128"/>
      <c r="CM754" s="128"/>
      <c r="CN754" s="128"/>
      <c r="CO754" s="128"/>
      <c r="CP754" s="128"/>
      <c r="CQ754" s="128"/>
      <c r="CR754" s="128"/>
      <c r="CS754" s="128"/>
      <c r="CT754" s="128"/>
      <c r="CU754" s="128"/>
      <c r="CV754" s="128"/>
      <c r="CW754" s="128"/>
      <c r="CX754" s="128"/>
      <c r="CY754" s="128"/>
      <c r="CZ754" s="128"/>
    </row>
    <row r="755" spans="1:104">
      <c r="A755" s="128"/>
      <c r="B755" s="128"/>
      <c r="C755" s="128"/>
      <c r="D755" s="112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  <c r="AV755" s="128"/>
      <c r="AW755" s="128"/>
      <c r="AX755" s="128"/>
      <c r="AY755" s="128"/>
      <c r="AZ755" s="128"/>
      <c r="BA755" s="128"/>
      <c r="BB755" s="128"/>
      <c r="BC755" s="128"/>
      <c r="BD755" s="128"/>
      <c r="BE755" s="128"/>
      <c r="BF755" s="128"/>
      <c r="BG755" s="128"/>
      <c r="BH755" s="128"/>
      <c r="BI755" s="128"/>
      <c r="BJ755" s="128"/>
      <c r="BK755" s="128"/>
      <c r="BL755" s="128"/>
      <c r="BM755" s="151"/>
      <c r="BN755" s="128"/>
      <c r="BO755" s="128"/>
      <c r="BP755" s="128"/>
      <c r="BQ755" s="128"/>
      <c r="BR755" s="128"/>
      <c r="BS755" s="128"/>
      <c r="BT755" s="128"/>
      <c r="BU755" s="128"/>
      <c r="BV755" s="128"/>
      <c r="BW755" s="128"/>
      <c r="BX755" s="128"/>
      <c r="BY755" s="128"/>
      <c r="BZ755" s="128"/>
      <c r="CA755" s="128"/>
      <c r="CB755" s="128"/>
      <c r="CC755" s="128"/>
      <c r="CD755" s="128"/>
      <c r="CE755" s="128"/>
      <c r="CF755" s="128"/>
      <c r="CG755" s="128"/>
      <c r="CH755" s="128"/>
      <c r="CI755" s="128"/>
      <c r="CJ755" s="128"/>
      <c r="CK755" s="128"/>
      <c r="CL755" s="128"/>
      <c r="CM755" s="128"/>
      <c r="CN755" s="128"/>
      <c r="CO755" s="128"/>
      <c r="CP755" s="128"/>
      <c r="CQ755" s="128"/>
      <c r="CR755" s="128"/>
      <c r="CS755" s="128"/>
      <c r="CT755" s="128"/>
      <c r="CU755" s="128"/>
      <c r="CV755" s="128"/>
      <c r="CW755" s="128"/>
      <c r="CX755" s="128"/>
      <c r="CY755" s="128"/>
      <c r="CZ755" s="128"/>
    </row>
    <row r="756" spans="1:104">
      <c r="A756" s="128"/>
      <c r="B756" s="128"/>
      <c r="C756" s="128"/>
      <c r="D756" s="112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  <c r="AV756" s="128"/>
      <c r="AW756" s="128"/>
      <c r="AX756" s="128"/>
      <c r="AY756" s="128"/>
      <c r="AZ756" s="128"/>
      <c r="BA756" s="128"/>
      <c r="BB756" s="128"/>
      <c r="BC756" s="128"/>
      <c r="BD756" s="128"/>
      <c r="BE756" s="128"/>
      <c r="BF756" s="128"/>
      <c r="BG756" s="128"/>
      <c r="BH756" s="128"/>
      <c r="BI756" s="128"/>
      <c r="BJ756" s="128"/>
      <c r="BK756" s="128"/>
      <c r="BL756" s="128"/>
      <c r="BM756" s="151"/>
      <c r="BN756" s="128"/>
      <c r="BO756" s="128"/>
      <c r="BP756" s="128"/>
      <c r="BQ756" s="128"/>
      <c r="BR756" s="128"/>
      <c r="BS756" s="128"/>
      <c r="BT756" s="128"/>
      <c r="BU756" s="128"/>
      <c r="BV756" s="128"/>
      <c r="BW756" s="128"/>
      <c r="BX756" s="128"/>
      <c r="BY756" s="128"/>
      <c r="BZ756" s="128"/>
      <c r="CA756" s="128"/>
      <c r="CB756" s="128"/>
      <c r="CC756" s="128"/>
      <c r="CD756" s="128"/>
      <c r="CE756" s="128"/>
      <c r="CF756" s="128"/>
      <c r="CG756" s="128"/>
      <c r="CH756" s="128"/>
      <c r="CI756" s="128"/>
      <c r="CJ756" s="128"/>
      <c r="CK756" s="128"/>
      <c r="CL756" s="128"/>
      <c r="CM756" s="128"/>
      <c r="CN756" s="128"/>
      <c r="CO756" s="128"/>
      <c r="CP756" s="128"/>
      <c r="CQ756" s="128"/>
      <c r="CR756" s="128"/>
      <c r="CS756" s="128"/>
      <c r="CT756" s="128"/>
      <c r="CU756" s="128"/>
      <c r="CV756" s="128"/>
      <c r="CW756" s="128"/>
      <c r="CX756" s="128"/>
      <c r="CY756" s="128"/>
      <c r="CZ756" s="128"/>
    </row>
    <row r="757" spans="1:104">
      <c r="A757" s="128"/>
      <c r="B757" s="128"/>
      <c r="C757" s="128"/>
      <c r="D757" s="112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  <c r="AV757" s="128"/>
      <c r="AW757" s="128"/>
      <c r="AX757" s="128"/>
      <c r="AY757" s="128"/>
      <c r="AZ757" s="128"/>
      <c r="BA757" s="128"/>
      <c r="BB757" s="128"/>
      <c r="BC757" s="128"/>
      <c r="BD757" s="128"/>
      <c r="BE757" s="128"/>
      <c r="BF757" s="128"/>
      <c r="BG757" s="128"/>
      <c r="BH757" s="128"/>
      <c r="BI757" s="128"/>
      <c r="BJ757" s="128"/>
      <c r="BK757" s="128"/>
      <c r="BL757" s="128"/>
      <c r="BM757" s="151"/>
      <c r="BN757" s="128"/>
      <c r="BO757" s="128"/>
      <c r="BP757" s="128"/>
      <c r="BQ757" s="128"/>
      <c r="BR757" s="128"/>
      <c r="BS757" s="128"/>
      <c r="BT757" s="128"/>
      <c r="BU757" s="128"/>
      <c r="BV757" s="128"/>
      <c r="BW757" s="128"/>
      <c r="BX757" s="128"/>
      <c r="BY757" s="128"/>
      <c r="BZ757" s="128"/>
      <c r="CA757" s="128"/>
      <c r="CB757" s="128"/>
      <c r="CC757" s="128"/>
      <c r="CD757" s="128"/>
      <c r="CE757" s="128"/>
      <c r="CF757" s="128"/>
      <c r="CG757" s="128"/>
      <c r="CH757" s="128"/>
      <c r="CI757" s="128"/>
      <c r="CJ757" s="128"/>
      <c r="CK757" s="128"/>
      <c r="CL757" s="128"/>
      <c r="CM757" s="128"/>
      <c r="CN757" s="128"/>
      <c r="CO757" s="128"/>
      <c r="CP757" s="128"/>
      <c r="CQ757" s="128"/>
      <c r="CR757" s="128"/>
      <c r="CS757" s="128"/>
      <c r="CT757" s="128"/>
      <c r="CU757" s="128"/>
      <c r="CV757" s="128"/>
      <c r="CW757" s="128"/>
      <c r="CX757" s="128"/>
      <c r="CY757" s="128"/>
      <c r="CZ757" s="128"/>
    </row>
    <row r="758" spans="1:104">
      <c r="A758" s="128"/>
      <c r="B758" s="128"/>
      <c r="C758" s="128"/>
      <c r="D758" s="112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  <c r="AV758" s="128"/>
      <c r="AW758" s="128"/>
      <c r="AX758" s="128"/>
      <c r="AY758" s="128"/>
      <c r="AZ758" s="128"/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51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28"/>
      <c r="BY758" s="128"/>
      <c r="BZ758" s="128"/>
      <c r="CA758" s="128"/>
      <c r="CB758" s="128"/>
      <c r="CC758" s="128"/>
      <c r="CD758" s="128"/>
      <c r="CE758" s="128"/>
      <c r="CF758" s="128"/>
      <c r="CG758" s="128"/>
      <c r="CH758" s="128"/>
      <c r="CI758" s="128"/>
      <c r="CJ758" s="128"/>
      <c r="CK758" s="128"/>
      <c r="CL758" s="128"/>
      <c r="CM758" s="128"/>
      <c r="CN758" s="128"/>
      <c r="CO758" s="128"/>
      <c r="CP758" s="128"/>
      <c r="CQ758" s="128"/>
      <c r="CR758" s="128"/>
      <c r="CS758" s="128"/>
      <c r="CT758" s="128"/>
      <c r="CU758" s="128"/>
      <c r="CV758" s="128"/>
      <c r="CW758" s="128"/>
      <c r="CX758" s="128"/>
      <c r="CY758" s="128"/>
      <c r="CZ758" s="128"/>
    </row>
    <row r="759" spans="1:104">
      <c r="A759" s="128"/>
      <c r="B759" s="128"/>
      <c r="C759" s="128"/>
      <c r="D759" s="112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  <c r="AV759" s="128"/>
      <c r="AW759" s="128"/>
      <c r="AX759" s="128"/>
      <c r="AY759" s="128"/>
      <c r="AZ759" s="128"/>
      <c r="BA759" s="128"/>
      <c r="BB759" s="128"/>
      <c r="BC759" s="128"/>
      <c r="BD759" s="128"/>
      <c r="BE759" s="128"/>
      <c r="BF759" s="128"/>
      <c r="BG759" s="128"/>
      <c r="BH759" s="128"/>
      <c r="BI759" s="128"/>
      <c r="BJ759" s="128"/>
      <c r="BK759" s="128"/>
      <c r="BL759" s="128"/>
      <c r="BM759" s="151"/>
      <c r="BN759" s="128"/>
      <c r="BO759" s="128"/>
      <c r="BP759" s="128"/>
      <c r="BQ759" s="128"/>
      <c r="BR759" s="128"/>
      <c r="BS759" s="128"/>
      <c r="BT759" s="128"/>
      <c r="BU759" s="128"/>
      <c r="BV759" s="128"/>
      <c r="BW759" s="128"/>
      <c r="BX759" s="128"/>
      <c r="BY759" s="128"/>
      <c r="BZ759" s="128"/>
      <c r="CA759" s="128"/>
      <c r="CB759" s="128"/>
      <c r="CC759" s="128"/>
      <c r="CD759" s="128"/>
      <c r="CE759" s="128"/>
      <c r="CF759" s="128"/>
      <c r="CG759" s="128"/>
      <c r="CH759" s="128"/>
      <c r="CI759" s="128"/>
      <c r="CJ759" s="128"/>
      <c r="CK759" s="128"/>
      <c r="CL759" s="128"/>
      <c r="CM759" s="128"/>
      <c r="CN759" s="128"/>
      <c r="CO759" s="128"/>
      <c r="CP759" s="128"/>
      <c r="CQ759" s="128"/>
      <c r="CR759" s="128"/>
      <c r="CS759" s="128"/>
      <c r="CT759" s="128"/>
      <c r="CU759" s="128"/>
      <c r="CV759" s="128"/>
      <c r="CW759" s="128"/>
      <c r="CX759" s="128"/>
      <c r="CY759" s="128"/>
      <c r="CZ759" s="128"/>
    </row>
    <row r="760" spans="1:104">
      <c r="A760" s="128"/>
      <c r="B760" s="128"/>
      <c r="C760" s="128"/>
      <c r="D760" s="112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  <c r="AV760" s="128"/>
      <c r="AW760" s="128"/>
      <c r="AX760" s="128"/>
      <c r="AY760" s="128"/>
      <c r="AZ760" s="128"/>
      <c r="BA760" s="128"/>
      <c r="BB760" s="128"/>
      <c r="BC760" s="128"/>
      <c r="BD760" s="128"/>
      <c r="BE760" s="128"/>
      <c r="BF760" s="128"/>
      <c r="BG760" s="128"/>
      <c r="BH760" s="128"/>
      <c r="BI760" s="128"/>
      <c r="BJ760" s="128"/>
      <c r="BK760" s="128"/>
      <c r="BL760" s="128"/>
      <c r="BM760" s="151"/>
      <c r="BN760" s="128"/>
      <c r="BO760" s="128"/>
      <c r="BP760" s="128"/>
      <c r="BQ760" s="128"/>
      <c r="BR760" s="128"/>
      <c r="BS760" s="128"/>
      <c r="BT760" s="128"/>
      <c r="BU760" s="128"/>
      <c r="BV760" s="128"/>
      <c r="BW760" s="128"/>
      <c r="BX760" s="128"/>
      <c r="BY760" s="128"/>
      <c r="BZ760" s="128"/>
      <c r="CA760" s="128"/>
      <c r="CB760" s="128"/>
      <c r="CC760" s="128"/>
      <c r="CD760" s="128"/>
      <c r="CE760" s="128"/>
      <c r="CF760" s="128"/>
      <c r="CG760" s="128"/>
      <c r="CH760" s="128"/>
      <c r="CI760" s="128"/>
      <c r="CJ760" s="128"/>
      <c r="CK760" s="128"/>
      <c r="CL760" s="128"/>
      <c r="CM760" s="128"/>
      <c r="CN760" s="128"/>
      <c r="CO760" s="128"/>
      <c r="CP760" s="128"/>
      <c r="CQ760" s="128"/>
      <c r="CR760" s="128"/>
      <c r="CS760" s="128"/>
      <c r="CT760" s="128"/>
      <c r="CU760" s="128"/>
      <c r="CV760" s="128"/>
      <c r="CW760" s="128"/>
      <c r="CX760" s="128"/>
      <c r="CY760" s="128"/>
      <c r="CZ760" s="128"/>
    </row>
    <row r="761" spans="1:104">
      <c r="A761" s="128"/>
      <c r="B761" s="128"/>
      <c r="C761" s="128"/>
      <c r="D761" s="112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  <c r="AV761" s="128"/>
      <c r="AW761" s="128"/>
      <c r="AX761" s="128"/>
      <c r="AY761" s="128"/>
      <c r="AZ761" s="128"/>
      <c r="BA761" s="128"/>
      <c r="BB761" s="128"/>
      <c r="BC761" s="128"/>
      <c r="BD761" s="128"/>
      <c r="BE761" s="128"/>
      <c r="BF761" s="128"/>
      <c r="BG761" s="128"/>
      <c r="BH761" s="128"/>
      <c r="BI761" s="128"/>
      <c r="BJ761" s="128"/>
      <c r="BK761" s="128"/>
      <c r="BL761" s="128"/>
      <c r="BM761" s="151"/>
      <c r="BN761" s="128"/>
      <c r="BO761" s="128"/>
      <c r="BP761" s="128"/>
      <c r="BQ761" s="128"/>
      <c r="BR761" s="128"/>
      <c r="BS761" s="128"/>
      <c r="BT761" s="128"/>
      <c r="BU761" s="128"/>
      <c r="BV761" s="128"/>
      <c r="BW761" s="128"/>
      <c r="BX761" s="128"/>
      <c r="BY761" s="128"/>
      <c r="BZ761" s="128"/>
      <c r="CA761" s="128"/>
      <c r="CB761" s="128"/>
      <c r="CC761" s="128"/>
      <c r="CD761" s="128"/>
      <c r="CE761" s="128"/>
      <c r="CF761" s="128"/>
      <c r="CG761" s="128"/>
      <c r="CH761" s="128"/>
      <c r="CI761" s="128"/>
      <c r="CJ761" s="128"/>
      <c r="CK761" s="128"/>
      <c r="CL761" s="128"/>
      <c r="CM761" s="128"/>
      <c r="CN761" s="128"/>
      <c r="CO761" s="128"/>
      <c r="CP761" s="128"/>
      <c r="CQ761" s="128"/>
      <c r="CR761" s="128"/>
      <c r="CS761" s="128"/>
      <c r="CT761" s="128"/>
      <c r="CU761" s="128"/>
      <c r="CV761" s="128"/>
      <c r="CW761" s="128"/>
      <c r="CX761" s="128"/>
      <c r="CY761" s="128"/>
      <c r="CZ761" s="128"/>
    </row>
    <row r="762" spans="1:104">
      <c r="A762" s="128"/>
      <c r="B762" s="128"/>
      <c r="C762" s="128"/>
      <c r="D762" s="112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  <c r="AV762" s="128"/>
      <c r="AW762" s="128"/>
      <c r="AX762" s="128"/>
      <c r="AY762" s="128"/>
      <c r="AZ762" s="128"/>
      <c r="BA762" s="128"/>
      <c r="BB762" s="128"/>
      <c r="BC762" s="128"/>
      <c r="BD762" s="128"/>
      <c r="BE762" s="128"/>
      <c r="BF762" s="128"/>
      <c r="BG762" s="128"/>
      <c r="BH762" s="128"/>
      <c r="BI762" s="128"/>
      <c r="BJ762" s="128"/>
      <c r="BK762" s="128"/>
      <c r="BL762" s="128"/>
      <c r="BM762" s="151"/>
      <c r="BN762" s="128"/>
      <c r="BO762" s="128"/>
      <c r="BP762" s="128"/>
      <c r="BQ762" s="128"/>
      <c r="BR762" s="128"/>
      <c r="BS762" s="128"/>
      <c r="BT762" s="128"/>
      <c r="BU762" s="128"/>
      <c r="BV762" s="128"/>
      <c r="BW762" s="128"/>
      <c r="BX762" s="128"/>
      <c r="BY762" s="128"/>
      <c r="BZ762" s="128"/>
      <c r="CA762" s="128"/>
      <c r="CB762" s="128"/>
      <c r="CC762" s="128"/>
      <c r="CD762" s="128"/>
      <c r="CE762" s="128"/>
      <c r="CF762" s="128"/>
      <c r="CG762" s="128"/>
      <c r="CH762" s="128"/>
      <c r="CI762" s="128"/>
      <c r="CJ762" s="128"/>
      <c r="CK762" s="128"/>
      <c r="CL762" s="128"/>
      <c r="CM762" s="128"/>
      <c r="CN762" s="128"/>
      <c r="CO762" s="128"/>
      <c r="CP762" s="128"/>
      <c r="CQ762" s="128"/>
      <c r="CR762" s="128"/>
      <c r="CS762" s="128"/>
      <c r="CT762" s="128"/>
      <c r="CU762" s="128"/>
      <c r="CV762" s="128"/>
      <c r="CW762" s="128"/>
      <c r="CX762" s="128"/>
      <c r="CY762" s="128"/>
      <c r="CZ762" s="128"/>
    </row>
    <row r="763" spans="1:104">
      <c r="A763" s="128"/>
      <c r="B763" s="128"/>
      <c r="C763" s="128"/>
      <c r="D763" s="112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  <c r="AV763" s="128"/>
      <c r="AW763" s="128"/>
      <c r="AX763" s="128"/>
      <c r="AY763" s="128"/>
      <c r="AZ763" s="128"/>
      <c r="BA763" s="128"/>
      <c r="BB763" s="128"/>
      <c r="BC763" s="128"/>
      <c r="BD763" s="128"/>
      <c r="BE763" s="128"/>
      <c r="BF763" s="128"/>
      <c r="BG763" s="128"/>
      <c r="BH763" s="128"/>
      <c r="BI763" s="128"/>
      <c r="BJ763" s="128"/>
      <c r="BK763" s="128"/>
      <c r="BL763" s="128"/>
      <c r="BM763" s="151"/>
      <c r="BN763" s="128"/>
      <c r="BO763" s="128"/>
      <c r="BP763" s="128"/>
      <c r="BQ763" s="128"/>
      <c r="BR763" s="128"/>
      <c r="BS763" s="128"/>
      <c r="BT763" s="128"/>
      <c r="BU763" s="128"/>
      <c r="BV763" s="128"/>
      <c r="BW763" s="128"/>
      <c r="BX763" s="128"/>
      <c r="BY763" s="128"/>
      <c r="BZ763" s="128"/>
      <c r="CA763" s="128"/>
      <c r="CB763" s="128"/>
      <c r="CC763" s="128"/>
      <c r="CD763" s="128"/>
      <c r="CE763" s="128"/>
      <c r="CF763" s="128"/>
      <c r="CG763" s="128"/>
      <c r="CH763" s="128"/>
      <c r="CI763" s="128"/>
      <c r="CJ763" s="128"/>
      <c r="CK763" s="128"/>
      <c r="CL763" s="128"/>
      <c r="CM763" s="128"/>
      <c r="CN763" s="128"/>
      <c r="CO763" s="128"/>
      <c r="CP763" s="128"/>
      <c r="CQ763" s="128"/>
      <c r="CR763" s="128"/>
      <c r="CS763" s="128"/>
      <c r="CT763" s="128"/>
      <c r="CU763" s="128"/>
      <c r="CV763" s="128"/>
      <c r="CW763" s="128"/>
      <c r="CX763" s="128"/>
      <c r="CY763" s="128"/>
      <c r="CZ763" s="128"/>
    </row>
    <row r="764" spans="1:104">
      <c r="A764" s="128"/>
      <c r="B764" s="128"/>
      <c r="C764" s="128"/>
      <c r="D764" s="112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  <c r="AV764" s="128"/>
      <c r="AW764" s="128"/>
      <c r="AX764" s="128"/>
      <c r="AY764" s="128"/>
      <c r="AZ764" s="128"/>
      <c r="BA764" s="128"/>
      <c r="BB764" s="128"/>
      <c r="BC764" s="128"/>
      <c r="BD764" s="128"/>
      <c r="BE764" s="128"/>
      <c r="BF764" s="128"/>
      <c r="BG764" s="128"/>
      <c r="BH764" s="128"/>
      <c r="BI764" s="128"/>
      <c r="BJ764" s="128"/>
      <c r="BK764" s="128"/>
      <c r="BL764" s="128"/>
      <c r="BM764" s="151"/>
      <c r="BN764" s="128"/>
      <c r="BO764" s="128"/>
      <c r="BP764" s="128"/>
      <c r="BQ764" s="128"/>
      <c r="BR764" s="128"/>
      <c r="BS764" s="128"/>
      <c r="BT764" s="128"/>
      <c r="BU764" s="128"/>
      <c r="BV764" s="128"/>
      <c r="BW764" s="128"/>
      <c r="BX764" s="128"/>
      <c r="BY764" s="128"/>
      <c r="BZ764" s="128"/>
      <c r="CA764" s="128"/>
      <c r="CB764" s="128"/>
      <c r="CC764" s="128"/>
      <c r="CD764" s="128"/>
      <c r="CE764" s="128"/>
      <c r="CF764" s="128"/>
      <c r="CG764" s="128"/>
      <c r="CH764" s="128"/>
      <c r="CI764" s="128"/>
      <c r="CJ764" s="128"/>
      <c r="CK764" s="128"/>
      <c r="CL764" s="128"/>
      <c r="CM764" s="128"/>
      <c r="CN764" s="128"/>
      <c r="CO764" s="128"/>
      <c r="CP764" s="128"/>
      <c r="CQ764" s="128"/>
      <c r="CR764" s="128"/>
      <c r="CS764" s="128"/>
      <c r="CT764" s="128"/>
      <c r="CU764" s="128"/>
      <c r="CV764" s="128"/>
      <c r="CW764" s="128"/>
      <c r="CX764" s="128"/>
      <c r="CY764" s="128"/>
      <c r="CZ764" s="128"/>
    </row>
    <row r="765" spans="1:104">
      <c r="A765" s="128"/>
      <c r="B765" s="128"/>
      <c r="C765" s="128"/>
      <c r="D765" s="112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  <c r="AV765" s="128"/>
      <c r="AW765" s="128"/>
      <c r="AX765" s="128"/>
      <c r="AY765" s="128"/>
      <c r="AZ765" s="128"/>
      <c r="BA765" s="128"/>
      <c r="BB765" s="128"/>
      <c r="BC765" s="128"/>
      <c r="BD765" s="128"/>
      <c r="BE765" s="128"/>
      <c r="BF765" s="128"/>
      <c r="BG765" s="128"/>
      <c r="BH765" s="128"/>
      <c r="BI765" s="128"/>
      <c r="BJ765" s="128"/>
      <c r="BK765" s="128"/>
      <c r="BL765" s="128"/>
      <c r="BM765" s="151"/>
      <c r="BN765" s="128"/>
      <c r="BO765" s="128"/>
      <c r="BP765" s="128"/>
      <c r="BQ765" s="128"/>
      <c r="BR765" s="128"/>
      <c r="BS765" s="128"/>
      <c r="BT765" s="128"/>
      <c r="BU765" s="128"/>
      <c r="BV765" s="128"/>
      <c r="BW765" s="128"/>
      <c r="BX765" s="128"/>
      <c r="BY765" s="128"/>
      <c r="BZ765" s="128"/>
      <c r="CA765" s="128"/>
      <c r="CB765" s="128"/>
      <c r="CC765" s="128"/>
      <c r="CD765" s="128"/>
      <c r="CE765" s="128"/>
      <c r="CF765" s="128"/>
      <c r="CG765" s="128"/>
      <c r="CH765" s="128"/>
      <c r="CI765" s="128"/>
      <c r="CJ765" s="128"/>
      <c r="CK765" s="128"/>
      <c r="CL765" s="128"/>
      <c r="CM765" s="128"/>
      <c r="CN765" s="128"/>
      <c r="CO765" s="128"/>
      <c r="CP765" s="128"/>
      <c r="CQ765" s="128"/>
      <c r="CR765" s="128"/>
      <c r="CS765" s="128"/>
      <c r="CT765" s="128"/>
      <c r="CU765" s="128"/>
      <c r="CV765" s="128"/>
      <c r="CW765" s="128"/>
      <c r="CX765" s="128"/>
      <c r="CY765" s="128"/>
      <c r="CZ765" s="128"/>
    </row>
    <row r="766" spans="1:104">
      <c r="A766" s="128"/>
      <c r="B766" s="128"/>
      <c r="C766" s="128"/>
      <c r="D766" s="112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  <c r="AV766" s="128"/>
      <c r="AW766" s="128"/>
      <c r="AX766" s="128"/>
      <c r="AY766" s="128"/>
      <c r="AZ766" s="128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51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28"/>
      <c r="BY766" s="128"/>
      <c r="BZ766" s="128"/>
      <c r="CA766" s="128"/>
      <c r="CB766" s="128"/>
      <c r="CC766" s="128"/>
      <c r="CD766" s="128"/>
      <c r="CE766" s="128"/>
      <c r="CF766" s="128"/>
      <c r="CG766" s="128"/>
      <c r="CH766" s="128"/>
      <c r="CI766" s="128"/>
      <c r="CJ766" s="128"/>
      <c r="CK766" s="128"/>
      <c r="CL766" s="128"/>
      <c r="CM766" s="128"/>
      <c r="CN766" s="128"/>
      <c r="CO766" s="128"/>
      <c r="CP766" s="128"/>
      <c r="CQ766" s="128"/>
      <c r="CR766" s="128"/>
      <c r="CS766" s="128"/>
      <c r="CT766" s="128"/>
      <c r="CU766" s="128"/>
      <c r="CV766" s="128"/>
      <c r="CW766" s="128"/>
      <c r="CX766" s="128"/>
      <c r="CY766" s="128"/>
      <c r="CZ766" s="128"/>
    </row>
    <row r="767" spans="1:104">
      <c r="A767" s="128"/>
      <c r="B767" s="128"/>
      <c r="C767" s="128"/>
      <c r="D767" s="112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  <c r="AV767" s="128"/>
      <c r="AW767" s="128"/>
      <c r="AX767" s="128"/>
      <c r="AY767" s="128"/>
      <c r="AZ767" s="128"/>
      <c r="BA767" s="128"/>
      <c r="BB767" s="128"/>
      <c r="BC767" s="128"/>
      <c r="BD767" s="128"/>
      <c r="BE767" s="128"/>
      <c r="BF767" s="128"/>
      <c r="BG767" s="128"/>
      <c r="BH767" s="128"/>
      <c r="BI767" s="128"/>
      <c r="BJ767" s="128"/>
      <c r="BK767" s="128"/>
      <c r="BL767" s="128"/>
      <c r="BM767" s="151"/>
      <c r="BN767" s="128"/>
      <c r="BO767" s="128"/>
      <c r="BP767" s="128"/>
      <c r="BQ767" s="128"/>
      <c r="BR767" s="128"/>
      <c r="BS767" s="128"/>
      <c r="BT767" s="128"/>
      <c r="BU767" s="128"/>
      <c r="BV767" s="128"/>
      <c r="BW767" s="128"/>
      <c r="BX767" s="128"/>
      <c r="BY767" s="128"/>
      <c r="BZ767" s="128"/>
      <c r="CA767" s="128"/>
      <c r="CB767" s="128"/>
      <c r="CC767" s="128"/>
      <c r="CD767" s="128"/>
      <c r="CE767" s="128"/>
      <c r="CF767" s="128"/>
      <c r="CG767" s="128"/>
      <c r="CH767" s="128"/>
      <c r="CI767" s="128"/>
      <c r="CJ767" s="128"/>
      <c r="CK767" s="128"/>
      <c r="CL767" s="128"/>
      <c r="CM767" s="128"/>
      <c r="CN767" s="128"/>
      <c r="CO767" s="128"/>
      <c r="CP767" s="128"/>
      <c r="CQ767" s="128"/>
      <c r="CR767" s="128"/>
      <c r="CS767" s="128"/>
      <c r="CT767" s="128"/>
      <c r="CU767" s="128"/>
      <c r="CV767" s="128"/>
      <c r="CW767" s="128"/>
      <c r="CX767" s="128"/>
      <c r="CY767" s="128"/>
      <c r="CZ767" s="128"/>
    </row>
    <row r="768" spans="1:104">
      <c r="A768" s="128"/>
      <c r="B768" s="128"/>
      <c r="C768" s="128"/>
      <c r="D768" s="112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  <c r="AV768" s="128"/>
      <c r="AW768" s="128"/>
      <c r="AX768" s="128"/>
      <c r="AY768" s="128"/>
      <c r="AZ768" s="128"/>
      <c r="BA768" s="128"/>
      <c r="BB768" s="128"/>
      <c r="BC768" s="128"/>
      <c r="BD768" s="128"/>
      <c r="BE768" s="128"/>
      <c r="BF768" s="128"/>
      <c r="BG768" s="128"/>
      <c r="BH768" s="128"/>
      <c r="BI768" s="128"/>
      <c r="BJ768" s="128"/>
      <c r="BK768" s="128"/>
      <c r="BL768" s="128"/>
      <c r="BM768" s="151"/>
      <c r="BN768" s="128"/>
      <c r="BO768" s="128"/>
      <c r="BP768" s="128"/>
      <c r="BQ768" s="128"/>
      <c r="BR768" s="128"/>
      <c r="BS768" s="128"/>
      <c r="BT768" s="128"/>
      <c r="BU768" s="128"/>
      <c r="BV768" s="128"/>
      <c r="BW768" s="128"/>
      <c r="BX768" s="128"/>
      <c r="BY768" s="128"/>
      <c r="BZ768" s="128"/>
      <c r="CA768" s="128"/>
      <c r="CB768" s="128"/>
      <c r="CC768" s="128"/>
      <c r="CD768" s="128"/>
      <c r="CE768" s="128"/>
      <c r="CF768" s="128"/>
      <c r="CG768" s="128"/>
      <c r="CH768" s="128"/>
      <c r="CI768" s="128"/>
      <c r="CJ768" s="128"/>
      <c r="CK768" s="128"/>
      <c r="CL768" s="128"/>
      <c r="CM768" s="128"/>
      <c r="CN768" s="128"/>
      <c r="CO768" s="128"/>
      <c r="CP768" s="128"/>
      <c r="CQ768" s="128"/>
      <c r="CR768" s="128"/>
      <c r="CS768" s="128"/>
      <c r="CT768" s="128"/>
      <c r="CU768" s="128"/>
      <c r="CV768" s="128"/>
      <c r="CW768" s="128"/>
      <c r="CX768" s="128"/>
      <c r="CY768" s="128"/>
      <c r="CZ768" s="128"/>
    </row>
    <row r="769" spans="1:104">
      <c r="A769" s="128"/>
      <c r="B769" s="128"/>
      <c r="C769" s="128"/>
      <c r="D769" s="112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  <c r="AV769" s="128"/>
      <c r="AW769" s="128"/>
      <c r="AX769" s="128"/>
      <c r="AY769" s="128"/>
      <c r="AZ769" s="128"/>
      <c r="BA769" s="128"/>
      <c r="BB769" s="128"/>
      <c r="BC769" s="128"/>
      <c r="BD769" s="128"/>
      <c r="BE769" s="128"/>
      <c r="BF769" s="128"/>
      <c r="BG769" s="128"/>
      <c r="BH769" s="128"/>
      <c r="BI769" s="128"/>
      <c r="BJ769" s="128"/>
      <c r="BK769" s="128"/>
      <c r="BL769" s="128"/>
      <c r="BM769" s="151"/>
      <c r="BN769" s="128"/>
      <c r="BO769" s="128"/>
      <c r="BP769" s="128"/>
      <c r="BQ769" s="128"/>
      <c r="BR769" s="128"/>
      <c r="BS769" s="128"/>
      <c r="BT769" s="128"/>
      <c r="BU769" s="128"/>
      <c r="BV769" s="128"/>
      <c r="BW769" s="128"/>
      <c r="BX769" s="128"/>
      <c r="BY769" s="128"/>
      <c r="BZ769" s="128"/>
      <c r="CA769" s="128"/>
      <c r="CB769" s="128"/>
      <c r="CC769" s="128"/>
      <c r="CD769" s="128"/>
      <c r="CE769" s="128"/>
      <c r="CF769" s="128"/>
      <c r="CG769" s="128"/>
      <c r="CH769" s="128"/>
      <c r="CI769" s="128"/>
      <c r="CJ769" s="128"/>
      <c r="CK769" s="128"/>
      <c r="CL769" s="128"/>
      <c r="CM769" s="128"/>
      <c r="CN769" s="128"/>
      <c r="CO769" s="128"/>
      <c r="CP769" s="128"/>
      <c r="CQ769" s="128"/>
      <c r="CR769" s="128"/>
      <c r="CS769" s="128"/>
      <c r="CT769" s="128"/>
      <c r="CU769" s="128"/>
      <c r="CV769" s="128"/>
      <c r="CW769" s="128"/>
      <c r="CX769" s="128"/>
      <c r="CY769" s="128"/>
      <c r="CZ769" s="128"/>
    </row>
    <row r="770" spans="1:104">
      <c r="A770" s="128"/>
      <c r="B770" s="128"/>
      <c r="C770" s="128"/>
      <c r="D770" s="112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  <c r="AV770" s="128"/>
      <c r="AW770" s="128"/>
      <c r="AX770" s="128"/>
      <c r="AY770" s="128"/>
      <c r="AZ770" s="128"/>
      <c r="BA770" s="128"/>
      <c r="BB770" s="128"/>
      <c r="BC770" s="128"/>
      <c r="BD770" s="128"/>
      <c r="BE770" s="128"/>
      <c r="BF770" s="128"/>
      <c r="BG770" s="128"/>
      <c r="BH770" s="128"/>
      <c r="BI770" s="128"/>
      <c r="BJ770" s="128"/>
      <c r="BK770" s="128"/>
      <c r="BL770" s="128"/>
      <c r="BM770" s="151"/>
      <c r="BN770" s="128"/>
      <c r="BO770" s="128"/>
      <c r="BP770" s="128"/>
      <c r="BQ770" s="128"/>
      <c r="BR770" s="128"/>
      <c r="BS770" s="128"/>
      <c r="BT770" s="128"/>
      <c r="BU770" s="128"/>
      <c r="BV770" s="128"/>
      <c r="BW770" s="128"/>
      <c r="BX770" s="128"/>
      <c r="BY770" s="128"/>
      <c r="BZ770" s="128"/>
      <c r="CA770" s="128"/>
      <c r="CB770" s="128"/>
      <c r="CC770" s="128"/>
      <c r="CD770" s="128"/>
      <c r="CE770" s="128"/>
      <c r="CF770" s="128"/>
      <c r="CG770" s="128"/>
      <c r="CH770" s="128"/>
      <c r="CI770" s="128"/>
      <c r="CJ770" s="128"/>
      <c r="CK770" s="128"/>
      <c r="CL770" s="128"/>
      <c r="CM770" s="128"/>
      <c r="CN770" s="128"/>
      <c r="CO770" s="128"/>
      <c r="CP770" s="128"/>
      <c r="CQ770" s="128"/>
      <c r="CR770" s="128"/>
      <c r="CS770" s="128"/>
      <c r="CT770" s="128"/>
      <c r="CU770" s="128"/>
      <c r="CV770" s="128"/>
      <c r="CW770" s="128"/>
      <c r="CX770" s="128"/>
      <c r="CY770" s="128"/>
      <c r="CZ770" s="128"/>
    </row>
    <row r="771" spans="1:104">
      <c r="A771" s="128"/>
      <c r="B771" s="128"/>
      <c r="C771" s="128"/>
      <c r="D771" s="112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  <c r="AV771" s="128"/>
      <c r="AW771" s="128"/>
      <c r="AX771" s="128"/>
      <c r="AY771" s="128"/>
      <c r="AZ771" s="128"/>
      <c r="BA771" s="128"/>
      <c r="BB771" s="128"/>
      <c r="BC771" s="128"/>
      <c r="BD771" s="128"/>
      <c r="BE771" s="128"/>
      <c r="BF771" s="128"/>
      <c r="BG771" s="128"/>
      <c r="BH771" s="128"/>
      <c r="BI771" s="128"/>
      <c r="BJ771" s="128"/>
      <c r="BK771" s="128"/>
      <c r="BL771" s="128"/>
      <c r="BM771" s="151"/>
      <c r="BN771" s="128"/>
      <c r="BO771" s="128"/>
      <c r="BP771" s="128"/>
      <c r="BQ771" s="128"/>
      <c r="BR771" s="128"/>
      <c r="BS771" s="128"/>
      <c r="BT771" s="128"/>
      <c r="BU771" s="128"/>
      <c r="BV771" s="128"/>
      <c r="BW771" s="128"/>
      <c r="BX771" s="128"/>
      <c r="BY771" s="128"/>
      <c r="BZ771" s="128"/>
      <c r="CA771" s="128"/>
      <c r="CB771" s="128"/>
      <c r="CC771" s="128"/>
      <c r="CD771" s="128"/>
      <c r="CE771" s="128"/>
      <c r="CF771" s="128"/>
      <c r="CG771" s="128"/>
      <c r="CH771" s="128"/>
      <c r="CI771" s="128"/>
      <c r="CJ771" s="128"/>
      <c r="CK771" s="128"/>
      <c r="CL771" s="128"/>
      <c r="CM771" s="128"/>
      <c r="CN771" s="128"/>
      <c r="CO771" s="128"/>
      <c r="CP771" s="128"/>
      <c r="CQ771" s="128"/>
      <c r="CR771" s="128"/>
      <c r="CS771" s="128"/>
      <c r="CT771" s="128"/>
      <c r="CU771" s="128"/>
      <c r="CV771" s="128"/>
      <c r="CW771" s="128"/>
      <c r="CX771" s="128"/>
      <c r="CY771" s="128"/>
      <c r="CZ771" s="128"/>
    </row>
    <row r="772" spans="1:104">
      <c r="A772" s="128"/>
      <c r="B772" s="128"/>
      <c r="C772" s="128"/>
      <c r="D772" s="112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  <c r="AV772" s="128"/>
      <c r="AW772" s="128"/>
      <c r="AX772" s="128"/>
      <c r="AY772" s="128"/>
      <c r="AZ772" s="128"/>
      <c r="BA772" s="128"/>
      <c r="BB772" s="128"/>
      <c r="BC772" s="128"/>
      <c r="BD772" s="128"/>
      <c r="BE772" s="128"/>
      <c r="BF772" s="128"/>
      <c r="BG772" s="128"/>
      <c r="BH772" s="128"/>
      <c r="BI772" s="128"/>
      <c r="BJ772" s="128"/>
      <c r="BK772" s="128"/>
      <c r="BL772" s="128"/>
      <c r="BM772" s="151"/>
      <c r="BN772" s="128"/>
      <c r="BO772" s="128"/>
      <c r="BP772" s="128"/>
      <c r="BQ772" s="128"/>
      <c r="BR772" s="128"/>
      <c r="BS772" s="128"/>
      <c r="BT772" s="128"/>
      <c r="BU772" s="128"/>
      <c r="BV772" s="128"/>
      <c r="BW772" s="128"/>
      <c r="BX772" s="128"/>
      <c r="BY772" s="128"/>
      <c r="BZ772" s="128"/>
      <c r="CA772" s="128"/>
      <c r="CB772" s="128"/>
      <c r="CC772" s="128"/>
      <c r="CD772" s="128"/>
      <c r="CE772" s="128"/>
      <c r="CF772" s="128"/>
      <c r="CG772" s="128"/>
      <c r="CH772" s="128"/>
      <c r="CI772" s="128"/>
      <c r="CJ772" s="128"/>
      <c r="CK772" s="128"/>
      <c r="CL772" s="128"/>
      <c r="CM772" s="128"/>
      <c r="CN772" s="128"/>
      <c r="CO772" s="128"/>
      <c r="CP772" s="128"/>
      <c r="CQ772" s="128"/>
      <c r="CR772" s="128"/>
      <c r="CS772" s="128"/>
      <c r="CT772" s="128"/>
      <c r="CU772" s="128"/>
      <c r="CV772" s="128"/>
      <c r="CW772" s="128"/>
      <c r="CX772" s="128"/>
      <c r="CY772" s="128"/>
      <c r="CZ772" s="128"/>
    </row>
    <row r="773" spans="1:104">
      <c r="A773" s="128"/>
      <c r="B773" s="128"/>
      <c r="C773" s="128"/>
      <c r="D773" s="112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  <c r="AV773" s="128"/>
      <c r="AW773" s="128"/>
      <c r="AX773" s="128"/>
      <c r="AY773" s="128"/>
      <c r="AZ773" s="128"/>
      <c r="BA773" s="128"/>
      <c r="BB773" s="128"/>
      <c r="BC773" s="128"/>
      <c r="BD773" s="128"/>
      <c r="BE773" s="128"/>
      <c r="BF773" s="128"/>
      <c r="BG773" s="128"/>
      <c r="BH773" s="128"/>
      <c r="BI773" s="128"/>
      <c r="BJ773" s="128"/>
      <c r="BK773" s="128"/>
      <c r="BL773" s="128"/>
      <c r="BM773" s="151"/>
      <c r="BN773" s="128"/>
      <c r="BO773" s="128"/>
      <c r="BP773" s="128"/>
      <c r="BQ773" s="128"/>
      <c r="BR773" s="128"/>
      <c r="BS773" s="128"/>
      <c r="BT773" s="128"/>
      <c r="BU773" s="128"/>
      <c r="BV773" s="128"/>
      <c r="BW773" s="128"/>
      <c r="BX773" s="128"/>
      <c r="BY773" s="128"/>
      <c r="BZ773" s="128"/>
      <c r="CA773" s="128"/>
      <c r="CB773" s="128"/>
      <c r="CC773" s="128"/>
      <c r="CD773" s="128"/>
      <c r="CE773" s="128"/>
      <c r="CF773" s="128"/>
      <c r="CG773" s="128"/>
      <c r="CH773" s="128"/>
      <c r="CI773" s="128"/>
      <c r="CJ773" s="128"/>
      <c r="CK773" s="128"/>
      <c r="CL773" s="128"/>
      <c r="CM773" s="128"/>
      <c r="CN773" s="128"/>
      <c r="CO773" s="128"/>
      <c r="CP773" s="128"/>
      <c r="CQ773" s="128"/>
      <c r="CR773" s="128"/>
      <c r="CS773" s="128"/>
      <c r="CT773" s="128"/>
      <c r="CU773" s="128"/>
      <c r="CV773" s="128"/>
      <c r="CW773" s="128"/>
      <c r="CX773" s="128"/>
      <c r="CY773" s="128"/>
      <c r="CZ773" s="128"/>
    </row>
    <row r="774" spans="1:104">
      <c r="A774" s="128"/>
      <c r="B774" s="128"/>
      <c r="C774" s="128"/>
      <c r="D774" s="112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  <c r="AV774" s="128"/>
      <c r="AW774" s="128"/>
      <c r="AX774" s="128"/>
      <c r="AY774" s="128"/>
      <c r="AZ774" s="128"/>
      <c r="BA774" s="128"/>
      <c r="BB774" s="128"/>
      <c r="BC774" s="128"/>
      <c r="BD774" s="128"/>
      <c r="BE774" s="128"/>
      <c r="BF774" s="128"/>
      <c r="BG774" s="128"/>
      <c r="BH774" s="128"/>
      <c r="BI774" s="128"/>
      <c r="BJ774" s="128"/>
      <c r="BK774" s="128"/>
      <c r="BL774" s="128"/>
      <c r="BM774" s="151"/>
      <c r="BN774" s="128"/>
      <c r="BO774" s="128"/>
      <c r="BP774" s="128"/>
      <c r="BQ774" s="128"/>
      <c r="BR774" s="128"/>
      <c r="BS774" s="128"/>
      <c r="BT774" s="128"/>
      <c r="BU774" s="128"/>
      <c r="BV774" s="128"/>
      <c r="BW774" s="128"/>
      <c r="BX774" s="128"/>
      <c r="BY774" s="128"/>
      <c r="BZ774" s="128"/>
      <c r="CA774" s="128"/>
      <c r="CB774" s="128"/>
      <c r="CC774" s="128"/>
      <c r="CD774" s="128"/>
      <c r="CE774" s="128"/>
      <c r="CF774" s="128"/>
      <c r="CG774" s="128"/>
      <c r="CH774" s="128"/>
      <c r="CI774" s="128"/>
      <c r="CJ774" s="128"/>
      <c r="CK774" s="128"/>
      <c r="CL774" s="128"/>
      <c r="CM774" s="128"/>
      <c r="CN774" s="128"/>
      <c r="CO774" s="128"/>
      <c r="CP774" s="128"/>
      <c r="CQ774" s="128"/>
      <c r="CR774" s="128"/>
      <c r="CS774" s="128"/>
      <c r="CT774" s="128"/>
      <c r="CU774" s="128"/>
      <c r="CV774" s="128"/>
      <c r="CW774" s="128"/>
      <c r="CX774" s="128"/>
      <c r="CY774" s="128"/>
      <c r="CZ774" s="128"/>
    </row>
    <row r="775" spans="1:104">
      <c r="A775" s="128"/>
      <c r="B775" s="128"/>
      <c r="C775" s="128"/>
      <c r="D775" s="112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  <c r="AV775" s="128"/>
      <c r="AW775" s="128"/>
      <c r="AX775" s="128"/>
      <c r="AY775" s="128"/>
      <c r="AZ775" s="128"/>
      <c r="BA775" s="128"/>
      <c r="BB775" s="128"/>
      <c r="BC775" s="128"/>
      <c r="BD775" s="128"/>
      <c r="BE775" s="128"/>
      <c r="BF775" s="128"/>
      <c r="BG775" s="128"/>
      <c r="BH775" s="128"/>
      <c r="BI775" s="128"/>
      <c r="BJ775" s="128"/>
      <c r="BK775" s="128"/>
      <c r="BL775" s="128"/>
      <c r="BM775" s="151"/>
      <c r="BN775" s="128"/>
      <c r="BO775" s="128"/>
      <c r="BP775" s="128"/>
      <c r="BQ775" s="128"/>
      <c r="BR775" s="128"/>
      <c r="BS775" s="128"/>
      <c r="BT775" s="128"/>
      <c r="BU775" s="128"/>
      <c r="BV775" s="128"/>
      <c r="BW775" s="128"/>
      <c r="BX775" s="128"/>
      <c r="BY775" s="128"/>
      <c r="BZ775" s="128"/>
      <c r="CA775" s="128"/>
      <c r="CB775" s="128"/>
      <c r="CC775" s="128"/>
      <c r="CD775" s="128"/>
      <c r="CE775" s="128"/>
      <c r="CF775" s="128"/>
      <c r="CG775" s="128"/>
      <c r="CH775" s="128"/>
      <c r="CI775" s="128"/>
      <c r="CJ775" s="128"/>
      <c r="CK775" s="128"/>
      <c r="CL775" s="128"/>
      <c r="CM775" s="128"/>
      <c r="CN775" s="128"/>
      <c r="CO775" s="128"/>
      <c r="CP775" s="128"/>
      <c r="CQ775" s="128"/>
      <c r="CR775" s="128"/>
      <c r="CS775" s="128"/>
      <c r="CT775" s="128"/>
      <c r="CU775" s="128"/>
      <c r="CV775" s="128"/>
      <c r="CW775" s="128"/>
      <c r="CX775" s="128"/>
      <c r="CY775" s="128"/>
      <c r="CZ775" s="128"/>
    </row>
    <row r="776" spans="1:104">
      <c r="A776" s="128"/>
      <c r="B776" s="128"/>
      <c r="C776" s="128"/>
      <c r="D776" s="112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  <c r="AV776" s="128"/>
      <c r="AW776" s="128"/>
      <c r="AX776" s="128"/>
      <c r="AY776" s="128"/>
      <c r="AZ776" s="128"/>
      <c r="BA776" s="128"/>
      <c r="BB776" s="128"/>
      <c r="BC776" s="128"/>
      <c r="BD776" s="128"/>
      <c r="BE776" s="128"/>
      <c r="BF776" s="128"/>
      <c r="BG776" s="128"/>
      <c r="BH776" s="128"/>
      <c r="BI776" s="128"/>
      <c r="BJ776" s="128"/>
      <c r="BK776" s="128"/>
      <c r="BL776" s="128"/>
      <c r="BM776" s="151"/>
      <c r="BN776" s="128"/>
      <c r="BO776" s="128"/>
      <c r="BP776" s="128"/>
      <c r="BQ776" s="128"/>
      <c r="BR776" s="128"/>
      <c r="BS776" s="128"/>
      <c r="BT776" s="128"/>
      <c r="BU776" s="128"/>
      <c r="BV776" s="128"/>
      <c r="BW776" s="128"/>
      <c r="BX776" s="128"/>
      <c r="BY776" s="128"/>
      <c r="BZ776" s="128"/>
      <c r="CA776" s="128"/>
      <c r="CB776" s="128"/>
      <c r="CC776" s="128"/>
      <c r="CD776" s="128"/>
      <c r="CE776" s="128"/>
      <c r="CF776" s="128"/>
      <c r="CG776" s="128"/>
      <c r="CH776" s="128"/>
      <c r="CI776" s="128"/>
      <c r="CJ776" s="128"/>
      <c r="CK776" s="128"/>
      <c r="CL776" s="128"/>
      <c r="CM776" s="128"/>
      <c r="CN776" s="128"/>
      <c r="CO776" s="128"/>
      <c r="CP776" s="128"/>
      <c r="CQ776" s="128"/>
      <c r="CR776" s="128"/>
      <c r="CS776" s="128"/>
      <c r="CT776" s="128"/>
      <c r="CU776" s="128"/>
      <c r="CV776" s="128"/>
      <c r="CW776" s="128"/>
      <c r="CX776" s="128"/>
      <c r="CY776" s="128"/>
      <c r="CZ776" s="128"/>
    </row>
    <row r="777" spans="1:104">
      <c r="A777" s="128"/>
      <c r="B777" s="128"/>
      <c r="C777" s="128"/>
      <c r="D777" s="112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  <c r="AV777" s="128"/>
      <c r="AW777" s="128"/>
      <c r="AX777" s="128"/>
      <c r="AY777" s="128"/>
      <c r="AZ777" s="128"/>
      <c r="BA777" s="128"/>
      <c r="BB777" s="128"/>
      <c r="BC777" s="128"/>
      <c r="BD777" s="128"/>
      <c r="BE777" s="128"/>
      <c r="BF777" s="128"/>
      <c r="BG777" s="128"/>
      <c r="BH777" s="128"/>
      <c r="BI777" s="128"/>
      <c r="BJ777" s="128"/>
      <c r="BK777" s="128"/>
      <c r="BL777" s="128"/>
      <c r="BM777" s="151"/>
      <c r="BN777" s="128"/>
      <c r="BO777" s="128"/>
      <c r="BP777" s="128"/>
      <c r="BQ777" s="128"/>
      <c r="BR777" s="128"/>
      <c r="BS777" s="128"/>
      <c r="BT777" s="128"/>
      <c r="BU777" s="128"/>
      <c r="BV777" s="128"/>
      <c r="BW777" s="128"/>
      <c r="BX777" s="128"/>
      <c r="BY777" s="128"/>
      <c r="BZ777" s="128"/>
      <c r="CA777" s="128"/>
      <c r="CB777" s="128"/>
      <c r="CC777" s="128"/>
      <c r="CD777" s="128"/>
      <c r="CE777" s="128"/>
      <c r="CF777" s="128"/>
      <c r="CG777" s="128"/>
      <c r="CH777" s="128"/>
      <c r="CI777" s="128"/>
      <c r="CJ777" s="128"/>
      <c r="CK777" s="128"/>
      <c r="CL777" s="128"/>
      <c r="CM777" s="128"/>
      <c r="CN777" s="128"/>
      <c r="CO777" s="128"/>
      <c r="CP777" s="128"/>
      <c r="CQ777" s="128"/>
      <c r="CR777" s="128"/>
      <c r="CS777" s="128"/>
      <c r="CT777" s="128"/>
      <c r="CU777" s="128"/>
      <c r="CV777" s="128"/>
      <c r="CW777" s="128"/>
      <c r="CX777" s="128"/>
      <c r="CY777" s="128"/>
      <c r="CZ777" s="128"/>
    </row>
    <row r="778" spans="1:104">
      <c r="A778" s="128"/>
      <c r="B778" s="128"/>
      <c r="C778" s="128"/>
      <c r="D778" s="112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  <c r="AV778" s="128"/>
      <c r="AW778" s="128"/>
      <c r="AX778" s="128"/>
      <c r="AY778" s="128"/>
      <c r="AZ778" s="128"/>
      <c r="BA778" s="128"/>
      <c r="BB778" s="128"/>
      <c r="BC778" s="128"/>
      <c r="BD778" s="128"/>
      <c r="BE778" s="128"/>
      <c r="BF778" s="128"/>
      <c r="BG778" s="128"/>
      <c r="BH778" s="128"/>
      <c r="BI778" s="128"/>
      <c r="BJ778" s="128"/>
      <c r="BK778" s="128"/>
      <c r="BL778" s="128"/>
      <c r="BM778" s="151"/>
      <c r="BN778" s="128"/>
      <c r="BO778" s="128"/>
      <c r="BP778" s="128"/>
      <c r="BQ778" s="128"/>
      <c r="BR778" s="128"/>
      <c r="BS778" s="128"/>
      <c r="BT778" s="128"/>
      <c r="BU778" s="128"/>
      <c r="BV778" s="128"/>
      <c r="BW778" s="128"/>
      <c r="BX778" s="128"/>
      <c r="BY778" s="128"/>
      <c r="BZ778" s="128"/>
      <c r="CA778" s="128"/>
      <c r="CB778" s="128"/>
      <c r="CC778" s="128"/>
      <c r="CD778" s="128"/>
      <c r="CE778" s="128"/>
      <c r="CF778" s="128"/>
      <c r="CG778" s="128"/>
      <c r="CH778" s="128"/>
      <c r="CI778" s="128"/>
      <c r="CJ778" s="128"/>
      <c r="CK778" s="128"/>
      <c r="CL778" s="128"/>
      <c r="CM778" s="128"/>
      <c r="CN778" s="128"/>
      <c r="CO778" s="128"/>
      <c r="CP778" s="128"/>
      <c r="CQ778" s="128"/>
      <c r="CR778" s="128"/>
      <c r="CS778" s="128"/>
      <c r="CT778" s="128"/>
      <c r="CU778" s="128"/>
      <c r="CV778" s="128"/>
      <c r="CW778" s="128"/>
      <c r="CX778" s="128"/>
      <c r="CY778" s="128"/>
      <c r="CZ778" s="128"/>
    </row>
    <row r="779" spans="1:104">
      <c r="A779" s="128"/>
      <c r="B779" s="128"/>
      <c r="C779" s="128"/>
      <c r="D779" s="112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  <c r="AV779" s="128"/>
      <c r="AW779" s="128"/>
      <c r="AX779" s="128"/>
      <c r="AY779" s="128"/>
      <c r="AZ779" s="128"/>
      <c r="BA779" s="128"/>
      <c r="BB779" s="128"/>
      <c r="BC779" s="128"/>
      <c r="BD779" s="128"/>
      <c r="BE779" s="128"/>
      <c r="BF779" s="128"/>
      <c r="BG779" s="128"/>
      <c r="BH779" s="128"/>
      <c r="BI779" s="128"/>
      <c r="BJ779" s="128"/>
      <c r="BK779" s="128"/>
      <c r="BL779" s="128"/>
      <c r="BM779" s="151"/>
      <c r="BN779" s="128"/>
      <c r="BO779" s="128"/>
      <c r="BP779" s="128"/>
      <c r="BQ779" s="128"/>
      <c r="BR779" s="128"/>
      <c r="BS779" s="128"/>
      <c r="BT779" s="128"/>
      <c r="BU779" s="128"/>
      <c r="BV779" s="128"/>
      <c r="BW779" s="128"/>
      <c r="BX779" s="128"/>
      <c r="BY779" s="128"/>
      <c r="BZ779" s="128"/>
      <c r="CA779" s="128"/>
      <c r="CB779" s="128"/>
      <c r="CC779" s="128"/>
      <c r="CD779" s="128"/>
      <c r="CE779" s="128"/>
      <c r="CF779" s="128"/>
      <c r="CG779" s="128"/>
      <c r="CH779" s="128"/>
      <c r="CI779" s="128"/>
      <c r="CJ779" s="128"/>
      <c r="CK779" s="128"/>
      <c r="CL779" s="128"/>
      <c r="CM779" s="128"/>
      <c r="CN779" s="128"/>
      <c r="CO779" s="128"/>
      <c r="CP779" s="128"/>
      <c r="CQ779" s="128"/>
      <c r="CR779" s="128"/>
      <c r="CS779" s="128"/>
      <c r="CT779" s="128"/>
      <c r="CU779" s="128"/>
      <c r="CV779" s="128"/>
      <c r="CW779" s="128"/>
      <c r="CX779" s="128"/>
      <c r="CY779" s="128"/>
      <c r="CZ779" s="128"/>
    </row>
    <row r="780" spans="1:104">
      <c r="A780" s="128"/>
      <c r="B780" s="128"/>
      <c r="C780" s="128"/>
      <c r="D780" s="112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  <c r="AV780" s="128"/>
      <c r="AW780" s="128"/>
      <c r="AX780" s="128"/>
      <c r="AY780" s="128"/>
      <c r="AZ780" s="128"/>
      <c r="BA780" s="128"/>
      <c r="BB780" s="128"/>
      <c r="BC780" s="128"/>
      <c r="BD780" s="128"/>
      <c r="BE780" s="128"/>
      <c r="BF780" s="128"/>
      <c r="BG780" s="128"/>
      <c r="BH780" s="128"/>
      <c r="BI780" s="128"/>
      <c r="BJ780" s="128"/>
      <c r="BK780" s="128"/>
      <c r="BL780" s="128"/>
      <c r="BM780" s="151"/>
      <c r="BN780" s="128"/>
      <c r="BO780" s="128"/>
      <c r="BP780" s="128"/>
      <c r="BQ780" s="128"/>
      <c r="BR780" s="128"/>
      <c r="BS780" s="128"/>
      <c r="BT780" s="128"/>
      <c r="BU780" s="128"/>
      <c r="BV780" s="128"/>
      <c r="BW780" s="128"/>
      <c r="BX780" s="128"/>
      <c r="BY780" s="128"/>
      <c r="BZ780" s="128"/>
      <c r="CA780" s="128"/>
      <c r="CB780" s="128"/>
      <c r="CC780" s="128"/>
      <c r="CD780" s="128"/>
      <c r="CE780" s="128"/>
      <c r="CF780" s="128"/>
      <c r="CG780" s="128"/>
      <c r="CH780" s="128"/>
      <c r="CI780" s="128"/>
      <c r="CJ780" s="128"/>
      <c r="CK780" s="128"/>
      <c r="CL780" s="128"/>
      <c r="CM780" s="128"/>
      <c r="CN780" s="128"/>
      <c r="CO780" s="128"/>
      <c r="CP780" s="128"/>
      <c r="CQ780" s="128"/>
      <c r="CR780" s="128"/>
      <c r="CS780" s="128"/>
      <c r="CT780" s="128"/>
      <c r="CU780" s="128"/>
      <c r="CV780" s="128"/>
      <c r="CW780" s="128"/>
      <c r="CX780" s="128"/>
      <c r="CY780" s="128"/>
      <c r="CZ780" s="128"/>
    </row>
    <row r="781" spans="1:104">
      <c r="A781" s="128"/>
      <c r="B781" s="128"/>
      <c r="C781" s="128"/>
      <c r="D781" s="112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  <c r="AV781" s="128"/>
      <c r="AW781" s="128"/>
      <c r="AX781" s="128"/>
      <c r="AY781" s="128"/>
      <c r="AZ781" s="128"/>
      <c r="BA781" s="128"/>
      <c r="BB781" s="128"/>
      <c r="BC781" s="128"/>
      <c r="BD781" s="128"/>
      <c r="BE781" s="128"/>
      <c r="BF781" s="128"/>
      <c r="BG781" s="128"/>
      <c r="BH781" s="128"/>
      <c r="BI781" s="128"/>
      <c r="BJ781" s="128"/>
      <c r="BK781" s="128"/>
      <c r="BL781" s="128"/>
      <c r="BM781" s="151"/>
      <c r="BN781" s="128"/>
      <c r="BO781" s="128"/>
      <c r="BP781" s="128"/>
      <c r="BQ781" s="128"/>
      <c r="BR781" s="128"/>
      <c r="BS781" s="128"/>
      <c r="BT781" s="128"/>
      <c r="BU781" s="128"/>
      <c r="BV781" s="128"/>
      <c r="BW781" s="128"/>
      <c r="BX781" s="128"/>
      <c r="BY781" s="128"/>
      <c r="BZ781" s="128"/>
      <c r="CA781" s="128"/>
      <c r="CB781" s="128"/>
      <c r="CC781" s="128"/>
      <c r="CD781" s="128"/>
      <c r="CE781" s="128"/>
      <c r="CF781" s="128"/>
      <c r="CG781" s="128"/>
      <c r="CH781" s="128"/>
      <c r="CI781" s="128"/>
      <c r="CJ781" s="128"/>
      <c r="CK781" s="128"/>
      <c r="CL781" s="128"/>
      <c r="CM781" s="128"/>
      <c r="CN781" s="128"/>
      <c r="CO781" s="128"/>
      <c r="CP781" s="128"/>
      <c r="CQ781" s="128"/>
      <c r="CR781" s="128"/>
      <c r="CS781" s="128"/>
      <c r="CT781" s="128"/>
      <c r="CU781" s="128"/>
      <c r="CV781" s="128"/>
      <c r="CW781" s="128"/>
      <c r="CX781" s="128"/>
      <c r="CY781" s="128"/>
      <c r="CZ781" s="128"/>
    </row>
    <row r="782" spans="1:104">
      <c r="A782" s="128"/>
      <c r="B782" s="128"/>
      <c r="C782" s="128"/>
      <c r="D782" s="112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  <c r="AV782" s="128"/>
      <c r="AW782" s="128"/>
      <c r="AX782" s="128"/>
      <c r="AY782" s="128"/>
      <c r="AZ782" s="128"/>
      <c r="BA782" s="128"/>
      <c r="BB782" s="128"/>
      <c r="BC782" s="128"/>
      <c r="BD782" s="128"/>
      <c r="BE782" s="128"/>
      <c r="BF782" s="128"/>
      <c r="BG782" s="128"/>
      <c r="BH782" s="128"/>
      <c r="BI782" s="128"/>
      <c r="BJ782" s="128"/>
      <c r="BK782" s="128"/>
      <c r="BL782" s="128"/>
      <c r="BM782" s="151"/>
      <c r="BN782" s="128"/>
      <c r="BO782" s="128"/>
      <c r="BP782" s="128"/>
      <c r="BQ782" s="128"/>
      <c r="BR782" s="128"/>
      <c r="BS782" s="128"/>
      <c r="BT782" s="128"/>
      <c r="BU782" s="128"/>
      <c r="BV782" s="128"/>
      <c r="BW782" s="128"/>
      <c r="BX782" s="128"/>
      <c r="BY782" s="128"/>
      <c r="BZ782" s="128"/>
      <c r="CA782" s="128"/>
      <c r="CB782" s="128"/>
      <c r="CC782" s="128"/>
      <c r="CD782" s="128"/>
      <c r="CE782" s="128"/>
      <c r="CF782" s="128"/>
      <c r="CG782" s="128"/>
      <c r="CH782" s="128"/>
      <c r="CI782" s="128"/>
      <c r="CJ782" s="128"/>
      <c r="CK782" s="128"/>
      <c r="CL782" s="128"/>
      <c r="CM782" s="128"/>
      <c r="CN782" s="128"/>
      <c r="CO782" s="128"/>
      <c r="CP782" s="128"/>
      <c r="CQ782" s="128"/>
      <c r="CR782" s="128"/>
      <c r="CS782" s="128"/>
      <c r="CT782" s="128"/>
      <c r="CU782" s="128"/>
      <c r="CV782" s="128"/>
      <c r="CW782" s="128"/>
      <c r="CX782" s="128"/>
      <c r="CY782" s="128"/>
      <c r="CZ782" s="128"/>
    </row>
    <row r="783" spans="1:104">
      <c r="A783" s="128"/>
      <c r="B783" s="128"/>
      <c r="C783" s="128"/>
      <c r="D783" s="112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  <c r="AV783" s="128"/>
      <c r="AW783" s="128"/>
      <c r="AX783" s="128"/>
      <c r="AY783" s="128"/>
      <c r="AZ783" s="128"/>
      <c r="BA783" s="128"/>
      <c r="BB783" s="128"/>
      <c r="BC783" s="128"/>
      <c r="BD783" s="128"/>
      <c r="BE783" s="128"/>
      <c r="BF783" s="128"/>
      <c r="BG783" s="128"/>
      <c r="BH783" s="128"/>
      <c r="BI783" s="128"/>
      <c r="BJ783" s="128"/>
      <c r="BK783" s="128"/>
      <c r="BL783" s="128"/>
      <c r="BM783" s="151"/>
      <c r="BN783" s="128"/>
      <c r="BO783" s="128"/>
      <c r="BP783" s="128"/>
      <c r="BQ783" s="128"/>
      <c r="BR783" s="128"/>
      <c r="BS783" s="128"/>
      <c r="BT783" s="128"/>
      <c r="BU783" s="128"/>
      <c r="BV783" s="128"/>
      <c r="BW783" s="128"/>
      <c r="BX783" s="128"/>
      <c r="BY783" s="128"/>
      <c r="BZ783" s="128"/>
      <c r="CA783" s="128"/>
      <c r="CB783" s="128"/>
      <c r="CC783" s="128"/>
      <c r="CD783" s="128"/>
      <c r="CE783" s="128"/>
      <c r="CF783" s="128"/>
      <c r="CG783" s="128"/>
      <c r="CH783" s="128"/>
      <c r="CI783" s="128"/>
      <c r="CJ783" s="128"/>
      <c r="CK783" s="128"/>
      <c r="CL783" s="128"/>
      <c r="CM783" s="128"/>
      <c r="CN783" s="128"/>
      <c r="CO783" s="128"/>
      <c r="CP783" s="128"/>
      <c r="CQ783" s="128"/>
      <c r="CR783" s="128"/>
      <c r="CS783" s="128"/>
      <c r="CT783" s="128"/>
      <c r="CU783" s="128"/>
      <c r="CV783" s="128"/>
      <c r="CW783" s="128"/>
      <c r="CX783" s="128"/>
      <c r="CY783" s="128"/>
      <c r="CZ783" s="128"/>
    </row>
    <row r="784" spans="1:104">
      <c r="A784" s="128"/>
      <c r="B784" s="128"/>
      <c r="C784" s="128"/>
      <c r="D784" s="112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  <c r="AV784" s="128"/>
      <c r="AW784" s="128"/>
      <c r="AX784" s="128"/>
      <c r="AY784" s="128"/>
      <c r="AZ784" s="128"/>
      <c r="BA784" s="128"/>
      <c r="BB784" s="128"/>
      <c r="BC784" s="128"/>
      <c r="BD784" s="128"/>
      <c r="BE784" s="128"/>
      <c r="BF784" s="128"/>
      <c r="BG784" s="128"/>
      <c r="BH784" s="128"/>
      <c r="BI784" s="128"/>
      <c r="BJ784" s="128"/>
      <c r="BK784" s="128"/>
      <c r="BL784" s="128"/>
      <c r="BM784" s="151"/>
      <c r="BN784" s="128"/>
      <c r="BO784" s="128"/>
      <c r="BP784" s="128"/>
      <c r="BQ784" s="128"/>
      <c r="BR784" s="128"/>
      <c r="BS784" s="128"/>
      <c r="BT784" s="128"/>
      <c r="BU784" s="128"/>
      <c r="BV784" s="128"/>
      <c r="BW784" s="128"/>
      <c r="BX784" s="128"/>
      <c r="BY784" s="128"/>
      <c r="BZ784" s="128"/>
      <c r="CA784" s="128"/>
      <c r="CB784" s="128"/>
      <c r="CC784" s="128"/>
      <c r="CD784" s="128"/>
      <c r="CE784" s="128"/>
      <c r="CF784" s="128"/>
      <c r="CG784" s="128"/>
      <c r="CH784" s="128"/>
      <c r="CI784" s="128"/>
      <c r="CJ784" s="128"/>
      <c r="CK784" s="128"/>
      <c r="CL784" s="128"/>
      <c r="CM784" s="128"/>
      <c r="CN784" s="128"/>
      <c r="CO784" s="128"/>
      <c r="CP784" s="128"/>
      <c r="CQ784" s="128"/>
      <c r="CR784" s="128"/>
      <c r="CS784" s="128"/>
      <c r="CT784" s="128"/>
      <c r="CU784" s="128"/>
      <c r="CV784" s="128"/>
      <c r="CW784" s="128"/>
      <c r="CX784" s="128"/>
      <c r="CY784" s="128"/>
      <c r="CZ784" s="128"/>
    </row>
    <row r="785" spans="1:104">
      <c r="A785" s="128"/>
      <c r="B785" s="128"/>
      <c r="C785" s="128"/>
      <c r="D785" s="112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  <c r="AV785" s="128"/>
      <c r="AW785" s="128"/>
      <c r="AX785" s="128"/>
      <c r="AY785" s="128"/>
      <c r="AZ785" s="128"/>
      <c r="BA785" s="128"/>
      <c r="BB785" s="128"/>
      <c r="BC785" s="128"/>
      <c r="BD785" s="128"/>
      <c r="BE785" s="128"/>
      <c r="BF785" s="128"/>
      <c r="BG785" s="128"/>
      <c r="BH785" s="128"/>
      <c r="BI785" s="128"/>
      <c r="BJ785" s="128"/>
      <c r="BK785" s="128"/>
      <c r="BL785" s="128"/>
      <c r="BM785" s="151"/>
      <c r="BN785" s="128"/>
      <c r="BO785" s="128"/>
      <c r="BP785" s="128"/>
      <c r="BQ785" s="128"/>
      <c r="BR785" s="128"/>
      <c r="BS785" s="128"/>
      <c r="BT785" s="128"/>
      <c r="BU785" s="128"/>
      <c r="BV785" s="128"/>
      <c r="BW785" s="128"/>
      <c r="BX785" s="128"/>
      <c r="BY785" s="128"/>
      <c r="BZ785" s="128"/>
      <c r="CA785" s="128"/>
      <c r="CB785" s="128"/>
      <c r="CC785" s="128"/>
      <c r="CD785" s="128"/>
      <c r="CE785" s="128"/>
      <c r="CF785" s="128"/>
      <c r="CG785" s="128"/>
      <c r="CH785" s="128"/>
      <c r="CI785" s="128"/>
      <c r="CJ785" s="128"/>
      <c r="CK785" s="128"/>
      <c r="CL785" s="128"/>
      <c r="CM785" s="128"/>
      <c r="CN785" s="128"/>
      <c r="CO785" s="128"/>
      <c r="CP785" s="128"/>
      <c r="CQ785" s="128"/>
      <c r="CR785" s="128"/>
      <c r="CS785" s="128"/>
      <c r="CT785" s="128"/>
      <c r="CU785" s="128"/>
      <c r="CV785" s="128"/>
      <c r="CW785" s="128"/>
      <c r="CX785" s="128"/>
      <c r="CY785" s="128"/>
      <c r="CZ785" s="128"/>
    </row>
    <row r="786" spans="1:104">
      <c r="A786" s="128"/>
      <c r="B786" s="128"/>
      <c r="C786" s="128"/>
      <c r="D786" s="112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  <c r="AV786" s="128"/>
      <c r="AW786" s="128"/>
      <c r="AX786" s="128"/>
      <c r="AY786" s="128"/>
      <c r="AZ786" s="128"/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51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28"/>
      <c r="BY786" s="128"/>
      <c r="BZ786" s="128"/>
      <c r="CA786" s="128"/>
      <c r="CB786" s="128"/>
      <c r="CC786" s="128"/>
      <c r="CD786" s="128"/>
      <c r="CE786" s="128"/>
      <c r="CF786" s="128"/>
      <c r="CG786" s="128"/>
      <c r="CH786" s="128"/>
      <c r="CI786" s="128"/>
      <c r="CJ786" s="128"/>
      <c r="CK786" s="128"/>
      <c r="CL786" s="128"/>
      <c r="CM786" s="128"/>
      <c r="CN786" s="128"/>
      <c r="CO786" s="128"/>
      <c r="CP786" s="128"/>
      <c r="CQ786" s="128"/>
      <c r="CR786" s="128"/>
      <c r="CS786" s="128"/>
      <c r="CT786" s="128"/>
      <c r="CU786" s="128"/>
      <c r="CV786" s="128"/>
      <c r="CW786" s="128"/>
      <c r="CX786" s="128"/>
      <c r="CY786" s="128"/>
      <c r="CZ786" s="128"/>
    </row>
    <row r="787" spans="1:104">
      <c r="A787" s="128"/>
      <c r="B787" s="128"/>
      <c r="C787" s="128"/>
      <c r="D787" s="112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  <c r="AV787" s="128"/>
      <c r="AW787" s="128"/>
      <c r="AX787" s="128"/>
      <c r="AY787" s="128"/>
      <c r="AZ787" s="128"/>
      <c r="BA787" s="128"/>
      <c r="BB787" s="128"/>
      <c r="BC787" s="128"/>
      <c r="BD787" s="128"/>
      <c r="BE787" s="128"/>
      <c r="BF787" s="128"/>
      <c r="BG787" s="128"/>
      <c r="BH787" s="128"/>
      <c r="BI787" s="128"/>
      <c r="BJ787" s="128"/>
      <c r="BK787" s="128"/>
      <c r="BL787" s="128"/>
      <c r="BM787" s="151"/>
      <c r="BN787" s="128"/>
      <c r="BO787" s="128"/>
      <c r="BP787" s="128"/>
      <c r="BQ787" s="128"/>
      <c r="BR787" s="128"/>
      <c r="BS787" s="128"/>
      <c r="BT787" s="128"/>
      <c r="BU787" s="128"/>
      <c r="BV787" s="128"/>
      <c r="BW787" s="128"/>
      <c r="BX787" s="128"/>
      <c r="BY787" s="128"/>
      <c r="BZ787" s="128"/>
      <c r="CA787" s="128"/>
      <c r="CB787" s="128"/>
      <c r="CC787" s="128"/>
      <c r="CD787" s="128"/>
      <c r="CE787" s="128"/>
      <c r="CF787" s="128"/>
      <c r="CG787" s="128"/>
      <c r="CH787" s="128"/>
      <c r="CI787" s="128"/>
      <c r="CJ787" s="128"/>
      <c r="CK787" s="128"/>
      <c r="CL787" s="128"/>
      <c r="CM787" s="128"/>
      <c r="CN787" s="128"/>
      <c r="CO787" s="128"/>
      <c r="CP787" s="128"/>
      <c r="CQ787" s="128"/>
      <c r="CR787" s="128"/>
      <c r="CS787" s="128"/>
      <c r="CT787" s="128"/>
      <c r="CU787" s="128"/>
      <c r="CV787" s="128"/>
      <c r="CW787" s="128"/>
      <c r="CX787" s="128"/>
      <c r="CY787" s="128"/>
      <c r="CZ787" s="128"/>
    </row>
    <row r="788" spans="1:104">
      <c r="A788" s="128"/>
      <c r="B788" s="128"/>
      <c r="C788" s="128"/>
      <c r="D788" s="112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  <c r="AV788" s="128"/>
      <c r="AW788" s="128"/>
      <c r="AX788" s="128"/>
      <c r="AY788" s="128"/>
      <c r="AZ788" s="128"/>
      <c r="BA788" s="128"/>
      <c r="BB788" s="128"/>
      <c r="BC788" s="128"/>
      <c r="BD788" s="128"/>
      <c r="BE788" s="128"/>
      <c r="BF788" s="128"/>
      <c r="BG788" s="128"/>
      <c r="BH788" s="128"/>
      <c r="BI788" s="128"/>
      <c r="BJ788" s="128"/>
      <c r="BK788" s="128"/>
      <c r="BL788" s="128"/>
      <c r="BM788" s="151"/>
      <c r="BN788" s="128"/>
      <c r="BO788" s="128"/>
      <c r="BP788" s="128"/>
      <c r="BQ788" s="128"/>
      <c r="BR788" s="128"/>
      <c r="BS788" s="128"/>
      <c r="BT788" s="128"/>
      <c r="BU788" s="128"/>
      <c r="BV788" s="128"/>
      <c r="BW788" s="128"/>
      <c r="BX788" s="128"/>
      <c r="BY788" s="128"/>
      <c r="BZ788" s="128"/>
      <c r="CA788" s="128"/>
      <c r="CB788" s="128"/>
      <c r="CC788" s="128"/>
      <c r="CD788" s="128"/>
      <c r="CE788" s="128"/>
      <c r="CF788" s="128"/>
      <c r="CG788" s="128"/>
      <c r="CH788" s="128"/>
      <c r="CI788" s="128"/>
      <c r="CJ788" s="128"/>
      <c r="CK788" s="128"/>
      <c r="CL788" s="128"/>
      <c r="CM788" s="128"/>
      <c r="CN788" s="128"/>
      <c r="CO788" s="128"/>
      <c r="CP788" s="128"/>
      <c r="CQ788" s="128"/>
      <c r="CR788" s="128"/>
      <c r="CS788" s="128"/>
      <c r="CT788" s="128"/>
      <c r="CU788" s="128"/>
      <c r="CV788" s="128"/>
      <c r="CW788" s="128"/>
      <c r="CX788" s="128"/>
      <c r="CY788" s="128"/>
      <c r="CZ788" s="128"/>
    </row>
    <row r="789" spans="1:104">
      <c r="A789" s="128"/>
      <c r="B789" s="128"/>
      <c r="C789" s="128"/>
      <c r="D789" s="112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  <c r="AV789" s="128"/>
      <c r="AW789" s="128"/>
      <c r="AX789" s="128"/>
      <c r="AY789" s="128"/>
      <c r="AZ789" s="128"/>
      <c r="BA789" s="128"/>
      <c r="BB789" s="128"/>
      <c r="BC789" s="128"/>
      <c r="BD789" s="128"/>
      <c r="BE789" s="128"/>
      <c r="BF789" s="128"/>
      <c r="BG789" s="128"/>
      <c r="BH789" s="128"/>
      <c r="BI789" s="128"/>
      <c r="BJ789" s="128"/>
      <c r="BK789" s="128"/>
      <c r="BL789" s="128"/>
      <c r="BM789" s="151"/>
      <c r="BN789" s="128"/>
      <c r="BO789" s="128"/>
      <c r="BP789" s="128"/>
      <c r="BQ789" s="128"/>
      <c r="BR789" s="128"/>
      <c r="BS789" s="128"/>
      <c r="BT789" s="128"/>
      <c r="BU789" s="128"/>
      <c r="BV789" s="128"/>
      <c r="BW789" s="128"/>
      <c r="BX789" s="128"/>
      <c r="BY789" s="128"/>
      <c r="BZ789" s="128"/>
      <c r="CA789" s="128"/>
      <c r="CB789" s="128"/>
      <c r="CC789" s="128"/>
      <c r="CD789" s="128"/>
      <c r="CE789" s="128"/>
      <c r="CF789" s="128"/>
      <c r="CG789" s="128"/>
      <c r="CH789" s="128"/>
      <c r="CI789" s="128"/>
      <c r="CJ789" s="128"/>
      <c r="CK789" s="128"/>
      <c r="CL789" s="128"/>
      <c r="CM789" s="128"/>
      <c r="CN789" s="128"/>
      <c r="CO789" s="128"/>
      <c r="CP789" s="128"/>
      <c r="CQ789" s="128"/>
      <c r="CR789" s="128"/>
      <c r="CS789" s="128"/>
      <c r="CT789" s="128"/>
      <c r="CU789" s="128"/>
      <c r="CV789" s="128"/>
      <c r="CW789" s="128"/>
      <c r="CX789" s="128"/>
      <c r="CY789" s="128"/>
      <c r="CZ789" s="128"/>
    </row>
    <row r="790" spans="1:104">
      <c r="A790" s="128"/>
      <c r="B790" s="128"/>
      <c r="C790" s="128"/>
      <c r="D790" s="112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  <c r="AV790" s="128"/>
      <c r="AW790" s="128"/>
      <c r="AX790" s="128"/>
      <c r="AY790" s="128"/>
      <c r="AZ790" s="128"/>
      <c r="BA790" s="128"/>
      <c r="BB790" s="128"/>
      <c r="BC790" s="128"/>
      <c r="BD790" s="128"/>
      <c r="BE790" s="128"/>
      <c r="BF790" s="128"/>
      <c r="BG790" s="128"/>
      <c r="BH790" s="128"/>
      <c r="BI790" s="128"/>
      <c r="BJ790" s="128"/>
      <c r="BK790" s="128"/>
      <c r="BL790" s="128"/>
      <c r="BM790" s="151"/>
      <c r="BN790" s="128"/>
      <c r="BO790" s="128"/>
      <c r="BP790" s="128"/>
      <c r="BQ790" s="128"/>
      <c r="BR790" s="128"/>
      <c r="BS790" s="128"/>
      <c r="BT790" s="128"/>
      <c r="BU790" s="128"/>
      <c r="BV790" s="128"/>
      <c r="BW790" s="128"/>
      <c r="BX790" s="128"/>
      <c r="BY790" s="128"/>
      <c r="BZ790" s="128"/>
      <c r="CA790" s="128"/>
      <c r="CB790" s="128"/>
      <c r="CC790" s="128"/>
      <c r="CD790" s="128"/>
      <c r="CE790" s="128"/>
      <c r="CF790" s="128"/>
      <c r="CG790" s="128"/>
      <c r="CH790" s="128"/>
      <c r="CI790" s="128"/>
      <c r="CJ790" s="128"/>
      <c r="CK790" s="128"/>
      <c r="CL790" s="128"/>
      <c r="CM790" s="128"/>
      <c r="CN790" s="128"/>
      <c r="CO790" s="128"/>
      <c r="CP790" s="128"/>
      <c r="CQ790" s="128"/>
      <c r="CR790" s="128"/>
      <c r="CS790" s="128"/>
      <c r="CT790" s="128"/>
      <c r="CU790" s="128"/>
      <c r="CV790" s="128"/>
      <c r="CW790" s="128"/>
      <c r="CX790" s="128"/>
      <c r="CY790" s="128"/>
      <c r="CZ790" s="128"/>
    </row>
    <row r="791" spans="1:104">
      <c r="A791" s="128"/>
      <c r="B791" s="128"/>
      <c r="C791" s="128"/>
      <c r="D791" s="112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  <c r="AV791" s="128"/>
      <c r="AW791" s="128"/>
      <c r="AX791" s="128"/>
      <c r="AY791" s="128"/>
      <c r="AZ791" s="128"/>
      <c r="BA791" s="128"/>
      <c r="BB791" s="128"/>
      <c r="BC791" s="128"/>
      <c r="BD791" s="128"/>
      <c r="BE791" s="128"/>
      <c r="BF791" s="128"/>
      <c r="BG791" s="128"/>
      <c r="BH791" s="128"/>
      <c r="BI791" s="128"/>
      <c r="BJ791" s="128"/>
      <c r="BK791" s="128"/>
      <c r="BL791" s="128"/>
      <c r="BM791" s="151"/>
      <c r="BN791" s="128"/>
      <c r="BO791" s="128"/>
      <c r="BP791" s="128"/>
      <c r="BQ791" s="128"/>
      <c r="BR791" s="128"/>
      <c r="BS791" s="128"/>
      <c r="BT791" s="128"/>
      <c r="BU791" s="128"/>
      <c r="BV791" s="128"/>
      <c r="BW791" s="128"/>
      <c r="BX791" s="128"/>
      <c r="BY791" s="128"/>
      <c r="BZ791" s="128"/>
      <c r="CA791" s="128"/>
      <c r="CB791" s="128"/>
      <c r="CC791" s="128"/>
      <c r="CD791" s="128"/>
      <c r="CE791" s="128"/>
      <c r="CF791" s="128"/>
      <c r="CG791" s="128"/>
      <c r="CH791" s="128"/>
      <c r="CI791" s="128"/>
      <c r="CJ791" s="128"/>
      <c r="CK791" s="128"/>
      <c r="CL791" s="128"/>
      <c r="CM791" s="128"/>
      <c r="CN791" s="128"/>
      <c r="CO791" s="128"/>
      <c r="CP791" s="128"/>
      <c r="CQ791" s="128"/>
      <c r="CR791" s="128"/>
      <c r="CS791" s="128"/>
      <c r="CT791" s="128"/>
      <c r="CU791" s="128"/>
      <c r="CV791" s="128"/>
      <c r="CW791" s="128"/>
      <c r="CX791" s="128"/>
      <c r="CY791" s="128"/>
      <c r="CZ791" s="128"/>
    </row>
    <row r="792" spans="1:104">
      <c r="A792" s="128"/>
      <c r="B792" s="128"/>
      <c r="C792" s="128"/>
      <c r="D792" s="112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  <c r="AV792" s="128"/>
      <c r="AW792" s="128"/>
      <c r="AX792" s="128"/>
      <c r="AY792" s="128"/>
      <c r="AZ792" s="128"/>
      <c r="BA792" s="128"/>
      <c r="BB792" s="128"/>
      <c r="BC792" s="128"/>
      <c r="BD792" s="128"/>
      <c r="BE792" s="128"/>
      <c r="BF792" s="128"/>
      <c r="BG792" s="128"/>
      <c r="BH792" s="128"/>
      <c r="BI792" s="128"/>
      <c r="BJ792" s="128"/>
      <c r="BK792" s="128"/>
      <c r="BL792" s="128"/>
      <c r="BM792" s="151"/>
      <c r="BN792" s="128"/>
      <c r="BO792" s="128"/>
      <c r="BP792" s="128"/>
      <c r="BQ792" s="128"/>
      <c r="BR792" s="128"/>
      <c r="BS792" s="128"/>
      <c r="BT792" s="128"/>
      <c r="BU792" s="128"/>
      <c r="BV792" s="128"/>
      <c r="BW792" s="128"/>
      <c r="BX792" s="128"/>
      <c r="BY792" s="128"/>
      <c r="BZ792" s="128"/>
      <c r="CA792" s="128"/>
      <c r="CB792" s="128"/>
      <c r="CC792" s="128"/>
      <c r="CD792" s="128"/>
      <c r="CE792" s="128"/>
      <c r="CF792" s="128"/>
      <c r="CG792" s="128"/>
      <c r="CH792" s="128"/>
      <c r="CI792" s="128"/>
      <c r="CJ792" s="128"/>
      <c r="CK792" s="128"/>
      <c r="CL792" s="128"/>
      <c r="CM792" s="128"/>
      <c r="CN792" s="128"/>
      <c r="CO792" s="128"/>
      <c r="CP792" s="128"/>
      <c r="CQ792" s="128"/>
      <c r="CR792" s="128"/>
      <c r="CS792" s="128"/>
      <c r="CT792" s="128"/>
      <c r="CU792" s="128"/>
      <c r="CV792" s="128"/>
      <c r="CW792" s="128"/>
      <c r="CX792" s="128"/>
      <c r="CY792" s="128"/>
      <c r="CZ792" s="128"/>
    </row>
    <row r="793" spans="1:104">
      <c r="A793" s="128"/>
      <c r="B793" s="128"/>
      <c r="C793" s="128"/>
      <c r="D793" s="112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  <c r="AV793" s="128"/>
      <c r="AW793" s="128"/>
      <c r="AX793" s="128"/>
      <c r="AY793" s="128"/>
      <c r="AZ793" s="128"/>
      <c r="BA793" s="128"/>
      <c r="BB793" s="128"/>
      <c r="BC793" s="128"/>
      <c r="BD793" s="128"/>
      <c r="BE793" s="128"/>
      <c r="BF793" s="128"/>
      <c r="BG793" s="128"/>
      <c r="BH793" s="128"/>
      <c r="BI793" s="128"/>
      <c r="BJ793" s="128"/>
      <c r="BK793" s="128"/>
      <c r="BL793" s="128"/>
      <c r="BM793" s="151"/>
      <c r="BN793" s="128"/>
      <c r="BO793" s="128"/>
      <c r="BP793" s="128"/>
      <c r="BQ793" s="128"/>
      <c r="BR793" s="128"/>
      <c r="BS793" s="128"/>
      <c r="BT793" s="128"/>
      <c r="BU793" s="128"/>
      <c r="BV793" s="128"/>
      <c r="BW793" s="128"/>
      <c r="BX793" s="128"/>
      <c r="BY793" s="128"/>
      <c r="BZ793" s="128"/>
      <c r="CA793" s="128"/>
      <c r="CB793" s="128"/>
      <c r="CC793" s="128"/>
      <c r="CD793" s="128"/>
      <c r="CE793" s="128"/>
      <c r="CF793" s="128"/>
      <c r="CG793" s="128"/>
      <c r="CH793" s="128"/>
      <c r="CI793" s="128"/>
      <c r="CJ793" s="128"/>
      <c r="CK793" s="128"/>
      <c r="CL793" s="128"/>
      <c r="CM793" s="128"/>
      <c r="CN793" s="128"/>
      <c r="CO793" s="128"/>
      <c r="CP793" s="128"/>
      <c r="CQ793" s="128"/>
      <c r="CR793" s="128"/>
      <c r="CS793" s="128"/>
      <c r="CT793" s="128"/>
      <c r="CU793" s="128"/>
      <c r="CV793" s="128"/>
      <c r="CW793" s="128"/>
      <c r="CX793" s="128"/>
      <c r="CY793" s="128"/>
      <c r="CZ793" s="128"/>
    </row>
    <row r="794" spans="1:104">
      <c r="A794" s="128"/>
      <c r="B794" s="128"/>
      <c r="C794" s="128"/>
      <c r="D794" s="112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51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128"/>
      <c r="CO794" s="128"/>
      <c r="CP794" s="128"/>
      <c r="CQ794" s="128"/>
      <c r="CR794" s="128"/>
      <c r="CS794" s="128"/>
      <c r="CT794" s="128"/>
      <c r="CU794" s="128"/>
      <c r="CV794" s="128"/>
      <c r="CW794" s="128"/>
      <c r="CX794" s="128"/>
      <c r="CY794" s="128"/>
      <c r="CZ794" s="128"/>
    </row>
    <row r="795" spans="1:104">
      <c r="A795" s="128"/>
      <c r="B795" s="128"/>
      <c r="C795" s="128"/>
      <c r="D795" s="112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  <c r="AV795" s="128"/>
      <c r="AW795" s="128"/>
      <c r="AX795" s="128"/>
      <c r="AY795" s="128"/>
      <c r="AZ795" s="128"/>
      <c r="BA795" s="128"/>
      <c r="BB795" s="128"/>
      <c r="BC795" s="128"/>
      <c r="BD795" s="128"/>
      <c r="BE795" s="128"/>
      <c r="BF795" s="128"/>
      <c r="BG795" s="128"/>
      <c r="BH795" s="128"/>
      <c r="BI795" s="128"/>
      <c r="BJ795" s="128"/>
      <c r="BK795" s="128"/>
      <c r="BL795" s="128"/>
      <c r="BM795" s="151"/>
      <c r="BN795" s="128"/>
      <c r="BO795" s="128"/>
      <c r="BP795" s="128"/>
      <c r="BQ795" s="128"/>
      <c r="BR795" s="128"/>
      <c r="BS795" s="128"/>
      <c r="BT795" s="128"/>
      <c r="BU795" s="128"/>
      <c r="BV795" s="128"/>
      <c r="BW795" s="128"/>
      <c r="BX795" s="128"/>
      <c r="BY795" s="128"/>
      <c r="BZ795" s="128"/>
      <c r="CA795" s="128"/>
      <c r="CB795" s="128"/>
      <c r="CC795" s="128"/>
      <c r="CD795" s="128"/>
      <c r="CE795" s="128"/>
      <c r="CF795" s="128"/>
      <c r="CG795" s="128"/>
      <c r="CH795" s="128"/>
      <c r="CI795" s="128"/>
      <c r="CJ795" s="128"/>
      <c r="CK795" s="128"/>
      <c r="CL795" s="128"/>
      <c r="CM795" s="128"/>
      <c r="CN795" s="128"/>
      <c r="CO795" s="128"/>
      <c r="CP795" s="128"/>
      <c r="CQ795" s="128"/>
      <c r="CR795" s="128"/>
      <c r="CS795" s="128"/>
      <c r="CT795" s="128"/>
      <c r="CU795" s="128"/>
      <c r="CV795" s="128"/>
      <c r="CW795" s="128"/>
      <c r="CX795" s="128"/>
      <c r="CY795" s="128"/>
      <c r="CZ795" s="128"/>
    </row>
    <row r="796" spans="1:104">
      <c r="A796" s="128"/>
      <c r="B796" s="128"/>
      <c r="C796" s="128"/>
      <c r="D796" s="112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  <c r="AV796" s="128"/>
      <c r="AW796" s="128"/>
      <c r="AX796" s="128"/>
      <c r="AY796" s="128"/>
      <c r="AZ796" s="128"/>
      <c r="BA796" s="128"/>
      <c r="BB796" s="128"/>
      <c r="BC796" s="128"/>
      <c r="BD796" s="128"/>
      <c r="BE796" s="128"/>
      <c r="BF796" s="128"/>
      <c r="BG796" s="128"/>
      <c r="BH796" s="128"/>
      <c r="BI796" s="128"/>
      <c r="BJ796" s="128"/>
      <c r="BK796" s="128"/>
      <c r="BL796" s="128"/>
      <c r="BM796" s="151"/>
      <c r="BN796" s="128"/>
      <c r="BO796" s="128"/>
      <c r="BP796" s="128"/>
      <c r="BQ796" s="128"/>
      <c r="BR796" s="128"/>
      <c r="BS796" s="128"/>
      <c r="BT796" s="128"/>
      <c r="BU796" s="128"/>
      <c r="BV796" s="128"/>
      <c r="BW796" s="128"/>
      <c r="BX796" s="128"/>
      <c r="BY796" s="128"/>
      <c r="BZ796" s="128"/>
      <c r="CA796" s="128"/>
      <c r="CB796" s="128"/>
      <c r="CC796" s="128"/>
      <c r="CD796" s="128"/>
      <c r="CE796" s="128"/>
      <c r="CF796" s="128"/>
      <c r="CG796" s="128"/>
      <c r="CH796" s="128"/>
      <c r="CI796" s="128"/>
      <c r="CJ796" s="128"/>
      <c r="CK796" s="128"/>
      <c r="CL796" s="128"/>
      <c r="CM796" s="128"/>
      <c r="CN796" s="128"/>
      <c r="CO796" s="128"/>
      <c r="CP796" s="128"/>
      <c r="CQ796" s="128"/>
      <c r="CR796" s="128"/>
      <c r="CS796" s="128"/>
      <c r="CT796" s="128"/>
      <c r="CU796" s="128"/>
      <c r="CV796" s="128"/>
      <c r="CW796" s="128"/>
      <c r="CX796" s="128"/>
      <c r="CY796" s="128"/>
      <c r="CZ796" s="128"/>
    </row>
    <row r="797" spans="1:104">
      <c r="A797" s="128"/>
      <c r="B797" s="128"/>
      <c r="C797" s="128"/>
      <c r="D797" s="112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  <c r="AV797" s="128"/>
      <c r="AW797" s="128"/>
      <c r="AX797" s="128"/>
      <c r="AY797" s="128"/>
      <c r="AZ797" s="128"/>
      <c r="BA797" s="128"/>
      <c r="BB797" s="128"/>
      <c r="BC797" s="128"/>
      <c r="BD797" s="128"/>
      <c r="BE797" s="128"/>
      <c r="BF797" s="128"/>
      <c r="BG797" s="128"/>
      <c r="BH797" s="128"/>
      <c r="BI797" s="128"/>
      <c r="BJ797" s="128"/>
      <c r="BK797" s="128"/>
      <c r="BL797" s="128"/>
      <c r="BM797" s="151"/>
      <c r="BN797" s="128"/>
      <c r="BO797" s="128"/>
      <c r="BP797" s="128"/>
      <c r="BQ797" s="128"/>
      <c r="BR797" s="128"/>
      <c r="BS797" s="128"/>
      <c r="BT797" s="128"/>
      <c r="BU797" s="128"/>
      <c r="BV797" s="128"/>
      <c r="BW797" s="128"/>
      <c r="BX797" s="128"/>
      <c r="BY797" s="128"/>
      <c r="BZ797" s="128"/>
      <c r="CA797" s="128"/>
      <c r="CB797" s="128"/>
      <c r="CC797" s="128"/>
      <c r="CD797" s="128"/>
      <c r="CE797" s="128"/>
      <c r="CF797" s="128"/>
      <c r="CG797" s="128"/>
      <c r="CH797" s="128"/>
      <c r="CI797" s="128"/>
      <c r="CJ797" s="128"/>
      <c r="CK797" s="128"/>
      <c r="CL797" s="128"/>
      <c r="CM797" s="128"/>
      <c r="CN797" s="128"/>
      <c r="CO797" s="128"/>
      <c r="CP797" s="128"/>
      <c r="CQ797" s="128"/>
      <c r="CR797" s="128"/>
      <c r="CS797" s="128"/>
      <c r="CT797" s="128"/>
      <c r="CU797" s="128"/>
      <c r="CV797" s="128"/>
      <c r="CW797" s="128"/>
      <c r="CX797" s="128"/>
      <c r="CY797" s="128"/>
      <c r="CZ797" s="128"/>
    </row>
    <row r="798" spans="1:104">
      <c r="A798" s="128"/>
      <c r="B798" s="128"/>
      <c r="C798" s="128"/>
      <c r="D798" s="112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  <c r="AV798" s="128"/>
      <c r="AW798" s="128"/>
      <c r="AX798" s="128"/>
      <c r="AY798" s="128"/>
      <c r="AZ798" s="128"/>
      <c r="BA798" s="128"/>
      <c r="BB798" s="128"/>
      <c r="BC798" s="128"/>
      <c r="BD798" s="128"/>
      <c r="BE798" s="128"/>
      <c r="BF798" s="128"/>
      <c r="BG798" s="128"/>
      <c r="BH798" s="128"/>
      <c r="BI798" s="128"/>
      <c r="BJ798" s="128"/>
      <c r="BK798" s="128"/>
      <c r="BL798" s="128"/>
      <c r="BM798" s="151"/>
      <c r="BN798" s="128"/>
      <c r="BO798" s="128"/>
      <c r="BP798" s="128"/>
      <c r="BQ798" s="128"/>
      <c r="BR798" s="128"/>
      <c r="BS798" s="128"/>
      <c r="BT798" s="128"/>
      <c r="BU798" s="128"/>
      <c r="BV798" s="128"/>
      <c r="BW798" s="128"/>
      <c r="BX798" s="128"/>
      <c r="BY798" s="128"/>
      <c r="BZ798" s="128"/>
      <c r="CA798" s="128"/>
      <c r="CB798" s="128"/>
      <c r="CC798" s="128"/>
      <c r="CD798" s="128"/>
      <c r="CE798" s="128"/>
      <c r="CF798" s="128"/>
      <c r="CG798" s="128"/>
      <c r="CH798" s="128"/>
      <c r="CI798" s="128"/>
      <c r="CJ798" s="128"/>
      <c r="CK798" s="128"/>
      <c r="CL798" s="128"/>
      <c r="CM798" s="128"/>
      <c r="CN798" s="128"/>
      <c r="CO798" s="128"/>
      <c r="CP798" s="128"/>
      <c r="CQ798" s="128"/>
      <c r="CR798" s="128"/>
      <c r="CS798" s="128"/>
      <c r="CT798" s="128"/>
      <c r="CU798" s="128"/>
      <c r="CV798" s="128"/>
      <c r="CW798" s="128"/>
      <c r="CX798" s="128"/>
      <c r="CY798" s="128"/>
      <c r="CZ798" s="128"/>
    </row>
    <row r="799" spans="1:104">
      <c r="A799" s="128"/>
      <c r="B799" s="128"/>
      <c r="C799" s="128"/>
      <c r="D799" s="112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  <c r="AV799" s="128"/>
      <c r="AW799" s="128"/>
      <c r="AX799" s="128"/>
      <c r="AY799" s="128"/>
      <c r="AZ799" s="128"/>
      <c r="BA799" s="128"/>
      <c r="BB799" s="128"/>
      <c r="BC799" s="128"/>
      <c r="BD799" s="128"/>
      <c r="BE799" s="128"/>
      <c r="BF799" s="128"/>
      <c r="BG799" s="128"/>
      <c r="BH799" s="128"/>
      <c r="BI799" s="128"/>
      <c r="BJ799" s="128"/>
      <c r="BK799" s="128"/>
      <c r="BL799" s="128"/>
      <c r="BM799" s="151"/>
      <c r="BN799" s="128"/>
      <c r="BO799" s="128"/>
      <c r="BP799" s="128"/>
      <c r="BQ799" s="128"/>
      <c r="BR799" s="128"/>
      <c r="BS799" s="128"/>
      <c r="BT799" s="128"/>
      <c r="BU799" s="128"/>
      <c r="BV799" s="128"/>
      <c r="BW799" s="128"/>
      <c r="BX799" s="128"/>
      <c r="BY799" s="128"/>
      <c r="BZ799" s="128"/>
      <c r="CA799" s="128"/>
      <c r="CB799" s="128"/>
      <c r="CC799" s="128"/>
      <c r="CD799" s="128"/>
      <c r="CE799" s="128"/>
      <c r="CF799" s="128"/>
      <c r="CG799" s="128"/>
      <c r="CH799" s="128"/>
      <c r="CI799" s="128"/>
      <c r="CJ799" s="128"/>
      <c r="CK799" s="128"/>
      <c r="CL799" s="128"/>
      <c r="CM799" s="128"/>
      <c r="CN799" s="128"/>
      <c r="CO799" s="128"/>
      <c r="CP799" s="128"/>
      <c r="CQ799" s="128"/>
      <c r="CR799" s="128"/>
      <c r="CS799" s="128"/>
      <c r="CT799" s="128"/>
      <c r="CU799" s="128"/>
      <c r="CV799" s="128"/>
      <c r="CW799" s="128"/>
      <c r="CX799" s="128"/>
      <c r="CY799" s="128"/>
      <c r="CZ799" s="128"/>
    </row>
    <row r="800" spans="1:104">
      <c r="A800" s="128"/>
      <c r="B800" s="128"/>
      <c r="C800" s="128"/>
      <c r="D800" s="112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  <c r="AV800" s="128"/>
      <c r="AW800" s="128"/>
      <c r="AX800" s="128"/>
      <c r="AY800" s="128"/>
      <c r="AZ800" s="128"/>
      <c r="BA800" s="128"/>
      <c r="BB800" s="128"/>
      <c r="BC800" s="128"/>
      <c r="BD800" s="128"/>
      <c r="BE800" s="128"/>
      <c r="BF800" s="128"/>
      <c r="BG800" s="128"/>
      <c r="BH800" s="128"/>
      <c r="BI800" s="128"/>
      <c r="BJ800" s="128"/>
      <c r="BK800" s="128"/>
      <c r="BL800" s="128"/>
      <c r="BM800" s="151"/>
      <c r="BN800" s="128"/>
      <c r="BO800" s="128"/>
      <c r="BP800" s="128"/>
      <c r="BQ800" s="128"/>
      <c r="BR800" s="128"/>
      <c r="BS800" s="128"/>
      <c r="BT800" s="128"/>
      <c r="BU800" s="128"/>
      <c r="BV800" s="128"/>
      <c r="BW800" s="128"/>
      <c r="BX800" s="128"/>
      <c r="BY800" s="128"/>
      <c r="BZ800" s="128"/>
      <c r="CA800" s="128"/>
      <c r="CB800" s="128"/>
      <c r="CC800" s="128"/>
      <c r="CD800" s="128"/>
      <c r="CE800" s="128"/>
      <c r="CF800" s="128"/>
      <c r="CG800" s="128"/>
      <c r="CH800" s="128"/>
      <c r="CI800" s="128"/>
      <c r="CJ800" s="128"/>
      <c r="CK800" s="128"/>
      <c r="CL800" s="128"/>
      <c r="CM800" s="128"/>
      <c r="CN800" s="128"/>
      <c r="CO800" s="128"/>
      <c r="CP800" s="128"/>
      <c r="CQ800" s="128"/>
      <c r="CR800" s="128"/>
      <c r="CS800" s="128"/>
      <c r="CT800" s="128"/>
      <c r="CU800" s="128"/>
      <c r="CV800" s="128"/>
      <c r="CW800" s="128"/>
      <c r="CX800" s="128"/>
      <c r="CY800" s="128"/>
      <c r="CZ800" s="128"/>
    </row>
    <row r="801" spans="1:104">
      <c r="A801" s="128"/>
      <c r="B801" s="128"/>
      <c r="C801" s="128"/>
      <c r="D801" s="112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  <c r="AV801" s="128"/>
      <c r="AW801" s="128"/>
      <c r="AX801" s="128"/>
      <c r="AY801" s="128"/>
      <c r="AZ801" s="128"/>
      <c r="BA801" s="128"/>
      <c r="BB801" s="128"/>
      <c r="BC801" s="128"/>
      <c r="BD801" s="128"/>
      <c r="BE801" s="128"/>
      <c r="BF801" s="128"/>
      <c r="BG801" s="128"/>
      <c r="BH801" s="128"/>
      <c r="BI801" s="128"/>
      <c r="BJ801" s="128"/>
      <c r="BK801" s="128"/>
      <c r="BL801" s="128"/>
      <c r="BM801" s="151"/>
      <c r="BN801" s="128"/>
      <c r="BO801" s="128"/>
      <c r="BP801" s="128"/>
      <c r="BQ801" s="128"/>
      <c r="BR801" s="128"/>
      <c r="BS801" s="128"/>
      <c r="BT801" s="128"/>
      <c r="BU801" s="128"/>
      <c r="BV801" s="128"/>
      <c r="BW801" s="128"/>
      <c r="BX801" s="128"/>
      <c r="BY801" s="128"/>
      <c r="BZ801" s="128"/>
      <c r="CA801" s="128"/>
      <c r="CB801" s="128"/>
      <c r="CC801" s="128"/>
      <c r="CD801" s="128"/>
      <c r="CE801" s="128"/>
      <c r="CF801" s="128"/>
      <c r="CG801" s="128"/>
      <c r="CH801" s="128"/>
      <c r="CI801" s="128"/>
      <c r="CJ801" s="128"/>
      <c r="CK801" s="128"/>
      <c r="CL801" s="128"/>
      <c r="CM801" s="128"/>
      <c r="CN801" s="128"/>
      <c r="CO801" s="128"/>
      <c r="CP801" s="128"/>
      <c r="CQ801" s="128"/>
      <c r="CR801" s="128"/>
      <c r="CS801" s="128"/>
      <c r="CT801" s="128"/>
      <c r="CU801" s="128"/>
      <c r="CV801" s="128"/>
      <c r="CW801" s="128"/>
      <c r="CX801" s="128"/>
      <c r="CY801" s="128"/>
      <c r="CZ801" s="128"/>
    </row>
    <row r="802" spans="1:104">
      <c r="A802" s="128"/>
      <c r="B802" s="128"/>
      <c r="C802" s="128"/>
      <c r="D802" s="112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  <c r="AV802" s="128"/>
      <c r="AW802" s="128"/>
      <c r="AX802" s="128"/>
      <c r="AY802" s="128"/>
      <c r="AZ802" s="128"/>
      <c r="BA802" s="128"/>
      <c r="BB802" s="128"/>
      <c r="BC802" s="128"/>
      <c r="BD802" s="128"/>
      <c r="BE802" s="128"/>
      <c r="BF802" s="128"/>
      <c r="BG802" s="128"/>
      <c r="BH802" s="128"/>
      <c r="BI802" s="128"/>
      <c r="BJ802" s="128"/>
      <c r="BK802" s="128"/>
      <c r="BL802" s="128"/>
      <c r="BM802" s="151"/>
      <c r="BN802" s="128"/>
      <c r="BO802" s="128"/>
      <c r="BP802" s="128"/>
      <c r="BQ802" s="128"/>
      <c r="BR802" s="128"/>
      <c r="BS802" s="128"/>
      <c r="BT802" s="128"/>
      <c r="BU802" s="128"/>
      <c r="BV802" s="128"/>
      <c r="BW802" s="128"/>
      <c r="BX802" s="128"/>
      <c r="BY802" s="128"/>
      <c r="BZ802" s="128"/>
      <c r="CA802" s="128"/>
      <c r="CB802" s="128"/>
      <c r="CC802" s="128"/>
      <c r="CD802" s="128"/>
      <c r="CE802" s="128"/>
      <c r="CF802" s="128"/>
      <c r="CG802" s="128"/>
      <c r="CH802" s="128"/>
      <c r="CI802" s="128"/>
      <c r="CJ802" s="128"/>
      <c r="CK802" s="128"/>
      <c r="CL802" s="128"/>
      <c r="CM802" s="128"/>
      <c r="CN802" s="128"/>
      <c r="CO802" s="128"/>
      <c r="CP802" s="128"/>
      <c r="CQ802" s="128"/>
      <c r="CR802" s="128"/>
      <c r="CS802" s="128"/>
      <c r="CT802" s="128"/>
      <c r="CU802" s="128"/>
      <c r="CV802" s="128"/>
      <c r="CW802" s="128"/>
      <c r="CX802" s="128"/>
      <c r="CY802" s="128"/>
      <c r="CZ802" s="128"/>
    </row>
    <row r="803" spans="1:104">
      <c r="A803" s="128"/>
      <c r="B803" s="128"/>
      <c r="C803" s="128"/>
      <c r="D803" s="112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  <c r="AV803" s="128"/>
      <c r="AW803" s="128"/>
      <c r="AX803" s="128"/>
      <c r="AY803" s="128"/>
      <c r="AZ803" s="128"/>
      <c r="BA803" s="128"/>
      <c r="BB803" s="128"/>
      <c r="BC803" s="128"/>
      <c r="BD803" s="128"/>
      <c r="BE803" s="128"/>
      <c r="BF803" s="128"/>
      <c r="BG803" s="128"/>
      <c r="BH803" s="128"/>
      <c r="BI803" s="128"/>
      <c r="BJ803" s="128"/>
      <c r="BK803" s="128"/>
      <c r="BL803" s="128"/>
      <c r="BM803" s="151"/>
      <c r="BN803" s="128"/>
      <c r="BO803" s="128"/>
      <c r="BP803" s="128"/>
      <c r="BQ803" s="128"/>
      <c r="BR803" s="128"/>
      <c r="BS803" s="128"/>
      <c r="BT803" s="128"/>
      <c r="BU803" s="128"/>
      <c r="BV803" s="128"/>
      <c r="BW803" s="128"/>
      <c r="BX803" s="128"/>
      <c r="BY803" s="128"/>
      <c r="BZ803" s="128"/>
      <c r="CA803" s="128"/>
      <c r="CB803" s="128"/>
      <c r="CC803" s="128"/>
      <c r="CD803" s="128"/>
      <c r="CE803" s="128"/>
      <c r="CF803" s="128"/>
      <c r="CG803" s="128"/>
      <c r="CH803" s="128"/>
      <c r="CI803" s="128"/>
      <c r="CJ803" s="128"/>
      <c r="CK803" s="128"/>
      <c r="CL803" s="128"/>
      <c r="CM803" s="128"/>
      <c r="CN803" s="128"/>
      <c r="CO803" s="128"/>
      <c r="CP803" s="128"/>
      <c r="CQ803" s="128"/>
      <c r="CR803" s="128"/>
      <c r="CS803" s="128"/>
      <c r="CT803" s="128"/>
      <c r="CU803" s="128"/>
      <c r="CV803" s="128"/>
      <c r="CW803" s="128"/>
      <c r="CX803" s="128"/>
      <c r="CY803" s="128"/>
      <c r="CZ803" s="128"/>
    </row>
    <row r="804" spans="1:104">
      <c r="A804" s="128"/>
      <c r="B804" s="128"/>
      <c r="C804" s="128"/>
      <c r="D804" s="112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  <c r="AV804" s="128"/>
      <c r="AW804" s="128"/>
      <c r="AX804" s="128"/>
      <c r="AY804" s="128"/>
      <c r="AZ804" s="128"/>
      <c r="BA804" s="128"/>
      <c r="BB804" s="128"/>
      <c r="BC804" s="128"/>
      <c r="BD804" s="128"/>
      <c r="BE804" s="128"/>
      <c r="BF804" s="128"/>
      <c r="BG804" s="128"/>
      <c r="BH804" s="128"/>
      <c r="BI804" s="128"/>
      <c r="BJ804" s="128"/>
      <c r="BK804" s="128"/>
      <c r="BL804" s="128"/>
      <c r="BM804" s="151"/>
      <c r="BN804" s="128"/>
      <c r="BO804" s="128"/>
      <c r="BP804" s="128"/>
      <c r="BQ804" s="128"/>
      <c r="BR804" s="128"/>
      <c r="BS804" s="128"/>
      <c r="BT804" s="128"/>
      <c r="BU804" s="128"/>
      <c r="BV804" s="128"/>
      <c r="BW804" s="128"/>
      <c r="BX804" s="128"/>
      <c r="BY804" s="128"/>
      <c r="BZ804" s="128"/>
      <c r="CA804" s="128"/>
      <c r="CB804" s="128"/>
      <c r="CC804" s="128"/>
      <c r="CD804" s="128"/>
      <c r="CE804" s="128"/>
      <c r="CF804" s="128"/>
      <c r="CG804" s="128"/>
      <c r="CH804" s="128"/>
      <c r="CI804" s="128"/>
      <c r="CJ804" s="128"/>
      <c r="CK804" s="128"/>
      <c r="CL804" s="128"/>
      <c r="CM804" s="128"/>
      <c r="CN804" s="128"/>
      <c r="CO804" s="128"/>
      <c r="CP804" s="128"/>
      <c r="CQ804" s="128"/>
      <c r="CR804" s="128"/>
      <c r="CS804" s="128"/>
      <c r="CT804" s="128"/>
      <c r="CU804" s="128"/>
      <c r="CV804" s="128"/>
      <c r="CW804" s="128"/>
      <c r="CX804" s="128"/>
      <c r="CY804" s="128"/>
      <c r="CZ804" s="128"/>
    </row>
    <row r="805" spans="1:104">
      <c r="A805" s="128"/>
      <c r="B805" s="128"/>
      <c r="C805" s="128"/>
      <c r="D805" s="112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  <c r="AV805" s="128"/>
      <c r="AW805" s="128"/>
      <c r="AX805" s="128"/>
      <c r="AY805" s="128"/>
      <c r="AZ805" s="128"/>
      <c r="BA805" s="128"/>
      <c r="BB805" s="128"/>
      <c r="BC805" s="128"/>
      <c r="BD805" s="128"/>
      <c r="BE805" s="128"/>
      <c r="BF805" s="128"/>
      <c r="BG805" s="128"/>
      <c r="BH805" s="128"/>
      <c r="BI805" s="128"/>
      <c r="BJ805" s="128"/>
      <c r="BK805" s="128"/>
      <c r="BL805" s="128"/>
      <c r="BM805" s="151"/>
      <c r="BN805" s="128"/>
      <c r="BO805" s="128"/>
      <c r="BP805" s="128"/>
      <c r="BQ805" s="128"/>
      <c r="BR805" s="128"/>
      <c r="BS805" s="128"/>
      <c r="BT805" s="128"/>
      <c r="BU805" s="128"/>
      <c r="BV805" s="128"/>
      <c r="BW805" s="128"/>
      <c r="BX805" s="128"/>
      <c r="BY805" s="128"/>
      <c r="BZ805" s="128"/>
      <c r="CA805" s="128"/>
      <c r="CB805" s="128"/>
      <c r="CC805" s="128"/>
      <c r="CD805" s="128"/>
      <c r="CE805" s="128"/>
      <c r="CF805" s="128"/>
      <c r="CG805" s="128"/>
      <c r="CH805" s="128"/>
      <c r="CI805" s="128"/>
      <c r="CJ805" s="128"/>
      <c r="CK805" s="128"/>
      <c r="CL805" s="128"/>
      <c r="CM805" s="128"/>
      <c r="CN805" s="128"/>
      <c r="CO805" s="128"/>
      <c r="CP805" s="128"/>
      <c r="CQ805" s="128"/>
      <c r="CR805" s="128"/>
      <c r="CS805" s="128"/>
      <c r="CT805" s="128"/>
      <c r="CU805" s="128"/>
      <c r="CV805" s="128"/>
      <c r="CW805" s="128"/>
      <c r="CX805" s="128"/>
      <c r="CY805" s="128"/>
      <c r="CZ805" s="128"/>
    </row>
    <row r="806" spans="1:104">
      <c r="A806" s="128"/>
      <c r="B806" s="128"/>
      <c r="C806" s="128"/>
      <c r="D806" s="112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  <c r="AV806" s="128"/>
      <c r="AW806" s="128"/>
      <c r="AX806" s="128"/>
      <c r="AY806" s="128"/>
      <c r="AZ806" s="128"/>
      <c r="BA806" s="128"/>
      <c r="BB806" s="128"/>
      <c r="BC806" s="128"/>
      <c r="BD806" s="128"/>
      <c r="BE806" s="128"/>
      <c r="BF806" s="128"/>
      <c r="BG806" s="128"/>
      <c r="BH806" s="128"/>
      <c r="BI806" s="128"/>
      <c r="BJ806" s="128"/>
      <c r="BK806" s="128"/>
      <c r="BL806" s="128"/>
      <c r="BM806" s="151"/>
      <c r="BN806" s="128"/>
      <c r="BO806" s="128"/>
      <c r="BP806" s="128"/>
      <c r="BQ806" s="128"/>
      <c r="BR806" s="128"/>
      <c r="BS806" s="128"/>
      <c r="BT806" s="128"/>
      <c r="BU806" s="128"/>
      <c r="BV806" s="128"/>
      <c r="BW806" s="128"/>
      <c r="BX806" s="128"/>
      <c r="BY806" s="128"/>
      <c r="BZ806" s="128"/>
      <c r="CA806" s="128"/>
      <c r="CB806" s="128"/>
      <c r="CC806" s="128"/>
      <c r="CD806" s="128"/>
      <c r="CE806" s="128"/>
      <c r="CF806" s="128"/>
      <c r="CG806" s="128"/>
      <c r="CH806" s="128"/>
      <c r="CI806" s="128"/>
      <c r="CJ806" s="128"/>
      <c r="CK806" s="128"/>
      <c r="CL806" s="128"/>
      <c r="CM806" s="128"/>
      <c r="CN806" s="128"/>
      <c r="CO806" s="128"/>
      <c r="CP806" s="128"/>
      <c r="CQ806" s="128"/>
      <c r="CR806" s="128"/>
      <c r="CS806" s="128"/>
      <c r="CT806" s="128"/>
      <c r="CU806" s="128"/>
      <c r="CV806" s="128"/>
      <c r="CW806" s="128"/>
      <c r="CX806" s="128"/>
      <c r="CY806" s="128"/>
      <c r="CZ806" s="128"/>
    </row>
    <row r="807" spans="1:104">
      <c r="A807" s="128"/>
      <c r="B807" s="128"/>
      <c r="C807" s="128"/>
      <c r="D807" s="112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  <c r="AV807" s="128"/>
      <c r="AW807" s="128"/>
      <c r="AX807" s="128"/>
      <c r="AY807" s="128"/>
      <c r="AZ807" s="128"/>
      <c r="BA807" s="128"/>
      <c r="BB807" s="128"/>
      <c r="BC807" s="128"/>
      <c r="BD807" s="128"/>
      <c r="BE807" s="128"/>
      <c r="BF807" s="128"/>
      <c r="BG807" s="128"/>
      <c r="BH807" s="128"/>
      <c r="BI807" s="128"/>
      <c r="BJ807" s="128"/>
      <c r="BK807" s="128"/>
      <c r="BL807" s="128"/>
      <c r="BM807" s="151"/>
      <c r="BN807" s="128"/>
      <c r="BO807" s="128"/>
      <c r="BP807" s="128"/>
      <c r="BQ807" s="128"/>
      <c r="BR807" s="128"/>
      <c r="BS807" s="128"/>
      <c r="BT807" s="128"/>
      <c r="BU807" s="128"/>
      <c r="BV807" s="128"/>
      <c r="BW807" s="128"/>
      <c r="BX807" s="128"/>
      <c r="BY807" s="128"/>
      <c r="BZ807" s="128"/>
      <c r="CA807" s="128"/>
      <c r="CB807" s="128"/>
      <c r="CC807" s="128"/>
      <c r="CD807" s="128"/>
      <c r="CE807" s="128"/>
      <c r="CF807" s="128"/>
      <c r="CG807" s="128"/>
      <c r="CH807" s="128"/>
      <c r="CI807" s="128"/>
      <c r="CJ807" s="128"/>
      <c r="CK807" s="128"/>
      <c r="CL807" s="128"/>
      <c r="CM807" s="128"/>
      <c r="CN807" s="128"/>
      <c r="CO807" s="128"/>
      <c r="CP807" s="128"/>
      <c r="CQ807" s="128"/>
      <c r="CR807" s="128"/>
      <c r="CS807" s="128"/>
      <c r="CT807" s="128"/>
      <c r="CU807" s="128"/>
      <c r="CV807" s="128"/>
      <c r="CW807" s="128"/>
      <c r="CX807" s="128"/>
      <c r="CY807" s="128"/>
      <c r="CZ807" s="128"/>
    </row>
    <row r="808" spans="1:104">
      <c r="A808" s="128"/>
      <c r="B808" s="128"/>
      <c r="C808" s="128"/>
      <c r="D808" s="112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  <c r="AV808" s="128"/>
      <c r="AW808" s="128"/>
      <c r="AX808" s="128"/>
      <c r="AY808" s="128"/>
      <c r="AZ808" s="128"/>
      <c r="BA808" s="128"/>
      <c r="BB808" s="128"/>
      <c r="BC808" s="128"/>
      <c r="BD808" s="128"/>
      <c r="BE808" s="128"/>
      <c r="BF808" s="128"/>
      <c r="BG808" s="128"/>
      <c r="BH808" s="128"/>
      <c r="BI808" s="128"/>
      <c r="BJ808" s="128"/>
      <c r="BK808" s="128"/>
      <c r="BL808" s="128"/>
      <c r="BM808" s="151"/>
      <c r="BN808" s="128"/>
      <c r="BO808" s="128"/>
      <c r="BP808" s="128"/>
      <c r="BQ808" s="128"/>
      <c r="BR808" s="128"/>
      <c r="BS808" s="128"/>
      <c r="BT808" s="128"/>
      <c r="BU808" s="128"/>
      <c r="BV808" s="128"/>
      <c r="BW808" s="128"/>
      <c r="BX808" s="128"/>
      <c r="BY808" s="128"/>
      <c r="BZ808" s="128"/>
      <c r="CA808" s="128"/>
      <c r="CB808" s="128"/>
      <c r="CC808" s="128"/>
      <c r="CD808" s="128"/>
      <c r="CE808" s="128"/>
      <c r="CF808" s="128"/>
      <c r="CG808" s="128"/>
      <c r="CH808" s="128"/>
      <c r="CI808" s="128"/>
      <c r="CJ808" s="128"/>
      <c r="CK808" s="128"/>
      <c r="CL808" s="128"/>
      <c r="CM808" s="128"/>
      <c r="CN808" s="128"/>
      <c r="CO808" s="128"/>
      <c r="CP808" s="128"/>
      <c r="CQ808" s="128"/>
      <c r="CR808" s="128"/>
      <c r="CS808" s="128"/>
      <c r="CT808" s="128"/>
      <c r="CU808" s="128"/>
      <c r="CV808" s="128"/>
      <c r="CW808" s="128"/>
      <c r="CX808" s="128"/>
      <c r="CY808" s="128"/>
      <c r="CZ808" s="128"/>
    </row>
    <row r="809" spans="1:104">
      <c r="A809" s="128"/>
      <c r="B809" s="128"/>
      <c r="C809" s="128"/>
      <c r="D809" s="112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  <c r="AV809" s="128"/>
      <c r="AW809" s="128"/>
      <c r="AX809" s="128"/>
      <c r="AY809" s="128"/>
      <c r="AZ809" s="128"/>
      <c r="BA809" s="128"/>
      <c r="BB809" s="128"/>
      <c r="BC809" s="128"/>
      <c r="BD809" s="128"/>
      <c r="BE809" s="128"/>
      <c r="BF809" s="128"/>
      <c r="BG809" s="128"/>
      <c r="BH809" s="128"/>
      <c r="BI809" s="128"/>
      <c r="BJ809" s="128"/>
      <c r="BK809" s="128"/>
      <c r="BL809" s="128"/>
      <c r="BM809" s="151"/>
      <c r="BN809" s="128"/>
      <c r="BO809" s="128"/>
      <c r="BP809" s="128"/>
      <c r="BQ809" s="128"/>
      <c r="BR809" s="128"/>
      <c r="BS809" s="128"/>
      <c r="BT809" s="128"/>
      <c r="BU809" s="128"/>
      <c r="BV809" s="128"/>
      <c r="BW809" s="128"/>
      <c r="BX809" s="128"/>
      <c r="BY809" s="128"/>
      <c r="BZ809" s="128"/>
      <c r="CA809" s="128"/>
      <c r="CB809" s="128"/>
      <c r="CC809" s="128"/>
      <c r="CD809" s="128"/>
      <c r="CE809" s="128"/>
      <c r="CF809" s="128"/>
      <c r="CG809" s="128"/>
      <c r="CH809" s="128"/>
      <c r="CI809" s="128"/>
      <c r="CJ809" s="128"/>
      <c r="CK809" s="128"/>
      <c r="CL809" s="128"/>
      <c r="CM809" s="128"/>
      <c r="CN809" s="128"/>
      <c r="CO809" s="128"/>
      <c r="CP809" s="128"/>
      <c r="CQ809" s="128"/>
      <c r="CR809" s="128"/>
      <c r="CS809" s="128"/>
      <c r="CT809" s="128"/>
      <c r="CU809" s="128"/>
      <c r="CV809" s="128"/>
      <c r="CW809" s="128"/>
      <c r="CX809" s="128"/>
      <c r="CY809" s="128"/>
      <c r="CZ809" s="128"/>
    </row>
    <row r="810" spans="1:104">
      <c r="A810" s="128"/>
      <c r="B810" s="128"/>
      <c r="C810" s="128"/>
      <c r="D810" s="112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  <c r="AV810" s="128"/>
      <c r="AW810" s="128"/>
      <c r="AX810" s="128"/>
      <c r="AY810" s="128"/>
      <c r="AZ810" s="128"/>
      <c r="BA810" s="128"/>
      <c r="BB810" s="128"/>
      <c r="BC810" s="128"/>
      <c r="BD810" s="128"/>
      <c r="BE810" s="128"/>
      <c r="BF810" s="128"/>
      <c r="BG810" s="128"/>
      <c r="BH810" s="128"/>
      <c r="BI810" s="128"/>
      <c r="BJ810" s="128"/>
      <c r="BK810" s="128"/>
      <c r="BL810" s="128"/>
      <c r="BM810" s="151"/>
      <c r="BN810" s="128"/>
      <c r="BO810" s="128"/>
      <c r="BP810" s="128"/>
      <c r="BQ810" s="128"/>
      <c r="BR810" s="128"/>
      <c r="BS810" s="128"/>
      <c r="BT810" s="128"/>
      <c r="BU810" s="128"/>
      <c r="BV810" s="128"/>
      <c r="BW810" s="128"/>
      <c r="BX810" s="128"/>
      <c r="BY810" s="128"/>
      <c r="BZ810" s="128"/>
      <c r="CA810" s="128"/>
      <c r="CB810" s="128"/>
      <c r="CC810" s="128"/>
      <c r="CD810" s="128"/>
      <c r="CE810" s="128"/>
      <c r="CF810" s="128"/>
      <c r="CG810" s="128"/>
      <c r="CH810" s="128"/>
      <c r="CI810" s="128"/>
      <c r="CJ810" s="128"/>
      <c r="CK810" s="128"/>
      <c r="CL810" s="128"/>
      <c r="CM810" s="128"/>
      <c r="CN810" s="128"/>
      <c r="CO810" s="128"/>
      <c r="CP810" s="128"/>
      <c r="CQ810" s="128"/>
      <c r="CR810" s="128"/>
      <c r="CS810" s="128"/>
      <c r="CT810" s="128"/>
      <c r="CU810" s="128"/>
      <c r="CV810" s="128"/>
      <c r="CW810" s="128"/>
      <c r="CX810" s="128"/>
      <c r="CY810" s="128"/>
      <c r="CZ810" s="128"/>
    </row>
    <row r="811" spans="1:104">
      <c r="A811" s="128"/>
      <c r="B811" s="128"/>
      <c r="C811" s="128"/>
      <c r="D811" s="112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  <c r="AV811" s="128"/>
      <c r="AW811" s="128"/>
      <c r="AX811" s="128"/>
      <c r="AY811" s="128"/>
      <c r="AZ811" s="128"/>
      <c r="BA811" s="128"/>
      <c r="BB811" s="128"/>
      <c r="BC811" s="128"/>
      <c r="BD811" s="128"/>
      <c r="BE811" s="128"/>
      <c r="BF811" s="128"/>
      <c r="BG811" s="128"/>
      <c r="BH811" s="128"/>
      <c r="BI811" s="128"/>
      <c r="BJ811" s="128"/>
      <c r="BK811" s="128"/>
      <c r="BL811" s="128"/>
      <c r="BM811" s="151"/>
      <c r="BN811" s="128"/>
      <c r="BO811" s="128"/>
      <c r="BP811" s="128"/>
      <c r="BQ811" s="128"/>
      <c r="BR811" s="128"/>
      <c r="BS811" s="128"/>
      <c r="BT811" s="128"/>
      <c r="BU811" s="128"/>
      <c r="BV811" s="128"/>
      <c r="BW811" s="128"/>
      <c r="BX811" s="128"/>
      <c r="BY811" s="128"/>
      <c r="BZ811" s="128"/>
      <c r="CA811" s="128"/>
      <c r="CB811" s="128"/>
      <c r="CC811" s="128"/>
      <c r="CD811" s="128"/>
      <c r="CE811" s="128"/>
      <c r="CF811" s="128"/>
      <c r="CG811" s="128"/>
      <c r="CH811" s="128"/>
      <c r="CI811" s="128"/>
      <c r="CJ811" s="128"/>
      <c r="CK811" s="128"/>
      <c r="CL811" s="128"/>
      <c r="CM811" s="128"/>
      <c r="CN811" s="128"/>
      <c r="CO811" s="128"/>
      <c r="CP811" s="128"/>
      <c r="CQ811" s="128"/>
      <c r="CR811" s="128"/>
      <c r="CS811" s="128"/>
      <c r="CT811" s="128"/>
      <c r="CU811" s="128"/>
      <c r="CV811" s="128"/>
      <c r="CW811" s="128"/>
      <c r="CX811" s="128"/>
      <c r="CY811" s="128"/>
      <c r="CZ811" s="128"/>
    </row>
    <row r="812" spans="1:104">
      <c r="A812" s="128"/>
      <c r="B812" s="128"/>
      <c r="C812" s="128"/>
      <c r="D812" s="112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  <c r="AV812" s="128"/>
      <c r="AW812" s="128"/>
      <c r="AX812" s="128"/>
      <c r="AY812" s="128"/>
      <c r="AZ812" s="128"/>
      <c r="BA812" s="128"/>
      <c r="BB812" s="128"/>
      <c r="BC812" s="128"/>
      <c r="BD812" s="128"/>
      <c r="BE812" s="128"/>
      <c r="BF812" s="128"/>
      <c r="BG812" s="128"/>
      <c r="BH812" s="128"/>
      <c r="BI812" s="128"/>
      <c r="BJ812" s="128"/>
      <c r="BK812" s="128"/>
      <c r="BL812" s="128"/>
      <c r="BM812" s="151"/>
      <c r="BN812" s="128"/>
      <c r="BO812" s="128"/>
      <c r="BP812" s="128"/>
      <c r="BQ812" s="128"/>
      <c r="BR812" s="128"/>
      <c r="BS812" s="128"/>
      <c r="BT812" s="128"/>
      <c r="BU812" s="128"/>
      <c r="BV812" s="128"/>
      <c r="BW812" s="128"/>
      <c r="BX812" s="128"/>
      <c r="BY812" s="128"/>
      <c r="BZ812" s="128"/>
      <c r="CA812" s="128"/>
      <c r="CB812" s="128"/>
      <c r="CC812" s="128"/>
      <c r="CD812" s="128"/>
      <c r="CE812" s="128"/>
      <c r="CF812" s="128"/>
      <c r="CG812" s="128"/>
      <c r="CH812" s="128"/>
      <c r="CI812" s="128"/>
      <c r="CJ812" s="128"/>
      <c r="CK812" s="128"/>
      <c r="CL812" s="128"/>
      <c r="CM812" s="128"/>
      <c r="CN812" s="128"/>
      <c r="CO812" s="128"/>
      <c r="CP812" s="128"/>
      <c r="CQ812" s="128"/>
      <c r="CR812" s="128"/>
      <c r="CS812" s="128"/>
      <c r="CT812" s="128"/>
      <c r="CU812" s="128"/>
      <c r="CV812" s="128"/>
      <c r="CW812" s="128"/>
      <c r="CX812" s="128"/>
      <c r="CY812" s="128"/>
      <c r="CZ812" s="128"/>
    </row>
    <row r="813" spans="1:104">
      <c r="A813" s="128"/>
      <c r="B813" s="128"/>
      <c r="C813" s="128"/>
      <c r="D813" s="112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  <c r="AV813" s="128"/>
      <c r="AW813" s="128"/>
      <c r="AX813" s="128"/>
      <c r="AY813" s="128"/>
      <c r="AZ813" s="128"/>
      <c r="BA813" s="128"/>
      <c r="BB813" s="128"/>
      <c r="BC813" s="128"/>
      <c r="BD813" s="128"/>
      <c r="BE813" s="128"/>
      <c r="BF813" s="128"/>
      <c r="BG813" s="128"/>
      <c r="BH813" s="128"/>
      <c r="BI813" s="128"/>
      <c r="BJ813" s="128"/>
      <c r="BK813" s="128"/>
      <c r="BL813" s="128"/>
      <c r="BM813" s="151"/>
      <c r="BN813" s="128"/>
      <c r="BO813" s="128"/>
      <c r="BP813" s="128"/>
      <c r="BQ813" s="128"/>
      <c r="BR813" s="128"/>
      <c r="BS813" s="128"/>
      <c r="BT813" s="128"/>
      <c r="BU813" s="128"/>
      <c r="BV813" s="128"/>
      <c r="BW813" s="128"/>
      <c r="BX813" s="128"/>
      <c r="BY813" s="128"/>
      <c r="BZ813" s="128"/>
      <c r="CA813" s="128"/>
      <c r="CB813" s="128"/>
      <c r="CC813" s="128"/>
      <c r="CD813" s="128"/>
      <c r="CE813" s="128"/>
      <c r="CF813" s="128"/>
      <c r="CG813" s="128"/>
      <c r="CH813" s="128"/>
      <c r="CI813" s="128"/>
      <c r="CJ813" s="128"/>
      <c r="CK813" s="128"/>
      <c r="CL813" s="128"/>
      <c r="CM813" s="128"/>
      <c r="CN813" s="128"/>
      <c r="CO813" s="128"/>
      <c r="CP813" s="128"/>
      <c r="CQ813" s="128"/>
      <c r="CR813" s="128"/>
      <c r="CS813" s="128"/>
      <c r="CT813" s="128"/>
      <c r="CU813" s="128"/>
      <c r="CV813" s="128"/>
      <c r="CW813" s="128"/>
      <c r="CX813" s="128"/>
      <c r="CY813" s="128"/>
      <c r="CZ813" s="128"/>
    </row>
    <row r="814" spans="1:104">
      <c r="A814" s="128"/>
      <c r="B814" s="128"/>
      <c r="C814" s="128"/>
      <c r="D814" s="112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  <c r="AV814" s="128"/>
      <c r="AW814" s="128"/>
      <c r="AX814" s="128"/>
      <c r="AY814" s="128"/>
      <c r="AZ814" s="128"/>
      <c r="BA814" s="128"/>
      <c r="BB814" s="128"/>
      <c r="BC814" s="128"/>
      <c r="BD814" s="128"/>
      <c r="BE814" s="128"/>
      <c r="BF814" s="128"/>
      <c r="BG814" s="128"/>
      <c r="BH814" s="128"/>
      <c r="BI814" s="128"/>
      <c r="BJ814" s="128"/>
      <c r="BK814" s="128"/>
      <c r="BL814" s="128"/>
      <c r="BM814" s="151"/>
      <c r="BN814" s="128"/>
      <c r="BO814" s="128"/>
      <c r="BP814" s="128"/>
      <c r="BQ814" s="128"/>
      <c r="BR814" s="128"/>
      <c r="BS814" s="128"/>
      <c r="BT814" s="128"/>
      <c r="BU814" s="128"/>
      <c r="BV814" s="128"/>
      <c r="BW814" s="128"/>
      <c r="BX814" s="128"/>
      <c r="BY814" s="128"/>
      <c r="BZ814" s="128"/>
      <c r="CA814" s="128"/>
      <c r="CB814" s="128"/>
      <c r="CC814" s="128"/>
      <c r="CD814" s="128"/>
      <c r="CE814" s="128"/>
      <c r="CF814" s="128"/>
      <c r="CG814" s="128"/>
      <c r="CH814" s="128"/>
      <c r="CI814" s="128"/>
      <c r="CJ814" s="128"/>
      <c r="CK814" s="128"/>
      <c r="CL814" s="128"/>
      <c r="CM814" s="128"/>
      <c r="CN814" s="128"/>
      <c r="CO814" s="128"/>
      <c r="CP814" s="128"/>
      <c r="CQ814" s="128"/>
      <c r="CR814" s="128"/>
      <c r="CS814" s="128"/>
      <c r="CT814" s="128"/>
      <c r="CU814" s="128"/>
      <c r="CV814" s="128"/>
      <c r="CW814" s="128"/>
      <c r="CX814" s="128"/>
      <c r="CY814" s="128"/>
      <c r="CZ814" s="128"/>
    </row>
    <row r="815" spans="1:104">
      <c r="A815" s="128"/>
      <c r="B815" s="128"/>
      <c r="C815" s="128"/>
      <c r="D815" s="112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  <c r="AV815" s="128"/>
      <c r="AW815" s="128"/>
      <c r="AX815" s="128"/>
      <c r="AY815" s="128"/>
      <c r="AZ815" s="128"/>
      <c r="BA815" s="128"/>
      <c r="BB815" s="128"/>
      <c r="BC815" s="128"/>
      <c r="BD815" s="128"/>
      <c r="BE815" s="128"/>
      <c r="BF815" s="128"/>
      <c r="BG815" s="128"/>
      <c r="BH815" s="128"/>
      <c r="BI815" s="128"/>
      <c r="BJ815" s="128"/>
      <c r="BK815" s="128"/>
      <c r="BL815" s="128"/>
      <c r="BM815" s="151"/>
      <c r="BN815" s="128"/>
      <c r="BO815" s="128"/>
      <c r="BP815" s="128"/>
      <c r="BQ815" s="128"/>
      <c r="BR815" s="128"/>
      <c r="BS815" s="128"/>
      <c r="BT815" s="128"/>
      <c r="BU815" s="128"/>
      <c r="BV815" s="128"/>
      <c r="BW815" s="128"/>
      <c r="BX815" s="128"/>
      <c r="BY815" s="128"/>
      <c r="BZ815" s="128"/>
      <c r="CA815" s="128"/>
      <c r="CB815" s="128"/>
      <c r="CC815" s="128"/>
      <c r="CD815" s="128"/>
      <c r="CE815" s="128"/>
      <c r="CF815" s="128"/>
      <c r="CG815" s="128"/>
      <c r="CH815" s="128"/>
      <c r="CI815" s="128"/>
      <c r="CJ815" s="128"/>
      <c r="CK815" s="128"/>
      <c r="CL815" s="128"/>
      <c r="CM815" s="128"/>
      <c r="CN815" s="128"/>
      <c r="CO815" s="128"/>
      <c r="CP815" s="128"/>
      <c r="CQ815" s="128"/>
      <c r="CR815" s="128"/>
      <c r="CS815" s="128"/>
      <c r="CT815" s="128"/>
      <c r="CU815" s="128"/>
      <c r="CV815" s="128"/>
      <c r="CW815" s="128"/>
      <c r="CX815" s="128"/>
      <c r="CY815" s="128"/>
      <c r="CZ815" s="128"/>
    </row>
    <row r="816" spans="1:104">
      <c r="A816" s="128"/>
      <c r="B816" s="128"/>
      <c r="C816" s="128"/>
      <c r="D816" s="112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  <c r="AV816" s="128"/>
      <c r="AW816" s="128"/>
      <c r="AX816" s="128"/>
      <c r="AY816" s="128"/>
      <c r="AZ816" s="128"/>
      <c r="BA816" s="128"/>
      <c r="BB816" s="128"/>
      <c r="BC816" s="128"/>
      <c r="BD816" s="128"/>
      <c r="BE816" s="128"/>
      <c r="BF816" s="128"/>
      <c r="BG816" s="128"/>
      <c r="BH816" s="128"/>
      <c r="BI816" s="128"/>
      <c r="BJ816" s="128"/>
      <c r="BK816" s="128"/>
      <c r="BL816" s="128"/>
      <c r="BM816" s="151"/>
      <c r="BN816" s="128"/>
      <c r="BO816" s="128"/>
      <c r="BP816" s="128"/>
      <c r="BQ816" s="128"/>
      <c r="BR816" s="128"/>
      <c r="BS816" s="128"/>
      <c r="BT816" s="128"/>
      <c r="BU816" s="128"/>
      <c r="BV816" s="128"/>
      <c r="BW816" s="128"/>
      <c r="BX816" s="128"/>
      <c r="BY816" s="128"/>
      <c r="BZ816" s="128"/>
      <c r="CA816" s="128"/>
      <c r="CB816" s="128"/>
      <c r="CC816" s="128"/>
      <c r="CD816" s="128"/>
      <c r="CE816" s="128"/>
      <c r="CF816" s="128"/>
      <c r="CG816" s="128"/>
      <c r="CH816" s="128"/>
      <c r="CI816" s="128"/>
      <c r="CJ816" s="128"/>
      <c r="CK816" s="128"/>
      <c r="CL816" s="128"/>
      <c r="CM816" s="128"/>
      <c r="CN816" s="128"/>
      <c r="CO816" s="128"/>
      <c r="CP816" s="128"/>
      <c r="CQ816" s="128"/>
      <c r="CR816" s="128"/>
      <c r="CS816" s="128"/>
      <c r="CT816" s="128"/>
      <c r="CU816" s="128"/>
      <c r="CV816" s="128"/>
      <c r="CW816" s="128"/>
      <c r="CX816" s="128"/>
      <c r="CY816" s="128"/>
      <c r="CZ816" s="128"/>
    </row>
    <row r="817" spans="1:104">
      <c r="A817" s="128"/>
      <c r="B817" s="128"/>
      <c r="C817" s="128"/>
      <c r="D817" s="112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  <c r="AV817" s="128"/>
      <c r="AW817" s="128"/>
      <c r="AX817" s="128"/>
      <c r="AY817" s="128"/>
      <c r="AZ817" s="128"/>
      <c r="BA817" s="128"/>
      <c r="BB817" s="128"/>
      <c r="BC817" s="128"/>
      <c r="BD817" s="128"/>
      <c r="BE817" s="128"/>
      <c r="BF817" s="128"/>
      <c r="BG817" s="128"/>
      <c r="BH817" s="128"/>
      <c r="BI817" s="128"/>
      <c r="BJ817" s="128"/>
      <c r="BK817" s="128"/>
      <c r="BL817" s="128"/>
      <c r="BM817" s="151"/>
      <c r="BN817" s="128"/>
      <c r="BO817" s="128"/>
      <c r="BP817" s="128"/>
      <c r="BQ817" s="128"/>
      <c r="BR817" s="128"/>
      <c r="BS817" s="128"/>
      <c r="BT817" s="128"/>
      <c r="BU817" s="128"/>
      <c r="BV817" s="128"/>
      <c r="BW817" s="128"/>
      <c r="BX817" s="128"/>
      <c r="BY817" s="128"/>
      <c r="BZ817" s="128"/>
      <c r="CA817" s="128"/>
      <c r="CB817" s="128"/>
      <c r="CC817" s="128"/>
      <c r="CD817" s="128"/>
      <c r="CE817" s="128"/>
      <c r="CF817" s="128"/>
      <c r="CG817" s="128"/>
      <c r="CH817" s="128"/>
      <c r="CI817" s="128"/>
      <c r="CJ817" s="128"/>
      <c r="CK817" s="128"/>
      <c r="CL817" s="128"/>
      <c r="CM817" s="128"/>
      <c r="CN817" s="128"/>
      <c r="CO817" s="128"/>
      <c r="CP817" s="128"/>
      <c r="CQ817" s="128"/>
      <c r="CR817" s="128"/>
      <c r="CS817" s="128"/>
      <c r="CT817" s="128"/>
      <c r="CU817" s="128"/>
      <c r="CV817" s="128"/>
      <c r="CW817" s="128"/>
      <c r="CX817" s="128"/>
      <c r="CY817" s="128"/>
      <c r="CZ817" s="128"/>
    </row>
    <row r="818" spans="1:104">
      <c r="A818" s="128"/>
      <c r="B818" s="128"/>
      <c r="C818" s="128"/>
      <c r="D818" s="112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  <c r="AV818" s="128"/>
      <c r="AW818" s="128"/>
      <c r="AX818" s="128"/>
      <c r="AY818" s="128"/>
      <c r="AZ818" s="128"/>
      <c r="BA818" s="128"/>
      <c r="BB818" s="128"/>
      <c r="BC818" s="128"/>
      <c r="BD818" s="128"/>
      <c r="BE818" s="128"/>
      <c r="BF818" s="128"/>
      <c r="BG818" s="128"/>
      <c r="BH818" s="128"/>
      <c r="BI818" s="128"/>
      <c r="BJ818" s="128"/>
      <c r="BK818" s="128"/>
      <c r="BL818" s="128"/>
      <c r="BM818" s="151"/>
      <c r="BN818" s="128"/>
      <c r="BO818" s="128"/>
      <c r="BP818" s="128"/>
      <c r="BQ818" s="128"/>
      <c r="BR818" s="128"/>
      <c r="BS818" s="128"/>
      <c r="BT818" s="128"/>
      <c r="BU818" s="128"/>
      <c r="BV818" s="128"/>
      <c r="BW818" s="128"/>
      <c r="BX818" s="128"/>
      <c r="BY818" s="128"/>
      <c r="BZ818" s="128"/>
      <c r="CA818" s="128"/>
      <c r="CB818" s="128"/>
      <c r="CC818" s="128"/>
      <c r="CD818" s="128"/>
      <c r="CE818" s="128"/>
      <c r="CF818" s="128"/>
      <c r="CG818" s="128"/>
      <c r="CH818" s="128"/>
      <c r="CI818" s="128"/>
      <c r="CJ818" s="128"/>
      <c r="CK818" s="128"/>
      <c r="CL818" s="128"/>
      <c r="CM818" s="128"/>
      <c r="CN818" s="128"/>
      <c r="CO818" s="128"/>
      <c r="CP818" s="128"/>
      <c r="CQ818" s="128"/>
      <c r="CR818" s="128"/>
      <c r="CS818" s="128"/>
      <c r="CT818" s="128"/>
      <c r="CU818" s="128"/>
      <c r="CV818" s="128"/>
      <c r="CW818" s="128"/>
      <c r="CX818" s="128"/>
      <c r="CY818" s="128"/>
      <c r="CZ818" s="128"/>
    </row>
    <row r="819" spans="1:104">
      <c r="A819" s="128"/>
      <c r="B819" s="128"/>
      <c r="C819" s="128"/>
      <c r="D819" s="112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  <c r="AV819" s="128"/>
      <c r="AW819" s="128"/>
      <c r="AX819" s="128"/>
      <c r="AY819" s="128"/>
      <c r="AZ819" s="128"/>
      <c r="BA819" s="128"/>
      <c r="BB819" s="128"/>
      <c r="BC819" s="128"/>
      <c r="BD819" s="128"/>
      <c r="BE819" s="128"/>
      <c r="BF819" s="128"/>
      <c r="BG819" s="128"/>
      <c r="BH819" s="128"/>
      <c r="BI819" s="128"/>
      <c r="BJ819" s="128"/>
      <c r="BK819" s="128"/>
      <c r="BL819" s="128"/>
      <c r="BM819" s="151"/>
      <c r="BN819" s="128"/>
      <c r="BO819" s="128"/>
      <c r="BP819" s="128"/>
      <c r="BQ819" s="128"/>
      <c r="BR819" s="128"/>
      <c r="BS819" s="128"/>
      <c r="BT819" s="128"/>
      <c r="BU819" s="128"/>
      <c r="BV819" s="128"/>
      <c r="BW819" s="128"/>
      <c r="BX819" s="128"/>
      <c r="BY819" s="128"/>
      <c r="BZ819" s="128"/>
      <c r="CA819" s="128"/>
      <c r="CB819" s="128"/>
      <c r="CC819" s="128"/>
      <c r="CD819" s="128"/>
      <c r="CE819" s="128"/>
      <c r="CF819" s="128"/>
      <c r="CG819" s="128"/>
      <c r="CH819" s="128"/>
      <c r="CI819" s="128"/>
      <c r="CJ819" s="128"/>
      <c r="CK819" s="128"/>
      <c r="CL819" s="128"/>
      <c r="CM819" s="128"/>
      <c r="CN819" s="128"/>
      <c r="CO819" s="128"/>
      <c r="CP819" s="128"/>
      <c r="CQ819" s="128"/>
      <c r="CR819" s="128"/>
      <c r="CS819" s="128"/>
      <c r="CT819" s="128"/>
      <c r="CU819" s="128"/>
      <c r="CV819" s="128"/>
      <c r="CW819" s="128"/>
      <c r="CX819" s="128"/>
      <c r="CY819" s="128"/>
      <c r="CZ819" s="128"/>
    </row>
    <row r="820" spans="1:104">
      <c r="A820" s="128"/>
      <c r="B820" s="128"/>
      <c r="C820" s="128"/>
      <c r="D820" s="112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  <c r="AV820" s="128"/>
      <c r="AW820" s="128"/>
      <c r="AX820" s="128"/>
      <c r="AY820" s="128"/>
      <c r="AZ820" s="128"/>
      <c r="BA820" s="128"/>
      <c r="BB820" s="128"/>
      <c r="BC820" s="128"/>
      <c r="BD820" s="128"/>
      <c r="BE820" s="128"/>
      <c r="BF820" s="128"/>
      <c r="BG820" s="128"/>
      <c r="BH820" s="128"/>
      <c r="BI820" s="128"/>
      <c r="BJ820" s="128"/>
      <c r="BK820" s="128"/>
      <c r="BL820" s="128"/>
      <c r="BM820" s="151"/>
      <c r="BN820" s="128"/>
      <c r="BO820" s="128"/>
      <c r="BP820" s="128"/>
      <c r="BQ820" s="128"/>
      <c r="BR820" s="128"/>
      <c r="BS820" s="128"/>
      <c r="BT820" s="128"/>
      <c r="BU820" s="128"/>
      <c r="BV820" s="128"/>
      <c r="BW820" s="128"/>
      <c r="BX820" s="128"/>
      <c r="BY820" s="128"/>
      <c r="BZ820" s="128"/>
      <c r="CA820" s="128"/>
      <c r="CB820" s="128"/>
      <c r="CC820" s="128"/>
      <c r="CD820" s="128"/>
      <c r="CE820" s="128"/>
      <c r="CF820" s="128"/>
      <c r="CG820" s="128"/>
      <c r="CH820" s="128"/>
      <c r="CI820" s="128"/>
      <c r="CJ820" s="128"/>
      <c r="CK820" s="128"/>
      <c r="CL820" s="128"/>
      <c r="CM820" s="128"/>
      <c r="CN820" s="128"/>
      <c r="CO820" s="128"/>
      <c r="CP820" s="128"/>
      <c r="CQ820" s="128"/>
      <c r="CR820" s="128"/>
      <c r="CS820" s="128"/>
      <c r="CT820" s="128"/>
      <c r="CU820" s="128"/>
      <c r="CV820" s="128"/>
      <c r="CW820" s="128"/>
      <c r="CX820" s="128"/>
      <c r="CY820" s="128"/>
      <c r="CZ820" s="128"/>
    </row>
    <row r="821" spans="1:104">
      <c r="A821" s="128"/>
      <c r="B821" s="128"/>
      <c r="C821" s="128"/>
      <c r="D821" s="112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  <c r="AV821" s="128"/>
      <c r="AW821" s="128"/>
      <c r="AX821" s="128"/>
      <c r="AY821" s="128"/>
      <c r="AZ821" s="128"/>
      <c r="BA821" s="128"/>
      <c r="BB821" s="128"/>
      <c r="BC821" s="128"/>
      <c r="BD821" s="128"/>
      <c r="BE821" s="128"/>
      <c r="BF821" s="128"/>
      <c r="BG821" s="128"/>
      <c r="BH821" s="128"/>
      <c r="BI821" s="128"/>
      <c r="BJ821" s="128"/>
      <c r="BK821" s="128"/>
      <c r="BL821" s="128"/>
      <c r="BM821" s="151"/>
      <c r="BN821" s="128"/>
      <c r="BO821" s="128"/>
      <c r="BP821" s="128"/>
      <c r="BQ821" s="128"/>
      <c r="BR821" s="128"/>
      <c r="BS821" s="128"/>
      <c r="BT821" s="128"/>
      <c r="BU821" s="128"/>
      <c r="BV821" s="128"/>
      <c r="BW821" s="128"/>
      <c r="BX821" s="128"/>
      <c r="BY821" s="128"/>
      <c r="BZ821" s="128"/>
      <c r="CA821" s="128"/>
      <c r="CB821" s="128"/>
      <c r="CC821" s="128"/>
      <c r="CD821" s="128"/>
      <c r="CE821" s="128"/>
      <c r="CF821" s="128"/>
      <c r="CG821" s="128"/>
      <c r="CH821" s="128"/>
      <c r="CI821" s="128"/>
      <c r="CJ821" s="128"/>
      <c r="CK821" s="128"/>
      <c r="CL821" s="128"/>
      <c r="CM821" s="128"/>
      <c r="CN821" s="128"/>
      <c r="CO821" s="128"/>
      <c r="CP821" s="128"/>
      <c r="CQ821" s="128"/>
      <c r="CR821" s="128"/>
      <c r="CS821" s="128"/>
      <c r="CT821" s="128"/>
      <c r="CU821" s="128"/>
      <c r="CV821" s="128"/>
      <c r="CW821" s="128"/>
      <c r="CX821" s="128"/>
      <c r="CY821" s="128"/>
      <c r="CZ821" s="128"/>
    </row>
    <row r="822" spans="1:104">
      <c r="A822" s="128"/>
      <c r="B822" s="128"/>
      <c r="C822" s="128"/>
      <c r="D822" s="112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  <c r="AV822" s="128"/>
      <c r="AW822" s="128"/>
      <c r="AX822" s="128"/>
      <c r="AY822" s="128"/>
      <c r="AZ822" s="128"/>
      <c r="BA822" s="128"/>
      <c r="BB822" s="128"/>
      <c r="BC822" s="128"/>
      <c r="BD822" s="128"/>
      <c r="BE822" s="128"/>
      <c r="BF822" s="128"/>
      <c r="BG822" s="128"/>
      <c r="BH822" s="128"/>
      <c r="BI822" s="128"/>
      <c r="BJ822" s="128"/>
      <c r="BK822" s="128"/>
      <c r="BL822" s="128"/>
      <c r="BM822" s="151"/>
      <c r="BN822" s="128"/>
      <c r="BO822" s="128"/>
      <c r="BP822" s="128"/>
      <c r="BQ822" s="128"/>
      <c r="BR822" s="128"/>
      <c r="BS822" s="128"/>
      <c r="BT822" s="128"/>
      <c r="BU822" s="128"/>
      <c r="BV822" s="128"/>
      <c r="BW822" s="128"/>
      <c r="BX822" s="128"/>
      <c r="BY822" s="128"/>
      <c r="BZ822" s="128"/>
      <c r="CA822" s="128"/>
      <c r="CB822" s="128"/>
      <c r="CC822" s="128"/>
      <c r="CD822" s="128"/>
      <c r="CE822" s="128"/>
      <c r="CF822" s="128"/>
      <c r="CG822" s="128"/>
      <c r="CH822" s="128"/>
      <c r="CI822" s="128"/>
      <c r="CJ822" s="128"/>
      <c r="CK822" s="128"/>
      <c r="CL822" s="128"/>
      <c r="CM822" s="128"/>
      <c r="CN822" s="128"/>
      <c r="CO822" s="128"/>
      <c r="CP822" s="128"/>
      <c r="CQ822" s="128"/>
      <c r="CR822" s="128"/>
      <c r="CS822" s="128"/>
      <c r="CT822" s="128"/>
      <c r="CU822" s="128"/>
      <c r="CV822" s="128"/>
      <c r="CW822" s="128"/>
      <c r="CX822" s="128"/>
      <c r="CY822" s="128"/>
      <c r="CZ822" s="128"/>
    </row>
    <row r="823" spans="1:104">
      <c r="A823" s="128"/>
      <c r="B823" s="128"/>
      <c r="C823" s="128"/>
      <c r="D823" s="112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  <c r="AV823" s="128"/>
      <c r="AW823" s="128"/>
      <c r="AX823" s="128"/>
      <c r="AY823" s="128"/>
      <c r="AZ823" s="128"/>
      <c r="BA823" s="128"/>
      <c r="BB823" s="128"/>
      <c r="BC823" s="128"/>
      <c r="BD823" s="128"/>
      <c r="BE823" s="128"/>
      <c r="BF823" s="128"/>
      <c r="BG823" s="128"/>
      <c r="BH823" s="128"/>
      <c r="BI823" s="128"/>
      <c r="BJ823" s="128"/>
      <c r="BK823" s="128"/>
      <c r="BL823" s="128"/>
      <c r="BM823" s="151"/>
      <c r="BN823" s="128"/>
      <c r="BO823" s="128"/>
      <c r="BP823" s="128"/>
      <c r="BQ823" s="128"/>
      <c r="BR823" s="128"/>
      <c r="BS823" s="128"/>
      <c r="BT823" s="128"/>
      <c r="BU823" s="128"/>
      <c r="BV823" s="128"/>
      <c r="BW823" s="128"/>
      <c r="BX823" s="128"/>
      <c r="BY823" s="128"/>
      <c r="BZ823" s="128"/>
      <c r="CA823" s="128"/>
      <c r="CB823" s="128"/>
      <c r="CC823" s="128"/>
      <c r="CD823" s="128"/>
      <c r="CE823" s="128"/>
      <c r="CF823" s="128"/>
      <c r="CG823" s="128"/>
      <c r="CH823" s="128"/>
      <c r="CI823" s="128"/>
      <c r="CJ823" s="128"/>
      <c r="CK823" s="128"/>
      <c r="CL823" s="128"/>
      <c r="CM823" s="128"/>
      <c r="CN823" s="128"/>
      <c r="CO823" s="128"/>
      <c r="CP823" s="128"/>
      <c r="CQ823" s="128"/>
      <c r="CR823" s="128"/>
      <c r="CS823" s="128"/>
      <c r="CT823" s="128"/>
      <c r="CU823" s="128"/>
      <c r="CV823" s="128"/>
      <c r="CW823" s="128"/>
      <c r="CX823" s="128"/>
      <c r="CY823" s="128"/>
      <c r="CZ823" s="128"/>
    </row>
    <row r="824" spans="1:104">
      <c r="A824" s="128"/>
      <c r="B824" s="128"/>
      <c r="C824" s="128"/>
      <c r="D824" s="112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  <c r="AV824" s="128"/>
      <c r="AW824" s="128"/>
      <c r="AX824" s="128"/>
      <c r="AY824" s="128"/>
      <c r="AZ824" s="128"/>
      <c r="BA824" s="128"/>
      <c r="BB824" s="128"/>
      <c r="BC824" s="128"/>
      <c r="BD824" s="128"/>
      <c r="BE824" s="128"/>
      <c r="BF824" s="128"/>
      <c r="BG824" s="128"/>
      <c r="BH824" s="128"/>
      <c r="BI824" s="128"/>
      <c r="BJ824" s="128"/>
      <c r="BK824" s="128"/>
      <c r="BL824" s="128"/>
      <c r="BM824" s="151"/>
      <c r="BN824" s="128"/>
      <c r="BO824" s="128"/>
      <c r="BP824" s="128"/>
      <c r="BQ824" s="128"/>
      <c r="BR824" s="128"/>
      <c r="BS824" s="128"/>
      <c r="BT824" s="128"/>
      <c r="BU824" s="128"/>
      <c r="BV824" s="128"/>
      <c r="BW824" s="128"/>
      <c r="BX824" s="128"/>
      <c r="BY824" s="128"/>
      <c r="BZ824" s="128"/>
      <c r="CA824" s="128"/>
      <c r="CB824" s="128"/>
      <c r="CC824" s="128"/>
      <c r="CD824" s="128"/>
      <c r="CE824" s="128"/>
      <c r="CF824" s="128"/>
      <c r="CG824" s="128"/>
      <c r="CH824" s="128"/>
      <c r="CI824" s="128"/>
      <c r="CJ824" s="128"/>
      <c r="CK824" s="128"/>
      <c r="CL824" s="128"/>
      <c r="CM824" s="128"/>
      <c r="CN824" s="128"/>
      <c r="CO824" s="128"/>
      <c r="CP824" s="128"/>
      <c r="CQ824" s="128"/>
      <c r="CR824" s="128"/>
      <c r="CS824" s="128"/>
      <c r="CT824" s="128"/>
      <c r="CU824" s="128"/>
      <c r="CV824" s="128"/>
      <c r="CW824" s="128"/>
      <c r="CX824" s="128"/>
      <c r="CY824" s="128"/>
      <c r="CZ824" s="128"/>
    </row>
    <row r="825" spans="1:104">
      <c r="A825" s="128"/>
      <c r="B825" s="128"/>
      <c r="C825" s="128"/>
      <c r="D825" s="112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  <c r="AV825" s="128"/>
      <c r="AW825" s="128"/>
      <c r="AX825" s="128"/>
      <c r="AY825" s="128"/>
      <c r="AZ825" s="128"/>
      <c r="BA825" s="128"/>
      <c r="BB825" s="128"/>
      <c r="BC825" s="128"/>
      <c r="BD825" s="128"/>
      <c r="BE825" s="128"/>
      <c r="BF825" s="128"/>
      <c r="BG825" s="128"/>
      <c r="BH825" s="128"/>
      <c r="BI825" s="128"/>
      <c r="BJ825" s="128"/>
      <c r="BK825" s="128"/>
      <c r="BL825" s="128"/>
      <c r="BM825" s="151"/>
      <c r="BN825" s="128"/>
      <c r="BO825" s="128"/>
      <c r="BP825" s="128"/>
      <c r="BQ825" s="128"/>
      <c r="BR825" s="128"/>
      <c r="BS825" s="128"/>
      <c r="BT825" s="128"/>
      <c r="BU825" s="128"/>
      <c r="BV825" s="128"/>
      <c r="BW825" s="128"/>
      <c r="BX825" s="128"/>
      <c r="BY825" s="128"/>
      <c r="BZ825" s="128"/>
      <c r="CA825" s="128"/>
      <c r="CB825" s="128"/>
      <c r="CC825" s="128"/>
      <c r="CD825" s="128"/>
      <c r="CE825" s="128"/>
      <c r="CF825" s="128"/>
      <c r="CG825" s="128"/>
      <c r="CH825" s="128"/>
      <c r="CI825" s="128"/>
      <c r="CJ825" s="128"/>
      <c r="CK825" s="128"/>
      <c r="CL825" s="128"/>
      <c r="CM825" s="128"/>
      <c r="CN825" s="128"/>
      <c r="CO825" s="128"/>
      <c r="CP825" s="128"/>
      <c r="CQ825" s="128"/>
      <c r="CR825" s="128"/>
      <c r="CS825" s="128"/>
      <c r="CT825" s="128"/>
      <c r="CU825" s="128"/>
      <c r="CV825" s="128"/>
      <c r="CW825" s="128"/>
      <c r="CX825" s="128"/>
      <c r="CY825" s="128"/>
      <c r="CZ825" s="128"/>
    </row>
    <row r="826" spans="1:104">
      <c r="A826" s="128"/>
      <c r="B826" s="128"/>
      <c r="C826" s="128"/>
      <c r="D826" s="112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  <c r="AV826" s="128"/>
      <c r="AW826" s="128"/>
      <c r="AX826" s="128"/>
      <c r="AY826" s="128"/>
      <c r="AZ826" s="128"/>
      <c r="BA826" s="128"/>
      <c r="BB826" s="128"/>
      <c r="BC826" s="128"/>
      <c r="BD826" s="128"/>
      <c r="BE826" s="128"/>
      <c r="BF826" s="128"/>
      <c r="BG826" s="128"/>
      <c r="BH826" s="128"/>
      <c r="BI826" s="128"/>
      <c r="BJ826" s="128"/>
      <c r="BK826" s="128"/>
      <c r="BL826" s="128"/>
      <c r="BM826" s="151"/>
      <c r="BN826" s="128"/>
      <c r="BO826" s="128"/>
      <c r="BP826" s="128"/>
      <c r="BQ826" s="128"/>
      <c r="BR826" s="128"/>
      <c r="BS826" s="128"/>
      <c r="BT826" s="128"/>
      <c r="BU826" s="128"/>
      <c r="BV826" s="128"/>
      <c r="BW826" s="128"/>
      <c r="BX826" s="128"/>
      <c r="BY826" s="128"/>
      <c r="BZ826" s="128"/>
      <c r="CA826" s="128"/>
      <c r="CB826" s="128"/>
      <c r="CC826" s="128"/>
      <c r="CD826" s="128"/>
      <c r="CE826" s="128"/>
      <c r="CF826" s="128"/>
      <c r="CG826" s="128"/>
      <c r="CH826" s="128"/>
      <c r="CI826" s="128"/>
      <c r="CJ826" s="128"/>
      <c r="CK826" s="128"/>
      <c r="CL826" s="128"/>
      <c r="CM826" s="128"/>
      <c r="CN826" s="128"/>
      <c r="CO826" s="128"/>
      <c r="CP826" s="128"/>
      <c r="CQ826" s="128"/>
      <c r="CR826" s="128"/>
      <c r="CS826" s="128"/>
      <c r="CT826" s="128"/>
      <c r="CU826" s="128"/>
      <c r="CV826" s="128"/>
      <c r="CW826" s="128"/>
      <c r="CX826" s="128"/>
      <c r="CY826" s="128"/>
      <c r="CZ826" s="128"/>
    </row>
    <row r="827" spans="1:104">
      <c r="A827" s="128"/>
      <c r="B827" s="128"/>
      <c r="C827" s="128"/>
      <c r="D827" s="112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  <c r="AV827" s="128"/>
      <c r="AW827" s="128"/>
      <c r="AX827" s="128"/>
      <c r="AY827" s="128"/>
      <c r="AZ827" s="128"/>
      <c r="BA827" s="128"/>
      <c r="BB827" s="128"/>
      <c r="BC827" s="128"/>
      <c r="BD827" s="128"/>
      <c r="BE827" s="128"/>
      <c r="BF827" s="128"/>
      <c r="BG827" s="128"/>
      <c r="BH827" s="128"/>
      <c r="BI827" s="128"/>
      <c r="BJ827" s="128"/>
      <c r="BK827" s="128"/>
      <c r="BL827" s="128"/>
      <c r="BM827" s="151"/>
      <c r="BN827" s="128"/>
      <c r="BO827" s="128"/>
      <c r="BP827" s="128"/>
      <c r="BQ827" s="128"/>
      <c r="BR827" s="128"/>
      <c r="BS827" s="128"/>
      <c r="BT827" s="128"/>
      <c r="BU827" s="128"/>
      <c r="BV827" s="128"/>
      <c r="BW827" s="128"/>
      <c r="BX827" s="128"/>
      <c r="BY827" s="128"/>
      <c r="BZ827" s="128"/>
      <c r="CA827" s="128"/>
      <c r="CB827" s="128"/>
      <c r="CC827" s="128"/>
      <c r="CD827" s="128"/>
      <c r="CE827" s="128"/>
      <c r="CF827" s="128"/>
      <c r="CG827" s="128"/>
      <c r="CH827" s="128"/>
      <c r="CI827" s="128"/>
      <c r="CJ827" s="128"/>
      <c r="CK827" s="128"/>
      <c r="CL827" s="128"/>
      <c r="CM827" s="128"/>
      <c r="CN827" s="128"/>
      <c r="CO827" s="128"/>
      <c r="CP827" s="128"/>
      <c r="CQ827" s="128"/>
      <c r="CR827" s="128"/>
      <c r="CS827" s="128"/>
      <c r="CT827" s="128"/>
      <c r="CU827" s="128"/>
      <c r="CV827" s="128"/>
      <c r="CW827" s="128"/>
      <c r="CX827" s="128"/>
      <c r="CY827" s="128"/>
      <c r="CZ827" s="128"/>
    </row>
    <row r="828" spans="1:104">
      <c r="A828" s="128"/>
      <c r="B828" s="128"/>
      <c r="C828" s="128"/>
      <c r="D828" s="112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  <c r="AV828" s="128"/>
      <c r="AW828" s="128"/>
      <c r="AX828" s="128"/>
      <c r="AY828" s="128"/>
      <c r="AZ828" s="128"/>
      <c r="BA828" s="128"/>
      <c r="BB828" s="128"/>
      <c r="BC828" s="128"/>
      <c r="BD828" s="128"/>
      <c r="BE828" s="128"/>
      <c r="BF828" s="128"/>
      <c r="BG828" s="128"/>
      <c r="BH828" s="128"/>
      <c r="BI828" s="128"/>
      <c r="BJ828" s="128"/>
      <c r="BK828" s="128"/>
      <c r="BL828" s="128"/>
      <c r="BM828" s="151"/>
      <c r="BN828" s="128"/>
      <c r="BO828" s="128"/>
      <c r="BP828" s="128"/>
      <c r="BQ828" s="128"/>
      <c r="BR828" s="128"/>
      <c r="BS828" s="128"/>
      <c r="BT828" s="128"/>
      <c r="BU828" s="128"/>
      <c r="BV828" s="128"/>
      <c r="BW828" s="128"/>
      <c r="BX828" s="128"/>
      <c r="BY828" s="128"/>
      <c r="BZ828" s="128"/>
      <c r="CA828" s="128"/>
      <c r="CB828" s="128"/>
      <c r="CC828" s="128"/>
      <c r="CD828" s="128"/>
      <c r="CE828" s="128"/>
      <c r="CF828" s="128"/>
      <c r="CG828" s="128"/>
      <c r="CH828" s="128"/>
      <c r="CI828" s="128"/>
      <c r="CJ828" s="128"/>
      <c r="CK828" s="128"/>
      <c r="CL828" s="128"/>
      <c r="CM828" s="128"/>
      <c r="CN828" s="128"/>
      <c r="CO828" s="128"/>
      <c r="CP828" s="128"/>
      <c r="CQ828" s="128"/>
      <c r="CR828" s="128"/>
      <c r="CS828" s="128"/>
      <c r="CT828" s="128"/>
      <c r="CU828" s="128"/>
      <c r="CV828" s="128"/>
      <c r="CW828" s="128"/>
      <c r="CX828" s="128"/>
      <c r="CY828" s="128"/>
      <c r="CZ828" s="128"/>
    </row>
    <row r="829" spans="1:104">
      <c r="A829" s="128"/>
      <c r="B829" s="128"/>
      <c r="C829" s="128"/>
      <c r="D829" s="112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  <c r="AV829" s="128"/>
      <c r="AW829" s="128"/>
      <c r="AX829" s="128"/>
      <c r="AY829" s="128"/>
      <c r="AZ829" s="128"/>
      <c r="BA829" s="128"/>
      <c r="BB829" s="128"/>
      <c r="BC829" s="128"/>
      <c r="BD829" s="128"/>
      <c r="BE829" s="128"/>
      <c r="BF829" s="128"/>
      <c r="BG829" s="128"/>
      <c r="BH829" s="128"/>
      <c r="BI829" s="128"/>
      <c r="BJ829" s="128"/>
      <c r="BK829" s="128"/>
      <c r="BL829" s="128"/>
      <c r="BM829" s="151"/>
      <c r="BN829" s="128"/>
      <c r="BO829" s="128"/>
      <c r="BP829" s="128"/>
      <c r="BQ829" s="128"/>
      <c r="BR829" s="128"/>
      <c r="BS829" s="128"/>
      <c r="BT829" s="128"/>
      <c r="BU829" s="128"/>
      <c r="BV829" s="128"/>
      <c r="BW829" s="128"/>
      <c r="BX829" s="128"/>
      <c r="BY829" s="128"/>
      <c r="BZ829" s="128"/>
      <c r="CA829" s="128"/>
      <c r="CB829" s="128"/>
      <c r="CC829" s="128"/>
      <c r="CD829" s="128"/>
      <c r="CE829" s="128"/>
      <c r="CF829" s="128"/>
      <c r="CG829" s="128"/>
      <c r="CH829" s="128"/>
      <c r="CI829" s="128"/>
      <c r="CJ829" s="128"/>
      <c r="CK829" s="128"/>
      <c r="CL829" s="128"/>
      <c r="CM829" s="128"/>
      <c r="CN829" s="128"/>
      <c r="CO829" s="128"/>
      <c r="CP829" s="128"/>
      <c r="CQ829" s="128"/>
      <c r="CR829" s="128"/>
      <c r="CS829" s="128"/>
      <c r="CT829" s="128"/>
      <c r="CU829" s="128"/>
      <c r="CV829" s="128"/>
      <c r="CW829" s="128"/>
      <c r="CX829" s="128"/>
      <c r="CY829" s="128"/>
      <c r="CZ829" s="128"/>
    </row>
    <row r="830" spans="1:104">
      <c r="A830" s="128"/>
      <c r="B830" s="128"/>
      <c r="C830" s="128"/>
      <c r="D830" s="112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  <c r="AV830" s="128"/>
      <c r="AW830" s="128"/>
      <c r="AX830" s="128"/>
      <c r="AY830" s="128"/>
      <c r="AZ830" s="128"/>
      <c r="BA830" s="128"/>
      <c r="BB830" s="128"/>
      <c r="BC830" s="128"/>
      <c r="BD830" s="128"/>
      <c r="BE830" s="128"/>
      <c r="BF830" s="128"/>
      <c r="BG830" s="128"/>
      <c r="BH830" s="128"/>
      <c r="BI830" s="128"/>
      <c r="BJ830" s="128"/>
      <c r="BK830" s="128"/>
      <c r="BL830" s="128"/>
      <c r="BM830" s="151"/>
      <c r="BN830" s="128"/>
      <c r="BO830" s="128"/>
      <c r="BP830" s="128"/>
      <c r="BQ830" s="128"/>
      <c r="BR830" s="128"/>
      <c r="BS830" s="128"/>
      <c r="BT830" s="128"/>
      <c r="BU830" s="128"/>
      <c r="BV830" s="128"/>
      <c r="BW830" s="128"/>
      <c r="BX830" s="128"/>
      <c r="BY830" s="128"/>
      <c r="BZ830" s="128"/>
      <c r="CA830" s="128"/>
      <c r="CB830" s="128"/>
      <c r="CC830" s="128"/>
      <c r="CD830" s="128"/>
      <c r="CE830" s="128"/>
      <c r="CF830" s="128"/>
      <c r="CG830" s="128"/>
      <c r="CH830" s="128"/>
      <c r="CI830" s="128"/>
      <c r="CJ830" s="128"/>
      <c r="CK830" s="128"/>
      <c r="CL830" s="128"/>
      <c r="CM830" s="128"/>
      <c r="CN830" s="128"/>
      <c r="CO830" s="128"/>
      <c r="CP830" s="128"/>
      <c r="CQ830" s="128"/>
      <c r="CR830" s="128"/>
      <c r="CS830" s="128"/>
      <c r="CT830" s="128"/>
      <c r="CU830" s="128"/>
      <c r="CV830" s="128"/>
      <c r="CW830" s="128"/>
      <c r="CX830" s="128"/>
      <c r="CY830" s="128"/>
      <c r="CZ830" s="128"/>
    </row>
    <row r="831" spans="1:104">
      <c r="A831" s="128"/>
      <c r="B831" s="128"/>
      <c r="C831" s="128"/>
      <c r="D831" s="112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  <c r="AV831" s="128"/>
      <c r="AW831" s="128"/>
      <c r="AX831" s="128"/>
      <c r="AY831" s="128"/>
      <c r="AZ831" s="128"/>
      <c r="BA831" s="128"/>
      <c r="BB831" s="128"/>
      <c r="BC831" s="128"/>
      <c r="BD831" s="128"/>
      <c r="BE831" s="128"/>
      <c r="BF831" s="128"/>
      <c r="BG831" s="128"/>
      <c r="BH831" s="128"/>
      <c r="BI831" s="128"/>
      <c r="BJ831" s="128"/>
      <c r="BK831" s="128"/>
      <c r="BL831" s="128"/>
      <c r="BM831" s="151"/>
      <c r="BN831" s="128"/>
      <c r="BO831" s="128"/>
      <c r="BP831" s="128"/>
      <c r="BQ831" s="128"/>
      <c r="BR831" s="128"/>
      <c r="BS831" s="128"/>
      <c r="BT831" s="128"/>
      <c r="BU831" s="128"/>
      <c r="BV831" s="128"/>
      <c r="BW831" s="128"/>
      <c r="BX831" s="128"/>
      <c r="BY831" s="128"/>
      <c r="BZ831" s="128"/>
      <c r="CA831" s="128"/>
      <c r="CB831" s="128"/>
      <c r="CC831" s="128"/>
      <c r="CD831" s="128"/>
      <c r="CE831" s="128"/>
      <c r="CF831" s="128"/>
      <c r="CG831" s="128"/>
      <c r="CH831" s="128"/>
      <c r="CI831" s="128"/>
      <c r="CJ831" s="128"/>
      <c r="CK831" s="128"/>
      <c r="CL831" s="128"/>
      <c r="CM831" s="128"/>
      <c r="CN831" s="128"/>
      <c r="CO831" s="128"/>
      <c r="CP831" s="128"/>
      <c r="CQ831" s="128"/>
      <c r="CR831" s="128"/>
      <c r="CS831" s="128"/>
      <c r="CT831" s="128"/>
      <c r="CU831" s="128"/>
      <c r="CV831" s="128"/>
      <c r="CW831" s="128"/>
      <c r="CX831" s="128"/>
      <c r="CY831" s="128"/>
      <c r="CZ831" s="128"/>
    </row>
    <row r="832" spans="1:104">
      <c r="A832" s="128"/>
      <c r="B832" s="128"/>
      <c r="C832" s="128"/>
      <c r="D832" s="112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  <c r="AV832" s="128"/>
      <c r="AW832" s="128"/>
      <c r="AX832" s="128"/>
      <c r="AY832" s="128"/>
      <c r="AZ832" s="128"/>
      <c r="BA832" s="128"/>
      <c r="BB832" s="128"/>
      <c r="BC832" s="128"/>
      <c r="BD832" s="128"/>
      <c r="BE832" s="128"/>
      <c r="BF832" s="128"/>
      <c r="BG832" s="128"/>
      <c r="BH832" s="128"/>
      <c r="BI832" s="128"/>
      <c r="BJ832" s="128"/>
      <c r="BK832" s="128"/>
      <c r="BL832" s="128"/>
      <c r="BM832" s="151"/>
      <c r="BN832" s="128"/>
      <c r="BO832" s="128"/>
      <c r="BP832" s="128"/>
      <c r="BQ832" s="128"/>
      <c r="BR832" s="128"/>
      <c r="BS832" s="128"/>
      <c r="BT832" s="128"/>
      <c r="BU832" s="128"/>
      <c r="BV832" s="128"/>
      <c r="BW832" s="128"/>
      <c r="BX832" s="128"/>
      <c r="BY832" s="128"/>
      <c r="BZ832" s="128"/>
      <c r="CA832" s="128"/>
      <c r="CB832" s="128"/>
      <c r="CC832" s="128"/>
      <c r="CD832" s="128"/>
      <c r="CE832" s="128"/>
      <c r="CF832" s="128"/>
      <c r="CG832" s="128"/>
      <c r="CH832" s="128"/>
      <c r="CI832" s="128"/>
      <c r="CJ832" s="128"/>
      <c r="CK832" s="128"/>
      <c r="CL832" s="128"/>
      <c r="CM832" s="128"/>
      <c r="CN832" s="128"/>
      <c r="CO832" s="128"/>
      <c r="CP832" s="128"/>
      <c r="CQ832" s="128"/>
      <c r="CR832" s="128"/>
      <c r="CS832" s="128"/>
      <c r="CT832" s="128"/>
      <c r="CU832" s="128"/>
      <c r="CV832" s="128"/>
      <c r="CW832" s="128"/>
      <c r="CX832" s="128"/>
      <c r="CY832" s="128"/>
      <c r="CZ832" s="128"/>
    </row>
    <row r="833" spans="1:104">
      <c r="A833" s="128"/>
      <c r="B833" s="128"/>
      <c r="C833" s="128"/>
      <c r="D833" s="112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  <c r="AV833" s="128"/>
      <c r="AW833" s="128"/>
      <c r="AX833" s="128"/>
      <c r="AY833" s="128"/>
      <c r="AZ833" s="128"/>
      <c r="BA833" s="128"/>
      <c r="BB833" s="128"/>
      <c r="BC833" s="128"/>
      <c r="BD833" s="128"/>
      <c r="BE833" s="128"/>
      <c r="BF833" s="128"/>
      <c r="BG833" s="128"/>
      <c r="BH833" s="128"/>
      <c r="BI833" s="128"/>
      <c r="BJ833" s="128"/>
      <c r="BK833" s="128"/>
      <c r="BL833" s="128"/>
      <c r="BM833" s="151"/>
      <c r="BN833" s="128"/>
      <c r="BO833" s="128"/>
      <c r="BP833" s="128"/>
      <c r="BQ833" s="128"/>
      <c r="BR833" s="128"/>
      <c r="BS833" s="128"/>
      <c r="BT833" s="128"/>
      <c r="BU833" s="128"/>
      <c r="BV833" s="128"/>
      <c r="BW833" s="128"/>
      <c r="BX833" s="128"/>
      <c r="BY833" s="128"/>
      <c r="BZ833" s="128"/>
      <c r="CA833" s="128"/>
      <c r="CB833" s="128"/>
      <c r="CC833" s="128"/>
      <c r="CD833" s="128"/>
      <c r="CE833" s="128"/>
      <c r="CF833" s="128"/>
      <c r="CG833" s="128"/>
      <c r="CH833" s="128"/>
      <c r="CI833" s="128"/>
      <c r="CJ833" s="128"/>
      <c r="CK833" s="128"/>
      <c r="CL833" s="128"/>
      <c r="CM833" s="128"/>
      <c r="CN833" s="128"/>
      <c r="CO833" s="128"/>
      <c r="CP833" s="128"/>
      <c r="CQ833" s="128"/>
      <c r="CR833" s="128"/>
      <c r="CS833" s="128"/>
      <c r="CT833" s="128"/>
      <c r="CU833" s="128"/>
      <c r="CV833" s="128"/>
      <c r="CW833" s="128"/>
      <c r="CX833" s="128"/>
      <c r="CY833" s="128"/>
      <c r="CZ833" s="128"/>
    </row>
    <row r="834" spans="1:104">
      <c r="A834" s="128"/>
      <c r="B834" s="128"/>
      <c r="C834" s="128"/>
      <c r="D834" s="112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  <c r="AV834" s="128"/>
      <c r="AW834" s="128"/>
      <c r="AX834" s="128"/>
      <c r="AY834" s="128"/>
      <c r="AZ834" s="128"/>
      <c r="BA834" s="128"/>
      <c r="BB834" s="128"/>
      <c r="BC834" s="128"/>
      <c r="BD834" s="128"/>
      <c r="BE834" s="128"/>
      <c r="BF834" s="128"/>
      <c r="BG834" s="128"/>
      <c r="BH834" s="128"/>
      <c r="BI834" s="128"/>
      <c r="BJ834" s="128"/>
      <c r="BK834" s="128"/>
      <c r="BL834" s="128"/>
      <c r="BM834" s="151"/>
      <c r="BN834" s="128"/>
      <c r="BO834" s="128"/>
      <c r="BP834" s="128"/>
      <c r="BQ834" s="128"/>
      <c r="BR834" s="128"/>
      <c r="BS834" s="128"/>
      <c r="BT834" s="128"/>
      <c r="BU834" s="128"/>
      <c r="BV834" s="128"/>
      <c r="BW834" s="128"/>
      <c r="BX834" s="128"/>
      <c r="BY834" s="128"/>
      <c r="BZ834" s="128"/>
      <c r="CA834" s="128"/>
      <c r="CB834" s="128"/>
      <c r="CC834" s="128"/>
      <c r="CD834" s="128"/>
      <c r="CE834" s="128"/>
      <c r="CF834" s="128"/>
      <c r="CG834" s="128"/>
      <c r="CH834" s="128"/>
      <c r="CI834" s="128"/>
      <c r="CJ834" s="128"/>
      <c r="CK834" s="128"/>
      <c r="CL834" s="128"/>
      <c r="CM834" s="128"/>
      <c r="CN834" s="128"/>
      <c r="CO834" s="128"/>
      <c r="CP834" s="128"/>
      <c r="CQ834" s="128"/>
      <c r="CR834" s="128"/>
      <c r="CS834" s="128"/>
      <c r="CT834" s="128"/>
      <c r="CU834" s="128"/>
      <c r="CV834" s="128"/>
      <c r="CW834" s="128"/>
      <c r="CX834" s="128"/>
      <c r="CY834" s="128"/>
      <c r="CZ834" s="128"/>
    </row>
    <row r="835" spans="1:104">
      <c r="A835" s="128"/>
      <c r="B835" s="128"/>
      <c r="C835" s="128"/>
      <c r="D835" s="112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  <c r="AV835" s="128"/>
      <c r="AW835" s="128"/>
      <c r="AX835" s="128"/>
      <c r="AY835" s="128"/>
      <c r="AZ835" s="128"/>
      <c r="BA835" s="128"/>
      <c r="BB835" s="128"/>
      <c r="BC835" s="128"/>
      <c r="BD835" s="128"/>
      <c r="BE835" s="128"/>
      <c r="BF835" s="128"/>
      <c r="BG835" s="128"/>
      <c r="BH835" s="128"/>
      <c r="BI835" s="128"/>
      <c r="BJ835" s="128"/>
      <c r="BK835" s="128"/>
      <c r="BL835" s="128"/>
      <c r="BM835" s="151"/>
      <c r="BN835" s="128"/>
      <c r="BO835" s="128"/>
      <c r="BP835" s="128"/>
      <c r="BQ835" s="128"/>
      <c r="BR835" s="128"/>
      <c r="BS835" s="128"/>
      <c r="BT835" s="128"/>
      <c r="BU835" s="128"/>
      <c r="BV835" s="128"/>
      <c r="BW835" s="128"/>
      <c r="BX835" s="128"/>
      <c r="BY835" s="128"/>
      <c r="BZ835" s="128"/>
      <c r="CA835" s="128"/>
      <c r="CB835" s="128"/>
      <c r="CC835" s="128"/>
      <c r="CD835" s="128"/>
      <c r="CE835" s="128"/>
      <c r="CF835" s="128"/>
      <c r="CG835" s="128"/>
      <c r="CH835" s="128"/>
      <c r="CI835" s="128"/>
      <c r="CJ835" s="128"/>
      <c r="CK835" s="128"/>
      <c r="CL835" s="128"/>
      <c r="CM835" s="128"/>
      <c r="CN835" s="128"/>
      <c r="CO835" s="128"/>
      <c r="CP835" s="128"/>
      <c r="CQ835" s="128"/>
      <c r="CR835" s="128"/>
      <c r="CS835" s="128"/>
      <c r="CT835" s="128"/>
      <c r="CU835" s="128"/>
      <c r="CV835" s="128"/>
      <c r="CW835" s="128"/>
      <c r="CX835" s="128"/>
      <c r="CY835" s="128"/>
      <c r="CZ835" s="128"/>
    </row>
    <row r="836" spans="1:104">
      <c r="A836" s="128"/>
      <c r="B836" s="128"/>
      <c r="C836" s="128"/>
      <c r="D836" s="112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  <c r="AV836" s="128"/>
      <c r="AW836" s="128"/>
      <c r="AX836" s="128"/>
      <c r="AY836" s="128"/>
      <c r="AZ836" s="128"/>
      <c r="BA836" s="128"/>
      <c r="BB836" s="128"/>
      <c r="BC836" s="128"/>
      <c r="BD836" s="128"/>
      <c r="BE836" s="128"/>
      <c r="BF836" s="128"/>
      <c r="BG836" s="128"/>
      <c r="BH836" s="128"/>
      <c r="BI836" s="128"/>
      <c r="BJ836" s="128"/>
      <c r="BK836" s="128"/>
      <c r="BL836" s="128"/>
      <c r="BM836" s="151"/>
      <c r="BN836" s="128"/>
      <c r="BO836" s="128"/>
      <c r="BP836" s="128"/>
      <c r="BQ836" s="128"/>
      <c r="BR836" s="128"/>
      <c r="BS836" s="128"/>
      <c r="BT836" s="128"/>
      <c r="BU836" s="128"/>
      <c r="BV836" s="128"/>
      <c r="BW836" s="128"/>
      <c r="BX836" s="128"/>
      <c r="BY836" s="128"/>
      <c r="BZ836" s="128"/>
      <c r="CA836" s="128"/>
      <c r="CB836" s="128"/>
      <c r="CC836" s="128"/>
      <c r="CD836" s="128"/>
      <c r="CE836" s="128"/>
      <c r="CF836" s="128"/>
      <c r="CG836" s="128"/>
      <c r="CH836" s="128"/>
      <c r="CI836" s="128"/>
      <c r="CJ836" s="128"/>
      <c r="CK836" s="128"/>
      <c r="CL836" s="128"/>
      <c r="CM836" s="128"/>
      <c r="CN836" s="128"/>
      <c r="CO836" s="128"/>
      <c r="CP836" s="128"/>
      <c r="CQ836" s="128"/>
      <c r="CR836" s="128"/>
      <c r="CS836" s="128"/>
      <c r="CT836" s="128"/>
      <c r="CU836" s="128"/>
      <c r="CV836" s="128"/>
      <c r="CW836" s="128"/>
      <c r="CX836" s="128"/>
      <c r="CY836" s="128"/>
      <c r="CZ836" s="128"/>
    </row>
    <row r="837" spans="1:104">
      <c r="A837" s="128"/>
      <c r="B837" s="128"/>
      <c r="C837" s="128"/>
      <c r="D837" s="112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  <c r="AV837" s="128"/>
      <c r="AW837" s="128"/>
      <c r="AX837" s="128"/>
      <c r="AY837" s="128"/>
      <c r="AZ837" s="128"/>
      <c r="BA837" s="128"/>
      <c r="BB837" s="128"/>
      <c r="BC837" s="128"/>
      <c r="BD837" s="128"/>
      <c r="BE837" s="128"/>
      <c r="BF837" s="128"/>
      <c r="BG837" s="128"/>
      <c r="BH837" s="128"/>
      <c r="BI837" s="128"/>
      <c r="BJ837" s="128"/>
      <c r="BK837" s="128"/>
      <c r="BL837" s="128"/>
      <c r="BM837" s="151"/>
      <c r="BN837" s="128"/>
      <c r="BO837" s="128"/>
      <c r="BP837" s="128"/>
      <c r="BQ837" s="128"/>
      <c r="BR837" s="128"/>
      <c r="BS837" s="128"/>
      <c r="BT837" s="128"/>
      <c r="BU837" s="128"/>
      <c r="BV837" s="128"/>
      <c r="BW837" s="128"/>
      <c r="BX837" s="128"/>
      <c r="BY837" s="128"/>
      <c r="BZ837" s="128"/>
      <c r="CA837" s="128"/>
      <c r="CB837" s="128"/>
      <c r="CC837" s="128"/>
      <c r="CD837" s="128"/>
      <c r="CE837" s="128"/>
      <c r="CF837" s="128"/>
      <c r="CG837" s="128"/>
      <c r="CH837" s="128"/>
      <c r="CI837" s="128"/>
      <c r="CJ837" s="128"/>
      <c r="CK837" s="128"/>
      <c r="CL837" s="128"/>
      <c r="CM837" s="128"/>
      <c r="CN837" s="128"/>
      <c r="CO837" s="128"/>
      <c r="CP837" s="128"/>
      <c r="CQ837" s="128"/>
      <c r="CR837" s="128"/>
      <c r="CS837" s="128"/>
      <c r="CT837" s="128"/>
      <c r="CU837" s="128"/>
      <c r="CV837" s="128"/>
      <c r="CW837" s="128"/>
      <c r="CX837" s="128"/>
      <c r="CY837" s="128"/>
      <c r="CZ837" s="128"/>
    </row>
    <row r="838" spans="1:104">
      <c r="A838" s="128"/>
      <c r="B838" s="128"/>
      <c r="C838" s="128"/>
      <c r="D838" s="112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  <c r="AV838" s="128"/>
      <c r="AW838" s="128"/>
      <c r="AX838" s="128"/>
      <c r="AY838" s="128"/>
      <c r="AZ838" s="128"/>
      <c r="BA838" s="128"/>
      <c r="BB838" s="128"/>
      <c r="BC838" s="128"/>
      <c r="BD838" s="128"/>
      <c r="BE838" s="128"/>
      <c r="BF838" s="128"/>
      <c r="BG838" s="128"/>
      <c r="BH838" s="128"/>
      <c r="BI838" s="128"/>
      <c r="BJ838" s="128"/>
      <c r="BK838" s="128"/>
      <c r="BL838" s="128"/>
      <c r="BM838" s="151"/>
      <c r="BN838" s="128"/>
      <c r="BO838" s="128"/>
      <c r="BP838" s="128"/>
      <c r="BQ838" s="128"/>
      <c r="BR838" s="128"/>
      <c r="BS838" s="128"/>
      <c r="BT838" s="128"/>
      <c r="BU838" s="128"/>
      <c r="BV838" s="128"/>
      <c r="BW838" s="128"/>
      <c r="BX838" s="128"/>
      <c r="BY838" s="128"/>
      <c r="BZ838" s="128"/>
      <c r="CA838" s="128"/>
      <c r="CB838" s="128"/>
      <c r="CC838" s="128"/>
      <c r="CD838" s="128"/>
      <c r="CE838" s="128"/>
      <c r="CF838" s="128"/>
      <c r="CG838" s="128"/>
      <c r="CH838" s="128"/>
      <c r="CI838" s="128"/>
      <c r="CJ838" s="128"/>
      <c r="CK838" s="128"/>
      <c r="CL838" s="128"/>
      <c r="CM838" s="128"/>
      <c r="CN838" s="128"/>
      <c r="CO838" s="128"/>
      <c r="CP838" s="128"/>
      <c r="CQ838" s="128"/>
      <c r="CR838" s="128"/>
      <c r="CS838" s="128"/>
      <c r="CT838" s="128"/>
      <c r="CU838" s="128"/>
      <c r="CV838" s="128"/>
      <c r="CW838" s="128"/>
      <c r="CX838" s="128"/>
      <c r="CY838" s="128"/>
      <c r="CZ838" s="128"/>
    </row>
    <row r="839" spans="1:104">
      <c r="A839" s="128"/>
      <c r="B839" s="128"/>
      <c r="C839" s="128"/>
      <c r="D839" s="112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  <c r="AV839" s="128"/>
      <c r="AW839" s="128"/>
      <c r="AX839" s="128"/>
      <c r="AY839" s="128"/>
      <c r="AZ839" s="128"/>
      <c r="BA839" s="128"/>
      <c r="BB839" s="128"/>
      <c r="BC839" s="128"/>
      <c r="BD839" s="128"/>
      <c r="BE839" s="128"/>
      <c r="BF839" s="128"/>
      <c r="BG839" s="128"/>
      <c r="BH839" s="128"/>
      <c r="BI839" s="128"/>
      <c r="BJ839" s="128"/>
      <c r="BK839" s="128"/>
      <c r="BL839" s="128"/>
      <c r="BM839" s="151"/>
      <c r="BN839" s="128"/>
      <c r="BO839" s="128"/>
      <c r="BP839" s="128"/>
      <c r="BQ839" s="128"/>
      <c r="BR839" s="128"/>
      <c r="BS839" s="128"/>
      <c r="BT839" s="128"/>
      <c r="BU839" s="128"/>
      <c r="BV839" s="128"/>
      <c r="BW839" s="128"/>
      <c r="BX839" s="128"/>
      <c r="BY839" s="128"/>
      <c r="BZ839" s="128"/>
      <c r="CA839" s="128"/>
      <c r="CB839" s="128"/>
      <c r="CC839" s="128"/>
      <c r="CD839" s="128"/>
      <c r="CE839" s="128"/>
      <c r="CF839" s="128"/>
      <c r="CG839" s="128"/>
      <c r="CH839" s="128"/>
      <c r="CI839" s="128"/>
      <c r="CJ839" s="128"/>
      <c r="CK839" s="128"/>
      <c r="CL839" s="128"/>
      <c r="CM839" s="128"/>
      <c r="CN839" s="128"/>
      <c r="CO839" s="128"/>
      <c r="CP839" s="128"/>
      <c r="CQ839" s="128"/>
      <c r="CR839" s="128"/>
      <c r="CS839" s="128"/>
      <c r="CT839" s="128"/>
      <c r="CU839" s="128"/>
      <c r="CV839" s="128"/>
      <c r="CW839" s="128"/>
      <c r="CX839" s="128"/>
      <c r="CY839" s="128"/>
      <c r="CZ839" s="128"/>
    </row>
    <row r="840" spans="1:104">
      <c r="A840" s="128"/>
      <c r="B840" s="128"/>
      <c r="C840" s="128"/>
      <c r="D840" s="112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  <c r="AV840" s="128"/>
      <c r="AW840" s="128"/>
      <c r="AX840" s="128"/>
      <c r="AY840" s="128"/>
      <c r="AZ840" s="128"/>
      <c r="BA840" s="128"/>
      <c r="BB840" s="128"/>
      <c r="BC840" s="128"/>
      <c r="BD840" s="128"/>
      <c r="BE840" s="128"/>
      <c r="BF840" s="128"/>
      <c r="BG840" s="128"/>
      <c r="BH840" s="128"/>
      <c r="BI840" s="128"/>
      <c r="BJ840" s="128"/>
      <c r="BK840" s="128"/>
      <c r="BL840" s="128"/>
      <c r="BM840" s="151"/>
      <c r="BN840" s="128"/>
      <c r="BO840" s="128"/>
      <c r="BP840" s="128"/>
      <c r="BQ840" s="128"/>
      <c r="BR840" s="128"/>
      <c r="BS840" s="128"/>
      <c r="BT840" s="128"/>
      <c r="BU840" s="128"/>
      <c r="BV840" s="128"/>
      <c r="BW840" s="128"/>
      <c r="BX840" s="128"/>
      <c r="BY840" s="128"/>
      <c r="BZ840" s="128"/>
      <c r="CA840" s="128"/>
      <c r="CB840" s="128"/>
      <c r="CC840" s="128"/>
      <c r="CD840" s="128"/>
      <c r="CE840" s="128"/>
      <c r="CF840" s="128"/>
      <c r="CG840" s="128"/>
      <c r="CH840" s="128"/>
      <c r="CI840" s="128"/>
      <c r="CJ840" s="128"/>
      <c r="CK840" s="128"/>
      <c r="CL840" s="128"/>
      <c r="CM840" s="128"/>
      <c r="CN840" s="128"/>
      <c r="CO840" s="128"/>
      <c r="CP840" s="128"/>
      <c r="CQ840" s="128"/>
      <c r="CR840" s="128"/>
      <c r="CS840" s="128"/>
      <c r="CT840" s="128"/>
      <c r="CU840" s="128"/>
      <c r="CV840" s="128"/>
      <c r="CW840" s="128"/>
      <c r="CX840" s="128"/>
      <c r="CY840" s="128"/>
      <c r="CZ840" s="128"/>
    </row>
    <row r="841" spans="1:104">
      <c r="A841" s="128"/>
      <c r="B841" s="128"/>
      <c r="C841" s="128"/>
      <c r="D841" s="112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  <c r="AV841" s="128"/>
      <c r="AW841" s="128"/>
      <c r="AX841" s="128"/>
      <c r="AY841" s="128"/>
      <c r="AZ841" s="128"/>
      <c r="BA841" s="128"/>
      <c r="BB841" s="128"/>
      <c r="BC841" s="128"/>
      <c r="BD841" s="128"/>
      <c r="BE841" s="128"/>
      <c r="BF841" s="128"/>
      <c r="BG841" s="128"/>
      <c r="BH841" s="128"/>
      <c r="BI841" s="128"/>
      <c r="BJ841" s="128"/>
      <c r="BK841" s="128"/>
      <c r="BL841" s="128"/>
      <c r="BM841" s="151"/>
      <c r="BN841" s="128"/>
      <c r="BO841" s="128"/>
      <c r="BP841" s="128"/>
      <c r="BQ841" s="128"/>
      <c r="BR841" s="128"/>
      <c r="BS841" s="128"/>
      <c r="BT841" s="128"/>
      <c r="BU841" s="128"/>
      <c r="BV841" s="128"/>
      <c r="BW841" s="128"/>
      <c r="BX841" s="128"/>
      <c r="BY841" s="128"/>
      <c r="BZ841" s="128"/>
      <c r="CA841" s="128"/>
      <c r="CB841" s="128"/>
      <c r="CC841" s="128"/>
      <c r="CD841" s="128"/>
      <c r="CE841" s="128"/>
      <c r="CF841" s="128"/>
      <c r="CG841" s="128"/>
      <c r="CH841" s="128"/>
      <c r="CI841" s="128"/>
      <c r="CJ841" s="128"/>
      <c r="CK841" s="128"/>
      <c r="CL841" s="128"/>
      <c r="CM841" s="128"/>
      <c r="CN841" s="128"/>
      <c r="CO841" s="128"/>
      <c r="CP841" s="128"/>
      <c r="CQ841" s="128"/>
      <c r="CR841" s="128"/>
      <c r="CS841" s="128"/>
      <c r="CT841" s="128"/>
      <c r="CU841" s="128"/>
      <c r="CV841" s="128"/>
      <c r="CW841" s="128"/>
      <c r="CX841" s="128"/>
      <c r="CY841" s="128"/>
      <c r="CZ841" s="128"/>
    </row>
    <row r="842" spans="1:104">
      <c r="A842" s="128"/>
      <c r="B842" s="128"/>
      <c r="C842" s="128"/>
      <c r="D842" s="112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  <c r="AV842" s="128"/>
      <c r="AW842" s="128"/>
      <c r="AX842" s="128"/>
      <c r="AY842" s="128"/>
      <c r="AZ842" s="128"/>
      <c r="BA842" s="128"/>
      <c r="BB842" s="128"/>
      <c r="BC842" s="128"/>
      <c r="BD842" s="128"/>
      <c r="BE842" s="128"/>
      <c r="BF842" s="128"/>
      <c r="BG842" s="128"/>
      <c r="BH842" s="128"/>
      <c r="BI842" s="128"/>
      <c r="BJ842" s="128"/>
      <c r="BK842" s="128"/>
      <c r="BL842" s="128"/>
      <c r="BM842" s="151"/>
      <c r="BN842" s="128"/>
      <c r="BO842" s="128"/>
      <c r="BP842" s="128"/>
      <c r="BQ842" s="128"/>
      <c r="BR842" s="128"/>
      <c r="BS842" s="128"/>
      <c r="BT842" s="128"/>
      <c r="BU842" s="128"/>
      <c r="BV842" s="128"/>
      <c r="BW842" s="128"/>
      <c r="BX842" s="128"/>
      <c r="BY842" s="128"/>
      <c r="BZ842" s="128"/>
      <c r="CA842" s="128"/>
      <c r="CB842" s="128"/>
      <c r="CC842" s="128"/>
      <c r="CD842" s="128"/>
      <c r="CE842" s="128"/>
      <c r="CF842" s="128"/>
      <c r="CG842" s="128"/>
      <c r="CH842" s="128"/>
      <c r="CI842" s="128"/>
      <c r="CJ842" s="128"/>
      <c r="CK842" s="128"/>
      <c r="CL842" s="128"/>
      <c r="CM842" s="128"/>
      <c r="CN842" s="128"/>
      <c r="CO842" s="128"/>
      <c r="CP842" s="128"/>
      <c r="CQ842" s="128"/>
      <c r="CR842" s="128"/>
      <c r="CS842" s="128"/>
      <c r="CT842" s="128"/>
      <c r="CU842" s="128"/>
      <c r="CV842" s="128"/>
      <c r="CW842" s="128"/>
      <c r="CX842" s="128"/>
      <c r="CY842" s="128"/>
      <c r="CZ842" s="128"/>
    </row>
    <row r="843" spans="1:104">
      <c r="A843" s="128"/>
      <c r="B843" s="128"/>
      <c r="C843" s="128"/>
      <c r="D843" s="112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  <c r="AV843" s="128"/>
      <c r="AW843" s="128"/>
      <c r="AX843" s="128"/>
      <c r="AY843" s="128"/>
      <c r="AZ843" s="128"/>
      <c r="BA843" s="128"/>
      <c r="BB843" s="128"/>
      <c r="BC843" s="128"/>
      <c r="BD843" s="128"/>
      <c r="BE843" s="128"/>
      <c r="BF843" s="128"/>
      <c r="BG843" s="128"/>
      <c r="BH843" s="128"/>
      <c r="BI843" s="128"/>
      <c r="BJ843" s="128"/>
      <c r="BK843" s="128"/>
      <c r="BL843" s="128"/>
      <c r="BM843" s="151"/>
      <c r="BN843" s="128"/>
      <c r="BO843" s="128"/>
      <c r="BP843" s="128"/>
      <c r="BQ843" s="128"/>
      <c r="BR843" s="128"/>
      <c r="BS843" s="128"/>
      <c r="BT843" s="128"/>
      <c r="BU843" s="128"/>
      <c r="BV843" s="128"/>
      <c r="BW843" s="128"/>
      <c r="BX843" s="128"/>
      <c r="BY843" s="128"/>
      <c r="BZ843" s="128"/>
      <c r="CA843" s="128"/>
      <c r="CB843" s="128"/>
      <c r="CC843" s="128"/>
      <c r="CD843" s="128"/>
      <c r="CE843" s="128"/>
      <c r="CF843" s="128"/>
      <c r="CG843" s="128"/>
      <c r="CH843" s="128"/>
      <c r="CI843" s="128"/>
      <c r="CJ843" s="128"/>
      <c r="CK843" s="128"/>
      <c r="CL843" s="128"/>
      <c r="CM843" s="128"/>
      <c r="CN843" s="128"/>
      <c r="CO843" s="128"/>
      <c r="CP843" s="128"/>
      <c r="CQ843" s="128"/>
      <c r="CR843" s="128"/>
      <c r="CS843" s="128"/>
      <c r="CT843" s="128"/>
      <c r="CU843" s="128"/>
      <c r="CV843" s="128"/>
      <c r="CW843" s="128"/>
      <c r="CX843" s="128"/>
      <c r="CY843" s="128"/>
      <c r="CZ843" s="128"/>
    </row>
    <row r="844" spans="1:104">
      <c r="A844" s="128"/>
      <c r="B844" s="128"/>
      <c r="C844" s="128"/>
      <c r="D844" s="112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  <c r="AV844" s="128"/>
      <c r="AW844" s="128"/>
      <c r="AX844" s="128"/>
      <c r="AY844" s="128"/>
      <c r="AZ844" s="128"/>
      <c r="BA844" s="128"/>
      <c r="BB844" s="128"/>
      <c r="BC844" s="128"/>
      <c r="BD844" s="128"/>
      <c r="BE844" s="128"/>
      <c r="BF844" s="128"/>
      <c r="BG844" s="128"/>
      <c r="BH844" s="128"/>
      <c r="BI844" s="128"/>
      <c r="BJ844" s="128"/>
      <c r="BK844" s="128"/>
      <c r="BL844" s="128"/>
      <c r="BM844" s="151"/>
      <c r="BN844" s="128"/>
      <c r="BO844" s="128"/>
      <c r="BP844" s="128"/>
      <c r="BQ844" s="128"/>
      <c r="BR844" s="128"/>
      <c r="BS844" s="128"/>
      <c r="BT844" s="128"/>
      <c r="BU844" s="128"/>
      <c r="BV844" s="128"/>
      <c r="BW844" s="128"/>
      <c r="BX844" s="128"/>
      <c r="BY844" s="128"/>
      <c r="BZ844" s="128"/>
      <c r="CA844" s="128"/>
      <c r="CB844" s="128"/>
      <c r="CC844" s="128"/>
      <c r="CD844" s="128"/>
      <c r="CE844" s="128"/>
      <c r="CF844" s="128"/>
      <c r="CG844" s="128"/>
      <c r="CH844" s="128"/>
      <c r="CI844" s="128"/>
      <c r="CJ844" s="128"/>
      <c r="CK844" s="128"/>
      <c r="CL844" s="128"/>
      <c r="CM844" s="128"/>
      <c r="CN844" s="128"/>
      <c r="CO844" s="128"/>
      <c r="CP844" s="128"/>
      <c r="CQ844" s="128"/>
      <c r="CR844" s="128"/>
      <c r="CS844" s="128"/>
      <c r="CT844" s="128"/>
      <c r="CU844" s="128"/>
      <c r="CV844" s="128"/>
      <c r="CW844" s="128"/>
      <c r="CX844" s="128"/>
      <c r="CY844" s="128"/>
      <c r="CZ844" s="128"/>
    </row>
    <row r="845" spans="1:104">
      <c r="A845" s="128"/>
      <c r="B845" s="128"/>
      <c r="C845" s="128"/>
      <c r="D845" s="112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  <c r="AV845" s="128"/>
      <c r="AW845" s="128"/>
      <c r="AX845" s="128"/>
      <c r="AY845" s="128"/>
      <c r="AZ845" s="128"/>
      <c r="BA845" s="128"/>
      <c r="BB845" s="128"/>
      <c r="BC845" s="128"/>
      <c r="BD845" s="128"/>
      <c r="BE845" s="128"/>
      <c r="BF845" s="128"/>
      <c r="BG845" s="128"/>
      <c r="BH845" s="128"/>
      <c r="BI845" s="128"/>
      <c r="BJ845" s="128"/>
      <c r="BK845" s="128"/>
      <c r="BL845" s="128"/>
      <c r="BM845" s="151"/>
      <c r="BN845" s="128"/>
      <c r="BO845" s="128"/>
      <c r="BP845" s="128"/>
      <c r="BQ845" s="128"/>
      <c r="BR845" s="128"/>
      <c r="BS845" s="128"/>
      <c r="BT845" s="128"/>
      <c r="BU845" s="128"/>
      <c r="BV845" s="128"/>
      <c r="BW845" s="128"/>
      <c r="BX845" s="128"/>
      <c r="BY845" s="128"/>
      <c r="BZ845" s="128"/>
      <c r="CA845" s="128"/>
      <c r="CB845" s="128"/>
      <c r="CC845" s="128"/>
      <c r="CD845" s="128"/>
      <c r="CE845" s="128"/>
      <c r="CF845" s="128"/>
      <c r="CG845" s="128"/>
      <c r="CH845" s="128"/>
      <c r="CI845" s="128"/>
      <c r="CJ845" s="128"/>
      <c r="CK845" s="128"/>
      <c r="CL845" s="128"/>
      <c r="CM845" s="128"/>
      <c r="CN845" s="128"/>
      <c r="CO845" s="128"/>
      <c r="CP845" s="128"/>
      <c r="CQ845" s="128"/>
      <c r="CR845" s="128"/>
      <c r="CS845" s="128"/>
      <c r="CT845" s="128"/>
      <c r="CU845" s="128"/>
      <c r="CV845" s="128"/>
      <c r="CW845" s="128"/>
      <c r="CX845" s="128"/>
      <c r="CY845" s="128"/>
      <c r="CZ845" s="128"/>
    </row>
    <row r="846" spans="1:104">
      <c r="A846" s="128"/>
      <c r="B846" s="128"/>
      <c r="C846" s="128"/>
      <c r="D846" s="112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  <c r="AV846" s="128"/>
      <c r="AW846" s="128"/>
      <c r="AX846" s="128"/>
      <c r="AY846" s="128"/>
      <c r="AZ846" s="128"/>
      <c r="BA846" s="128"/>
      <c r="BB846" s="128"/>
      <c r="BC846" s="128"/>
      <c r="BD846" s="128"/>
      <c r="BE846" s="128"/>
      <c r="BF846" s="128"/>
      <c r="BG846" s="128"/>
      <c r="BH846" s="128"/>
      <c r="BI846" s="128"/>
      <c r="BJ846" s="128"/>
      <c r="BK846" s="128"/>
      <c r="BL846" s="128"/>
      <c r="BM846" s="151"/>
      <c r="BN846" s="128"/>
      <c r="BO846" s="128"/>
      <c r="BP846" s="128"/>
      <c r="BQ846" s="128"/>
      <c r="BR846" s="128"/>
      <c r="BS846" s="128"/>
      <c r="BT846" s="128"/>
      <c r="BU846" s="128"/>
      <c r="BV846" s="128"/>
      <c r="BW846" s="128"/>
      <c r="BX846" s="128"/>
      <c r="BY846" s="128"/>
      <c r="BZ846" s="128"/>
      <c r="CA846" s="128"/>
      <c r="CB846" s="128"/>
      <c r="CC846" s="128"/>
      <c r="CD846" s="128"/>
      <c r="CE846" s="128"/>
      <c r="CF846" s="128"/>
      <c r="CG846" s="128"/>
      <c r="CH846" s="128"/>
      <c r="CI846" s="128"/>
      <c r="CJ846" s="128"/>
      <c r="CK846" s="128"/>
      <c r="CL846" s="128"/>
      <c r="CM846" s="128"/>
      <c r="CN846" s="128"/>
      <c r="CO846" s="128"/>
      <c r="CP846" s="128"/>
      <c r="CQ846" s="128"/>
      <c r="CR846" s="128"/>
      <c r="CS846" s="128"/>
      <c r="CT846" s="128"/>
      <c r="CU846" s="128"/>
      <c r="CV846" s="128"/>
      <c r="CW846" s="128"/>
      <c r="CX846" s="128"/>
      <c r="CY846" s="128"/>
      <c r="CZ846" s="128"/>
    </row>
    <row r="847" spans="1:104">
      <c r="A847" s="128"/>
      <c r="B847" s="128"/>
      <c r="C847" s="128"/>
      <c r="D847" s="112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  <c r="AV847" s="128"/>
      <c r="AW847" s="128"/>
      <c r="AX847" s="128"/>
      <c r="AY847" s="128"/>
      <c r="AZ847" s="128"/>
      <c r="BA847" s="128"/>
      <c r="BB847" s="128"/>
      <c r="BC847" s="128"/>
      <c r="BD847" s="128"/>
      <c r="BE847" s="128"/>
      <c r="BF847" s="128"/>
      <c r="BG847" s="128"/>
      <c r="BH847" s="128"/>
      <c r="BI847" s="128"/>
      <c r="BJ847" s="128"/>
      <c r="BK847" s="128"/>
      <c r="BL847" s="128"/>
      <c r="BM847" s="151"/>
      <c r="BN847" s="128"/>
      <c r="BO847" s="128"/>
      <c r="BP847" s="128"/>
      <c r="BQ847" s="128"/>
      <c r="BR847" s="128"/>
      <c r="BS847" s="128"/>
      <c r="BT847" s="128"/>
      <c r="BU847" s="128"/>
      <c r="BV847" s="128"/>
      <c r="BW847" s="128"/>
      <c r="BX847" s="128"/>
      <c r="BY847" s="128"/>
      <c r="BZ847" s="128"/>
      <c r="CA847" s="128"/>
      <c r="CB847" s="128"/>
      <c r="CC847" s="128"/>
      <c r="CD847" s="128"/>
      <c r="CE847" s="128"/>
      <c r="CF847" s="128"/>
      <c r="CG847" s="128"/>
      <c r="CH847" s="128"/>
      <c r="CI847" s="128"/>
      <c r="CJ847" s="128"/>
      <c r="CK847" s="128"/>
      <c r="CL847" s="128"/>
      <c r="CM847" s="128"/>
      <c r="CN847" s="128"/>
      <c r="CO847" s="128"/>
      <c r="CP847" s="128"/>
      <c r="CQ847" s="128"/>
      <c r="CR847" s="128"/>
      <c r="CS847" s="128"/>
      <c r="CT847" s="128"/>
      <c r="CU847" s="128"/>
      <c r="CV847" s="128"/>
      <c r="CW847" s="128"/>
      <c r="CX847" s="128"/>
      <c r="CY847" s="128"/>
      <c r="CZ847" s="128"/>
    </row>
    <row r="848" spans="1:104">
      <c r="A848" s="128"/>
      <c r="B848" s="128"/>
      <c r="C848" s="128"/>
      <c r="D848" s="112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  <c r="AV848" s="128"/>
      <c r="AW848" s="128"/>
      <c r="AX848" s="128"/>
      <c r="AY848" s="128"/>
      <c r="AZ848" s="128"/>
      <c r="BA848" s="128"/>
      <c r="BB848" s="128"/>
      <c r="BC848" s="128"/>
      <c r="BD848" s="128"/>
      <c r="BE848" s="128"/>
      <c r="BF848" s="128"/>
      <c r="BG848" s="128"/>
      <c r="BH848" s="128"/>
      <c r="BI848" s="128"/>
      <c r="BJ848" s="128"/>
      <c r="BK848" s="128"/>
      <c r="BL848" s="128"/>
      <c r="BM848" s="151"/>
      <c r="BN848" s="128"/>
      <c r="BO848" s="128"/>
      <c r="BP848" s="128"/>
      <c r="BQ848" s="128"/>
      <c r="BR848" s="128"/>
      <c r="BS848" s="128"/>
      <c r="BT848" s="128"/>
      <c r="BU848" s="128"/>
      <c r="BV848" s="128"/>
      <c r="BW848" s="128"/>
      <c r="BX848" s="128"/>
      <c r="BY848" s="128"/>
      <c r="BZ848" s="128"/>
      <c r="CA848" s="128"/>
      <c r="CB848" s="128"/>
      <c r="CC848" s="128"/>
      <c r="CD848" s="128"/>
      <c r="CE848" s="128"/>
      <c r="CF848" s="128"/>
      <c r="CG848" s="128"/>
      <c r="CH848" s="128"/>
      <c r="CI848" s="128"/>
      <c r="CJ848" s="128"/>
      <c r="CK848" s="128"/>
      <c r="CL848" s="128"/>
      <c r="CM848" s="128"/>
      <c r="CN848" s="128"/>
      <c r="CO848" s="128"/>
      <c r="CP848" s="128"/>
      <c r="CQ848" s="128"/>
      <c r="CR848" s="128"/>
      <c r="CS848" s="128"/>
      <c r="CT848" s="128"/>
      <c r="CU848" s="128"/>
      <c r="CV848" s="128"/>
      <c r="CW848" s="128"/>
      <c r="CX848" s="128"/>
      <c r="CY848" s="128"/>
      <c r="CZ848" s="128"/>
    </row>
    <row r="849" spans="1:104">
      <c r="A849" s="128"/>
      <c r="B849" s="128"/>
      <c r="C849" s="128"/>
      <c r="D849" s="112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  <c r="AV849" s="128"/>
      <c r="AW849" s="128"/>
      <c r="AX849" s="128"/>
      <c r="AY849" s="128"/>
      <c r="AZ849" s="128"/>
      <c r="BA849" s="128"/>
      <c r="BB849" s="128"/>
      <c r="BC849" s="128"/>
      <c r="BD849" s="128"/>
      <c r="BE849" s="128"/>
      <c r="BF849" s="128"/>
      <c r="BG849" s="128"/>
      <c r="BH849" s="128"/>
      <c r="BI849" s="128"/>
      <c r="BJ849" s="128"/>
      <c r="BK849" s="128"/>
      <c r="BL849" s="128"/>
      <c r="BM849" s="151"/>
      <c r="BN849" s="128"/>
      <c r="BO849" s="128"/>
      <c r="BP849" s="128"/>
      <c r="BQ849" s="128"/>
      <c r="BR849" s="128"/>
      <c r="BS849" s="128"/>
      <c r="BT849" s="128"/>
      <c r="BU849" s="128"/>
      <c r="BV849" s="128"/>
      <c r="BW849" s="128"/>
      <c r="BX849" s="128"/>
      <c r="BY849" s="128"/>
      <c r="BZ849" s="128"/>
      <c r="CA849" s="128"/>
      <c r="CB849" s="128"/>
      <c r="CC849" s="128"/>
      <c r="CD849" s="128"/>
      <c r="CE849" s="128"/>
      <c r="CF849" s="128"/>
      <c r="CG849" s="128"/>
      <c r="CH849" s="128"/>
      <c r="CI849" s="128"/>
      <c r="CJ849" s="128"/>
      <c r="CK849" s="128"/>
      <c r="CL849" s="128"/>
      <c r="CM849" s="128"/>
      <c r="CN849" s="128"/>
      <c r="CO849" s="128"/>
      <c r="CP849" s="128"/>
      <c r="CQ849" s="128"/>
      <c r="CR849" s="128"/>
      <c r="CS849" s="128"/>
      <c r="CT849" s="128"/>
      <c r="CU849" s="128"/>
      <c r="CV849" s="128"/>
      <c r="CW849" s="128"/>
      <c r="CX849" s="128"/>
      <c r="CY849" s="128"/>
      <c r="CZ849" s="128"/>
    </row>
    <row r="850" spans="1:104">
      <c r="A850" s="128"/>
      <c r="B850" s="128"/>
      <c r="C850" s="128"/>
      <c r="D850" s="112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  <c r="AV850" s="128"/>
      <c r="AW850" s="128"/>
      <c r="AX850" s="128"/>
      <c r="AY850" s="128"/>
      <c r="AZ850" s="128"/>
      <c r="BA850" s="128"/>
      <c r="BB850" s="128"/>
      <c r="BC850" s="128"/>
      <c r="BD850" s="128"/>
      <c r="BE850" s="128"/>
      <c r="BF850" s="128"/>
      <c r="BG850" s="128"/>
      <c r="BH850" s="128"/>
      <c r="BI850" s="128"/>
      <c r="BJ850" s="128"/>
      <c r="BK850" s="128"/>
      <c r="BL850" s="128"/>
      <c r="BM850" s="151"/>
      <c r="BN850" s="128"/>
      <c r="BO850" s="128"/>
      <c r="BP850" s="128"/>
      <c r="BQ850" s="128"/>
      <c r="BR850" s="128"/>
      <c r="BS850" s="128"/>
      <c r="BT850" s="128"/>
      <c r="BU850" s="128"/>
      <c r="BV850" s="128"/>
      <c r="BW850" s="128"/>
      <c r="BX850" s="128"/>
      <c r="BY850" s="128"/>
      <c r="BZ850" s="128"/>
      <c r="CA850" s="128"/>
      <c r="CB850" s="128"/>
      <c r="CC850" s="128"/>
      <c r="CD850" s="128"/>
      <c r="CE850" s="128"/>
      <c r="CF850" s="128"/>
      <c r="CG850" s="128"/>
      <c r="CH850" s="128"/>
      <c r="CI850" s="128"/>
      <c r="CJ850" s="128"/>
      <c r="CK850" s="128"/>
      <c r="CL850" s="128"/>
      <c r="CM850" s="128"/>
      <c r="CN850" s="128"/>
      <c r="CO850" s="128"/>
      <c r="CP850" s="128"/>
      <c r="CQ850" s="128"/>
      <c r="CR850" s="128"/>
      <c r="CS850" s="128"/>
      <c r="CT850" s="128"/>
      <c r="CU850" s="128"/>
      <c r="CV850" s="128"/>
      <c r="CW850" s="128"/>
      <c r="CX850" s="128"/>
      <c r="CY850" s="128"/>
      <c r="CZ850" s="128"/>
    </row>
    <row r="851" spans="1:104">
      <c r="A851" s="128"/>
      <c r="B851" s="128"/>
      <c r="C851" s="128"/>
      <c r="D851" s="112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  <c r="AV851" s="128"/>
      <c r="AW851" s="128"/>
      <c r="AX851" s="128"/>
      <c r="AY851" s="128"/>
      <c r="AZ851" s="128"/>
      <c r="BA851" s="128"/>
      <c r="BB851" s="128"/>
      <c r="BC851" s="128"/>
      <c r="BD851" s="128"/>
      <c r="BE851" s="128"/>
      <c r="BF851" s="128"/>
      <c r="BG851" s="128"/>
      <c r="BH851" s="128"/>
      <c r="BI851" s="128"/>
      <c r="BJ851" s="128"/>
      <c r="BK851" s="128"/>
      <c r="BL851" s="128"/>
      <c r="BM851" s="151"/>
      <c r="BN851" s="128"/>
      <c r="BO851" s="128"/>
      <c r="BP851" s="128"/>
      <c r="BQ851" s="128"/>
      <c r="BR851" s="128"/>
      <c r="BS851" s="128"/>
      <c r="BT851" s="128"/>
      <c r="BU851" s="128"/>
      <c r="BV851" s="128"/>
      <c r="BW851" s="128"/>
      <c r="BX851" s="128"/>
      <c r="BY851" s="128"/>
      <c r="BZ851" s="128"/>
      <c r="CA851" s="128"/>
      <c r="CB851" s="128"/>
      <c r="CC851" s="128"/>
      <c r="CD851" s="128"/>
      <c r="CE851" s="128"/>
      <c r="CF851" s="128"/>
      <c r="CG851" s="128"/>
      <c r="CH851" s="128"/>
      <c r="CI851" s="128"/>
      <c r="CJ851" s="128"/>
      <c r="CK851" s="128"/>
      <c r="CL851" s="128"/>
      <c r="CM851" s="128"/>
      <c r="CN851" s="128"/>
      <c r="CO851" s="128"/>
      <c r="CP851" s="128"/>
      <c r="CQ851" s="128"/>
      <c r="CR851" s="128"/>
      <c r="CS851" s="128"/>
      <c r="CT851" s="128"/>
      <c r="CU851" s="128"/>
      <c r="CV851" s="128"/>
      <c r="CW851" s="128"/>
      <c r="CX851" s="128"/>
      <c r="CY851" s="128"/>
      <c r="CZ851" s="128"/>
    </row>
    <row r="852" spans="1:104">
      <c r="A852" s="128"/>
      <c r="B852" s="128"/>
      <c r="C852" s="128"/>
      <c r="D852" s="112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  <c r="AV852" s="128"/>
      <c r="AW852" s="128"/>
      <c r="AX852" s="128"/>
      <c r="AY852" s="128"/>
      <c r="AZ852" s="128"/>
      <c r="BA852" s="128"/>
      <c r="BB852" s="128"/>
      <c r="BC852" s="128"/>
      <c r="BD852" s="128"/>
      <c r="BE852" s="128"/>
      <c r="BF852" s="128"/>
      <c r="BG852" s="128"/>
      <c r="BH852" s="128"/>
      <c r="BI852" s="128"/>
      <c r="BJ852" s="128"/>
      <c r="BK852" s="128"/>
      <c r="BL852" s="128"/>
      <c r="BM852" s="151"/>
      <c r="BN852" s="128"/>
      <c r="BO852" s="128"/>
      <c r="BP852" s="128"/>
      <c r="BQ852" s="128"/>
      <c r="BR852" s="128"/>
      <c r="BS852" s="128"/>
      <c r="BT852" s="128"/>
      <c r="BU852" s="128"/>
      <c r="BV852" s="128"/>
      <c r="BW852" s="128"/>
      <c r="BX852" s="128"/>
      <c r="BY852" s="128"/>
      <c r="BZ852" s="128"/>
      <c r="CA852" s="128"/>
      <c r="CB852" s="128"/>
      <c r="CC852" s="128"/>
      <c r="CD852" s="128"/>
      <c r="CE852" s="128"/>
      <c r="CF852" s="128"/>
      <c r="CG852" s="128"/>
      <c r="CH852" s="128"/>
      <c r="CI852" s="128"/>
      <c r="CJ852" s="128"/>
      <c r="CK852" s="128"/>
      <c r="CL852" s="128"/>
      <c r="CM852" s="128"/>
      <c r="CN852" s="128"/>
      <c r="CO852" s="128"/>
      <c r="CP852" s="128"/>
      <c r="CQ852" s="128"/>
      <c r="CR852" s="128"/>
      <c r="CS852" s="128"/>
      <c r="CT852" s="128"/>
      <c r="CU852" s="128"/>
      <c r="CV852" s="128"/>
      <c r="CW852" s="128"/>
      <c r="CX852" s="128"/>
      <c r="CY852" s="128"/>
      <c r="CZ852" s="128"/>
    </row>
    <row r="853" spans="1:104">
      <c r="A853" s="128"/>
      <c r="B853" s="128"/>
      <c r="C853" s="128"/>
      <c r="D853" s="112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  <c r="AV853" s="128"/>
      <c r="AW853" s="128"/>
      <c r="AX853" s="128"/>
      <c r="AY853" s="128"/>
      <c r="AZ853" s="128"/>
      <c r="BA853" s="128"/>
      <c r="BB853" s="128"/>
      <c r="BC853" s="128"/>
      <c r="BD853" s="128"/>
      <c r="BE853" s="128"/>
      <c r="BF853" s="128"/>
      <c r="BG853" s="128"/>
      <c r="BH853" s="128"/>
      <c r="BI853" s="128"/>
      <c r="BJ853" s="128"/>
      <c r="BK853" s="128"/>
      <c r="BL853" s="128"/>
      <c r="BM853" s="151"/>
      <c r="BN853" s="128"/>
      <c r="BO853" s="128"/>
      <c r="BP853" s="128"/>
      <c r="BQ853" s="128"/>
      <c r="BR853" s="128"/>
      <c r="BS853" s="128"/>
      <c r="BT853" s="128"/>
      <c r="BU853" s="128"/>
      <c r="BV853" s="128"/>
      <c r="BW853" s="128"/>
      <c r="BX853" s="128"/>
      <c r="BY853" s="128"/>
      <c r="BZ853" s="128"/>
      <c r="CA853" s="128"/>
      <c r="CB853" s="128"/>
      <c r="CC853" s="128"/>
      <c r="CD853" s="128"/>
      <c r="CE853" s="128"/>
      <c r="CF853" s="128"/>
      <c r="CG853" s="128"/>
      <c r="CH853" s="128"/>
      <c r="CI853" s="128"/>
      <c r="CJ853" s="128"/>
      <c r="CK853" s="128"/>
      <c r="CL853" s="128"/>
      <c r="CM853" s="128"/>
      <c r="CN853" s="128"/>
      <c r="CO853" s="128"/>
      <c r="CP853" s="128"/>
      <c r="CQ853" s="128"/>
      <c r="CR853" s="128"/>
      <c r="CS853" s="128"/>
      <c r="CT853" s="128"/>
      <c r="CU853" s="128"/>
      <c r="CV853" s="128"/>
      <c r="CW853" s="128"/>
      <c r="CX853" s="128"/>
      <c r="CY853" s="128"/>
      <c r="CZ853" s="128"/>
    </row>
    <row r="854" spans="1:104">
      <c r="A854" s="128"/>
      <c r="B854" s="128"/>
      <c r="C854" s="128"/>
      <c r="D854" s="112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  <c r="AV854" s="128"/>
      <c r="AW854" s="128"/>
      <c r="AX854" s="128"/>
      <c r="AY854" s="128"/>
      <c r="AZ854" s="128"/>
      <c r="BA854" s="128"/>
      <c r="BB854" s="128"/>
      <c r="BC854" s="128"/>
      <c r="BD854" s="128"/>
      <c r="BE854" s="128"/>
      <c r="BF854" s="128"/>
      <c r="BG854" s="128"/>
      <c r="BH854" s="128"/>
      <c r="BI854" s="128"/>
      <c r="BJ854" s="128"/>
      <c r="BK854" s="128"/>
      <c r="BL854" s="128"/>
      <c r="BM854" s="151"/>
      <c r="BN854" s="128"/>
      <c r="BO854" s="128"/>
      <c r="BP854" s="128"/>
      <c r="BQ854" s="128"/>
      <c r="BR854" s="128"/>
      <c r="BS854" s="128"/>
      <c r="BT854" s="128"/>
      <c r="BU854" s="128"/>
      <c r="BV854" s="128"/>
      <c r="BW854" s="128"/>
      <c r="BX854" s="128"/>
      <c r="BY854" s="128"/>
      <c r="BZ854" s="128"/>
      <c r="CA854" s="128"/>
      <c r="CB854" s="128"/>
      <c r="CC854" s="128"/>
      <c r="CD854" s="128"/>
      <c r="CE854" s="128"/>
      <c r="CF854" s="128"/>
      <c r="CG854" s="128"/>
      <c r="CH854" s="128"/>
      <c r="CI854" s="128"/>
      <c r="CJ854" s="128"/>
      <c r="CK854" s="128"/>
      <c r="CL854" s="128"/>
      <c r="CM854" s="128"/>
      <c r="CN854" s="128"/>
      <c r="CO854" s="128"/>
      <c r="CP854" s="128"/>
      <c r="CQ854" s="128"/>
      <c r="CR854" s="128"/>
      <c r="CS854" s="128"/>
      <c r="CT854" s="128"/>
      <c r="CU854" s="128"/>
      <c r="CV854" s="128"/>
      <c r="CW854" s="128"/>
      <c r="CX854" s="128"/>
      <c r="CY854" s="128"/>
      <c r="CZ854" s="128"/>
    </row>
    <row r="855" spans="1:104">
      <c r="A855" s="128"/>
      <c r="B855" s="128"/>
      <c r="C855" s="128"/>
      <c r="D855" s="112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  <c r="AV855" s="128"/>
      <c r="AW855" s="128"/>
      <c r="AX855" s="128"/>
      <c r="AY855" s="128"/>
      <c r="AZ855" s="128"/>
      <c r="BA855" s="128"/>
      <c r="BB855" s="128"/>
      <c r="BC855" s="128"/>
      <c r="BD855" s="128"/>
      <c r="BE855" s="128"/>
      <c r="BF855" s="128"/>
      <c r="BG855" s="128"/>
      <c r="BH855" s="128"/>
      <c r="BI855" s="128"/>
      <c r="BJ855" s="128"/>
      <c r="BK855" s="128"/>
      <c r="BL855" s="128"/>
      <c r="BM855" s="151"/>
      <c r="BN855" s="128"/>
      <c r="BO855" s="128"/>
      <c r="BP855" s="128"/>
      <c r="BQ855" s="128"/>
      <c r="BR855" s="128"/>
      <c r="BS855" s="128"/>
      <c r="BT855" s="128"/>
      <c r="BU855" s="128"/>
      <c r="BV855" s="128"/>
      <c r="BW855" s="128"/>
      <c r="BX855" s="128"/>
      <c r="BY855" s="128"/>
      <c r="BZ855" s="128"/>
      <c r="CA855" s="128"/>
      <c r="CB855" s="128"/>
      <c r="CC855" s="128"/>
      <c r="CD855" s="128"/>
      <c r="CE855" s="128"/>
      <c r="CF855" s="128"/>
      <c r="CG855" s="128"/>
      <c r="CH855" s="128"/>
      <c r="CI855" s="128"/>
      <c r="CJ855" s="128"/>
      <c r="CK855" s="128"/>
      <c r="CL855" s="128"/>
      <c r="CM855" s="128"/>
      <c r="CN855" s="128"/>
      <c r="CO855" s="128"/>
      <c r="CP855" s="128"/>
      <c r="CQ855" s="128"/>
      <c r="CR855" s="128"/>
      <c r="CS855" s="128"/>
      <c r="CT855" s="128"/>
      <c r="CU855" s="128"/>
      <c r="CV855" s="128"/>
      <c r="CW855" s="128"/>
      <c r="CX855" s="128"/>
      <c r="CY855" s="128"/>
      <c r="CZ855" s="128"/>
    </row>
    <row r="856" spans="1:104">
      <c r="A856" s="128"/>
      <c r="B856" s="128"/>
      <c r="C856" s="128"/>
      <c r="D856" s="112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  <c r="AV856" s="128"/>
      <c r="AW856" s="128"/>
      <c r="AX856" s="128"/>
      <c r="AY856" s="128"/>
      <c r="AZ856" s="128"/>
      <c r="BA856" s="128"/>
      <c r="BB856" s="128"/>
      <c r="BC856" s="128"/>
      <c r="BD856" s="128"/>
      <c r="BE856" s="128"/>
      <c r="BF856" s="128"/>
      <c r="BG856" s="128"/>
      <c r="BH856" s="128"/>
      <c r="BI856" s="128"/>
      <c r="BJ856" s="128"/>
      <c r="BK856" s="128"/>
      <c r="BL856" s="128"/>
      <c r="BM856" s="151"/>
      <c r="BN856" s="128"/>
      <c r="BO856" s="128"/>
      <c r="BP856" s="128"/>
      <c r="BQ856" s="128"/>
      <c r="BR856" s="128"/>
      <c r="BS856" s="128"/>
      <c r="BT856" s="128"/>
      <c r="BU856" s="128"/>
      <c r="BV856" s="128"/>
      <c r="BW856" s="128"/>
      <c r="BX856" s="128"/>
      <c r="BY856" s="128"/>
      <c r="BZ856" s="128"/>
      <c r="CA856" s="128"/>
      <c r="CB856" s="128"/>
      <c r="CC856" s="128"/>
      <c r="CD856" s="128"/>
      <c r="CE856" s="128"/>
      <c r="CF856" s="128"/>
      <c r="CG856" s="128"/>
      <c r="CH856" s="128"/>
      <c r="CI856" s="128"/>
      <c r="CJ856" s="128"/>
      <c r="CK856" s="128"/>
      <c r="CL856" s="128"/>
      <c r="CM856" s="128"/>
      <c r="CN856" s="128"/>
      <c r="CO856" s="128"/>
      <c r="CP856" s="128"/>
      <c r="CQ856" s="128"/>
      <c r="CR856" s="128"/>
      <c r="CS856" s="128"/>
      <c r="CT856" s="128"/>
      <c r="CU856" s="128"/>
      <c r="CV856" s="128"/>
      <c r="CW856" s="128"/>
      <c r="CX856" s="128"/>
      <c r="CY856" s="128"/>
      <c r="CZ856" s="128"/>
    </row>
    <row r="857" spans="1:104">
      <c r="A857" s="128"/>
      <c r="B857" s="128"/>
      <c r="C857" s="128"/>
      <c r="D857" s="112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  <c r="AV857" s="128"/>
      <c r="AW857" s="128"/>
      <c r="AX857" s="128"/>
      <c r="AY857" s="128"/>
      <c r="AZ857" s="128"/>
      <c r="BA857" s="128"/>
      <c r="BB857" s="128"/>
      <c r="BC857" s="128"/>
      <c r="BD857" s="128"/>
      <c r="BE857" s="128"/>
      <c r="BF857" s="128"/>
      <c r="BG857" s="128"/>
      <c r="BH857" s="128"/>
      <c r="BI857" s="128"/>
      <c r="BJ857" s="128"/>
      <c r="BK857" s="128"/>
      <c r="BL857" s="128"/>
      <c r="BM857" s="151"/>
      <c r="BN857" s="128"/>
      <c r="BO857" s="128"/>
      <c r="BP857" s="128"/>
      <c r="BQ857" s="128"/>
      <c r="BR857" s="128"/>
      <c r="BS857" s="128"/>
      <c r="BT857" s="128"/>
      <c r="BU857" s="128"/>
      <c r="BV857" s="128"/>
      <c r="BW857" s="128"/>
      <c r="BX857" s="128"/>
      <c r="BY857" s="128"/>
      <c r="BZ857" s="128"/>
      <c r="CA857" s="128"/>
      <c r="CB857" s="128"/>
      <c r="CC857" s="128"/>
      <c r="CD857" s="128"/>
      <c r="CE857" s="128"/>
      <c r="CF857" s="128"/>
      <c r="CG857" s="128"/>
      <c r="CH857" s="128"/>
      <c r="CI857" s="128"/>
      <c r="CJ857" s="128"/>
      <c r="CK857" s="128"/>
      <c r="CL857" s="128"/>
      <c r="CM857" s="128"/>
      <c r="CN857" s="128"/>
      <c r="CO857" s="128"/>
      <c r="CP857" s="128"/>
      <c r="CQ857" s="128"/>
      <c r="CR857" s="128"/>
      <c r="CS857" s="128"/>
      <c r="CT857" s="128"/>
      <c r="CU857" s="128"/>
      <c r="CV857" s="128"/>
      <c r="CW857" s="128"/>
      <c r="CX857" s="128"/>
      <c r="CY857" s="128"/>
      <c r="CZ857" s="128"/>
    </row>
    <row r="858" spans="1:104">
      <c r="A858" s="128"/>
      <c r="B858" s="128"/>
      <c r="C858" s="128"/>
      <c r="D858" s="112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  <c r="AV858" s="128"/>
      <c r="AW858" s="128"/>
      <c r="AX858" s="128"/>
      <c r="AY858" s="128"/>
      <c r="AZ858" s="128"/>
      <c r="BA858" s="128"/>
      <c r="BB858" s="128"/>
      <c r="BC858" s="128"/>
      <c r="BD858" s="128"/>
      <c r="BE858" s="128"/>
      <c r="BF858" s="128"/>
      <c r="BG858" s="128"/>
      <c r="BH858" s="128"/>
      <c r="BI858" s="128"/>
      <c r="BJ858" s="128"/>
      <c r="BK858" s="128"/>
      <c r="BL858" s="128"/>
      <c r="BM858" s="151"/>
      <c r="BN858" s="128"/>
      <c r="BO858" s="128"/>
      <c r="BP858" s="128"/>
      <c r="BQ858" s="128"/>
      <c r="BR858" s="128"/>
      <c r="BS858" s="128"/>
      <c r="BT858" s="128"/>
      <c r="BU858" s="128"/>
      <c r="BV858" s="128"/>
      <c r="BW858" s="128"/>
      <c r="BX858" s="128"/>
      <c r="BY858" s="128"/>
      <c r="BZ858" s="128"/>
      <c r="CA858" s="128"/>
      <c r="CB858" s="128"/>
      <c r="CC858" s="128"/>
      <c r="CD858" s="128"/>
      <c r="CE858" s="128"/>
      <c r="CF858" s="128"/>
      <c r="CG858" s="128"/>
      <c r="CH858" s="128"/>
      <c r="CI858" s="128"/>
      <c r="CJ858" s="128"/>
      <c r="CK858" s="128"/>
      <c r="CL858" s="128"/>
      <c r="CM858" s="128"/>
      <c r="CN858" s="128"/>
      <c r="CO858" s="128"/>
      <c r="CP858" s="128"/>
      <c r="CQ858" s="128"/>
      <c r="CR858" s="128"/>
      <c r="CS858" s="128"/>
      <c r="CT858" s="128"/>
      <c r="CU858" s="128"/>
      <c r="CV858" s="128"/>
      <c r="CW858" s="128"/>
      <c r="CX858" s="128"/>
      <c r="CY858" s="128"/>
      <c r="CZ858" s="128"/>
    </row>
    <row r="859" spans="1:104">
      <c r="A859" s="128"/>
      <c r="B859" s="128"/>
      <c r="C859" s="128"/>
      <c r="D859" s="112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  <c r="AV859" s="128"/>
      <c r="AW859" s="128"/>
      <c r="AX859" s="128"/>
      <c r="AY859" s="128"/>
      <c r="AZ859" s="128"/>
      <c r="BA859" s="128"/>
      <c r="BB859" s="128"/>
      <c r="BC859" s="128"/>
      <c r="BD859" s="128"/>
      <c r="BE859" s="128"/>
      <c r="BF859" s="128"/>
      <c r="BG859" s="128"/>
      <c r="BH859" s="128"/>
      <c r="BI859" s="128"/>
      <c r="BJ859" s="128"/>
      <c r="BK859" s="128"/>
      <c r="BL859" s="128"/>
      <c r="BM859" s="151"/>
      <c r="BN859" s="128"/>
      <c r="BO859" s="128"/>
      <c r="BP859" s="128"/>
      <c r="BQ859" s="128"/>
      <c r="BR859" s="128"/>
      <c r="BS859" s="128"/>
      <c r="BT859" s="128"/>
      <c r="BU859" s="128"/>
      <c r="BV859" s="128"/>
      <c r="BW859" s="128"/>
      <c r="BX859" s="128"/>
      <c r="BY859" s="128"/>
      <c r="BZ859" s="128"/>
      <c r="CA859" s="128"/>
      <c r="CB859" s="128"/>
      <c r="CC859" s="128"/>
      <c r="CD859" s="128"/>
      <c r="CE859" s="128"/>
      <c r="CF859" s="128"/>
      <c r="CG859" s="128"/>
      <c r="CH859" s="128"/>
      <c r="CI859" s="128"/>
      <c r="CJ859" s="128"/>
      <c r="CK859" s="128"/>
      <c r="CL859" s="128"/>
      <c r="CM859" s="128"/>
      <c r="CN859" s="128"/>
      <c r="CO859" s="128"/>
      <c r="CP859" s="128"/>
      <c r="CQ859" s="128"/>
      <c r="CR859" s="128"/>
      <c r="CS859" s="128"/>
      <c r="CT859" s="128"/>
      <c r="CU859" s="128"/>
      <c r="CV859" s="128"/>
      <c r="CW859" s="128"/>
      <c r="CX859" s="128"/>
      <c r="CY859" s="128"/>
      <c r="CZ859" s="128"/>
    </row>
    <row r="860" spans="1:104">
      <c r="A860" s="128"/>
      <c r="B860" s="128"/>
      <c r="C860" s="128"/>
      <c r="D860" s="112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  <c r="AV860" s="128"/>
      <c r="AW860" s="128"/>
      <c r="AX860" s="128"/>
      <c r="AY860" s="128"/>
      <c r="AZ860" s="128"/>
      <c r="BA860" s="128"/>
      <c r="BB860" s="128"/>
      <c r="BC860" s="128"/>
      <c r="BD860" s="128"/>
      <c r="BE860" s="128"/>
      <c r="BF860" s="128"/>
      <c r="BG860" s="128"/>
      <c r="BH860" s="128"/>
      <c r="BI860" s="128"/>
      <c r="BJ860" s="128"/>
      <c r="BK860" s="128"/>
      <c r="BL860" s="128"/>
      <c r="BM860" s="151"/>
      <c r="BN860" s="128"/>
      <c r="BO860" s="128"/>
      <c r="BP860" s="128"/>
      <c r="BQ860" s="128"/>
      <c r="BR860" s="128"/>
      <c r="BS860" s="128"/>
      <c r="BT860" s="128"/>
      <c r="BU860" s="128"/>
      <c r="BV860" s="128"/>
      <c r="BW860" s="128"/>
      <c r="BX860" s="128"/>
      <c r="BY860" s="128"/>
      <c r="BZ860" s="128"/>
      <c r="CA860" s="128"/>
      <c r="CB860" s="128"/>
      <c r="CC860" s="128"/>
      <c r="CD860" s="128"/>
      <c r="CE860" s="128"/>
      <c r="CF860" s="128"/>
      <c r="CG860" s="128"/>
      <c r="CH860" s="128"/>
      <c r="CI860" s="128"/>
      <c r="CJ860" s="128"/>
      <c r="CK860" s="128"/>
      <c r="CL860" s="128"/>
      <c r="CM860" s="128"/>
      <c r="CN860" s="128"/>
      <c r="CO860" s="128"/>
      <c r="CP860" s="128"/>
      <c r="CQ860" s="128"/>
      <c r="CR860" s="128"/>
      <c r="CS860" s="128"/>
      <c r="CT860" s="128"/>
      <c r="CU860" s="128"/>
      <c r="CV860" s="128"/>
      <c r="CW860" s="128"/>
      <c r="CX860" s="128"/>
      <c r="CY860" s="128"/>
      <c r="CZ860" s="128"/>
    </row>
    <row r="861" spans="1:104">
      <c r="A861" s="128"/>
      <c r="B861" s="128"/>
      <c r="C861" s="128"/>
      <c r="D861" s="112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  <c r="AV861" s="128"/>
      <c r="AW861" s="128"/>
      <c r="AX861" s="128"/>
      <c r="AY861" s="128"/>
      <c r="AZ861" s="128"/>
      <c r="BA861" s="128"/>
      <c r="BB861" s="128"/>
      <c r="BC861" s="128"/>
      <c r="BD861" s="128"/>
      <c r="BE861" s="128"/>
      <c r="BF861" s="128"/>
      <c r="BG861" s="128"/>
      <c r="BH861" s="128"/>
      <c r="BI861" s="128"/>
      <c r="BJ861" s="128"/>
      <c r="BK861" s="128"/>
      <c r="BL861" s="128"/>
      <c r="BM861" s="151"/>
      <c r="BN861" s="128"/>
      <c r="BO861" s="128"/>
      <c r="BP861" s="128"/>
      <c r="BQ861" s="128"/>
      <c r="BR861" s="128"/>
      <c r="BS861" s="128"/>
      <c r="BT861" s="128"/>
      <c r="BU861" s="128"/>
      <c r="BV861" s="128"/>
      <c r="BW861" s="128"/>
      <c r="BX861" s="128"/>
      <c r="BY861" s="128"/>
      <c r="BZ861" s="128"/>
      <c r="CA861" s="128"/>
      <c r="CB861" s="128"/>
      <c r="CC861" s="128"/>
      <c r="CD861" s="128"/>
      <c r="CE861" s="128"/>
      <c r="CF861" s="128"/>
      <c r="CG861" s="128"/>
      <c r="CH861" s="128"/>
      <c r="CI861" s="128"/>
      <c r="CJ861" s="128"/>
      <c r="CK861" s="128"/>
      <c r="CL861" s="128"/>
      <c r="CM861" s="128"/>
      <c r="CN861" s="128"/>
      <c r="CO861" s="128"/>
      <c r="CP861" s="128"/>
      <c r="CQ861" s="128"/>
      <c r="CR861" s="128"/>
      <c r="CS861" s="128"/>
      <c r="CT861" s="128"/>
      <c r="CU861" s="128"/>
      <c r="CV861" s="128"/>
      <c r="CW861" s="128"/>
      <c r="CX861" s="128"/>
      <c r="CY861" s="128"/>
      <c r="CZ861" s="128"/>
    </row>
    <row r="862" spans="1:104">
      <c r="A862" s="128"/>
      <c r="B862" s="128"/>
      <c r="C862" s="128"/>
      <c r="D862" s="112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  <c r="AV862" s="128"/>
      <c r="AW862" s="128"/>
      <c r="AX862" s="128"/>
      <c r="AY862" s="128"/>
      <c r="AZ862" s="128"/>
      <c r="BA862" s="128"/>
      <c r="BB862" s="128"/>
      <c r="BC862" s="128"/>
      <c r="BD862" s="128"/>
      <c r="BE862" s="128"/>
      <c r="BF862" s="128"/>
      <c r="BG862" s="128"/>
      <c r="BH862" s="128"/>
      <c r="BI862" s="128"/>
      <c r="BJ862" s="128"/>
      <c r="BK862" s="128"/>
      <c r="BL862" s="128"/>
      <c r="BM862" s="151"/>
      <c r="BN862" s="128"/>
      <c r="BO862" s="128"/>
      <c r="BP862" s="128"/>
      <c r="BQ862" s="128"/>
      <c r="BR862" s="128"/>
      <c r="BS862" s="128"/>
      <c r="BT862" s="128"/>
      <c r="BU862" s="128"/>
      <c r="BV862" s="128"/>
      <c r="BW862" s="128"/>
      <c r="BX862" s="128"/>
      <c r="BY862" s="128"/>
      <c r="BZ862" s="128"/>
      <c r="CA862" s="128"/>
      <c r="CB862" s="128"/>
      <c r="CC862" s="128"/>
      <c r="CD862" s="128"/>
      <c r="CE862" s="128"/>
      <c r="CF862" s="128"/>
      <c r="CG862" s="128"/>
      <c r="CH862" s="128"/>
      <c r="CI862" s="128"/>
      <c r="CJ862" s="128"/>
      <c r="CK862" s="128"/>
      <c r="CL862" s="128"/>
      <c r="CM862" s="128"/>
      <c r="CN862" s="128"/>
      <c r="CO862" s="128"/>
      <c r="CP862" s="128"/>
      <c r="CQ862" s="128"/>
      <c r="CR862" s="128"/>
      <c r="CS862" s="128"/>
      <c r="CT862" s="128"/>
      <c r="CU862" s="128"/>
      <c r="CV862" s="128"/>
      <c r="CW862" s="128"/>
      <c r="CX862" s="128"/>
      <c r="CY862" s="128"/>
      <c r="CZ862" s="128"/>
    </row>
    <row r="863" spans="1:104">
      <c r="A863" s="128"/>
      <c r="B863" s="128"/>
      <c r="C863" s="128"/>
      <c r="D863" s="112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  <c r="AV863" s="128"/>
      <c r="AW863" s="128"/>
      <c r="AX863" s="128"/>
      <c r="AY863" s="128"/>
      <c r="AZ863" s="128"/>
      <c r="BA863" s="128"/>
      <c r="BB863" s="128"/>
      <c r="BC863" s="128"/>
      <c r="BD863" s="128"/>
      <c r="BE863" s="128"/>
      <c r="BF863" s="128"/>
      <c r="BG863" s="128"/>
      <c r="BH863" s="128"/>
      <c r="BI863" s="128"/>
      <c r="BJ863" s="128"/>
      <c r="BK863" s="128"/>
      <c r="BL863" s="128"/>
      <c r="BM863" s="151"/>
      <c r="BN863" s="128"/>
      <c r="BO863" s="128"/>
      <c r="BP863" s="128"/>
      <c r="BQ863" s="128"/>
      <c r="BR863" s="128"/>
      <c r="BS863" s="128"/>
      <c r="BT863" s="128"/>
      <c r="BU863" s="128"/>
      <c r="BV863" s="128"/>
      <c r="BW863" s="128"/>
      <c r="BX863" s="128"/>
      <c r="BY863" s="128"/>
      <c r="BZ863" s="128"/>
      <c r="CA863" s="128"/>
      <c r="CB863" s="128"/>
      <c r="CC863" s="128"/>
      <c r="CD863" s="128"/>
      <c r="CE863" s="128"/>
      <c r="CF863" s="128"/>
      <c r="CG863" s="128"/>
      <c r="CH863" s="128"/>
      <c r="CI863" s="128"/>
      <c r="CJ863" s="128"/>
      <c r="CK863" s="128"/>
      <c r="CL863" s="128"/>
      <c r="CM863" s="128"/>
      <c r="CN863" s="128"/>
      <c r="CO863" s="128"/>
      <c r="CP863" s="128"/>
      <c r="CQ863" s="128"/>
      <c r="CR863" s="128"/>
      <c r="CS863" s="128"/>
      <c r="CT863" s="128"/>
      <c r="CU863" s="128"/>
      <c r="CV863" s="128"/>
      <c r="CW863" s="128"/>
      <c r="CX863" s="128"/>
      <c r="CY863" s="128"/>
      <c r="CZ863" s="128"/>
    </row>
    <row r="864" spans="1:104">
      <c r="A864" s="128"/>
      <c r="B864" s="128"/>
      <c r="C864" s="128"/>
      <c r="D864" s="112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  <c r="AV864" s="128"/>
      <c r="AW864" s="128"/>
      <c r="AX864" s="128"/>
      <c r="AY864" s="128"/>
      <c r="AZ864" s="128"/>
      <c r="BA864" s="128"/>
      <c r="BB864" s="128"/>
      <c r="BC864" s="128"/>
      <c r="BD864" s="128"/>
      <c r="BE864" s="128"/>
      <c r="BF864" s="128"/>
      <c r="BG864" s="128"/>
      <c r="BH864" s="128"/>
      <c r="BI864" s="128"/>
      <c r="BJ864" s="128"/>
      <c r="BK864" s="128"/>
      <c r="BL864" s="128"/>
      <c r="BM864" s="151"/>
      <c r="BN864" s="128"/>
      <c r="BO864" s="128"/>
      <c r="BP864" s="128"/>
      <c r="BQ864" s="128"/>
      <c r="BR864" s="128"/>
      <c r="BS864" s="128"/>
      <c r="BT864" s="128"/>
      <c r="BU864" s="128"/>
      <c r="BV864" s="128"/>
      <c r="BW864" s="128"/>
      <c r="BX864" s="128"/>
      <c r="BY864" s="128"/>
      <c r="BZ864" s="128"/>
      <c r="CA864" s="128"/>
      <c r="CB864" s="128"/>
      <c r="CC864" s="128"/>
      <c r="CD864" s="128"/>
      <c r="CE864" s="128"/>
      <c r="CF864" s="128"/>
      <c r="CG864" s="128"/>
      <c r="CH864" s="128"/>
      <c r="CI864" s="128"/>
      <c r="CJ864" s="128"/>
      <c r="CK864" s="128"/>
      <c r="CL864" s="128"/>
      <c r="CM864" s="128"/>
      <c r="CN864" s="128"/>
      <c r="CO864" s="128"/>
      <c r="CP864" s="128"/>
      <c r="CQ864" s="128"/>
      <c r="CR864" s="128"/>
      <c r="CS864" s="128"/>
      <c r="CT864" s="128"/>
      <c r="CU864" s="128"/>
      <c r="CV864" s="128"/>
      <c r="CW864" s="128"/>
      <c r="CX864" s="128"/>
      <c r="CY864" s="128"/>
      <c r="CZ864" s="128"/>
    </row>
    <row r="865" spans="1:104">
      <c r="A865" s="128"/>
      <c r="B865" s="128"/>
      <c r="C865" s="128"/>
      <c r="D865" s="112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  <c r="AV865" s="128"/>
      <c r="AW865" s="128"/>
      <c r="AX865" s="128"/>
      <c r="AY865" s="128"/>
      <c r="AZ865" s="128"/>
      <c r="BA865" s="128"/>
      <c r="BB865" s="128"/>
      <c r="BC865" s="128"/>
      <c r="BD865" s="128"/>
      <c r="BE865" s="128"/>
      <c r="BF865" s="128"/>
      <c r="BG865" s="128"/>
      <c r="BH865" s="128"/>
      <c r="BI865" s="128"/>
      <c r="BJ865" s="128"/>
      <c r="BK865" s="128"/>
      <c r="BL865" s="128"/>
      <c r="BM865" s="151"/>
      <c r="BN865" s="128"/>
      <c r="BO865" s="128"/>
      <c r="BP865" s="128"/>
      <c r="BQ865" s="128"/>
      <c r="BR865" s="128"/>
      <c r="BS865" s="128"/>
      <c r="BT865" s="128"/>
      <c r="BU865" s="128"/>
      <c r="BV865" s="128"/>
      <c r="BW865" s="128"/>
      <c r="BX865" s="128"/>
      <c r="BY865" s="128"/>
      <c r="BZ865" s="128"/>
      <c r="CA865" s="128"/>
      <c r="CB865" s="128"/>
      <c r="CC865" s="128"/>
      <c r="CD865" s="128"/>
      <c r="CE865" s="128"/>
      <c r="CF865" s="128"/>
      <c r="CG865" s="128"/>
      <c r="CH865" s="128"/>
      <c r="CI865" s="128"/>
      <c r="CJ865" s="128"/>
      <c r="CK865" s="128"/>
      <c r="CL865" s="128"/>
      <c r="CM865" s="128"/>
      <c r="CN865" s="128"/>
      <c r="CO865" s="128"/>
      <c r="CP865" s="128"/>
      <c r="CQ865" s="128"/>
      <c r="CR865" s="128"/>
      <c r="CS865" s="128"/>
      <c r="CT865" s="128"/>
      <c r="CU865" s="128"/>
      <c r="CV865" s="128"/>
      <c r="CW865" s="128"/>
      <c r="CX865" s="128"/>
      <c r="CY865" s="128"/>
      <c r="CZ865" s="128"/>
    </row>
    <row r="866" spans="1:104">
      <c r="A866" s="128"/>
      <c r="B866" s="128"/>
      <c r="C866" s="128"/>
      <c r="D866" s="112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  <c r="AV866" s="128"/>
      <c r="AW866" s="128"/>
      <c r="AX866" s="128"/>
      <c r="AY866" s="128"/>
      <c r="AZ866" s="128"/>
      <c r="BA866" s="128"/>
      <c r="BB866" s="128"/>
      <c r="BC866" s="128"/>
      <c r="BD866" s="128"/>
      <c r="BE866" s="128"/>
      <c r="BF866" s="128"/>
      <c r="BG866" s="128"/>
      <c r="BH866" s="128"/>
      <c r="BI866" s="128"/>
      <c r="BJ866" s="128"/>
      <c r="BK866" s="128"/>
      <c r="BL866" s="128"/>
      <c r="BM866" s="151"/>
      <c r="BN866" s="128"/>
      <c r="BO866" s="128"/>
      <c r="BP866" s="128"/>
      <c r="BQ866" s="128"/>
      <c r="BR866" s="128"/>
      <c r="BS866" s="128"/>
      <c r="BT866" s="128"/>
      <c r="BU866" s="128"/>
      <c r="BV866" s="128"/>
      <c r="BW866" s="128"/>
      <c r="BX866" s="128"/>
      <c r="BY866" s="128"/>
      <c r="BZ866" s="128"/>
      <c r="CA866" s="128"/>
      <c r="CB866" s="128"/>
      <c r="CC866" s="128"/>
      <c r="CD866" s="128"/>
      <c r="CE866" s="128"/>
      <c r="CF866" s="128"/>
      <c r="CG866" s="128"/>
      <c r="CH866" s="128"/>
      <c r="CI866" s="128"/>
      <c r="CJ866" s="128"/>
      <c r="CK866" s="128"/>
      <c r="CL866" s="128"/>
      <c r="CM866" s="128"/>
      <c r="CN866" s="128"/>
      <c r="CO866" s="128"/>
      <c r="CP866" s="128"/>
      <c r="CQ866" s="128"/>
      <c r="CR866" s="128"/>
      <c r="CS866" s="128"/>
      <c r="CT866" s="128"/>
      <c r="CU866" s="128"/>
      <c r="CV866" s="128"/>
      <c r="CW866" s="128"/>
      <c r="CX866" s="128"/>
      <c r="CY866" s="128"/>
      <c r="CZ866" s="128"/>
    </row>
    <row r="867" spans="1:104">
      <c r="A867" s="128"/>
      <c r="B867" s="128"/>
      <c r="C867" s="128"/>
      <c r="D867" s="112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  <c r="AV867" s="128"/>
      <c r="AW867" s="128"/>
      <c r="AX867" s="128"/>
      <c r="AY867" s="128"/>
      <c r="AZ867" s="128"/>
      <c r="BA867" s="128"/>
      <c r="BB867" s="128"/>
      <c r="BC867" s="128"/>
      <c r="BD867" s="128"/>
      <c r="BE867" s="128"/>
      <c r="BF867" s="128"/>
      <c r="BG867" s="128"/>
      <c r="BH867" s="128"/>
      <c r="BI867" s="128"/>
      <c r="BJ867" s="128"/>
      <c r="BK867" s="128"/>
      <c r="BL867" s="128"/>
      <c r="BM867" s="151"/>
      <c r="BN867" s="128"/>
      <c r="BO867" s="128"/>
      <c r="BP867" s="128"/>
      <c r="BQ867" s="128"/>
      <c r="BR867" s="128"/>
      <c r="BS867" s="128"/>
      <c r="BT867" s="128"/>
      <c r="BU867" s="128"/>
      <c r="BV867" s="128"/>
      <c r="BW867" s="128"/>
      <c r="BX867" s="128"/>
      <c r="BY867" s="128"/>
      <c r="BZ867" s="128"/>
      <c r="CA867" s="128"/>
      <c r="CB867" s="128"/>
      <c r="CC867" s="128"/>
      <c r="CD867" s="128"/>
      <c r="CE867" s="128"/>
      <c r="CF867" s="128"/>
      <c r="CG867" s="128"/>
      <c r="CH867" s="128"/>
      <c r="CI867" s="128"/>
      <c r="CJ867" s="128"/>
      <c r="CK867" s="128"/>
      <c r="CL867" s="128"/>
      <c r="CM867" s="128"/>
      <c r="CN867" s="128"/>
      <c r="CO867" s="128"/>
      <c r="CP867" s="128"/>
      <c r="CQ867" s="128"/>
      <c r="CR867" s="128"/>
      <c r="CS867" s="128"/>
      <c r="CT867" s="128"/>
      <c r="CU867" s="128"/>
      <c r="CV867" s="128"/>
      <c r="CW867" s="128"/>
      <c r="CX867" s="128"/>
      <c r="CY867" s="128"/>
      <c r="CZ867" s="128"/>
    </row>
    <row r="868" spans="1:104">
      <c r="A868" s="128"/>
      <c r="B868" s="128"/>
      <c r="C868" s="128"/>
      <c r="D868" s="112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  <c r="AV868" s="128"/>
      <c r="AW868" s="128"/>
      <c r="AX868" s="128"/>
      <c r="AY868" s="128"/>
      <c r="AZ868" s="128"/>
      <c r="BA868" s="128"/>
      <c r="BB868" s="128"/>
      <c r="BC868" s="128"/>
      <c r="BD868" s="128"/>
      <c r="BE868" s="128"/>
      <c r="BF868" s="128"/>
      <c r="BG868" s="128"/>
      <c r="BH868" s="128"/>
      <c r="BI868" s="128"/>
      <c r="BJ868" s="128"/>
      <c r="BK868" s="128"/>
      <c r="BL868" s="128"/>
      <c r="BM868" s="151"/>
      <c r="BN868" s="128"/>
      <c r="BO868" s="128"/>
      <c r="BP868" s="128"/>
      <c r="BQ868" s="128"/>
      <c r="BR868" s="128"/>
      <c r="BS868" s="128"/>
      <c r="BT868" s="128"/>
      <c r="BU868" s="128"/>
      <c r="BV868" s="128"/>
      <c r="BW868" s="128"/>
      <c r="BX868" s="128"/>
      <c r="BY868" s="128"/>
      <c r="BZ868" s="128"/>
      <c r="CA868" s="128"/>
      <c r="CB868" s="128"/>
      <c r="CC868" s="128"/>
      <c r="CD868" s="128"/>
      <c r="CE868" s="128"/>
      <c r="CF868" s="128"/>
      <c r="CG868" s="128"/>
      <c r="CH868" s="128"/>
      <c r="CI868" s="128"/>
      <c r="CJ868" s="128"/>
      <c r="CK868" s="128"/>
      <c r="CL868" s="128"/>
      <c r="CM868" s="128"/>
      <c r="CN868" s="128"/>
      <c r="CO868" s="128"/>
      <c r="CP868" s="128"/>
      <c r="CQ868" s="128"/>
      <c r="CR868" s="128"/>
      <c r="CS868" s="128"/>
      <c r="CT868" s="128"/>
      <c r="CU868" s="128"/>
      <c r="CV868" s="128"/>
      <c r="CW868" s="128"/>
      <c r="CX868" s="128"/>
      <c r="CY868" s="128"/>
      <c r="CZ868" s="128"/>
    </row>
    <row r="869" spans="1:104">
      <c r="A869" s="128"/>
      <c r="B869" s="128"/>
      <c r="C869" s="128"/>
      <c r="D869" s="112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  <c r="AV869" s="128"/>
      <c r="AW869" s="128"/>
      <c r="AX869" s="128"/>
      <c r="AY869" s="128"/>
      <c r="AZ869" s="128"/>
      <c r="BA869" s="128"/>
      <c r="BB869" s="128"/>
      <c r="BC869" s="128"/>
      <c r="BD869" s="128"/>
      <c r="BE869" s="128"/>
      <c r="BF869" s="128"/>
      <c r="BG869" s="128"/>
      <c r="BH869" s="128"/>
      <c r="BI869" s="128"/>
      <c r="BJ869" s="128"/>
      <c r="BK869" s="128"/>
      <c r="BL869" s="128"/>
      <c r="BM869" s="151"/>
      <c r="BN869" s="128"/>
      <c r="BO869" s="128"/>
      <c r="BP869" s="128"/>
      <c r="BQ869" s="128"/>
      <c r="BR869" s="128"/>
      <c r="BS869" s="128"/>
      <c r="BT869" s="128"/>
      <c r="BU869" s="128"/>
      <c r="BV869" s="128"/>
      <c r="BW869" s="128"/>
      <c r="BX869" s="128"/>
      <c r="BY869" s="128"/>
      <c r="BZ869" s="128"/>
      <c r="CA869" s="128"/>
      <c r="CB869" s="128"/>
      <c r="CC869" s="128"/>
      <c r="CD869" s="128"/>
      <c r="CE869" s="128"/>
      <c r="CF869" s="128"/>
      <c r="CG869" s="128"/>
      <c r="CH869" s="128"/>
      <c r="CI869" s="128"/>
      <c r="CJ869" s="128"/>
      <c r="CK869" s="128"/>
      <c r="CL869" s="128"/>
      <c r="CM869" s="128"/>
      <c r="CN869" s="128"/>
      <c r="CO869" s="128"/>
      <c r="CP869" s="128"/>
      <c r="CQ869" s="128"/>
      <c r="CR869" s="128"/>
      <c r="CS869" s="128"/>
      <c r="CT869" s="128"/>
      <c r="CU869" s="128"/>
      <c r="CV869" s="128"/>
      <c r="CW869" s="128"/>
      <c r="CX869" s="128"/>
      <c r="CY869" s="128"/>
      <c r="CZ869" s="128"/>
    </row>
    <row r="870" spans="1:104">
      <c r="A870" s="128"/>
      <c r="B870" s="128"/>
      <c r="C870" s="128"/>
      <c r="D870" s="112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  <c r="AV870" s="128"/>
      <c r="AW870" s="128"/>
      <c r="AX870" s="128"/>
      <c r="AY870" s="128"/>
      <c r="AZ870" s="128"/>
      <c r="BA870" s="128"/>
      <c r="BB870" s="128"/>
      <c r="BC870" s="128"/>
      <c r="BD870" s="128"/>
      <c r="BE870" s="128"/>
      <c r="BF870" s="128"/>
      <c r="BG870" s="128"/>
      <c r="BH870" s="128"/>
      <c r="BI870" s="128"/>
      <c r="BJ870" s="128"/>
      <c r="BK870" s="128"/>
      <c r="BL870" s="128"/>
      <c r="BM870" s="151"/>
      <c r="BN870" s="128"/>
      <c r="BO870" s="128"/>
      <c r="BP870" s="128"/>
      <c r="BQ870" s="128"/>
      <c r="BR870" s="128"/>
      <c r="BS870" s="128"/>
      <c r="BT870" s="128"/>
      <c r="BU870" s="128"/>
      <c r="BV870" s="128"/>
      <c r="BW870" s="128"/>
      <c r="BX870" s="128"/>
      <c r="BY870" s="128"/>
      <c r="BZ870" s="128"/>
      <c r="CA870" s="128"/>
      <c r="CB870" s="128"/>
      <c r="CC870" s="128"/>
      <c r="CD870" s="128"/>
      <c r="CE870" s="128"/>
      <c r="CF870" s="128"/>
      <c r="CG870" s="128"/>
      <c r="CH870" s="128"/>
      <c r="CI870" s="128"/>
      <c r="CJ870" s="128"/>
      <c r="CK870" s="128"/>
      <c r="CL870" s="128"/>
      <c r="CM870" s="128"/>
      <c r="CN870" s="128"/>
      <c r="CO870" s="128"/>
      <c r="CP870" s="128"/>
      <c r="CQ870" s="128"/>
      <c r="CR870" s="128"/>
      <c r="CS870" s="128"/>
      <c r="CT870" s="128"/>
      <c r="CU870" s="128"/>
      <c r="CV870" s="128"/>
      <c r="CW870" s="128"/>
      <c r="CX870" s="128"/>
      <c r="CY870" s="128"/>
      <c r="CZ870" s="128"/>
    </row>
    <row r="871" spans="1:104">
      <c r="A871" s="128"/>
      <c r="B871" s="128"/>
      <c r="C871" s="128"/>
      <c r="D871" s="112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  <c r="AV871" s="128"/>
      <c r="AW871" s="128"/>
      <c r="AX871" s="128"/>
      <c r="AY871" s="128"/>
      <c r="AZ871" s="128"/>
      <c r="BA871" s="128"/>
      <c r="BB871" s="128"/>
      <c r="BC871" s="128"/>
      <c r="BD871" s="128"/>
      <c r="BE871" s="128"/>
      <c r="BF871" s="128"/>
      <c r="BG871" s="128"/>
      <c r="BH871" s="128"/>
      <c r="BI871" s="128"/>
      <c r="BJ871" s="128"/>
      <c r="BK871" s="128"/>
      <c r="BL871" s="128"/>
      <c r="BM871" s="151"/>
      <c r="BN871" s="128"/>
      <c r="BO871" s="128"/>
      <c r="BP871" s="128"/>
      <c r="BQ871" s="128"/>
      <c r="BR871" s="128"/>
      <c r="BS871" s="128"/>
      <c r="BT871" s="128"/>
      <c r="BU871" s="128"/>
      <c r="BV871" s="128"/>
      <c r="BW871" s="128"/>
      <c r="BX871" s="128"/>
      <c r="BY871" s="128"/>
      <c r="BZ871" s="128"/>
      <c r="CA871" s="128"/>
      <c r="CB871" s="128"/>
      <c r="CC871" s="128"/>
      <c r="CD871" s="128"/>
      <c r="CE871" s="128"/>
      <c r="CF871" s="128"/>
      <c r="CG871" s="128"/>
      <c r="CH871" s="128"/>
      <c r="CI871" s="128"/>
      <c r="CJ871" s="128"/>
      <c r="CK871" s="128"/>
      <c r="CL871" s="128"/>
      <c r="CM871" s="128"/>
      <c r="CN871" s="128"/>
      <c r="CO871" s="128"/>
      <c r="CP871" s="128"/>
      <c r="CQ871" s="128"/>
      <c r="CR871" s="128"/>
      <c r="CS871" s="128"/>
      <c r="CT871" s="128"/>
      <c r="CU871" s="128"/>
      <c r="CV871" s="128"/>
      <c r="CW871" s="128"/>
      <c r="CX871" s="128"/>
      <c r="CY871" s="128"/>
      <c r="CZ871" s="128"/>
    </row>
    <row r="872" spans="1:104">
      <c r="A872" s="128"/>
      <c r="B872" s="128"/>
      <c r="C872" s="128"/>
      <c r="D872" s="112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  <c r="AV872" s="128"/>
      <c r="AW872" s="128"/>
      <c r="AX872" s="128"/>
      <c r="AY872" s="128"/>
      <c r="AZ872" s="128"/>
      <c r="BA872" s="128"/>
      <c r="BB872" s="128"/>
      <c r="BC872" s="128"/>
      <c r="BD872" s="128"/>
      <c r="BE872" s="128"/>
      <c r="BF872" s="128"/>
      <c r="BG872" s="128"/>
      <c r="BH872" s="128"/>
      <c r="BI872" s="128"/>
      <c r="BJ872" s="128"/>
      <c r="BK872" s="128"/>
      <c r="BL872" s="128"/>
      <c r="BM872" s="151"/>
      <c r="BN872" s="128"/>
      <c r="BO872" s="128"/>
      <c r="BP872" s="128"/>
      <c r="BQ872" s="128"/>
      <c r="BR872" s="128"/>
      <c r="BS872" s="128"/>
      <c r="BT872" s="128"/>
      <c r="BU872" s="128"/>
      <c r="BV872" s="128"/>
      <c r="BW872" s="128"/>
      <c r="BX872" s="128"/>
      <c r="BY872" s="128"/>
      <c r="BZ872" s="128"/>
      <c r="CA872" s="128"/>
      <c r="CB872" s="128"/>
      <c r="CC872" s="128"/>
      <c r="CD872" s="128"/>
      <c r="CE872" s="128"/>
      <c r="CF872" s="128"/>
      <c r="CG872" s="128"/>
      <c r="CH872" s="128"/>
      <c r="CI872" s="128"/>
      <c r="CJ872" s="128"/>
      <c r="CK872" s="128"/>
      <c r="CL872" s="128"/>
      <c r="CM872" s="128"/>
      <c r="CN872" s="128"/>
      <c r="CO872" s="128"/>
      <c r="CP872" s="128"/>
      <c r="CQ872" s="128"/>
      <c r="CR872" s="128"/>
      <c r="CS872" s="128"/>
      <c r="CT872" s="128"/>
      <c r="CU872" s="128"/>
      <c r="CV872" s="128"/>
      <c r="CW872" s="128"/>
      <c r="CX872" s="128"/>
      <c r="CY872" s="128"/>
      <c r="CZ872" s="128"/>
    </row>
    <row r="873" spans="1:104">
      <c r="A873" s="128"/>
      <c r="B873" s="128"/>
      <c r="C873" s="128"/>
      <c r="D873" s="112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  <c r="AV873" s="128"/>
      <c r="AW873" s="128"/>
      <c r="AX873" s="128"/>
      <c r="AY873" s="128"/>
      <c r="AZ873" s="128"/>
      <c r="BA873" s="128"/>
      <c r="BB873" s="128"/>
      <c r="BC873" s="128"/>
      <c r="BD873" s="128"/>
      <c r="BE873" s="128"/>
      <c r="BF873" s="128"/>
      <c r="BG873" s="128"/>
      <c r="BH873" s="128"/>
      <c r="BI873" s="128"/>
      <c r="BJ873" s="128"/>
      <c r="BK873" s="128"/>
      <c r="BL873" s="128"/>
      <c r="BM873" s="151"/>
      <c r="BN873" s="128"/>
      <c r="BO873" s="128"/>
      <c r="BP873" s="128"/>
      <c r="BQ873" s="128"/>
      <c r="BR873" s="128"/>
      <c r="BS873" s="128"/>
      <c r="BT873" s="128"/>
      <c r="BU873" s="128"/>
      <c r="BV873" s="128"/>
      <c r="BW873" s="128"/>
      <c r="BX873" s="128"/>
      <c r="BY873" s="128"/>
      <c r="BZ873" s="128"/>
      <c r="CA873" s="128"/>
      <c r="CB873" s="128"/>
      <c r="CC873" s="128"/>
      <c r="CD873" s="128"/>
      <c r="CE873" s="128"/>
      <c r="CF873" s="128"/>
      <c r="CG873" s="128"/>
      <c r="CH873" s="128"/>
      <c r="CI873" s="128"/>
      <c r="CJ873" s="128"/>
      <c r="CK873" s="128"/>
      <c r="CL873" s="128"/>
      <c r="CM873" s="128"/>
      <c r="CN873" s="128"/>
      <c r="CO873" s="128"/>
      <c r="CP873" s="128"/>
      <c r="CQ873" s="128"/>
      <c r="CR873" s="128"/>
      <c r="CS873" s="128"/>
      <c r="CT873" s="128"/>
      <c r="CU873" s="128"/>
      <c r="CV873" s="128"/>
      <c r="CW873" s="128"/>
      <c r="CX873" s="128"/>
      <c r="CY873" s="128"/>
      <c r="CZ873" s="128"/>
    </row>
    <row r="874" spans="1:104">
      <c r="A874" s="128"/>
      <c r="B874" s="128"/>
      <c r="C874" s="128"/>
      <c r="D874" s="112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  <c r="AV874" s="128"/>
      <c r="AW874" s="128"/>
      <c r="AX874" s="128"/>
      <c r="AY874" s="128"/>
      <c r="AZ874" s="128"/>
      <c r="BA874" s="128"/>
      <c r="BB874" s="128"/>
      <c r="BC874" s="128"/>
      <c r="BD874" s="128"/>
      <c r="BE874" s="128"/>
      <c r="BF874" s="128"/>
      <c r="BG874" s="128"/>
      <c r="BH874" s="128"/>
      <c r="BI874" s="128"/>
      <c r="BJ874" s="128"/>
      <c r="BK874" s="128"/>
      <c r="BL874" s="128"/>
      <c r="BM874" s="151"/>
      <c r="BN874" s="128"/>
      <c r="BO874" s="128"/>
      <c r="BP874" s="128"/>
      <c r="BQ874" s="128"/>
      <c r="BR874" s="128"/>
      <c r="BS874" s="128"/>
      <c r="BT874" s="128"/>
      <c r="BU874" s="128"/>
      <c r="BV874" s="128"/>
      <c r="BW874" s="128"/>
      <c r="BX874" s="128"/>
      <c r="BY874" s="128"/>
      <c r="BZ874" s="128"/>
      <c r="CA874" s="128"/>
      <c r="CB874" s="128"/>
      <c r="CC874" s="128"/>
      <c r="CD874" s="128"/>
      <c r="CE874" s="128"/>
      <c r="CF874" s="128"/>
      <c r="CG874" s="128"/>
      <c r="CH874" s="128"/>
      <c r="CI874" s="128"/>
      <c r="CJ874" s="128"/>
      <c r="CK874" s="128"/>
      <c r="CL874" s="128"/>
      <c r="CM874" s="128"/>
      <c r="CN874" s="128"/>
      <c r="CO874" s="128"/>
      <c r="CP874" s="128"/>
      <c r="CQ874" s="128"/>
      <c r="CR874" s="128"/>
      <c r="CS874" s="128"/>
      <c r="CT874" s="128"/>
      <c r="CU874" s="128"/>
      <c r="CV874" s="128"/>
      <c r="CW874" s="128"/>
      <c r="CX874" s="128"/>
      <c r="CY874" s="128"/>
      <c r="CZ874" s="128"/>
    </row>
    <row r="875" spans="1:104">
      <c r="A875" s="128"/>
      <c r="B875" s="128"/>
      <c r="C875" s="128"/>
      <c r="D875" s="112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  <c r="AV875" s="128"/>
      <c r="AW875" s="128"/>
      <c r="AX875" s="128"/>
      <c r="AY875" s="128"/>
      <c r="AZ875" s="128"/>
      <c r="BA875" s="128"/>
      <c r="BB875" s="128"/>
      <c r="BC875" s="128"/>
      <c r="BD875" s="128"/>
      <c r="BE875" s="128"/>
      <c r="BF875" s="128"/>
      <c r="BG875" s="128"/>
      <c r="BH875" s="128"/>
      <c r="BI875" s="128"/>
      <c r="BJ875" s="128"/>
      <c r="BK875" s="128"/>
      <c r="BL875" s="128"/>
      <c r="BM875" s="151"/>
      <c r="BN875" s="128"/>
      <c r="BO875" s="128"/>
      <c r="BP875" s="128"/>
      <c r="BQ875" s="128"/>
      <c r="BR875" s="128"/>
      <c r="BS875" s="128"/>
      <c r="BT875" s="128"/>
      <c r="BU875" s="128"/>
      <c r="BV875" s="128"/>
      <c r="BW875" s="128"/>
      <c r="BX875" s="128"/>
      <c r="BY875" s="128"/>
      <c r="BZ875" s="128"/>
      <c r="CA875" s="128"/>
      <c r="CB875" s="128"/>
      <c r="CC875" s="128"/>
      <c r="CD875" s="128"/>
      <c r="CE875" s="128"/>
      <c r="CF875" s="128"/>
      <c r="CG875" s="128"/>
      <c r="CH875" s="128"/>
      <c r="CI875" s="128"/>
      <c r="CJ875" s="128"/>
      <c r="CK875" s="128"/>
      <c r="CL875" s="128"/>
      <c r="CM875" s="128"/>
      <c r="CN875" s="128"/>
      <c r="CO875" s="128"/>
      <c r="CP875" s="128"/>
      <c r="CQ875" s="128"/>
      <c r="CR875" s="128"/>
      <c r="CS875" s="128"/>
      <c r="CT875" s="128"/>
      <c r="CU875" s="128"/>
      <c r="CV875" s="128"/>
      <c r="CW875" s="128"/>
      <c r="CX875" s="128"/>
      <c r="CY875" s="128"/>
      <c r="CZ875" s="128"/>
    </row>
    <row r="876" spans="1:104">
      <c r="A876" s="128"/>
      <c r="B876" s="128"/>
      <c r="C876" s="128"/>
      <c r="D876" s="112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  <c r="AV876" s="128"/>
      <c r="AW876" s="128"/>
      <c r="AX876" s="128"/>
      <c r="AY876" s="128"/>
      <c r="AZ876" s="128"/>
      <c r="BA876" s="128"/>
      <c r="BB876" s="128"/>
      <c r="BC876" s="128"/>
      <c r="BD876" s="128"/>
      <c r="BE876" s="128"/>
      <c r="BF876" s="128"/>
      <c r="BG876" s="128"/>
      <c r="BH876" s="128"/>
      <c r="BI876" s="128"/>
      <c r="BJ876" s="128"/>
      <c r="BK876" s="128"/>
      <c r="BL876" s="128"/>
      <c r="BM876" s="151"/>
      <c r="BN876" s="128"/>
      <c r="BO876" s="128"/>
      <c r="BP876" s="128"/>
      <c r="BQ876" s="128"/>
      <c r="BR876" s="128"/>
      <c r="BS876" s="128"/>
      <c r="BT876" s="128"/>
      <c r="BU876" s="128"/>
      <c r="BV876" s="128"/>
      <c r="BW876" s="128"/>
      <c r="BX876" s="128"/>
      <c r="BY876" s="128"/>
      <c r="BZ876" s="128"/>
      <c r="CA876" s="128"/>
      <c r="CB876" s="128"/>
      <c r="CC876" s="128"/>
      <c r="CD876" s="128"/>
      <c r="CE876" s="128"/>
      <c r="CF876" s="128"/>
      <c r="CG876" s="128"/>
      <c r="CH876" s="128"/>
      <c r="CI876" s="128"/>
      <c r="CJ876" s="128"/>
      <c r="CK876" s="128"/>
      <c r="CL876" s="128"/>
      <c r="CM876" s="128"/>
      <c r="CN876" s="128"/>
      <c r="CO876" s="128"/>
      <c r="CP876" s="128"/>
      <c r="CQ876" s="128"/>
      <c r="CR876" s="128"/>
      <c r="CS876" s="128"/>
      <c r="CT876" s="128"/>
      <c r="CU876" s="128"/>
      <c r="CV876" s="128"/>
      <c r="CW876" s="128"/>
      <c r="CX876" s="128"/>
      <c r="CY876" s="128"/>
      <c r="CZ876" s="128"/>
    </row>
    <row r="877" spans="1:104">
      <c r="A877" s="128"/>
      <c r="B877" s="128"/>
      <c r="C877" s="128"/>
      <c r="D877" s="112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  <c r="AV877" s="128"/>
      <c r="AW877" s="128"/>
      <c r="AX877" s="128"/>
      <c r="AY877" s="128"/>
      <c r="AZ877" s="128"/>
      <c r="BA877" s="128"/>
      <c r="BB877" s="128"/>
      <c r="BC877" s="128"/>
      <c r="BD877" s="128"/>
      <c r="BE877" s="128"/>
      <c r="BF877" s="128"/>
      <c r="BG877" s="128"/>
      <c r="BH877" s="128"/>
      <c r="BI877" s="128"/>
      <c r="BJ877" s="128"/>
      <c r="BK877" s="128"/>
      <c r="BL877" s="128"/>
      <c r="BM877" s="151"/>
      <c r="BN877" s="128"/>
      <c r="BO877" s="128"/>
      <c r="BP877" s="128"/>
      <c r="BQ877" s="128"/>
      <c r="BR877" s="128"/>
      <c r="BS877" s="128"/>
      <c r="BT877" s="128"/>
      <c r="BU877" s="128"/>
      <c r="BV877" s="128"/>
      <c r="BW877" s="128"/>
      <c r="BX877" s="128"/>
      <c r="BY877" s="128"/>
      <c r="BZ877" s="128"/>
      <c r="CA877" s="128"/>
      <c r="CB877" s="128"/>
      <c r="CC877" s="128"/>
      <c r="CD877" s="128"/>
      <c r="CE877" s="128"/>
      <c r="CF877" s="128"/>
      <c r="CG877" s="128"/>
      <c r="CH877" s="128"/>
      <c r="CI877" s="128"/>
      <c r="CJ877" s="128"/>
      <c r="CK877" s="128"/>
      <c r="CL877" s="128"/>
      <c r="CM877" s="128"/>
      <c r="CN877" s="128"/>
      <c r="CO877" s="128"/>
      <c r="CP877" s="128"/>
      <c r="CQ877" s="128"/>
      <c r="CR877" s="128"/>
      <c r="CS877" s="128"/>
      <c r="CT877" s="128"/>
      <c r="CU877" s="128"/>
      <c r="CV877" s="128"/>
      <c r="CW877" s="128"/>
      <c r="CX877" s="128"/>
      <c r="CY877" s="128"/>
      <c r="CZ877" s="128"/>
    </row>
    <row r="878" spans="1:104">
      <c r="A878" s="128"/>
      <c r="B878" s="128"/>
      <c r="C878" s="128"/>
      <c r="D878" s="112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  <c r="AV878" s="128"/>
      <c r="AW878" s="128"/>
      <c r="AX878" s="128"/>
      <c r="AY878" s="128"/>
      <c r="AZ878" s="128"/>
      <c r="BA878" s="128"/>
      <c r="BB878" s="128"/>
      <c r="BC878" s="128"/>
      <c r="BD878" s="128"/>
      <c r="BE878" s="128"/>
      <c r="BF878" s="128"/>
      <c r="BG878" s="128"/>
      <c r="BH878" s="128"/>
      <c r="BI878" s="128"/>
      <c r="BJ878" s="128"/>
      <c r="BK878" s="128"/>
      <c r="BL878" s="128"/>
      <c r="BM878" s="151"/>
      <c r="BN878" s="128"/>
      <c r="BO878" s="128"/>
      <c r="BP878" s="128"/>
      <c r="BQ878" s="128"/>
      <c r="BR878" s="128"/>
      <c r="BS878" s="128"/>
      <c r="BT878" s="128"/>
      <c r="BU878" s="128"/>
      <c r="BV878" s="128"/>
      <c r="BW878" s="128"/>
      <c r="BX878" s="128"/>
      <c r="BY878" s="128"/>
      <c r="BZ878" s="128"/>
      <c r="CA878" s="128"/>
      <c r="CB878" s="128"/>
      <c r="CC878" s="128"/>
      <c r="CD878" s="128"/>
      <c r="CE878" s="128"/>
      <c r="CF878" s="128"/>
      <c r="CG878" s="128"/>
      <c r="CH878" s="128"/>
      <c r="CI878" s="128"/>
      <c r="CJ878" s="128"/>
      <c r="CK878" s="128"/>
      <c r="CL878" s="128"/>
      <c r="CM878" s="128"/>
      <c r="CN878" s="128"/>
      <c r="CO878" s="128"/>
      <c r="CP878" s="128"/>
      <c r="CQ878" s="128"/>
      <c r="CR878" s="128"/>
      <c r="CS878" s="128"/>
      <c r="CT878" s="128"/>
      <c r="CU878" s="128"/>
      <c r="CV878" s="128"/>
      <c r="CW878" s="128"/>
      <c r="CX878" s="128"/>
      <c r="CY878" s="128"/>
      <c r="CZ878" s="128"/>
    </row>
    <row r="879" spans="1:104">
      <c r="A879" s="128"/>
      <c r="B879" s="128"/>
      <c r="C879" s="128"/>
      <c r="D879" s="112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  <c r="AV879" s="128"/>
      <c r="AW879" s="128"/>
      <c r="AX879" s="128"/>
      <c r="AY879" s="128"/>
      <c r="AZ879" s="128"/>
      <c r="BA879" s="128"/>
      <c r="BB879" s="128"/>
      <c r="BC879" s="128"/>
      <c r="BD879" s="128"/>
      <c r="BE879" s="128"/>
      <c r="BF879" s="128"/>
      <c r="BG879" s="128"/>
      <c r="BH879" s="128"/>
      <c r="BI879" s="128"/>
      <c r="BJ879" s="128"/>
      <c r="BK879" s="128"/>
      <c r="BL879" s="128"/>
      <c r="BM879" s="151"/>
      <c r="BN879" s="128"/>
      <c r="BO879" s="128"/>
      <c r="BP879" s="128"/>
      <c r="BQ879" s="128"/>
      <c r="BR879" s="128"/>
      <c r="BS879" s="128"/>
      <c r="BT879" s="128"/>
      <c r="BU879" s="128"/>
      <c r="BV879" s="128"/>
      <c r="BW879" s="128"/>
      <c r="BX879" s="128"/>
      <c r="BY879" s="128"/>
      <c r="BZ879" s="128"/>
      <c r="CA879" s="128"/>
      <c r="CB879" s="128"/>
      <c r="CC879" s="128"/>
      <c r="CD879" s="128"/>
      <c r="CE879" s="128"/>
      <c r="CF879" s="128"/>
      <c r="CG879" s="128"/>
      <c r="CH879" s="128"/>
      <c r="CI879" s="128"/>
      <c r="CJ879" s="128"/>
      <c r="CK879" s="128"/>
      <c r="CL879" s="128"/>
      <c r="CM879" s="128"/>
      <c r="CN879" s="128"/>
      <c r="CO879" s="128"/>
      <c r="CP879" s="128"/>
      <c r="CQ879" s="128"/>
      <c r="CR879" s="128"/>
      <c r="CS879" s="128"/>
      <c r="CT879" s="128"/>
      <c r="CU879" s="128"/>
      <c r="CV879" s="128"/>
      <c r="CW879" s="128"/>
      <c r="CX879" s="128"/>
      <c r="CY879" s="128"/>
      <c r="CZ879" s="128"/>
    </row>
    <row r="880" spans="1:104">
      <c r="A880" s="128"/>
      <c r="B880" s="128"/>
      <c r="C880" s="128"/>
      <c r="D880" s="112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  <c r="AV880" s="128"/>
      <c r="AW880" s="128"/>
      <c r="AX880" s="128"/>
      <c r="AY880" s="128"/>
      <c r="AZ880" s="128"/>
      <c r="BA880" s="128"/>
      <c r="BB880" s="128"/>
      <c r="BC880" s="128"/>
      <c r="BD880" s="128"/>
      <c r="BE880" s="128"/>
      <c r="BF880" s="128"/>
      <c r="BG880" s="128"/>
      <c r="BH880" s="128"/>
      <c r="BI880" s="128"/>
      <c r="BJ880" s="128"/>
      <c r="BK880" s="128"/>
      <c r="BL880" s="128"/>
      <c r="BM880" s="151"/>
      <c r="BN880" s="128"/>
      <c r="BO880" s="128"/>
      <c r="BP880" s="128"/>
      <c r="BQ880" s="128"/>
      <c r="BR880" s="128"/>
      <c r="BS880" s="128"/>
      <c r="BT880" s="128"/>
      <c r="BU880" s="128"/>
      <c r="BV880" s="128"/>
      <c r="BW880" s="128"/>
      <c r="BX880" s="128"/>
      <c r="BY880" s="128"/>
      <c r="BZ880" s="128"/>
      <c r="CA880" s="128"/>
      <c r="CB880" s="128"/>
      <c r="CC880" s="128"/>
      <c r="CD880" s="128"/>
      <c r="CE880" s="128"/>
      <c r="CF880" s="128"/>
      <c r="CG880" s="128"/>
      <c r="CH880" s="128"/>
      <c r="CI880" s="128"/>
      <c r="CJ880" s="128"/>
      <c r="CK880" s="128"/>
      <c r="CL880" s="128"/>
      <c r="CM880" s="128"/>
      <c r="CN880" s="128"/>
      <c r="CO880" s="128"/>
      <c r="CP880" s="128"/>
      <c r="CQ880" s="128"/>
      <c r="CR880" s="128"/>
      <c r="CS880" s="128"/>
      <c r="CT880" s="128"/>
      <c r="CU880" s="128"/>
      <c r="CV880" s="128"/>
      <c r="CW880" s="128"/>
      <c r="CX880" s="128"/>
      <c r="CY880" s="128"/>
      <c r="CZ880" s="128"/>
    </row>
    <row r="881" spans="1:104">
      <c r="A881" s="128"/>
      <c r="B881" s="128"/>
      <c r="C881" s="128"/>
      <c r="D881" s="112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  <c r="AV881" s="128"/>
      <c r="AW881" s="128"/>
      <c r="AX881" s="128"/>
      <c r="AY881" s="128"/>
      <c r="AZ881" s="128"/>
      <c r="BA881" s="128"/>
      <c r="BB881" s="128"/>
      <c r="BC881" s="128"/>
      <c r="BD881" s="128"/>
      <c r="BE881" s="128"/>
      <c r="BF881" s="128"/>
      <c r="BG881" s="128"/>
      <c r="BH881" s="128"/>
      <c r="BI881" s="128"/>
      <c r="BJ881" s="128"/>
      <c r="BK881" s="128"/>
      <c r="BL881" s="128"/>
      <c r="BM881" s="151"/>
      <c r="BN881" s="128"/>
      <c r="BO881" s="128"/>
      <c r="BP881" s="128"/>
      <c r="BQ881" s="128"/>
      <c r="BR881" s="128"/>
      <c r="BS881" s="128"/>
      <c r="BT881" s="128"/>
      <c r="BU881" s="128"/>
      <c r="BV881" s="128"/>
      <c r="BW881" s="128"/>
      <c r="BX881" s="128"/>
      <c r="BY881" s="128"/>
      <c r="BZ881" s="128"/>
      <c r="CA881" s="128"/>
      <c r="CB881" s="128"/>
      <c r="CC881" s="128"/>
      <c r="CD881" s="128"/>
      <c r="CE881" s="128"/>
      <c r="CF881" s="128"/>
      <c r="CG881" s="128"/>
      <c r="CH881" s="128"/>
      <c r="CI881" s="128"/>
      <c r="CJ881" s="128"/>
      <c r="CK881" s="128"/>
      <c r="CL881" s="128"/>
      <c r="CM881" s="128"/>
      <c r="CN881" s="128"/>
      <c r="CO881" s="128"/>
      <c r="CP881" s="128"/>
      <c r="CQ881" s="128"/>
      <c r="CR881" s="128"/>
      <c r="CS881" s="128"/>
      <c r="CT881" s="128"/>
      <c r="CU881" s="128"/>
      <c r="CV881" s="128"/>
      <c r="CW881" s="128"/>
      <c r="CX881" s="128"/>
      <c r="CY881" s="128"/>
      <c r="CZ881" s="128"/>
    </row>
    <row r="882" spans="1:104">
      <c r="A882" s="128"/>
      <c r="B882" s="128"/>
      <c r="C882" s="128"/>
      <c r="D882" s="112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  <c r="AV882" s="128"/>
      <c r="AW882" s="128"/>
      <c r="AX882" s="128"/>
      <c r="AY882" s="128"/>
      <c r="AZ882" s="128"/>
      <c r="BA882" s="128"/>
      <c r="BB882" s="128"/>
      <c r="BC882" s="128"/>
      <c r="BD882" s="128"/>
      <c r="BE882" s="128"/>
      <c r="BF882" s="128"/>
      <c r="BG882" s="128"/>
      <c r="BH882" s="128"/>
      <c r="BI882" s="128"/>
      <c r="BJ882" s="128"/>
      <c r="BK882" s="128"/>
      <c r="BL882" s="128"/>
      <c r="BM882" s="151"/>
      <c r="BN882" s="128"/>
      <c r="BO882" s="128"/>
      <c r="BP882" s="128"/>
      <c r="BQ882" s="128"/>
      <c r="BR882" s="128"/>
      <c r="BS882" s="128"/>
      <c r="BT882" s="128"/>
      <c r="BU882" s="128"/>
      <c r="BV882" s="128"/>
      <c r="BW882" s="128"/>
      <c r="BX882" s="128"/>
      <c r="BY882" s="128"/>
      <c r="BZ882" s="128"/>
      <c r="CA882" s="128"/>
      <c r="CB882" s="128"/>
      <c r="CC882" s="128"/>
      <c r="CD882" s="128"/>
      <c r="CE882" s="128"/>
      <c r="CF882" s="128"/>
      <c r="CG882" s="128"/>
      <c r="CH882" s="128"/>
      <c r="CI882" s="128"/>
      <c r="CJ882" s="128"/>
      <c r="CK882" s="128"/>
      <c r="CL882" s="128"/>
      <c r="CM882" s="128"/>
      <c r="CN882" s="128"/>
      <c r="CO882" s="128"/>
      <c r="CP882" s="128"/>
      <c r="CQ882" s="128"/>
      <c r="CR882" s="128"/>
      <c r="CS882" s="128"/>
      <c r="CT882" s="128"/>
      <c r="CU882" s="128"/>
      <c r="CV882" s="128"/>
      <c r="CW882" s="128"/>
      <c r="CX882" s="128"/>
      <c r="CY882" s="128"/>
      <c r="CZ882" s="128"/>
    </row>
    <row r="883" spans="1:104">
      <c r="A883" s="128"/>
      <c r="B883" s="128"/>
      <c r="C883" s="128"/>
      <c r="D883" s="112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  <c r="AV883" s="128"/>
      <c r="AW883" s="128"/>
      <c r="AX883" s="128"/>
      <c r="AY883" s="128"/>
      <c r="AZ883" s="128"/>
      <c r="BA883" s="128"/>
      <c r="BB883" s="128"/>
      <c r="BC883" s="128"/>
      <c r="BD883" s="128"/>
      <c r="BE883" s="128"/>
      <c r="BF883" s="128"/>
      <c r="BG883" s="128"/>
      <c r="BH883" s="128"/>
      <c r="BI883" s="128"/>
      <c r="BJ883" s="128"/>
      <c r="BK883" s="128"/>
      <c r="BL883" s="128"/>
      <c r="BM883" s="151"/>
      <c r="BN883" s="128"/>
      <c r="BO883" s="128"/>
      <c r="BP883" s="128"/>
      <c r="BQ883" s="128"/>
      <c r="BR883" s="128"/>
      <c r="BS883" s="128"/>
      <c r="BT883" s="128"/>
      <c r="BU883" s="128"/>
      <c r="BV883" s="128"/>
      <c r="BW883" s="128"/>
      <c r="BX883" s="128"/>
      <c r="BY883" s="128"/>
      <c r="BZ883" s="128"/>
      <c r="CA883" s="128"/>
      <c r="CB883" s="128"/>
      <c r="CC883" s="128"/>
      <c r="CD883" s="128"/>
      <c r="CE883" s="128"/>
      <c r="CF883" s="128"/>
      <c r="CG883" s="128"/>
      <c r="CH883" s="128"/>
      <c r="CI883" s="128"/>
      <c r="CJ883" s="128"/>
      <c r="CK883" s="128"/>
      <c r="CL883" s="128"/>
      <c r="CM883" s="128"/>
      <c r="CN883" s="128"/>
      <c r="CO883" s="128"/>
      <c r="CP883" s="128"/>
      <c r="CQ883" s="128"/>
      <c r="CR883" s="128"/>
      <c r="CS883" s="128"/>
      <c r="CT883" s="128"/>
      <c r="CU883" s="128"/>
      <c r="CV883" s="128"/>
      <c r="CW883" s="128"/>
      <c r="CX883" s="128"/>
      <c r="CY883" s="128"/>
      <c r="CZ883" s="128"/>
    </row>
    <row r="884" spans="1:104">
      <c r="A884" s="128"/>
      <c r="B884" s="128"/>
      <c r="C884" s="128"/>
      <c r="D884" s="112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  <c r="AV884" s="128"/>
      <c r="AW884" s="128"/>
      <c r="AX884" s="128"/>
      <c r="AY884" s="128"/>
      <c r="AZ884" s="128"/>
      <c r="BA884" s="128"/>
      <c r="BB884" s="128"/>
      <c r="BC884" s="128"/>
      <c r="BD884" s="128"/>
      <c r="BE884" s="128"/>
      <c r="BF884" s="128"/>
      <c r="BG884" s="128"/>
      <c r="BH884" s="128"/>
      <c r="BI884" s="128"/>
      <c r="BJ884" s="128"/>
      <c r="BK884" s="128"/>
      <c r="BL884" s="128"/>
      <c r="BM884" s="151"/>
      <c r="BN884" s="128"/>
      <c r="BO884" s="128"/>
      <c r="BP884" s="128"/>
      <c r="BQ884" s="128"/>
      <c r="BR884" s="128"/>
      <c r="BS884" s="128"/>
      <c r="BT884" s="128"/>
      <c r="BU884" s="128"/>
      <c r="BV884" s="128"/>
      <c r="BW884" s="128"/>
      <c r="BX884" s="128"/>
      <c r="BY884" s="128"/>
      <c r="BZ884" s="128"/>
      <c r="CA884" s="128"/>
      <c r="CB884" s="128"/>
      <c r="CC884" s="128"/>
      <c r="CD884" s="128"/>
      <c r="CE884" s="128"/>
      <c r="CF884" s="128"/>
      <c r="CG884" s="128"/>
      <c r="CH884" s="128"/>
      <c r="CI884" s="128"/>
      <c r="CJ884" s="128"/>
      <c r="CK884" s="128"/>
      <c r="CL884" s="128"/>
      <c r="CM884" s="128"/>
      <c r="CN884" s="128"/>
      <c r="CO884" s="128"/>
      <c r="CP884" s="128"/>
      <c r="CQ884" s="128"/>
      <c r="CR884" s="128"/>
      <c r="CS884" s="128"/>
      <c r="CT884" s="128"/>
      <c r="CU884" s="128"/>
      <c r="CV884" s="128"/>
      <c r="CW884" s="128"/>
      <c r="CX884" s="128"/>
      <c r="CY884" s="128"/>
      <c r="CZ884" s="128"/>
    </row>
    <row r="885" spans="1:104">
      <c r="A885" s="128"/>
      <c r="B885" s="128"/>
      <c r="C885" s="128"/>
      <c r="D885" s="112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  <c r="AV885" s="128"/>
      <c r="AW885" s="128"/>
      <c r="AX885" s="128"/>
      <c r="AY885" s="128"/>
      <c r="AZ885" s="128"/>
      <c r="BA885" s="128"/>
      <c r="BB885" s="128"/>
      <c r="BC885" s="128"/>
      <c r="BD885" s="128"/>
      <c r="BE885" s="128"/>
      <c r="BF885" s="128"/>
      <c r="BG885" s="128"/>
      <c r="BH885" s="128"/>
      <c r="BI885" s="128"/>
      <c r="BJ885" s="128"/>
      <c r="BK885" s="128"/>
      <c r="BL885" s="128"/>
      <c r="BM885" s="151"/>
      <c r="BN885" s="128"/>
      <c r="BO885" s="128"/>
      <c r="BP885" s="128"/>
      <c r="BQ885" s="128"/>
      <c r="BR885" s="128"/>
      <c r="BS885" s="128"/>
      <c r="BT885" s="128"/>
      <c r="BU885" s="128"/>
      <c r="BV885" s="128"/>
      <c r="BW885" s="128"/>
      <c r="BX885" s="128"/>
      <c r="BY885" s="128"/>
      <c r="BZ885" s="128"/>
      <c r="CA885" s="128"/>
      <c r="CB885" s="128"/>
      <c r="CC885" s="128"/>
      <c r="CD885" s="128"/>
      <c r="CE885" s="128"/>
      <c r="CF885" s="128"/>
      <c r="CG885" s="128"/>
      <c r="CH885" s="128"/>
      <c r="CI885" s="128"/>
      <c r="CJ885" s="128"/>
      <c r="CK885" s="128"/>
      <c r="CL885" s="128"/>
      <c r="CM885" s="128"/>
      <c r="CN885" s="128"/>
      <c r="CO885" s="128"/>
      <c r="CP885" s="128"/>
      <c r="CQ885" s="128"/>
      <c r="CR885" s="128"/>
      <c r="CS885" s="128"/>
      <c r="CT885" s="128"/>
      <c r="CU885" s="128"/>
      <c r="CV885" s="128"/>
      <c r="CW885" s="128"/>
      <c r="CX885" s="128"/>
      <c r="CY885" s="128"/>
      <c r="CZ885" s="128"/>
    </row>
    <row r="886" spans="1:104">
      <c r="A886" s="128"/>
      <c r="B886" s="128"/>
      <c r="C886" s="128"/>
      <c r="D886" s="112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  <c r="AV886" s="128"/>
      <c r="AW886" s="128"/>
      <c r="AX886" s="128"/>
      <c r="AY886" s="128"/>
      <c r="AZ886" s="128"/>
      <c r="BA886" s="128"/>
      <c r="BB886" s="128"/>
      <c r="BC886" s="128"/>
      <c r="BD886" s="128"/>
      <c r="BE886" s="128"/>
      <c r="BF886" s="128"/>
      <c r="BG886" s="128"/>
      <c r="BH886" s="128"/>
      <c r="BI886" s="128"/>
      <c r="BJ886" s="128"/>
      <c r="BK886" s="128"/>
      <c r="BL886" s="128"/>
      <c r="BM886" s="151"/>
      <c r="BN886" s="128"/>
      <c r="BO886" s="128"/>
      <c r="BP886" s="128"/>
      <c r="BQ886" s="128"/>
      <c r="BR886" s="128"/>
      <c r="BS886" s="128"/>
      <c r="BT886" s="128"/>
      <c r="BU886" s="128"/>
      <c r="BV886" s="128"/>
      <c r="BW886" s="128"/>
      <c r="BX886" s="128"/>
      <c r="BY886" s="128"/>
      <c r="BZ886" s="128"/>
      <c r="CA886" s="128"/>
      <c r="CB886" s="128"/>
      <c r="CC886" s="128"/>
      <c r="CD886" s="128"/>
      <c r="CE886" s="128"/>
      <c r="CF886" s="128"/>
      <c r="CG886" s="128"/>
      <c r="CH886" s="128"/>
      <c r="CI886" s="128"/>
      <c r="CJ886" s="128"/>
      <c r="CK886" s="128"/>
      <c r="CL886" s="128"/>
      <c r="CM886" s="128"/>
      <c r="CN886" s="128"/>
      <c r="CO886" s="128"/>
      <c r="CP886" s="128"/>
      <c r="CQ886" s="128"/>
      <c r="CR886" s="128"/>
      <c r="CS886" s="128"/>
      <c r="CT886" s="128"/>
      <c r="CU886" s="128"/>
      <c r="CV886" s="128"/>
      <c r="CW886" s="128"/>
      <c r="CX886" s="128"/>
      <c r="CY886" s="128"/>
      <c r="CZ886" s="128"/>
    </row>
    <row r="887" spans="1:104">
      <c r="A887" s="128"/>
      <c r="B887" s="128"/>
      <c r="C887" s="128"/>
      <c r="D887" s="112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  <c r="AV887" s="128"/>
      <c r="AW887" s="128"/>
      <c r="AX887" s="128"/>
      <c r="AY887" s="128"/>
      <c r="AZ887" s="128"/>
      <c r="BA887" s="128"/>
      <c r="BB887" s="128"/>
      <c r="BC887" s="128"/>
      <c r="BD887" s="128"/>
      <c r="BE887" s="128"/>
      <c r="BF887" s="128"/>
      <c r="BG887" s="128"/>
      <c r="BH887" s="128"/>
      <c r="BI887" s="128"/>
      <c r="BJ887" s="128"/>
      <c r="BK887" s="128"/>
      <c r="BL887" s="128"/>
      <c r="BM887" s="151"/>
      <c r="BN887" s="128"/>
      <c r="BO887" s="128"/>
      <c r="BP887" s="128"/>
      <c r="BQ887" s="128"/>
      <c r="BR887" s="128"/>
      <c r="BS887" s="128"/>
      <c r="BT887" s="128"/>
      <c r="BU887" s="128"/>
      <c r="BV887" s="128"/>
      <c r="BW887" s="128"/>
      <c r="BX887" s="128"/>
      <c r="BY887" s="128"/>
      <c r="BZ887" s="128"/>
      <c r="CA887" s="128"/>
      <c r="CB887" s="128"/>
      <c r="CC887" s="128"/>
      <c r="CD887" s="128"/>
      <c r="CE887" s="128"/>
      <c r="CF887" s="128"/>
      <c r="CG887" s="128"/>
      <c r="CH887" s="128"/>
      <c r="CI887" s="128"/>
      <c r="CJ887" s="128"/>
      <c r="CK887" s="128"/>
      <c r="CL887" s="128"/>
      <c r="CM887" s="128"/>
      <c r="CN887" s="128"/>
      <c r="CO887" s="128"/>
      <c r="CP887" s="128"/>
      <c r="CQ887" s="128"/>
      <c r="CR887" s="128"/>
      <c r="CS887" s="128"/>
      <c r="CT887" s="128"/>
      <c r="CU887" s="128"/>
      <c r="CV887" s="128"/>
      <c r="CW887" s="128"/>
      <c r="CX887" s="128"/>
      <c r="CY887" s="128"/>
      <c r="CZ887" s="128"/>
    </row>
    <row r="888" spans="1:104">
      <c r="A888" s="128"/>
      <c r="B888" s="128"/>
      <c r="C888" s="128"/>
      <c r="D888" s="112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  <c r="AV888" s="128"/>
      <c r="AW888" s="128"/>
      <c r="AX888" s="128"/>
      <c r="AY888" s="128"/>
      <c r="AZ888" s="128"/>
      <c r="BA888" s="128"/>
      <c r="BB888" s="128"/>
      <c r="BC888" s="128"/>
      <c r="BD888" s="128"/>
      <c r="BE888" s="128"/>
      <c r="BF888" s="128"/>
      <c r="BG888" s="128"/>
      <c r="BH888" s="128"/>
      <c r="BI888" s="128"/>
      <c r="BJ888" s="128"/>
      <c r="BK888" s="128"/>
      <c r="BL888" s="128"/>
      <c r="BM888" s="151"/>
      <c r="BN888" s="128"/>
      <c r="BO888" s="128"/>
      <c r="BP888" s="128"/>
      <c r="BQ888" s="128"/>
      <c r="BR888" s="128"/>
      <c r="BS888" s="128"/>
      <c r="BT888" s="128"/>
      <c r="BU888" s="128"/>
      <c r="BV888" s="128"/>
      <c r="BW888" s="128"/>
      <c r="BX888" s="128"/>
      <c r="BY888" s="128"/>
      <c r="BZ888" s="128"/>
      <c r="CA888" s="128"/>
      <c r="CB888" s="128"/>
      <c r="CC888" s="128"/>
      <c r="CD888" s="128"/>
      <c r="CE888" s="128"/>
      <c r="CF888" s="128"/>
      <c r="CG888" s="128"/>
      <c r="CH888" s="128"/>
      <c r="CI888" s="128"/>
      <c r="CJ888" s="128"/>
      <c r="CK888" s="128"/>
      <c r="CL888" s="128"/>
      <c r="CM888" s="128"/>
      <c r="CN888" s="128"/>
      <c r="CO888" s="128"/>
      <c r="CP888" s="128"/>
      <c r="CQ888" s="128"/>
      <c r="CR888" s="128"/>
      <c r="CS888" s="128"/>
      <c r="CT888" s="128"/>
      <c r="CU888" s="128"/>
      <c r="CV888" s="128"/>
      <c r="CW888" s="128"/>
      <c r="CX888" s="128"/>
      <c r="CY888" s="128"/>
      <c r="CZ888" s="128"/>
    </row>
    <row r="889" spans="1:104">
      <c r="A889" s="128"/>
      <c r="B889" s="128"/>
      <c r="C889" s="128"/>
      <c r="D889" s="112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  <c r="AV889" s="128"/>
      <c r="AW889" s="128"/>
      <c r="AX889" s="128"/>
      <c r="AY889" s="128"/>
      <c r="AZ889" s="128"/>
      <c r="BA889" s="128"/>
      <c r="BB889" s="128"/>
      <c r="BC889" s="128"/>
      <c r="BD889" s="128"/>
      <c r="BE889" s="128"/>
      <c r="BF889" s="128"/>
      <c r="BG889" s="128"/>
      <c r="BH889" s="128"/>
      <c r="BI889" s="128"/>
      <c r="BJ889" s="128"/>
      <c r="BK889" s="128"/>
      <c r="BL889" s="128"/>
      <c r="BM889" s="151"/>
      <c r="BN889" s="128"/>
      <c r="BO889" s="128"/>
      <c r="BP889" s="128"/>
      <c r="BQ889" s="128"/>
      <c r="BR889" s="128"/>
      <c r="BS889" s="128"/>
      <c r="BT889" s="128"/>
      <c r="BU889" s="128"/>
      <c r="BV889" s="128"/>
      <c r="BW889" s="128"/>
      <c r="BX889" s="128"/>
      <c r="BY889" s="128"/>
      <c r="BZ889" s="128"/>
      <c r="CA889" s="128"/>
      <c r="CB889" s="128"/>
      <c r="CC889" s="128"/>
      <c r="CD889" s="128"/>
      <c r="CE889" s="128"/>
      <c r="CF889" s="128"/>
      <c r="CG889" s="128"/>
      <c r="CH889" s="128"/>
      <c r="CI889" s="128"/>
      <c r="CJ889" s="128"/>
      <c r="CK889" s="128"/>
      <c r="CL889" s="128"/>
      <c r="CM889" s="128"/>
      <c r="CN889" s="128"/>
      <c r="CO889" s="128"/>
      <c r="CP889" s="128"/>
      <c r="CQ889" s="128"/>
      <c r="CR889" s="128"/>
      <c r="CS889" s="128"/>
      <c r="CT889" s="128"/>
      <c r="CU889" s="128"/>
      <c r="CV889" s="128"/>
      <c r="CW889" s="128"/>
      <c r="CX889" s="128"/>
      <c r="CY889" s="128"/>
      <c r="CZ889" s="128"/>
    </row>
    <row r="890" spans="1:104">
      <c r="A890" s="128"/>
      <c r="B890" s="128"/>
      <c r="C890" s="128"/>
      <c r="D890" s="112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  <c r="AV890" s="128"/>
      <c r="AW890" s="128"/>
      <c r="AX890" s="128"/>
      <c r="AY890" s="128"/>
      <c r="AZ890" s="128"/>
      <c r="BA890" s="128"/>
      <c r="BB890" s="128"/>
      <c r="BC890" s="128"/>
      <c r="BD890" s="128"/>
      <c r="BE890" s="128"/>
      <c r="BF890" s="128"/>
      <c r="BG890" s="128"/>
      <c r="BH890" s="128"/>
      <c r="BI890" s="128"/>
      <c r="BJ890" s="128"/>
      <c r="BK890" s="128"/>
      <c r="BL890" s="128"/>
      <c r="BM890" s="151"/>
      <c r="BN890" s="128"/>
      <c r="BO890" s="128"/>
      <c r="BP890" s="128"/>
      <c r="BQ890" s="128"/>
      <c r="BR890" s="128"/>
      <c r="BS890" s="128"/>
      <c r="BT890" s="128"/>
      <c r="BU890" s="128"/>
      <c r="BV890" s="128"/>
      <c r="BW890" s="128"/>
      <c r="BX890" s="128"/>
      <c r="BY890" s="128"/>
      <c r="BZ890" s="128"/>
      <c r="CA890" s="128"/>
      <c r="CB890" s="128"/>
      <c r="CC890" s="128"/>
      <c r="CD890" s="128"/>
      <c r="CE890" s="128"/>
      <c r="CF890" s="128"/>
      <c r="CG890" s="128"/>
      <c r="CH890" s="128"/>
      <c r="CI890" s="128"/>
      <c r="CJ890" s="128"/>
      <c r="CK890" s="128"/>
      <c r="CL890" s="128"/>
      <c r="CM890" s="128"/>
      <c r="CN890" s="128"/>
      <c r="CO890" s="128"/>
      <c r="CP890" s="128"/>
      <c r="CQ890" s="128"/>
      <c r="CR890" s="128"/>
      <c r="CS890" s="128"/>
      <c r="CT890" s="128"/>
      <c r="CU890" s="128"/>
      <c r="CV890" s="128"/>
      <c r="CW890" s="128"/>
      <c r="CX890" s="128"/>
      <c r="CY890" s="128"/>
      <c r="CZ890" s="128"/>
    </row>
    <row r="891" spans="1:104">
      <c r="A891" s="128"/>
      <c r="B891" s="128"/>
      <c r="C891" s="128"/>
      <c r="D891" s="112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  <c r="AV891" s="128"/>
      <c r="AW891" s="128"/>
      <c r="AX891" s="128"/>
      <c r="AY891" s="128"/>
      <c r="AZ891" s="128"/>
      <c r="BA891" s="128"/>
      <c r="BB891" s="128"/>
      <c r="BC891" s="128"/>
      <c r="BD891" s="128"/>
      <c r="BE891" s="128"/>
      <c r="BF891" s="128"/>
      <c r="BG891" s="128"/>
      <c r="BH891" s="128"/>
      <c r="BI891" s="128"/>
      <c r="BJ891" s="128"/>
      <c r="BK891" s="128"/>
      <c r="BL891" s="128"/>
      <c r="BM891" s="151"/>
      <c r="BN891" s="128"/>
      <c r="BO891" s="128"/>
      <c r="BP891" s="128"/>
      <c r="BQ891" s="128"/>
      <c r="BR891" s="128"/>
      <c r="BS891" s="128"/>
      <c r="BT891" s="128"/>
      <c r="BU891" s="128"/>
      <c r="BV891" s="128"/>
      <c r="BW891" s="128"/>
      <c r="BX891" s="128"/>
      <c r="BY891" s="128"/>
      <c r="BZ891" s="128"/>
      <c r="CA891" s="128"/>
      <c r="CB891" s="128"/>
      <c r="CC891" s="128"/>
      <c r="CD891" s="128"/>
      <c r="CE891" s="128"/>
      <c r="CF891" s="128"/>
      <c r="CG891" s="128"/>
      <c r="CH891" s="128"/>
      <c r="CI891" s="128"/>
      <c r="CJ891" s="128"/>
      <c r="CK891" s="128"/>
      <c r="CL891" s="128"/>
      <c r="CM891" s="128"/>
      <c r="CN891" s="128"/>
      <c r="CO891" s="128"/>
      <c r="CP891" s="128"/>
      <c r="CQ891" s="128"/>
      <c r="CR891" s="128"/>
      <c r="CS891" s="128"/>
      <c r="CT891" s="128"/>
      <c r="CU891" s="128"/>
      <c r="CV891" s="128"/>
      <c r="CW891" s="128"/>
      <c r="CX891" s="128"/>
      <c r="CY891" s="128"/>
      <c r="CZ891" s="128"/>
    </row>
    <row r="892" spans="1:104">
      <c r="A892" s="128"/>
      <c r="B892" s="128"/>
      <c r="C892" s="128"/>
      <c r="D892" s="112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  <c r="AV892" s="128"/>
      <c r="AW892" s="128"/>
      <c r="AX892" s="128"/>
      <c r="AY892" s="128"/>
      <c r="AZ892" s="128"/>
      <c r="BA892" s="128"/>
      <c r="BB892" s="128"/>
      <c r="BC892" s="128"/>
      <c r="BD892" s="128"/>
      <c r="BE892" s="128"/>
      <c r="BF892" s="128"/>
      <c r="BG892" s="128"/>
      <c r="BH892" s="128"/>
      <c r="BI892" s="128"/>
      <c r="BJ892" s="128"/>
      <c r="BK892" s="128"/>
      <c r="BL892" s="128"/>
      <c r="BM892" s="151"/>
      <c r="BN892" s="128"/>
      <c r="BO892" s="128"/>
      <c r="BP892" s="128"/>
      <c r="BQ892" s="128"/>
      <c r="BR892" s="128"/>
      <c r="BS892" s="128"/>
      <c r="BT892" s="128"/>
      <c r="BU892" s="128"/>
      <c r="BV892" s="128"/>
      <c r="BW892" s="128"/>
      <c r="BX892" s="128"/>
      <c r="BY892" s="128"/>
      <c r="BZ892" s="128"/>
      <c r="CA892" s="128"/>
      <c r="CB892" s="128"/>
      <c r="CC892" s="128"/>
      <c r="CD892" s="128"/>
      <c r="CE892" s="128"/>
      <c r="CF892" s="128"/>
      <c r="CG892" s="128"/>
      <c r="CH892" s="128"/>
      <c r="CI892" s="128"/>
      <c r="CJ892" s="128"/>
      <c r="CK892" s="128"/>
      <c r="CL892" s="128"/>
      <c r="CM892" s="128"/>
      <c r="CN892" s="128"/>
      <c r="CO892" s="128"/>
      <c r="CP892" s="128"/>
      <c r="CQ892" s="128"/>
      <c r="CR892" s="128"/>
      <c r="CS892" s="128"/>
      <c r="CT892" s="128"/>
      <c r="CU892" s="128"/>
      <c r="CV892" s="128"/>
      <c r="CW892" s="128"/>
      <c r="CX892" s="128"/>
      <c r="CY892" s="128"/>
      <c r="CZ892" s="128"/>
    </row>
    <row r="893" spans="1:104">
      <c r="A893" s="128"/>
      <c r="B893" s="128"/>
      <c r="C893" s="128"/>
      <c r="D893" s="112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  <c r="AV893" s="128"/>
      <c r="AW893" s="128"/>
      <c r="AX893" s="128"/>
      <c r="AY893" s="128"/>
      <c r="AZ893" s="128"/>
      <c r="BA893" s="128"/>
      <c r="BB893" s="128"/>
      <c r="BC893" s="128"/>
      <c r="BD893" s="128"/>
      <c r="BE893" s="128"/>
      <c r="BF893" s="128"/>
      <c r="BG893" s="128"/>
      <c r="BH893" s="128"/>
      <c r="BI893" s="128"/>
      <c r="BJ893" s="128"/>
      <c r="BK893" s="128"/>
      <c r="BL893" s="128"/>
      <c r="BM893" s="151"/>
      <c r="BN893" s="128"/>
      <c r="BO893" s="128"/>
      <c r="BP893" s="128"/>
      <c r="BQ893" s="128"/>
      <c r="BR893" s="128"/>
      <c r="BS893" s="128"/>
      <c r="BT893" s="128"/>
      <c r="BU893" s="128"/>
      <c r="BV893" s="128"/>
      <c r="BW893" s="128"/>
      <c r="BX893" s="128"/>
      <c r="BY893" s="128"/>
      <c r="BZ893" s="128"/>
      <c r="CA893" s="128"/>
      <c r="CB893" s="128"/>
      <c r="CC893" s="128"/>
      <c r="CD893" s="128"/>
      <c r="CE893" s="128"/>
      <c r="CF893" s="128"/>
      <c r="CG893" s="128"/>
      <c r="CH893" s="128"/>
      <c r="CI893" s="128"/>
      <c r="CJ893" s="128"/>
      <c r="CK893" s="128"/>
      <c r="CL893" s="128"/>
      <c r="CM893" s="128"/>
      <c r="CN893" s="128"/>
      <c r="CO893" s="128"/>
      <c r="CP893" s="128"/>
      <c r="CQ893" s="128"/>
      <c r="CR893" s="128"/>
      <c r="CS893" s="128"/>
      <c r="CT893" s="128"/>
      <c r="CU893" s="128"/>
      <c r="CV893" s="128"/>
      <c r="CW893" s="128"/>
      <c r="CX893" s="128"/>
      <c r="CY893" s="128"/>
      <c r="CZ893" s="128"/>
    </row>
    <row r="894" spans="1:104">
      <c r="A894" s="128"/>
      <c r="B894" s="128"/>
      <c r="C894" s="128"/>
      <c r="D894" s="112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  <c r="AV894" s="128"/>
      <c r="AW894" s="128"/>
      <c r="AX894" s="128"/>
      <c r="AY894" s="128"/>
      <c r="AZ894" s="128"/>
      <c r="BA894" s="128"/>
      <c r="BB894" s="128"/>
      <c r="BC894" s="128"/>
      <c r="BD894" s="128"/>
      <c r="BE894" s="128"/>
      <c r="BF894" s="128"/>
      <c r="BG894" s="128"/>
      <c r="BH894" s="128"/>
      <c r="BI894" s="128"/>
      <c r="BJ894" s="128"/>
      <c r="BK894" s="128"/>
      <c r="BL894" s="128"/>
      <c r="BM894" s="151"/>
      <c r="BN894" s="128"/>
      <c r="BO894" s="128"/>
      <c r="BP894" s="128"/>
      <c r="BQ894" s="128"/>
      <c r="BR894" s="128"/>
      <c r="BS894" s="128"/>
      <c r="BT894" s="128"/>
      <c r="BU894" s="128"/>
      <c r="BV894" s="128"/>
      <c r="BW894" s="128"/>
      <c r="BX894" s="128"/>
      <c r="BY894" s="128"/>
      <c r="BZ894" s="128"/>
      <c r="CA894" s="128"/>
      <c r="CB894" s="128"/>
      <c r="CC894" s="128"/>
      <c r="CD894" s="128"/>
      <c r="CE894" s="128"/>
      <c r="CF894" s="128"/>
      <c r="CG894" s="128"/>
      <c r="CH894" s="128"/>
      <c r="CI894" s="128"/>
      <c r="CJ894" s="128"/>
      <c r="CK894" s="128"/>
      <c r="CL894" s="128"/>
      <c r="CM894" s="128"/>
      <c r="CN894" s="128"/>
      <c r="CO894" s="128"/>
      <c r="CP894" s="128"/>
      <c r="CQ894" s="128"/>
      <c r="CR894" s="128"/>
      <c r="CS894" s="128"/>
      <c r="CT894" s="128"/>
      <c r="CU894" s="128"/>
      <c r="CV894" s="128"/>
      <c r="CW894" s="128"/>
      <c r="CX894" s="128"/>
      <c r="CY894" s="128"/>
      <c r="CZ894" s="128"/>
    </row>
    <row r="895" spans="1:104">
      <c r="A895" s="128"/>
      <c r="B895" s="128"/>
      <c r="C895" s="128"/>
      <c r="D895" s="112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  <c r="AV895" s="128"/>
      <c r="AW895" s="128"/>
      <c r="AX895" s="128"/>
      <c r="AY895" s="128"/>
      <c r="AZ895" s="128"/>
      <c r="BA895" s="128"/>
      <c r="BB895" s="128"/>
      <c r="BC895" s="128"/>
      <c r="BD895" s="128"/>
      <c r="BE895" s="128"/>
      <c r="BF895" s="128"/>
      <c r="BG895" s="128"/>
      <c r="BH895" s="128"/>
      <c r="BI895" s="128"/>
      <c r="BJ895" s="128"/>
      <c r="BK895" s="128"/>
      <c r="BL895" s="128"/>
      <c r="BM895" s="151"/>
      <c r="BN895" s="128"/>
      <c r="BO895" s="128"/>
      <c r="BP895" s="128"/>
      <c r="BQ895" s="128"/>
      <c r="BR895" s="128"/>
      <c r="BS895" s="128"/>
      <c r="BT895" s="128"/>
      <c r="BU895" s="128"/>
      <c r="BV895" s="128"/>
      <c r="BW895" s="128"/>
      <c r="BX895" s="128"/>
      <c r="BY895" s="128"/>
      <c r="BZ895" s="128"/>
      <c r="CA895" s="128"/>
      <c r="CB895" s="128"/>
      <c r="CC895" s="128"/>
      <c r="CD895" s="128"/>
      <c r="CE895" s="128"/>
      <c r="CF895" s="128"/>
      <c r="CG895" s="128"/>
      <c r="CH895" s="128"/>
      <c r="CI895" s="128"/>
      <c r="CJ895" s="128"/>
      <c r="CK895" s="128"/>
      <c r="CL895" s="128"/>
      <c r="CM895" s="128"/>
      <c r="CN895" s="128"/>
      <c r="CO895" s="128"/>
      <c r="CP895" s="128"/>
      <c r="CQ895" s="128"/>
      <c r="CR895" s="128"/>
      <c r="CS895" s="128"/>
      <c r="CT895" s="128"/>
      <c r="CU895" s="128"/>
      <c r="CV895" s="128"/>
      <c r="CW895" s="128"/>
      <c r="CX895" s="128"/>
      <c r="CY895" s="128"/>
      <c r="CZ895" s="128"/>
    </row>
    <row r="896" spans="1:104">
      <c r="A896" s="128"/>
      <c r="B896" s="128"/>
      <c r="C896" s="128"/>
      <c r="D896" s="112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  <c r="AV896" s="128"/>
      <c r="AW896" s="128"/>
      <c r="AX896" s="128"/>
      <c r="AY896" s="128"/>
      <c r="AZ896" s="128"/>
      <c r="BA896" s="128"/>
      <c r="BB896" s="128"/>
      <c r="BC896" s="128"/>
      <c r="BD896" s="128"/>
      <c r="BE896" s="128"/>
      <c r="BF896" s="128"/>
      <c r="BG896" s="128"/>
      <c r="BH896" s="128"/>
      <c r="BI896" s="128"/>
      <c r="BJ896" s="128"/>
      <c r="BK896" s="128"/>
      <c r="BL896" s="128"/>
      <c r="BM896" s="151"/>
      <c r="BN896" s="128"/>
      <c r="BO896" s="128"/>
      <c r="BP896" s="128"/>
      <c r="BQ896" s="128"/>
      <c r="BR896" s="128"/>
      <c r="BS896" s="128"/>
      <c r="BT896" s="128"/>
      <c r="BU896" s="128"/>
      <c r="BV896" s="128"/>
      <c r="BW896" s="128"/>
      <c r="BX896" s="128"/>
      <c r="BY896" s="128"/>
      <c r="BZ896" s="128"/>
      <c r="CA896" s="128"/>
      <c r="CB896" s="128"/>
      <c r="CC896" s="128"/>
      <c r="CD896" s="128"/>
      <c r="CE896" s="128"/>
      <c r="CF896" s="128"/>
      <c r="CG896" s="128"/>
      <c r="CH896" s="128"/>
      <c r="CI896" s="128"/>
      <c r="CJ896" s="128"/>
      <c r="CK896" s="128"/>
      <c r="CL896" s="128"/>
      <c r="CM896" s="128"/>
      <c r="CN896" s="128"/>
      <c r="CO896" s="128"/>
      <c r="CP896" s="128"/>
      <c r="CQ896" s="128"/>
      <c r="CR896" s="128"/>
      <c r="CS896" s="128"/>
      <c r="CT896" s="128"/>
      <c r="CU896" s="128"/>
      <c r="CV896" s="128"/>
      <c r="CW896" s="128"/>
      <c r="CX896" s="128"/>
      <c r="CY896" s="128"/>
      <c r="CZ896" s="128"/>
    </row>
    <row r="897" spans="1:104">
      <c r="A897" s="128"/>
      <c r="B897" s="128"/>
      <c r="C897" s="128"/>
      <c r="D897" s="112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  <c r="AV897" s="128"/>
      <c r="AW897" s="128"/>
      <c r="AX897" s="128"/>
      <c r="AY897" s="128"/>
      <c r="AZ897" s="128"/>
      <c r="BA897" s="128"/>
      <c r="BB897" s="128"/>
      <c r="BC897" s="128"/>
      <c r="BD897" s="128"/>
      <c r="BE897" s="128"/>
      <c r="BF897" s="128"/>
      <c r="BG897" s="128"/>
      <c r="BH897" s="128"/>
      <c r="BI897" s="128"/>
      <c r="BJ897" s="128"/>
      <c r="BK897" s="128"/>
      <c r="BL897" s="128"/>
      <c r="BM897" s="151"/>
      <c r="BN897" s="128"/>
      <c r="BO897" s="128"/>
      <c r="BP897" s="128"/>
      <c r="BQ897" s="128"/>
      <c r="BR897" s="128"/>
      <c r="BS897" s="128"/>
      <c r="BT897" s="128"/>
      <c r="BU897" s="128"/>
      <c r="BV897" s="128"/>
      <c r="BW897" s="128"/>
      <c r="BX897" s="128"/>
      <c r="BY897" s="128"/>
      <c r="BZ897" s="128"/>
      <c r="CA897" s="128"/>
      <c r="CB897" s="128"/>
      <c r="CC897" s="128"/>
      <c r="CD897" s="128"/>
      <c r="CE897" s="128"/>
      <c r="CF897" s="128"/>
      <c r="CG897" s="128"/>
      <c r="CH897" s="128"/>
      <c r="CI897" s="128"/>
      <c r="CJ897" s="128"/>
      <c r="CK897" s="128"/>
      <c r="CL897" s="128"/>
      <c r="CM897" s="128"/>
      <c r="CN897" s="128"/>
      <c r="CO897" s="128"/>
      <c r="CP897" s="128"/>
      <c r="CQ897" s="128"/>
      <c r="CR897" s="128"/>
      <c r="CS897" s="128"/>
      <c r="CT897" s="128"/>
      <c r="CU897" s="128"/>
      <c r="CV897" s="128"/>
      <c r="CW897" s="128"/>
      <c r="CX897" s="128"/>
      <c r="CY897" s="128"/>
      <c r="CZ897" s="128"/>
    </row>
    <row r="898" spans="1:104">
      <c r="A898" s="128"/>
      <c r="B898" s="128"/>
      <c r="C898" s="128"/>
      <c r="D898" s="112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  <c r="AV898" s="128"/>
      <c r="AW898" s="128"/>
      <c r="AX898" s="128"/>
      <c r="AY898" s="128"/>
      <c r="AZ898" s="128"/>
      <c r="BA898" s="128"/>
      <c r="BB898" s="128"/>
      <c r="BC898" s="128"/>
      <c r="BD898" s="128"/>
      <c r="BE898" s="128"/>
      <c r="BF898" s="128"/>
      <c r="BG898" s="128"/>
      <c r="BH898" s="128"/>
      <c r="BI898" s="128"/>
      <c r="BJ898" s="128"/>
      <c r="BK898" s="128"/>
      <c r="BL898" s="128"/>
      <c r="BM898" s="151"/>
      <c r="BN898" s="128"/>
      <c r="BO898" s="128"/>
      <c r="BP898" s="128"/>
      <c r="BQ898" s="128"/>
      <c r="BR898" s="128"/>
      <c r="BS898" s="128"/>
      <c r="BT898" s="128"/>
      <c r="BU898" s="128"/>
      <c r="BV898" s="128"/>
      <c r="BW898" s="128"/>
      <c r="BX898" s="128"/>
      <c r="BY898" s="128"/>
      <c r="BZ898" s="128"/>
      <c r="CA898" s="128"/>
      <c r="CB898" s="128"/>
      <c r="CC898" s="128"/>
      <c r="CD898" s="128"/>
      <c r="CE898" s="128"/>
      <c r="CF898" s="128"/>
      <c r="CG898" s="128"/>
      <c r="CH898" s="128"/>
      <c r="CI898" s="128"/>
      <c r="CJ898" s="128"/>
      <c r="CK898" s="128"/>
      <c r="CL898" s="128"/>
      <c r="CM898" s="128"/>
      <c r="CN898" s="128"/>
      <c r="CO898" s="128"/>
      <c r="CP898" s="128"/>
      <c r="CQ898" s="128"/>
      <c r="CR898" s="128"/>
      <c r="CS898" s="128"/>
      <c r="CT898" s="128"/>
      <c r="CU898" s="128"/>
      <c r="CV898" s="128"/>
      <c r="CW898" s="128"/>
      <c r="CX898" s="128"/>
      <c r="CY898" s="128"/>
      <c r="CZ898" s="128"/>
    </row>
    <row r="899" spans="1:104">
      <c r="A899" s="128"/>
      <c r="B899" s="128"/>
      <c r="C899" s="128"/>
      <c r="D899" s="112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  <c r="AV899" s="128"/>
      <c r="AW899" s="128"/>
      <c r="AX899" s="128"/>
      <c r="AY899" s="128"/>
      <c r="AZ899" s="128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51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28"/>
      <c r="BY899" s="128"/>
      <c r="BZ899" s="128"/>
      <c r="CA899" s="128"/>
      <c r="CB899" s="128"/>
      <c r="CC899" s="128"/>
      <c r="CD899" s="128"/>
      <c r="CE899" s="128"/>
      <c r="CF899" s="128"/>
      <c r="CG899" s="128"/>
      <c r="CH899" s="128"/>
      <c r="CI899" s="128"/>
      <c r="CJ899" s="128"/>
      <c r="CK899" s="128"/>
      <c r="CL899" s="128"/>
      <c r="CM899" s="128"/>
      <c r="CN899" s="128"/>
      <c r="CO899" s="128"/>
      <c r="CP899" s="128"/>
      <c r="CQ899" s="128"/>
      <c r="CR899" s="128"/>
      <c r="CS899" s="128"/>
      <c r="CT899" s="128"/>
      <c r="CU899" s="128"/>
      <c r="CV899" s="128"/>
      <c r="CW899" s="128"/>
      <c r="CX899" s="128"/>
      <c r="CY899" s="128"/>
      <c r="CZ899" s="128"/>
    </row>
    <row r="900" spans="1:104">
      <c r="A900" s="128"/>
      <c r="B900" s="128"/>
      <c r="C900" s="128"/>
      <c r="D900" s="112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  <c r="AV900" s="128"/>
      <c r="AW900" s="128"/>
      <c r="AX900" s="128"/>
      <c r="AY900" s="128"/>
      <c r="AZ900" s="128"/>
      <c r="BA900" s="128"/>
      <c r="BB900" s="128"/>
      <c r="BC900" s="128"/>
      <c r="BD900" s="128"/>
      <c r="BE900" s="128"/>
      <c r="BF900" s="128"/>
      <c r="BG900" s="128"/>
      <c r="BH900" s="128"/>
      <c r="BI900" s="128"/>
      <c r="BJ900" s="128"/>
      <c r="BK900" s="128"/>
      <c r="BL900" s="128"/>
      <c r="BM900" s="151"/>
      <c r="BN900" s="128"/>
      <c r="BO900" s="128"/>
      <c r="BP900" s="128"/>
      <c r="BQ900" s="128"/>
      <c r="BR900" s="128"/>
      <c r="BS900" s="128"/>
      <c r="BT900" s="128"/>
      <c r="BU900" s="128"/>
      <c r="BV900" s="128"/>
      <c r="BW900" s="128"/>
      <c r="BX900" s="128"/>
      <c r="BY900" s="128"/>
      <c r="BZ900" s="128"/>
      <c r="CA900" s="128"/>
      <c r="CB900" s="128"/>
      <c r="CC900" s="128"/>
      <c r="CD900" s="128"/>
      <c r="CE900" s="128"/>
      <c r="CF900" s="128"/>
      <c r="CG900" s="128"/>
      <c r="CH900" s="128"/>
      <c r="CI900" s="128"/>
      <c r="CJ900" s="128"/>
      <c r="CK900" s="128"/>
      <c r="CL900" s="128"/>
      <c r="CM900" s="128"/>
      <c r="CN900" s="128"/>
      <c r="CO900" s="128"/>
      <c r="CP900" s="128"/>
      <c r="CQ900" s="128"/>
      <c r="CR900" s="128"/>
      <c r="CS900" s="128"/>
      <c r="CT900" s="128"/>
      <c r="CU900" s="128"/>
      <c r="CV900" s="128"/>
      <c r="CW900" s="128"/>
      <c r="CX900" s="128"/>
      <c r="CY900" s="128"/>
      <c r="CZ900" s="128"/>
    </row>
    <row r="901" spans="1:104">
      <c r="A901" s="128"/>
      <c r="B901" s="128"/>
      <c r="C901" s="128"/>
      <c r="D901" s="112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  <c r="AV901" s="128"/>
      <c r="AW901" s="128"/>
      <c r="AX901" s="128"/>
      <c r="AY901" s="128"/>
      <c r="AZ901" s="128"/>
      <c r="BA901" s="128"/>
      <c r="BB901" s="128"/>
      <c r="BC901" s="128"/>
      <c r="BD901" s="128"/>
      <c r="BE901" s="128"/>
      <c r="BF901" s="128"/>
      <c r="BG901" s="128"/>
      <c r="BH901" s="128"/>
      <c r="BI901" s="128"/>
      <c r="BJ901" s="128"/>
      <c r="BK901" s="128"/>
      <c r="BL901" s="128"/>
      <c r="BM901" s="151"/>
      <c r="BN901" s="128"/>
      <c r="BO901" s="128"/>
      <c r="BP901" s="128"/>
      <c r="BQ901" s="128"/>
      <c r="BR901" s="128"/>
      <c r="BS901" s="128"/>
      <c r="BT901" s="128"/>
      <c r="BU901" s="128"/>
      <c r="BV901" s="128"/>
      <c r="BW901" s="128"/>
      <c r="BX901" s="128"/>
      <c r="BY901" s="128"/>
      <c r="BZ901" s="128"/>
      <c r="CA901" s="128"/>
      <c r="CB901" s="128"/>
      <c r="CC901" s="128"/>
      <c r="CD901" s="128"/>
      <c r="CE901" s="128"/>
      <c r="CF901" s="128"/>
      <c r="CG901" s="128"/>
      <c r="CH901" s="128"/>
      <c r="CI901" s="128"/>
      <c r="CJ901" s="128"/>
      <c r="CK901" s="128"/>
      <c r="CL901" s="128"/>
      <c r="CM901" s="128"/>
      <c r="CN901" s="128"/>
      <c r="CO901" s="128"/>
      <c r="CP901" s="128"/>
      <c r="CQ901" s="128"/>
      <c r="CR901" s="128"/>
      <c r="CS901" s="128"/>
      <c r="CT901" s="128"/>
      <c r="CU901" s="128"/>
      <c r="CV901" s="128"/>
      <c r="CW901" s="128"/>
      <c r="CX901" s="128"/>
      <c r="CY901" s="128"/>
      <c r="CZ901" s="128"/>
    </row>
    <row r="902" spans="1:104">
      <c r="A902" s="128"/>
      <c r="B902" s="128"/>
      <c r="C902" s="128"/>
      <c r="D902" s="112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  <c r="AV902" s="128"/>
      <c r="AW902" s="128"/>
      <c r="AX902" s="128"/>
      <c r="AY902" s="128"/>
      <c r="AZ902" s="128"/>
      <c r="BA902" s="128"/>
      <c r="BB902" s="128"/>
      <c r="BC902" s="128"/>
      <c r="BD902" s="128"/>
      <c r="BE902" s="128"/>
      <c r="BF902" s="128"/>
      <c r="BG902" s="128"/>
      <c r="BH902" s="128"/>
      <c r="BI902" s="128"/>
      <c r="BJ902" s="128"/>
      <c r="BK902" s="128"/>
      <c r="BL902" s="128"/>
      <c r="BM902" s="151"/>
      <c r="BN902" s="128"/>
      <c r="BO902" s="128"/>
      <c r="BP902" s="128"/>
      <c r="BQ902" s="128"/>
      <c r="BR902" s="128"/>
      <c r="BS902" s="128"/>
      <c r="BT902" s="128"/>
      <c r="BU902" s="128"/>
      <c r="BV902" s="128"/>
      <c r="BW902" s="128"/>
      <c r="BX902" s="128"/>
      <c r="BY902" s="128"/>
      <c r="BZ902" s="128"/>
      <c r="CA902" s="128"/>
      <c r="CB902" s="128"/>
      <c r="CC902" s="128"/>
      <c r="CD902" s="128"/>
      <c r="CE902" s="128"/>
      <c r="CF902" s="128"/>
      <c r="CG902" s="128"/>
      <c r="CH902" s="128"/>
      <c r="CI902" s="128"/>
      <c r="CJ902" s="128"/>
      <c r="CK902" s="128"/>
      <c r="CL902" s="128"/>
      <c r="CM902" s="128"/>
      <c r="CN902" s="128"/>
      <c r="CO902" s="128"/>
      <c r="CP902" s="128"/>
      <c r="CQ902" s="128"/>
      <c r="CR902" s="128"/>
      <c r="CS902" s="128"/>
      <c r="CT902" s="128"/>
      <c r="CU902" s="128"/>
      <c r="CV902" s="128"/>
      <c r="CW902" s="128"/>
      <c r="CX902" s="128"/>
      <c r="CY902" s="128"/>
      <c r="CZ902" s="128"/>
    </row>
    <row r="903" spans="1:104">
      <c r="A903" s="128"/>
      <c r="B903" s="128"/>
      <c r="C903" s="128"/>
      <c r="D903" s="112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  <c r="AV903" s="128"/>
      <c r="AW903" s="128"/>
      <c r="AX903" s="128"/>
      <c r="AY903" s="128"/>
      <c r="AZ903" s="128"/>
      <c r="BA903" s="128"/>
      <c r="BB903" s="128"/>
      <c r="BC903" s="128"/>
      <c r="BD903" s="128"/>
      <c r="BE903" s="128"/>
      <c r="BF903" s="128"/>
      <c r="BG903" s="128"/>
      <c r="BH903" s="128"/>
      <c r="BI903" s="128"/>
      <c r="BJ903" s="128"/>
      <c r="BK903" s="128"/>
      <c r="BL903" s="128"/>
      <c r="BM903" s="151"/>
      <c r="BN903" s="128"/>
      <c r="BO903" s="128"/>
      <c r="BP903" s="128"/>
      <c r="BQ903" s="128"/>
      <c r="BR903" s="128"/>
      <c r="BS903" s="128"/>
      <c r="BT903" s="128"/>
      <c r="BU903" s="128"/>
      <c r="BV903" s="128"/>
      <c r="BW903" s="128"/>
      <c r="BX903" s="128"/>
      <c r="BY903" s="128"/>
      <c r="BZ903" s="128"/>
      <c r="CA903" s="128"/>
      <c r="CB903" s="128"/>
      <c r="CC903" s="128"/>
      <c r="CD903" s="128"/>
      <c r="CE903" s="128"/>
      <c r="CF903" s="128"/>
      <c r="CG903" s="128"/>
      <c r="CH903" s="128"/>
      <c r="CI903" s="128"/>
      <c r="CJ903" s="128"/>
      <c r="CK903" s="128"/>
      <c r="CL903" s="128"/>
      <c r="CM903" s="128"/>
      <c r="CN903" s="128"/>
      <c r="CO903" s="128"/>
      <c r="CP903" s="128"/>
      <c r="CQ903" s="128"/>
      <c r="CR903" s="128"/>
      <c r="CS903" s="128"/>
      <c r="CT903" s="128"/>
      <c r="CU903" s="128"/>
      <c r="CV903" s="128"/>
      <c r="CW903" s="128"/>
      <c r="CX903" s="128"/>
      <c r="CY903" s="128"/>
      <c r="CZ903" s="128"/>
    </row>
    <row r="904" spans="1:104">
      <c r="A904" s="128"/>
      <c r="B904" s="128"/>
      <c r="C904" s="128"/>
      <c r="D904" s="112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  <c r="AV904" s="128"/>
      <c r="AW904" s="128"/>
      <c r="AX904" s="128"/>
      <c r="AY904" s="128"/>
      <c r="AZ904" s="128"/>
      <c r="BA904" s="128"/>
      <c r="BB904" s="128"/>
      <c r="BC904" s="128"/>
      <c r="BD904" s="128"/>
      <c r="BE904" s="128"/>
      <c r="BF904" s="128"/>
      <c r="BG904" s="128"/>
      <c r="BH904" s="128"/>
      <c r="BI904" s="128"/>
      <c r="BJ904" s="128"/>
      <c r="BK904" s="128"/>
      <c r="BL904" s="128"/>
      <c r="BM904" s="151"/>
      <c r="BN904" s="128"/>
      <c r="BO904" s="128"/>
      <c r="BP904" s="128"/>
      <c r="BQ904" s="128"/>
      <c r="BR904" s="128"/>
      <c r="BS904" s="128"/>
      <c r="BT904" s="128"/>
      <c r="BU904" s="128"/>
      <c r="BV904" s="128"/>
      <c r="BW904" s="128"/>
      <c r="BX904" s="128"/>
      <c r="BY904" s="128"/>
      <c r="BZ904" s="128"/>
      <c r="CA904" s="128"/>
      <c r="CB904" s="128"/>
      <c r="CC904" s="128"/>
      <c r="CD904" s="128"/>
      <c r="CE904" s="128"/>
      <c r="CF904" s="128"/>
      <c r="CG904" s="128"/>
      <c r="CH904" s="128"/>
      <c r="CI904" s="128"/>
      <c r="CJ904" s="128"/>
      <c r="CK904" s="128"/>
      <c r="CL904" s="128"/>
      <c r="CM904" s="128"/>
      <c r="CN904" s="128"/>
      <c r="CO904" s="128"/>
      <c r="CP904" s="128"/>
      <c r="CQ904" s="128"/>
      <c r="CR904" s="128"/>
      <c r="CS904" s="128"/>
      <c r="CT904" s="128"/>
      <c r="CU904" s="128"/>
      <c r="CV904" s="128"/>
      <c r="CW904" s="128"/>
      <c r="CX904" s="128"/>
      <c r="CY904" s="128"/>
      <c r="CZ904" s="128"/>
    </row>
    <row r="905" spans="1:104">
      <c r="A905" s="128"/>
      <c r="B905" s="128"/>
      <c r="C905" s="128"/>
      <c r="D905" s="112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  <c r="AV905" s="128"/>
      <c r="AW905" s="128"/>
      <c r="AX905" s="128"/>
      <c r="AY905" s="128"/>
      <c r="AZ905" s="128"/>
      <c r="BA905" s="128"/>
      <c r="BB905" s="128"/>
      <c r="BC905" s="128"/>
      <c r="BD905" s="128"/>
      <c r="BE905" s="128"/>
      <c r="BF905" s="128"/>
      <c r="BG905" s="128"/>
      <c r="BH905" s="128"/>
      <c r="BI905" s="128"/>
      <c r="BJ905" s="128"/>
      <c r="BK905" s="128"/>
      <c r="BL905" s="128"/>
      <c r="BM905" s="151"/>
      <c r="BN905" s="128"/>
      <c r="BO905" s="128"/>
      <c r="BP905" s="128"/>
      <c r="BQ905" s="128"/>
      <c r="BR905" s="128"/>
      <c r="BS905" s="128"/>
      <c r="BT905" s="128"/>
      <c r="BU905" s="128"/>
      <c r="BV905" s="128"/>
      <c r="BW905" s="128"/>
      <c r="BX905" s="128"/>
      <c r="BY905" s="128"/>
      <c r="BZ905" s="128"/>
      <c r="CA905" s="128"/>
      <c r="CB905" s="128"/>
      <c r="CC905" s="128"/>
      <c r="CD905" s="128"/>
      <c r="CE905" s="128"/>
      <c r="CF905" s="128"/>
      <c r="CG905" s="128"/>
      <c r="CH905" s="128"/>
      <c r="CI905" s="128"/>
      <c r="CJ905" s="128"/>
      <c r="CK905" s="128"/>
      <c r="CL905" s="128"/>
      <c r="CM905" s="128"/>
      <c r="CN905" s="128"/>
      <c r="CO905" s="128"/>
      <c r="CP905" s="128"/>
      <c r="CQ905" s="128"/>
      <c r="CR905" s="128"/>
      <c r="CS905" s="128"/>
      <c r="CT905" s="128"/>
      <c r="CU905" s="128"/>
      <c r="CV905" s="128"/>
      <c r="CW905" s="128"/>
      <c r="CX905" s="128"/>
      <c r="CY905" s="128"/>
      <c r="CZ905" s="128"/>
    </row>
    <row r="906" spans="1:104">
      <c r="A906" s="128"/>
      <c r="B906" s="128"/>
      <c r="C906" s="128"/>
      <c r="D906" s="112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  <c r="AV906" s="128"/>
      <c r="AW906" s="128"/>
      <c r="AX906" s="128"/>
      <c r="AY906" s="128"/>
      <c r="AZ906" s="128"/>
      <c r="BA906" s="128"/>
      <c r="BB906" s="128"/>
      <c r="BC906" s="128"/>
      <c r="BD906" s="128"/>
      <c r="BE906" s="128"/>
      <c r="BF906" s="128"/>
      <c r="BG906" s="128"/>
      <c r="BH906" s="128"/>
      <c r="BI906" s="128"/>
      <c r="BJ906" s="128"/>
      <c r="BK906" s="128"/>
      <c r="BL906" s="128"/>
      <c r="BM906" s="151"/>
      <c r="BN906" s="128"/>
      <c r="BO906" s="128"/>
      <c r="BP906" s="128"/>
      <c r="BQ906" s="128"/>
      <c r="BR906" s="128"/>
      <c r="BS906" s="128"/>
      <c r="BT906" s="128"/>
      <c r="BU906" s="128"/>
      <c r="BV906" s="128"/>
      <c r="BW906" s="128"/>
      <c r="BX906" s="128"/>
      <c r="BY906" s="128"/>
      <c r="BZ906" s="128"/>
      <c r="CA906" s="128"/>
      <c r="CB906" s="128"/>
      <c r="CC906" s="128"/>
      <c r="CD906" s="128"/>
      <c r="CE906" s="128"/>
      <c r="CF906" s="128"/>
      <c r="CG906" s="128"/>
      <c r="CH906" s="128"/>
      <c r="CI906" s="128"/>
      <c r="CJ906" s="128"/>
      <c r="CK906" s="128"/>
      <c r="CL906" s="128"/>
      <c r="CM906" s="128"/>
      <c r="CN906" s="128"/>
      <c r="CO906" s="128"/>
      <c r="CP906" s="128"/>
      <c r="CQ906" s="128"/>
      <c r="CR906" s="128"/>
      <c r="CS906" s="128"/>
      <c r="CT906" s="128"/>
      <c r="CU906" s="128"/>
      <c r="CV906" s="128"/>
      <c r="CW906" s="128"/>
      <c r="CX906" s="128"/>
      <c r="CY906" s="128"/>
      <c r="CZ906" s="128"/>
    </row>
    <row r="907" spans="1:104">
      <c r="A907" s="128"/>
      <c r="B907" s="128"/>
      <c r="C907" s="128"/>
      <c r="D907" s="112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  <c r="AV907" s="128"/>
      <c r="AW907" s="128"/>
      <c r="AX907" s="128"/>
      <c r="AY907" s="128"/>
      <c r="AZ907" s="128"/>
      <c r="BA907" s="128"/>
      <c r="BB907" s="128"/>
      <c r="BC907" s="128"/>
      <c r="BD907" s="128"/>
      <c r="BE907" s="128"/>
      <c r="BF907" s="128"/>
      <c r="BG907" s="128"/>
      <c r="BH907" s="128"/>
      <c r="BI907" s="128"/>
      <c r="BJ907" s="128"/>
      <c r="BK907" s="128"/>
      <c r="BL907" s="128"/>
      <c r="BM907" s="151"/>
      <c r="BN907" s="128"/>
      <c r="BO907" s="128"/>
      <c r="BP907" s="128"/>
      <c r="BQ907" s="128"/>
      <c r="BR907" s="128"/>
      <c r="BS907" s="128"/>
      <c r="BT907" s="128"/>
      <c r="BU907" s="128"/>
      <c r="BV907" s="128"/>
      <c r="BW907" s="128"/>
      <c r="BX907" s="128"/>
      <c r="BY907" s="128"/>
      <c r="BZ907" s="128"/>
      <c r="CA907" s="128"/>
      <c r="CB907" s="128"/>
      <c r="CC907" s="128"/>
      <c r="CD907" s="128"/>
      <c r="CE907" s="128"/>
      <c r="CF907" s="128"/>
      <c r="CG907" s="128"/>
      <c r="CH907" s="128"/>
      <c r="CI907" s="128"/>
      <c r="CJ907" s="128"/>
      <c r="CK907" s="128"/>
      <c r="CL907" s="128"/>
      <c r="CM907" s="128"/>
      <c r="CN907" s="128"/>
      <c r="CO907" s="128"/>
      <c r="CP907" s="128"/>
      <c r="CQ907" s="128"/>
      <c r="CR907" s="128"/>
      <c r="CS907" s="128"/>
      <c r="CT907" s="128"/>
      <c r="CU907" s="128"/>
      <c r="CV907" s="128"/>
      <c r="CW907" s="128"/>
      <c r="CX907" s="128"/>
      <c r="CY907" s="128"/>
      <c r="CZ907" s="128"/>
    </row>
    <row r="908" spans="1:104">
      <c r="A908" s="128"/>
      <c r="B908" s="128"/>
      <c r="C908" s="128"/>
      <c r="D908" s="112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  <c r="AV908" s="128"/>
      <c r="AW908" s="128"/>
      <c r="AX908" s="128"/>
      <c r="AY908" s="128"/>
      <c r="AZ908" s="128"/>
      <c r="BA908" s="128"/>
      <c r="BB908" s="128"/>
      <c r="BC908" s="128"/>
      <c r="BD908" s="128"/>
      <c r="BE908" s="128"/>
      <c r="BF908" s="128"/>
      <c r="BG908" s="128"/>
      <c r="BH908" s="128"/>
      <c r="BI908" s="128"/>
      <c r="BJ908" s="128"/>
      <c r="BK908" s="128"/>
      <c r="BL908" s="128"/>
      <c r="BM908" s="151"/>
      <c r="BN908" s="128"/>
      <c r="BO908" s="128"/>
      <c r="BP908" s="128"/>
      <c r="BQ908" s="128"/>
      <c r="BR908" s="128"/>
      <c r="BS908" s="128"/>
      <c r="BT908" s="128"/>
      <c r="BU908" s="128"/>
      <c r="BV908" s="128"/>
      <c r="BW908" s="128"/>
      <c r="BX908" s="128"/>
      <c r="BY908" s="128"/>
      <c r="BZ908" s="128"/>
      <c r="CA908" s="128"/>
      <c r="CB908" s="128"/>
      <c r="CC908" s="128"/>
      <c r="CD908" s="128"/>
      <c r="CE908" s="128"/>
      <c r="CF908" s="128"/>
      <c r="CG908" s="128"/>
      <c r="CH908" s="128"/>
      <c r="CI908" s="128"/>
      <c r="CJ908" s="128"/>
      <c r="CK908" s="128"/>
      <c r="CL908" s="128"/>
      <c r="CM908" s="128"/>
      <c r="CN908" s="128"/>
      <c r="CO908" s="128"/>
      <c r="CP908" s="128"/>
      <c r="CQ908" s="128"/>
      <c r="CR908" s="128"/>
      <c r="CS908" s="128"/>
      <c r="CT908" s="128"/>
      <c r="CU908" s="128"/>
      <c r="CV908" s="128"/>
      <c r="CW908" s="128"/>
      <c r="CX908" s="128"/>
      <c r="CY908" s="128"/>
      <c r="CZ908" s="128"/>
    </row>
    <row r="909" spans="1:104">
      <c r="A909" s="128"/>
      <c r="B909" s="128"/>
      <c r="C909" s="128"/>
      <c r="D909" s="112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  <c r="AV909" s="128"/>
      <c r="AW909" s="128"/>
      <c r="AX909" s="128"/>
      <c r="AY909" s="128"/>
      <c r="AZ909" s="128"/>
      <c r="BA909" s="128"/>
      <c r="BB909" s="128"/>
      <c r="BC909" s="128"/>
      <c r="BD909" s="128"/>
      <c r="BE909" s="128"/>
      <c r="BF909" s="128"/>
      <c r="BG909" s="128"/>
      <c r="BH909" s="128"/>
      <c r="BI909" s="128"/>
      <c r="BJ909" s="128"/>
      <c r="BK909" s="128"/>
      <c r="BL909" s="128"/>
      <c r="BM909" s="151"/>
      <c r="BN909" s="128"/>
      <c r="BO909" s="128"/>
      <c r="BP909" s="128"/>
      <c r="BQ909" s="128"/>
      <c r="BR909" s="128"/>
      <c r="BS909" s="128"/>
      <c r="BT909" s="128"/>
      <c r="BU909" s="128"/>
      <c r="BV909" s="128"/>
      <c r="BW909" s="128"/>
      <c r="BX909" s="128"/>
      <c r="BY909" s="128"/>
      <c r="BZ909" s="128"/>
      <c r="CA909" s="128"/>
      <c r="CB909" s="128"/>
      <c r="CC909" s="128"/>
      <c r="CD909" s="128"/>
      <c r="CE909" s="128"/>
      <c r="CF909" s="128"/>
      <c r="CG909" s="128"/>
      <c r="CH909" s="128"/>
      <c r="CI909" s="128"/>
      <c r="CJ909" s="128"/>
      <c r="CK909" s="128"/>
      <c r="CL909" s="128"/>
      <c r="CM909" s="128"/>
      <c r="CN909" s="128"/>
      <c r="CO909" s="128"/>
      <c r="CP909" s="128"/>
      <c r="CQ909" s="128"/>
      <c r="CR909" s="128"/>
      <c r="CS909" s="128"/>
      <c r="CT909" s="128"/>
      <c r="CU909" s="128"/>
      <c r="CV909" s="128"/>
      <c r="CW909" s="128"/>
      <c r="CX909" s="128"/>
      <c r="CY909" s="128"/>
      <c r="CZ909" s="128"/>
    </row>
    <row r="910" spans="1:104">
      <c r="A910" s="128"/>
      <c r="B910" s="128"/>
      <c r="C910" s="128"/>
      <c r="D910" s="112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  <c r="AV910" s="128"/>
      <c r="AW910" s="128"/>
      <c r="AX910" s="128"/>
      <c r="AY910" s="128"/>
      <c r="AZ910" s="128"/>
      <c r="BA910" s="128"/>
      <c r="BB910" s="128"/>
      <c r="BC910" s="128"/>
      <c r="BD910" s="128"/>
      <c r="BE910" s="128"/>
      <c r="BF910" s="128"/>
      <c r="BG910" s="128"/>
      <c r="BH910" s="128"/>
      <c r="BI910" s="128"/>
      <c r="BJ910" s="128"/>
      <c r="BK910" s="128"/>
      <c r="BL910" s="128"/>
      <c r="BM910" s="151"/>
      <c r="BN910" s="128"/>
      <c r="BO910" s="128"/>
      <c r="BP910" s="128"/>
      <c r="BQ910" s="128"/>
      <c r="BR910" s="128"/>
      <c r="BS910" s="128"/>
      <c r="BT910" s="128"/>
      <c r="BU910" s="128"/>
      <c r="BV910" s="128"/>
      <c r="BW910" s="128"/>
      <c r="BX910" s="128"/>
      <c r="BY910" s="128"/>
      <c r="BZ910" s="128"/>
      <c r="CA910" s="128"/>
      <c r="CB910" s="128"/>
      <c r="CC910" s="128"/>
      <c r="CD910" s="128"/>
      <c r="CE910" s="128"/>
      <c r="CF910" s="128"/>
      <c r="CG910" s="128"/>
      <c r="CH910" s="128"/>
      <c r="CI910" s="128"/>
      <c r="CJ910" s="128"/>
      <c r="CK910" s="128"/>
      <c r="CL910" s="128"/>
      <c r="CM910" s="128"/>
      <c r="CN910" s="128"/>
      <c r="CO910" s="128"/>
      <c r="CP910" s="128"/>
      <c r="CQ910" s="128"/>
      <c r="CR910" s="128"/>
      <c r="CS910" s="128"/>
      <c r="CT910" s="128"/>
      <c r="CU910" s="128"/>
      <c r="CV910" s="128"/>
      <c r="CW910" s="128"/>
      <c r="CX910" s="128"/>
      <c r="CY910" s="128"/>
      <c r="CZ910" s="128"/>
    </row>
    <row r="911" spans="1:104">
      <c r="A911" s="128"/>
      <c r="B911" s="128"/>
      <c r="C911" s="128"/>
      <c r="D911" s="112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  <c r="AV911" s="128"/>
      <c r="AW911" s="128"/>
      <c r="AX911" s="128"/>
      <c r="AY911" s="128"/>
      <c r="AZ911" s="128"/>
      <c r="BA911" s="128"/>
      <c r="BB911" s="128"/>
      <c r="BC911" s="128"/>
      <c r="BD911" s="128"/>
      <c r="BE911" s="128"/>
      <c r="BF911" s="128"/>
      <c r="BG911" s="128"/>
      <c r="BH911" s="128"/>
      <c r="BI911" s="128"/>
      <c r="BJ911" s="128"/>
      <c r="BK911" s="128"/>
      <c r="BL911" s="128"/>
      <c r="BM911" s="151"/>
      <c r="BN911" s="128"/>
      <c r="BO911" s="128"/>
      <c r="BP911" s="128"/>
      <c r="BQ911" s="128"/>
      <c r="BR911" s="128"/>
      <c r="BS911" s="128"/>
      <c r="BT911" s="128"/>
      <c r="BU911" s="128"/>
      <c r="BV911" s="128"/>
      <c r="BW911" s="128"/>
      <c r="BX911" s="128"/>
      <c r="BY911" s="128"/>
      <c r="BZ911" s="128"/>
      <c r="CA911" s="128"/>
      <c r="CB911" s="128"/>
      <c r="CC911" s="128"/>
      <c r="CD911" s="128"/>
      <c r="CE911" s="128"/>
      <c r="CF911" s="128"/>
      <c r="CG911" s="128"/>
      <c r="CH911" s="128"/>
      <c r="CI911" s="128"/>
      <c r="CJ911" s="128"/>
      <c r="CK911" s="128"/>
      <c r="CL911" s="128"/>
      <c r="CM911" s="128"/>
      <c r="CN911" s="128"/>
      <c r="CO911" s="128"/>
      <c r="CP911" s="128"/>
      <c r="CQ911" s="128"/>
      <c r="CR911" s="128"/>
      <c r="CS911" s="128"/>
      <c r="CT911" s="128"/>
      <c r="CU911" s="128"/>
      <c r="CV911" s="128"/>
      <c r="CW911" s="128"/>
      <c r="CX911" s="128"/>
      <c r="CY911" s="128"/>
      <c r="CZ911" s="128"/>
    </row>
    <row r="912" spans="1:104">
      <c r="A912" s="128"/>
      <c r="B912" s="128"/>
      <c r="C912" s="128"/>
      <c r="D912" s="112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  <c r="AV912" s="128"/>
      <c r="AW912" s="128"/>
      <c r="AX912" s="128"/>
      <c r="AY912" s="128"/>
      <c r="AZ912" s="128"/>
      <c r="BA912" s="128"/>
      <c r="BB912" s="128"/>
      <c r="BC912" s="128"/>
      <c r="BD912" s="128"/>
      <c r="BE912" s="128"/>
      <c r="BF912" s="128"/>
      <c r="BG912" s="128"/>
      <c r="BH912" s="128"/>
      <c r="BI912" s="128"/>
      <c r="BJ912" s="128"/>
      <c r="BK912" s="128"/>
      <c r="BL912" s="128"/>
      <c r="BM912" s="151"/>
      <c r="BN912" s="128"/>
      <c r="BO912" s="128"/>
      <c r="BP912" s="128"/>
      <c r="BQ912" s="128"/>
      <c r="BR912" s="128"/>
      <c r="BS912" s="128"/>
      <c r="BT912" s="128"/>
      <c r="BU912" s="128"/>
      <c r="BV912" s="128"/>
      <c r="BW912" s="128"/>
      <c r="BX912" s="128"/>
      <c r="BY912" s="128"/>
      <c r="BZ912" s="128"/>
      <c r="CA912" s="128"/>
      <c r="CB912" s="128"/>
      <c r="CC912" s="128"/>
      <c r="CD912" s="128"/>
      <c r="CE912" s="128"/>
      <c r="CF912" s="128"/>
      <c r="CG912" s="128"/>
      <c r="CH912" s="128"/>
      <c r="CI912" s="128"/>
      <c r="CJ912" s="128"/>
      <c r="CK912" s="128"/>
      <c r="CL912" s="128"/>
      <c r="CM912" s="128"/>
      <c r="CN912" s="128"/>
      <c r="CO912" s="128"/>
      <c r="CP912" s="128"/>
      <c r="CQ912" s="128"/>
      <c r="CR912" s="128"/>
      <c r="CS912" s="128"/>
      <c r="CT912" s="128"/>
      <c r="CU912" s="128"/>
      <c r="CV912" s="128"/>
      <c r="CW912" s="128"/>
      <c r="CX912" s="128"/>
      <c r="CY912" s="128"/>
      <c r="CZ912" s="128"/>
    </row>
    <row r="913" spans="1:104">
      <c r="A913" s="128"/>
      <c r="B913" s="128"/>
      <c r="C913" s="128"/>
      <c r="D913" s="112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  <c r="AV913" s="128"/>
      <c r="AW913" s="128"/>
      <c r="AX913" s="128"/>
      <c r="AY913" s="128"/>
      <c r="AZ913" s="128"/>
      <c r="BA913" s="128"/>
      <c r="BB913" s="128"/>
      <c r="BC913" s="128"/>
      <c r="BD913" s="128"/>
      <c r="BE913" s="128"/>
      <c r="BF913" s="128"/>
      <c r="BG913" s="128"/>
      <c r="BH913" s="128"/>
      <c r="BI913" s="128"/>
      <c r="BJ913" s="128"/>
      <c r="BK913" s="128"/>
      <c r="BL913" s="128"/>
      <c r="BM913" s="151"/>
      <c r="BN913" s="128"/>
      <c r="BO913" s="128"/>
      <c r="BP913" s="128"/>
      <c r="BQ913" s="128"/>
      <c r="BR913" s="128"/>
      <c r="BS913" s="128"/>
      <c r="BT913" s="128"/>
      <c r="BU913" s="128"/>
      <c r="BV913" s="128"/>
      <c r="BW913" s="128"/>
      <c r="BX913" s="128"/>
      <c r="BY913" s="128"/>
      <c r="BZ913" s="128"/>
      <c r="CA913" s="128"/>
      <c r="CB913" s="128"/>
      <c r="CC913" s="128"/>
      <c r="CD913" s="128"/>
      <c r="CE913" s="128"/>
      <c r="CF913" s="128"/>
      <c r="CG913" s="128"/>
      <c r="CH913" s="128"/>
      <c r="CI913" s="128"/>
      <c r="CJ913" s="128"/>
      <c r="CK913" s="128"/>
      <c r="CL913" s="128"/>
      <c r="CM913" s="128"/>
      <c r="CN913" s="128"/>
      <c r="CO913" s="128"/>
      <c r="CP913" s="128"/>
      <c r="CQ913" s="128"/>
      <c r="CR913" s="128"/>
      <c r="CS913" s="128"/>
      <c r="CT913" s="128"/>
      <c r="CU913" s="128"/>
      <c r="CV913" s="128"/>
      <c r="CW913" s="128"/>
      <c r="CX913" s="128"/>
      <c r="CY913" s="128"/>
      <c r="CZ913" s="128"/>
    </row>
    <row r="914" spans="1:104">
      <c r="A914" s="128"/>
      <c r="B914" s="128"/>
      <c r="C914" s="128"/>
      <c r="D914" s="112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  <c r="AV914" s="128"/>
      <c r="AW914" s="128"/>
      <c r="AX914" s="128"/>
      <c r="AY914" s="128"/>
      <c r="AZ914" s="128"/>
      <c r="BA914" s="128"/>
      <c r="BB914" s="128"/>
      <c r="BC914" s="128"/>
      <c r="BD914" s="128"/>
      <c r="BE914" s="128"/>
      <c r="BF914" s="128"/>
      <c r="BG914" s="128"/>
      <c r="BH914" s="128"/>
      <c r="BI914" s="128"/>
      <c r="BJ914" s="128"/>
      <c r="BK914" s="128"/>
      <c r="BL914" s="128"/>
      <c r="BM914" s="151"/>
      <c r="BN914" s="128"/>
      <c r="BO914" s="128"/>
      <c r="BP914" s="128"/>
      <c r="BQ914" s="128"/>
      <c r="BR914" s="128"/>
      <c r="BS914" s="128"/>
      <c r="BT914" s="128"/>
      <c r="BU914" s="128"/>
      <c r="BV914" s="128"/>
      <c r="BW914" s="128"/>
      <c r="BX914" s="128"/>
      <c r="BY914" s="128"/>
      <c r="BZ914" s="128"/>
      <c r="CA914" s="128"/>
      <c r="CB914" s="128"/>
      <c r="CC914" s="128"/>
      <c r="CD914" s="128"/>
      <c r="CE914" s="128"/>
      <c r="CF914" s="128"/>
      <c r="CG914" s="128"/>
      <c r="CH914" s="128"/>
      <c r="CI914" s="128"/>
      <c r="CJ914" s="128"/>
      <c r="CK914" s="128"/>
      <c r="CL914" s="128"/>
      <c r="CM914" s="128"/>
      <c r="CN914" s="128"/>
      <c r="CO914" s="128"/>
      <c r="CP914" s="128"/>
      <c r="CQ914" s="128"/>
      <c r="CR914" s="128"/>
      <c r="CS914" s="128"/>
      <c r="CT914" s="128"/>
      <c r="CU914" s="128"/>
      <c r="CV914" s="128"/>
      <c r="CW914" s="128"/>
      <c r="CX914" s="128"/>
      <c r="CY914" s="128"/>
      <c r="CZ914" s="128"/>
    </row>
    <row r="915" spans="1:104">
      <c r="A915" s="128"/>
      <c r="B915" s="128"/>
      <c r="C915" s="128"/>
      <c r="D915" s="112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  <c r="AV915" s="128"/>
      <c r="AW915" s="128"/>
      <c r="AX915" s="128"/>
      <c r="AY915" s="128"/>
      <c r="AZ915" s="128"/>
      <c r="BA915" s="128"/>
      <c r="BB915" s="128"/>
      <c r="BC915" s="128"/>
      <c r="BD915" s="128"/>
      <c r="BE915" s="128"/>
      <c r="BF915" s="128"/>
      <c r="BG915" s="128"/>
      <c r="BH915" s="128"/>
      <c r="BI915" s="128"/>
      <c r="BJ915" s="128"/>
      <c r="BK915" s="128"/>
      <c r="BL915" s="128"/>
      <c r="BM915" s="151"/>
      <c r="BN915" s="128"/>
      <c r="BO915" s="128"/>
      <c r="BP915" s="128"/>
      <c r="BQ915" s="128"/>
      <c r="BR915" s="128"/>
      <c r="BS915" s="128"/>
      <c r="BT915" s="128"/>
      <c r="BU915" s="128"/>
      <c r="BV915" s="128"/>
      <c r="BW915" s="128"/>
      <c r="BX915" s="128"/>
      <c r="BY915" s="128"/>
      <c r="BZ915" s="128"/>
      <c r="CA915" s="128"/>
      <c r="CB915" s="128"/>
      <c r="CC915" s="128"/>
      <c r="CD915" s="128"/>
      <c r="CE915" s="128"/>
      <c r="CF915" s="128"/>
      <c r="CG915" s="128"/>
      <c r="CH915" s="128"/>
      <c r="CI915" s="128"/>
      <c r="CJ915" s="128"/>
      <c r="CK915" s="128"/>
      <c r="CL915" s="128"/>
      <c r="CM915" s="128"/>
      <c r="CN915" s="128"/>
      <c r="CO915" s="128"/>
      <c r="CP915" s="128"/>
      <c r="CQ915" s="128"/>
      <c r="CR915" s="128"/>
      <c r="CS915" s="128"/>
      <c r="CT915" s="128"/>
      <c r="CU915" s="128"/>
      <c r="CV915" s="128"/>
      <c r="CW915" s="128"/>
      <c r="CX915" s="128"/>
      <c r="CY915" s="128"/>
      <c r="CZ915" s="128"/>
    </row>
    <row r="916" spans="1:104">
      <c r="A916" s="128"/>
      <c r="B916" s="128"/>
      <c r="C916" s="128"/>
      <c r="D916" s="112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  <c r="AV916" s="128"/>
      <c r="AW916" s="128"/>
      <c r="AX916" s="128"/>
      <c r="AY916" s="128"/>
      <c r="AZ916" s="128"/>
      <c r="BA916" s="128"/>
      <c r="BB916" s="128"/>
      <c r="BC916" s="128"/>
      <c r="BD916" s="128"/>
      <c r="BE916" s="128"/>
      <c r="BF916" s="128"/>
      <c r="BG916" s="128"/>
      <c r="BH916" s="128"/>
      <c r="BI916" s="128"/>
      <c r="BJ916" s="128"/>
      <c r="BK916" s="128"/>
      <c r="BL916" s="128"/>
      <c r="BM916" s="151"/>
      <c r="BN916" s="128"/>
      <c r="BO916" s="128"/>
      <c r="BP916" s="128"/>
      <c r="BQ916" s="128"/>
      <c r="BR916" s="128"/>
      <c r="BS916" s="128"/>
      <c r="BT916" s="128"/>
      <c r="BU916" s="128"/>
      <c r="BV916" s="128"/>
      <c r="BW916" s="128"/>
      <c r="BX916" s="128"/>
      <c r="BY916" s="128"/>
      <c r="BZ916" s="128"/>
      <c r="CA916" s="128"/>
      <c r="CB916" s="128"/>
      <c r="CC916" s="128"/>
      <c r="CD916" s="128"/>
      <c r="CE916" s="128"/>
      <c r="CF916" s="128"/>
      <c r="CG916" s="128"/>
      <c r="CH916" s="128"/>
      <c r="CI916" s="128"/>
      <c r="CJ916" s="128"/>
      <c r="CK916" s="128"/>
      <c r="CL916" s="128"/>
      <c r="CM916" s="128"/>
      <c r="CN916" s="128"/>
      <c r="CO916" s="128"/>
      <c r="CP916" s="128"/>
      <c r="CQ916" s="128"/>
      <c r="CR916" s="128"/>
      <c r="CS916" s="128"/>
      <c r="CT916" s="128"/>
      <c r="CU916" s="128"/>
      <c r="CV916" s="128"/>
      <c r="CW916" s="128"/>
      <c r="CX916" s="128"/>
      <c r="CY916" s="128"/>
      <c r="CZ916" s="128"/>
    </row>
    <row r="917" spans="1:104">
      <c r="A917" s="128"/>
      <c r="B917" s="128"/>
      <c r="C917" s="128"/>
      <c r="D917" s="112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  <c r="AV917" s="128"/>
      <c r="AW917" s="128"/>
      <c r="AX917" s="128"/>
      <c r="AY917" s="128"/>
      <c r="AZ917" s="128"/>
      <c r="BA917" s="128"/>
      <c r="BB917" s="128"/>
      <c r="BC917" s="128"/>
      <c r="BD917" s="128"/>
      <c r="BE917" s="128"/>
      <c r="BF917" s="128"/>
      <c r="BG917" s="128"/>
      <c r="BH917" s="128"/>
      <c r="BI917" s="128"/>
      <c r="BJ917" s="128"/>
      <c r="BK917" s="128"/>
      <c r="BL917" s="128"/>
      <c r="BM917" s="151"/>
      <c r="BN917" s="128"/>
      <c r="BO917" s="128"/>
      <c r="BP917" s="128"/>
      <c r="BQ917" s="128"/>
      <c r="BR917" s="128"/>
      <c r="BS917" s="128"/>
      <c r="BT917" s="128"/>
      <c r="BU917" s="128"/>
      <c r="BV917" s="128"/>
      <c r="BW917" s="128"/>
      <c r="BX917" s="128"/>
      <c r="BY917" s="128"/>
      <c r="BZ917" s="128"/>
      <c r="CA917" s="128"/>
      <c r="CB917" s="128"/>
      <c r="CC917" s="128"/>
      <c r="CD917" s="128"/>
      <c r="CE917" s="128"/>
      <c r="CF917" s="128"/>
      <c r="CG917" s="128"/>
      <c r="CH917" s="128"/>
      <c r="CI917" s="128"/>
      <c r="CJ917" s="128"/>
      <c r="CK917" s="128"/>
      <c r="CL917" s="128"/>
      <c r="CM917" s="128"/>
      <c r="CN917" s="128"/>
      <c r="CO917" s="128"/>
      <c r="CP917" s="128"/>
      <c r="CQ917" s="128"/>
      <c r="CR917" s="128"/>
      <c r="CS917" s="128"/>
      <c r="CT917" s="128"/>
      <c r="CU917" s="128"/>
      <c r="CV917" s="128"/>
      <c r="CW917" s="128"/>
      <c r="CX917" s="128"/>
      <c r="CY917" s="128"/>
      <c r="CZ917" s="128"/>
    </row>
    <row r="918" spans="1:104">
      <c r="A918" s="128"/>
      <c r="B918" s="128"/>
      <c r="C918" s="128"/>
      <c r="D918" s="112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  <c r="AV918" s="128"/>
      <c r="AW918" s="128"/>
      <c r="AX918" s="128"/>
      <c r="AY918" s="128"/>
      <c r="AZ918" s="128"/>
      <c r="BA918" s="128"/>
      <c r="BB918" s="128"/>
      <c r="BC918" s="128"/>
      <c r="BD918" s="128"/>
      <c r="BE918" s="128"/>
      <c r="BF918" s="128"/>
      <c r="BG918" s="128"/>
      <c r="BH918" s="128"/>
      <c r="BI918" s="128"/>
      <c r="BJ918" s="128"/>
      <c r="BK918" s="128"/>
      <c r="BL918" s="128"/>
      <c r="BM918" s="151"/>
      <c r="BN918" s="128"/>
      <c r="BO918" s="128"/>
      <c r="BP918" s="128"/>
      <c r="BQ918" s="128"/>
      <c r="BR918" s="128"/>
      <c r="BS918" s="128"/>
      <c r="BT918" s="128"/>
      <c r="BU918" s="128"/>
      <c r="BV918" s="128"/>
      <c r="BW918" s="128"/>
      <c r="BX918" s="128"/>
      <c r="BY918" s="128"/>
      <c r="BZ918" s="128"/>
      <c r="CA918" s="128"/>
      <c r="CB918" s="128"/>
      <c r="CC918" s="128"/>
      <c r="CD918" s="128"/>
      <c r="CE918" s="128"/>
      <c r="CF918" s="128"/>
      <c r="CG918" s="128"/>
      <c r="CH918" s="128"/>
      <c r="CI918" s="128"/>
      <c r="CJ918" s="128"/>
      <c r="CK918" s="128"/>
      <c r="CL918" s="128"/>
      <c r="CM918" s="128"/>
      <c r="CN918" s="128"/>
      <c r="CO918" s="128"/>
      <c r="CP918" s="128"/>
      <c r="CQ918" s="128"/>
      <c r="CR918" s="128"/>
      <c r="CS918" s="128"/>
      <c r="CT918" s="128"/>
      <c r="CU918" s="128"/>
      <c r="CV918" s="128"/>
      <c r="CW918" s="128"/>
      <c r="CX918" s="128"/>
      <c r="CY918" s="128"/>
      <c r="CZ918" s="128"/>
    </row>
    <row r="919" spans="1:104">
      <c r="A919" s="128"/>
      <c r="B919" s="128"/>
      <c r="C919" s="128"/>
      <c r="D919" s="112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  <c r="AV919" s="128"/>
      <c r="AW919" s="128"/>
      <c r="AX919" s="128"/>
      <c r="AY919" s="128"/>
      <c r="AZ919" s="128"/>
      <c r="BA919" s="128"/>
      <c r="BB919" s="128"/>
      <c r="BC919" s="128"/>
      <c r="BD919" s="128"/>
      <c r="BE919" s="128"/>
      <c r="BF919" s="128"/>
      <c r="BG919" s="128"/>
      <c r="BH919" s="128"/>
      <c r="BI919" s="128"/>
      <c r="BJ919" s="128"/>
      <c r="BK919" s="128"/>
      <c r="BL919" s="128"/>
      <c r="BM919" s="151"/>
      <c r="BN919" s="128"/>
      <c r="BO919" s="128"/>
      <c r="BP919" s="128"/>
      <c r="BQ919" s="128"/>
      <c r="BR919" s="128"/>
      <c r="BS919" s="128"/>
      <c r="BT919" s="128"/>
      <c r="BU919" s="128"/>
      <c r="BV919" s="128"/>
      <c r="BW919" s="128"/>
      <c r="BX919" s="128"/>
      <c r="BY919" s="128"/>
      <c r="BZ919" s="128"/>
      <c r="CA919" s="128"/>
      <c r="CB919" s="128"/>
      <c r="CC919" s="128"/>
      <c r="CD919" s="128"/>
      <c r="CE919" s="128"/>
      <c r="CF919" s="128"/>
      <c r="CG919" s="128"/>
      <c r="CH919" s="128"/>
      <c r="CI919" s="128"/>
      <c r="CJ919" s="128"/>
      <c r="CK919" s="128"/>
      <c r="CL919" s="128"/>
      <c r="CM919" s="128"/>
      <c r="CN919" s="128"/>
      <c r="CO919" s="128"/>
      <c r="CP919" s="128"/>
      <c r="CQ919" s="128"/>
      <c r="CR919" s="128"/>
      <c r="CS919" s="128"/>
      <c r="CT919" s="128"/>
      <c r="CU919" s="128"/>
      <c r="CV919" s="128"/>
      <c r="CW919" s="128"/>
      <c r="CX919" s="128"/>
      <c r="CY919" s="128"/>
      <c r="CZ919" s="128"/>
    </row>
    <row r="920" spans="1:104">
      <c r="A920" s="128"/>
      <c r="B920" s="128"/>
      <c r="C920" s="128"/>
      <c r="D920" s="112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  <c r="AV920" s="128"/>
      <c r="AW920" s="128"/>
      <c r="AX920" s="128"/>
      <c r="AY920" s="128"/>
      <c r="AZ920" s="128"/>
      <c r="BA920" s="128"/>
      <c r="BB920" s="128"/>
      <c r="BC920" s="128"/>
      <c r="BD920" s="128"/>
      <c r="BE920" s="128"/>
      <c r="BF920" s="128"/>
      <c r="BG920" s="128"/>
      <c r="BH920" s="128"/>
      <c r="BI920" s="128"/>
      <c r="BJ920" s="128"/>
      <c r="BK920" s="128"/>
      <c r="BL920" s="128"/>
      <c r="BM920" s="151"/>
      <c r="BN920" s="128"/>
      <c r="BO920" s="128"/>
      <c r="BP920" s="128"/>
      <c r="BQ920" s="128"/>
      <c r="BR920" s="128"/>
      <c r="BS920" s="128"/>
      <c r="BT920" s="128"/>
      <c r="BU920" s="128"/>
      <c r="BV920" s="128"/>
      <c r="BW920" s="128"/>
      <c r="BX920" s="128"/>
      <c r="BY920" s="128"/>
      <c r="BZ920" s="128"/>
      <c r="CA920" s="128"/>
      <c r="CB920" s="128"/>
      <c r="CC920" s="128"/>
      <c r="CD920" s="128"/>
      <c r="CE920" s="128"/>
      <c r="CF920" s="128"/>
      <c r="CG920" s="128"/>
      <c r="CH920" s="128"/>
      <c r="CI920" s="128"/>
      <c r="CJ920" s="128"/>
      <c r="CK920" s="128"/>
      <c r="CL920" s="128"/>
      <c r="CM920" s="128"/>
      <c r="CN920" s="128"/>
      <c r="CO920" s="128"/>
      <c r="CP920" s="128"/>
      <c r="CQ920" s="128"/>
      <c r="CR920" s="128"/>
      <c r="CS920" s="128"/>
      <c r="CT920" s="128"/>
      <c r="CU920" s="128"/>
      <c r="CV920" s="128"/>
      <c r="CW920" s="128"/>
      <c r="CX920" s="128"/>
      <c r="CY920" s="128"/>
      <c r="CZ920" s="128"/>
    </row>
    <row r="921" spans="1:104">
      <c r="A921" s="128"/>
      <c r="B921" s="128"/>
      <c r="C921" s="128"/>
      <c r="D921" s="112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  <c r="AV921" s="128"/>
      <c r="AW921" s="128"/>
      <c r="AX921" s="128"/>
      <c r="AY921" s="128"/>
      <c r="AZ921" s="128"/>
      <c r="BA921" s="128"/>
      <c r="BB921" s="128"/>
      <c r="BC921" s="128"/>
      <c r="BD921" s="128"/>
      <c r="BE921" s="128"/>
      <c r="BF921" s="128"/>
      <c r="BG921" s="128"/>
      <c r="BH921" s="128"/>
      <c r="BI921" s="128"/>
      <c r="BJ921" s="128"/>
      <c r="BK921" s="128"/>
      <c r="BL921" s="128"/>
      <c r="BM921" s="151"/>
      <c r="BN921" s="128"/>
      <c r="BO921" s="128"/>
      <c r="BP921" s="128"/>
      <c r="BQ921" s="128"/>
      <c r="BR921" s="128"/>
      <c r="BS921" s="128"/>
      <c r="BT921" s="128"/>
      <c r="BU921" s="128"/>
      <c r="BV921" s="128"/>
      <c r="BW921" s="128"/>
      <c r="BX921" s="128"/>
      <c r="BY921" s="128"/>
      <c r="BZ921" s="128"/>
      <c r="CA921" s="128"/>
      <c r="CB921" s="128"/>
      <c r="CC921" s="128"/>
      <c r="CD921" s="128"/>
      <c r="CE921" s="128"/>
      <c r="CF921" s="128"/>
      <c r="CG921" s="128"/>
      <c r="CH921" s="128"/>
      <c r="CI921" s="128"/>
      <c r="CJ921" s="128"/>
      <c r="CK921" s="128"/>
      <c r="CL921" s="128"/>
      <c r="CM921" s="128"/>
      <c r="CN921" s="128"/>
      <c r="CO921" s="128"/>
      <c r="CP921" s="128"/>
      <c r="CQ921" s="128"/>
      <c r="CR921" s="128"/>
      <c r="CS921" s="128"/>
      <c r="CT921" s="128"/>
      <c r="CU921" s="128"/>
      <c r="CV921" s="128"/>
      <c r="CW921" s="128"/>
      <c r="CX921" s="128"/>
      <c r="CY921" s="128"/>
      <c r="CZ921" s="128"/>
    </row>
    <row r="922" spans="1:104">
      <c r="A922" s="128"/>
      <c r="B922" s="128"/>
      <c r="C922" s="128"/>
      <c r="D922" s="112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  <c r="AV922" s="128"/>
      <c r="AW922" s="128"/>
      <c r="AX922" s="128"/>
      <c r="AY922" s="128"/>
      <c r="AZ922" s="128"/>
      <c r="BA922" s="128"/>
      <c r="BB922" s="128"/>
      <c r="BC922" s="128"/>
      <c r="BD922" s="128"/>
      <c r="BE922" s="128"/>
      <c r="BF922" s="128"/>
      <c r="BG922" s="128"/>
      <c r="BH922" s="128"/>
      <c r="BI922" s="128"/>
      <c r="BJ922" s="128"/>
      <c r="BK922" s="128"/>
      <c r="BL922" s="128"/>
      <c r="BM922" s="151"/>
      <c r="BN922" s="128"/>
      <c r="BO922" s="128"/>
      <c r="BP922" s="128"/>
      <c r="BQ922" s="128"/>
      <c r="BR922" s="128"/>
      <c r="BS922" s="128"/>
      <c r="BT922" s="128"/>
      <c r="BU922" s="128"/>
      <c r="BV922" s="128"/>
      <c r="BW922" s="128"/>
      <c r="BX922" s="128"/>
      <c r="BY922" s="128"/>
      <c r="BZ922" s="128"/>
      <c r="CA922" s="128"/>
      <c r="CB922" s="128"/>
      <c r="CC922" s="128"/>
      <c r="CD922" s="128"/>
      <c r="CE922" s="128"/>
      <c r="CF922" s="128"/>
      <c r="CG922" s="128"/>
      <c r="CH922" s="128"/>
      <c r="CI922" s="128"/>
      <c r="CJ922" s="128"/>
      <c r="CK922" s="128"/>
      <c r="CL922" s="128"/>
      <c r="CM922" s="128"/>
      <c r="CN922" s="128"/>
      <c r="CO922" s="128"/>
      <c r="CP922" s="128"/>
      <c r="CQ922" s="128"/>
      <c r="CR922" s="128"/>
      <c r="CS922" s="128"/>
      <c r="CT922" s="128"/>
      <c r="CU922" s="128"/>
      <c r="CV922" s="128"/>
      <c r="CW922" s="128"/>
      <c r="CX922" s="128"/>
      <c r="CY922" s="128"/>
      <c r="CZ922" s="128"/>
    </row>
    <row r="923" spans="1:104">
      <c r="A923" s="128"/>
      <c r="B923" s="128"/>
      <c r="C923" s="128"/>
      <c r="D923" s="112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  <c r="AV923" s="128"/>
      <c r="AW923" s="128"/>
      <c r="AX923" s="128"/>
      <c r="AY923" s="128"/>
      <c r="AZ923" s="128"/>
      <c r="BA923" s="128"/>
      <c r="BB923" s="128"/>
      <c r="BC923" s="128"/>
      <c r="BD923" s="128"/>
      <c r="BE923" s="128"/>
      <c r="BF923" s="128"/>
      <c r="BG923" s="128"/>
      <c r="BH923" s="128"/>
      <c r="BI923" s="128"/>
      <c r="BJ923" s="128"/>
      <c r="BK923" s="128"/>
      <c r="BL923" s="128"/>
      <c r="BM923" s="151"/>
      <c r="BN923" s="128"/>
      <c r="BO923" s="128"/>
      <c r="BP923" s="128"/>
      <c r="BQ923" s="128"/>
      <c r="BR923" s="128"/>
      <c r="BS923" s="128"/>
      <c r="BT923" s="128"/>
      <c r="BU923" s="128"/>
      <c r="BV923" s="128"/>
      <c r="BW923" s="128"/>
      <c r="BX923" s="128"/>
      <c r="BY923" s="128"/>
      <c r="BZ923" s="128"/>
      <c r="CA923" s="128"/>
      <c r="CB923" s="128"/>
      <c r="CC923" s="128"/>
      <c r="CD923" s="128"/>
      <c r="CE923" s="128"/>
      <c r="CF923" s="128"/>
      <c r="CG923" s="128"/>
      <c r="CH923" s="128"/>
      <c r="CI923" s="128"/>
      <c r="CJ923" s="128"/>
      <c r="CK923" s="128"/>
      <c r="CL923" s="128"/>
      <c r="CM923" s="128"/>
      <c r="CN923" s="128"/>
      <c r="CO923" s="128"/>
      <c r="CP923" s="128"/>
      <c r="CQ923" s="128"/>
      <c r="CR923" s="128"/>
      <c r="CS923" s="128"/>
      <c r="CT923" s="128"/>
      <c r="CU923" s="128"/>
      <c r="CV923" s="128"/>
      <c r="CW923" s="128"/>
      <c r="CX923" s="128"/>
      <c r="CY923" s="128"/>
      <c r="CZ923" s="128"/>
    </row>
    <row r="924" spans="1:104">
      <c r="A924" s="128"/>
      <c r="B924" s="128"/>
      <c r="C924" s="128"/>
      <c r="D924" s="112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  <c r="AV924" s="128"/>
      <c r="AW924" s="128"/>
      <c r="AX924" s="128"/>
      <c r="AY924" s="128"/>
      <c r="AZ924" s="128"/>
      <c r="BA924" s="128"/>
      <c r="BB924" s="128"/>
      <c r="BC924" s="128"/>
      <c r="BD924" s="128"/>
      <c r="BE924" s="128"/>
      <c r="BF924" s="128"/>
      <c r="BG924" s="128"/>
      <c r="BH924" s="128"/>
      <c r="BI924" s="128"/>
      <c r="BJ924" s="128"/>
      <c r="BK924" s="128"/>
      <c r="BL924" s="128"/>
      <c r="BM924" s="151"/>
      <c r="BN924" s="128"/>
      <c r="BO924" s="128"/>
      <c r="BP924" s="128"/>
      <c r="BQ924" s="128"/>
      <c r="BR924" s="128"/>
      <c r="BS924" s="128"/>
      <c r="BT924" s="128"/>
      <c r="BU924" s="128"/>
      <c r="BV924" s="128"/>
      <c r="BW924" s="128"/>
      <c r="BX924" s="128"/>
      <c r="BY924" s="128"/>
      <c r="BZ924" s="128"/>
      <c r="CA924" s="128"/>
      <c r="CB924" s="128"/>
      <c r="CC924" s="128"/>
      <c r="CD924" s="128"/>
      <c r="CE924" s="128"/>
      <c r="CF924" s="128"/>
      <c r="CG924" s="128"/>
      <c r="CH924" s="128"/>
      <c r="CI924" s="128"/>
      <c r="CJ924" s="128"/>
      <c r="CK924" s="128"/>
      <c r="CL924" s="128"/>
      <c r="CM924" s="128"/>
      <c r="CN924" s="128"/>
      <c r="CO924" s="128"/>
      <c r="CP924" s="128"/>
      <c r="CQ924" s="128"/>
      <c r="CR924" s="128"/>
      <c r="CS924" s="128"/>
      <c r="CT924" s="128"/>
      <c r="CU924" s="128"/>
      <c r="CV924" s="128"/>
      <c r="CW924" s="128"/>
      <c r="CX924" s="128"/>
      <c r="CY924" s="128"/>
      <c r="CZ924" s="128"/>
    </row>
    <row r="925" spans="1:104">
      <c r="A925" s="128"/>
      <c r="B925" s="128"/>
      <c r="C925" s="128"/>
      <c r="D925" s="112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  <c r="AV925" s="128"/>
      <c r="AW925" s="128"/>
      <c r="AX925" s="128"/>
      <c r="AY925" s="128"/>
      <c r="AZ925" s="128"/>
      <c r="BA925" s="128"/>
      <c r="BB925" s="128"/>
      <c r="BC925" s="128"/>
      <c r="BD925" s="128"/>
      <c r="BE925" s="128"/>
      <c r="BF925" s="128"/>
      <c r="BG925" s="128"/>
      <c r="BH925" s="128"/>
      <c r="BI925" s="128"/>
      <c r="BJ925" s="128"/>
      <c r="BK925" s="128"/>
      <c r="BL925" s="128"/>
      <c r="BM925" s="151"/>
      <c r="BN925" s="128"/>
      <c r="BO925" s="128"/>
      <c r="BP925" s="128"/>
      <c r="BQ925" s="128"/>
      <c r="BR925" s="128"/>
      <c r="BS925" s="128"/>
      <c r="BT925" s="128"/>
      <c r="BU925" s="128"/>
      <c r="BV925" s="128"/>
      <c r="BW925" s="128"/>
      <c r="BX925" s="128"/>
      <c r="BY925" s="128"/>
      <c r="BZ925" s="128"/>
      <c r="CA925" s="128"/>
      <c r="CB925" s="128"/>
      <c r="CC925" s="128"/>
      <c r="CD925" s="128"/>
      <c r="CE925" s="128"/>
      <c r="CF925" s="128"/>
      <c r="CG925" s="128"/>
      <c r="CH925" s="128"/>
      <c r="CI925" s="128"/>
      <c r="CJ925" s="128"/>
      <c r="CK925" s="128"/>
      <c r="CL925" s="128"/>
      <c r="CM925" s="128"/>
      <c r="CN925" s="128"/>
      <c r="CO925" s="128"/>
      <c r="CP925" s="128"/>
      <c r="CQ925" s="128"/>
      <c r="CR925" s="128"/>
      <c r="CS925" s="128"/>
      <c r="CT925" s="128"/>
      <c r="CU925" s="128"/>
      <c r="CV925" s="128"/>
      <c r="CW925" s="128"/>
      <c r="CX925" s="128"/>
      <c r="CY925" s="128"/>
      <c r="CZ925" s="128"/>
    </row>
    <row r="926" spans="1:104">
      <c r="A926" s="128"/>
      <c r="B926" s="128"/>
      <c r="C926" s="128"/>
      <c r="D926" s="112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  <c r="AV926" s="128"/>
      <c r="AW926" s="128"/>
      <c r="AX926" s="128"/>
      <c r="AY926" s="128"/>
      <c r="AZ926" s="128"/>
      <c r="BA926" s="128"/>
      <c r="BB926" s="128"/>
      <c r="BC926" s="128"/>
      <c r="BD926" s="128"/>
      <c r="BE926" s="128"/>
      <c r="BF926" s="128"/>
      <c r="BG926" s="128"/>
      <c r="BH926" s="128"/>
      <c r="BI926" s="128"/>
      <c r="BJ926" s="128"/>
      <c r="BK926" s="128"/>
      <c r="BL926" s="128"/>
      <c r="BM926" s="151"/>
      <c r="BN926" s="128"/>
      <c r="BO926" s="128"/>
      <c r="BP926" s="128"/>
      <c r="BQ926" s="128"/>
      <c r="BR926" s="128"/>
      <c r="BS926" s="128"/>
      <c r="BT926" s="128"/>
      <c r="BU926" s="128"/>
      <c r="BV926" s="128"/>
      <c r="BW926" s="128"/>
      <c r="BX926" s="128"/>
      <c r="BY926" s="128"/>
      <c r="BZ926" s="128"/>
      <c r="CA926" s="128"/>
      <c r="CB926" s="128"/>
      <c r="CC926" s="128"/>
      <c r="CD926" s="128"/>
      <c r="CE926" s="128"/>
      <c r="CF926" s="128"/>
      <c r="CG926" s="128"/>
      <c r="CH926" s="128"/>
      <c r="CI926" s="128"/>
      <c r="CJ926" s="128"/>
      <c r="CK926" s="128"/>
      <c r="CL926" s="128"/>
      <c r="CM926" s="128"/>
      <c r="CN926" s="128"/>
      <c r="CO926" s="128"/>
      <c r="CP926" s="128"/>
      <c r="CQ926" s="128"/>
      <c r="CR926" s="128"/>
      <c r="CS926" s="128"/>
      <c r="CT926" s="128"/>
      <c r="CU926" s="128"/>
      <c r="CV926" s="128"/>
      <c r="CW926" s="128"/>
      <c r="CX926" s="128"/>
      <c r="CY926" s="128"/>
      <c r="CZ926" s="128"/>
    </row>
    <row r="927" spans="1:104">
      <c r="A927" s="128"/>
      <c r="B927" s="128"/>
      <c r="C927" s="128"/>
      <c r="D927" s="112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  <c r="AV927" s="128"/>
      <c r="AW927" s="128"/>
      <c r="AX927" s="128"/>
      <c r="AY927" s="128"/>
      <c r="AZ927" s="128"/>
      <c r="BA927" s="128"/>
      <c r="BB927" s="128"/>
      <c r="BC927" s="128"/>
      <c r="BD927" s="128"/>
      <c r="BE927" s="128"/>
      <c r="BF927" s="128"/>
      <c r="BG927" s="128"/>
      <c r="BH927" s="128"/>
      <c r="BI927" s="128"/>
      <c r="BJ927" s="128"/>
      <c r="BK927" s="128"/>
      <c r="BL927" s="128"/>
      <c r="BM927" s="151"/>
      <c r="BN927" s="128"/>
      <c r="BO927" s="128"/>
      <c r="BP927" s="128"/>
      <c r="BQ927" s="128"/>
      <c r="BR927" s="128"/>
      <c r="BS927" s="128"/>
      <c r="BT927" s="128"/>
      <c r="BU927" s="128"/>
      <c r="BV927" s="128"/>
      <c r="BW927" s="128"/>
      <c r="BX927" s="128"/>
      <c r="BY927" s="128"/>
      <c r="BZ927" s="128"/>
      <c r="CA927" s="128"/>
      <c r="CB927" s="128"/>
      <c r="CC927" s="128"/>
      <c r="CD927" s="128"/>
      <c r="CE927" s="128"/>
      <c r="CF927" s="128"/>
      <c r="CG927" s="128"/>
      <c r="CH927" s="128"/>
      <c r="CI927" s="128"/>
      <c r="CJ927" s="128"/>
      <c r="CK927" s="128"/>
      <c r="CL927" s="128"/>
      <c r="CM927" s="128"/>
      <c r="CN927" s="128"/>
      <c r="CO927" s="128"/>
      <c r="CP927" s="128"/>
      <c r="CQ927" s="128"/>
      <c r="CR927" s="128"/>
      <c r="CS927" s="128"/>
      <c r="CT927" s="128"/>
      <c r="CU927" s="128"/>
      <c r="CV927" s="128"/>
      <c r="CW927" s="128"/>
      <c r="CX927" s="128"/>
      <c r="CY927" s="128"/>
      <c r="CZ927" s="128"/>
    </row>
    <row r="928" spans="1:104">
      <c r="A928" s="128"/>
      <c r="B928" s="128"/>
      <c r="C928" s="128"/>
      <c r="D928" s="112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28"/>
      <c r="BJ928" s="128"/>
      <c r="BK928" s="128"/>
      <c r="BL928" s="128"/>
      <c r="BM928" s="151"/>
      <c r="BN928" s="128"/>
      <c r="BO928" s="128"/>
      <c r="BP928" s="128"/>
      <c r="BQ928" s="128"/>
      <c r="BR928" s="128"/>
      <c r="BS928" s="128"/>
      <c r="BT928" s="128"/>
      <c r="BU928" s="128"/>
      <c r="BV928" s="128"/>
      <c r="BW928" s="128"/>
      <c r="BX928" s="128"/>
      <c r="BY928" s="128"/>
      <c r="BZ928" s="128"/>
      <c r="CA928" s="128"/>
      <c r="CB928" s="128"/>
      <c r="CC928" s="128"/>
      <c r="CD928" s="128"/>
      <c r="CE928" s="128"/>
      <c r="CF928" s="128"/>
      <c r="CG928" s="128"/>
      <c r="CH928" s="128"/>
      <c r="CI928" s="128"/>
      <c r="CJ928" s="128"/>
      <c r="CK928" s="128"/>
      <c r="CL928" s="128"/>
      <c r="CM928" s="128"/>
      <c r="CN928" s="128"/>
      <c r="CO928" s="128"/>
      <c r="CP928" s="128"/>
      <c r="CQ928" s="128"/>
      <c r="CR928" s="128"/>
      <c r="CS928" s="128"/>
      <c r="CT928" s="128"/>
      <c r="CU928" s="128"/>
      <c r="CV928" s="128"/>
      <c r="CW928" s="128"/>
      <c r="CX928" s="128"/>
      <c r="CY928" s="128"/>
      <c r="CZ928" s="128"/>
    </row>
    <row r="929" spans="1:104">
      <c r="A929" s="128"/>
      <c r="B929" s="128"/>
      <c r="C929" s="128"/>
      <c r="D929" s="112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  <c r="AV929" s="128"/>
      <c r="AW929" s="128"/>
      <c r="AX929" s="128"/>
      <c r="AY929" s="128"/>
      <c r="AZ929" s="128"/>
      <c r="BA929" s="128"/>
      <c r="BB929" s="128"/>
      <c r="BC929" s="128"/>
      <c r="BD929" s="128"/>
      <c r="BE929" s="128"/>
      <c r="BF929" s="128"/>
      <c r="BG929" s="128"/>
      <c r="BH929" s="128"/>
      <c r="BI929" s="128"/>
      <c r="BJ929" s="128"/>
      <c r="BK929" s="128"/>
      <c r="BL929" s="128"/>
      <c r="BM929" s="151"/>
      <c r="BN929" s="128"/>
      <c r="BO929" s="128"/>
      <c r="BP929" s="128"/>
      <c r="BQ929" s="128"/>
      <c r="BR929" s="128"/>
      <c r="BS929" s="128"/>
      <c r="BT929" s="128"/>
      <c r="BU929" s="128"/>
      <c r="BV929" s="128"/>
      <c r="BW929" s="128"/>
      <c r="BX929" s="128"/>
      <c r="BY929" s="128"/>
      <c r="BZ929" s="128"/>
      <c r="CA929" s="128"/>
      <c r="CB929" s="128"/>
      <c r="CC929" s="128"/>
      <c r="CD929" s="128"/>
      <c r="CE929" s="128"/>
      <c r="CF929" s="128"/>
      <c r="CG929" s="128"/>
      <c r="CH929" s="128"/>
      <c r="CI929" s="128"/>
      <c r="CJ929" s="128"/>
      <c r="CK929" s="128"/>
      <c r="CL929" s="128"/>
      <c r="CM929" s="128"/>
      <c r="CN929" s="128"/>
      <c r="CO929" s="128"/>
      <c r="CP929" s="128"/>
      <c r="CQ929" s="128"/>
      <c r="CR929" s="128"/>
      <c r="CS929" s="128"/>
      <c r="CT929" s="128"/>
      <c r="CU929" s="128"/>
      <c r="CV929" s="128"/>
      <c r="CW929" s="128"/>
      <c r="CX929" s="128"/>
      <c r="CY929" s="128"/>
      <c r="CZ929" s="128"/>
    </row>
    <row r="930" spans="1:104">
      <c r="A930" s="128"/>
      <c r="B930" s="128"/>
      <c r="C930" s="128"/>
      <c r="D930" s="112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  <c r="AV930" s="128"/>
      <c r="AW930" s="128"/>
      <c r="AX930" s="128"/>
      <c r="AY930" s="128"/>
      <c r="AZ930" s="128"/>
      <c r="BA930" s="128"/>
      <c r="BB930" s="128"/>
      <c r="BC930" s="128"/>
      <c r="BD930" s="128"/>
      <c r="BE930" s="128"/>
      <c r="BF930" s="128"/>
      <c r="BG930" s="128"/>
      <c r="BH930" s="128"/>
      <c r="BI930" s="128"/>
      <c r="BJ930" s="128"/>
      <c r="BK930" s="128"/>
      <c r="BL930" s="128"/>
      <c r="BM930" s="151"/>
      <c r="BN930" s="128"/>
      <c r="BO930" s="128"/>
      <c r="BP930" s="128"/>
      <c r="BQ930" s="128"/>
      <c r="BR930" s="128"/>
      <c r="BS930" s="128"/>
      <c r="BT930" s="128"/>
      <c r="BU930" s="128"/>
      <c r="BV930" s="128"/>
      <c r="BW930" s="128"/>
      <c r="BX930" s="128"/>
      <c r="BY930" s="128"/>
      <c r="BZ930" s="128"/>
      <c r="CA930" s="128"/>
      <c r="CB930" s="128"/>
      <c r="CC930" s="128"/>
      <c r="CD930" s="128"/>
      <c r="CE930" s="128"/>
      <c r="CF930" s="128"/>
      <c r="CG930" s="128"/>
      <c r="CH930" s="128"/>
      <c r="CI930" s="128"/>
      <c r="CJ930" s="128"/>
      <c r="CK930" s="128"/>
      <c r="CL930" s="128"/>
      <c r="CM930" s="128"/>
      <c r="CN930" s="128"/>
      <c r="CO930" s="128"/>
      <c r="CP930" s="128"/>
      <c r="CQ930" s="128"/>
      <c r="CR930" s="128"/>
      <c r="CS930" s="128"/>
      <c r="CT930" s="128"/>
      <c r="CU930" s="128"/>
      <c r="CV930" s="128"/>
      <c r="CW930" s="128"/>
      <c r="CX930" s="128"/>
      <c r="CY930" s="128"/>
      <c r="CZ930" s="128"/>
    </row>
    <row r="931" spans="1:104">
      <c r="A931" s="128"/>
      <c r="B931" s="128"/>
      <c r="C931" s="128"/>
      <c r="D931" s="112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  <c r="AV931" s="128"/>
      <c r="AW931" s="128"/>
      <c r="AX931" s="128"/>
      <c r="AY931" s="128"/>
      <c r="AZ931" s="128"/>
      <c r="BA931" s="128"/>
      <c r="BB931" s="128"/>
      <c r="BC931" s="128"/>
      <c r="BD931" s="128"/>
      <c r="BE931" s="128"/>
      <c r="BF931" s="128"/>
      <c r="BG931" s="128"/>
      <c r="BH931" s="128"/>
      <c r="BI931" s="128"/>
      <c r="BJ931" s="128"/>
      <c r="BK931" s="128"/>
      <c r="BL931" s="128"/>
      <c r="BM931" s="151"/>
      <c r="BN931" s="128"/>
      <c r="BO931" s="128"/>
      <c r="BP931" s="128"/>
      <c r="BQ931" s="128"/>
      <c r="BR931" s="128"/>
      <c r="BS931" s="128"/>
      <c r="BT931" s="128"/>
      <c r="BU931" s="128"/>
      <c r="BV931" s="128"/>
      <c r="BW931" s="128"/>
      <c r="BX931" s="128"/>
      <c r="BY931" s="128"/>
      <c r="BZ931" s="128"/>
      <c r="CA931" s="128"/>
      <c r="CB931" s="128"/>
      <c r="CC931" s="128"/>
      <c r="CD931" s="128"/>
      <c r="CE931" s="128"/>
      <c r="CF931" s="128"/>
      <c r="CG931" s="128"/>
      <c r="CH931" s="128"/>
      <c r="CI931" s="128"/>
      <c r="CJ931" s="128"/>
      <c r="CK931" s="128"/>
      <c r="CL931" s="128"/>
      <c r="CM931" s="128"/>
      <c r="CN931" s="128"/>
      <c r="CO931" s="128"/>
      <c r="CP931" s="128"/>
      <c r="CQ931" s="128"/>
      <c r="CR931" s="128"/>
      <c r="CS931" s="128"/>
      <c r="CT931" s="128"/>
      <c r="CU931" s="128"/>
      <c r="CV931" s="128"/>
      <c r="CW931" s="128"/>
      <c r="CX931" s="128"/>
      <c r="CY931" s="128"/>
      <c r="CZ931" s="128"/>
    </row>
    <row r="932" spans="1:104">
      <c r="A932" s="128"/>
      <c r="B932" s="128"/>
      <c r="C932" s="128"/>
      <c r="D932" s="112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  <c r="AV932" s="128"/>
      <c r="AW932" s="128"/>
      <c r="AX932" s="128"/>
      <c r="AY932" s="128"/>
      <c r="AZ932" s="128"/>
      <c r="BA932" s="128"/>
      <c r="BB932" s="128"/>
      <c r="BC932" s="128"/>
      <c r="BD932" s="128"/>
      <c r="BE932" s="128"/>
      <c r="BF932" s="128"/>
      <c r="BG932" s="128"/>
      <c r="BH932" s="128"/>
      <c r="BI932" s="128"/>
      <c r="BJ932" s="128"/>
      <c r="BK932" s="128"/>
      <c r="BL932" s="128"/>
      <c r="BM932" s="151"/>
      <c r="BN932" s="128"/>
      <c r="BO932" s="128"/>
      <c r="BP932" s="128"/>
      <c r="BQ932" s="128"/>
      <c r="BR932" s="128"/>
      <c r="BS932" s="128"/>
      <c r="BT932" s="128"/>
      <c r="BU932" s="128"/>
      <c r="BV932" s="128"/>
      <c r="BW932" s="128"/>
      <c r="BX932" s="128"/>
      <c r="BY932" s="128"/>
      <c r="BZ932" s="128"/>
      <c r="CA932" s="128"/>
      <c r="CB932" s="128"/>
      <c r="CC932" s="128"/>
      <c r="CD932" s="128"/>
      <c r="CE932" s="128"/>
      <c r="CF932" s="128"/>
      <c r="CG932" s="128"/>
      <c r="CH932" s="128"/>
      <c r="CI932" s="128"/>
      <c r="CJ932" s="128"/>
      <c r="CK932" s="128"/>
      <c r="CL932" s="128"/>
      <c r="CM932" s="128"/>
      <c r="CN932" s="128"/>
      <c r="CO932" s="128"/>
      <c r="CP932" s="128"/>
      <c r="CQ932" s="128"/>
      <c r="CR932" s="128"/>
      <c r="CS932" s="128"/>
      <c r="CT932" s="128"/>
      <c r="CU932" s="128"/>
      <c r="CV932" s="128"/>
      <c r="CW932" s="128"/>
      <c r="CX932" s="128"/>
      <c r="CY932" s="128"/>
      <c r="CZ932" s="128"/>
    </row>
    <row r="933" spans="1:104">
      <c r="A933" s="128"/>
      <c r="B933" s="128"/>
      <c r="C933" s="128"/>
      <c r="D933" s="112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  <c r="AV933" s="128"/>
      <c r="AW933" s="128"/>
      <c r="AX933" s="128"/>
      <c r="AY933" s="128"/>
      <c r="AZ933" s="128"/>
      <c r="BA933" s="128"/>
      <c r="BB933" s="128"/>
      <c r="BC933" s="128"/>
      <c r="BD933" s="128"/>
      <c r="BE933" s="128"/>
      <c r="BF933" s="128"/>
      <c r="BG933" s="128"/>
      <c r="BH933" s="128"/>
      <c r="BI933" s="128"/>
      <c r="BJ933" s="128"/>
      <c r="BK933" s="128"/>
      <c r="BL933" s="128"/>
      <c r="BM933" s="151"/>
      <c r="BN933" s="128"/>
      <c r="BO933" s="128"/>
      <c r="BP933" s="128"/>
      <c r="BQ933" s="128"/>
      <c r="BR933" s="128"/>
      <c r="BS933" s="128"/>
      <c r="BT933" s="128"/>
      <c r="BU933" s="128"/>
      <c r="BV933" s="128"/>
      <c r="BW933" s="128"/>
      <c r="BX933" s="128"/>
      <c r="BY933" s="128"/>
      <c r="BZ933" s="128"/>
      <c r="CA933" s="128"/>
      <c r="CB933" s="128"/>
      <c r="CC933" s="128"/>
      <c r="CD933" s="128"/>
      <c r="CE933" s="128"/>
      <c r="CF933" s="128"/>
      <c r="CG933" s="128"/>
      <c r="CH933" s="128"/>
      <c r="CI933" s="128"/>
      <c r="CJ933" s="128"/>
      <c r="CK933" s="128"/>
      <c r="CL933" s="128"/>
      <c r="CM933" s="128"/>
      <c r="CN933" s="128"/>
      <c r="CO933" s="128"/>
      <c r="CP933" s="128"/>
      <c r="CQ933" s="128"/>
      <c r="CR933" s="128"/>
      <c r="CS933" s="128"/>
      <c r="CT933" s="128"/>
      <c r="CU933" s="128"/>
      <c r="CV933" s="128"/>
      <c r="CW933" s="128"/>
      <c r="CX933" s="128"/>
      <c r="CY933" s="128"/>
      <c r="CZ933" s="128"/>
    </row>
    <row r="934" spans="1:104">
      <c r="A934" s="128"/>
      <c r="B934" s="128"/>
      <c r="C934" s="128"/>
      <c r="D934" s="112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  <c r="AV934" s="128"/>
      <c r="AW934" s="128"/>
      <c r="AX934" s="128"/>
      <c r="AY934" s="128"/>
      <c r="AZ934" s="128"/>
      <c r="BA934" s="128"/>
      <c r="BB934" s="128"/>
      <c r="BC934" s="128"/>
      <c r="BD934" s="128"/>
      <c r="BE934" s="128"/>
      <c r="BF934" s="128"/>
      <c r="BG934" s="128"/>
      <c r="BH934" s="128"/>
      <c r="BI934" s="128"/>
      <c r="BJ934" s="128"/>
      <c r="BK934" s="128"/>
      <c r="BL934" s="128"/>
      <c r="BM934" s="151"/>
      <c r="BN934" s="128"/>
      <c r="BO934" s="128"/>
      <c r="BP934" s="128"/>
      <c r="BQ934" s="128"/>
      <c r="BR934" s="128"/>
      <c r="BS934" s="128"/>
      <c r="BT934" s="128"/>
      <c r="BU934" s="128"/>
      <c r="BV934" s="128"/>
      <c r="BW934" s="128"/>
      <c r="BX934" s="128"/>
      <c r="BY934" s="128"/>
      <c r="BZ934" s="128"/>
      <c r="CA934" s="128"/>
      <c r="CB934" s="128"/>
      <c r="CC934" s="128"/>
      <c r="CD934" s="128"/>
      <c r="CE934" s="128"/>
      <c r="CF934" s="128"/>
      <c r="CG934" s="128"/>
      <c r="CH934" s="128"/>
      <c r="CI934" s="128"/>
      <c r="CJ934" s="128"/>
      <c r="CK934" s="128"/>
      <c r="CL934" s="128"/>
      <c r="CM934" s="128"/>
      <c r="CN934" s="128"/>
      <c r="CO934" s="128"/>
      <c r="CP934" s="128"/>
      <c r="CQ934" s="128"/>
      <c r="CR934" s="128"/>
      <c r="CS934" s="128"/>
      <c r="CT934" s="128"/>
      <c r="CU934" s="128"/>
      <c r="CV934" s="128"/>
      <c r="CW934" s="128"/>
      <c r="CX934" s="128"/>
      <c r="CY934" s="128"/>
      <c r="CZ934" s="128"/>
    </row>
    <row r="935" spans="1:104">
      <c r="A935" s="128"/>
      <c r="B935" s="128"/>
      <c r="C935" s="128"/>
      <c r="D935" s="112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  <c r="AV935" s="128"/>
      <c r="AW935" s="128"/>
      <c r="AX935" s="128"/>
      <c r="AY935" s="128"/>
      <c r="AZ935" s="128"/>
      <c r="BA935" s="128"/>
      <c r="BB935" s="128"/>
      <c r="BC935" s="128"/>
      <c r="BD935" s="128"/>
      <c r="BE935" s="128"/>
      <c r="BF935" s="128"/>
      <c r="BG935" s="128"/>
      <c r="BH935" s="128"/>
      <c r="BI935" s="128"/>
      <c r="BJ935" s="128"/>
      <c r="BK935" s="128"/>
      <c r="BL935" s="128"/>
      <c r="BM935" s="151"/>
      <c r="BN935" s="128"/>
      <c r="BO935" s="128"/>
      <c r="BP935" s="128"/>
      <c r="BQ935" s="128"/>
      <c r="BR935" s="128"/>
      <c r="BS935" s="128"/>
      <c r="BT935" s="128"/>
      <c r="BU935" s="128"/>
      <c r="BV935" s="128"/>
      <c r="BW935" s="128"/>
      <c r="BX935" s="128"/>
      <c r="BY935" s="128"/>
      <c r="BZ935" s="128"/>
      <c r="CA935" s="128"/>
      <c r="CB935" s="128"/>
      <c r="CC935" s="128"/>
      <c r="CD935" s="128"/>
      <c r="CE935" s="128"/>
      <c r="CF935" s="128"/>
      <c r="CG935" s="128"/>
      <c r="CH935" s="128"/>
      <c r="CI935" s="128"/>
      <c r="CJ935" s="128"/>
      <c r="CK935" s="128"/>
      <c r="CL935" s="128"/>
      <c r="CM935" s="128"/>
      <c r="CN935" s="128"/>
      <c r="CO935" s="128"/>
      <c r="CP935" s="128"/>
      <c r="CQ935" s="128"/>
      <c r="CR935" s="128"/>
      <c r="CS935" s="128"/>
      <c r="CT935" s="128"/>
      <c r="CU935" s="128"/>
      <c r="CV935" s="128"/>
      <c r="CW935" s="128"/>
      <c r="CX935" s="128"/>
      <c r="CY935" s="128"/>
      <c r="CZ935" s="128"/>
    </row>
    <row r="936" spans="1:104">
      <c r="A936" s="128"/>
      <c r="B936" s="128"/>
      <c r="C936" s="128"/>
      <c r="D936" s="112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  <c r="AV936" s="128"/>
      <c r="AW936" s="128"/>
      <c r="AX936" s="128"/>
      <c r="AY936" s="128"/>
      <c r="AZ936" s="128"/>
      <c r="BA936" s="128"/>
      <c r="BB936" s="128"/>
      <c r="BC936" s="128"/>
      <c r="BD936" s="128"/>
      <c r="BE936" s="128"/>
      <c r="BF936" s="128"/>
      <c r="BG936" s="128"/>
      <c r="BH936" s="128"/>
      <c r="BI936" s="128"/>
      <c r="BJ936" s="128"/>
      <c r="BK936" s="128"/>
      <c r="BL936" s="128"/>
      <c r="BM936" s="151"/>
      <c r="BN936" s="128"/>
      <c r="BO936" s="128"/>
      <c r="BP936" s="128"/>
      <c r="BQ936" s="128"/>
      <c r="BR936" s="128"/>
      <c r="BS936" s="128"/>
      <c r="BT936" s="128"/>
      <c r="BU936" s="128"/>
      <c r="BV936" s="128"/>
      <c r="BW936" s="128"/>
      <c r="BX936" s="128"/>
      <c r="BY936" s="128"/>
      <c r="BZ936" s="128"/>
      <c r="CA936" s="128"/>
      <c r="CB936" s="128"/>
      <c r="CC936" s="128"/>
      <c r="CD936" s="128"/>
      <c r="CE936" s="128"/>
      <c r="CF936" s="128"/>
      <c r="CG936" s="128"/>
      <c r="CH936" s="128"/>
      <c r="CI936" s="128"/>
      <c r="CJ936" s="128"/>
      <c r="CK936" s="128"/>
      <c r="CL936" s="128"/>
      <c r="CM936" s="128"/>
      <c r="CN936" s="128"/>
      <c r="CO936" s="128"/>
      <c r="CP936" s="128"/>
      <c r="CQ936" s="128"/>
      <c r="CR936" s="128"/>
      <c r="CS936" s="128"/>
      <c r="CT936" s="128"/>
      <c r="CU936" s="128"/>
      <c r="CV936" s="128"/>
      <c r="CW936" s="128"/>
      <c r="CX936" s="128"/>
      <c r="CY936" s="128"/>
      <c r="CZ936" s="128"/>
    </row>
    <row r="937" spans="1:104">
      <c r="A937" s="128"/>
      <c r="B937" s="128"/>
      <c r="C937" s="128"/>
      <c r="D937" s="112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  <c r="AV937" s="128"/>
      <c r="AW937" s="128"/>
      <c r="AX937" s="128"/>
      <c r="AY937" s="128"/>
      <c r="AZ937" s="128"/>
      <c r="BA937" s="128"/>
      <c r="BB937" s="128"/>
      <c r="BC937" s="128"/>
      <c r="BD937" s="128"/>
      <c r="BE937" s="128"/>
      <c r="BF937" s="128"/>
      <c r="BG937" s="128"/>
      <c r="BH937" s="128"/>
      <c r="BI937" s="128"/>
      <c r="BJ937" s="128"/>
      <c r="BK937" s="128"/>
      <c r="BL937" s="128"/>
      <c r="BM937" s="151"/>
      <c r="BN937" s="128"/>
      <c r="BO937" s="128"/>
      <c r="BP937" s="128"/>
      <c r="BQ937" s="128"/>
      <c r="BR937" s="128"/>
      <c r="BS937" s="128"/>
      <c r="BT937" s="128"/>
      <c r="BU937" s="128"/>
      <c r="BV937" s="128"/>
      <c r="BW937" s="128"/>
      <c r="BX937" s="128"/>
      <c r="BY937" s="128"/>
      <c r="BZ937" s="128"/>
      <c r="CA937" s="128"/>
      <c r="CB937" s="128"/>
      <c r="CC937" s="128"/>
      <c r="CD937" s="128"/>
      <c r="CE937" s="128"/>
      <c r="CF937" s="128"/>
      <c r="CG937" s="128"/>
      <c r="CH937" s="128"/>
      <c r="CI937" s="128"/>
      <c r="CJ937" s="128"/>
      <c r="CK937" s="128"/>
      <c r="CL937" s="128"/>
      <c r="CM937" s="128"/>
      <c r="CN937" s="128"/>
      <c r="CO937" s="128"/>
      <c r="CP937" s="128"/>
      <c r="CQ937" s="128"/>
      <c r="CR937" s="128"/>
      <c r="CS937" s="128"/>
      <c r="CT937" s="128"/>
      <c r="CU937" s="128"/>
      <c r="CV937" s="128"/>
      <c r="CW937" s="128"/>
      <c r="CX937" s="128"/>
      <c r="CY937" s="128"/>
      <c r="CZ937" s="128"/>
    </row>
    <row r="938" spans="1:104">
      <c r="A938" s="128"/>
      <c r="B938" s="128"/>
      <c r="C938" s="128"/>
      <c r="D938" s="112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  <c r="AV938" s="128"/>
      <c r="AW938" s="128"/>
      <c r="AX938" s="128"/>
      <c r="AY938" s="128"/>
      <c r="AZ938" s="128"/>
      <c r="BA938" s="128"/>
      <c r="BB938" s="128"/>
      <c r="BC938" s="128"/>
      <c r="BD938" s="128"/>
      <c r="BE938" s="128"/>
      <c r="BF938" s="128"/>
      <c r="BG938" s="128"/>
      <c r="BH938" s="128"/>
      <c r="BI938" s="128"/>
      <c r="BJ938" s="128"/>
      <c r="BK938" s="128"/>
      <c r="BL938" s="128"/>
      <c r="BM938" s="151"/>
      <c r="BN938" s="128"/>
      <c r="BO938" s="128"/>
      <c r="BP938" s="128"/>
      <c r="BQ938" s="128"/>
      <c r="BR938" s="128"/>
      <c r="BS938" s="128"/>
      <c r="BT938" s="128"/>
      <c r="BU938" s="128"/>
      <c r="BV938" s="128"/>
      <c r="BW938" s="128"/>
      <c r="BX938" s="128"/>
      <c r="BY938" s="128"/>
      <c r="BZ938" s="128"/>
      <c r="CA938" s="128"/>
      <c r="CB938" s="128"/>
      <c r="CC938" s="128"/>
      <c r="CD938" s="128"/>
      <c r="CE938" s="128"/>
      <c r="CF938" s="128"/>
      <c r="CG938" s="128"/>
      <c r="CH938" s="128"/>
      <c r="CI938" s="128"/>
      <c r="CJ938" s="128"/>
      <c r="CK938" s="128"/>
      <c r="CL938" s="128"/>
      <c r="CM938" s="128"/>
      <c r="CN938" s="128"/>
      <c r="CO938" s="128"/>
      <c r="CP938" s="128"/>
      <c r="CQ938" s="128"/>
      <c r="CR938" s="128"/>
      <c r="CS938" s="128"/>
      <c r="CT938" s="128"/>
      <c r="CU938" s="128"/>
      <c r="CV938" s="128"/>
      <c r="CW938" s="128"/>
      <c r="CX938" s="128"/>
      <c r="CY938" s="128"/>
      <c r="CZ938" s="128"/>
    </row>
    <row r="939" spans="1:104">
      <c r="A939" s="128"/>
      <c r="B939" s="128"/>
      <c r="C939" s="128"/>
      <c r="D939" s="112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  <c r="AV939" s="128"/>
      <c r="AW939" s="128"/>
      <c r="AX939" s="128"/>
      <c r="AY939" s="128"/>
      <c r="AZ939" s="128"/>
      <c r="BA939" s="128"/>
      <c r="BB939" s="128"/>
      <c r="BC939" s="128"/>
      <c r="BD939" s="128"/>
      <c r="BE939" s="128"/>
      <c r="BF939" s="128"/>
      <c r="BG939" s="128"/>
      <c r="BH939" s="128"/>
      <c r="BI939" s="128"/>
      <c r="BJ939" s="128"/>
      <c r="BK939" s="128"/>
      <c r="BL939" s="128"/>
      <c r="BM939" s="151"/>
      <c r="BN939" s="128"/>
      <c r="BO939" s="128"/>
      <c r="BP939" s="128"/>
      <c r="BQ939" s="128"/>
      <c r="BR939" s="128"/>
      <c r="BS939" s="128"/>
      <c r="BT939" s="128"/>
      <c r="BU939" s="128"/>
      <c r="BV939" s="128"/>
      <c r="BW939" s="128"/>
      <c r="BX939" s="128"/>
      <c r="BY939" s="128"/>
      <c r="BZ939" s="128"/>
      <c r="CA939" s="128"/>
      <c r="CB939" s="128"/>
      <c r="CC939" s="128"/>
      <c r="CD939" s="128"/>
      <c r="CE939" s="128"/>
      <c r="CF939" s="128"/>
      <c r="CG939" s="128"/>
      <c r="CH939" s="128"/>
      <c r="CI939" s="128"/>
      <c r="CJ939" s="128"/>
      <c r="CK939" s="128"/>
      <c r="CL939" s="128"/>
      <c r="CM939" s="128"/>
      <c r="CN939" s="128"/>
      <c r="CO939" s="128"/>
      <c r="CP939" s="128"/>
      <c r="CQ939" s="128"/>
      <c r="CR939" s="128"/>
      <c r="CS939" s="128"/>
      <c r="CT939" s="128"/>
      <c r="CU939" s="128"/>
      <c r="CV939" s="128"/>
      <c r="CW939" s="128"/>
      <c r="CX939" s="128"/>
      <c r="CY939" s="128"/>
      <c r="CZ939" s="128"/>
    </row>
    <row r="940" spans="1:104">
      <c r="A940" s="128"/>
      <c r="B940" s="128"/>
      <c r="C940" s="128"/>
      <c r="D940" s="112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  <c r="AV940" s="128"/>
      <c r="AW940" s="128"/>
      <c r="AX940" s="128"/>
      <c r="AY940" s="128"/>
      <c r="AZ940" s="128"/>
      <c r="BA940" s="128"/>
      <c r="BB940" s="128"/>
      <c r="BC940" s="128"/>
      <c r="BD940" s="128"/>
      <c r="BE940" s="128"/>
      <c r="BF940" s="128"/>
      <c r="BG940" s="128"/>
      <c r="BH940" s="128"/>
      <c r="BI940" s="128"/>
      <c r="BJ940" s="128"/>
      <c r="BK940" s="128"/>
      <c r="BL940" s="128"/>
      <c r="BM940" s="151"/>
      <c r="BN940" s="128"/>
      <c r="BO940" s="128"/>
      <c r="BP940" s="128"/>
      <c r="BQ940" s="128"/>
      <c r="BR940" s="128"/>
      <c r="BS940" s="128"/>
      <c r="BT940" s="128"/>
      <c r="BU940" s="128"/>
      <c r="BV940" s="128"/>
      <c r="BW940" s="128"/>
      <c r="BX940" s="128"/>
      <c r="BY940" s="128"/>
      <c r="BZ940" s="128"/>
      <c r="CA940" s="128"/>
      <c r="CB940" s="128"/>
      <c r="CC940" s="128"/>
      <c r="CD940" s="128"/>
      <c r="CE940" s="128"/>
      <c r="CF940" s="128"/>
      <c r="CG940" s="128"/>
      <c r="CH940" s="128"/>
      <c r="CI940" s="128"/>
      <c r="CJ940" s="128"/>
      <c r="CK940" s="128"/>
      <c r="CL940" s="128"/>
      <c r="CM940" s="128"/>
      <c r="CN940" s="128"/>
      <c r="CO940" s="128"/>
      <c r="CP940" s="128"/>
      <c r="CQ940" s="128"/>
      <c r="CR940" s="128"/>
      <c r="CS940" s="128"/>
      <c r="CT940" s="128"/>
      <c r="CU940" s="128"/>
      <c r="CV940" s="128"/>
      <c r="CW940" s="128"/>
      <c r="CX940" s="128"/>
      <c r="CY940" s="128"/>
      <c r="CZ940" s="128"/>
    </row>
    <row r="941" spans="1:104">
      <c r="A941" s="128"/>
      <c r="B941" s="128"/>
      <c r="C941" s="128"/>
      <c r="D941" s="112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  <c r="AV941" s="128"/>
      <c r="AW941" s="128"/>
      <c r="AX941" s="128"/>
      <c r="AY941" s="128"/>
      <c r="AZ941" s="128"/>
      <c r="BA941" s="128"/>
      <c r="BB941" s="128"/>
      <c r="BC941" s="128"/>
      <c r="BD941" s="128"/>
      <c r="BE941" s="128"/>
      <c r="BF941" s="128"/>
      <c r="BG941" s="128"/>
      <c r="BH941" s="128"/>
      <c r="BI941" s="128"/>
      <c r="BJ941" s="128"/>
      <c r="BK941" s="128"/>
      <c r="BL941" s="128"/>
      <c r="BM941" s="151"/>
      <c r="BN941" s="128"/>
      <c r="BO941" s="128"/>
      <c r="BP941" s="128"/>
      <c r="BQ941" s="128"/>
      <c r="BR941" s="128"/>
      <c r="BS941" s="128"/>
      <c r="BT941" s="128"/>
      <c r="BU941" s="128"/>
      <c r="BV941" s="128"/>
      <c r="BW941" s="128"/>
      <c r="BX941" s="128"/>
      <c r="BY941" s="128"/>
      <c r="BZ941" s="128"/>
      <c r="CA941" s="128"/>
      <c r="CB941" s="128"/>
      <c r="CC941" s="128"/>
      <c r="CD941" s="128"/>
      <c r="CE941" s="128"/>
      <c r="CF941" s="128"/>
      <c r="CG941" s="128"/>
      <c r="CH941" s="128"/>
      <c r="CI941" s="128"/>
      <c r="CJ941" s="128"/>
      <c r="CK941" s="128"/>
      <c r="CL941" s="128"/>
      <c r="CM941" s="128"/>
      <c r="CN941" s="128"/>
      <c r="CO941" s="128"/>
      <c r="CP941" s="128"/>
      <c r="CQ941" s="128"/>
      <c r="CR941" s="128"/>
      <c r="CS941" s="128"/>
      <c r="CT941" s="128"/>
      <c r="CU941" s="128"/>
      <c r="CV941" s="128"/>
      <c r="CW941" s="128"/>
      <c r="CX941" s="128"/>
      <c r="CY941" s="128"/>
      <c r="CZ941" s="128"/>
    </row>
    <row r="942" spans="1:104">
      <c r="A942" s="128"/>
      <c r="B942" s="128"/>
      <c r="C942" s="128"/>
      <c r="D942" s="112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  <c r="AV942" s="128"/>
      <c r="AW942" s="128"/>
      <c r="AX942" s="128"/>
      <c r="AY942" s="128"/>
      <c r="AZ942" s="128"/>
      <c r="BA942" s="128"/>
      <c r="BB942" s="128"/>
      <c r="BC942" s="128"/>
      <c r="BD942" s="128"/>
      <c r="BE942" s="128"/>
      <c r="BF942" s="128"/>
      <c r="BG942" s="128"/>
      <c r="BH942" s="128"/>
      <c r="BI942" s="128"/>
      <c r="BJ942" s="128"/>
      <c r="BK942" s="128"/>
      <c r="BL942" s="128"/>
      <c r="BM942" s="151"/>
      <c r="BN942" s="128"/>
      <c r="BO942" s="128"/>
      <c r="BP942" s="128"/>
      <c r="BQ942" s="128"/>
      <c r="BR942" s="128"/>
      <c r="BS942" s="128"/>
      <c r="BT942" s="128"/>
      <c r="BU942" s="128"/>
      <c r="BV942" s="128"/>
      <c r="BW942" s="128"/>
      <c r="BX942" s="128"/>
      <c r="BY942" s="128"/>
      <c r="BZ942" s="128"/>
      <c r="CA942" s="128"/>
      <c r="CB942" s="128"/>
      <c r="CC942" s="128"/>
      <c r="CD942" s="128"/>
      <c r="CE942" s="128"/>
      <c r="CF942" s="128"/>
      <c r="CG942" s="128"/>
      <c r="CH942" s="128"/>
      <c r="CI942" s="128"/>
      <c r="CJ942" s="128"/>
      <c r="CK942" s="128"/>
      <c r="CL942" s="128"/>
      <c r="CM942" s="128"/>
      <c r="CN942" s="128"/>
      <c r="CO942" s="128"/>
      <c r="CP942" s="128"/>
      <c r="CQ942" s="128"/>
      <c r="CR942" s="128"/>
      <c r="CS942" s="128"/>
      <c r="CT942" s="128"/>
      <c r="CU942" s="128"/>
      <c r="CV942" s="128"/>
      <c r="CW942" s="128"/>
      <c r="CX942" s="128"/>
      <c r="CY942" s="128"/>
      <c r="CZ942" s="128"/>
    </row>
    <row r="943" spans="1:104">
      <c r="A943" s="128"/>
      <c r="B943" s="128"/>
      <c r="C943" s="128"/>
      <c r="D943" s="112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  <c r="AV943" s="128"/>
      <c r="AW943" s="128"/>
      <c r="AX943" s="128"/>
      <c r="AY943" s="128"/>
      <c r="AZ943" s="128"/>
      <c r="BA943" s="128"/>
      <c r="BB943" s="128"/>
      <c r="BC943" s="128"/>
      <c r="BD943" s="128"/>
      <c r="BE943" s="128"/>
      <c r="BF943" s="128"/>
      <c r="BG943" s="128"/>
      <c r="BH943" s="128"/>
      <c r="BI943" s="128"/>
      <c r="BJ943" s="128"/>
      <c r="BK943" s="128"/>
      <c r="BL943" s="128"/>
      <c r="BM943" s="151"/>
      <c r="BN943" s="128"/>
      <c r="BO943" s="128"/>
      <c r="BP943" s="128"/>
      <c r="BQ943" s="128"/>
      <c r="BR943" s="128"/>
      <c r="BS943" s="128"/>
      <c r="BT943" s="128"/>
      <c r="BU943" s="128"/>
      <c r="BV943" s="128"/>
      <c r="BW943" s="128"/>
      <c r="BX943" s="128"/>
      <c r="BY943" s="128"/>
      <c r="BZ943" s="128"/>
      <c r="CA943" s="128"/>
      <c r="CB943" s="128"/>
      <c r="CC943" s="128"/>
      <c r="CD943" s="128"/>
      <c r="CE943" s="128"/>
      <c r="CF943" s="128"/>
      <c r="CG943" s="128"/>
      <c r="CH943" s="128"/>
      <c r="CI943" s="128"/>
      <c r="CJ943" s="128"/>
      <c r="CK943" s="128"/>
      <c r="CL943" s="128"/>
      <c r="CM943" s="128"/>
      <c r="CN943" s="128"/>
      <c r="CO943" s="128"/>
      <c r="CP943" s="128"/>
      <c r="CQ943" s="128"/>
      <c r="CR943" s="128"/>
      <c r="CS943" s="128"/>
      <c r="CT943" s="128"/>
      <c r="CU943" s="128"/>
      <c r="CV943" s="128"/>
      <c r="CW943" s="128"/>
      <c r="CX943" s="128"/>
      <c r="CY943" s="128"/>
      <c r="CZ943" s="128"/>
    </row>
    <row r="944" spans="1:104">
      <c r="A944" s="128"/>
      <c r="B944" s="128"/>
      <c r="C944" s="128"/>
      <c r="D944" s="112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  <c r="AV944" s="128"/>
      <c r="AW944" s="128"/>
      <c r="AX944" s="128"/>
      <c r="AY944" s="128"/>
      <c r="AZ944" s="128"/>
      <c r="BA944" s="128"/>
      <c r="BB944" s="128"/>
      <c r="BC944" s="128"/>
      <c r="BD944" s="128"/>
      <c r="BE944" s="128"/>
      <c r="BF944" s="128"/>
      <c r="BG944" s="128"/>
      <c r="BH944" s="128"/>
      <c r="BI944" s="128"/>
      <c r="BJ944" s="128"/>
      <c r="BK944" s="128"/>
      <c r="BL944" s="128"/>
      <c r="BM944" s="151"/>
      <c r="BN944" s="128"/>
      <c r="BO944" s="128"/>
      <c r="BP944" s="128"/>
      <c r="BQ944" s="128"/>
      <c r="BR944" s="128"/>
      <c r="BS944" s="128"/>
      <c r="BT944" s="128"/>
      <c r="BU944" s="128"/>
      <c r="BV944" s="128"/>
      <c r="BW944" s="128"/>
      <c r="BX944" s="128"/>
      <c r="BY944" s="128"/>
      <c r="BZ944" s="128"/>
      <c r="CA944" s="128"/>
      <c r="CB944" s="128"/>
      <c r="CC944" s="128"/>
      <c r="CD944" s="128"/>
      <c r="CE944" s="128"/>
      <c r="CF944" s="128"/>
      <c r="CG944" s="128"/>
      <c r="CH944" s="128"/>
      <c r="CI944" s="128"/>
      <c r="CJ944" s="128"/>
      <c r="CK944" s="128"/>
      <c r="CL944" s="128"/>
      <c r="CM944" s="128"/>
      <c r="CN944" s="128"/>
      <c r="CO944" s="128"/>
      <c r="CP944" s="128"/>
      <c r="CQ944" s="128"/>
      <c r="CR944" s="128"/>
      <c r="CS944" s="128"/>
      <c r="CT944" s="128"/>
      <c r="CU944" s="128"/>
      <c r="CV944" s="128"/>
      <c r="CW944" s="128"/>
      <c r="CX944" s="128"/>
      <c r="CY944" s="128"/>
      <c r="CZ944" s="128"/>
    </row>
    <row r="945" spans="1:104">
      <c r="A945" s="128"/>
      <c r="B945" s="128"/>
      <c r="C945" s="128"/>
      <c r="D945" s="112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  <c r="AV945" s="128"/>
      <c r="AW945" s="128"/>
      <c r="AX945" s="128"/>
      <c r="AY945" s="128"/>
      <c r="AZ945" s="128"/>
      <c r="BA945" s="128"/>
      <c r="BB945" s="128"/>
      <c r="BC945" s="128"/>
      <c r="BD945" s="128"/>
      <c r="BE945" s="128"/>
      <c r="BF945" s="128"/>
      <c r="BG945" s="128"/>
      <c r="BH945" s="128"/>
      <c r="BI945" s="128"/>
      <c r="BJ945" s="128"/>
      <c r="BK945" s="128"/>
      <c r="BL945" s="128"/>
      <c r="BM945" s="151"/>
      <c r="BN945" s="128"/>
      <c r="BO945" s="128"/>
      <c r="BP945" s="128"/>
      <c r="BQ945" s="128"/>
      <c r="BR945" s="128"/>
      <c r="BS945" s="128"/>
      <c r="BT945" s="128"/>
      <c r="BU945" s="128"/>
      <c r="BV945" s="128"/>
      <c r="BW945" s="128"/>
      <c r="BX945" s="128"/>
      <c r="BY945" s="128"/>
      <c r="BZ945" s="128"/>
      <c r="CA945" s="128"/>
      <c r="CB945" s="128"/>
      <c r="CC945" s="128"/>
      <c r="CD945" s="128"/>
      <c r="CE945" s="128"/>
      <c r="CF945" s="128"/>
      <c r="CG945" s="128"/>
      <c r="CH945" s="128"/>
      <c r="CI945" s="128"/>
      <c r="CJ945" s="128"/>
      <c r="CK945" s="128"/>
      <c r="CL945" s="128"/>
      <c r="CM945" s="128"/>
      <c r="CN945" s="128"/>
      <c r="CO945" s="128"/>
      <c r="CP945" s="128"/>
      <c r="CQ945" s="128"/>
      <c r="CR945" s="128"/>
      <c r="CS945" s="128"/>
      <c r="CT945" s="128"/>
      <c r="CU945" s="128"/>
      <c r="CV945" s="128"/>
      <c r="CW945" s="128"/>
      <c r="CX945" s="128"/>
      <c r="CY945" s="128"/>
      <c r="CZ945" s="128"/>
    </row>
    <row r="946" spans="1:104">
      <c r="A946" s="128"/>
      <c r="B946" s="128"/>
      <c r="C946" s="128"/>
      <c r="D946" s="112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  <c r="AV946" s="128"/>
      <c r="AW946" s="128"/>
      <c r="AX946" s="128"/>
      <c r="AY946" s="128"/>
      <c r="AZ946" s="128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51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28"/>
      <c r="BY946" s="128"/>
      <c r="BZ946" s="128"/>
      <c r="CA946" s="128"/>
      <c r="CB946" s="128"/>
      <c r="CC946" s="128"/>
      <c r="CD946" s="128"/>
      <c r="CE946" s="128"/>
      <c r="CF946" s="128"/>
      <c r="CG946" s="128"/>
      <c r="CH946" s="128"/>
      <c r="CI946" s="128"/>
      <c r="CJ946" s="128"/>
      <c r="CK946" s="128"/>
      <c r="CL946" s="128"/>
      <c r="CM946" s="128"/>
      <c r="CN946" s="128"/>
      <c r="CO946" s="128"/>
      <c r="CP946" s="128"/>
      <c r="CQ946" s="128"/>
      <c r="CR946" s="128"/>
      <c r="CS946" s="128"/>
      <c r="CT946" s="128"/>
      <c r="CU946" s="128"/>
      <c r="CV946" s="128"/>
      <c r="CW946" s="128"/>
      <c r="CX946" s="128"/>
      <c r="CY946" s="128"/>
      <c r="CZ946" s="128"/>
    </row>
    <row r="947" spans="1:104">
      <c r="A947" s="128"/>
      <c r="B947" s="128"/>
      <c r="C947" s="128"/>
      <c r="D947" s="112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51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</row>
    <row r="948" spans="1:104">
      <c r="A948" s="128"/>
      <c r="B948" s="128"/>
      <c r="C948" s="128"/>
      <c r="D948" s="112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  <c r="AV948" s="128"/>
      <c r="AW948" s="128"/>
      <c r="AX948" s="128"/>
      <c r="AY948" s="128"/>
      <c r="AZ948" s="128"/>
      <c r="BA948" s="128"/>
      <c r="BB948" s="128"/>
      <c r="BC948" s="128"/>
      <c r="BD948" s="128"/>
      <c r="BE948" s="128"/>
      <c r="BF948" s="128"/>
      <c r="BG948" s="128"/>
      <c r="BH948" s="128"/>
      <c r="BI948" s="128"/>
      <c r="BJ948" s="128"/>
      <c r="BK948" s="128"/>
      <c r="BL948" s="128"/>
      <c r="BM948" s="151"/>
      <c r="BN948" s="128"/>
      <c r="BO948" s="128"/>
      <c r="BP948" s="128"/>
      <c r="BQ948" s="128"/>
      <c r="BR948" s="128"/>
      <c r="BS948" s="128"/>
      <c r="BT948" s="128"/>
      <c r="BU948" s="128"/>
      <c r="BV948" s="128"/>
      <c r="BW948" s="128"/>
      <c r="BX948" s="128"/>
      <c r="BY948" s="128"/>
      <c r="BZ948" s="128"/>
      <c r="CA948" s="128"/>
      <c r="CB948" s="128"/>
      <c r="CC948" s="128"/>
      <c r="CD948" s="128"/>
      <c r="CE948" s="128"/>
      <c r="CF948" s="128"/>
      <c r="CG948" s="128"/>
      <c r="CH948" s="128"/>
      <c r="CI948" s="128"/>
      <c r="CJ948" s="128"/>
      <c r="CK948" s="128"/>
      <c r="CL948" s="128"/>
      <c r="CM948" s="128"/>
      <c r="CN948" s="128"/>
      <c r="CO948" s="128"/>
      <c r="CP948" s="128"/>
      <c r="CQ948" s="128"/>
      <c r="CR948" s="128"/>
      <c r="CS948" s="128"/>
      <c r="CT948" s="128"/>
      <c r="CU948" s="128"/>
      <c r="CV948" s="128"/>
      <c r="CW948" s="128"/>
      <c r="CX948" s="128"/>
      <c r="CY948" s="128"/>
      <c r="CZ948" s="128"/>
    </row>
    <row r="949" spans="1:104">
      <c r="A949" s="128"/>
      <c r="B949" s="128"/>
      <c r="C949" s="128"/>
      <c r="D949" s="112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  <c r="AV949" s="128"/>
      <c r="AW949" s="128"/>
      <c r="AX949" s="128"/>
      <c r="AY949" s="128"/>
      <c r="AZ949" s="128"/>
      <c r="BA949" s="128"/>
      <c r="BB949" s="128"/>
      <c r="BC949" s="128"/>
      <c r="BD949" s="128"/>
      <c r="BE949" s="128"/>
      <c r="BF949" s="128"/>
      <c r="BG949" s="128"/>
      <c r="BH949" s="128"/>
      <c r="BI949" s="128"/>
      <c r="BJ949" s="128"/>
      <c r="BK949" s="128"/>
      <c r="BL949" s="128"/>
      <c r="BM949" s="151"/>
      <c r="BN949" s="128"/>
      <c r="BO949" s="128"/>
      <c r="BP949" s="128"/>
      <c r="BQ949" s="128"/>
      <c r="BR949" s="128"/>
      <c r="BS949" s="128"/>
      <c r="BT949" s="128"/>
      <c r="BU949" s="128"/>
      <c r="BV949" s="128"/>
      <c r="BW949" s="128"/>
      <c r="BX949" s="128"/>
      <c r="BY949" s="128"/>
      <c r="BZ949" s="128"/>
      <c r="CA949" s="128"/>
      <c r="CB949" s="128"/>
      <c r="CC949" s="128"/>
      <c r="CD949" s="128"/>
      <c r="CE949" s="128"/>
      <c r="CF949" s="128"/>
      <c r="CG949" s="128"/>
      <c r="CH949" s="128"/>
      <c r="CI949" s="128"/>
      <c r="CJ949" s="128"/>
      <c r="CK949" s="128"/>
      <c r="CL949" s="128"/>
      <c r="CM949" s="128"/>
      <c r="CN949" s="128"/>
      <c r="CO949" s="128"/>
      <c r="CP949" s="128"/>
      <c r="CQ949" s="128"/>
      <c r="CR949" s="128"/>
      <c r="CS949" s="128"/>
      <c r="CT949" s="128"/>
      <c r="CU949" s="128"/>
      <c r="CV949" s="128"/>
      <c r="CW949" s="128"/>
      <c r="CX949" s="128"/>
      <c r="CY949" s="128"/>
      <c r="CZ949" s="128"/>
    </row>
    <row r="950" spans="1:104">
      <c r="A950" s="128"/>
      <c r="B950" s="128"/>
      <c r="C950" s="128"/>
      <c r="D950" s="112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  <c r="AV950" s="128"/>
      <c r="AW950" s="128"/>
      <c r="AX950" s="128"/>
      <c r="AY950" s="128"/>
      <c r="AZ950" s="128"/>
      <c r="BA950" s="128"/>
      <c r="BB950" s="128"/>
      <c r="BC950" s="128"/>
      <c r="BD950" s="128"/>
      <c r="BE950" s="128"/>
      <c r="BF950" s="128"/>
      <c r="BG950" s="128"/>
      <c r="BH950" s="128"/>
      <c r="BI950" s="128"/>
      <c r="BJ950" s="128"/>
      <c r="BK950" s="128"/>
      <c r="BL950" s="128"/>
      <c r="BM950" s="151"/>
      <c r="BN950" s="128"/>
      <c r="BO950" s="128"/>
      <c r="BP950" s="128"/>
      <c r="BQ950" s="128"/>
      <c r="BR950" s="128"/>
      <c r="BS950" s="128"/>
      <c r="BT950" s="128"/>
      <c r="BU950" s="128"/>
      <c r="BV950" s="128"/>
      <c r="BW950" s="128"/>
      <c r="BX950" s="128"/>
      <c r="BY950" s="128"/>
      <c r="BZ950" s="128"/>
      <c r="CA950" s="128"/>
      <c r="CB950" s="128"/>
      <c r="CC950" s="128"/>
      <c r="CD950" s="128"/>
      <c r="CE950" s="128"/>
      <c r="CF950" s="128"/>
      <c r="CG950" s="128"/>
      <c r="CH950" s="128"/>
      <c r="CI950" s="128"/>
      <c r="CJ950" s="128"/>
      <c r="CK950" s="128"/>
      <c r="CL950" s="128"/>
      <c r="CM950" s="128"/>
      <c r="CN950" s="128"/>
      <c r="CO950" s="128"/>
      <c r="CP950" s="128"/>
      <c r="CQ950" s="128"/>
      <c r="CR950" s="128"/>
      <c r="CS950" s="128"/>
      <c r="CT950" s="128"/>
      <c r="CU950" s="128"/>
      <c r="CV950" s="128"/>
      <c r="CW950" s="128"/>
      <c r="CX950" s="128"/>
      <c r="CY950" s="128"/>
      <c r="CZ950" s="128"/>
    </row>
    <row r="951" spans="1:104">
      <c r="A951" s="128"/>
      <c r="B951" s="128"/>
      <c r="C951" s="128"/>
      <c r="D951" s="112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  <c r="AV951" s="128"/>
      <c r="AW951" s="128"/>
      <c r="AX951" s="128"/>
      <c r="AY951" s="128"/>
      <c r="AZ951" s="128"/>
      <c r="BA951" s="128"/>
      <c r="BB951" s="128"/>
      <c r="BC951" s="128"/>
      <c r="BD951" s="128"/>
      <c r="BE951" s="128"/>
      <c r="BF951" s="128"/>
      <c r="BG951" s="128"/>
      <c r="BH951" s="128"/>
      <c r="BI951" s="128"/>
      <c r="BJ951" s="128"/>
      <c r="BK951" s="128"/>
      <c r="BL951" s="128"/>
      <c r="BM951" s="151"/>
      <c r="BN951" s="128"/>
      <c r="BO951" s="128"/>
      <c r="BP951" s="128"/>
      <c r="BQ951" s="128"/>
      <c r="BR951" s="128"/>
      <c r="BS951" s="128"/>
      <c r="BT951" s="128"/>
      <c r="BU951" s="128"/>
      <c r="BV951" s="128"/>
      <c r="BW951" s="128"/>
      <c r="BX951" s="128"/>
      <c r="BY951" s="128"/>
      <c r="BZ951" s="128"/>
      <c r="CA951" s="128"/>
      <c r="CB951" s="128"/>
      <c r="CC951" s="128"/>
      <c r="CD951" s="128"/>
      <c r="CE951" s="128"/>
      <c r="CF951" s="128"/>
      <c r="CG951" s="128"/>
      <c r="CH951" s="128"/>
      <c r="CI951" s="128"/>
      <c r="CJ951" s="128"/>
      <c r="CK951" s="128"/>
      <c r="CL951" s="128"/>
      <c r="CM951" s="128"/>
      <c r="CN951" s="128"/>
      <c r="CO951" s="128"/>
      <c r="CP951" s="128"/>
      <c r="CQ951" s="128"/>
      <c r="CR951" s="128"/>
      <c r="CS951" s="128"/>
      <c r="CT951" s="128"/>
      <c r="CU951" s="128"/>
      <c r="CV951" s="128"/>
      <c r="CW951" s="128"/>
      <c r="CX951" s="128"/>
      <c r="CY951" s="128"/>
      <c r="CZ951" s="128"/>
    </row>
    <row r="952" spans="1:104">
      <c r="A952" s="128"/>
      <c r="B952" s="128"/>
      <c r="C952" s="128"/>
      <c r="D952" s="112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  <c r="AV952" s="128"/>
      <c r="AW952" s="128"/>
      <c r="AX952" s="128"/>
      <c r="AY952" s="128"/>
      <c r="AZ952" s="128"/>
      <c r="BA952" s="128"/>
      <c r="BB952" s="128"/>
      <c r="BC952" s="128"/>
      <c r="BD952" s="128"/>
      <c r="BE952" s="128"/>
      <c r="BF952" s="128"/>
      <c r="BG952" s="128"/>
      <c r="BH952" s="128"/>
      <c r="BI952" s="128"/>
      <c r="BJ952" s="128"/>
      <c r="BK952" s="128"/>
      <c r="BL952" s="128"/>
      <c r="BM952" s="151"/>
      <c r="BN952" s="128"/>
      <c r="BO952" s="128"/>
      <c r="BP952" s="128"/>
      <c r="BQ952" s="128"/>
      <c r="BR952" s="128"/>
      <c r="BS952" s="128"/>
      <c r="BT952" s="128"/>
      <c r="BU952" s="128"/>
      <c r="BV952" s="128"/>
      <c r="BW952" s="128"/>
      <c r="BX952" s="128"/>
      <c r="BY952" s="128"/>
      <c r="BZ952" s="128"/>
      <c r="CA952" s="128"/>
      <c r="CB952" s="128"/>
      <c r="CC952" s="128"/>
      <c r="CD952" s="128"/>
      <c r="CE952" s="128"/>
      <c r="CF952" s="128"/>
      <c r="CG952" s="128"/>
      <c r="CH952" s="128"/>
      <c r="CI952" s="128"/>
      <c r="CJ952" s="128"/>
      <c r="CK952" s="128"/>
      <c r="CL952" s="128"/>
      <c r="CM952" s="128"/>
      <c r="CN952" s="128"/>
      <c r="CO952" s="128"/>
      <c r="CP952" s="128"/>
      <c r="CQ952" s="128"/>
      <c r="CR952" s="128"/>
      <c r="CS952" s="128"/>
      <c r="CT952" s="128"/>
      <c r="CU952" s="128"/>
      <c r="CV952" s="128"/>
      <c r="CW952" s="128"/>
      <c r="CX952" s="128"/>
      <c r="CY952" s="128"/>
      <c r="CZ952" s="128"/>
    </row>
    <row r="953" spans="1:104">
      <c r="A953" s="128"/>
      <c r="B953" s="128"/>
      <c r="C953" s="128"/>
      <c r="D953" s="112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  <c r="AV953" s="128"/>
      <c r="AW953" s="128"/>
      <c r="AX953" s="128"/>
      <c r="AY953" s="128"/>
      <c r="AZ953" s="128"/>
      <c r="BA953" s="128"/>
      <c r="BB953" s="128"/>
      <c r="BC953" s="128"/>
      <c r="BD953" s="128"/>
      <c r="BE953" s="128"/>
      <c r="BF953" s="128"/>
      <c r="BG953" s="128"/>
      <c r="BH953" s="128"/>
      <c r="BI953" s="128"/>
      <c r="BJ953" s="128"/>
      <c r="BK953" s="128"/>
      <c r="BL953" s="128"/>
      <c r="BM953" s="151"/>
      <c r="BN953" s="128"/>
      <c r="BO953" s="128"/>
      <c r="BP953" s="128"/>
      <c r="BQ953" s="128"/>
      <c r="BR953" s="128"/>
      <c r="BS953" s="128"/>
      <c r="BT953" s="128"/>
      <c r="BU953" s="128"/>
      <c r="BV953" s="128"/>
      <c r="BW953" s="128"/>
      <c r="BX953" s="128"/>
      <c r="BY953" s="128"/>
      <c r="BZ953" s="128"/>
      <c r="CA953" s="128"/>
      <c r="CB953" s="128"/>
      <c r="CC953" s="128"/>
      <c r="CD953" s="128"/>
      <c r="CE953" s="128"/>
      <c r="CF953" s="128"/>
      <c r="CG953" s="128"/>
      <c r="CH953" s="128"/>
      <c r="CI953" s="128"/>
      <c r="CJ953" s="128"/>
      <c r="CK953" s="128"/>
      <c r="CL953" s="128"/>
      <c r="CM953" s="128"/>
      <c r="CN953" s="128"/>
      <c r="CO953" s="128"/>
      <c r="CP953" s="128"/>
      <c r="CQ953" s="128"/>
      <c r="CR953" s="128"/>
      <c r="CS953" s="128"/>
      <c r="CT953" s="128"/>
      <c r="CU953" s="128"/>
      <c r="CV953" s="128"/>
      <c r="CW953" s="128"/>
      <c r="CX953" s="128"/>
      <c r="CY953" s="128"/>
      <c r="CZ953" s="128"/>
    </row>
    <row r="954" spans="1:104">
      <c r="A954" s="128"/>
      <c r="B954" s="128"/>
      <c r="C954" s="128"/>
      <c r="D954" s="112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  <c r="AV954" s="128"/>
      <c r="AW954" s="128"/>
      <c r="AX954" s="128"/>
      <c r="AY954" s="128"/>
      <c r="AZ954" s="128"/>
      <c r="BA954" s="128"/>
      <c r="BB954" s="128"/>
      <c r="BC954" s="128"/>
      <c r="BD954" s="128"/>
      <c r="BE954" s="128"/>
      <c r="BF954" s="128"/>
      <c r="BG954" s="128"/>
      <c r="BH954" s="128"/>
      <c r="BI954" s="128"/>
      <c r="BJ954" s="128"/>
      <c r="BK954" s="128"/>
      <c r="BL954" s="128"/>
      <c r="BM954" s="151"/>
      <c r="BN954" s="128"/>
      <c r="BO954" s="128"/>
      <c r="BP954" s="128"/>
      <c r="BQ954" s="128"/>
      <c r="BR954" s="128"/>
      <c r="BS954" s="128"/>
      <c r="BT954" s="128"/>
      <c r="BU954" s="128"/>
      <c r="BV954" s="128"/>
      <c r="BW954" s="128"/>
      <c r="BX954" s="128"/>
      <c r="BY954" s="128"/>
      <c r="BZ954" s="128"/>
      <c r="CA954" s="128"/>
      <c r="CB954" s="128"/>
      <c r="CC954" s="128"/>
      <c r="CD954" s="128"/>
      <c r="CE954" s="128"/>
      <c r="CF954" s="128"/>
      <c r="CG954" s="128"/>
      <c r="CH954" s="128"/>
      <c r="CI954" s="128"/>
      <c r="CJ954" s="128"/>
      <c r="CK954" s="128"/>
      <c r="CL954" s="128"/>
      <c r="CM954" s="128"/>
      <c r="CN954" s="128"/>
      <c r="CO954" s="128"/>
      <c r="CP954" s="128"/>
      <c r="CQ954" s="128"/>
      <c r="CR954" s="128"/>
      <c r="CS954" s="128"/>
      <c r="CT954" s="128"/>
      <c r="CU954" s="128"/>
      <c r="CV954" s="128"/>
      <c r="CW954" s="128"/>
      <c r="CX954" s="128"/>
      <c r="CY954" s="128"/>
      <c r="CZ954" s="128"/>
    </row>
    <row r="955" spans="1:104">
      <c r="A955" s="128"/>
      <c r="B955" s="128"/>
      <c r="C955" s="128"/>
      <c r="D955" s="112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  <c r="AV955" s="128"/>
      <c r="AW955" s="128"/>
      <c r="AX955" s="128"/>
      <c r="AY955" s="128"/>
      <c r="AZ955" s="128"/>
      <c r="BA955" s="128"/>
      <c r="BB955" s="128"/>
      <c r="BC955" s="128"/>
      <c r="BD955" s="128"/>
      <c r="BE955" s="128"/>
      <c r="BF955" s="128"/>
      <c r="BG955" s="128"/>
      <c r="BH955" s="128"/>
      <c r="BI955" s="128"/>
      <c r="BJ955" s="128"/>
      <c r="BK955" s="128"/>
      <c r="BL955" s="128"/>
      <c r="BM955" s="151"/>
      <c r="BN955" s="128"/>
      <c r="BO955" s="128"/>
      <c r="BP955" s="128"/>
      <c r="BQ955" s="128"/>
      <c r="BR955" s="128"/>
      <c r="BS955" s="128"/>
      <c r="BT955" s="128"/>
      <c r="BU955" s="128"/>
      <c r="BV955" s="128"/>
      <c r="BW955" s="128"/>
      <c r="BX955" s="128"/>
      <c r="BY955" s="128"/>
      <c r="BZ955" s="128"/>
      <c r="CA955" s="128"/>
      <c r="CB955" s="128"/>
      <c r="CC955" s="128"/>
      <c r="CD955" s="128"/>
      <c r="CE955" s="128"/>
      <c r="CF955" s="128"/>
      <c r="CG955" s="128"/>
      <c r="CH955" s="128"/>
      <c r="CI955" s="128"/>
      <c r="CJ955" s="128"/>
      <c r="CK955" s="128"/>
      <c r="CL955" s="128"/>
      <c r="CM955" s="128"/>
      <c r="CN955" s="128"/>
      <c r="CO955" s="128"/>
      <c r="CP955" s="128"/>
      <c r="CQ955" s="128"/>
      <c r="CR955" s="128"/>
      <c r="CS955" s="128"/>
      <c r="CT955" s="128"/>
      <c r="CU955" s="128"/>
      <c r="CV955" s="128"/>
      <c r="CW955" s="128"/>
      <c r="CX955" s="128"/>
      <c r="CY955" s="128"/>
      <c r="CZ955" s="128"/>
    </row>
    <row r="956" spans="1:104">
      <c r="A956" s="128"/>
      <c r="B956" s="128"/>
      <c r="C956" s="128"/>
      <c r="D956" s="112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  <c r="AV956" s="128"/>
      <c r="AW956" s="128"/>
      <c r="AX956" s="128"/>
      <c r="AY956" s="128"/>
      <c r="AZ956" s="128"/>
      <c r="BA956" s="128"/>
      <c r="BB956" s="128"/>
      <c r="BC956" s="128"/>
      <c r="BD956" s="128"/>
      <c r="BE956" s="128"/>
      <c r="BF956" s="128"/>
      <c r="BG956" s="128"/>
      <c r="BH956" s="128"/>
      <c r="BI956" s="128"/>
      <c r="BJ956" s="128"/>
      <c r="BK956" s="128"/>
      <c r="BL956" s="128"/>
      <c r="BM956" s="151"/>
      <c r="BN956" s="128"/>
      <c r="BO956" s="128"/>
      <c r="BP956" s="128"/>
      <c r="BQ956" s="128"/>
      <c r="BR956" s="128"/>
      <c r="BS956" s="128"/>
      <c r="BT956" s="128"/>
      <c r="BU956" s="128"/>
      <c r="BV956" s="128"/>
      <c r="BW956" s="128"/>
      <c r="BX956" s="128"/>
      <c r="BY956" s="128"/>
      <c r="BZ956" s="128"/>
      <c r="CA956" s="128"/>
      <c r="CB956" s="128"/>
      <c r="CC956" s="128"/>
      <c r="CD956" s="128"/>
      <c r="CE956" s="128"/>
      <c r="CF956" s="128"/>
      <c r="CG956" s="128"/>
      <c r="CH956" s="128"/>
      <c r="CI956" s="128"/>
      <c r="CJ956" s="128"/>
      <c r="CK956" s="128"/>
      <c r="CL956" s="128"/>
      <c r="CM956" s="128"/>
      <c r="CN956" s="128"/>
      <c r="CO956" s="128"/>
      <c r="CP956" s="128"/>
      <c r="CQ956" s="128"/>
      <c r="CR956" s="128"/>
      <c r="CS956" s="128"/>
      <c r="CT956" s="128"/>
      <c r="CU956" s="128"/>
      <c r="CV956" s="128"/>
      <c r="CW956" s="128"/>
      <c r="CX956" s="128"/>
      <c r="CY956" s="128"/>
      <c r="CZ956" s="128"/>
    </row>
    <row r="957" spans="1:104">
      <c r="A957" s="128"/>
      <c r="B957" s="128"/>
      <c r="C957" s="128"/>
      <c r="D957" s="112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  <c r="AV957" s="128"/>
      <c r="AW957" s="128"/>
      <c r="AX957" s="128"/>
      <c r="AY957" s="128"/>
      <c r="AZ957" s="128"/>
      <c r="BA957" s="128"/>
      <c r="BB957" s="128"/>
      <c r="BC957" s="128"/>
      <c r="BD957" s="128"/>
      <c r="BE957" s="128"/>
      <c r="BF957" s="128"/>
      <c r="BG957" s="128"/>
      <c r="BH957" s="128"/>
      <c r="BI957" s="128"/>
      <c r="BJ957" s="128"/>
      <c r="BK957" s="128"/>
      <c r="BL957" s="128"/>
      <c r="BM957" s="151"/>
      <c r="BN957" s="128"/>
      <c r="BO957" s="128"/>
      <c r="BP957" s="128"/>
      <c r="BQ957" s="128"/>
      <c r="BR957" s="128"/>
      <c r="BS957" s="128"/>
      <c r="BT957" s="128"/>
      <c r="BU957" s="128"/>
      <c r="BV957" s="128"/>
      <c r="BW957" s="128"/>
      <c r="BX957" s="128"/>
      <c r="BY957" s="128"/>
      <c r="BZ957" s="128"/>
      <c r="CA957" s="128"/>
      <c r="CB957" s="128"/>
      <c r="CC957" s="128"/>
      <c r="CD957" s="128"/>
      <c r="CE957" s="128"/>
      <c r="CF957" s="128"/>
      <c r="CG957" s="128"/>
      <c r="CH957" s="128"/>
      <c r="CI957" s="128"/>
      <c r="CJ957" s="128"/>
      <c r="CK957" s="128"/>
      <c r="CL957" s="128"/>
      <c r="CM957" s="128"/>
      <c r="CN957" s="128"/>
      <c r="CO957" s="128"/>
      <c r="CP957" s="128"/>
      <c r="CQ957" s="128"/>
      <c r="CR957" s="128"/>
      <c r="CS957" s="128"/>
      <c r="CT957" s="128"/>
      <c r="CU957" s="128"/>
      <c r="CV957" s="128"/>
      <c r="CW957" s="128"/>
      <c r="CX957" s="128"/>
      <c r="CY957" s="128"/>
      <c r="CZ957" s="128"/>
    </row>
    <row r="958" spans="1:104">
      <c r="A958" s="128"/>
      <c r="B958" s="128"/>
      <c r="C958" s="128"/>
      <c r="D958" s="112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  <c r="AV958" s="128"/>
      <c r="AW958" s="128"/>
      <c r="AX958" s="128"/>
      <c r="AY958" s="128"/>
      <c r="AZ958" s="128"/>
      <c r="BA958" s="128"/>
      <c r="BB958" s="128"/>
      <c r="BC958" s="128"/>
      <c r="BD958" s="128"/>
      <c r="BE958" s="128"/>
      <c r="BF958" s="128"/>
      <c r="BG958" s="128"/>
      <c r="BH958" s="128"/>
      <c r="BI958" s="128"/>
      <c r="BJ958" s="128"/>
      <c r="BK958" s="128"/>
      <c r="BL958" s="128"/>
      <c r="BM958" s="151"/>
      <c r="BN958" s="128"/>
      <c r="BO958" s="128"/>
      <c r="BP958" s="128"/>
      <c r="BQ958" s="128"/>
      <c r="BR958" s="128"/>
      <c r="BS958" s="128"/>
      <c r="BT958" s="128"/>
      <c r="BU958" s="128"/>
      <c r="BV958" s="128"/>
      <c r="BW958" s="128"/>
      <c r="BX958" s="128"/>
      <c r="BY958" s="128"/>
      <c r="BZ958" s="128"/>
      <c r="CA958" s="128"/>
      <c r="CB958" s="128"/>
      <c r="CC958" s="128"/>
      <c r="CD958" s="128"/>
      <c r="CE958" s="128"/>
      <c r="CF958" s="128"/>
      <c r="CG958" s="128"/>
      <c r="CH958" s="128"/>
      <c r="CI958" s="128"/>
      <c r="CJ958" s="128"/>
      <c r="CK958" s="128"/>
      <c r="CL958" s="128"/>
      <c r="CM958" s="128"/>
      <c r="CN958" s="128"/>
      <c r="CO958" s="128"/>
      <c r="CP958" s="128"/>
      <c r="CQ958" s="128"/>
      <c r="CR958" s="128"/>
      <c r="CS958" s="128"/>
      <c r="CT958" s="128"/>
      <c r="CU958" s="128"/>
      <c r="CV958" s="128"/>
      <c r="CW958" s="128"/>
      <c r="CX958" s="128"/>
      <c r="CY958" s="128"/>
      <c r="CZ958" s="128"/>
    </row>
    <row r="959" spans="1:104">
      <c r="A959" s="128"/>
      <c r="B959" s="128"/>
      <c r="C959" s="128"/>
      <c r="D959" s="112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  <c r="AV959" s="128"/>
      <c r="AW959" s="128"/>
      <c r="AX959" s="128"/>
      <c r="AY959" s="128"/>
      <c r="AZ959" s="128"/>
      <c r="BA959" s="128"/>
      <c r="BB959" s="128"/>
      <c r="BC959" s="128"/>
      <c r="BD959" s="128"/>
      <c r="BE959" s="128"/>
      <c r="BF959" s="128"/>
      <c r="BG959" s="128"/>
      <c r="BH959" s="128"/>
      <c r="BI959" s="128"/>
      <c r="BJ959" s="128"/>
      <c r="BK959" s="128"/>
      <c r="BL959" s="128"/>
      <c r="BM959" s="151"/>
      <c r="BN959" s="128"/>
      <c r="BO959" s="128"/>
      <c r="BP959" s="128"/>
      <c r="BQ959" s="128"/>
      <c r="BR959" s="128"/>
      <c r="BS959" s="128"/>
      <c r="BT959" s="128"/>
      <c r="BU959" s="128"/>
      <c r="BV959" s="128"/>
      <c r="BW959" s="128"/>
      <c r="BX959" s="128"/>
      <c r="BY959" s="128"/>
      <c r="BZ959" s="128"/>
      <c r="CA959" s="128"/>
      <c r="CB959" s="128"/>
      <c r="CC959" s="128"/>
      <c r="CD959" s="128"/>
      <c r="CE959" s="128"/>
      <c r="CF959" s="128"/>
      <c r="CG959" s="128"/>
      <c r="CH959" s="128"/>
      <c r="CI959" s="128"/>
      <c r="CJ959" s="128"/>
      <c r="CK959" s="128"/>
      <c r="CL959" s="128"/>
      <c r="CM959" s="128"/>
      <c r="CN959" s="128"/>
      <c r="CO959" s="128"/>
      <c r="CP959" s="128"/>
      <c r="CQ959" s="128"/>
      <c r="CR959" s="128"/>
      <c r="CS959" s="128"/>
      <c r="CT959" s="128"/>
      <c r="CU959" s="128"/>
      <c r="CV959" s="128"/>
      <c r="CW959" s="128"/>
      <c r="CX959" s="128"/>
      <c r="CY959" s="128"/>
      <c r="CZ959" s="128"/>
    </row>
    <row r="960" spans="1:104">
      <c r="A960" s="128"/>
      <c r="B960" s="128"/>
      <c r="C960" s="128"/>
      <c r="D960" s="112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  <c r="AV960" s="128"/>
      <c r="AW960" s="128"/>
      <c r="AX960" s="128"/>
      <c r="AY960" s="128"/>
      <c r="AZ960" s="128"/>
      <c r="BA960" s="128"/>
      <c r="BB960" s="128"/>
      <c r="BC960" s="128"/>
      <c r="BD960" s="128"/>
      <c r="BE960" s="128"/>
      <c r="BF960" s="128"/>
      <c r="BG960" s="128"/>
      <c r="BH960" s="128"/>
      <c r="BI960" s="128"/>
      <c r="BJ960" s="128"/>
      <c r="BK960" s="128"/>
      <c r="BL960" s="128"/>
      <c r="BM960" s="151"/>
      <c r="BN960" s="128"/>
      <c r="BO960" s="128"/>
      <c r="BP960" s="128"/>
      <c r="BQ960" s="128"/>
      <c r="BR960" s="128"/>
      <c r="BS960" s="128"/>
      <c r="BT960" s="128"/>
      <c r="BU960" s="128"/>
      <c r="BV960" s="128"/>
      <c r="BW960" s="128"/>
      <c r="BX960" s="128"/>
      <c r="BY960" s="128"/>
      <c r="BZ960" s="128"/>
      <c r="CA960" s="128"/>
      <c r="CB960" s="128"/>
      <c r="CC960" s="128"/>
      <c r="CD960" s="128"/>
      <c r="CE960" s="128"/>
      <c r="CF960" s="128"/>
      <c r="CG960" s="128"/>
      <c r="CH960" s="128"/>
      <c r="CI960" s="128"/>
      <c r="CJ960" s="128"/>
      <c r="CK960" s="128"/>
      <c r="CL960" s="128"/>
      <c r="CM960" s="128"/>
      <c r="CN960" s="128"/>
      <c r="CO960" s="128"/>
      <c r="CP960" s="128"/>
      <c r="CQ960" s="128"/>
      <c r="CR960" s="128"/>
      <c r="CS960" s="128"/>
      <c r="CT960" s="128"/>
      <c r="CU960" s="128"/>
      <c r="CV960" s="128"/>
      <c r="CW960" s="128"/>
      <c r="CX960" s="128"/>
      <c r="CY960" s="128"/>
      <c r="CZ960" s="128"/>
    </row>
    <row r="961" spans="1:104">
      <c r="A961" s="128"/>
      <c r="B961" s="128"/>
      <c r="C961" s="128"/>
      <c r="D961" s="112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  <c r="AV961" s="128"/>
      <c r="AW961" s="128"/>
      <c r="AX961" s="128"/>
      <c r="AY961" s="128"/>
      <c r="AZ961" s="128"/>
      <c r="BA961" s="128"/>
      <c r="BB961" s="128"/>
      <c r="BC961" s="128"/>
      <c r="BD961" s="128"/>
      <c r="BE961" s="128"/>
      <c r="BF961" s="128"/>
      <c r="BG961" s="128"/>
      <c r="BH961" s="128"/>
      <c r="BI961" s="128"/>
      <c r="BJ961" s="128"/>
      <c r="BK961" s="128"/>
      <c r="BL961" s="128"/>
      <c r="BM961" s="151"/>
      <c r="BN961" s="128"/>
      <c r="BO961" s="128"/>
      <c r="BP961" s="128"/>
      <c r="BQ961" s="128"/>
      <c r="BR961" s="128"/>
      <c r="BS961" s="128"/>
      <c r="BT961" s="128"/>
      <c r="BU961" s="128"/>
      <c r="BV961" s="128"/>
      <c r="BW961" s="128"/>
      <c r="BX961" s="128"/>
      <c r="BY961" s="128"/>
      <c r="BZ961" s="128"/>
      <c r="CA961" s="128"/>
      <c r="CB961" s="128"/>
      <c r="CC961" s="128"/>
      <c r="CD961" s="128"/>
      <c r="CE961" s="128"/>
      <c r="CF961" s="128"/>
      <c r="CG961" s="128"/>
      <c r="CH961" s="128"/>
      <c r="CI961" s="128"/>
      <c r="CJ961" s="128"/>
      <c r="CK961" s="128"/>
      <c r="CL961" s="128"/>
      <c r="CM961" s="128"/>
      <c r="CN961" s="128"/>
      <c r="CO961" s="128"/>
      <c r="CP961" s="128"/>
      <c r="CQ961" s="128"/>
      <c r="CR961" s="128"/>
      <c r="CS961" s="128"/>
      <c r="CT961" s="128"/>
      <c r="CU961" s="128"/>
      <c r="CV961" s="128"/>
      <c r="CW961" s="128"/>
      <c r="CX961" s="128"/>
      <c r="CY961" s="128"/>
      <c r="CZ961" s="128"/>
    </row>
    <row r="962" spans="1:104">
      <c r="A962" s="128"/>
      <c r="B962" s="128"/>
      <c r="C962" s="128"/>
      <c r="D962" s="112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  <c r="AV962" s="128"/>
      <c r="AW962" s="128"/>
      <c r="AX962" s="128"/>
      <c r="AY962" s="128"/>
      <c r="AZ962" s="128"/>
      <c r="BA962" s="128"/>
      <c r="BB962" s="128"/>
      <c r="BC962" s="128"/>
      <c r="BD962" s="128"/>
      <c r="BE962" s="128"/>
      <c r="BF962" s="128"/>
      <c r="BG962" s="128"/>
      <c r="BH962" s="128"/>
      <c r="BI962" s="128"/>
      <c r="BJ962" s="128"/>
      <c r="BK962" s="128"/>
      <c r="BL962" s="128"/>
      <c r="BM962" s="151"/>
      <c r="BN962" s="128"/>
      <c r="BO962" s="128"/>
      <c r="BP962" s="128"/>
      <c r="BQ962" s="128"/>
      <c r="BR962" s="128"/>
      <c r="BS962" s="128"/>
      <c r="BT962" s="128"/>
      <c r="BU962" s="128"/>
      <c r="BV962" s="128"/>
      <c r="BW962" s="128"/>
      <c r="BX962" s="128"/>
      <c r="BY962" s="128"/>
      <c r="BZ962" s="128"/>
      <c r="CA962" s="128"/>
      <c r="CB962" s="128"/>
      <c r="CC962" s="128"/>
      <c r="CD962" s="128"/>
      <c r="CE962" s="128"/>
      <c r="CF962" s="128"/>
      <c r="CG962" s="128"/>
      <c r="CH962" s="128"/>
      <c r="CI962" s="128"/>
      <c r="CJ962" s="128"/>
      <c r="CK962" s="128"/>
      <c r="CL962" s="128"/>
      <c r="CM962" s="128"/>
      <c r="CN962" s="128"/>
      <c r="CO962" s="128"/>
      <c r="CP962" s="128"/>
      <c r="CQ962" s="128"/>
      <c r="CR962" s="128"/>
      <c r="CS962" s="128"/>
      <c r="CT962" s="128"/>
      <c r="CU962" s="128"/>
      <c r="CV962" s="128"/>
      <c r="CW962" s="128"/>
      <c r="CX962" s="128"/>
      <c r="CY962" s="128"/>
      <c r="CZ962" s="128"/>
    </row>
    <row r="963" spans="1:104">
      <c r="A963" s="128"/>
      <c r="B963" s="128"/>
      <c r="C963" s="128"/>
      <c r="D963" s="112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  <c r="AV963" s="128"/>
      <c r="AW963" s="128"/>
      <c r="AX963" s="128"/>
      <c r="AY963" s="128"/>
      <c r="AZ963" s="128"/>
      <c r="BA963" s="128"/>
      <c r="BB963" s="128"/>
      <c r="BC963" s="128"/>
      <c r="BD963" s="128"/>
      <c r="BE963" s="128"/>
      <c r="BF963" s="128"/>
      <c r="BG963" s="128"/>
      <c r="BH963" s="128"/>
      <c r="BI963" s="128"/>
      <c r="BJ963" s="128"/>
      <c r="BK963" s="128"/>
      <c r="BL963" s="128"/>
      <c r="BM963" s="151"/>
      <c r="BN963" s="128"/>
      <c r="BO963" s="128"/>
      <c r="BP963" s="128"/>
      <c r="BQ963" s="128"/>
      <c r="BR963" s="128"/>
      <c r="BS963" s="128"/>
      <c r="BT963" s="128"/>
      <c r="BU963" s="128"/>
      <c r="BV963" s="128"/>
      <c r="BW963" s="128"/>
      <c r="BX963" s="128"/>
      <c r="BY963" s="128"/>
      <c r="BZ963" s="128"/>
      <c r="CA963" s="128"/>
      <c r="CB963" s="128"/>
      <c r="CC963" s="128"/>
      <c r="CD963" s="128"/>
      <c r="CE963" s="128"/>
      <c r="CF963" s="128"/>
      <c r="CG963" s="128"/>
      <c r="CH963" s="128"/>
      <c r="CI963" s="128"/>
      <c r="CJ963" s="128"/>
      <c r="CK963" s="128"/>
      <c r="CL963" s="128"/>
      <c r="CM963" s="128"/>
      <c r="CN963" s="128"/>
      <c r="CO963" s="128"/>
      <c r="CP963" s="128"/>
      <c r="CQ963" s="128"/>
      <c r="CR963" s="128"/>
      <c r="CS963" s="128"/>
      <c r="CT963" s="128"/>
      <c r="CU963" s="128"/>
      <c r="CV963" s="128"/>
      <c r="CW963" s="128"/>
      <c r="CX963" s="128"/>
      <c r="CY963" s="128"/>
      <c r="CZ963" s="128"/>
    </row>
    <row r="964" spans="1:104">
      <c r="A964" s="128"/>
      <c r="B964" s="128"/>
      <c r="C964" s="128"/>
      <c r="D964" s="112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  <c r="AV964" s="128"/>
      <c r="AW964" s="128"/>
      <c r="AX964" s="128"/>
      <c r="AY964" s="128"/>
      <c r="AZ964" s="128"/>
      <c r="BA964" s="128"/>
      <c r="BB964" s="128"/>
      <c r="BC964" s="128"/>
      <c r="BD964" s="128"/>
      <c r="BE964" s="128"/>
      <c r="BF964" s="128"/>
      <c r="BG964" s="128"/>
      <c r="BH964" s="128"/>
      <c r="BI964" s="128"/>
      <c r="BJ964" s="128"/>
      <c r="BK964" s="128"/>
      <c r="BL964" s="128"/>
      <c r="BM964" s="151"/>
      <c r="BN964" s="128"/>
      <c r="BO964" s="128"/>
      <c r="BP964" s="128"/>
      <c r="BQ964" s="128"/>
      <c r="BR964" s="128"/>
      <c r="BS964" s="128"/>
      <c r="BT964" s="128"/>
      <c r="BU964" s="128"/>
      <c r="BV964" s="128"/>
      <c r="BW964" s="128"/>
      <c r="BX964" s="128"/>
      <c r="BY964" s="128"/>
      <c r="BZ964" s="128"/>
      <c r="CA964" s="128"/>
      <c r="CB964" s="128"/>
      <c r="CC964" s="128"/>
      <c r="CD964" s="128"/>
      <c r="CE964" s="128"/>
      <c r="CF964" s="128"/>
      <c r="CG964" s="128"/>
      <c r="CH964" s="128"/>
      <c r="CI964" s="128"/>
      <c r="CJ964" s="128"/>
      <c r="CK964" s="128"/>
      <c r="CL964" s="128"/>
      <c r="CM964" s="128"/>
      <c r="CN964" s="128"/>
      <c r="CO964" s="128"/>
      <c r="CP964" s="128"/>
      <c r="CQ964" s="128"/>
      <c r="CR964" s="128"/>
      <c r="CS964" s="128"/>
      <c r="CT964" s="128"/>
      <c r="CU964" s="128"/>
      <c r="CV964" s="128"/>
      <c r="CW964" s="128"/>
      <c r="CX964" s="128"/>
      <c r="CY964" s="128"/>
      <c r="CZ964" s="128"/>
    </row>
    <row r="965" spans="1:104">
      <c r="A965" s="128"/>
      <c r="B965" s="128"/>
      <c r="C965" s="128"/>
      <c r="D965" s="112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  <c r="AV965" s="128"/>
      <c r="AW965" s="128"/>
      <c r="AX965" s="128"/>
      <c r="AY965" s="128"/>
      <c r="AZ965" s="128"/>
      <c r="BA965" s="128"/>
      <c r="BB965" s="128"/>
      <c r="BC965" s="128"/>
      <c r="BD965" s="128"/>
      <c r="BE965" s="128"/>
      <c r="BF965" s="128"/>
      <c r="BG965" s="128"/>
      <c r="BH965" s="128"/>
      <c r="BI965" s="128"/>
      <c r="BJ965" s="128"/>
      <c r="BK965" s="128"/>
      <c r="BL965" s="128"/>
      <c r="BM965" s="151"/>
      <c r="BN965" s="128"/>
      <c r="BO965" s="128"/>
      <c r="BP965" s="128"/>
      <c r="BQ965" s="128"/>
      <c r="BR965" s="128"/>
      <c r="BS965" s="128"/>
      <c r="BT965" s="128"/>
      <c r="BU965" s="128"/>
      <c r="BV965" s="128"/>
      <c r="BW965" s="128"/>
      <c r="BX965" s="128"/>
      <c r="BY965" s="128"/>
      <c r="BZ965" s="128"/>
      <c r="CA965" s="128"/>
      <c r="CB965" s="128"/>
      <c r="CC965" s="128"/>
      <c r="CD965" s="128"/>
      <c r="CE965" s="128"/>
      <c r="CF965" s="128"/>
      <c r="CG965" s="128"/>
      <c r="CH965" s="128"/>
      <c r="CI965" s="128"/>
      <c r="CJ965" s="128"/>
      <c r="CK965" s="128"/>
      <c r="CL965" s="128"/>
      <c r="CM965" s="128"/>
      <c r="CN965" s="128"/>
      <c r="CO965" s="128"/>
      <c r="CP965" s="128"/>
      <c r="CQ965" s="128"/>
      <c r="CR965" s="128"/>
      <c r="CS965" s="128"/>
      <c r="CT965" s="128"/>
      <c r="CU965" s="128"/>
      <c r="CV965" s="128"/>
      <c r="CW965" s="128"/>
      <c r="CX965" s="128"/>
      <c r="CY965" s="128"/>
      <c r="CZ965" s="128"/>
    </row>
    <row r="966" spans="1:104">
      <c r="A966" s="128"/>
      <c r="B966" s="128"/>
      <c r="C966" s="128"/>
      <c r="D966" s="112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  <c r="AV966" s="128"/>
      <c r="AW966" s="128"/>
      <c r="AX966" s="128"/>
      <c r="AY966" s="128"/>
      <c r="AZ966" s="128"/>
      <c r="BA966" s="128"/>
      <c r="BB966" s="128"/>
      <c r="BC966" s="128"/>
      <c r="BD966" s="128"/>
      <c r="BE966" s="128"/>
      <c r="BF966" s="128"/>
      <c r="BG966" s="128"/>
      <c r="BH966" s="128"/>
      <c r="BI966" s="128"/>
      <c r="BJ966" s="128"/>
      <c r="BK966" s="128"/>
      <c r="BL966" s="128"/>
      <c r="BM966" s="151"/>
      <c r="BN966" s="128"/>
      <c r="BO966" s="128"/>
      <c r="BP966" s="128"/>
      <c r="BQ966" s="128"/>
      <c r="BR966" s="128"/>
      <c r="BS966" s="128"/>
      <c r="BT966" s="128"/>
      <c r="BU966" s="128"/>
      <c r="BV966" s="128"/>
      <c r="BW966" s="128"/>
      <c r="BX966" s="128"/>
      <c r="BY966" s="128"/>
      <c r="BZ966" s="128"/>
      <c r="CA966" s="128"/>
      <c r="CB966" s="128"/>
      <c r="CC966" s="128"/>
      <c r="CD966" s="128"/>
      <c r="CE966" s="128"/>
      <c r="CF966" s="128"/>
      <c r="CG966" s="128"/>
      <c r="CH966" s="128"/>
      <c r="CI966" s="128"/>
      <c r="CJ966" s="128"/>
      <c r="CK966" s="128"/>
      <c r="CL966" s="128"/>
      <c r="CM966" s="128"/>
      <c r="CN966" s="128"/>
      <c r="CO966" s="128"/>
      <c r="CP966" s="128"/>
      <c r="CQ966" s="128"/>
      <c r="CR966" s="128"/>
      <c r="CS966" s="128"/>
      <c r="CT966" s="128"/>
      <c r="CU966" s="128"/>
      <c r="CV966" s="128"/>
      <c r="CW966" s="128"/>
      <c r="CX966" s="128"/>
      <c r="CY966" s="128"/>
      <c r="CZ966" s="128"/>
    </row>
    <row r="967" spans="1:104">
      <c r="A967" s="128"/>
      <c r="B967" s="128"/>
      <c r="C967" s="128"/>
      <c r="D967" s="112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  <c r="AV967" s="128"/>
      <c r="AW967" s="128"/>
      <c r="AX967" s="128"/>
      <c r="AY967" s="128"/>
      <c r="AZ967" s="128"/>
      <c r="BA967" s="128"/>
      <c r="BB967" s="128"/>
      <c r="BC967" s="128"/>
      <c r="BD967" s="128"/>
      <c r="BE967" s="128"/>
      <c r="BF967" s="128"/>
      <c r="BG967" s="128"/>
      <c r="BH967" s="128"/>
      <c r="BI967" s="128"/>
      <c r="BJ967" s="128"/>
      <c r="BK967" s="128"/>
      <c r="BL967" s="128"/>
      <c r="BM967" s="151"/>
      <c r="BN967" s="128"/>
      <c r="BO967" s="128"/>
      <c r="BP967" s="128"/>
      <c r="BQ967" s="128"/>
      <c r="BR967" s="128"/>
      <c r="BS967" s="128"/>
      <c r="BT967" s="128"/>
      <c r="BU967" s="128"/>
      <c r="BV967" s="128"/>
      <c r="BW967" s="128"/>
      <c r="BX967" s="128"/>
      <c r="BY967" s="128"/>
      <c r="BZ967" s="128"/>
      <c r="CA967" s="128"/>
      <c r="CB967" s="128"/>
      <c r="CC967" s="128"/>
      <c r="CD967" s="128"/>
      <c r="CE967" s="128"/>
      <c r="CF967" s="128"/>
      <c r="CG967" s="128"/>
      <c r="CH967" s="128"/>
      <c r="CI967" s="128"/>
      <c r="CJ967" s="128"/>
      <c r="CK967" s="128"/>
      <c r="CL967" s="128"/>
      <c r="CM967" s="128"/>
      <c r="CN967" s="128"/>
      <c r="CO967" s="128"/>
      <c r="CP967" s="128"/>
      <c r="CQ967" s="128"/>
      <c r="CR967" s="128"/>
      <c r="CS967" s="128"/>
      <c r="CT967" s="128"/>
      <c r="CU967" s="128"/>
      <c r="CV967" s="128"/>
      <c r="CW967" s="128"/>
      <c r="CX967" s="128"/>
      <c r="CY967" s="128"/>
      <c r="CZ967" s="128"/>
    </row>
    <row r="968" spans="1:104">
      <c r="A968" s="128"/>
      <c r="B968" s="128"/>
      <c r="C968" s="128"/>
      <c r="D968" s="112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  <c r="AV968" s="128"/>
      <c r="AW968" s="128"/>
      <c r="AX968" s="128"/>
      <c r="AY968" s="128"/>
      <c r="AZ968" s="128"/>
      <c r="BA968" s="128"/>
      <c r="BB968" s="128"/>
      <c r="BC968" s="128"/>
      <c r="BD968" s="128"/>
      <c r="BE968" s="128"/>
      <c r="BF968" s="128"/>
      <c r="BG968" s="128"/>
      <c r="BH968" s="128"/>
      <c r="BI968" s="128"/>
      <c r="BJ968" s="128"/>
      <c r="BK968" s="128"/>
      <c r="BL968" s="128"/>
      <c r="BM968" s="151"/>
      <c r="BN968" s="128"/>
      <c r="BO968" s="128"/>
      <c r="BP968" s="128"/>
      <c r="BQ968" s="128"/>
      <c r="BR968" s="128"/>
      <c r="BS968" s="128"/>
      <c r="BT968" s="128"/>
      <c r="BU968" s="128"/>
      <c r="BV968" s="128"/>
      <c r="BW968" s="128"/>
      <c r="BX968" s="128"/>
      <c r="BY968" s="128"/>
      <c r="BZ968" s="128"/>
      <c r="CA968" s="128"/>
      <c r="CB968" s="128"/>
      <c r="CC968" s="128"/>
      <c r="CD968" s="128"/>
      <c r="CE968" s="128"/>
      <c r="CF968" s="128"/>
      <c r="CG968" s="128"/>
      <c r="CH968" s="128"/>
      <c r="CI968" s="128"/>
      <c r="CJ968" s="128"/>
      <c r="CK968" s="128"/>
      <c r="CL968" s="128"/>
      <c r="CM968" s="128"/>
      <c r="CN968" s="128"/>
      <c r="CO968" s="128"/>
      <c r="CP968" s="128"/>
      <c r="CQ968" s="128"/>
      <c r="CR968" s="128"/>
      <c r="CS968" s="128"/>
      <c r="CT968" s="128"/>
      <c r="CU968" s="128"/>
      <c r="CV968" s="128"/>
      <c r="CW968" s="128"/>
      <c r="CX968" s="128"/>
      <c r="CY968" s="128"/>
      <c r="CZ968" s="128"/>
    </row>
    <row r="969" spans="1:104">
      <c r="A969" s="128"/>
      <c r="B969" s="128"/>
      <c r="C969" s="128"/>
      <c r="D969" s="112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  <c r="AV969" s="128"/>
      <c r="AW969" s="128"/>
      <c r="AX969" s="128"/>
      <c r="AY969" s="128"/>
      <c r="AZ969" s="128"/>
      <c r="BA969" s="128"/>
      <c r="BB969" s="128"/>
      <c r="BC969" s="128"/>
      <c r="BD969" s="128"/>
      <c r="BE969" s="128"/>
      <c r="BF969" s="128"/>
      <c r="BG969" s="128"/>
      <c r="BH969" s="128"/>
      <c r="BI969" s="128"/>
      <c r="BJ969" s="128"/>
      <c r="BK969" s="128"/>
      <c r="BL969" s="128"/>
      <c r="BM969" s="151"/>
      <c r="BN969" s="128"/>
      <c r="BO969" s="128"/>
      <c r="BP969" s="128"/>
      <c r="BQ969" s="128"/>
      <c r="BR969" s="128"/>
      <c r="BS969" s="128"/>
      <c r="BT969" s="128"/>
      <c r="BU969" s="128"/>
      <c r="BV969" s="128"/>
      <c r="BW969" s="128"/>
      <c r="BX969" s="128"/>
      <c r="BY969" s="128"/>
      <c r="BZ969" s="128"/>
      <c r="CA969" s="128"/>
      <c r="CB969" s="128"/>
      <c r="CC969" s="128"/>
      <c r="CD969" s="128"/>
      <c r="CE969" s="128"/>
      <c r="CF969" s="128"/>
      <c r="CG969" s="128"/>
      <c r="CH969" s="128"/>
      <c r="CI969" s="128"/>
      <c r="CJ969" s="128"/>
      <c r="CK969" s="128"/>
      <c r="CL969" s="128"/>
      <c r="CM969" s="128"/>
      <c r="CN969" s="128"/>
      <c r="CO969" s="128"/>
      <c r="CP969" s="128"/>
      <c r="CQ969" s="128"/>
      <c r="CR969" s="128"/>
      <c r="CS969" s="128"/>
      <c r="CT969" s="128"/>
      <c r="CU969" s="128"/>
      <c r="CV969" s="128"/>
      <c r="CW969" s="128"/>
      <c r="CX969" s="128"/>
      <c r="CY969" s="128"/>
      <c r="CZ969" s="128"/>
    </row>
    <row r="970" spans="1:104">
      <c r="A970" s="128"/>
      <c r="B970" s="128"/>
      <c r="C970" s="128"/>
      <c r="D970" s="112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  <c r="AV970" s="128"/>
      <c r="AW970" s="128"/>
      <c r="AX970" s="128"/>
      <c r="AY970" s="128"/>
      <c r="AZ970" s="128"/>
      <c r="BA970" s="128"/>
      <c r="BB970" s="128"/>
      <c r="BC970" s="128"/>
      <c r="BD970" s="128"/>
      <c r="BE970" s="128"/>
      <c r="BF970" s="128"/>
      <c r="BG970" s="128"/>
      <c r="BH970" s="128"/>
      <c r="BI970" s="128"/>
      <c r="BJ970" s="128"/>
      <c r="BK970" s="128"/>
      <c r="BL970" s="128"/>
      <c r="BM970" s="151"/>
      <c r="BN970" s="128"/>
      <c r="BO970" s="128"/>
      <c r="BP970" s="128"/>
      <c r="BQ970" s="128"/>
      <c r="BR970" s="128"/>
      <c r="BS970" s="128"/>
      <c r="BT970" s="128"/>
      <c r="BU970" s="128"/>
      <c r="BV970" s="128"/>
      <c r="BW970" s="128"/>
      <c r="BX970" s="128"/>
      <c r="BY970" s="128"/>
      <c r="BZ970" s="128"/>
      <c r="CA970" s="128"/>
      <c r="CB970" s="128"/>
      <c r="CC970" s="128"/>
      <c r="CD970" s="128"/>
      <c r="CE970" s="128"/>
      <c r="CF970" s="128"/>
      <c r="CG970" s="128"/>
      <c r="CH970" s="128"/>
      <c r="CI970" s="128"/>
      <c r="CJ970" s="128"/>
      <c r="CK970" s="128"/>
      <c r="CL970" s="128"/>
      <c r="CM970" s="128"/>
      <c r="CN970" s="128"/>
      <c r="CO970" s="128"/>
      <c r="CP970" s="128"/>
      <c r="CQ970" s="128"/>
      <c r="CR970" s="128"/>
      <c r="CS970" s="128"/>
      <c r="CT970" s="128"/>
      <c r="CU970" s="128"/>
      <c r="CV970" s="128"/>
      <c r="CW970" s="128"/>
      <c r="CX970" s="128"/>
      <c r="CY970" s="128"/>
      <c r="CZ970" s="128"/>
    </row>
    <row r="971" spans="1:104">
      <c r="A971" s="128"/>
      <c r="B971" s="128"/>
      <c r="C971" s="128"/>
      <c r="D971" s="112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  <c r="AV971" s="128"/>
      <c r="AW971" s="128"/>
      <c r="AX971" s="128"/>
      <c r="AY971" s="128"/>
      <c r="AZ971" s="128"/>
      <c r="BA971" s="128"/>
      <c r="BB971" s="128"/>
      <c r="BC971" s="128"/>
      <c r="BD971" s="128"/>
      <c r="BE971" s="128"/>
      <c r="BF971" s="128"/>
      <c r="BG971" s="128"/>
      <c r="BH971" s="128"/>
      <c r="BI971" s="128"/>
      <c r="BJ971" s="128"/>
      <c r="BK971" s="128"/>
      <c r="BL971" s="128"/>
      <c r="BM971" s="151"/>
      <c r="BN971" s="128"/>
      <c r="BO971" s="128"/>
      <c r="BP971" s="128"/>
      <c r="BQ971" s="128"/>
      <c r="BR971" s="128"/>
      <c r="BS971" s="128"/>
      <c r="BT971" s="128"/>
      <c r="BU971" s="128"/>
      <c r="BV971" s="128"/>
      <c r="BW971" s="128"/>
      <c r="BX971" s="128"/>
      <c r="BY971" s="128"/>
      <c r="BZ971" s="128"/>
      <c r="CA971" s="128"/>
      <c r="CB971" s="128"/>
      <c r="CC971" s="128"/>
      <c r="CD971" s="128"/>
      <c r="CE971" s="128"/>
      <c r="CF971" s="128"/>
      <c r="CG971" s="128"/>
      <c r="CH971" s="128"/>
      <c r="CI971" s="128"/>
      <c r="CJ971" s="128"/>
      <c r="CK971" s="128"/>
      <c r="CL971" s="128"/>
      <c r="CM971" s="128"/>
      <c r="CN971" s="128"/>
      <c r="CO971" s="128"/>
      <c r="CP971" s="128"/>
      <c r="CQ971" s="128"/>
      <c r="CR971" s="128"/>
      <c r="CS971" s="128"/>
      <c r="CT971" s="128"/>
      <c r="CU971" s="128"/>
      <c r="CV971" s="128"/>
      <c r="CW971" s="128"/>
      <c r="CX971" s="128"/>
      <c r="CY971" s="128"/>
      <c r="CZ971" s="128"/>
    </row>
    <row r="972" spans="1:104">
      <c r="A972" s="128"/>
      <c r="B972" s="128"/>
      <c r="C972" s="128"/>
      <c r="D972" s="112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  <c r="AV972" s="128"/>
      <c r="AW972" s="128"/>
      <c r="AX972" s="128"/>
      <c r="AY972" s="128"/>
      <c r="AZ972" s="128"/>
      <c r="BA972" s="128"/>
      <c r="BB972" s="128"/>
      <c r="BC972" s="128"/>
      <c r="BD972" s="128"/>
      <c r="BE972" s="128"/>
      <c r="BF972" s="128"/>
      <c r="BG972" s="128"/>
      <c r="BH972" s="128"/>
      <c r="BI972" s="128"/>
      <c r="BJ972" s="128"/>
      <c r="BK972" s="128"/>
      <c r="BL972" s="128"/>
      <c r="BM972" s="151"/>
      <c r="BN972" s="128"/>
      <c r="BO972" s="128"/>
      <c r="BP972" s="128"/>
      <c r="BQ972" s="128"/>
      <c r="BR972" s="128"/>
      <c r="BS972" s="128"/>
      <c r="BT972" s="128"/>
      <c r="BU972" s="128"/>
      <c r="BV972" s="128"/>
      <c r="BW972" s="128"/>
      <c r="BX972" s="128"/>
      <c r="BY972" s="128"/>
      <c r="BZ972" s="128"/>
      <c r="CA972" s="128"/>
      <c r="CB972" s="128"/>
      <c r="CC972" s="128"/>
      <c r="CD972" s="128"/>
      <c r="CE972" s="128"/>
      <c r="CF972" s="128"/>
      <c r="CG972" s="128"/>
      <c r="CH972" s="128"/>
      <c r="CI972" s="128"/>
      <c r="CJ972" s="128"/>
      <c r="CK972" s="128"/>
      <c r="CL972" s="128"/>
      <c r="CM972" s="128"/>
      <c r="CN972" s="128"/>
      <c r="CO972" s="128"/>
      <c r="CP972" s="128"/>
      <c r="CQ972" s="128"/>
      <c r="CR972" s="128"/>
      <c r="CS972" s="128"/>
      <c r="CT972" s="128"/>
      <c r="CU972" s="128"/>
      <c r="CV972" s="128"/>
      <c r="CW972" s="128"/>
      <c r="CX972" s="128"/>
      <c r="CY972" s="128"/>
      <c r="CZ972" s="128"/>
    </row>
    <row r="973" spans="1:104">
      <c r="A973" s="128"/>
      <c r="B973" s="128"/>
      <c r="C973" s="128"/>
      <c r="D973" s="112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  <c r="AV973" s="128"/>
      <c r="AW973" s="128"/>
      <c r="AX973" s="128"/>
      <c r="AY973" s="128"/>
      <c r="AZ973" s="128"/>
      <c r="BA973" s="128"/>
      <c r="BB973" s="128"/>
      <c r="BC973" s="128"/>
      <c r="BD973" s="128"/>
      <c r="BE973" s="128"/>
      <c r="BF973" s="128"/>
      <c r="BG973" s="128"/>
      <c r="BH973" s="128"/>
      <c r="BI973" s="128"/>
      <c r="BJ973" s="128"/>
      <c r="BK973" s="128"/>
      <c r="BL973" s="128"/>
      <c r="BM973" s="151"/>
      <c r="BN973" s="128"/>
      <c r="BO973" s="128"/>
      <c r="BP973" s="128"/>
      <c r="BQ973" s="128"/>
      <c r="BR973" s="128"/>
      <c r="BS973" s="128"/>
      <c r="BT973" s="128"/>
      <c r="BU973" s="128"/>
      <c r="BV973" s="128"/>
      <c r="BW973" s="128"/>
      <c r="BX973" s="128"/>
      <c r="BY973" s="128"/>
      <c r="BZ973" s="128"/>
      <c r="CA973" s="128"/>
      <c r="CB973" s="128"/>
      <c r="CC973" s="128"/>
      <c r="CD973" s="128"/>
      <c r="CE973" s="128"/>
      <c r="CF973" s="128"/>
      <c r="CG973" s="128"/>
      <c r="CH973" s="128"/>
      <c r="CI973" s="128"/>
      <c r="CJ973" s="128"/>
      <c r="CK973" s="128"/>
      <c r="CL973" s="128"/>
      <c r="CM973" s="128"/>
      <c r="CN973" s="128"/>
      <c r="CO973" s="128"/>
      <c r="CP973" s="128"/>
      <c r="CQ973" s="128"/>
      <c r="CR973" s="128"/>
      <c r="CS973" s="128"/>
      <c r="CT973" s="128"/>
      <c r="CU973" s="128"/>
      <c r="CV973" s="128"/>
      <c r="CW973" s="128"/>
      <c r="CX973" s="128"/>
      <c r="CY973" s="128"/>
      <c r="CZ973" s="128"/>
    </row>
    <row r="974" spans="1:104">
      <c r="A974" s="128"/>
      <c r="B974" s="128"/>
      <c r="C974" s="128"/>
      <c r="D974" s="112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  <c r="AV974" s="128"/>
      <c r="AW974" s="128"/>
      <c r="AX974" s="128"/>
      <c r="AY974" s="128"/>
      <c r="AZ974" s="128"/>
      <c r="BA974" s="128"/>
      <c r="BB974" s="128"/>
      <c r="BC974" s="128"/>
      <c r="BD974" s="128"/>
      <c r="BE974" s="128"/>
      <c r="BF974" s="128"/>
      <c r="BG974" s="128"/>
      <c r="BH974" s="128"/>
      <c r="BI974" s="128"/>
      <c r="BJ974" s="128"/>
      <c r="BK974" s="128"/>
      <c r="BL974" s="128"/>
      <c r="BM974" s="151"/>
      <c r="BN974" s="128"/>
      <c r="BO974" s="128"/>
      <c r="BP974" s="128"/>
      <c r="BQ974" s="128"/>
      <c r="BR974" s="128"/>
      <c r="BS974" s="128"/>
      <c r="BT974" s="128"/>
      <c r="BU974" s="128"/>
      <c r="BV974" s="128"/>
      <c r="BW974" s="128"/>
      <c r="BX974" s="128"/>
      <c r="BY974" s="128"/>
      <c r="BZ974" s="128"/>
      <c r="CA974" s="128"/>
      <c r="CB974" s="128"/>
      <c r="CC974" s="128"/>
      <c r="CD974" s="128"/>
      <c r="CE974" s="128"/>
      <c r="CF974" s="128"/>
      <c r="CG974" s="128"/>
      <c r="CH974" s="128"/>
      <c r="CI974" s="128"/>
      <c r="CJ974" s="128"/>
      <c r="CK974" s="128"/>
      <c r="CL974" s="128"/>
      <c r="CM974" s="128"/>
      <c r="CN974" s="128"/>
      <c r="CO974" s="128"/>
      <c r="CP974" s="128"/>
      <c r="CQ974" s="128"/>
      <c r="CR974" s="128"/>
      <c r="CS974" s="128"/>
      <c r="CT974" s="128"/>
      <c r="CU974" s="128"/>
      <c r="CV974" s="128"/>
      <c r="CW974" s="128"/>
      <c r="CX974" s="128"/>
      <c r="CY974" s="128"/>
      <c r="CZ974" s="128"/>
    </row>
    <row r="975" spans="1:104">
      <c r="A975" s="128"/>
      <c r="B975" s="128"/>
      <c r="C975" s="128"/>
      <c r="D975" s="112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  <c r="AV975" s="128"/>
      <c r="AW975" s="128"/>
      <c r="AX975" s="128"/>
      <c r="AY975" s="128"/>
      <c r="AZ975" s="128"/>
      <c r="BA975" s="128"/>
      <c r="BB975" s="128"/>
      <c r="BC975" s="128"/>
      <c r="BD975" s="128"/>
      <c r="BE975" s="128"/>
      <c r="BF975" s="128"/>
      <c r="BG975" s="128"/>
      <c r="BH975" s="128"/>
      <c r="BI975" s="128"/>
      <c r="BJ975" s="128"/>
      <c r="BK975" s="128"/>
      <c r="BL975" s="128"/>
      <c r="BM975" s="151"/>
      <c r="BN975" s="128"/>
      <c r="BO975" s="128"/>
      <c r="BP975" s="128"/>
      <c r="BQ975" s="128"/>
      <c r="BR975" s="128"/>
      <c r="BS975" s="128"/>
      <c r="BT975" s="128"/>
      <c r="BU975" s="128"/>
      <c r="BV975" s="128"/>
      <c r="BW975" s="128"/>
      <c r="BX975" s="128"/>
      <c r="BY975" s="128"/>
      <c r="BZ975" s="128"/>
      <c r="CA975" s="128"/>
      <c r="CB975" s="128"/>
      <c r="CC975" s="128"/>
      <c r="CD975" s="128"/>
      <c r="CE975" s="128"/>
      <c r="CF975" s="128"/>
      <c r="CG975" s="128"/>
      <c r="CH975" s="128"/>
      <c r="CI975" s="128"/>
      <c r="CJ975" s="128"/>
      <c r="CK975" s="128"/>
      <c r="CL975" s="128"/>
      <c r="CM975" s="128"/>
      <c r="CN975" s="128"/>
      <c r="CO975" s="128"/>
      <c r="CP975" s="128"/>
      <c r="CQ975" s="128"/>
      <c r="CR975" s="128"/>
      <c r="CS975" s="128"/>
      <c r="CT975" s="128"/>
      <c r="CU975" s="128"/>
      <c r="CV975" s="128"/>
      <c r="CW975" s="128"/>
      <c r="CX975" s="128"/>
      <c r="CY975" s="128"/>
      <c r="CZ975" s="128"/>
    </row>
    <row r="976" spans="1:104">
      <c r="A976" s="128"/>
      <c r="B976" s="128"/>
      <c r="C976" s="128"/>
      <c r="D976" s="112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  <c r="AV976" s="128"/>
      <c r="AW976" s="128"/>
      <c r="AX976" s="128"/>
      <c r="AY976" s="128"/>
      <c r="AZ976" s="128"/>
      <c r="BA976" s="128"/>
      <c r="BB976" s="128"/>
      <c r="BC976" s="128"/>
      <c r="BD976" s="128"/>
      <c r="BE976" s="128"/>
      <c r="BF976" s="128"/>
      <c r="BG976" s="128"/>
      <c r="BH976" s="128"/>
      <c r="BI976" s="128"/>
      <c r="BJ976" s="128"/>
      <c r="BK976" s="128"/>
      <c r="BL976" s="128"/>
      <c r="BM976" s="151"/>
      <c r="BN976" s="128"/>
      <c r="BO976" s="128"/>
      <c r="BP976" s="128"/>
      <c r="BQ976" s="128"/>
      <c r="BR976" s="128"/>
      <c r="BS976" s="128"/>
      <c r="BT976" s="128"/>
      <c r="BU976" s="128"/>
      <c r="BV976" s="128"/>
      <c r="BW976" s="128"/>
      <c r="BX976" s="128"/>
      <c r="BY976" s="128"/>
      <c r="BZ976" s="128"/>
      <c r="CA976" s="128"/>
      <c r="CB976" s="128"/>
      <c r="CC976" s="128"/>
      <c r="CD976" s="128"/>
      <c r="CE976" s="128"/>
      <c r="CF976" s="128"/>
      <c r="CG976" s="128"/>
      <c r="CH976" s="128"/>
      <c r="CI976" s="128"/>
      <c r="CJ976" s="128"/>
      <c r="CK976" s="128"/>
      <c r="CL976" s="128"/>
      <c r="CM976" s="128"/>
      <c r="CN976" s="128"/>
      <c r="CO976" s="128"/>
      <c r="CP976" s="128"/>
      <c r="CQ976" s="128"/>
      <c r="CR976" s="128"/>
      <c r="CS976" s="128"/>
      <c r="CT976" s="128"/>
      <c r="CU976" s="128"/>
      <c r="CV976" s="128"/>
      <c r="CW976" s="128"/>
      <c r="CX976" s="128"/>
      <c r="CY976" s="128"/>
      <c r="CZ976" s="128"/>
    </row>
    <row r="977" spans="1:104">
      <c r="A977" s="128"/>
      <c r="B977" s="128"/>
      <c r="C977" s="128"/>
      <c r="D977" s="112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  <c r="AV977" s="128"/>
      <c r="AW977" s="128"/>
      <c r="AX977" s="128"/>
      <c r="AY977" s="128"/>
      <c r="AZ977" s="128"/>
      <c r="BA977" s="128"/>
      <c r="BB977" s="128"/>
      <c r="BC977" s="128"/>
      <c r="BD977" s="128"/>
      <c r="BE977" s="128"/>
      <c r="BF977" s="128"/>
      <c r="BG977" s="128"/>
      <c r="BH977" s="128"/>
      <c r="BI977" s="128"/>
      <c r="BJ977" s="128"/>
      <c r="BK977" s="128"/>
      <c r="BL977" s="128"/>
      <c r="BM977" s="151"/>
      <c r="BN977" s="128"/>
      <c r="BO977" s="128"/>
      <c r="BP977" s="128"/>
      <c r="BQ977" s="128"/>
      <c r="BR977" s="128"/>
      <c r="BS977" s="128"/>
      <c r="BT977" s="128"/>
      <c r="BU977" s="128"/>
      <c r="BV977" s="128"/>
      <c r="BW977" s="128"/>
      <c r="BX977" s="128"/>
      <c r="BY977" s="128"/>
      <c r="BZ977" s="128"/>
      <c r="CA977" s="128"/>
      <c r="CB977" s="128"/>
      <c r="CC977" s="128"/>
      <c r="CD977" s="128"/>
      <c r="CE977" s="128"/>
      <c r="CF977" s="128"/>
      <c r="CG977" s="128"/>
      <c r="CH977" s="128"/>
      <c r="CI977" s="128"/>
      <c r="CJ977" s="128"/>
      <c r="CK977" s="128"/>
      <c r="CL977" s="128"/>
      <c r="CM977" s="128"/>
      <c r="CN977" s="128"/>
      <c r="CO977" s="128"/>
      <c r="CP977" s="128"/>
      <c r="CQ977" s="128"/>
      <c r="CR977" s="128"/>
      <c r="CS977" s="128"/>
      <c r="CT977" s="128"/>
      <c r="CU977" s="128"/>
      <c r="CV977" s="128"/>
      <c r="CW977" s="128"/>
      <c r="CX977" s="128"/>
      <c r="CY977" s="128"/>
      <c r="CZ977" s="128"/>
    </row>
    <row r="978" spans="1:104">
      <c r="A978" s="128"/>
      <c r="B978" s="128"/>
      <c r="C978" s="128"/>
      <c r="D978" s="112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  <c r="AV978" s="128"/>
      <c r="AW978" s="128"/>
      <c r="AX978" s="128"/>
      <c r="AY978" s="128"/>
      <c r="AZ978" s="128"/>
      <c r="BA978" s="128"/>
      <c r="BB978" s="128"/>
      <c r="BC978" s="128"/>
      <c r="BD978" s="128"/>
      <c r="BE978" s="128"/>
      <c r="BF978" s="128"/>
      <c r="BG978" s="128"/>
      <c r="BH978" s="128"/>
      <c r="BI978" s="128"/>
      <c r="BJ978" s="128"/>
      <c r="BK978" s="128"/>
      <c r="BL978" s="128"/>
      <c r="BM978" s="151"/>
      <c r="BN978" s="128"/>
      <c r="BO978" s="128"/>
      <c r="BP978" s="128"/>
      <c r="BQ978" s="128"/>
      <c r="BR978" s="128"/>
      <c r="BS978" s="128"/>
      <c r="BT978" s="128"/>
      <c r="BU978" s="128"/>
      <c r="BV978" s="128"/>
      <c r="BW978" s="128"/>
      <c r="BX978" s="128"/>
      <c r="BY978" s="128"/>
      <c r="BZ978" s="128"/>
      <c r="CA978" s="128"/>
      <c r="CB978" s="128"/>
      <c r="CC978" s="128"/>
      <c r="CD978" s="128"/>
      <c r="CE978" s="128"/>
      <c r="CF978" s="128"/>
      <c r="CG978" s="128"/>
      <c r="CH978" s="128"/>
      <c r="CI978" s="128"/>
      <c r="CJ978" s="128"/>
      <c r="CK978" s="128"/>
      <c r="CL978" s="128"/>
      <c r="CM978" s="128"/>
      <c r="CN978" s="128"/>
      <c r="CO978" s="128"/>
      <c r="CP978" s="128"/>
      <c r="CQ978" s="128"/>
      <c r="CR978" s="128"/>
      <c r="CS978" s="128"/>
      <c r="CT978" s="128"/>
      <c r="CU978" s="128"/>
      <c r="CV978" s="128"/>
      <c r="CW978" s="128"/>
      <c r="CX978" s="128"/>
      <c r="CY978" s="128"/>
      <c r="CZ978" s="128"/>
    </row>
    <row r="979" spans="1:104">
      <c r="A979" s="128"/>
      <c r="B979" s="128"/>
      <c r="C979" s="128"/>
      <c r="D979" s="112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  <c r="AV979" s="128"/>
      <c r="AW979" s="128"/>
      <c r="AX979" s="128"/>
      <c r="AY979" s="128"/>
      <c r="AZ979" s="128"/>
      <c r="BA979" s="128"/>
      <c r="BB979" s="128"/>
      <c r="BC979" s="128"/>
      <c r="BD979" s="128"/>
      <c r="BE979" s="128"/>
      <c r="BF979" s="128"/>
      <c r="BG979" s="128"/>
      <c r="BH979" s="128"/>
      <c r="BI979" s="128"/>
      <c r="BJ979" s="128"/>
      <c r="BK979" s="128"/>
      <c r="BL979" s="128"/>
      <c r="BM979" s="151"/>
      <c r="BN979" s="128"/>
      <c r="BO979" s="128"/>
      <c r="BP979" s="128"/>
      <c r="BQ979" s="128"/>
      <c r="BR979" s="128"/>
      <c r="BS979" s="128"/>
      <c r="BT979" s="128"/>
      <c r="BU979" s="128"/>
      <c r="BV979" s="128"/>
      <c r="BW979" s="128"/>
      <c r="BX979" s="128"/>
      <c r="BY979" s="128"/>
      <c r="BZ979" s="128"/>
      <c r="CA979" s="128"/>
      <c r="CB979" s="128"/>
      <c r="CC979" s="128"/>
      <c r="CD979" s="128"/>
      <c r="CE979" s="128"/>
      <c r="CF979" s="128"/>
      <c r="CG979" s="128"/>
      <c r="CH979" s="128"/>
      <c r="CI979" s="128"/>
      <c r="CJ979" s="128"/>
      <c r="CK979" s="128"/>
      <c r="CL979" s="128"/>
      <c r="CM979" s="128"/>
      <c r="CN979" s="128"/>
      <c r="CO979" s="128"/>
      <c r="CP979" s="128"/>
      <c r="CQ979" s="128"/>
      <c r="CR979" s="128"/>
      <c r="CS979" s="128"/>
      <c r="CT979" s="128"/>
      <c r="CU979" s="128"/>
      <c r="CV979" s="128"/>
      <c r="CW979" s="128"/>
      <c r="CX979" s="128"/>
      <c r="CY979" s="128"/>
      <c r="CZ979" s="128"/>
    </row>
    <row r="980" spans="1:104">
      <c r="A980" s="128"/>
      <c r="B980" s="128"/>
      <c r="C980" s="128"/>
      <c r="D980" s="112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  <c r="AV980" s="128"/>
      <c r="AW980" s="128"/>
      <c r="AX980" s="128"/>
      <c r="AY980" s="128"/>
      <c r="AZ980" s="128"/>
      <c r="BA980" s="128"/>
      <c r="BB980" s="128"/>
      <c r="BC980" s="128"/>
      <c r="BD980" s="128"/>
      <c r="BE980" s="128"/>
      <c r="BF980" s="128"/>
      <c r="BG980" s="128"/>
      <c r="BH980" s="128"/>
      <c r="BI980" s="128"/>
      <c r="BJ980" s="128"/>
      <c r="BK980" s="128"/>
      <c r="BL980" s="128"/>
      <c r="BM980" s="151"/>
      <c r="BN980" s="128"/>
      <c r="BO980" s="128"/>
      <c r="BP980" s="128"/>
      <c r="BQ980" s="128"/>
      <c r="BR980" s="128"/>
      <c r="BS980" s="128"/>
      <c r="BT980" s="128"/>
      <c r="BU980" s="128"/>
      <c r="BV980" s="128"/>
      <c r="BW980" s="128"/>
      <c r="BX980" s="128"/>
      <c r="BY980" s="128"/>
      <c r="BZ980" s="128"/>
      <c r="CA980" s="128"/>
      <c r="CB980" s="128"/>
      <c r="CC980" s="128"/>
      <c r="CD980" s="128"/>
      <c r="CE980" s="128"/>
      <c r="CF980" s="128"/>
      <c r="CG980" s="128"/>
      <c r="CH980" s="128"/>
      <c r="CI980" s="128"/>
      <c r="CJ980" s="128"/>
      <c r="CK980" s="128"/>
      <c r="CL980" s="128"/>
      <c r="CM980" s="128"/>
      <c r="CN980" s="128"/>
      <c r="CO980" s="128"/>
      <c r="CP980" s="128"/>
      <c r="CQ980" s="128"/>
      <c r="CR980" s="128"/>
      <c r="CS980" s="128"/>
      <c r="CT980" s="128"/>
      <c r="CU980" s="128"/>
      <c r="CV980" s="128"/>
      <c r="CW980" s="128"/>
      <c r="CX980" s="128"/>
      <c r="CY980" s="128"/>
      <c r="CZ980" s="128"/>
    </row>
    <row r="981" spans="1:104">
      <c r="A981" s="128"/>
      <c r="B981" s="128"/>
      <c r="C981" s="128"/>
      <c r="D981" s="112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  <c r="AV981" s="128"/>
      <c r="AW981" s="128"/>
      <c r="AX981" s="128"/>
      <c r="AY981" s="128"/>
      <c r="AZ981" s="128"/>
      <c r="BA981" s="128"/>
      <c r="BB981" s="128"/>
      <c r="BC981" s="128"/>
      <c r="BD981" s="128"/>
      <c r="BE981" s="128"/>
      <c r="BF981" s="128"/>
      <c r="BG981" s="128"/>
      <c r="BH981" s="128"/>
      <c r="BI981" s="128"/>
      <c r="BJ981" s="128"/>
      <c r="BK981" s="128"/>
      <c r="BL981" s="128"/>
      <c r="BM981" s="151"/>
      <c r="BN981" s="128"/>
      <c r="BO981" s="128"/>
      <c r="BP981" s="128"/>
      <c r="BQ981" s="128"/>
      <c r="BR981" s="128"/>
      <c r="BS981" s="128"/>
      <c r="BT981" s="128"/>
      <c r="BU981" s="128"/>
      <c r="BV981" s="128"/>
      <c r="BW981" s="128"/>
      <c r="BX981" s="128"/>
      <c r="BY981" s="128"/>
      <c r="BZ981" s="128"/>
      <c r="CA981" s="128"/>
      <c r="CB981" s="128"/>
      <c r="CC981" s="128"/>
      <c r="CD981" s="128"/>
      <c r="CE981" s="128"/>
      <c r="CF981" s="128"/>
      <c r="CG981" s="128"/>
      <c r="CH981" s="128"/>
      <c r="CI981" s="128"/>
      <c r="CJ981" s="128"/>
      <c r="CK981" s="128"/>
      <c r="CL981" s="128"/>
      <c r="CM981" s="128"/>
      <c r="CN981" s="128"/>
      <c r="CO981" s="128"/>
      <c r="CP981" s="128"/>
      <c r="CQ981" s="128"/>
      <c r="CR981" s="128"/>
      <c r="CS981" s="128"/>
      <c r="CT981" s="128"/>
      <c r="CU981" s="128"/>
      <c r="CV981" s="128"/>
      <c r="CW981" s="128"/>
      <c r="CX981" s="128"/>
      <c r="CY981" s="128"/>
      <c r="CZ981" s="128"/>
    </row>
    <row r="982" spans="1:104">
      <c r="A982" s="128"/>
      <c r="B982" s="128"/>
      <c r="C982" s="128"/>
      <c r="D982" s="112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  <c r="AV982" s="128"/>
      <c r="AW982" s="128"/>
      <c r="AX982" s="128"/>
      <c r="AY982" s="128"/>
      <c r="AZ982" s="128"/>
      <c r="BA982" s="128"/>
      <c r="BB982" s="128"/>
      <c r="BC982" s="128"/>
      <c r="BD982" s="128"/>
      <c r="BE982" s="128"/>
      <c r="BF982" s="128"/>
      <c r="BG982" s="128"/>
      <c r="BH982" s="128"/>
      <c r="BI982" s="128"/>
      <c r="BJ982" s="128"/>
      <c r="BK982" s="128"/>
      <c r="BL982" s="128"/>
      <c r="BM982" s="151"/>
      <c r="BN982" s="128"/>
      <c r="BO982" s="128"/>
      <c r="BP982" s="128"/>
      <c r="BQ982" s="128"/>
      <c r="BR982" s="128"/>
      <c r="BS982" s="128"/>
      <c r="BT982" s="128"/>
      <c r="BU982" s="128"/>
      <c r="BV982" s="128"/>
      <c r="BW982" s="128"/>
      <c r="BX982" s="128"/>
      <c r="BY982" s="128"/>
      <c r="BZ982" s="128"/>
      <c r="CA982" s="128"/>
      <c r="CB982" s="128"/>
      <c r="CC982" s="128"/>
      <c r="CD982" s="128"/>
      <c r="CE982" s="128"/>
      <c r="CF982" s="128"/>
      <c r="CG982" s="128"/>
      <c r="CH982" s="128"/>
      <c r="CI982" s="128"/>
      <c r="CJ982" s="128"/>
      <c r="CK982" s="128"/>
      <c r="CL982" s="128"/>
      <c r="CM982" s="128"/>
      <c r="CN982" s="128"/>
      <c r="CO982" s="128"/>
      <c r="CP982" s="128"/>
      <c r="CQ982" s="128"/>
      <c r="CR982" s="128"/>
      <c r="CS982" s="128"/>
      <c r="CT982" s="128"/>
      <c r="CU982" s="128"/>
      <c r="CV982" s="128"/>
      <c r="CW982" s="128"/>
      <c r="CX982" s="128"/>
      <c r="CY982" s="128"/>
      <c r="CZ982" s="128"/>
    </row>
    <row r="983" spans="1:104">
      <c r="A983" s="128"/>
      <c r="B983" s="128"/>
      <c r="C983" s="128"/>
      <c r="D983" s="112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  <c r="AV983" s="128"/>
      <c r="AW983" s="128"/>
      <c r="AX983" s="128"/>
      <c r="AY983" s="128"/>
      <c r="AZ983" s="128"/>
      <c r="BA983" s="128"/>
      <c r="BB983" s="128"/>
      <c r="BC983" s="128"/>
      <c r="BD983" s="128"/>
      <c r="BE983" s="128"/>
      <c r="BF983" s="128"/>
      <c r="BG983" s="128"/>
      <c r="BH983" s="128"/>
      <c r="BI983" s="128"/>
      <c r="BJ983" s="128"/>
      <c r="BK983" s="128"/>
      <c r="BL983" s="128"/>
      <c r="BM983" s="151"/>
      <c r="BN983" s="128"/>
      <c r="BO983" s="128"/>
      <c r="BP983" s="128"/>
      <c r="BQ983" s="128"/>
      <c r="BR983" s="128"/>
      <c r="BS983" s="128"/>
      <c r="BT983" s="128"/>
      <c r="BU983" s="128"/>
      <c r="BV983" s="128"/>
      <c r="BW983" s="128"/>
      <c r="BX983" s="128"/>
      <c r="BY983" s="128"/>
      <c r="BZ983" s="128"/>
      <c r="CA983" s="128"/>
      <c r="CB983" s="128"/>
      <c r="CC983" s="128"/>
      <c r="CD983" s="128"/>
      <c r="CE983" s="128"/>
      <c r="CF983" s="128"/>
      <c r="CG983" s="128"/>
      <c r="CH983" s="128"/>
      <c r="CI983" s="128"/>
      <c r="CJ983" s="128"/>
      <c r="CK983" s="128"/>
      <c r="CL983" s="128"/>
      <c r="CM983" s="128"/>
      <c r="CN983" s="128"/>
      <c r="CO983" s="128"/>
      <c r="CP983" s="128"/>
      <c r="CQ983" s="128"/>
      <c r="CR983" s="128"/>
      <c r="CS983" s="128"/>
      <c r="CT983" s="128"/>
      <c r="CU983" s="128"/>
      <c r="CV983" s="128"/>
      <c r="CW983" s="128"/>
      <c r="CX983" s="128"/>
      <c r="CY983" s="128"/>
      <c r="CZ983" s="128"/>
    </row>
    <row r="984" spans="1:104">
      <c r="A984" s="128"/>
      <c r="B984" s="128"/>
      <c r="C984" s="128"/>
      <c r="D984" s="112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  <c r="AV984" s="128"/>
      <c r="AW984" s="128"/>
      <c r="AX984" s="128"/>
      <c r="AY984" s="128"/>
      <c r="AZ984" s="128"/>
      <c r="BA984" s="128"/>
      <c r="BB984" s="128"/>
      <c r="BC984" s="128"/>
      <c r="BD984" s="128"/>
      <c r="BE984" s="128"/>
      <c r="BF984" s="128"/>
      <c r="BG984" s="128"/>
      <c r="BH984" s="128"/>
      <c r="BI984" s="128"/>
      <c r="BJ984" s="128"/>
      <c r="BK984" s="128"/>
      <c r="BL984" s="128"/>
      <c r="BM984" s="151"/>
      <c r="BN984" s="128"/>
      <c r="BO984" s="128"/>
      <c r="BP984" s="128"/>
      <c r="BQ984" s="128"/>
      <c r="BR984" s="128"/>
      <c r="BS984" s="128"/>
      <c r="BT984" s="128"/>
      <c r="BU984" s="128"/>
      <c r="BV984" s="128"/>
      <c r="BW984" s="128"/>
      <c r="BX984" s="128"/>
      <c r="BY984" s="128"/>
      <c r="BZ984" s="128"/>
      <c r="CA984" s="128"/>
      <c r="CB984" s="128"/>
      <c r="CC984" s="128"/>
      <c r="CD984" s="128"/>
      <c r="CE984" s="128"/>
      <c r="CF984" s="128"/>
      <c r="CG984" s="128"/>
      <c r="CH984" s="128"/>
      <c r="CI984" s="128"/>
      <c r="CJ984" s="128"/>
      <c r="CK984" s="128"/>
      <c r="CL984" s="128"/>
      <c r="CM984" s="128"/>
      <c r="CN984" s="128"/>
      <c r="CO984" s="128"/>
      <c r="CP984" s="128"/>
      <c r="CQ984" s="128"/>
      <c r="CR984" s="128"/>
      <c r="CS984" s="128"/>
      <c r="CT984" s="128"/>
      <c r="CU984" s="128"/>
      <c r="CV984" s="128"/>
      <c r="CW984" s="128"/>
      <c r="CX984" s="128"/>
      <c r="CY984" s="128"/>
      <c r="CZ984" s="128"/>
    </row>
    <row r="985" spans="1:104">
      <c r="A985" s="128"/>
      <c r="B985" s="128"/>
      <c r="C985" s="128"/>
      <c r="D985" s="112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  <c r="AV985" s="128"/>
      <c r="AW985" s="128"/>
      <c r="AX985" s="128"/>
      <c r="AY985" s="128"/>
      <c r="AZ985" s="128"/>
      <c r="BA985" s="128"/>
      <c r="BB985" s="128"/>
      <c r="BC985" s="128"/>
      <c r="BD985" s="128"/>
      <c r="BE985" s="128"/>
      <c r="BF985" s="128"/>
      <c r="BG985" s="128"/>
      <c r="BH985" s="128"/>
      <c r="BI985" s="128"/>
      <c r="BJ985" s="128"/>
      <c r="BK985" s="128"/>
      <c r="BL985" s="128"/>
      <c r="BM985" s="151"/>
      <c r="BN985" s="128"/>
      <c r="BO985" s="128"/>
      <c r="BP985" s="128"/>
      <c r="BQ985" s="128"/>
      <c r="BR985" s="128"/>
      <c r="BS985" s="128"/>
      <c r="BT985" s="128"/>
      <c r="BU985" s="128"/>
      <c r="BV985" s="128"/>
      <c r="BW985" s="128"/>
      <c r="BX985" s="128"/>
      <c r="BY985" s="128"/>
      <c r="BZ985" s="128"/>
      <c r="CA985" s="128"/>
      <c r="CB985" s="128"/>
      <c r="CC985" s="128"/>
      <c r="CD985" s="128"/>
      <c r="CE985" s="128"/>
      <c r="CF985" s="128"/>
      <c r="CG985" s="128"/>
      <c r="CH985" s="128"/>
      <c r="CI985" s="128"/>
      <c r="CJ985" s="128"/>
      <c r="CK985" s="128"/>
      <c r="CL985" s="128"/>
      <c r="CM985" s="128"/>
      <c r="CN985" s="128"/>
      <c r="CO985" s="128"/>
      <c r="CP985" s="128"/>
      <c r="CQ985" s="128"/>
      <c r="CR985" s="128"/>
      <c r="CS985" s="128"/>
      <c r="CT985" s="128"/>
      <c r="CU985" s="128"/>
      <c r="CV985" s="128"/>
      <c r="CW985" s="128"/>
      <c r="CX985" s="128"/>
      <c r="CY985" s="128"/>
      <c r="CZ985" s="128"/>
    </row>
    <row r="986" spans="1:104">
      <c r="A986" s="128"/>
      <c r="B986" s="128"/>
      <c r="C986" s="128"/>
      <c r="D986" s="112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  <c r="AZ986" s="128"/>
      <c r="BA986" s="128"/>
      <c r="BB986" s="128"/>
      <c r="BC986" s="128"/>
      <c r="BD986" s="128"/>
      <c r="BE986" s="128"/>
      <c r="BF986" s="128"/>
      <c r="BG986" s="128"/>
      <c r="BH986" s="128"/>
      <c r="BI986" s="128"/>
      <c r="BJ986" s="128"/>
      <c r="BK986" s="128"/>
      <c r="BL986" s="128"/>
      <c r="BM986" s="151"/>
      <c r="BN986" s="128"/>
      <c r="BO986" s="128"/>
      <c r="BP986" s="128"/>
      <c r="BQ986" s="128"/>
      <c r="BR986" s="128"/>
      <c r="BS986" s="128"/>
      <c r="BT986" s="128"/>
      <c r="BU986" s="128"/>
      <c r="BV986" s="128"/>
      <c r="BW986" s="128"/>
      <c r="BX986" s="128"/>
      <c r="BY986" s="128"/>
      <c r="BZ986" s="128"/>
      <c r="CA986" s="128"/>
      <c r="CB986" s="128"/>
      <c r="CC986" s="128"/>
      <c r="CD986" s="128"/>
      <c r="CE986" s="128"/>
      <c r="CF986" s="128"/>
      <c r="CG986" s="128"/>
      <c r="CH986" s="128"/>
      <c r="CI986" s="128"/>
      <c r="CJ986" s="128"/>
      <c r="CK986" s="128"/>
      <c r="CL986" s="128"/>
      <c r="CM986" s="128"/>
      <c r="CN986" s="128"/>
      <c r="CO986" s="128"/>
      <c r="CP986" s="128"/>
      <c r="CQ986" s="128"/>
      <c r="CR986" s="128"/>
      <c r="CS986" s="128"/>
      <c r="CT986" s="128"/>
      <c r="CU986" s="128"/>
      <c r="CV986" s="128"/>
      <c r="CW986" s="128"/>
      <c r="CX986" s="128"/>
      <c r="CY986" s="128"/>
      <c r="CZ986" s="128"/>
    </row>
    <row r="987" spans="1:104">
      <c r="A987" s="128"/>
      <c r="B987" s="128"/>
      <c r="C987" s="128"/>
      <c r="D987" s="112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  <c r="AV987" s="128"/>
      <c r="AW987" s="128"/>
      <c r="AX987" s="128"/>
      <c r="AY987" s="128"/>
      <c r="AZ987" s="128"/>
      <c r="BA987" s="128"/>
      <c r="BB987" s="128"/>
      <c r="BC987" s="128"/>
      <c r="BD987" s="128"/>
      <c r="BE987" s="128"/>
      <c r="BF987" s="128"/>
      <c r="BG987" s="128"/>
      <c r="BH987" s="128"/>
      <c r="BI987" s="128"/>
      <c r="BJ987" s="128"/>
      <c r="BK987" s="128"/>
      <c r="BL987" s="128"/>
      <c r="BM987" s="151"/>
      <c r="BN987" s="128"/>
      <c r="BO987" s="128"/>
      <c r="BP987" s="128"/>
      <c r="BQ987" s="128"/>
      <c r="BR987" s="128"/>
      <c r="BS987" s="128"/>
      <c r="BT987" s="128"/>
      <c r="BU987" s="128"/>
      <c r="BV987" s="128"/>
      <c r="BW987" s="128"/>
      <c r="BX987" s="128"/>
      <c r="BY987" s="128"/>
      <c r="BZ987" s="128"/>
      <c r="CA987" s="128"/>
      <c r="CB987" s="128"/>
      <c r="CC987" s="128"/>
      <c r="CD987" s="128"/>
      <c r="CE987" s="128"/>
      <c r="CF987" s="128"/>
      <c r="CG987" s="128"/>
      <c r="CH987" s="128"/>
      <c r="CI987" s="128"/>
      <c r="CJ987" s="128"/>
      <c r="CK987" s="128"/>
      <c r="CL987" s="128"/>
      <c r="CM987" s="128"/>
      <c r="CN987" s="128"/>
      <c r="CO987" s="128"/>
      <c r="CP987" s="128"/>
      <c r="CQ987" s="128"/>
      <c r="CR987" s="128"/>
      <c r="CS987" s="128"/>
      <c r="CT987" s="128"/>
      <c r="CU987" s="128"/>
      <c r="CV987" s="128"/>
      <c r="CW987" s="128"/>
      <c r="CX987" s="128"/>
      <c r="CY987" s="128"/>
      <c r="CZ987" s="128"/>
    </row>
    <row r="988" spans="1:104">
      <c r="A988" s="128"/>
      <c r="B988" s="128"/>
      <c r="C988" s="128"/>
      <c r="D988" s="112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  <c r="AZ988" s="128"/>
      <c r="BA988" s="128"/>
      <c r="BB988" s="128"/>
      <c r="BC988" s="128"/>
      <c r="BD988" s="128"/>
      <c r="BE988" s="128"/>
      <c r="BF988" s="128"/>
      <c r="BG988" s="128"/>
      <c r="BH988" s="128"/>
      <c r="BI988" s="128"/>
      <c r="BJ988" s="128"/>
      <c r="BK988" s="128"/>
      <c r="BL988" s="128"/>
      <c r="BM988" s="151"/>
      <c r="BN988" s="128"/>
      <c r="BO988" s="128"/>
      <c r="BP988" s="128"/>
      <c r="BQ988" s="128"/>
      <c r="BR988" s="128"/>
      <c r="BS988" s="128"/>
      <c r="BT988" s="128"/>
      <c r="BU988" s="128"/>
      <c r="BV988" s="128"/>
      <c r="BW988" s="128"/>
      <c r="BX988" s="128"/>
      <c r="BY988" s="128"/>
      <c r="BZ988" s="128"/>
      <c r="CA988" s="128"/>
      <c r="CB988" s="128"/>
      <c r="CC988" s="128"/>
      <c r="CD988" s="128"/>
      <c r="CE988" s="128"/>
      <c r="CF988" s="128"/>
      <c r="CG988" s="128"/>
      <c r="CH988" s="128"/>
      <c r="CI988" s="128"/>
      <c r="CJ988" s="128"/>
      <c r="CK988" s="128"/>
      <c r="CL988" s="128"/>
      <c r="CM988" s="128"/>
      <c r="CN988" s="128"/>
      <c r="CO988" s="128"/>
      <c r="CP988" s="128"/>
      <c r="CQ988" s="128"/>
      <c r="CR988" s="128"/>
      <c r="CS988" s="128"/>
      <c r="CT988" s="128"/>
      <c r="CU988" s="128"/>
      <c r="CV988" s="128"/>
      <c r="CW988" s="128"/>
      <c r="CX988" s="128"/>
      <c r="CY988" s="128"/>
      <c r="CZ988" s="128"/>
    </row>
    <row r="989" spans="1:104">
      <c r="A989" s="128"/>
      <c r="B989" s="128"/>
      <c r="C989" s="128"/>
      <c r="D989" s="112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  <c r="AV989" s="128"/>
      <c r="AW989" s="128"/>
      <c r="AX989" s="128"/>
      <c r="AY989" s="128"/>
      <c r="AZ989" s="128"/>
      <c r="BA989" s="128"/>
      <c r="BB989" s="128"/>
      <c r="BC989" s="128"/>
      <c r="BD989" s="128"/>
      <c r="BE989" s="128"/>
      <c r="BF989" s="128"/>
      <c r="BG989" s="128"/>
      <c r="BH989" s="128"/>
      <c r="BI989" s="128"/>
      <c r="BJ989" s="128"/>
      <c r="BK989" s="128"/>
      <c r="BL989" s="128"/>
      <c r="BM989" s="151"/>
      <c r="BN989" s="128"/>
      <c r="BO989" s="128"/>
      <c r="BP989" s="128"/>
      <c r="BQ989" s="128"/>
      <c r="BR989" s="128"/>
      <c r="BS989" s="128"/>
      <c r="BT989" s="128"/>
      <c r="BU989" s="128"/>
      <c r="BV989" s="128"/>
      <c r="BW989" s="128"/>
      <c r="BX989" s="128"/>
      <c r="BY989" s="128"/>
      <c r="BZ989" s="128"/>
      <c r="CA989" s="128"/>
      <c r="CB989" s="128"/>
      <c r="CC989" s="128"/>
      <c r="CD989" s="128"/>
      <c r="CE989" s="128"/>
      <c r="CF989" s="128"/>
      <c r="CG989" s="128"/>
      <c r="CH989" s="128"/>
      <c r="CI989" s="128"/>
      <c r="CJ989" s="128"/>
      <c r="CK989" s="128"/>
      <c r="CL989" s="128"/>
      <c r="CM989" s="128"/>
      <c r="CN989" s="128"/>
      <c r="CO989" s="128"/>
      <c r="CP989" s="128"/>
      <c r="CQ989" s="128"/>
      <c r="CR989" s="128"/>
      <c r="CS989" s="128"/>
      <c r="CT989" s="128"/>
      <c r="CU989" s="128"/>
      <c r="CV989" s="128"/>
      <c r="CW989" s="128"/>
      <c r="CX989" s="128"/>
      <c r="CY989" s="128"/>
      <c r="CZ989" s="128"/>
    </row>
    <row r="990" spans="1:104">
      <c r="A990" s="128"/>
      <c r="B990" s="128"/>
      <c r="C990" s="128"/>
      <c r="D990" s="112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  <c r="AV990" s="128"/>
      <c r="AW990" s="128"/>
      <c r="AX990" s="128"/>
      <c r="AY990" s="128"/>
      <c r="AZ990" s="128"/>
      <c r="BA990" s="128"/>
      <c r="BB990" s="128"/>
      <c r="BC990" s="128"/>
      <c r="BD990" s="128"/>
      <c r="BE990" s="128"/>
      <c r="BF990" s="128"/>
      <c r="BG990" s="128"/>
      <c r="BH990" s="128"/>
      <c r="BI990" s="128"/>
      <c r="BJ990" s="128"/>
      <c r="BK990" s="128"/>
      <c r="BL990" s="128"/>
      <c r="BM990" s="151"/>
      <c r="BN990" s="128"/>
      <c r="BO990" s="128"/>
      <c r="BP990" s="128"/>
      <c r="BQ990" s="128"/>
      <c r="BR990" s="128"/>
      <c r="BS990" s="128"/>
      <c r="BT990" s="128"/>
      <c r="BU990" s="128"/>
      <c r="BV990" s="128"/>
      <c r="BW990" s="128"/>
      <c r="BX990" s="128"/>
      <c r="BY990" s="128"/>
      <c r="BZ990" s="128"/>
      <c r="CA990" s="128"/>
      <c r="CB990" s="128"/>
      <c r="CC990" s="128"/>
      <c r="CD990" s="128"/>
      <c r="CE990" s="128"/>
      <c r="CF990" s="128"/>
      <c r="CG990" s="128"/>
      <c r="CH990" s="128"/>
      <c r="CI990" s="128"/>
      <c r="CJ990" s="128"/>
      <c r="CK990" s="128"/>
      <c r="CL990" s="128"/>
      <c r="CM990" s="128"/>
      <c r="CN990" s="128"/>
      <c r="CO990" s="128"/>
      <c r="CP990" s="128"/>
      <c r="CQ990" s="128"/>
      <c r="CR990" s="128"/>
      <c r="CS990" s="128"/>
      <c r="CT990" s="128"/>
      <c r="CU990" s="128"/>
      <c r="CV990" s="128"/>
      <c r="CW990" s="128"/>
      <c r="CX990" s="128"/>
      <c r="CY990" s="128"/>
      <c r="CZ990" s="128"/>
    </row>
    <row r="991" spans="1:104">
      <c r="A991" s="128"/>
      <c r="B991" s="128"/>
      <c r="C991" s="128"/>
      <c r="D991" s="112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  <c r="AV991" s="128"/>
      <c r="AW991" s="128"/>
      <c r="AX991" s="128"/>
      <c r="AY991" s="128"/>
      <c r="AZ991" s="128"/>
      <c r="BA991" s="128"/>
      <c r="BB991" s="128"/>
      <c r="BC991" s="128"/>
      <c r="BD991" s="128"/>
      <c r="BE991" s="128"/>
      <c r="BF991" s="128"/>
      <c r="BG991" s="128"/>
      <c r="BH991" s="128"/>
      <c r="BI991" s="128"/>
      <c r="BJ991" s="128"/>
      <c r="BK991" s="128"/>
      <c r="BL991" s="128"/>
      <c r="BM991" s="151"/>
      <c r="BN991" s="128"/>
      <c r="BO991" s="128"/>
      <c r="BP991" s="128"/>
      <c r="BQ991" s="128"/>
      <c r="BR991" s="128"/>
      <c r="BS991" s="128"/>
      <c r="BT991" s="128"/>
      <c r="BU991" s="128"/>
      <c r="BV991" s="128"/>
      <c r="BW991" s="128"/>
      <c r="BX991" s="128"/>
      <c r="BY991" s="128"/>
      <c r="BZ991" s="128"/>
      <c r="CA991" s="128"/>
      <c r="CB991" s="128"/>
      <c r="CC991" s="128"/>
      <c r="CD991" s="128"/>
      <c r="CE991" s="128"/>
      <c r="CF991" s="128"/>
      <c r="CG991" s="128"/>
      <c r="CH991" s="128"/>
      <c r="CI991" s="128"/>
      <c r="CJ991" s="128"/>
      <c r="CK991" s="128"/>
      <c r="CL991" s="128"/>
      <c r="CM991" s="128"/>
      <c r="CN991" s="128"/>
      <c r="CO991" s="128"/>
      <c r="CP991" s="128"/>
      <c r="CQ991" s="128"/>
      <c r="CR991" s="128"/>
      <c r="CS991" s="128"/>
      <c r="CT991" s="128"/>
      <c r="CU991" s="128"/>
      <c r="CV991" s="128"/>
      <c r="CW991" s="128"/>
      <c r="CX991" s="128"/>
      <c r="CY991" s="128"/>
      <c r="CZ991" s="128"/>
    </row>
    <row r="992" spans="1:104">
      <c r="A992" s="128"/>
      <c r="B992" s="128"/>
      <c r="C992" s="128"/>
      <c r="D992" s="112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  <c r="AV992" s="128"/>
      <c r="AW992" s="128"/>
      <c r="AX992" s="128"/>
      <c r="AY992" s="128"/>
      <c r="AZ992" s="128"/>
      <c r="BA992" s="128"/>
      <c r="BB992" s="128"/>
      <c r="BC992" s="128"/>
      <c r="BD992" s="128"/>
      <c r="BE992" s="128"/>
      <c r="BF992" s="128"/>
      <c r="BG992" s="128"/>
      <c r="BH992" s="128"/>
      <c r="BI992" s="128"/>
      <c r="BJ992" s="128"/>
      <c r="BK992" s="128"/>
      <c r="BL992" s="128"/>
      <c r="BM992" s="151"/>
      <c r="BN992" s="128"/>
      <c r="BO992" s="128"/>
      <c r="BP992" s="128"/>
      <c r="BQ992" s="128"/>
      <c r="BR992" s="128"/>
      <c r="BS992" s="128"/>
      <c r="BT992" s="128"/>
      <c r="BU992" s="128"/>
      <c r="BV992" s="128"/>
      <c r="BW992" s="128"/>
      <c r="BX992" s="128"/>
      <c r="BY992" s="128"/>
      <c r="BZ992" s="128"/>
      <c r="CA992" s="128"/>
      <c r="CB992" s="128"/>
      <c r="CC992" s="128"/>
      <c r="CD992" s="128"/>
      <c r="CE992" s="128"/>
      <c r="CF992" s="128"/>
      <c r="CG992" s="128"/>
      <c r="CH992" s="128"/>
      <c r="CI992" s="128"/>
      <c r="CJ992" s="128"/>
      <c r="CK992" s="128"/>
      <c r="CL992" s="128"/>
      <c r="CM992" s="128"/>
      <c r="CN992" s="128"/>
      <c r="CO992" s="128"/>
      <c r="CP992" s="128"/>
      <c r="CQ992" s="128"/>
      <c r="CR992" s="128"/>
      <c r="CS992" s="128"/>
      <c r="CT992" s="128"/>
      <c r="CU992" s="128"/>
      <c r="CV992" s="128"/>
      <c r="CW992" s="128"/>
      <c r="CX992" s="128"/>
      <c r="CY992" s="128"/>
      <c r="CZ992" s="128"/>
    </row>
    <row r="993" spans="1:104">
      <c r="A993" s="128"/>
      <c r="B993" s="128"/>
      <c r="C993" s="128"/>
      <c r="D993" s="112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  <c r="AV993" s="128"/>
      <c r="AW993" s="128"/>
      <c r="AX993" s="128"/>
      <c r="AY993" s="128"/>
      <c r="AZ993" s="128"/>
      <c r="BA993" s="128"/>
      <c r="BB993" s="128"/>
      <c r="BC993" s="128"/>
      <c r="BD993" s="128"/>
      <c r="BE993" s="128"/>
      <c r="BF993" s="128"/>
      <c r="BG993" s="128"/>
      <c r="BH993" s="128"/>
      <c r="BI993" s="128"/>
      <c r="BJ993" s="128"/>
      <c r="BK993" s="128"/>
      <c r="BL993" s="128"/>
      <c r="BM993" s="151"/>
      <c r="BN993" s="128"/>
      <c r="BO993" s="128"/>
      <c r="BP993" s="128"/>
      <c r="BQ993" s="128"/>
      <c r="BR993" s="128"/>
      <c r="BS993" s="128"/>
      <c r="BT993" s="128"/>
      <c r="BU993" s="128"/>
      <c r="BV993" s="128"/>
      <c r="BW993" s="128"/>
      <c r="BX993" s="128"/>
      <c r="BY993" s="128"/>
      <c r="BZ993" s="128"/>
      <c r="CA993" s="128"/>
      <c r="CB993" s="128"/>
      <c r="CC993" s="128"/>
      <c r="CD993" s="128"/>
      <c r="CE993" s="128"/>
      <c r="CF993" s="128"/>
      <c r="CG993" s="128"/>
      <c r="CH993" s="128"/>
      <c r="CI993" s="128"/>
      <c r="CJ993" s="128"/>
      <c r="CK993" s="128"/>
      <c r="CL993" s="128"/>
      <c r="CM993" s="128"/>
      <c r="CN993" s="128"/>
      <c r="CO993" s="128"/>
      <c r="CP993" s="128"/>
      <c r="CQ993" s="128"/>
      <c r="CR993" s="128"/>
      <c r="CS993" s="128"/>
      <c r="CT993" s="128"/>
      <c r="CU993" s="128"/>
      <c r="CV993" s="128"/>
      <c r="CW993" s="128"/>
      <c r="CX993" s="128"/>
      <c r="CY993" s="128"/>
      <c r="CZ993" s="128"/>
    </row>
    <row r="994" spans="1:104">
      <c r="A994" s="128"/>
      <c r="B994" s="128"/>
      <c r="C994" s="128"/>
      <c r="D994" s="112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  <c r="AV994" s="128"/>
      <c r="AW994" s="128"/>
      <c r="AX994" s="128"/>
      <c r="AY994" s="128"/>
      <c r="AZ994" s="128"/>
      <c r="BA994" s="128"/>
      <c r="BB994" s="128"/>
      <c r="BC994" s="128"/>
      <c r="BD994" s="128"/>
      <c r="BE994" s="128"/>
      <c r="BF994" s="128"/>
      <c r="BG994" s="128"/>
      <c r="BH994" s="128"/>
      <c r="BI994" s="128"/>
      <c r="BJ994" s="128"/>
      <c r="BK994" s="128"/>
      <c r="BL994" s="128"/>
      <c r="BM994" s="151"/>
      <c r="BN994" s="128"/>
      <c r="BO994" s="128"/>
      <c r="BP994" s="128"/>
      <c r="BQ994" s="128"/>
      <c r="BR994" s="128"/>
      <c r="BS994" s="128"/>
      <c r="BT994" s="128"/>
      <c r="BU994" s="128"/>
      <c r="BV994" s="128"/>
      <c r="BW994" s="128"/>
      <c r="BX994" s="128"/>
      <c r="BY994" s="128"/>
      <c r="BZ994" s="128"/>
      <c r="CA994" s="128"/>
      <c r="CB994" s="128"/>
      <c r="CC994" s="128"/>
      <c r="CD994" s="128"/>
      <c r="CE994" s="128"/>
      <c r="CF994" s="128"/>
      <c r="CG994" s="128"/>
      <c r="CH994" s="128"/>
      <c r="CI994" s="128"/>
      <c r="CJ994" s="128"/>
      <c r="CK994" s="128"/>
      <c r="CL994" s="128"/>
      <c r="CM994" s="128"/>
      <c r="CN994" s="128"/>
      <c r="CO994" s="128"/>
      <c r="CP994" s="128"/>
      <c r="CQ994" s="128"/>
      <c r="CR994" s="128"/>
      <c r="CS994" s="128"/>
      <c r="CT994" s="128"/>
      <c r="CU994" s="128"/>
      <c r="CV994" s="128"/>
      <c r="CW994" s="128"/>
      <c r="CX994" s="128"/>
      <c r="CY994" s="128"/>
      <c r="CZ994" s="128"/>
    </row>
    <row r="995" spans="1:104">
      <c r="A995" s="128"/>
      <c r="B995" s="128"/>
      <c r="C995" s="128"/>
      <c r="D995" s="112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  <c r="AV995" s="128"/>
      <c r="AW995" s="128"/>
      <c r="AX995" s="128"/>
      <c r="AY995" s="128"/>
      <c r="AZ995" s="128"/>
      <c r="BA995" s="128"/>
      <c r="BB995" s="128"/>
      <c r="BC995" s="128"/>
      <c r="BD995" s="128"/>
      <c r="BE995" s="128"/>
      <c r="BF995" s="128"/>
      <c r="BG995" s="128"/>
      <c r="BH995" s="128"/>
      <c r="BI995" s="128"/>
      <c r="BJ995" s="128"/>
      <c r="BK995" s="128"/>
      <c r="BL995" s="128"/>
      <c r="BM995" s="151"/>
      <c r="BN995" s="128"/>
      <c r="BO995" s="128"/>
      <c r="BP995" s="128"/>
      <c r="BQ995" s="128"/>
      <c r="BR995" s="128"/>
      <c r="BS995" s="128"/>
      <c r="BT995" s="128"/>
      <c r="BU995" s="128"/>
      <c r="BV995" s="128"/>
      <c r="BW995" s="128"/>
      <c r="BX995" s="128"/>
      <c r="BY995" s="128"/>
      <c r="BZ995" s="128"/>
      <c r="CA995" s="128"/>
      <c r="CB995" s="128"/>
      <c r="CC995" s="128"/>
      <c r="CD995" s="128"/>
      <c r="CE995" s="128"/>
      <c r="CF995" s="128"/>
      <c r="CG995" s="128"/>
      <c r="CH995" s="128"/>
      <c r="CI995" s="128"/>
      <c r="CJ995" s="128"/>
      <c r="CK995" s="128"/>
      <c r="CL995" s="128"/>
      <c r="CM995" s="128"/>
      <c r="CN995" s="128"/>
      <c r="CO995" s="128"/>
      <c r="CP995" s="128"/>
      <c r="CQ995" s="128"/>
      <c r="CR995" s="128"/>
      <c r="CS995" s="128"/>
      <c r="CT995" s="128"/>
      <c r="CU995" s="128"/>
      <c r="CV995" s="128"/>
      <c r="CW995" s="128"/>
      <c r="CX995" s="128"/>
      <c r="CY995" s="128"/>
      <c r="CZ995" s="128"/>
    </row>
    <row r="996" spans="1:104">
      <c r="A996" s="128"/>
      <c r="B996" s="128"/>
      <c r="C996" s="128"/>
      <c r="D996" s="112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  <c r="AV996" s="128"/>
      <c r="AW996" s="128"/>
      <c r="AX996" s="128"/>
      <c r="AY996" s="128"/>
      <c r="AZ996" s="128"/>
      <c r="BA996" s="128"/>
      <c r="BB996" s="128"/>
      <c r="BC996" s="128"/>
      <c r="BD996" s="128"/>
      <c r="BE996" s="128"/>
      <c r="BF996" s="128"/>
      <c r="BG996" s="128"/>
      <c r="BH996" s="128"/>
      <c r="BI996" s="128"/>
      <c r="BJ996" s="128"/>
      <c r="BK996" s="128"/>
      <c r="BL996" s="128"/>
      <c r="BM996" s="151"/>
      <c r="BN996" s="128"/>
      <c r="BO996" s="128"/>
      <c r="BP996" s="128"/>
      <c r="BQ996" s="128"/>
      <c r="BR996" s="128"/>
      <c r="BS996" s="128"/>
      <c r="BT996" s="128"/>
      <c r="BU996" s="128"/>
      <c r="BV996" s="128"/>
      <c r="BW996" s="128"/>
      <c r="BX996" s="128"/>
      <c r="BY996" s="128"/>
      <c r="BZ996" s="128"/>
      <c r="CA996" s="128"/>
      <c r="CB996" s="128"/>
      <c r="CC996" s="128"/>
      <c r="CD996" s="128"/>
      <c r="CE996" s="128"/>
      <c r="CF996" s="128"/>
      <c r="CG996" s="128"/>
      <c r="CH996" s="128"/>
      <c r="CI996" s="128"/>
      <c r="CJ996" s="128"/>
      <c r="CK996" s="128"/>
      <c r="CL996" s="128"/>
      <c r="CM996" s="128"/>
      <c r="CN996" s="128"/>
      <c r="CO996" s="128"/>
      <c r="CP996" s="128"/>
      <c r="CQ996" s="128"/>
      <c r="CR996" s="128"/>
      <c r="CS996" s="128"/>
      <c r="CT996" s="128"/>
      <c r="CU996" s="128"/>
      <c r="CV996" s="128"/>
      <c r="CW996" s="128"/>
      <c r="CX996" s="128"/>
      <c r="CY996" s="128"/>
      <c r="CZ996" s="128"/>
    </row>
    <row r="997" spans="1:104">
      <c r="A997" s="128"/>
      <c r="B997" s="128"/>
      <c r="C997" s="128"/>
      <c r="D997" s="112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  <c r="AV997" s="128"/>
      <c r="AW997" s="128"/>
      <c r="AX997" s="128"/>
      <c r="AY997" s="128"/>
      <c r="AZ997" s="128"/>
      <c r="BA997" s="128"/>
      <c r="BB997" s="128"/>
      <c r="BC997" s="128"/>
      <c r="BD997" s="128"/>
      <c r="BE997" s="128"/>
      <c r="BF997" s="128"/>
      <c r="BG997" s="128"/>
      <c r="BH997" s="128"/>
      <c r="BI997" s="128"/>
      <c r="BJ997" s="128"/>
      <c r="BK997" s="128"/>
      <c r="BL997" s="128"/>
      <c r="BM997" s="151"/>
      <c r="BN997" s="128"/>
      <c r="BO997" s="128"/>
      <c r="BP997" s="128"/>
      <c r="BQ997" s="128"/>
      <c r="BR997" s="128"/>
      <c r="BS997" s="128"/>
      <c r="BT997" s="128"/>
      <c r="BU997" s="128"/>
      <c r="BV997" s="128"/>
      <c r="BW997" s="128"/>
      <c r="BX997" s="128"/>
      <c r="BY997" s="128"/>
      <c r="BZ997" s="128"/>
      <c r="CA997" s="128"/>
      <c r="CB997" s="128"/>
      <c r="CC997" s="128"/>
      <c r="CD997" s="128"/>
      <c r="CE997" s="128"/>
      <c r="CF997" s="128"/>
      <c r="CG997" s="128"/>
      <c r="CH997" s="128"/>
      <c r="CI997" s="128"/>
      <c r="CJ997" s="128"/>
      <c r="CK997" s="128"/>
      <c r="CL997" s="128"/>
      <c r="CM997" s="128"/>
      <c r="CN997" s="128"/>
      <c r="CO997" s="128"/>
      <c r="CP997" s="128"/>
      <c r="CQ997" s="128"/>
      <c r="CR997" s="128"/>
      <c r="CS997" s="128"/>
      <c r="CT997" s="128"/>
      <c r="CU997" s="128"/>
      <c r="CV997" s="128"/>
      <c r="CW997" s="128"/>
      <c r="CX997" s="128"/>
      <c r="CY997" s="128"/>
      <c r="CZ997" s="128"/>
    </row>
    <row r="998" spans="1:104">
      <c r="A998" s="128"/>
      <c r="B998" s="128"/>
      <c r="C998" s="128"/>
      <c r="D998" s="112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  <c r="AV998" s="128"/>
      <c r="AW998" s="128"/>
      <c r="AX998" s="128"/>
      <c r="AY998" s="128"/>
      <c r="AZ998" s="128"/>
      <c r="BA998" s="128"/>
      <c r="BB998" s="128"/>
      <c r="BC998" s="128"/>
      <c r="BD998" s="128"/>
      <c r="BE998" s="128"/>
      <c r="BF998" s="128"/>
      <c r="BG998" s="128"/>
      <c r="BH998" s="128"/>
      <c r="BI998" s="128"/>
      <c r="BJ998" s="128"/>
      <c r="BK998" s="128"/>
      <c r="BL998" s="128"/>
      <c r="BM998" s="151"/>
      <c r="BN998" s="128"/>
      <c r="BO998" s="128"/>
      <c r="BP998" s="128"/>
      <c r="BQ998" s="128"/>
      <c r="BR998" s="128"/>
      <c r="BS998" s="128"/>
      <c r="BT998" s="128"/>
      <c r="BU998" s="128"/>
      <c r="BV998" s="128"/>
      <c r="BW998" s="128"/>
      <c r="BX998" s="128"/>
      <c r="BY998" s="128"/>
      <c r="BZ998" s="128"/>
      <c r="CA998" s="128"/>
      <c r="CB998" s="128"/>
      <c r="CC998" s="128"/>
      <c r="CD998" s="128"/>
      <c r="CE998" s="128"/>
      <c r="CF998" s="128"/>
      <c r="CG998" s="128"/>
      <c r="CH998" s="128"/>
      <c r="CI998" s="128"/>
      <c r="CJ998" s="128"/>
      <c r="CK998" s="128"/>
      <c r="CL998" s="128"/>
      <c r="CM998" s="128"/>
      <c r="CN998" s="128"/>
      <c r="CO998" s="128"/>
      <c r="CP998" s="128"/>
      <c r="CQ998" s="128"/>
      <c r="CR998" s="128"/>
      <c r="CS998" s="128"/>
      <c r="CT998" s="128"/>
      <c r="CU998" s="128"/>
      <c r="CV998" s="128"/>
      <c r="CW998" s="128"/>
      <c r="CX998" s="128"/>
      <c r="CY998" s="128"/>
      <c r="CZ998" s="128"/>
    </row>
    <row r="999" spans="1:104">
      <c r="A999" s="128"/>
      <c r="B999" s="128"/>
      <c r="C999" s="128"/>
      <c r="D999" s="112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  <c r="AV999" s="128"/>
      <c r="AW999" s="128"/>
      <c r="AX999" s="128"/>
      <c r="AY999" s="128"/>
      <c r="AZ999" s="128"/>
      <c r="BA999" s="128"/>
      <c r="BB999" s="128"/>
      <c r="BC999" s="128"/>
      <c r="BD999" s="128"/>
      <c r="BE999" s="128"/>
      <c r="BF999" s="128"/>
      <c r="BG999" s="128"/>
      <c r="BH999" s="128"/>
      <c r="BI999" s="128"/>
      <c r="BJ999" s="128"/>
      <c r="BK999" s="128"/>
      <c r="BL999" s="128"/>
      <c r="BM999" s="151"/>
      <c r="BN999" s="128"/>
      <c r="BO999" s="128"/>
      <c r="BP999" s="128"/>
      <c r="BQ999" s="128"/>
      <c r="BR999" s="128"/>
      <c r="BS999" s="128"/>
      <c r="BT999" s="128"/>
      <c r="BU999" s="128"/>
      <c r="BV999" s="128"/>
      <c r="BW999" s="128"/>
      <c r="BX999" s="128"/>
      <c r="BY999" s="128"/>
      <c r="BZ999" s="128"/>
      <c r="CA999" s="128"/>
      <c r="CB999" s="128"/>
      <c r="CC999" s="128"/>
      <c r="CD999" s="128"/>
      <c r="CE999" s="128"/>
      <c r="CF999" s="128"/>
      <c r="CG999" s="128"/>
      <c r="CH999" s="128"/>
      <c r="CI999" s="128"/>
      <c r="CJ999" s="128"/>
      <c r="CK999" s="128"/>
      <c r="CL999" s="128"/>
      <c r="CM999" s="128"/>
      <c r="CN999" s="128"/>
      <c r="CO999" s="128"/>
      <c r="CP999" s="128"/>
      <c r="CQ999" s="128"/>
      <c r="CR999" s="128"/>
      <c r="CS999" s="128"/>
      <c r="CT999" s="128"/>
      <c r="CU999" s="128"/>
      <c r="CV999" s="128"/>
      <c r="CW999" s="128"/>
      <c r="CX999" s="128"/>
      <c r="CY999" s="128"/>
      <c r="CZ999" s="128"/>
    </row>
    <row r="1000" spans="1:104">
      <c r="A1000" s="128"/>
      <c r="B1000" s="128"/>
      <c r="C1000" s="128"/>
      <c r="D1000" s="112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  <c r="AV1000" s="128"/>
      <c r="AW1000" s="128"/>
      <c r="AX1000" s="128"/>
      <c r="AY1000" s="128"/>
      <c r="AZ1000" s="128"/>
      <c r="BA1000" s="128"/>
      <c r="BB1000" s="128"/>
      <c r="BC1000" s="128"/>
      <c r="BD1000" s="128"/>
      <c r="BE1000" s="128"/>
      <c r="BF1000" s="128"/>
      <c r="BG1000" s="128"/>
      <c r="BH1000" s="128"/>
      <c r="BI1000" s="128"/>
      <c r="BJ1000" s="128"/>
      <c r="BK1000" s="128"/>
      <c r="BL1000" s="128"/>
      <c r="BM1000" s="151"/>
      <c r="BN1000" s="128"/>
      <c r="BO1000" s="128"/>
      <c r="BP1000" s="128"/>
      <c r="BQ1000" s="128"/>
      <c r="BR1000" s="128"/>
      <c r="BS1000" s="128"/>
      <c r="BT1000" s="128"/>
      <c r="BU1000" s="128"/>
      <c r="BV1000" s="128"/>
      <c r="BW1000" s="128"/>
      <c r="BX1000" s="128"/>
      <c r="BY1000" s="128"/>
      <c r="BZ1000" s="128"/>
      <c r="CA1000" s="128"/>
      <c r="CB1000" s="128"/>
      <c r="CC1000" s="128"/>
      <c r="CD1000" s="128"/>
      <c r="CE1000" s="128"/>
      <c r="CF1000" s="128"/>
      <c r="CG1000" s="128"/>
      <c r="CH1000" s="128"/>
      <c r="CI1000" s="128"/>
      <c r="CJ1000" s="128"/>
      <c r="CK1000" s="128"/>
      <c r="CL1000" s="128"/>
      <c r="CM1000" s="128"/>
      <c r="CN1000" s="128"/>
      <c r="CO1000" s="128"/>
      <c r="CP1000" s="128"/>
      <c r="CQ1000" s="128"/>
      <c r="CR1000" s="128"/>
      <c r="CS1000" s="128"/>
      <c r="CT1000" s="128"/>
      <c r="CU1000" s="128"/>
      <c r="CV1000" s="128"/>
      <c r="CW1000" s="128"/>
      <c r="CX1000" s="128"/>
      <c r="CY1000" s="128"/>
      <c r="CZ1000" s="128"/>
    </row>
    <row r="1001" spans="1:104">
      <c r="A1001" s="128"/>
      <c r="B1001" s="128"/>
      <c r="C1001" s="128"/>
      <c r="D1001" s="112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  <c r="AV1001" s="128"/>
      <c r="AW1001" s="128"/>
      <c r="AX1001" s="128"/>
      <c r="AY1001" s="128"/>
      <c r="AZ1001" s="128"/>
      <c r="BA1001" s="128"/>
      <c r="BB1001" s="128"/>
      <c r="BC1001" s="128"/>
      <c r="BD1001" s="128"/>
      <c r="BE1001" s="128"/>
      <c r="BF1001" s="128"/>
      <c r="BG1001" s="128"/>
      <c r="BH1001" s="128"/>
      <c r="BI1001" s="128"/>
      <c r="BJ1001" s="128"/>
      <c r="BK1001" s="128"/>
      <c r="BL1001" s="128"/>
      <c r="BM1001" s="151"/>
      <c r="BN1001" s="128"/>
      <c r="BO1001" s="128"/>
      <c r="BP1001" s="128"/>
      <c r="BQ1001" s="128"/>
      <c r="BR1001" s="128"/>
      <c r="BS1001" s="128"/>
      <c r="BT1001" s="128"/>
      <c r="BU1001" s="128"/>
      <c r="BV1001" s="128"/>
      <c r="BW1001" s="128"/>
      <c r="BX1001" s="128"/>
      <c r="BY1001" s="128"/>
      <c r="BZ1001" s="128"/>
      <c r="CA1001" s="128"/>
      <c r="CB1001" s="128"/>
      <c r="CC1001" s="128"/>
      <c r="CD1001" s="128"/>
      <c r="CE1001" s="128"/>
      <c r="CF1001" s="128"/>
      <c r="CG1001" s="128"/>
      <c r="CH1001" s="128"/>
      <c r="CI1001" s="128"/>
      <c r="CJ1001" s="128"/>
      <c r="CK1001" s="128"/>
      <c r="CL1001" s="128"/>
      <c r="CM1001" s="128"/>
      <c r="CN1001" s="128"/>
      <c r="CO1001" s="128"/>
      <c r="CP1001" s="128"/>
      <c r="CQ1001" s="128"/>
      <c r="CR1001" s="128"/>
      <c r="CS1001" s="128"/>
      <c r="CT1001" s="128"/>
      <c r="CU1001" s="128"/>
      <c r="CV1001" s="128"/>
      <c r="CW1001" s="128"/>
      <c r="CX1001" s="128"/>
      <c r="CY1001" s="128"/>
      <c r="CZ1001" s="128"/>
    </row>
    <row r="1002" spans="1:104">
      <c r="A1002" s="128"/>
      <c r="B1002" s="128"/>
      <c r="C1002" s="128"/>
      <c r="D1002" s="112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  <c r="AV1002" s="128"/>
      <c r="AW1002" s="128"/>
      <c r="AX1002" s="128"/>
      <c r="AY1002" s="128"/>
      <c r="AZ1002" s="128"/>
      <c r="BA1002" s="128"/>
      <c r="BB1002" s="128"/>
      <c r="BC1002" s="128"/>
      <c r="BD1002" s="128"/>
      <c r="BE1002" s="128"/>
      <c r="BF1002" s="128"/>
      <c r="BG1002" s="128"/>
      <c r="BH1002" s="128"/>
      <c r="BI1002" s="128"/>
      <c r="BJ1002" s="128"/>
      <c r="BK1002" s="128"/>
      <c r="BL1002" s="128"/>
      <c r="BM1002" s="151"/>
      <c r="BN1002" s="128"/>
      <c r="BO1002" s="128"/>
      <c r="BP1002" s="128"/>
      <c r="BQ1002" s="128"/>
      <c r="BR1002" s="128"/>
      <c r="BS1002" s="128"/>
      <c r="BT1002" s="128"/>
      <c r="BU1002" s="128"/>
      <c r="BV1002" s="128"/>
      <c r="BW1002" s="128"/>
      <c r="BX1002" s="128"/>
      <c r="BY1002" s="128"/>
      <c r="BZ1002" s="128"/>
      <c r="CA1002" s="128"/>
      <c r="CB1002" s="128"/>
      <c r="CC1002" s="128"/>
      <c r="CD1002" s="128"/>
      <c r="CE1002" s="128"/>
      <c r="CF1002" s="128"/>
      <c r="CG1002" s="128"/>
      <c r="CH1002" s="128"/>
      <c r="CI1002" s="128"/>
      <c r="CJ1002" s="128"/>
      <c r="CK1002" s="128"/>
      <c r="CL1002" s="128"/>
      <c r="CM1002" s="128"/>
      <c r="CN1002" s="128"/>
      <c r="CO1002" s="128"/>
      <c r="CP1002" s="128"/>
      <c r="CQ1002" s="128"/>
      <c r="CR1002" s="128"/>
      <c r="CS1002" s="128"/>
      <c r="CT1002" s="128"/>
      <c r="CU1002" s="128"/>
      <c r="CV1002" s="128"/>
      <c r="CW1002" s="128"/>
      <c r="CX1002" s="128"/>
      <c r="CY1002" s="128"/>
      <c r="CZ1002" s="128"/>
    </row>
    <row r="1003" spans="1:104">
      <c r="A1003" s="128"/>
      <c r="B1003" s="128"/>
      <c r="C1003" s="128"/>
      <c r="D1003" s="112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  <c r="AV1003" s="128"/>
      <c r="AW1003" s="128"/>
      <c r="AX1003" s="128"/>
      <c r="AY1003" s="128"/>
      <c r="AZ1003" s="128"/>
      <c r="BA1003" s="128"/>
      <c r="BB1003" s="128"/>
      <c r="BC1003" s="128"/>
      <c r="BD1003" s="128"/>
      <c r="BE1003" s="128"/>
      <c r="BF1003" s="128"/>
      <c r="BG1003" s="128"/>
      <c r="BH1003" s="128"/>
      <c r="BI1003" s="128"/>
      <c r="BJ1003" s="128"/>
      <c r="BK1003" s="128"/>
      <c r="BL1003" s="128"/>
      <c r="BM1003" s="151"/>
      <c r="BN1003" s="128"/>
      <c r="BO1003" s="128"/>
      <c r="BP1003" s="128"/>
      <c r="BQ1003" s="128"/>
      <c r="BR1003" s="128"/>
      <c r="BS1003" s="128"/>
      <c r="BT1003" s="128"/>
      <c r="BU1003" s="128"/>
      <c r="BV1003" s="128"/>
      <c r="BW1003" s="128"/>
      <c r="BX1003" s="128"/>
      <c r="BY1003" s="128"/>
      <c r="BZ1003" s="128"/>
      <c r="CA1003" s="128"/>
      <c r="CB1003" s="128"/>
      <c r="CC1003" s="128"/>
      <c r="CD1003" s="128"/>
      <c r="CE1003" s="128"/>
      <c r="CF1003" s="128"/>
      <c r="CG1003" s="128"/>
      <c r="CH1003" s="128"/>
      <c r="CI1003" s="128"/>
      <c r="CJ1003" s="128"/>
      <c r="CK1003" s="128"/>
      <c r="CL1003" s="128"/>
      <c r="CM1003" s="128"/>
      <c r="CN1003" s="128"/>
      <c r="CO1003" s="128"/>
      <c r="CP1003" s="128"/>
      <c r="CQ1003" s="128"/>
      <c r="CR1003" s="128"/>
      <c r="CS1003" s="128"/>
      <c r="CT1003" s="128"/>
      <c r="CU1003" s="128"/>
      <c r="CV1003" s="128"/>
      <c r="CW1003" s="128"/>
      <c r="CX1003" s="128"/>
      <c r="CY1003" s="128"/>
      <c r="CZ1003" s="128"/>
    </row>
    <row r="1004" spans="1:104">
      <c r="A1004" s="128"/>
      <c r="B1004" s="128"/>
      <c r="C1004" s="128"/>
      <c r="D1004" s="112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  <c r="AV1004" s="128"/>
      <c r="AW1004" s="128"/>
      <c r="AX1004" s="128"/>
      <c r="AY1004" s="128"/>
      <c r="AZ1004" s="128"/>
      <c r="BA1004" s="128"/>
      <c r="BB1004" s="128"/>
      <c r="BC1004" s="128"/>
      <c r="BD1004" s="128"/>
      <c r="BE1004" s="128"/>
      <c r="BF1004" s="128"/>
      <c r="BG1004" s="128"/>
      <c r="BH1004" s="128"/>
      <c r="BI1004" s="128"/>
      <c r="BJ1004" s="128"/>
      <c r="BK1004" s="128"/>
      <c r="BL1004" s="128"/>
      <c r="BM1004" s="151"/>
      <c r="BN1004" s="128"/>
      <c r="BO1004" s="128"/>
      <c r="BP1004" s="128"/>
      <c r="BQ1004" s="128"/>
      <c r="BR1004" s="128"/>
      <c r="BS1004" s="128"/>
      <c r="BT1004" s="128"/>
      <c r="BU1004" s="128"/>
      <c r="BV1004" s="128"/>
      <c r="BW1004" s="128"/>
      <c r="BX1004" s="128"/>
      <c r="BY1004" s="128"/>
      <c r="BZ1004" s="128"/>
      <c r="CA1004" s="128"/>
      <c r="CB1004" s="128"/>
      <c r="CC1004" s="128"/>
      <c r="CD1004" s="128"/>
      <c r="CE1004" s="128"/>
      <c r="CF1004" s="128"/>
      <c r="CG1004" s="128"/>
      <c r="CH1004" s="128"/>
      <c r="CI1004" s="128"/>
      <c r="CJ1004" s="128"/>
      <c r="CK1004" s="128"/>
      <c r="CL1004" s="128"/>
      <c r="CM1004" s="128"/>
      <c r="CN1004" s="128"/>
      <c r="CO1004" s="128"/>
      <c r="CP1004" s="128"/>
      <c r="CQ1004" s="128"/>
      <c r="CR1004" s="128"/>
      <c r="CS1004" s="128"/>
      <c r="CT1004" s="128"/>
      <c r="CU1004" s="128"/>
      <c r="CV1004" s="128"/>
      <c r="CW1004" s="128"/>
      <c r="CX1004" s="128"/>
      <c r="CY1004" s="128"/>
      <c r="CZ1004" s="128"/>
    </row>
    <row r="1005" spans="1:104">
      <c r="A1005" s="128"/>
      <c r="B1005" s="128"/>
      <c r="C1005" s="128"/>
      <c r="D1005" s="112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  <c r="AV1005" s="128"/>
      <c r="AW1005" s="128"/>
      <c r="AX1005" s="128"/>
      <c r="AY1005" s="128"/>
      <c r="AZ1005" s="128"/>
      <c r="BA1005" s="128"/>
      <c r="BB1005" s="128"/>
      <c r="BC1005" s="128"/>
      <c r="BD1005" s="128"/>
      <c r="BE1005" s="128"/>
      <c r="BF1005" s="128"/>
      <c r="BG1005" s="128"/>
      <c r="BH1005" s="128"/>
      <c r="BI1005" s="128"/>
      <c r="BJ1005" s="128"/>
      <c r="BK1005" s="128"/>
      <c r="BL1005" s="128"/>
      <c r="BM1005" s="151"/>
      <c r="BN1005" s="128"/>
      <c r="BO1005" s="128"/>
      <c r="BP1005" s="128"/>
      <c r="BQ1005" s="128"/>
      <c r="BR1005" s="128"/>
      <c r="BS1005" s="128"/>
      <c r="BT1005" s="128"/>
      <c r="BU1005" s="128"/>
      <c r="BV1005" s="128"/>
      <c r="BW1005" s="128"/>
      <c r="BX1005" s="128"/>
      <c r="BY1005" s="128"/>
      <c r="BZ1005" s="128"/>
      <c r="CA1005" s="128"/>
      <c r="CB1005" s="128"/>
      <c r="CC1005" s="128"/>
      <c r="CD1005" s="128"/>
      <c r="CE1005" s="128"/>
      <c r="CF1005" s="128"/>
      <c r="CG1005" s="128"/>
      <c r="CH1005" s="128"/>
      <c r="CI1005" s="128"/>
      <c r="CJ1005" s="128"/>
      <c r="CK1005" s="128"/>
      <c r="CL1005" s="128"/>
      <c r="CM1005" s="128"/>
      <c r="CN1005" s="128"/>
      <c r="CO1005" s="128"/>
      <c r="CP1005" s="128"/>
      <c r="CQ1005" s="128"/>
      <c r="CR1005" s="128"/>
      <c r="CS1005" s="128"/>
      <c r="CT1005" s="128"/>
      <c r="CU1005" s="128"/>
      <c r="CV1005" s="128"/>
      <c r="CW1005" s="128"/>
      <c r="CX1005" s="128"/>
      <c r="CY1005" s="128"/>
      <c r="CZ1005" s="128"/>
    </row>
    <row r="1006" spans="1:104">
      <c r="A1006" s="128"/>
      <c r="B1006" s="128"/>
      <c r="C1006" s="128"/>
      <c r="D1006" s="112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  <c r="AV1006" s="128"/>
      <c r="AW1006" s="128"/>
      <c r="AX1006" s="128"/>
      <c r="AY1006" s="128"/>
      <c r="AZ1006" s="128"/>
      <c r="BA1006" s="128"/>
      <c r="BB1006" s="128"/>
      <c r="BC1006" s="128"/>
      <c r="BD1006" s="128"/>
      <c r="BE1006" s="128"/>
      <c r="BF1006" s="128"/>
      <c r="BG1006" s="128"/>
      <c r="BH1006" s="128"/>
      <c r="BI1006" s="128"/>
      <c r="BJ1006" s="128"/>
      <c r="BK1006" s="128"/>
      <c r="BL1006" s="128"/>
      <c r="BM1006" s="151"/>
      <c r="BN1006" s="128"/>
      <c r="BO1006" s="128"/>
      <c r="BP1006" s="128"/>
      <c r="BQ1006" s="128"/>
      <c r="BR1006" s="128"/>
      <c r="BS1006" s="128"/>
      <c r="BT1006" s="128"/>
      <c r="BU1006" s="128"/>
      <c r="BV1006" s="128"/>
      <c r="BW1006" s="128"/>
      <c r="BX1006" s="128"/>
      <c r="BY1006" s="128"/>
      <c r="BZ1006" s="128"/>
      <c r="CA1006" s="128"/>
      <c r="CB1006" s="128"/>
      <c r="CC1006" s="128"/>
      <c r="CD1006" s="128"/>
      <c r="CE1006" s="128"/>
      <c r="CF1006" s="128"/>
      <c r="CG1006" s="128"/>
      <c r="CH1006" s="128"/>
      <c r="CI1006" s="128"/>
      <c r="CJ1006" s="128"/>
      <c r="CK1006" s="128"/>
      <c r="CL1006" s="128"/>
      <c r="CM1006" s="128"/>
      <c r="CN1006" s="128"/>
      <c r="CO1006" s="128"/>
      <c r="CP1006" s="128"/>
      <c r="CQ1006" s="128"/>
      <c r="CR1006" s="128"/>
      <c r="CS1006" s="128"/>
      <c r="CT1006" s="128"/>
      <c r="CU1006" s="128"/>
      <c r="CV1006" s="128"/>
      <c r="CW1006" s="128"/>
      <c r="CX1006" s="128"/>
      <c r="CY1006" s="128"/>
      <c r="CZ1006" s="128"/>
    </row>
    <row r="1007" spans="1:104">
      <c r="A1007" s="128"/>
      <c r="B1007" s="128"/>
      <c r="C1007" s="128"/>
      <c r="D1007" s="112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  <c r="AV1007" s="128"/>
      <c r="AW1007" s="128"/>
      <c r="AX1007" s="128"/>
      <c r="AY1007" s="128"/>
      <c r="AZ1007" s="128"/>
      <c r="BA1007" s="128"/>
      <c r="BB1007" s="128"/>
      <c r="BC1007" s="128"/>
      <c r="BD1007" s="128"/>
      <c r="BE1007" s="128"/>
      <c r="BF1007" s="128"/>
      <c r="BG1007" s="128"/>
      <c r="BH1007" s="128"/>
      <c r="BI1007" s="128"/>
      <c r="BJ1007" s="128"/>
      <c r="BK1007" s="128"/>
      <c r="BL1007" s="128"/>
      <c r="BM1007" s="151"/>
      <c r="BN1007" s="128"/>
      <c r="BO1007" s="128"/>
      <c r="BP1007" s="128"/>
      <c r="BQ1007" s="128"/>
      <c r="BR1007" s="128"/>
      <c r="BS1007" s="128"/>
      <c r="BT1007" s="128"/>
      <c r="BU1007" s="128"/>
      <c r="BV1007" s="128"/>
      <c r="BW1007" s="128"/>
      <c r="BX1007" s="128"/>
      <c r="BY1007" s="128"/>
      <c r="BZ1007" s="128"/>
      <c r="CA1007" s="128"/>
      <c r="CB1007" s="128"/>
      <c r="CC1007" s="128"/>
      <c r="CD1007" s="128"/>
      <c r="CE1007" s="128"/>
      <c r="CF1007" s="128"/>
      <c r="CG1007" s="128"/>
      <c r="CH1007" s="128"/>
      <c r="CI1007" s="128"/>
      <c r="CJ1007" s="128"/>
      <c r="CK1007" s="128"/>
      <c r="CL1007" s="128"/>
      <c r="CM1007" s="128"/>
      <c r="CN1007" s="128"/>
      <c r="CO1007" s="128"/>
      <c r="CP1007" s="128"/>
      <c r="CQ1007" s="128"/>
      <c r="CR1007" s="128"/>
      <c r="CS1007" s="128"/>
      <c r="CT1007" s="128"/>
      <c r="CU1007" s="128"/>
      <c r="CV1007" s="128"/>
      <c r="CW1007" s="128"/>
      <c r="CX1007" s="128"/>
      <c r="CY1007" s="128"/>
      <c r="CZ1007" s="128"/>
    </row>
    <row r="1008" spans="1:104">
      <c r="A1008" s="128"/>
      <c r="B1008" s="128"/>
      <c r="C1008" s="128"/>
      <c r="D1008" s="112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  <c r="AV1008" s="128"/>
      <c r="AW1008" s="128"/>
      <c r="AX1008" s="128"/>
      <c r="AY1008" s="128"/>
      <c r="AZ1008" s="128"/>
      <c r="BA1008" s="128"/>
      <c r="BB1008" s="128"/>
      <c r="BC1008" s="128"/>
      <c r="BD1008" s="128"/>
      <c r="BE1008" s="128"/>
      <c r="BF1008" s="128"/>
      <c r="BG1008" s="128"/>
      <c r="BH1008" s="128"/>
      <c r="BI1008" s="128"/>
      <c r="BJ1008" s="128"/>
      <c r="BK1008" s="128"/>
      <c r="BL1008" s="128"/>
      <c r="BM1008" s="151"/>
      <c r="BN1008" s="128"/>
      <c r="BO1008" s="128"/>
      <c r="BP1008" s="128"/>
      <c r="BQ1008" s="128"/>
      <c r="BR1008" s="128"/>
      <c r="BS1008" s="128"/>
      <c r="BT1008" s="128"/>
      <c r="BU1008" s="128"/>
      <c r="BV1008" s="128"/>
      <c r="BW1008" s="128"/>
      <c r="BX1008" s="128"/>
      <c r="BY1008" s="128"/>
      <c r="BZ1008" s="128"/>
      <c r="CA1008" s="128"/>
      <c r="CB1008" s="128"/>
      <c r="CC1008" s="128"/>
      <c r="CD1008" s="128"/>
      <c r="CE1008" s="128"/>
      <c r="CF1008" s="128"/>
      <c r="CG1008" s="128"/>
      <c r="CH1008" s="128"/>
      <c r="CI1008" s="128"/>
      <c r="CJ1008" s="128"/>
      <c r="CK1008" s="128"/>
      <c r="CL1008" s="128"/>
      <c r="CM1008" s="128"/>
      <c r="CN1008" s="128"/>
      <c r="CO1008" s="128"/>
      <c r="CP1008" s="128"/>
      <c r="CQ1008" s="128"/>
      <c r="CR1008" s="128"/>
      <c r="CS1008" s="128"/>
      <c r="CT1008" s="128"/>
      <c r="CU1008" s="128"/>
      <c r="CV1008" s="128"/>
      <c r="CW1008" s="128"/>
      <c r="CX1008" s="128"/>
      <c r="CY1008" s="128"/>
      <c r="CZ1008" s="128"/>
    </row>
    <row r="1009" spans="1:104">
      <c r="A1009" s="128"/>
      <c r="B1009" s="128"/>
      <c r="C1009" s="128"/>
      <c r="D1009" s="112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  <c r="AV1009" s="128"/>
      <c r="AW1009" s="128"/>
      <c r="AX1009" s="128"/>
      <c r="AY1009" s="128"/>
      <c r="AZ1009" s="128"/>
      <c r="BA1009" s="128"/>
      <c r="BB1009" s="128"/>
      <c r="BC1009" s="128"/>
      <c r="BD1009" s="128"/>
      <c r="BE1009" s="128"/>
      <c r="BF1009" s="128"/>
      <c r="BG1009" s="128"/>
      <c r="BH1009" s="128"/>
      <c r="BI1009" s="128"/>
      <c r="BJ1009" s="128"/>
      <c r="BK1009" s="128"/>
      <c r="BL1009" s="128"/>
      <c r="BM1009" s="151"/>
      <c r="BN1009" s="128"/>
      <c r="BO1009" s="128"/>
      <c r="BP1009" s="128"/>
      <c r="BQ1009" s="128"/>
      <c r="BR1009" s="128"/>
      <c r="BS1009" s="128"/>
      <c r="BT1009" s="128"/>
      <c r="BU1009" s="128"/>
      <c r="BV1009" s="128"/>
      <c r="BW1009" s="128"/>
      <c r="BX1009" s="128"/>
      <c r="BY1009" s="128"/>
      <c r="BZ1009" s="128"/>
      <c r="CA1009" s="128"/>
      <c r="CB1009" s="128"/>
      <c r="CC1009" s="128"/>
      <c r="CD1009" s="128"/>
      <c r="CE1009" s="128"/>
      <c r="CF1009" s="128"/>
      <c r="CG1009" s="128"/>
      <c r="CH1009" s="128"/>
      <c r="CI1009" s="128"/>
      <c r="CJ1009" s="128"/>
      <c r="CK1009" s="128"/>
      <c r="CL1009" s="128"/>
      <c r="CM1009" s="128"/>
      <c r="CN1009" s="128"/>
      <c r="CO1009" s="128"/>
      <c r="CP1009" s="128"/>
      <c r="CQ1009" s="128"/>
      <c r="CR1009" s="128"/>
      <c r="CS1009" s="128"/>
      <c r="CT1009" s="128"/>
      <c r="CU1009" s="128"/>
      <c r="CV1009" s="128"/>
      <c r="CW1009" s="128"/>
      <c r="CX1009" s="128"/>
      <c r="CY1009" s="128"/>
      <c r="CZ1009" s="128"/>
    </row>
    <row r="1010" spans="1:104">
      <c r="A1010" s="128"/>
      <c r="B1010" s="128"/>
      <c r="C1010" s="128"/>
      <c r="D1010" s="112"/>
      <c r="E1010" s="128"/>
      <c r="F1010" s="128"/>
      <c r="G1010" s="128"/>
      <c r="H1010" s="128"/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  <c r="AV1010" s="128"/>
      <c r="AW1010" s="128"/>
      <c r="AX1010" s="128"/>
      <c r="AY1010" s="128"/>
      <c r="AZ1010" s="128"/>
      <c r="BA1010" s="128"/>
      <c r="BB1010" s="128"/>
      <c r="BC1010" s="128"/>
      <c r="BD1010" s="128"/>
      <c r="BE1010" s="128"/>
      <c r="BF1010" s="128"/>
      <c r="BG1010" s="128"/>
      <c r="BH1010" s="128"/>
      <c r="BI1010" s="128"/>
      <c r="BJ1010" s="128"/>
      <c r="BK1010" s="128"/>
      <c r="BL1010" s="128"/>
      <c r="BM1010" s="151"/>
      <c r="BN1010" s="128"/>
      <c r="BO1010" s="128"/>
      <c r="BP1010" s="128"/>
      <c r="BQ1010" s="128"/>
      <c r="BR1010" s="128"/>
      <c r="BS1010" s="128"/>
      <c r="BT1010" s="128"/>
      <c r="BU1010" s="128"/>
      <c r="BV1010" s="128"/>
      <c r="BW1010" s="128"/>
      <c r="BX1010" s="128"/>
      <c r="BY1010" s="128"/>
      <c r="BZ1010" s="128"/>
      <c r="CA1010" s="128"/>
      <c r="CB1010" s="128"/>
      <c r="CC1010" s="128"/>
      <c r="CD1010" s="128"/>
      <c r="CE1010" s="128"/>
      <c r="CF1010" s="128"/>
      <c r="CG1010" s="128"/>
      <c r="CH1010" s="128"/>
      <c r="CI1010" s="128"/>
      <c r="CJ1010" s="128"/>
      <c r="CK1010" s="128"/>
      <c r="CL1010" s="128"/>
      <c r="CM1010" s="128"/>
      <c r="CN1010" s="128"/>
      <c r="CO1010" s="128"/>
      <c r="CP1010" s="128"/>
      <c r="CQ1010" s="128"/>
      <c r="CR1010" s="128"/>
      <c r="CS1010" s="128"/>
      <c r="CT1010" s="128"/>
      <c r="CU1010" s="128"/>
      <c r="CV1010" s="128"/>
      <c r="CW1010" s="128"/>
      <c r="CX1010" s="128"/>
      <c r="CY1010" s="128"/>
      <c r="CZ1010" s="128"/>
    </row>
    <row r="1011" spans="1:104">
      <c r="A1011" s="128"/>
      <c r="B1011" s="128"/>
      <c r="C1011" s="128"/>
      <c r="D1011" s="112"/>
      <c r="E1011" s="128"/>
      <c r="F1011" s="128"/>
      <c r="G1011" s="128"/>
      <c r="H1011" s="128"/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  <c r="AV1011" s="128"/>
      <c r="AW1011" s="128"/>
      <c r="AX1011" s="128"/>
      <c r="AY1011" s="128"/>
      <c r="AZ1011" s="128"/>
      <c r="BA1011" s="128"/>
      <c r="BB1011" s="128"/>
      <c r="BC1011" s="128"/>
      <c r="BD1011" s="128"/>
      <c r="BE1011" s="128"/>
      <c r="BF1011" s="128"/>
      <c r="BG1011" s="128"/>
      <c r="BH1011" s="128"/>
      <c r="BI1011" s="128"/>
      <c r="BJ1011" s="128"/>
      <c r="BK1011" s="128"/>
      <c r="BL1011" s="128"/>
      <c r="BM1011" s="151"/>
      <c r="BN1011" s="128"/>
      <c r="BO1011" s="128"/>
      <c r="BP1011" s="128"/>
      <c r="BQ1011" s="128"/>
      <c r="BR1011" s="128"/>
      <c r="BS1011" s="128"/>
      <c r="BT1011" s="128"/>
      <c r="BU1011" s="128"/>
      <c r="BV1011" s="128"/>
      <c r="BW1011" s="128"/>
      <c r="BX1011" s="128"/>
      <c r="BY1011" s="128"/>
      <c r="BZ1011" s="128"/>
      <c r="CA1011" s="128"/>
      <c r="CB1011" s="128"/>
      <c r="CC1011" s="128"/>
      <c r="CD1011" s="128"/>
      <c r="CE1011" s="128"/>
      <c r="CF1011" s="128"/>
      <c r="CG1011" s="128"/>
      <c r="CH1011" s="128"/>
      <c r="CI1011" s="128"/>
      <c r="CJ1011" s="128"/>
      <c r="CK1011" s="128"/>
      <c r="CL1011" s="128"/>
      <c r="CM1011" s="128"/>
      <c r="CN1011" s="128"/>
      <c r="CO1011" s="128"/>
      <c r="CP1011" s="128"/>
      <c r="CQ1011" s="128"/>
      <c r="CR1011" s="128"/>
      <c r="CS1011" s="128"/>
      <c r="CT1011" s="128"/>
      <c r="CU1011" s="128"/>
      <c r="CV1011" s="128"/>
      <c r="CW1011" s="128"/>
      <c r="CX1011" s="128"/>
      <c r="CY1011" s="128"/>
      <c r="CZ1011" s="128"/>
    </row>
    <row r="1012" spans="1:104">
      <c r="A1012" s="128"/>
      <c r="B1012" s="128"/>
      <c r="C1012" s="128"/>
      <c r="D1012" s="112"/>
      <c r="E1012" s="128"/>
      <c r="F1012" s="128"/>
      <c r="G1012" s="128"/>
      <c r="H1012" s="128"/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  <c r="AV1012" s="128"/>
      <c r="AW1012" s="128"/>
      <c r="AX1012" s="128"/>
      <c r="AY1012" s="128"/>
      <c r="AZ1012" s="128"/>
      <c r="BA1012" s="128"/>
      <c r="BB1012" s="128"/>
      <c r="BC1012" s="128"/>
      <c r="BD1012" s="128"/>
      <c r="BE1012" s="128"/>
      <c r="BF1012" s="128"/>
      <c r="BG1012" s="128"/>
      <c r="BH1012" s="128"/>
      <c r="BI1012" s="128"/>
      <c r="BJ1012" s="128"/>
      <c r="BK1012" s="128"/>
      <c r="BL1012" s="128"/>
      <c r="BM1012" s="151"/>
      <c r="BN1012" s="128"/>
      <c r="BO1012" s="128"/>
      <c r="BP1012" s="128"/>
      <c r="BQ1012" s="128"/>
      <c r="BR1012" s="128"/>
      <c r="BS1012" s="128"/>
      <c r="BT1012" s="128"/>
      <c r="BU1012" s="128"/>
      <c r="BV1012" s="128"/>
      <c r="BW1012" s="128"/>
      <c r="BX1012" s="128"/>
      <c r="BY1012" s="128"/>
      <c r="BZ1012" s="128"/>
      <c r="CA1012" s="128"/>
      <c r="CB1012" s="128"/>
      <c r="CC1012" s="128"/>
      <c r="CD1012" s="128"/>
      <c r="CE1012" s="128"/>
      <c r="CF1012" s="128"/>
      <c r="CG1012" s="128"/>
      <c r="CH1012" s="128"/>
      <c r="CI1012" s="128"/>
      <c r="CJ1012" s="128"/>
      <c r="CK1012" s="128"/>
      <c r="CL1012" s="128"/>
      <c r="CM1012" s="128"/>
      <c r="CN1012" s="128"/>
      <c r="CO1012" s="128"/>
      <c r="CP1012" s="128"/>
      <c r="CQ1012" s="128"/>
      <c r="CR1012" s="128"/>
      <c r="CS1012" s="128"/>
      <c r="CT1012" s="128"/>
      <c r="CU1012" s="128"/>
      <c r="CV1012" s="128"/>
      <c r="CW1012" s="128"/>
      <c r="CX1012" s="128"/>
      <c r="CY1012" s="128"/>
      <c r="CZ1012" s="128"/>
    </row>
    <row r="1013" spans="1:104">
      <c r="A1013" s="128"/>
      <c r="B1013" s="128"/>
      <c r="C1013" s="128"/>
      <c r="D1013" s="112"/>
      <c r="E1013" s="128"/>
      <c r="F1013" s="128"/>
      <c r="G1013" s="128"/>
      <c r="H1013" s="128"/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  <c r="AV1013" s="128"/>
      <c r="AW1013" s="128"/>
      <c r="AX1013" s="128"/>
      <c r="AY1013" s="128"/>
      <c r="AZ1013" s="128"/>
      <c r="BA1013" s="128"/>
      <c r="BB1013" s="128"/>
      <c r="BC1013" s="128"/>
      <c r="BD1013" s="128"/>
      <c r="BE1013" s="128"/>
      <c r="BF1013" s="128"/>
      <c r="BG1013" s="128"/>
      <c r="BH1013" s="128"/>
      <c r="BI1013" s="128"/>
      <c r="BJ1013" s="128"/>
      <c r="BK1013" s="128"/>
      <c r="BL1013" s="128"/>
      <c r="BM1013" s="151"/>
      <c r="BN1013" s="128"/>
      <c r="BO1013" s="128"/>
      <c r="BP1013" s="128"/>
      <c r="BQ1013" s="128"/>
      <c r="BR1013" s="128"/>
      <c r="BS1013" s="128"/>
      <c r="BT1013" s="128"/>
      <c r="BU1013" s="128"/>
      <c r="BV1013" s="128"/>
      <c r="BW1013" s="128"/>
      <c r="BX1013" s="128"/>
      <c r="BY1013" s="128"/>
      <c r="BZ1013" s="128"/>
      <c r="CA1013" s="128"/>
      <c r="CB1013" s="128"/>
      <c r="CC1013" s="128"/>
      <c r="CD1013" s="128"/>
      <c r="CE1013" s="128"/>
      <c r="CF1013" s="128"/>
      <c r="CG1013" s="128"/>
      <c r="CH1013" s="128"/>
      <c r="CI1013" s="128"/>
      <c r="CJ1013" s="128"/>
      <c r="CK1013" s="128"/>
      <c r="CL1013" s="128"/>
      <c r="CM1013" s="128"/>
      <c r="CN1013" s="128"/>
      <c r="CO1013" s="128"/>
      <c r="CP1013" s="128"/>
      <c r="CQ1013" s="128"/>
      <c r="CR1013" s="128"/>
      <c r="CS1013" s="128"/>
      <c r="CT1013" s="128"/>
      <c r="CU1013" s="128"/>
      <c r="CV1013" s="128"/>
      <c r="CW1013" s="128"/>
      <c r="CX1013" s="128"/>
      <c r="CY1013" s="128"/>
      <c r="CZ1013" s="128"/>
    </row>
    <row r="1014" spans="1:104">
      <c r="A1014" s="128"/>
      <c r="B1014" s="128"/>
      <c r="C1014" s="128"/>
      <c r="D1014" s="112"/>
      <c r="E1014" s="128"/>
      <c r="F1014" s="128"/>
      <c r="G1014" s="128"/>
      <c r="H1014" s="128"/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  <c r="AV1014" s="128"/>
      <c r="AW1014" s="128"/>
      <c r="AX1014" s="128"/>
      <c r="AY1014" s="128"/>
      <c r="AZ1014" s="128"/>
      <c r="BA1014" s="128"/>
      <c r="BB1014" s="128"/>
      <c r="BC1014" s="128"/>
      <c r="BD1014" s="128"/>
      <c r="BE1014" s="128"/>
      <c r="BF1014" s="128"/>
      <c r="BG1014" s="128"/>
      <c r="BH1014" s="128"/>
      <c r="BI1014" s="128"/>
      <c r="BJ1014" s="128"/>
      <c r="BK1014" s="128"/>
      <c r="BL1014" s="128"/>
      <c r="BM1014" s="151"/>
      <c r="BN1014" s="128"/>
      <c r="BO1014" s="128"/>
      <c r="BP1014" s="128"/>
      <c r="BQ1014" s="128"/>
      <c r="BR1014" s="128"/>
      <c r="BS1014" s="128"/>
      <c r="BT1014" s="128"/>
      <c r="BU1014" s="128"/>
      <c r="BV1014" s="128"/>
      <c r="BW1014" s="128"/>
      <c r="BX1014" s="128"/>
      <c r="BY1014" s="128"/>
      <c r="BZ1014" s="128"/>
      <c r="CA1014" s="128"/>
      <c r="CB1014" s="128"/>
      <c r="CC1014" s="128"/>
      <c r="CD1014" s="128"/>
      <c r="CE1014" s="128"/>
      <c r="CF1014" s="128"/>
      <c r="CG1014" s="128"/>
      <c r="CH1014" s="128"/>
      <c r="CI1014" s="128"/>
      <c r="CJ1014" s="128"/>
      <c r="CK1014" s="128"/>
      <c r="CL1014" s="128"/>
      <c r="CM1014" s="128"/>
      <c r="CN1014" s="128"/>
      <c r="CO1014" s="128"/>
      <c r="CP1014" s="128"/>
      <c r="CQ1014" s="128"/>
      <c r="CR1014" s="128"/>
      <c r="CS1014" s="128"/>
      <c r="CT1014" s="128"/>
      <c r="CU1014" s="128"/>
      <c r="CV1014" s="128"/>
      <c r="CW1014" s="128"/>
      <c r="CX1014" s="128"/>
      <c r="CY1014" s="128"/>
      <c r="CZ1014" s="128"/>
    </row>
    <row r="1015" spans="1:104">
      <c r="A1015" s="128"/>
      <c r="B1015" s="128"/>
      <c r="C1015" s="128"/>
      <c r="D1015" s="112"/>
      <c r="E1015" s="128"/>
      <c r="F1015" s="128"/>
      <c r="G1015" s="128"/>
      <c r="H1015" s="128"/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  <c r="AV1015" s="128"/>
      <c r="AW1015" s="128"/>
      <c r="AX1015" s="128"/>
      <c r="AY1015" s="128"/>
      <c r="AZ1015" s="128"/>
      <c r="BA1015" s="128"/>
      <c r="BB1015" s="128"/>
      <c r="BC1015" s="128"/>
      <c r="BD1015" s="128"/>
      <c r="BE1015" s="128"/>
      <c r="BF1015" s="128"/>
      <c r="BG1015" s="128"/>
      <c r="BH1015" s="128"/>
      <c r="BI1015" s="128"/>
      <c r="BJ1015" s="128"/>
      <c r="BK1015" s="128"/>
      <c r="BL1015" s="128"/>
      <c r="BM1015" s="151"/>
      <c r="BN1015" s="128"/>
      <c r="BO1015" s="128"/>
      <c r="BP1015" s="128"/>
      <c r="BQ1015" s="128"/>
      <c r="BR1015" s="128"/>
      <c r="BS1015" s="128"/>
      <c r="BT1015" s="128"/>
      <c r="BU1015" s="128"/>
      <c r="BV1015" s="128"/>
      <c r="BW1015" s="128"/>
      <c r="BX1015" s="128"/>
      <c r="BY1015" s="128"/>
      <c r="BZ1015" s="128"/>
      <c r="CA1015" s="128"/>
      <c r="CB1015" s="128"/>
      <c r="CC1015" s="128"/>
      <c r="CD1015" s="128"/>
      <c r="CE1015" s="128"/>
      <c r="CF1015" s="128"/>
      <c r="CG1015" s="128"/>
      <c r="CH1015" s="128"/>
      <c r="CI1015" s="128"/>
      <c r="CJ1015" s="128"/>
      <c r="CK1015" s="128"/>
      <c r="CL1015" s="128"/>
      <c r="CM1015" s="128"/>
      <c r="CN1015" s="128"/>
      <c r="CO1015" s="128"/>
      <c r="CP1015" s="128"/>
      <c r="CQ1015" s="128"/>
      <c r="CR1015" s="128"/>
      <c r="CS1015" s="128"/>
      <c r="CT1015" s="128"/>
      <c r="CU1015" s="128"/>
      <c r="CV1015" s="128"/>
      <c r="CW1015" s="128"/>
      <c r="CX1015" s="128"/>
      <c r="CY1015" s="128"/>
      <c r="CZ1015" s="128"/>
    </row>
    <row r="1016" spans="1:104">
      <c r="A1016" s="128"/>
      <c r="B1016" s="128"/>
      <c r="C1016" s="128"/>
      <c r="D1016" s="112"/>
      <c r="E1016" s="128"/>
      <c r="F1016" s="128"/>
      <c r="G1016" s="128"/>
      <c r="H1016" s="128"/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  <c r="AV1016" s="128"/>
      <c r="AW1016" s="128"/>
      <c r="AX1016" s="128"/>
      <c r="AY1016" s="128"/>
      <c r="AZ1016" s="128"/>
      <c r="BA1016" s="128"/>
      <c r="BB1016" s="128"/>
      <c r="BC1016" s="128"/>
      <c r="BD1016" s="128"/>
      <c r="BE1016" s="128"/>
      <c r="BF1016" s="128"/>
      <c r="BG1016" s="128"/>
      <c r="BH1016" s="128"/>
      <c r="BI1016" s="128"/>
      <c r="BJ1016" s="128"/>
      <c r="BK1016" s="128"/>
      <c r="BL1016" s="128"/>
      <c r="BM1016" s="151"/>
      <c r="BN1016" s="128"/>
      <c r="BO1016" s="128"/>
      <c r="BP1016" s="128"/>
      <c r="BQ1016" s="128"/>
      <c r="BR1016" s="128"/>
      <c r="BS1016" s="128"/>
      <c r="BT1016" s="128"/>
      <c r="BU1016" s="128"/>
      <c r="BV1016" s="128"/>
      <c r="BW1016" s="128"/>
      <c r="BX1016" s="128"/>
      <c r="BY1016" s="128"/>
      <c r="BZ1016" s="128"/>
      <c r="CA1016" s="128"/>
      <c r="CB1016" s="128"/>
      <c r="CC1016" s="128"/>
      <c r="CD1016" s="128"/>
      <c r="CE1016" s="128"/>
      <c r="CF1016" s="128"/>
      <c r="CG1016" s="128"/>
      <c r="CH1016" s="128"/>
      <c r="CI1016" s="128"/>
      <c r="CJ1016" s="128"/>
      <c r="CK1016" s="128"/>
      <c r="CL1016" s="128"/>
      <c r="CM1016" s="128"/>
      <c r="CN1016" s="128"/>
      <c r="CO1016" s="128"/>
      <c r="CP1016" s="128"/>
      <c r="CQ1016" s="128"/>
      <c r="CR1016" s="128"/>
      <c r="CS1016" s="128"/>
      <c r="CT1016" s="128"/>
      <c r="CU1016" s="128"/>
      <c r="CV1016" s="128"/>
      <c r="CW1016" s="128"/>
      <c r="CX1016" s="128"/>
      <c r="CY1016" s="128"/>
      <c r="CZ1016" s="128"/>
    </row>
    <row r="1017" spans="1:104">
      <c r="A1017" s="128"/>
      <c r="B1017" s="128"/>
      <c r="C1017" s="128"/>
      <c r="D1017" s="112"/>
      <c r="E1017" s="128"/>
      <c r="F1017" s="128"/>
      <c r="G1017" s="128"/>
      <c r="H1017" s="128"/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  <c r="AV1017" s="128"/>
      <c r="AW1017" s="128"/>
      <c r="AX1017" s="128"/>
      <c r="AY1017" s="128"/>
      <c r="AZ1017" s="128"/>
      <c r="BA1017" s="128"/>
      <c r="BB1017" s="128"/>
      <c r="BC1017" s="128"/>
      <c r="BD1017" s="128"/>
      <c r="BE1017" s="128"/>
      <c r="BF1017" s="128"/>
      <c r="BG1017" s="128"/>
      <c r="BH1017" s="128"/>
      <c r="BI1017" s="128"/>
      <c r="BJ1017" s="128"/>
      <c r="BK1017" s="128"/>
      <c r="BL1017" s="128"/>
      <c r="BM1017" s="151"/>
      <c r="BN1017" s="128"/>
      <c r="BO1017" s="128"/>
      <c r="BP1017" s="128"/>
      <c r="BQ1017" s="128"/>
      <c r="BR1017" s="128"/>
      <c r="BS1017" s="128"/>
      <c r="BT1017" s="128"/>
      <c r="BU1017" s="128"/>
      <c r="BV1017" s="128"/>
      <c r="BW1017" s="128"/>
      <c r="BX1017" s="128"/>
      <c r="BY1017" s="128"/>
      <c r="BZ1017" s="128"/>
      <c r="CA1017" s="128"/>
      <c r="CB1017" s="128"/>
      <c r="CC1017" s="128"/>
      <c r="CD1017" s="128"/>
      <c r="CE1017" s="128"/>
      <c r="CF1017" s="128"/>
      <c r="CG1017" s="128"/>
      <c r="CH1017" s="128"/>
      <c r="CI1017" s="128"/>
      <c r="CJ1017" s="128"/>
      <c r="CK1017" s="128"/>
      <c r="CL1017" s="128"/>
      <c r="CM1017" s="128"/>
      <c r="CN1017" s="128"/>
      <c r="CO1017" s="128"/>
      <c r="CP1017" s="128"/>
      <c r="CQ1017" s="128"/>
      <c r="CR1017" s="128"/>
      <c r="CS1017" s="128"/>
      <c r="CT1017" s="128"/>
      <c r="CU1017" s="128"/>
      <c r="CV1017" s="128"/>
      <c r="CW1017" s="128"/>
      <c r="CX1017" s="128"/>
      <c r="CY1017" s="128"/>
      <c r="CZ1017" s="128"/>
    </row>
    <row r="1018" spans="1:104">
      <c r="A1018" s="128"/>
      <c r="B1018" s="128"/>
      <c r="C1018" s="128"/>
      <c r="D1018" s="112"/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  <c r="AV1018" s="128"/>
      <c r="AW1018" s="128"/>
      <c r="AX1018" s="128"/>
      <c r="AY1018" s="128"/>
      <c r="AZ1018" s="128"/>
      <c r="BA1018" s="128"/>
      <c r="BB1018" s="128"/>
      <c r="BC1018" s="128"/>
      <c r="BD1018" s="128"/>
      <c r="BE1018" s="128"/>
      <c r="BF1018" s="128"/>
      <c r="BG1018" s="128"/>
      <c r="BH1018" s="128"/>
      <c r="BI1018" s="128"/>
      <c r="BJ1018" s="128"/>
      <c r="BK1018" s="128"/>
      <c r="BL1018" s="128"/>
      <c r="BM1018" s="151"/>
      <c r="BN1018" s="128"/>
      <c r="BO1018" s="128"/>
      <c r="BP1018" s="128"/>
      <c r="BQ1018" s="128"/>
      <c r="BR1018" s="128"/>
      <c r="BS1018" s="128"/>
      <c r="BT1018" s="128"/>
      <c r="BU1018" s="128"/>
      <c r="BV1018" s="128"/>
      <c r="BW1018" s="128"/>
      <c r="BX1018" s="128"/>
      <c r="BY1018" s="128"/>
      <c r="BZ1018" s="128"/>
      <c r="CA1018" s="128"/>
      <c r="CB1018" s="128"/>
      <c r="CC1018" s="128"/>
      <c r="CD1018" s="128"/>
      <c r="CE1018" s="128"/>
      <c r="CF1018" s="128"/>
      <c r="CG1018" s="128"/>
      <c r="CH1018" s="128"/>
      <c r="CI1018" s="128"/>
      <c r="CJ1018" s="128"/>
      <c r="CK1018" s="128"/>
      <c r="CL1018" s="128"/>
      <c r="CM1018" s="128"/>
      <c r="CN1018" s="128"/>
      <c r="CO1018" s="128"/>
      <c r="CP1018" s="128"/>
      <c r="CQ1018" s="128"/>
      <c r="CR1018" s="128"/>
      <c r="CS1018" s="128"/>
      <c r="CT1018" s="128"/>
      <c r="CU1018" s="128"/>
      <c r="CV1018" s="128"/>
      <c r="CW1018" s="128"/>
      <c r="CX1018" s="128"/>
      <c r="CY1018" s="128"/>
      <c r="CZ1018" s="128"/>
    </row>
    <row r="1019" spans="1:104">
      <c r="A1019" s="128"/>
      <c r="B1019" s="128"/>
      <c r="C1019" s="128"/>
      <c r="D1019" s="112"/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  <c r="AV1019" s="128"/>
      <c r="AW1019" s="128"/>
      <c r="AX1019" s="128"/>
      <c r="AY1019" s="128"/>
      <c r="AZ1019" s="128"/>
      <c r="BA1019" s="128"/>
      <c r="BB1019" s="128"/>
      <c r="BC1019" s="128"/>
      <c r="BD1019" s="128"/>
      <c r="BE1019" s="128"/>
      <c r="BF1019" s="128"/>
      <c r="BG1019" s="128"/>
      <c r="BH1019" s="128"/>
      <c r="BI1019" s="128"/>
      <c r="BJ1019" s="128"/>
      <c r="BK1019" s="128"/>
      <c r="BL1019" s="128"/>
      <c r="BM1019" s="151"/>
      <c r="BN1019" s="128"/>
      <c r="BO1019" s="128"/>
      <c r="BP1019" s="128"/>
      <c r="BQ1019" s="128"/>
      <c r="BR1019" s="128"/>
      <c r="BS1019" s="128"/>
      <c r="BT1019" s="128"/>
      <c r="BU1019" s="128"/>
      <c r="BV1019" s="128"/>
      <c r="BW1019" s="128"/>
      <c r="BX1019" s="128"/>
      <c r="BY1019" s="128"/>
      <c r="BZ1019" s="128"/>
      <c r="CA1019" s="128"/>
      <c r="CB1019" s="128"/>
      <c r="CC1019" s="128"/>
      <c r="CD1019" s="128"/>
      <c r="CE1019" s="128"/>
      <c r="CF1019" s="128"/>
      <c r="CG1019" s="128"/>
      <c r="CH1019" s="128"/>
      <c r="CI1019" s="128"/>
      <c r="CJ1019" s="128"/>
      <c r="CK1019" s="128"/>
      <c r="CL1019" s="128"/>
      <c r="CM1019" s="128"/>
      <c r="CN1019" s="128"/>
      <c r="CO1019" s="128"/>
      <c r="CP1019" s="128"/>
      <c r="CQ1019" s="128"/>
      <c r="CR1019" s="128"/>
      <c r="CS1019" s="128"/>
      <c r="CT1019" s="128"/>
      <c r="CU1019" s="128"/>
      <c r="CV1019" s="128"/>
      <c r="CW1019" s="128"/>
      <c r="CX1019" s="128"/>
      <c r="CY1019" s="128"/>
      <c r="CZ1019" s="128"/>
    </row>
    <row r="1020" spans="1:104">
      <c r="A1020" s="128"/>
      <c r="B1020" s="128"/>
      <c r="C1020" s="128"/>
      <c r="D1020" s="112"/>
      <c r="E1020" s="128"/>
      <c r="F1020" s="128"/>
      <c r="G1020" s="128"/>
      <c r="H1020" s="128"/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  <c r="AV1020" s="128"/>
      <c r="AW1020" s="128"/>
      <c r="AX1020" s="128"/>
      <c r="AY1020" s="128"/>
      <c r="AZ1020" s="128"/>
      <c r="BA1020" s="128"/>
      <c r="BB1020" s="128"/>
      <c r="BC1020" s="128"/>
      <c r="BD1020" s="128"/>
      <c r="BE1020" s="128"/>
      <c r="BF1020" s="128"/>
      <c r="BG1020" s="128"/>
      <c r="BH1020" s="128"/>
      <c r="BI1020" s="128"/>
      <c r="BJ1020" s="128"/>
      <c r="BK1020" s="128"/>
      <c r="BL1020" s="128"/>
      <c r="BM1020" s="151"/>
      <c r="BN1020" s="128"/>
      <c r="BO1020" s="128"/>
      <c r="BP1020" s="128"/>
      <c r="BQ1020" s="128"/>
      <c r="BR1020" s="128"/>
      <c r="BS1020" s="128"/>
      <c r="BT1020" s="128"/>
      <c r="BU1020" s="128"/>
      <c r="BV1020" s="128"/>
      <c r="BW1020" s="128"/>
      <c r="BX1020" s="128"/>
      <c r="BY1020" s="128"/>
      <c r="BZ1020" s="128"/>
      <c r="CA1020" s="128"/>
      <c r="CB1020" s="128"/>
      <c r="CC1020" s="128"/>
      <c r="CD1020" s="128"/>
      <c r="CE1020" s="128"/>
      <c r="CF1020" s="128"/>
      <c r="CG1020" s="128"/>
      <c r="CH1020" s="128"/>
      <c r="CI1020" s="128"/>
      <c r="CJ1020" s="128"/>
      <c r="CK1020" s="128"/>
      <c r="CL1020" s="128"/>
      <c r="CM1020" s="128"/>
      <c r="CN1020" s="128"/>
      <c r="CO1020" s="128"/>
      <c r="CP1020" s="128"/>
      <c r="CQ1020" s="128"/>
      <c r="CR1020" s="128"/>
      <c r="CS1020" s="128"/>
      <c r="CT1020" s="128"/>
      <c r="CU1020" s="128"/>
      <c r="CV1020" s="128"/>
      <c r="CW1020" s="128"/>
      <c r="CX1020" s="128"/>
      <c r="CY1020" s="128"/>
      <c r="CZ1020" s="128"/>
    </row>
    <row r="1021" spans="1:104">
      <c r="A1021" s="128"/>
      <c r="B1021" s="128"/>
      <c r="C1021" s="128"/>
      <c r="D1021" s="112"/>
      <c r="E1021" s="128"/>
      <c r="F1021" s="128"/>
      <c r="G1021" s="128"/>
      <c r="H1021" s="128"/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  <c r="AV1021" s="128"/>
      <c r="AW1021" s="128"/>
      <c r="AX1021" s="128"/>
      <c r="AY1021" s="128"/>
      <c r="AZ1021" s="128"/>
      <c r="BA1021" s="128"/>
      <c r="BB1021" s="128"/>
      <c r="BC1021" s="128"/>
      <c r="BD1021" s="128"/>
      <c r="BE1021" s="128"/>
      <c r="BF1021" s="128"/>
      <c r="BG1021" s="128"/>
      <c r="BH1021" s="128"/>
      <c r="BI1021" s="128"/>
      <c r="BJ1021" s="128"/>
      <c r="BK1021" s="128"/>
      <c r="BL1021" s="128"/>
      <c r="BM1021" s="151"/>
      <c r="BN1021" s="128"/>
      <c r="BO1021" s="128"/>
      <c r="BP1021" s="128"/>
      <c r="BQ1021" s="128"/>
      <c r="BR1021" s="128"/>
      <c r="BS1021" s="128"/>
      <c r="BT1021" s="128"/>
      <c r="BU1021" s="128"/>
      <c r="BV1021" s="128"/>
      <c r="BW1021" s="128"/>
      <c r="BX1021" s="128"/>
      <c r="BY1021" s="128"/>
      <c r="BZ1021" s="128"/>
      <c r="CA1021" s="128"/>
      <c r="CB1021" s="128"/>
      <c r="CC1021" s="128"/>
      <c r="CD1021" s="128"/>
      <c r="CE1021" s="128"/>
      <c r="CF1021" s="128"/>
      <c r="CG1021" s="128"/>
      <c r="CH1021" s="128"/>
      <c r="CI1021" s="128"/>
      <c r="CJ1021" s="128"/>
      <c r="CK1021" s="128"/>
      <c r="CL1021" s="128"/>
      <c r="CM1021" s="128"/>
      <c r="CN1021" s="128"/>
      <c r="CO1021" s="128"/>
      <c r="CP1021" s="128"/>
      <c r="CQ1021" s="128"/>
      <c r="CR1021" s="128"/>
      <c r="CS1021" s="128"/>
      <c r="CT1021" s="128"/>
      <c r="CU1021" s="128"/>
      <c r="CV1021" s="128"/>
      <c r="CW1021" s="128"/>
      <c r="CX1021" s="128"/>
      <c r="CY1021" s="128"/>
      <c r="CZ1021" s="128"/>
    </row>
    <row r="1022" spans="1:104">
      <c r="A1022" s="128"/>
      <c r="B1022" s="128"/>
      <c r="C1022" s="128"/>
      <c r="D1022" s="112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  <c r="AV1022" s="128"/>
      <c r="AW1022" s="128"/>
      <c r="AX1022" s="128"/>
      <c r="AY1022" s="128"/>
      <c r="AZ1022" s="128"/>
      <c r="BA1022" s="128"/>
      <c r="BB1022" s="128"/>
      <c r="BC1022" s="128"/>
      <c r="BD1022" s="128"/>
      <c r="BE1022" s="128"/>
      <c r="BF1022" s="128"/>
      <c r="BG1022" s="128"/>
      <c r="BH1022" s="128"/>
      <c r="BI1022" s="128"/>
      <c r="BJ1022" s="128"/>
      <c r="BK1022" s="128"/>
      <c r="BL1022" s="128"/>
      <c r="BM1022" s="151"/>
      <c r="BN1022" s="128"/>
      <c r="BO1022" s="128"/>
      <c r="BP1022" s="128"/>
      <c r="BQ1022" s="128"/>
      <c r="BR1022" s="128"/>
      <c r="BS1022" s="128"/>
      <c r="BT1022" s="128"/>
      <c r="BU1022" s="128"/>
      <c r="BV1022" s="128"/>
      <c r="BW1022" s="128"/>
      <c r="BX1022" s="128"/>
      <c r="BY1022" s="128"/>
      <c r="BZ1022" s="128"/>
      <c r="CA1022" s="128"/>
      <c r="CB1022" s="128"/>
      <c r="CC1022" s="128"/>
      <c r="CD1022" s="128"/>
      <c r="CE1022" s="128"/>
      <c r="CF1022" s="128"/>
      <c r="CG1022" s="128"/>
      <c r="CH1022" s="128"/>
      <c r="CI1022" s="128"/>
      <c r="CJ1022" s="128"/>
      <c r="CK1022" s="128"/>
      <c r="CL1022" s="128"/>
      <c r="CM1022" s="128"/>
      <c r="CN1022" s="128"/>
      <c r="CO1022" s="128"/>
      <c r="CP1022" s="128"/>
      <c r="CQ1022" s="128"/>
      <c r="CR1022" s="128"/>
      <c r="CS1022" s="128"/>
      <c r="CT1022" s="128"/>
      <c r="CU1022" s="128"/>
      <c r="CV1022" s="128"/>
      <c r="CW1022" s="128"/>
      <c r="CX1022" s="128"/>
      <c r="CY1022" s="128"/>
      <c r="CZ1022" s="128"/>
    </row>
    <row r="1023" spans="1:104">
      <c r="A1023" s="128"/>
      <c r="B1023" s="128"/>
      <c r="C1023" s="128"/>
      <c r="D1023" s="112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  <c r="AV1023" s="128"/>
      <c r="AW1023" s="128"/>
      <c r="AX1023" s="128"/>
      <c r="AY1023" s="128"/>
      <c r="AZ1023" s="128"/>
      <c r="BA1023" s="128"/>
      <c r="BB1023" s="128"/>
      <c r="BC1023" s="128"/>
      <c r="BD1023" s="128"/>
      <c r="BE1023" s="128"/>
      <c r="BF1023" s="128"/>
      <c r="BG1023" s="128"/>
      <c r="BH1023" s="128"/>
      <c r="BI1023" s="128"/>
      <c r="BJ1023" s="128"/>
      <c r="BK1023" s="128"/>
      <c r="BL1023" s="128"/>
      <c r="BM1023" s="151"/>
      <c r="BN1023" s="128"/>
      <c r="BO1023" s="128"/>
      <c r="BP1023" s="128"/>
      <c r="BQ1023" s="128"/>
      <c r="BR1023" s="128"/>
      <c r="BS1023" s="128"/>
      <c r="BT1023" s="128"/>
      <c r="BU1023" s="128"/>
      <c r="BV1023" s="128"/>
      <c r="BW1023" s="128"/>
      <c r="BX1023" s="128"/>
      <c r="BY1023" s="128"/>
      <c r="BZ1023" s="128"/>
      <c r="CA1023" s="128"/>
      <c r="CB1023" s="128"/>
      <c r="CC1023" s="128"/>
      <c r="CD1023" s="128"/>
      <c r="CE1023" s="128"/>
      <c r="CF1023" s="128"/>
      <c r="CG1023" s="128"/>
      <c r="CH1023" s="128"/>
      <c r="CI1023" s="128"/>
      <c r="CJ1023" s="128"/>
      <c r="CK1023" s="128"/>
      <c r="CL1023" s="128"/>
      <c r="CM1023" s="128"/>
      <c r="CN1023" s="128"/>
      <c r="CO1023" s="128"/>
      <c r="CP1023" s="128"/>
      <c r="CQ1023" s="128"/>
      <c r="CR1023" s="128"/>
      <c r="CS1023" s="128"/>
      <c r="CT1023" s="128"/>
      <c r="CU1023" s="128"/>
      <c r="CV1023" s="128"/>
      <c r="CW1023" s="128"/>
      <c r="CX1023" s="128"/>
      <c r="CY1023" s="128"/>
      <c r="CZ1023" s="128"/>
    </row>
    <row r="1024" spans="1:104">
      <c r="A1024" s="128"/>
      <c r="B1024" s="128"/>
      <c r="C1024" s="128"/>
      <c r="D1024" s="112"/>
      <c r="E1024" s="128"/>
      <c r="F1024" s="128"/>
      <c r="G1024" s="128"/>
      <c r="H1024" s="128"/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  <c r="AV1024" s="128"/>
      <c r="AW1024" s="128"/>
      <c r="AX1024" s="128"/>
      <c r="AY1024" s="128"/>
      <c r="AZ1024" s="128"/>
      <c r="BA1024" s="128"/>
      <c r="BB1024" s="128"/>
      <c r="BC1024" s="128"/>
      <c r="BD1024" s="128"/>
      <c r="BE1024" s="128"/>
      <c r="BF1024" s="128"/>
      <c r="BG1024" s="128"/>
      <c r="BH1024" s="128"/>
      <c r="BI1024" s="128"/>
      <c r="BJ1024" s="128"/>
      <c r="BK1024" s="128"/>
      <c r="BL1024" s="128"/>
      <c r="BM1024" s="151"/>
      <c r="BN1024" s="128"/>
      <c r="BO1024" s="128"/>
      <c r="BP1024" s="128"/>
      <c r="BQ1024" s="128"/>
      <c r="BR1024" s="128"/>
      <c r="BS1024" s="128"/>
      <c r="BT1024" s="128"/>
      <c r="BU1024" s="128"/>
      <c r="BV1024" s="128"/>
      <c r="BW1024" s="128"/>
      <c r="BX1024" s="128"/>
      <c r="BY1024" s="128"/>
      <c r="BZ1024" s="128"/>
      <c r="CA1024" s="128"/>
      <c r="CB1024" s="128"/>
      <c r="CC1024" s="128"/>
      <c r="CD1024" s="128"/>
      <c r="CE1024" s="128"/>
      <c r="CF1024" s="128"/>
      <c r="CG1024" s="128"/>
      <c r="CH1024" s="128"/>
      <c r="CI1024" s="128"/>
      <c r="CJ1024" s="128"/>
      <c r="CK1024" s="128"/>
      <c r="CL1024" s="128"/>
      <c r="CM1024" s="128"/>
      <c r="CN1024" s="128"/>
      <c r="CO1024" s="128"/>
      <c r="CP1024" s="128"/>
      <c r="CQ1024" s="128"/>
      <c r="CR1024" s="128"/>
      <c r="CS1024" s="128"/>
      <c r="CT1024" s="128"/>
      <c r="CU1024" s="128"/>
      <c r="CV1024" s="128"/>
      <c r="CW1024" s="128"/>
      <c r="CX1024" s="128"/>
      <c r="CY1024" s="128"/>
      <c r="CZ1024" s="128"/>
    </row>
    <row r="1025" spans="1:104">
      <c r="A1025" s="128"/>
      <c r="B1025" s="128"/>
      <c r="C1025" s="128"/>
      <c r="D1025" s="112"/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  <c r="AV1025" s="128"/>
      <c r="AW1025" s="128"/>
      <c r="AX1025" s="128"/>
      <c r="AY1025" s="128"/>
      <c r="AZ1025" s="128"/>
      <c r="BA1025" s="128"/>
      <c r="BB1025" s="128"/>
      <c r="BC1025" s="128"/>
      <c r="BD1025" s="128"/>
      <c r="BE1025" s="128"/>
      <c r="BF1025" s="128"/>
      <c r="BG1025" s="128"/>
      <c r="BH1025" s="128"/>
      <c r="BI1025" s="128"/>
      <c r="BJ1025" s="128"/>
      <c r="BK1025" s="128"/>
      <c r="BL1025" s="128"/>
      <c r="BM1025" s="151"/>
      <c r="BN1025" s="128"/>
      <c r="BO1025" s="128"/>
      <c r="BP1025" s="128"/>
      <c r="BQ1025" s="128"/>
      <c r="BR1025" s="128"/>
      <c r="BS1025" s="128"/>
      <c r="BT1025" s="128"/>
      <c r="BU1025" s="128"/>
      <c r="BV1025" s="128"/>
      <c r="BW1025" s="128"/>
      <c r="BX1025" s="128"/>
      <c r="BY1025" s="128"/>
      <c r="BZ1025" s="128"/>
      <c r="CA1025" s="128"/>
      <c r="CB1025" s="128"/>
      <c r="CC1025" s="128"/>
      <c r="CD1025" s="128"/>
      <c r="CE1025" s="128"/>
      <c r="CF1025" s="128"/>
      <c r="CG1025" s="128"/>
      <c r="CH1025" s="128"/>
      <c r="CI1025" s="128"/>
      <c r="CJ1025" s="128"/>
      <c r="CK1025" s="128"/>
      <c r="CL1025" s="128"/>
      <c r="CM1025" s="128"/>
      <c r="CN1025" s="128"/>
      <c r="CO1025" s="128"/>
      <c r="CP1025" s="128"/>
      <c r="CQ1025" s="128"/>
      <c r="CR1025" s="128"/>
      <c r="CS1025" s="128"/>
      <c r="CT1025" s="128"/>
      <c r="CU1025" s="128"/>
      <c r="CV1025" s="128"/>
      <c r="CW1025" s="128"/>
      <c r="CX1025" s="128"/>
      <c r="CY1025" s="128"/>
      <c r="CZ1025" s="128"/>
    </row>
    <row r="1026" spans="1:104">
      <c r="A1026" s="128"/>
      <c r="B1026" s="128"/>
      <c r="C1026" s="128"/>
      <c r="D1026" s="112"/>
      <c r="E1026" s="128"/>
      <c r="F1026" s="128"/>
      <c r="G1026" s="128"/>
      <c r="H1026" s="128"/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  <c r="AV1026" s="128"/>
      <c r="AW1026" s="128"/>
      <c r="AX1026" s="128"/>
      <c r="AY1026" s="128"/>
      <c r="AZ1026" s="128"/>
      <c r="BA1026" s="128"/>
      <c r="BB1026" s="128"/>
      <c r="BC1026" s="128"/>
      <c r="BD1026" s="128"/>
      <c r="BE1026" s="128"/>
      <c r="BF1026" s="128"/>
      <c r="BG1026" s="128"/>
      <c r="BH1026" s="128"/>
      <c r="BI1026" s="128"/>
      <c r="BJ1026" s="128"/>
      <c r="BK1026" s="128"/>
      <c r="BL1026" s="128"/>
      <c r="BM1026" s="151"/>
      <c r="BN1026" s="128"/>
      <c r="BO1026" s="128"/>
      <c r="BP1026" s="128"/>
      <c r="BQ1026" s="128"/>
      <c r="BR1026" s="128"/>
      <c r="BS1026" s="128"/>
      <c r="BT1026" s="128"/>
      <c r="BU1026" s="128"/>
      <c r="BV1026" s="128"/>
      <c r="BW1026" s="128"/>
      <c r="BX1026" s="128"/>
      <c r="BY1026" s="128"/>
      <c r="BZ1026" s="128"/>
      <c r="CA1026" s="128"/>
      <c r="CB1026" s="128"/>
      <c r="CC1026" s="128"/>
      <c r="CD1026" s="128"/>
      <c r="CE1026" s="128"/>
      <c r="CF1026" s="128"/>
      <c r="CG1026" s="128"/>
      <c r="CH1026" s="128"/>
      <c r="CI1026" s="128"/>
      <c r="CJ1026" s="128"/>
      <c r="CK1026" s="128"/>
      <c r="CL1026" s="128"/>
      <c r="CM1026" s="128"/>
      <c r="CN1026" s="128"/>
      <c r="CO1026" s="128"/>
      <c r="CP1026" s="128"/>
      <c r="CQ1026" s="128"/>
      <c r="CR1026" s="128"/>
      <c r="CS1026" s="128"/>
      <c r="CT1026" s="128"/>
      <c r="CU1026" s="128"/>
      <c r="CV1026" s="128"/>
      <c r="CW1026" s="128"/>
      <c r="CX1026" s="128"/>
      <c r="CY1026" s="128"/>
      <c r="CZ1026" s="128"/>
    </row>
    <row r="1027" spans="1:104">
      <c r="A1027" s="128"/>
      <c r="B1027" s="128"/>
      <c r="C1027" s="128"/>
      <c r="D1027" s="112"/>
      <c r="E1027" s="128"/>
      <c r="F1027" s="128"/>
      <c r="G1027" s="128"/>
      <c r="H1027" s="128"/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  <c r="AV1027" s="128"/>
      <c r="AW1027" s="128"/>
      <c r="AX1027" s="128"/>
      <c r="AY1027" s="128"/>
      <c r="AZ1027" s="128"/>
      <c r="BA1027" s="128"/>
      <c r="BB1027" s="128"/>
      <c r="BC1027" s="128"/>
      <c r="BD1027" s="128"/>
      <c r="BE1027" s="128"/>
      <c r="BF1027" s="128"/>
      <c r="BG1027" s="128"/>
      <c r="BH1027" s="128"/>
      <c r="BI1027" s="128"/>
      <c r="BJ1027" s="128"/>
      <c r="BK1027" s="128"/>
      <c r="BL1027" s="128"/>
      <c r="BM1027" s="151"/>
      <c r="BN1027" s="128"/>
      <c r="BO1027" s="128"/>
      <c r="BP1027" s="128"/>
      <c r="BQ1027" s="128"/>
      <c r="BR1027" s="128"/>
      <c r="BS1027" s="128"/>
      <c r="BT1027" s="128"/>
      <c r="BU1027" s="128"/>
      <c r="BV1027" s="128"/>
      <c r="BW1027" s="128"/>
      <c r="BX1027" s="128"/>
      <c r="BY1027" s="128"/>
      <c r="BZ1027" s="128"/>
      <c r="CA1027" s="128"/>
      <c r="CB1027" s="128"/>
      <c r="CC1027" s="128"/>
      <c r="CD1027" s="128"/>
      <c r="CE1027" s="128"/>
      <c r="CF1027" s="128"/>
      <c r="CG1027" s="128"/>
      <c r="CH1027" s="128"/>
      <c r="CI1027" s="128"/>
      <c r="CJ1027" s="128"/>
      <c r="CK1027" s="128"/>
      <c r="CL1027" s="128"/>
      <c r="CM1027" s="128"/>
      <c r="CN1027" s="128"/>
      <c r="CO1027" s="128"/>
      <c r="CP1027" s="128"/>
      <c r="CQ1027" s="128"/>
      <c r="CR1027" s="128"/>
      <c r="CS1027" s="128"/>
      <c r="CT1027" s="128"/>
      <c r="CU1027" s="128"/>
      <c r="CV1027" s="128"/>
      <c r="CW1027" s="128"/>
      <c r="CX1027" s="128"/>
      <c r="CY1027" s="128"/>
      <c r="CZ1027" s="128"/>
    </row>
    <row r="1028" spans="1:104">
      <c r="A1028" s="128"/>
      <c r="B1028" s="128"/>
      <c r="C1028" s="128"/>
      <c r="D1028" s="112"/>
      <c r="E1028" s="128"/>
      <c r="F1028" s="128"/>
      <c r="G1028" s="128"/>
      <c r="H1028" s="128"/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  <c r="AV1028" s="128"/>
      <c r="AW1028" s="128"/>
      <c r="AX1028" s="128"/>
      <c r="AY1028" s="128"/>
      <c r="AZ1028" s="128"/>
      <c r="BA1028" s="128"/>
      <c r="BB1028" s="128"/>
      <c r="BC1028" s="128"/>
      <c r="BD1028" s="128"/>
      <c r="BE1028" s="128"/>
      <c r="BF1028" s="128"/>
      <c r="BG1028" s="128"/>
      <c r="BH1028" s="128"/>
      <c r="BI1028" s="128"/>
      <c r="BJ1028" s="128"/>
      <c r="BK1028" s="128"/>
      <c r="BL1028" s="128"/>
      <c r="BM1028" s="151"/>
      <c r="BN1028" s="128"/>
      <c r="BO1028" s="128"/>
      <c r="BP1028" s="128"/>
      <c r="BQ1028" s="128"/>
      <c r="BR1028" s="128"/>
      <c r="BS1028" s="128"/>
      <c r="BT1028" s="128"/>
      <c r="BU1028" s="128"/>
      <c r="BV1028" s="128"/>
      <c r="BW1028" s="128"/>
      <c r="BX1028" s="128"/>
      <c r="BY1028" s="128"/>
      <c r="BZ1028" s="128"/>
      <c r="CA1028" s="128"/>
      <c r="CB1028" s="128"/>
      <c r="CC1028" s="128"/>
      <c r="CD1028" s="128"/>
      <c r="CE1028" s="128"/>
      <c r="CF1028" s="128"/>
      <c r="CG1028" s="128"/>
      <c r="CH1028" s="128"/>
      <c r="CI1028" s="128"/>
      <c r="CJ1028" s="128"/>
      <c r="CK1028" s="128"/>
      <c r="CL1028" s="128"/>
      <c r="CM1028" s="128"/>
      <c r="CN1028" s="128"/>
      <c r="CO1028" s="128"/>
      <c r="CP1028" s="128"/>
      <c r="CQ1028" s="128"/>
      <c r="CR1028" s="128"/>
      <c r="CS1028" s="128"/>
      <c r="CT1028" s="128"/>
      <c r="CU1028" s="128"/>
      <c r="CV1028" s="128"/>
      <c r="CW1028" s="128"/>
      <c r="CX1028" s="128"/>
      <c r="CY1028" s="128"/>
      <c r="CZ1028" s="128"/>
    </row>
    <row r="1029" spans="1:104">
      <c r="A1029" s="128"/>
      <c r="B1029" s="128"/>
      <c r="C1029" s="128"/>
      <c r="D1029" s="112"/>
      <c r="E1029" s="128"/>
      <c r="F1029" s="128"/>
      <c r="G1029" s="128"/>
      <c r="H1029" s="128"/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  <c r="AV1029" s="128"/>
      <c r="AW1029" s="128"/>
      <c r="AX1029" s="128"/>
      <c r="AY1029" s="128"/>
      <c r="AZ1029" s="128"/>
      <c r="BA1029" s="128"/>
      <c r="BB1029" s="128"/>
      <c r="BC1029" s="128"/>
      <c r="BD1029" s="128"/>
      <c r="BE1029" s="128"/>
      <c r="BF1029" s="128"/>
      <c r="BG1029" s="128"/>
      <c r="BH1029" s="128"/>
      <c r="BI1029" s="128"/>
      <c r="BJ1029" s="128"/>
      <c r="BK1029" s="128"/>
      <c r="BL1029" s="128"/>
      <c r="BM1029" s="151"/>
      <c r="BN1029" s="128"/>
      <c r="BO1029" s="128"/>
      <c r="BP1029" s="128"/>
      <c r="BQ1029" s="128"/>
      <c r="BR1029" s="128"/>
      <c r="BS1029" s="128"/>
      <c r="BT1029" s="128"/>
      <c r="BU1029" s="128"/>
      <c r="BV1029" s="128"/>
      <c r="BW1029" s="128"/>
      <c r="BX1029" s="128"/>
      <c r="BY1029" s="128"/>
      <c r="BZ1029" s="128"/>
      <c r="CA1029" s="128"/>
      <c r="CB1029" s="128"/>
      <c r="CC1029" s="128"/>
      <c r="CD1029" s="128"/>
      <c r="CE1029" s="128"/>
      <c r="CF1029" s="128"/>
      <c r="CG1029" s="128"/>
      <c r="CH1029" s="128"/>
      <c r="CI1029" s="128"/>
      <c r="CJ1029" s="128"/>
      <c r="CK1029" s="128"/>
      <c r="CL1029" s="128"/>
      <c r="CM1029" s="128"/>
      <c r="CN1029" s="128"/>
      <c r="CO1029" s="128"/>
      <c r="CP1029" s="128"/>
      <c r="CQ1029" s="128"/>
      <c r="CR1029" s="128"/>
      <c r="CS1029" s="128"/>
      <c r="CT1029" s="128"/>
      <c r="CU1029" s="128"/>
      <c r="CV1029" s="128"/>
      <c r="CW1029" s="128"/>
      <c r="CX1029" s="128"/>
      <c r="CY1029" s="128"/>
      <c r="CZ1029" s="128"/>
    </row>
    <row r="1030" spans="1:104">
      <c r="A1030" s="128"/>
      <c r="B1030" s="128"/>
      <c r="C1030" s="128"/>
      <c r="D1030" s="112"/>
      <c r="E1030" s="128"/>
      <c r="F1030" s="128"/>
      <c r="G1030" s="128"/>
      <c r="H1030" s="128"/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  <c r="AV1030" s="128"/>
      <c r="AW1030" s="128"/>
      <c r="AX1030" s="128"/>
      <c r="AY1030" s="128"/>
      <c r="AZ1030" s="128"/>
      <c r="BA1030" s="128"/>
      <c r="BB1030" s="128"/>
      <c r="BC1030" s="128"/>
      <c r="BD1030" s="128"/>
      <c r="BE1030" s="128"/>
      <c r="BF1030" s="128"/>
      <c r="BG1030" s="128"/>
      <c r="BH1030" s="128"/>
      <c r="BI1030" s="128"/>
      <c r="BJ1030" s="128"/>
      <c r="BK1030" s="128"/>
      <c r="BL1030" s="128"/>
      <c r="BM1030" s="151"/>
      <c r="BN1030" s="128"/>
      <c r="BO1030" s="128"/>
      <c r="BP1030" s="128"/>
      <c r="BQ1030" s="128"/>
      <c r="BR1030" s="128"/>
      <c r="BS1030" s="128"/>
      <c r="BT1030" s="128"/>
      <c r="BU1030" s="128"/>
      <c r="BV1030" s="128"/>
      <c r="BW1030" s="128"/>
      <c r="BX1030" s="128"/>
      <c r="BY1030" s="128"/>
      <c r="BZ1030" s="128"/>
      <c r="CA1030" s="128"/>
      <c r="CB1030" s="128"/>
      <c r="CC1030" s="128"/>
      <c r="CD1030" s="128"/>
      <c r="CE1030" s="128"/>
      <c r="CF1030" s="128"/>
      <c r="CG1030" s="128"/>
      <c r="CH1030" s="128"/>
      <c r="CI1030" s="128"/>
      <c r="CJ1030" s="128"/>
      <c r="CK1030" s="128"/>
      <c r="CL1030" s="128"/>
      <c r="CM1030" s="128"/>
      <c r="CN1030" s="128"/>
      <c r="CO1030" s="128"/>
      <c r="CP1030" s="128"/>
      <c r="CQ1030" s="128"/>
      <c r="CR1030" s="128"/>
      <c r="CS1030" s="128"/>
      <c r="CT1030" s="128"/>
      <c r="CU1030" s="128"/>
      <c r="CV1030" s="128"/>
      <c r="CW1030" s="128"/>
      <c r="CX1030" s="128"/>
      <c r="CY1030" s="128"/>
      <c r="CZ1030" s="128"/>
    </row>
    <row r="1031" spans="1:104">
      <c r="A1031" s="128"/>
      <c r="B1031" s="128"/>
      <c r="C1031" s="128"/>
      <c r="D1031" s="112"/>
      <c r="E1031" s="128"/>
      <c r="F1031" s="128"/>
      <c r="G1031" s="128"/>
      <c r="H1031" s="128"/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  <c r="AV1031" s="128"/>
      <c r="AW1031" s="128"/>
      <c r="AX1031" s="128"/>
      <c r="AY1031" s="128"/>
      <c r="AZ1031" s="128"/>
      <c r="BA1031" s="128"/>
      <c r="BB1031" s="128"/>
      <c r="BC1031" s="128"/>
      <c r="BD1031" s="128"/>
      <c r="BE1031" s="128"/>
      <c r="BF1031" s="128"/>
      <c r="BG1031" s="128"/>
      <c r="BH1031" s="128"/>
      <c r="BI1031" s="128"/>
      <c r="BJ1031" s="128"/>
      <c r="BK1031" s="128"/>
      <c r="BL1031" s="128"/>
      <c r="BM1031" s="151"/>
      <c r="BN1031" s="128"/>
      <c r="BO1031" s="128"/>
      <c r="BP1031" s="128"/>
      <c r="BQ1031" s="128"/>
      <c r="BR1031" s="128"/>
      <c r="BS1031" s="128"/>
      <c r="BT1031" s="128"/>
      <c r="BU1031" s="128"/>
      <c r="BV1031" s="128"/>
      <c r="BW1031" s="128"/>
      <c r="BX1031" s="128"/>
      <c r="BY1031" s="128"/>
      <c r="BZ1031" s="128"/>
      <c r="CA1031" s="128"/>
      <c r="CB1031" s="128"/>
      <c r="CC1031" s="128"/>
      <c r="CD1031" s="128"/>
      <c r="CE1031" s="128"/>
      <c r="CF1031" s="128"/>
      <c r="CG1031" s="128"/>
      <c r="CH1031" s="128"/>
      <c r="CI1031" s="128"/>
      <c r="CJ1031" s="128"/>
      <c r="CK1031" s="128"/>
      <c r="CL1031" s="128"/>
      <c r="CM1031" s="128"/>
      <c r="CN1031" s="128"/>
      <c r="CO1031" s="128"/>
      <c r="CP1031" s="128"/>
      <c r="CQ1031" s="128"/>
      <c r="CR1031" s="128"/>
      <c r="CS1031" s="128"/>
      <c r="CT1031" s="128"/>
      <c r="CU1031" s="128"/>
      <c r="CV1031" s="128"/>
      <c r="CW1031" s="128"/>
      <c r="CX1031" s="128"/>
      <c r="CY1031" s="128"/>
      <c r="CZ1031" s="128"/>
    </row>
    <row r="1032" spans="1:104">
      <c r="A1032" s="128"/>
      <c r="B1032" s="128"/>
      <c r="C1032" s="128"/>
      <c r="D1032" s="112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  <c r="AV1032" s="128"/>
      <c r="AW1032" s="128"/>
      <c r="AX1032" s="128"/>
      <c r="AY1032" s="128"/>
      <c r="AZ1032" s="128"/>
      <c r="BA1032" s="128"/>
      <c r="BB1032" s="128"/>
      <c r="BC1032" s="128"/>
      <c r="BD1032" s="128"/>
      <c r="BE1032" s="128"/>
      <c r="BF1032" s="128"/>
      <c r="BG1032" s="128"/>
      <c r="BH1032" s="128"/>
      <c r="BI1032" s="128"/>
      <c r="BJ1032" s="128"/>
      <c r="BK1032" s="128"/>
      <c r="BL1032" s="128"/>
      <c r="BM1032" s="151"/>
      <c r="BN1032" s="128"/>
      <c r="BO1032" s="128"/>
      <c r="BP1032" s="128"/>
      <c r="BQ1032" s="128"/>
      <c r="BR1032" s="128"/>
      <c r="BS1032" s="128"/>
      <c r="BT1032" s="128"/>
      <c r="BU1032" s="128"/>
      <c r="BV1032" s="128"/>
      <c r="BW1032" s="128"/>
      <c r="BX1032" s="128"/>
      <c r="BY1032" s="128"/>
      <c r="BZ1032" s="128"/>
      <c r="CA1032" s="128"/>
      <c r="CB1032" s="128"/>
      <c r="CC1032" s="128"/>
      <c r="CD1032" s="128"/>
      <c r="CE1032" s="128"/>
      <c r="CF1032" s="128"/>
      <c r="CG1032" s="128"/>
      <c r="CH1032" s="128"/>
      <c r="CI1032" s="128"/>
      <c r="CJ1032" s="128"/>
      <c r="CK1032" s="128"/>
      <c r="CL1032" s="128"/>
      <c r="CM1032" s="128"/>
      <c r="CN1032" s="128"/>
      <c r="CO1032" s="128"/>
      <c r="CP1032" s="128"/>
      <c r="CQ1032" s="128"/>
      <c r="CR1032" s="128"/>
      <c r="CS1032" s="128"/>
      <c r="CT1032" s="128"/>
      <c r="CU1032" s="128"/>
      <c r="CV1032" s="128"/>
      <c r="CW1032" s="128"/>
      <c r="CX1032" s="128"/>
      <c r="CY1032" s="128"/>
      <c r="CZ1032" s="128"/>
    </row>
    <row r="1033" spans="1:104">
      <c r="A1033" s="128"/>
      <c r="B1033" s="128"/>
      <c r="C1033" s="128"/>
      <c r="D1033" s="112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  <c r="AV1033" s="128"/>
      <c r="AW1033" s="128"/>
      <c r="AX1033" s="128"/>
      <c r="AY1033" s="128"/>
      <c r="AZ1033" s="128"/>
      <c r="BA1033" s="128"/>
      <c r="BB1033" s="128"/>
      <c r="BC1033" s="128"/>
      <c r="BD1033" s="128"/>
      <c r="BE1033" s="128"/>
      <c r="BF1033" s="128"/>
      <c r="BG1033" s="128"/>
      <c r="BH1033" s="128"/>
      <c r="BI1033" s="128"/>
      <c r="BJ1033" s="128"/>
      <c r="BK1033" s="128"/>
      <c r="BL1033" s="128"/>
      <c r="BM1033" s="151"/>
      <c r="BN1033" s="128"/>
      <c r="BO1033" s="128"/>
      <c r="BP1033" s="128"/>
      <c r="BQ1033" s="128"/>
      <c r="BR1033" s="128"/>
      <c r="BS1033" s="128"/>
      <c r="BT1033" s="128"/>
      <c r="BU1033" s="128"/>
      <c r="BV1033" s="128"/>
      <c r="BW1033" s="128"/>
      <c r="BX1033" s="128"/>
      <c r="BY1033" s="128"/>
      <c r="BZ1033" s="128"/>
      <c r="CA1033" s="128"/>
      <c r="CB1033" s="128"/>
      <c r="CC1033" s="128"/>
      <c r="CD1033" s="128"/>
      <c r="CE1033" s="128"/>
      <c r="CF1033" s="128"/>
      <c r="CG1033" s="128"/>
      <c r="CH1033" s="128"/>
      <c r="CI1033" s="128"/>
      <c r="CJ1033" s="128"/>
      <c r="CK1033" s="128"/>
      <c r="CL1033" s="128"/>
      <c r="CM1033" s="128"/>
      <c r="CN1033" s="128"/>
      <c r="CO1033" s="128"/>
      <c r="CP1033" s="128"/>
      <c r="CQ1033" s="128"/>
      <c r="CR1033" s="128"/>
      <c r="CS1033" s="128"/>
      <c r="CT1033" s="128"/>
      <c r="CU1033" s="128"/>
      <c r="CV1033" s="128"/>
      <c r="CW1033" s="128"/>
      <c r="CX1033" s="128"/>
      <c r="CY1033" s="128"/>
      <c r="CZ1033" s="128"/>
    </row>
    <row r="1034" spans="1:104">
      <c r="A1034" s="128"/>
      <c r="B1034" s="128"/>
      <c r="C1034" s="128"/>
      <c r="D1034" s="112"/>
      <c r="E1034" s="128"/>
      <c r="F1034" s="128"/>
      <c r="G1034" s="128"/>
      <c r="H1034" s="128"/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  <c r="AV1034" s="128"/>
      <c r="AW1034" s="128"/>
      <c r="AX1034" s="128"/>
      <c r="AY1034" s="128"/>
      <c r="AZ1034" s="128"/>
      <c r="BA1034" s="128"/>
      <c r="BB1034" s="128"/>
      <c r="BC1034" s="128"/>
      <c r="BD1034" s="128"/>
      <c r="BE1034" s="128"/>
      <c r="BF1034" s="128"/>
      <c r="BG1034" s="128"/>
      <c r="BH1034" s="128"/>
      <c r="BI1034" s="128"/>
      <c r="BJ1034" s="128"/>
      <c r="BK1034" s="128"/>
      <c r="BL1034" s="128"/>
      <c r="BM1034" s="151"/>
      <c r="BN1034" s="128"/>
      <c r="BO1034" s="128"/>
      <c r="BP1034" s="128"/>
      <c r="BQ1034" s="128"/>
      <c r="BR1034" s="128"/>
      <c r="BS1034" s="128"/>
      <c r="BT1034" s="128"/>
      <c r="BU1034" s="128"/>
      <c r="BV1034" s="128"/>
      <c r="BW1034" s="128"/>
      <c r="BX1034" s="128"/>
      <c r="BY1034" s="128"/>
      <c r="BZ1034" s="128"/>
      <c r="CA1034" s="128"/>
      <c r="CB1034" s="128"/>
      <c r="CC1034" s="128"/>
      <c r="CD1034" s="128"/>
      <c r="CE1034" s="128"/>
      <c r="CF1034" s="128"/>
      <c r="CG1034" s="128"/>
      <c r="CH1034" s="128"/>
      <c r="CI1034" s="128"/>
      <c r="CJ1034" s="128"/>
      <c r="CK1034" s="128"/>
      <c r="CL1034" s="128"/>
      <c r="CM1034" s="128"/>
      <c r="CN1034" s="128"/>
      <c r="CO1034" s="128"/>
      <c r="CP1034" s="128"/>
      <c r="CQ1034" s="128"/>
      <c r="CR1034" s="128"/>
      <c r="CS1034" s="128"/>
      <c r="CT1034" s="128"/>
      <c r="CU1034" s="128"/>
      <c r="CV1034" s="128"/>
      <c r="CW1034" s="128"/>
      <c r="CX1034" s="128"/>
      <c r="CY1034" s="128"/>
      <c r="CZ1034" s="128"/>
    </row>
    <row r="1035" spans="1:104">
      <c r="A1035" s="128"/>
      <c r="B1035" s="128"/>
      <c r="C1035" s="128"/>
      <c r="D1035" s="112"/>
      <c r="E1035" s="128"/>
      <c r="F1035" s="128"/>
      <c r="G1035" s="128"/>
      <c r="H1035" s="128"/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  <c r="AV1035" s="128"/>
      <c r="AW1035" s="128"/>
      <c r="AX1035" s="128"/>
      <c r="AY1035" s="128"/>
      <c r="AZ1035" s="128"/>
      <c r="BA1035" s="128"/>
      <c r="BB1035" s="128"/>
      <c r="BC1035" s="128"/>
      <c r="BD1035" s="128"/>
      <c r="BE1035" s="128"/>
      <c r="BF1035" s="128"/>
      <c r="BG1035" s="128"/>
      <c r="BH1035" s="128"/>
      <c r="BI1035" s="128"/>
      <c r="BJ1035" s="128"/>
      <c r="BK1035" s="128"/>
      <c r="BL1035" s="128"/>
      <c r="BM1035" s="151"/>
      <c r="BN1035" s="128"/>
      <c r="BO1035" s="128"/>
      <c r="BP1035" s="128"/>
      <c r="BQ1035" s="128"/>
      <c r="BR1035" s="128"/>
      <c r="BS1035" s="128"/>
      <c r="BT1035" s="128"/>
      <c r="BU1035" s="128"/>
      <c r="BV1035" s="128"/>
      <c r="BW1035" s="128"/>
      <c r="BX1035" s="128"/>
      <c r="BY1035" s="128"/>
      <c r="BZ1035" s="128"/>
      <c r="CA1035" s="128"/>
      <c r="CB1035" s="128"/>
      <c r="CC1035" s="128"/>
      <c r="CD1035" s="128"/>
      <c r="CE1035" s="128"/>
      <c r="CF1035" s="128"/>
      <c r="CG1035" s="128"/>
      <c r="CH1035" s="128"/>
      <c r="CI1035" s="128"/>
      <c r="CJ1035" s="128"/>
      <c r="CK1035" s="128"/>
      <c r="CL1035" s="128"/>
      <c r="CM1035" s="128"/>
      <c r="CN1035" s="128"/>
      <c r="CO1035" s="128"/>
      <c r="CP1035" s="128"/>
      <c r="CQ1035" s="128"/>
      <c r="CR1035" s="128"/>
      <c r="CS1035" s="128"/>
      <c r="CT1035" s="128"/>
      <c r="CU1035" s="128"/>
      <c r="CV1035" s="128"/>
      <c r="CW1035" s="128"/>
      <c r="CX1035" s="128"/>
      <c r="CY1035" s="128"/>
      <c r="CZ1035" s="128"/>
    </row>
    <row r="1036" spans="1:104">
      <c r="A1036" s="128"/>
      <c r="B1036" s="128"/>
      <c r="C1036" s="128"/>
      <c r="D1036" s="112"/>
      <c r="E1036" s="128"/>
      <c r="F1036" s="128"/>
      <c r="G1036" s="128"/>
      <c r="H1036" s="128"/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  <c r="AV1036" s="128"/>
      <c r="AW1036" s="128"/>
      <c r="AX1036" s="128"/>
      <c r="AY1036" s="128"/>
      <c r="AZ1036" s="128"/>
      <c r="BA1036" s="128"/>
      <c r="BB1036" s="128"/>
      <c r="BC1036" s="128"/>
      <c r="BD1036" s="128"/>
      <c r="BE1036" s="128"/>
      <c r="BF1036" s="128"/>
      <c r="BG1036" s="128"/>
      <c r="BH1036" s="128"/>
      <c r="BI1036" s="128"/>
      <c r="BJ1036" s="128"/>
      <c r="BK1036" s="128"/>
      <c r="BL1036" s="128"/>
      <c r="BM1036" s="151"/>
      <c r="BN1036" s="128"/>
      <c r="BO1036" s="128"/>
      <c r="BP1036" s="128"/>
      <c r="BQ1036" s="128"/>
      <c r="BR1036" s="128"/>
      <c r="BS1036" s="128"/>
      <c r="BT1036" s="128"/>
      <c r="BU1036" s="128"/>
      <c r="BV1036" s="128"/>
      <c r="BW1036" s="128"/>
      <c r="BX1036" s="128"/>
      <c r="BY1036" s="128"/>
      <c r="BZ1036" s="128"/>
      <c r="CA1036" s="128"/>
      <c r="CB1036" s="128"/>
      <c r="CC1036" s="128"/>
      <c r="CD1036" s="128"/>
      <c r="CE1036" s="128"/>
      <c r="CF1036" s="128"/>
      <c r="CG1036" s="128"/>
      <c r="CH1036" s="128"/>
      <c r="CI1036" s="128"/>
      <c r="CJ1036" s="128"/>
      <c r="CK1036" s="128"/>
      <c r="CL1036" s="128"/>
      <c r="CM1036" s="128"/>
      <c r="CN1036" s="128"/>
      <c r="CO1036" s="128"/>
      <c r="CP1036" s="128"/>
      <c r="CQ1036" s="128"/>
      <c r="CR1036" s="128"/>
      <c r="CS1036" s="128"/>
      <c r="CT1036" s="128"/>
      <c r="CU1036" s="128"/>
      <c r="CV1036" s="128"/>
      <c r="CW1036" s="128"/>
      <c r="CX1036" s="128"/>
      <c r="CY1036" s="128"/>
      <c r="CZ1036" s="128"/>
    </row>
    <row r="1037" spans="1:104">
      <c r="A1037" s="128"/>
      <c r="B1037" s="128"/>
      <c r="C1037" s="128"/>
      <c r="D1037" s="112"/>
      <c r="E1037" s="128"/>
      <c r="F1037" s="128"/>
      <c r="G1037" s="128"/>
      <c r="H1037" s="128"/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  <c r="AV1037" s="128"/>
      <c r="AW1037" s="128"/>
      <c r="AX1037" s="128"/>
      <c r="AY1037" s="128"/>
      <c r="AZ1037" s="128"/>
      <c r="BA1037" s="128"/>
      <c r="BB1037" s="128"/>
      <c r="BC1037" s="128"/>
      <c r="BD1037" s="128"/>
      <c r="BE1037" s="128"/>
      <c r="BF1037" s="128"/>
      <c r="BG1037" s="128"/>
      <c r="BH1037" s="128"/>
      <c r="BI1037" s="128"/>
      <c r="BJ1037" s="128"/>
      <c r="BK1037" s="128"/>
      <c r="BL1037" s="128"/>
      <c r="BM1037" s="151"/>
      <c r="BN1037" s="128"/>
      <c r="BO1037" s="128"/>
      <c r="BP1037" s="128"/>
      <c r="BQ1037" s="128"/>
      <c r="BR1037" s="128"/>
      <c r="BS1037" s="128"/>
      <c r="BT1037" s="128"/>
      <c r="BU1037" s="128"/>
      <c r="BV1037" s="128"/>
      <c r="BW1037" s="128"/>
      <c r="BX1037" s="128"/>
      <c r="BY1037" s="128"/>
      <c r="BZ1037" s="128"/>
      <c r="CA1037" s="128"/>
      <c r="CB1037" s="128"/>
      <c r="CC1037" s="128"/>
      <c r="CD1037" s="128"/>
      <c r="CE1037" s="128"/>
      <c r="CF1037" s="128"/>
      <c r="CG1037" s="128"/>
      <c r="CH1037" s="128"/>
      <c r="CI1037" s="128"/>
      <c r="CJ1037" s="128"/>
      <c r="CK1037" s="128"/>
      <c r="CL1037" s="128"/>
      <c r="CM1037" s="128"/>
      <c r="CN1037" s="128"/>
      <c r="CO1037" s="128"/>
      <c r="CP1037" s="128"/>
      <c r="CQ1037" s="128"/>
      <c r="CR1037" s="128"/>
      <c r="CS1037" s="128"/>
      <c r="CT1037" s="128"/>
      <c r="CU1037" s="128"/>
      <c r="CV1037" s="128"/>
      <c r="CW1037" s="128"/>
      <c r="CX1037" s="128"/>
      <c r="CY1037" s="128"/>
      <c r="CZ1037" s="128"/>
    </row>
    <row r="1038" spans="1:104">
      <c r="A1038" s="128"/>
      <c r="B1038" s="128"/>
      <c r="C1038" s="128"/>
      <c r="D1038" s="112"/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  <c r="AV1038" s="128"/>
      <c r="AW1038" s="128"/>
      <c r="AX1038" s="128"/>
      <c r="AY1038" s="128"/>
      <c r="AZ1038" s="128"/>
      <c r="BA1038" s="128"/>
      <c r="BB1038" s="128"/>
      <c r="BC1038" s="128"/>
      <c r="BD1038" s="128"/>
      <c r="BE1038" s="128"/>
      <c r="BF1038" s="128"/>
      <c r="BG1038" s="128"/>
      <c r="BH1038" s="128"/>
      <c r="BI1038" s="128"/>
      <c r="BJ1038" s="128"/>
      <c r="BK1038" s="128"/>
      <c r="BL1038" s="128"/>
      <c r="BM1038" s="151"/>
      <c r="BN1038" s="128"/>
      <c r="BO1038" s="128"/>
      <c r="BP1038" s="128"/>
      <c r="BQ1038" s="128"/>
      <c r="BR1038" s="128"/>
      <c r="BS1038" s="128"/>
      <c r="BT1038" s="128"/>
      <c r="BU1038" s="128"/>
      <c r="BV1038" s="128"/>
      <c r="BW1038" s="128"/>
      <c r="BX1038" s="128"/>
      <c r="BY1038" s="128"/>
      <c r="BZ1038" s="128"/>
      <c r="CA1038" s="128"/>
      <c r="CB1038" s="128"/>
      <c r="CC1038" s="128"/>
      <c r="CD1038" s="128"/>
      <c r="CE1038" s="128"/>
      <c r="CF1038" s="128"/>
      <c r="CG1038" s="128"/>
      <c r="CH1038" s="128"/>
      <c r="CI1038" s="128"/>
      <c r="CJ1038" s="128"/>
      <c r="CK1038" s="128"/>
      <c r="CL1038" s="128"/>
      <c r="CM1038" s="128"/>
      <c r="CN1038" s="128"/>
      <c r="CO1038" s="128"/>
      <c r="CP1038" s="128"/>
      <c r="CQ1038" s="128"/>
      <c r="CR1038" s="128"/>
      <c r="CS1038" s="128"/>
      <c r="CT1038" s="128"/>
      <c r="CU1038" s="128"/>
      <c r="CV1038" s="128"/>
      <c r="CW1038" s="128"/>
      <c r="CX1038" s="128"/>
      <c r="CY1038" s="128"/>
      <c r="CZ1038" s="128"/>
    </row>
    <row r="1039" spans="1:104">
      <c r="A1039" s="128"/>
      <c r="B1039" s="128"/>
      <c r="C1039" s="128"/>
      <c r="D1039" s="112"/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  <c r="AV1039" s="128"/>
      <c r="AW1039" s="128"/>
      <c r="AX1039" s="128"/>
      <c r="AY1039" s="128"/>
      <c r="AZ1039" s="128"/>
      <c r="BA1039" s="128"/>
      <c r="BB1039" s="128"/>
      <c r="BC1039" s="128"/>
      <c r="BD1039" s="128"/>
      <c r="BE1039" s="128"/>
      <c r="BF1039" s="128"/>
      <c r="BG1039" s="128"/>
      <c r="BH1039" s="128"/>
      <c r="BI1039" s="128"/>
      <c r="BJ1039" s="128"/>
      <c r="BK1039" s="128"/>
      <c r="BL1039" s="128"/>
      <c r="BM1039" s="151"/>
      <c r="BN1039" s="128"/>
      <c r="BO1039" s="128"/>
      <c r="BP1039" s="128"/>
      <c r="BQ1039" s="128"/>
      <c r="BR1039" s="128"/>
      <c r="BS1039" s="128"/>
      <c r="BT1039" s="128"/>
      <c r="BU1039" s="128"/>
      <c r="BV1039" s="128"/>
      <c r="BW1039" s="128"/>
      <c r="BX1039" s="128"/>
      <c r="BY1039" s="128"/>
      <c r="BZ1039" s="128"/>
      <c r="CA1039" s="128"/>
      <c r="CB1039" s="128"/>
      <c r="CC1039" s="128"/>
      <c r="CD1039" s="128"/>
      <c r="CE1039" s="128"/>
      <c r="CF1039" s="128"/>
      <c r="CG1039" s="128"/>
      <c r="CH1039" s="128"/>
      <c r="CI1039" s="128"/>
      <c r="CJ1039" s="128"/>
      <c r="CK1039" s="128"/>
      <c r="CL1039" s="128"/>
      <c r="CM1039" s="128"/>
      <c r="CN1039" s="128"/>
      <c r="CO1039" s="128"/>
      <c r="CP1039" s="128"/>
      <c r="CQ1039" s="128"/>
      <c r="CR1039" s="128"/>
      <c r="CS1039" s="128"/>
      <c r="CT1039" s="128"/>
      <c r="CU1039" s="128"/>
      <c r="CV1039" s="128"/>
      <c r="CW1039" s="128"/>
      <c r="CX1039" s="128"/>
      <c r="CY1039" s="128"/>
      <c r="CZ1039" s="128"/>
    </row>
    <row r="1040" spans="1:104">
      <c r="A1040" s="128"/>
      <c r="B1040" s="128"/>
      <c r="C1040" s="128"/>
      <c r="D1040" s="112"/>
      <c r="E1040" s="128"/>
      <c r="F1040" s="128"/>
      <c r="G1040" s="128"/>
      <c r="H1040" s="128"/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  <c r="AV1040" s="128"/>
      <c r="AW1040" s="128"/>
      <c r="AX1040" s="128"/>
      <c r="AY1040" s="128"/>
      <c r="AZ1040" s="128"/>
      <c r="BA1040" s="128"/>
      <c r="BB1040" s="128"/>
      <c r="BC1040" s="128"/>
      <c r="BD1040" s="128"/>
      <c r="BE1040" s="128"/>
      <c r="BF1040" s="128"/>
      <c r="BG1040" s="128"/>
      <c r="BH1040" s="128"/>
      <c r="BI1040" s="128"/>
      <c r="BJ1040" s="128"/>
      <c r="BK1040" s="128"/>
      <c r="BL1040" s="128"/>
      <c r="BM1040" s="151"/>
      <c r="BN1040" s="128"/>
      <c r="BO1040" s="128"/>
      <c r="BP1040" s="128"/>
      <c r="BQ1040" s="128"/>
      <c r="BR1040" s="128"/>
      <c r="BS1040" s="128"/>
      <c r="BT1040" s="128"/>
      <c r="BU1040" s="128"/>
      <c r="BV1040" s="128"/>
      <c r="BW1040" s="128"/>
      <c r="BX1040" s="128"/>
      <c r="BY1040" s="128"/>
      <c r="BZ1040" s="128"/>
      <c r="CA1040" s="128"/>
      <c r="CB1040" s="128"/>
      <c r="CC1040" s="128"/>
      <c r="CD1040" s="128"/>
      <c r="CE1040" s="128"/>
      <c r="CF1040" s="128"/>
      <c r="CG1040" s="128"/>
      <c r="CH1040" s="128"/>
      <c r="CI1040" s="128"/>
      <c r="CJ1040" s="128"/>
      <c r="CK1040" s="128"/>
      <c r="CL1040" s="128"/>
      <c r="CM1040" s="128"/>
      <c r="CN1040" s="128"/>
      <c r="CO1040" s="128"/>
      <c r="CP1040" s="128"/>
      <c r="CQ1040" s="128"/>
      <c r="CR1040" s="128"/>
      <c r="CS1040" s="128"/>
      <c r="CT1040" s="128"/>
      <c r="CU1040" s="128"/>
      <c r="CV1040" s="128"/>
      <c r="CW1040" s="128"/>
      <c r="CX1040" s="128"/>
      <c r="CY1040" s="128"/>
      <c r="CZ1040" s="128"/>
    </row>
    <row r="1041" spans="1:104">
      <c r="A1041" s="128"/>
      <c r="B1041" s="128"/>
      <c r="C1041" s="128"/>
      <c r="D1041" s="112"/>
      <c r="E1041" s="128"/>
      <c r="F1041" s="128"/>
      <c r="G1041" s="128"/>
      <c r="H1041" s="128"/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  <c r="AV1041" s="128"/>
      <c r="AW1041" s="128"/>
      <c r="AX1041" s="128"/>
      <c r="AY1041" s="128"/>
      <c r="AZ1041" s="128"/>
      <c r="BA1041" s="128"/>
      <c r="BB1041" s="128"/>
      <c r="BC1041" s="128"/>
      <c r="BD1041" s="128"/>
      <c r="BE1041" s="128"/>
      <c r="BF1041" s="128"/>
      <c r="BG1041" s="128"/>
      <c r="BH1041" s="128"/>
      <c r="BI1041" s="128"/>
      <c r="BJ1041" s="128"/>
      <c r="BK1041" s="128"/>
      <c r="BL1041" s="128"/>
      <c r="BM1041" s="151"/>
      <c r="BN1041" s="128"/>
      <c r="BO1041" s="128"/>
      <c r="BP1041" s="128"/>
      <c r="BQ1041" s="128"/>
      <c r="BR1041" s="128"/>
      <c r="BS1041" s="128"/>
      <c r="BT1041" s="128"/>
      <c r="BU1041" s="128"/>
      <c r="BV1041" s="128"/>
      <c r="BW1041" s="128"/>
      <c r="BX1041" s="128"/>
      <c r="BY1041" s="128"/>
      <c r="BZ1041" s="128"/>
      <c r="CA1041" s="128"/>
      <c r="CB1041" s="128"/>
      <c r="CC1041" s="128"/>
      <c r="CD1041" s="128"/>
      <c r="CE1041" s="128"/>
      <c r="CF1041" s="128"/>
      <c r="CG1041" s="128"/>
      <c r="CH1041" s="128"/>
      <c r="CI1041" s="128"/>
      <c r="CJ1041" s="128"/>
      <c r="CK1041" s="128"/>
      <c r="CL1041" s="128"/>
      <c r="CM1041" s="128"/>
      <c r="CN1041" s="128"/>
      <c r="CO1041" s="128"/>
      <c r="CP1041" s="128"/>
      <c r="CQ1041" s="128"/>
      <c r="CR1041" s="128"/>
      <c r="CS1041" s="128"/>
      <c r="CT1041" s="128"/>
      <c r="CU1041" s="128"/>
      <c r="CV1041" s="128"/>
      <c r="CW1041" s="128"/>
      <c r="CX1041" s="128"/>
      <c r="CY1041" s="128"/>
      <c r="CZ1041" s="128"/>
    </row>
    <row r="1042" spans="1:104">
      <c r="A1042" s="128"/>
      <c r="B1042" s="128"/>
      <c r="C1042" s="128"/>
      <c r="D1042" s="112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  <c r="AV1042" s="128"/>
      <c r="AW1042" s="128"/>
      <c r="AX1042" s="128"/>
      <c r="AY1042" s="128"/>
      <c r="AZ1042" s="128"/>
      <c r="BA1042" s="128"/>
      <c r="BB1042" s="128"/>
      <c r="BC1042" s="128"/>
      <c r="BD1042" s="128"/>
      <c r="BE1042" s="128"/>
      <c r="BF1042" s="128"/>
      <c r="BG1042" s="128"/>
      <c r="BH1042" s="128"/>
      <c r="BI1042" s="128"/>
      <c r="BJ1042" s="128"/>
      <c r="BK1042" s="128"/>
      <c r="BL1042" s="128"/>
      <c r="BM1042" s="151"/>
      <c r="BN1042" s="128"/>
      <c r="BO1042" s="128"/>
      <c r="BP1042" s="128"/>
      <c r="BQ1042" s="128"/>
      <c r="BR1042" s="128"/>
      <c r="BS1042" s="128"/>
      <c r="BT1042" s="128"/>
      <c r="BU1042" s="128"/>
      <c r="BV1042" s="128"/>
      <c r="BW1042" s="128"/>
      <c r="BX1042" s="128"/>
      <c r="BY1042" s="128"/>
      <c r="BZ1042" s="128"/>
      <c r="CA1042" s="128"/>
      <c r="CB1042" s="128"/>
      <c r="CC1042" s="128"/>
      <c r="CD1042" s="128"/>
      <c r="CE1042" s="128"/>
      <c r="CF1042" s="128"/>
      <c r="CG1042" s="128"/>
      <c r="CH1042" s="128"/>
      <c r="CI1042" s="128"/>
      <c r="CJ1042" s="128"/>
      <c r="CK1042" s="128"/>
      <c r="CL1042" s="128"/>
      <c r="CM1042" s="128"/>
      <c r="CN1042" s="128"/>
      <c r="CO1042" s="128"/>
      <c r="CP1042" s="128"/>
      <c r="CQ1042" s="128"/>
      <c r="CR1042" s="128"/>
      <c r="CS1042" s="128"/>
      <c r="CT1042" s="128"/>
      <c r="CU1042" s="128"/>
      <c r="CV1042" s="128"/>
      <c r="CW1042" s="128"/>
      <c r="CX1042" s="128"/>
      <c r="CY1042" s="128"/>
      <c r="CZ1042" s="128"/>
    </row>
    <row r="1043" spans="1:104">
      <c r="A1043" s="128"/>
      <c r="B1043" s="128"/>
      <c r="C1043" s="128"/>
      <c r="D1043" s="112"/>
      <c r="E1043" s="128"/>
      <c r="F1043" s="128"/>
      <c r="G1043" s="128"/>
      <c r="H1043" s="128"/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  <c r="AV1043" s="128"/>
      <c r="AW1043" s="128"/>
      <c r="AX1043" s="128"/>
      <c r="AY1043" s="128"/>
      <c r="AZ1043" s="128"/>
      <c r="BA1043" s="128"/>
      <c r="BB1043" s="128"/>
      <c r="BC1043" s="128"/>
      <c r="BD1043" s="128"/>
      <c r="BE1043" s="128"/>
      <c r="BF1043" s="128"/>
      <c r="BG1043" s="128"/>
      <c r="BH1043" s="128"/>
      <c r="BI1043" s="128"/>
      <c r="BJ1043" s="128"/>
      <c r="BK1043" s="128"/>
      <c r="BL1043" s="128"/>
      <c r="BM1043" s="151"/>
      <c r="BN1043" s="128"/>
      <c r="BO1043" s="128"/>
      <c r="BP1043" s="128"/>
      <c r="BQ1043" s="128"/>
      <c r="BR1043" s="128"/>
      <c r="BS1043" s="128"/>
      <c r="BT1043" s="128"/>
      <c r="BU1043" s="128"/>
      <c r="BV1043" s="128"/>
      <c r="BW1043" s="128"/>
      <c r="BX1043" s="128"/>
      <c r="BY1043" s="128"/>
      <c r="BZ1043" s="128"/>
      <c r="CA1043" s="128"/>
      <c r="CB1043" s="128"/>
      <c r="CC1043" s="128"/>
      <c r="CD1043" s="128"/>
      <c r="CE1043" s="128"/>
      <c r="CF1043" s="128"/>
      <c r="CG1043" s="128"/>
      <c r="CH1043" s="128"/>
      <c r="CI1043" s="128"/>
      <c r="CJ1043" s="128"/>
      <c r="CK1043" s="128"/>
      <c r="CL1043" s="128"/>
      <c r="CM1043" s="128"/>
      <c r="CN1043" s="128"/>
      <c r="CO1043" s="128"/>
      <c r="CP1043" s="128"/>
      <c r="CQ1043" s="128"/>
      <c r="CR1043" s="128"/>
      <c r="CS1043" s="128"/>
      <c r="CT1043" s="128"/>
      <c r="CU1043" s="128"/>
      <c r="CV1043" s="128"/>
      <c r="CW1043" s="128"/>
      <c r="CX1043" s="128"/>
      <c r="CY1043" s="128"/>
      <c r="CZ1043" s="128"/>
    </row>
    <row r="1044" spans="1:104">
      <c r="A1044" s="128"/>
      <c r="B1044" s="128"/>
      <c r="C1044" s="128"/>
      <c r="D1044" s="112"/>
      <c r="E1044" s="128"/>
      <c r="F1044" s="128"/>
      <c r="G1044" s="128"/>
      <c r="H1044" s="128"/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  <c r="AV1044" s="128"/>
      <c r="AW1044" s="128"/>
      <c r="AX1044" s="128"/>
      <c r="AY1044" s="128"/>
      <c r="AZ1044" s="128"/>
      <c r="BA1044" s="128"/>
      <c r="BB1044" s="128"/>
      <c r="BC1044" s="128"/>
      <c r="BD1044" s="128"/>
      <c r="BE1044" s="128"/>
      <c r="BF1044" s="128"/>
      <c r="BG1044" s="128"/>
      <c r="BH1044" s="128"/>
      <c r="BI1044" s="128"/>
      <c r="BJ1044" s="128"/>
      <c r="BK1044" s="128"/>
      <c r="BL1044" s="128"/>
      <c r="BM1044" s="151"/>
      <c r="BN1044" s="128"/>
      <c r="BO1044" s="128"/>
      <c r="BP1044" s="128"/>
      <c r="BQ1044" s="128"/>
      <c r="BR1044" s="128"/>
      <c r="BS1044" s="128"/>
      <c r="BT1044" s="128"/>
      <c r="BU1044" s="128"/>
      <c r="BV1044" s="128"/>
      <c r="BW1044" s="128"/>
      <c r="BX1044" s="128"/>
      <c r="BY1044" s="128"/>
      <c r="BZ1044" s="128"/>
      <c r="CA1044" s="128"/>
      <c r="CB1044" s="128"/>
      <c r="CC1044" s="128"/>
      <c r="CD1044" s="128"/>
      <c r="CE1044" s="128"/>
      <c r="CF1044" s="128"/>
      <c r="CG1044" s="128"/>
      <c r="CH1044" s="128"/>
      <c r="CI1044" s="128"/>
      <c r="CJ1044" s="128"/>
      <c r="CK1044" s="128"/>
      <c r="CL1044" s="128"/>
      <c r="CM1044" s="128"/>
      <c r="CN1044" s="128"/>
      <c r="CO1044" s="128"/>
      <c r="CP1044" s="128"/>
      <c r="CQ1044" s="128"/>
      <c r="CR1044" s="128"/>
      <c r="CS1044" s="128"/>
      <c r="CT1044" s="128"/>
      <c r="CU1044" s="128"/>
      <c r="CV1044" s="128"/>
      <c r="CW1044" s="128"/>
      <c r="CX1044" s="128"/>
      <c r="CY1044" s="128"/>
      <c r="CZ1044" s="128"/>
    </row>
    <row r="1045" spans="1:104">
      <c r="A1045" s="128"/>
      <c r="B1045" s="128"/>
      <c r="C1045" s="128"/>
      <c r="D1045" s="112"/>
      <c r="E1045" s="128"/>
      <c r="F1045" s="128"/>
      <c r="G1045" s="128"/>
      <c r="H1045" s="128"/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  <c r="AV1045" s="128"/>
      <c r="AW1045" s="128"/>
      <c r="AX1045" s="128"/>
      <c r="AY1045" s="128"/>
      <c r="AZ1045" s="128"/>
      <c r="BA1045" s="128"/>
      <c r="BB1045" s="128"/>
      <c r="BC1045" s="128"/>
      <c r="BD1045" s="128"/>
      <c r="BE1045" s="128"/>
      <c r="BF1045" s="128"/>
      <c r="BG1045" s="128"/>
      <c r="BH1045" s="128"/>
      <c r="BI1045" s="128"/>
      <c r="BJ1045" s="128"/>
      <c r="BK1045" s="128"/>
      <c r="BL1045" s="128"/>
      <c r="BM1045" s="151"/>
      <c r="BN1045" s="128"/>
      <c r="BO1045" s="128"/>
      <c r="BP1045" s="128"/>
      <c r="BQ1045" s="128"/>
      <c r="BR1045" s="128"/>
      <c r="BS1045" s="128"/>
      <c r="BT1045" s="128"/>
      <c r="BU1045" s="128"/>
      <c r="BV1045" s="128"/>
      <c r="BW1045" s="128"/>
      <c r="BX1045" s="128"/>
      <c r="BY1045" s="128"/>
      <c r="BZ1045" s="128"/>
      <c r="CA1045" s="128"/>
      <c r="CB1045" s="128"/>
      <c r="CC1045" s="128"/>
      <c r="CD1045" s="128"/>
      <c r="CE1045" s="128"/>
      <c r="CF1045" s="128"/>
      <c r="CG1045" s="128"/>
      <c r="CH1045" s="128"/>
      <c r="CI1045" s="128"/>
      <c r="CJ1045" s="128"/>
      <c r="CK1045" s="128"/>
      <c r="CL1045" s="128"/>
      <c r="CM1045" s="128"/>
      <c r="CN1045" s="128"/>
      <c r="CO1045" s="128"/>
      <c r="CP1045" s="128"/>
      <c r="CQ1045" s="128"/>
      <c r="CR1045" s="128"/>
      <c r="CS1045" s="128"/>
      <c r="CT1045" s="128"/>
      <c r="CU1045" s="128"/>
      <c r="CV1045" s="128"/>
      <c r="CW1045" s="128"/>
      <c r="CX1045" s="128"/>
      <c r="CY1045" s="128"/>
      <c r="CZ1045" s="128"/>
    </row>
    <row r="1046" spans="1:104">
      <c r="A1046" s="128"/>
      <c r="B1046" s="128"/>
      <c r="C1046" s="128"/>
      <c r="D1046" s="112"/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  <c r="AV1046" s="128"/>
      <c r="AW1046" s="128"/>
      <c r="AX1046" s="128"/>
      <c r="AY1046" s="128"/>
      <c r="AZ1046" s="128"/>
      <c r="BA1046" s="128"/>
      <c r="BB1046" s="128"/>
      <c r="BC1046" s="128"/>
      <c r="BD1046" s="128"/>
      <c r="BE1046" s="128"/>
      <c r="BF1046" s="128"/>
      <c r="BG1046" s="128"/>
      <c r="BH1046" s="128"/>
      <c r="BI1046" s="128"/>
      <c r="BJ1046" s="128"/>
      <c r="BK1046" s="128"/>
      <c r="BL1046" s="128"/>
      <c r="BM1046" s="151"/>
      <c r="BN1046" s="128"/>
      <c r="BO1046" s="128"/>
      <c r="BP1046" s="128"/>
      <c r="BQ1046" s="128"/>
      <c r="BR1046" s="128"/>
      <c r="BS1046" s="128"/>
      <c r="BT1046" s="128"/>
      <c r="BU1046" s="128"/>
      <c r="BV1046" s="128"/>
      <c r="BW1046" s="128"/>
      <c r="BX1046" s="128"/>
      <c r="BY1046" s="128"/>
      <c r="BZ1046" s="128"/>
      <c r="CA1046" s="128"/>
      <c r="CB1046" s="128"/>
      <c r="CC1046" s="128"/>
      <c r="CD1046" s="128"/>
      <c r="CE1046" s="128"/>
      <c r="CF1046" s="128"/>
      <c r="CG1046" s="128"/>
      <c r="CH1046" s="128"/>
      <c r="CI1046" s="128"/>
      <c r="CJ1046" s="128"/>
      <c r="CK1046" s="128"/>
      <c r="CL1046" s="128"/>
      <c r="CM1046" s="128"/>
      <c r="CN1046" s="128"/>
      <c r="CO1046" s="128"/>
      <c r="CP1046" s="128"/>
      <c r="CQ1046" s="128"/>
      <c r="CR1046" s="128"/>
      <c r="CS1046" s="128"/>
      <c r="CT1046" s="128"/>
      <c r="CU1046" s="128"/>
      <c r="CV1046" s="128"/>
      <c r="CW1046" s="128"/>
      <c r="CX1046" s="128"/>
      <c r="CY1046" s="128"/>
      <c r="CZ1046" s="128"/>
    </row>
    <row r="1047" spans="1:104">
      <c r="A1047" s="128"/>
      <c r="B1047" s="128"/>
      <c r="C1047" s="128"/>
      <c r="D1047" s="112"/>
      <c r="E1047" s="128"/>
      <c r="F1047" s="128"/>
      <c r="G1047" s="128"/>
      <c r="H1047" s="128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  <c r="AV1047" s="128"/>
      <c r="AW1047" s="128"/>
      <c r="AX1047" s="128"/>
      <c r="AY1047" s="128"/>
      <c r="AZ1047" s="128"/>
      <c r="BA1047" s="128"/>
      <c r="BB1047" s="128"/>
      <c r="BC1047" s="128"/>
      <c r="BD1047" s="128"/>
      <c r="BE1047" s="128"/>
      <c r="BF1047" s="128"/>
      <c r="BG1047" s="128"/>
      <c r="BH1047" s="128"/>
      <c r="BI1047" s="128"/>
      <c r="BJ1047" s="128"/>
      <c r="BK1047" s="128"/>
      <c r="BL1047" s="128"/>
      <c r="BM1047" s="151"/>
      <c r="BN1047" s="128"/>
      <c r="BO1047" s="128"/>
      <c r="BP1047" s="128"/>
      <c r="BQ1047" s="128"/>
      <c r="BR1047" s="128"/>
      <c r="BS1047" s="128"/>
      <c r="BT1047" s="128"/>
      <c r="BU1047" s="128"/>
      <c r="BV1047" s="128"/>
      <c r="BW1047" s="128"/>
      <c r="BX1047" s="128"/>
      <c r="BY1047" s="128"/>
      <c r="BZ1047" s="128"/>
      <c r="CA1047" s="128"/>
      <c r="CB1047" s="128"/>
      <c r="CC1047" s="128"/>
      <c r="CD1047" s="128"/>
      <c r="CE1047" s="128"/>
      <c r="CF1047" s="128"/>
      <c r="CG1047" s="128"/>
      <c r="CH1047" s="128"/>
      <c r="CI1047" s="128"/>
      <c r="CJ1047" s="128"/>
      <c r="CK1047" s="128"/>
      <c r="CL1047" s="128"/>
      <c r="CM1047" s="128"/>
      <c r="CN1047" s="128"/>
      <c r="CO1047" s="128"/>
      <c r="CP1047" s="128"/>
      <c r="CQ1047" s="128"/>
      <c r="CR1047" s="128"/>
      <c r="CS1047" s="128"/>
      <c r="CT1047" s="128"/>
      <c r="CU1047" s="128"/>
      <c r="CV1047" s="128"/>
      <c r="CW1047" s="128"/>
      <c r="CX1047" s="128"/>
      <c r="CY1047" s="128"/>
      <c r="CZ1047" s="128"/>
    </row>
    <row r="1048" spans="1:104">
      <c r="A1048" s="128"/>
      <c r="B1048" s="128"/>
      <c r="C1048" s="128"/>
      <c r="D1048" s="112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  <c r="AV1048" s="128"/>
      <c r="AW1048" s="128"/>
      <c r="AX1048" s="128"/>
      <c r="AY1048" s="128"/>
      <c r="AZ1048" s="128"/>
      <c r="BA1048" s="128"/>
      <c r="BB1048" s="128"/>
      <c r="BC1048" s="128"/>
      <c r="BD1048" s="128"/>
      <c r="BE1048" s="128"/>
      <c r="BF1048" s="128"/>
      <c r="BG1048" s="128"/>
      <c r="BH1048" s="128"/>
      <c r="BI1048" s="128"/>
      <c r="BJ1048" s="128"/>
      <c r="BK1048" s="128"/>
      <c r="BL1048" s="128"/>
      <c r="BM1048" s="151"/>
      <c r="BN1048" s="128"/>
      <c r="BO1048" s="128"/>
      <c r="BP1048" s="128"/>
      <c r="BQ1048" s="128"/>
      <c r="BR1048" s="128"/>
      <c r="BS1048" s="128"/>
      <c r="BT1048" s="128"/>
      <c r="BU1048" s="128"/>
      <c r="BV1048" s="128"/>
      <c r="BW1048" s="128"/>
      <c r="BX1048" s="128"/>
      <c r="BY1048" s="128"/>
      <c r="BZ1048" s="128"/>
      <c r="CA1048" s="128"/>
      <c r="CB1048" s="128"/>
      <c r="CC1048" s="128"/>
      <c r="CD1048" s="128"/>
      <c r="CE1048" s="128"/>
      <c r="CF1048" s="128"/>
      <c r="CG1048" s="128"/>
      <c r="CH1048" s="128"/>
      <c r="CI1048" s="128"/>
      <c r="CJ1048" s="128"/>
      <c r="CK1048" s="128"/>
      <c r="CL1048" s="128"/>
      <c r="CM1048" s="128"/>
      <c r="CN1048" s="128"/>
      <c r="CO1048" s="128"/>
      <c r="CP1048" s="128"/>
      <c r="CQ1048" s="128"/>
      <c r="CR1048" s="128"/>
      <c r="CS1048" s="128"/>
      <c r="CT1048" s="128"/>
      <c r="CU1048" s="128"/>
      <c r="CV1048" s="128"/>
      <c r="CW1048" s="128"/>
      <c r="CX1048" s="128"/>
      <c r="CY1048" s="128"/>
      <c r="CZ1048" s="128"/>
    </row>
    <row r="1049" spans="1:104">
      <c r="A1049" s="128"/>
      <c r="B1049" s="128"/>
      <c r="C1049" s="128"/>
      <c r="D1049" s="112"/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  <c r="AV1049" s="128"/>
      <c r="AW1049" s="128"/>
      <c r="AX1049" s="128"/>
      <c r="AY1049" s="128"/>
      <c r="AZ1049" s="128"/>
      <c r="BA1049" s="128"/>
      <c r="BB1049" s="128"/>
      <c r="BC1049" s="128"/>
      <c r="BD1049" s="128"/>
      <c r="BE1049" s="128"/>
      <c r="BF1049" s="128"/>
      <c r="BG1049" s="128"/>
      <c r="BH1049" s="128"/>
      <c r="BI1049" s="128"/>
      <c r="BJ1049" s="128"/>
      <c r="BK1049" s="128"/>
      <c r="BL1049" s="128"/>
      <c r="BM1049" s="151"/>
      <c r="BN1049" s="128"/>
      <c r="BO1049" s="128"/>
      <c r="BP1049" s="128"/>
      <c r="BQ1049" s="128"/>
      <c r="BR1049" s="128"/>
      <c r="BS1049" s="128"/>
      <c r="BT1049" s="128"/>
      <c r="BU1049" s="128"/>
      <c r="BV1049" s="128"/>
      <c r="BW1049" s="128"/>
      <c r="BX1049" s="128"/>
      <c r="BY1049" s="128"/>
      <c r="BZ1049" s="128"/>
      <c r="CA1049" s="128"/>
      <c r="CB1049" s="128"/>
      <c r="CC1049" s="128"/>
      <c r="CD1049" s="128"/>
      <c r="CE1049" s="128"/>
      <c r="CF1049" s="128"/>
      <c r="CG1049" s="128"/>
      <c r="CH1049" s="128"/>
      <c r="CI1049" s="128"/>
      <c r="CJ1049" s="128"/>
      <c r="CK1049" s="128"/>
      <c r="CL1049" s="128"/>
      <c r="CM1049" s="128"/>
      <c r="CN1049" s="128"/>
      <c r="CO1049" s="128"/>
      <c r="CP1049" s="128"/>
      <c r="CQ1049" s="128"/>
      <c r="CR1049" s="128"/>
      <c r="CS1049" s="128"/>
      <c r="CT1049" s="128"/>
      <c r="CU1049" s="128"/>
      <c r="CV1049" s="128"/>
      <c r="CW1049" s="128"/>
      <c r="CX1049" s="128"/>
      <c r="CY1049" s="128"/>
      <c r="CZ1049" s="128"/>
    </row>
    <row r="1050" spans="1:104">
      <c r="A1050" s="128"/>
      <c r="B1050" s="128"/>
      <c r="C1050" s="128"/>
      <c r="D1050" s="112"/>
      <c r="E1050" s="128"/>
      <c r="F1050" s="128"/>
      <c r="G1050" s="128"/>
      <c r="H1050" s="128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  <c r="AV1050" s="128"/>
      <c r="AW1050" s="128"/>
      <c r="AX1050" s="128"/>
      <c r="AY1050" s="128"/>
      <c r="AZ1050" s="128"/>
      <c r="BA1050" s="128"/>
      <c r="BB1050" s="128"/>
      <c r="BC1050" s="128"/>
      <c r="BD1050" s="128"/>
      <c r="BE1050" s="128"/>
      <c r="BF1050" s="128"/>
      <c r="BG1050" s="128"/>
      <c r="BH1050" s="128"/>
      <c r="BI1050" s="128"/>
      <c r="BJ1050" s="128"/>
      <c r="BK1050" s="128"/>
      <c r="BL1050" s="128"/>
      <c r="BM1050" s="151"/>
      <c r="BN1050" s="128"/>
      <c r="BO1050" s="128"/>
      <c r="BP1050" s="128"/>
      <c r="BQ1050" s="128"/>
      <c r="BR1050" s="128"/>
      <c r="BS1050" s="128"/>
      <c r="BT1050" s="128"/>
      <c r="BU1050" s="128"/>
      <c r="BV1050" s="128"/>
      <c r="BW1050" s="128"/>
      <c r="BX1050" s="128"/>
      <c r="BY1050" s="128"/>
      <c r="BZ1050" s="128"/>
      <c r="CA1050" s="128"/>
      <c r="CB1050" s="128"/>
      <c r="CC1050" s="128"/>
      <c r="CD1050" s="128"/>
      <c r="CE1050" s="128"/>
      <c r="CF1050" s="128"/>
      <c r="CG1050" s="128"/>
      <c r="CH1050" s="128"/>
      <c r="CI1050" s="128"/>
      <c r="CJ1050" s="128"/>
      <c r="CK1050" s="128"/>
      <c r="CL1050" s="128"/>
      <c r="CM1050" s="128"/>
      <c r="CN1050" s="128"/>
      <c r="CO1050" s="128"/>
      <c r="CP1050" s="128"/>
      <c r="CQ1050" s="128"/>
      <c r="CR1050" s="128"/>
      <c r="CS1050" s="128"/>
      <c r="CT1050" s="128"/>
      <c r="CU1050" s="128"/>
      <c r="CV1050" s="128"/>
      <c r="CW1050" s="128"/>
      <c r="CX1050" s="128"/>
      <c r="CY1050" s="128"/>
      <c r="CZ1050" s="128"/>
    </row>
    <row r="1051" spans="1:104">
      <c r="A1051" s="128"/>
      <c r="B1051" s="128"/>
      <c r="C1051" s="128"/>
      <c r="D1051" s="112"/>
      <c r="E1051" s="128"/>
      <c r="F1051" s="128"/>
      <c r="G1051" s="128"/>
      <c r="H1051" s="128"/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  <c r="AV1051" s="128"/>
      <c r="AW1051" s="128"/>
      <c r="AX1051" s="128"/>
      <c r="AY1051" s="128"/>
      <c r="AZ1051" s="128"/>
      <c r="BA1051" s="128"/>
      <c r="BB1051" s="128"/>
      <c r="BC1051" s="128"/>
      <c r="BD1051" s="128"/>
      <c r="BE1051" s="128"/>
      <c r="BF1051" s="128"/>
      <c r="BG1051" s="128"/>
      <c r="BH1051" s="128"/>
      <c r="BI1051" s="128"/>
      <c r="BJ1051" s="128"/>
      <c r="BK1051" s="128"/>
      <c r="BL1051" s="128"/>
      <c r="BM1051" s="151"/>
      <c r="BN1051" s="128"/>
      <c r="BO1051" s="128"/>
      <c r="BP1051" s="128"/>
      <c r="BQ1051" s="128"/>
      <c r="BR1051" s="128"/>
      <c r="BS1051" s="128"/>
      <c r="BT1051" s="128"/>
      <c r="BU1051" s="128"/>
      <c r="BV1051" s="128"/>
      <c r="BW1051" s="128"/>
      <c r="BX1051" s="128"/>
      <c r="BY1051" s="128"/>
      <c r="BZ1051" s="128"/>
      <c r="CA1051" s="128"/>
      <c r="CB1051" s="128"/>
      <c r="CC1051" s="128"/>
      <c r="CD1051" s="128"/>
      <c r="CE1051" s="128"/>
      <c r="CF1051" s="128"/>
      <c r="CG1051" s="128"/>
      <c r="CH1051" s="128"/>
      <c r="CI1051" s="128"/>
      <c r="CJ1051" s="128"/>
      <c r="CK1051" s="128"/>
      <c r="CL1051" s="128"/>
      <c r="CM1051" s="128"/>
      <c r="CN1051" s="128"/>
      <c r="CO1051" s="128"/>
      <c r="CP1051" s="128"/>
      <c r="CQ1051" s="128"/>
      <c r="CR1051" s="128"/>
      <c r="CS1051" s="128"/>
      <c r="CT1051" s="128"/>
      <c r="CU1051" s="128"/>
      <c r="CV1051" s="128"/>
      <c r="CW1051" s="128"/>
      <c r="CX1051" s="128"/>
      <c r="CY1051" s="128"/>
      <c r="CZ1051" s="128"/>
    </row>
    <row r="1052" spans="1:104">
      <c r="A1052" s="128"/>
      <c r="B1052" s="128"/>
      <c r="C1052" s="128"/>
      <c r="D1052" s="112"/>
      <c r="E1052" s="128"/>
      <c r="F1052" s="128"/>
      <c r="G1052" s="128"/>
      <c r="H1052" s="128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  <c r="AV1052" s="128"/>
      <c r="AW1052" s="128"/>
      <c r="AX1052" s="128"/>
      <c r="AY1052" s="128"/>
      <c r="AZ1052" s="128"/>
      <c r="BA1052" s="128"/>
      <c r="BB1052" s="128"/>
      <c r="BC1052" s="128"/>
      <c r="BD1052" s="128"/>
      <c r="BE1052" s="128"/>
      <c r="BF1052" s="128"/>
      <c r="BG1052" s="128"/>
      <c r="BH1052" s="128"/>
      <c r="BI1052" s="128"/>
      <c r="BJ1052" s="128"/>
      <c r="BK1052" s="128"/>
      <c r="BL1052" s="128"/>
      <c r="BM1052" s="151"/>
      <c r="BN1052" s="128"/>
      <c r="BO1052" s="128"/>
      <c r="BP1052" s="128"/>
      <c r="BQ1052" s="128"/>
      <c r="BR1052" s="128"/>
      <c r="BS1052" s="128"/>
      <c r="BT1052" s="128"/>
      <c r="BU1052" s="128"/>
      <c r="BV1052" s="128"/>
      <c r="BW1052" s="128"/>
      <c r="BX1052" s="128"/>
      <c r="BY1052" s="128"/>
      <c r="BZ1052" s="128"/>
      <c r="CA1052" s="128"/>
      <c r="CB1052" s="128"/>
      <c r="CC1052" s="128"/>
      <c r="CD1052" s="128"/>
      <c r="CE1052" s="128"/>
      <c r="CF1052" s="128"/>
      <c r="CG1052" s="128"/>
      <c r="CH1052" s="128"/>
      <c r="CI1052" s="128"/>
      <c r="CJ1052" s="128"/>
      <c r="CK1052" s="128"/>
      <c r="CL1052" s="128"/>
      <c r="CM1052" s="128"/>
      <c r="CN1052" s="128"/>
      <c r="CO1052" s="128"/>
      <c r="CP1052" s="128"/>
      <c r="CQ1052" s="128"/>
      <c r="CR1052" s="128"/>
      <c r="CS1052" s="128"/>
      <c r="CT1052" s="128"/>
      <c r="CU1052" s="128"/>
      <c r="CV1052" s="128"/>
      <c r="CW1052" s="128"/>
      <c r="CX1052" s="128"/>
      <c r="CY1052" s="128"/>
      <c r="CZ1052" s="128"/>
    </row>
    <row r="1053" spans="1:104">
      <c r="A1053" s="128"/>
      <c r="B1053" s="128"/>
      <c r="C1053" s="128"/>
      <c r="D1053" s="112"/>
      <c r="E1053" s="128"/>
      <c r="F1053" s="128"/>
      <c r="G1053" s="128"/>
      <c r="H1053" s="128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  <c r="AV1053" s="128"/>
      <c r="AW1053" s="128"/>
      <c r="AX1053" s="128"/>
      <c r="AY1053" s="128"/>
      <c r="AZ1053" s="128"/>
      <c r="BA1053" s="128"/>
      <c r="BB1053" s="128"/>
      <c r="BC1053" s="128"/>
      <c r="BD1053" s="128"/>
      <c r="BE1053" s="128"/>
      <c r="BF1053" s="128"/>
      <c r="BG1053" s="128"/>
      <c r="BH1053" s="128"/>
      <c r="BI1053" s="128"/>
      <c r="BJ1053" s="128"/>
      <c r="BK1053" s="128"/>
      <c r="BL1053" s="128"/>
      <c r="BM1053" s="151"/>
      <c r="BN1053" s="128"/>
      <c r="BO1053" s="128"/>
      <c r="BP1053" s="128"/>
      <c r="BQ1053" s="128"/>
      <c r="BR1053" s="128"/>
      <c r="BS1053" s="128"/>
      <c r="BT1053" s="128"/>
      <c r="BU1053" s="128"/>
      <c r="BV1053" s="128"/>
      <c r="BW1053" s="128"/>
      <c r="BX1053" s="128"/>
      <c r="BY1053" s="128"/>
      <c r="BZ1053" s="128"/>
      <c r="CA1053" s="128"/>
      <c r="CB1053" s="128"/>
      <c r="CC1053" s="128"/>
      <c r="CD1053" s="128"/>
      <c r="CE1053" s="128"/>
      <c r="CF1053" s="128"/>
      <c r="CG1053" s="128"/>
      <c r="CH1053" s="128"/>
      <c r="CI1053" s="128"/>
      <c r="CJ1053" s="128"/>
      <c r="CK1053" s="128"/>
      <c r="CL1053" s="128"/>
      <c r="CM1053" s="128"/>
      <c r="CN1053" s="128"/>
      <c r="CO1053" s="128"/>
      <c r="CP1053" s="128"/>
      <c r="CQ1053" s="128"/>
      <c r="CR1053" s="128"/>
      <c r="CS1053" s="128"/>
      <c r="CT1053" s="128"/>
      <c r="CU1053" s="128"/>
      <c r="CV1053" s="128"/>
      <c r="CW1053" s="128"/>
      <c r="CX1053" s="128"/>
      <c r="CY1053" s="128"/>
      <c r="CZ1053" s="128"/>
    </row>
    <row r="1054" spans="1:104">
      <c r="A1054" s="128"/>
      <c r="B1054" s="128"/>
      <c r="C1054" s="128"/>
      <c r="D1054" s="112"/>
      <c r="E1054" s="128"/>
      <c r="F1054" s="128"/>
      <c r="G1054" s="128"/>
      <c r="H1054" s="128"/>
      <c r="I1054" s="128"/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  <c r="AV1054" s="128"/>
      <c r="AW1054" s="128"/>
      <c r="AX1054" s="128"/>
      <c r="AY1054" s="128"/>
      <c r="AZ1054" s="128"/>
      <c r="BA1054" s="128"/>
      <c r="BB1054" s="128"/>
      <c r="BC1054" s="128"/>
      <c r="BD1054" s="128"/>
      <c r="BE1054" s="128"/>
      <c r="BF1054" s="128"/>
      <c r="BG1054" s="128"/>
      <c r="BH1054" s="128"/>
      <c r="BI1054" s="128"/>
      <c r="BJ1054" s="128"/>
      <c r="BK1054" s="128"/>
      <c r="BL1054" s="128"/>
      <c r="BM1054" s="151"/>
      <c r="BN1054" s="128"/>
      <c r="BO1054" s="128"/>
      <c r="BP1054" s="128"/>
      <c r="BQ1054" s="128"/>
      <c r="BR1054" s="128"/>
      <c r="BS1054" s="128"/>
      <c r="BT1054" s="128"/>
      <c r="BU1054" s="128"/>
      <c r="BV1054" s="128"/>
      <c r="BW1054" s="128"/>
      <c r="BX1054" s="128"/>
      <c r="BY1054" s="128"/>
      <c r="BZ1054" s="128"/>
      <c r="CA1054" s="128"/>
      <c r="CB1054" s="128"/>
      <c r="CC1054" s="128"/>
      <c r="CD1054" s="128"/>
      <c r="CE1054" s="128"/>
      <c r="CF1054" s="128"/>
      <c r="CG1054" s="128"/>
      <c r="CH1054" s="128"/>
      <c r="CI1054" s="128"/>
      <c r="CJ1054" s="128"/>
      <c r="CK1054" s="128"/>
      <c r="CL1054" s="128"/>
      <c r="CM1054" s="128"/>
      <c r="CN1054" s="128"/>
      <c r="CO1054" s="128"/>
      <c r="CP1054" s="128"/>
      <c r="CQ1054" s="128"/>
      <c r="CR1054" s="128"/>
      <c r="CS1054" s="128"/>
      <c r="CT1054" s="128"/>
      <c r="CU1054" s="128"/>
      <c r="CV1054" s="128"/>
      <c r="CW1054" s="128"/>
      <c r="CX1054" s="128"/>
      <c r="CY1054" s="128"/>
      <c r="CZ1054" s="128"/>
    </row>
    <row r="1055" spans="1:104">
      <c r="A1055" s="128"/>
      <c r="B1055" s="128"/>
      <c r="C1055" s="128"/>
      <c r="D1055" s="112"/>
      <c r="E1055" s="128"/>
      <c r="F1055" s="128"/>
      <c r="G1055" s="128"/>
      <c r="H1055" s="128"/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  <c r="AV1055" s="128"/>
      <c r="AW1055" s="128"/>
      <c r="AX1055" s="128"/>
      <c r="AY1055" s="128"/>
      <c r="AZ1055" s="128"/>
      <c r="BA1055" s="128"/>
      <c r="BB1055" s="128"/>
      <c r="BC1055" s="128"/>
      <c r="BD1055" s="128"/>
      <c r="BE1055" s="128"/>
      <c r="BF1055" s="128"/>
      <c r="BG1055" s="128"/>
      <c r="BH1055" s="128"/>
      <c r="BI1055" s="128"/>
      <c r="BJ1055" s="128"/>
      <c r="BK1055" s="128"/>
      <c r="BL1055" s="128"/>
      <c r="BM1055" s="151"/>
      <c r="BN1055" s="128"/>
      <c r="BO1055" s="128"/>
      <c r="BP1055" s="128"/>
      <c r="BQ1055" s="128"/>
      <c r="BR1055" s="128"/>
      <c r="BS1055" s="128"/>
      <c r="BT1055" s="128"/>
      <c r="BU1055" s="128"/>
      <c r="BV1055" s="128"/>
      <c r="BW1055" s="128"/>
      <c r="BX1055" s="128"/>
      <c r="BY1055" s="128"/>
      <c r="BZ1055" s="128"/>
      <c r="CA1055" s="128"/>
      <c r="CB1055" s="128"/>
      <c r="CC1055" s="128"/>
      <c r="CD1055" s="128"/>
      <c r="CE1055" s="128"/>
      <c r="CF1055" s="128"/>
      <c r="CG1055" s="128"/>
      <c r="CH1055" s="128"/>
      <c r="CI1055" s="128"/>
      <c r="CJ1055" s="128"/>
      <c r="CK1055" s="128"/>
      <c r="CL1055" s="128"/>
      <c r="CM1055" s="128"/>
      <c r="CN1055" s="128"/>
      <c r="CO1055" s="128"/>
      <c r="CP1055" s="128"/>
      <c r="CQ1055" s="128"/>
      <c r="CR1055" s="128"/>
      <c r="CS1055" s="128"/>
      <c r="CT1055" s="128"/>
      <c r="CU1055" s="128"/>
      <c r="CV1055" s="128"/>
      <c r="CW1055" s="128"/>
      <c r="CX1055" s="128"/>
      <c r="CY1055" s="128"/>
      <c r="CZ1055" s="128"/>
    </row>
    <row r="1056" spans="1:104">
      <c r="A1056" s="128"/>
      <c r="B1056" s="128"/>
      <c r="C1056" s="128"/>
      <c r="D1056" s="112"/>
      <c r="E1056" s="128"/>
      <c r="F1056" s="128"/>
      <c r="G1056" s="128"/>
      <c r="H1056" s="128"/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  <c r="AV1056" s="128"/>
      <c r="AW1056" s="128"/>
      <c r="AX1056" s="128"/>
      <c r="AY1056" s="128"/>
      <c r="AZ1056" s="128"/>
      <c r="BA1056" s="128"/>
      <c r="BB1056" s="128"/>
      <c r="BC1056" s="128"/>
      <c r="BD1056" s="128"/>
      <c r="BE1056" s="128"/>
      <c r="BF1056" s="128"/>
      <c r="BG1056" s="128"/>
      <c r="BH1056" s="128"/>
      <c r="BI1056" s="128"/>
      <c r="BJ1056" s="128"/>
      <c r="BK1056" s="128"/>
      <c r="BL1056" s="128"/>
      <c r="BM1056" s="151"/>
      <c r="BN1056" s="128"/>
      <c r="BO1056" s="128"/>
      <c r="BP1056" s="128"/>
      <c r="BQ1056" s="128"/>
      <c r="BR1056" s="128"/>
      <c r="BS1056" s="128"/>
      <c r="BT1056" s="128"/>
      <c r="BU1056" s="128"/>
      <c r="BV1056" s="128"/>
      <c r="BW1056" s="128"/>
      <c r="BX1056" s="128"/>
      <c r="BY1056" s="128"/>
      <c r="BZ1056" s="128"/>
      <c r="CA1056" s="128"/>
      <c r="CB1056" s="128"/>
      <c r="CC1056" s="128"/>
      <c r="CD1056" s="128"/>
      <c r="CE1056" s="128"/>
      <c r="CF1056" s="128"/>
      <c r="CG1056" s="128"/>
      <c r="CH1056" s="128"/>
      <c r="CI1056" s="128"/>
      <c r="CJ1056" s="128"/>
      <c r="CK1056" s="128"/>
      <c r="CL1056" s="128"/>
      <c r="CM1056" s="128"/>
      <c r="CN1056" s="128"/>
      <c r="CO1056" s="128"/>
      <c r="CP1056" s="128"/>
      <c r="CQ1056" s="128"/>
      <c r="CR1056" s="128"/>
      <c r="CS1056" s="128"/>
      <c r="CT1056" s="128"/>
      <c r="CU1056" s="128"/>
      <c r="CV1056" s="128"/>
      <c r="CW1056" s="128"/>
      <c r="CX1056" s="128"/>
      <c r="CY1056" s="128"/>
      <c r="CZ1056" s="128"/>
    </row>
    <row r="1057" spans="1:104">
      <c r="A1057" s="128"/>
      <c r="B1057" s="128"/>
      <c r="C1057" s="128"/>
      <c r="D1057" s="112"/>
      <c r="E1057" s="128"/>
      <c r="F1057" s="128"/>
      <c r="G1057" s="128"/>
      <c r="H1057" s="128"/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  <c r="AV1057" s="128"/>
      <c r="AW1057" s="128"/>
      <c r="AX1057" s="128"/>
      <c r="AY1057" s="128"/>
      <c r="AZ1057" s="128"/>
      <c r="BA1057" s="128"/>
      <c r="BB1057" s="128"/>
      <c r="BC1057" s="128"/>
      <c r="BD1057" s="128"/>
      <c r="BE1057" s="128"/>
      <c r="BF1057" s="128"/>
      <c r="BG1057" s="128"/>
      <c r="BH1057" s="128"/>
      <c r="BI1057" s="128"/>
      <c r="BJ1057" s="128"/>
      <c r="BK1057" s="128"/>
      <c r="BL1057" s="128"/>
      <c r="BM1057" s="151"/>
      <c r="BN1057" s="128"/>
      <c r="BO1057" s="128"/>
      <c r="BP1057" s="128"/>
      <c r="BQ1057" s="128"/>
      <c r="BR1057" s="128"/>
      <c r="BS1057" s="128"/>
      <c r="BT1057" s="128"/>
      <c r="BU1057" s="128"/>
      <c r="BV1057" s="128"/>
      <c r="BW1057" s="128"/>
      <c r="BX1057" s="128"/>
      <c r="BY1057" s="128"/>
      <c r="BZ1057" s="128"/>
      <c r="CA1057" s="128"/>
      <c r="CB1057" s="128"/>
      <c r="CC1057" s="128"/>
      <c r="CD1057" s="128"/>
      <c r="CE1057" s="128"/>
      <c r="CF1057" s="128"/>
      <c r="CG1057" s="128"/>
      <c r="CH1057" s="128"/>
      <c r="CI1057" s="128"/>
      <c r="CJ1057" s="128"/>
      <c r="CK1057" s="128"/>
      <c r="CL1057" s="128"/>
      <c r="CM1057" s="128"/>
      <c r="CN1057" s="128"/>
      <c r="CO1057" s="128"/>
      <c r="CP1057" s="128"/>
      <c r="CQ1057" s="128"/>
      <c r="CR1057" s="128"/>
      <c r="CS1057" s="128"/>
      <c r="CT1057" s="128"/>
      <c r="CU1057" s="128"/>
      <c r="CV1057" s="128"/>
      <c r="CW1057" s="128"/>
      <c r="CX1057" s="128"/>
      <c r="CY1057" s="128"/>
      <c r="CZ1057" s="128"/>
    </row>
    <row r="1058" spans="1:104">
      <c r="A1058" s="128"/>
      <c r="B1058" s="128"/>
      <c r="C1058" s="128"/>
      <c r="D1058" s="112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  <c r="AV1058" s="128"/>
      <c r="AW1058" s="128"/>
      <c r="AX1058" s="128"/>
      <c r="AY1058" s="128"/>
      <c r="AZ1058" s="128"/>
      <c r="BA1058" s="128"/>
      <c r="BB1058" s="128"/>
      <c r="BC1058" s="128"/>
      <c r="BD1058" s="128"/>
      <c r="BE1058" s="128"/>
      <c r="BF1058" s="128"/>
      <c r="BG1058" s="128"/>
      <c r="BH1058" s="128"/>
      <c r="BI1058" s="128"/>
      <c r="BJ1058" s="128"/>
      <c r="BK1058" s="128"/>
      <c r="BL1058" s="128"/>
      <c r="BM1058" s="151"/>
      <c r="BN1058" s="128"/>
      <c r="BO1058" s="128"/>
      <c r="BP1058" s="128"/>
      <c r="BQ1058" s="128"/>
      <c r="BR1058" s="128"/>
      <c r="BS1058" s="128"/>
      <c r="BT1058" s="128"/>
      <c r="BU1058" s="128"/>
      <c r="BV1058" s="128"/>
      <c r="BW1058" s="128"/>
      <c r="BX1058" s="128"/>
      <c r="BY1058" s="128"/>
      <c r="BZ1058" s="128"/>
      <c r="CA1058" s="128"/>
      <c r="CB1058" s="128"/>
      <c r="CC1058" s="128"/>
      <c r="CD1058" s="128"/>
      <c r="CE1058" s="128"/>
      <c r="CF1058" s="128"/>
      <c r="CG1058" s="128"/>
      <c r="CH1058" s="128"/>
      <c r="CI1058" s="128"/>
      <c r="CJ1058" s="128"/>
      <c r="CK1058" s="128"/>
      <c r="CL1058" s="128"/>
      <c r="CM1058" s="128"/>
      <c r="CN1058" s="128"/>
      <c r="CO1058" s="128"/>
      <c r="CP1058" s="128"/>
      <c r="CQ1058" s="128"/>
      <c r="CR1058" s="128"/>
      <c r="CS1058" s="128"/>
      <c r="CT1058" s="128"/>
      <c r="CU1058" s="128"/>
      <c r="CV1058" s="128"/>
      <c r="CW1058" s="128"/>
      <c r="CX1058" s="128"/>
      <c r="CY1058" s="128"/>
      <c r="CZ1058" s="128"/>
    </row>
    <row r="1059" spans="1:104">
      <c r="A1059" s="128"/>
      <c r="B1059" s="128"/>
      <c r="C1059" s="128"/>
      <c r="D1059" s="112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  <c r="AV1059" s="128"/>
      <c r="AW1059" s="128"/>
      <c r="AX1059" s="128"/>
      <c r="AY1059" s="128"/>
      <c r="AZ1059" s="128"/>
      <c r="BA1059" s="128"/>
      <c r="BB1059" s="128"/>
      <c r="BC1059" s="128"/>
      <c r="BD1059" s="128"/>
      <c r="BE1059" s="128"/>
      <c r="BF1059" s="128"/>
      <c r="BG1059" s="128"/>
      <c r="BH1059" s="128"/>
      <c r="BI1059" s="128"/>
      <c r="BJ1059" s="128"/>
      <c r="BK1059" s="128"/>
      <c r="BL1059" s="128"/>
      <c r="BM1059" s="151"/>
      <c r="BN1059" s="128"/>
      <c r="BO1059" s="128"/>
      <c r="BP1059" s="128"/>
      <c r="BQ1059" s="128"/>
      <c r="BR1059" s="128"/>
      <c r="BS1059" s="128"/>
      <c r="BT1059" s="128"/>
      <c r="BU1059" s="128"/>
      <c r="BV1059" s="128"/>
      <c r="BW1059" s="128"/>
      <c r="BX1059" s="128"/>
      <c r="BY1059" s="128"/>
      <c r="BZ1059" s="128"/>
      <c r="CA1059" s="128"/>
      <c r="CB1059" s="128"/>
      <c r="CC1059" s="128"/>
      <c r="CD1059" s="128"/>
      <c r="CE1059" s="128"/>
      <c r="CF1059" s="128"/>
      <c r="CG1059" s="128"/>
      <c r="CH1059" s="128"/>
      <c r="CI1059" s="128"/>
      <c r="CJ1059" s="128"/>
      <c r="CK1059" s="128"/>
      <c r="CL1059" s="128"/>
      <c r="CM1059" s="128"/>
      <c r="CN1059" s="128"/>
      <c r="CO1059" s="128"/>
      <c r="CP1059" s="128"/>
      <c r="CQ1059" s="128"/>
      <c r="CR1059" s="128"/>
      <c r="CS1059" s="128"/>
      <c r="CT1059" s="128"/>
      <c r="CU1059" s="128"/>
      <c r="CV1059" s="128"/>
      <c r="CW1059" s="128"/>
      <c r="CX1059" s="128"/>
      <c r="CY1059" s="128"/>
      <c r="CZ1059" s="128"/>
    </row>
    <row r="1060" spans="1:104">
      <c r="A1060" s="128"/>
      <c r="B1060" s="128"/>
      <c r="C1060" s="128"/>
      <c r="D1060" s="112"/>
      <c r="E1060" s="128"/>
      <c r="F1060" s="128"/>
      <c r="G1060" s="128"/>
      <c r="H1060" s="128"/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  <c r="AV1060" s="128"/>
      <c r="AW1060" s="128"/>
      <c r="AX1060" s="128"/>
      <c r="AY1060" s="128"/>
      <c r="AZ1060" s="128"/>
      <c r="BA1060" s="128"/>
      <c r="BB1060" s="128"/>
      <c r="BC1060" s="128"/>
      <c r="BD1060" s="128"/>
      <c r="BE1060" s="128"/>
      <c r="BF1060" s="128"/>
      <c r="BG1060" s="128"/>
      <c r="BH1060" s="128"/>
      <c r="BI1060" s="128"/>
      <c r="BJ1060" s="128"/>
      <c r="BK1060" s="128"/>
      <c r="BL1060" s="128"/>
      <c r="BM1060" s="151"/>
      <c r="BN1060" s="128"/>
      <c r="BO1060" s="128"/>
      <c r="BP1060" s="128"/>
      <c r="BQ1060" s="128"/>
      <c r="BR1060" s="128"/>
      <c r="BS1060" s="128"/>
      <c r="BT1060" s="128"/>
      <c r="BU1060" s="128"/>
      <c r="BV1060" s="128"/>
      <c r="BW1060" s="128"/>
      <c r="BX1060" s="128"/>
      <c r="BY1060" s="128"/>
      <c r="BZ1060" s="128"/>
      <c r="CA1060" s="128"/>
      <c r="CB1060" s="128"/>
      <c r="CC1060" s="128"/>
      <c r="CD1060" s="128"/>
      <c r="CE1060" s="128"/>
      <c r="CF1060" s="128"/>
      <c r="CG1060" s="128"/>
      <c r="CH1060" s="128"/>
      <c r="CI1060" s="128"/>
      <c r="CJ1060" s="128"/>
      <c r="CK1060" s="128"/>
      <c r="CL1060" s="128"/>
      <c r="CM1060" s="128"/>
      <c r="CN1060" s="128"/>
      <c r="CO1060" s="128"/>
      <c r="CP1060" s="128"/>
      <c r="CQ1060" s="128"/>
      <c r="CR1060" s="128"/>
      <c r="CS1060" s="128"/>
      <c r="CT1060" s="128"/>
      <c r="CU1060" s="128"/>
      <c r="CV1060" s="128"/>
      <c r="CW1060" s="128"/>
      <c r="CX1060" s="128"/>
      <c r="CY1060" s="128"/>
      <c r="CZ1060" s="128"/>
    </row>
    <row r="1061" spans="1:104">
      <c r="A1061" s="128"/>
      <c r="B1061" s="128"/>
      <c r="C1061" s="128"/>
      <c r="D1061" s="112"/>
      <c r="E1061" s="128"/>
      <c r="F1061" s="128"/>
      <c r="G1061" s="128"/>
      <c r="H1061" s="128"/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  <c r="AV1061" s="128"/>
      <c r="AW1061" s="128"/>
      <c r="AX1061" s="128"/>
      <c r="AY1061" s="128"/>
      <c r="AZ1061" s="128"/>
      <c r="BA1061" s="128"/>
      <c r="BB1061" s="128"/>
      <c r="BC1061" s="128"/>
      <c r="BD1061" s="128"/>
      <c r="BE1061" s="128"/>
      <c r="BF1061" s="128"/>
      <c r="BG1061" s="128"/>
      <c r="BH1061" s="128"/>
      <c r="BI1061" s="128"/>
      <c r="BJ1061" s="128"/>
      <c r="BK1061" s="128"/>
      <c r="BL1061" s="128"/>
      <c r="BM1061" s="151"/>
      <c r="BN1061" s="128"/>
      <c r="BO1061" s="128"/>
      <c r="BP1061" s="128"/>
      <c r="BQ1061" s="128"/>
      <c r="BR1061" s="128"/>
      <c r="BS1061" s="128"/>
      <c r="BT1061" s="128"/>
      <c r="BU1061" s="128"/>
      <c r="BV1061" s="128"/>
      <c r="BW1061" s="128"/>
      <c r="BX1061" s="128"/>
      <c r="BY1061" s="128"/>
      <c r="BZ1061" s="128"/>
      <c r="CA1061" s="128"/>
      <c r="CB1061" s="128"/>
      <c r="CC1061" s="128"/>
      <c r="CD1061" s="128"/>
      <c r="CE1061" s="128"/>
      <c r="CF1061" s="128"/>
      <c r="CG1061" s="128"/>
      <c r="CH1061" s="128"/>
      <c r="CI1061" s="128"/>
      <c r="CJ1061" s="128"/>
      <c r="CK1061" s="128"/>
      <c r="CL1061" s="128"/>
      <c r="CM1061" s="128"/>
      <c r="CN1061" s="128"/>
      <c r="CO1061" s="128"/>
      <c r="CP1061" s="128"/>
      <c r="CQ1061" s="128"/>
      <c r="CR1061" s="128"/>
      <c r="CS1061" s="128"/>
      <c r="CT1061" s="128"/>
      <c r="CU1061" s="128"/>
      <c r="CV1061" s="128"/>
      <c r="CW1061" s="128"/>
      <c r="CX1061" s="128"/>
      <c r="CY1061" s="128"/>
      <c r="CZ1061" s="128"/>
    </row>
    <row r="1062" spans="1:104">
      <c r="A1062" s="128"/>
      <c r="B1062" s="128"/>
      <c r="C1062" s="128"/>
      <c r="D1062" s="112"/>
      <c r="E1062" s="128"/>
      <c r="F1062" s="128"/>
      <c r="G1062" s="128"/>
      <c r="H1062" s="128"/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  <c r="AV1062" s="128"/>
      <c r="AW1062" s="128"/>
      <c r="AX1062" s="128"/>
      <c r="AY1062" s="128"/>
      <c r="AZ1062" s="128"/>
      <c r="BA1062" s="128"/>
      <c r="BB1062" s="128"/>
      <c r="BC1062" s="128"/>
      <c r="BD1062" s="128"/>
      <c r="BE1062" s="128"/>
      <c r="BF1062" s="128"/>
      <c r="BG1062" s="128"/>
      <c r="BH1062" s="128"/>
      <c r="BI1062" s="128"/>
      <c r="BJ1062" s="128"/>
      <c r="BK1062" s="128"/>
      <c r="BL1062" s="128"/>
      <c r="BM1062" s="151"/>
      <c r="BN1062" s="128"/>
      <c r="BO1062" s="128"/>
      <c r="BP1062" s="128"/>
      <c r="BQ1062" s="128"/>
      <c r="BR1062" s="128"/>
      <c r="BS1062" s="128"/>
      <c r="BT1062" s="128"/>
      <c r="BU1062" s="128"/>
      <c r="BV1062" s="128"/>
      <c r="BW1062" s="128"/>
      <c r="BX1062" s="128"/>
      <c r="BY1062" s="128"/>
      <c r="BZ1062" s="128"/>
      <c r="CA1062" s="128"/>
      <c r="CB1062" s="128"/>
      <c r="CC1062" s="128"/>
      <c r="CD1062" s="128"/>
      <c r="CE1062" s="128"/>
      <c r="CF1062" s="128"/>
      <c r="CG1062" s="128"/>
      <c r="CH1062" s="128"/>
      <c r="CI1062" s="128"/>
      <c r="CJ1062" s="128"/>
      <c r="CK1062" s="128"/>
      <c r="CL1062" s="128"/>
      <c r="CM1062" s="128"/>
      <c r="CN1062" s="128"/>
      <c r="CO1062" s="128"/>
      <c r="CP1062" s="128"/>
      <c r="CQ1062" s="128"/>
      <c r="CR1062" s="128"/>
      <c r="CS1062" s="128"/>
      <c r="CT1062" s="128"/>
      <c r="CU1062" s="128"/>
      <c r="CV1062" s="128"/>
      <c r="CW1062" s="128"/>
      <c r="CX1062" s="128"/>
      <c r="CY1062" s="128"/>
      <c r="CZ1062" s="128"/>
    </row>
    <row r="1063" spans="1:104">
      <c r="A1063" s="128"/>
      <c r="B1063" s="128"/>
      <c r="C1063" s="128"/>
      <c r="D1063" s="112"/>
      <c r="E1063" s="128"/>
      <c r="F1063" s="128"/>
      <c r="G1063" s="128"/>
      <c r="H1063" s="128"/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  <c r="AV1063" s="128"/>
      <c r="AW1063" s="128"/>
      <c r="AX1063" s="128"/>
      <c r="AY1063" s="128"/>
      <c r="AZ1063" s="128"/>
      <c r="BA1063" s="128"/>
      <c r="BB1063" s="128"/>
      <c r="BC1063" s="128"/>
      <c r="BD1063" s="128"/>
      <c r="BE1063" s="128"/>
      <c r="BF1063" s="128"/>
      <c r="BG1063" s="128"/>
      <c r="BH1063" s="128"/>
      <c r="BI1063" s="128"/>
      <c r="BJ1063" s="128"/>
      <c r="BK1063" s="128"/>
      <c r="BL1063" s="128"/>
      <c r="BM1063" s="151"/>
      <c r="BN1063" s="128"/>
      <c r="BO1063" s="128"/>
      <c r="BP1063" s="128"/>
      <c r="BQ1063" s="128"/>
      <c r="BR1063" s="128"/>
      <c r="BS1063" s="128"/>
      <c r="BT1063" s="128"/>
      <c r="BU1063" s="128"/>
      <c r="BV1063" s="128"/>
      <c r="BW1063" s="128"/>
      <c r="BX1063" s="128"/>
      <c r="BY1063" s="128"/>
      <c r="BZ1063" s="128"/>
      <c r="CA1063" s="128"/>
      <c r="CB1063" s="128"/>
      <c r="CC1063" s="128"/>
      <c r="CD1063" s="128"/>
      <c r="CE1063" s="128"/>
      <c r="CF1063" s="128"/>
      <c r="CG1063" s="128"/>
      <c r="CH1063" s="128"/>
      <c r="CI1063" s="128"/>
      <c r="CJ1063" s="128"/>
      <c r="CK1063" s="128"/>
      <c r="CL1063" s="128"/>
      <c r="CM1063" s="128"/>
      <c r="CN1063" s="128"/>
      <c r="CO1063" s="128"/>
      <c r="CP1063" s="128"/>
      <c r="CQ1063" s="128"/>
      <c r="CR1063" s="128"/>
      <c r="CS1063" s="128"/>
      <c r="CT1063" s="128"/>
      <c r="CU1063" s="128"/>
      <c r="CV1063" s="128"/>
      <c r="CW1063" s="128"/>
      <c r="CX1063" s="128"/>
      <c r="CY1063" s="128"/>
      <c r="CZ1063" s="128"/>
    </row>
    <row r="1064" spans="1:104">
      <c r="A1064" s="128"/>
      <c r="B1064" s="128"/>
      <c r="C1064" s="128"/>
      <c r="D1064" s="112"/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  <c r="AV1064" s="128"/>
      <c r="AW1064" s="128"/>
      <c r="AX1064" s="128"/>
      <c r="AY1064" s="128"/>
      <c r="AZ1064" s="128"/>
      <c r="BA1064" s="128"/>
      <c r="BB1064" s="128"/>
      <c r="BC1064" s="128"/>
      <c r="BD1064" s="128"/>
      <c r="BE1064" s="128"/>
      <c r="BF1064" s="128"/>
      <c r="BG1064" s="128"/>
      <c r="BH1064" s="128"/>
      <c r="BI1064" s="128"/>
      <c r="BJ1064" s="128"/>
      <c r="BK1064" s="128"/>
      <c r="BL1064" s="128"/>
      <c r="BM1064" s="151"/>
      <c r="BN1064" s="128"/>
      <c r="BO1064" s="128"/>
      <c r="BP1064" s="128"/>
      <c r="BQ1064" s="128"/>
      <c r="BR1064" s="128"/>
      <c r="BS1064" s="128"/>
      <c r="BT1064" s="128"/>
      <c r="BU1064" s="128"/>
      <c r="BV1064" s="128"/>
      <c r="BW1064" s="128"/>
      <c r="BX1064" s="128"/>
      <c r="BY1064" s="128"/>
      <c r="BZ1064" s="128"/>
      <c r="CA1064" s="128"/>
      <c r="CB1064" s="128"/>
      <c r="CC1064" s="128"/>
      <c r="CD1064" s="128"/>
      <c r="CE1064" s="128"/>
      <c r="CF1064" s="128"/>
      <c r="CG1064" s="128"/>
      <c r="CH1064" s="128"/>
      <c r="CI1064" s="128"/>
      <c r="CJ1064" s="128"/>
      <c r="CK1064" s="128"/>
      <c r="CL1064" s="128"/>
      <c r="CM1064" s="128"/>
      <c r="CN1064" s="128"/>
      <c r="CO1064" s="128"/>
      <c r="CP1064" s="128"/>
      <c r="CQ1064" s="128"/>
      <c r="CR1064" s="128"/>
      <c r="CS1064" s="128"/>
      <c r="CT1064" s="128"/>
      <c r="CU1064" s="128"/>
      <c r="CV1064" s="128"/>
      <c r="CW1064" s="128"/>
      <c r="CX1064" s="128"/>
      <c r="CY1064" s="128"/>
      <c r="CZ1064" s="128"/>
    </row>
    <row r="1065" spans="1:104">
      <c r="A1065" s="128"/>
      <c r="B1065" s="128"/>
      <c r="C1065" s="128"/>
      <c r="D1065" s="112"/>
      <c r="E1065" s="128"/>
      <c r="F1065" s="128"/>
      <c r="G1065" s="128"/>
      <c r="H1065" s="128"/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  <c r="AV1065" s="128"/>
      <c r="AW1065" s="128"/>
      <c r="AX1065" s="128"/>
      <c r="AY1065" s="128"/>
      <c r="AZ1065" s="128"/>
      <c r="BA1065" s="128"/>
      <c r="BB1065" s="128"/>
      <c r="BC1065" s="128"/>
      <c r="BD1065" s="128"/>
      <c r="BE1065" s="128"/>
      <c r="BF1065" s="128"/>
      <c r="BG1065" s="128"/>
      <c r="BH1065" s="128"/>
      <c r="BI1065" s="128"/>
      <c r="BJ1065" s="128"/>
      <c r="BK1065" s="128"/>
      <c r="BL1065" s="128"/>
      <c r="BM1065" s="151"/>
      <c r="BN1065" s="128"/>
      <c r="BO1065" s="128"/>
      <c r="BP1065" s="128"/>
      <c r="BQ1065" s="128"/>
      <c r="BR1065" s="128"/>
      <c r="BS1065" s="128"/>
      <c r="BT1065" s="128"/>
      <c r="BU1065" s="128"/>
      <c r="BV1065" s="128"/>
      <c r="BW1065" s="128"/>
      <c r="BX1065" s="128"/>
      <c r="BY1065" s="128"/>
      <c r="BZ1065" s="128"/>
      <c r="CA1065" s="128"/>
      <c r="CB1065" s="128"/>
      <c r="CC1065" s="128"/>
      <c r="CD1065" s="128"/>
      <c r="CE1065" s="128"/>
      <c r="CF1065" s="128"/>
      <c r="CG1065" s="128"/>
      <c r="CH1065" s="128"/>
      <c r="CI1065" s="128"/>
      <c r="CJ1065" s="128"/>
      <c r="CK1065" s="128"/>
      <c r="CL1065" s="128"/>
      <c r="CM1065" s="128"/>
      <c r="CN1065" s="128"/>
      <c r="CO1065" s="128"/>
      <c r="CP1065" s="128"/>
      <c r="CQ1065" s="128"/>
      <c r="CR1065" s="128"/>
      <c r="CS1065" s="128"/>
      <c r="CT1065" s="128"/>
      <c r="CU1065" s="128"/>
      <c r="CV1065" s="128"/>
      <c r="CW1065" s="128"/>
      <c r="CX1065" s="128"/>
      <c r="CY1065" s="128"/>
      <c r="CZ1065" s="128"/>
    </row>
    <row r="1066" spans="1:104">
      <c r="A1066" s="128"/>
      <c r="B1066" s="128"/>
      <c r="C1066" s="128"/>
      <c r="D1066" s="112"/>
      <c r="E1066" s="128"/>
      <c r="F1066" s="128"/>
      <c r="G1066" s="128"/>
      <c r="H1066" s="128"/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  <c r="AV1066" s="128"/>
      <c r="AW1066" s="128"/>
      <c r="AX1066" s="128"/>
      <c r="AY1066" s="128"/>
      <c r="AZ1066" s="128"/>
      <c r="BA1066" s="128"/>
      <c r="BB1066" s="128"/>
      <c r="BC1066" s="128"/>
      <c r="BD1066" s="128"/>
      <c r="BE1066" s="128"/>
      <c r="BF1066" s="128"/>
      <c r="BG1066" s="128"/>
      <c r="BH1066" s="128"/>
      <c r="BI1066" s="128"/>
      <c r="BJ1066" s="128"/>
      <c r="BK1066" s="128"/>
      <c r="BL1066" s="128"/>
      <c r="BM1066" s="151"/>
      <c r="BN1066" s="128"/>
      <c r="BO1066" s="128"/>
      <c r="BP1066" s="128"/>
      <c r="BQ1066" s="128"/>
      <c r="BR1066" s="128"/>
      <c r="BS1066" s="128"/>
      <c r="BT1066" s="128"/>
      <c r="BU1066" s="128"/>
      <c r="BV1066" s="128"/>
      <c r="BW1066" s="128"/>
      <c r="BX1066" s="128"/>
      <c r="BY1066" s="128"/>
      <c r="BZ1066" s="128"/>
      <c r="CA1066" s="128"/>
      <c r="CB1066" s="128"/>
      <c r="CC1066" s="128"/>
      <c r="CD1066" s="128"/>
      <c r="CE1066" s="128"/>
      <c r="CF1066" s="128"/>
      <c r="CG1066" s="128"/>
      <c r="CH1066" s="128"/>
      <c r="CI1066" s="128"/>
      <c r="CJ1066" s="128"/>
      <c r="CK1066" s="128"/>
      <c r="CL1066" s="128"/>
      <c r="CM1066" s="128"/>
      <c r="CN1066" s="128"/>
      <c r="CO1066" s="128"/>
      <c r="CP1066" s="128"/>
      <c r="CQ1066" s="128"/>
      <c r="CR1066" s="128"/>
      <c r="CS1066" s="128"/>
      <c r="CT1066" s="128"/>
      <c r="CU1066" s="128"/>
      <c r="CV1066" s="128"/>
      <c r="CW1066" s="128"/>
      <c r="CX1066" s="128"/>
      <c r="CY1066" s="128"/>
      <c r="CZ1066" s="128"/>
    </row>
    <row r="1067" spans="1:104">
      <c r="A1067" s="128"/>
      <c r="B1067" s="128"/>
      <c r="C1067" s="128"/>
      <c r="D1067" s="112"/>
      <c r="E1067" s="128"/>
      <c r="F1067" s="128"/>
      <c r="G1067" s="128"/>
      <c r="H1067" s="128"/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  <c r="AV1067" s="128"/>
      <c r="AW1067" s="128"/>
      <c r="AX1067" s="128"/>
      <c r="AY1067" s="128"/>
      <c r="AZ1067" s="128"/>
      <c r="BA1067" s="128"/>
      <c r="BB1067" s="128"/>
      <c r="BC1067" s="128"/>
      <c r="BD1067" s="128"/>
      <c r="BE1067" s="128"/>
      <c r="BF1067" s="128"/>
      <c r="BG1067" s="128"/>
      <c r="BH1067" s="128"/>
      <c r="BI1067" s="128"/>
      <c r="BJ1067" s="128"/>
      <c r="BK1067" s="128"/>
      <c r="BL1067" s="128"/>
      <c r="BM1067" s="151"/>
      <c r="BN1067" s="128"/>
      <c r="BO1067" s="128"/>
      <c r="BP1067" s="128"/>
      <c r="BQ1067" s="128"/>
      <c r="BR1067" s="128"/>
      <c r="BS1067" s="128"/>
      <c r="BT1067" s="128"/>
      <c r="BU1067" s="128"/>
      <c r="BV1067" s="128"/>
      <c r="BW1067" s="128"/>
      <c r="BX1067" s="128"/>
      <c r="BY1067" s="128"/>
      <c r="BZ1067" s="128"/>
      <c r="CA1067" s="128"/>
      <c r="CB1067" s="128"/>
      <c r="CC1067" s="128"/>
      <c r="CD1067" s="128"/>
      <c r="CE1067" s="128"/>
      <c r="CF1067" s="128"/>
      <c r="CG1067" s="128"/>
      <c r="CH1067" s="128"/>
      <c r="CI1067" s="128"/>
      <c r="CJ1067" s="128"/>
      <c r="CK1067" s="128"/>
      <c r="CL1067" s="128"/>
      <c r="CM1067" s="128"/>
      <c r="CN1067" s="128"/>
      <c r="CO1067" s="128"/>
      <c r="CP1067" s="128"/>
      <c r="CQ1067" s="128"/>
      <c r="CR1067" s="128"/>
      <c r="CS1067" s="128"/>
      <c r="CT1067" s="128"/>
      <c r="CU1067" s="128"/>
      <c r="CV1067" s="128"/>
      <c r="CW1067" s="128"/>
      <c r="CX1067" s="128"/>
      <c r="CY1067" s="128"/>
      <c r="CZ1067" s="128"/>
    </row>
    <row r="1068" spans="1:104">
      <c r="A1068" s="128"/>
      <c r="B1068" s="128"/>
      <c r="C1068" s="128"/>
      <c r="D1068" s="112"/>
      <c r="E1068" s="128"/>
      <c r="F1068" s="128"/>
      <c r="G1068" s="128"/>
      <c r="H1068" s="128"/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  <c r="AV1068" s="128"/>
      <c r="AW1068" s="128"/>
      <c r="AX1068" s="128"/>
      <c r="AY1068" s="128"/>
      <c r="AZ1068" s="128"/>
      <c r="BA1068" s="128"/>
      <c r="BB1068" s="128"/>
      <c r="BC1068" s="128"/>
      <c r="BD1068" s="128"/>
      <c r="BE1068" s="128"/>
      <c r="BF1068" s="128"/>
      <c r="BG1068" s="128"/>
      <c r="BH1068" s="128"/>
      <c r="BI1068" s="128"/>
      <c r="BJ1068" s="128"/>
      <c r="BK1068" s="128"/>
      <c r="BL1068" s="128"/>
      <c r="BM1068" s="151"/>
      <c r="BN1068" s="128"/>
      <c r="BO1068" s="128"/>
      <c r="BP1068" s="128"/>
      <c r="BQ1068" s="128"/>
      <c r="BR1068" s="128"/>
      <c r="BS1068" s="128"/>
      <c r="BT1068" s="128"/>
      <c r="BU1068" s="128"/>
      <c r="BV1068" s="128"/>
      <c r="BW1068" s="128"/>
      <c r="BX1068" s="128"/>
      <c r="BY1068" s="128"/>
      <c r="BZ1068" s="128"/>
      <c r="CA1068" s="128"/>
      <c r="CB1068" s="128"/>
      <c r="CC1068" s="128"/>
      <c r="CD1068" s="128"/>
      <c r="CE1068" s="128"/>
      <c r="CF1068" s="128"/>
      <c r="CG1068" s="128"/>
      <c r="CH1068" s="128"/>
      <c r="CI1068" s="128"/>
      <c r="CJ1068" s="128"/>
      <c r="CK1068" s="128"/>
      <c r="CL1068" s="128"/>
      <c r="CM1068" s="128"/>
      <c r="CN1068" s="128"/>
      <c r="CO1068" s="128"/>
      <c r="CP1068" s="128"/>
      <c r="CQ1068" s="128"/>
      <c r="CR1068" s="128"/>
      <c r="CS1068" s="128"/>
      <c r="CT1068" s="128"/>
      <c r="CU1068" s="128"/>
      <c r="CV1068" s="128"/>
      <c r="CW1068" s="128"/>
      <c r="CX1068" s="128"/>
      <c r="CY1068" s="128"/>
      <c r="CZ1068" s="128"/>
    </row>
    <row r="1069" spans="1:104">
      <c r="A1069" s="128"/>
      <c r="B1069" s="128"/>
      <c r="C1069" s="128"/>
      <c r="D1069" s="112"/>
      <c r="E1069" s="128"/>
      <c r="F1069" s="128"/>
      <c r="G1069" s="128"/>
      <c r="H1069" s="128"/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  <c r="AV1069" s="128"/>
      <c r="AW1069" s="128"/>
      <c r="AX1069" s="128"/>
      <c r="AY1069" s="128"/>
      <c r="AZ1069" s="128"/>
      <c r="BA1069" s="128"/>
      <c r="BB1069" s="128"/>
      <c r="BC1069" s="128"/>
      <c r="BD1069" s="128"/>
      <c r="BE1069" s="128"/>
      <c r="BF1069" s="128"/>
      <c r="BG1069" s="128"/>
      <c r="BH1069" s="128"/>
      <c r="BI1069" s="128"/>
      <c r="BJ1069" s="128"/>
      <c r="BK1069" s="128"/>
      <c r="BL1069" s="128"/>
      <c r="BM1069" s="151"/>
      <c r="BN1069" s="128"/>
      <c r="BO1069" s="128"/>
      <c r="BP1069" s="128"/>
      <c r="BQ1069" s="128"/>
      <c r="BR1069" s="128"/>
      <c r="BS1069" s="128"/>
      <c r="BT1069" s="128"/>
      <c r="BU1069" s="128"/>
      <c r="BV1069" s="128"/>
      <c r="BW1069" s="128"/>
      <c r="BX1069" s="128"/>
      <c r="BY1069" s="128"/>
      <c r="BZ1069" s="128"/>
      <c r="CA1069" s="128"/>
      <c r="CB1069" s="128"/>
      <c r="CC1069" s="128"/>
      <c r="CD1069" s="128"/>
      <c r="CE1069" s="128"/>
      <c r="CF1069" s="128"/>
      <c r="CG1069" s="128"/>
      <c r="CH1069" s="128"/>
      <c r="CI1069" s="128"/>
      <c r="CJ1069" s="128"/>
      <c r="CK1069" s="128"/>
      <c r="CL1069" s="128"/>
      <c r="CM1069" s="128"/>
      <c r="CN1069" s="128"/>
      <c r="CO1069" s="128"/>
      <c r="CP1069" s="128"/>
      <c r="CQ1069" s="128"/>
      <c r="CR1069" s="128"/>
      <c r="CS1069" s="128"/>
      <c r="CT1069" s="128"/>
      <c r="CU1069" s="128"/>
      <c r="CV1069" s="128"/>
      <c r="CW1069" s="128"/>
      <c r="CX1069" s="128"/>
      <c r="CY1069" s="128"/>
      <c r="CZ1069" s="128"/>
    </row>
    <row r="1070" spans="1:104">
      <c r="A1070" s="128"/>
      <c r="B1070" s="128"/>
      <c r="C1070" s="128"/>
      <c r="D1070" s="112"/>
      <c r="E1070" s="128"/>
      <c r="F1070" s="128"/>
      <c r="G1070" s="128"/>
      <c r="H1070" s="128"/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  <c r="AV1070" s="128"/>
      <c r="AW1070" s="128"/>
      <c r="AX1070" s="128"/>
      <c r="AY1070" s="128"/>
      <c r="AZ1070" s="128"/>
      <c r="BA1070" s="128"/>
      <c r="BB1070" s="128"/>
      <c r="BC1070" s="128"/>
      <c r="BD1070" s="128"/>
      <c r="BE1070" s="128"/>
      <c r="BF1070" s="128"/>
      <c r="BG1070" s="128"/>
      <c r="BH1070" s="128"/>
      <c r="BI1070" s="128"/>
      <c r="BJ1070" s="128"/>
      <c r="BK1070" s="128"/>
      <c r="BL1070" s="128"/>
      <c r="BM1070" s="151"/>
      <c r="BN1070" s="128"/>
      <c r="BO1070" s="128"/>
      <c r="BP1070" s="128"/>
      <c r="BQ1070" s="128"/>
      <c r="BR1070" s="128"/>
      <c r="BS1070" s="128"/>
      <c r="BT1070" s="128"/>
      <c r="BU1070" s="128"/>
      <c r="BV1070" s="128"/>
      <c r="BW1070" s="128"/>
      <c r="BX1070" s="128"/>
      <c r="BY1070" s="128"/>
      <c r="BZ1070" s="128"/>
      <c r="CA1070" s="128"/>
      <c r="CB1070" s="128"/>
      <c r="CC1070" s="128"/>
      <c r="CD1070" s="128"/>
      <c r="CE1070" s="128"/>
      <c r="CF1070" s="128"/>
      <c r="CG1070" s="128"/>
      <c r="CH1070" s="128"/>
      <c r="CI1070" s="128"/>
      <c r="CJ1070" s="128"/>
      <c r="CK1070" s="128"/>
      <c r="CL1070" s="128"/>
      <c r="CM1070" s="128"/>
      <c r="CN1070" s="128"/>
      <c r="CO1070" s="128"/>
      <c r="CP1070" s="128"/>
      <c r="CQ1070" s="128"/>
      <c r="CR1070" s="128"/>
      <c r="CS1070" s="128"/>
      <c r="CT1070" s="128"/>
      <c r="CU1070" s="128"/>
      <c r="CV1070" s="128"/>
      <c r="CW1070" s="128"/>
      <c r="CX1070" s="128"/>
      <c r="CY1070" s="128"/>
      <c r="CZ1070" s="128"/>
    </row>
    <row r="1071" spans="1:104">
      <c r="A1071" s="128"/>
      <c r="B1071" s="128"/>
      <c r="C1071" s="128"/>
      <c r="D1071" s="112"/>
      <c r="E1071" s="128"/>
      <c r="F1071" s="128"/>
      <c r="G1071" s="128"/>
      <c r="H1071" s="128"/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  <c r="AV1071" s="128"/>
      <c r="AW1071" s="128"/>
      <c r="AX1071" s="128"/>
      <c r="AY1071" s="128"/>
      <c r="AZ1071" s="128"/>
      <c r="BA1071" s="128"/>
      <c r="BB1071" s="128"/>
      <c r="BC1071" s="128"/>
      <c r="BD1071" s="128"/>
      <c r="BE1071" s="128"/>
      <c r="BF1071" s="128"/>
      <c r="BG1071" s="128"/>
      <c r="BH1071" s="128"/>
      <c r="BI1071" s="128"/>
      <c r="BJ1071" s="128"/>
      <c r="BK1071" s="128"/>
      <c r="BL1071" s="128"/>
      <c r="BM1071" s="151"/>
      <c r="BN1071" s="128"/>
      <c r="BO1071" s="128"/>
      <c r="BP1071" s="128"/>
      <c r="BQ1071" s="128"/>
      <c r="BR1071" s="128"/>
      <c r="BS1071" s="128"/>
      <c r="BT1071" s="128"/>
      <c r="BU1071" s="128"/>
      <c r="BV1071" s="128"/>
      <c r="BW1071" s="128"/>
      <c r="BX1071" s="128"/>
      <c r="BY1071" s="128"/>
      <c r="BZ1071" s="128"/>
      <c r="CA1071" s="128"/>
      <c r="CB1071" s="128"/>
      <c r="CC1071" s="128"/>
      <c r="CD1071" s="128"/>
      <c r="CE1071" s="128"/>
      <c r="CF1071" s="128"/>
      <c r="CG1071" s="128"/>
      <c r="CH1071" s="128"/>
      <c r="CI1071" s="128"/>
      <c r="CJ1071" s="128"/>
      <c r="CK1071" s="128"/>
      <c r="CL1071" s="128"/>
      <c r="CM1071" s="128"/>
      <c r="CN1071" s="128"/>
      <c r="CO1071" s="128"/>
      <c r="CP1071" s="128"/>
      <c r="CQ1071" s="128"/>
      <c r="CR1071" s="128"/>
      <c r="CS1071" s="128"/>
      <c r="CT1071" s="128"/>
      <c r="CU1071" s="128"/>
      <c r="CV1071" s="128"/>
      <c r="CW1071" s="128"/>
      <c r="CX1071" s="128"/>
      <c r="CY1071" s="128"/>
      <c r="CZ1071" s="128"/>
    </row>
    <row r="1072" spans="1:104">
      <c r="A1072" s="128"/>
      <c r="B1072" s="128"/>
      <c r="C1072" s="128"/>
      <c r="D1072" s="112"/>
      <c r="E1072" s="128"/>
      <c r="F1072" s="128"/>
      <c r="G1072" s="128"/>
      <c r="H1072" s="128"/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  <c r="AV1072" s="128"/>
      <c r="AW1072" s="128"/>
      <c r="AX1072" s="128"/>
      <c r="AY1072" s="128"/>
      <c r="AZ1072" s="128"/>
      <c r="BA1072" s="128"/>
      <c r="BB1072" s="128"/>
      <c r="BC1072" s="128"/>
      <c r="BD1072" s="128"/>
      <c r="BE1072" s="128"/>
      <c r="BF1072" s="128"/>
      <c r="BG1072" s="128"/>
      <c r="BH1072" s="128"/>
      <c r="BI1072" s="128"/>
      <c r="BJ1072" s="128"/>
      <c r="BK1072" s="128"/>
      <c r="BL1072" s="128"/>
      <c r="BM1072" s="151"/>
      <c r="BN1072" s="128"/>
      <c r="BO1072" s="128"/>
      <c r="BP1072" s="128"/>
      <c r="BQ1072" s="128"/>
      <c r="BR1072" s="128"/>
      <c r="BS1072" s="128"/>
      <c r="BT1072" s="128"/>
      <c r="BU1072" s="128"/>
      <c r="BV1072" s="128"/>
      <c r="BW1072" s="128"/>
      <c r="BX1072" s="128"/>
      <c r="BY1072" s="128"/>
      <c r="BZ1072" s="128"/>
      <c r="CA1072" s="128"/>
      <c r="CB1072" s="128"/>
      <c r="CC1072" s="128"/>
      <c r="CD1072" s="128"/>
      <c r="CE1072" s="128"/>
      <c r="CF1072" s="128"/>
      <c r="CG1072" s="128"/>
      <c r="CH1072" s="128"/>
      <c r="CI1072" s="128"/>
      <c r="CJ1072" s="128"/>
      <c r="CK1072" s="128"/>
      <c r="CL1072" s="128"/>
      <c r="CM1072" s="128"/>
      <c r="CN1072" s="128"/>
      <c r="CO1072" s="128"/>
      <c r="CP1072" s="128"/>
      <c r="CQ1072" s="128"/>
      <c r="CR1072" s="128"/>
      <c r="CS1072" s="128"/>
      <c r="CT1072" s="128"/>
      <c r="CU1072" s="128"/>
      <c r="CV1072" s="128"/>
      <c r="CW1072" s="128"/>
      <c r="CX1072" s="128"/>
      <c r="CY1072" s="128"/>
      <c r="CZ1072" s="128"/>
    </row>
    <row r="1073" spans="1:104">
      <c r="A1073" s="128"/>
      <c r="B1073" s="128"/>
      <c r="C1073" s="128"/>
      <c r="D1073" s="112"/>
      <c r="E1073" s="128"/>
      <c r="F1073" s="128"/>
      <c r="G1073" s="128"/>
      <c r="H1073" s="128"/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  <c r="AV1073" s="128"/>
      <c r="AW1073" s="128"/>
      <c r="AX1073" s="128"/>
      <c r="AY1073" s="128"/>
      <c r="AZ1073" s="128"/>
      <c r="BA1073" s="128"/>
      <c r="BB1073" s="128"/>
      <c r="BC1073" s="128"/>
      <c r="BD1073" s="128"/>
      <c r="BE1073" s="128"/>
      <c r="BF1073" s="128"/>
      <c r="BG1073" s="128"/>
      <c r="BH1073" s="128"/>
      <c r="BI1073" s="128"/>
      <c r="BJ1073" s="128"/>
      <c r="BK1073" s="128"/>
      <c r="BL1073" s="128"/>
      <c r="BM1073" s="151"/>
      <c r="BN1073" s="128"/>
      <c r="BO1073" s="128"/>
      <c r="BP1073" s="128"/>
      <c r="BQ1073" s="128"/>
      <c r="BR1073" s="128"/>
      <c r="BS1073" s="128"/>
      <c r="BT1073" s="128"/>
      <c r="BU1073" s="128"/>
      <c r="BV1073" s="128"/>
      <c r="BW1073" s="128"/>
      <c r="BX1073" s="128"/>
      <c r="BY1073" s="128"/>
      <c r="BZ1073" s="128"/>
      <c r="CA1073" s="128"/>
      <c r="CB1073" s="128"/>
      <c r="CC1073" s="128"/>
      <c r="CD1073" s="128"/>
      <c r="CE1073" s="128"/>
      <c r="CF1073" s="128"/>
      <c r="CG1073" s="128"/>
      <c r="CH1073" s="128"/>
      <c r="CI1073" s="128"/>
      <c r="CJ1073" s="128"/>
      <c r="CK1073" s="128"/>
      <c r="CL1073" s="128"/>
      <c r="CM1073" s="128"/>
      <c r="CN1073" s="128"/>
      <c r="CO1073" s="128"/>
      <c r="CP1073" s="128"/>
      <c r="CQ1073" s="128"/>
      <c r="CR1073" s="128"/>
      <c r="CS1073" s="128"/>
      <c r="CT1073" s="128"/>
      <c r="CU1073" s="128"/>
      <c r="CV1073" s="128"/>
      <c r="CW1073" s="128"/>
      <c r="CX1073" s="128"/>
      <c r="CY1073" s="128"/>
      <c r="CZ1073" s="128"/>
    </row>
    <row r="1074" spans="1:104">
      <c r="A1074" s="128"/>
      <c r="B1074" s="128"/>
      <c r="C1074" s="128"/>
      <c r="D1074" s="112"/>
      <c r="E1074" s="128"/>
      <c r="F1074" s="128"/>
      <c r="G1074" s="128"/>
      <c r="H1074" s="128"/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  <c r="AV1074" s="128"/>
      <c r="AW1074" s="128"/>
      <c r="AX1074" s="128"/>
      <c r="AY1074" s="128"/>
      <c r="AZ1074" s="128"/>
      <c r="BA1074" s="128"/>
      <c r="BB1074" s="128"/>
      <c r="BC1074" s="128"/>
      <c r="BD1074" s="128"/>
      <c r="BE1074" s="128"/>
      <c r="BF1074" s="128"/>
      <c r="BG1074" s="128"/>
      <c r="BH1074" s="128"/>
      <c r="BI1074" s="128"/>
      <c r="BJ1074" s="128"/>
      <c r="BK1074" s="128"/>
      <c r="BL1074" s="128"/>
      <c r="BM1074" s="151"/>
      <c r="BN1074" s="128"/>
      <c r="BO1074" s="128"/>
      <c r="BP1074" s="128"/>
      <c r="BQ1074" s="128"/>
      <c r="BR1074" s="128"/>
      <c r="BS1074" s="128"/>
      <c r="BT1074" s="128"/>
      <c r="BU1074" s="128"/>
      <c r="BV1074" s="128"/>
      <c r="BW1074" s="128"/>
      <c r="BX1074" s="128"/>
      <c r="BY1074" s="128"/>
      <c r="BZ1074" s="128"/>
      <c r="CA1074" s="128"/>
      <c r="CB1074" s="128"/>
      <c r="CC1074" s="128"/>
      <c r="CD1074" s="128"/>
      <c r="CE1074" s="128"/>
      <c r="CF1074" s="128"/>
      <c r="CG1074" s="128"/>
      <c r="CH1074" s="128"/>
      <c r="CI1074" s="128"/>
      <c r="CJ1074" s="128"/>
      <c r="CK1074" s="128"/>
      <c r="CL1074" s="128"/>
      <c r="CM1074" s="128"/>
      <c r="CN1074" s="128"/>
      <c r="CO1074" s="128"/>
      <c r="CP1074" s="128"/>
      <c r="CQ1074" s="128"/>
      <c r="CR1074" s="128"/>
      <c r="CS1074" s="128"/>
      <c r="CT1074" s="128"/>
      <c r="CU1074" s="128"/>
      <c r="CV1074" s="128"/>
      <c r="CW1074" s="128"/>
      <c r="CX1074" s="128"/>
      <c r="CY1074" s="128"/>
      <c r="CZ1074" s="128"/>
    </row>
    <row r="1075" spans="1:104">
      <c r="A1075" s="128"/>
      <c r="B1075" s="128"/>
      <c r="C1075" s="128"/>
      <c r="D1075" s="112"/>
      <c r="E1075" s="128"/>
      <c r="F1075" s="128"/>
      <c r="G1075" s="128"/>
      <c r="H1075" s="128"/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  <c r="AV1075" s="128"/>
      <c r="AW1075" s="128"/>
      <c r="AX1075" s="128"/>
      <c r="AY1075" s="128"/>
      <c r="AZ1075" s="128"/>
      <c r="BA1075" s="128"/>
      <c r="BB1075" s="128"/>
      <c r="BC1075" s="128"/>
      <c r="BD1075" s="128"/>
      <c r="BE1075" s="128"/>
      <c r="BF1075" s="128"/>
      <c r="BG1075" s="128"/>
      <c r="BH1075" s="128"/>
      <c r="BI1075" s="128"/>
      <c r="BJ1075" s="128"/>
      <c r="BK1075" s="128"/>
      <c r="BL1075" s="128"/>
      <c r="BM1075" s="151"/>
      <c r="BN1075" s="128"/>
      <c r="BO1075" s="128"/>
      <c r="BP1075" s="128"/>
      <c r="BQ1075" s="128"/>
      <c r="BR1075" s="128"/>
      <c r="BS1075" s="128"/>
      <c r="BT1075" s="128"/>
      <c r="BU1075" s="128"/>
      <c r="BV1075" s="128"/>
      <c r="BW1075" s="128"/>
      <c r="BX1075" s="128"/>
      <c r="BY1075" s="128"/>
      <c r="BZ1075" s="128"/>
      <c r="CA1075" s="128"/>
      <c r="CB1075" s="128"/>
      <c r="CC1075" s="128"/>
      <c r="CD1075" s="128"/>
      <c r="CE1075" s="128"/>
      <c r="CF1075" s="128"/>
      <c r="CG1075" s="128"/>
      <c r="CH1075" s="128"/>
      <c r="CI1075" s="128"/>
      <c r="CJ1075" s="128"/>
      <c r="CK1075" s="128"/>
      <c r="CL1075" s="128"/>
      <c r="CM1075" s="128"/>
      <c r="CN1075" s="128"/>
      <c r="CO1075" s="128"/>
      <c r="CP1075" s="128"/>
      <c r="CQ1075" s="128"/>
      <c r="CR1075" s="128"/>
      <c r="CS1075" s="128"/>
      <c r="CT1075" s="128"/>
      <c r="CU1075" s="128"/>
      <c r="CV1075" s="128"/>
      <c r="CW1075" s="128"/>
      <c r="CX1075" s="128"/>
      <c r="CY1075" s="128"/>
      <c r="CZ1075" s="128"/>
    </row>
    <row r="1076" spans="1:104">
      <c r="A1076" s="128"/>
      <c r="B1076" s="128"/>
      <c r="C1076" s="128"/>
      <c r="D1076" s="112"/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  <c r="AA1076" s="128"/>
      <c r="AB1076" s="128"/>
      <c r="AC1076" s="128"/>
      <c r="AD1076" s="128"/>
      <c r="AE1076" s="128"/>
      <c r="AF1076" s="128"/>
      <c r="AG1076" s="128"/>
      <c r="AH1076" s="128"/>
      <c r="AI1076" s="128"/>
      <c r="AJ1076" s="128"/>
      <c r="AK1076" s="128"/>
      <c r="AL1076" s="128"/>
      <c r="AM1076" s="128"/>
      <c r="AN1076" s="128"/>
      <c r="AO1076" s="128"/>
      <c r="AP1076" s="128"/>
      <c r="AQ1076" s="128"/>
      <c r="AR1076" s="128"/>
      <c r="AS1076" s="128"/>
      <c r="AT1076" s="128"/>
      <c r="AU1076" s="128"/>
      <c r="AV1076" s="128"/>
      <c r="AW1076" s="128"/>
      <c r="AX1076" s="128"/>
      <c r="AY1076" s="128"/>
      <c r="AZ1076" s="128"/>
      <c r="BA1076" s="128"/>
      <c r="BB1076" s="128"/>
      <c r="BC1076" s="128"/>
      <c r="BD1076" s="128"/>
      <c r="BE1076" s="128"/>
      <c r="BF1076" s="128"/>
      <c r="BG1076" s="128"/>
      <c r="BH1076" s="128"/>
      <c r="BI1076" s="128"/>
      <c r="BJ1076" s="128"/>
      <c r="BK1076" s="128"/>
      <c r="BL1076" s="128"/>
      <c r="BM1076" s="151"/>
      <c r="BN1076" s="128"/>
      <c r="BO1076" s="128"/>
      <c r="BP1076" s="128"/>
      <c r="BQ1076" s="128"/>
      <c r="BR1076" s="128"/>
      <c r="BS1076" s="128"/>
      <c r="BT1076" s="128"/>
      <c r="BU1076" s="128"/>
      <c r="BV1076" s="128"/>
      <c r="BW1076" s="128"/>
      <c r="BX1076" s="128"/>
      <c r="BY1076" s="128"/>
      <c r="BZ1076" s="128"/>
      <c r="CA1076" s="128"/>
      <c r="CB1076" s="128"/>
      <c r="CC1076" s="128"/>
      <c r="CD1076" s="128"/>
      <c r="CE1076" s="128"/>
      <c r="CF1076" s="128"/>
      <c r="CG1076" s="128"/>
      <c r="CH1076" s="128"/>
      <c r="CI1076" s="128"/>
      <c r="CJ1076" s="128"/>
      <c r="CK1076" s="128"/>
      <c r="CL1076" s="128"/>
      <c r="CM1076" s="128"/>
      <c r="CN1076" s="128"/>
      <c r="CO1076" s="128"/>
      <c r="CP1076" s="128"/>
      <c r="CQ1076" s="128"/>
      <c r="CR1076" s="128"/>
      <c r="CS1076" s="128"/>
      <c r="CT1076" s="128"/>
      <c r="CU1076" s="128"/>
      <c r="CV1076" s="128"/>
      <c r="CW1076" s="128"/>
      <c r="CX1076" s="128"/>
      <c r="CY1076" s="128"/>
      <c r="CZ1076" s="128"/>
    </row>
    <row r="1077" spans="1:104">
      <c r="A1077" s="128"/>
      <c r="B1077" s="128"/>
      <c r="C1077" s="128"/>
      <c r="D1077" s="112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  <c r="AV1077" s="128"/>
      <c r="AW1077" s="128"/>
      <c r="AX1077" s="128"/>
      <c r="AY1077" s="128"/>
      <c r="AZ1077" s="128"/>
      <c r="BA1077" s="128"/>
      <c r="BB1077" s="128"/>
      <c r="BC1077" s="128"/>
      <c r="BD1077" s="128"/>
      <c r="BE1077" s="128"/>
      <c r="BF1077" s="128"/>
      <c r="BG1077" s="128"/>
      <c r="BH1077" s="128"/>
      <c r="BI1077" s="128"/>
      <c r="BJ1077" s="128"/>
      <c r="BK1077" s="128"/>
      <c r="BL1077" s="128"/>
      <c r="BM1077" s="151"/>
      <c r="BN1077" s="128"/>
      <c r="BO1077" s="128"/>
      <c r="BP1077" s="128"/>
      <c r="BQ1077" s="128"/>
      <c r="BR1077" s="128"/>
      <c r="BS1077" s="128"/>
      <c r="BT1077" s="128"/>
      <c r="BU1077" s="128"/>
      <c r="BV1077" s="128"/>
      <c r="BW1077" s="128"/>
      <c r="BX1077" s="128"/>
      <c r="BY1077" s="128"/>
      <c r="BZ1077" s="128"/>
      <c r="CA1077" s="128"/>
      <c r="CB1077" s="128"/>
      <c r="CC1077" s="128"/>
      <c r="CD1077" s="128"/>
      <c r="CE1077" s="128"/>
      <c r="CF1077" s="128"/>
      <c r="CG1077" s="128"/>
      <c r="CH1077" s="128"/>
      <c r="CI1077" s="128"/>
      <c r="CJ1077" s="128"/>
      <c r="CK1077" s="128"/>
      <c r="CL1077" s="128"/>
      <c r="CM1077" s="128"/>
      <c r="CN1077" s="128"/>
      <c r="CO1077" s="128"/>
      <c r="CP1077" s="128"/>
      <c r="CQ1077" s="128"/>
      <c r="CR1077" s="128"/>
      <c r="CS1077" s="128"/>
      <c r="CT1077" s="128"/>
      <c r="CU1077" s="128"/>
      <c r="CV1077" s="128"/>
      <c r="CW1077" s="128"/>
      <c r="CX1077" s="128"/>
      <c r="CY1077" s="128"/>
      <c r="CZ1077" s="128"/>
    </row>
    <row r="1078" spans="1:104">
      <c r="A1078" s="128"/>
      <c r="B1078" s="128"/>
      <c r="C1078" s="128"/>
      <c r="D1078" s="112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  <c r="AV1078" s="128"/>
      <c r="AW1078" s="128"/>
      <c r="AX1078" s="128"/>
      <c r="AY1078" s="128"/>
      <c r="AZ1078" s="128"/>
      <c r="BA1078" s="128"/>
      <c r="BB1078" s="128"/>
      <c r="BC1078" s="128"/>
      <c r="BD1078" s="128"/>
      <c r="BE1078" s="128"/>
      <c r="BF1078" s="128"/>
      <c r="BG1078" s="128"/>
      <c r="BH1078" s="128"/>
      <c r="BI1078" s="128"/>
      <c r="BJ1078" s="128"/>
      <c r="BK1078" s="128"/>
      <c r="BL1078" s="128"/>
      <c r="BM1078" s="151"/>
      <c r="BN1078" s="128"/>
      <c r="BO1078" s="128"/>
      <c r="BP1078" s="128"/>
      <c r="BQ1078" s="128"/>
      <c r="BR1078" s="128"/>
      <c r="BS1078" s="128"/>
      <c r="BT1078" s="128"/>
      <c r="BU1078" s="128"/>
      <c r="BV1078" s="128"/>
      <c r="BW1078" s="128"/>
      <c r="BX1078" s="128"/>
      <c r="BY1078" s="128"/>
      <c r="BZ1078" s="128"/>
      <c r="CA1078" s="128"/>
      <c r="CB1078" s="128"/>
      <c r="CC1078" s="128"/>
      <c r="CD1078" s="128"/>
      <c r="CE1078" s="128"/>
      <c r="CF1078" s="128"/>
      <c r="CG1078" s="128"/>
      <c r="CH1078" s="128"/>
      <c r="CI1078" s="128"/>
      <c r="CJ1078" s="128"/>
      <c r="CK1078" s="128"/>
      <c r="CL1078" s="128"/>
      <c r="CM1078" s="128"/>
      <c r="CN1078" s="128"/>
      <c r="CO1078" s="128"/>
      <c r="CP1078" s="128"/>
      <c r="CQ1078" s="128"/>
      <c r="CR1078" s="128"/>
      <c r="CS1078" s="128"/>
      <c r="CT1078" s="128"/>
      <c r="CU1078" s="128"/>
      <c r="CV1078" s="128"/>
      <c r="CW1078" s="128"/>
      <c r="CX1078" s="128"/>
      <c r="CY1078" s="128"/>
      <c r="CZ1078" s="128"/>
    </row>
    <row r="1079" spans="1:104">
      <c r="A1079" s="128"/>
      <c r="B1079" s="128"/>
      <c r="C1079" s="128"/>
      <c r="D1079" s="112"/>
      <c r="E1079" s="128"/>
      <c r="F1079" s="128"/>
      <c r="G1079" s="128"/>
      <c r="H1079" s="128"/>
      <c r="I1079" s="128"/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  <c r="AA1079" s="128"/>
      <c r="AB1079" s="128"/>
      <c r="AC1079" s="128"/>
      <c r="AD1079" s="128"/>
      <c r="AE1079" s="128"/>
      <c r="AF1079" s="128"/>
      <c r="AG1079" s="128"/>
      <c r="AH1079" s="128"/>
      <c r="AI1079" s="128"/>
      <c r="AJ1079" s="128"/>
      <c r="AK1079" s="128"/>
      <c r="AL1079" s="128"/>
      <c r="AM1079" s="128"/>
      <c r="AN1079" s="128"/>
      <c r="AO1079" s="128"/>
      <c r="AP1079" s="128"/>
      <c r="AQ1079" s="128"/>
      <c r="AR1079" s="128"/>
      <c r="AS1079" s="128"/>
      <c r="AT1079" s="128"/>
      <c r="AU1079" s="128"/>
      <c r="AV1079" s="128"/>
      <c r="AW1079" s="128"/>
      <c r="AX1079" s="128"/>
      <c r="AY1079" s="128"/>
      <c r="AZ1079" s="128"/>
      <c r="BA1079" s="128"/>
      <c r="BB1079" s="128"/>
      <c r="BC1079" s="128"/>
      <c r="BD1079" s="128"/>
      <c r="BE1079" s="128"/>
      <c r="BF1079" s="128"/>
      <c r="BG1079" s="128"/>
      <c r="BH1079" s="128"/>
      <c r="BI1079" s="128"/>
      <c r="BJ1079" s="128"/>
      <c r="BK1079" s="128"/>
      <c r="BL1079" s="128"/>
      <c r="BM1079" s="151"/>
      <c r="BN1079" s="128"/>
      <c r="BO1079" s="128"/>
      <c r="BP1079" s="128"/>
      <c r="BQ1079" s="128"/>
      <c r="BR1079" s="128"/>
      <c r="BS1079" s="128"/>
      <c r="BT1079" s="128"/>
      <c r="BU1079" s="128"/>
      <c r="BV1079" s="128"/>
      <c r="BW1079" s="128"/>
      <c r="BX1079" s="128"/>
      <c r="BY1079" s="128"/>
      <c r="BZ1079" s="128"/>
      <c r="CA1079" s="128"/>
      <c r="CB1079" s="128"/>
      <c r="CC1079" s="128"/>
      <c r="CD1079" s="128"/>
      <c r="CE1079" s="128"/>
      <c r="CF1079" s="128"/>
      <c r="CG1079" s="128"/>
      <c r="CH1079" s="128"/>
      <c r="CI1079" s="128"/>
      <c r="CJ1079" s="128"/>
      <c r="CK1079" s="128"/>
      <c r="CL1079" s="128"/>
      <c r="CM1079" s="128"/>
      <c r="CN1079" s="128"/>
      <c r="CO1079" s="128"/>
      <c r="CP1079" s="128"/>
      <c r="CQ1079" s="128"/>
      <c r="CR1079" s="128"/>
      <c r="CS1079" s="128"/>
      <c r="CT1079" s="128"/>
      <c r="CU1079" s="128"/>
      <c r="CV1079" s="128"/>
      <c r="CW1079" s="128"/>
      <c r="CX1079" s="128"/>
      <c r="CY1079" s="128"/>
      <c r="CZ1079" s="128"/>
    </row>
    <row r="1080" spans="1:104">
      <c r="A1080" s="128"/>
      <c r="B1080" s="128"/>
      <c r="C1080" s="128"/>
      <c r="D1080" s="112"/>
      <c r="E1080" s="128"/>
      <c r="F1080" s="128"/>
      <c r="G1080" s="128"/>
      <c r="H1080" s="128"/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  <c r="AV1080" s="128"/>
      <c r="AW1080" s="128"/>
      <c r="AX1080" s="128"/>
      <c r="AY1080" s="128"/>
      <c r="AZ1080" s="128"/>
      <c r="BA1080" s="128"/>
      <c r="BB1080" s="128"/>
      <c r="BC1080" s="128"/>
      <c r="BD1080" s="128"/>
      <c r="BE1080" s="128"/>
      <c r="BF1080" s="128"/>
      <c r="BG1080" s="128"/>
      <c r="BH1080" s="128"/>
      <c r="BI1080" s="128"/>
      <c r="BJ1080" s="128"/>
      <c r="BK1080" s="128"/>
      <c r="BL1080" s="128"/>
      <c r="BM1080" s="151"/>
      <c r="BN1080" s="128"/>
      <c r="BO1080" s="128"/>
      <c r="BP1080" s="128"/>
      <c r="BQ1080" s="128"/>
      <c r="BR1080" s="128"/>
      <c r="BS1080" s="128"/>
      <c r="BT1080" s="128"/>
      <c r="BU1080" s="128"/>
      <c r="BV1080" s="128"/>
      <c r="BW1080" s="128"/>
      <c r="BX1080" s="128"/>
      <c r="BY1080" s="128"/>
      <c r="BZ1080" s="128"/>
      <c r="CA1080" s="128"/>
      <c r="CB1080" s="128"/>
      <c r="CC1080" s="128"/>
      <c r="CD1080" s="128"/>
      <c r="CE1080" s="128"/>
      <c r="CF1080" s="128"/>
      <c r="CG1080" s="128"/>
      <c r="CH1080" s="128"/>
      <c r="CI1080" s="128"/>
      <c r="CJ1080" s="128"/>
      <c r="CK1080" s="128"/>
      <c r="CL1080" s="128"/>
      <c r="CM1080" s="128"/>
      <c r="CN1080" s="128"/>
      <c r="CO1080" s="128"/>
      <c r="CP1080" s="128"/>
      <c r="CQ1080" s="128"/>
      <c r="CR1080" s="128"/>
      <c r="CS1080" s="128"/>
      <c r="CT1080" s="128"/>
      <c r="CU1080" s="128"/>
      <c r="CV1080" s="128"/>
      <c r="CW1080" s="128"/>
      <c r="CX1080" s="128"/>
      <c r="CY1080" s="128"/>
      <c r="CZ1080" s="128"/>
    </row>
    <row r="1081" spans="1:104">
      <c r="A1081" s="128"/>
      <c r="B1081" s="128"/>
      <c r="C1081" s="128"/>
      <c r="D1081" s="112"/>
      <c r="E1081" s="128"/>
      <c r="F1081" s="128"/>
      <c r="G1081" s="128"/>
      <c r="H1081" s="128"/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  <c r="AV1081" s="128"/>
      <c r="AW1081" s="128"/>
      <c r="AX1081" s="128"/>
      <c r="AY1081" s="128"/>
      <c r="AZ1081" s="128"/>
      <c r="BA1081" s="128"/>
      <c r="BB1081" s="128"/>
      <c r="BC1081" s="128"/>
      <c r="BD1081" s="128"/>
      <c r="BE1081" s="128"/>
      <c r="BF1081" s="128"/>
      <c r="BG1081" s="128"/>
      <c r="BH1081" s="128"/>
      <c r="BI1081" s="128"/>
      <c r="BJ1081" s="128"/>
      <c r="BK1081" s="128"/>
      <c r="BL1081" s="128"/>
      <c r="BM1081" s="151"/>
      <c r="BN1081" s="128"/>
      <c r="BO1081" s="128"/>
      <c r="BP1081" s="128"/>
      <c r="BQ1081" s="128"/>
      <c r="BR1081" s="128"/>
      <c r="BS1081" s="128"/>
      <c r="BT1081" s="128"/>
      <c r="BU1081" s="128"/>
      <c r="BV1081" s="128"/>
      <c r="BW1081" s="128"/>
      <c r="BX1081" s="128"/>
      <c r="BY1081" s="128"/>
      <c r="BZ1081" s="128"/>
      <c r="CA1081" s="128"/>
      <c r="CB1081" s="128"/>
      <c r="CC1081" s="128"/>
      <c r="CD1081" s="128"/>
      <c r="CE1081" s="128"/>
      <c r="CF1081" s="128"/>
      <c r="CG1081" s="128"/>
      <c r="CH1081" s="128"/>
      <c r="CI1081" s="128"/>
      <c r="CJ1081" s="128"/>
      <c r="CK1081" s="128"/>
      <c r="CL1081" s="128"/>
      <c r="CM1081" s="128"/>
      <c r="CN1081" s="128"/>
      <c r="CO1081" s="128"/>
      <c r="CP1081" s="128"/>
      <c r="CQ1081" s="128"/>
      <c r="CR1081" s="128"/>
      <c r="CS1081" s="128"/>
      <c r="CT1081" s="128"/>
      <c r="CU1081" s="128"/>
      <c r="CV1081" s="128"/>
      <c r="CW1081" s="128"/>
      <c r="CX1081" s="128"/>
      <c r="CY1081" s="128"/>
      <c r="CZ1081" s="128"/>
    </row>
    <row r="1082" spans="1:104">
      <c r="A1082" s="128"/>
      <c r="B1082" s="128"/>
      <c r="C1082" s="128"/>
      <c r="D1082" s="112"/>
      <c r="E1082" s="128"/>
      <c r="F1082" s="128"/>
      <c r="G1082" s="128"/>
      <c r="H1082" s="128"/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  <c r="AV1082" s="128"/>
      <c r="AW1082" s="128"/>
      <c r="AX1082" s="128"/>
      <c r="AY1082" s="128"/>
      <c r="AZ1082" s="128"/>
      <c r="BA1082" s="128"/>
      <c r="BB1082" s="128"/>
      <c r="BC1082" s="128"/>
      <c r="BD1082" s="128"/>
      <c r="BE1082" s="128"/>
      <c r="BF1082" s="128"/>
      <c r="BG1082" s="128"/>
      <c r="BH1082" s="128"/>
      <c r="BI1082" s="128"/>
      <c r="BJ1082" s="128"/>
      <c r="BK1082" s="128"/>
      <c r="BL1082" s="128"/>
      <c r="BM1082" s="151"/>
      <c r="BN1082" s="128"/>
      <c r="BO1082" s="128"/>
      <c r="BP1082" s="128"/>
      <c r="BQ1082" s="128"/>
      <c r="BR1082" s="128"/>
      <c r="BS1082" s="128"/>
      <c r="BT1082" s="128"/>
      <c r="BU1082" s="128"/>
      <c r="BV1082" s="128"/>
      <c r="BW1082" s="128"/>
      <c r="BX1082" s="128"/>
      <c r="BY1082" s="128"/>
      <c r="BZ1082" s="128"/>
      <c r="CA1082" s="128"/>
      <c r="CB1082" s="128"/>
      <c r="CC1082" s="128"/>
      <c r="CD1082" s="128"/>
      <c r="CE1082" s="128"/>
      <c r="CF1082" s="128"/>
      <c r="CG1082" s="128"/>
      <c r="CH1082" s="128"/>
      <c r="CI1082" s="128"/>
      <c r="CJ1082" s="128"/>
      <c r="CK1082" s="128"/>
      <c r="CL1082" s="128"/>
      <c r="CM1082" s="128"/>
      <c r="CN1082" s="128"/>
      <c r="CO1082" s="128"/>
      <c r="CP1082" s="128"/>
      <c r="CQ1082" s="128"/>
      <c r="CR1082" s="128"/>
      <c r="CS1082" s="128"/>
      <c r="CT1082" s="128"/>
      <c r="CU1082" s="128"/>
      <c r="CV1082" s="128"/>
      <c r="CW1082" s="128"/>
      <c r="CX1082" s="128"/>
      <c r="CY1082" s="128"/>
      <c r="CZ1082" s="128"/>
    </row>
    <row r="1083" spans="1:104">
      <c r="A1083" s="128"/>
      <c r="B1083" s="128"/>
      <c r="C1083" s="128"/>
      <c r="D1083" s="112"/>
      <c r="E1083" s="128"/>
      <c r="F1083" s="128"/>
      <c r="G1083" s="128"/>
      <c r="H1083" s="128"/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  <c r="AV1083" s="128"/>
      <c r="AW1083" s="128"/>
      <c r="AX1083" s="128"/>
      <c r="AY1083" s="128"/>
      <c r="AZ1083" s="128"/>
      <c r="BA1083" s="128"/>
      <c r="BB1083" s="128"/>
      <c r="BC1083" s="128"/>
      <c r="BD1083" s="128"/>
      <c r="BE1083" s="128"/>
      <c r="BF1083" s="128"/>
      <c r="BG1083" s="128"/>
      <c r="BH1083" s="128"/>
      <c r="BI1083" s="128"/>
      <c r="BJ1083" s="128"/>
      <c r="BK1083" s="128"/>
      <c r="BL1083" s="128"/>
      <c r="BM1083" s="151"/>
      <c r="BN1083" s="128"/>
      <c r="BO1083" s="128"/>
      <c r="BP1083" s="128"/>
      <c r="BQ1083" s="128"/>
      <c r="BR1083" s="128"/>
      <c r="BS1083" s="128"/>
      <c r="BT1083" s="128"/>
      <c r="BU1083" s="128"/>
      <c r="BV1083" s="128"/>
      <c r="BW1083" s="128"/>
      <c r="BX1083" s="128"/>
      <c r="BY1083" s="128"/>
      <c r="BZ1083" s="128"/>
      <c r="CA1083" s="128"/>
      <c r="CB1083" s="128"/>
      <c r="CC1083" s="128"/>
      <c r="CD1083" s="128"/>
      <c r="CE1083" s="128"/>
      <c r="CF1083" s="128"/>
      <c r="CG1083" s="128"/>
      <c r="CH1083" s="128"/>
      <c r="CI1083" s="128"/>
      <c r="CJ1083" s="128"/>
      <c r="CK1083" s="128"/>
      <c r="CL1083" s="128"/>
      <c r="CM1083" s="128"/>
      <c r="CN1083" s="128"/>
      <c r="CO1083" s="128"/>
      <c r="CP1083" s="128"/>
      <c r="CQ1083" s="128"/>
      <c r="CR1083" s="128"/>
      <c r="CS1083" s="128"/>
      <c r="CT1083" s="128"/>
      <c r="CU1083" s="128"/>
      <c r="CV1083" s="128"/>
      <c r="CW1083" s="128"/>
      <c r="CX1083" s="128"/>
      <c r="CY1083" s="128"/>
      <c r="CZ1083" s="128"/>
    </row>
    <row r="1084" spans="1:104">
      <c r="A1084" s="128"/>
      <c r="B1084" s="128"/>
      <c r="C1084" s="128"/>
      <c r="D1084" s="112"/>
      <c r="E1084" s="128"/>
      <c r="F1084" s="128"/>
      <c r="G1084" s="128"/>
      <c r="H1084" s="128"/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  <c r="AV1084" s="128"/>
      <c r="AW1084" s="128"/>
      <c r="AX1084" s="128"/>
      <c r="AY1084" s="128"/>
      <c r="AZ1084" s="128"/>
      <c r="BA1084" s="128"/>
      <c r="BB1084" s="128"/>
      <c r="BC1084" s="128"/>
      <c r="BD1084" s="128"/>
      <c r="BE1084" s="128"/>
      <c r="BF1084" s="128"/>
      <c r="BG1084" s="128"/>
      <c r="BH1084" s="128"/>
      <c r="BI1084" s="128"/>
      <c r="BJ1084" s="128"/>
      <c r="BK1084" s="128"/>
      <c r="BL1084" s="128"/>
      <c r="BM1084" s="151"/>
      <c r="BN1084" s="128"/>
      <c r="BO1084" s="128"/>
      <c r="BP1084" s="128"/>
      <c r="BQ1084" s="128"/>
      <c r="BR1084" s="128"/>
      <c r="BS1084" s="128"/>
      <c r="BT1084" s="128"/>
      <c r="BU1084" s="128"/>
      <c r="BV1084" s="128"/>
      <c r="BW1084" s="128"/>
      <c r="BX1084" s="128"/>
      <c r="BY1084" s="128"/>
      <c r="BZ1084" s="128"/>
      <c r="CA1084" s="128"/>
      <c r="CB1084" s="128"/>
      <c r="CC1084" s="128"/>
      <c r="CD1084" s="128"/>
      <c r="CE1084" s="128"/>
      <c r="CF1084" s="128"/>
      <c r="CG1084" s="128"/>
      <c r="CH1084" s="128"/>
      <c r="CI1084" s="128"/>
      <c r="CJ1084" s="128"/>
      <c r="CK1084" s="128"/>
      <c r="CL1084" s="128"/>
      <c r="CM1084" s="128"/>
      <c r="CN1084" s="128"/>
      <c r="CO1084" s="128"/>
      <c r="CP1084" s="128"/>
      <c r="CQ1084" s="128"/>
      <c r="CR1084" s="128"/>
      <c r="CS1084" s="128"/>
      <c r="CT1084" s="128"/>
      <c r="CU1084" s="128"/>
      <c r="CV1084" s="128"/>
      <c r="CW1084" s="128"/>
      <c r="CX1084" s="128"/>
      <c r="CY1084" s="128"/>
      <c r="CZ1084" s="128"/>
    </row>
    <row r="1085" spans="1:104">
      <c r="A1085" s="128"/>
      <c r="B1085" s="128"/>
      <c r="C1085" s="128"/>
      <c r="D1085" s="112"/>
      <c r="E1085" s="128"/>
      <c r="F1085" s="128"/>
      <c r="G1085" s="128"/>
      <c r="H1085" s="128"/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  <c r="AV1085" s="128"/>
      <c r="AW1085" s="128"/>
      <c r="AX1085" s="128"/>
      <c r="AY1085" s="128"/>
      <c r="AZ1085" s="128"/>
      <c r="BA1085" s="128"/>
      <c r="BB1085" s="128"/>
      <c r="BC1085" s="128"/>
      <c r="BD1085" s="128"/>
      <c r="BE1085" s="128"/>
      <c r="BF1085" s="128"/>
      <c r="BG1085" s="128"/>
      <c r="BH1085" s="128"/>
      <c r="BI1085" s="128"/>
      <c r="BJ1085" s="128"/>
      <c r="BK1085" s="128"/>
      <c r="BL1085" s="128"/>
      <c r="BM1085" s="151"/>
      <c r="BN1085" s="128"/>
      <c r="BO1085" s="128"/>
      <c r="BP1085" s="128"/>
      <c r="BQ1085" s="128"/>
      <c r="BR1085" s="128"/>
      <c r="BS1085" s="128"/>
      <c r="BT1085" s="128"/>
      <c r="BU1085" s="128"/>
      <c r="BV1085" s="128"/>
      <c r="BW1085" s="128"/>
      <c r="BX1085" s="128"/>
      <c r="BY1085" s="128"/>
      <c r="BZ1085" s="128"/>
      <c r="CA1085" s="128"/>
      <c r="CB1085" s="128"/>
      <c r="CC1085" s="128"/>
      <c r="CD1085" s="128"/>
      <c r="CE1085" s="128"/>
      <c r="CF1085" s="128"/>
      <c r="CG1085" s="128"/>
      <c r="CH1085" s="128"/>
      <c r="CI1085" s="128"/>
      <c r="CJ1085" s="128"/>
      <c r="CK1085" s="128"/>
      <c r="CL1085" s="128"/>
      <c r="CM1085" s="128"/>
      <c r="CN1085" s="128"/>
      <c r="CO1085" s="128"/>
      <c r="CP1085" s="128"/>
      <c r="CQ1085" s="128"/>
      <c r="CR1085" s="128"/>
      <c r="CS1085" s="128"/>
      <c r="CT1085" s="128"/>
      <c r="CU1085" s="128"/>
      <c r="CV1085" s="128"/>
      <c r="CW1085" s="128"/>
      <c r="CX1085" s="128"/>
      <c r="CY1085" s="128"/>
      <c r="CZ1085" s="128"/>
    </row>
    <row r="1086" spans="1:104">
      <c r="A1086" s="128"/>
      <c r="B1086" s="128"/>
      <c r="C1086" s="128"/>
      <c r="D1086" s="112"/>
      <c r="E1086" s="128"/>
      <c r="F1086" s="128"/>
      <c r="G1086" s="128"/>
      <c r="H1086" s="128"/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  <c r="AV1086" s="128"/>
      <c r="AW1086" s="128"/>
      <c r="AX1086" s="128"/>
      <c r="AY1086" s="128"/>
      <c r="AZ1086" s="128"/>
      <c r="BA1086" s="128"/>
      <c r="BB1086" s="128"/>
      <c r="BC1086" s="128"/>
      <c r="BD1086" s="128"/>
      <c r="BE1086" s="128"/>
      <c r="BF1086" s="128"/>
      <c r="BG1086" s="128"/>
      <c r="BH1086" s="128"/>
      <c r="BI1086" s="128"/>
      <c r="BJ1086" s="128"/>
      <c r="BK1086" s="128"/>
      <c r="BL1086" s="128"/>
      <c r="BM1086" s="151"/>
      <c r="BN1086" s="128"/>
      <c r="BO1086" s="128"/>
      <c r="BP1086" s="128"/>
      <c r="BQ1086" s="128"/>
      <c r="BR1086" s="128"/>
      <c r="BS1086" s="128"/>
      <c r="BT1086" s="128"/>
      <c r="BU1086" s="128"/>
      <c r="BV1086" s="128"/>
      <c r="BW1086" s="128"/>
      <c r="BX1086" s="128"/>
      <c r="BY1086" s="128"/>
      <c r="BZ1086" s="128"/>
      <c r="CA1086" s="128"/>
      <c r="CB1086" s="128"/>
      <c r="CC1086" s="128"/>
      <c r="CD1086" s="128"/>
      <c r="CE1086" s="128"/>
      <c r="CF1086" s="128"/>
      <c r="CG1086" s="128"/>
      <c r="CH1086" s="128"/>
      <c r="CI1086" s="128"/>
      <c r="CJ1086" s="128"/>
      <c r="CK1086" s="128"/>
      <c r="CL1086" s="128"/>
      <c r="CM1086" s="128"/>
      <c r="CN1086" s="128"/>
      <c r="CO1086" s="128"/>
      <c r="CP1086" s="128"/>
      <c r="CQ1086" s="128"/>
      <c r="CR1086" s="128"/>
      <c r="CS1086" s="128"/>
      <c r="CT1086" s="128"/>
      <c r="CU1086" s="128"/>
      <c r="CV1086" s="128"/>
      <c r="CW1086" s="128"/>
      <c r="CX1086" s="128"/>
      <c r="CY1086" s="128"/>
      <c r="CZ1086" s="128"/>
    </row>
    <row r="1087" spans="1:104">
      <c r="A1087" s="128"/>
      <c r="B1087" s="128"/>
      <c r="C1087" s="128"/>
      <c r="D1087" s="112"/>
      <c r="E1087" s="128"/>
      <c r="F1087" s="128"/>
      <c r="G1087" s="128"/>
      <c r="H1087" s="128"/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  <c r="AV1087" s="128"/>
      <c r="AW1087" s="128"/>
      <c r="AX1087" s="128"/>
      <c r="AY1087" s="128"/>
      <c r="AZ1087" s="128"/>
      <c r="BA1087" s="128"/>
      <c r="BB1087" s="128"/>
      <c r="BC1087" s="128"/>
      <c r="BD1087" s="128"/>
      <c r="BE1087" s="128"/>
      <c r="BF1087" s="128"/>
      <c r="BG1087" s="128"/>
      <c r="BH1087" s="128"/>
      <c r="BI1087" s="128"/>
      <c r="BJ1087" s="128"/>
      <c r="BK1087" s="128"/>
      <c r="BL1087" s="128"/>
      <c r="BM1087" s="151"/>
      <c r="BN1087" s="128"/>
      <c r="BO1087" s="128"/>
      <c r="BP1087" s="128"/>
      <c r="BQ1087" s="128"/>
      <c r="BR1087" s="128"/>
      <c r="BS1087" s="128"/>
      <c r="BT1087" s="128"/>
      <c r="BU1087" s="128"/>
      <c r="BV1087" s="128"/>
      <c r="BW1087" s="128"/>
      <c r="BX1087" s="128"/>
      <c r="BY1087" s="128"/>
      <c r="BZ1087" s="128"/>
      <c r="CA1087" s="128"/>
      <c r="CB1087" s="128"/>
      <c r="CC1087" s="128"/>
      <c r="CD1087" s="128"/>
      <c r="CE1087" s="128"/>
      <c r="CF1087" s="128"/>
      <c r="CG1087" s="128"/>
      <c r="CH1087" s="128"/>
      <c r="CI1087" s="128"/>
      <c r="CJ1087" s="128"/>
      <c r="CK1087" s="128"/>
      <c r="CL1087" s="128"/>
      <c r="CM1087" s="128"/>
      <c r="CN1087" s="128"/>
      <c r="CO1087" s="128"/>
      <c r="CP1087" s="128"/>
      <c r="CQ1087" s="128"/>
      <c r="CR1087" s="128"/>
      <c r="CS1087" s="128"/>
      <c r="CT1087" s="128"/>
      <c r="CU1087" s="128"/>
      <c r="CV1087" s="128"/>
      <c r="CW1087" s="128"/>
      <c r="CX1087" s="128"/>
      <c r="CY1087" s="128"/>
      <c r="CZ1087" s="128"/>
    </row>
    <row r="1088" spans="1:104">
      <c r="A1088" s="128"/>
      <c r="B1088" s="128"/>
      <c r="C1088" s="128"/>
      <c r="D1088" s="112"/>
      <c r="E1088" s="128"/>
      <c r="F1088" s="128"/>
      <c r="G1088" s="128"/>
      <c r="H1088" s="128"/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  <c r="AV1088" s="128"/>
      <c r="AW1088" s="128"/>
      <c r="AX1088" s="128"/>
      <c r="AY1088" s="128"/>
      <c r="AZ1088" s="128"/>
      <c r="BA1088" s="128"/>
      <c r="BB1088" s="128"/>
      <c r="BC1088" s="128"/>
      <c r="BD1088" s="128"/>
      <c r="BE1088" s="128"/>
      <c r="BF1088" s="128"/>
      <c r="BG1088" s="128"/>
      <c r="BH1088" s="128"/>
      <c r="BI1088" s="128"/>
      <c r="BJ1088" s="128"/>
      <c r="BK1088" s="128"/>
      <c r="BL1088" s="128"/>
      <c r="BM1088" s="151"/>
      <c r="BN1088" s="128"/>
      <c r="BO1088" s="128"/>
      <c r="BP1088" s="128"/>
      <c r="BQ1088" s="128"/>
      <c r="BR1088" s="128"/>
      <c r="BS1088" s="128"/>
      <c r="BT1088" s="128"/>
      <c r="BU1088" s="128"/>
      <c r="BV1088" s="128"/>
      <c r="BW1088" s="128"/>
      <c r="BX1088" s="128"/>
      <c r="BY1088" s="128"/>
      <c r="BZ1088" s="128"/>
      <c r="CA1088" s="128"/>
      <c r="CB1088" s="128"/>
      <c r="CC1088" s="128"/>
      <c r="CD1088" s="128"/>
      <c r="CE1088" s="128"/>
      <c r="CF1088" s="128"/>
      <c r="CG1088" s="128"/>
      <c r="CH1088" s="128"/>
      <c r="CI1088" s="128"/>
      <c r="CJ1088" s="128"/>
      <c r="CK1088" s="128"/>
      <c r="CL1088" s="128"/>
      <c r="CM1088" s="128"/>
      <c r="CN1088" s="128"/>
      <c r="CO1088" s="128"/>
      <c r="CP1088" s="128"/>
      <c r="CQ1088" s="128"/>
      <c r="CR1088" s="128"/>
      <c r="CS1088" s="128"/>
      <c r="CT1088" s="128"/>
      <c r="CU1088" s="128"/>
      <c r="CV1088" s="128"/>
      <c r="CW1088" s="128"/>
      <c r="CX1088" s="128"/>
      <c r="CY1088" s="128"/>
      <c r="CZ1088" s="128"/>
    </row>
    <row r="1089" spans="1:104">
      <c r="A1089" s="128"/>
      <c r="B1089" s="128"/>
      <c r="C1089" s="128"/>
      <c r="D1089" s="112"/>
      <c r="E1089" s="128"/>
      <c r="F1089" s="128"/>
      <c r="G1089" s="128"/>
      <c r="H1089" s="128"/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  <c r="AV1089" s="128"/>
      <c r="AW1089" s="128"/>
      <c r="AX1089" s="128"/>
      <c r="AY1089" s="128"/>
      <c r="AZ1089" s="128"/>
      <c r="BA1089" s="128"/>
      <c r="BB1089" s="128"/>
      <c r="BC1089" s="128"/>
      <c r="BD1089" s="128"/>
      <c r="BE1089" s="128"/>
      <c r="BF1089" s="128"/>
      <c r="BG1089" s="128"/>
      <c r="BH1089" s="128"/>
      <c r="BI1089" s="128"/>
      <c r="BJ1089" s="128"/>
      <c r="BK1089" s="128"/>
      <c r="BL1089" s="128"/>
      <c r="BM1089" s="151"/>
      <c r="BN1089" s="128"/>
      <c r="BO1089" s="128"/>
      <c r="BP1089" s="128"/>
      <c r="BQ1089" s="128"/>
      <c r="BR1089" s="128"/>
      <c r="BS1089" s="128"/>
      <c r="BT1089" s="128"/>
      <c r="BU1089" s="128"/>
      <c r="BV1089" s="128"/>
      <c r="BW1089" s="128"/>
      <c r="BX1089" s="128"/>
      <c r="BY1089" s="128"/>
      <c r="BZ1089" s="128"/>
      <c r="CA1089" s="128"/>
      <c r="CB1089" s="128"/>
      <c r="CC1089" s="128"/>
      <c r="CD1089" s="128"/>
      <c r="CE1089" s="128"/>
      <c r="CF1089" s="128"/>
      <c r="CG1089" s="128"/>
      <c r="CH1089" s="128"/>
      <c r="CI1089" s="128"/>
      <c r="CJ1089" s="128"/>
      <c r="CK1089" s="128"/>
      <c r="CL1089" s="128"/>
      <c r="CM1089" s="128"/>
      <c r="CN1089" s="128"/>
      <c r="CO1089" s="128"/>
      <c r="CP1089" s="128"/>
      <c r="CQ1089" s="128"/>
      <c r="CR1089" s="128"/>
      <c r="CS1089" s="128"/>
      <c r="CT1089" s="128"/>
      <c r="CU1089" s="128"/>
      <c r="CV1089" s="128"/>
      <c r="CW1089" s="128"/>
      <c r="CX1089" s="128"/>
      <c r="CY1089" s="128"/>
      <c r="CZ1089" s="128"/>
    </row>
    <row r="1090" spans="1:104">
      <c r="A1090" s="128"/>
      <c r="B1090" s="128"/>
      <c r="C1090" s="128"/>
      <c r="D1090" s="112"/>
      <c r="E1090" s="128"/>
      <c r="F1090" s="128"/>
      <c r="G1090" s="128"/>
      <c r="H1090" s="128"/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  <c r="AV1090" s="128"/>
      <c r="AW1090" s="128"/>
      <c r="AX1090" s="128"/>
      <c r="AY1090" s="128"/>
      <c r="AZ1090" s="128"/>
      <c r="BA1090" s="128"/>
      <c r="BB1090" s="128"/>
      <c r="BC1090" s="128"/>
      <c r="BD1090" s="128"/>
      <c r="BE1090" s="128"/>
      <c r="BF1090" s="128"/>
      <c r="BG1090" s="128"/>
      <c r="BH1090" s="128"/>
      <c r="BI1090" s="128"/>
      <c r="BJ1090" s="128"/>
      <c r="BK1090" s="128"/>
      <c r="BL1090" s="128"/>
      <c r="BM1090" s="151"/>
      <c r="BN1090" s="128"/>
      <c r="BO1090" s="128"/>
      <c r="BP1090" s="128"/>
      <c r="BQ1090" s="128"/>
      <c r="BR1090" s="128"/>
      <c r="BS1090" s="128"/>
      <c r="BT1090" s="128"/>
      <c r="BU1090" s="128"/>
      <c r="BV1090" s="128"/>
      <c r="BW1090" s="128"/>
      <c r="BX1090" s="128"/>
      <c r="BY1090" s="128"/>
      <c r="BZ1090" s="128"/>
      <c r="CA1090" s="128"/>
      <c r="CB1090" s="128"/>
      <c r="CC1090" s="128"/>
      <c r="CD1090" s="128"/>
      <c r="CE1090" s="128"/>
      <c r="CF1090" s="128"/>
      <c r="CG1090" s="128"/>
      <c r="CH1090" s="128"/>
      <c r="CI1090" s="128"/>
      <c r="CJ1090" s="128"/>
      <c r="CK1090" s="128"/>
      <c r="CL1090" s="128"/>
      <c r="CM1090" s="128"/>
      <c r="CN1090" s="128"/>
      <c r="CO1090" s="128"/>
      <c r="CP1090" s="128"/>
      <c r="CQ1090" s="128"/>
      <c r="CR1090" s="128"/>
      <c r="CS1090" s="128"/>
      <c r="CT1090" s="128"/>
      <c r="CU1090" s="128"/>
      <c r="CV1090" s="128"/>
      <c r="CW1090" s="128"/>
      <c r="CX1090" s="128"/>
      <c r="CY1090" s="128"/>
      <c r="CZ1090" s="128"/>
    </row>
    <row r="1091" spans="1:104">
      <c r="A1091" s="128"/>
      <c r="B1091" s="128"/>
      <c r="C1091" s="128"/>
      <c r="D1091" s="112"/>
      <c r="E1091" s="128"/>
      <c r="F1091" s="128"/>
      <c r="G1091" s="128"/>
      <c r="H1091" s="128"/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  <c r="AV1091" s="128"/>
      <c r="AW1091" s="128"/>
      <c r="AX1091" s="128"/>
      <c r="AY1091" s="128"/>
      <c r="AZ1091" s="128"/>
      <c r="BA1091" s="128"/>
      <c r="BB1091" s="128"/>
      <c r="BC1091" s="128"/>
      <c r="BD1091" s="128"/>
      <c r="BE1091" s="128"/>
      <c r="BF1091" s="128"/>
      <c r="BG1091" s="128"/>
      <c r="BH1091" s="128"/>
      <c r="BI1091" s="128"/>
      <c r="BJ1091" s="128"/>
      <c r="BK1091" s="128"/>
      <c r="BL1091" s="128"/>
      <c r="BM1091" s="151"/>
      <c r="BN1091" s="128"/>
      <c r="BO1091" s="128"/>
      <c r="BP1091" s="128"/>
      <c r="BQ1091" s="128"/>
      <c r="BR1091" s="128"/>
      <c r="BS1091" s="128"/>
      <c r="BT1091" s="128"/>
      <c r="BU1091" s="128"/>
      <c r="BV1091" s="128"/>
      <c r="BW1091" s="128"/>
      <c r="BX1091" s="128"/>
      <c r="BY1091" s="128"/>
      <c r="BZ1091" s="128"/>
      <c r="CA1091" s="128"/>
      <c r="CB1091" s="128"/>
      <c r="CC1091" s="128"/>
      <c r="CD1091" s="128"/>
      <c r="CE1091" s="128"/>
      <c r="CF1091" s="128"/>
      <c r="CG1091" s="128"/>
      <c r="CH1091" s="128"/>
      <c r="CI1091" s="128"/>
      <c r="CJ1091" s="128"/>
      <c r="CK1091" s="128"/>
      <c r="CL1091" s="128"/>
      <c r="CM1091" s="128"/>
      <c r="CN1091" s="128"/>
      <c r="CO1091" s="128"/>
      <c r="CP1091" s="128"/>
      <c r="CQ1091" s="128"/>
      <c r="CR1091" s="128"/>
      <c r="CS1091" s="128"/>
      <c r="CT1091" s="128"/>
      <c r="CU1091" s="128"/>
      <c r="CV1091" s="128"/>
      <c r="CW1091" s="128"/>
      <c r="CX1091" s="128"/>
      <c r="CY1091" s="128"/>
      <c r="CZ1091" s="128"/>
    </row>
    <row r="1092" spans="1:104">
      <c r="A1092" s="128"/>
      <c r="B1092" s="128"/>
      <c r="C1092" s="128"/>
      <c r="D1092" s="112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  <c r="AV1092" s="128"/>
      <c r="AW1092" s="128"/>
      <c r="AX1092" s="128"/>
      <c r="AY1092" s="128"/>
      <c r="AZ1092" s="128"/>
      <c r="BA1092" s="128"/>
      <c r="BB1092" s="128"/>
      <c r="BC1092" s="128"/>
      <c r="BD1092" s="128"/>
      <c r="BE1092" s="128"/>
      <c r="BF1092" s="128"/>
      <c r="BG1092" s="128"/>
      <c r="BH1092" s="128"/>
      <c r="BI1092" s="128"/>
      <c r="BJ1092" s="128"/>
      <c r="BK1092" s="128"/>
      <c r="BL1092" s="128"/>
      <c r="BM1092" s="151"/>
      <c r="BN1092" s="128"/>
      <c r="BO1092" s="128"/>
      <c r="BP1092" s="128"/>
      <c r="BQ1092" s="128"/>
      <c r="BR1092" s="128"/>
      <c r="BS1092" s="128"/>
      <c r="BT1092" s="128"/>
      <c r="BU1092" s="128"/>
      <c r="BV1092" s="128"/>
      <c r="BW1092" s="128"/>
      <c r="BX1092" s="128"/>
      <c r="BY1092" s="128"/>
      <c r="BZ1092" s="128"/>
      <c r="CA1092" s="128"/>
      <c r="CB1092" s="128"/>
      <c r="CC1092" s="128"/>
      <c r="CD1092" s="128"/>
      <c r="CE1092" s="128"/>
      <c r="CF1092" s="128"/>
      <c r="CG1092" s="128"/>
      <c r="CH1092" s="128"/>
      <c r="CI1092" s="128"/>
      <c r="CJ1092" s="128"/>
      <c r="CK1092" s="128"/>
      <c r="CL1092" s="128"/>
      <c r="CM1092" s="128"/>
      <c r="CN1092" s="128"/>
      <c r="CO1092" s="128"/>
      <c r="CP1092" s="128"/>
      <c r="CQ1092" s="128"/>
      <c r="CR1092" s="128"/>
      <c r="CS1092" s="128"/>
      <c r="CT1092" s="128"/>
      <c r="CU1092" s="128"/>
      <c r="CV1092" s="128"/>
      <c r="CW1092" s="128"/>
      <c r="CX1092" s="128"/>
      <c r="CY1092" s="128"/>
      <c r="CZ1092" s="128"/>
    </row>
    <row r="1093" spans="1:104">
      <c r="A1093" s="128"/>
      <c r="B1093" s="128"/>
      <c r="C1093" s="128"/>
      <c r="D1093" s="112"/>
      <c r="E1093" s="128"/>
      <c r="F1093" s="128"/>
      <c r="G1093" s="128"/>
      <c r="H1093" s="128"/>
      <c r="I1093" s="128"/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  <c r="AA1093" s="128"/>
      <c r="AB1093" s="128"/>
      <c r="AC1093" s="128"/>
      <c r="AD1093" s="128"/>
      <c r="AE1093" s="128"/>
      <c r="AF1093" s="128"/>
      <c r="AG1093" s="128"/>
      <c r="AH1093" s="128"/>
      <c r="AI1093" s="128"/>
      <c r="AJ1093" s="128"/>
      <c r="AK1093" s="128"/>
      <c r="AL1093" s="128"/>
      <c r="AM1093" s="128"/>
      <c r="AN1093" s="128"/>
      <c r="AO1093" s="128"/>
      <c r="AP1093" s="128"/>
      <c r="AQ1093" s="128"/>
      <c r="AR1093" s="128"/>
      <c r="AS1093" s="128"/>
      <c r="AT1093" s="128"/>
      <c r="AU1093" s="128"/>
      <c r="AV1093" s="128"/>
      <c r="AW1093" s="128"/>
      <c r="AX1093" s="128"/>
      <c r="AY1093" s="128"/>
      <c r="AZ1093" s="128"/>
      <c r="BA1093" s="128"/>
      <c r="BB1093" s="128"/>
      <c r="BC1093" s="128"/>
      <c r="BD1093" s="128"/>
      <c r="BE1093" s="128"/>
      <c r="BF1093" s="128"/>
      <c r="BG1093" s="128"/>
      <c r="BH1093" s="128"/>
      <c r="BI1093" s="128"/>
      <c r="BJ1093" s="128"/>
      <c r="BK1093" s="128"/>
      <c r="BL1093" s="128"/>
      <c r="BM1093" s="151"/>
      <c r="BN1093" s="128"/>
      <c r="BO1093" s="128"/>
      <c r="BP1093" s="128"/>
      <c r="BQ1093" s="128"/>
      <c r="BR1093" s="128"/>
      <c r="BS1093" s="128"/>
      <c r="BT1093" s="128"/>
      <c r="BU1093" s="128"/>
      <c r="BV1093" s="128"/>
      <c r="BW1093" s="128"/>
      <c r="BX1093" s="128"/>
      <c r="BY1093" s="128"/>
      <c r="BZ1093" s="128"/>
      <c r="CA1093" s="128"/>
      <c r="CB1093" s="128"/>
      <c r="CC1093" s="128"/>
      <c r="CD1093" s="128"/>
      <c r="CE1093" s="128"/>
      <c r="CF1093" s="128"/>
      <c r="CG1093" s="128"/>
      <c r="CH1093" s="128"/>
      <c r="CI1093" s="128"/>
      <c r="CJ1093" s="128"/>
      <c r="CK1093" s="128"/>
      <c r="CL1093" s="128"/>
      <c r="CM1093" s="128"/>
      <c r="CN1093" s="128"/>
      <c r="CO1093" s="128"/>
      <c r="CP1093" s="128"/>
      <c r="CQ1093" s="128"/>
      <c r="CR1093" s="128"/>
      <c r="CS1093" s="128"/>
      <c r="CT1093" s="128"/>
      <c r="CU1093" s="128"/>
      <c r="CV1093" s="128"/>
      <c r="CW1093" s="128"/>
      <c r="CX1093" s="128"/>
      <c r="CY1093" s="128"/>
      <c r="CZ1093" s="128"/>
    </row>
    <row r="1094" spans="1:104">
      <c r="A1094" s="128"/>
      <c r="B1094" s="128"/>
      <c r="C1094" s="128"/>
      <c r="D1094" s="112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  <c r="AV1094" s="128"/>
      <c r="AW1094" s="128"/>
      <c r="AX1094" s="128"/>
      <c r="AY1094" s="128"/>
      <c r="AZ1094" s="128"/>
      <c r="BA1094" s="128"/>
      <c r="BB1094" s="128"/>
      <c r="BC1094" s="128"/>
      <c r="BD1094" s="128"/>
      <c r="BE1094" s="128"/>
      <c r="BF1094" s="128"/>
      <c r="BG1094" s="128"/>
      <c r="BH1094" s="128"/>
      <c r="BI1094" s="128"/>
      <c r="BJ1094" s="128"/>
      <c r="BK1094" s="128"/>
      <c r="BL1094" s="128"/>
      <c r="BM1094" s="151"/>
      <c r="BN1094" s="128"/>
      <c r="BO1094" s="128"/>
      <c r="BP1094" s="128"/>
      <c r="BQ1094" s="128"/>
      <c r="BR1094" s="128"/>
      <c r="BS1094" s="128"/>
      <c r="BT1094" s="128"/>
      <c r="BU1094" s="128"/>
      <c r="BV1094" s="128"/>
      <c r="BW1094" s="128"/>
      <c r="BX1094" s="128"/>
      <c r="BY1094" s="128"/>
      <c r="BZ1094" s="128"/>
      <c r="CA1094" s="128"/>
      <c r="CB1094" s="128"/>
      <c r="CC1094" s="128"/>
      <c r="CD1094" s="128"/>
      <c r="CE1094" s="128"/>
      <c r="CF1094" s="128"/>
      <c r="CG1094" s="128"/>
      <c r="CH1094" s="128"/>
      <c r="CI1094" s="128"/>
      <c r="CJ1094" s="128"/>
      <c r="CK1094" s="128"/>
      <c r="CL1094" s="128"/>
      <c r="CM1094" s="128"/>
      <c r="CN1094" s="128"/>
      <c r="CO1094" s="128"/>
      <c r="CP1094" s="128"/>
      <c r="CQ1094" s="128"/>
      <c r="CR1094" s="128"/>
      <c r="CS1094" s="128"/>
      <c r="CT1094" s="128"/>
      <c r="CU1094" s="128"/>
      <c r="CV1094" s="128"/>
      <c r="CW1094" s="128"/>
      <c r="CX1094" s="128"/>
      <c r="CY1094" s="128"/>
      <c r="CZ1094" s="128"/>
    </row>
    <row r="1095" spans="1:104">
      <c r="A1095" s="128"/>
      <c r="B1095" s="128"/>
      <c r="C1095" s="128"/>
      <c r="D1095" s="112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  <c r="AV1095" s="128"/>
      <c r="AW1095" s="128"/>
      <c r="AX1095" s="128"/>
      <c r="AY1095" s="128"/>
      <c r="AZ1095" s="128"/>
      <c r="BA1095" s="128"/>
      <c r="BB1095" s="128"/>
      <c r="BC1095" s="128"/>
      <c r="BD1095" s="128"/>
      <c r="BE1095" s="128"/>
      <c r="BF1095" s="128"/>
      <c r="BG1095" s="128"/>
      <c r="BH1095" s="128"/>
      <c r="BI1095" s="128"/>
      <c r="BJ1095" s="128"/>
      <c r="BK1095" s="128"/>
      <c r="BL1095" s="128"/>
      <c r="BM1095" s="151"/>
      <c r="BN1095" s="128"/>
      <c r="BO1095" s="128"/>
      <c r="BP1095" s="128"/>
      <c r="BQ1095" s="128"/>
      <c r="BR1095" s="128"/>
      <c r="BS1095" s="128"/>
      <c r="BT1095" s="128"/>
      <c r="BU1095" s="128"/>
      <c r="BV1095" s="128"/>
      <c r="BW1095" s="128"/>
      <c r="BX1095" s="128"/>
      <c r="BY1095" s="128"/>
      <c r="BZ1095" s="128"/>
      <c r="CA1095" s="128"/>
      <c r="CB1095" s="128"/>
      <c r="CC1095" s="128"/>
      <c r="CD1095" s="128"/>
      <c r="CE1095" s="128"/>
      <c r="CF1095" s="128"/>
      <c r="CG1095" s="128"/>
      <c r="CH1095" s="128"/>
      <c r="CI1095" s="128"/>
      <c r="CJ1095" s="128"/>
      <c r="CK1095" s="128"/>
      <c r="CL1095" s="128"/>
      <c r="CM1095" s="128"/>
      <c r="CN1095" s="128"/>
      <c r="CO1095" s="128"/>
      <c r="CP1095" s="128"/>
      <c r="CQ1095" s="128"/>
      <c r="CR1095" s="128"/>
      <c r="CS1095" s="128"/>
      <c r="CT1095" s="128"/>
      <c r="CU1095" s="128"/>
      <c r="CV1095" s="128"/>
      <c r="CW1095" s="128"/>
      <c r="CX1095" s="128"/>
      <c r="CY1095" s="128"/>
      <c r="CZ1095" s="128"/>
    </row>
    <row r="1096" spans="1:104">
      <c r="A1096" s="128"/>
      <c r="B1096" s="128"/>
      <c r="C1096" s="128"/>
      <c r="D1096" s="112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  <c r="AV1096" s="128"/>
      <c r="AW1096" s="128"/>
      <c r="AX1096" s="128"/>
      <c r="AY1096" s="128"/>
      <c r="AZ1096" s="128"/>
      <c r="BA1096" s="128"/>
      <c r="BB1096" s="128"/>
      <c r="BC1096" s="128"/>
      <c r="BD1096" s="128"/>
      <c r="BE1096" s="128"/>
      <c r="BF1096" s="128"/>
      <c r="BG1096" s="128"/>
      <c r="BH1096" s="128"/>
      <c r="BI1096" s="128"/>
      <c r="BJ1096" s="128"/>
      <c r="BK1096" s="128"/>
      <c r="BL1096" s="128"/>
      <c r="BM1096" s="151"/>
      <c r="BN1096" s="128"/>
      <c r="BO1096" s="128"/>
      <c r="BP1096" s="128"/>
      <c r="BQ1096" s="128"/>
      <c r="BR1096" s="128"/>
      <c r="BS1096" s="128"/>
      <c r="BT1096" s="128"/>
      <c r="BU1096" s="128"/>
      <c r="BV1096" s="128"/>
      <c r="BW1096" s="128"/>
      <c r="BX1096" s="128"/>
      <c r="BY1096" s="128"/>
      <c r="BZ1096" s="128"/>
      <c r="CA1096" s="128"/>
      <c r="CB1096" s="128"/>
      <c r="CC1096" s="128"/>
      <c r="CD1096" s="128"/>
      <c r="CE1096" s="128"/>
      <c r="CF1096" s="128"/>
      <c r="CG1096" s="128"/>
      <c r="CH1096" s="128"/>
      <c r="CI1096" s="128"/>
      <c r="CJ1096" s="128"/>
      <c r="CK1096" s="128"/>
      <c r="CL1096" s="128"/>
      <c r="CM1096" s="128"/>
      <c r="CN1096" s="128"/>
      <c r="CO1096" s="128"/>
      <c r="CP1096" s="128"/>
      <c r="CQ1096" s="128"/>
      <c r="CR1096" s="128"/>
      <c r="CS1096" s="128"/>
      <c r="CT1096" s="128"/>
      <c r="CU1096" s="128"/>
      <c r="CV1096" s="128"/>
      <c r="CW1096" s="128"/>
      <c r="CX1096" s="128"/>
      <c r="CY1096" s="128"/>
      <c r="CZ1096" s="128"/>
    </row>
    <row r="1097" spans="1:104">
      <c r="A1097" s="128"/>
      <c r="B1097" s="128"/>
      <c r="C1097" s="128"/>
      <c r="D1097" s="112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  <c r="AV1097" s="128"/>
      <c r="AW1097" s="128"/>
      <c r="AX1097" s="128"/>
      <c r="AY1097" s="128"/>
      <c r="AZ1097" s="128"/>
      <c r="BA1097" s="128"/>
      <c r="BB1097" s="128"/>
      <c r="BC1097" s="128"/>
      <c r="BD1097" s="128"/>
      <c r="BE1097" s="128"/>
      <c r="BF1097" s="128"/>
      <c r="BG1097" s="128"/>
      <c r="BH1097" s="128"/>
      <c r="BI1097" s="128"/>
      <c r="BJ1097" s="128"/>
      <c r="BK1097" s="128"/>
      <c r="BL1097" s="128"/>
      <c r="BM1097" s="151"/>
      <c r="BN1097" s="128"/>
      <c r="BO1097" s="128"/>
      <c r="BP1097" s="128"/>
      <c r="BQ1097" s="128"/>
      <c r="BR1097" s="128"/>
      <c r="BS1097" s="128"/>
      <c r="BT1097" s="128"/>
      <c r="BU1097" s="128"/>
      <c r="BV1097" s="128"/>
      <c r="BW1097" s="128"/>
      <c r="BX1097" s="128"/>
      <c r="BY1097" s="128"/>
      <c r="BZ1097" s="128"/>
      <c r="CA1097" s="128"/>
      <c r="CB1097" s="128"/>
      <c r="CC1097" s="128"/>
      <c r="CD1097" s="128"/>
      <c r="CE1097" s="128"/>
      <c r="CF1097" s="128"/>
      <c r="CG1097" s="128"/>
      <c r="CH1097" s="128"/>
      <c r="CI1097" s="128"/>
      <c r="CJ1097" s="128"/>
      <c r="CK1097" s="128"/>
      <c r="CL1097" s="128"/>
      <c r="CM1097" s="128"/>
      <c r="CN1097" s="128"/>
      <c r="CO1097" s="128"/>
      <c r="CP1097" s="128"/>
      <c r="CQ1097" s="128"/>
      <c r="CR1097" s="128"/>
      <c r="CS1097" s="128"/>
      <c r="CT1097" s="128"/>
      <c r="CU1097" s="128"/>
      <c r="CV1097" s="128"/>
      <c r="CW1097" s="128"/>
      <c r="CX1097" s="128"/>
      <c r="CY1097" s="128"/>
      <c r="CZ1097" s="128"/>
    </row>
    <row r="1098" spans="1:104">
      <c r="A1098" s="128"/>
      <c r="B1098" s="128"/>
      <c r="C1098" s="128"/>
      <c r="D1098" s="112"/>
      <c r="E1098" s="128"/>
      <c r="F1098" s="128"/>
      <c r="G1098" s="128"/>
      <c r="H1098" s="128"/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  <c r="AV1098" s="128"/>
      <c r="AW1098" s="128"/>
      <c r="AX1098" s="128"/>
      <c r="AY1098" s="128"/>
      <c r="AZ1098" s="128"/>
      <c r="BA1098" s="128"/>
      <c r="BB1098" s="128"/>
      <c r="BC1098" s="128"/>
      <c r="BD1098" s="128"/>
      <c r="BE1098" s="128"/>
      <c r="BF1098" s="128"/>
      <c r="BG1098" s="128"/>
      <c r="BH1098" s="128"/>
      <c r="BI1098" s="128"/>
      <c r="BJ1098" s="128"/>
      <c r="BK1098" s="128"/>
      <c r="BL1098" s="128"/>
      <c r="BM1098" s="151"/>
      <c r="BN1098" s="128"/>
      <c r="BO1098" s="128"/>
      <c r="BP1098" s="128"/>
      <c r="BQ1098" s="128"/>
      <c r="BR1098" s="128"/>
      <c r="BS1098" s="128"/>
      <c r="BT1098" s="128"/>
      <c r="BU1098" s="128"/>
      <c r="BV1098" s="128"/>
      <c r="BW1098" s="128"/>
      <c r="BX1098" s="128"/>
      <c r="BY1098" s="128"/>
      <c r="BZ1098" s="128"/>
      <c r="CA1098" s="128"/>
      <c r="CB1098" s="128"/>
      <c r="CC1098" s="128"/>
      <c r="CD1098" s="128"/>
      <c r="CE1098" s="128"/>
      <c r="CF1098" s="128"/>
      <c r="CG1098" s="128"/>
      <c r="CH1098" s="128"/>
      <c r="CI1098" s="128"/>
      <c r="CJ1098" s="128"/>
      <c r="CK1098" s="128"/>
      <c r="CL1098" s="128"/>
      <c r="CM1098" s="128"/>
      <c r="CN1098" s="128"/>
      <c r="CO1098" s="128"/>
      <c r="CP1098" s="128"/>
      <c r="CQ1098" s="128"/>
      <c r="CR1098" s="128"/>
      <c r="CS1098" s="128"/>
      <c r="CT1098" s="128"/>
      <c r="CU1098" s="128"/>
      <c r="CV1098" s="128"/>
      <c r="CW1098" s="128"/>
      <c r="CX1098" s="128"/>
      <c r="CY1098" s="128"/>
      <c r="CZ1098" s="128"/>
    </row>
    <row r="1099" spans="1:104">
      <c r="A1099" s="128"/>
      <c r="B1099" s="128"/>
      <c r="C1099" s="128"/>
      <c r="D1099" s="112"/>
      <c r="E1099" s="128"/>
      <c r="F1099" s="128"/>
      <c r="G1099" s="128"/>
      <c r="H1099" s="128"/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  <c r="AV1099" s="128"/>
      <c r="AW1099" s="128"/>
      <c r="AX1099" s="128"/>
      <c r="AY1099" s="128"/>
      <c r="AZ1099" s="128"/>
      <c r="BA1099" s="128"/>
      <c r="BB1099" s="128"/>
      <c r="BC1099" s="128"/>
      <c r="BD1099" s="128"/>
      <c r="BE1099" s="128"/>
      <c r="BF1099" s="128"/>
      <c r="BG1099" s="128"/>
      <c r="BH1099" s="128"/>
      <c r="BI1099" s="128"/>
      <c r="BJ1099" s="128"/>
      <c r="BK1099" s="128"/>
      <c r="BL1099" s="128"/>
      <c r="BM1099" s="151"/>
      <c r="BN1099" s="128"/>
      <c r="BO1099" s="128"/>
      <c r="BP1099" s="128"/>
      <c r="BQ1099" s="128"/>
      <c r="BR1099" s="128"/>
      <c r="BS1099" s="128"/>
      <c r="BT1099" s="128"/>
      <c r="BU1099" s="128"/>
      <c r="BV1099" s="128"/>
      <c r="BW1099" s="128"/>
      <c r="BX1099" s="128"/>
      <c r="BY1099" s="128"/>
      <c r="BZ1099" s="128"/>
      <c r="CA1099" s="128"/>
      <c r="CB1099" s="128"/>
      <c r="CC1099" s="128"/>
      <c r="CD1099" s="128"/>
      <c r="CE1099" s="128"/>
      <c r="CF1099" s="128"/>
      <c r="CG1099" s="128"/>
      <c r="CH1099" s="128"/>
      <c r="CI1099" s="128"/>
      <c r="CJ1099" s="128"/>
      <c r="CK1099" s="128"/>
      <c r="CL1099" s="128"/>
      <c r="CM1099" s="128"/>
      <c r="CN1099" s="128"/>
      <c r="CO1099" s="128"/>
      <c r="CP1099" s="128"/>
      <c r="CQ1099" s="128"/>
      <c r="CR1099" s="128"/>
      <c r="CS1099" s="128"/>
      <c r="CT1099" s="128"/>
      <c r="CU1099" s="128"/>
      <c r="CV1099" s="128"/>
      <c r="CW1099" s="128"/>
      <c r="CX1099" s="128"/>
      <c r="CY1099" s="128"/>
      <c r="CZ1099" s="128"/>
    </row>
    <row r="1100" spans="1:104">
      <c r="A1100" s="128"/>
      <c r="B1100" s="128"/>
      <c r="C1100" s="128"/>
      <c r="D1100" s="112"/>
      <c r="E1100" s="128"/>
      <c r="F1100" s="128"/>
      <c r="G1100" s="128"/>
      <c r="H1100" s="128"/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  <c r="AV1100" s="128"/>
      <c r="AW1100" s="128"/>
      <c r="AX1100" s="128"/>
      <c r="AY1100" s="128"/>
      <c r="AZ1100" s="128"/>
      <c r="BA1100" s="128"/>
      <c r="BB1100" s="128"/>
      <c r="BC1100" s="128"/>
      <c r="BD1100" s="128"/>
      <c r="BE1100" s="128"/>
      <c r="BF1100" s="128"/>
      <c r="BG1100" s="128"/>
      <c r="BH1100" s="128"/>
      <c r="BI1100" s="128"/>
      <c r="BJ1100" s="128"/>
      <c r="BK1100" s="128"/>
      <c r="BL1100" s="128"/>
      <c r="BM1100" s="151"/>
      <c r="BN1100" s="128"/>
      <c r="BO1100" s="128"/>
      <c r="BP1100" s="128"/>
      <c r="BQ1100" s="128"/>
      <c r="BR1100" s="128"/>
      <c r="BS1100" s="128"/>
      <c r="BT1100" s="128"/>
      <c r="BU1100" s="128"/>
      <c r="BV1100" s="128"/>
      <c r="BW1100" s="128"/>
      <c r="BX1100" s="128"/>
      <c r="BY1100" s="128"/>
      <c r="BZ1100" s="128"/>
      <c r="CA1100" s="128"/>
      <c r="CB1100" s="128"/>
      <c r="CC1100" s="128"/>
      <c r="CD1100" s="128"/>
      <c r="CE1100" s="128"/>
      <c r="CF1100" s="128"/>
      <c r="CG1100" s="128"/>
      <c r="CH1100" s="128"/>
      <c r="CI1100" s="128"/>
      <c r="CJ1100" s="128"/>
      <c r="CK1100" s="128"/>
      <c r="CL1100" s="128"/>
      <c r="CM1100" s="128"/>
      <c r="CN1100" s="128"/>
      <c r="CO1100" s="128"/>
      <c r="CP1100" s="128"/>
      <c r="CQ1100" s="128"/>
      <c r="CR1100" s="128"/>
      <c r="CS1100" s="128"/>
      <c r="CT1100" s="128"/>
      <c r="CU1100" s="128"/>
      <c r="CV1100" s="128"/>
      <c r="CW1100" s="128"/>
      <c r="CX1100" s="128"/>
      <c r="CY1100" s="128"/>
      <c r="CZ1100" s="128"/>
    </row>
    <row r="1101" spans="1:104">
      <c r="A1101" s="128"/>
      <c r="B1101" s="128"/>
      <c r="C1101" s="128"/>
      <c r="D1101" s="112"/>
      <c r="E1101" s="128"/>
      <c r="F1101" s="128"/>
      <c r="G1101" s="128"/>
      <c r="H1101" s="128"/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  <c r="AV1101" s="128"/>
      <c r="AW1101" s="128"/>
      <c r="AX1101" s="128"/>
      <c r="AY1101" s="128"/>
      <c r="AZ1101" s="128"/>
      <c r="BA1101" s="128"/>
      <c r="BB1101" s="128"/>
      <c r="BC1101" s="128"/>
      <c r="BD1101" s="128"/>
      <c r="BE1101" s="128"/>
      <c r="BF1101" s="128"/>
      <c r="BG1101" s="128"/>
      <c r="BH1101" s="128"/>
      <c r="BI1101" s="128"/>
      <c r="BJ1101" s="128"/>
      <c r="BK1101" s="128"/>
      <c r="BL1101" s="128"/>
      <c r="BM1101" s="151"/>
      <c r="BN1101" s="128"/>
      <c r="BO1101" s="128"/>
      <c r="BP1101" s="128"/>
      <c r="BQ1101" s="128"/>
      <c r="BR1101" s="128"/>
      <c r="BS1101" s="128"/>
      <c r="BT1101" s="128"/>
      <c r="BU1101" s="128"/>
      <c r="BV1101" s="128"/>
      <c r="BW1101" s="128"/>
      <c r="BX1101" s="128"/>
      <c r="BY1101" s="128"/>
      <c r="BZ1101" s="128"/>
      <c r="CA1101" s="128"/>
      <c r="CB1101" s="128"/>
      <c r="CC1101" s="128"/>
      <c r="CD1101" s="128"/>
      <c r="CE1101" s="128"/>
      <c r="CF1101" s="128"/>
      <c r="CG1101" s="128"/>
      <c r="CH1101" s="128"/>
      <c r="CI1101" s="128"/>
      <c r="CJ1101" s="128"/>
      <c r="CK1101" s="128"/>
      <c r="CL1101" s="128"/>
      <c r="CM1101" s="128"/>
      <c r="CN1101" s="128"/>
      <c r="CO1101" s="128"/>
      <c r="CP1101" s="128"/>
      <c r="CQ1101" s="128"/>
      <c r="CR1101" s="128"/>
      <c r="CS1101" s="128"/>
      <c r="CT1101" s="128"/>
      <c r="CU1101" s="128"/>
      <c r="CV1101" s="128"/>
      <c r="CW1101" s="128"/>
      <c r="CX1101" s="128"/>
      <c r="CY1101" s="128"/>
      <c r="CZ1101" s="128"/>
    </row>
    <row r="1102" spans="1:104">
      <c r="A1102" s="128"/>
      <c r="B1102" s="128"/>
      <c r="C1102" s="128"/>
      <c r="D1102" s="112"/>
      <c r="E1102" s="128"/>
      <c r="F1102" s="128"/>
      <c r="G1102" s="128"/>
      <c r="H1102" s="128"/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  <c r="AV1102" s="128"/>
      <c r="AW1102" s="128"/>
      <c r="AX1102" s="128"/>
      <c r="AY1102" s="128"/>
      <c r="AZ1102" s="128"/>
      <c r="BA1102" s="128"/>
      <c r="BB1102" s="128"/>
      <c r="BC1102" s="128"/>
      <c r="BD1102" s="128"/>
      <c r="BE1102" s="128"/>
      <c r="BF1102" s="128"/>
      <c r="BG1102" s="128"/>
      <c r="BH1102" s="128"/>
      <c r="BI1102" s="128"/>
      <c r="BJ1102" s="128"/>
      <c r="BK1102" s="128"/>
      <c r="BL1102" s="128"/>
      <c r="BM1102" s="151"/>
      <c r="BN1102" s="128"/>
      <c r="BO1102" s="128"/>
      <c r="BP1102" s="128"/>
      <c r="BQ1102" s="128"/>
      <c r="BR1102" s="128"/>
      <c r="BS1102" s="128"/>
      <c r="BT1102" s="128"/>
      <c r="BU1102" s="128"/>
      <c r="BV1102" s="128"/>
      <c r="BW1102" s="128"/>
      <c r="BX1102" s="128"/>
      <c r="BY1102" s="128"/>
      <c r="BZ1102" s="128"/>
      <c r="CA1102" s="128"/>
      <c r="CB1102" s="128"/>
      <c r="CC1102" s="128"/>
      <c r="CD1102" s="128"/>
      <c r="CE1102" s="128"/>
      <c r="CF1102" s="128"/>
      <c r="CG1102" s="128"/>
      <c r="CH1102" s="128"/>
      <c r="CI1102" s="128"/>
      <c r="CJ1102" s="128"/>
      <c r="CK1102" s="128"/>
      <c r="CL1102" s="128"/>
      <c r="CM1102" s="128"/>
      <c r="CN1102" s="128"/>
      <c r="CO1102" s="128"/>
      <c r="CP1102" s="128"/>
      <c r="CQ1102" s="128"/>
      <c r="CR1102" s="128"/>
      <c r="CS1102" s="128"/>
      <c r="CT1102" s="128"/>
      <c r="CU1102" s="128"/>
      <c r="CV1102" s="128"/>
      <c r="CW1102" s="128"/>
      <c r="CX1102" s="128"/>
      <c r="CY1102" s="128"/>
      <c r="CZ1102" s="128"/>
    </row>
    <row r="1103" spans="1:104">
      <c r="A1103" s="128"/>
      <c r="B1103" s="128"/>
      <c r="C1103" s="128"/>
      <c r="D1103" s="112"/>
      <c r="E1103" s="128"/>
      <c r="F1103" s="128"/>
      <c r="G1103" s="128"/>
      <c r="H1103" s="128"/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  <c r="AV1103" s="128"/>
      <c r="AW1103" s="128"/>
      <c r="AX1103" s="128"/>
      <c r="AY1103" s="128"/>
      <c r="AZ1103" s="128"/>
      <c r="BA1103" s="128"/>
      <c r="BB1103" s="128"/>
      <c r="BC1103" s="128"/>
      <c r="BD1103" s="128"/>
      <c r="BE1103" s="128"/>
      <c r="BF1103" s="128"/>
      <c r="BG1103" s="128"/>
      <c r="BH1103" s="128"/>
      <c r="BI1103" s="128"/>
      <c r="BJ1103" s="128"/>
      <c r="BK1103" s="128"/>
      <c r="BL1103" s="128"/>
      <c r="BM1103" s="151"/>
      <c r="BN1103" s="128"/>
      <c r="BO1103" s="128"/>
      <c r="BP1103" s="128"/>
      <c r="BQ1103" s="128"/>
      <c r="BR1103" s="128"/>
      <c r="BS1103" s="128"/>
      <c r="BT1103" s="128"/>
      <c r="BU1103" s="128"/>
      <c r="BV1103" s="128"/>
      <c r="BW1103" s="128"/>
      <c r="BX1103" s="128"/>
      <c r="BY1103" s="128"/>
      <c r="BZ1103" s="128"/>
      <c r="CA1103" s="128"/>
      <c r="CB1103" s="128"/>
      <c r="CC1103" s="128"/>
      <c r="CD1103" s="128"/>
      <c r="CE1103" s="128"/>
      <c r="CF1103" s="128"/>
      <c r="CG1103" s="128"/>
      <c r="CH1103" s="128"/>
      <c r="CI1103" s="128"/>
      <c r="CJ1103" s="128"/>
      <c r="CK1103" s="128"/>
      <c r="CL1103" s="128"/>
      <c r="CM1103" s="128"/>
      <c r="CN1103" s="128"/>
      <c r="CO1103" s="128"/>
      <c r="CP1103" s="128"/>
      <c r="CQ1103" s="128"/>
      <c r="CR1103" s="128"/>
      <c r="CS1103" s="128"/>
      <c r="CT1103" s="128"/>
      <c r="CU1103" s="128"/>
      <c r="CV1103" s="128"/>
      <c r="CW1103" s="128"/>
      <c r="CX1103" s="128"/>
      <c r="CY1103" s="128"/>
      <c r="CZ1103" s="128"/>
    </row>
    <row r="1104" spans="1:104">
      <c r="A1104" s="128"/>
      <c r="B1104" s="128"/>
      <c r="C1104" s="128"/>
      <c r="D1104" s="112"/>
      <c r="E1104" s="128"/>
      <c r="F1104" s="128"/>
      <c r="G1104" s="128"/>
      <c r="H1104" s="128"/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  <c r="AV1104" s="128"/>
      <c r="AW1104" s="128"/>
      <c r="AX1104" s="128"/>
      <c r="AY1104" s="128"/>
      <c r="AZ1104" s="128"/>
      <c r="BA1104" s="128"/>
      <c r="BB1104" s="128"/>
      <c r="BC1104" s="128"/>
      <c r="BD1104" s="128"/>
      <c r="BE1104" s="128"/>
      <c r="BF1104" s="128"/>
      <c r="BG1104" s="128"/>
      <c r="BH1104" s="128"/>
      <c r="BI1104" s="128"/>
      <c r="BJ1104" s="128"/>
      <c r="BK1104" s="128"/>
      <c r="BL1104" s="128"/>
      <c r="BM1104" s="151"/>
      <c r="BN1104" s="128"/>
      <c r="BO1104" s="128"/>
      <c r="BP1104" s="128"/>
      <c r="BQ1104" s="128"/>
      <c r="BR1104" s="128"/>
      <c r="BS1104" s="128"/>
      <c r="BT1104" s="128"/>
      <c r="BU1104" s="128"/>
      <c r="BV1104" s="128"/>
      <c r="BW1104" s="128"/>
      <c r="BX1104" s="128"/>
      <c r="BY1104" s="128"/>
      <c r="BZ1104" s="128"/>
      <c r="CA1104" s="128"/>
      <c r="CB1104" s="128"/>
      <c r="CC1104" s="128"/>
      <c r="CD1104" s="128"/>
      <c r="CE1104" s="128"/>
      <c r="CF1104" s="128"/>
      <c r="CG1104" s="128"/>
      <c r="CH1104" s="128"/>
      <c r="CI1104" s="128"/>
      <c r="CJ1104" s="128"/>
      <c r="CK1104" s="128"/>
      <c r="CL1104" s="128"/>
      <c r="CM1104" s="128"/>
      <c r="CN1104" s="128"/>
      <c r="CO1104" s="128"/>
      <c r="CP1104" s="128"/>
      <c r="CQ1104" s="128"/>
      <c r="CR1104" s="128"/>
      <c r="CS1104" s="128"/>
      <c r="CT1104" s="128"/>
      <c r="CU1104" s="128"/>
      <c r="CV1104" s="128"/>
      <c r="CW1104" s="128"/>
      <c r="CX1104" s="128"/>
      <c r="CY1104" s="128"/>
      <c r="CZ1104" s="128"/>
    </row>
    <row r="1105" spans="1:104">
      <c r="A1105" s="128"/>
      <c r="B1105" s="128"/>
      <c r="C1105" s="128"/>
      <c r="D1105" s="112"/>
      <c r="E1105" s="128"/>
      <c r="F1105" s="128"/>
      <c r="G1105" s="128"/>
      <c r="H1105" s="128"/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  <c r="AV1105" s="128"/>
      <c r="AW1105" s="128"/>
      <c r="AX1105" s="128"/>
      <c r="AY1105" s="128"/>
      <c r="AZ1105" s="128"/>
      <c r="BA1105" s="128"/>
      <c r="BB1105" s="128"/>
      <c r="BC1105" s="128"/>
      <c r="BD1105" s="128"/>
      <c r="BE1105" s="128"/>
      <c r="BF1105" s="128"/>
      <c r="BG1105" s="128"/>
      <c r="BH1105" s="128"/>
      <c r="BI1105" s="128"/>
      <c r="BJ1105" s="128"/>
      <c r="BK1105" s="128"/>
      <c r="BL1105" s="128"/>
      <c r="BM1105" s="151"/>
      <c r="BN1105" s="128"/>
      <c r="BO1105" s="128"/>
      <c r="BP1105" s="128"/>
      <c r="BQ1105" s="128"/>
      <c r="BR1105" s="128"/>
      <c r="BS1105" s="128"/>
      <c r="BT1105" s="128"/>
      <c r="BU1105" s="128"/>
      <c r="BV1105" s="128"/>
      <c r="BW1105" s="128"/>
      <c r="BX1105" s="128"/>
      <c r="BY1105" s="128"/>
      <c r="BZ1105" s="128"/>
      <c r="CA1105" s="128"/>
      <c r="CB1105" s="128"/>
      <c r="CC1105" s="128"/>
      <c r="CD1105" s="128"/>
      <c r="CE1105" s="128"/>
      <c r="CF1105" s="128"/>
      <c r="CG1105" s="128"/>
      <c r="CH1105" s="128"/>
      <c r="CI1105" s="128"/>
      <c r="CJ1105" s="128"/>
      <c r="CK1105" s="128"/>
      <c r="CL1105" s="128"/>
      <c r="CM1105" s="128"/>
      <c r="CN1105" s="128"/>
      <c r="CO1105" s="128"/>
      <c r="CP1105" s="128"/>
      <c r="CQ1105" s="128"/>
      <c r="CR1105" s="128"/>
      <c r="CS1105" s="128"/>
      <c r="CT1105" s="128"/>
      <c r="CU1105" s="128"/>
      <c r="CV1105" s="128"/>
      <c r="CW1105" s="128"/>
      <c r="CX1105" s="128"/>
      <c r="CY1105" s="128"/>
      <c r="CZ1105" s="128"/>
    </row>
    <row r="1106" spans="1:104">
      <c r="A1106" s="128"/>
      <c r="B1106" s="128"/>
      <c r="C1106" s="128"/>
      <c r="D1106" s="112"/>
      <c r="E1106" s="128"/>
      <c r="F1106" s="128"/>
      <c r="G1106" s="128"/>
      <c r="H1106" s="128"/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  <c r="AV1106" s="128"/>
      <c r="AW1106" s="128"/>
      <c r="AX1106" s="128"/>
      <c r="AY1106" s="128"/>
      <c r="AZ1106" s="128"/>
      <c r="BA1106" s="128"/>
      <c r="BB1106" s="128"/>
      <c r="BC1106" s="128"/>
      <c r="BD1106" s="128"/>
      <c r="BE1106" s="128"/>
      <c r="BF1106" s="128"/>
      <c r="BG1106" s="128"/>
      <c r="BH1106" s="128"/>
      <c r="BI1106" s="128"/>
      <c r="BJ1106" s="128"/>
      <c r="BK1106" s="128"/>
      <c r="BL1106" s="128"/>
      <c r="BM1106" s="151"/>
      <c r="BN1106" s="128"/>
      <c r="BO1106" s="128"/>
      <c r="BP1106" s="128"/>
      <c r="BQ1106" s="128"/>
      <c r="BR1106" s="128"/>
      <c r="BS1106" s="128"/>
      <c r="BT1106" s="128"/>
      <c r="BU1106" s="128"/>
      <c r="BV1106" s="128"/>
      <c r="BW1106" s="128"/>
      <c r="BX1106" s="128"/>
      <c r="BY1106" s="128"/>
      <c r="BZ1106" s="128"/>
      <c r="CA1106" s="128"/>
      <c r="CB1106" s="128"/>
      <c r="CC1106" s="128"/>
      <c r="CD1106" s="128"/>
      <c r="CE1106" s="128"/>
      <c r="CF1106" s="128"/>
      <c r="CG1106" s="128"/>
      <c r="CH1106" s="128"/>
      <c r="CI1106" s="128"/>
      <c r="CJ1106" s="128"/>
      <c r="CK1106" s="128"/>
      <c r="CL1106" s="128"/>
      <c r="CM1106" s="128"/>
      <c r="CN1106" s="128"/>
      <c r="CO1106" s="128"/>
      <c r="CP1106" s="128"/>
      <c r="CQ1106" s="128"/>
      <c r="CR1106" s="128"/>
      <c r="CS1106" s="128"/>
      <c r="CT1106" s="128"/>
      <c r="CU1106" s="128"/>
      <c r="CV1106" s="128"/>
      <c r="CW1106" s="128"/>
      <c r="CX1106" s="128"/>
      <c r="CY1106" s="128"/>
      <c r="CZ1106" s="128"/>
    </row>
    <row r="1107" spans="1:104">
      <c r="A1107" s="128"/>
      <c r="B1107" s="128"/>
      <c r="C1107" s="128"/>
      <c r="D1107" s="112"/>
      <c r="E1107" s="128"/>
      <c r="F1107" s="128"/>
      <c r="G1107" s="128"/>
      <c r="H1107" s="128"/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  <c r="AV1107" s="128"/>
      <c r="AW1107" s="128"/>
      <c r="AX1107" s="128"/>
      <c r="AY1107" s="128"/>
      <c r="AZ1107" s="128"/>
      <c r="BA1107" s="128"/>
      <c r="BB1107" s="128"/>
      <c r="BC1107" s="128"/>
      <c r="BD1107" s="128"/>
      <c r="BE1107" s="128"/>
      <c r="BF1107" s="128"/>
      <c r="BG1107" s="128"/>
      <c r="BH1107" s="128"/>
      <c r="BI1107" s="128"/>
      <c r="BJ1107" s="128"/>
      <c r="BK1107" s="128"/>
      <c r="BL1107" s="128"/>
      <c r="BM1107" s="151"/>
      <c r="BN1107" s="128"/>
      <c r="BO1107" s="128"/>
      <c r="BP1107" s="128"/>
      <c r="BQ1107" s="128"/>
      <c r="BR1107" s="128"/>
      <c r="BS1107" s="128"/>
      <c r="BT1107" s="128"/>
      <c r="BU1107" s="128"/>
      <c r="BV1107" s="128"/>
      <c r="BW1107" s="128"/>
      <c r="BX1107" s="128"/>
      <c r="BY1107" s="128"/>
      <c r="BZ1107" s="128"/>
      <c r="CA1107" s="128"/>
      <c r="CB1107" s="128"/>
      <c r="CC1107" s="128"/>
      <c r="CD1107" s="128"/>
      <c r="CE1107" s="128"/>
      <c r="CF1107" s="128"/>
      <c r="CG1107" s="128"/>
      <c r="CH1107" s="128"/>
      <c r="CI1107" s="128"/>
      <c r="CJ1107" s="128"/>
      <c r="CK1107" s="128"/>
      <c r="CL1107" s="128"/>
      <c r="CM1107" s="128"/>
      <c r="CN1107" s="128"/>
      <c r="CO1107" s="128"/>
      <c r="CP1107" s="128"/>
      <c r="CQ1107" s="128"/>
      <c r="CR1107" s="128"/>
      <c r="CS1107" s="128"/>
      <c r="CT1107" s="128"/>
      <c r="CU1107" s="128"/>
      <c r="CV1107" s="128"/>
      <c r="CW1107" s="128"/>
      <c r="CX1107" s="128"/>
      <c r="CY1107" s="128"/>
      <c r="CZ1107" s="128"/>
    </row>
    <row r="1108" spans="1:104">
      <c r="A1108" s="128"/>
      <c r="B1108" s="128"/>
      <c r="C1108" s="128"/>
      <c r="D1108" s="112"/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  <c r="AV1108" s="128"/>
      <c r="AW1108" s="128"/>
      <c r="AX1108" s="128"/>
      <c r="AY1108" s="128"/>
      <c r="AZ1108" s="128"/>
      <c r="BA1108" s="128"/>
      <c r="BB1108" s="128"/>
      <c r="BC1108" s="128"/>
      <c r="BD1108" s="128"/>
      <c r="BE1108" s="128"/>
      <c r="BF1108" s="128"/>
      <c r="BG1108" s="128"/>
      <c r="BH1108" s="128"/>
      <c r="BI1108" s="128"/>
      <c r="BJ1108" s="128"/>
      <c r="BK1108" s="128"/>
      <c r="BL1108" s="128"/>
      <c r="BM1108" s="151"/>
      <c r="BN1108" s="128"/>
      <c r="BO1108" s="128"/>
      <c r="BP1108" s="128"/>
      <c r="BQ1108" s="128"/>
      <c r="BR1108" s="128"/>
      <c r="BS1108" s="128"/>
      <c r="BT1108" s="128"/>
      <c r="BU1108" s="128"/>
      <c r="BV1108" s="128"/>
      <c r="BW1108" s="128"/>
      <c r="BX1108" s="128"/>
      <c r="BY1108" s="128"/>
      <c r="BZ1108" s="128"/>
      <c r="CA1108" s="128"/>
      <c r="CB1108" s="128"/>
      <c r="CC1108" s="128"/>
      <c r="CD1108" s="128"/>
      <c r="CE1108" s="128"/>
      <c r="CF1108" s="128"/>
      <c r="CG1108" s="128"/>
      <c r="CH1108" s="128"/>
      <c r="CI1108" s="128"/>
      <c r="CJ1108" s="128"/>
      <c r="CK1108" s="128"/>
      <c r="CL1108" s="128"/>
      <c r="CM1108" s="128"/>
      <c r="CN1108" s="128"/>
      <c r="CO1108" s="128"/>
      <c r="CP1108" s="128"/>
      <c r="CQ1108" s="128"/>
      <c r="CR1108" s="128"/>
      <c r="CS1108" s="128"/>
      <c r="CT1108" s="128"/>
      <c r="CU1108" s="128"/>
      <c r="CV1108" s="128"/>
      <c r="CW1108" s="128"/>
      <c r="CX1108" s="128"/>
      <c r="CY1108" s="128"/>
      <c r="CZ1108" s="128"/>
    </row>
    <row r="1109" spans="1:104">
      <c r="A1109" s="128"/>
      <c r="B1109" s="128"/>
      <c r="C1109" s="128"/>
      <c r="D1109" s="112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  <c r="AV1109" s="128"/>
      <c r="AW1109" s="128"/>
      <c r="AX1109" s="128"/>
      <c r="AY1109" s="128"/>
      <c r="AZ1109" s="128"/>
      <c r="BA1109" s="128"/>
      <c r="BB1109" s="128"/>
      <c r="BC1109" s="128"/>
      <c r="BD1109" s="128"/>
      <c r="BE1109" s="128"/>
      <c r="BF1109" s="128"/>
      <c r="BG1109" s="128"/>
      <c r="BH1109" s="128"/>
      <c r="BI1109" s="128"/>
      <c r="BJ1109" s="128"/>
      <c r="BK1109" s="128"/>
      <c r="BL1109" s="128"/>
      <c r="BM1109" s="151"/>
      <c r="BN1109" s="128"/>
      <c r="BO1109" s="128"/>
      <c r="BP1109" s="128"/>
      <c r="BQ1109" s="128"/>
      <c r="BR1109" s="128"/>
      <c r="BS1109" s="128"/>
      <c r="BT1109" s="128"/>
      <c r="BU1109" s="128"/>
      <c r="BV1109" s="128"/>
      <c r="BW1109" s="128"/>
      <c r="BX1109" s="128"/>
      <c r="BY1109" s="128"/>
      <c r="BZ1109" s="128"/>
      <c r="CA1109" s="128"/>
      <c r="CB1109" s="128"/>
      <c r="CC1109" s="128"/>
      <c r="CD1109" s="128"/>
      <c r="CE1109" s="128"/>
      <c r="CF1109" s="128"/>
      <c r="CG1109" s="128"/>
      <c r="CH1109" s="128"/>
      <c r="CI1109" s="128"/>
      <c r="CJ1109" s="128"/>
      <c r="CK1109" s="128"/>
      <c r="CL1109" s="128"/>
      <c r="CM1109" s="128"/>
      <c r="CN1109" s="128"/>
      <c r="CO1109" s="128"/>
      <c r="CP1109" s="128"/>
      <c r="CQ1109" s="128"/>
      <c r="CR1109" s="128"/>
      <c r="CS1109" s="128"/>
      <c r="CT1109" s="128"/>
      <c r="CU1109" s="128"/>
      <c r="CV1109" s="128"/>
      <c r="CW1109" s="128"/>
      <c r="CX1109" s="128"/>
      <c r="CY1109" s="128"/>
      <c r="CZ1109" s="128"/>
    </row>
    <row r="1110" spans="1:104">
      <c r="A1110" s="128"/>
      <c r="B1110" s="128"/>
      <c r="C1110" s="128"/>
      <c r="D1110" s="112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  <c r="AV1110" s="128"/>
      <c r="AW1110" s="128"/>
      <c r="AX1110" s="128"/>
      <c r="AY1110" s="128"/>
      <c r="AZ1110" s="128"/>
      <c r="BA1110" s="128"/>
      <c r="BB1110" s="128"/>
      <c r="BC1110" s="128"/>
      <c r="BD1110" s="128"/>
      <c r="BE1110" s="128"/>
      <c r="BF1110" s="128"/>
      <c r="BG1110" s="128"/>
      <c r="BH1110" s="128"/>
      <c r="BI1110" s="128"/>
      <c r="BJ1110" s="128"/>
      <c r="BK1110" s="128"/>
      <c r="BL1110" s="128"/>
      <c r="BM1110" s="151"/>
      <c r="BN1110" s="128"/>
      <c r="BO1110" s="128"/>
      <c r="BP1110" s="128"/>
      <c r="BQ1110" s="128"/>
      <c r="BR1110" s="128"/>
      <c r="BS1110" s="128"/>
      <c r="BT1110" s="128"/>
      <c r="BU1110" s="128"/>
      <c r="BV1110" s="128"/>
      <c r="BW1110" s="128"/>
      <c r="BX1110" s="128"/>
      <c r="BY1110" s="128"/>
      <c r="BZ1110" s="128"/>
      <c r="CA1110" s="128"/>
      <c r="CB1110" s="128"/>
      <c r="CC1110" s="128"/>
      <c r="CD1110" s="128"/>
      <c r="CE1110" s="128"/>
      <c r="CF1110" s="128"/>
      <c r="CG1110" s="128"/>
      <c r="CH1110" s="128"/>
      <c r="CI1110" s="128"/>
      <c r="CJ1110" s="128"/>
      <c r="CK1110" s="128"/>
      <c r="CL1110" s="128"/>
      <c r="CM1110" s="128"/>
      <c r="CN1110" s="128"/>
      <c r="CO1110" s="128"/>
      <c r="CP1110" s="128"/>
      <c r="CQ1110" s="128"/>
      <c r="CR1110" s="128"/>
      <c r="CS1110" s="128"/>
      <c r="CT1110" s="128"/>
      <c r="CU1110" s="128"/>
      <c r="CV1110" s="128"/>
      <c r="CW1110" s="128"/>
      <c r="CX1110" s="128"/>
      <c r="CY1110" s="128"/>
      <c r="CZ1110" s="128"/>
    </row>
    <row r="1111" spans="1:104">
      <c r="A1111" s="128"/>
      <c r="B1111" s="128"/>
      <c r="C1111" s="128"/>
      <c r="D1111" s="112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  <c r="AV1111" s="128"/>
      <c r="AW1111" s="128"/>
      <c r="AX1111" s="128"/>
      <c r="AY1111" s="128"/>
      <c r="AZ1111" s="128"/>
      <c r="BA1111" s="128"/>
      <c r="BB1111" s="128"/>
      <c r="BC1111" s="128"/>
      <c r="BD1111" s="128"/>
      <c r="BE1111" s="128"/>
      <c r="BF1111" s="128"/>
      <c r="BG1111" s="128"/>
      <c r="BH1111" s="128"/>
      <c r="BI1111" s="128"/>
      <c r="BJ1111" s="128"/>
      <c r="BK1111" s="128"/>
      <c r="BL1111" s="128"/>
      <c r="BM1111" s="151"/>
      <c r="BN1111" s="128"/>
      <c r="BO1111" s="128"/>
      <c r="BP1111" s="128"/>
      <c r="BQ1111" s="128"/>
      <c r="BR1111" s="128"/>
      <c r="BS1111" s="128"/>
      <c r="BT1111" s="128"/>
      <c r="BU1111" s="128"/>
      <c r="BV1111" s="128"/>
      <c r="BW1111" s="128"/>
      <c r="BX1111" s="128"/>
      <c r="BY1111" s="128"/>
      <c r="BZ1111" s="128"/>
      <c r="CA1111" s="128"/>
      <c r="CB1111" s="128"/>
      <c r="CC1111" s="128"/>
      <c r="CD1111" s="128"/>
      <c r="CE1111" s="128"/>
      <c r="CF1111" s="128"/>
      <c r="CG1111" s="128"/>
      <c r="CH1111" s="128"/>
      <c r="CI1111" s="128"/>
      <c r="CJ1111" s="128"/>
      <c r="CK1111" s="128"/>
      <c r="CL1111" s="128"/>
      <c r="CM1111" s="128"/>
      <c r="CN1111" s="128"/>
      <c r="CO1111" s="128"/>
      <c r="CP1111" s="128"/>
      <c r="CQ1111" s="128"/>
      <c r="CR1111" s="128"/>
      <c r="CS1111" s="128"/>
      <c r="CT1111" s="128"/>
      <c r="CU1111" s="128"/>
      <c r="CV1111" s="128"/>
      <c r="CW1111" s="128"/>
      <c r="CX1111" s="128"/>
      <c r="CY1111" s="128"/>
      <c r="CZ1111" s="128"/>
    </row>
    <row r="1112" spans="1:104">
      <c r="A1112" s="128"/>
      <c r="B1112" s="128"/>
      <c r="C1112" s="128"/>
      <c r="D1112" s="112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  <c r="AV1112" s="128"/>
      <c r="AW1112" s="128"/>
      <c r="AX1112" s="128"/>
      <c r="AY1112" s="128"/>
      <c r="AZ1112" s="128"/>
      <c r="BA1112" s="128"/>
      <c r="BB1112" s="128"/>
      <c r="BC1112" s="128"/>
      <c r="BD1112" s="128"/>
      <c r="BE1112" s="128"/>
      <c r="BF1112" s="128"/>
      <c r="BG1112" s="128"/>
      <c r="BH1112" s="128"/>
      <c r="BI1112" s="128"/>
      <c r="BJ1112" s="128"/>
      <c r="BK1112" s="128"/>
      <c r="BL1112" s="128"/>
      <c r="BM1112" s="151"/>
      <c r="BN1112" s="128"/>
      <c r="BO1112" s="128"/>
      <c r="BP1112" s="128"/>
      <c r="BQ1112" s="128"/>
      <c r="BR1112" s="128"/>
      <c r="BS1112" s="128"/>
      <c r="BT1112" s="128"/>
      <c r="BU1112" s="128"/>
      <c r="BV1112" s="128"/>
      <c r="BW1112" s="128"/>
      <c r="BX1112" s="128"/>
      <c r="BY1112" s="128"/>
      <c r="BZ1112" s="128"/>
      <c r="CA1112" s="128"/>
      <c r="CB1112" s="128"/>
      <c r="CC1112" s="128"/>
      <c r="CD1112" s="128"/>
      <c r="CE1112" s="128"/>
      <c r="CF1112" s="128"/>
      <c r="CG1112" s="128"/>
      <c r="CH1112" s="128"/>
      <c r="CI1112" s="128"/>
      <c r="CJ1112" s="128"/>
      <c r="CK1112" s="128"/>
      <c r="CL1112" s="128"/>
      <c r="CM1112" s="128"/>
      <c r="CN1112" s="128"/>
      <c r="CO1112" s="128"/>
      <c r="CP1112" s="128"/>
      <c r="CQ1112" s="128"/>
      <c r="CR1112" s="128"/>
      <c r="CS1112" s="128"/>
      <c r="CT1112" s="128"/>
      <c r="CU1112" s="128"/>
      <c r="CV1112" s="128"/>
      <c r="CW1112" s="128"/>
      <c r="CX1112" s="128"/>
      <c r="CY1112" s="128"/>
      <c r="CZ1112" s="128"/>
    </row>
    <row r="1113" spans="1:104">
      <c r="A1113" s="128"/>
      <c r="B1113" s="128"/>
      <c r="C1113" s="128"/>
      <c r="D1113" s="112"/>
      <c r="E1113" s="128"/>
      <c r="F1113" s="128"/>
      <c r="G1113" s="128"/>
      <c r="H1113" s="128"/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  <c r="AV1113" s="128"/>
      <c r="AW1113" s="128"/>
      <c r="AX1113" s="128"/>
      <c r="AY1113" s="128"/>
      <c r="AZ1113" s="128"/>
      <c r="BA1113" s="128"/>
      <c r="BB1113" s="128"/>
      <c r="BC1113" s="128"/>
      <c r="BD1113" s="128"/>
      <c r="BE1113" s="128"/>
      <c r="BF1113" s="128"/>
      <c r="BG1113" s="128"/>
      <c r="BH1113" s="128"/>
      <c r="BI1113" s="128"/>
      <c r="BJ1113" s="128"/>
      <c r="BK1113" s="128"/>
      <c r="BL1113" s="128"/>
      <c r="BM1113" s="151"/>
      <c r="BN1113" s="128"/>
      <c r="BO1113" s="128"/>
      <c r="BP1113" s="128"/>
      <c r="BQ1113" s="128"/>
      <c r="BR1113" s="128"/>
      <c r="BS1113" s="128"/>
      <c r="BT1113" s="128"/>
      <c r="BU1113" s="128"/>
      <c r="BV1113" s="128"/>
      <c r="BW1113" s="128"/>
      <c r="BX1113" s="128"/>
      <c r="BY1113" s="128"/>
      <c r="BZ1113" s="128"/>
      <c r="CA1113" s="128"/>
      <c r="CB1113" s="128"/>
      <c r="CC1113" s="128"/>
      <c r="CD1113" s="128"/>
      <c r="CE1113" s="128"/>
      <c r="CF1113" s="128"/>
      <c r="CG1113" s="128"/>
      <c r="CH1113" s="128"/>
      <c r="CI1113" s="128"/>
      <c r="CJ1113" s="128"/>
      <c r="CK1113" s="128"/>
      <c r="CL1113" s="128"/>
      <c r="CM1113" s="128"/>
      <c r="CN1113" s="128"/>
      <c r="CO1113" s="128"/>
      <c r="CP1113" s="128"/>
      <c r="CQ1113" s="128"/>
      <c r="CR1113" s="128"/>
      <c r="CS1113" s="128"/>
      <c r="CT1113" s="128"/>
      <c r="CU1113" s="128"/>
      <c r="CV1113" s="128"/>
      <c r="CW1113" s="128"/>
      <c r="CX1113" s="128"/>
      <c r="CY1113" s="128"/>
      <c r="CZ1113" s="128"/>
    </row>
    <row r="1114" spans="1:104">
      <c r="A1114" s="128"/>
      <c r="B1114" s="128"/>
      <c r="C1114" s="128"/>
      <c r="D1114" s="112"/>
      <c r="E1114" s="128"/>
      <c r="F1114" s="128"/>
      <c r="G1114" s="128"/>
      <c r="H1114" s="128"/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  <c r="AV1114" s="128"/>
      <c r="AW1114" s="128"/>
      <c r="AX1114" s="128"/>
      <c r="AY1114" s="128"/>
      <c r="AZ1114" s="128"/>
      <c r="BA1114" s="128"/>
      <c r="BB1114" s="128"/>
      <c r="BC1114" s="128"/>
      <c r="BD1114" s="128"/>
      <c r="BE1114" s="128"/>
      <c r="BF1114" s="128"/>
      <c r="BG1114" s="128"/>
      <c r="BH1114" s="128"/>
      <c r="BI1114" s="128"/>
      <c r="BJ1114" s="128"/>
      <c r="BK1114" s="128"/>
      <c r="BL1114" s="128"/>
      <c r="BM1114" s="151"/>
      <c r="BN1114" s="128"/>
      <c r="BO1114" s="128"/>
      <c r="BP1114" s="128"/>
      <c r="BQ1114" s="128"/>
      <c r="BR1114" s="128"/>
      <c r="BS1114" s="128"/>
      <c r="BT1114" s="128"/>
      <c r="BU1114" s="128"/>
      <c r="BV1114" s="128"/>
      <c r="BW1114" s="128"/>
      <c r="BX1114" s="128"/>
      <c r="BY1114" s="128"/>
      <c r="BZ1114" s="128"/>
      <c r="CA1114" s="128"/>
      <c r="CB1114" s="128"/>
      <c r="CC1114" s="128"/>
      <c r="CD1114" s="128"/>
      <c r="CE1114" s="128"/>
      <c r="CF1114" s="128"/>
      <c r="CG1114" s="128"/>
      <c r="CH1114" s="128"/>
      <c r="CI1114" s="128"/>
      <c r="CJ1114" s="128"/>
      <c r="CK1114" s="128"/>
      <c r="CL1114" s="128"/>
      <c r="CM1114" s="128"/>
      <c r="CN1114" s="128"/>
      <c r="CO1114" s="128"/>
      <c r="CP1114" s="128"/>
      <c r="CQ1114" s="128"/>
      <c r="CR1114" s="128"/>
      <c r="CS1114" s="128"/>
      <c r="CT1114" s="128"/>
      <c r="CU1114" s="128"/>
      <c r="CV1114" s="128"/>
      <c r="CW1114" s="128"/>
      <c r="CX1114" s="128"/>
      <c r="CY1114" s="128"/>
      <c r="CZ1114" s="128"/>
    </row>
    <row r="1115" spans="1:104">
      <c r="A1115" s="128"/>
      <c r="B1115" s="128"/>
      <c r="C1115" s="128"/>
      <c r="D1115" s="112"/>
      <c r="E1115" s="128"/>
      <c r="F1115" s="128"/>
      <c r="G1115" s="128"/>
      <c r="H1115" s="128"/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  <c r="AV1115" s="128"/>
      <c r="AW1115" s="128"/>
      <c r="AX1115" s="128"/>
      <c r="AY1115" s="128"/>
      <c r="AZ1115" s="128"/>
      <c r="BA1115" s="128"/>
      <c r="BB1115" s="128"/>
      <c r="BC1115" s="128"/>
      <c r="BD1115" s="128"/>
      <c r="BE1115" s="128"/>
      <c r="BF1115" s="128"/>
      <c r="BG1115" s="128"/>
      <c r="BH1115" s="128"/>
      <c r="BI1115" s="128"/>
      <c r="BJ1115" s="128"/>
      <c r="BK1115" s="128"/>
      <c r="BL1115" s="128"/>
      <c r="BM1115" s="151"/>
      <c r="BN1115" s="128"/>
      <c r="BO1115" s="128"/>
      <c r="BP1115" s="128"/>
      <c r="BQ1115" s="128"/>
      <c r="BR1115" s="128"/>
      <c r="BS1115" s="128"/>
      <c r="BT1115" s="128"/>
      <c r="BU1115" s="128"/>
      <c r="BV1115" s="128"/>
      <c r="BW1115" s="128"/>
      <c r="BX1115" s="128"/>
      <c r="BY1115" s="128"/>
      <c r="BZ1115" s="128"/>
      <c r="CA1115" s="128"/>
      <c r="CB1115" s="128"/>
      <c r="CC1115" s="128"/>
      <c r="CD1115" s="128"/>
      <c r="CE1115" s="128"/>
      <c r="CF1115" s="128"/>
      <c r="CG1115" s="128"/>
      <c r="CH1115" s="128"/>
      <c r="CI1115" s="128"/>
      <c r="CJ1115" s="128"/>
      <c r="CK1115" s="128"/>
      <c r="CL1115" s="128"/>
      <c r="CM1115" s="128"/>
      <c r="CN1115" s="128"/>
      <c r="CO1115" s="128"/>
      <c r="CP1115" s="128"/>
      <c r="CQ1115" s="128"/>
      <c r="CR1115" s="128"/>
      <c r="CS1115" s="128"/>
      <c r="CT1115" s="128"/>
      <c r="CU1115" s="128"/>
      <c r="CV1115" s="128"/>
      <c r="CW1115" s="128"/>
      <c r="CX1115" s="128"/>
      <c r="CY1115" s="128"/>
      <c r="CZ1115" s="128"/>
    </row>
    <row r="1116" spans="1:104">
      <c r="A1116" s="128"/>
      <c r="B1116" s="128"/>
      <c r="C1116" s="128"/>
      <c r="D1116" s="112"/>
      <c r="E1116" s="128"/>
      <c r="F1116" s="128"/>
      <c r="G1116" s="128"/>
      <c r="H1116" s="128"/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  <c r="AV1116" s="128"/>
      <c r="AW1116" s="128"/>
      <c r="AX1116" s="128"/>
      <c r="AY1116" s="128"/>
      <c r="AZ1116" s="128"/>
      <c r="BA1116" s="128"/>
      <c r="BB1116" s="128"/>
      <c r="BC1116" s="128"/>
      <c r="BD1116" s="128"/>
      <c r="BE1116" s="128"/>
      <c r="BF1116" s="128"/>
      <c r="BG1116" s="128"/>
      <c r="BH1116" s="128"/>
      <c r="BI1116" s="128"/>
      <c r="BJ1116" s="128"/>
      <c r="BK1116" s="128"/>
      <c r="BL1116" s="128"/>
      <c r="BM1116" s="151"/>
      <c r="BN1116" s="128"/>
      <c r="BO1116" s="128"/>
      <c r="BP1116" s="128"/>
      <c r="BQ1116" s="128"/>
      <c r="BR1116" s="128"/>
      <c r="BS1116" s="128"/>
      <c r="BT1116" s="128"/>
      <c r="BU1116" s="128"/>
      <c r="BV1116" s="128"/>
      <c r="BW1116" s="128"/>
      <c r="BX1116" s="128"/>
      <c r="BY1116" s="128"/>
      <c r="BZ1116" s="128"/>
      <c r="CA1116" s="128"/>
      <c r="CB1116" s="128"/>
      <c r="CC1116" s="128"/>
      <c r="CD1116" s="128"/>
      <c r="CE1116" s="128"/>
      <c r="CF1116" s="128"/>
      <c r="CG1116" s="128"/>
      <c r="CH1116" s="128"/>
      <c r="CI1116" s="128"/>
      <c r="CJ1116" s="128"/>
      <c r="CK1116" s="128"/>
      <c r="CL1116" s="128"/>
      <c r="CM1116" s="128"/>
      <c r="CN1116" s="128"/>
      <c r="CO1116" s="128"/>
      <c r="CP1116" s="128"/>
      <c r="CQ1116" s="128"/>
      <c r="CR1116" s="128"/>
      <c r="CS1116" s="128"/>
      <c r="CT1116" s="128"/>
      <c r="CU1116" s="128"/>
      <c r="CV1116" s="128"/>
      <c r="CW1116" s="128"/>
      <c r="CX1116" s="128"/>
      <c r="CY1116" s="128"/>
      <c r="CZ1116" s="128"/>
    </row>
    <row r="1117" spans="1:104">
      <c r="A1117" s="128"/>
      <c r="B1117" s="128"/>
      <c r="C1117" s="128"/>
      <c r="D1117" s="112"/>
      <c r="E1117" s="128"/>
      <c r="F1117" s="128"/>
      <c r="G1117" s="128"/>
      <c r="H1117" s="128"/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  <c r="AV1117" s="128"/>
      <c r="AW1117" s="128"/>
      <c r="AX1117" s="128"/>
      <c r="AY1117" s="128"/>
      <c r="AZ1117" s="128"/>
      <c r="BA1117" s="128"/>
      <c r="BB1117" s="128"/>
      <c r="BC1117" s="128"/>
      <c r="BD1117" s="128"/>
      <c r="BE1117" s="128"/>
      <c r="BF1117" s="128"/>
      <c r="BG1117" s="128"/>
      <c r="BH1117" s="128"/>
      <c r="BI1117" s="128"/>
      <c r="BJ1117" s="128"/>
      <c r="BK1117" s="128"/>
      <c r="BL1117" s="128"/>
      <c r="BM1117" s="151"/>
      <c r="BN1117" s="128"/>
      <c r="BO1117" s="128"/>
      <c r="BP1117" s="128"/>
      <c r="BQ1117" s="128"/>
      <c r="BR1117" s="128"/>
      <c r="BS1117" s="128"/>
      <c r="BT1117" s="128"/>
      <c r="BU1117" s="128"/>
      <c r="BV1117" s="128"/>
      <c r="BW1117" s="128"/>
      <c r="BX1117" s="128"/>
      <c r="BY1117" s="128"/>
      <c r="BZ1117" s="128"/>
      <c r="CA1117" s="128"/>
      <c r="CB1117" s="128"/>
      <c r="CC1117" s="128"/>
      <c r="CD1117" s="128"/>
      <c r="CE1117" s="128"/>
      <c r="CF1117" s="128"/>
      <c r="CG1117" s="128"/>
      <c r="CH1117" s="128"/>
      <c r="CI1117" s="128"/>
      <c r="CJ1117" s="128"/>
      <c r="CK1117" s="128"/>
      <c r="CL1117" s="128"/>
      <c r="CM1117" s="128"/>
      <c r="CN1117" s="128"/>
      <c r="CO1117" s="128"/>
      <c r="CP1117" s="128"/>
      <c r="CQ1117" s="128"/>
      <c r="CR1117" s="128"/>
      <c r="CS1117" s="128"/>
      <c r="CT1117" s="128"/>
      <c r="CU1117" s="128"/>
      <c r="CV1117" s="128"/>
      <c r="CW1117" s="128"/>
      <c r="CX1117" s="128"/>
      <c r="CY1117" s="128"/>
      <c r="CZ1117" s="128"/>
    </row>
    <row r="1118" spans="1:104">
      <c r="A1118" s="128"/>
      <c r="B1118" s="128"/>
      <c r="C1118" s="128"/>
      <c r="D1118" s="112"/>
      <c r="E1118" s="128"/>
      <c r="F1118" s="128"/>
      <c r="G1118" s="128"/>
      <c r="H1118" s="128"/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  <c r="AV1118" s="128"/>
      <c r="AW1118" s="128"/>
      <c r="AX1118" s="128"/>
      <c r="AY1118" s="128"/>
      <c r="AZ1118" s="128"/>
      <c r="BA1118" s="128"/>
      <c r="BB1118" s="128"/>
      <c r="BC1118" s="128"/>
      <c r="BD1118" s="128"/>
      <c r="BE1118" s="128"/>
      <c r="BF1118" s="128"/>
      <c r="BG1118" s="128"/>
      <c r="BH1118" s="128"/>
      <c r="BI1118" s="128"/>
      <c r="BJ1118" s="128"/>
      <c r="BK1118" s="128"/>
      <c r="BL1118" s="128"/>
      <c r="BM1118" s="151"/>
      <c r="BN1118" s="128"/>
      <c r="BO1118" s="128"/>
      <c r="BP1118" s="128"/>
      <c r="BQ1118" s="128"/>
      <c r="BR1118" s="128"/>
      <c r="BS1118" s="128"/>
      <c r="BT1118" s="128"/>
      <c r="BU1118" s="128"/>
      <c r="BV1118" s="128"/>
      <c r="BW1118" s="128"/>
      <c r="BX1118" s="128"/>
      <c r="BY1118" s="128"/>
      <c r="BZ1118" s="128"/>
      <c r="CA1118" s="128"/>
      <c r="CB1118" s="128"/>
      <c r="CC1118" s="128"/>
      <c r="CD1118" s="128"/>
      <c r="CE1118" s="128"/>
      <c r="CF1118" s="128"/>
      <c r="CG1118" s="128"/>
      <c r="CH1118" s="128"/>
      <c r="CI1118" s="128"/>
      <c r="CJ1118" s="128"/>
      <c r="CK1118" s="128"/>
      <c r="CL1118" s="128"/>
      <c r="CM1118" s="128"/>
      <c r="CN1118" s="128"/>
      <c r="CO1118" s="128"/>
      <c r="CP1118" s="128"/>
      <c r="CQ1118" s="128"/>
      <c r="CR1118" s="128"/>
      <c r="CS1118" s="128"/>
      <c r="CT1118" s="128"/>
      <c r="CU1118" s="128"/>
      <c r="CV1118" s="128"/>
      <c r="CW1118" s="128"/>
      <c r="CX1118" s="128"/>
      <c r="CY1118" s="128"/>
      <c r="CZ1118" s="128"/>
    </row>
    <row r="1119" spans="1:104">
      <c r="A1119" s="128"/>
      <c r="B1119" s="128"/>
      <c r="C1119" s="128"/>
      <c r="D1119" s="112"/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  <c r="AV1119" s="128"/>
      <c r="AW1119" s="128"/>
      <c r="AX1119" s="128"/>
      <c r="AY1119" s="128"/>
      <c r="AZ1119" s="128"/>
      <c r="BA1119" s="128"/>
      <c r="BB1119" s="128"/>
      <c r="BC1119" s="128"/>
      <c r="BD1119" s="128"/>
      <c r="BE1119" s="128"/>
      <c r="BF1119" s="128"/>
      <c r="BG1119" s="128"/>
      <c r="BH1119" s="128"/>
      <c r="BI1119" s="128"/>
      <c r="BJ1119" s="128"/>
      <c r="BK1119" s="128"/>
      <c r="BL1119" s="128"/>
      <c r="BM1119" s="151"/>
      <c r="BN1119" s="128"/>
      <c r="BO1119" s="128"/>
      <c r="BP1119" s="128"/>
      <c r="BQ1119" s="128"/>
      <c r="BR1119" s="128"/>
      <c r="BS1119" s="128"/>
      <c r="BT1119" s="128"/>
      <c r="BU1119" s="128"/>
      <c r="BV1119" s="128"/>
      <c r="BW1119" s="128"/>
      <c r="BX1119" s="128"/>
      <c r="BY1119" s="128"/>
      <c r="BZ1119" s="128"/>
      <c r="CA1119" s="128"/>
      <c r="CB1119" s="128"/>
      <c r="CC1119" s="128"/>
      <c r="CD1119" s="128"/>
      <c r="CE1119" s="128"/>
      <c r="CF1119" s="128"/>
      <c r="CG1119" s="128"/>
      <c r="CH1119" s="128"/>
      <c r="CI1119" s="128"/>
      <c r="CJ1119" s="128"/>
      <c r="CK1119" s="128"/>
      <c r="CL1119" s="128"/>
      <c r="CM1119" s="128"/>
      <c r="CN1119" s="128"/>
      <c r="CO1119" s="128"/>
      <c r="CP1119" s="128"/>
      <c r="CQ1119" s="128"/>
      <c r="CR1119" s="128"/>
      <c r="CS1119" s="128"/>
      <c r="CT1119" s="128"/>
      <c r="CU1119" s="128"/>
      <c r="CV1119" s="128"/>
      <c r="CW1119" s="128"/>
      <c r="CX1119" s="128"/>
      <c r="CY1119" s="128"/>
      <c r="CZ1119" s="128"/>
    </row>
    <row r="1120" spans="1:104">
      <c r="A1120" s="128"/>
      <c r="B1120" s="128"/>
      <c r="C1120" s="128"/>
      <c r="D1120" s="112"/>
      <c r="E1120" s="128"/>
      <c r="F1120" s="128"/>
      <c r="G1120" s="128"/>
      <c r="H1120" s="128"/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  <c r="AV1120" s="128"/>
      <c r="AW1120" s="128"/>
      <c r="AX1120" s="128"/>
      <c r="AY1120" s="128"/>
      <c r="AZ1120" s="128"/>
      <c r="BA1120" s="128"/>
      <c r="BB1120" s="128"/>
      <c r="BC1120" s="128"/>
      <c r="BD1120" s="128"/>
      <c r="BE1120" s="128"/>
      <c r="BF1120" s="128"/>
      <c r="BG1120" s="128"/>
      <c r="BH1120" s="128"/>
      <c r="BI1120" s="128"/>
      <c r="BJ1120" s="128"/>
      <c r="BK1120" s="128"/>
      <c r="BL1120" s="128"/>
      <c r="BM1120" s="151"/>
      <c r="BN1120" s="128"/>
      <c r="BO1120" s="128"/>
      <c r="BP1120" s="128"/>
      <c r="BQ1120" s="128"/>
      <c r="BR1120" s="128"/>
      <c r="BS1120" s="128"/>
      <c r="BT1120" s="128"/>
      <c r="BU1120" s="128"/>
      <c r="BV1120" s="128"/>
      <c r="BW1120" s="128"/>
      <c r="BX1120" s="128"/>
      <c r="BY1120" s="128"/>
      <c r="BZ1120" s="128"/>
      <c r="CA1120" s="128"/>
      <c r="CB1120" s="128"/>
      <c r="CC1120" s="128"/>
      <c r="CD1120" s="128"/>
      <c r="CE1120" s="128"/>
      <c r="CF1120" s="128"/>
      <c r="CG1120" s="128"/>
      <c r="CH1120" s="128"/>
      <c r="CI1120" s="128"/>
      <c r="CJ1120" s="128"/>
      <c r="CK1120" s="128"/>
      <c r="CL1120" s="128"/>
      <c r="CM1120" s="128"/>
      <c r="CN1120" s="128"/>
      <c r="CO1120" s="128"/>
      <c r="CP1120" s="128"/>
      <c r="CQ1120" s="128"/>
      <c r="CR1120" s="128"/>
      <c r="CS1120" s="128"/>
      <c r="CT1120" s="128"/>
      <c r="CU1120" s="128"/>
      <c r="CV1120" s="128"/>
      <c r="CW1120" s="128"/>
      <c r="CX1120" s="128"/>
      <c r="CY1120" s="128"/>
      <c r="CZ1120" s="128"/>
    </row>
    <row r="1121" spans="1:104">
      <c r="A1121" s="128"/>
      <c r="B1121" s="128"/>
      <c r="C1121" s="128"/>
      <c r="D1121" s="112"/>
      <c r="E1121" s="128"/>
      <c r="F1121" s="128"/>
      <c r="G1121" s="128"/>
      <c r="H1121" s="128"/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  <c r="AV1121" s="128"/>
      <c r="AW1121" s="128"/>
      <c r="AX1121" s="128"/>
      <c r="AY1121" s="128"/>
      <c r="AZ1121" s="128"/>
      <c r="BA1121" s="128"/>
      <c r="BB1121" s="128"/>
      <c r="BC1121" s="128"/>
      <c r="BD1121" s="128"/>
      <c r="BE1121" s="128"/>
      <c r="BF1121" s="128"/>
      <c r="BG1121" s="128"/>
      <c r="BH1121" s="128"/>
      <c r="BI1121" s="128"/>
      <c r="BJ1121" s="128"/>
      <c r="BK1121" s="128"/>
      <c r="BL1121" s="128"/>
      <c r="BM1121" s="151"/>
      <c r="BN1121" s="128"/>
      <c r="BO1121" s="128"/>
      <c r="BP1121" s="128"/>
      <c r="BQ1121" s="128"/>
      <c r="BR1121" s="128"/>
      <c r="BS1121" s="128"/>
      <c r="BT1121" s="128"/>
      <c r="BU1121" s="128"/>
      <c r="BV1121" s="128"/>
      <c r="BW1121" s="128"/>
      <c r="BX1121" s="128"/>
      <c r="BY1121" s="128"/>
      <c r="BZ1121" s="128"/>
      <c r="CA1121" s="128"/>
      <c r="CB1121" s="128"/>
      <c r="CC1121" s="128"/>
      <c r="CD1121" s="128"/>
      <c r="CE1121" s="128"/>
      <c r="CF1121" s="128"/>
      <c r="CG1121" s="128"/>
      <c r="CH1121" s="128"/>
      <c r="CI1121" s="128"/>
      <c r="CJ1121" s="128"/>
      <c r="CK1121" s="128"/>
      <c r="CL1121" s="128"/>
      <c r="CM1121" s="128"/>
      <c r="CN1121" s="128"/>
      <c r="CO1121" s="128"/>
      <c r="CP1121" s="128"/>
      <c r="CQ1121" s="128"/>
      <c r="CR1121" s="128"/>
      <c r="CS1121" s="128"/>
      <c r="CT1121" s="128"/>
      <c r="CU1121" s="128"/>
      <c r="CV1121" s="128"/>
      <c r="CW1121" s="128"/>
      <c r="CX1121" s="128"/>
      <c r="CY1121" s="128"/>
      <c r="CZ1121" s="128"/>
    </row>
    <row r="1122" spans="1:104">
      <c r="A1122" s="128"/>
      <c r="B1122" s="128"/>
      <c r="C1122" s="128"/>
      <c r="D1122" s="112"/>
      <c r="E1122" s="128"/>
      <c r="F1122" s="128"/>
      <c r="G1122" s="128"/>
      <c r="H1122" s="128"/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  <c r="AV1122" s="128"/>
      <c r="AW1122" s="128"/>
      <c r="AX1122" s="128"/>
      <c r="AY1122" s="128"/>
      <c r="AZ1122" s="128"/>
      <c r="BA1122" s="128"/>
      <c r="BB1122" s="128"/>
      <c r="BC1122" s="128"/>
      <c r="BD1122" s="128"/>
      <c r="BE1122" s="128"/>
      <c r="BF1122" s="128"/>
      <c r="BG1122" s="128"/>
      <c r="BH1122" s="128"/>
      <c r="BI1122" s="128"/>
      <c r="BJ1122" s="128"/>
      <c r="BK1122" s="128"/>
      <c r="BL1122" s="128"/>
      <c r="BM1122" s="151"/>
      <c r="BN1122" s="128"/>
      <c r="BO1122" s="128"/>
      <c r="BP1122" s="128"/>
      <c r="BQ1122" s="128"/>
      <c r="BR1122" s="128"/>
      <c r="BS1122" s="128"/>
      <c r="BT1122" s="128"/>
      <c r="BU1122" s="128"/>
      <c r="BV1122" s="128"/>
      <c r="BW1122" s="128"/>
      <c r="BX1122" s="128"/>
      <c r="BY1122" s="128"/>
      <c r="BZ1122" s="128"/>
      <c r="CA1122" s="128"/>
      <c r="CB1122" s="128"/>
      <c r="CC1122" s="128"/>
      <c r="CD1122" s="128"/>
      <c r="CE1122" s="128"/>
      <c r="CF1122" s="128"/>
      <c r="CG1122" s="128"/>
      <c r="CH1122" s="128"/>
      <c r="CI1122" s="128"/>
      <c r="CJ1122" s="128"/>
      <c r="CK1122" s="128"/>
      <c r="CL1122" s="128"/>
      <c r="CM1122" s="128"/>
      <c r="CN1122" s="128"/>
      <c r="CO1122" s="128"/>
      <c r="CP1122" s="128"/>
      <c r="CQ1122" s="128"/>
      <c r="CR1122" s="128"/>
      <c r="CS1122" s="128"/>
      <c r="CT1122" s="128"/>
      <c r="CU1122" s="128"/>
      <c r="CV1122" s="128"/>
      <c r="CW1122" s="128"/>
      <c r="CX1122" s="128"/>
      <c r="CY1122" s="128"/>
      <c r="CZ1122" s="128"/>
    </row>
    <row r="1123" spans="1:104">
      <c r="A1123" s="128"/>
      <c r="B1123" s="128"/>
      <c r="C1123" s="128"/>
      <c r="D1123" s="112"/>
      <c r="E1123" s="128"/>
      <c r="F1123" s="128"/>
      <c r="G1123" s="128"/>
      <c r="H1123" s="128"/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  <c r="AV1123" s="128"/>
      <c r="AW1123" s="128"/>
      <c r="AX1123" s="128"/>
      <c r="AY1123" s="128"/>
      <c r="AZ1123" s="128"/>
      <c r="BA1123" s="128"/>
      <c r="BB1123" s="128"/>
      <c r="BC1123" s="128"/>
      <c r="BD1123" s="128"/>
      <c r="BE1123" s="128"/>
      <c r="BF1123" s="128"/>
      <c r="BG1123" s="128"/>
      <c r="BH1123" s="128"/>
      <c r="BI1123" s="128"/>
      <c r="BJ1123" s="128"/>
      <c r="BK1123" s="128"/>
      <c r="BL1123" s="128"/>
      <c r="BM1123" s="151"/>
      <c r="BN1123" s="128"/>
      <c r="BO1123" s="128"/>
      <c r="BP1123" s="128"/>
      <c r="BQ1123" s="128"/>
      <c r="BR1123" s="128"/>
      <c r="BS1123" s="128"/>
      <c r="BT1123" s="128"/>
      <c r="BU1123" s="128"/>
      <c r="BV1123" s="128"/>
      <c r="BW1123" s="128"/>
      <c r="BX1123" s="128"/>
      <c r="BY1123" s="128"/>
      <c r="BZ1123" s="128"/>
      <c r="CA1123" s="128"/>
      <c r="CB1123" s="128"/>
      <c r="CC1123" s="128"/>
      <c r="CD1123" s="128"/>
      <c r="CE1123" s="128"/>
      <c r="CF1123" s="128"/>
      <c r="CG1123" s="128"/>
      <c r="CH1123" s="128"/>
      <c r="CI1123" s="128"/>
      <c r="CJ1123" s="128"/>
      <c r="CK1123" s="128"/>
      <c r="CL1123" s="128"/>
      <c r="CM1123" s="128"/>
      <c r="CN1123" s="128"/>
      <c r="CO1123" s="128"/>
      <c r="CP1123" s="128"/>
      <c r="CQ1123" s="128"/>
      <c r="CR1123" s="128"/>
      <c r="CS1123" s="128"/>
      <c r="CT1123" s="128"/>
      <c r="CU1123" s="128"/>
      <c r="CV1123" s="128"/>
      <c r="CW1123" s="128"/>
      <c r="CX1123" s="128"/>
      <c r="CY1123" s="128"/>
      <c r="CZ1123" s="128"/>
    </row>
    <row r="1124" spans="1:104">
      <c r="A1124" s="128"/>
      <c r="B1124" s="128"/>
      <c r="C1124" s="128"/>
      <c r="D1124" s="112"/>
      <c r="E1124" s="128"/>
      <c r="F1124" s="128"/>
      <c r="G1124" s="128"/>
      <c r="H1124" s="128"/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  <c r="AV1124" s="128"/>
      <c r="AW1124" s="128"/>
      <c r="AX1124" s="128"/>
      <c r="AY1124" s="128"/>
      <c r="AZ1124" s="128"/>
      <c r="BA1124" s="128"/>
      <c r="BB1124" s="128"/>
      <c r="BC1124" s="128"/>
      <c r="BD1124" s="128"/>
      <c r="BE1124" s="128"/>
      <c r="BF1124" s="128"/>
      <c r="BG1124" s="128"/>
      <c r="BH1124" s="128"/>
      <c r="BI1124" s="128"/>
      <c r="BJ1124" s="128"/>
      <c r="BK1124" s="128"/>
      <c r="BL1124" s="128"/>
      <c r="BM1124" s="151"/>
      <c r="BN1124" s="128"/>
      <c r="BO1124" s="128"/>
      <c r="BP1124" s="128"/>
      <c r="BQ1124" s="128"/>
      <c r="BR1124" s="128"/>
      <c r="BS1124" s="128"/>
      <c r="BT1124" s="128"/>
      <c r="BU1124" s="128"/>
      <c r="BV1124" s="128"/>
      <c r="BW1124" s="128"/>
      <c r="BX1124" s="128"/>
      <c r="BY1124" s="128"/>
      <c r="BZ1124" s="128"/>
      <c r="CA1124" s="128"/>
      <c r="CB1124" s="128"/>
      <c r="CC1124" s="128"/>
      <c r="CD1124" s="128"/>
      <c r="CE1124" s="128"/>
      <c r="CF1124" s="128"/>
      <c r="CG1124" s="128"/>
      <c r="CH1124" s="128"/>
      <c r="CI1124" s="128"/>
      <c r="CJ1124" s="128"/>
      <c r="CK1124" s="128"/>
      <c r="CL1124" s="128"/>
      <c r="CM1124" s="128"/>
      <c r="CN1124" s="128"/>
      <c r="CO1124" s="128"/>
      <c r="CP1124" s="128"/>
      <c r="CQ1124" s="128"/>
      <c r="CR1124" s="128"/>
      <c r="CS1124" s="128"/>
      <c r="CT1124" s="128"/>
      <c r="CU1124" s="128"/>
      <c r="CV1124" s="128"/>
      <c r="CW1124" s="128"/>
      <c r="CX1124" s="128"/>
      <c r="CY1124" s="128"/>
      <c r="CZ1124" s="128"/>
    </row>
    <row r="1125" spans="1:104">
      <c r="A1125" s="128"/>
      <c r="B1125" s="128"/>
      <c r="C1125" s="128"/>
      <c r="D1125" s="112"/>
      <c r="E1125" s="128"/>
      <c r="F1125" s="128"/>
      <c r="G1125" s="128"/>
      <c r="H1125" s="128"/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  <c r="AV1125" s="128"/>
      <c r="AW1125" s="128"/>
      <c r="AX1125" s="128"/>
      <c r="AY1125" s="128"/>
      <c r="AZ1125" s="128"/>
      <c r="BA1125" s="128"/>
      <c r="BB1125" s="128"/>
      <c r="BC1125" s="128"/>
      <c r="BD1125" s="128"/>
      <c r="BE1125" s="128"/>
      <c r="BF1125" s="128"/>
      <c r="BG1125" s="128"/>
      <c r="BH1125" s="128"/>
      <c r="BI1125" s="128"/>
      <c r="BJ1125" s="128"/>
      <c r="BK1125" s="128"/>
      <c r="BL1125" s="128"/>
      <c r="BM1125" s="151"/>
      <c r="BN1125" s="128"/>
      <c r="BO1125" s="128"/>
      <c r="BP1125" s="128"/>
      <c r="BQ1125" s="128"/>
      <c r="BR1125" s="128"/>
      <c r="BS1125" s="128"/>
      <c r="BT1125" s="128"/>
      <c r="BU1125" s="128"/>
      <c r="BV1125" s="128"/>
      <c r="BW1125" s="128"/>
      <c r="BX1125" s="128"/>
      <c r="BY1125" s="128"/>
      <c r="BZ1125" s="128"/>
      <c r="CA1125" s="128"/>
      <c r="CB1125" s="128"/>
      <c r="CC1125" s="128"/>
      <c r="CD1125" s="128"/>
      <c r="CE1125" s="128"/>
      <c r="CF1125" s="128"/>
      <c r="CG1125" s="128"/>
      <c r="CH1125" s="128"/>
      <c r="CI1125" s="128"/>
      <c r="CJ1125" s="128"/>
      <c r="CK1125" s="128"/>
      <c r="CL1125" s="128"/>
      <c r="CM1125" s="128"/>
      <c r="CN1125" s="128"/>
      <c r="CO1125" s="128"/>
      <c r="CP1125" s="128"/>
      <c r="CQ1125" s="128"/>
      <c r="CR1125" s="128"/>
      <c r="CS1125" s="128"/>
      <c r="CT1125" s="128"/>
      <c r="CU1125" s="128"/>
      <c r="CV1125" s="128"/>
      <c r="CW1125" s="128"/>
      <c r="CX1125" s="128"/>
      <c r="CY1125" s="128"/>
      <c r="CZ1125" s="128"/>
    </row>
    <row r="1126" spans="1:104">
      <c r="A1126" s="128"/>
      <c r="B1126" s="128"/>
      <c r="C1126" s="128"/>
      <c r="D1126" s="112"/>
      <c r="E1126" s="128"/>
      <c r="F1126" s="128"/>
      <c r="G1126" s="128"/>
      <c r="H1126" s="128"/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  <c r="AV1126" s="128"/>
      <c r="AW1126" s="128"/>
      <c r="AX1126" s="128"/>
      <c r="AY1126" s="128"/>
      <c r="AZ1126" s="128"/>
      <c r="BA1126" s="128"/>
      <c r="BB1126" s="128"/>
      <c r="BC1126" s="128"/>
      <c r="BD1126" s="128"/>
      <c r="BE1126" s="128"/>
      <c r="BF1126" s="128"/>
      <c r="BG1126" s="128"/>
      <c r="BH1126" s="128"/>
      <c r="BI1126" s="128"/>
      <c r="BJ1126" s="128"/>
      <c r="BK1126" s="128"/>
      <c r="BL1126" s="128"/>
      <c r="BM1126" s="151"/>
      <c r="BN1126" s="128"/>
      <c r="BO1126" s="128"/>
      <c r="BP1126" s="128"/>
      <c r="BQ1126" s="128"/>
      <c r="BR1126" s="128"/>
      <c r="BS1126" s="128"/>
      <c r="BT1126" s="128"/>
      <c r="BU1126" s="128"/>
      <c r="BV1126" s="128"/>
      <c r="BW1126" s="128"/>
      <c r="BX1126" s="128"/>
      <c r="BY1126" s="128"/>
      <c r="BZ1126" s="128"/>
      <c r="CA1126" s="128"/>
      <c r="CB1126" s="128"/>
      <c r="CC1126" s="128"/>
      <c r="CD1126" s="128"/>
      <c r="CE1126" s="128"/>
      <c r="CF1126" s="128"/>
      <c r="CG1126" s="128"/>
      <c r="CH1126" s="128"/>
      <c r="CI1126" s="128"/>
      <c r="CJ1126" s="128"/>
      <c r="CK1126" s="128"/>
      <c r="CL1126" s="128"/>
      <c r="CM1126" s="128"/>
      <c r="CN1126" s="128"/>
      <c r="CO1126" s="128"/>
      <c r="CP1126" s="128"/>
      <c r="CQ1126" s="128"/>
      <c r="CR1126" s="128"/>
      <c r="CS1126" s="128"/>
      <c r="CT1126" s="128"/>
      <c r="CU1126" s="128"/>
      <c r="CV1126" s="128"/>
      <c r="CW1126" s="128"/>
      <c r="CX1126" s="128"/>
      <c r="CY1126" s="128"/>
      <c r="CZ1126" s="128"/>
    </row>
    <row r="1127" spans="1:104">
      <c r="A1127" s="128"/>
      <c r="B1127" s="128"/>
      <c r="C1127" s="128"/>
      <c r="D1127" s="112"/>
      <c r="E1127" s="128"/>
      <c r="F1127" s="128"/>
      <c r="G1127" s="128"/>
      <c r="H1127" s="128"/>
      <c r="I1127" s="128"/>
      <c r="J1127" s="128"/>
      <c r="K1127" s="128"/>
      <c r="L1127" s="128"/>
      <c r="M1127" s="128"/>
      <c r="N1127" s="128"/>
      <c r="O1127" s="128"/>
      <c r="P1127" s="128"/>
      <c r="Q1127" s="128"/>
      <c r="R1127" s="128"/>
      <c r="S1127" s="128"/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  <c r="AV1127" s="128"/>
      <c r="AW1127" s="128"/>
      <c r="AX1127" s="128"/>
      <c r="AY1127" s="128"/>
      <c r="AZ1127" s="128"/>
      <c r="BA1127" s="128"/>
      <c r="BB1127" s="128"/>
      <c r="BC1127" s="128"/>
      <c r="BD1127" s="128"/>
      <c r="BE1127" s="128"/>
      <c r="BF1127" s="128"/>
      <c r="BG1127" s="128"/>
      <c r="BH1127" s="128"/>
      <c r="BI1127" s="128"/>
      <c r="BJ1127" s="128"/>
      <c r="BK1127" s="128"/>
      <c r="BL1127" s="128"/>
      <c r="BM1127" s="151"/>
      <c r="BN1127" s="128"/>
      <c r="BO1127" s="128"/>
      <c r="BP1127" s="128"/>
      <c r="BQ1127" s="128"/>
      <c r="BR1127" s="128"/>
      <c r="BS1127" s="128"/>
      <c r="BT1127" s="128"/>
      <c r="BU1127" s="128"/>
      <c r="BV1127" s="128"/>
      <c r="BW1127" s="128"/>
      <c r="BX1127" s="128"/>
      <c r="BY1127" s="128"/>
      <c r="BZ1127" s="128"/>
      <c r="CA1127" s="128"/>
      <c r="CB1127" s="128"/>
      <c r="CC1127" s="128"/>
      <c r="CD1127" s="128"/>
      <c r="CE1127" s="128"/>
      <c r="CF1127" s="128"/>
      <c r="CG1127" s="128"/>
      <c r="CH1127" s="128"/>
      <c r="CI1127" s="128"/>
      <c r="CJ1127" s="128"/>
      <c r="CK1127" s="128"/>
      <c r="CL1127" s="128"/>
      <c r="CM1127" s="128"/>
      <c r="CN1127" s="128"/>
      <c r="CO1127" s="128"/>
      <c r="CP1127" s="128"/>
      <c r="CQ1127" s="128"/>
      <c r="CR1127" s="128"/>
      <c r="CS1127" s="128"/>
      <c r="CT1127" s="128"/>
      <c r="CU1127" s="128"/>
      <c r="CV1127" s="128"/>
      <c r="CW1127" s="128"/>
      <c r="CX1127" s="128"/>
      <c r="CY1127" s="128"/>
      <c r="CZ1127" s="128"/>
    </row>
    <row r="1128" spans="1:104">
      <c r="A1128" s="128"/>
      <c r="B1128" s="128"/>
      <c r="C1128" s="128"/>
      <c r="D1128" s="112"/>
      <c r="E1128" s="128"/>
      <c r="F1128" s="128"/>
      <c r="G1128" s="128"/>
      <c r="H1128" s="128"/>
      <c r="I1128" s="128"/>
      <c r="J1128" s="128"/>
      <c r="K1128" s="128"/>
      <c r="L1128" s="128"/>
      <c r="M1128" s="128"/>
      <c r="N1128" s="128"/>
      <c r="O1128" s="128"/>
      <c r="P1128" s="128"/>
      <c r="Q1128" s="128"/>
      <c r="R1128" s="128"/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  <c r="AV1128" s="128"/>
      <c r="AW1128" s="128"/>
      <c r="AX1128" s="128"/>
      <c r="AY1128" s="128"/>
      <c r="AZ1128" s="128"/>
      <c r="BA1128" s="128"/>
      <c r="BB1128" s="128"/>
      <c r="BC1128" s="128"/>
      <c r="BD1128" s="128"/>
      <c r="BE1128" s="128"/>
      <c r="BF1128" s="128"/>
      <c r="BG1128" s="128"/>
      <c r="BH1128" s="128"/>
      <c r="BI1128" s="128"/>
      <c r="BJ1128" s="128"/>
      <c r="BK1128" s="128"/>
      <c r="BL1128" s="128"/>
      <c r="BM1128" s="151"/>
      <c r="BN1128" s="128"/>
      <c r="BO1128" s="128"/>
      <c r="BP1128" s="128"/>
      <c r="BQ1128" s="128"/>
      <c r="BR1128" s="128"/>
      <c r="BS1128" s="128"/>
      <c r="BT1128" s="128"/>
      <c r="BU1128" s="128"/>
      <c r="BV1128" s="128"/>
      <c r="BW1128" s="128"/>
      <c r="BX1128" s="128"/>
      <c r="BY1128" s="128"/>
      <c r="BZ1128" s="128"/>
      <c r="CA1128" s="128"/>
      <c r="CB1128" s="128"/>
      <c r="CC1128" s="128"/>
      <c r="CD1128" s="128"/>
      <c r="CE1128" s="128"/>
      <c r="CF1128" s="128"/>
      <c r="CG1128" s="128"/>
      <c r="CH1128" s="128"/>
      <c r="CI1128" s="128"/>
      <c r="CJ1128" s="128"/>
      <c r="CK1128" s="128"/>
      <c r="CL1128" s="128"/>
      <c r="CM1128" s="128"/>
      <c r="CN1128" s="128"/>
      <c r="CO1128" s="128"/>
      <c r="CP1128" s="128"/>
      <c r="CQ1128" s="128"/>
      <c r="CR1128" s="128"/>
      <c r="CS1128" s="128"/>
      <c r="CT1128" s="128"/>
      <c r="CU1128" s="128"/>
      <c r="CV1128" s="128"/>
      <c r="CW1128" s="128"/>
      <c r="CX1128" s="128"/>
      <c r="CY1128" s="128"/>
      <c r="CZ1128" s="128"/>
    </row>
    <row r="1129" spans="1:104">
      <c r="A1129" s="128"/>
      <c r="B1129" s="128"/>
      <c r="C1129" s="128"/>
      <c r="D1129" s="112"/>
      <c r="E1129" s="128"/>
      <c r="F1129" s="128"/>
      <c r="G1129" s="128"/>
      <c r="H1129" s="128"/>
      <c r="I1129" s="128"/>
      <c r="J1129" s="128"/>
      <c r="K1129" s="128"/>
      <c r="L1129" s="128"/>
      <c r="M1129" s="128"/>
      <c r="N1129" s="128"/>
      <c r="O1129" s="128"/>
      <c r="P1129" s="128"/>
      <c r="Q1129" s="128"/>
      <c r="R1129" s="128"/>
      <c r="S1129" s="128"/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  <c r="AV1129" s="128"/>
      <c r="AW1129" s="128"/>
      <c r="AX1129" s="128"/>
      <c r="AY1129" s="128"/>
      <c r="AZ1129" s="128"/>
      <c r="BA1129" s="128"/>
      <c r="BB1129" s="128"/>
      <c r="BC1129" s="128"/>
      <c r="BD1129" s="128"/>
      <c r="BE1129" s="128"/>
      <c r="BF1129" s="128"/>
      <c r="BG1129" s="128"/>
      <c r="BH1129" s="128"/>
      <c r="BI1129" s="128"/>
      <c r="BJ1129" s="128"/>
      <c r="BK1129" s="128"/>
      <c r="BL1129" s="128"/>
      <c r="BM1129" s="151"/>
      <c r="BN1129" s="128"/>
      <c r="BO1129" s="128"/>
      <c r="BP1129" s="128"/>
      <c r="BQ1129" s="128"/>
      <c r="BR1129" s="128"/>
      <c r="BS1129" s="128"/>
      <c r="BT1129" s="128"/>
      <c r="BU1129" s="128"/>
      <c r="BV1129" s="128"/>
      <c r="BW1129" s="128"/>
      <c r="BX1129" s="128"/>
      <c r="BY1129" s="128"/>
      <c r="BZ1129" s="128"/>
      <c r="CA1129" s="128"/>
      <c r="CB1129" s="128"/>
      <c r="CC1129" s="128"/>
      <c r="CD1129" s="128"/>
      <c r="CE1129" s="128"/>
      <c r="CF1129" s="128"/>
      <c r="CG1129" s="128"/>
      <c r="CH1129" s="128"/>
      <c r="CI1129" s="128"/>
      <c r="CJ1129" s="128"/>
      <c r="CK1129" s="128"/>
      <c r="CL1129" s="128"/>
      <c r="CM1129" s="128"/>
      <c r="CN1129" s="128"/>
      <c r="CO1129" s="128"/>
      <c r="CP1129" s="128"/>
      <c r="CQ1129" s="128"/>
      <c r="CR1129" s="128"/>
      <c r="CS1129" s="128"/>
      <c r="CT1129" s="128"/>
      <c r="CU1129" s="128"/>
      <c r="CV1129" s="128"/>
      <c r="CW1129" s="128"/>
      <c r="CX1129" s="128"/>
      <c r="CY1129" s="128"/>
      <c r="CZ1129" s="128"/>
    </row>
    <row r="1130" spans="1:104">
      <c r="A1130" s="128"/>
      <c r="B1130" s="128"/>
      <c r="C1130" s="128"/>
      <c r="D1130" s="112"/>
      <c r="E1130" s="128"/>
      <c r="F1130" s="128"/>
      <c r="G1130" s="128"/>
      <c r="H1130" s="128"/>
      <c r="I1130" s="128"/>
      <c r="J1130" s="128"/>
      <c r="K1130" s="128"/>
      <c r="L1130" s="128"/>
      <c r="M1130" s="128"/>
      <c r="N1130" s="128"/>
      <c r="O1130" s="128"/>
      <c r="P1130" s="128"/>
      <c r="Q1130" s="128"/>
      <c r="R1130" s="128"/>
      <c r="S1130" s="128"/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  <c r="AV1130" s="128"/>
      <c r="AW1130" s="128"/>
      <c r="AX1130" s="128"/>
      <c r="AY1130" s="128"/>
      <c r="AZ1130" s="128"/>
      <c r="BA1130" s="128"/>
      <c r="BB1130" s="128"/>
      <c r="BC1130" s="128"/>
      <c r="BD1130" s="128"/>
      <c r="BE1130" s="128"/>
      <c r="BF1130" s="128"/>
      <c r="BG1130" s="128"/>
      <c r="BH1130" s="128"/>
      <c r="BI1130" s="128"/>
      <c r="BJ1130" s="128"/>
      <c r="BK1130" s="128"/>
      <c r="BL1130" s="128"/>
      <c r="BM1130" s="151"/>
      <c r="BN1130" s="128"/>
      <c r="BO1130" s="128"/>
      <c r="BP1130" s="128"/>
      <c r="BQ1130" s="128"/>
      <c r="BR1130" s="128"/>
      <c r="BS1130" s="128"/>
      <c r="BT1130" s="128"/>
      <c r="BU1130" s="128"/>
      <c r="BV1130" s="128"/>
      <c r="BW1130" s="128"/>
      <c r="BX1130" s="128"/>
      <c r="BY1130" s="128"/>
      <c r="BZ1130" s="128"/>
      <c r="CA1130" s="128"/>
      <c r="CB1130" s="128"/>
      <c r="CC1130" s="128"/>
      <c r="CD1130" s="128"/>
      <c r="CE1130" s="128"/>
      <c r="CF1130" s="128"/>
      <c r="CG1130" s="128"/>
      <c r="CH1130" s="128"/>
      <c r="CI1130" s="128"/>
      <c r="CJ1130" s="128"/>
      <c r="CK1130" s="128"/>
      <c r="CL1130" s="128"/>
      <c r="CM1130" s="128"/>
      <c r="CN1130" s="128"/>
      <c r="CO1130" s="128"/>
      <c r="CP1130" s="128"/>
      <c r="CQ1130" s="128"/>
      <c r="CR1130" s="128"/>
      <c r="CS1130" s="128"/>
      <c r="CT1130" s="128"/>
      <c r="CU1130" s="128"/>
      <c r="CV1130" s="128"/>
      <c r="CW1130" s="128"/>
      <c r="CX1130" s="128"/>
      <c r="CY1130" s="128"/>
      <c r="CZ1130" s="128"/>
    </row>
    <row r="1131" spans="1:104">
      <c r="A1131" s="128"/>
      <c r="B1131" s="128"/>
      <c r="C1131" s="128"/>
      <c r="D1131" s="112"/>
      <c r="E1131" s="128"/>
      <c r="F1131" s="128"/>
      <c r="G1131" s="128"/>
      <c r="H1131" s="128"/>
      <c r="I1131" s="128"/>
      <c r="J1131" s="128"/>
      <c r="K1131" s="128"/>
      <c r="L1131" s="128"/>
      <c r="M1131" s="128"/>
      <c r="N1131" s="128"/>
      <c r="O1131" s="128"/>
      <c r="P1131" s="128"/>
      <c r="Q1131" s="128"/>
      <c r="R1131" s="128"/>
      <c r="S1131" s="128"/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  <c r="AV1131" s="128"/>
      <c r="AW1131" s="128"/>
      <c r="AX1131" s="128"/>
      <c r="AY1131" s="128"/>
      <c r="AZ1131" s="128"/>
      <c r="BA1131" s="128"/>
      <c r="BB1131" s="128"/>
      <c r="BC1131" s="128"/>
      <c r="BD1131" s="128"/>
      <c r="BE1131" s="128"/>
      <c r="BF1131" s="128"/>
      <c r="BG1131" s="128"/>
      <c r="BH1131" s="128"/>
      <c r="BI1131" s="128"/>
      <c r="BJ1131" s="128"/>
      <c r="BK1131" s="128"/>
      <c r="BL1131" s="128"/>
      <c r="BM1131" s="151"/>
      <c r="BN1131" s="128"/>
      <c r="BO1131" s="128"/>
      <c r="BP1131" s="128"/>
      <c r="BQ1131" s="128"/>
      <c r="BR1131" s="128"/>
      <c r="BS1131" s="128"/>
      <c r="BT1131" s="128"/>
      <c r="BU1131" s="128"/>
      <c r="BV1131" s="128"/>
      <c r="BW1131" s="128"/>
      <c r="BX1131" s="128"/>
      <c r="BY1131" s="128"/>
      <c r="BZ1131" s="128"/>
      <c r="CA1131" s="128"/>
      <c r="CB1131" s="128"/>
      <c r="CC1131" s="128"/>
      <c r="CD1131" s="128"/>
      <c r="CE1131" s="128"/>
      <c r="CF1131" s="128"/>
      <c r="CG1131" s="128"/>
      <c r="CH1131" s="128"/>
      <c r="CI1131" s="128"/>
      <c r="CJ1131" s="128"/>
      <c r="CK1131" s="128"/>
      <c r="CL1131" s="128"/>
      <c r="CM1131" s="128"/>
      <c r="CN1131" s="128"/>
      <c r="CO1131" s="128"/>
      <c r="CP1131" s="128"/>
      <c r="CQ1131" s="128"/>
      <c r="CR1131" s="128"/>
      <c r="CS1131" s="128"/>
      <c r="CT1131" s="128"/>
      <c r="CU1131" s="128"/>
      <c r="CV1131" s="128"/>
      <c r="CW1131" s="128"/>
      <c r="CX1131" s="128"/>
      <c r="CY1131" s="128"/>
      <c r="CZ1131" s="128"/>
    </row>
    <row r="1132" spans="1:104">
      <c r="A1132" s="128"/>
      <c r="B1132" s="128"/>
      <c r="C1132" s="128"/>
      <c r="D1132" s="112"/>
      <c r="E1132" s="128"/>
      <c r="F1132" s="128"/>
      <c r="G1132" s="128"/>
      <c r="H1132" s="128"/>
      <c r="I1132" s="128"/>
      <c r="J1132" s="128"/>
      <c r="K1132" s="128"/>
      <c r="L1132" s="128"/>
      <c r="M1132" s="128"/>
      <c r="N1132" s="128"/>
      <c r="O1132" s="128"/>
      <c r="P1132" s="128"/>
      <c r="Q1132" s="128"/>
      <c r="R1132" s="128"/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  <c r="AV1132" s="128"/>
      <c r="AW1132" s="128"/>
      <c r="AX1132" s="128"/>
      <c r="AY1132" s="128"/>
      <c r="AZ1132" s="128"/>
      <c r="BA1132" s="128"/>
      <c r="BB1132" s="128"/>
      <c r="BC1132" s="128"/>
      <c r="BD1132" s="128"/>
      <c r="BE1132" s="128"/>
      <c r="BF1132" s="128"/>
      <c r="BG1132" s="128"/>
      <c r="BH1132" s="128"/>
      <c r="BI1132" s="128"/>
      <c r="BJ1132" s="128"/>
      <c r="BK1132" s="128"/>
      <c r="BL1132" s="128"/>
      <c r="BM1132" s="151"/>
      <c r="BN1132" s="128"/>
      <c r="BO1132" s="128"/>
      <c r="BP1132" s="128"/>
      <c r="BQ1132" s="128"/>
      <c r="BR1132" s="128"/>
      <c r="BS1132" s="128"/>
      <c r="BT1132" s="128"/>
      <c r="BU1132" s="128"/>
      <c r="BV1132" s="128"/>
      <c r="BW1132" s="128"/>
      <c r="BX1132" s="128"/>
      <c r="BY1132" s="128"/>
      <c r="BZ1132" s="128"/>
      <c r="CA1132" s="128"/>
      <c r="CB1132" s="128"/>
      <c r="CC1132" s="128"/>
      <c r="CD1132" s="128"/>
      <c r="CE1132" s="128"/>
      <c r="CF1132" s="128"/>
      <c r="CG1132" s="128"/>
      <c r="CH1132" s="128"/>
      <c r="CI1132" s="128"/>
      <c r="CJ1132" s="128"/>
      <c r="CK1132" s="128"/>
      <c r="CL1132" s="128"/>
      <c r="CM1132" s="128"/>
      <c r="CN1132" s="128"/>
      <c r="CO1132" s="128"/>
      <c r="CP1132" s="128"/>
      <c r="CQ1132" s="128"/>
      <c r="CR1132" s="128"/>
      <c r="CS1132" s="128"/>
      <c r="CT1132" s="128"/>
      <c r="CU1132" s="128"/>
      <c r="CV1132" s="128"/>
      <c r="CW1132" s="128"/>
      <c r="CX1132" s="128"/>
      <c r="CY1132" s="128"/>
      <c r="CZ1132" s="128"/>
    </row>
    <row r="1133" spans="1:104">
      <c r="A1133" s="128"/>
      <c r="B1133" s="128"/>
      <c r="C1133" s="128"/>
      <c r="D1133" s="112"/>
      <c r="E1133" s="128"/>
      <c r="F1133" s="128"/>
      <c r="G1133" s="128"/>
      <c r="H1133" s="128"/>
      <c r="I1133" s="128"/>
      <c r="J1133" s="128"/>
      <c r="K1133" s="128"/>
      <c r="L1133" s="128"/>
      <c r="M1133" s="128"/>
      <c r="N1133" s="128"/>
      <c r="O1133" s="128"/>
      <c r="P1133" s="128"/>
      <c r="Q1133" s="128"/>
      <c r="R1133" s="128"/>
      <c r="S1133" s="128"/>
      <c r="T1133" s="128"/>
      <c r="U1133" s="128"/>
      <c r="V1133" s="128"/>
      <c r="W1133" s="128"/>
      <c r="X1133" s="128"/>
      <c r="Y1133" s="128"/>
      <c r="Z1133" s="128"/>
      <c r="AA1133" s="128"/>
      <c r="AB1133" s="128"/>
      <c r="AC1133" s="128"/>
      <c r="AD1133" s="128"/>
      <c r="AE1133" s="128"/>
      <c r="AF1133" s="128"/>
      <c r="AG1133" s="128"/>
      <c r="AH1133" s="128"/>
      <c r="AI1133" s="128"/>
      <c r="AJ1133" s="128"/>
      <c r="AK1133" s="128"/>
      <c r="AL1133" s="128"/>
      <c r="AM1133" s="128"/>
      <c r="AN1133" s="128"/>
      <c r="AO1133" s="128"/>
      <c r="AP1133" s="128"/>
      <c r="AQ1133" s="128"/>
      <c r="AR1133" s="128"/>
      <c r="AS1133" s="128"/>
      <c r="AT1133" s="128"/>
      <c r="AU1133" s="128"/>
      <c r="AV1133" s="128"/>
      <c r="AW1133" s="128"/>
      <c r="AX1133" s="128"/>
      <c r="AY1133" s="128"/>
      <c r="AZ1133" s="128"/>
      <c r="BA1133" s="128"/>
      <c r="BB1133" s="128"/>
      <c r="BC1133" s="128"/>
      <c r="BD1133" s="128"/>
      <c r="BE1133" s="128"/>
      <c r="BF1133" s="128"/>
      <c r="BG1133" s="128"/>
      <c r="BH1133" s="128"/>
      <c r="BI1133" s="128"/>
      <c r="BJ1133" s="128"/>
      <c r="BK1133" s="128"/>
      <c r="BL1133" s="128"/>
      <c r="BM1133" s="151"/>
      <c r="BN1133" s="128"/>
      <c r="BO1133" s="128"/>
      <c r="BP1133" s="128"/>
      <c r="BQ1133" s="128"/>
      <c r="BR1133" s="128"/>
      <c r="BS1133" s="128"/>
      <c r="BT1133" s="128"/>
      <c r="BU1133" s="128"/>
      <c r="BV1133" s="128"/>
      <c r="BW1133" s="128"/>
      <c r="BX1133" s="128"/>
      <c r="BY1133" s="128"/>
      <c r="BZ1133" s="128"/>
      <c r="CA1133" s="128"/>
      <c r="CB1133" s="128"/>
      <c r="CC1133" s="128"/>
      <c r="CD1133" s="128"/>
      <c r="CE1133" s="128"/>
      <c r="CF1133" s="128"/>
      <c r="CG1133" s="128"/>
      <c r="CH1133" s="128"/>
      <c r="CI1133" s="128"/>
      <c r="CJ1133" s="128"/>
      <c r="CK1133" s="128"/>
      <c r="CL1133" s="128"/>
      <c r="CM1133" s="128"/>
      <c r="CN1133" s="128"/>
      <c r="CO1133" s="128"/>
      <c r="CP1133" s="128"/>
      <c r="CQ1133" s="128"/>
      <c r="CR1133" s="128"/>
      <c r="CS1133" s="128"/>
      <c r="CT1133" s="128"/>
      <c r="CU1133" s="128"/>
      <c r="CV1133" s="128"/>
      <c r="CW1133" s="128"/>
      <c r="CX1133" s="128"/>
      <c r="CY1133" s="128"/>
      <c r="CZ1133" s="128"/>
    </row>
    <row r="1134" spans="1:104">
      <c r="A1134" s="128"/>
      <c r="B1134" s="128"/>
      <c r="C1134" s="128"/>
      <c r="D1134" s="112"/>
      <c r="E1134" s="128"/>
      <c r="F1134" s="128"/>
      <c r="G1134" s="128"/>
      <c r="H1134" s="128"/>
      <c r="I1134" s="128"/>
      <c r="J1134" s="128"/>
      <c r="K1134" s="128"/>
      <c r="L1134" s="128"/>
      <c r="M1134" s="128"/>
      <c r="N1134" s="128"/>
      <c r="O1134" s="128"/>
      <c r="P1134" s="128"/>
      <c r="Q1134" s="128"/>
      <c r="R1134" s="128"/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  <c r="AV1134" s="128"/>
      <c r="AW1134" s="128"/>
      <c r="AX1134" s="128"/>
      <c r="AY1134" s="128"/>
      <c r="AZ1134" s="128"/>
      <c r="BA1134" s="128"/>
      <c r="BB1134" s="128"/>
      <c r="BC1134" s="128"/>
      <c r="BD1134" s="128"/>
      <c r="BE1134" s="128"/>
      <c r="BF1134" s="128"/>
      <c r="BG1134" s="128"/>
      <c r="BH1134" s="128"/>
      <c r="BI1134" s="128"/>
      <c r="BJ1134" s="128"/>
      <c r="BK1134" s="128"/>
      <c r="BL1134" s="128"/>
      <c r="BM1134" s="151"/>
      <c r="BN1134" s="128"/>
      <c r="BO1134" s="128"/>
      <c r="BP1134" s="128"/>
      <c r="BQ1134" s="128"/>
      <c r="BR1134" s="128"/>
      <c r="BS1134" s="128"/>
      <c r="BT1134" s="128"/>
      <c r="BU1134" s="128"/>
      <c r="BV1134" s="128"/>
      <c r="BW1134" s="128"/>
      <c r="BX1134" s="128"/>
      <c r="BY1134" s="128"/>
      <c r="BZ1134" s="128"/>
      <c r="CA1134" s="128"/>
      <c r="CB1134" s="128"/>
      <c r="CC1134" s="128"/>
      <c r="CD1134" s="128"/>
      <c r="CE1134" s="128"/>
      <c r="CF1134" s="128"/>
      <c r="CG1134" s="128"/>
      <c r="CH1134" s="128"/>
      <c r="CI1134" s="128"/>
      <c r="CJ1134" s="128"/>
      <c r="CK1134" s="128"/>
      <c r="CL1134" s="128"/>
      <c r="CM1134" s="128"/>
      <c r="CN1134" s="128"/>
      <c r="CO1134" s="128"/>
      <c r="CP1134" s="128"/>
      <c r="CQ1134" s="128"/>
      <c r="CR1134" s="128"/>
      <c r="CS1134" s="128"/>
      <c r="CT1134" s="128"/>
      <c r="CU1134" s="128"/>
      <c r="CV1134" s="128"/>
      <c r="CW1134" s="128"/>
      <c r="CX1134" s="128"/>
      <c r="CY1134" s="128"/>
      <c r="CZ1134" s="128"/>
    </row>
    <row r="1135" spans="1:104">
      <c r="A1135" s="128"/>
      <c r="B1135" s="128"/>
      <c r="C1135" s="128"/>
      <c r="D1135" s="112"/>
      <c r="E1135" s="128"/>
      <c r="F1135" s="128"/>
      <c r="G1135" s="128"/>
      <c r="H1135" s="128"/>
      <c r="I1135" s="128"/>
      <c r="J1135" s="128"/>
      <c r="K1135" s="128"/>
      <c r="L1135" s="128"/>
      <c r="M1135" s="128"/>
      <c r="N1135" s="128"/>
      <c r="O1135" s="128"/>
      <c r="P1135" s="128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51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</row>
    <row r="1136" spans="1:104">
      <c r="A1136" s="128"/>
      <c r="B1136" s="128"/>
      <c r="C1136" s="128"/>
      <c r="D1136" s="112"/>
      <c r="E1136" s="128"/>
      <c r="F1136" s="128"/>
      <c r="G1136" s="128"/>
      <c r="H1136" s="128"/>
      <c r="I1136" s="128"/>
      <c r="J1136" s="128"/>
      <c r="K1136" s="128"/>
      <c r="L1136" s="128"/>
      <c r="M1136" s="128"/>
      <c r="N1136" s="128"/>
      <c r="O1136" s="128"/>
      <c r="P1136" s="128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51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</row>
    <row r="1137" spans="1:104">
      <c r="A1137" s="128"/>
      <c r="B1137" s="128"/>
      <c r="C1137" s="128"/>
      <c r="D1137" s="112"/>
      <c r="E1137" s="128"/>
      <c r="F1137" s="128"/>
      <c r="G1137" s="128"/>
      <c r="H1137" s="128"/>
      <c r="I1137" s="128"/>
      <c r="J1137" s="128"/>
      <c r="K1137" s="128"/>
      <c r="L1137" s="128"/>
      <c r="M1137" s="128"/>
      <c r="N1137" s="128"/>
      <c r="O1137" s="128"/>
      <c r="P1137" s="128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51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</row>
    <row r="1138" spans="1:104">
      <c r="A1138" s="128"/>
      <c r="B1138" s="128"/>
      <c r="C1138" s="128"/>
      <c r="D1138" s="112"/>
      <c r="E1138" s="128"/>
      <c r="F1138" s="128"/>
      <c r="G1138" s="128"/>
      <c r="H1138" s="128"/>
      <c r="I1138" s="128"/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51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</row>
    <row r="1139" spans="1:104">
      <c r="A1139" s="128"/>
      <c r="B1139" s="128"/>
      <c r="C1139" s="128"/>
      <c r="D1139" s="112"/>
      <c r="E1139" s="128"/>
      <c r="F1139" s="128"/>
      <c r="G1139" s="128"/>
      <c r="H1139" s="128"/>
      <c r="I1139" s="128"/>
      <c r="J1139" s="128"/>
      <c r="K1139" s="128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51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</row>
    <row r="1140" spans="1:104">
      <c r="A1140" s="128"/>
      <c r="B1140" s="128"/>
      <c r="C1140" s="128"/>
      <c r="D1140" s="112"/>
      <c r="E1140" s="128"/>
      <c r="F1140" s="128"/>
      <c r="G1140" s="128"/>
      <c r="H1140" s="128"/>
      <c r="I1140" s="128"/>
      <c r="J1140" s="128"/>
      <c r="K1140" s="128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51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</row>
    <row r="1141" spans="1:104">
      <c r="A1141" s="128"/>
      <c r="B1141" s="128"/>
      <c r="C1141" s="128"/>
      <c r="D1141" s="112"/>
      <c r="E1141" s="128"/>
      <c r="F1141" s="128"/>
      <c r="G1141" s="128"/>
      <c r="H1141" s="128"/>
      <c r="I1141" s="128"/>
      <c r="J1141" s="128"/>
      <c r="K1141" s="128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51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</row>
    <row r="1142" spans="1:104">
      <c r="A1142" s="128"/>
      <c r="B1142" s="128"/>
      <c r="C1142" s="128"/>
      <c r="D1142" s="112"/>
      <c r="E1142" s="128"/>
      <c r="F1142" s="128"/>
      <c r="G1142" s="128"/>
      <c r="H1142" s="128"/>
      <c r="I1142" s="128"/>
      <c r="J1142" s="128"/>
      <c r="K1142" s="128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51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  <c r="CC1142" s="128"/>
      <c r="CD1142" s="128"/>
      <c r="CE1142" s="128"/>
      <c r="CF1142" s="128"/>
      <c r="CG1142" s="128"/>
      <c r="CH1142" s="128"/>
      <c r="CI1142" s="128"/>
      <c r="CJ1142" s="128"/>
      <c r="CK1142" s="128"/>
      <c r="CL1142" s="128"/>
      <c r="CM1142" s="128"/>
      <c r="CN1142" s="128"/>
      <c r="CO1142" s="128"/>
      <c r="CP1142" s="128"/>
      <c r="CQ1142" s="128"/>
      <c r="CR1142" s="128"/>
      <c r="CS1142" s="128"/>
      <c r="CT1142" s="128"/>
      <c r="CU1142" s="128"/>
      <c r="CV1142" s="128"/>
      <c r="CW1142" s="128"/>
      <c r="CX1142" s="128"/>
      <c r="CY1142" s="128"/>
      <c r="CZ1142" s="128"/>
    </row>
    <row r="1143" spans="1:104">
      <c r="A1143" s="128"/>
      <c r="B1143" s="128"/>
      <c r="C1143" s="128"/>
      <c r="D1143" s="112"/>
      <c r="E1143" s="128"/>
      <c r="F1143" s="128"/>
      <c r="G1143" s="128"/>
      <c r="H1143" s="128"/>
      <c r="I1143" s="128"/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51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</row>
    <row r="1144" spans="1:104">
      <c r="A1144" s="128"/>
      <c r="B1144" s="128"/>
      <c r="C1144" s="128"/>
      <c r="D1144" s="112"/>
      <c r="E1144" s="128"/>
      <c r="F1144" s="128"/>
      <c r="G1144" s="128"/>
      <c r="H1144" s="128"/>
      <c r="I1144" s="128"/>
      <c r="J1144" s="128"/>
      <c r="K1144" s="128"/>
      <c r="L1144" s="128"/>
      <c r="M1144" s="128"/>
      <c r="N1144" s="128"/>
      <c r="O1144" s="128"/>
      <c r="P1144" s="128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51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</row>
    <row r="1145" spans="1:104">
      <c r="A1145" s="128"/>
      <c r="B1145" s="128"/>
      <c r="C1145" s="128"/>
      <c r="D1145" s="112"/>
      <c r="E1145" s="128"/>
      <c r="F1145" s="128"/>
      <c r="G1145" s="128"/>
      <c r="H1145" s="128"/>
      <c r="I1145" s="128"/>
      <c r="J1145" s="128"/>
      <c r="K1145" s="128"/>
      <c r="L1145" s="128"/>
      <c r="M1145" s="128"/>
      <c r="N1145" s="128"/>
      <c r="O1145" s="128"/>
      <c r="P1145" s="128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51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</row>
    <row r="1146" spans="1:104">
      <c r="A1146" s="128"/>
      <c r="B1146" s="128"/>
      <c r="C1146" s="128"/>
      <c r="D1146" s="112"/>
      <c r="E1146" s="128"/>
      <c r="F1146" s="128"/>
      <c r="G1146" s="128"/>
      <c r="H1146" s="128"/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51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</row>
    <row r="1147" spans="1:104">
      <c r="A1147" s="128"/>
      <c r="B1147" s="128"/>
      <c r="C1147" s="128"/>
      <c r="D1147" s="112"/>
      <c r="E1147" s="128"/>
      <c r="F1147" s="128"/>
      <c r="G1147" s="128"/>
      <c r="H1147" s="128"/>
      <c r="I1147" s="128"/>
      <c r="J1147" s="128"/>
      <c r="K1147" s="128"/>
      <c r="L1147" s="128"/>
      <c r="M1147" s="128"/>
      <c r="N1147" s="128"/>
      <c r="O1147" s="128"/>
      <c r="P1147" s="128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51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</row>
    <row r="1148" spans="1:104">
      <c r="A1148" s="128"/>
      <c r="B1148" s="128"/>
      <c r="C1148" s="128"/>
      <c r="D1148" s="112"/>
      <c r="E1148" s="128"/>
      <c r="F1148" s="128"/>
      <c r="G1148" s="128"/>
      <c r="H1148" s="128"/>
      <c r="I1148" s="128"/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51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</row>
    <row r="1149" spans="1:104">
      <c r="A1149" s="128"/>
      <c r="B1149" s="128"/>
      <c r="C1149" s="128"/>
      <c r="D1149" s="112"/>
      <c r="E1149" s="128"/>
      <c r="F1149" s="128"/>
      <c r="G1149" s="128"/>
      <c r="H1149" s="128"/>
      <c r="I1149" s="128"/>
      <c r="J1149" s="128"/>
      <c r="K1149" s="128"/>
      <c r="L1149" s="128"/>
      <c r="M1149" s="128"/>
      <c r="N1149" s="128"/>
      <c r="O1149" s="128"/>
      <c r="P1149" s="128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51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</row>
    <row r="1150" spans="1:104">
      <c r="A1150" s="128"/>
      <c r="B1150" s="128"/>
      <c r="C1150" s="128"/>
      <c r="D1150" s="112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51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</row>
    <row r="1151" spans="1:104">
      <c r="A1151" s="128"/>
      <c r="B1151" s="128"/>
      <c r="C1151" s="128"/>
      <c r="D1151" s="112"/>
      <c r="E1151" s="128"/>
      <c r="F1151" s="128"/>
      <c r="G1151" s="128"/>
      <c r="H1151" s="128"/>
      <c r="I1151" s="128"/>
      <c r="J1151" s="128"/>
      <c r="K1151" s="128"/>
      <c r="L1151" s="128"/>
      <c r="M1151" s="128"/>
      <c r="N1151" s="128"/>
      <c r="O1151" s="128"/>
      <c r="P1151" s="128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51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</row>
    <row r="1152" spans="1:104">
      <c r="A1152" s="128"/>
      <c r="B1152" s="128"/>
      <c r="C1152" s="128"/>
      <c r="D1152" s="112"/>
      <c r="E1152" s="128"/>
      <c r="F1152" s="128"/>
      <c r="G1152" s="128"/>
      <c r="H1152" s="128"/>
      <c r="I1152" s="128"/>
      <c r="J1152" s="128"/>
      <c r="K1152" s="128"/>
      <c r="L1152" s="128"/>
      <c r="M1152" s="128"/>
      <c r="N1152" s="128"/>
      <c r="O1152" s="128"/>
      <c r="P1152" s="128"/>
      <c r="Q1152" s="128"/>
      <c r="R1152" s="128"/>
      <c r="S1152" s="128"/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  <c r="AV1152" s="128"/>
      <c r="AW1152" s="128"/>
      <c r="AX1152" s="128"/>
      <c r="AY1152" s="128"/>
      <c r="AZ1152" s="128"/>
      <c r="BA1152" s="128"/>
      <c r="BB1152" s="128"/>
      <c r="BC1152" s="128"/>
      <c r="BD1152" s="128"/>
      <c r="BE1152" s="128"/>
      <c r="BF1152" s="128"/>
      <c r="BG1152" s="128"/>
      <c r="BH1152" s="128"/>
      <c r="BI1152" s="128"/>
      <c r="BJ1152" s="128"/>
      <c r="BK1152" s="128"/>
      <c r="BL1152" s="128"/>
      <c r="BM1152" s="151"/>
      <c r="BN1152" s="128"/>
      <c r="BO1152" s="128"/>
      <c r="BP1152" s="128"/>
      <c r="BQ1152" s="128"/>
      <c r="BR1152" s="128"/>
      <c r="BS1152" s="128"/>
      <c r="BT1152" s="128"/>
      <c r="BU1152" s="128"/>
      <c r="BV1152" s="128"/>
      <c r="BW1152" s="128"/>
      <c r="BX1152" s="128"/>
      <c r="BY1152" s="128"/>
      <c r="BZ1152" s="128"/>
      <c r="CA1152" s="128"/>
      <c r="CB1152" s="128"/>
      <c r="CC1152" s="128"/>
      <c r="CD1152" s="128"/>
      <c r="CE1152" s="128"/>
      <c r="CF1152" s="128"/>
      <c r="CG1152" s="128"/>
      <c r="CH1152" s="128"/>
      <c r="CI1152" s="128"/>
      <c r="CJ1152" s="128"/>
      <c r="CK1152" s="128"/>
      <c r="CL1152" s="128"/>
      <c r="CM1152" s="128"/>
      <c r="CN1152" s="128"/>
      <c r="CO1152" s="128"/>
      <c r="CP1152" s="128"/>
      <c r="CQ1152" s="128"/>
      <c r="CR1152" s="128"/>
      <c r="CS1152" s="128"/>
      <c r="CT1152" s="128"/>
      <c r="CU1152" s="128"/>
      <c r="CV1152" s="128"/>
      <c r="CW1152" s="128"/>
      <c r="CX1152" s="128"/>
      <c r="CY1152" s="128"/>
      <c r="CZ1152" s="128"/>
    </row>
    <row r="1153" spans="1:104">
      <c r="A1153" s="128"/>
      <c r="B1153" s="128"/>
      <c r="C1153" s="128"/>
      <c r="D1153" s="112"/>
      <c r="E1153" s="128"/>
      <c r="F1153" s="128"/>
      <c r="G1153" s="128"/>
      <c r="H1153" s="128"/>
      <c r="I1153" s="128"/>
      <c r="J1153" s="128"/>
      <c r="K1153" s="128"/>
      <c r="L1153" s="128"/>
      <c r="M1153" s="128"/>
      <c r="N1153" s="128"/>
      <c r="O1153" s="128"/>
      <c r="P1153" s="128"/>
      <c r="Q1153" s="128"/>
      <c r="R1153" s="128"/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  <c r="AV1153" s="128"/>
      <c r="AW1153" s="128"/>
      <c r="AX1153" s="128"/>
      <c r="AY1153" s="128"/>
      <c r="AZ1153" s="128"/>
      <c r="BA1153" s="128"/>
      <c r="BB1153" s="128"/>
      <c r="BC1153" s="128"/>
      <c r="BD1153" s="128"/>
      <c r="BE1153" s="128"/>
      <c r="BF1153" s="128"/>
      <c r="BG1153" s="128"/>
      <c r="BH1153" s="128"/>
      <c r="BI1153" s="128"/>
      <c r="BJ1153" s="128"/>
      <c r="BK1153" s="128"/>
      <c r="BL1153" s="128"/>
      <c r="BM1153" s="151"/>
      <c r="BN1153" s="128"/>
      <c r="BO1153" s="128"/>
      <c r="BP1153" s="128"/>
      <c r="BQ1153" s="128"/>
      <c r="BR1153" s="128"/>
      <c r="BS1153" s="128"/>
      <c r="BT1153" s="128"/>
      <c r="BU1153" s="128"/>
      <c r="BV1153" s="128"/>
      <c r="BW1153" s="128"/>
      <c r="BX1153" s="128"/>
      <c r="BY1153" s="128"/>
      <c r="BZ1153" s="128"/>
      <c r="CA1153" s="128"/>
      <c r="CB1153" s="128"/>
      <c r="CC1153" s="128"/>
      <c r="CD1153" s="128"/>
      <c r="CE1153" s="128"/>
      <c r="CF1153" s="128"/>
      <c r="CG1153" s="128"/>
      <c r="CH1153" s="128"/>
      <c r="CI1153" s="128"/>
      <c r="CJ1153" s="128"/>
      <c r="CK1153" s="128"/>
      <c r="CL1153" s="128"/>
      <c r="CM1153" s="128"/>
      <c r="CN1153" s="128"/>
      <c r="CO1153" s="128"/>
      <c r="CP1153" s="128"/>
      <c r="CQ1153" s="128"/>
      <c r="CR1153" s="128"/>
      <c r="CS1153" s="128"/>
      <c r="CT1153" s="128"/>
      <c r="CU1153" s="128"/>
      <c r="CV1153" s="128"/>
      <c r="CW1153" s="128"/>
      <c r="CX1153" s="128"/>
      <c r="CY1153" s="128"/>
      <c r="CZ1153" s="128"/>
    </row>
    <row r="1154" spans="1:104">
      <c r="A1154" s="128"/>
      <c r="B1154" s="128"/>
      <c r="C1154" s="128"/>
      <c r="D1154" s="112"/>
      <c r="E1154" s="128"/>
      <c r="F1154" s="128"/>
      <c r="G1154" s="128"/>
      <c r="H1154" s="128"/>
      <c r="I1154" s="128"/>
      <c r="J1154" s="128"/>
      <c r="K1154" s="128"/>
      <c r="L1154" s="128"/>
      <c r="M1154" s="128"/>
      <c r="N1154" s="128"/>
      <c r="O1154" s="128"/>
      <c r="P1154" s="128"/>
      <c r="Q1154" s="128"/>
      <c r="R1154" s="128"/>
      <c r="S1154" s="128"/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  <c r="AV1154" s="128"/>
      <c r="AW1154" s="128"/>
      <c r="AX1154" s="128"/>
      <c r="AY1154" s="128"/>
      <c r="AZ1154" s="128"/>
      <c r="BA1154" s="128"/>
      <c r="BB1154" s="128"/>
      <c r="BC1154" s="128"/>
      <c r="BD1154" s="128"/>
      <c r="BE1154" s="128"/>
      <c r="BF1154" s="128"/>
      <c r="BG1154" s="128"/>
      <c r="BH1154" s="128"/>
      <c r="BI1154" s="128"/>
      <c r="BJ1154" s="128"/>
      <c r="BK1154" s="128"/>
      <c r="BL1154" s="128"/>
      <c r="BM1154" s="151"/>
      <c r="BN1154" s="128"/>
      <c r="BO1154" s="128"/>
      <c r="BP1154" s="128"/>
      <c r="BQ1154" s="128"/>
      <c r="BR1154" s="128"/>
      <c r="BS1154" s="128"/>
      <c r="BT1154" s="128"/>
      <c r="BU1154" s="128"/>
      <c r="BV1154" s="128"/>
      <c r="BW1154" s="128"/>
      <c r="BX1154" s="128"/>
      <c r="BY1154" s="128"/>
      <c r="BZ1154" s="128"/>
      <c r="CA1154" s="128"/>
      <c r="CB1154" s="128"/>
      <c r="CC1154" s="128"/>
      <c r="CD1154" s="128"/>
      <c r="CE1154" s="128"/>
      <c r="CF1154" s="128"/>
      <c r="CG1154" s="128"/>
      <c r="CH1154" s="128"/>
      <c r="CI1154" s="128"/>
      <c r="CJ1154" s="128"/>
      <c r="CK1154" s="128"/>
      <c r="CL1154" s="128"/>
      <c r="CM1154" s="128"/>
      <c r="CN1154" s="128"/>
      <c r="CO1154" s="128"/>
      <c r="CP1154" s="128"/>
      <c r="CQ1154" s="128"/>
      <c r="CR1154" s="128"/>
      <c r="CS1154" s="128"/>
      <c r="CT1154" s="128"/>
      <c r="CU1154" s="128"/>
      <c r="CV1154" s="128"/>
      <c r="CW1154" s="128"/>
      <c r="CX1154" s="128"/>
      <c r="CY1154" s="128"/>
      <c r="CZ1154" s="128"/>
    </row>
    <row r="1155" spans="1:104">
      <c r="A1155" s="128"/>
      <c r="B1155" s="128"/>
      <c r="C1155" s="128"/>
      <c r="D1155" s="112"/>
      <c r="E1155" s="128"/>
      <c r="F1155" s="128"/>
      <c r="G1155" s="128"/>
      <c r="H1155" s="128"/>
      <c r="I1155" s="128"/>
      <c r="J1155" s="128"/>
      <c r="K1155" s="128"/>
      <c r="L1155" s="128"/>
      <c r="M1155" s="128"/>
      <c r="N1155" s="128"/>
      <c r="O1155" s="128"/>
      <c r="P1155" s="128"/>
      <c r="Q1155" s="128"/>
      <c r="R1155" s="128"/>
      <c r="S1155" s="128"/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  <c r="AV1155" s="128"/>
      <c r="AW1155" s="128"/>
      <c r="AX1155" s="128"/>
      <c r="AY1155" s="128"/>
      <c r="AZ1155" s="128"/>
      <c r="BA1155" s="128"/>
      <c r="BB1155" s="128"/>
      <c r="BC1155" s="128"/>
      <c r="BD1155" s="128"/>
      <c r="BE1155" s="128"/>
      <c r="BF1155" s="128"/>
      <c r="BG1155" s="128"/>
      <c r="BH1155" s="128"/>
      <c r="BI1155" s="128"/>
      <c r="BJ1155" s="128"/>
      <c r="BK1155" s="128"/>
      <c r="BL1155" s="128"/>
      <c r="BM1155" s="151"/>
      <c r="BN1155" s="128"/>
      <c r="BO1155" s="128"/>
      <c r="BP1155" s="128"/>
      <c r="BQ1155" s="128"/>
      <c r="BR1155" s="128"/>
      <c r="BS1155" s="128"/>
      <c r="BT1155" s="128"/>
      <c r="BU1155" s="128"/>
      <c r="BV1155" s="128"/>
      <c r="BW1155" s="128"/>
      <c r="BX1155" s="128"/>
      <c r="BY1155" s="128"/>
      <c r="BZ1155" s="128"/>
      <c r="CA1155" s="128"/>
      <c r="CB1155" s="128"/>
      <c r="CC1155" s="128"/>
      <c r="CD1155" s="128"/>
      <c r="CE1155" s="128"/>
      <c r="CF1155" s="128"/>
      <c r="CG1155" s="128"/>
      <c r="CH1155" s="128"/>
      <c r="CI1155" s="128"/>
      <c r="CJ1155" s="128"/>
      <c r="CK1155" s="128"/>
      <c r="CL1155" s="128"/>
      <c r="CM1155" s="128"/>
      <c r="CN1155" s="128"/>
      <c r="CO1155" s="128"/>
      <c r="CP1155" s="128"/>
      <c r="CQ1155" s="128"/>
      <c r="CR1155" s="128"/>
      <c r="CS1155" s="128"/>
      <c r="CT1155" s="128"/>
      <c r="CU1155" s="128"/>
      <c r="CV1155" s="128"/>
      <c r="CW1155" s="128"/>
      <c r="CX1155" s="128"/>
      <c r="CY1155" s="128"/>
      <c r="CZ1155" s="128"/>
    </row>
    <row r="1156" spans="1:104">
      <c r="A1156" s="128"/>
      <c r="B1156" s="128"/>
      <c r="C1156" s="128"/>
      <c r="D1156" s="112"/>
      <c r="E1156" s="128"/>
      <c r="F1156" s="128"/>
      <c r="G1156" s="128"/>
      <c r="H1156" s="128"/>
      <c r="I1156" s="128"/>
      <c r="J1156" s="128"/>
      <c r="K1156" s="128"/>
      <c r="L1156" s="128"/>
      <c r="M1156" s="128"/>
      <c r="N1156" s="128"/>
      <c r="O1156" s="128"/>
      <c r="P1156" s="128"/>
      <c r="Q1156" s="128"/>
      <c r="R1156" s="128"/>
      <c r="S1156" s="128"/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  <c r="AV1156" s="128"/>
      <c r="AW1156" s="128"/>
      <c r="AX1156" s="128"/>
      <c r="AY1156" s="128"/>
      <c r="AZ1156" s="128"/>
      <c r="BA1156" s="128"/>
      <c r="BB1156" s="128"/>
      <c r="BC1156" s="128"/>
      <c r="BD1156" s="128"/>
      <c r="BE1156" s="128"/>
      <c r="BF1156" s="128"/>
      <c r="BG1156" s="128"/>
      <c r="BH1156" s="128"/>
      <c r="BI1156" s="128"/>
      <c r="BJ1156" s="128"/>
      <c r="BK1156" s="128"/>
      <c r="BL1156" s="128"/>
      <c r="BM1156" s="151"/>
      <c r="BN1156" s="128"/>
      <c r="BO1156" s="128"/>
      <c r="BP1156" s="128"/>
      <c r="BQ1156" s="128"/>
      <c r="BR1156" s="128"/>
      <c r="BS1156" s="128"/>
      <c r="BT1156" s="128"/>
      <c r="BU1156" s="128"/>
      <c r="BV1156" s="128"/>
      <c r="BW1156" s="128"/>
      <c r="BX1156" s="128"/>
      <c r="BY1156" s="128"/>
      <c r="BZ1156" s="128"/>
      <c r="CA1156" s="128"/>
      <c r="CB1156" s="128"/>
      <c r="CC1156" s="128"/>
      <c r="CD1156" s="128"/>
      <c r="CE1156" s="128"/>
      <c r="CF1156" s="128"/>
      <c r="CG1156" s="128"/>
      <c r="CH1156" s="128"/>
      <c r="CI1156" s="128"/>
      <c r="CJ1156" s="128"/>
      <c r="CK1156" s="128"/>
      <c r="CL1156" s="128"/>
      <c r="CM1156" s="128"/>
      <c r="CN1156" s="128"/>
      <c r="CO1156" s="128"/>
      <c r="CP1156" s="128"/>
      <c r="CQ1156" s="128"/>
      <c r="CR1156" s="128"/>
      <c r="CS1156" s="128"/>
      <c r="CT1156" s="128"/>
      <c r="CU1156" s="128"/>
      <c r="CV1156" s="128"/>
      <c r="CW1156" s="128"/>
      <c r="CX1156" s="128"/>
      <c r="CY1156" s="128"/>
      <c r="CZ1156" s="128"/>
    </row>
    <row r="1157" spans="1:104">
      <c r="A1157" s="128"/>
      <c r="B1157" s="128"/>
      <c r="C1157" s="128"/>
      <c r="D1157" s="112"/>
      <c r="E1157" s="128"/>
      <c r="F1157" s="128"/>
      <c r="G1157" s="128"/>
      <c r="H1157" s="128"/>
      <c r="I1157" s="128"/>
      <c r="J1157" s="128"/>
      <c r="K1157" s="128"/>
      <c r="L1157" s="128"/>
      <c r="M1157" s="128"/>
      <c r="N1157" s="128"/>
      <c r="O1157" s="128"/>
      <c r="P1157" s="128"/>
      <c r="Q1157" s="128"/>
      <c r="R1157" s="128"/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  <c r="AV1157" s="128"/>
      <c r="AW1157" s="128"/>
      <c r="AX1157" s="128"/>
      <c r="AY1157" s="128"/>
      <c r="AZ1157" s="128"/>
      <c r="BA1157" s="128"/>
      <c r="BB1157" s="128"/>
      <c r="BC1157" s="128"/>
      <c r="BD1157" s="128"/>
      <c r="BE1157" s="128"/>
      <c r="BF1157" s="128"/>
      <c r="BG1157" s="128"/>
      <c r="BH1157" s="128"/>
      <c r="BI1157" s="128"/>
      <c r="BJ1157" s="128"/>
      <c r="BK1157" s="128"/>
      <c r="BL1157" s="128"/>
      <c r="BM1157" s="151"/>
      <c r="BN1157" s="128"/>
      <c r="BO1157" s="128"/>
      <c r="BP1157" s="128"/>
      <c r="BQ1157" s="128"/>
      <c r="BR1157" s="128"/>
      <c r="BS1157" s="128"/>
      <c r="BT1157" s="128"/>
      <c r="BU1157" s="128"/>
      <c r="BV1157" s="128"/>
      <c r="BW1157" s="128"/>
      <c r="BX1157" s="128"/>
      <c r="BY1157" s="128"/>
      <c r="BZ1157" s="128"/>
      <c r="CA1157" s="128"/>
      <c r="CB1157" s="128"/>
      <c r="CC1157" s="128"/>
      <c r="CD1157" s="128"/>
      <c r="CE1157" s="128"/>
      <c r="CF1157" s="128"/>
      <c r="CG1157" s="128"/>
      <c r="CH1157" s="128"/>
      <c r="CI1157" s="128"/>
      <c r="CJ1157" s="128"/>
      <c r="CK1157" s="128"/>
      <c r="CL1157" s="128"/>
      <c r="CM1157" s="128"/>
      <c r="CN1157" s="128"/>
      <c r="CO1157" s="128"/>
      <c r="CP1157" s="128"/>
      <c r="CQ1157" s="128"/>
      <c r="CR1157" s="128"/>
      <c r="CS1157" s="128"/>
      <c r="CT1157" s="128"/>
      <c r="CU1157" s="128"/>
      <c r="CV1157" s="128"/>
      <c r="CW1157" s="128"/>
      <c r="CX1157" s="128"/>
      <c r="CY1157" s="128"/>
      <c r="CZ1157" s="128"/>
    </row>
    <row r="1158" spans="1:104">
      <c r="A1158" s="128"/>
      <c r="B1158" s="128"/>
      <c r="C1158" s="128"/>
      <c r="D1158" s="112"/>
      <c r="E1158" s="128"/>
      <c r="F1158" s="128"/>
      <c r="G1158" s="128"/>
      <c r="H1158" s="128"/>
      <c r="I1158" s="128"/>
      <c r="J1158" s="128"/>
      <c r="K1158" s="128"/>
      <c r="L1158" s="128"/>
      <c r="M1158" s="128"/>
      <c r="N1158" s="128"/>
      <c r="O1158" s="128"/>
      <c r="P1158" s="128"/>
      <c r="Q1158" s="128"/>
      <c r="R1158" s="128"/>
      <c r="S1158" s="128"/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  <c r="AV1158" s="128"/>
      <c r="AW1158" s="128"/>
      <c r="AX1158" s="128"/>
      <c r="AY1158" s="128"/>
      <c r="AZ1158" s="128"/>
      <c r="BA1158" s="128"/>
      <c r="BB1158" s="128"/>
      <c r="BC1158" s="128"/>
      <c r="BD1158" s="128"/>
      <c r="BE1158" s="128"/>
      <c r="BF1158" s="128"/>
      <c r="BG1158" s="128"/>
      <c r="BH1158" s="128"/>
      <c r="BI1158" s="128"/>
      <c r="BJ1158" s="128"/>
      <c r="BK1158" s="128"/>
      <c r="BL1158" s="128"/>
      <c r="BM1158" s="151"/>
      <c r="BN1158" s="128"/>
      <c r="BO1158" s="128"/>
      <c r="BP1158" s="128"/>
      <c r="BQ1158" s="128"/>
      <c r="BR1158" s="128"/>
      <c r="BS1158" s="128"/>
      <c r="BT1158" s="128"/>
      <c r="BU1158" s="128"/>
      <c r="BV1158" s="128"/>
      <c r="BW1158" s="128"/>
      <c r="BX1158" s="128"/>
      <c r="BY1158" s="128"/>
      <c r="BZ1158" s="128"/>
      <c r="CA1158" s="128"/>
      <c r="CB1158" s="128"/>
      <c r="CC1158" s="128"/>
      <c r="CD1158" s="128"/>
      <c r="CE1158" s="128"/>
      <c r="CF1158" s="128"/>
      <c r="CG1158" s="128"/>
      <c r="CH1158" s="128"/>
      <c r="CI1158" s="128"/>
      <c r="CJ1158" s="128"/>
      <c r="CK1158" s="128"/>
      <c r="CL1158" s="128"/>
      <c r="CM1158" s="128"/>
      <c r="CN1158" s="128"/>
      <c r="CO1158" s="128"/>
      <c r="CP1158" s="128"/>
      <c r="CQ1158" s="128"/>
      <c r="CR1158" s="128"/>
      <c r="CS1158" s="128"/>
      <c r="CT1158" s="128"/>
      <c r="CU1158" s="128"/>
      <c r="CV1158" s="128"/>
      <c r="CW1158" s="128"/>
      <c r="CX1158" s="128"/>
      <c r="CY1158" s="128"/>
      <c r="CZ1158" s="128"/>
    </row>
    <row r="1159" spans="1:104">
      <c r="A1159" s="128"/>
      <c r="B1159" s="128"/>
      <c r="C1159" s="128"/>
      <c r="D1159" s="112"/>
      <c r="E1159" s="128"/>
      <c r="F1159" s="128"/>
      <c r="G1159" s="128"/>
      <c r="H1159" s="128"/>
      <c r="I1159" s="128"/>
      <c r="J1159" s="128"/>
      <c r="K1159" s="128"/>
      <c r="L1159" s="128"/>
      <c r="M1159" s="128"/>
      <c r="N1159" s="128"/>
      <c r="O1159" s="128"/>
      <c r="P1159" s="128"/>
      <c r="Q1159" s="128"/>
      <c r="R1159" s="128"/>
      <c r="S1159" s="128"/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  <c r="AV1159" s="128"/>
      <c r="AW1159" s="128"/>
      <c r="AX1159" s="128"/>
      <c r="AY1159" s="128"/>
      <c r="AZ1159" s="128"/>
      <c r="BA1159" s="128"/>
      <c r="BB1159" s="128"/>
      <c r="BC1159" s="128"/>
      <c r="BD1159" s="128"/>
      <c r="BE1159" s="128"/>
      <c r="BF1159" s="128"/>
      <c r="BG1159" s="128"/>
      <c r="BH1159" s="128"/>
      <c r="BI1159" s="128"/>
      <c r="BJ1159" s="128"/>
      <c r="BK1159" s="128"/>
      <c r="BL1159" s="128"/>
      <c r="BM1159" s="151"/>
      <c r="BN1159" s="128"/>
      <c r="BO1159" s="128"/>
      <c r="BP1159" s="128"/>
      <c r="BQ1159" s="128"/>
      <c r="BR1159" s="128"/>
      <c r="BS1159" s="128"/>
      <c r="BT1159" s="128"/>
      <c r="BU1159" s="128"/>
      <c r="BV1159" s="128"/>
      <c r="BW1159" s="128"/>
      <c r="BX1159" s="128"/>
      <c r="BY1159" s="128"/>
      <c r="BZ1159" s="128"/>
      <c r="CA1159" s="128"/>
      <c r="CB1159" s="128"/>
      <c r="CC1159" s="128"/>
      <c r="CD1159" s="128"/>
      <c r="CE1159" s="128"/>
      <c r="CF1159" s="128"/>
      <c r="CG1159" s="128"/>
      <c r="CH1159" s="128"/>
      <c r="CI1159" s="128"/>
      <c r="CJ1159" s="128"/>
      <c r="CK1159" s="128"/>
      <c r="CL1159" s="128"/>
      <c r="CM1159" s="128"/>
      <c r="CN1159" s="128"/>
      <c r="CO1159" s="128"/>
      <c r="CP1159" s="128"/>
      <c r="CQ1159" s="128"/>
      <c r="CR1159" s="128"/>
      <c r="CS1159" s="128"/>
      <c r="CT1159" s="128"/>
      <c r="CU1159" s="128"/>
      <c r="CV1159" s="128"/>
      <c r="CW1159" s="128"/>
      <c r="CX1159" s="128"/>
      <c r="CY1159" s="128"/>
      <c r="CZ1159" s="128"/>
    </row>
    <row r="1160" spans="1:104">
      <c r="A1160" s="128"/>
      <c r="B1160" s="128"/>
      <c r="C1160" s="128"/>
      <c r="D1160" s="112"/>
      <c r="E1160" s="128"/>
      <c r="F1160" s="128"/>
      <c r="G1160" s="128"/>
      <c r="H1160" s="128"/>
      <c r="I1160" s="128"/>
      <c r="J1160" s="128"/>
      <c r="K1160" s="128"/>
      <c r="L1160" s="128"/>
      <c r="M1160" s="128"/>
      <c r="N1160" s="128"/>
      <c r="O1160" s="128"/>
      <c r="P1160" s="128"/>
      <c r="Q1160" s="128"/>
      <c r="R1160" s="128"/>
      <c r="S1160" s="128"/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  <c r="AV1160" s="128"/>
      <c r="AW1160" s="128"/>
      <c r="AX1160" s="128"/>
      <c r="AY1160" s="128"/>
      <c r="AZ1160" s="128"/>
      <c r="BA1160" s="128"/>
      <c r="BB1160" s="128"/>
      <c r="BC1160" s="128"/>
      <c r="BD1160" s="128"/>
      <c r="BE1160" s="128"/>
      <c r="BF1160" s="128"/>
      <c r="BG1160" s="128"/>
      <c r="BH1160" s="128"/>
      <c r="BI1160" s="128"/>
      <c r="BJ1160" s="128"/>
      <c r="BK1160" s="128"/>
      <c r="BL1160" s="128"/>
      <c r="BM1160" s="151"/>
      <c r="BN1160" s="128"/>
      <c r="BO1160" s="128"/>
      <c r="BP1160" s="128"/>
      <c r="BQ1160" s="128"/>
      <c r="BR1160" s="128"/>
      <c r="BS1160" s="128"/>
      <c r="BT1160" s="128"/>
      <c r="BU1160" s="128"/>
      <c r="BV1160" s="128"/>
      <c r="BW1160" s="128"/>
      <c r="BX1160" s="128"/>
      <c r="BY1160" s="128"/>
      <c r="BZ1160" s="128"/>
      <c r="CA1160" s="128"/>
      <c r="CB1160" s="128"/>
      <c r="CC1160" s="128"/>
      <c r="CD1160" s="128"/>
      <c r="CE1160" s="128"/>
      <c r="CF1160" s="128"/>
      <c r="CG1160" s="128"/>
      <c r="CH1160" s="128"/>
      <c r="CI1160" s="128"/>
      <c r="CJ1160" s="128"/>
      <c r="CK1160" s="128"/>
      <c r="CL1160" s="128"/>
      <c r="CM1160" s="128"/>
      <c r="CN1160" s="128"/>
      <c r="CO1160" s="128"/>
      <c r="CP1160" s="128"/>
      <c r="CQ1160" s="128"/>
      <c r="CR1160" s="128"/>
      <c r="CS1160" s="128"/>
      <c r="CT1160" s="128"/>
      <c r="CU1160" s="128"/>
      <c r="CV1160" s="128"/>
      <c r="CW1160" s="128"/>
      <c r="CX1160" s="128"/>
      <c r="CY1160" s="128"/>
      <c r="CZ1160" s="128"/>
    </row>
    <row r="1161" spans="1:104">
      <c r="A1161" s="128"/>
      <c r="B1161" s="128"/>
      <c r="C1161" s="128"/>
      <c r="D1161" s="112"/>
      <c r="E1161" s="128"/>
      <c r="F1161" s="128"/>
      <c r="G1161" s="128"/>
      <c r="H1161" s="128"/>
      <c r="I1161" s="128"/>
      <c r="J1161" s="128"/>
      <c r="K1161" s="128"/>
      <c r="L1161" s="128"/>
      <c r="M1161" s="128"/>
      <c r="N1161" s="128"/>
      <c r="O1161" s="128"/>
      <c r="P1161" s="128"/>
      <c r="Q1161" s="128"/>
      <c r="R1161" s="128"/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  <c r="AV1161" s="128"/>
      <c r="AW1161" s="128"/>
      <c r="AX1161" s="128"/>
      <c r="AY1161" s="128"/>
      <c r="AZ1161" s="128"/>
      <c r="BA1161" s="128"/>
      <c r="BB1161" s="128"/>
      <c r="BC1161" s="128"/>
      <c r="BD1161" s="128"/>
      <c r="BE1161" s="128"/>
      <c r="BF1161" s="128"/>
      <c r="BG1161" s="128"/>
      <c r="BH1161" s="128"/>
      <c r="BI1161" s="128"/>
      <c r="BJ1161" s="128"/>
      <c r="BK1161" s="128"/>
      <c r="BL1161" s="128"/>
      <c r="BM1161" s="151"/>
      <c r="BN1161" s="128"/>
      <c r="BO1161" s="128"/>
      <c r="BP1161" s="128"/>
      <c r="BQ1161" s="128"/>
      <c r="BR1161" s="128"/>
      <c r="BS1161" s="128"/>
      <c r="BT1161" s="128"/>
      <c r="BU1161" s="128"/>
      <c r="BV1161" s="128"/>
      <c r="BW1161" s="128"/>
      <c r="BX1161" s="128"/>
      <c r="BY1161" s="128"/>
      <c r="BZ1161" s="128"/>
      <c r="CA1161" s="128"/>
      <c r="CB1161" s="128"/>
      <c r="CC1161" s="128"/>
      <c r="CD1161" s="128"/>
      <c r="CE1161" s="128"/>
      <c r="CF1161" s="128"/>
      <c r="CG1161" s="128"/>
      <c r="CH1161" s="128"/>
      <c r="CI1161" s="128"/>
      <c r="CJ1161" s="128"/>
      <c r="CK1161" s="128"/>
      <c r="CL1161" s="128"/>
      <c r="CM1161" s="128"/>
      <c r="CN1161" s="128"/>
      <c r="CO1161" s="128"/>
      <c r="CP1161" s="128"/>
      <c r="CQ1161" s="128"/>
      <c r="CR1161" s="128"/>
      <c r="CS1161" s="128"/>
      <c r="CT1161" s="128"/>
      <c r="CU1161" s="128"/>
      <c r="CV1161" s="128"/>
      <c r="CW1161" s="128"/>
      <c r="CX1161" s="128"/>
      <c r="CY1161" s="128"/>
      <c r="CZ1161" s="128"/>
    </row>
    <row r="1162" spans="1:104">
      <c r="A1162" s="128"/>
      <c r="B1162" s="128"/>
      <c r="C1162" s="128"/>
      <c r="D1162" s="112"/>
      <c r="E1162" s="128"/>
      <c r="F1162" s="128"/>
      <c r="G1162" s="128"/>
      <c r="H1162" s="128"/>
      <c r="I1162" s="128"/>
      <c r="J1162" s="128"/>
      <c r="K1162" s="128"/>
      <c r="L1162" s="128"/>
      <c r="M1162" s="128"/>
      <c r="N1162" s="128"/>
      <c r="O1162" s="128"/>
      <c r="P1162" s="128"/>
      <c r="Q1162" s="128"/>
      <c r="R1162" s="128"/>
      <c r="S1162" s="128"/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  <c r="AV1162" s="128"/>
      <c r="AW1162" s="128"/>
      <c r="AX1162" s="128"/>
      <c r="AY1162" s="128"/>
      <c r="AZ1162" s="128"/>
      <c r="BA1162" s="128"/>
      <c r="BB1162" s="128"/>
      <c r="BC1162" s="128"/>
      <c r="BD1162" s="128"/>
      <c r="BE1162" s="128"/>
      <c r="BF1162" s="128"/>
      <c r="BG1162" s="128"/>
      <c r="BH1162" s="128"/>
      <c r="BI1162" s="128"/>
      <c r="BJ1162" s="128"/>
      <c r="BK1162" s="128"/>
      <c r="BL1162" s="128"/>
      <c r="BM1162" s="151"/>
      <c r="BN1162" s="128"/>
      <c r="BO1162" s="128"/>
      <c r="BP1162" s="128"/>
      <c r="BQ1162" s="128"/>
      <c r="BR1162" s="128"/>
      <c r="BS1162" s="128"/>
      <c r="BT1162" s="128"/>
      <c r="BU1162" s="128"/>
      <c r="BV1162" s="128"/>
      <c r="BW1162" s="128"/>
      <c r="BX1162" s="128"/>
      <c r="BY1162" s="128"/>
      <c r="BZ1162" s="128"/>
      <c r="CA1162" s="128"/>
      <c r="CB1162" s="128"/>
      <c r="CC1162" s="128"/>
      <c r="CD1162" s="128"/>
      <c r="CE1162" s="128"/>
      <c r="CF1162" s="128"/>
      <c r="CG1162" s="128"/>
      <c r="CH1162" s="128"/>
      <c r="CI1162" s="128"/>
      <c r="CJ1162" s="128"/>
      <c r="CK1162" s="128"/>
      <c r="CL1162" s="128"/>
      <c r="CM1162" s="128"/>
      <c r="CN1162" s="128"/>
      <c r="CO1162" s="128"/>
      <c r="CP1162" s="128"/>
      <c r="CQ1162" s="128"/>
      <c r="CR1162" s="128"/>
      <c r="CS1162" s="128"/>
      <c r="CT1162" s="128"/>
      <c r="CU1162" s="128"/>
      <c r="CV1162" s="128"/>
      <c r="CW1162" s="128"/>
      <c r="CX1162" s="128"/>
      <c r="CY1162" s="128"/>
      <c r="CZ1162" s="128"/>
    </row>
    <row r="1163" spans="1:104">
      <c r="A1163" s="128"/>
      <c r="B1163" s="128"/>
      <c r="C1163" s="128"/>
      <c r="D1163" s="112"/>
      <c r="E1163" s="128"/>
      <c r="F1163" s="128"/>
      <c r="G1163" s="128"/>
      <c r="H1163" s="128"/>
      <c r="I1163" s="128"/>
      <c r="J1163" s="128"/>
      <c r="K1163" s="128"/>
      <c r="L1163" s="128"/>
      <c r="M1163" s="128"/>
      <c r="N1163" s="128"/>
      <c r="O1163" s="128"/>
      <c r="P1163" s="128"/>
      <c r="Q1163" s="128"/>
      <c r="R1163" s="128"/>
      <c r="S1163" s="128"/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  <c r="AV1163" s="128"/>
      <c r="AW1163" s="128"/>
      <c r="AX1163" s="128"/>
      <c r="AY1163" s="128"/>
      <c r="AZ1163" s="128"/>
      <c r="BA1163" s="128"/>
      <c r="BB1163" s="128"/>
      <c r="BC1163" s="128"/>
      <c r="BD1163" s="128"/>
      <c r="BE1163" s="128"/>
      <c r="BF1163" s="128"/>
      <c r="BG1163" s="128"/>
      <c r="BH1163" s="128"/>
      <c r="BI1163" s="128"/>
      <c r="BJ1163" s="128"/>
      <c r="BK1163" s="128"/>
      <c r="BL1163" s="128"/>
      <c r="BM1163" s="151"/>
      <c r="BN1163" s="128"/>
      <c r="BO1163" s="128"/>
      <c r="BP1163" s="128"/>
      <c r="BQ1163" s="128"/>
      <c r="BR1163" s="128"/>
      <c r="BS1163" s="128"/>
      <c r="BT1163" s="128"/>
      <c r="BU1163" s="128"/>
      <c r="BV1163" s="128"/>
      <c r="BW1163" s="128"/>
      <c r="BX1163" s="128"/>
      <c r="BY1163" s="128"/>
      <c r="BZ1163" s="128"/>
      <c r="CA1163" s="128"/>
      <c r="CB1163" s="128"/>
      <c r="CC1163" s="128"/>
      <c r="CD1163" s="128"/>
      <c r="CE1163" s="128"/>
      <c r="CF1163" s="128"/>
      <c r="CG1163" s="128"/>
      <c r="CH1163" s="128"/>
      <c r="CI1163" s="128"/>
      <c r="CJ1163" s="128"/>
      <c r="CK1163" s="128"/>
      <c r="CL1163" s="128"/>
      <c r="CM1163" s="128"/>
      <c r="CN1163" s="128"/>
      <c r="CO1163" s="128"/>
      <c r="CP1163" s="128"/>
      <c r="CQ1163" s="128"/>
      <c r="CR1163" s="128"/>
      <c r="CS1163" s="128"/>
      <c r="CT1163" s="128"/>
      <c r="CU1163" s="128"/>
      <c r="CV1163" s="128"/>
      <c r="CW1163" s="128"/>
      <c r="CX1163" s="128"/>
      <c r="CY1163" s="128"/>
      <c r="CZ1163" s="128"/>
    </row>
    <row r="1164" spans="1:104">
      <c r="A1164" s="128"/>
      <c r="B1164" s="128"/>
      <c r="C1164" s="128"/>
      <c r="D1164" s="112"/>
      <c r="E1164" s="128"/>
      <c r="F1164" s="128"/>
      <c r="G1164" s="128"/>
      <c r="H1164" s="128"/>
      <c r="I1164" s="128"/>
      <c r="J1164" s="128"/>
      <c r="K1164" s="128"/>
      <c r="L1164" s="128"/>
      <c r="M1164" s="128"/>
      <c r="N1164" s="128"/>
      <c r="O1164" s="128"/>
      <c r="P1164" s="128"/>
      <c r="Q1164" s="128"/>
      <c r="R1164" s="128"/>
      <c r="S1164" s="128"/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  <c r="AV1164" s="128"/>
      <c r="AW1164" s="128"/>
      <c r="AX1164" s="128"/>
      <c r="AY1164" s="128"/>
      <c r="AZ1164" s="128"/>
      <c r="BA1164" s="128"/>
      <c r="BB1164" s="128"/>
      <c r="BC1164" s="128"/>
      <c r="BD1164" s="128"/>
      <c r="BE1164" s="128"/>
      <c r="BF1164" s="128"/>
      <c r="BG1164" s="128"/>
      <c r="BH1164" s="128"/>
      <c r="BI1164" s="128"/>
      <c r="BJ1164" s="128"/>
      <c r="BK1164" s="128"/>
      <c r="BL1164" s="128"/>
      <c r="BM1164" s="151"/>
      <c r="BN1164" s="128"/>
      <c r="BO1164" s="128"/>
      <c r="BP1164" s="128"/>
      <c r="BQ1164" s="128"/>
      <c r="BR1164" s="128"/>
      <c r="BS1164" s="128"/>
      <c r="BT1164" s="128"/>
      <c r="BU1164" s="128"/>
      <c r="BV1164" s="128"/>
      <c r="BW1164" s="128"/>
      <c r="BX1164" s="128"/>
      <c r="BY1164" s="128"/>
      <c r="BZ1164" s="128"/>
      <c r="CA1164" s="128"/>
      <c r="CB1164" s="128"/>
      <c r="CC1164" s="128"/>
      <c r="CD1164" s="128"/>
      <c r="CE1164" s="128"/>
      <c r="CF1164" s="128"/>
      <c r="CG1164" s="128"/>
      <c r="CH1164" s="128"/>
      <c r="CI1164" s="128"/>
      <c r="CJ1164" s="128"/>
      <c r="CK1164" s="128"/>
      <c r="CL1164" s="128"/>
      <c r="CM1164" s="128"/>
      <c r="CN1164" s="128"/>
      <c r="CO1164" s="128"/>
      <c r="CP1164" s="128"/>
      <c r="CQ1164" s="128"/>
      <c r="CR1164" s="128"/>
      <c r="CS1164" s="128"/>
      <c r="CT1164" s="128"/>
      <c r="CU1164" s="128"/>
      <c r="CV1164" s="128"/>
      <c r="CW1164" s="128"/>
      <c r="CX1164" s="128"/>
      <c r="CY1164" s="128"/>
      <c r="CZ1164" s="128"/>
    </row>
    <row r="1165" spans="1:104">
      <c r="A1165" s="128"/>
      <c r="B1165" s="128"/>
      <c r="C1165" s="128"/>
      <c r="D1165" s="112"/>
      <c r="E1165" s="128"/>
      <c r="F1165" s="128"/>
      <c r="G1165" s="128"/>
      <c r="H1165" s="128"/>
      <c r="I1165" s="128"/>
      <c r="J1165" s="128"/>
      <c r="K1165" s="128"/>
      <c r="L1165" s="128"/>
      <c r="M1165" s="128"/>
      <c r="N1165" s="128"/>
      <c r="O1165" s="128"/>
      <c r="P1165" s="128"/>
      <c r="Q1165" s="128"/>
      <c r="R1165" s="128"/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  <c r="AV1165" s="128"/>
      <c r="AW1165" s="128"/>
      <c r="AX1165" s="128"/>
      <c r="AY1165" s="128"/>
      <c r="AZ1165" s="128"/>
      <c r="BA1165" s="128"/>
      <c r="BB1165" s="128"/>
      <c r="BC1165" s="128"/>
      <c r="BD1165" s="128"/>
      <c r="BE1165" s="128"/>
      <c r="BF1165" s="128"/>
      <c r="BG1165" s="128"/>
      <c r="BH1165" s="128"/>
      <c r="BI1165" s="128"/>
      <c r="BJ1165" s="128"/>
      <c r="BK1165" s="128"/>
      <c r="BL1165" s="128"/>
      <c r="BM1165" s="151"/>
      <c r="BN1165" s="128"/>
      <c r="BO1165" s="128"/>
      <c r="BP1165" s="128"/>
      <c r="BQ1165" s="128"/>
      <c r="BR1165" s="128"/>
      <c r="BS1165" s="128"/>
      <c r="BT1165" s="128"/>
      <c r="BU1165" s="128"/>
      <c r="BV1165" s="128"/>
      <c r="BW1165" s="128"/>
      <c r="BX1165" s="128"/>
      <c r="BY1165" s="128"/>
      <c r="BZ1165" s="128"/>
      <c r="CA1165" s="128"/>
      <c r="CB1165" s="128"/>
      <c r="CC1165" s="128"/>
      <c r="CD1165" s="128"/>
      <c r="CE1165" s="128"/>
      <c r="CF1165" s="128"/>
      <c r="CG1165" s="128"/>
      <c r="CH1165" s="128"/>
      <c r="CI1165" s="128"/>
      <c r="CJ1165" s="128"/>
      <c r="CK1165" s="128"/>
      <c r="CL1165" s="128"/>
      <c r="CM1165" s="128"/>
      <c r="CN1165" s="128"/>
      <c r="CO1165" s="128"/>
      <c r="CP1165" s="128"/>
      <c r="CQ1165" s="128"/>
      <c r="CR1165" s="128"/>
      <c r="CS1165" s="128"/>
      <c r="CT1165" s="128"/>
      <c r="CU1165" s="128"/>
      <c r="CV1165" s="128"/>
      <c r="CW1165" s="128"/>
      <c r="CX1165" s="128"/>
      <c r="CY1165" s="128"/>
      <c r="CZ1165" s="128"/>
    </row>
    <row r="1166" spans="1:104">
      <c r="A1166" s="128"/>
      <c r="B1166" s="128"/>
      <c r="C1166" s="128"/>
      <c r="D1166" s="112"/>
      <c r="E1166" s="128"/>
      <c r="F1166" s="128"/>
      <c r="G1166" s="128"/>
      <c r="H1166" s="128"/>
      <c r="I1166" s="128"/>
      <c r="J1166" s="128"/>
      <c r="K1166" s="128"/>
      <c r="L1166" s="128"/>
      <c r="M1166" s="128"/>
      <c r="N1166" s="128"/>
      <c r="O1166" s="128"/>
      <c r="P1166" s="128"/>
      <c r="Q1166" s="128"/>
      <c r="R1166" s="128"/>
      <c r="S1166" s="128"/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  <c r="AV1166" s="128"/>
      <c r="AW1166" s="128"/>
      <c r="AX1166" s="128"/>
      <c r="AY1166" s="128"/>
      <c r="AZ1166" s="128"/>
      <c r="BA1166" s="128"/>
      <c r="BB1166" s="128"/>
      <c r="BC1166" s="128"/>
      <c r="BD1166" s="128"/>
      <c r="BE1166" s="128"/>
      <c r="BF1166" s="128"/>
      <c r="BG1166" s="128"/>
      <c r="BH1166" s="128"/>
      <c r="BI1166" s="128"/>
      <c r="BJ1166" s="128"/>
      <c r="BK1166" s="128"/>
      <c r="BL1166" s="128"/>
      <c r="BM1166" s="151"/>
      <c r="BN1166" s="128"/>
      <c r="BO1166" s="128"/>
      <c r="BP1166" s="128"/>
      <c r="BQ1166" s="128"/>
      <c r="BR1166" s="128"/>
      <c r="BS1166" s="128"/>
      <c r="BT1166" s="128"/>
      <c r="BU1166" s="128"/>
      <c r="BV1166" s="128"/>
      <c r="BW1166" s="128"/>
      <c r="BX1166" s="128"/>
      <c r="BY1166" s="128"/>
      <c r="BZ1166" s="128"/>
      <c r="CA1166" s="128"/>
      <c r="CB1166" s="128"/>
      <c r="CC1166" s="128"/>
      <c r="CD1166" s="128"/>
      <c r="CE1166" s="128"/>
      <c r="CF1166" s="128"/>
      <c r="CG1166" s="128"/>
      <c r="CH1166" s="128"/>
      <c r="CI1166" s="128"/>
      <c r="CJ1166" s="128"/>
      <c r="CK1166" s="128"/>
      <c r="CL1166" s="128"/>
      <c r="CM1166" s="128"/>
      <c r="CN1166" s="128"/>
      <c r="CO1166" s="128"/>
      <c r="CP1166" s="128"/>
      <c r="CQ1166" s="128"/>
      <c r="CR1166" s="128"/>
      <c r="CS1166" s="128"/>
      <c r="CT1166" s="128"/>
      <c r="CU1166" s="128"/>
      <c r="CV1166" s="128"/>
      <c r="CW1166" s="128"/>
      <c r="CX1166" s="128"/>
      <c r="CY1166" s="128"/>
      <c r="CZ1166" s="128"/>
    </row>
    <row r="1167" spans="1:104">
      <c r="A1167" s="128"/>
      <c r="B1167" s="128"/>
      <c r="C1167" s="128"/>
      <c r="D1167" s="112"/>
      <c r="E1167" s="128"/>
      <c r="F1167" s="128"/>
      <c r="G1167" s="128"/>
      <c r="H1167" s="128"/>
      <c r="I1167" s="128"/>
      <c r="J1167" s="128"/>
      <c r="K1167" s="128"/>
      <c r="L1167" s="128"/>
      <c r="M1167" s="128"/>
      <c r="N1167" s="128"/>
      <c r="O1167" s="128"/>
      <c r="P1167" s="128"/>
      <c r="Q1167" s="128"/>
      <c r="R1167" s="128"/>
      <c r="S1167" s="128"/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  <c r="AV1167" s="128"/>
      <c r="AW1167" s="128"/>
      <c r="AX1167" s="128"/>
      <c r="AY1167" s="128"/>
      <c r="AZ1167" s="128"/>
      <c r="BA1167" s="128"/>
      <c r="BB1167" s="128"/>
      <c r="BC1167" s="128"/>
      <c r="BD1167" s="128"/>
      <c r="BE1167" s="128"/>
      <c r="BF1167" s="128"/>
      <c r="BG1167" s="128"/>
      <c r="BH1167" s="128"/>
      <c r="BI1167" s="128"/>
      <c r="BJ1167" s="128"/>
      <c r="BK1167" s="128"/>
      <c r="BL1167" s="128"/>
      <c r="BM1167" s="151"/>
      <c r="BN1167" s="128"/>
      <c r="BO1167" s="128"/>
      <c r="BP1167" s="128"/>
      <c r="BQ1167" s="128"/>
      <c r="BR1167" s="128"/>
      <c r="BS1167" s="128"/>
      <c r="BT1167" s="128"/>
      <c r="BU1167" s="128"/>
      <c r="BV1167" s="128"/>
      <c r="BW1167" s="128"/>
      <c r="BX1167" s="128"/>
      <c r="BY1167" s="128"/>
      <c r="BZ1167" s="128"/>
      <c r="CA1167" s="128"/>
      <c r="CB1167" s="128"/>
      <c r="CC1167" s="128"/>
      <c r="CD1167" s="128"/>
      <c r="CE1167" s="128"/>
      <c r="CF1167" s="128"/>
      <c r="CG1167" s="128"/>
      <c r="CH1167" s="128"/>
      <c r="CI1167" s="128"/>
      <c r="CJ1167" s="128"/>
      <c r="CK1167" s="128"/>
      <c r="CL1167" s="128"/>
      <c r="CM1167" s="128"/>
      <c r="CN1167" s="128"/>
      <c r="CO1167" s="128"/>
      <c r="CP1167" s="128"/>
      <c r="CQ1167" s="128"/>
      <c r="CR1167" s="128"/>
      <c r="CS1167" s="128"/>
      <c r="CT1167" s="128"/>
      <c r="CU1167" s="128"/>
      <c r="CV1167" s="128"/>
      <c r="CW1167" s="128"/>
      <c r="CX1167" s="128"/>
      <c r="CY1167" s="128"/>
      <c r="CZ1167" s="128"/>
    </row>
    <row r="1168" spans="1:104">
      <c r="A1168" s="128"/>
      <c r="B1168" s="128"/>
      <c r="C1168" s="128"/>
      <c r="D1168" s="112"/>
      <c r="E1168" s="128"/>
      <c r="F1168" s="128"/>
      <c r="G1168" s="128"/>
      <c r="H1168" s="128"/>
      <c r="I1168" s="128"/>
      <c r="J1168" s="128"/>
      <c r="K1168" s="128"/>
      <c r="L1168" s="128"/>
      <c r="M1168" s="128"/>
      <c r="N1168" s="128"/>
      <c r="O1168" s="128"/>
      <c r="P1168" s="128"/>
      <c r="Q1168" s="128"/>
      <c r="R1168" s="128"/>
      <c r="S1168" s="128"/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  <c r="AV1168" s="128"/>
      <c r="AW1168" s="128"/>
      <c r="AX1168" s="128"/>
      <c r="AY1168" s="128"/>
      <c r="AZ1168" s="128"/>
      <c r="BA1168" s="128"/>
      <c r="BB1168" s="128"/>
      <c r="BC1168" s="128"/>
      <c r="BD1168" s="128"/>
      <c r="BE1168" s="128"/>
      <c r="BF1168" s="128"/>
      <c r="BG1168" s="128"/>
      <c r="BH1168" s="128"/>
      <c r="BI1168" s="128"/>
      <c r="BJ1168" s="128"/>
      <c r="BK1168" s="128"/>
      <c r="BL1168" s="128"/>
      <c r="BM1168" s="151"/>
      <c r="BN1168" s="128"/>
      <c r="BO1168" s="128"/>
      <c r="BP1168" s="128"/>
      <c r="BQ1168" s="128"/>
      <c r="BR1168" s="128"/>
      <c r="BS1168" s="128"/>
      <c r="BT1168" s="128"/>
      <c r="BU1168" s="128"/>
      <c r="BV1168" s="128"/>
      <c r="BW1168" s="128"/>
      <c r="BX1168" s="128"/>
      <c r="BY1168" s="128"/>
      <c r="BZ1168" s="128"/>
      <c r="CA1168" s="128"/>
      <c r="CB1168" s="128"/>
      <c r="CC1168" s="128"/>
      <c r="CD1168" s="128"/>
      <c r="CE1168" s="128"/>
      <c r="CF1168" s="128"/>
      <c r="CG1168" s="128"/>
      <c r="CH1168" s="128"/>
      <c r="CI1168" s="128"/>
      <c r="CJ1168" s="128"/>
      <c r="CK1168" s="128"/>
      <c r="CL1168" s="128"/>
      <c r="CM1168" s="128"/>
      <c r="CN1168" s="128"/>
      <c r="CO1168" s="128"/>
      <c r="CP1168" s="128"/>
      <c r="CQ1168" s="128"/>
      <c r="CR1168" s="128"/>
      <c r="CS1168" s="128"/>
      <c r="CT1168" s="128"/>
      <c r="CU1168" s="128"/>
      <c r="CV1168" s="128"/>
      <c r="CW1168" s="128"/>
      <c r="CX1168" s="128"/>
      <c r="CY1168" s="128"/>
      <c r="CZ1168" s="128"/>
    </row>
    <row r="1169" spans="1:104">
      <c r="A1169" s="128"/>
      <c r="B1169" s="128"/>
      <c r="C1169" s="128"/>
      <c r="D1169" s="112"/>
      <c r="E1169" s="128"/>
      <c r="F1169" s="128"/>
      <c r="G1169" s="128"/>
      <c r="H1169" s="128"/>
      <c r="I1169" s="128"/>
      <c r="J1169" s="128"/>
      <c r="K1169" s="128"/>
      <c r="L1169" s="128"/>
      <c r="M1169" s="128"/>
      <c r="N1169" s="128"/>
      <c r="O1169" s="128"/>
      <c r="P1169" s="128"/>
      <c r="Q1169" s="128"/>
      <c r="R1169" s="128"/>
      <c r="S1169" s="128"/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  <c r="AV1169" s="128"/>
      <c r="AW1169" s="128"/>
      <c r="AX1169" s="128"/>
      <c r="AY1169" s="128"/>
      <c r="AZ1169" s="128"/>
      <c r="BA1169" s="128"/>
      <c r="BB1169" s="128"/>
      <c r="BC1169" s="128"/>
      <c r="BD1169" s="128"/>
      <c r="BE1169" s="128"/>
      <c r="BF1169" s="128"/>
      <c r="BG1169" s="128"/>
      <c r="BH1169" s="128"/>
      <c r="BI1169" s="128"/>
      <c r="BJ1169" s="128"/>
      <c r="BK1169" s="128"/>
      <c r="BL1169" s="128"/>
      <c r="BM1169" s="151"/>
      <c r="BN1169" s="128"/>
      <c r="BO1169" s="128"/>
      <c r="BP1169" s="128"/>
      <c r="BQ1169" s="128"/>
      <c r="BR1169" s="128"/>
      <c r="BS1169" s="128"/>
      <c r="BT1169" s="128"/>
      <c r="BU1169" s="128"/>
      <c r="BV1169" s="128"/>
      <c r="BW1169" s="128"/>
      <c r="BX1169" s="128"/>
      <c r="BY1169" s="128"/>
      <c r="BZ1169" s="128"/>
      <c r="CA1169" s="128"/>
      <c r="CB1169" s="128"/>
      <c r="CC1169" s="128"/>
      <c r="CD1169" s="128"/>
      <c r="CE1169" s="128"/>
      <c r="CF1169" s="128"/>
      <c r="CG1169" s="128"/>
      <c r="CH1169" s="128"/>
      <c r="CI1169" s="128"/>
      <c r="CJ1169" s="128"/>
      <c r="CK1169" s="128"/>
      <c r="CL1169" s="128"/>
      <c r="CM1169" s="128"/>
      <c r="CN1169" s="128"/>
      <c r="CO1169" s="128"/>
      <c r="CP1169" s="128"/>
      <c r="CQ1169" s="128"/>
      <c r="CR1169" s="128"/>
      <c r="CS1169" s="128"/>
      <c r="CT1169" s="128"/>
      <c r="CU1169" s="128"/>
      <c r="CV1169" s="128"/>
      <c r="CW1169" s="128"/>
      <c r="CX1169" s="128"/>
      <c r="CY1169" s="128"/>
      <c r="CZ1169" s="128"/>
    </row>
    <row r="1170" spans="1:104">
      <c r="A1170" s="128"/>
      <c r="B1170" s="128"/>
      <c r="C1170" s="128"/>
      <c r="D1170" s="112"/>
      <c r="E1170" s="128"/>
      <c r="F1170" s="128"/>
      <c r="G1170" s="128"/>
      <c r="H1170" s="128"/>
      <c r="I1170" s="128"/>
      <c r="J1170" s="128"/>
      <c r="K1170" s="128"/>
      <c r="L1170" s="128"/>
      <c r="M1170" s="128"/>
      <c r="N1170" s="128"/>
      <c r="O1170" s="128"/>
      <c r="P1170" s="128"/>
      <c r="Q1170" s="128"/>
      <c r="R1170" s="128"/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  <c r="AV1170" s="128"/>
      <c r="AW1170" s="128"/>
      <c r="AX1170" s="128"/>
      <c r="AY1170" s="128"/>
      <c r="AZ1170" s="128"/>
      <c r="BA1170" s="128"/>
      <c r="BB1170" s="128"/>
      <c r="BC1170" s="128"/>
      <c r="BD1170" s="128"/>
      <c r="BE1170" s="128"/>
      <c r="BF1170" s="128"/>
      <c r="BG1170" s="128"/>
      <c r="BH1170" s="128"/>
      <c r="BI1170" s="128"/>
      <c r="BJ1170" s="128"/>
      <c r="BK1170" s="128"/>
      <c r="BL1170" s="128"/>
      <c r="BM1170" s="151"/>
      <c r="BN1170" s="128"/>
      <c r="BO1170" s="128"/>
      <c r="BP1170" s="128"/>
      <c r="BQ1170" s="128"/>
      <c r="BR1170" s="128"/>
      <c r="BS1170" s="128"/>
      <c r="BT1170" s="128"/>
      <c r="BU1170" s="128"/>
      <c r="BV1170" s="128"/>
      <c r="BW1170" s="128"/>
      <c r="BX1170" s="128"/>
      <c r="BY1170" s="128"/>
      <c r="BZ1170" s="128"/>
      <c r="CA1170" s="128"/>
      <c r="CB1170" s="128"/>
      <c r="CC1170" s="128"/>
      <c r="CD1170" s="128"/>
      <c r="CE1170" s="128"/>
      <c r="CF1170" s="128"/>
      <c r="CG1170" s="128"/>
      <c r="CH1170" s="128"/>
      <c r="CI1170" s="128"/>
      <c r="CJ1170" s="128"/>
      <c r="CK1170" s="128"/>
      <c r="CL1170" s="128"/>
      <c r="CM1170" s="128"/>
      <c r="CN1170" s="128"/>
      <c r="CO1170" s="128"/>
      <c r="CP1170" s="128"/>
      <c r="CQ1170" s="128"/>
      <c r="CR1170" s="128"/>
      <c r="CS1170" s="128"/>
      <c r="CT1170" s="128"/>
      <c r="CU1170" s="128"/>
      <c r="CV1170" s="128"/>
      <c r="CW1170" s="128"/>
      <c r="CX1170" s="128"/>
      <c r="CY1170" s="128"/>
      <c r="CZ1170" s="128"/>
    </row>
    <row r="1171" spans="1:104">
      <c r="A1171" s="128"/>
      <c r="B1171" s="128"/>
      <c r="C1171" s="128"/>
      <c r="D1171" s="112"/>
      <c r="E1171" s="128"/>
      <c r="F1171" s="128"/>
      <c r="G1171" s="128"/>
      <c r="H1171" s="128"/>
      <c r="I1171" s="128"/>
      <c r="J1171" s="128"/>
      <c r="K1171" s="128"/>
      <c r="L1171" s="128"/>
      <c r="M1171" s="128"/>
      <c r="N1171" s="128"/>
      <c r="O1171" s="128"/>
      <c r="P1171" s="128"/>
      <c r="Q1171" s="128"/>
      <c r="R1171" s="128"/>
      <c r="S1171" s="128"/>
      <c r="T1171" s="128"/>
      <c r="U1171" s="128"/>
      <c r="V1171" s="128"/>
      <c r="W1171" s="128"/>
      <c r="X1171" s="128"/>
      <c r="Y1171" s="128"/>
      <c r="Z1171" s="128"/>
      <c r="AA1171" s="128"/>
      <c r="AB1171" s="128"/>
      <c r="AC1171" s="128"/>
      <c r="AD1171" s="128"/>
      <c r="AE1171" s="128"/>
      <c r="AF1171" s="128"/>
      <c r="AG1171" s="128"/>
      <c r="AH1171" s="128"/>
      <c r="AI1171" s="128"/>
      <c r="AJ1171" s="128"/>
      <c r="AK1171" s="128"/>
      <c r="AL1171" s="128"/>
      <c r="AM1171" s="128"/>
      <c r="AN1171" s="128"/>
      <c r="AO1171" s="128"/>
      <c r="AP1171" s="128"/>
      <c r="AQ1171" s="128"/>
      <c r="AR1171" s="128"/>
      <c r="AS1171" s="128"/>
      <c r="AT1171" s="128"/>
      <c r="AU1171" s="128"/>
      <c r="AV1171" s="128"/>
      <c r="AW1171" s="128"/>
      <c r="AX1171" s="128"/>
      <c r="AY1171" s="128"/>
      <c r="AZ1171" s="128"/>
      <c r="BA1171" s="128"/>
      <c r="BB1171" s="128"/>
      <c r="BC1171" s="128"/>
      <c r="BD1171" s="128"/>
      <c r="BE1171" s="128"/>
      <c r="BF1171" s="128"/>
      <c r="BG1171" s="128"/>
      <c r="BH1171" s="128"/>
      <c r="BI1171" s="128"/>
      <c r="BJ1171" s="128"/>
      <c r="BK1171" s="128"/>
      <c r="BL1171" s="128"/>
      <c r="BM1171" s="151"/>
      <c r="BN1171" s="128"/>
      <c r="BO1171" s="128"/>
      <c r="BP1171" s="128"/>
      <c r="BQ1171" s="128"/>
      <c r="BR1171" s="128"/>
      <c r="BS1171" s="128"/>
      <c r="BT1171" s="128"/>
      <c r="BU1171" s="128"/>
      <c r="BV1171" s="128"/>
      <c r="BW1171" s="128"/>
      <c r="BX1171" s="128"/>
      <c r="BY1171" s="128"/>
      <c r="BZ1171" s="128"/>
      <c r="CA1171" s="128"/>
      <c r="CB1171" s="128"/>
      <c r="CC1171" s="128"/>
      <c r="CD1171" s="128"/>
      <c r="CE1171" s="128"/>
      <c r="CF1171" s="128"/>
      <c r="CG1171" s="128"/>
      <c r="CH1171" s="128"/>
      <c r="CI1171" s="128"/>
      <c r="CJ1171" s="128"/>
      <c r="CK1171" s="128"/>
      <c r="CL1171" s="128"/>
      <c r="CM1171" s="128"/>
      <c r="CN1171" s="128"/>
      <c r="CO1171" s="128"/>
      <c r="CP1171" s="128"/>
      <c r="CQ1171" s="128"/>
      <c r="CR1171" s="128"/>
      <c r="CS1171" s="128"/>
      <c r="CT1171" s="128"/>
      <c r="CU1171" s="128"/>
      <c r="CV1171" s="128"/>
      <c r="CW1171" s="128"/>
      <c r="CX1171" s="128"/>
      <c r="CY1171" s="128"/>
      <c r="CZ1171" s="128"/>
    </row>
    <row r="1172" spans="1:104">
      <c r="A1172" s="128"/>
      <c r="B1172" s="128"/>
      <c r="C1172" s="128"/>
      <c r="D1172" s="112"/>
      <c r="E1172" s="128"/>
      <c r="F1172" s="128"/>
      <c r="G1172" s="128"/>
      <c r="H1172" s="128"/>
      <c r="I1172" s="128"/>
      <c r="J1172" s="128"/>
      <c r="K1172" s="128"/>
      <c r="L1172" s="128"/>
      <c r="M1172" s="128"/>
      <c r="N1172" s="128"/>
      <c r="O1172" s="128"/>
      <c r="P1172" s="128"/>
      <c r="Q1172" s="128"/>
      <c r="R1172" s="128"/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  <c r="AV1172" s="128"/>
      <c r="AW1172" s="128"/>
      <c r="AX1172" s="128"/>
      <c r="AY1172" s="128"/>
      <c r="AZ1172" s="128"/>
      <c r="BA1172" s="128"/>
      <c r="BB1172" s="128"/>
      <c r="BC1172" s="128"/>
      <c r="BD1172" s="128"/>
      <c r="BE1172" s="128"/>
      <c r="BF1172" s="128"/>
      <c r="BG1172" s="128"/>
      <c r="BH1172" s="128"/>
      <c r="BI1172" s="128"/>
      <c r="BJ1172" s="128"/>
      <c r="BK1172" s="128"/>
      <c r="BL1172" s="128"/>
      <c r="BM1172" s="151"/>
      <c r="BN1172" s="128"/>
      <c r="BO1172" s="128"/>
      <c r="BP1172" s="128"/>
      <c r="BQ1172" s="128"/>
      <c r="BR1172" s="128"/>
      <c r="BS1172" s="128"/>
      <c r="BT1172" s="128"/>
      <c r="BU1172" s="128"/>
      <c r="BV1172" s="128"/>
      <c r="BW1172" s="128"/>
      <c r="BX1172" s="128"/>
      <c r="BY1172" s="128"/>
      <c r="BZ1172" s="128"/>
      <c r="CA1172" s="128"/>
      <c r="CB1172" s="128"/>
      <c r="CC1172" s="128"/>
      <c r="CD1172" s="128"/>
      <c r="CE1172" s="128"/>
      <c r="CF1172" s="128"/>
      <c r="CG1172" s="128"/>
      <c r="CH1172" s="128"/>
      <c r="CI1172" s="128"/>
      <c r="CJ1172" s="128"/>
      <c r="CK1172" s="128"/>
      <c r="CL1172" s="128"/>
      <c r="CM1172" s="128"/>
      <c r="CN1172" s="128"/>
      <c r="CO1172" s="128"/>
      <c r="CP1172" s="128"/>
      <c r="CQ1172" s="128"/>
      <c r="CR1172" s="128"/>
      <c r="CS1172" s="128"/>
      <c r="CT1172" s="128"/>
      <c r="CU1172" s="128"/>
      <c r="CV1172" s="128"/>
      <c r="CW1172" s="128"/>
      <c r="CX1172" s="128"/>
      <c r="CY1172" s="128"/>
      <c r="CZ1172" s="128"/>
    </row>
    <row r="1173" spans="1:104">
      <c r="A1173" s="128"/>
      <c r="B1173" s="128"/>
      <c r="C1173" s="128"/>
      <c r="D1173" s="112"/>
      <c r="E1173" s="128"/>
      <c r="F1173" s="128"/>
      <c r="G1173" s="128"/>
      <c r="H1173" s="128"/>
      <c r="I1173" s="128"/>
      <c r="J1173" s="128"/>
      <c r="K1173" s="128"/>
      <c r="L1173" s="128"/>
      <c r="M1173" s="128"/>
      <c r="N1173" s="128"/>
      <c r="O1173" s="128"/>
      <c r="P1173" s="128"/>
      <c r="Q1173" s="128"/>
      <c r="R1173" s="128"/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  <c r="AV1173" s="128"/>
      <c r="AW1173" s="128"/>
      <c r="AX1173" s="128"/>
      <c r="AY1173" s="128"/>
      <c r="AZ1173" s="128"/>
      <c r="BA1173" s="128"/>
      <c r="BB1173" s="128"/>
      <c r="BC1173" s="128"/>
      <c r="BD1173" s="128"/>
      <c r="BE1173" s="128"/>
      <c r="BF1173" s="128"/>
      <c r="BG1173" s="128"/>
      <c r="BH1173" s="128"/>
      <c r="BI1173" s="128"/>
      <c r="BJ1173" s="128"/>
      <c r="BK1173" s="128"/>
      <c r="BL1173" s="128"/>
      <c r="BM1173" s="151"/>
      <c r="BN1173" s="128"/>
      <c r="BO1173" s="128"/>
      <c r="BP1173" s="128"/>
      <c r="BQ1173" s="128"/>
      <c r="BR1173" s="128"/>
      <c r="BS1173" s="128"/>
      <c r="BT1173" s="128"/>
      <c r="BU1173" s="128"/>
      <c r="BV1173" s="128"/>
      <c r="BW1173" s="128"/>
      <c r="BX1173" s="128"/>
      <c r="BY1173" s="128"/>
      <c r="BZ1173" s="128"/>
      <c r="CA1173" s="128"/>
      <c r="CB1173" s="128"/>
      <c r="CC1173" s="128"/>
      <c r="CD1173" s="128"/>
      <c r="CE1173" s="128"/>
      <c r="CF1173" s="128"/>
      <c r="CG1173" s="128"/>
      <c r="CH1173" s="128"/>
      <c r="CI1173" s="128"/>
      <c r="CJ1173" s="128"/>
      <c r="CK1173" s="128"/>
      <c r="CL1173" s="128"/>
      <c r="CM1173" s="128"/>
      <c r="CN1173" s="128"/>
      <c r="CO1173" s="128"/>
      <c r="CP1173" s="128"/>
      <c r="CQ1173" s="128"/>
      <c r="CR1173" s="128"/>
      <c r="CS1173" s="128"/>
      <c r="CT1173" s="128"/>
      <c r="CU1173" s="128"/>
      <c r="CV1173" s="128"/>
      <c r="CW1173" s="128"/>
      <c r="CX1173" s="128"/>
      <c r="CY1173" s="128"/>
      <c r="CZ1173" s="128"/>
    </row>
    <row r="1174" spans="1:104">
      <c r="A1174" s="128"/>
      <c r="B1174" s="128"/>
      <c r="C1174" s="128"/>
      <c r="D1174" s="112"/>
      <c r="E1174" s="128"/>
      <c r="F1174" s="128"/>
      <c r="G1174" s="128"/>
      <c r="H1174" s="128"/>
      <c r="I1174" s="128"/>
      <c r="J1174" s="128"/>
      <c r="K1174" s="128"/>
      <c r="L1174" s="128"/>
      <c r="M1174" s="128"/>
      <c r="N1174" s="128"/>
      <c r="O1174" s="128"/>
      <c r="P1174" s="128"/>
      <c r="Q1174" s="128"/>
      <c r="R1174" s="128"/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  <c r="AV1174" s="128"/>
      <c r="AW1174" s="128"/>
      <c r="AX1174" s="128"/>
      <c r="AY1174" s="128"/>
      <c r="AZ1174" s="128"/>
      <c r="BA1174" s="128"/>
      <c r="BB1174" s="128"/>
      <c r="BC1174" s="128"/>
      <c r="BD1174" s="128"/>
      <c r="BE1174" s="128"/>
      <c r="BF1174" s="128"/>
      <c r="BG1174" s="128"/>
      <c r="BH1174" s="128"/>
      <c r="BI1174" s="128"/>
      <c r="BJ1174" s="128"/>
      <c r="BK1174" s="128"/>
      <c r="BL1174" s="128"/>
      <c r="BM1174" s="151"/>
      <c r="BN1174" s="128"/>
      <c r="BO1174" s="128"/>
      <c r="BP1174" s="128"/>
      <c r="BQ1174" s="128"/>
      <c r="BR1174" s="128"/>
      <c r="BS1174" s="128"/>
      <c r="BT1174" s="128"/>
      <c r="BU1174" s="128"/>
      <c r="BV1174" s="128"/>
      <c r="BW1174" s="128"/>
      <c r="BX1174" s="128"/>
      <c r="BY1174" s="128"/>
      <c r="BZ1174" s="128"/>
      <c r="CA1174" s="128"/>
      <c r="CB1174" s="128"/>
      <c r="CC1174" s="128"/>
      <c r="CD1174" s="128"/>
      <c r="CE1174" s="128"/>
      <c r="CF1174" s="128"/>
      <c r="CG1174" s="128"/>
      <c r="CH1174" s="128"/>
      <c r="CI1174" s="128"/>
      <c r="CJ1174" s="128"/>
      <c r="CK1174" s="128"/>
      <c r="CL1174" s="128"/>
      <c r="CM1174" s="128"/>
      <c r="CN1174" s="128"/>
      <c r="CO1174" s="128"/>
      <c r="CP1174" s="128"/>
      <c r="CQ1174" s="128"/>
      <c r="CR1174" s="128"/>
      <c r="CS1174" s="128"/>
      <c r="CT1174" s="128"/>
      <c r="CU1174" s="128"/>
      <c r="CV1174" s="128"/>
      <c r="CW1174" s="128"/>
      <c r="CX1174" s="128"/>
      <c r="CY1174" s="128"/>
      <c r="CZ1174" s="128"/>
    </row>
    <row r="1175" spans="1:104">
      <c r="A1175" s="128"/>
      <c r="B1175" s="128"/>
      <c r="C1175" s="128"/>
      <c r="D1175" s="112"/>
      <c r="E1175" s="128"/>
      <c r="F1175" s="128"/>
      <c r="G1175" s="128"/>
      <c r="H1175" s="128"/>
      <c r="I1175" s="128"/>
      <c r="J1175" s="128"/>
      <c r="K1175" s="128"/>
      <c r="L1175" s="128"/>
      <c r="M1175" s="128"/>
      <c r="N1175" s="128"/>
      <c r="O1175" s="128"/>
      <c r="P1175" s="128"/>
      <c r="Q1175" s="128"/>
      <c r="R1175" s="128"/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  <c r="AV1175" s="128"/>
      <c r="AW1175" s="128"/>
      <c r="AX1175" s="128"/>
      <c r="AY1175" s="128"/>
      <c r="AZ1175" s="128"/>
      <c r="BA1175" s="128"/>
      <c r="BB1175" s="128"/>
      <c r="BC1175" s="128"/>
      <c r="BD1175" s="128"/>
      <c r="BE1175" s="128"/>
      <c r="BF1175" s="128"/>
      <c r="BG1175" s="128"/>
      <c r="BH1175" s="128"/>
      <c r="BI1175" s="128"/>
      <c r="BJ1175" s="128"/>
      <c r="BK1175" s="128"/>
      <c r="BL1175" s="128"/>
      <c r="BM1175" s="151"/>
      <c r="BN1175" s="128"/>
      <c r="BO1175" s="128"/>
      <c r="BP1175" s="128"/>
      <c r="BQ1175" s="128"/>
      <c r="BR1175" s="128"/>
      <c r="BS1175" s="128"/>
      <c r="BT1175" s="128"/>
      <c r="BU1175" s="128"/>
      <c r="BV1175" s="128"/>
      <c r="BW1175" s="128"/>
      <c r="BX1175" s="128"/>
      <c r="BY1175" s="128"/>
      <c r="BZ1175" s="128"/>
      <c r="CA1175" s="128"/>
      <c r="CB1175" s="128"/>
      <c r="CC1175" s="128"/>
      <c r="CD1175" s="128"/>
      <c r="CE1175" s="128"/>
      <c r="CF1175" s="128"/>
      <c r="CG1175" s="128"/>
      <c r="CH1175" s="128"/>
      <c r="CI1175" s="128"/>
      <c r="CJ1175" s="128"/>
      <c r="CK1175" s="128"/>
      <c r="CL1175" s="128"/>
      <c r="CM1175" s="128"/>
      <c r="CN1175" s="128"/>
      <c r="CO1175" s="128"/>
      <c r="CP1175" s="128"/>
      <c r="CQ1175" s="128"/>
      <c r="CR1175" s="128"/>
      <c r="CS1175" s="128"/>
      <c r="CT1175" s="128"/>
      <c r="CU1175" s="128"/>
      <c r="CV1175" s="128"/>
      <c r="CW1175" s="128"/>
      <c r="CX1175" s="128"/>
      <c r="CY1175" s="128"/>
      <c r="CZ1175" s="128"/>
    </row>
    <row r="1176" spans="1:104">
      <c r="A1176" s="128"/>
      <c r="B1176" s="128"/>
      <c r="C1176" s="128"/>
      <c r="D1176" s="112"/>
      <c r="E1176" s="128"/>
      <c r="F1176" s="128"/>
      <c r="G1176" s="128"/>
      <c r="H1176" s="128"/>
      <c r="I1176" s="128"/>
      <c r="J1176" s="128"/>
      <c r="K1176" s="128"/>
      <c r="L1176" s="128"/>
      <c r="M1176" s="128"/>
      <c r="N1176" s="128"/>
      <c r="O1176" s="128"/>
      <c r="P1176" s="128"/>
      <c r="Q1176" s="128"/>
      <c r="R1176" s="128"/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  <c r="AV1176" s="128"/>
      <c r="AW1176" s="128"/>
      <c r="AX1176" s="128"/>
      <c r="AY1176" s="128"/>
      <c r="AZ1176" s="128"/>
      <c r="BA1176" s="128"/>
      <c r="BB1176" s="128"/>
      <c r="BC1176" s="128"/>
      <c r="BD1176" s="128"/>
      <c r="BE1176" s="128"/>
      <c r="BF1176" s="128"/>
      <c r="BG1176" s="128"/>
      <c r="BH1176" s="128"/>
      <c r="BI1176" s="128"/>
      <c r="BJ1176" s="128"/>
      <c r="BK1176" s="128"/>
      <c r="BL1176" s="128"/>
      <c r="BM1176" s="151"/>
      <c r="BN1176" s="128"/>
      <c r="BO1176" s="128"/>
      <c r="BP1176" s="128"/>
      <c r="BQ1176" s="128"/>
      <c r="BR1176" s="128"/>
      <c r="BS1176" s="128"/>
      <c r="BT1176" s="128"/>
      <c r="BU1176" s="128"/>
      <c r="BV1176" s="128"/>
      <c r="BW1176" s="128"/>
      <c r="BX1176" s="128"/>
      <c r="BY1176" s="128"/>
      <c r="BZ1176" s="128"/>
      <c r="CA1176" s="128"/>
      <c r="CB1176" s="128"/>
      <c r="CC1176" s="128"/>
      <c r="CD1176" s="128"/>
      <c r="CE1176" s="128"/>
      <c r="CF1176" s="128"/>
      <c r="CG1176" s="128"/>
      <c r="CH1176" s="128"/>
      <c r="CI1176" s="128"/>
      <c r="CJ1176" s="128"/>
      <c r="CK1176" s="128"/>
      <c r="CL1176" s="128"/>
      <c r="CM1176" s="128"/>
      <c r="CN1176" s="128"/>
      <c r="CO1176" s="128"/>
      <c r="CP1176" s="128"/>
      <c r="CQ1176" s="128"/>
      <c r="CR1176" s="128"/>
      <c r="CS1176" s="128"/>
      <c r="CT1176" s="128"/>
      <c r="CU1176" s="128"/>
      <c r="CV1176" s="128"/>
      <c r="CW1176" s="128"/>
      <c r="CX1176" s="128"/>
      <c r="CY1176" s="128"/>
      <c r="CZ1176" s="128"/>
    </row>
    <row r="1177" spans="1:104">
      <c r="A1177" s="128"/>
      <c r="B1177" s="128"/>
      <c r="C1177" s="128"/>
      <c r="D1177" s="112"/>
      <c r="E1177" s="128"/>
      <c r="F1177" s="128"/>
      <c r="G1177" s="128"/>
      <c r="H1177" s="128"/>
      <c r="I1177" s="128"/>
      <c r="J1177" s="128"/>
      <c r="K1177" s="128"/>
      <c r="L1177" s="128"/>
      <c r="M1177" s="128"/>
      <c r="N1177" s="128"/>
      <c r="O1177" s="128"/>
      <c r="P1177" s="128"/>
      <c r="Q1177" s="128"/>
      <c r="R1177" s="128"/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  <c r="AV1177" s="128"/>
      <c r="AW1177" s="128"/>
      <c r="AX1177" s="128"/>
      <c r="AY1177" s="128"/>
      <c r="AZ1177" s="128"/>
      <c r="BA1177" s="128"/>
      <c r="BB1177" s="128"/>
      <c r="BC1177" s="128"/>
      <c r="BD1177" s="128"/>
      <c r="BE1177" s="128"/>
      <c r="BF1177" s="128"/>
      <c r="BG1177" s="128"/>
      <c r="BH1177" s="128"/>
      <c r="BI1177" s="128"/>
      <c r="BJ1177" s="128"/>
      <c r="BK1177" s="128"/>
      <c r="BL1177" s="128"/>
      <c r="BM1177" s="151"/>
      <c r="BN1177" s="128"/>
      <c r="BO1177" s="128"/>
      <c r="BP1177" s="128"/>
      <c r="BQ1177" s="128"/>
      <c r="BR1177" s="128"/>
      <c r="BS1177" s="128"/>
      <c r="BT1177" s="128"/>
      <c r="BU1177" s="128"/>
      <c r="BV1177" s="128"/>
      <c r="BW1177" s="128"/>
      <c r="BX1177" s="128"/>
      <c r="BY1177" s="128"/>
      <c r="BZ1177" s="128"/>
      <c r="CA1177" s="128"/>
      <c r="CB1177" s="128"/>
      <c r="CC1177" s="128"/>
      <c r="CD1177" s="128"/>
      <c r="CE1177" s="128"/>
      <c r="CF1177" s="128"/>
      <c r="CG1177" s="128"/>
      <c r="CH1177" s="128"/>
      <c r="CI1177" s="128"/>
      <c r="CJ1177" s="128"/>
      <c r="CK1177" s="128"/>
      <c r="CL1177" s="128"/>
      <c r="CM1177" s="128"/>
      <c r="CN1177" s="128"/>
      <c r="CO1177" s="128"/>
      <c r="CP1177" s="128"/>
      <c r="CQ1177" s="128"/>
      <c r="CR1177" s="128"/>
      <c r="CS1177" s="128"/>
      <c r="CT1177" s="128"/>
      <c r="CU1177" s="128"/>
      <c r="CV1177" s="128"/>
      <c r="CW1177" s="128"/>
      <c r="CX1177" s="128"/>
      <c r="CY1177" s="128"/>
      <c r="CZ1177" s="128"/>
    </row>
    <row r="1178" spans="1:104">
      <c r="A1178" s="128"/>
      <c r="B1178" s="128"/>
      <c r="C1178" s="128"/>
      <c r="D1178" s="112"/>
      <c r="E1178" s="128"/>
      <c r="F1178" s="128"/>
      <c r="G1178" s="128"/>
      <c r="H1178" s="128"/>
      <c r="I1178" s="128"/>
      <c r="J1178" s="128"/>
      <c r="K1178" s="128"/>
      <c r="L1178" s="128"/>
      <c r="M1178" s="128"/>
      <c r="N1178" s="128"/>
      <c r="O1178" s="128"/>
      <c r="P1178" s="128"/>
      <c r="Q1178" s="128"/>
      <c r="R1178" s="128"/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  <c r="AV1178" s="128"/>
      <c r="AW1178" s="128"/>
      <c r="AX1178" s="128"/>
      <c r="AY1178" s="128"/>
      <c r="AZ1178" s="128"/>
      <c r="BA1178" s="128"/>
      <c r="BB1178" s="128"/>
      <c r="BC1178" s="128"/>
      <c r="BD1178" s="128"/>
      <c r="BE1178" s="128"/>
      <c r="BF1178" s="128"/>
      <c r="BG1178" s="128"/>
      <c r="BH1178" s="128"/>
      <c r="BI1178" s="128"/>
      <c r="BJ1178" s="128"/>
      <c r="BK1178" s="128"/>
      <c r="BL1178" s="128"/>
      <c r="BM1178" s="151"/>
      <c r="BN1178" s="128"/>
      <c r="BO1178" s="128"/>
      <c r="BP1178" s="128"/>
      <c r="BQ1178" s="128"/>
      <c r="BR1178" s="128"/>
      <c r="BS1178" s="128"/>
      <c r="BT1178" s="128"/>
      <c r="BU1178" s="128"/>
      <c r="BV1178" s="128"/>
      <c r="BW1178" s="128"/>
      <c r="BX1178" s="128"/>
      <c r="BY1178" s="128"/>
      <c r="BZ1178" s="128"/>
      <c r="CA1178" s="128"/>
      <c r="CB1178" s="128"/>
      <c r="CC1178" s="128"/>
      <c r="CD1178" s="128"/>
      <c r="CE1178" s="128"/>
      <c r="CF1178" s="128"/>
      <c r="CG1178" s="128"/>
      <c r="CH1178" s="128"/>
      <c r="CI1178" s="128"/>
      <c r="CJ1178" s="128"/>
      <c r="CK1178" s="128"/>
      <c r="CL1178" s="128"/>
      <c r="CM1178" s="128"/>
      <c r="CN1178" s="128"/>
      <c r="CO1178" s="128"/>
      <c r="CP1178" s="128"/>
      <c r="CQ1178" s="128"/>
      <c r="CR1178" s="128"/>
      <c r="CS1178" s="128"/>
      <c r="CT1178" s="128"/>
      <c r="CU1178" s="128"/>
      <c r="CV1178" s="128"/>
      <c r="CW1178" s="128"/>
      <c r="CX1178" s="128"/>
      <c r="CY1178" s="128"/>
      <c r="CZ1178" s="128"/>
    </row>
    <row r="1179" spans="1:104">
      <c r="A1179" s="128"/>
      <c r="B1179" s="128"/>
      <c r="C1179" s="128"/>
      <c r="D1179" s="112"/>
      <c r="E1179" s="128"/>
      <c r="F1179" s="128"/>
      <c r="G1179" s="128"/>
      <c r="H1179" s="128"/>
      <c r="I1179" s="128"/>
      <c r="J1179" s="128"/>
      <c r="K1179" s="128"/>
      <c r="L1179" s="128"/>
      <c r="M1179" s="128"/>
      <c r="N1179" s="128"/>
      <c r="O1179" s="128"/>
      <c r="P1179" s="128"/>
      <c r="Q1179" s="128"/>
      <c r="R1179" s="128"/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  <c r="AV1179" s="128"/>
      <c r="AW1179" s="128"/>
      <c r="AX1179" s="128"/>
      <c r="AY1179" s="128"/>
      <c r="AZ1179" s="128"/>
      <c r="BA1179" s="128"/>
      <c r="BB1179" s="128"/>
      <c r="BC1179" s="128"/>
      <c r="BD1179" s="128"/>
      <c r="BE1179" s="128"/>
      <c r="BF1179" s="128"/>
      <c r="BG1179" s="128"/>
      <c r="BH1179" s="128"/>
      <c r="BI1179" s="128"/>
      <c r="BJ1179" s="128"/>
      <c r="BK1179" s="128"/>
      <c r="BL1179" s="128"/>
      <c r="BM1179" s="151"/>
      <c r="BN1179" s="128"/>
      <c r="BO1179" s="128"/>
      <c r="BP1179" s="128"/>
      <c r="BQ1179" s="128"/>
      <c r="BR1179" s="128"/>
      <c r="BS1179" s="128"/>
      <c r="BT1179" s="128"/>
      <c r="BU1179" s="128"/>
      <c r="BV1179" s="128"/>
      <c r="BW1179" s="128"/>
      <c r="BX1179" s="128"/>
      <c r="BY1179" s="128"/>
      <c r="BZ1179" s="128"/>
      <c r="CA1179" s="128"/>
      <c r="CB1179" s="128"/>
      <c r="CC1179" s="128"/>
      <c r="CD1179" s="128"/>
      <c r="CE1179" s="128"/>
      <c r="CF1179" s="128"/>
      <c r="CG1179" s="128"/>
      <c r="CH1179" s="128"/>
      <c r="CI1179" s="128"/>
      <c r="CJ1179" s="128"/>
      <c r="CK1179" s="128"/>
      <c r="CL1179" s="128"/>
      <c r="CM1179" s="128"/>
      <c r="CN1179" s="128"/>
      <c r="CO1179" s="128"/>
      <c r="CP1179" s="128"/>
      <c r="CQ1179" s="128"/>
      <c r="CR1179" s="128"/>
      <c r="CS1179" s="128"/>
      <c r="CT1179" s="128"/>
      <c r="CU1179" s="128"/>
      <c r="CV1179" s="128"/>
      <c r="CW1179" s="128"/>
      <c r="CX1179" s="128"/>
      <c r="CY1179" s="128"/>
      <c r="CZ1179" s="128"/>
    </row>
    <row r="1180" spans="1:104">
      <c r="A1180" s="128"/>
      <c r="B1180" s="128"/>
      <c r="C1180" s="128"/>
      <c r="D1180" s="112"/>
      <c r="E1180" s="128"/>
      <c r="F1180" s="128"/>
      <c r="G1180" s="128"/>
      <c r="H1180" s="128"/>
      <c r="I1180" s="128"/>
      <c r="J1180" s="128"/>
      <c r="K1180" s="128"/>
      <c r="L1180" s="128"/>
      <c r="M1180" s="128"/>
      <c r="N1180" s="128"/>
      <c r="O1180" s="128"/>
      <c r="P1180" s="128"/>
      <c r="Q1180" s="128"/>
      <c r="R1180" s="128"/>
      <c r="S1180" s="128"/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  <c r="AV1180" s="128"/>
      <c r="AW1180" s="128"/>
      <c r="AX1180" s="128"/>
      <c r="AY1180" s="128"/>
      <c r="AZ1180" s="128"/>
      <c r="BA1180" s="128"/>
      <c r="BB1180" s="128"/>
      <c r="BC1180" s="128"/>
      <c r="BD1180" s="128"/>
      <c r="BE1180" s="128"/>
      <c r="BF1180" s="128"/>
      <c r="BG1180" s="128"/>
      <c r="BH1180" s="128"/>
      <c r="BI1180" s="128"/>
      <c r="BJ1180" s="128"/>
      <c r="BK1180" s="128"/>
      <c r="BL1180" s="128"/>
      <c r="BM1180" s="151"/>
      <c r="BN1180" s="128"/>
      <c r="BO1180" s="128"/>
      <c r="BP1180" s="128"/>
      <c r="BQ1180" s="128"/>
      <c r="BR1180" s="128"/>
      <c r="BS1180" s="128"/>
      <c r="BT1180" s="128"/>
      <c r="BU1180" s="128"/>
      <c r="BV1180" s="128"/>
      <c r="BW1180" s="128"/>
      <c r="BX1180" s="128"/>
      <c r="BY1180" s="128"/>
      <c r="BZ1180" s="128"/>
      <c r="CA1180" s="128"/>
      <c r="CB1180" s="128"/>
      <c r="CC1180" s="128"/>
      <c r="CD1180" s="128"/>
      <c r="CE1180" s="128"/>
      <c r="CF1180" s="128"/>
      <c r="CG1180" s="128"/>
      <c r="CH1180" s="128"/>
      <c r="CI1180" s="128"/>
      <c r="CJ1180" s="128"/>
      <c r="CK1180" s="128"/>
      <c r="CL1180" s="128"/>
      <c r="CM1180" s="128"/>
      <c r="CN1180" s="128"/>
      <c r="CO1180" s="128"/>
      <c r="CP1180" s="128"/>
      <c r="CQ1180" s="128"/>
      <c r="CR1180" s="128"/>
      <c r="CS1180" s="128"/>
      <c r="CT1180" s="128"/>
      <c r="CU1180" s="128"/>
      <c r="CV1180" s="128"/>
      <c r="CW1180" s="128"/>
      <c r="CX1180" s="128"/>
      <c r="CY1180" s="128"/>
      <c r="CZ1180" s="128"/>
    </row>
    <row r="1181" spans="1:104">
      <c r="A1181" s="128"/>
      <c r="B1181" s="128"/>
      <c r="C1181" s="128"/>
      <c r="D1181" s="112"/>
      <c r="E1181" s="128"/>
      <c r="F1181" s="128"/>
      <c r="G1181" s="128"/>
      <c r="H1181" s="128"/>
      <c r="I1181" s="128"/>
      <c r="J1181" s="128"/>
      <c r="K1181" s="128"/>
      <c r="L1181" s="128"/>
      <c r="M1181" s="128"/>
      <c r="N1181" s="128"/>
      <c r="O1181" s="128"/>
      <c r="P1181" s="128"/>
      <c r="Q1181" s="128"/>
      <c r="R1181" s="128"/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  <c r="AV1181" s="128"/>
      <c r="AW1181" s="128"/>
      <c r="AX1181" s="128"/>
      <c r="AY1181" s="128"/>
      <c r="AZ1181" s="128"/>
      <c r="BA1181" s="128"/>
      <c r="BB1181" s="128"/>
      <c r="BC1181" s="128"/>
      <c r="BD1181" s="128"/>
      <c r="BE1181" s="128"/>
      <c r="BF1181" s="128"/>
      <c r="BG1181" s="128"/>
      <c r="BH1181" s="128"/>
      <c r="BI1181" s="128"/>
      <c r="BJ1181" s="128"/>
      <c r="BK1181" s="128"/>
      <c r="BL1181" s="128"/>
      <c r="BM1181" s="151"/>
      <c r="BN1181" s="128"/>
      <c r="BO1181" s="128"/>
      <c r="BP1181" s="128"/>
      <c r="BQ1181" s="128"/>
      <c r="BR1181" s="128"/>
      <c r="BS1181" s="128"/>
      <c r="BT1181" s="128"/>
      <c r="BU1181" s="128"/>
      <c r="BV1181" s="128"/>
      <c r="BW1181" s="128"/>
      <c r="BX1181" s="128"/>
      <c r="BY1181" s="128"/>
      <c r="BZ1181" s="128"/>
      <c r="CA1181" s="128"/>
      <c r="CB1181" s="128"/>
      <c r="CC1181" s="128"/>
      <c r="CD1181" s="128"/>
      <c r="CE1181" s="128"/>
      <c r="CF1181" s="128"/>
      <c r="CG1181" s="128"/>
      <c r="CH1181" s="128"/>
      <c r="CI1181" s="128"/>
      <c r="CJ1181" s="128"/>
      <c r="CK1181" s="128"/>
      <c r="CL1181" s="128"/>
      <c r="CM1181" s="128"/>
      <c r="CN1181" s="128"/>
      <c r="CO1181" s="128"/>
      <c r="CP1181" s="128"/>
      <c r="CQ1181" s="128"/>
      <c r="CR1181" s="128"/>
      <c r="CS1181" s="128"/>
      <c r="CT1181" s="128"/>
      <c r="CU1181" s="128"/>
      <c r="CV1181" s="128"/>
      <c r="CW1181" s="128"/>
      <c r="CX1181" s="128"/>
      <c r="CY1181" s="128"/>
      <c r="CZ1181" s="128"/>
    </row>
    <row r="1182" spans="1:104">
      <c r="A1182" s="128"/>
      <c r="B1182" s="128"/>
      <c r="C1182" s="128"/>
      <c r="D1182" s="112"/>
      <c r="E1182" s="128"/>
      <c r="F1182" s="128"/>
      <c r="G1182" s="128"/>
      <c r="H1182" s="128"/>
      <c r="I1182" s="128"/>
      <c r="J1182" s="128"/>
      <c r="K1182" s="128"/>
      <c r="L1182" s="128"/>
      <c r="M1182" s="128"/>
      <c r="N1182" s="128"/>
      <c r="O1182" s="128"/>
      <c r="P1182" s="128"/>
      <c r="Q1182" s="128"/>
      <c r="R1182" s="128"/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  <c r="AV1182" s="128"/>
      <c r="AW1182" s="128"/>
      <c r="AX1182" s="128"/>
      <c r="AY1182" s="128"/>
      <c r="AZ1182" s="128"/>
      <c r="BA1182" s="128"/>
      <c r="BB1182" s="128"/>
      <c r="BC1182" s="128"/>
      <c r="BD1182" s="128"/>
      <c r="BE1182" s="128"/>
      <c r="BF1182" s="128"/>
      <c r="BG1182" s="128"/>
      <c r="BH1182" s="128"/>
      <c r="BI1182" s="128"/>
      <c r="BJ1182" s="128"/>
      <c r="BK1182" s="128"/>
      <c r="BL1182" s="128"/>
      <c r="BM1182" s="151"/>
      <c r="BN1182" s="128"/>
      <c r="BO1182" s="128"/>
      <c r="BP1182" s="128"/>
      <c r="BQ1182" s="128"/>
      <c r="BR1182" s="128"/>
      <c r="BS1182" s="128"/>
      <c r="BT1182" s="128"/>
      <c r="BU1182" s="128"/>
      <c r="BV1182" s="128"/>
      <c r="BW1182" s="128"/>
      <c r="BX1182" s="128"/>
      <c r="BY1182" s="128"/>
      <c r="BZ1182" s="128"/>
      <c r="CA1182" s="128"/>
      <c r="CB1182" s="128"/>
      <c r="CC1182" s="128"/>
      <c r="CD1182" s="128"/>
      <c r="CE1182" s="128"/>
      <c r="CF1182" s="128"/>
      <c r="CG1182" s="128"/>
      <c r="CH1182" s="128"/>
      <c r="CI1182" s="128"/>
      <c r="CJ1182" s="128"/>
      <c r="CK1182" s="128"/>
      <c r="CL1182" s="128"/>
      <c r="CM1182" s="128"/>
      <c r="CN1182" s="128"/>
      <c r="CO1182" s="128"/>
      <c r="CP1182" s="128"/>
      <c r="CQ1182" s="128"/>
      <c r="CR1182" s="128"/>
      <c r="CS1182" s="128"/>
      <c r="CT1182" s="128"/>
      <c r="CU1182" s="128"/>
      <c r="CV1182" s="128"/>
      <c r="CW1182" s="128"/>
      <c r="CX1182" s="128"/>
      <c r="CY1182" s="128"/>
      <c r="CZ1182" s="128"/>
    </row>
    <row r="1183" spans="1:104">
      <c r="A1183" s="128"/>
      <c r="B1183" s="128"/>
      <c r="C1183" s="128"/>
      <c r="D1183" s="112"/>
      <c r="E1183" s="128"/>
      <c r="F1183" s="128"/>
      <c r="G1183" s="128"/>
      <c r="H1183" s="128"/>
      <c r="I1183" s="128"/>
      <c r="J1183" s="128"/>
      <c r="K1183" s="128"/>
      <c r="L1183" s="128"/>
      <c r="M1183" s="128"/>
      <c r="N1183" s="128"/>
      <c r="O1183" s="128"/>
      <c r="P1183" s="128"/>
      <c r="Q1183" s="128"/>
      <c r="R1183" s="128"/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  <c r="AV1183" s="128"/>
      <c r="AW1183" s="128"/>
      <c r="AX1183" s="128"/>
      <c r="AY1183" s="128"/>
      <c r="AZ1183" s="128"/>
      <c r="BA1183" s="128"/>
      <c r="BB1183" s="128"/>
      <c r="BC1183" s="128"/>
      <c r="BD1183" s="128"/>
      <c r="BE1183" s="128"/>
      <c r="BF1183" s="128"/>
      <c r="BG1183" s="128"/>
      <c r="BH1183" s="128"/>
      <c r="BI1183" s="128"/>
      <c r="BJ1183" s="128"/>
      <c r="BK1183" s="128"/>
      <c r="BL1183" s="128"/>
      <c r="BM1183" s="151"/>
      <c r="BN1183" s="128"/>
      <c r="BO1183" s="128"/>
      <c r="BP1183" s="128"/>
      <c r="BQ1183" s="128"/>
      <c r="BR1183" s="128"/>
      <c r="BS1183" s="128"/>
      <c r="BT1183" s="128"/>
      <c r="BU1183" s="128"/>
      <c r="BV1183" s="128"/>
      <c r="BW1183" s="128"/>
      <c r="BX1183" s="128"/>
      <c r="BY1183" s="128"/>
      <c r="BZ1183" s="128"/>
      <c r="CA1183" s="128"/>
      <c r="CB1183" s="128"/>
      <c r="CC1183" s="128"/>
      <c r="CD1183" s="128"/>
      <c r="CE1183" s="128"/>
      <c r="CF1183" s="128"/>
      <c r="CG1183" s="128"/>
      <c r="CH1183" s="128"/>
      <c r="CI1183" s="128"/>
      <c r="CJ1183" s="128"/>
      <c r="CK1183" s="128"/>
      <c r="CL1183" s="128"/>
      <c r="CM1183" s="128"/>
      <c r="CN1183" s="128"/>
      <c r="CO1183" s="128"/>
      <c r="CP1183" s="128"/>
      <c r="CQ1183" s="128"/>
      <c r="CR1183" s="128"/>
      <c r="CS1183" s="128"/>
      <c r="CT1183" s="128"/>
      <c r="CU1183" s="128"/>
      <c r="CV1183" s="128"/>
      <c r="CW1183" s="128"/>
      <c r="CX1183" s="128"/>
      <c r="CY1183" s="128"/>
      <c r="CZ1183" s="128"/>
    </row>
    <row r="1184" spans="1:104">
      <c r="A1184" s="128"/>
      <c r="B1184" s="128"/>
      <c r="C1184" s="128"/>
      <c r="D1184" s="112"/>
      <c r="E1184" s="128"/>
      <c r="F1184" s="128"/>
      <c r="G1184" s="128"/>
      <c r="H1184" s="128"/>
      <c r="I1184" s="128"/>
      <c r="J1184" s="128"/>
      <c r="K1184" s="128"/>
      <c r="L1184" s="128"/>
      <c r="M1184" s="128"/>
      <c r="N1184" s="128"/>
      <c r="O1184" s="128"/>
      <c r="P1184" s="128"/>
      <c r="Q1184" s="128"/>
      <c r="R1184" s="128"/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  <c r="AV1184" s="128"/>
      <c r="AW1184" s="128"/>
      <c r="AX1184" s="128"/>
      <c r="AY1184" s="128"/>
      <c r="AZ1184" s="128"/>
      <c r="BA1184" s="128"/>
      <c r="BB1184" s="128"/>
      <c r="BC1184" s="128"/>
      <c r="BD1184" s="128"/>
      <c r="BE1184" s="128"/>
      <c r="BF1184" s="128"/>
      <c r="BG1184" s="128"/>
      <c r="BH1184" s="128"/>
      <c r="BI1184" s="128"/>
      <c r="BJ1184" s="128"/>
      <c r="BK1184" s="128"/>
      <c r="BL1184" s="128"/>
      <c r="BM1184" s="151"/>
      <c r="BN1184" s="128"/>
      <c r="BO1184" s="128"/>
      <c r="BP1184" s="128"/>
      <c r="BQ1184" s="128"/>
      <c r="BR1184" s="128"/>
      <c r="BS1184" s="128"/>
      <c r="BT1184" s="128"/>
      <c r="BU1184" s="128"/>
      <c r="BV1184" s="128"/>
      <c r="BW1184" s="128"/>
      <c r="BX1184" s="128"/>
      <c r="BY1184" s="128"/>
      <c r="BZ1184" s="128"/>
      <c r="CA1184" s="128"/>
      <c r="CB1184" s="128"/>
      <c r="CC1184" s="128"/>
      <c r="CD1184" s="128"/>
      <c r="CE1184" s="128"/>
      <c r="CF1184" s="128"/>
      <c r="CG1184" s="128"/>
      <c r="CH1184" s="128"/>
      <c r="CI1184" s="128"/>
      <c r="CJ1184" s="128"/>
      <c r="CK1184" s="128"/>
      <c r="CL1184" s="128"/>
      <c r="CM1184" s="128"/>
      <c r="CN1184" s="128"/>
      <c r="CO1184" s="128"/>
      <c r="CP1184" s="128"/>
      <c r="CQ1184" s="128"/>
      <c r="CR1184" s="128"/>
      <c r="CS1184" s="128"/>
      <c r="CT1184" s="128"/>
      <c r="CU1184" s="128"/>
      <c r="CV1184" s="128"/>
      <c r="CW1184" s="128"/>
      <c r="CX1184" s="128"/>
      <c r="CY1184" s="128"/>
      <c r="CZ1184" s="128"/>
    </row>
    <row r="1185" spans="1:104">
      <c r="A1185" s="128"/>
      <c r="B1185" s="128"/>
      <c r="C1185" s="128"/>
      <c r="D1185" s="112"/>
      <c r="E1185" s="128"/>
      <c r="F1185" s="128"/>
      <c r="G1185" s="128"/>
      <c r="H1185" s="128"/>
      <c r="I1185" s="128"/>
      <c r="J1185" s="128"/>
      <c r="K1185" s="128"/>
      <c r="L1185" s="128"/>
      <c r="M1185" s="128"/>
      <c r="N1185" s="128"/>
      <c r="O1185" s="128"/>
      <c r="P1185" s="128"/>
      <c r="Q1185" s="128"/>
      <c r="R1185" s="128"/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  <c r="AV1185" s="128"/>
      <c r="AW1185" s="128"/>
      <c r="AX1185" s="128"/>
      <c r="AY1185" s="128"/>
      <c r="AZ1185" s="128"/>
      <c r="BA1185" s="128"/>
      <c r="BB1185" s="128"/>
      <c r="BC1185" s="128"/>
      <c r="BD1185" s="128"/>
      <c r="BE1185" s="128"/>
      <c r="BF1185" s="128"/>
      <c r="BG1185" s="128"/>
      <c r="BH1185" s="128"/>
      <c r="BI1185" s="128"/>
      <c r="BJ1185" s="128"/>
      <c r="BK1185" s="128"/>
      <c r="BL1185" s="128"/>
      <c r="BM1185" s="151"/>
      <c r="BN1185" s="128"/>
      <c r="BO1185" s="128"/>
      <c r="BP1185" s="128"/>
      <c r="BQ1185" s="128"/>
      <c r="BR1185" s="128"/>
      <c r="BS1185" s="128"/>
      <c r="BT1185" s="128"/>
      <c r="BU1185" s="128"/>
      <c r="BV1185" s="128"/>
      <c r="BW1185" s="128"/>
      <c r="BX1185" s="128"/>
      <c r="BY1185" s="128"/>
      <c r="BZ1185" s="128"/>
      <c r="CA1185" s="128"/>
      <c r="CB1185" s="128"/>
      <c r="CC1185" s="128"/>
      <c r="CD1185" s="128"/>
      <c r="CE1185" s="128"/>
      <c r="CF1185" s="128"/>
      <c r="CG1185" s="128"/>
      <c r="CH1185" s="128"/>
      <c r="CI1185" s="128"/>
      <c r="CJ1185" s="128"/>
      <c r="CK1185" s="128"/>
      <c r="CL1185" s="128"/>
      <c r="CM1185" s="128"/>
      <c r="CN1185" s="128"/>
      <c r="CO1185" s="128"/>
      <c r="CP1185" s="128"/>
      <c r="CQ1185" s="128"/>
      <c r="CR1185" s="128"/>
      <c r="CS1185" s="128"/>
      <c r="CT1185" s="128"/>
      <c r="CU1185" s="128"/>
      <c r="CV1185" s="128"/>
      <c r="CW1185" s="128"/>
      <c r="CX1185" s="128"/>
      <c r="CY1185" s="128"/>
      <c r="CZ1185" s="128"/>
    </row>
    <row r="1186" spans="1:104">
      <c r="A1186" s="128"/>
      <c r="B1186" s="128"/>
      <c r="C1186" s="128"/>
      <c r="D1186" s="112"/>
      <c r="E1186" s="128"/>
      <c r="F1186" s="128"/>
      <c r="G1186" s="128"/>
      <c r="H1186" s="128"/>
      <c r="I1186" s="128"/>
      <c r="J1186" s="128"/>
      <c r="K1186" s="128"/>
      <c r="L1186" s="128"/>
      <c r="M1186" s="128"/>
      <c r="N1186" s="128"/>
      <c r="O1186" s="128"/>
      <c r="P1186" s="128"/>
      <c r="Q1186" s="128"/>
      <c r="R1186" s="128"/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  <c r="AV1186" s="128"/>
      <c r="AW1186" s="128"/>
      <c r="AX1186" s="128"/>
      <c r="AY1186" s="128"/>
      <c r="AZ1186" s="128"/>
      <c r="BA1186" s="128"/>
      <c r="BB1186" s="128"/>
      <c r="BC1186" s="128"/>
      <c r="BD1186" s="128"/>
      <c r="BE1186" s="128"/>
      <c r="BF1186" s="128"/>
      <c r="BG1186" s="128"/>
      <c r="BH1186" s="128"/>
      <c r="BI1186" s="128"/>
      <c r="BJ1186" s="128"/>
      <c r="BK1186" s="128"/>
      <c r="BL1186" s="128"/>
      <c r="BM1186" s="151"/>
      <c r="BN1186" s="128"/>
      <c r="BO1186" s="128"/>
      <c r="BP1186" s="128"/>
      <c r="BQ1186" s="128"/>
      <c r="BR1186" s="128"/>
      <c r="BS1186" s="128"/>
      <c r="BT1186" s="128"/>
      <c r="BU1186" s="128"/>
      <c r="BV1186" s="128"/>
      <c r="BW1186" s="128"/>
      <c r="BX1186" s="128"/>
      <c r="BY1186" s="128"/>
      <c r="BZ1186" s="128"/>
      <c r="CA1186" s="128"/>
      <c r="CB1186" s="128"/>
      <c r="CC1186" s="128"/>
      <c r="CD1186" s="128"/>
      <c r="CE1186" s="128"/>
      <c r="CF1186" s="128"/>
      <c r="CG1186" s="128"/>
      <c r="CH1186" s="128"/>
      <c r="CI1186" s="128"/>
      <c r="CJ1186" s="128"/>
      <c r="CK1186" s="128"/>
      <c r="CL1186" s="128"/>
      <c r="CM1186" s="128"/>
      <c r="CN1186" s="128"/>
      <c r="CO1186" s="128"/>
      <c r="CP1186" s="128"/>
      <c r="CQ1186" s="128"/>
      <c r="CR1186" s="128"/>
      <c r="CS1186" s="128"/>
      <c r="CT1186" s="128"/>
      <c r="CU1186" s="128"/>
      <c r="CV1186" s="128"/>
      <c r="CW1186" s="128"/>
      <c r="CX1186" s="128"/>
      <c r="CY1186" s="128"/>
      <c r="CZ1186" s="128"/>
    </row>
    <row r="1187" spans="1:104">
      <c r="A1187" s="128"/>
      <c r="B1187" s="128"/>
      <c r="C1187" s="128"/>
      <c r="D1187" s="112"/>
      <c r="E1187" s="128"/>
      <c r="F1187" s="128"/>
      <c r="G1187" s="128"/>
      <c r="H1187" s="128"/>
      <c r="I1187" s="128"/>
      <c r="J1187" s="128"/>
      <c r="K1187" s="128"/>
      <c r="L1187" s="128"/>
      <c r="M1187" s="128"/>
      <c r="N1187" s="128"/>
      <c r="O1187" s="128"/>
      <c r="P1187" s="128"/>
      <c r="Q1187" s="128"/>
      <c r="R1187" s="128"/>
      <c r="S1187" s="128"/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  <c r="AV1187" s="128"/>
      <c r="AW1187" s="128"/>
      <c r="AX1187" s="128"/>
      <c r="AY1187" s="128"/>
      <c r="AZ1187" s="128"/>
      <c r="BA1187" s="128"/>
      <c r="BB1187" s="128"/>
      <c r="BC1187" s="128"/>
      <c r="BD1187" s="128"/>
      <c r="BE1187" s="128"/>
      <c r="BF1187" s="128"/>
      <c r="BG1187" s="128"/>
      <c r="BH1187" s="128"/>
      <c r="BI1187" s="128"/>
      <c r="BJ1187" s="128"/>
      <c r="BK1187" s="128"/>
      <c r="BL1187" s="128"/>
      <c r="BM1187" s="151"/>
      <c r="BN1187" s="128"/>
      <c r="BO1187" s="128"/>
      <c r="BP1187" s="128"/>
      <c r="BQ1187" s="128"/>
      <c r="BR1187" s="128"/>
      <c r="BS1187" s="128"/>
      <c r="BT1187" s="128"/>
      <c r="BU1187" s="128"/>
      <c r="BV1187" s="128"/>
      <c r="BW1187" s="128"/>
      <c r="BX1187" s="128"/>
      <c r="BY1187" s="128"/>
      <c r="BZ1187" s="128"/>
      <c r="CA1187" s="128"/>
      <c r="CB1187" s="128"/>
      <c r="CC1187" s="128"/>
      <c r="CD1187" s="128"/>
      <c r="CE1187" s="128"/>
      <c r="CF1187" s="128"/>
      <c r="CG1187" s="128"/>
      <c r="CH1187" s="128"/>
      <c r="CI1187" s="128"/>
      <c r="CJ1187" s="128"/>
      <c r="CK1187" s="128"/>
      <c r="CL1187" s="128"/>
      <c r="CM1187" s="128"/>
      <c r="CN1187" s="128"/>
      <c r="CO1187" s="128"/>
      <c r="CP1187" s="128"/>
      <c r="CQ1187" s="128"/>
      <c r="CR1187" s="128"/>
      <c r="CS1187" s="128"/>
      <c r="CT1187" s="128"/>
      <c r="CU1187" s="128"/>
      <c r="CV1187" s="128"/>
      <c r="CW1187" s="128"/>
      <c r="CX1187" s="128"/>
      <c r="CY1187" s="128"/>
      <c r="CZ1187" s="128"/>
    </row>
    <row r="1188" spans="1:104">
      <c r="A1188" s="128"/>
      <c r="B1188" s="128"/>
      <c r="C1188" s="128"/>
      <c r="D1188" s="112"/>
      <c r="E1188" s="128"/>
      <c r="F1188" s="128"/>
      <c r="G1188" s="128"/>
      <c r="H1188" s="128"/>
      <c r="I1188" s="128"/>
      <c r="J1188" s="128"/>
      <c r="K1188" s="128"/>
      <c r="L1188" s="128"/>
      <c r="M1188" s="128"/>
      <c r="N1188" s="128"/>
      <c r="O1188" s="128"/>
      <c r="P1188" s="128"/>
      <c r="Q1188" s="128"/>
      <c r="R1188" s="128"/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  <c r="AV1188" s="128"/>
      <c r="AW1188" s="128"/>
      <c r="AX1188" s="128"/>
      <c r="AY1188" s="128"/>
      <c r="AZ1188" s="128"/>
      <c r="BA1188" s="128"/>
      <c r="BB1188" s="128"/>
      <c r="BC1188" s="128"/>
      <c r="BD1188" s="128"/>
      <c r="BE1188" s="128"/>
      <c r="BF1188" s="128"/>
      <c r="BG1188" s="128"/>
      <c r="BH1188" s="128"/>
      <c r="BI1188" s="128"/>
      <c r="BJ1188" s="128"/>
      <c r="BK1188" s="128"/>
      <c r="BL1188" s="128"/>
      <c r="BM1188" s="151"/>
      <c r="BN1188" s="128"/>
      <c r="BO1188" s="128"/>
      <c r="BP1188" s="128"/>
      <c r="BQ1188" s="128"/>
      <c r="BR1188" s="128"/>
      <c r="BS1188" s="128"/>
      <c r="BT1188" s="128"/>
      <c r="BU1188" s="128"/>
      <c r="BV1188" s="128"/>
      <c r="BW1188" s="128"/>
      <c r="BX1188" s="128"/>
      <c r="BY1188" s="128"/>
      <c r="BZ1188" s="128"/>
      <c r="CA1188" s="128"/>
      <c r="CB1188" s="128"/>
      <c r="CC1188" s="128"/>
      <c r="CD1188" s="128"/>
      <c r="CE1188" s="128"/>
      <c r="CF1188" s="128"/>
      <c r="CG1188" s="128"/>
      <c r="CH1188" s="128"/>
      <c r="CI1188" s="128"/>
      <c r="CJ1188" s="128"/>
      <c r="CK1188" s="128"/>
      <c r="CL1188" s="128"/>
      <c r="CM1188" s="128"/>
      <c r="CN1188" s="128"/>
      <c r="CO1188" s="128"/>
      <c r="CP1188" s="128"/>
      <c r="CQ1188" s="128"/>
      <c r="CR1188" s="128"/>
      <c r="CS1188" s="128"/>
      <c r="CT1188" s="128"/>
      <c r="CU1188" s="128"/>
      <c r="CV1188" s="128"/>
      <c r="CW1188" s="128"/>
      <c r="CX1188" s="128"/>
      <c r="CY1188" s="128"/>
      <c r="CZ1188" s="128"/>
    </row>
    <row r="1189" spans="1:104">
      <c r="A1189" s="128"/>
      <c r="B1189" s="128"/>
      <c r="C1189" s="128"/>
      <c r="D1189" s="112"/>
      <c r="E1189" s="128"/>
      <c r="F1189" s="128"/>
      <c r="G1189" s="128"/>
      <c r="H1189" s="128"/>
      <c r="I1189" s="128"/>
      <c r="J1189" s="128"/>
      <c r="K1189" s="128"/>
      <c r="L1189" s="128"/>
      <c r="M1189" s="128"/>
      <c r="N1189" s="128"/>
      <c r="O1189" s="128"/>
      <c r="P1189" s="128"/>
      <c r="Q1189" s="128"/>
      <c r="R1189" s="128"/>
      <c r="S1189" s="128"/>
      <c r="T1189" s="128"/>
      <c r="U1189" s="128"/>
      <c r="V1189" s="128"/>
      <c r="W1189" s="128"/>
      <c r="X1189" s="128"/>
      <c r="Y1189" s="128"/>
      <c r="Z1189" s="128"/>
      <c r="AA1189" s="128"/>
      <c r="AB1189" s="128"/>
      <c r="AC1189" s="128"/>
      <c r="AD1189" s="128"/>
      <c r="AE1189" s="128"/>
      <c r="AF1189" s="128"/>
      <c r="AG1189" s="128"/>
      <c r="AH1189" s="128"/>
      <c r="AI1189" s="128"/>
      <c r="AJ1189" s="128"/>
      <c r="AK1189" s="128"/>
      <c r="AL1189" s="128"/>
      <c r="AM1189" s="128"/>
      <c r="AN1189" s="128"/>
      <c r="AO1189" s="128"/>
      <c r="AP1189" s="128"/>
      <c r="AQ1189" s="128"/>
      <c r="AR1189" s="128"/>
      <c r="AS1189" s="128"/>
      <c r="AT1189" s="128"/>
      <c r="AU1189" s="128"/>
      <c r="AV1189" s="128"/>
      <c r="AW1189" s="128"/>
      <c r="AX1189" s="128"/>
      <c r="AY1189" s="128"/>
      <c r="AZ1189" s="128"/>
      <c r="BA1189" s="128"/>
      <c r="BB1189" s="128"/>
      <c r="BC1189" s="128"/>
      <c r="BD1189" s="128"/>
      <c r="BE1189" s="128"/>
      <c r="BF1189" s="128"/>
      <c r="BG1189" s="128"/>
      <c r="BH1189" s="128"/>
      <c r="BI1189" s="128"/>
      <c r="BJ1189" s="128"/>
      <c r="BK1189" s="128"/>
      <c r="BL1189" s="128"/>
      <c r="BM1189" s="151"/>
      <c r="BN1189" s="128"/>
      <c r="BO1189" s="128"/>
      <c r="BP1189" s="128"/>
      <c r="BQ1189" s="128"/>
      <c r="BR1189" s="128"/>
      <c r="BS1189" s="128"/>
      <c r="BT1189" s="128"/>
      <c r="BU1189" s="128"/>
      <c r="BV1189" s="128"/>
      <c r="BW1189" s="128"/>
      <c r="BX1189" s="128"/>
      <c r="BY1189" s="128"/>
      <c r="BZ1189" s="128"/>
      <c r="CA1189" s="128"/>
      <c r="CB1189" s="128"/>
      <c r="CC1189" s="128"/>
      <c r="CD1189" s="128"/>
      <c r="CE1189" s="128"/>
      <c r="CF1189" s="128"/>
      <c r="CG1189" s="128"/>
      <c r="CH1189" s="128"/>
      <c r="CI1189" s="128"/>
      <c r="CJ1189" s="128"/>
      <c r="CK1189" s="128"/>
      <c r="CL1189" s="128"/>
      <c r="CM1189" s="128"/>
      <c r="CN1189" s="128"/>
      <c r="CO1189" s="128"/>
      <c r="CP1189" s="128"/>
      <c r="CQ1189" s="128"/>
      <c r="CR1189" s="128"/>
      <c r="CS1189" s="128"/>
      <c r="CT1189" s="128"/>
      <c r="CU1189" s="128"/>
      <c r="CV1189" s="128"/>
      <c r="CW1189" s="128"/>
      <c r="CX1189" s="128"/>
      <c r="CY1189" s="128"/>
      <c r="CZ1189" s="128"/>
    </row>
    <row r="1190" spans="1:104">
      <c r="A1190" s="128"/>
      <c r="B1190" s="128"/>
      <c r="C1190" s="128"/>
      <c r="D1190" s="112"/>
      <c r="E1190" s="128"/>
      <c r="F1190" s="128"/>
      <c r="G1190" s="128"/>
      <c r="H1190" s="128"/>
      <c r="I1190" s="128"/>
      <c r="J1190" s="128"/>
      <c r="K1190" s="128"/>
      <c r="L1190" s="128"/>
      <c r="M1190" s="128"/>
      <c r="N1190" s="128"/>
      <c r="O1190" s="128"/>
      <c r="P1190" s="128"/>
      <c r="Q1190" s="128"/>
      <c r="R1190" s="128"/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  <c r="AV1190" s="128"/>
      <c r="AW1190" s="128"/>
      <c r="AX1190" s="128"/>
      <c r="AY1190" s="128"/>
      <c r="AZ1190" s="128"/>
      <c r="BA1190" s="128"/>
      <c r="BB1190" s="128"/>
      <c r="BC1190" s="128"/>
      <c r="BD1190" s="128"/>
      <c r="BE1190" s="128"/>
      <c r="BF1190" s="128"/>
      <c r="BG1190" s="128"/>
      <c r="BH1190" s="128"/>
      <c r="BI1190" s="128"/>
      <c r="BJ1190" s="128"/>
      <c r="BK1190" s="128"/>
      <c r="BL1190" s="128"/>
      <c r="BM1190" s="151"/>
      <c r="BN1190" s="128"/>
      <c r="BO1190" s="128"/>
      <c r="BP1190" s="128"/>
      <c r="BQ1190" s="128"/>
      <c r="BR1190" s="128"/>
      <c r="BS1190" s="128"/>
      <c r="BT1190" s="128"/>
      <c r="BU1190" s="128"/>
      <c r="BV1190" s="128"/>
      <c r="BW1190" s="128"/>
      <c r="BX1190" s="128"/>
      <c r="BY1190" s="128"/>
      <c r="BZ1190" s="128"/>
      <c r="CA1190" s="128"/>
      <c r="CB1190" s="128"/>
      <c r="CC1190" s="128"/>
      <c r="CD1190" s="128"/>
      <c r="CE1190" s="128"/>
      <c r="CF1190" s="128"/>
      <c r="CG1190" s="128"/>
      <c r="CH1190" s="128"/>
      <c r="CI1190" s="128"/>
      <c r="CJ1190" s="128"/>
      <c r="CK1190" s="128"/>
      <c r="CL1190" s="128"/>
      <c r="CM1190" s="128"/>
      <c r="CN1190" s="128"/>
      <c r="CO1190" s="128"/>
      <c r="CP1190" s="128"/>
      <c r="CQ1190" s="128"/>
      <c r="CR1190" s="128"/>
      <c r="CS1190" s="128"/>
      <c r="CT1190" s="128"/>
      <c r="CU1190" s="128"/>
      <c r="CV1190" s="128"/>
      <c r="CW1190" s="128"/>
      <c r="CX1190" s="128"/>
      <c r="CY1190" s="128"/>
      <c r="CZ1190" s="128"/>
    </row>
    <row r="1191" spans="1:104">
      <c r="A1191" s="128"/>
      <c r="B1191" s="128"/>
      <c r="C1191" s="128"/>
      <c r="D1191" s="112"/>
      <c r="E1191" s="128"/>
      <c r="F1191" s="128"/>
      <c r="G1191" s="128"/>
      <c r="H1191" s="128"/>
      <c r="I1191" s="128"/>
      <c r="J1191" s="128"/>
      <c r="K1191" s="128"/>
      <c r="L1191" s="128"/>
      <c r="M1191" s="128"/>
      <c r="N1191" s="128"/>
      <c r="O1191" s="128"/>
      <c r="P1191" s="128"/>
      <c r="Q1191" s="128"/>
      <c r="R1191" s="128"/>
      <c r="S1191" s="128"/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  <c r="AV1191" s="128"/>
      <c r="AW1191" s="128"/>
      <c r="AX1191" s="128"/>
      <c r="AY1191" s="128"/>
      <c r="AZ1191" s="128"/>
      <c r="BA1191" s="128"/>
      <c r="BB1191" s="128"/>
      <c r="BC1191" s="128"/>
      <c r="BD1191" s="128"/>
      <c r="BE1191" s="128"/>
      <c r="BF1191" s="128"/>
      <c r="BG1191" s="128"/>
      <c r="BH1191" s="128"/>
      <c r="BI1191" s="128"/>
      <c r="BJ1191" s="128"/>
      <c r="BK1191" s="128"/>
      <c r="BL1191" s="128"/>
      <c r="BM1191" s="151"/>
      <c r="BN1191" s="128"/>
      <c r="BO1191" s="128"/>
      <c r="BP1191" s="128"/>
      <c r="BQ1191" s="128"/>
      <c r="BR1191" s="128"/>
      <c r="BS1191" s="128"/>
      <c r="BT1191" s="128"/>
      <c r="BU1191" s="128"/>
      <c r="BV1191" s="128"/>
      <c r="BW1191" s="128"/>
      <c r="BX1191" s="128"/>
      <c r="BY1191" s="128"/>
      <c r="BZ1191" s="128"/>
      <c r="CA1191" s="128"/>
      <c r="CB1191" s="128"/>
      <c r="CC1191" s="128"/>
      <c r="CD1191" s="128"/>
      <c r="CE1191" s="128"/>
      <c r="CF1191" s="128"/>
      <c r="CG1191" s="128"/>
      <c r="CH1191" s="128"/>
      <c r="CI1191" s="128"/>
      <c r="CJ1191" s="128"/>
      <c r="CK1191" s="128"/>
      <c r="CL1191" s="128"/>
      <c r="CM1191" s="128"/>
      <c r="CN1191" s="128"/>
      <c r="CO1191" s="128"/>
      <c r="CP1191" s="128"/>
      <c r="CQ1191" s="128"/>
      <c r="CR1191" s="128"/>
      <c r="CS1191" s="128"/>
      <c r="CT1191" s="128"/>
      <c r="CU1191" s="128"/>
      <c r="CV1191" s="128"/>
      <c r="CW1191" s="128"/>
      <c r="CX1191" s="128"/>
      <c r="CY1191" s="128"/>
      <c r="CZ1191" s="128"/>
    </row>
    <row r="1192" spans="1:104">
      <c r="A1192" s="128"/>
      <c r="B1192" s="128"/>
      <c r="C1192" s="128"/>
      <c r="D1192" s="112"/>
      <c r="E1192" s="128"/>
      <c r="F1192" s="128"/>
      <c r="G1192" s="128"/>
      <c r="H1192" s="128"/>
      <c r="I1192" s="128"/>
      <c r="J1192" s="128"/>
      <c r="K1192" s="128"/>
      <c r="L1192" s="128"/>
      <c r="M1192" s="128"/>
      <c r="N1192" s="128"/>
      <c r="O1192" s="128"/>
      <c r="P1192" s="128"/>
      <c r="Q1192" s="128"/>
      <c r="R1192" s="128"/>
      <c r="S1192" s="128"/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  <c r="AV1192" s="128"/>
      <c r="AW1192" s="128"/>
      <c r="AX1192" s="128"/>
      <c r="AY1192" s="128"/>
      <c r="AZ1192" s="128"/>
      <c r="BA1192" s="128"/>
      <c r="BB1192" s="128"/>
      <c r="BC1192" s="128"/>
      <c r="BD1192" s="128"/>
      <c r="BE1192" s="128"/>
      <c r="BF1192" s="128"/>
      <c r="BG1192" s="128"/>
      <c r="BH1192" s="128"/>
      <c r="BI1192" s="128"/>
      <c r="BJ1192" s="128"/>
      <c r="BK1192" s="128"/>
      <c r="BL1192" s="128"/>
      <c r="BM1192" s="151"/>
      <c r="BN1192" s="128"/>
      <c r="BO1192" s="128"/>
      <c r="BP1192" s="128"/>
      <c r="BQ1192" s="128"/>
      <c r="BR1192" s="128"/>
      <c r="BS1192" s="128"/>
      <c r="BT1192" s="128"/>
      <c r="BU1192" s="128"/>
      <c r="BV1192" s="128"/>
      <c r="BW1192" s="128"/>
      <c r="BX1192" s="128"/>
      <c r="BY1192" s="128"/>
      <c r="BZ1192" s="128"/>
      <c r="CA1192" s="128"/>
      <c r="CB1192" s="128"/>
      <c r="CC1192" s="128"/>
      <c r="CD1192" s="128"/>
      <c r="CE1192" s="128"/>
      <c r="CF1192" s="128"/>
      <c r="CG1192" s="128"/>
      <c r="CH1192" s="128"/>
      <c r="CI1192" s="128"/>
      <c r="CJ1192" s="128"/>
      <c r="CK1192" s="128"/>
      <c r="CL1192" s="128"/>
      <c r="CM1192" s="128"/>
      <c r="CN1192" s="128"/>
      <c r="CO1192" s="128"/>
      <c r="CP1192" s="128"/>
      <c r="CQ1192" s="128"/>
      <c r="CR1192" s="128"/>
      <c r="CS1192" s="128"/>
      <c r="CT1192" s="128"/>
      <c r="CU1192" s="128"/>
      <c r="CV1192" s="128"/>
      <c r="CW1192" s="128"/>
      <c r="CX1192" s="128"/>
      <c r="CY1192" s="128"/>
      <c r="CZ1192" s="128"/>
    </row>
    <row r="1193" spans="1:104">
      <c r="A1193" s="128"/>
      <c r="B1193" s="128"/>
      <c r="C1193" s="128"/>
      <c r="D1193" s="112"/>
      <c r="E1193" s="128"/>
      <c r="F1193" s="128"/>
      <c r="G1193" s="128"/>
      <c r="H1193" s="128"/>
      <c r="I1193" s="128"/>
      <c r="J1193" s="128"/>
      <c r="K1193" s="128"/>
      <c r="L1193" s="128"/>
      <c r="M1193" s="128"/>
      <c r="N1193" s="128"/>
      <c r="O1193" s="128"/>
      <c r="P1193" s="128"/>
      <c r="Q1193" s="128"/>
      <c r="R1193" s="128"/>
      <c r="S1193" s="128"/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  <c r="AV1193" s="128"/>
      <c r="AW1193" s="128"/>
      <c r="AX1193" s="128"/>
      <c r="AY1193" s="128"/>
      <c r="AZ1193" s="128"/>
      <c r="BA1193" s="128"/>
      <c r="BB1193" s="128"/>
      <c r="BC1193" s="128"/>
      <c r="BD1193" s="128"/>
      <c r="BE1193" s="128"/>
      <c r="BF1193" s="128"/>
      <c r="BG1193" s="128"/>
      <c r="BH1193" s="128"/>
      <c r="BI1193" s="128"/>
      <c r="BJ1193" s="128"/>
      <c r="BK1193" s="128"/>
      <c r="BL1193" s="128"/>
      <c r="BM1193" s="151"/>
      <c r="BN1193" s="128"/>
      <c r="BO1193" s="128"/>
      <c r="BP1193" s="128"/>
      <c r="BQ1193" s="128"/>
      <c r="BR1193" s="128"/>
      <c r="BS1193" s="128"/>
      <c r="BT1193" s="128"/>
      <c r="BU1193" s="128"/>
      <c r="BV1193" s="128"/>
      <c r="BW1193" s="128"/>
      <c r="BX1193" s="128"/>
      <c r="BY1193" s="128"/>
      <c r="BZ1193" s="128"/>
      <c r="CA1193" s="128"/>
      <c r="CB1193" s="128"/>
      <c r="CC1193" s="128"/>
      <c r="CD1193" s="128"/>
      <c r="CE1193" s="128"/>
      <c r="CF1193" s="128"/>
      <c r="CG1193" s="128"/>
      <c r="CH1193" s="128"/>
      <c r="CI1193" s="128"/>
      <c r="CJ1193" s="128"/>
      <c r="CK1193" s="128"/>
      <c r="CL1193" s="128"/>
      <c r="CM1193" s="128"/>
      <c r="CN1193" s="128"/>
      <c r="CO1193" s="128"/>
      <c r="CP1193" s="128"/>
      <c r="CQ1193" s="128"/>
      <c r="CR1193" s="128"/>
      <c r="CS1193" s="128"/>
      <c r="CT1193" s="128"/>
      <c r="CU1193" s="128"/>
      <c r="CV1193" s="128"/>
      <c r="CW1193" s="128"/>
      <c r="CX1193" s="128"/>
      <c r="CY1193" s="128"/>
      <c r="CZ1193" s="128"/>
    </row>
    <row r="1194" spans="1:104">
      <c r="A1194" s="128"/>
      <c r="B1194" s="128"/>
      <c r="C1194" s="128"/>
      <c r="D1194" s="112"/>
      <c r="E1194" s="128"/>
      <c r="F1194" s="128"/>
      <c r="G1194" s="128"/>
      <c r="H1194" s="128"/>
      <c r="I1194" s="128"/>
      <c r="J1194" s="128"/>
      <c r="K1194" s="128"/>
      <c r="L1194" s="128"/>
      <c r="M1194" s="128"/>
      <c r="N1194" s="128"/>
      <c r="O1194" s="128"/>
      <c r="P1194" s="128"/>
      <c r="Q1194" s="128"/>
      <c r="R1194" s="128"/>
      <c r="S1194" s="128"/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  <c r="AV1194" s="128"/>
      <c r="AW1194" s="128"/>
      <c r="AX1194" s="128"/>
      <c r="AY1194" s="128"/>
      <c r="AZ1194" s="128"/>
      <c r="BA1194" s="128"/>
      <c r="BB1194" s="128"/>
      <c r="BC1194" s="128"/>
      <c r="BD1194" s="128"/>
      <c r="BE1194" s="128"/>
      <c r="BF1194" s="128"/>
      <c r="BG1194" s="128"/>
      <c r="BH1194" s="128"/>
      <c r="BI1194" s="128"/>
      <c r="BJ1194" s="128"/>
      <c r="BK1194" s="128"/>
      <c r="BL1194" s="128"/>
      <c r="BM1194" s="151"/>
      <c r="BN1194" s="128"/>
      <c r="BO1194" s="128"/>
      <c r="BP1194" s="128"/>
      <c r="BQ1194" s="128"/>
      <c r="BR1194" s="128"/>
      <c r="BS1194" s="128"/>
      <c r="BT1194" s="128"/>
      <c r="BU1194" s="128"/>
      <c r="BV1194" s="128"/>
      <c r="BW1194" s="128"/>
      <c r="BX1194" s="128"/>
      <c r="BY1194" s="128"/>
      <c r="BZ1194" s="128"/>
      <c r="CA1194" s="128"/>
      <c r="CB1194" s="128"/>
      <c r="CC1194" s="128"/>
      <c r="CD1194" s="128"/>
      <c r="CE1194" s="128"/>
      <c r="CF1194" s="128"/>
      <c r="CG1194" s="128"/>
      <c r="CH1194" s="128"/>
      <c r="CI1194" s="128"/>
      <c r="CJ1194" s="128"/>
      <c r="CK1194" s="128"/>
      <c r="CL1194" s="128"/>
      <c r="CM1194" s="128"/>
      <c r="CN1194" s="128"/>
      <c r="CO1194" s="128"/>
      <c r="CP1194" s="128"/>
      <c r="CQ1194" s="128"/>
      <c r="CR1194" s="128"/>
      <c r="CS1194" s="128"/>
      <c r="CT1194" s="128"/>
      <c r="CU1194" s="128"/>
      <c r="CV1194" s="128"/>
      <c r="CW1194" s="128"/>
      <c r="CX1194" s="128"/>
      <c r="CY1194" s="128"/>
      <c r="CZ1194" s="128"/>
    </row>
    <row r="1195" spans="1:104">
      <c r="A1195" s="128"/>
      <c r="B1195" s="128"/>
      <c r="C1195" s="128"/>
      <c r="D1195" s="112"/>
      <c r="E1195" s="128"/>
      <c r="F1195" s="128"/>
      <c r="G1195" s="128"/>
      <c r="H1195" s="128"/>
      <c r="I1195" s="128"/>
      <c r="J1195" s="128"/>
      <c r="K1195" s="128"/>
      <c r="L1195" s="128"/>
      <c r="M1195" s="128"/>
      <c r="N1195" s="128"/>
      <c r="O1195" s="128"/>
      <c r="P1195" s="128"/>
      <c r="Q1195" s="128"/>
      <c r="R1195" s="128"/>
      <c r="S1195" s="128"/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  <c r="AV1195" s="128"/>
      <c r="AW1195" s="128"/>
      <c r="AX1195" s="128"/>
      <c r="AY1195" s="128"/>
      <c r="AZ1195" s="128"/>
      <c r="BA1195" s="128"/>
      <c r="BB1195" s="128"/>
      <c r="BC1195" s="128"/>
      <c r="BD1195" s="128"/>
      <c r="BE1195" s="128"/>
      <c r="BF1195" s="128"/>
      <c r="BG1195" s="128"/>
      <c r="BH1195" s="128"/>
      <c r="BI1195" s="128"/>
      <c r="BJ1195" s="128"/>
      <c r="BK1195" s="128"/>
      <c r="BL1195" s="128"/>
      <c r="BM1195" s="151"/>
      <c r="BN1195" s="128"/>
      <c r="BO1195" s="128"/>
      <c r="BP1195" s="128"/>
      <c r="BQ1195" s="128"/>
      <c r="BR1195" s="128"/>
      <c r="BS1195" s="128"/>
      <c r="BT1195" s="128"/>
      <c r="BU1195" s="128"/>
      <c r="BV1195" s="128"/>
      <c r="BW1195" s="128"/>
      <c r="BX1195" s="128"/>
      <c r="BY1195" s="128"/>
      <c r="BZ1195" s="128"/>
      <c r="CA1195" s="128"/>
      <c r="CB1195" s="128"/>
      <c r="CC1195" s="128"/>
      <c r="CD1195" s="128"/>
      <c r="CE1195" s="128"/>
      <c r="CF1195" s="128"/>
      <c r="CG1195" s="128"/>
      <c r="CH1195" s="128"/>
      <c r="CI1195" s="128"/>
      <c r="CJ1195" s="128"/>
      <c r="CK1195" s="128"/>
      <c r="CL1195" s="128"/>
      <c r="CM1195" s="128"/>
      <c r="CN1195" s="128"/>
      <c r="CO1195" s="128"/>
      <c r="CP1195" s="128"/>
      <c r="CQ1195" s="128"/>
      <c r="CR1195" s="128"/>
      <c r="CS1195" s="128"/>
      <c r="CT1195" s="128"/>
      <c r="CU1195" s="128"/>
      <c r="CV1195" s="128"/>
      <c r="CW1195" s="128"/>
      <c r="CX1195" s="128"/>
      <c r="CY1195" s="128"/>
      <c r="CZ1195" s="128"/>
    </row>
    <row r="1196" spans="1:104">
      <c r="A1196" s="128"/>
      <c r="B1196" s="128"/>
      <c r="C1196" s="128"/>
      <c r="D1196" s="112"/>
      <c r="E1196" s="128"/>
      <c r="F1196" s="128"/>
      <c r="G1196" s="128"/>
      <c r="H1196" s="128"/>
      <c r="I1196" s="128"/>
      <c r="J1196" s="128"/>
      <c r="K1196" s="128"/>
      <c r="L1196" s="128"/>
      <c r="M1196" s="128"/>
      <c r="N1196" s="128"/>
      <c r="O1196" s="128"/>
      <c r="P1196" s="128"/>
      <c r="Q1196" s="128"/>
      <c r="R1196" s="128"/>
      <c r="S1196" s="128"/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  <c r="AV1196" s="128"/>
      <c r="AW1196" s="128"/>
      <c r="AX1196" s="128"/>
      <c r="AY1196" s="128"/>
      <c r="AZ1196" s="128"/>
      <c r="BA1196" s="128"/>
      <c r="BB1196" s="128"/>
      <c r="BC1196" s="128"/>
      <c r="BD1196" s="128"/>
      <c r="BE1196" s="128"/>
      <c r="BF1196" s="128"/>
      <c r="BG1196" s="128"/>
      <c r="BH1196" s="128"/>
      <c r="BI1196" s="128"/>
      <c r="BJ1196" s="128"/>
      <c r="BK1196" s="128"/>
      <c r="BL1196" s="128"/>
      <c r="BM1196" s="151"/>
      <c r="BN1196" s="128"/>
      <c r="BO1196" s="128"/>
      <c r="BP1196" s="128"/>
      <c r="BQ1196" s="128"/>
      <c r="BR1196" s="128"/>
      <c r="BS1196" s="128"/>
      <c r="BT1196" s="128"/>
      <c r="BU1196" s="128"/>
      <c r="BV1196" s="128"/>
      <c r="BW1196" s="128"/>
      <c r="BX1196" s="128"/>
      <c r="BY1196" s="128"/>
      <c r="BZ1196" s="128"/>
      <c r="CA1196" s="128"/>
      <c r="CB1196" s="128"/>
      <c r="CC1196" s="128"/>
      <c r="CD1196" s="128"/>
      <c r="CE1196" s="128"/>
      <c r="CF1196" s="128"/>
      <c r="CG1196" s="128"/>
      <c r="CH1196" s="128"/>
      <c r="CI1196" s="128"/>
      <c r="CJ1196" s="128"/>
      <c r="CK1196" s="128"/>
      <c r="CL1196" s="128"/>
      <c r="CM1196" s="128"/>
      <c r="CN1196" s="128"/>
      <c r="CO1196" s="128"/>
      <c r="CP1196" s="128"/>
      <c r="CQ1196" s="128"/>
      <c r="CR1196" s="128"/>
      <c r="CS1196" s="128"/>
      <c r="CT1196" s="128"/>
      <c r="CU1196" s="128"/>
      <c r="CV1196" s="128"/>
      <c r="CW1196" s="128"/>
      <c r="CX1196" s="128"/>
      <c r="CY1196" s="128"/>
      <c r="CZ1196" s="128"/>
    </row>
    <row r="1197" spans="1:104">
      <c r="A1197" s="128"/>
      <c r="B1197" s="128"/>
      <c r="C1197" s="128"/>
      <c r="D1197" s="112"/>
      <c r="E1197" s="128"/>
      <c r="F1197" s="128"/>
      <c r="G1197" s="128"/>
      <c r="H1197" s="128"/>
      <c r="I1197" s="128"/>
      <c r="J1197" s="128"/>
      <c r="K1197" s="128"/>
      <c r="L1197" s="128"/>
      <c r="M1197" s="128"/>
      <c r="N1197" s="128"/>
      <c r="O1197" s="128"/>
      <c r="P1197" s="128"/>
      <c r="Q1197" s="128"/>
      <c r="R1197" s="128"/>
      <c r="S1197" s="128"/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  <c r="AV1197" s="128"/>
      <c r="AW1197" s="128"/>
      <c r="AX1197" s="128"/>
      <c r="AY1197" s="128"/>
      <c r="AZ1197" s="128"/>
      <c r="BA1197" s="128"/>
      <c r="BB1197" s="128"/>
      <c r="BC1197" s="128"/>
      <c r="BD1197" s="128"/>
      <c r="BE1197" s="128"/>
      <c r="BF1197" s="128"/>
      <c r="BG1197" s="128"/>
      <c r="BH1197" s="128"/>
      <c r="BI1197" s="128"/>
      <c r="BJ1197" s="128"/>
      <c r="BK1197" s="128"/>
      <c r="BL1197" s="128"/>
      <c r="BM1197" s="151"/>
      <c r="BN1197" s="128"/>
      <c r="BO1197" s="128"/>
      <c r="BP1197" s="128"/>
      <c r="BQ1197" s="128"/>
      <c r="BR1197" s="128"/>
      <c r="BS1197" s="128"/>
      <c r="BT1197" s="128"/>
      <c r="BU1197" s="128"/>
      <c r="BV1197" s="128"/>
      <c r="BW1197" s="128"/>
      <c r="BX1197" s="128"/>
      <c r="BY1197" s="128"/>
      <c r="BZ1197" s="128"/>
      <c r="CA1197" s="128"/>
      <c r="CB1197" s="128"/>
      <c r="CC1197" s="128"/>
      <c r="CD1197" s="128"/>
      <c r="CE1197" s="128"/>
      <c r="CF1197" s="128"/>
      <c r="CG1197" s="128"/>
      <c r="CH1197" s="128"/>
      <c r="CI1197" s="128"/>
      <c r="CJ1197" s="128"/>
      <c r="CK1197" s="128"/>
      <c r="CL1197" s="128"/>
      <c r="CM1197" s="128"/>
      <c r="CN1197" s="128"/>
      <c r="CO1197" s="128"/>
      <c r="CP1197" s="128"/>
      <c r="CQ1197" s="128"/>
      <c r="CR1197" s="128"/>
      <c r="CS1197" s="128"/>
      <c r="CT1197" s="128"/>
      <c r="CU1197" s="128"/>
      <c r="CV1197" s="128"/>
      <c r="CW1197" s="128"/>
      <c r="CX1197" s="128"/>
      <c r="CY1197" s="128"/>
      <c r="CZ1197" s="128"/>
    </row>
    <row r="1198" spans="1:104">
      <c r="A1198" s="128"/>
      <c r="B1198" s="128"/>
      <c r="C1198" s="128"/>
      <c r="D1198" s="112"/>
      <c r="E1198" s="128"/>
      <c r="F1198" s="128"/>
      <c r="G1198" s="128"/>
      <c r="H1198" s="128"/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  <c r="AV1198" s="128"/>
      <c r="AW1198" s="128"/>
      <c r="AX1198" s="128"/>
      <c r="AY1198" s="128"/>
      <c r="AZ1198" s="128"/>
      <c r="BA1198" s="128"/>
      <c r="BB1198" s="128"/>
      <c r="BC1198" s="128"/>
      <c r="BD1198" s="128"/>
      <c r="BE1198" s="128"/>
      <c r="BF1198" s="128"/>
      <c r="BG1198" s="128"/>
      <c r="BH1198" s="128"/>
      <c r="BI1198" s="128"/>
      <c r="BJ1198" s="128"/>
      <c r="BK1198" s="128"/>
      <c r="BL1198" s="128"/>
      <c r="BM1198" s="151"/>
      <c r="BN1198" s="128"/>
      <c r="BO1198" s="128"/>
      <c r="BP1198" s="128"/>
      <c r="BQ1198" s="128"/>
      <c r="BR1198" s="128"/>
      <c r="BS1198" s="128"/>
      <c r="BT1198" s="128"/>
      <c r="BU1198" s="128"/>
      <c r="BV1198" s="128"/>
      <c r="BW1198" s="128"/>
      <c r="BX1198" s="128"/>
      <c r="BY1198" s="128"/>
      <c r="BZ1198" s="128"/>
      <c r="CA1198" s="128"/>
      <c r="CB1198" s="128"/>
      <c r="CC1198" s="128"/>
      <c r="CD1198" s="128"/>
      <c r="CE1198" s="128"/>
      <c r="CF1198" s="128"/>
      <c r="CG1198" s="128"/>
      <c r="CH1198" s="128"/>
      <c r="CI1198" s="128"/>
      <c r="CJ1198" s="128"/>
      <c r="CK1198" s="128"/>
      <c r="CL1198" s="128"/>
      <c r="CM1198" s="128"/>
      <c r="CN1198" s="128"/>
      <c r="CO1198" s="128"/>
      <c r="CP1198" s="128"/>
      <c r="CQ1198" s="128"/>
      <c r="CR1198" s="128"/>
      <c r="CS1198" s="128"/>
      <c r="CT1198" s="128"/>
      <c r="CU1198" s="128"/>
      <c r="CV1198" s="128"/>
      <c r="CW1198" s="128"/>
      <c r="CX1198" s="128"/>
      <c r="CY1198" s="128"/>
      <c r="CZ1198" s="128"/>
    </row>
    <row r="1199" spans="1:104">
      <c r="A1199" s="128"/>
      <c r="B1199" s="128"/>
      <c r="C1199" s="128"/>
      <c r="D1199" s="112"/>
      <c r="E1199" s="128"/>
      <c r="F1199" s="128"/>
      <c r="G1199" s="128"/>
      <c r="H1199" s="128"/>
      <c r="I1199" s="128"/>
      <c r="J1199" s="128"/>
      <c r="K1199" s="128"/>
      <c r="L1199" s="128"/>
      <c r="M1199" s="128"/>
      <c r="N1199" s="128"/>
      <c r="O1199" s="128"/>
      <c r="P1199" s="128"/>
      <c r="Q1199" s="128"/>
      <c r="R1199" s="128"/>
      <c r="S1199" s="128"/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  <c r="AV1199" s="128"/>
      <c r="AW1199" s="128"/>
      <c r="AX1199" s="128"/>
      <c r="AY1199" s="128"/>
      <c r="AZ1199" s="128"/>
      <c r="BA1199" s="128"/>
      <c r="BB1199" s="128"/>
      <c r="BC1199" s="128"/>
      <c r="BD1199" s="128"/>
      <c r="BE1199" s="128"/>
      <c r="BF1199" s="128"/>
      <c r="BG1199" s="128"/>
      <c r="BH1199" s="128"/>
      <c r="BI1199" s="128"/>
      <c r="BJ1199" s="128"/>
      <c r="BK1199" s="128"/>
      <c r="BL1199" s="128"/>
      <c r="BM1199" s="151"/>
      <c r="BN1199" s="128"/>
      <c r="BO1199" s="128"/>
      <c r="BP1199" s="128"/>
      <c r="BQ1199" s="128"/>
      <c r="BR1199" s="128"/>
      <c r="BS1199" s="128"/>
      <c r="BT1199" s="128"/>
      <c r="BU1199" s="128"/>
      <c r="BV1199" s="128"/>
      <c r="BW1199" s="128"/>
      <c r="BX1199" s="128"/>
      <c r="BY1199" s="128"/>
      <c r="BZ1199" s="128"/>
      <c r="CA1199" s="128"/>
      <c r="CB1199" s="128"/>
      <c r="CC1199" s="128"/>
      <c r="CD1199" s="128"/>
      <c r="CE1199" s="128"/>
      <c r="CF1199" s="128"/>
      <c r="CG1199" s="128"/>
      <c r="CH1199" s="128"/>
      <c r="CI1199" s="128"/>
      <c r="CJ1199" s="128"/>
      <c r="CK1199" s="128"/>
      <c r="CL1199" s="128"/>
      <c r="CM1199" s="128"/>
      <c r="CN1199" s="128"/>
      <c r="CO1199" s="128"/>
      <c r="CP1199" s="128"/>
      <c r="CQ1199" s="128"/>
      <c r="CR1199" s="128"/>
      <c r="CS1199" s="128"/>
      <c r="CT1199" s="128"/>
      <c r="CU1199" s="128"/>
      <c r="CV1199" s="128"/>
      <c r="CW1199" s="128"/>
      <c r="CX1199" s="128"/>
      <c r="CY1199" s="128"/>
      <c r="CZ1199" s="128"/>
    </row>
    <row r="1200" spans="1:104">
      <c r="A1200" s="128"/>
      <c r="B1200" s="128"/>
      <c r="C1200" s="128"/>
      <c r="D1200" s="112"/>
      <c r="E1200" s="128"/>
      <c r="F1200" s="128"/>
      <c r="G1200" s="128"/>
      <c r="H1200" s="128"/>
      <c r="I1200" s="128"/>
      <c r="J1200" s="128"/>
      <c r="K1200" s="128"/>
      <c r="L1200" s="128"/>
      <c r="M1200" s="128"/>
      <c r="N1200" s="128"/>
      <c r="O1200" s="128"/>
      <c r="P1200" s="128"/>
      <c r="Q1200" s="128"/>
      <c r="R1200" s="128"/>
      <c r="S1200" s="128"/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  <c r="AV1200" s="128"/>
      <c r="AW1200" s="128"/>
      <c r="AX1200" s="128"/>
      <c r="AY1200" s="128"/>
      <c r="AZ1200" s="128"/>
      <c r="BA1200" s="128"/>
      <c r="BB1200" s="128"/>
      <c r="BC1200" s="128"/>
      <c r="BD1200" s="128"/>
      <c r="BE1200" s="128"/>
      <c r="BF1200" s="128"/>
      <c r="BG1200" s="128"/>
      <c r="BH1200" s="128"/>
      <c r="BI1200" s="128"/>
      <c r="BJ1200" s="128"/>
      <c r="BK1200" s="128"/>
      <c r="BL1200" s="128"/>
      <c r="BM1200" s="151"/>
      <c r="BN1200" s="128"/>
      <c r="BO1200" s="128"/>
      <c r="BP1200" s="128"/>
      <c r="BQ1200" s="128"/>
      <c r="BR1200" s="128"/>
      <c r="BS1200" s="128"/>
      <c r="BT1200" s="128"/>
      <c r="BU1200" s="128"/>
      <c r="BV1200" s="128"/>
      <c r="BW1200" s="128"/>
      <c r="BX1200" s="128"/>
      <c r="BY1200" s="128"/>
      <c r="BZ1200" s="128"/>
      <c r="CA1200" s="128"/>
      <c r="CB1200" s="128"/>
      <c r="CC1200" s="128"/>
      <c r="CD1200" s="128"/>
      <c r="CE1200" s="128"/>
      <c r="CF1200" s="128"/>
      <c r="CG1200" s="128"/>
      <c r="CH1200" s="128"/>
      <c r="CI1200" s="128"/>
      <c r="CJ1200" s="128"/>
      <c r="CK1200" s="128"/>
      <c r="CL1200" s="128"/>
      <c r="CM1200" s="128"/>
      <c r="CN1200" s="128"/>
      <c r="CO1200" s="128"/>
      <c r="CP1200" s="128"/>
      <c r="CQ1200" s="128"/>
      <c r="CR1200" s="128"/>
      <c r="CS1200" s="128"/>
      <c r="CT1200" s="128"/>
      <c r="CU1200" s="128"/>
      <c r="CV1200" s="128"/>
      <c r="CW1200" s="128"/>
      <c r="CX1200" s="128"/>
      <c r="CY1200" s="128"/>
      <c r="CZ1200" s="128"/>
    </row>
    <row r="1201" spans="1:104">
      <c r="A1201" s="128"/>
      <c r="B1201" s="128"/>
      <c r="C1201" s="128"/>
      <c r="D1201" s="112"/>
      <c r="E1201" s="128"/>
      <c r="F1201" s="128"/>
      <c r="G1201" s="128"/>
      <c r="H1201" s="128"/>
      <c r="I1201" s="128"/>
      <c r="J1201" s="128"/>
      <c r="K1201" s="128"/>
      <c r="L1201" s="128"/>
      <c r="M1201" s="128"/>
      <c r="N1201" s="128"/>
      <c r="O1201" s="128"/>
      <c r="P1201" s="128"/>
      <c r="Q1201" s="128"/>
      <c r="R1201" s="128"/>
      <c r="S1201" s="128"/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  <c r="AV1201" s="128"/>
      <c r="AW1201" s="128"/>
      <c r="AX1201" s="128"/>
      <c r="AY1201" s="128"/>
      <c r="AZ1201" s="128"/>
      <c r="BA1201" s="128"/>
      <c r="BB1201" s="128"/>
      <c r="BC1201" s="128"/>
      <c r="BD1201" s="128"/>
      <c r="BE1201" s="128"/>
      <c r="BF1201" s="128"/>
      <c r="BG1201" s="128"/>
      <c r="BH1201" s="128"/>
      <c r="BI1201" s="128"/>
      <c r="BJ1201" s="128"/>
      <c r="BK1201" s="128"/>
      <c r="BL1201" s="128"/>
      <c r="BM1201" s="151"/>
      <c r="BN1201" s="128"/>
      <c r="BO1201" s="128"/>
      <c r="BP1201" s="128"/>
      <c r="BQ1201" s="128"/>
      <c r="BR1201" s="128"/>
      <c r="BS1201" s="128"/>
      <c r="BT1201" s="128"/>
      <c r="BU1201" s="128"/>
      <c r="BV1201" s="128"/>
      <c r="BW1201" s="128"/>
      <c r="BX1201" s="128"/>
      <c r="BY1201" s="128"/>
      <c r="BZ1201" s="128"/>
      <c r="CA1201" s="128"/>
      <c r="CB1201" s="128"/>
      <c r="CC1201" s="128"/>
      <c r="CD1201" s="128"/>
      <c r="CE1201" s="128"/>
      <c r="CF1201" s="128"/>
      <c r="CG1201" s="128"/>
      <c r="CH1201" s="128"/>
      <c r="CI1201" s="128"/>
      <c r="CJ1201" s="128"/>
      <c r="CK1201" s="128"/>
      <c r="CL1201" s="128"/>
      <c r="CM1201" s="128"/>
      <c r="CN1201" s="128"/>
      <c r="CO1201" s="128"/>
      <c r="CP1201" s="128"/>
      <c r="CQ1201" s="128"/>
      <c r="CR1201" s="128"/>
      <c r="CS1201" s="128"/>
      <c r="CT1201" s="128"/>
      <c r="CU1201" s="128"/>
      <c r="CV1201" s="128"/>
      <c r="CW1201" s="128"/>
      <c r="CX1201" s="128"/>
      <c r="CY1201" s="128"/>
      <c r="CZ1201" s="128"/>
    </row>
    <row r="1202" spans="1:104">
      <c r="A1202" s="128"/>
      <c r="B1202" s="128"/>
      <c r="C1202" s="128"/>
      <c r="D1202" s="112"/>
      <c r="E1202" s="128"/>
      <c r="F1202" s="128"/>
      <c r="G1202" s="128"/>
      <c r="H1202" s="128"/>
      <c r="I1202" s="128"/>
      <c r="J1202" s="128"/>
      <c r="K1202" s="128"/>
      <c r="L1202" s="128"/>
      <c r="M1202" s="128"/>
      <c r="N1202" s="128"/>
      <c r="O1202" s="128"/>
      <c r="P1202" s="128"/>
      <c r="Q1202" s="128"/>
      <c r="R1202" s="128"/>
      <c r="S1202" s="128"/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  <c r="AV1202" s="128"/>
      <c r="AW1202" s="128"/>
      <c r="AX1202" s="128"/>
      <c r="AY1202" s="128"/>
      <c r="AZ1202" s="128"/>
      <c r="BA1202" s="128"/>
      <c r="BB1202" s="128"/>
      <c r="BC1202" s="128"/>
      <c r="BD1202" s="128"/>
      <c r="BE1202" s="128"/>
      <c r="BF1202" s="128"/>
      <c r="BG1202" s="128"/>
      <c r="BH1202" s="128"/>
      <c r="BI1202" s="128"/>
      <c r="BJ1202" s="128"/>
      <c r="BK1202" s="128"/>
      <c r="BL1202" s="128"/>
      <c r="BM1202" s="151"/>
      <c r="BN1202" s="128"/>
      <c r="BO1202" s="128"/>
      <c r="BP1202" s="128"/>
      <c r="BQ1202" s="128"/>
      <c r="BR1202" s="128"/>
      <c r="BS1202" s="128"/>
      <c r="BT1202" s="128"/>
      <c r="BU1202" s="128"/>
      <c r="BV1202" s="128"/>
      <c r="BW1202" s="128"/>
      <c r="BX1202" s="128"/>
      <c r="BY1202" s="128"/>
      <c r="BZ1202" s="128"/>
      <c r="CA1202" s="128"/>
      <c r="CB1202" s="128"/>
      <c r="CC1202" s="128"/>
      <c r="CD1202" s="128"/>
      <c r="CE1202" s="128"/>
      <c r="CF1202" s="128"/>
      <c r="CG1202" s="128"/>
      <c r="CH1202" s="128"/>
      <c r="CI1202" s="128"/>
      <c r="CJ1202" s="128"/>
      <c r="CK1202" s="128"/>
      <c r="CL1202" s="128"/>
      <c r="CM1202" s="128"/>
      <c r="CN1202" s="128"/>
      <c r="CO1202" s="128"/>
      <c r="CP1202" s="128"/>
      <c r="CQ1202" s="128"/>
      <c r="CR1202" s="128"/>
      <c r="CS1202" s="128"/>
      <c r="CT1202" s="128"/>
      <c r="CU1202" s="128"/>
      <c r="CV1202" s="128"/>
      <c r="CW1202" s="128"/>
      <c r="CX1202" s="128"/>
      <c r="CY1202" s="128"/>
      <c r="CZ1202" s="128"/>
    </row>
    <row r="1203" spans="1:104">
      <c r="A1203" s="128"/>
      <c r="B1203" s="128"/>
      <c r="C1203" s="128"/>
      <c r="D1203" s="112"/>
      <c r="E1203" s="128"/>
      <c r="F1203" s="128"/>
      <c r="G1203" s="128"/>
      <c r="H1203" s="128"/>
      <c r="I1203" s="128"/>
      <c r="J1203" s="128"/>
      <c r="K1203" s="128"/>
      <c r="L1203" s="128"/>
      <c r="M1203" s="128"/>
      <c r="N1203" s="128"/>
      <c r="O1203" s="128"/>
      <c r="P1203" s="128"/>
      <c r="Q1203" s="128"/>
      <c r="R1203" s="128"/>
      <c r="S1203" s="128"/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  <c r="AV1203" s="128"/>
      <c r="AW1203" s="128"/>
      <c r="AX1203" s="128"/>
      <c r="AY1203" s="128"/>
      <c r="AZ1203" s="128"/>
      <c r="BA1203" s="128"/>
      <c r="BB1203" s="128"/>
      <c r="BC1203" s="128"/>
      <c r="BD1203" s="128"/>
      <c r="BE1203" s="128"/>
      <c r="BF1203" s="128"/>
      <c r="BG1203" s="128"/>
      <c r="BH1203" s="128"/>
      <c r="BI1203" s="128"/>
      <c r="BJ1203" s="128"/>
      <c r="BK1203" s="128"/>
      <c r="BL1203" s="128"/>
      <c r="BM1203" s="151"/>
      <c r="BN1203" s="128"/>
      <c r="BO1203" s="128"/>
      <c r="BP1203" s="128"/>
      <c r="BQ1203" s="128"/>
      <c r="BR1203" s="128"/>
      <c r="BS1203" s="128"/>
      <c r="BT1203" s="128"/>
      <c r="BU1203" s="128"/>
      <c r="BV1203" s="128"/>
      <c r="BW1203" s="128"/>
      <c r="BX1203" s="128"/>
      <c r="BY1203" s="128"/>
      <c r="BZ1203" s="128"/>
      <c r="CA1203" s="128"/>
      <c r="CB1203" s="128"/>
      <c r="CC1203" s="128"/>
      <c r="CD1203" s="128"/>
      <c r="CE1203" s="128"/>
      <c r="CF1203" s="128"/>
      <c r="CG1203" s="128"/>
      <c r="CH1203" s="128"/>
      <c r="CI1203" s="128"/>
      <c r="CJ1203" s="128"/>
      <c r="CK1203" s="128"/>
      <c r="CL1203" s="128"/>
      <c r="CM1203" s="128"/>
      <c r="CN1203" s="128"/>
      <c r="CO1203" s="128"/>
      <c r="CP1203" s="128"/>
      <c r="CQ1203" s="128"/>
      <c r="CR1203" s="128"/>
      <c r="CS1203" s="128"/>
      <c r="CT1203" s="128"/>
      <c r="CU1203" s="128"/>
      <c r="CV1203" s="128"/>
      <c r="CW1203" s="128"/>
      <c r="CX1203" s="128"/>
      <c r="CY1203" s="128"/>
      <c r="CZ1203" s="128"/>
    </row>
    <row r="1204" spans="1:104">
      <c r="A1204" s="128"/>
      <c r="B1204" s="128"/>
      <c r="C1204" s="128"/>
      <c r="D1204" s="112"/>
      <c r="E1204" s="128"/>
      <c r="F1204" s="128"/>
      <c r="G1204" s="128"/>
      <c r="H1204" s="128"/>
      <c r="I1204" s="128"/>
      <c r="J1204" s="128"/>
      <c r="K1204" s="128"/>
      <c r="L1204" s="128"/>
      <c r="M1204" s="128"/>
      <c r="N1204" s="128"/>
      <c r="O1204" s="128"/>
      <c r="P1204" s="128"/>
      <c r="Q1204" s="128"/>
      <c r="R1204" s="128"/>
      <c r="S1204" s="128"/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  <c r="AV1204" s="128"/>
      <c r="AW1204" s="128"/>
      <c r="AX1204" s="128"/>
      <c r="AY1204" s="128"/>
      <c r="AZ1204" s="128"/>
      <c r="BA1204" s="128"/>
      <c r="BB1204" s="128"/>
      <c r="BC1204" s="128"/>
      <c r="BD1204" s="128"/>
      <c r="BE1204" s="128"/>
      <c r="BF1204" s="128"/>
      <c r="BG1204" s="128"/>
      <c r="BH1204" s="128"/>
      <c r="BI1204" s="128"/>
      <c r="BJ1204" s="128"/>
      <c r="BK1204" s="128"/>
      <c r="BL1204" s="128"/>
      <c r="BM1204" s="151"/>
      <c r="BN1204" s="128"/>
      <c r="BO1204" s="128"/>
      <c r="BP1204" s="128"/>
      <c r="BQ1204" s="128"/>
      <c r="BR1204" s="128"/>
      <c r="BS1204" s="128"/>
      <c r="BT1204" s="128"/>
      <c r="BU1204" s="128"/>
      <c r="BV1204" s="128"/>
      <c r="BW1204" s="128"/>
      <c r="BX1204" s="128"/>
      <c r="BY1204" s="128"/>
      <c r="BZ1204" s="128"/>
      <c r="CA1204" s="128"/>
      <c r="CB1204" s="128"/>
      <c r="CC1204" s="128"/>
      <c r="CD1204" s="128"/>
      <c r="CE1204" s="128"/>
      <c r="CF1204" s="128"/>
      <c r="CG1204" s="128"/>
      <c r="CH1204" s="128"/>
      <c r="CI1204" s="128"/>
      <c r="CJ1204" s="128"/>
      <c r="CK1204" s="128"/>
      <c r="CL1204" s="128"/>
      <c r="CM1204" s="128"/>
      <c r="CN1204" s="128"/>
      <c r="CO1204" s="128"/>
      <c r="CP1204" s="128"/>
      <c r="CQ1204" s="128"/>
      <c r="CR1204" s="128"/>
      <c r="CS1204" s="128"/>
      <c r="CT1204" s="128"/>
      <c r="CU1204" s="128"/>
      <c r="CV1204" s="128"/>
      <c r="CW1204" s="128"/>
      <c r="CX1204" s="128"/>
      <c r="CY1204" s="128"/>
      <c r="CZ1204" s="128"/>
    </row>
    <row r="1205" spans="1:104">
      <c r="A1205" s="128"/>
      <c r="B1205" s="128"/>
      <c r="C1205" s="128"/>
      <c r="D1205" s="112"/>
      <c r="E1205" s="128"/>
      <c r="F1205" s="128"/>
      <c r="G1205" s="128"/>
      <c r="H1205" s="128"/>
      <c r="I1205" s="128"/>
      <c r="J1205" s="128"/>
      <c r="K1205" s="128"/>
      <c r="L1205" s="128"/>
      <c r="M1205" s="128"/>
      <c r="N1205" s="128"/>
      <c r="O1205" s="128"/>
      <c r="P1205" s="128"/>
      <c r="Q1205" s="128"/>
      <c r="R1205" s="128"/>
      <c r="S1205" s="128"/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  <c r="AV1205" s="128"/>
      <c r="AW1205" s="128"/>
      <c r="AX1205" s="128"/>
      <c r="AY1205" s="128"/>
      <c r="AZ1205" s="128"/>
      <c r="BA1205" s="128"/>
      <c r="BB1205" s="128"/>
      <c r="BC1205" s="128"/>
      <c r="BD1205" s="128"/>
      <c r="BE1205" s="128"/>
      <c r="BF1205" s="128"/>
      <c r="BG1205" s="128"/>
      <c r="BH1205" s="128"/>
      <c r="BI1205" s="128"/>
      <c r="BJ1205" s="128"/>
      <c r="BK1205" s="128"/>
      <c r="BL1205" s="128"/>
      <c r="BM1205" s="151"/>
      <c r="BN1205" s="128"/>
      <c r="BO1205" s="128"/>
      <c r="BP1205" s="128"/>
      <c r="BQ1205" s="128"/>
      <c r="BR1205" s="128"/>
      <c r="BS1205" s="128"/>
      <c r="BT1205" s="128"/>
      <c r="BU1205" s="128"/>
      <c r="BV1205" s="128"/>
      <c r="BW1205" s="128"/>
      <c r="BX1205" s="128"/>
      <c r="BY1205" s="128"/>
      <c r="BZ1205" s="128"/>
      <c r="CA1205" s="128"/>
      <c r="CB1205" s="128"/>
      <c r="CC1205" s="128"/>
      <c r="CD1205" s="128"/>
      <c r="CE1205" s="128"/>
      <c r="CF1205" s="128"/>
      <c r="CG1205" s="128"/>
      <c r="CH1205" s="128"/>
      <c r="CI1205" s="128"/>
      <c r="CJ1205" s="128"/>
      <c r="CK1205" s="128"/>
      <c r="CL1205" s="128"/>
      <c r="CM1205" s="128"/>
      <c r="CN1205" s="128"/>
      <c r="CO1205" s="128"/>
      <c r="CP1205" s="128"/>
      <c r="CQ1205" s="128"/>
      <c r="CR1205" s="128"/>
      <c r="CS1205" s="128"/>
      <c r="CT1205" s="128"/>
      <c r="CU1205" s="128"/>
      <c r="CV1205" s="128"/>
      <c r="CW1205" s="128"/>
      <c r="CX1205" s="128"/>
      <c r="CY1205" s="128"/>
      <c r="CZ1205" s="128"/>
    </row>
    <row r="1206" spans="1:104">
      <c r="A1206" s="128"/>
      <c r="B1206" s="128"/>
      <c r="C1206" s="128"/>
      <c r="D1206" s="112"/>
      <c r="E1206" s="128"/>
      <c r="F1206" s="128"/>
      <c r="G1206" s="128"/>
      <c r="H1206" s="128"/>
      <c r="I1206" s="128"/>
      <c r="J1206" s="128"/>
      <c r="K1206" s="128"/>
      <c r="L1206" s="128"/>
      <c r="M1206" s="128"/>
      <c r="N1206" s="128"/>
      <c r="O1206" s="128"/>
      <c r="P1206" s="128"/>
      <c r="Q1206" s="128"/>
      <c r="R1206" s="128"/>
      <c r="S1206" s="128"/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  <c r="AV1206" s="128"/>
      <c r="AW1206" s="128"/>
      <c r="AX1206" s="128"/>
      <c r="AY1206" s="128"/>
      <c r="AZ1206" s="128"/>
      <c r="BA1206" s="128"/>
      <c r="BB1206" s="128"/>
      <c r="BC1206" s="128"/>
      <c r="BD1206" s="128"/>
      <c r="BE1206" s="128"/>
      <c r="BF1206" s="128"/>
      <c r="BG1206" s="128"/>
      <c r="BH1206" s="128"/>
      <c r="BI1206" s="128"/>
      <c r="BJ1206" s="128"/>
      <c r="BK1206" s="128"/>
      <c r="BL1206" s="128"/>
      <c r="BM1206" s="151"/>
      <c r="BN1206" s="128"/>
      <c r="BO1206" s="128"/>
      <c r="BP1206" s="128"/>
      <c r="BQ1206" s="128"/>
      <c r="BR1206" s="128"/>
      <c r="BS1206" s="128"/>
      <c r="BT1206" s="128"/>
      <c r="BU1206" s="128"/>
      <c r="BV1206" s="128"/>
      <c r="BW1206" s="128"/>
      <c r="BX1206" s="128"/>
      <c r="BY1206" s="128"/>
      <c r="BZ1206" s="128"/>
      <c r="CA1206" s="128"/>
      <c r="CB1206" s="128"/>
      <c r="CC1206" s="128"/>
      <c r="CD1206" s="128"/>
      <c r="CE1206" s="128"/>
      <c r="CF1206" s="128"/>
      <c r="CG1206" s="128"/>
      <c r="CH1206" s="128"/>
      <c r="CI1206" s="128"/>
      <c r="CJ1206" s="128"/>
      <c r="CK1206" s="128"/>
      <c r="CL1206" s="128"/>
      <c r="CM1206" s="128"/>
      <c r="CN1206" s="128"/>
      <c r="CO1206" s="128"/>
      <c r="CP1206" s="128"/>
      <c r="CQ1206" s="128"/>
      <c r="CR1206" s="128"/>
      <c r="CS1206" s="128"/>
      <c r="CT1206" s="128"/>
      <c r="CU1206" s="128"/>
      <c r="CV1206" s="128"/>
      <c r="CW1206" s="128"/>
      <c r="CX1206" s="128"/>
      <c r="CY1206" s="128"/>
      <c r="CZ1206" s="128"/>
    </row>
    <row r="1207" spans="1:104">
      <c r="A1207" s="128"/>
      <c r="B1207" s="128"/>
      <c r="C1207" s="128"/>
      <c r="D1207" s="112"/>
      <c r="E1207" s="128"/>
      <c r="F1207" s="128"/>
      <c r="G1207" s="128"/>
      <c r="H1207" s="128"/>
      <c r="I1207" s="128"/>
      <c r="J1207" s="128"/>
      <c r="K1207" s="128"/>
      <c r="L1207" s="128"/>
      <c r="M1207" s="128"/>
      <c r="N1207" s="128"/>
      <c r="O1207" s="128"/>
      <c r="P1207" s="128"/>
      <c r="Q1207" s="128"/>
      <c r="R1207" s="128"/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  <c r="AV1207" s="128"/>
      <c r="AW1207" s="128"/>
      <c r="AX1207" s="128"/>
      <c r="AY1207" s="128"/>
      <c r="AZ1207" s="128"/>
      <c r="BA1207" s="128"/>
      <c r="BB1207" s="128"/>
      <c r="BC1207" s="128"/>
      <c r="BD1207" s="128"/>
      <c r="BE1207" s="128"/>
      <c r="BF1207" s="128"/>
      <c r="BG1207" s="128"/>
      <c r="BH1207" s="128"/>
      <c r="BI1207" s="128"/>
      <c r="BJ1207" s="128"/>
      <c r="BK1207" s="128"/>
      <c r="BL1207" s="128"/>
      <c r="BM1207" s="151"/>
      <c r="BN1207" s="128"/>
      <c r="BO1207" s="128"/>
      <c r="BP1207" s="128"/>
      <c r="BQ1207" s="128"/>
      <c r="BR1207" s="128"/>
      <c r="BS1207" s="128"/>
      <c r="BT1207" s="128"/>
      <c r="BU1207" s="128"/>
      <c r="BV1207" s="128"/>
      <c r="BW1207" s="128"/>
      <c r="BX1207" s="128"/>
      <c r="BY1207" s="128"/>
      <c r="BZ1207" s="128"/>
      <c r="CA1207" s="128"/>
      <c r="CB1207" s="128"/>
      <c r="CC1207" s="128"/>
      <c r="CD1207" s="128"/>
      <c r="CE1207" s="128"/>
      <c r="CF1207" s="128"/>
      <c r="CG1207" s="128"/>
      <c r="CH1207" s="128"/>
      <c r="CI1207" s="128"/>
      <c r="CJ1207" s="128"/>
      <c r="CK1207" s="128"/>
      <c r="CL1207" s="128"/>
      <c r="CM1207" s="128"/>
      <c r="CN1207" s="128"/>
      <c r="CO1207" s="128"/>
      <c r="CP1207" s="128"/>
      <c r="CQ1207" s="128"/>
      <c r="CR1207" s="128"/>
      <c r="CS1207" s="128"/>
      <c r="CT1207" s="128"/>
      <c r="CU1207" s="128"/>
      <c r="CV1207" s="128"/>
      <c r="CW1207" s="128"/>
      <c r="CX1207" s="128"/>
      <c r="CY1207" s="128"/>
      <c r="CZ1207" s="128"/>
    </row>
    <row r="1208" spans="1:104">
      <c r="A1208" s="128"/>
      <c r="B1208" s="128"/>
      <c r="C1208" s="128"/>
      <c r="D1208" s="112"/>
      <c r="E1208" s="128"/>
      <c r="F1208" s="128"/>
      <c r="G1208" s="128"/>
      <c r="H1208" s="128"/>
      <c r="I1208" s="128"/>
      <c r="J1208" s="128"/>
      <c r="K1208" s="128"/>
      <c r="L1208" s="128"/>
      <c r="M1208" s="128"/>
      <c r="N1208" s="128"/>
      <c r="O1208" s="128"/>
      <c r="P1208" s="128"/>
      <c r="Q1208" s="128"/>
      <c r="R1208" s="128"/>
      <c r="S1208" s="128"/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  <c r="AV1208" s="128"/>
      <c r="AW1208" s="128"/>
      <c r="AX1208" s="128"/>
      <c r="AY1208" s="128"/>
      <c r="AZ1208" s="128"/>
      <c r="BA1208" s="128"/>
      <c r="BB1208" s="128"/>
      <c r="BC1208" s="128"/>
      <c r="BD1208" s="128"/>
      <c r="BE1208" s="128"/>
      <c r="BF1208" s="128"/>
      <c r="BG1208" s="128"/>
      <c r="BH1208" s="128"/>
      <c r="BI1208" s="128"/>
      <c r="BJ1208" s="128"/>
      <c r="BK1208" s="128"/>
      <c r="BL1208" s="128"/>
      <c r="BM1208" s="151"/>
      <c r="BN1208" s="128"/>
      <c r="BO1208" s="128"/>
      <c r="BP1208" s="128"/>
      <c r="BQ1208" s="128"/>
      <c r="BR1208" s="128"/>
      <c r="BS1208" s="128"/>
      <c r="BT1208" s="128"/>
      <c r="BU1208" s="128"/>
      <c r="BV1208" s="128"/>
      <c r="BW1208" s="128"/>
      <c r="BX1208" s="128"/>
      <c r="BY1208" s="128"/>
      <c r="BZ1208" s="128"/>
      <c r="CA1208" s="128"/>
      <c r="CB1208" s="128"/>
      <c r="CC1208" s="128"/>
      <c r="CD1208" s="128"/>
      <c r="CE1208" s="128"/>
      <c r="CF1208" s="128"/>
      <c r="CG1208" s="128"/>
      <c r="CH1208" s="128"/>
      <c r="CI1208" s="128"/>
      <c r="CJ1208" s="128"/>
      <c r="CK1208" s="128"/>
      <c r="CL1208" s="128"/>
      <c r="CM1208" s="128"/>
      <c r="CN1208" s="128"/>
      <c r="CO1208" s="128"/>
      <c r="CP1208" s="128"/>
      <c r="CQ1208" s="128"/>
      <c r="CR1208" s="128"/>
      <c r="CS1208" s="128"/>
      <c r="CT1208" s="128"/>
      <c r="CU1208" s="128"/>
      <c r="CV1208" s="128"/>
      <c r="CW1208" s="128"/>
      <c r="CX1208" s="128"/>
      <c r="CY1208" s="128"/>
      <c r="CZ1208" s="128"/>
    </row>
    <row r="1209" spans="1:104">
      <c r="A1209" s="128"/>
      <c r="B1209" s="128"/>
      <c r="C1209" s="128"/>
      <c r="D1209" s="112"/>
      <c r="E1209" s="128"/>
      <c r="F1209" s="128"/>
      <c r="G1209" s="128"/>
      <c r="H1209" s="128"/>
      <c r="I1209" s="128"/>
      <c r="J1209" s="128"/>
      <c r="K1209" s="128"/>
      <c r="L1209" s="128"/>
      <c r="M1209" s="128"/>
      <c r="N1209" s="128"/>
      <c r="O1209" s="128"/>
      <c r="P1209" s="128"/>
      <c r="Q1209" s="128"/>
      <c r="R1209" s="128"/>
      <c r="S1209" s="128"/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  <c r="AV1209" s="128"/>
      <c r="AW1209" s="128"/>
      <c r="AX1209" s="128"/>
      <c r="AY1209" s="128"/>
      <c r="AZ1209" s="128"/>
      <c r="BA1209" s="128"/>
      <c r="BB1209" s="128"/>
      <c r="BC1209" s="128"/>
      <c r="BD1209" s="128"/>
      <c r="BE1209" s="128"/>
      <c r="BF1209" s="128"/>
      <c r="BG1209" s="128"/>
      <c r="BH1209" s="128"/>
      <c r="BI1209" s="128"/>
      <c r="BJ1209" s="128"/>
      <c r="BK1209" s="128"/>
      <c r="BL1209" s="128"/>
      <c r="BM1209" s="151"/>
      <c r="BN1209" s="128"/>
      <c r="BO1209" s="128"/>
      <c r="BP1209" s="128"/>
      <c r="BQ1209" s="128"/>
      <c r="BR1209" s="128"/>
      <c r="BS1209" s="128"/>
      <c r="BT1209" s="128"/>
      <c r="BU1209" s="128"/>
      <c r="BV1209" s="128"/>
      <c r="BW1209" s="128"/>
      <c r="BX1209" s="128"/>
      <c r="BY1209" s="128"/>
      <c r="BZ1209" s="128"/>
      <c r="CA1209" s="128"/>
      <c r="CB1209" s="128"/>
      <c r="CC1209" s="128"/>
      <c r="CD1209" s="128"/>
      <c r="CE1209" s="128"/>
      <c r="CF1209" s="128"/>
      <c r="CG1209" s="128"/>
      <c r="CH1209" s="128"/>
      <c r="CI1209" s="128"/>
      <c r="CJ1209" s="128"/>
      <c r="CK1209" s="128"/>
      <c r="CL1209" s="128"/>
      <c r="CM1209" s="128"/>
      <c r="CN1209" s="128"/>
      <c r="CO1209" s="128"/>
      <c r="CP1209" s="128"/>
      <c r="CQ1209" s="128"/>
      <c r="CR1209" s="128"/>
      <c r="CS1209" s="128"/>
      <c r="CT1209" s="128"/>
      <c r="CU1209" s="128"/>
      <c r="CV1209" s="128"/>
      <c r="CW1209" s="128"/>
      <c r="CX1209" s="128"/>
      <c r="CY1209" s="128"/>
      <c r="CZ1209" s="128"/>
    </row>
    <row r="1210" spans="1:104">
      <c r="A1210" s="128"/>
      <c r="B1210" s="128"/>
      <c r="C1210" s="128"/>
      <c r="D1210" s="112"/>
      <c r="E1210" s="128"/>
      <c r="F1210" s="128"/>
      <c r="G1210" s="128"/>
      <c r="H1210" s="128"/>
      <c r="I1210" s="128"/>
      <c r="J1210" s="128"/>
      <c r="K1210" s="128"/>
      <c r="L1210" s="128"/>
      <c r="M1210" s="128"/>
      <c r="N1210" s="128"/>
      <c r="O1210" s="128"/>
      <c r="P1210" s="128"/>
      <c r="Q1210" s="128"/>
      <c r="R1210" s="128"/>
      <c r="S1210" s="128"/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  <c r="AV1210" s="128"/>
      <c r="AW1210" s="128"/>
      <c r="AX1210" s="128"/>
      <c r="AY1210" s="128"/>
      <c r="AZ1210" s="128"/>
      <c r="BA1210" s="128"/>
      <c r="BB1210" s="128"/>
      <c r="BC1210" s="128"/>
      <c r="BD1210" s="128"/>
      <c r="BE1210" s="128"/>
      <c r="BF1210" s="128"/>
      <c r="BG1210" s="128"/>
      <c r="BH1210" s="128"/>
      <c r="BI1210" s="128"/>
      <c r="BJ1210" s="128"/>
      <c r="BK1210" s="128"/>
      <c r="BL1210" s="128"/>
      <c r="BM1210" s="151"/>
      <c r="BN1210" s="128"/>
      <c r="BO1210" s="128"/>
      <c r="BP1210" s="128"/>
      <c r="BQ1210" s="128"/>
      <c r="BR1210" s="128"/>
      <c r="BS1210" s="128"/>
      <c r="BT1210" s="128"/>
      <c r="BU1210" s="128"/>
      <c r="BV1210" s="128"/>
      <c r="BW1210" s="128"/>
      <c r="BX1210" s="128"/>
      <c r="BY1210" s="128"/>
      <c r="BZ1210" s="128"/>
      <c r="CA1210" s="128"/>
      <c r="CB1210" s="128"/>
      <c r="CC1210" s="128"/>
      <c r="CD1210" s="128"/>
      <c r="CE1210" s="128"/>
      <c r="CF1210" s="128"/>
      <c r="CG1210" s="128"/>
      <c r="CH1210" s="128"/>
      <c r="CI1210" s="128"/>
      <c r="CJ1210" s="128"/>
      <c r="CK1210" s="128"/>
      <c r="CL1210" s="128"/>
      <c r="CM1210" s="128"/>
      <c r="CN1210" s="128"/>
      <c r="CO1210" s="128"/>
      <c r="CP1210" s="128"/>
      <c r="CQ1210" s="128"/>
      <c r="CR1210" s="128"/>
      <c r="CS1210" s="128"/>
      <c r="CT1210" s="128"/>
      <c r="CU1210" s="128"/>
      <c r="CV1210" s="128"/>
      <c r="CW1210" s="128"/>
      <c r="CX1210" s="128"/>
      <c r="CY1210" s="128"/>
      <c r="CZ1210" s="128"/>
    </row>
    <row r="1211" spans="1:104">
      <c r="A1211" s="128"/>
      <c r="B1211" s="128"/>
      <c r="C1211" s="128"/>
      <c r="D1211" s="112"/>
      <c r="E1211" s="128"/>
      <c r="F1211" s="128"/>
      <c r="G1211" s="128"/>
      <c r="H1211" s="128"/>
      <c r="I1211" s="128"/>
      <c r="J1211" s="128"/>
      <c r="K1211" s="128"/>
      <c r="L1211" s="128"/>
      <c r="M1211" s="128"/>
      <c r="N1211" s="128"/>
      <c r="O1211" s="128"/>
      <c r="P1211" s="128"/>
      <c r="Q1211" s="128"/>
      <c r="R1211" s="128"/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  <c r="AV1211" s="128"/>
      <c r="AW1211" s="128"/>
      <c r="AX1211" s="128"/>
      <c r="AY1211" s="128"/>
      <c r="AZ1211" s="128"/>
      <c r="BA1211" s="128"/>
      <c r="BB1211" s="128"/>
      <c r="BC1211" s="128"/>
      <c r="BD1211" s="128"/>
      <c r="BE1211" s="128"/>
      <c r="BF1211" s="128"/>
      <c r="BG1211" s="128"/>
      <c r="BH1211" s="128"/>
      <c r="BI1211" s="128"/>
      <c r="BJ1211" s="128"/>
      <c r="BK1211" s="128"/>
      <c r="BL1211" s="128"/>
      <c r="BM1211" s="151"/>
      <c r="BN1211" s="128"/>
      <c r="BO1211" s="128"/>
      <c r="BP1211" s="128"/>
      <c r="BQ1211" s="128"/>
      <c r="BR1211" s="128"/>
      <c r="BS1211" s="128"/>
      <c r="BT1211" s="128"/>
      <c r="BU1211" s="128"/>
      <c r="BV1211" s="128"/>
      <c r="BW1211" s="128"/>
      <c r="BX1211" s="128"/>
      <c r="BY1211" s="128"/>
      <c r="BZ1211" s="128"/>
      <c r="CA1211" s="128"/>
      <c r="CB1211" s="128"/>
      <c r="CC1211" s="128"/>
      <c r="CD1211" s="128"/>
      <c r="CE1211" s="128"/>
      <c r="CF1211" s="128"/>
      <c r="CG1211" s="128"/>
      <c r="CH1211" s="128"/>
      <c r="CI1211" s="128"/>
      <c r="CJ1211" s="128"/>
      <c r="CK1211" s="128"/>
      <c r="CL1211" s="128"/>
      <c r="CM1211" s="128"/>
      <c r="CN1211" s="128"/>
      <c r="CO1211" s="128"/>
      <c r="CP1211" s="128"/>
      <c r="CQ1211" s="128"/>
      <c r="CR1211" s="128"/>
      <c r="CS1211" s="128"/>
      <c r="CT1211" s="128"/>
      <c r="CU1211" s="128"/>
      <c r="CV1211" s="128"/>
      <c r="CW1211" s="128"/>
      <c r="CX1211" s="128"/>
      <c r="CY1211" s="128"/>
      <c r="CZ1211" s="128"/>
    </row>
    <row r="1212" spans="1:104">
      <c r="A1212" s="128"/>
      <c r="B1212" s="128"/>
      <c r="C1212" s="128"/>
      <c r="D1212" s="112"/>
      <c r="E1212" s="128"/>
      <c r="F1212" s="128"/>
      <c r="G1212" s="128"/>
      <c r="H1212" s="128"/>
      <c r="I1212" s="128"/>
      <c r="J1212" s="128"/>
      <c r="K1212" s="128"/>
      <c r="L1212" s="128"/>
      <c r="M1212" s="128"/>
      <c r="N1212" s="128"/>
      <c r="O1212" s="128"/>
      <c r="P1212" s="128"/>
      <c r="Q1212" s="128"/>
      <c r="R1212" s="128"/>
      <c r="S1212" s="128"/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  <c r="AV1212" s="128"/>
      <c r="AW1212" s="128"/>
      <c r="AX1212" s="128"/>
      <c r="AY1212" s="128"/>
      <c r="AZ1212" s="128"/>
      <c r="BA1212" s="128"/>
      <c r="BB1212" s="128"/>
      <c r="BC1212" s="128"/>
      <c r="BD1212" s="128"/>
      <c r="BE1212" s="128"/>
      <c r="BF1212" s="128"/>
      <c r="BG1212" s="128"/>
      <c r="BH1212" s="128"/>
      <c r="BI1212" s="128"/>
      <c r="BJ1212" s="128"/>
      <c r="BK1212" s="128"/>
      <c r="BL1212" s="128"/>
      <c r="BM1212" s="151"/>
      <c r="BN1212" s="128"/>
      <c r="BO1212" s="128"/>
      <c r="BP1212" s="128"/>
      <c r="BQ1212" s="128"/>
      <c r="BR1212" s="128"/>
      <c r="BS1212" s="128"/>
      <c r="BT1212" s="128"/>
      <c r="BU1212" s="128"/>
      <c r="BV1212" s="128"/>
      <c r="BW1212" s="128"/>
      <c r="BX1212" s="128"/>
      <c r="BY1212" s="128"/>
      <c r="BZ1212" s="128"/>
      <c r="CA1212" s="128"/>
      <c r="CB1212" s="128"/>
      <c r="CC1212" s="128"/>
      <c r="CD1212" s="128"/>
      <c r="CE1212" s="128"/>
      <c r="CF1212" s="128"/>
      <c r="CG1212" s="128"/>
      <c r="CH1212" s="128"/>
      <c r="CI1212" s="128"/>
      <c r="CJ1212" s="128"/>
      <c r="CK1212" s="128"/>
      <c r="CL1212" s="128"/>
      <c r="CM1212" s="128"/>
      <c r="CN1212" s="128"/>
      <c r="CO1212" s="128"/>
      <c r="CP1212" s="128"/>
      <c r="CQ1212" s="128"/>
      <c r="CR1212" s="128"/>
      <c r="CS1212" s="128"/>
      <c r="CT1212" s="128"/>
      <c r="CU1212" s="128"/>
      <c r="CV1212" s="128"/>
      <c r="CW1212" s="128"/>
      <c r="CX1212" s="128"/>
      <c r="CY1212" s="128"/>
      <c r="CZ1212" s="128"/>
    </row>
    <row r="1213" spans="1:104">
      <c r="A1213" s="128"/>
      <c r="B1213" s="128"/>
      <c r="C1213" s="128"/>
      <c r="D1213" s="112"/>
      <c r="E1213" s="128"/>
      <c r="F1213" s="128"/>
      <c r="G1213" s="128"/>
      <c r="H1213" s="128"/>
      <c r="I1213" s="128"/>
      <c r="J1213" s="128"/>
      <c r="K1213" s="128"/>
      <c r="L1213" s="128"/>
      <c r="M1213" s="128"/>
      <c r="N1213" s="128"/>
      <c r="O1213" s="128"/>
      <c r="P1213" s="128"/>
      <c r="Q1213" s="128"/>
      <c r="R1213" s="128"/>
      <c r="S1213" s="128"/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  <c r="AV1213" s="128"/>
      <c r="AW1213" s="128"/>
      <c r="AX1213" s="128"/>
      <c r="AY1213" s="128"/>
      <c r="AZ1213" s="128"/>
      <c r="BA1213" s="128"/>
      <c r="BB1213" s="128"/>
      <c r="BC1213" s="128"/>
      <c r="BD1213" s="128"/>
      <c r="BE1213" s="128"/>
      <c r="BF1213" s="128"/>
      <c r="BG1213" s="128"/>
      <c r="BH1213" s="128"/>
      <c r="BI1213" s="128"/>
      <c r="BJ1213" s="128"/>
      <c r="BK1213" s="128"/>
      <c r="BL1213" s="128"/>
      <c r="BM1213" s="151"/>
      <c r="BN1213" s="128"/>
      <c r="BO1213" s="128"/>
      <c r="BP1213" s="128"/>
      <c r="BQ1213" s="128"/>
      <c r="BR1213" s="128"/>
      <c r="BS1213" s="128"/>
      <c r="BT1213" s="128"/>
      <c r="BU1213" s="128"/>
      <c r="BV1213" s="128"/>
      <c r="BW1213" s="128"/>
      <c r="BX1213" s="128"/>
      <c r="BY1213" s="128"/>
      <c r="BZ1213" s="128"/>
      <c r="CA1213" s="128"/>
      <c r="CB1213" s="128"/>
      <c r="CC1213" s="128"/>
      <c r="CD1213" s="128"/>
      <c r="CE1213" s="128"/>
      <c r="CF1213" s="128"/>
      <c r="CG1213" s="128"/>
      <c r="CH1213" s="128"/>
      <c r="CI1213" s="128"/>
      <c r="CJ1213" s="128"/>
      <c r="CK1213" s="128"/>
      <c r="CL1213" s="128"/>
      <c r="CM1213" s="128"/>
      <c r="CN1213" s="128"/>
      <c r="CO1213" s="128"/>
      <c r="CP1213" s="128"/>
      <c r="CQ1213" s="128"/>
      <c r="CR1213" s="128"/>
      <c r="CS1213" s="128"/>
      <c r="CT1213" s="128"/>
      <c r="CU1213" s="128"/>
      <c r="CV1213" s="128"/>
      <c r="CW1213" s="128"/>
      <c r="CX1213" s="128"/>
      <c r="CY1213" s="128"/>
      <c r="CZ1213" s="128"/>
    </row>
    <row r="1214" spans="1:104">
      <c r="A1214" s="128"/>
      <c r="B1214" s="128"/>
      <c r="C1214" s="128"/>
      <c r="D1214" s="112"/>
      <c r="E1214" s="128"/>
      <c r="F1214" s="128"/>
      <c r="G1214" s="128"/>
      <c r="H1214" s="128"/>
      <c r="I1214" s="128"/>
      <c r="J1214" s="128"/>
      <c r="K1214" s="128"/>
      <c r="L1214" s="128"/>
      <c r="M1214" s="128"/>
      <c r="N1214" s="128"/>
      <c r="O1214" s="128"/>
      <c r="P1214" s="128"/>
      <c r="Q1214" s="128"/>
      <c r="R1214" s="128"/>
      <c r="S1214" s="128"/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  <c r="AV1214" s="128"/>
      <c r="AW1214" s="128"/>
      <c r="AX1214" s="128"/>
      <c r="AY1214" s="128"/>
      <c r="AZ1214" s="128"/>
      <c r="BA1214" s="128"/>
      <c r="BB1214" s="128"/>
      <c r="BC1214" s="128"/>
      <c r="BD1214" s="128"/>
      <c r="BE1214" s="128"/>
      <c r="BF1214" s="128"/>
      <c r="BG1214" s="128"/>
      <c r="BH1214" s="128"/>
      <c r="BI1214" s="128"/>
      <c r="BJ1214" s="128"/>
      <c r="BK1214" s="128"/>
      <c r="BL1214" s="128"/>
      <c r="BM1214" s="151"/>
      <c r="BN1214" s="128"/>
      <c r="BO1214" s="128"/>
      <c r="BP1214" s="128"/>
      <c r="BQ1214" s="128"/>
      <c r="BR1214" s="128"/>
      <c r="BS1214" s="128"/>
      <c r="BT1214" s="128"/>
      <c r="BU1214" s="128"/>
      <c r="BV1214" s="128"/>
      <c r="BW1214" s="128"/>
      <c r="BX1214" s="128"/>
      <c r="BY1214" s="128"/>
      <c r="BZ1214" s="128"/>
      <c r="CA1214" s="128"/>
      <c r="CB1214" s="128"/>
      <c r="CC1214" s="128"/>
      <c r="CD1214" s="128"/>
      <c r="CE1214" s="128"/>
      <c r="CF1214" s="128"/>
      <c r="CG1214" s="128"/>
      <c r="CH1214" s="128"/>
      <c r="CI1214" s="128"/>
      <c r="CJ1214" s="128"/>
      <c r="CK1214" s="128"/>
      <c r="CL1214" s="128"/>
      <c r="CM1214" s="128"/>
      <c r="CN1214" s="128"/>
      <c r="CO1214" s="128"/>
      <c r="CP1214" s="128"/>
      <c r="CQ1214" s="128"/>
      <c r="CR1214" s="128"/>
      <c r="CS1214" s="128"/>
      <c r="CT1214" s="128"/>
      <c r="CU1214" s="128"/>
      <c r="CV1214" s="128"/>
      <c r="CW1214" s="128"/>
      <c r="CX1214" s="128"/>
      <c r="CY1214" s="128"/>
      <c r="CZ1214" s="128"/>
    </row>
    <row r="1215" spans="1:104">
      <c r="A1215" s="128"/>
      <c r="B1215" s="128"/>
      <c r="C1215" s="128"/>
      <c r="D1215" s="112"/>
      <c r="E1215" s="128"/>
      <c r="F1215" s="128"/>
      <c r="G1215" s="128"/>
      <c r="H1215" s="128"/>
      <c r="I1215" s="128"/>
      <c r="J1215" s="128"/>
      <c r="K1215" s="128"/>
      <c r="L1215" s="128"/>
      <c r="M1215" s="128"/>
      <c r="N1215" s="128"/>
      <c r="O1215" s="128"/>
      <c r="P1215" s="128"/>
      <c r="Q1215" s="128"/>
      <c r="R1215" s="128"/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  <c r="AV1215" s="128"/>
      <c r="AW1215" s="128"/>
      <c r="AX1215" s="128"/>
      <c r="AY1215" s="128"/>
      <c r="AZ1215" s="128"/>
      <c r="BA1215" s="128"/>
      <c r="BB1215" s="128"/>
      <c r="BC1215" s="128"/>
      <c r="BD1215" s="128"/>
      <c r="BE1215" s="128"/>
      <c r="BF1215" s="128"/>
      <c r="BG1215" s="128"/>
      <c r="BH1215" s="128"/>
      <c r="BI1215" s="128"/>
      <c r="BJ1215" s="128"/>
      <c r="BK1215" s="128"/>
      <c r="BL1215" s="128"/>
      <c r="BM1215" s="151"/>
      <c r="BN1215" s="128"/>
      <c r="BO1215" s="128"/>
      <c r="BP1215" s="128"/>
      <c r="BQ1215" s="128"/>
      <c r="BR1215" s="128"/>
      <c r="BS1215" s="128"/>
      <c r="BT1215" s="128"/>
      <c r="BU1215" s="128"/>
      <c r="BV1215" s="128"/>
      <c r="BW1215" s="128"/>
      <c r="BX1215" s="128"/>
      <c r="BY1215" s="128"/>
      <c r="BZ1215" s="128"/>
      <c r="CA1215" s="128"/>
      <c r="CB1215" s="128"/>
      <c r="CC1215" s="128"/>
      <c r="CD1215" s="128"/>
      <c r="CE1215" s="128"/>
      <c r="CF1215" s="128"/>
      <c r="CG1215" s="128"/>
      <c r="CH1215" s="128"/>
      <c r="CI1215" s="128"/>
      <c r="CJ1215" s="128"/>
      <c r="CK1215" s="128"/>
      <c r="CL1215" s="128"/>
      <c r="CM1215" s="128"/>
      <c r="CN1215" s="128"/>
      <c r="CO1215" s="128"/>
      <c r="CP1215" s="128"/>
      <c r="CQ1215" s="128"/>
      <c r="CR1215" s="128"/>
      <c r="CS1215" s="128"/>
      <c r="CT1215" s="128"/>
      <c r="CU1215" s="128"/>
      <c r="CV1215" s="128"/>
      <c r="CW1215" s="128"/>
      <c r="CX1215" s="128"/>
      <c r="CY1215" s="128"/>
      <c r="CZ1215" s="128"/>
    </row>
    <row r="1216" spans="1:104">
      <c r="A1216" s="128"/>
      <c r="B1216" s="128"/>
      <c r="C1216" s="128"/>
      <c r="D1216" s="112"/>
      <c r="E1216" s="128"/>
      <c r="F1216" s="128"/>
      <c r="G1216" s="128"/>
      <c r="H1216" s="128"/>
      <c r="I1216" s="128"/>
      <c r="J1216" s="128"/>
      <c r="K1216" s="128"/>
      <c r="L1216" s="128"/>
      <c r="M1216" s="128"/>
      <c r="N1216" s="128"/>
      <c r="O1216" s="128"/>
      <c r="P1216" s="128"/>
      <c r="Q1216" s="128"/>
      <c r="R1216" s="128"/>
      <c r="S1216" s="128"/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  <c r="AV1216" s="128"/>
      <c r="AW1216" s="128"/>
      <c r="AX1216" s="128"/>
      <c r="AY1216" s="128"/>
      <c r="AZ1216" s="128"/>
      <c r="BA1216" s="128"/>
      <c r="BB1216" s="128"/>
      <c r="BC1216" s="128"/>
      <c r="BD1216" s="128"/>
      <c r="BE1216" s="128"/>
      <c r="BF1216" s="128"/>
      <c r="BG1216" s="128"/>
      <c r="BH1216" s="128"/>
      <c r="BI1216" s="128"/>
      <c r="BJ1216" s="128"/>
      <c r="BK1216" s="128"/>
      <c r="BL1216" s="128"/>
      <c r="BM1216" s="151"/>
      <c r="BN1216" s="128"/>
      <c r="BO1216" s="128"/>
      <c r="BP1216" s="128"/>
      <c r="BQ1216" s="128"/>
      <c r="BR1216" s="128"/>
      <c r="BS1216" s="128"/>
      <c r="BT1216" s="128"/>
      <c r="BU1216" s="128"/>
      <c r="BV1216" s="128"/>
      <c r="BW1216" s="128"/>
      <c r="BX1216" s="128"/>
      <c r="BY1216" s="128"/>
      <c r="BZ1216" s="128"/>
      <c r="CA1216" s="128"/>
      <c r="CB1216" s="128"/>
      <c r="CC1216" s="128"/>
      <c r="CD1216" s="128"/>
      <c r="CE1216" s="128"/>
      <c r="CF1216" s="128"/>
      <c r="CG1216" s="128"/>
      <c r="CH1216" s="128"/>
      <c r="CI1216" s="128"/>
      <c r="CJ1216" s="128"/>
      <c r="CK1216" s="128"/>
      <c r="CL1216" s="128"/>
      <c r="CM1216" s="128"/>
      <c r="CN1216" s="128"/>
      <c r="CO1216" s="128"/>
      <c r="CP1216" s="128"/>
      <c r="CQ1216" s="128"/>
      <c r="CR1216" s="128"/>
      <c r="CS1216" s="128"/>
      <c r="CT1216" s="128"/>
      <c r="CU1216" s="128"/>
      <c r="CV1216" s="128"/>
      <c r="CW1216" s="128"/>
      <c r="CX1216" s="128"/>
      <c r="CY1216" s="128"/>
      <c r="CZ1216" s="128"/>
    </row>
    <row r="1217" spans="1:104">
      <c r="A1217" s="128"/>
      <c r="B1217" s="128"/>
      <c r="C1217" s="128"/>
      <c r="D1217" s="112"/>
      <c r="E1217" s="128"/>
      <c r="F1217" s="128"/>
      <c r="G1217" s="128"/>
      <c r="H1217" s="128"/>
      <c r="I1217" s="128"/>
      <c r="J1217" s="128"/>
      <c r="K1217" s="128"/>
      <c r="L1217" s="128"/>
      <c r="M1217" s="128"/>
      <c r="N1217" s="128"/>
      <c r="O1217" s="128"/>
      <c r="P1217" s="128"/>
      <c r="Q1217" s="128"/>
      <c r="R1217" s="128"/>
      <c r="S1217" s="128"/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  <c r="AV1217" s="128"/>
      <c r="AW1217" s="128"/>
      <c r="AX1217" s="128"/>
      <c r="AY1217" s="128"/>
      <c r="AZ1217" s="128"/>
      <c r="BA1217" s="128"/>
      <c r="BB1217" s="128"/>
      <c r="BC1217" s="128"/>
      <c r="BD1217" s="128"/>
      <c r="BE1217" s="128"/>
      <c r="BF1217" s="128"/>
      <c r="BG1217" s="128"/>
      <c r="BH1217" s="128"/>
      <c r="BI1217" s="128"/>
      <c r="BJ1217" s="128"/>
      <c r="BK1217" s="128"/>
      <c r="BL1217" s="128"/>
      <c r="BM1217" s="151"/>
      <c r="BN1217" s="128"/>
      <c r="BO1217" s="128"/>
      <c r="BP1217" s="128"/>
      <c r="BQ1217" s="128"/>
      <c r="BR1217" s="128"/>
      <c r="BS1217" s="128"/>
      <c r="BT1217" s="128"/>
      <c r="BU1217" s="128"/>
      <c r="BV1217" s="128"/>
      <c r="BW1217" s="128"/>
      <c r="BX1217" s="128"/>
      <c r="BY1217" s="128"/>
      <c r="BZ1217" s="128"/>
      <c r="CA1217" s="128"/>
      <c r="CB1217" s="128"/>
      <c r="CC1217" s="128"/>
      <c r="CD1217" s="128"/>
      <c r="CE1217" s="128"/>
      <c r="CF1217" s="128"/>
      <c r="CG1217" s="128"/>
      <c r="CH1217" s="128"/>
      <c r="CI1217" s="128"/>
      <c r="CJ1217" s="128"/>
      <c r="CK1217" s="128"/>
      <c r="CL1217" s="128"/>
      <c r="CM1217" s="128"/>
      <c r="CN1217" s="128"/>
      <c r="CO1217" s="128"/>
      <c r="CP1217" s="128"/>
      <c r="CQ1217" s="128"/>
      <c r="CR1217" s="128"/>
      <c r="CS1217" s="128"/>
      <c r="CT1217" s="128"/>
      <c r="CU1217" s="128"/>
      <c r="CV1217" s="128"/>
      <c r="CW1217" s="128"/>
      <c r="CX1217" s="128"/>
      <c r="CY1217" s="128"/>
      <c r="CZ1217" s="128"/>
    </row>
    <row r="1218" spans="1:104">
      <c r="A1218" s="128"/>
      <c r="B1218" s="128"/>
      <c r="C1218" s="128"/>
      <c r="D1218" s="112"/>
      <c r="E1218" s="128"/>
      <c r="F1218" s="128"/>
      <c r="G1218" s="128"/>
      <c r="H1218" s="128"/>
      <c r="I1218" s="128"/>
      <c r="J1218" s="128"/>
      <c r="K1218" s="128"/>
      <c r="L1218" s="128"/>
      <c r="M1218" s="128"/>
      <c r="N1218" s="128"/>
      <c r="O1218" s="128"/>
      <c r="P1218" s="128"/>
      <c r="Q1218" s="128"/>
      <c r="R1218" s="128"/>
      <c r="S1218" s="128"/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  <c r="AV1218" s="128"/>
      <c r="AW1218" s="128"/>
      <c r="AX1218" s="128"/>
      <c r="AY1218" s="128"/>
      <c r="AZ1218" s="128"/>
      <c r="BA1218" s="128"/>
      <c r="BB1218" s="128"/>
      <c r="BC1218" s="128"/>
      <c r="BD1218" s="128"/>
      <c r="BE1218" s="128"/>
      <c r="BF1218" s="128"/>
      <c r="BG1218" s="128"/>
      <c r="BH1218" s="128"/>
      <c r="BI1218" s="128"/>
      <c r="BJ1218" s="128"/>
      <c r="BK1218" s="128"/>
      <c r="BL1218" s="128"/>
      <c r="BM1218" s="151"/>
      <c r="BN1218" s="128"/>
      <c r="BO1218" s="128"/>
      <c r="BP1218" s="128"/>
      <c r="BQ1218" s="128"/>
      <c r="BR1218" s="128"/>
      <c r="BS1218" s="128"/>
      <c r="BT1218" s="128"/>
      <c r="BU1218" s="128"/>
      <c r="BV1218" s="128"/>
      <c r="BW1218" s="128"/>
      <c r="BX1218" s="128"/>
      <c r="BY1218" s="128"/>
      <c r="BZ1218" s="128"/>
      <c r="CA1218" s="128"/>
      <c r="CB1218" s="128"/>
      <c r="CC1218" s="128"/>
      <c r="CD1218" s="128"/>
      <c r="CE1218" s="128"/>
      <c r="CF1218" s="128"/>
      <c r="CG1218" s="128"/>
      <c r="CH1218" s="128"/>
      <c r="CI1218" s="128"/>
      <c r="CJ1218" s="128"/>
      <c r="CK1218" s="128"/>
      <c r="CL1218" s="128"/>
      <c r="CM1218" s="128"/>
      <c r="CN1218" s="128"/>
      <c r="CO1218" s="128"/>
      <c r="CP1218" s="128"/>
      <c r="CQ1218" s="128"/>
      <c r="CR1218" s="128"/>
      <c r="CS1218" s="128"/>
      <c r="CT1218" s="128"/>
      <c r="CU1218" s="128"/>
      <c r="CV1218" s="128"/>
      <c r="CW1218" s="128"/>
      <c r="CX1218" s="128"/>
      <c r="CY1218" s="128"/>
      <c r="CZ1218" s="128"/>
    </row>
    <row r="1219" spans="1:104">
      <c r="A1219" s="128"/>
      <c r="B1219" s="128"/>
      <c r="C1219" s="128"/>
      <c r="D1219" s="112"/>
      <c r="E1219" s="128"/>
      <c r="F1219" s="128"/>
      <c r="G1219" s="128"/>
      <c r="H1219" s="128"/>
      <c r="I1219" s="128"/>
      <c r="J1219" s="128"/>
      <c r="K1219" s="128"/>
      <c r="L1219" s="128"/>
      <c r="M1219" s="128"/>
      <c r="N1219" s="128"/>
      <c r="O1219" s="128"/>
      <c r="P1219" s="128"/>
      <c r="Q1219" s="128"/>
      <c r="R1219" s="128"/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  <c r="AV1219" s="128"/>
      <c r="AW1219" s="128"/>
      <c r="AX1219" s="128"/>
      <c r="AY1219" s="128"/>
      <c r="AZ1219" s="128"/>
      <c r="BA1219" s="128"/>
      <c r="BB1219" s="128"/>
      <c r="BC1219" s="128"/>
      <c r="BD1219" s="128"/>
      <c r="BE1219" s="128"/>
      <c r="BF1219" s="128"/>
      <c r="BG1219" s="128"/>
      <c r="BH1219" s="128"/>
      <c r="BI1219" s="128"/>
      <c r="BJ1219" s="128"/>
      <c r="BK1219" s="128"/>
      <c r="BL1219" s="128"/>
      <c r="BM1219" s="151"/>
      <c r="BN1219" s="128"/>
      <c r="BO1219" s="128"/>
      <c r="BP1219" s="128"/>
      <c r="BQ1219" s="128"/>
      <c r="BR1219" s="128"/>
      <c r="BS1219" s="128"/>
      <c r="BT1219" s="128"/>
      <c r="BU1219" s="128"/>
      <c r="BV1219" s="128"/>
      <c r="BW1219" s="128"/>
      <c r="BX1219" s="128"/>
      <c r="BY1219" s="128"/>
      <c r="BZ1219" s="128"/>
      <c r="CA1219" s="128"/>
      <c r="CB1219" s="128"/>
      <c r="CC1219" s="128"/>
      <c r="CD1219" s="128"/>
      <c r="CE1219" s="128"/>
      <c r="CF1219" s="128"/>
      <c r="CG1219" s="128"/>
      <c r="CH1219" s="128"/>
      <c r="CI1219" s="128"/>
      <c r="CJ1219" s="128"/>
      <c r="CK1219" s="128"/>
      <c r="CL1219" s="128"/>
      <c r="CM1219" s="128"/>
      <c r="CN1219" s="128"/>
      <c r="CO1219" s="128"/>
      <c r="CP1219" s="128"/>
      <c r="CQ1219" s="128"/>
      <c r="CR1219" s="128"/>
      <c r="CS1219" s="128"/>
      <c r="CT1219" s="128"/>
      <c r="CU1219" s="128"/>
      <c r="CV1219" s="128"/>
      <c r="CW1219" s="128"/>
      <c r="CX1219" s="128"/>
      <c r="CY1219" s="128"/>
      <c r="CZ1219" s="128"/>
    </row>
    <row r="1220" spans="1:104">
      <c r="A1220" s="128"/>
      <c r="B1220" s="128"/>
      <c r="C1220" s="128"/>
      <c r="D1220" s="112"/>
      <c r="E1220" s="128"/>
      <c r="F1220" s="128"/>
      <c r="G1220" s="128"/>
      <c r="H1220" s="128"/>
      <c r="I1220" s="128"/>
      <c r="J1220" s="128"/>
      <c r="K1220" s="128"/>
      <c r="L1220" s="128"/>
      <c r="M1220" s="128"/>
      <c r="N1220" s="128"/>
      <c r="O1220" s="128"/>
      <c r="P1220" s="128"/>
      <c r="Q1220" s="128"/>
      <c r="R1220" s="128"/>
      <c r="S1220" s="128"/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  <c r="AV1220" s="128"/>
      <c r="AW1220" s="128"/>
      <c r="AX1220" s="128"/>
      <c r="AY1220" s="128"/>
      <c r="AZ1220" s="128"/>
      <c r="BA1220" s="128"/>
      <c r="BB1220" s="128"/>
      <c r="BC1220" s="128"/>
      <c r="BD1220" s="128"/>
      <c r="BE1220" s="128"/>
      <c r="BF1220" s="128"/>
      <c r="BG1220" s="128"/>
      <c r="BH1220" s="128"/>
      <c r="BI1220" s="128"/>
      <c r="BJ1220" s="128"/>
      <c r="BK1220" s="128"/>
      <c r="BL1220" s="128"/>
      <c r="BM1220" s="151"/>
      <c r="BN1220" s="128"/>
      <c r="BO1220" s="128"/>
      <c r="BP1220" s="128"/>
      <c r="BQ1220" s="128"/>
      <c r="BR1220" s="128"/>
      <c r="BS1220" s="128"/>
      <c r="BT1220" s="128"/>
      <c r="BU1220" s="128"/>
      <c r="BV1220" s="128"/>
      <c r="BW1220" s="128"/>
      <c r="BX1220" s="128"/>
      <c r="BY1220" s="128"/>
      <c r="BZ1220" s="128"/>
      <c r="CA1220" s="128"/>
      <c r="CB1220" s="128"/>
      <c r="CC1220" s="128"/>
      <c r="CD1220" s="128"/>
      <c r="CE1220" s="128"/>
      <c r="CF1220" s="128"/>
      <c r="CG1220" s="128"/>
      <c r="CH1220" s="128"/>
      <c r="CI1220" s="128"/>
      <c r="CJ1220" s="128"/>
      <c r="CK1220" s="128"/>
      <c r="CL1220" s="128"/>
      <c r="CM1220" s="128"/>
      <c r="CN1220" s="128"/>
      <c r="CO1220" s="128"/>
      <c r="CP1220" s="128"/>
      <c r="CQ1220" s="128"/>
      <c r="CR1220" s="128"/>
      <c r="CS1220" s="128"/>
      <c r="CT1220" s="128"/>
      <c r="CU1220" s="128"/>
      <c r="CV1220" s="128"/>
      <c r="CW1220" s="128"/>
      <c r="CX1220" s="128"/>
      <c r="CY1220" s="128"/>
      <c r="CZ1220" s="128"/>
    </row>
    <row r="1221" spans="1:104">
      <c r="A1221" s="128"/>
      <c r="B1221" s="128"/>
      <c r="C1221" s="128"/>
      <c r="D1221" s="112"/>
      <c r="E1221" s="128"/>
      <c r="F1221" s="128"/>
      <c r="G1221" s="128"/>
      <c r="H1221" s="128"/>
      <c r="I1221" s="128"/>
      <c r="J1221" s="128"/>
      <c r="K1221" s="128"/>
      <c r="L1221" s="128"/>
      <c r="M1221" s="128"/>
      <c r="N1221" s="128"/>
      <c r="O1221" s="128"/>
      <c r="P1221" s="128"/>
      <c r="Q1221" s="128"/>
      <c r="R1221" s="128"/>
      <c r="S1221" s="128"/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  <c r="AV1221" s="128"/>
      <c r="AW1221" s="128"/>
      <c r="AX1221" s="128"/>
      <c r="AY1221" s="128"/>
      <c r="AZ1221" s="128"/>
      <c r="BA1221" s="128"/>
      <c r="BB1221" s="128"/>
      <c r="BC1221" s="128"/>
      <c r="BD1221" s="128"/>
      <c r="BE1221" s="128"/>
      <c r="BF1221" s="128"/>
      <c r="BG1221" s="128"/>
      <c r="BH1221" s="128"/>
      <c r="BI1221" s="128"/>
      <c r="BJ1221" s="128"/>
      <c r="BK1221" s="128"/>
      <c r="BL1221" s="128"/>
      <c r="BM1221" s="151"/>
      <c r="BN1221" s="128"/>
      <c r="BO1221" s="128"/>
      <c r="BP1221" s="128"/>
      <c r="BQ1221" s="128"/>
      <c r="BR1221" s="128"/>
      <c r="BS1221" s="128"/>
      <c r="BT1221" s="128"/>
      <c r="BU1221" s="128"/>
      <c r="BV1221" s="128"/>
      <c r="BW1221" s="128"/>
      <c r="BX1221" s="128"/>
      <c r="BY1221" s="128"/>
      <c r="BZ1221" s="128"/>
      <c r="CA1221" s="128"/>
      <c r="CB1221" s="128"/>
      <c r="CC1221" s="128"/>
      <c r="CD1221" s="128"/>
      <c r="CE1221" s="128"/>
      <c r="CF1221" s="128"/>
      <c r="CG1221" s="128"/>
      <c r="CH1221" s="128"/>
      <c r="CI1221" s="128"/>
      <c r="CJ1221" s="128"/>
      <c r="CK1221" s="128"/>
      <c r="CL1221" s="128"/>
      <c r="CM1221" s="128"/>
      <c r="CN1221" s="128"/>
      <c r="CO1221" s="128"/>
      <c r="CP1221" s="128"/>
      <c r="CQ1221" s="128"/>
      <c r="CR1221" s="128"/>
      <c r="CS1221" s="128"/>
      <c r="CT1221" s="128"/>
      <c r="CU1221" s="128"/>
      <c r="CV1221" s="128"/>
      <c r="CW1221" s="128"/>
      <c r="CX1221" s="128"/>
      <c r="CY1221" s="128"/>
      <c r="CZ1221" s="128"/>
    </row>
    <row r="1222" spans="1:104">
      <c r="A1222" s="128"/>
      <c r="B1222" s="128"/>
      <c r="C1222" s="128"/>
      <c r="D1222" s="112"/>
      <c r="E1222" s="128"/>
      <c r="F1222" s="128"/>
      <c r="G1222" s="128"/>
      <c r="H1222" s="128"/>
      <c r="I1222" s="128"/>
      <c r="J1222" s="128"/>
      <c r="K1222" s="128"/>
      <c r="L1222" s="128"/>
      <c r="M1222" s="128"/>
      <c r="N1222" s="128"/>
      <c r="O1222" s="128"/>
      <c r="P1222" s="128"/>
      <c r="Q1222" s="128"/>
      <c r="R1222" s="128"/>
      <c r="S1222" s="128"/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  <c r="AV1222" s="128"/>
      <c r="AW1222" s="128"/>
      <c r="AX1222" s="128"/>
      <c r="AY1222" s="128"/>
      <c r="AZ1222" s="128"/>
      <c r="BA1222" s="128"/>
      <c r="BB1222" s="128"/>
      <c r="BC1222" s="128"/>
      <c r="BD1222" s="128"/>
      <c r="BE1222" s="128"/>
      <c r="BF1222" s="128"/>
      <c r="BG1222" s="128"/>
      <c r="BH1222" s="128"/>
      <c r="BI1222" s="128"/>
      <c r="BJ1222" s="128"/>
      <c r="BK1222" s="128"/>
      <c r="BL1222" s="128"/>
      <c r="BM1222" s="151"/>
      <c r="BN1222" s="128"/>
      <c r="BO1222" s="128"/>
      <c r="BP1222" s="128"/>
      <c r="BQ1222" s="128"/>
      <c r="BR1222" s="128"/>
      <c r="BS1222" s="128"/>
      <c r="BT1222" s="128"/>
      <c r="BU1222" s="128"/>
      <c r="BV1222" s="128"/>
      <c r="BW1222" s="128"/>
      <c r="BX1222" s="128"/>
      <c r="BY1222" s="128"/>
      <c r="BZ1222" s="128"/>
      <c r="CA1222" s="128"/>
      <c r="CB1222" s="128"/>
      <c r="CC1222" s="128"/>
      <c r="CD1222" s="128"/>
      <c r="CE1222" s="128"/>
      <c r="CF1222" s="128"/>
      <c r="CG1222" s="128"/>
      <c r="CH1222" s="128"/>
      <c r="CI1222" s="128"/>
      <c r="CJ1222" s="128"/>
      <c r="CK1222" s="128"/>
      <c r="CL1222" s="128"/>
      <c r="CM1222" s="128"/>
      <c r="CN1222" s="128"/>
      <c r="CO1222" s="128"/>
      <c r="CP1222" s="128"/>
      <c r="CQ1222" s="128"/>
      <c r="CR1222" s="128"/>
      <c r="CS1222" s="128"/>
      <c r="CT1222" s="128"/>
      <c r="CU1222" s="128"/>
      <c r="CV1222" s="128"/>
      <c r="CW1222" s="128"/>
      <c r="CX1222" s="128"/>
      <c r="CY1222" s="128"/>
      <c r="CZ1222" s="128"/>
    </row>
    <row r="1223" spans="1:104">
      <c r="A1223" s="128"/>
      <c r="B1223" s="128"/>
      <c r="C1223" s="128"/>
      <c r="D1223" s="112"/>
      <c r="E1223" s="128"/>
      <c r="F1223" s="128"/>
      <c r="G1223" s="128"/>
      <c r="H1223" s="128"/>
      <c r="I1223" s="128"/>
      <c r="J1223" s="128"/>
      <c r="K1223" s="128"/>
      <c r="L1223" s="128"/>
      <c r="M1223" s="128"/>
      <c r="N1223" s="128"/>
      <c r="O1223" s="128"/>
      <c r="P1223" s="128"/>
      <c r="Q1223" s="128"/>
      <c r="R1223" s="128"/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  <c r="AV1223" s="128"/>
      <c r="AW1223" s="128"/>
      <c r="AX1223" s="128"/>
      <c r="AY1223" s="128"/>
      <c r="AZ1223" s="128"/>
      <c r="BA1223" s="128"/>
      <c r="BB1223" s="128"/>
      <c r="BC1223" s="128"/>
      <c r="BD1223" s="128"/>
      <c r="BE1223" s="128"/>
      <c r="BF1223" s="128"/>
      <c r="BG1223" s="128"/>
      <c r="BH1223" s="128"/>
      <c r="BI1223" s="128"/>
      <c r="BJ1223" s="128"/>
      <c r="BK1223" s="128"/>
      <c r="BL1223" s="128"/>
      <c r="BM1223" s="151"/>
      <c r="BN1223" s="128"/>
      <c r="BO1223" s="128"/>
      <c r="BP1223" s="128"/>
      <c r="BQ1223" s="128"/>
      <c r="BR1223" s="128"/>
      <c r="BS1223" s="128"/>
      <c r="BT1223" s="128"/>
      <c r="BU1223" s="128"/>
      <c r="BV1223" s="128"/>
      <c r="BW1223" s="128"/>
      <c r="BX1223" s="128"/>
      <c r="BY1223" s="128"/>
      <c r="BZ1223" s="128"/>
      <c r="CA1223" s="128"/>
      <c r="CB1223" s="128"/>
      <c r="CC1223" s="128"/>
      <c r="CD1223" s="128"/>
      <c r="CE1223" s="128"/>
      <c r="CF1223" s="128"/>
      <c r="CG1223" s="128"/>
      <c r="CH1223" s="128"/>
      <c r="CI1223" s="128"/>
      <c r="CJ1223" s="128"/>
      <c r="CK1223" s="128"/>
      <c r="CL1223" s="128"/>
      <c r="CM1223" s="128"/>
      <c r="CN1223" s="128"/>
      <c r="CO1223" s="128"/>
      <c r="CP1223" s="128"/>
      <c r="CQ1223" s="128"/>
      <c r="CR1223" s="128"/>
      <c r="CS1223" s="128"/>
      <c r="CT1223" s="128"/>
      <c r="CU1223" s="128"/>
      <c r="CV1223" s="128"/>
      <c r="CW1223" s="128"/>
      <c r="CX1223" s="128"/>
      <c r="CY1223" s="128"/>
      <c r="CZ1223" s="128"/>
    </row>
    <row r="1224" spans="1:104">
      <c r="A1224" s="128"/>
      <c r="B1224" s="128"/>
      <c r="C1224" s="128"/>
      <c r="D1224" s="112"/>
      <c r="E1224" s="128"/>
      <c r="F1224" s="128"/>
      <c r="G1224" s="128"/>
      <c r="H1224" s="128"/>
      <c r="I1224" s="128"/>
      <c r="J1224" s="128"/>
      <c r="K1224" s="128"/>
      <c r="L1224" s="128"/>
      <c r="M1224" s="128"/>
      <c r="N1224" s="128"/>
      <c r="O1224" s="128"/>
      <c r="P1224" s="128"/>
      <c r="Q1224" s="128"/>
      <c r="R1224" s="128"/>
      <c r="S1224" s="128"/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  <c r="AV1224" s="128"/>
      <c r="AW1224" s="128"/>
      <c r="AX1224" s="128"/>
      <c r="AY1224" s="128"/>
      <c r="AZ1224" s="128"/>
      <c r="BA1224" s="128"/>
      <c r="BB1224" s="128"/>
      <c r="BC1224" s="128"/>
      <c r="BD1224" s="128"/>
      <c r="BE1224" s="128"/>
      <c r="BF1224" s="128"/>
      <c r="BG1224" s="128"/>
      <c r="BH1224" s="128"/>
      <c r="BI1224" s="128"/>
      <c r="BJ1224" s="128"/>
      <c r="BK1224" s="128"/>
      <c r="BL1224" s="128"/>
      <c r="BM1224" s="151"/>
      <c r="BN1224" s="128"/>
      <c r="BO1224" s="128"/>
      <c r="BP1224" s="128"/>
      <c r="BQ1224" s="128"/>
      <c r="BR1224" s="128"/>
      <c r="BS1224" s="128"/>
      <c r="BT1224" s="128"/>
      <c r="BU1224" s="128"/>
      <c r="BV1224" s="128"/>
      <c r="BW1224" s="128"/>
      <c r="BX1224" s="128"/>
      <c r="BY1224" s="128"/>
      <c r="BZ1224" s="128"/>
      <c r="CA1224" s="128"/>
      <c r="CB1224" s="128"/>
      <c r="CC1224" s="128"/>
      <c r="CD1224" s="128"/>
      <c r="CE1224" s="128"/>
      <c r="CF1224" s="128"/>
      <c r="CG1224" s="128"/>
      <c r="CH1224" s="128"/>
      <c r="CI1224" s="128"/>
      <c r="CJ1224" s="128"/>
      <c r="CK1224" s="128"/>
      <c r="CL1224" s="128"/>
      <c r="CM1224" s="128"/>
      <c r="CN1224" s="128"/>
      <c r="CO1224" s="128"/>
      <c r="CP1224" s="128"/>
      <c r="CQ1224" s="128"/>
      <c r="CR1224" s="128"/>
      <c r="CS1224" s="128"/>
      <c r="CT1224" s="128"/>
      <c r="CU1224" s="128"/>
      <c r="CV1224" s="128"/>
      <c r="CW1224" s="128"/>
      <c r="CX1224" s="128"/>
      <c r="CY1224" s="128"/>
      <c r="CZ1224" s="128"/>
    </row>
    <row r="1225" spans="1:104">
      <c r="A1225" s="128"/>
      <c r="B1225" s="128"/>
      <c r="C1225" s="128"/>
      <c r="D1225" s="112"/>
      <c r="E1225" s="128"/>
      <c r="F1225" s="128"/>
      <c r="G1225" s="128"/>
      <c r="H1225" s="128"/>
      <c r="I1225" s="128"/>
      <c r="J1225" s="128"/>
      <c r="K1225" s="128"/>
      <c r="L1225" s="128"/>
      <c r="M1225" s="128"/>
      <c r="N1225" s="128"/>
      <c r="O1225" s="128"/>
      <c r="P1225" s="128"/>
      <c r="Q1225" s="128"/>
      <c r="R1225" s="128"/>
      <c r="S1225" s="128"/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  <c r="AV1225" s="128"/>
      <c r="AW1225" s="128"/>
      <c r="AX1225" s="128"/>
      <c r="AY1225" s="128"/>
      <c r="AZ1225" s="128"/>
      <c r="BA1225" s="128"/>
      <c r="BB1225" s="128"/>
      <c r="BC1225" s="128"/>
      <c r="BD1225" s="128"/>
      <c r="BE1225" s="128"/>
      <c r="BF1225" s="128"/>
      <c r="BG1225" s="128"/>
      <c r="BH1225" s="128"/>
      <c r="BI1225" s="128"/>
      <c r="BJ1225" s="128"/>
      <c r="BK1225" s="128"/>
      <c r="BL1225" s="128"/>
      <c r="BM1225" s="151"/>
      <c r="BN1225" s="128"/>
      <c r="BO1225" s="128"/>
      <c r="BP1225" s="128"/>
      <c r="BQ1225" s="128"/>
      <c r="BR1225" s="128"/>
      <c r="BS1225" s="128"/>
      <c r="BT1225" s="128"/>
      <c r="BU1225" s="128"/>
      <c r="BV1225" s="128"/>
      <c r="BW1225" s="128"/>
      <c r="BX1225" s="128"/>
      <c r="BY1225" s="128"/>
      <c r="BZ1225" s="128"/>
      <c r="CA1225" s="128"/>
      <c r="CB1225" s="128"/>
      <c r="CC1225" s="128"/>
      <c r="CD1225" s="128"/>
      <c r="CE1225" s="128"/>
      <c r="CF1225" s="128"/>
      <c r="CG1225" s="128"/>
      <c r="CH1225" s="128"/>
      <c r="CI1225" s="128"/>
      <c r="CJ1225" s="128"/>
      <c r="CK1225" s="128"/>
      <c r="CL1225" s="128"/>
      <c r="CM1225" s="128"/>
      <c r="CN1225" s="128"/>
      <c r="CO1225" s="128"/>
      <c r="CP1225" s="128"/>
      <c r="CQ1225" s="128"/>
      <c r="CR1225" s="128"/>
      <c r="CS1225" s="128"/>
      <c r="CT1225" s="128"/>
      <c r="CU1225" s="128"/>
      <c r="CV1225" s="128"/>
      <c r="CW1225" s="128"/>
      <c r="CX1225" s="128"/>
      <c r="CY1225" s="128"/>
      <c r="CZ1225" s="128"/>
    </row>
    <row r="1226" spans="1:104">
      <c r="A1226" s="128"/>
      <c r="B1226" s="128"/>
      <c r="C1226" s="128"/>
      <c r="D1226" s="112"/>
      <c r="E1226" s="128"/>
      <c r="F1226" s="128"/>
      <c r="G1226" s="128"/>
      <c r="H1226" s="128"/>
      <c r="I1226" s="128"/>
      <c r="J1226" s="128"/>
      <c r="K1226" s="128"/>
      <c r="L1226" s="128"/>
      <c r="M1226" s="128"/>
      <c r="N1226" s="128"/>
      <c r="O1226" s="128"/>
      <c r="P1226" s="128"/>
      <c r="Q1226" s="128"/>
      <c r="R1226" s="128"/>
      <c r="S1226" s="128"/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  <c r="AV1226" s="128"/>
      <c r="AW1226" s="128"/>
      <c r="AX1226" s="128"/>
      <c r="AY1226" s="128"/>
      <c r="AZ1226" s="128"/>
      <c r="BA1226" s="128"/>
      <c r="BB1226" s="128"/>
      <c r="BC1226" s="128"/>
      <c r="BD1226" s="128"/>
      <c r="BE1226" s="128"/>
      <c r="BF1226" s="128"/>
      <c r="BG1226" s="128"/>
      <c r="BH1226" s="128"/>
      <c r="BI1226" s="128"/>
      <c r="BJ1226" s="128"/>
      <c r="BK1226" s="128"/>
      <c r="BL1226" s="128"/>
      <c r="BM1226" s="151"/>
      <c r="BN1226" s="128"/>
      <c r="BO1226" s="128"/>
      <c r="BP1226" s="128"/>
      <c r="BQ1226" s="128"/>
      <c r="BR1226" s="128"/>
      <c r="BS1226" s="128"/>
      <c r="BT1226" s="128"/>
      <c r="BU1226" s="128"/>
      <c r="BV1226" s="128"/>
      <c r="BW1226" s="128"/>
      <c r="BX1226" s="128"/>
      <c r="BY1226" s="128"/>
      <c r="BZ1226" s="128"/>
      <c r="CA1226" s="128"/>
      <c r="CB1226" s="128"/>
      <c r="CC1226" s="128"/>
      <c r="CD1226" s="128"/>
      <c r="CE1226" s="128"/>
      <c r="CF1226" s="128"/>
      <c r="CG1226" s="128"/>
      <c r="CH1226" s="128"/>
      <c r="CI1226" s="128"/>
      <c r="CJ1226" s="128"/>
      <c r="CK1226" s="128"/>
      <c r="CL1226" s="128"/>
      <c r="CM1226" s="128"/>
      <c r="CN1226" s="128"/>
      <c r="CO1226" s="128"/>
      <c r="CP1226" s="128"/>
      <c r="CQ1226" s="128"/>
      <c r="CR1226" s="128"/>
      <c r="CS1226" s="128"/>
      <c r="CT1226" s="128"/>
      <c r="CU1226" s="128"/>
      <c r="CV1226" s="128"/>
      <c r="CW1226" s="128"/>
      <c r="CX1226" s="128"/>
      <c r="CY1226" s="128"/>
      <c r="CZ1226" s="128"/>
    </row>
    <row r="1227" spans="1:104">
      <c r="A1227" s="128"/>
      <c r="B1227" s="128"/>
      <c r="C1227" s="128"/>
      <c r="D1227" s="112"/>
      <c r="E1227" s="128"/>
      <c r="F1227" s="128"/>
      <c r="G1227" s="128"/>
      <c r="H1227" s="128"/>
      <c r="I1227" s="128"/>
      <c r="J1227" s="128"/>
      <c r="K1227" s="128"/>
      <c r="L1227" s="128"/>
      <c r="M1227" s="128"/>
      <c r="N1227" s="128"/>
      <c r="O1227" s="128"/>
      <c r="P1227" s="128"/>
      <c r="Q1227" s="128"/>
      <c r="R1227" s="128"/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  <c r="AV1227" s="128"/>
      <c r="AW1227" s="128"/>
      <c r="AX1227" s="128"/>
      <c r="AY1227" s="128"/>
      <c r="AZ1227" s="128"/>
      <c r="BA1227" s="128"/>
      <c r="BB1227" s="128"/>
      <c r="BC1227" s="128"/>
      <c r="BD1227" s="128"/>
      <c r="BE1227" s="128"/>
      <c r="BF1227" s="128"/>
      <c r="BG1227" s="128"/>
      <c r="BH1227" s="128"/>
      <c r="BI1227" s="128"/>
      <c r="BJ1227" s="128"/>
      <c r="BK1227" s="128"/>
      <c r="BL1227" s="128"/>
      <c r="BM1227" s="151"/>
      <c r="BN1227" s="128"/>
      <c r="BO1227" s="128"/>
      <c r="BP1227" s="128"/>
      <c r="BQ1227" s="128"/>
      <c r="BR1227" s="128"/>
      <c r="BS1227" s="128"/>
      <c r="BT1227" s="128"/>
      <c r="BU1227" s="128"/>
      <c r="BV1227" s="128"/>
      <c r="BW1227" s="128"/>
      <c r="BX1227" s="128"/>
      <c r="BY1227" s="128"/>
      <c r="BZ1227" s="128"/>
      <c r="CA1227" s="128"/>
      <c r="CB1227" s="128"/>
      <c r="CC1227" s="128"/>
      <c r="CD1227" s="128"/>
      <c r="CE1227" s="128"/>
      <c r="CF1227" s="128"/>
      <c r="CG1227" s="128"/>
      <c r="CH1227" s="128"/>
      <c r="CI1227" s="128"/>
      <c r="CJ1227" s="128"/>
      <c r="CK1227" s="128"/>
      <c r="CL1227" s="128"/>
      <c r="CM1227" s="128"/>
      <c r="CN1227" s="128"/>
      <c r="CO1227" s="128"/>
      <c r="CP1227" s="128"/>
      <c r="CQ1227" s="128"/>
      <c r="CR1227" s="128"/>
      <c r="CS1227" s="128"/>
      <c r="CT1227" s="128"/>
      <c r="CU1227" s="128"/>
      <c r="CV1227" s="128"/>
      <c r="CW1227" s="128"/>
      <c r="CX1227" s="128"/>
      <c r="CY1227" s="128"/>
      <c r="CZ1227" s="128"/>
    </row>
    <row r="1228" spans="1:104">
      <c r="A1228" s="128"/>
      <c r="B1228" s="128"/>
      <c r="C1228" s="128"/>
      <c r="D1228" s="112"/>
      <c r="E1228" s="128"/>
      <c r="F1228" s="128"/>
      <c r="G1228" s="128"/>
      <c r="H1228" s="128"/>
      <c r="I1228" s="128"/>
      <c r="J1228" s="128"/>
      <c r="K1228" s="128"/>
      <c r="L1228" s="128"/>
      <c r="M1228" s="128"/>
      <c r="N1228" s="128"/>
      <c r="O1228" s="128"/>
      <c r="P1228" s="128"/>
      <c r="Q1228" s="128"/>
      <c r="R1228" s="128"/>
      <c r="S1228" s="128"/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  <c r="AV1228" s="128"/>
      <c r="AW1228" s="128"/>
      <c r="AX1228" s="128"/>
      <c r="AY1228" s="128"/>
      <c r="AZ1228" s="128"/>
      <c r="BA1228" s="128"/>
      <c r="BB1228" s="128"/>
      <c r="BC1228" s="128"/>
      <c r="BD1228" s="128"/>
      <c r="BE1228" s="128"/>
      <c r="BF1228" s="128"/>
      <c r="BG1228" s="128"/>
      <c r="BH1228" s="128"/>
      <c r="BI1228" s="128"/>
      <c r="BJ1228" s="128"/>
      <c r="BK1228" s="128"/>
      <c r="BL1228" s="128"/>
      <c r="BM1228" s="151"/>
      <c r="BN1228" s="128"/>
      <c r="BO1228" s="128"/>
      <c r="BP1228" s="128"/>
      <c r="BQ1228" s="128"/>
      <c r="BR1228" s="128"/>
      <c r="BS1228" s="128"/>
      <c r="BT1228" s="128"/>
      <c r="BU1228" s="128"/>
      <c r="BV1228" s="128"/>
      <c r="BW1228" s="128"/>
      <c r="BX1228" s="128"/>
      <c r="BY1228" s="128"/>
      <c r="BZ1228" s="128"/>
      <c r="CA1228" s="128"/>
      <c r="CB1228" s="128"/>
      <c r="CC1228" s="128"/>
      <c r="CD1228" s="128"/>
      <c r="CE1228" s="128"/>
      <c r="CF1228" s="128"/>
      <c r="CG1228" s="128"/>
      <c r="CH1228" s="128"/>
      <c r="CI1228" s="128"/>
      <c r="CJ1228" s="128"/>
      <c r="CK1228" s="128"/>
      <c r="CL1228" s="128"/>
      <c r="CM1228" s="128"/>
      <c r="CN1228" s="128"/>
      <c r="CO1228" s="128"/>
      <c r="CP1228" s="128"/>
      <c r="CQ1228" s="128"/>
      <c r="CR1228" s="128"/>
      <c r="CS1228" s="128"/>
      <c r="CT1228" s="128"/>
      <c r="CU1228" s="128"/>
      <c r="CV1228" s="128"/>
      <c r="CW1228" s="128"/>
      <c r="CX1228" s="128"/>
      <c r="CY1228" s="128"/>
      <c r="CZ1228" s="128"/>
    </row>
    <row r="1229" spans="1:104">
      <c r="A1229" s="128"/>
      <c r="B1229" s="128"/>
      <c r="C1229" s="128"/>
      <c r="D1229" s="112"/>
      <c r="E1229" s="128"/>
      <c r="F1229" s="128"/>
      <c r="G1229" s="128"/>
      <c r="H1229" s="128"/>
      <c r="I1229" s="128"/>
      <c r="J1229" s="128"/>
      <c r="K1229" s="128"/>
      <c r="L1229" s="128"/>
      <c r="M1229" s="128"/>
      <c r="N1229" s="128"/>
      <c r="O1229" s="128"/>
      <c r="P1229" s="128"/>
      <c r="Q1229" s="128"/>
      <c r="R1229" s="128"/>
      <c r="S1229" s="128"/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  <c r="AV1229" s="128"/>
      <c r="AW1229" s="128"/>
      <c r="AX1229" s="128"/>
      <c r="AY1229" s="128"/>
      <c r="AZ1229" s="128"/>
      <c r="BA1229" s="128"/>
      <c r="BB1229" s="128"/>
      <c r="BC1229" s="128"/>
      <c r="BD1229" s="128"/>
      <c r="BE1229" s="128"/>
      <c r="BF1229" s="128"/>
      <c r="BG1229" s="128"/>
      <c r="BH1229" s="128"/>
      <c r="BI1229" s="128"/>
      <c r="BJ1229" s="128"/>
      <c r="BK1229" s="128"/>
      <c r="BL1229" s="128"/>
      <c r="BM1229" s="151"/>
      <c r="BN1229" s="128"/>
      <c r="BO1229" s="128"/>
      <c r="BP1229" s="128"/>
      <c r="BQ1229" s="128"/>
      <c r="BR1229" s="128"/>
      <c r="BS1229" s="128"/>
      <c r="BT1229" s="128"/>
      <c r="BU1229" s="128"/>
      <c r="BV1229" s="128"/>
      <c r="BW1229" s="128"/>
      <c r="BX1229" s="128"/>
      <c r="BY1229" s="128"/>
      <c r="BZ1229" s="128"/>
      <c r="CA1229" s="128"/>
      <c r="CB1229" s="128"/>
      <c r="CC1229" s="128"/>
      <c r="CD1229" s="128"/>
      <c r="CE1229" s="128"/>
      <c r="CF1229" s="128"/>
      <c r="CG1229" s="128"/>
      <c r="CH1229" s="128"/>
      <c r="CI1229" s="128"/>
      <c r="CJ1229" s="128"/>
      <c r="CK1229" s="128"/>
      <c r="CL1229" s="128"/>
      <c r="CM1229" s="128"/>
      <c r="CN1229" s="128"/>
      <c r="CO1229" s="128"/>
      <c r="CP1229" s="128"/>
      <c r="CQ1229" s="128"/>
      <c r="CR1229" s="128"/>
      <c r="CS1229" s="128"/>
      <c r="CT1229" s="128"/>
      <c r="CU1229" s="128"/>
      <c r="CV1229" s="128"/>
      <c r="CW1229" s="128"/>
      <c r="CX1229" s="128"/>
      <c r="CY1229" s="128"/>
      <c r="CZ1229" s="128"/>
    </row>
    <row r="1230" spans="1:104">
      <c r="A1230" s="128"/>
      <c r="B1230" s="128"/>
      <c r="C1230" s="128"/>
      <c r="D1230" s="112"/>
      <c r="E1230" s="128"/>
      <c r="F1230" s="128"/>
      <c r="G1230" s="128"/>
      <c r="H1230" s="128"/>
      <c r="I1230" s="128"/>
      <c r="J1230" s="128"/>
      <c r="K1230" s="128"/>
      <c r="L1230" s="128"/>
      <c r="M1230" s="128"/>
      <c r="N1230" s="128"/>
      <c r="O1230" s="128"/>
      <c r="P1230" s="128"/>
      <c r="Q1230" s="128"/>
      <c r="R1230" s="128"/>
      <c r="S1230" s="128"/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  <c r="AV1230" s="128"/>
      <c r="AW1230" s="128"/>
      <c r="AX1230" s="128"/>
      <c r="AY1230" s="128"/>
      <c r="AZ1230" s="128"/>
      <c r="BA1230" s="128"/>
      <c r="BB1230" s="128"/>
      <c r="BC1230" s="128"/>
      <c r="BD1230" s="128"/>
      <c r="BE1230" s="128"/>
      <c r="BF1230" s="128"/>
      <c r="BG1230" s="128"/>
      <c r="BH1230" s="128"/>
      <c r="BI1230" s="128"/>
      <c r="BJ1230" s="128"/>
      <c r="BK1230" s="128"/>
      <c r="BL1230" s="128"/>
      <c r="BM1230" s="151"/>
      <c r="BN1230" s="128"/>
      <c r="BO1230" s="128"/>
      <c r="BP1230" s="128"/>
      <c r="BQ1230" s="128"/>
      <c r="BR1230" s="128"/>
      <c r="BS1230" s="128"/>
      <c r="BT1230" s="128"/>
      <c r="BU1230" s="128"/>
      <c r="BV1230" s="128"/>
      <c r="BW1230" s="128"/>
      <c r="BX1230" s="128"/>
      <c r="BY1230" s="128"/>
      <c r="BZ1230" s="128"/>
      <c r="CA1230" s="128"/>
      <c r="CB1230" s="128"/>
      <c r="CC1230" s="128"/>
      <c r="CD1230" s="128"/>
      <c r="CE1230" s="128"/>
      <c r="CF1230" s="128"/>
      <c r="CG1230" s="128"/>
      <c r="CH1230" s="128"/>
      <c r="CI1230" s="128"/>
      <c r="CJ1230" s="128"/>
      <c r="CK1230" s="128"/>
      <c r="CL1230" s="128"/>
      <c r="CM1230" s="128"/>
      <c r="CN1230" s="128"/>
      <c r="CO1230" s="128"/>
      <c r="CP1230" s="128"/>
      <c r="CQ1230" s="128"/>
      <c r="CR1230" s="128"/>
      <c r="CS1230" s="128"/>
      <c r="CT1230" s="128"/>
      <c r="CU1230" s="128"/>
      <c r="CV1230" s="128"/>
      <c r="CW1230" s="128"/>
      <c r="CX1230" s="128"/>
      <c r="CY1230" s="128"/>
      <c r="CZ1230" s="128"/>
    </row>
    <row r="1231" spans="1:104">
      <c r="A1231" s="128"/>
      <c r="B1231" s="128"/>
      <c r="C1231" s="128"/>
      <c r="D1231" s="112"/>
      <c r="E1231" s="128"/>
      <c r="F1231" s="128"/>
      <c r="G1231" s="128"/>
      <c r="H1231" s="128"/>
      <c r="I1231" s="128"/>
      <c r="J1231" s="128"/>
      <c r="K1231" s="128"/>
      <c r="L1231" s="128"/>
      <c r="M1231" s="128"/>
      <c r="N1231" s="128"/>
      <c r="O1231" s="128"/>
      <c r="P1231" s="128"/>
      <c r="Q1231" s="128"/>
      <c r="R1231" s="128"/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  <c r="AV1231" s="128"/>
      <c r="AW1231" s="128"/>
      <c r="AX1231" s="128"/>
      <c r="AY1231" s="128"/>
      <c r="AZ1231" s="128"/>
      <c r="BA1231" s="128"/>
      <c r="BB1231" s="128"/>
      <c r="BC1231" s="128"/>
      <c r="BD1231" s="128"/>
      <c r="BE1231" s="128"/>
      <c r="BF1231" s="128"/>
      <c r="BG1231" s="128"/>
      <c r="BH1231" s="128"/>
      <c r="BI1231" s="128"/>
      <c r="BJ1231" s="128"/>
      <c r="BK1231" s="128"/>
      <c r="BL1231" s="128"/>
      <c r="BM1231" s="151"/>
      <c r="BN1231" s="128"/>
      <c r="BO1231" s="128"/>
      <c r="BP1231" s="128"/>
      <c r="BQ1231" s="128"/>
      <c r="BR1231" s="128"/>
      <c r="BS1231" s="128"/>
      <c r="BT1231" s="128"/>
      <c r="BU1231" s="128"/>
      <c r="BV1231" s="128"/>
      <c r="BW1231" s="128"/>
      <c r="BX1231" s="128"/>
      <c r="BY1231" s="128"/>
      <c r="BZ1231" s="128"/>
      <c r="CA1231" s="128"/>
      <c r="CB1231" s="128"/>
      <c r="CC1231" s="128"/>
      <c r="CD1231" s="128"/>
      <c r="CE1231" s="128"/>
      <c r="CF1231" s="128"/>
      <c r="CG1231" s="128"/>
      <c r="CH1231" s="128"/>
      <c r="CI1231" s="128"/>
      <c r="CJ1231" s="128"/>
      <c r="CK1231" s="128"/>
      <c r="CL1231" s="128"/>
      <c r="CM1231" s="128"/>
      <c r="CN1231" s="128"/>
      <c r="CO1231" s="128"/>
      <c r="CP1231" s="128"/>
      <c r="CQ1231" s="128"/>
      <c r="CR1231" s="128"/>
      <c r="CS1231" s="128"/>
      <c r="CT1231" s="128"/>
      <c r="CU1231" s="128"/>
      <c r="CV1231" s="128"/>
      <c r="CW1231" s="128"/>
      <c r="CX1231" s="128"/>
      <c r="CY1231" s="128"/>
      <c r="CZ1231" s="128"/>
    </row>
    <row r="1232" spans="1:104">
      <c r="A1232" s="128"/>
      <c r="B1232" s="128"/>
      <c r="C1232" s="128"/>
      <c r="D1232" s="112"/>
      <c r="E1232" s="128"/>
      <c r="F1232" s="128"/>
      <c r="G1232" s="128"/>
      <c r="H1232" s="128"/>
      <c r="I1232" s="128"/>
      <c r="J1232" s="128"/>
      <c r="K1232" s="128"/>
      <c r="L1232" s="128"/>
      <c r="M1232" s="128"/>
      <c r="N1232" s="128"/>
      <c r="O1232" s="128"/>
      <c r="P1232" s="128"/>
      <c r="Q1232" s="128"/>
      <c r="R1232" s="128"/>
      <c r="S1232" s="128"/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  <c r="AV1232" s="128"/>
      <c r="AW1232" s="128"/>
      <c r="AX1232" s="128"/>
      <c r="AY1232" s="128"/>
      <c r="AZ1232" s="128"/>
      <c r="BA1232" s="128"/>
      <c r="BB1232" s="128"/>
      <c r="BC1232" s="128"/>
      <c r="BD1232" s="128"/>
      <c r="BE1232" s="128"/>
      <c r="BF1232" s="128"/>
      <c r="BG1232" s="128"/>
      <c r="BH1232" s="128"/>
      <c r="BI1232" s="128"/>
      <c r="BJ1232" s="128"/>
      <c r="BK1232" s="128"/>
      <c r="BL1232" s="128"/>
      <c r="BM1232" s="151"/>
      <c r="BN1232" s="128"/>
      <c r="BO1232" s="128"/>
      <c r="BP1232" s="128"/>
      <c r="BQ1232" s="128"/>
      <c r="BR1232" s="128"/>
      <c r="BS1232" s="128"/>
      <c r="BT1232" s="128"/>
      <c r="BU1232" s="128"/>
      <c r="BV1232" s="128"/>
      <c r="BW1232" s="128"/>
      <c r="BX1232" s="128"/>
      <c r="BY1232" s="128"/>
      <c r="BZ1232" s="128"/>
      <c r="CA1232" s="128"/>
      <c r="CB1232" s="128"/>
      <c r="CC1232" s="128"/>
      <c r="CD1232" s="128"/>
      <c r="CE1232" s="128"/>
      <c r="CF1232" s="128"/>
      <c r="CG1232" s="128"/>
      <c r="CH1232" s="128"/>
      <c r="CI1232" s="128"/>
      <c r="CJ1232" s="128"/>
      <c r="CK1232" s="128"/>
      <c r="CL1232" s="128"/>
      <c r="CM1232" s="128"/>
      <c r="CN1232" s="128"/>
      <c r="CO1232" s="128"/>
      <c r="CP1232" s="128"/>
      <c r="CQ1232" s="128"/>
      <c r="CR1232" s="128"/>
      <c r="CS1232" s="128"/>
      <c r="CT1232" s="128"/>
      <c r="CU1232" s="128"/>
      <c r="CV1232" s="128"/>
      <c r="CW1232" s="128"/>
      <c r="CX1232" s="128"/>
      <c r="CY1232" s="128"/>
      <c r="CZ1232" s="128"/>
    </row>
    <row r="1233" spans="1:104">
      <c r="A1233" s="128"/>
      <c r="B1233" s="128"/>
      <c r="C1233" s="128"/>
      <c r="D1233" s="112"/>
      <c r="E1233" s="128"/>
      <c r="F1233" s="128"/>
      <c r="G1233" s="128"/>
      <c r="H1233" s="128"/>
      <c r="I1233" s="128"/>
      <c r="J1233" s="128"/>
      <c r="K1233" s="128"/>
      <c r="L1233" s="128"/>
      <c r="M1233" s="128"/>
      <c r="N1233" s="128"/>
      <c r="O1233" s="128"/>
      <c r="P1233" s="128"/>
      <c r="Q1233" s="128"/>
      <c r="R1233" s="128"/>
      <c r="S1233" s="128"/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  <c r="AV1233" s="128"/>
      <c r="AW1233" s="128"/>
      <c r="AX1233" s="128"/>
      <c r="AY1233" s="128"/>
      <c r="AZ1233" s="128"/>
      <c r="BA1233" s="128"/>
      <c r="BB1233" s="128"/>
      <c r="BC1233" s="128"/>
      <c r="BD1233" s="128"/>
      <c r="BE1233" s="128"/>
      <c r="BF1233" s="128"/>
      <c r="BG1233" s="128"/>
      <c r="BH1233" s="128"/>
      <c r="BI1233" s="128"/>
      <c r="BJ1233" s="128"/>
      <c r="BK1233" s="128"/>
      <c r="BL1233" s="128"/>
      <c r="BM1233" s="151"/>
      <c r="BN1233" s="128"/>
      <c r="BO1233" s="128"/>
      <c r="BP1233" s="128"/>
      <c r="BQ1233" s="128"/>
      <c r="BR1233" s="128"/>
      <c r="BS1233" s="128"/>
      <c r="BT1233" s="128"/>
      <c r="BU1233" s="128"/>
      <c r="BV1233" s="128"/>
      <c r="BW1233" s="128"/>
      <c r="BX1233" s="128"/>
      <c r="BY1233" s="128"/>
      <c r="BZ1233" s="128"/>
      <c r="CA1233" s="128"/>
      <c r="CB1233" s="128"/>
      <c r="CC1233" s="128"/>
      <c r="CD1233" s="128"/>
      <c r="CE1233" s="128"/>
      <c r="CF1233" s="128"/>
      <c r="CG1233" s="128"/>
      <c r="CH1233" s="128"/>
      <c r="CI1233" s="128"/>
      <c r="CJ1233" s="128"/>
      <c r="CK1233" s="128"/>
      <c r="CL1233" s="128"/>
      <c r="CM1233" s="128"/>
      <c r="CN1233" s="128"/>
      <c r="CO1233" s="128"/>
      <c r="CP1233" s="128"/>
      <c r="CQ1233" s="128"/>
      <c r="CR1233" s="128"/>
      <c r="CS1233" s="128"/>
      <c r="CT1233" s="128"/>
      <c r="CU1233" s="128"/>
      <c r="CV1233" s="128"/>
      <c r="CW1233" s="128"/>
      <c r="CX1233" s="128"/>
      <c r="CY1233" s="128"/>
      <c r="CZ1233" s="128"/>
    </row>
    <row r="1234" spans="1:104">
      <c r="A1234" s="128"/>
      <c r="B1234" s="128"/>
      <c r="C1234" s="128"/>
      <c r="D1234" s="112"/>
      <c r="E1234" s="128"/>
      <c r="F1234" s="128"/>
      <c r="G1234" s="128"/>
      <c r="H1234" s="128"/>
      <c r="I1234" s="128"/>
      <c r="J1234" s="128"/>
      <c r="K1234" s="128"/>
      <c r="L1234" s="128"/>
      <c r="M1234" s="128"/>
      <c r="N1234" s="128"/>
      <c r="O1234" s="128"/>
      <c r="P1234" s="128"/>
      <c r="Q1234" s="128"/>
      <c r="R1234" s="128"/>
      <c r="S1234" s="128"/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  <c r="AV1234" s="128"/>
      <c r="AW1234" s="128"/>
      <c r="AX1234" s="128"/>
      <c r="AY1234" s="128"/>
      <c r="AZ1234" s="128"/>
      <c r="BA1234" s="128"/>
      <c r="BB1234" s="128"/>
      <c r="BC1234" s="128"/>
      <c r="BD1234" s="128"/>
      <c r="BE1234" s="128"/>
      <c r="BF1234" s="128"/>
      <c r="BG1234" s="128"/>
      <c r="BH1234" s="128"/>
      <c r="BI1234" s="128"/>
      <c r="BJ1234" s="128"/>
      <c r="BK1234" s="128"/>
      <c r="BL1234" s="128"/>
      <c r="BM1234" s="151"/>
      <c r="BN1234" s="128"/>
      <c r="BO1234" s="128"/>
      <c r="BP1234" s="128"/>
      <c r="BQ1234" s="128"/>
      <c r="BR1234" s="128"/>
      <c r="BS1234" s="128"/>
      <c r="BT1234" s="128"/>
      <c r="BU1234" s="128"/>
      <c r="BV1234" s="128"/>
      <c r="BW1234" s="128"/>
      <c r="BX1234" s="128"/>
      <c r="BY1234" s="128"/>
      <c r="BZ1234" s="128"/>
      <c r="CA1234" s="128"/>
      <c r="CB1234" s="128"/>
      <c r="CC1234" s="128"/>
      <c r="CD1234" s="128"/>
      <c r="CE1234" s="128"/>
      <c r="CF1234" s="128"/>
      <c r="CG1234" s="128"/>
      <c r="CH1234" s="128"/>
      <c r="CI1234" s="128"/>
      <c r="CJ1234" s="128"/>
      <c r="CK1234" s="128"/>
      <c r="CL1234" s="128"/>
      <c r="CM1234" s="128"/>
      <c r="CN1234" s="128"/>
      <c r="CO1234" s="128"/>
      <c r="CP1234" s="128"/>
      <c r="CQ1234" s="128"/>
      <c r="CR1234" s="128"/>
      <c r="CS1234" s="128"/>
      <c r="CT1234" s="128"/>
      <c r="CU1234" s="128"/>
      <c r="CV1234" s="128"/>
      <c r="CW1234" s="128"/>
      <c r="CX1234" s="128"/>
      <c r="CY1234" s="128"/>
      <c r="CZ1234" s="128"/>
    </row>
    <row r="1235" spans="1:104">
      <c r="A1235" s="128"/>
      <c r="B1235" s="128"/>
      <c r="C1235" s="128"/>
      <c r="D1235" s="112"/>
      <c r="E1235" s="128"/>
      <c r="F1235" s="128"/>
      <c r="G1235" s="128"/>
      <c r="H1235" s="128"/>
      <c r="I1235" s="128"/>
      <c r="J1235" s="128"/>
      <c r="K1235" s="128"/>
      <c r="L1235" s="128"/>
      <c r="M1235" s="128"/>
      <c r="N1235" s="128"/>
      <c r="O1235" s="128"/>
      <c r="P1235" s="128"/>
      <c r="Q1235" s="128"/>
      <c r="R1235" s="128"/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  <c r="AV1235" s="128"/>
      <c r="AW1235" s="128"/>
      <c r="AX1235" s="128"/>
      <c r="AY1235" s="128"/>
      <c r="AZ1235" s="128"/>
      <c r="BA1235" s="128"/>
      <c r="BB1235" s="128"/>
      <c r="BC1235" s="128"/>
      <c r="BD1235" s="128"/>
      <c r="BE1235" s="128"/>
      <c r="BF1235" s="128"/>
      <c r="BG1235" s="128"/>
      <c r="BH1235" s="128"/>
      <c r="BI1235" s="128"/>
      <c r="BJ1235" s="128"/>
      <c r="BK1235" s="128"/>
      <c r="BL1235" s="128"/>
      <c r="BM1235" s="151"/>
      <c r="BN1235" s="128"/>
      <c r="BO1235" s="128"/>
      <c r="BP1235" s="128"/>
      <c r="BQ1235" s="128"/>
      <c r="BR1235" s="128"/>
      <c r="BS1235" s="128"/>
      <c r="BT1235" s="128"/>
      <c r="BU1235" s="128"/>
      <c r="BV1235" s="128"/>
      <c r="BW1235" s="128"/>
      <c r="BX1235" s="128"/>
      <c r="BY1235" s="128"/>
      <c r="BZ1235" s="128"/>
      <c r="CA1235" s="128"/>
      <c r="CB1235" s="128"/>
      <c r="CC1235" s="128"/>
      <c r="CD1235" s="128"/>
      <c r="CE1235" s="128"/>
      <c r="CF1235" s="128"/>
      <c r="CG1235" s="128"/>
      <c r="CH1235" s="128"/>
      <c r="CI1235" s="128"/>
      <c r="CJ1235" s="128"/>
      <c r="CK1235" s="128"/>
      <c r="CL1235" s="128"/>
      <c r="CM1235" s="128"/>
      <c r="CN1235" s="128"/>
      <c r="CO1235" s="128"/>
      <c r="CP1235" s="128"/>
      <c r="CQ1235" s="128"/>
      <c r="CR1235" s="128"/>
      <c r="CS1235" s="128"/>
      <c r="CT1235" s="128"/>
      <c r="CU1235" s="128"/>
      <c r="CV1235" s="128"/>
      <c r="CW1235" s="128"/>
      <c r="CX1235" s="128"/>
      <c r="CY1235" s="128"/>
      <c r="CZ1235" s="128"/>
    </row>
    <row r="1236" spans="1:104">
      <c r="A1236" s="128"/>
      <c r="B1236" s="128"/>
      <c r="C1236" s="128"/>
      <c r="D1236" s="112"/>
      <c r="E1236" s="128"/>
      <c r="F1236" s="128"/>
      <c r="G1236" s="128"/>
      <c r="H1236" s="128"/>
      <c r="I1236" s="128"/>
      <c r="J1236" s="128"/>
      <c r="K1236" s="128"/>
      <c r="L1236" s="128"/>
      <c r="M1236" s="128"/>
      <c r="N1236" s="128"/>
      <c r="O1236" s="128"/>
      <c r="P1236" s="128"/>
      <c r="Q1236" s="128"/>
      <c r="R1236" s="128"/>
      <c r="S1236" s="128"/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  <c r="AV1236" s="128"/>
      <c r="AW1236" s="128"/>
      <c r="AX1236" s="128"/>
      <c r="AY1236" s="128"/>
      <c r="AZ1236" s="128"/>
      <c r="BA1236" s="128"/>
      <c r="BB1236" s="128"/>
      <c r="BC1236" s="128"/>
      <c r="BD1236" s="128"/>
      <c r="BE1236" s="128"/>
      <c r="BF1236" s="128"/>
      <c r="BG1236" s="128"/>
      <c r="BH1236" s="128"/>
      <c r="BI1236" s="128"/>
      <c r="BJ1236" s="128"/>
      <c r="BK1236" s="128"/>
      <c r="BL1236" s="128"/>
      <c r="BM1236" s="151"/>
      <c r="BN1236" s="128"/>
      <c r="BO1236" s="128"/>
      <c r="BP1236" s="128"/>
      <c r="BQ1236" s="128"/>
      <c r="BR1236" s="128"/>
      <c r="BS1236" s="128"/>
      <c r="BT1236" s="128"/>
      <c r="BU1236" s="128"/>
      <c r="BV1236" s="128"/>
      <c r="BW1236" s="128"/>
      <c r="BX1236" s="128"/>
      <c r="BY1236" s="128"/>
      <c r="BZ1236" s="128"/>
      <c r="CA1236" s="128"/>
      <c r="CB1236" s="128"/>
      <c r="CC1236" s="128"/>
      <c r="CD1236" s="128"/>
      <c r="CE1236" s="128"/>
      <c r="CF1236" s="128"/>
      <c r="CG1236" s="128"/>
      <c r="CH1236" s="128"/>
      <c r="CI1236" s="128"/>
      <c r="CJ1236" s="128"/>
      <c r="CK1236" s="128"/>
      <c r="CL1236" s="128"/>
      <c r="CM1236" s="128"/>
      <c r="CN1236" s="128"/>
      <c r="CO1236" s="128"/>
      <c r="CP1236" s="128"/>
      <c r="CQ1236" s="128"/>
      <c r="CR1236" s="128"/>
      <c r="CS1236" s="128"/>
      <c r="CT1236" s="128"/>
      <c r="CU1236" s="128"/>
      <c r="CV1236" s="128"/>
      <c r="CW1236" s="128"/>
      <c r="CX1236" s="128"/>
      <c r="CY1236" s="128"/>
      <c r="CZ1236" s="128"/>
    </row>
    <row r="1237" spans="1:104">
      <c r="A1237" s="128"/>
      <c r="B1237" s="128"/>
      <c r="C1237" s="128"/>
      <c r="D1237" s="112"/>
      <c r="E1237" s="128"/>
      <c r="F1237" s="128"/>
      <c r="G1237" s="128"/>
      <c r="H1237" s="128"/>
      <c r="I1237" s="128"/>
      <c r="J1237" s="128"/>
      <c r="K1237" s="128"/>
      <c r="L1237" s="128"/>
      <c r="M1237" s="128"/>
      <c r="N1237" s="128"/>
      <c r="O1237" s="128"/>
      <c r="P1237" s="128"/>
      <c r="Q1237" s="128"/>
      <c r="R1237" s="128"/>
      <c r="S1237" s="128"/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  <c r="AV1237" s="128"/>
      <c r="AW1237" s="128"/>
      <c r="AX1237" s="128"/>
      <c r="AY1237" s="128"/>
      <c r="AZ1237" s="128"/>
      <c r="BA1237" s="128"/>
      <c r="BB1237" s="128"/>
      <c r="BC1237" s="128"/>
      <c r="BD1237" s="128"/>
      <c r="BE1237" s="128"/>
      <c r="BF1237" s="128"/>
      <c r="BG1237" s="128"/>
      <c r="BH1237" s="128"/>
      <c r="BI1237" s="128"/>
      <c r="BJ1237" s="128"/>
      <c r="BK1237" s="128"/>
      <c r="BL1237" s="128"/>
      <c r="BM1237" s="151"/>
      <c r="BN1237" s="128"/>
      <c r="BO1237" s="128"/>
      <c r="BP1237" s="128"/>
      <c r="BQ1237" s="128"/>
      <c r="BR1237" s="128"/>
      <c r="BS1237" s="128"/>
      <c r="BT1237" s="128"/>
      <c r="BU1237" s="128"/>
      <c r="BV1237" s="128"/>
      <c r="BW1237" s="128"/>
      <c r="BX1237" s="128"/>
      <c r="BY1237" s="128"/>
      <c r="BZ1237" s="128"/>
      <c r="CA1237" s="128"/>
      <c r="CB1237" s="128"/>
      <c r="CC1237" s="128"/>
      <c r="CD1237" s="128"/>
      <c r="CE1237" s="128"/>
      <c r="CF1237" s="128"/>
      <c r="CG1237" s="128"/>
      <c r="CH1237" s="128"/>
      <c r="CI1237" s="128"/>
      <c r="CJ1237" s="128"/>
      <c r="CK1237" s="128"/>
      <c r="CL1237" s="128"/>
      <c r="CM1237" s="128"/>
      <c r="CN1237" s="128"/>
      <c r="CO1237" s="128"/>
      <c r="CP1237" s="128"/>
      <c r="CQ1237" s="128"/>
      <c r="CR1237" s="128"/>
      <c r="CS1237" s="128"/>
      <c r="CT1237" s="128"/>
      <c r="CU1237" s="128"/>
      <c r="CV1237" s="128"/>
      <c r="CW1237" s="128"/>
      <c r="CX1237" s="128"/>
      <c r="CY1237" s="128"/>
      <c r="CZ1237" s="128"/>
    </row>
    <row r="1238" spans="1:104">
      <c r="A1238" s="128"/>
      <c r="B1238" s="128"/>
      <c r="C1238" s="128"/>
      <c r="D1238" s="112"/>
      <c r="E1238" s="128"/>
      <c r="F1238" s="128"/>
      <c r="G1238" s="128"/>
      <c r="H1238" s="128"/>
      <c r="I1238" s="128"/>
      <c r="J1238" s="128"/>
      <c r="K1238" s="128"/>
      <c r="L1238" s="128"/>
      <c r="M1238" s="128"/>
      <c r="N1238" s="128"/>
      <c r="O1238" s="128"/>
      <c r="P1238" s="128"/>
      <c r="Q1238" s="128"/>
      <c r="R1238" s="128"/>
      <c r="S1238" s="128"/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  <c r="AV1238" s="128"/>
      <c r="AW1238" s="128"/>
      <c r="AX1238" s="128"/>
      <c r="AY1238" s="128"/>
      <c r="AZ1238" s="128"/>
      <c r="BA1238" s="128"/>
      <c r="BB1238" s="128"/>
      <c r="BC1238" s="128"/>
      <c r="BD1238" s="128"/>
      <c r="BE1238" s="128"/>
      <c r="BF1238" s="128"/>
      <c r="BG1238" s="128"/>
      <c r="BH1238" s="128"/>
      <c r="BI1238" s="128"/>
      <c r="BJ1238" s="128"/>
      <c r="BK1238" s="128"/>
      <c r="BL1238" s="128"/>
      <c r="BM1238" s="151"/>
      <c r="BN1238" s="128"/>
      <c r="BO1238" s="128"/>
      <c r="BP1238" s="128"/>
      <c r="BQ1238" s="128"/>
      <c r="BR1238" s="128"/>
      <c r="BS1238" s="128"/>
      <c r="BT1238" s="128"/>
      <c r="BU1238" s="128"/>
      <c r="BV1238" s="128"/>
      <c r="BW1238" s="128"/>
      <c r="BX1238" s="128"/>
      <c r="BY1238" s="128"/>
      <c r="BZ1238" s="128"/>
      <c r="CA1238" s="128"/>
      <c r="CB1238" s="128"/>
      <c r="CC1238" s="128"/>
      <c r="CD1238" s="128"/>
      <c r="CE1238" s="128"/>
      <c r="CF1238" s="128"/>
      <c r="CG1238" s="128"/>
      <c r="CH1238" s="128"/>
      <c r="CI1238" s="128"/>
      <c r="CJ1238" s="128"/>
      <c r="CK1238" s="128"/>
      <c r="CL1238" s="128"/>
      <c r="CM1238" s="128"/>
      <c r="CN1238" s="128"/>
      <c r="CO1238" s="128"/>
      <c r="CP1238" s="128"/>
      <c r="CQ1238" s="128"/>
      <c r="CR1238" s="128"/>
      <c r="CS1238" s="128"/>
      <c r="CT1238" s="128"/>
      <c r="CU1238" s="128"/>
      <c r="CV1238" s="128"/>
      <c r="CW1238" s="128"/>
      <c r="CX1238" s="128"/>
      <c r="CY1238" s="128"/>
      <c r="CZ1238" s="128"/>
    </row>
    <row r="1239" spans="1:104">
      <c r="A1239" s="128"/>
      <c r="B1239" s="128"/>
      <c r="C1239" s="128"/>
      <c r="D1239" s="112"/>
      <c r="E1239" s="128"/>
      <c r="F1239" s="128"/>
      <c r="G1239" s="128"/>
      <c r="H1239" s="128"/>
      <c r="I1239" s="128"/>
      <c r="J1239" s="128"/>
      <c r="K1239" s="128"/>
      <c r="L1239" s="128"/>
      <c r="M1239" s="128"/>
      <c r="N1239" s="128"/>
      <c r="O1239" s="128"/>
      <c r="P1239" s="128"/>
      <c r="Q1239" s="128"/>
      <c r="R1239" s="128"/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  <c r="AV1239" s="128"/>
      <c r="AW1239" s="128"/>
      <c r="AX1239" s="128"/>
      <c r="AY1239" s="128"/>
      <c r="AZ1239" s="128"/>
      <c r="BA1239" s="128"/>
      <c r="BB1239" s="128"/>
      <c r="BC1239" s="128"/>
      <c r="BD1239" s="128"/>
      <c r="BE1239" s="128"/>
      <c r="BF1239" s="128"/>
      <c r="BG1239" s="128"/>
      <c r="BH1239" s="128"/>
      <c r="BI1239" s="128"/>
      <c r="BJ1239" s="128"/>
      <c r="BK1239" s="128"/>
      <c r="BL1239" s="128"/>
      <c r="BM1239" s="151"/>
      <c r="BN1239" s="128"/>
      <c r="BO1239" s="128"/>
      <c r="BP1239" s="128"/>
      <c r="BQ1239" s="128"/>
      <c r="BR1239" s="128"/>
      <c r="BS1239" s="128"/>
      <c r="BT1239" s="128"/>
      <c r="BU1239" s="128"/>
      <c r="BV1239" s="128"/>
      <c r="BW1239" s="128"/>
      <c r="BX1239" s="128"/>
      <c r="BY1239" s="128"/>
      <c r="BZ1239" s="128"/>
      <c r="CA1239" s="128"/>
      <c r="CB1239" s="128"/>
      <c r="CC1239" s="128"/>
      <c r="CD1239" s="128"/>
      <c r="CE1239" s="128"/>
      <c r="CF1239" s="128"/>
      <c r="CG1239" s="128"/>
      <c r="CH1239" s="128"/>
      <c r="CI1239" s="128"/>
      <c r="CJ1239" s="128"/>
      <c r="CK1239" s="128"/>
      <c r="CL1239" s="128"/>
      <c r="CM1239" s="128"/>
      <c r="CN1239" s="128"/>
      <c r="CO1239" s="128"/>
      <c r="CP1239" s="128"/>
      <c r="CQ1239" s="128"/>
      <c r="CR1239" s="128"/>
      <c r="CS1239" s="128"/>
      <c r="CT1239" s="128"/>
      <c r="CU1239" s="128"/>
      <c r="CV1239" s="128"/>
      <c r="CW1239" s="128"/>
      <c r="CX1239" s="128"/>
      <c r="CY1239" s="128"/>
      <c r="CZ1239" s="128"/>
    </row>
    <row r="1240" spans="1:104">
      <c r="A1240" s="128"/>
      <c r="B1240" s="128"/>
      <c r="C1240" s="128"/>
      <c r="D1240" s="112"/>
      <c r="E1240" s="128"/>
      <c r="F1240" s="128"/>
      <c r="G1240" s="128"/>
      <c r="H1240" s="128"/>
      <c r="I1240" s="128"/>
      <c r="J1240" s="128"/>
      <c r="K1240" s="128"/>
      <c r="L1240" s="128"/>
      <c r="M1240" s="128"/>
      <c r="N1240" s="128"/>
      <c r="O1240" s="128"/>
      <c r="P1240" s="128"/>
      <c r="Q1240" s="128"/>
      <c r="R1240" s="128"/>
      <c r="S1240" s="128"/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  <c r="AV1240" s="128"/>
      <c r="AW1240" s="128"/>
      <c r="AX1240" s="128"/>
      <c r="AY1240" s="128"/>
      <c r="AZ1240" s="128"/>
      <c r="BA1240" s="128"/>
      <c r="BB1240" s="128"/>
      <c r="BC1240" s="128"/>
      <c r="BD1240" s="128"/>
      <c r="BE1240" s="128"/>
      <c r="BF1240" s="128"/>
      <c r="BG1240" s="128"/>
      <c r="BH1240" s="128"/>
      <c r="BI1240" s="128"/>
      <c r="BJ1240" s="128"/>
      <c r="BK1240" s="128"/>
      <c r="BL1240" s="128"/>
      <c r="BM1240" s="151"/>
      <c r="BN1240" s="128"/>
      <c r="BO1240" s="128"/>
      <c r="BP1240" s="128"/>
      <c r="BQ1240" s="128"/>
      <c r="BR1240" s="128"/>
      <c r="BS1240" s="128"/>
      <c r="BT1240" s="128"/>
      <c r="BU1240" s="128"/>
      <c r="BV1240" s="128"/>
      <c r="BW1240" s="128"/>
      <c r="BX1240" s="128"/>
      <c r="BY1240" s="128"/>
      <c r="BZ1240" s="128"/>
      <c r="CA1240" s="128"/>
      <c r="CB1240" s="128"/>
      <c r="CC1240" s="128"/>
      <c r="CD1240" s="128"/>
      <c r="CE1240" s="128"/>
      <c r="CF1240" s="128"/>
      <c r="CG1240" s="128"/>
      <c r="CH1240" s="128"/>
      <c r="CI1240" s="128"/>
      <c r="CJ1240" s="128"/>
      <c r="CK1240" s="128"/>
      <c r="CL1240" s="128"/>
      <c r="CM1240" s="128"/>
      <c r="CN1240" s="128"/>
      <c r="CO1240" s="128"/>
      <c r="CP1240" s="128"/>
      <c r="CQ1240" s="128"/>
      <c r="CR1240" s="128"/>
      <c r="CS1240" s="128"/>
      <c r="CT1240" s="128"/>
      <c r="CU1240" s="128"/>
      <c r="CV1240" s="128"/>
      <c r="CW1240" s="128"/>
      <c r="CX1240" s="128"/>
      <c r="CY1240" s="128"/>
      <c r="CZ1240" s="128"/>
    </row>
    <row r="1241" spans="1:104">
      <c r="A1241" s="128"/>
      <c r="B1241" s="128"/>
      <c r="C1241" s="128"/>
      <c r="D1241" s="112"/>
      <c r="E1241" s="128"/>
      <c r="F1241" s="128"/>
      <c r="G1241" s="128"/>
      <c r="H1241" s="128"/>
      <c r="I1241" s="128"/>
      <c r="J1241" s="128"/>
      <c r="K1241" s="128"/>
      <c r="L1241" s="128"/>
      <c r="M1241" s="128"/>
      <c r="N1241" s="128"/>
      <c r="O1241" s="128"/>
      <c r="P1241" s="128"/>
      <c r="Q1241" s="128"/>
      <c r="R1241" s="128"/>
      <c r="S1241" s="128"/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  <c r="AV1241" s="128"/>
      <c r="AW1241" s="128"/>
      <c r="AX1241" s="128"/>
      <c r="AY1241" s="128"/>
      <c r="AZ1241" s="128"/>
      <c r="BA1241" s="128"/>
      <c r="BB1241" s="128"/>
      <c r="BC1241" s="128"/>
      <c r="BD1241" s="128"/>
      <c r="BE1241" s="128"/>
      <c r="BF1241" s="128"/>
      <c r="BG1241" s="128"/>
      <c r="BH1241" s="128"/>
      <c r="BI1241" s="128"/>
      <c r="BJ1241" s="128"/>
      <c r="BK1241" s="128"/>
      <c r="BL1241" s="128"/>
      <c r="BM1241" s="151"/>
      <c r="BN1241" s="128"/>
      <c r="BO1241" s="128"/>
      <c r="BP1241" s="128"/>
      <c r="BQ1241" s="128"/>
      <c r="BR1241" s="128"/>
      <c r="BS1241" s="128"/>
      <c r="BT1241" s="128"/>
      <c r="BU1241" s="128"/>
      <c r="BV1241" s="128"/>
      <c r="BW1241" s="128"/>
      <c r="BX1241" s="128"/>
      <c r="BY1241" s="128"/>
      <c r="BZ1241" s="128"/>
      <c r="CA1241" s="128"/>
      <c r="CB1241" s="128"/>
      <c r="CC1241" s="128"/>
      <c r="CD1241" s="128"/>
      <c r="CE1241" s="128"/>
      <c r="CF1241" s="128"/>
      <c r="CG1241" s="128"/>
      <c r="CH1241" s="128"/>
      <c r="CI1241" s="128"/>
      <c r="CJ1241" s="128"/>
      <c r="CK1241" s="128"/>
      <c r="CL1241" s="128"/>
      <c r="CM1241" s="128"/>
      <c r="CN1241" s="128"/>
      <c r="CO1241" s="128"/>
      <c r="CP1241" s="128"/>
      <c r="CQ1241" s="128"/>
      <c r="CR1241" s="128"/>
      <c r="CS1241" s="128"/>
      <c r="CT1241" s="128"/>
      <c r="CU1241" s="128"/>
      <c r="CV1241" s="128"/>
      <c r="CW1241" s="128"/>
      <c r="CX1241" s="128"/>
      <c r="CY1241" s="128"/>
      <c r="CZ1241" s="128"/>
    </row>
    <row r="1242" spans="1:104">
      <c r="A1242" s="128"/>
      <c r="B1242" s="128"/>
      <c r="C1242" s="128"/>
      <c r="D1242" s="112"/>
      <c r="E1242" s="128"/>
      <c r="F1242" s="128"/>
      <c r="G1242" s="128"/>
      <c r="H1242" s="128"/>
      <c r="I1242" s="128"/>
      <c r="J1242" s="128"/>
      <c r="K1242" s="128"/>
      <c r="L1242" s="128"/>
      <c r="M1242" s="128"/>
      <c r="N1242" s="128"/>
      <c r="O1242" s="128"/>
      <c r="P1242" s="128"/>
      <c r="Q1242" s="128"/>
      <c r="R1242" s="128"/>
      <c r="S1242" s="128"/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  <c r="AV1242" s="128"/>
      <c r="AW1242" s="128"/>
      <c r="AX1242" s="128"/>
      <c r="AY1242" s="128"/>
      <c r="AZ1242" s="128"/>
      <c r="BA1242" s="128"/>
      <c r="BB1242" s="128"/>
      <c r="BC1242" s="128"/>
      <c r="BD1242" s="128"/>
      <c r="BE1242" s="128"/>
      <c r="BF1242" s="128"/>
      <c r="BG1242" s="128"/>
      <c r="BH1242" s="128"/>
      <c r="BI1242" s="128"/>
      <c r="BJ1242" s="128"/>
      <c r="BK1242" s="128"/>
      <c r="BL1242" s="128"/>
      <c r="BM1242" s="151"/>
      <c r="BN1242" s="128"/>
      <c r="BO1242" s="128"/>
      <c r="BP1242" s="128"/>
      <c r="BQ1242" s="128"/>
      <c r="BR1242" s="128"/>
      <c r="BS1242" s="128"/>
      <c r="BT1242" s="128"/>
      <c r="BU1242" s="128"/>
      <c r="BV1242" s="128"/>
      <c r="BW1242" s="128"/>
      <c r="BX1242" s="128"/>
      <c r="BY1242" s="128"/>
      <c r="BZ1242" s="128"/>
      <c r="CA1242" s="128"/>
      <c r="CB1242" s="128"/>
      <c r="CC1242" s="128"/>
      <c r="CD1242" s="128"/>
      <c r="CE1242" s="128"/>
      <c r="CF1242" s="128"/>
      <c r="CG1242" s="128"/>
      <c r="CH1242" s="128"/>
      <c r="CI1242" s="128"/>
      <c r="CJ1242" s="128"/>
      <c r="CK1242" s="128"/>
      <c r="CL1242" s="128"/>
      <c r="CM1242" s="128"/>
      <c r="CN1242" s="128"/>
      <c r="CO1242" s="128"/>
      <c r="CP1242" s="128"/>
      <c r="CQ1242" s="128"/>
      <c r="CR1242" s="128"/>
      <c r="CS1242" s="128"/>
      <c r="CT1242" s="128"/>
      <c r="CU1242" s="128"/>
      <c r="CV1242" s="128"/>
      <c r="CW1242" s="128"/>
      <c r="CX1242" s="128"/>
      <c r="CY1242" s="128"/>
      <c r="CZ1242" s="128"/>
    </row>
    <row r="1243" spans="1:104">
      <c r="A1243" s="128"/>
      <c r="B1243" s="128"/>
      <c r="C1243" s="128"/>
      <c r="D1243" s="112"/>
      <c r="E1243" s="128"/>
      <c r="F1243" s="128"/>
      <c r="G1243" s="128"/>
      <c r="H1243" s="128"/>
      <c r="I1243" s="128"/>
      <c r="J1243" s="128"/>
      <c r="K1243" s="128"/>
      <c r="L1243" s="128"/>
      <c r="M1243" s="128"/>
      <c r="N1243" s="128"/>
      <c r="O1243" s="128"/>
      <c r="P1243" s="128"/>
      <c r="Q1243" s="128"/>
      <c r="R1243" s="128"/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  <c r="AV1243" s="128"/>
      <c r="AW1243" s="128"/>
      <c r="AX1243" s="128"/>
      <c r="AY1243" s="128"/>
      <c r="AZ1243" s="128"/>
      <c r="BA1243" s="128"/>
      <c r="BB1243" s="128"/>
      <c r="BC1243" s="128"/>
      <c r="BD1243" s="128"/>
      <c r="BE1243" s="128"/>
      <c r="BF1243" s="128"/>
      <c r="BG1243" s="128"/>
      <c r="BH1243" s="128"/>
      <c r="BI1243" s="128"/>
      <c r="BJ1243" s="128"/>
      <c r="BK1243" s="128"/>
      <c r="BL1243" s="128"/>
      <c r="BM1243" s="151"/>
      <c r="BN1243" s="128"/>
      <c r="BO1243" s="128"/>
      <c r="BP1243" s="128"/>
      <c r="BQ1243" s="128"/>
      <c r="BR1243" s="128"/>
      <c r="BS1243" s="128"/>
      <c r="BT1243" s="128"/>
      <c r="BU1243" s="128"/>
      <c r="BV1243" s="128"/>
      <c r="BW1243" s="128"/>
      <c r="BX1243" s="128"/>
      <c r="BY1243" s="128"/>
      <c r="BZ1243" s="128"/>
      <c r="CA1243" s="128"/>
      <c r="CB1243" s="128"/>
      <c r="CC1243" s="128"/>
      <c r="CD1243" s="128"/>
      <c r="CE1243" s="128"/>
      <c r="CF1243" s="128"/>
      <c r="CG1243" s="128"/>
      <c r="CH1243" s="128"/>
      <c r="CI1243" s="128"/>
      <c r="CJ1243" s="128"/>
      <c r="CK1243" s="128"/>
      <c r="CL1243" s="128"/>
      <c r="CM1243" s="128"/>
      <c r="CN1243" s="128"/>
      <c r="CO1243" s="128"/>
      <c r="CP1243" s="128"/>
      <c r="CQ1243" s="128"/>
      <c r="CR1243" s="128"/>
      <c r="CS1243" s="128"/>
      <c r="CT1243" s="128"/>
      <c r="CU1243" s="128"/>
      <c r="CV1243" s="128"/>
      <c r="CW1243" s="128"/>
      <c r="CX1243" s="128"/>
      <c r="CY1243" s="128"/>
      <c r="CZ1243" s="128"/>
    </row>
    <row r="1244" spans="1:104">
      <c r="A1244" s="128"/>
      <c r="B1244" s="128"/>
      <c r="C1244" s="128"/>
      <c r="D1244" s="112"/>
      <c r="E1244" s="128"/>
      <c r="F1244" s="128"/>
      <c r="G1244" s="128"/>
      <c r="H1244" s="128"/>
      <c r="I1244" s="128"/>
      <c r="J1244" s="128"/>
      <c r="K1244" s="128"/>
      <c r="L1244" s="128"/>
      <c r="M1244" s="128"/>
      <c r="N1244" s="128"/>
      <c r="O1244" s="128"/>
      <c r="P1244" s="128"/>
      <c r="Q1244" s="128"/>
      <c r="R1244" s="128"/>
      <c r="S1244" s="128"/>
      <c r="T1244" s="128"/>
      <c r="U1244" s="128"/>
      <c r="V1244" s="128"/>
      <c r="W1244" s="128"/>
      <c r="X1244" s="128"/>
      <c r="Y1244" s="128"/>
      <c r="Z1244" s="128"/>
      <c r="AA1244" s="128"/>
      <c r="AB1244" s="128"/>
      <c r="AC1244" s="128"/>
      <c r="AD1244" s="128"/>
      <c r="AE1244" s="128"/>
      <c r="AF1244" s="128"/>
      <c r="AG1244" s="128"/>
      <c r="AH1244" s="128"/>
      <c r="AI1244" s="128"/>
      <c r="AJ1244" s="128"/>
      <c r="AK1244" s="128"/>
      <c r="AL1244" s="128"/>
      <c r="AM1244" s="128"/>
      <c r="AN1244" s="128"/>
      <c r="AO1244" s="128"/>
      <c r="AP1244" s="128"/>
      <c r="AQ1244" s="128"/>
      <c r="AR1244" s="128"/>
      <c r="AS1244" s="128"/>
      <c r="AT1244" s="128"/>
      <c r="AU1244" s="128"/>
      <c r="AV1244" s="128"/>
      <c r="AW1244" s="128"/>
      <c r="AX1244" s="128"/>
      <c r="AY1244" s="128"/>
      <c r="AZ1244" s="128"/>
      <c r="BA1244" s="128"/>
      <c r="BB1244" s="128"/>
      <c r="BC1244" s="128"/>
      <c r="BD1244" s="128"/>
      <c r="BE1244" s="128"/>
      <c r="BF1244" s="128"/>
      <c r="BG1244" s="128"/>
      <c r="BH1244" s="128"/>
      <c r="BI1244" s="128"/>
      <c r="BJ1244" s="128"/>
      <c r="BK1244" s="128"/>
      <c r="BL1244" s="128"/>
      <c r="BM1244" s="151"/>
      <c r="BN1244" s="128"/>
      <c r="BO1244" s="128"/>
      <c r="BP1244" s="128"/>
      <c r="BQ1244" s="128"/>
      <c r="BR1244" s="128"/>
      <c r="BS1244" s="128"/>
      <c r="BT1244" s="128"/>
      <c r="BU1244" s="128"/>
      <c r="BV1244" s="128"/>
      <c r="BW1244" s="128"/>
      <c r="BX1244" s="128"/>
      <c r="BY1244" s="128"/>
      <c r="BZ1244" s="128"/>
      <c r="CA1244" s="128"/>
      <c r="CB1244" s="128"/>
      <c r="CC1244" s="128"/>
      <c r="CD1244" s="128"/>
      <c r="CE1244" s="128"/>
      <c r="CF1244" s="128"/>
      <c r="CG1244" s="128"/>
      <c r="CH1244" s="128"/>
      <c r="CI1244" s="128"/>
      <c r="CJ1244" s="128"/>
      <c r="CK1244" s="128"/>
      <c r="CL1244" s="128"/>
      <c r="CM1244" s="128"/>
      <c r="CN1244" s="128"/>
      <c r="CO1244" s="128"/>
      <c r="CP1244" s="128"/>
      <c r="CQ1244" s="128"/>
      <c r="CR1244" s="128"/>
      <c r="CS1244" s="128"/>
      <c r="CT1244" s="128"/>
      <c r="CU1244" s="128"/>
      <c r="CV1244" s="128"/>
      <c r="CW1244" s="128"/>
      <c r="CX1244" s="128"/>
      <c r="CY1244" s="128"/>
      <c r="CZ1244" s="128"/>
    </row>
    <row r="1245" spans="1:104">
      <c r="A1245" s="128"/>
      <c r="B1245" s="128"/>
      <c r="C1245" s="128"/>
      <c r="D1245" s="112"/>
      <c r="E1245" s="128"/>
      <c r="F1245" s="128"/>
      <c r="G1245" s="128"/>
      <c r="H1245" s="128"/>
      <c r="I1245" s="128"/>
      <c r="J1245" s="128"/>
      <c r="K1245" s="128"/>
      <c r="L1245" s="128"/>
      <c r="M1245" s="128"/>
      <c r="N1245" s="128"/>
      <c r="O1245" s="128"/>
      <c r="P1245" s="128"/>
      <c r="Q1245" s="128"/>
      <c r="R1245" s="128"/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  <c r="AV1245" s="128"/>
      <c r="AW1245" s="128"/>
      <c r="AX1245" s="128"/>
      <c r="AY1245" s="128"/>
      <c r="AZ1245" s="128"/>
      <c r="BA1245" s="128"/>
      <c r="BB1245" s="128"/>
      <c r="BC1245" s="128"/>
      <c r="BD1245" s="128"/>
      <c r="BE1245" s="128"/>
      <c r="BF1245" s="128"/>
      <c r="BG1245" s="128"/>
      <c r="BH1245" s="128"/>
      <c r="BI1245" s="128"/>
      <c r="BJ1245" s="128"/>
      <c r="BK1245" s="128"/>
      <c r="BL1245" s="128"/>
      <c r="BM1245" s="151"/>
      <c r="BN1245" s="128"/>
      <c r="BO1245" s="128"/>
      <c r="BP1245" s="128"/>
      <c r="BQ1245" s="128"/>
      <c r="BR1245" s="128"/>
      <c r="BS1245" s="128"/>
      <c r="BT1245" s="128"/>
      <c r="BU1245" s="128"/>
      <c r="BV1245" s="128"/>
      <c r="BW1245" s="128"/>
      <c r="BX1245" s="128"/>
      <c r="BY1245" s="128"/>
      <c r="BZ1245" s="128"/>
      <c r="CA1245" s="128"/>
      <c r="CB1245" s="128"/>
      <c r="CC1245" s="128"/>
      <c r="CD1245" s="128"/>
      <c r="CE1245" s="128"/>
      <c r="CF1245" s="128"/>
      <c r="CG1245" s="128"/>
      <c r="CH1245" s="128"/>
      <c r="CI1245" s="128"/>
      <c r="CJ1245" s="128"/>
      <c r="CK1245" s="128"/>
      <c r="CL1245" s="128"/>
      <c r="CM1245" s="128"/>
      <c r="CN1245" s="128"/>
      <c r="CO1245" s="128"/>
      <c r="CP1245" s="128"/>
      <c r="CQ1245" s="128"/>
      <c r="CR1245" s="128"/>
      <c r="CS1245" s="128"/>
      <c r="CT1245" s="128"/>
      <c r="CU1245" s="128"/>
      <c r="CV1245" s="128"/>
      <c r="CW1245" s="128"/>
      <c r="CX1245" s="128"/>
      <c r="CY1245" s="128"/>
      <c r="CZ1245" s="128"/>
    </row>
    <row r="1246" spans="1:104">
      <c r="A1246" s="128"/>
      <c r="B1246" s="128"/>
      <c r="C1246" s="128"/>
      <c r="D1246" s="112"/>
      <c r="E1246" s="128"/>
      <c r="F1246" s="128"/>
      <c r="G1246" s="128"/>
      <c r="H1246" s="128"/>
      <c r="I1246" s="128"/>
      <c r="J1246" s="128"/>
      <c r="K1246" s="128"/>
      <c r="L1246" s="128"/>
      <c r="M1246" s="128"/>
      <c r="N1246" s="128"/>
      <c r="O1246" s="128"/>
      <c r="P1246" s="128"/>
      <c r="Q1246" s="128"/>
      <c r="R1246" s="128"/>
      <c r="S1246" s="128"/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  <c r="AV1246" s="128"/>
      <c r="AW1246" s="128"/>
      <c r="AX1246" s="128"/>
      <c r="AY1246" s="128"/>
      <c r="AZ1246" s="128"/>
      <c r="BA1246" s="128"/>
      <c r="BB1246" s="128"/>
      <c r="BC1246" s="128"/>
      <c r="BD1246" s="128"/>
      <c r="BE1246" s="128"/>
      <c r="BF1246" s="128"/>
      <c r="BG1246" s="128"/>
      <c r="BH1246" s="128"/>
      <c r="BI1246" s="128"/>
      <c r="BJ1246" s="128"/>
      <c r="BK1246" s="128"/>
      <c r="BL1246" s="128"/>
      <c r="BM1246" s="151"/>
      <c r="BN1246" s="128"/>
      <c r="BO1246" s="128"/>
      <c r="BP1246" s="128"/>
      <c r="BQ1246" s="128"/>
      <c r="BR1246" s="128"/>
      <c r="BS1246" s="128"/>
      <c r="BT1246" s="128"/>
      <c r="BU1246" s="128"/>
      <c r="BV1246" s="128"/>
      <c r="BW1246" s="128"/>
      <c r="BX1246" s="128"/>
      <c r="BY1246" s="128"/>
      <c r="BZ1246" s="128"/>
      <c r="CA1246" s="128"/>
      <c r="CB1246" s="128"/>
      <c r="CC1246" s="128"/>
      <c r="CD1246" s="128"/>
      <c r="CE1246" s="128"/>
      <c r="CF1246" s="128"/>
      <c r="CG1246" s="128"/>
      <c r="CH1246" s="128"/>
      <c r="CI1246" s="128"/>
      <c r="CJ1246" s="128"/>
      <c r="CK1246" s="128"/>
      <c r="CL1246" s="128"/>
      <c r="CM1246" s="128"/>
      <c r="CN1246" s="128"/>
      <c r="CO1246" s="128"/>
      <c r="CP1246" s="128"/>
      <c r="CQ1246" s="128"/>
      <c r="CR1246" s="128"/>
      <c r="CS1246" s="128"/>
      <c r="CT1246" s="128"/>
      <c r="CU1246" s="128"/>
      <c r="CV1246" s="128"/>
      <c r="CW1246" s="128"/>
      <c r="CX1246" s="128"/>
      <c r="CY1246" s="128"/>
      <c r="CZ1246" s="128"/>
    </row>
    <row r="1247" spans="1:104">
      <c r="A1247" s="128"/>
      <c r="B1247" s="128"/>
      <c r="C1247" s="128"/>
      <c r="D1247" s="112"/>
      <c r="E1247" s="128"/>
      <c r="F1247" s="128"/>
      <c r="G1247" s="128"/>
      <c r="H1247" s="128"/>
      <c r="I1247" s="128"/>
      <c r="J1247" s="128"/>
      <c r="K1247" s="128"/>
      <c r="L1247" s="128"/>
      <c r="M1247" s="128"/>
      <c r="N1247" s="128"/>
      <c r="O1247" s="128"/>
      <c r="P1247" s="128"/>
      <c r="Q1247" s="128"/>
      <c r="R1247" s="128"/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  <c r="AV1247" s="128"/>
      <c r="AW1247" s="128"/>
      <c r="AX1247" s="128"/>
      <c r="AY1247" s="128"/>
      <c r="AZ1247" s="128"/>
      <c r="BA1247" s="128"/>
      <c r="BB1247" s="128"/>
      <c r="BC1247" s="128"/>
      <c r="BD1247" s="128"/>
      <c r="BE1247" s="128"/>
      <c r="BF1247" s="128"/>
      <c r="BG1247" s="128"/>
      <c r="BH1247" s="128"/>
      <c r="BI1247" s="128"/>
      <c r="BJ1247" s="128"/>
      <c r="BK1247" s="128"/>
      <c r="BL1247" s="128"/>
      <c r="BM1247" s="151"/>
      <c r="BN1247" s="128"/>
      <c r="BO1247" s="128"/>
      <c r="BP1247" s="128"/>
      <c r="BQ1247" s="128"/>
      <c r="BR1247" s="128"/>
      <c r="BS1247" s="128"/>
      <c r="BT1247" s="128"/>
      <c r="BU1247" s="128"/>
      <c r="BV1247" s="128"/>
      <c r="BW1247" s="128"/>
      <c r="BX1247" s="128"/>
      <c r="BY1247" s="128"/>
      <c r="BZ1247" s="128"/>
      <c r="CA1247" s="128"/>
      <c r="CB1247" s="128"/>
      <c r="CC1247" s="128"/>
      <c r="CD1247" s="128"/>
      <c r="CE1247" s="128"/>
      <c r="CF1247" s="128"/>
      <c r="CG1247" s="128"/>
      <c r="CH1247" s="128"/>
      <c r="CI1247" s="128"/>
      <c r="CJ1247" s="128"/>
      <c r="CK1247" s="128"/>
      <c r="CL1247" s="128"/>
      <c r="CM1247" s="128"/>
      <c r="CN1247" s="128"/>
      <c r="CO1247" s="128"/>
      <c r="CP1247" s="128"/>
      <c r="CQ1247" s="128"/>
      <c r="CR1247" s="128"/>
      <c r="CS1247" s="128"/>
      <c r="CT1247" s="128"/>
      <c r="CU1247" s="128"/>
      <c r="CV1247" s="128"/>
      <c r="CW1247" s="128"/>
      <c r="CX1247" s="128"/>
      <c r="CY1247" s="128"/>
      <c r="CZ1247" s="128"/>
    </row>
    <row r="1248" spans="1:104">
      <c r="A1248" s="128"/>
      <c r="B1248" s="128"/>
      <c r="C1248" s="128"/>
      <c r="D1248" s="112"/>
      <c r="E1248" s="128"/>
      <c r="F1248" s="128"/>
      <c r="G1248" s="128"/>
      <c r="H1248" s="128"/>
      <c r="I1248" s="128"/>
      <c r="J1248" s="128"/>
      <c r="K1248" s="128"/>
      <c r="L1248" s="128"/>
      <c r="M1248" s="128"/>
      <c r="N1248" s="128"/>
      <c r="O1248" s="128"/>
      <c r="P1248" s="128"/>
      <c r="Q1248" s="128"/>
      <c r="R1248" s="128"/>
      <c r="S1248" s="128"/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  <c r="AV1248" s="128"/>
      <c r="AW1248" s="128"/>
      <c r="AX1248" s="128"/>
      <c r="AY1248" s="128"/>
      <c r="AZ1248" s="128"/>
      <c r="BA1248" s="128"/>
      <c r="BB1248" s="128"/>
      <c r="BC1248" s="128"/>
      <c r="BD1248" s="128"/>
      <c r="BE1248" s="128"/>
      <c r="BF1248" s="128"/>
      <c r="BG1248" s="128"/>
      <c r="BH1248" s="128"/>
      <c r="BI1248" s="128"/>
      <c r="BJ1248" s="128"/>
      <c r="BK1248" s="128"/>
      <c r="BL1248" s="128"/>
      <c r="BM1248" s="151"/>
      <c r="BN1248" s="128"/>
      <c r="BO1248" s="128"/>
      <c r="BP1248" s="128"/>
      <c r="BQ1248" s="128"/>
      <c r="BR1248" s="128"/>
      <c r="BS1248" s="128"/>
      <c r="BT1248" s="128"/>
      <c r="BU1248" s="128"/>
      <c r="BV1248" s="128"/>
      <c r="BW1248" s="128"/>
      <c r="BX1248" s="128"/>
      <c r="BY1248" s="128"/>
      <c r="BZ1248" s="128"/>
      <c r="CA1248" s="128"/>
      <c r="CB1248" s="128"/>
      <c r="CC1248" s="128"/>
      <c r="CD1248" s="128"/>
      <c r="CE1248" s="128"/>
      <c r="CF1248" s="128"/>
      <c r="CG1248" s="128"/>
      <c r="CH1248" s="128"/>
      <c r="CI1248" s="128"/>
      <c r="CJ1248" s="128"/>
      <c r="CK1248" s="128"/>
      <c r="CL1248" s="128"/>
      <c r="CM1248" s="128"/>
      <c r="CN1248" s="128"/>
      <c r="CO1248" s="128"/>
      <c r="CP1248" s="128"/>
      <c r="CQ1248" s="128"/>
      <c r="CR1248" s="128"/>
      <c r="CS1248" s="128"/>
      <c r="CT1248" s="128"/>
      <c r="CU1248" s="128"/>
      <c r="CV1248" s="128"/>
      <c r="CW1248" s="128"/>
      <c r="CX1248" s="128"/>
      <c r="CY1248" s="128"/>
      <c r="CZ1248" s="128"/>
    </row>
    <row r="1249" spans="1:104">
      <c r="A1249" s="128"/>
      <c r="B1249" s="128"/>
      <c r="C1249" s="128"/>
      <c r="D1249" s="112"/>
      <c r="E1249" s="128"/>
      <c r="F1249" s="128"/>
      <c r="G1249" s="128"/>
      <c r="H1249" s="128"/>
      <c r="I1249" s="128"/>
      <c r="J1249" s="128"/>
      <c r="K1249" s="128"/>
      <c r="L1249" s="128"/>
      <c r="M1249" s="128"/>
      <c r="N1249" s="128"/>
      <c r="O1249" s="128"/>
      <c r="P1249" s="128"/>
      <c r="Q1249" s="128"/>
      <c r="R1249" s="128"/>
      <c r="S1249" s="128"/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  <c r="AV1249" s="128"/>
      <c r="AW1249" s="128"/>
      <c r="AX1249" s="128"/>
      <c r="AY1249" s="128"/>
      <c r="AZ1249" s="128"/>
      <c r="BA1249" s="128"/>
      <c r="BB1249" s="128"/>
      <c r="BC1249" s="128"/>
      <c r="BD1249" s="128"/>
      <c r="BE1249" s="128"/>
      <c r="BF1249" s="128"/>
      <c r="BG1249" s="128"/>
      <c r="BH1249" s="128"/>
      <c r="BI1249" s="128"/>
      <c r="BJ1249" s="128"/>
      <c r="BK1249" s="128"/>
      <c r="BL1249" s="128"/>
      <c r="BM1249" s="151"/>
      <c r="BN1249" s="128"/>
      <c r="BO1249" s="128"/>
      <c r="BP1249" s="128"/>
      <c r="BQ1249" s="128"/>
      <c r="BR1249" s="128"/>
      <c r="BS1249" s="128"/>
      <c r="BT1249" s="128"/>
      <c r="BU1249" s="128"/>
      <c r="BV1249" s="128"/>
      <c r="BW1249" s="128"/>
      <c r="BX1249" s="128"/>
      <c r="BY1249" s="128"/>
      <c r="BZ1249" s="128"/>
      <c r="CA1249" s="128"/>
      <c r="CB1249" s="128"/>
      <c r="CC1249" s="128"/>
      <c r="CD1249" s="128"/>
      <c r="CE1249" s="128"/>
      <c r="CF1249" s="128"/>
      <c r="CG1249" s="128"/>
      <c r="CH1249" s="128"/>
      <c r="CI1249" s="128"/>
      <c r="CJ1249" s="128"/>
      <c r="CK1249" s="128"/>
      <c r="CL1249" s="128"/>
      <c r="CM1249" s="128"/>
      <c r="CN1249" s="128"/>
      <c r="CO1249" s="128"/>
      <c r="CP1249" s="128"/>
      <c r="CQ1249" s="128"/>
      <c r="CR1249" s="128"/>
      <c r="CS1249" s="128"/>
      <c r="CT1249" s="128"/>
      <c r="CU1249" s="128"/>
      <c r="CV1249" s="128"/>
      <c r="CW1249" s="128"/>
      <c r="CX1249" s="128"/>
      <c r="CY1249" s="128"/>
      <c r="CZ1249" s="128"/>
    </row>
    <row r="1250" spans="1:104">
      <c r="A1250" s="128"/>
      <c r="B1250" s="128"/>
      <c r="C1250" s="128"/>
      <c r="D1250" s="112"/>
      <c r="E1250" s="128"/>
      <c r="F1250" s="128"/>
      <c r="G1250" s="128"/>
      <c r="H1250" s="128"/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  <c r="AV1250" s="128"/>
      <c r="AW1250" s="128"/>
      <c r="AX1250" s="128"/>
      <c r="AY1250" s="128"/>
      <c r="AZ1250" s="128"/>
      <c r="BA1250" s="128"/>
      <c r="BB1250" s="128"/>
      <c r="BC1250" s="128"/>
      <c r="BD1250" s="128"/>
      <c r="BE1250" s="128"/>
      <c r="BF1250" s="128"/>
      <c r="BG1250" s="128"/>
      <c r="BH1250" s="128"/>
      <c r="BI1250" s="128"/>
      <c r="BJ1250" s="128"/>
      <c r="BK1250" s="128"/>
      <c r="BL1250" s="128"/>
      <c r="BM1250" s="151"/>
      <c r="BN1250" s="128"/>
      <c r="BO1250" s="128"/>
      <c r="BP1250" s="128"/>
      <c r="BQ1250" s="128"/>
      <c r="BR1250" s="128"/>
      <c r="BS1250" s="128"/>
      <c r="BT1250" s="128"/>
      <c r="BU1250" s="128"/>
      <c r="BV1250" s="128"/>
      <c r="BW1250" s="128"/>
      <c r="BX1250" s="128"/>
      <c r="BY1250" s="128"/>
      <c r="BZ1250" s="128"/>
      <c r="CA1250" s="128"/>
      <c r="CB1250" s="128"/>
      <c r="CC1250" s="128"/>
      <c r="CD1250" s="128"/>
      <c r="CE1250" s="128"/>
      <c r="CF1250" s="128"/>
      <c r="CG1250" s="128"/>
      <c r="CH1250" s="128"/>
      <c r="CI1250" s="128"/>
      <c r="CJ1250" s="128"/>
      <c r="CK1250" s="128"/>
      <c r="CL1250" s="128"/>
      <c r="CM1250" s="128"/>
      <c r="CN1250" s="128"/>
      <c r="CO1250" s="128"/>
      <c r="CP1250" s="128"/>
      <c r="CQ1250" s="128"/>
      <c r="CR1250" s="128"/>
      <c r="CS1250" s="128"/>
      <c r="CT1250" s="128"/>
      <c r="CU1250" s="128"/>
      <c r="CV1250" s="128"/>
      <c r="CW1250" s="128"/>
      <c r="CX1250" s="128"/>
      <c r="CY1250" s="128"/>
      <c r="CZ1250" s="128"/>
    </row>
    <row r="1251" spans="1:104">
      <c r="A1251" s="128"/>
      <c r="B1251" s="128"/>
      <c r="C1251" s="128"/>
      <c r="D1251" s="112"/>
      <c r="E1251" s="128"/>
      <c r="F1251" s="128"/>
      <c r="G1251" s="128"/>
      <c r="H1251" s="128"/>
      <c r="I1251" s="128"/>
      <c r="J1251" s="128"/>
      <c r="K1251" s="128"/>
      <c r="L1251" s="128"/>
      <c r="M1251" s="128"/>
      <c r="N1251" s="128"/>
      <c r="O1251" s="128"/>
      <c r="P1251" s="128"/>
      <c r="Q1251" s="128"/>
      <c r="R1251" s="128"/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  <c r="AV1251" s="128"/>
      <c r="AW1251" s="128"/>
      <c r="AX1251" s="128"/>
      <c r="AY1251" s="128"/>
      <c r="AZ1251" s="128"/>
      <c r="BA1251" s="128"/>
      <c r="BB1251" s="128"/>
      <c r="BC1251" s="128"/>
      <c r="BD1251" s="128"/>
      <c r="BE1251" s="128"/>
      <c r="BF1251" s="128"/>
      <c r="BG1251" s="128"/>
      <c r="BH1251" s="128"/>
      <c r="BI1251" s="128"/>
      <c r="BJ1251" s="128"/>
      <c r="BK1251" s="128"/>
      <c r="BL1251" s="128"/>
      <c r="BM1251" s="151"/>
      <c r="BN1251" s="128"/>
      <c r="BO1251" s="128"/>
      <c r="BP1251" s="128"/>
      <c r="BQ1251" s="128"/>
      <c r="BR1251" s="128"/>
      <c r="BS1251" s="128"/>
      <c r="BT1251" s="128"/>
      <c r="BU1251" s="128"/>
      <c r="BV1251" s="128"/>
      <c r="BW1251" s="128"/>
      <c r="BX1251" s="128"/>
      <c r="BY1251" s="128"/>
      <c r="BZ1251" s="128"/>
      <c r="CA1251" s="128"/>
      <c r="CB1251" s="128"/>
      <c r="CC1251" s="128"/>
      <c r="CD1251" s="128"/>
      <c r="CE1251" s="128"/>
      <c r="CF1251" s="128"/>
      <c r="CG1251" s="128"/>
      <c r="CH1251" s="128"/>
      <c r="CI1251" s="128"/>
      <c r="CJ1251" s="128"/>
      <c r="CK1251" s="128"/>
      <c r="CL1251" s="128"/>
      <c r="CM1251" s="128"/>
      <c r="CN1251" s="128"/>
      <c r="CO1251" s="128"/>
      <c r="CP1251" s="128"/>
      <c r="CQ1251" s="128"/>
      <c r="CR1251" s="128"/>
      <c r="CS1251" s="128"/>
      <c r="CT1251" s="128"/>
      <c r="CU1251" s="128"/>
      <c r="CV1251" s="128"/>
      <c r="CW1251" s="128"/>
      <c r="CX1251" s="128"/>
      <c r="CY1251" s="128"/>
      <c r="CZ1251" s="128"/>
    </row>
    <row r="1252" spans="1:104">
      <c r="A1252" s="128"/>
      <c r="B1252" s="128"/>
      <c r="C1252" s="128"/>
      <c r="D1252" s="112"/>
      <c r="E1252" s="128"/>
      <c r="F1252" s="128"/>
      <c r="G1252" s="128"/>
      <c r="H1252" s="128"/>
      <c r="I1252" s="128"/>
      <c r="J1252" s="128"/>
      <c r="K1252" s="128"/>
      <c r="L1252" s="128"/>
      <c r="M1252" s="128"/>
      <c r="N1252" s="128"/>
      <c r="O1252" s="128"/>
      <c r="P1252" s="128"/>
      <c r="Q1252" s="128"/>
      <c r="R1252" s="128"/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  <c r="AV1252" s="128"/>
      <c r="AW1252" s="128"/>
      <c r="AX1252" s="128"/>
      <c r="AY1252" s="128"/>
      <c r="AZ1252" s="128"/>
      <c r="BA1252" s="128"/>
      <c r="BB1252" s="128"/>
      <c r="BC1252" s="128"/>
      <c r="BD1252" s="128"/>
      <c r="BE1252" s="128"/>
      <c r="BF1252" s="128"/>
      <c r="BG1252" s="128"/>
      <c r="BH1252" s="128"/>
      <c r="BI1252" s="128"/>
      <c r="BJ1252" s="128"/>
      <c r="BK1252" s="128"/>
      <c r="BL1252" s="128"/>
      <c r="BM1252" s="151"/>
      <c r="BN1252" s="128"/>
      <c r="BO1252" s="128"/>
      <c r="BP1252" s="128"/>
      <c r="BQ1252" s="128"/>
      <c r="BR1252" s="128"/>
      <c r="BS1252" s="128"/>
      <c r="BT1252" s="128"/>
      <c r="BU1252" s="128"/>
      <c r="BV1252" s="128"/>
      <c r="BW1252" s="128"/>
      <c r="BX1252" s="128"/>
      <c r="BY1252" s="128"/>
      <c r="BZ1252" s="128"/>
      <c r="CA1252" s="128"/>
      <c r="CB1252" s="128"/>
      <c r="CC1252" s="128"/>
      <c r="CD1252" s="128"/>
      <c r="CE1252" s="128"/>
      <c r="CF1252" s="128"/>
      <c r="CG1252" s="128"/>
      <c r="CH1252" s="128"/>
      <c r="CI1252" s="128"/>
      <c r="CJ1252" s="128"/>
      <c r="CK1252" s="128"/>
      <c r="CL1252" s="128"/>
      <c r="CM1252" s="128"/>
      <c r="CN1252" s="128"/>
      <c r="CO1252" s="128"/>
      <c r="CP1252" s="128"/>
      <c r="CQ1252" s="128"/>
      <c r="CR1252" s="128"/>
      <c r="CS1252" s="128"/>
      <c r="CT1252" s="128"/>
      <c r="CU1252" s="128"/>
      <c r="CV1252" s="128"/>
      <c r="CW1252" s="128"/>
      <c r="CX1252" s="128"/>
      <c r="CY1252" s="128"/>
      <c r="CZ1252" s="128"/>
    </row>
    <row r="1253" spans="1:104">
      <c r="A1253" s="128"/>
      <c r="B1253" s="128"/>
      <c r="C1253" s="128"/>
      <c r="D1253" s="112"/>
      <c r="E1253" s="128"/>
      <c r="F1253" s="128"/>
      <c r="G1253" s="128"/>
      <c r="H1253" s="128"/>
      <c r="I1253" s="128"/>
      <c r="J1253" s="128"/>
      <c r="K1253" s="128"/>
      <c r="L1253" s="128"/>
      <c r="M1253" s="128"/>
      <c r="N1253" s="128"/>
      <c r="O1253" s="128"/>
      <c r="P1253" s="128"/>
      <c r="Q1253" s="128"/>
      <c r="R1253" s="128"/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  <c r="AV1253" s="128"/>
      <c r="AW1253" s="128"/>
      <c r="AX1253" s="128"/>
      <c r="AY1253" s="128"/>
      <c r="AZ1253" s="128"/>
      <c r="BA1253" s="128"/>
      <c r="BB1253" s="128"/>
      <c r="BC1253" s="128"/>
      <c r="BD1253" s="128"/>
      <c r="BE1253" s="128"/>
      <c r="BF1253" s="128"/>
      <c r="BG1253" s="128"/>
      <c r="BH1253" s="128"/>
      <c r="BI1253" s="128"/>
      <c r="BJ1253" s="128"/>
      <c r="BK1253" s="128"/>
      <c r="BL1253" s="128"/>
      <c r="BM1253" s="151"/>
      <c r="BN1253" s="128"/>
      <c r="BO1253" s="128"/>
      <c r="BP1253" s="128"/>
      <c r="BQ1253" s="128"/>
      <c r="BR1253" s="128"/>
      <c r="BS1253" s="128"/>
      <c r="BT1253" s="128"/>
      <c r="BU1253" s="128"/>
      <c r="BV1253" s="128"/>
      <c r="BW1253" s="128"/>
      <c r="BX1253" s="128"/>
      <c r="BY1253" s="128"/>
      <c r="BZ1253" s="128"/>
      <c r="CA1253" s="128"/>
      <c r="CB1253" s="128"/>
      <c r="CC1253" s="128"/>
      <c r="CD1253" s="128"/>
      <c r="CE1253" s="128"/>
      <c r="CF1253" s="128"/>
      <c r="CG1253" s="128"/>
      <c r="CH1253" s="128"/>
      <c r="CI1253" s="128"/>
      <c r="CJ1253" s="128"/>
      <c r="CK1253" s="128"/>
      <c r="CL1253" s="128"/>
      <c r="CM1253" s="128"/>
      <c r="CN1253" s="128"/>
      <c r="CO1253" s="128"/>
      <c r="CP1253" s="128"/>
      <c r="CQ1253" s="128"/>
      <c r="CR1253" s="128"/>
      <c r="CS1253" s="128"/>
      <c r="CT1253" s="128"/>
      <c r="CU1253" s="128"/>
      <c r="CV1253" s="128"/>
      <c r="CW1253" s="128"/>
      <c r="CX1253" s="128"/>
      <c r="CY1253" s="128"/>
      <c r="CZ1253" s="128"/>
    </row>
    <row r="1254" spans="1:104">
      <c r="A1254" s="128"/>
      <c r="B1254" s="128"/>
      <c r="C1254" s="128"/>
      <c r="D1254" s="112"/>
      <c r="E1254" s="128"/>
      <c r="F1254" s="128"/>
      <c r="G1254" s="128"/>
      <c r="H1254" s="128"/>
      <c r="I1254" s="128"/>
      <c r="J1254" s="128"/>
      <c r="K1254" s="128"/>
      <c r="L1254" s="128"/>
      <c r="M1254" s="128"/>
      <c r="N1254" s="128"/>
      <c r="O1254" s="128"/>
      <c r="P1254" s="128"/>
      <c r="Q1254" s="128"/>
      <c r="R1254" s="128"/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  <c r="AV1254" s="128"/>
      <c r="AW1254" s="128"/>
      <c r="AX1254" s="128"/>
      <c r="AY1254" s="128"/>
      <c r="AZ1254" s="128"/>
      <c r="BA1254" s="128"/>
      <c r="BB1254" s="128"/>
      <c r="BC1254" s="128"/>
      <c r="BD1254" s="128"/>
      <c r="BE1254" s="128"/>
      <c r="BF1254" s="128"/>
      <c r="BG1254" s="128"/>
      <c r="BH1254" s="128"/>
      <c r="BI1254" s="128"/>
      <c r="BJ1254" s="128"/>
      <c r="BK1254" s="128"/>
      <c r="BL1254" s="128"/>
      <c r="BM1254" s="151"/>
      <c r="BN1254" s="128"/>
      <c r="BO1254" s="128"/>
      <c r="BP1254" s="128"/>
      <c r="BQ1254" s="128"/>
      <c r="BR1254" s="128"/>
      <c r="BS1254" s="128"/>
      <c r="BT1254" s="128"/>
      <c r="BU1254" s="128"/>
      <c r="BV1254" s="128"/>
      <c r="BW1254" s="128"/>
      <c r="BX1254" s="128"/>
      <c r="BY1254" s="128"/>
      <c r="BZ1254" s="128"/>
      <c r="CA1254" s="128"/>
      <c r="CB1254" s="128"/>
      <c r="CC1254" s="128"/>
      <c r="CD1254" s="128"/>
      <c r="CE1254" s="128"/>
      <c r="CF1254" s="128"/>
      <c r="CG1254" s="128"/>
      <c r="CH1254" s="128"/>
      <c r="CI1254" s="128"/>
      <c r="CJ1254" s="128"/>
      <c r="CK1254" s="128"/>
      <c r="CL1254" s="128"/>
      <c r="CM1254" s="128"/>
      <c r="CN1254" s="128"/>
      <c r="CO1254" s="128"/>
      <c r="CP1254" s="128"/>
      <c r="CQ1254" s="128"/>
      <c r="CR1254" s="128"/>
      <c r="CS1254" s="128"/>
      <c r="CT1254" s="128"/>
      <c r="CU1254" s="128"/>
      <c r="CV1254" s="128"/>
      <c r="CW1254" s="128"/>
      <c r="CX1254" s="128"/>
      <c r="CY1254" s="128"/>
      <c r="CZ1254" s="128"/>
    </row>
    <row r="1255" spans="1:104">
      <c r="A1255" s="128"/>
      <c r="B1255" s="128"/>
      <c r="C1255" s="128"/>
      <c r="D1255" s="112"/>
      <c r="E1255" s="128"/>
      <c r="F1255" s="128"/>
      <c r="G1255" s="128"/>
      <c r="H1255" s="128"/>
      <c r="I1255" s="128"/>
      <c r="J1255" s="128"/>
      <c r="K1255" s="128"/>
      <c r="L1255" s="128"/>
      <c r="M1255" s="128"/>
      <c r="N1255" s="128"/>
      <c r="O1255" s="128"/>
      <c r="P1255" s="128"/>
      <c r="Q1255" s="128"/>
      <c r="R1255" s="128"/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  <c r="AV1255" s="128"/>
      <c r="AW1255" s="128"/>
      <c r="AX1255" s="128"/>
      <c r="AY1255" s="128"/>
      <c r="AZ1255" s="128"/>
      <c r="BA1255" s="128"/>
      <c r="BB1255" s="128"/>
      <c r="BC1255" s="128"/>
      <c r="BD1255" s="128"/>
      <c r="BE1255" s="128"/>
      <c r="BF1255" s="128"/>
      <c r="BG1255" s="128"/>
      <c r="BH1255" s="128"/>
      <c r="BI1255" s="128"/>
      <c r="BJ1255" s="128"/>
      <c r="BK1255" s="128"/>
      <c r="BL1255" s="128"/>
      <c r="BM1255" s="151"/>
      <c r="BN1255" s="128"/>
      <c r="BO1255" s="128"/>
      <c r="BP1255" s="128"/>
      <c r="BQ1255" s="128"/>
      <c r="BR1255" s="128"/>
      <c r="BS1255" s="128"/>
      <c r="BT1255" s="128"/>
      <c r="BU1255" s="128"/>
      <c r="BV1255" s="128"/>
      <c r="BW1255" s="128"/>
      <c r="BX1255" s="128"/>
      <c r="BY1255" s="128"/>
      <c r="BZ1255" s="128"/>
      <c r="CA1255" s="128"/>
      <c r="CB1255" s="128"/>
      <c r="CC1255" s="128"/>
      <c r="CD1255" s="128"/>
      <c r="CE1255" s="128"/>
      <c r="CF1255" s="128"/>
      <c r="CG1255" s="128"/>
      <c r="CH1255" s="128"/>
      <c r="CI1255" s="128"/>
      <c r="CJ1255" s="128"/>
      <c r="CK1255" s="128"/>
      <c r="CL1255" s="128"/>
      <c r="CM1255" s="128"/>
      <c r="CN1255" s="128"/>
      <c r="CO1255" s="128"/>
      <c r="CP1255" s="128"/>
      <c r="CQ1255" s="128"/>
      <c r="CR1255" s="128"/>
      <c r="CS1255" s="128"/>
      <c r="CT1255" s="128"/>
      <c r="CU1255" s="128"/>
      <c r="CV1255" s="128"/>
      <c r="CW1255" s="128"/>
      <c r="CX1255" s="128"/>
      <c r="CY1255" s="128"/>
      <c r="CZ1255" s="128"/>
    </row>
    <row r="1256" spans="1:104">
      <c r="A1256" s="128"/>
      <c r="B1256" s="128"/>
      <c r="C1256" s="128"/>
      <c r="D1256" s="112"/>
      <c r="E1256" s="128"/>
      <c r="F1256" s="128"/>
      <c r="G1256" s="128"/>
      <c r="H1256" s="128"/>
      <c r="I1256" s="128"/>
      <c r="J1256" s="128"/>
      <c r="K1256" s="128"/>
      <c r="L1256" s="128"/>
      <c r="M1256" s="128"/>
      <c r="N1256" s="128"/>
      <c r="O1256" s="128"/>
      <c r="P1256" s="128"/>
      <c r="Q1256" s="128"/>
      <c r="R1256" s="128"/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  <c r="AV1256" s="128"/>
      <c r="AW1256" s="128"/>
      <c r="AX1256" s="128"/>
      <c r="AY1256" s="128"/>
      <c r="AZ1256" s="128"/>
      <c r="BA1256" s="128"/>
      <c r="BB1256" s="128"/>
      <c r="BC1256" s="128"/>
      <c r="BD1256" s="128"/>
      <c r="BE1256" s="128"/>
      <c r="BF1256" s="128"/>
      <c r="BG1256" s="128"/>
      <c r="BH1256" s="128"/>
      <c r="BI1256" s="128"/>
      <c r="BJ1256" s="128"/>
      <c r="BK1256" s="128"/>
      <c r="BL1256" s="128"/>
      <c r="BM1256" s="151"/>
      <c r="BN1256" s="128"/>
      <c r="BO1256" s="128"/>
      <c r="BP1256" s="128"/>
      <c r="BQ1256" s="128"/>
      <c r="BR1256" s="128"/>
      <c r="BS1256" s="128"/>
      <c r="BT1256" s="128"/>
      <c r="BU1256" s="128"/>
      <c r="BV1256" s="128"/>
      <c r="BW1256" s="128"/>
      <c r="BX1256" s="128"/>
      <c r="BY1256" s="128"/>
      <c r="BZ1256" s="128"/>
      <c r="CA1256" s="128"/>
      <c r="CB1256" s="128"/>
      <c r="CC1256" s="128"/>
      <c r="CD1256" s="128"/>
      <c r="CE1256" s="128"/>
      <c r="CF1256" s="128"/>
      <c r="CG1256" s="128"/>
      <c r="CH1256" s="128"/>
      <c r="CI1256" s="128"/>
      <c r="CJ1256" s="128"/>
      <c r="CK1256" s="128"/>
      <c r="CL1256" s="128"/>
      <c r="CM1256" s="128"/>
      <c r="CN1256" s="128"/>
      <c r="CO1256" s="128"/>
      <c r="CP1256" s="128"/>
      <c r="CQ1256" s="128"/>
      <c r="CR1256" s="128"/>
      <c r="CS1256" s="128"/>
      <c r="CT1256" s="128"/>
      <c r="CU1256" s="128"/>
      <c r="CV1256" s="128"/>
      <c r="CW1256" s="128"/>
      <c r="CX1256" s="128"/>
      <c r="CY1256" s="128"/>
      <c r="CZ1256" s="128"/>
    </row>
    <row r="1257" spans="1:104">
      <c r="A1257" s="128"/>
      <c r="B1257" s="128"/>
      <c r="C1257" s="128"/>
      <c r="D1257" s="112"/>
      <c r="E1257" s="128"/>
      <c r="F1257" s="128"/>
      <c r="G1257" s="128"/>
      <c r="H1257" s="128"/>
      <c r="I1257" s="128"/>
      <c r="J1257" s="128"/>
      <c r="K1257" s="128"/>
      <c r="L1257" s="128"/>
      <c r="M1257" s="128"/>
      <c r="N1257" s="128"/>
      <c r="O1257" s="128"/>
      <c r="P1257" s="128"/>
      <c r="Q1257" s="128"/>
      <c r="R1257" s="128"/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  <c r="AV1257" s="128"/>
      <c r="AW1257" s="128"/>
      <c r="AX1257" s="128"/>
      <c r="AY1257" s="128"/>
      <c r="AZ1257" s="128"/>
      <c r="BA1257" s="128"/>
      <c r="BB1257" s="128"/>
      <c r="BC1257" s="128"/>
      <c r="BD1257" s="128"/>
      <c r="BE1257" s="128"/>
      <c r="BF1257" s="128"/>
      <c r="BG1257" s="128"/>
      <c r="BH1257" s="128"/>
      <c r="BI1257" s="128"/>
      <c r="BJ1257" s="128"/>
      <c r="BK1257" s="128"/>
      <c r="BL1257" s="128"/>
      <c r="BM1257" s="151"/>
      <c r="BN1257" s="128"/>
      <c r="BO1257" s="128"/>
      <c r="BP1257" s="128"/>
      <c r="BQ1257" s="128"/>
      <c r="BR1257" s="128"/>
      <c r="BS1257" s="128"/>
      <c r="BT1257" s="128"/>
      <c r="BU1257" s="128"/>
      <c r="BV1257" s="128"/>
      <c r="BW1257" s="128"/>
      <c r="BX1257" s="128"/>
      <c r="BY1257" s="128"/>
      <c r="BZ1257" s="128"/>
      <c r="CA1257" s="128"/>
      <c r="CB1257" s="128"/>
      <c r="CC1257" s="128"/>
      <c r="CD1257" s="128"/>
      <c r="CE1257" s="128"/>
      <c r="CF1257" s="128"/>
      <c r="CG1257" s="128"/>
      <c r="CH1257" s="128"/>
      <c r="CI1257" s="128"/>
      <c r="CJ1257" s="128"/>
      <c r="CK1257" s="128"/>
      <c r="CL1257" s="128"/>
      <c r="CM1257" s="128"/>
      <c r="CN1257" s="128"/>
      <c r="CO1257" s="128"/>
      <c r="CP1257" s="128"/>
      <c r="CQ1257" s="128"/>
      <c r="CR1257" s="128"/>
      <c r="CS1257" s="128"/>
      <c r="CT1257" s="128"/>
      <c r="CU1257" s="128"/>
      <c r="CV1257" s="128"/>
      <c r="CW1257" s="128"/>
      <c r="CX1257" s="128"/>
      <c r="CY1257" s="128"/>
      <c r="CZ1257" s="128"/>
    </row>
    <row r="1258" spans="1:104">
      <c r="A1258" s="128"/>
      <c r="B1258" s="128"/>
      <c r="C1258" s="128"/>
      <c r="D1258" s="112"/>
      <c r="E1258" s="128"/>
      <c r="F1258" s="128"/>
      <c r="G1258" s="128"/>
      <c r="H1258" s="128"/>
      <c r="I1258" s="128"/>
      <c r="J1258" s="128"/>
      <c r="K1258" s="128"/>
      <c r="L1258" s="128"/>
      <c r="M1258" s="128"/>
      <c r="N1258" s="128"/>
      <c r="O1258" s="128"/>
      <c r="P1258" s="128"/>
      <c r="Q1258" s="128"/>
      <c r="R1258" s="128"/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  <c r="AV1258" s="128"/>
      <c r="AW1258" s="128"/>
      <c r="AX1258" s="128"/>
      <c r="AY1258" s="128"/>
      <c r="AZ1258" s="128"/>
      <c r="BA1258" s="128"/>
      <c r="BB1258" s="128"/>
      <c r="BC1258" s="128"/>
      <c r="BD1258" s="128"/>
      <c r="BE1258" s="128"/>
      <c r="BF1258" s="128"/>
      <c r="BG1258" s="128"/>
      <c r="BH1258" s="128"/>
      <c r="BI1258" s="128"/>
      <c r="BJ1258" s="128"/>
      <c r="BK1258" s="128"/>
      <c r="BL1258" s="128"/>
      <c r="BM1258" s="151"/>
      <c r="BN1258" s="128"/>
      <c r="BO1258" s="128"/>
      <c r="BP1258" s="128"/>
      <c r="BQ1258" s="128"/>
      <c r="BR1258" s="128"/>
      <c r="BS1258" s="128"/>
      <c r="BT1258" s="128"/>
      <c r="BU1258" s="128"/>
      <c r="BV1258" s="128"/>
      <c r="BW1258" s="128"/>
      <c r="BX1258" s="128"/>
      <c r="BY1258" s="128"/>
      <c r="BZ1258" s="128"/>
      <c r="CA1258" s="128"/>
      <c r="CB1258" s="128"/>
      <c r="CC1258" s="128"/>
      <c r="CD1258" s="128"/>
      <c r="CE1258" s="128"/>
      <c r="CF1258" s="128"/>
      <c r="CG1258" s="128"/>
      <c r="CH1258" s="128"/>
      <c r="CI1258" s="128"/>
      <c r="CJ1258" s="128"/>
      <c r="CK1258" s="128"/>
      <c r="CL1258" s="128"/>
      <c r="CM1258" s="128"/>
      <c r="CN1258" s="128"/>
      <c r="CO1258" s="128"/>
      <c r="CP1258" s="128"/>
      <c r="CQ1258" s="128"/>
      <c r="CR1258" s="128"/>
      <c r="CS1258" s="128"/>
      <c r="CT1258" s="128"/>
      <c r="CU1258" s="128"/>
      <c r="CV1258" s="128"/>
      <c r="CW1258" s="128"/>
      <c r="CX1258" s="128"/>
      <c r="CY1258" s="128"/>
      <c r="CZ1258" s="128"/>
    </row>
    <row r="1259" spans="1:104">
      <c r="A1259" s="128"/>
      <c r="B1259" s="128"/>
      <c r="C1259" s="128"/>
      <c r="D1259" s="112"/>
      <c r="E1259" s="128"/>
      <c r="F1259" s="128"/>
      <c r="G1259" s="128"/>
      <c r="H1259" s="128"/>
      <c r="I1259" s="128"/>
      <c r="J1259" s="128"/>
      <c r="K1259" s="128"/>
      <c r="L1259" s="128"/>
      <c r="M1259" s="128"/>
      <c r="N1259" s="128"/>
      <c r="O1259" s="128"/>
      <c r="P1259" s="128"/>
      <c r="Q1259" s="128"/>
      <c r="R1259" s="128"/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  <c r="AV1259" s="128"/>
      <c r="AW1259" s="128"/>
      <c r="AX1259" s="128"/>
      <c r="AY1259" s="128"/>
      <c r="AZ1259" s="128"/>
      <c r="BA1259" s="128"/>
      <c r="BB1259" s="128"/>
      <c r="BC1259" s="128"/>
      <c r="BD1259" s="128"/>
      <c r="BE1259" s="128"/>
      <c r="BF1259" s="128"/>
      <c r="BG1259" s="128"/>
      <c r="BH1259" s="128"/>
      <c r="BI1259" s="128"/>
      <c r="BJ1259" s="128"/>
      <c r="BK1259" s="128"/>
      <c r="BL1259" s="128"/>
      <c r="BM1259" s="151"/>
      <c r="BN1259" s="128"/>
      <c r="BO1259" s="128"/>
      <c r="BP1259" s="128"/>
      <c r="BQ1259" s="128"/>
      <c r="BR1259" s="128"/>
      <c r="BS1259" s="128"/>
      <c r="BT1259" s="128"/>
      <c r="BU1259" s="128"/>
      <c r="BV1259" s="128"/>
      <c r="BW1259" s="128"/>
      <c r="BX1259" s="128"/>
      <c r="BY1259" s="128"/>
      <c r="BZ1259" s="128"/>
      <c r="CA1259" s="128"/>
      <c r="CB1259" s="128"/>
      <c r="CC1259" s="128"/>
      <c r="CD1259" s="128"/>
      <c r="CE1259" s="128"/>
      <c r="CF1259" s="128"/>
      <c r="CG1259" s="128"/>
      <c r="CH1259" s="128"/>
      <c r="CI1259" s="128"/>
      <c r="CJ1259" s="128"/>
      <c r="CK1259" s="128"/>
      <c r="CL1259" s="128"/>
      <c r="CM1259" s="128"/>
      <c r="CN1259" s="128"/>
      <c r="CO1259" s="128"/>
      <c r="CP1259" s="128"/>
      <c r="CQ1259" s="128"/>
      <c r="CR1259" s="128"/>
      <c r="CS1259" s="128"/>
      <c r="CT1259" s="128"/>
      <c r="CU1259" s="128"/>
      <c r="CV1259" s="128"/>
      <c r="CW1259" s="128"/>
      <c r="CX1259" s="128"/>
      <c r="CY1259" s="128"/>
      <c r="CZ1259" s="128"/>
    </row>
    <row r="1260" spans="1:104">
      <c r="A1260" s="128"/>
      <c r="B1260" s="128"/>
      <c r="C1260" s="128"/>
      <c r="D1260" s="112"/>
      <c r="E1260" s="128"/>
      <c r="F1260" s="128"/>
      <c r="G1260" s="128"/>
      <c r="H1260" s="128"/>
      <c r="I1260" s="128"/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  <c r="AV1260" s="128"/>
      <c r="AW1260" s="128"/>
      <c r="AX1260" s="128"/>
      <c r="AY1260" s="128"/>
      <c r="AZ1260" s="128"/>
      <c r="BA1260" s="128"/>
      <c r="BB1260" s="128"/>
      <c r="BC1260" s="128"/>
      <c r="BD1260" s="128"/>
      <c r="BE1260" s="128"/>
      <c r="BF1260" s="128"/>
      <c r="BG1260" s="128"/>
      <c r="BH1260" s="128"/>
      <c r="BI1260" s="128"/>
      <c r="BJ1260" s="128"/>
      <c r="BK1260" s="128"/>
      <c r="BL1260" s="128"/>
      <c r="BM1260" s="151"/>
      <c r="BN1260" s="128"/>
      <c r="BO1260" s="128"/>
      <c r="BP1260" s="128"/>
      <c r="BQ1260" s="128"/>
      <c r="BR1260" s="128"/>
      <c r="BS1260" s="128"/>
      <c r="BT1260" s="128"/>
      <c r="BU1260" s="128"/>
      <c r="BV1260" s="128"/>
      <c r="BW1260" s="128"/>
      <c r="BX1260" s="128"/>
      <c r="BY1260" s="128"/>
      <c r="BZ1260" s="128"/>
      <c r="CA1260" s="128"/>
      <c r="CB1260" s="128"/>
      <c r="CC1260" s="128"/>
      <c r="CD1260" s="128"/>
      <c r="CE1260" s="128"/>
      <c r="CF1260" s="128"/>
      <c r="CG1260" s="128"/>
      <c r="CH1260" s="128"/>
      <c r="CI1260" s="128"/>
      <c r="CJ1260" s="128"/>
      <c r="CK1260" s="128"/>
      <c r="CL1260" s="128"/>
      <c r="CM1260" s="128"/>
      <c r="CN1260" s="128"/>
      <c r="CO1260" s="128"/>
      <c r="CP1260" s="128"/>
      <c r="CQ1260" s="128"/>
      <c r="CR1260" s="128"/>
      <c r="CS1260" s="128"/>
      <c r="CT1260" s="128"/>
      <c r="CU1260" s="128"/>
      <c r="CV1260" s="128"/>
      <c r="CW1260" s="128"/>
      <c r="CX1260" s="128"/>
      <c r="CY1260" s="128"/>
      <c r="CZ1260" s="128"/>
    </row>
    <row r="1261" spans="1:104">
      <c r="A1261" s="128"/>
      <c r="B1261" s="128"/>
      <c r="C1261" s="128"/>
      <c r="D1261" s="112"/>
      <c r="E1261" s="128"/>
      <c r="F1261" s="128"/>
      <c r="G1261" s="128"/>
      <c r="H1261" s="128"/>
      <c r="I1261" s="128"/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  <c r="AV1261" s="128"/>
      <c r="AW1261" s="128"/>
      <c r="AX1261" s="128"/>
      <c r="AY1261" s="128"/>
      <c r="AZ1261" s="128"/>
      <c r="BA1261" s="128"/>
      <c r="BB1261" s="128"/>
      <c r="BC1261" s="128"/>
      <c r="BD1261" s="128"/>
      <c r="BE1261" s="128"/>
      <c r="BF1261" s="128"/>
      <c r="BG1261" s="128"/>
      <c r="BH1261" s="128"/>
      <c r="BI1261" s="128"/>
      <c r="BJ1261" s="128"/>
      <c r="BK1261" s="128"/>
      <c r="BL1261" s="128"/>
      <c r="BM1261" s="151"/>
      <c r="BN1261" s="128"/>
      <c r="BO1261" s="128"/>
      <c r="BP1261" s="128"/>
      <c r="BQ1261" s="128"/>
      <c r="BR1261" s="128"/>
      <c r="BS1261" s="128"/>
      <c r="BT1261" s="128"/>
      <c r="BU1261" s="128"/>
      <c r="BV1261" s="128"/>
      <c r="BW1261" s="128"/>
      <c r="BX1261" s="128"/>
      <c r="BY1261" s="128"/>
      <c r="BZ1261" s="128"/>
      <c r="CA1261" s="128"/>
      <c r="CB1261" s="128"/>
      <c r="CC1261" s="128"/>
      <c r="CD1261" s="128"/>
      <c r="CE1261" s="128"/>
      <c r="CF1261" s="128"/>
      <c r="CG1261" s="128"/>
      <c r="CH1261" s="128"/>
      <c r="CI1261" s="128"/>
      <c r="CJ1261" s="128"/>
      <c r="CK1261" s="128"/>
      <c r="CL1261" s="128"/>
      <c r="CM1261" s="128"/>
      <c r="CN1261" s="128"/>
      <c r="CO1261" s="128"/>
      <c r="CP1261" s="128"/>
      <c r="CQ1261" s="128"/>
      <c r="CR1261" s="128"/>
      <c r="CS1261" s="128"/>
      <c r="CT1261" s="128"/>
      <c r="CU1261" s="128"/>
      <c r="CV1261" s="128"/>
      <c r="CW1261" s="128"/>
      <c r="CX1261" s="128"/>
      <c r="CY1261" s="128"/>
      <c r="CZ1261" s="128"/>
    </row>
    <row r="1262" spans="1:104">
      <c r="A1262" s="128"/>
      <c r="B1262" s="128"/>
      <c r="C1262" s="128"/>
      <c r="D1262" s="112"/>
      <c r="E1262" s="128"/>
      <c r="F1262" s="128"/>
      <c r="G1262" s="128"/>
      <c r="H1262" s="128"/>
      <c r="I1262" s="128"/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  <c r="AV1262" s="128"/>
      <c r="AW1262" s="128"/>
      <c r="AX1262" s="128"/>
      <c r="AY1262" s="128"/>
      <c r="AZ1262" s="128"/>
      <c r="BA1262" s="128"/>
      <c r="BB1262" s="128"/>
      <c r="BC1262" s="128"/>
      <c r="BD1262" s="128"/>
      <c r="BE1262" s="128"/>
      <c r="BF1262" s="128"/>
      <c r="BG1262" s="128"/>
      <c r="BH1262" s="128"/>
      <c r="BI1262" s="128"/>
      <c r="BJ1262" s="128"/>
      <c r="BK1262" s="128"/>
      <c r="BL1262" s="128"/>
      <c r="BM1262" s="151"/>
      <c r="BN1262" s="128"/>
      <c r="BO1262" s="128"/>
      <c r="BP1262" s="128"/>
      <c r="BQ1262" s="128"/>
      <c r="BR1262" s="128"/>
      <c r="BS1262" s="128"/>
      <c r="BT1262" s="128"/>
      <c r="BU1262" s="128"/>
      <c r="BV1262" s="128"/>
      <c r="BW1262" s="128"/>
      <c r="BX1262" s="128"/>
      <c r="BY1262" s="128"/>
      <c r="BZ1262" s="128"/>
      <c r="CA1262" s="128"/>
      <c r="CB1262" s="128"/>
      <c r="CC1262" s="128"/>
      <c r="CD1262" s="128"/>
      <c r="CE1262" s="128"/>
      <c r="CF1262" s="128"/>
      <c r="CG1262" s="128"/>
      <c r="CH1262" s="128"/>
      <c r="CI1262" s="128"/>
      <c r="CJ1262" s="128"/>
      <c r="CK1262" s="128"/>
      <c r="CL1262" s="128"/>
      <c r="CM1262" s="128"/>
      <c r="CN1262" s="128"/>
      <c r="CO1262" s="128"/>
      <c r="CP1262" s="128"/>
      <c r="CQ1262" s="128"/>
      <c r="CR1262" s="128"/>
      <c r="CS1262" s="128"/>
      <c r="CT1262" s="128"/>
      <c r="CU1262" s="128"/>
      <c r="CV1262" s="128"/>
      <c r="CW1262" s="128"/>
      <c r="CX1262" s="128"/>
      <c r="CY1262" s="128"/>
      <c r="CZ1262" s="128"/>
    </row>
    <row r="1263" spans="1:104">
      <c r="A1263" s="128"/>
      <c r="B1263" s="128"/>
      <c r="C1263" s="128"/>
      <c r="D1263" s="112"/>
      <c r="E1263" s="128"/>
      <c r="F1263" s="128"/>
      <c r="G1263" s="128"/>
      <c r="H1263" s="128"/>
      <c r="I1263" s="128"/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  <c r="AV1263" s="128"/>
      <c r="AW1263" s="128"/>
      <c r="AX1263" s="128"/>
      <c r="AY1263" s="128"/>
      <c r="AZ1263" s="128"/>
      <c r="BA1263" s="128"/>
      <c r="BB1263" s="128"/>
      <c r="BC1263" s="128"/>
      <c r="BD1263" s="128"/>
      <c r="BE1263" s="128"/>
      <c r="BF1263" s="128"/>
      <c r="BG1263" s="128"/>
      <c r="BH1263" s="128"/>
      <c r="BI1263" s="128"/>
      <c r="BJ1263" s="128"/>
      <c r="BK1263" s="128"/>
      <c r="BL1263" s="128"/>
      <c r="BM1263" s="151"/>
      <c r="BN1263" s="128"/>
      <c r="BO1263" s="128"/>
      <c r="BP1263" s="128"/>
      <c r="BQ1263" s="128"/>
      <c r="BR1263" s="128"/>
      <c r="BS1263" s="128"/>
      <c r="BT1263" s="128"/>
      <c r="BU1263" s="128"/>
      <c r="BV1263" s="128"/>
      <c r="BW1263" s="128"/>
      <c r="BX1263" s="128"/>
      <c r="BY1263" s="128"/>
      <c r="BZ1263" s="128"/>
      <c r="CA1263" s="128"/>
      <c r="CB1263" s="128"/>
      <c r="CC1263" s="128"/>
      <c r="CD1263" s="128"/>
      <c r="CE1263" s="128"/>
      <c r="CF1263" s="128"/>
      <c r="CG1263" s="128"/>
      <c r="CH1263" s="128"/>
      <c r="CI1263" s="128"/>
      <c r="CJ1263" s="128"/>
      <c r="CK1263" s="128"/>
      <c r="CL1263" s="128"/>
      <c r="CM1263" s="128"/>
      <c r="CN1263" s="128"/>
      <c r="CO1263" s="128"/>
      <c r="CP1263" s="128"/>
      <c r="CQ1263" s="128"/>
      <c r="CR1263" s="128"/>
      <c r="CS1263" s="128"/>
      <c r="CT1263" s="128"/>
      <c r="CU1263" s="128"/>
      <c r="CV1263" s="128"/>
      <c r="CW1263" s="128"/>
      <c r="CX1263" s="128"/>
      <c r="CY1263" s="128"/>
      <c r="CZ1263" s="128"/>
    </row>
    <row r="1264" spans="1:104">
      <c r="A1264" s="128"/>
      <c r="B1264" s="128"/>
      <c r="C1264" s="128"/>
      <c r="D1264" s="112"/>
      <c r="E1264" s="128"/>
      <c r="F1264" s="128"/>
      <c r="G1264" s="128"/>
      <c r="H1264" s="128"/>
      <c r="I1264" s="128"/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  <c r="AV1264" s="128"/>
      <c r="AW1264" s="128"/>
      <c r="AX1264" s="128"/>
      <c r="AY1264" s="128"/>
      <c r="AZ1264" s="128"/>
      <c r="BA1264" s="128"/>
      <c r="BB1264" s="128"/>
      <c r="BC1264" s="128"/>
      <c r="BD1264" s="128"/>
      <c r="BE1264" s="128"/>
      <c r="BF1264" s="128"/>
      <c r="BG1264" s="128"/>
      <c r="BH1264" s="128"/>
      <c r="BI1264" s="128"/>
      <c r="BJ1264" s="128"/>
      <c r="BK1264" s="128"/>
      <c r="BL1264" s="128"/>
      <c r="BM1264" s="151"/>
      <c r="BN1264" s="128"/>
      <c r="BO1264" s="128"/>
      <c r="BP1264" s="128"/>
      <c r="BQ1264" s="128"/>
      <c r="BR1264" s="128"/>
      <c r="BS1264" s="128"/>
      <c r="BT1264" s="128"/>
      <c r="BU1264" s="128"/>
      <c r="BV1264" s="128"/>
      <c r="BW1264" s="128"/>
      <c r="BX1264" s="128"/>
      <c r="BY1264" s="128"/>
      <c r="BZ1264" s="128"/>
      <c r="CA1264" s="128"/>
      <c r="CB1264" s="128"/>
      <c r="CC1264" s="128"/>
      <c r="CD1264" s="128"/>
      <c r="CE1264" s="128"/>
      <c r="CF1264" s="128"/>
      <c r="CG1264" s="128"/>
      <c r="CH1264" s="128"/>
      <c r="CI1264" s="128"/>
      <c r="CJ1264" s="128"/>
      <c r="CK1264" s="128"/>
      <c r="CL1264" s="128"/>
      <c r="CM1264" s="128"/>
      <c r="CN1264" s="128"/>
      <c r="CO1264" s="128"/>
      <c r="CP1264" s="128"/>
      <c r="CQ1264" s="128"/>
      <c r="CR1264" s="128"/>
      <c r="CS1264" s="128"/>
      <c r="CT1264" s="128"/>
      <c r="CU1264" s="128"/>
      <c r="CV1264" s="128"/>
      <c r="CW1264" s="128"/>
      <c r="CX1264" s="128"/>
      <c r="CY1264" s="128"/>
      <c r="CZ1264" s="128"/>
    </row>
    <row r="1265" spans="1:104">
      <c r="A1265" s="128"/>
      <c r="B1265" s="128"/>
      <c r="C1265" s="128"/>
      <c r="D1265" s="112"/>
      <c r="E1265" s="128"/>
      <c r="F1265" s="128"/>
      <c r="G1265" s="128"/>
      <c r="H1265" s="128"/>
      <c r="I1265" s="128"/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  <c r="AV1265" s="128"/>
      <c r="AW1265" s="128"/>
      <c r="AX1265" s="128"/>
      <c r="AY1265" s="128"/>
      <c r="AZ1265" s="128"/>
      <c r="BA1265" s="128"/>
      <c r="BB1265" s="128"/>
      <c r="BC1265" s="128"/>
      <c r="BD1265" s="128"/>
      <c r="BE1265" s="128"/>
      <c r="BF1265" s="128"/>
      <c r="BG1265" s="128"/>
      <c r="BH1265" s="128"/>
      <c r="BI1265" s="128"/>
      <c r="BJ1265" s="128"/>
      <c r="BK1265" s="128"/>
      <c r="BL1265" s="128"/>
      <c r="BM1265" s="151"/>
      <c r="BN1265" s="128"/>
      <c r="BO1265" s="128"/>
      <c r="BP1265" s="128"/>
      <c r="BQ1265" s="128"/>
      <c r="BR1265" s="128"/>
      <c r="BS1265" s="128"/>
      <c r="BT1265" s="128"/>
      <c r="BU1265" s="128"/>
      <c r="BV1265" s="128"/>
      <c r="BW1265" s="128"/>
      <c r="BX1265" s="128"/>
      <c r="BY1265" s="128"/>
      <c r="BZ1265" s="128"/>
      <c r="CA1265" s="128"/>
      <c r="CB1265" s="128"/>
      <c r="CC1265" s="128"/>
      <c r="CD1265" s="128"/>
      <c r="CE1265" s="128"/>
      <c r="CF1265" s="128"/>
      <c r="CG1265" s="128"/>
      <c r="CH1265" s="128"/>
      <c r="CI1265" s="128"/>
      <c r="CJ1265" s="128"/>
      <c r="CK1265" s="128"/>
      <c r="CL1265" s="128"/>
      <c r="CM1265" s="128"/>
      <c r="CN1265" s="128"/>
      <c r="CO1265" s="128"/>
      <c r="CP1265" s="128"/>
      <c r="CQ1265" s="128"/>
      <c r="CR1265" s="128"/>
      <c r="CS1265" s="128"/>
      <c r="CT1265" s="128"/>
      <c r="CU1265" s="128"/>
      <c r="CV1265" s="128"/>
      <c r="CW1265" s="128"/>
      <c r="CX1265" s="128"/>
      <c r="CY1265" s="128"/>
      <c r="CZ1265" s="128"/>
    </row>
    <row r="1266" spans="1:104">
      <c r="A1266" s="128"/>
      <c r="B1266" s="128"/>
      <c r="C1266" s="128"/>
      <c r="D1266" s="112"/>
      <c r="E1266" s="128"/>
      <c r="F1266" s="128"/>
      <c r="G1266" s="128"/>
      <c r="H1266" s="128"/>
      <c r="I1266" s="128"/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  <c r="AV1266" s="128"/>
      <c r="AW1266" s="128"/>
      <c r="AX1266" s="128"/>
      <c r="AY1266" s="128"/>
      <c r="AZ1266" s="128"/>
      <c r="BA1266" s="128"/>
      <c r="BB1266" s="128"/>
      <c r="BC1266" s="128"/>
      <c r="BD1266" s="128"/>
      <c r="BE1266" s="128"/>
      <c r="BF1266" s="128"/>
      <c r="BG1266" s="128"/>
      <c r="BH1266" s="128"/>
      <c r="BI1266" s="128"/>
      <c r="BJ1266" s="128"/>
      <c r="BK1266" s="128"/>
      <c r="BL1266" s="128"/>
      <c r="BM1266" s="151"/>
      <c r="BN1266" s="128"/>
      <c r="BO1266" s="128"/>
      <c r="BP1266" s="128"/>
      <c r="BQ1266" s="128"/>
      <c r="BR1266" s="128"/>
      <c r="BS1266" s="128"/>
      <c r="BT1266" s="128"/>
      <c r="BU1266" s="128"/>
      <c r="BV1266" s="128"/>
      <c r="BW1266" s="128"/>
      <c r="BX1266" s="128"/>
      <c r="BY1266" s="128"/>
      <c r="BZ1266" s="128"/>
      <c r="CA1266" s="128"/>
      <c r="CB1266" s="128"/>
      <c r="CC1266" s="128"/>
      <c r="CD1266" s="128"/>
      <c r="CE1266" s="128"/>
      <c r="CF1266" s="128"/>
      <c r="CG1266" s="128"/>
      <c r="CH1266" s="128"/>
      <c r="CI1266" s="128"/>
      <c r="CJ1266" s="128"/>
      <c r="CK1266" s="128"/>
      <c r="CL1266" s="128"/>
      <c r="CM1266" s="128"/>
      <c r="CN1266" s="128"/>
      <c r="CO1266" s="128"/>
      <c r="CP1266" s="128"/>
      <c r="CQ1266" s="128"/>
      <c r="CR1266" s="128"/>
      <c r="CS1266" s="128"/>
      <c r="CT1266" s="128"/>
      <c r="CU1266" s="128"/>
      <c r="CV1266" s="128"/>
      <c r="CW1266" s="128"/>
      <c r="CX1266" s="128"/>
      <c r="CY1266" s="128"/>
      <c r="CZ1266" s="128"/>
    </row>
    <row r="1267" spans="1:104">
      <c r="A1267" s="128"/>
      <c r="B1267" s="128"/>
      <c r="C1267" s="128"/>
      <c r="D1267" s="112"/>
      <c r="E1267" s="128"/>
      <c r="F1267" s="128"/>
      <c r="G1267" s="128"/>
      <c r="H1267" s="128"/>
      <c r="I1267" s="128"/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  <c r="AV1267" s="128"/>
      <c r="AW1267" s="128"/>
      <c r="AX1267" s="128"/>
      <c r="AY1267" s="128"/>
      <c r="AZ1267" s="128"/>
      <c r="BA1267" s="128"/>
      <c r="BB1267" s="128"/>
      <c r="BC1267" s="128"/>
      <c r="BD1267" s="128"/>
      <c r="BE1267" s="128"/>
      <c r="BF1267" s="128"/>
      <c r="BG1267" s="128"/>
      <c r="BH1267" s="128"/>
      <c r="BI1267" s="128"/>
      <c r="BJ1267" s="128"/>
      <c r="BK1267" s="128"/>
      <c r="BL1267" s="128"/>
      <c r="BM1267" s="151"/>
      <c r="BN1267" s="128"/>
      <c r="BO1267" s="128"/>
      <c r="BP1267" s="128"/>
      <c r="BQ1267" s="128"/>
      <c r="BR1267" s="128"/>
      <c r="BS1267" s="128"/>
      <c r="BT1267" s="128"/>
      <c r="BU1267" s="128"/>
      <c r="BV1267" s="128"/>
      <c r="BW1267" s="128"/>
      <c r="BX1267" s="128"/>
      <c r="BY1267" s="128"/>
      <c r="BZ1267" s="128"/>
      <c r="CA1267" s="128"/>
      <c r="CB1267" s="128"/>
      <c r="CC1267" s="128"/>
      <c r="CD1267" s="128"/>
      <c r="CE1267" s="128"/>
      <c r="CF1267" s="128"/>
      <c r="CG1267" s="128"/>
      <c r="CH1267" s="128"/>
      <c r="CI1267" s="128"/>
      <c r="CJ1267" s="128"/>
      <c r="CK1267" s="128"/>
      <c r="CL1267" s="128"/>
      <c r="CM1267" s="128"/>
      <c r="CN1267" s="128"/>
      <c r="CO1267" s="128"/>
      <c r="CP1267" s="128"/>
      <c r="CQ1267" s="128"/>
      <c r="CR1267" s="128"/>
      <c r="CS1267" s="128"/>
      <c r="CT1267" s="128"/>
      <c r="CU1267" s="128"/>
      <c r="CV1267" s="128"/>
      <c r="CW1267" s="128"/>
      <c r="CX1267" s="128"/>
      <c r="CY1267" s="128"/>
      <c r="CZ1267" s="128"/>
    </row>
    <row r="1268" spans="1:104">
      <c r="A1268" s="128"/>
      <c r="B1268" s="128"/>
      <c r="C1268" s="128"/>
      <c r="D1268" s="112"/>
      <c r="E1268" s="128"/>
      <c r="F1268" s="128"/>
      <c r="G1268" s="128"/>
      <c r="H1268" s="128"/>
      <c r="I1268" s="128"/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  <c r="AV1268" s="128"/>
      <c r="AW1268" s="128"/>
      <c r="AX1268" s="128"/>
      <c r="AY1268" s="128"/>
      <c r="AZ1268" s="128"/>
      <c r="BA1268" s="128"/>
      <c r="BB1268" s="128"/>
      <c r="BC1268" s="128"/>
      <c r="BD1268" s="128"/>
      <c r="BE1268" s="128"/>
      <c r="BF1268" s="128"/>
      <c r="BG1268" s="128"/>
      <c r="BH1268" s="128"/>
      <c r="BI1268" s="128"/>
      <c r="BJ1268" s="128"/>
      <c r="BK1268" s="128"/>
      <c r="BL1268" s="128"/>
      <c r="BM1268" s="151"/>
      <c r="BN1268" s="128"/>
      <c r="BO1268" s="128"/>
      <c r="BP1268" s="128"/>
      <c r="BQ1268" s="128"/>
      <c r="BR1268" s="128"/>
      <c r="BS1268" s="128"/>
      <c r="BT1268" s="128"/>
      <c r="BU1268" s="128"/>
      <c r="BV1268" s="128"/>
      <c r="BW1268" s="128"/>
      <c r="BX1268" s="128"/>
      <c r="BY1268" s="128"/>
      <c r="BZ1268" s="128"/>
      <c r="CA1268" s="128"/>
      <c r="CB1268" s="128"/>
      <c r="CC1268" s="128"/>
      <c r="CD1268" s="128"/>
      <c r="CE1268" s="128"/>
      <c r="CF1268" s="128"/>
      <c r="CG1268" s="128"/>
      <c r="CH1268" s="128"/>
      <c r="CI1268" s="128"/>
      <c r="CJ1268" s="128"/>
      <c r="CK1268" s="128"/>
      <c r="CL1268" s="128"/>
      <c r="CM1268" s="128"/>
      <c r="CN1268" s="128"/>
      <c r="CO1268" s="128"/>
      <c r="CP1268" s="128"/>
      <c r="CQ1268" s="128"/>
      <c r="CR1268" s="128"/>
      <c r="CS1268" s="128"/>
      <c r="CT1268" s="128"/>
      <c r="CU1268" s="128"/>
      <c r="CV1268" s="128"/>
      <c r="CW1268" s="128"/>
      <c r="CX1268" s="128"/>
      <c r="CY1268" s="128"/>
      <c r="CZ1268" s="128"/>
    </row>
    <row r="1269" spans="1:104">
      <c r="A1269" s="128"/>
      <c r="B1269" s="128"/>
      <c r="C1269" s="128"/>
      <c r="D1269" s="112"/>
      <c r="E1269" s="128"/>
      <c r="F1269" s="128"/>
      <c r="G1269" s="128"/>
      <c r="H1269" s="128"/>
      <c r="I1269" s="128"/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  <c r="AV1269" s="128"/>
      <c r="AW1269" s="128"/>
      <c r="AX1269" s="128"/>
      <c r="AY1269" s="128"/>
      <c r="AZ1269" s="128"/>
      <c r="BA1269" s="128"/>
      <c r="BB1269" s="128"/>
      <c r="BC1269" s="128"/>
      <c r="BD1269" s="128"/>
      <c r="BE1269" s="128"/>
      <c r="BF1269" s="128"/>
      <c r="BG1269" s="128"/>
      <c r="BH1269" s="128"/>
      <c r="BI1269" s="128"/>
      <c r="BJ1269" s="128"/>
      <c r="BK1269" s="128"/>
      <c r="BL1269" s="128"/>
      <c r="BM1269" s="151"/>
      <c r="BN1269" s="128"/>
      <c r="BO1269" s="128"/>
      <c r="BP1269" s="128"/>
      <c r="BQ1269" s="128"/>
      <c r="BR1269" s="128"/>
      <c r="BS1269" s="128"/>
      <c r="BT1269" s="128"/>
      <c r="BU1269" s="128"/>
      <c r="BV1269" s="128"/>
      <c r="BW1269" s="128"/>
      <c r="BX1269" s="128"/>
      <c r="BY1269" s="128"/>
      <c r="BZ1269" s="128"/>
      <c r="CA1269" s="128"/>
      <c r="CB1269" s="128"/>
      <c r="CC1269" s="128"/>
      <c r="CD1269" s="128"/>
      <c r="CE1269" s="128"/>
      <c r="CF1269" s="128"/>
      <c r="CG1269" s="128"/>
      <c r="CH1269" s="128"/>
      <c r="CI1269" s="128"/>
      <c r="CJ1269" s="128"/>
      <c r="CK1269" s="128"/>
      <c r="CL1269" s="128"/>
      <c r="CM1269" s="128"/>
      <c r="CN1269" s="128"/>
      <c r="CO1269" s="128"/>
      <c r="CP1269" s="128"/>
      <c r="CQ1269" s="128"/>
      <c r="CR1269" s="128"/>
      <c r="CS1269" s="128"/>
      <c r="CT1269" s="128"/>
      <c r="CU1269" s="128"/>
      <c r="CV1269" s="128"/>
      <c r="CW1269" s="128"/>
      <c r="CX1269" s="128"/>
      <c r="CY1269" s="128"/>
      <c r="CZ1269" s="128"/>
    </row>
    <row r="1270" spans="1:104">
      <c r="A1270" s="128"/>
      <c r="B1270" s="128"/>
      <c r="C1270" s="128"/>
      <c r="D1270" s="112"/>
      <c r="E1270" s="128"/>
      <c r="F1270" s="128"/>
      <c r="G1270" s="128"/>
      <c r="H1270" s="128"/>
      <c r="I1270" s="128"/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  <c r="AV1270" s="128"/>
      <c r="AW1270" s="128"/>
      <c r="AX1270" s="128"/>
      <c r="AY1270" s="128"/>
      <c r="AZ1270" s="128"/>
      <c r="BA1270" s="128"/>
      <c r="BB1270" s="128"/>
      <c r="BC1270" s="128"/>
      <c r="BD1270" s="128"/>
      <c r="BE1270" s="128"/>
      <c r="BF1270" s="128"/>
      <c r="BG1270" s="128"/>
      <c r="BH1270" s="128"/>
      <c r="BI1270" s="128"/>
      <c r="BJ1270" s="128"/>
      <c r="BK1270" s="128"/>
      <c r="BL1270" s="128"/>
      <c r="BM1270" s="151"/>
      <c r="BN1270" s="128"/>
      <c r="BO1270" s="128"/>
      <c r="BP1270" s="128"/>
      <c r="BQ1270" s="128"/>
      <c r="BR1270" s="128"/>
      <c r="BS1270" s="128"/>
      <c r="BT1270" s="128"/>
      <c r="BU1270" s="128"/>
      <c r="BV1270" s="128"/>
      <c r="BW1270" s="128"/>
      <c r="BX1270" s="128"/>
      <c r="BY1270" s="128"/>
      <c r="BZ1270" s="128"/>
      <c r="CA1270" s="128"/>
      <c r="CB1270" s="128"/>
      <c r="CC1270" s="128"/>
      <c r="CD1270" s="128"/>
      <c r="CE1270" s="128"/>
      <c r="CF1270" s="128"/>
      <c r="CG1270" s="128"/>
      <c r="CH1270" s="128"/>
      <c r="CI1270" s="128"/>
      <c r="CJ1270" s="128"/>
      <c r="CK1270" s="128"/>
      <c r="CL1270" s="128"/>
      <c r="CM1270" s="128"/>
      <c r="CN1270" s="128"/>
      <c r="CO1270" s="128"/>
      <c r="CP1270" s="128"/>
      <c r="CQ1270" s="128"/>
      <c r="CR1270" s="128"/>
      <c r="CS1270" s="128"/>
      <c r="CT1270" s="128"/>
      <c r="CU1270" s="128"/>
      <c r="CV1270" s="128"/>
      <c r="CW1270" s="128"/>
      <c r="CX1270" s="128"/>
      <c r="CY1270" s="128"/>
      <c r="CZ1270" s="128"/>
    </row>
    <row r="1271" spans="1:104">
      <c r="A1271" s="128"/>
      <c r="B1271" s="128"/>
      <c r="C1271" s="128"/>
      <c r="D1271" s="112"/>
      <c r="E1271" s="128"/>
      <c r="F1271" s="128"/>
      <c r="G1271" s="128"/>
      <c r="H1271" s="128"/>
      <c r="I1271" s="128"/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  <c r="AV1271" s="128"/>
      <c r="AW1271" s="128"/>
      <c r="AX1271" s="128"/>
      <c r="AY1271" s="128"/>
      <c r="AZ1271" s="128"/>
      <c r="BA1271" s="128"/>
      <c r="BB1271" s="128"/>
      <c r="BC1271" s="128"/>
      <c r="BD1271" s="128"/>
      <c r="BE1271" s="128"/>
      <c r="BF1271" s="128"/>
      <c r="BG1271" s="128"/>
      <c r="BH1271" s="128"/>
      <c r="BI1271" s="128"/>
      <c r="BJ1271" s="128"/>
      <c r="BK1271" s="128"/>
      <c r="BL1271" s="128"/>
      <c r="BM1271" s="151"/>
      <c r="BN1271" s="128"/>
      <c r="BO1271" s="128"/>
      <c r="BP1271" s="128"/>
      <c r="BQ1271" s="128"/>
      <c r="BR1271" s="128"/>
      <c r="BS1271" s="128"/>
      <c r="BT1271" s="128"/>
      <c r="BU1271" s="128"/>
      <c r="BV1271" s="128"/>
      <c r="BW1271" s="128"/>
      <c r="BX1271" s="128"/>
      <c r="BY1271" s="128"/>
      <c r="BZ1271" s="128"/>
      <c r="CA1271" s="128"/>
      <c r="CB1271" s="128"/>
      <c r="CC1271" s="128"/>
      <c r="CD1271" s="128"/>
      <c r="CE1271" s="128"/>
      <c r="CF1271" s="128"/>
      <c r="CG1271" s="128"/>
      <c r="CH1271" s="128"/>
      <c r="CI1271" s="128"/>
      <c r="CJ1271" s="128"/>
      <c r="CK1271" s="128"/>
      <c r="CL1271" s="128"/>
      <c r="CM1271" s="128"/>
      <c r="CN1271" s="128"/>
      <c r="CO1271" s="128"/>
      <c r="CP1271" s="128"/>
      <c r="CQ1271" s="128"/>
      <c r="CR1271" s="128"/>
      <c r="CS1271" s="128"/>
      <c r="CT1271" s="128"/>
      <c r="CU1271" s="128"/>
      <c r="CV1271" s="128"/>
      <c r="CW1271" s="128"/>
      <c r="CX1271" s="128"/>
      <c r="CY1271" s="128"/>
      <c r="CZ1271" s="128"/>
    </row>
    <row r="1272" spans="1:104">
      <c r="A1272" s="128"/>
      <c r="B1272" s="128"/>
      <c r="C1272" s="128"/>
      <c r="D1272" s="112"/>
      <c r="E1272" s="128"/>
      <c r="F1272" s="128"/>
      <c r="G1272" s="128"/>
      <c r="H1272" s="128"/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  <c r="AV1272" s="128"/>
      <c r="AW1272" s="128"/>
      <c r="AX1272" s="128"/>
      <c r="AY1272" s="128"/>
      <c r="AZ1272" s="128"/>
      <c r="BA1272" s="128"/>
      <c r="BB1272" s="128"/>
      <c r="BC1272" s="128"/>
      <c r="BD1272" s="128"/>
      <c r="BE1272" s="128"/>
      <c r="BF1272" s="128"/>
      <c r="BG1272" s="128"/>
      <c r="BH1272" s="128"/>
      <c r="BI1272" s="128"/>
      <c r="BJ1272" s="128"/>
      <c r="BK1272" s="128"/>
      <c r="BL1272" s="128"/>
      <c r="BM1272" s="151"/>
      <c r="BN1272" s="128"/>
      <c r="BO1272" s="128"/>
      <c r="BP1272" s="128"/>
      <c r="BQ1272" s="128"/>
      <c r="BR1272" s="128"/>
      <c r="BS1272" s="128"/>
      <c r="BT1272" s="128"/>
      <c r="BU1272" s="128"/>
      <c r="BV1272" s="128"/>
      <c r="BW1272" s="128"/>
      <c r="BX1272" s="128"/>
      <c r="BY1272" s="128"/>
      <c r="BZ1272" s="128"/>
      <c r="CA1272" s="128"/>
      <c r="CB1272" s="128"/>
      <c r="CC1272" s="128"/>
      <c r="CD1272" s="128"/>
      <c r="CE1272" s="128"/>
      <c r="CF1272" s="128"/>
      <c r="CG1272" s="128"/>
      <c r="CH1272" s="128"/>
      <c r="CI1272" s="128"/>
      <c r="CJ1272" s="128"/>
      <c r="CK1272" s="128"/>
      <c r="CL1272" s="128"/>
      <c r="CM1272" s="128"/>
      <c r="CN1272" s="128"/>
      <c r="CO1272" s="128"/>
      <c r="CP1272" s="128"/>
      <c r="CQ1272" s="128"/>
      <c r="CR1272" s="128"/>
      <c r="CS1272" s="128"/>
      <c r="CT1272" s="128"/>
      <c r="CU1272" s="128"/>
      <c r="CV1272" s="128"/>
      <c r="CW1272" s="128"/>
      <c r="CX1272" s="128"/>
      <c r="CY1272" s="128"/>
      <c r="CZ1272" s="128"/>
    </row>
    <row r="1273" spans="1:104">
      <c r="A1273" s="128"/>
      <c r="B1273" s="128"/>
      <c r="C1273" s="128"/>
      <c r="D1273" s="112"/>
      <c r="E1273" s="128"/>
      <c r="F1273" s="128"/>
      <c r="G1273" s="128"/>
      <c r="H1273" s="128"/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  <c r="AV1273" s="128"/>
      <c r="AW1273" s="128"/>
      <c r="AX1273" s="128"/>
      <c r="AY1273" s="128"/>
      <c r="AZ1273" s="128"/>
      <c r="BA1273" s="128"/>
      <c r="BB1273" s="128"/>
      <c r="BC1273" s="128"/>
      <c r="BD1273" s="128"/>
      <c r="BE1273" s="128"/>
      <c r="BF1273" s="128"/>
      <c r="BG1273" s="128"/>
      <c r="BH1273" s="128"/>
      <c r="BI1273" s="128"/>
      <c r="BJ1273" s="128"/>
      <c r="BK1273" s="128"/>
      <c r="BL1273" s="128"/>
      <c r="BM1273" s="151"/>
      <c r="BN1273" s="128"/>
      <c r="BO1273" s="128"/>
      <c r="BP1273" s="128"/>
      <c r="BQ1273" s="128"/>
      <c r="BR1273" s="128"/>
      <c r="BS1273" s="128"/>
      <c r="BT1273" s="128"/>
      <c r="BU1273" s="128"/>
      <c r="BV1273" s="128"/>
      <c r="BW1273" s="128"/>
      <c r="BX1273" s="128"/>
      <c r="BY1273" s="128"/>
      <c r="BZ1273" s="128"/>
      <c r="CA1273" s="128"/>
      <c r="CB1273" s="128"/>
      <c r="CC1273" s="128"/>
      <c r="CD1273" s="128"/>
      <c r="CE1273" s="128"/>
      <c r="CF1273" s="128"/>
      <c r="CG1273" s="128"/>
      <c r="CH1273" s="128"/>
      <c r="CI1273" s="128"/>
      <c r="CJ1273" s="128"/>
      <c r="CK1273" s="128"/>
      <c r="CL1273" s="128"/>
      <c r="CM1273" s="128"/>
      <c r="CN1273" s="128"/>
      <c r="CO1273" s="128"/>
      <c r="CP1273" s="128"/>
      <c r="CQ1273" s="128"/>
      <c r="CR1273" s="128"/>
      <c r="CS1273" s="128"/>
      <c r="CT1273" s="128"/>
      <c r="CU1273" s="128"/>
      <c r="CV1273" s="128"/>
      <c r="CW1273" s="128"/>
      <c r="CX1273" s="128"/>
      <c r="CY1273" s="128"/>
      <c r="CZ1273" s="128"/>
    </row>
    <row r="1274" spans="1:104">
      <c r="A1274" s="128"/>
      <c r="B1274" s="128"/>
      <c r="C1274" s="128"/>
      <c r="D1274" s="112"/>
      <c r="E1274" s="128"/>
      <c r="F1274" s="128"/>
      <c r="G1274" s="128"/>
      <c r="H1274" s="128"/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  <c r="AV1274" s="128"/>
      <c r="AW1274" s="128"/>
      <c r="AX1274" s="128"/>
      <c r="AY1274" s="128"/>
      <c r="AZ1274" s="128"/>
      <c r="BA1274" s="128"/>
      <c r="BB1274" s="128"/>
      <c r="BC1274" s="128"/>
      <c r="BD1274" s="128"/>
      <c r="BE1274" s="128"/>
      <c r="BF1274" s="128"/>
      <c r="BG1274" s="128"/>
      <c r="BH1274" s="128"/>
      <c r="BI1274" s="128"/>
      <c r="BJ1274" s="128"/>
      <c r="BK1274" s="128"/>
      <c r="BL1274" s="128"/>
      <c r="BM1274" s="151"/>
      <c r="BN1274" s="128"/>
      <c r="BO1274" s="128"/>
      <c r="BP1274" s="128"/>
      <c r="BQ1274" s="128"/>
      <c r="BR1274" s="128"/>
      <c r="BS1274" s="128"/>
      <c r="BT1274" s="128"/>
      <c r="BU1274" s="128"/>
      <c r="BV1274" s="128"/>
      <c r="BW1274" s="128"/>
      <c r="BX1274" s="128"/>
      <c r="BY1274" s="128"/>
      <c r="BZ1274" s="128"/>
      <c r="CA1274" s="128"/>
      <c r="CB1274" s="128"/>
      <c r="CC1274" s="128"/>
      <c r="CD1274" s="128"/>
      <c r="CE1274" s="128"/>
      <c r="CF1274" s="128"/>
      <c r="CG1274" s="128"/>
      <c r="CH1274" s="128"/>
      <c r="CI1274" s="128"/>
      <c r="CJ1274" s="128"/>
      <c r="CK1274" s="128"/>
      <c r="CL1274" s="128"/>
      <c r="CM1274" s="128"/>
      <c r="CN1274" s="128"/>
      <c r="CO1274" s="128"/>
      <c r="CP1274" s="128"/>
      <c r="CQ1274" s="128"/>
      <c r="CR1274" s="128"/>
      <c r="CS1274" s="128"/>
      <c r="CT1274" s="128"/>
      <c r="CU1274" s="128"/>
      <c r="CV1274" s="128"/>
      <c r="CW1274" s="128"/>
      <c r="CX1274" s="128"/>
      <c r="CY1274" s="128"/>
      <c r="CZ1274" s="128"/>
    </row>
    <row r="1275" spans="1:104">
      <c r="A1275" s="128"/>
      <c r="B1275" s="128"/>
      <c r="C1275" s="128"/>
      <c r="D1275" s="112"/>
      <c r="E1275" s="128"/>
      <c r="F1275" s="128"/>
      <c r="G1275" s="128"/>
      <c r="H1275" s="128"/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  <c r="BA1275" s="128"/>
      <c r="BB1275" s="128"/>
      <c r="BC1275" s="128"/>
      <c r="BD1275" s="128"/>
      <c r="BE1275" s="128"/>
      <c r="BF1275" s="128"/>
      <c r="BG1275" s="128"/>
      <c r="BH1275" s="128"/>
      <c r="BI1275" s="128"/>
      <c r="BJ1275" s="128"/>
      <c r="BK1275" s="128"/>
      <c r="BL1275" s="128"/>
      <c r="BM1275" s="151"/>
      <c r="BN1275" s="128"/>
      <c r="BO1275" s="128"/>
      <c r="BP1275" s="128"/>
      <c r="BQ1275" s="128"/>
      <c r="BR1275" s="128"/>
      <c r="BS1275" s="128"/>
      <c r="BT1275" s="128"/>
      <c r="BU1275" s="128"/>
      <c r="BV1275" s="128"/>
      <c r="BW1275" s="128"/>
      <c r="BX1275" s="128"/>
      <c r="BY1275" s="128"/>
      <c r="BZ1275" s="128"/>
      <c r="CA1275" s="128"/>
      <c r="CB1275" s="128"/>
      <c r="CC1275" s="128"/>
      <c r="CD1275" s="128"/>
      <c r="CE1275" s="128"/>
      <c r="CF1275" s="128"/>
      <c r="CG1275" s="128"/>
      <c r="CH1275" s="128"/>
      <c r="CI1275" s="128"/>
      <c r="CJ1275" s="128"/>
      <c r="CK1275" s="128"/>
      <c r="CL1275" s="128"/>
      <c r="CM1275" s="128"/>
      <c r="CN1275" s="128"/>
      <c r="CO1275" s="128"/>
      <c r="CP1275" s="128"/>
      <c r="CQ1275" s="128"/>
      <c r="CR1275" s="128"/>
      <c r="CS1275" s="128"/>
      <c r="CT1275" s="128"/>
      <c r="CU1275" s="128"/>
      <c r="CV1275" s="128"/>
      <c r="CW1275" s="128"/>
      <c r="CX1275" s="128"/>
      <c r="CY1275" s="128"/>
      <c r="CZ1275" s="128"/>
    </row>
    <row r="1276" spans="1:104">
      <c r="A1276" s="128"/>
      <c r="B1276" s="128"/>
      <c r="C1276" s="128"/>
      <c r="D1276" s="112"/>
      <c r="E1276" s="128"/>
      <c r="F1276" s="128"/>
      <c r="G1276" s="128"/>
      <c r="H1276" s="128"/>
      <c r="I1276" s="128"/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  <c r="AV1276" s="128"/>
      <c r="AW1276" s="128"/>
      <c r="AX1276" s="128"/>
      <c r="AY1276" s="128"/>
      <c r="AZ1276" s="128"/>
      <c r="BA1276" s="128"/>
      <c r="BB1276" s="128"/>
      <c r="BC1276" s="128"/>
      <c r="BD1276" s="128"/>
      <c r="BE1276" s="128"/>
      <c r="BF1276" s="128"/>
      <c r="BG1276" s="128"/>
      <c r="BH1276" s="128"/>
      <c r="BI1276" s="128"/>
      <c r="BJ1276" s="128"/>
      <c r="BK1276" s="128"/>
      <c r="BL1276" s="128"/>
      <c r="BM1276" s="151"/>
      <c r="BN1276" s="128"/>
      <c r="BO1276" s="128"/>
      <c r="BP1276" s="128"/>
      <c r="BQ1276" s="128"/>
      <c r="BR1276" s="128"/>
      <c r="BS1276" s="128"/>
      <c r="BT1276" s="128"/>
      <c r="BU1276" s="128"/>
      <c r="BV1276" s="128"/>
      <c r="BW1276" s="128"/>
      <c r="BX1276" s="128"/>
      <c r="BY1276" s="128"/>
      <c r="BZ1276" s="128"/>
      <c r="CA1276" s="128"/>
      <c r="CB1276" s="128"/>
      <c r="CC1276" s="128"/>
      <c r="CD1276" s="128"/>
      <c r="CE1276" s="128"/>
      <c r="CF1276" s="128"/>
      <c r="CG1276" s="128"/>
      <c r="CH1276" s="128"/>
      <c r="CI1276" s="128"/>
      <c r="CJ1276" s="128"/>
      <c r="CK1276" s="128"/>
      <c r="CL1276" s="128"/>
      <c r="CM1276" s="128"/>
      <c r="CN1276" s="128"/>
      <c r="CO1276" s="128"/>
      <c r="CP1276" s="128"/>
      <c r="CQ1276" s="128"/>
      <c r="CR1276" s="128"/>
      <c r="CS1276" s="128"/>
      <c r="CT1276" s="128"/>
      <c r="CU1276" s="128"/>
      <c r="CV1276" s="128"/>
      <c r="CW1276" s="128"/>
      <c r="CX1276" s="128"/>
      <c r="CY1276" s="128"/>
      <c r="CZ1276" s="128"/>
    </row>
    <row r="1277" spans="1:104">
      <c r="A1277" s="128"/>
      <c r="B1277" s="128"/>
      <c r="C1277" s="128"/>
      <c r="D1277" s="112"/>
      <c r="E1277" s="128"/>
      <c r="F1277" s="128"/>
      <c r="G1277" s="128"/>
      <c r="H1277" s="128"/>
      <c r="I1277" s="128"/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  <c r="BA1277" s="128"/>
      <c r="BB1277" s="128"/>
      <c r="BC1277" s="128"/>
      <c r="BD1277" s="128"/>
      <c r="BE1277" s="128"/>
      <c r="BF1277" s="128"/>
      <c r="BG1277" s="128"/>
      <c r="BH1277" s="128"/>
      <c r="BI1277" s="128"/>
      <c r="BJ1277" s="128"/>
      <c r="BK1277" s="128"/>
      <c r="BL1277" s="128"/>
      <c r="BM1277" s="151"/>
      <c r="BN1277" s="128"/>
      <c r="BO1277" s="128"/>
      <c r="BP1277" s="128"/>
      <c r="BQ1277" s="128"/>
      <c r="BR1277" s="128"/>
      <c r="BS1277" s="128"/>
      <c r="BT1277" s="128"/>
      <c r="BU1277" s="128"/>
      <c r="BV1277" s="128"/>
      <c r="BW1277" s="128"/>
      <c r="BX1277" s="128"/>
      <c r="BY1277" s="128"/>
      <c r="BZ1277" s="128"/>
      <c r="CA1277" s="128"/>
      <c r="CB1277" s="128"/>
      <c r="CC1277" s="128"/>
      <c r="CD1277" s="128"/>
      <c r="CE1277" s="128"/>
      <c r="CF1277" s="128"/>
      <c r="CG1277" s="128"/>
      <c r="CH1277" s="128"/>
      <c r="CI1277" s="128"/>
      <c r="CJ1277" s="128"/>
      <c r="CK1277" s="128"/>
      <c r="CL1277" s="128"/>
      <c r="CM1277" s="128"/>
      <c r="CN1277" s="128"/>
      <c r="CO1277" s="128"/>
      <c r="CP1277" s="128"/>
      <c r="CQ1277" s="128"/>
      <c r="CR1277" s="128"/>
      <c r="CS1277" s="128"/>
      <c r="CT1277" s="128"/>
      <c r="CU1277" s="128"/>
      <c r="CV1277" s="128"/>
      <c r="CW1277" s="128"/>
      <c r="CX1277" s="128"/>
      <c r="CY1277" s="128"/>
      <c r="CZ1277" s="128"/>
    </row>
    <row r="1278" spans="1:104">
      <c r="A1278" s="128"/>
      <c r="B1278" s="128"/>
      <c r="C1278" s="128"/>
      <c r="D1278" s="112"/>
      <c r="E1278" s="128"/>
      <c r="F1278" s="128"/>
      <c r="G1278" s="128"/>
      <c r="H1278" s="128"/>
      <c r="I1278" s="128"/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  <c r="AV1278" s="128"/>
      <c r="AW1278" s="128"/>
      <c r="AX1278" s="128"/>
      <c r="AY1278" s="128"/>
      <c r="AZ1278" s="128"/>
      <c r="BA1278" s="128"/>
      <c r="BB1278" s="128"/>
      <c r="BC1278" s="128"/>
      <c r="BD1278" s="128"/>
      <c r="BE1278" s="128"/>
      <c r="BF1278" s="128"/>
      <c r="BG1278" s="128"/>
      <c r="BH1278" s="128"/>
      <c r="BI1278" s="128"/>
      <c r="BJ1278" s="128"/>
      <c r="BK1278" s="128"/>
      <c r="BL1278" s="128"/>
      <c r="BM1278" s="151"/>
      <c r="BN1278" s="128"/>
      <c r="BO1278" s="128"/>
      <c r="BP1278" s="128"/>
      <c r="BQ1278" s="128"/>
      <c r="BR1278" s="128"/>
      <c r="BS1278" s="128"/>
      <c r="BT1278" s="128"/>
      <c r="BU1278" s="128"/>
      <c r="BV1278" s="128"/>
      <c r="BW1278" s="128"/>
      <c r="BX1278" s="128"/>
      <c r="BY1278" s="128"/>
      <c r="BZ1278" s="128"/>
      <c r="CA1278" s="128"/>
      <c r="CB1278" s="128"/>
      <c r="CC1278" s="128"/>
      <c r="CD1278" s="128"/>
      <c r="CE1278" s="128"/>
      <c r="CF1278" s="128"/>
      <c r="CG1278" s="128"/>
      <c r="CH1278" s="128"/>
      <c r="CI1278" s="128"/>
      <c r="CJ1278" s="128"/>
      <c r="CK1278" s="128"/>
      <c r="CL1278" s="128"/>
      <c r="CM1278" s="128"/>
      <c r="CN1278" s="128"/>
      <c r="CO1278" s="128"/>
      <c r="CP1278" s="128"/>
      <c r="CQ1278" s="128"/>
      <c r="CR1278" s="128"/>
      <c r="CS1278" s="128"/>
      <c r="CT1278" s="128"/>
      <c r="CU1278" s="128"/>
      <c r="CV1278" s="128"/>
      <c r="CW1278" s="128"/>
      <c r="CX1278" s="128"/>
      <c r="CY1278" s="128"/>
      <c r="CZ1278" s="128"/>
    </row>
    <row r="1279" spans="1:104">
      <c r="A1279" s="128"/>
      <c r="B1279" s="128"/>
      <c r="C1279" s="128"/>
      <c r="D1279" s="112"/>
      <c r="E1279" s="128"/>
      <c r="F1279" s="128"/>
      <c r="G1279" s="128"/>
      <c r="H1279" s="128"/>
      <c r="I1279" s="128"/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  <c r="AV1279" s="128"/>
      <c r="AW1279" s="128"/>
      <c r="AX1279" s="128"/>
      <c r="AY1279" s="128"/>
      <c r="AZ1279" s="128"/>
      <c r="BA1279" s="128"/>
      <c r="BB1279" s="128"/>
      <c r="BC1279" s="128"/>
      <c r="BD1279" s="128"/>
      <c r="BE1279" s="128"/>
      <c r="BF1279" s="128"/>
      <c r="BG1279" s="128"/>
      <c r="BH1279" s="128"/>
      <c r="BI1279" s="128"/>
      <c r="BJ1279" s="128"/>
      <c r="BK1279" s="128"/>
      <c r="BL1279" s="128"/>
      <c r="BM1279" s="151"/>
      <c r="BN1279" s="128"/>
      <c r="BO1279" s="128"/>
      <c r="BP1279" s="128"/>
      <c r="BQ1279" s="128"/>
      <c r="BR1279" s="128"/>
      <c r="BS1279" s="128"/>
      <c r="BT1279" s="128"/>
      <c r="BU1279" s="128"/>
      <c r="BV1279" s="128"/>
      <c r="BW1279" s="128"/>
      <c r="BX1279" s="128"/>
      <c r="BY1279" s="128"/>
      <c r="BZ1279" s="128"/>
      <c r="CA1279" s="128"/>
      <c r="CB1279" s="128"/>
      <c r="CC1279" s="128"/>
      <c r="CD1279" s="128"/>
      <c r="CE1279" s="128"/>
      <c r="CF1279" s="128"/>
      <c r="CG1279" s="128"/>
      <c r="CH1279" s="128"/>
      <c r="CI1279" s="128"/>
      <c r="CJ1279" s="128"/>
      <c r="CK1279" s="128"/>
      <c r="CL1279" s="128"/>
      <c r="CM1279" s="128"/>
      <c r="CN1279" s="128"/>
      <c r="CO1279" s="128"/>
      <c r="CP1279" s="128"/>
      <c r="CQ1279" s="128"/>
      <c r="CR1279" s="128"/>
      <c r="CS1279" s="128"/>
      <c r="CT1279" s="128"/>
      <c r="CU1279" s="128"/>
      <c r="CV1279" s="128"/>
      <c r="CW1279" s="128"/>
      <c r="CX1279" s="128"/>
      <c r="CY1279" s="128"/>
      <c r="CZ1279" s="128"/>
    </row>
    <row r="1280" spans="1:104">
      <c r="A1280" s="128"/>
      <c r="B1280" s="128"/>
      <c r="C1280" s="128"/>
      <c r="D1280" s="112"/>
      <c r="E1280" s="128"/>
      <c r="F1280" s="128"/>
      <c r="G1280" s="128"/>
      <c r="H1280" s="128"/>
      <c r="I1280" s="128"/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  <c r="AV1280" s="128"/>
      <c r="AW1280" s="128"/>
      <c r="AX1280" s="128"/>
      <c r="AY1280" s="128"/>
      <c r="AZ1280" s="128"/>
      <c r="BA1280" s="128"/>
      <c r="BB1280" s="128"/>
      <c r="BC1280" s="128"/>
      <c r="BD1280" s="128"/>
      <c r="BE1280" s="128"/>
      <c r="BF1280" s="128"/>
      <c r="BG1280" s="128"/>
      <c r="BH1280" s="128"/>
      <c r="BI1280" s="128"/>
      <c r="BJ1280" s="128"/>
      <c r="BK1280" s="128"/>
      <c r="BL1280" s="128"/>
      <c r="BM1280" s="151"/>
      <c r="BN1280" s="128"/>
      <c r="BO1280" s="128"/>
      <c r="BP1280" s="128"/>
      <c r="BQ1280" s="128"/>
      <c r="BR1280" s="128"/>
      <c r="BS1280" s="128"/>
      <c r="BT1280" s="128"/>
      <c r="BU1280" s="128"/>
      <c r="BV1280" s="128"/>
      <c r="BW1280" s="128"/>
      <c r="BX1280" s="128"/>
      <c r="BY1280" s="128"/>
      <c r="BZ1280" s="128"/>
      <c r="CA1280" s="128"/>
      <c r="CB1280" s="128"/>
      <c r="CC1280" s="128"/>
      <c r="CD1280" s="128"/>
      <c r="CE1280" s="128"/>
      <c r="CF1280" s="128"/>
      <c r="CG1280" s="128"/>
      <c r="CH1280" s="128"/>
      <c r="CI1280" s="128"/>
      <c r="CJ1280" s="128"/>
      <c r="CK1280" s="128"/>
      <c r="CL1280" s="128"/>
      <c r="CM1280" s="128"/>
      <c r="CN1280" s="128"/>
      <c r="CO1280" s="128"/>
      <c r="CP1280" s="128"/>
      <c r="CQ1280" s="128"/>
      <c r="CR1280" s="128"/>
      <c r="CS1280" s="128"/>
      <c r="CT1280" s="128"/>
      <c r="CU1280" s="128"/>
      <c r="CV1280" s="128"/>
      <c r="CW1280" s="128"/>
      <c r="CX1280" s="128"/>
      <c r="CY1280" s="128"/>
      <c r="CZ1280" s="128"/>
    </row>
    <row r="1281" spans="1:104">
      <c r="A1281" s="128"/>
      <c r="B1281" s="128"/>
      <c r="C1281" s="128"/>
      <c r="D1281" s="112"/>
      <c r="E1281" s="128"/>
      <c r="F1281" s="128"/>
      <c r="G1281" s="128"/>
      <c r="H1281" s="128"/>
      <c r="I1281" s="128"/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  <c r="AV1281" s="128"/>
      <c r="AW1281" s="128"/>
      <c r="AX1281" s="128"/>
      <c r="AY1281" s="128"/>
      <c r="AZ1281" s="128"/>
      <c r="BA1281" s="128"/>
      <c r="BB1281" s="128"/>
      <c r="BC1281" s="128"/>
      <c r="BD1281" s="128"/>
      <c r="BE1281" s="128"/>
      <c r="BF1281" s="128"/>
      <c r="BG1281" s="128"/>
      <c r="BH1281" s="128"/>
      <c r="BI1281" s="128"/>
      <c r="BJ1281" s="128"/>
      <c r="BK1281" s="128"/>
      <c r="BL1281" s="128"/>
      <c r="BM1281" s="151"/>
      <c r="BN1281" s="128"/>
      <c r="BO1281" s="128"/>
      <c r="BP1281" s="128"/>
      <c r="BQ1281" s="128"/>
      <c r="BR1281" s="128"/>
      <c r="BS1281" s="128"/>
      <c r="BT1281" s="128"/>
      <c r="BU1281" s="128"/>
      <c r="BV1281" s="128"/>
      <c r="BW1281" s="128"/>
      <c r="BX1281" s="128"/>
      <c r="BY1281" s="128"/>
      <c r="BZ1281" s="128"/>
      <c r="CA1281" s="128"/>
      <c r="CB1281" s="128"/>
      <c r="CC1281" s="128"/>
      <c r="CD1281" s="128"/>
      <c r="CE1281" s="128"/>
      <c r="CF1281" s="128"/>
      <c r="CG1281" s="128"/>
      <c r="CH1281" s="128"/>
      <c r="CI1281" s="128"/>
      <c r="CJ1281" s="128"/>
      <c r="CK1281" s="128"/>
      <c r="CL1281" s="128"/>
      <c r="CM1281" s="128"/>
      <c r="CN1281" s="128"/>
      <c r="CO1281" s="128"/>
      <c r="CP1281" s="128"/>
      <c r="CQ1281" s="128"/>
      <c r="CR1281" s="128"/>
      <c r="CS1281" s="128"/>
      <c r="CT1281" s="128"/>
      <c r="CU1281" s="128"/>
      <c r="CV1281" s="128"/>
      <c r="CW1281" s="128"/>
      <c r="CX1281" s="128"/>
      <c r="CY1281" s="128"/>
      <c r="CZ1281" s="128"/>
    </row>
    <row r="1282" spans="1:104">
      <c r="A1282" s="128"/>
      <c r="B1282" s="128"/>
      <c r="C1282" s="128"/>
      <c r="D1282" s="112"/>
      <c r="E1282" s="128"/>
      <c r="F1282" s="128"/>
      <c r="G1282" s="128"/>
      <c r="H1282" s="128"/>
      <c r="I1282" s="128"/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  <c r="AV1282" s="128"/>
      <c r="AW1282" s="128"/>
      <c r="AX1282" s="128"/>
      <c r="AY1282" s="128"/>
      <c r="AZ1282" s="128"/>
      <c r="BA1282" s="128"/>
      <c r="BB1282" s="128"/>
      <c r="BC1282" s="128"/>
      <c r="BD1282" s="128"/>
      <c r="BE1282" s="128"/>
      <c r="BF1282" s="128"/>
      <c r="BG1282" s="128"/>
      <c r="BH1282" s="128"/>
      <c r="BI1282" s="128"/>
      <c r="BJ1282" s="128"/>
      <c r="BK1282" s="128"/>
      <c r="BL1282" s="128"/>
      <c r="BM1282" s="151"/>
      <c r="BN1282" s="128"/>
      <c r="BO1282" s="128"/>
      <c r="BP1282" s="128"/>
      <c r="BQ1282" s="128"/>
      <c r="BR1282" s="128"/>
      <c r="BS1282" s="128"/>
      <c r="BT1282" s="128"/>
      <c r="BU1282" s="128"/>
      <c r="BV1282" s="128"/>
      <c r="BW1282" s="128"/>
      <c r="BX1282" s="128"/>
      <c r="BY1282" s="128"/>
      <c r="BZ1282" s="128"/>
      <c r="CA1282" s="128"/>
      <c r="CB1282" s="128"/>
      <c r="CC1282" s="128"/>
      <c r="CD1282" s="128"/>
      <c r="CE1282" s="128"/>
      <c r="CF1282" s="128"/>
      <c r="CG1282" s="128"/>
      <c r="CH1282" s="128"/>
      <c r="CI1282" s="128"/>
      <c r="CJ1282" s="128"/>
      <c r="CK1282" s="128"/>
      <c r="CL1282" s="128"/>
      <c r="CM1282" s="128"/>
      <c r="CN1282" s="128"/>
      <c r="CO1282" s="128"/>
      <c r="CP1282" s="128"/>
      <c r="CQ1282" s="128"/>
      <c r="CR1282" s="128"/>
      <c r="CS1282" s="128"/>
      <c r="CT1282" s="128"/>
      <c r="CU1282" s="128"/>
      <c r="CV1282" s="128"/>
      <c r="CW1282" s="128"/>
      <c r="CX1282" s="128"/>
      <c r="CY1282" s="128"/>
      <c r="CZ1282" s="128"/>
    </row>
    <row r="1283" spans="1:104">
      <c r="A1283" s="128"/>
      <c r="B1283" s="128"/>
      <c r="C1283" s="128"/>
      <c r="D1283" s="112"/>
      <c r="E1283" s="128"/>
      <c r="F1283" s="128"/>
      <c r="G1283" s="128"/>
      <c r="H1283" s="128"/>
      <c r="I1283" s="128"/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  <c r="AV1283" s="128"/>
      <c r="AW1283" s="128"/>
      <c r="AX1283" s="128"/>
      <c r="AY1283" s="128"/>
      <c r="AZ1283" s="128"/>
      <c r="BA1283" s="128"/>
      <c r="BB1283" s="128"/>
      <c r="BC1283" s="128"/>
      <c r="BD1283" s="128"/>
      <c r="BE1283" s="128"/>
      <c r="BF1283" s="128"/>
      <c r="BG1283" s="128"/>
      <c r="BH1283" s="128"/>
      <c r="BI1283" s="128"/>
      <c r="BJ1283" s="128"/>
      <c r="BK1283" s="128"/>
      <c r="BL1283" s="128"/>
      <c r="BM1283" s="151"/>
      <c r="BN1283" s="128"/>
      <c r="BO1283" s="128"/>
      <c r="BP1283" s="128"/>
      <c r="BQ1283" s="128"/>
      <c r="BR1283" s="128"/>
      <c r="BS1283" s="128"/>
      <c r="BT1283" s="128"/>
      <c r="BU1283" s="128"/>
      <c r="BV1283" s="128"/>
      <c r="BW1283" s="128"/>
      <c r="BX1283" s="128"/>
      <c r="BY1283" s="128"/>
      <c r="BZ1283" s="128"/>
      <c r="CA1283" s="128"/>
      <c r="CB1283" s="128"/>
      <c r="CC1283" s="128"/>
      <c r="CD1283" s="128"/>
      <c r="CE1283" s="128"/>
      <c r="CF1283" s="128"/>
      <c r="CG1283" s="128"/>
      <c r="CH1283" s="128"/>
      <c r="CI1283" s="128"/>
      <c r="CJ1283" s="128"/>
      <c r="CK1283" s="128"/>
      <c r="CL1283" s="128"/>
      <c r="CM1283" s="128"/>
      <c r="CN1283" s="128"/>
      <c r="CO1283" s="128"/>
      <c r="CP1283" s="128"/>
      <c r="CQ1283" s="128"/>
      <c r="CR1283" s="128"/>
      <c r="CS1283" s="128"/>
      <c r="CT1283" s="128"/>
      <c r="CU1283" s="128"/>
      <c r="CV1283" s="128"/>
      <c r="CW1283" s="128"/>
      <c r="CX1283" s="128"/>
      <c r="CY1283" s="128"/>
      <c r="CZ1283" s="128"/>
    </row>
    <row r="1284" spans="1:104">
      <c r="A1284" s="128"/>
      <c r="B1284" s="128"/>
      <c r="C1284" s="128"/>
      <c r="D1284" s="112"/>
      <c r="E1284" s="128"/>
      <c r="F1284" s="128"/>
      <c r="G1284" s="128"/>
      <c r="H1284" s="128"/>
      <c r="I1284" s="128"/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  <c r="AV1284" s="128"/>
      <c r="AW1284" s="128"/>
      <c r="AX1284" s="128"/>
      <c r="AY1284" s="128"/>
      <c r="AZ1284" s="128"/>
      <c r="BA1284" s="128"/>
      <c r="BB1284" s="128"/>
      <c r="BC1284" s="128"/>
      <c r="BD1284" s="128"/>
      <c r="BE1284" s="128"/>
      <c r="BF1284" s="128"/>
      <c r="BG1284" s="128"/>
      <c r="BH1284" s="128"/>
      <c r="BI1284" s="128"/>
      <c r="BJ1284" s="128"/>
      <c r="BK1284" s="128"/>
      <c r="BL1284" s="128"/>
      <c r="BM1284" s="151"/>
      <c r="BN1284" s="128"/>
      <c r="BO1284" s="128"/>
      <c r="BP1284" s="128"/>
      <c r="BQ1284" s="128"/>
      <c r="BR1284" s="128"/>
      <c r="BS1284" s="128"/>
      <c r="BT1284" s="128"/>
      <c r="BU1284" s="128"/>
      <c r="BV1284" s="128"/>
      <c r="BW1284" s="128"/>
      <c r="BX1284" s="128"/>
      <c r="BY1284" s="128"/>
      <c r="BZ1284" s="128"/>
      <c r="CA1284" s="128"/>
      <c r="CB1284" s="128"/>
      <c r="CC1284" s="128"/>
      <c r="CD1284" s="128"/>
      <c r="CE1284" s="128"/>
      <c r="CF1284" s="128"/>
      <c r="CG1284" s="128"/>
      <c r="CH1284" s="128"/>
      <c r="CI1284" s="128"/>
      <c r="CJ1284" s="128"/>
      <c r="CK1284" s="128"/>
      <c r="CL1284" s="128"/>
      <c r="CM1284" s="128"/>
      <c r="CN1284" s="128"/>
      <c r="CO1284" s="128"/>
      <c r="CP1284" s="128"/>
      <c r="CQ1284" s="128"/>
      <c r="CR1284" s="128"/>
      <c r="CS1284" s="128"/>
      <c r="CT1284" s="128"/>
      <c r="CU1284" s="128"/>
      <c r="CV1284" s="128"/>
      <c r="CW1284" s="128"/>
      <c r="CX1284" s="128"/>
      <c r="CY1284" s="128"/>
      <c r="CZ1284" s="128"/>
    </row>
    <row r="1285" spans="1:104">
      <c r="A1285" s="128"/>
      <c r="B1285" s="128"/>
      <c r="C1285" s="128"/>
      <c r="D1285" s="112"/>
      <c r="E1285" s="128"/>
      <c r="F1285" s="128"/>
      <c r="G1285" s="128"/>
      <c r="H1285" s="128"/>
      <c r="I1285" s="128"/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  <c r="AV1285" s="128"/>
      <c r="AW1285" s="128"/>
      <c r="AX1285" s="128"/>
      <c r="AY1285" s="128"/>
      <c r="AZ1285" s="128"/>
      <c r="BA1285" s="128"/>
      <c r="BB1285" s="128"/>
      <c r="BC1285" s="128"/>
      <c r="BD1285" s="128"/>
      <c r="BE1285" s="128"/>
      <c r="BF1285" s="128"/>
      <c r="BG1285" s="128"/>
      <c r="BH1285" s="128"/>
      <c r="BI1285" s="128"/>
      <c r="BJ1285" s="128"/>
      <c r="BK1285" s="128"/>
      <c r="BL1285" s="128"/>
      <c r="BM1285" s="151"/>
      <c r="BN1285" s="128"/>
      <c r="BO1285" s="128"/>
      <c r="BP1285" s="128"/>
      <c r="BQ1285" s="128"/>
      <c r="BR1285" s="128"/>
      <c r="BS1285" s="128"/>
      <c r="BT1285" s="128"/>
      <c r="BU1285" s="128"/>
      <c r="BV1285" s="128"/>
      <c r="BW1285" s="128"/>
      <c r="BX1285" s="128"/>
      <c r="BY1285" s="128"/>
      <c r="BZ1285" s="128"/>
      <c r="CA1285" s="128"/>
      <c r="CB1285" s="128"/>
      <c r="CC1285" s="128"/>
      <c r="CD1285" s="128"/>
      <c r="CE1285" s="128"/>
      <c r="CF1285" s="128"/>
      <c r="CG1285" s="128"/>
      <c r="CH1285" s="128"/>
      <c r="CI1285" s="128"/>
      <c r="CJ1285" s="128"/>
      <c r="CK1285" s="128"/>
      <c r="CL1285" s="128"/>
      <c r="CM1285" s="128"/>
      <c r="CN1285" s="128"/>
      <c r="CO1285" s="128"/>
      <c r="CP1285" s="128"/>
      <c r="CQ1285" s="128"/>
      <c r="CR1285" s="128"/>
      <c r="CS1285" s="128"/>
      <c r="CT1285" s="128"/>
      <c r="CU1285" s="128"/>
      <c r="CV1285" s="128"/>
      <c r="CW1285" s="128"/>
      <c r="CX1285" s="128"/>
      <c r="CY1285" s="128"/>
      <c r="CZ1285" s="128"/>
    </row>
    <row r="1286" spans="1:104">
      <c r="A1286" s="128"/>
      <c r="B1286" s="128"/>
      <c r="C1286" s="128"/>
      <c r="D1286" s="112"/>
      <c r="E1286" s="128"/>
      <c r="F1286" s="128"/>
      <c r="G1286" s="128"/>
      <c r="H1286" s="128"/>
      <c r="I1286" s="128"/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  <c r="AV1286" s="128"/>
      <c r="AW1286" s="128"/>
      <c r="AX1286" s="128"/>
      <c r="AY1286" s="128"/>
      <c r="AZ1286" s="128"/>
      <c r="BA1286" s="128"/>
      <c r="BB1286" s="128"/>
      <c r="BC1286" s="128"/>
      <c r="BD1286" s="128"/>
      <c r="BE1286" s="128"/>
      <c r="BF1286" s="128"/>
      <c r="BG1286" s="128"/>
      <c r="BH1286" s="128"/>
      <c r="BI1286" s="128"/>
      <c r="BJ1286" s="128"/>
      <c r="BK1286" s="128"/>
      <c r="BL1286" s="128"/>
      <c r="BM1286" s="151"/>
      <c r="BN1286" s="128"/>
      <c r="BO1286" s="128"/>
      <c r="BP1286" s="128"/>
      <c r="BQ1286" s="128"/>
      <c r="BR1286" s="128"/>
      <c r="BS1286" s="128"/>
      <c r="BT1286" s="128"/>
      <c r="BU1286" s="128"/>
      <c r="BV1286" s="128"/>
      <c r="BW1286" s="128"/>
      <c r="BX1286" s="128"/>
      <c r="BY1286" s="128"/>
      <c r="BZ1286" s="128"/>
      <c r="CA1286" s="128"/>
      <c r="CB1286" s="128"/>
      <c r="CC1286" s="128"/>
      <c r="CD1286" s="128"/>
      <c r="CE1286" s="128"/>
      <c r="CF1286" s="128"/>
      <c r="CG1286" s="128"/>
      <c r="CH1286" s="128"/>
      <c r="CI1286" s="128"/>
      <c r="CJ1286" s="128"/>
      <c r="CK1286" s="128"/>
      <c r="CL1286" s="128"/>
      <c r="CM1286" s="128"/>
      <c r="CN1286" s="128"/>
      <c r="CO1286" s="128"/>
      <c r="CP1286" s="128"/>
      <c r="CQ1286" s="128"/>
      <c r="CR1286" s="128"/>
      <c r="CS1286" s="128"/>
      <c r="CT1286" s="128"/>
      <c r="CU1286" s="128"/>
      <c r="CV1286" s="128"/>
      <c r="CW1286" s="128"/>
      <c r="CX1286" s="128"/>
      <c r="CY1286" s="128"/>
      <c r="CZ1286" s="128"/>
    </row>
    <row r="1287" spans="1:104">
      <c r="A1287" s="128"/>
      <c r="B1287" s="128"/>
      <c r="C1287" s="128"/>
      <c r="D1287" s="112"/>
      <c r="E1287" s="128"/>
      <c r="F1287" s="128"/>
      <c r="G1287" s="128"/>
      <c r="H1287" s="128"/>
      <c r="I1287" s="128"/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  <c r="AV1287" s="128"/>
      <c r="AW1287" s="128"/>
      <c r="AX1287" s="128"/>
      <c r="AY1287" s="128"/>
      <c r="AZ1287" s="128"/>
      <c r="BA1287" s="128"/>
      <c r="BB1287" s="128"/>
      <c r="BC1287" s="128"/>
      <c r="BD1287" s="128"/>
      <c r="BE1287" s="128"/>
      <c r="BF1287" s="128"/>
      <c r="BG1287" s="128"/>
      <c r="BH1287" s="128"/>
      <c r="BI1287" s="128"/>
      <c r="BJ1287" s="128"/>
      <c r="BK1287" s="128"/>
      <c r="BL1287" s="128"/>
      <c r="BM1287" s="151"/>
      <c r="BN1287" s="128"/>
      <c r="BO1287" s="128"/>
      <c r="BP1287" s="128"/>
      <c r="BQ1287" s="128"/>
      <c r="BR1287" s="128"/>
      <c r="BS1287" s="128"/>
      <c r="BT1287" s="128"/>
      <c r="BU1287" s="128"/>
      <c r="BV1287" s="128"/>
      <c r="BW1287" s="128"/>
      <c r="BX1287" s="128"/>
      <c r="BY1287" s="128"/>
      <c r="BZ1287" s="128"/>
      <c r="CA1287" s="128"/>
      <c r="CB1287" s="128"/>
      <c r="CC1287" s="128"/>
      <c r="CD1287" s="128"/>
      <c r="CE1287" s="128"/>
      <c r="CF1287" s="128"/>
      <c r="CG1287" s="128"/>
      <c r="CH1287" s="128"/>
      <c r="CI1287" s="128"/>
      <c r="CJ1287" s="128"/>
      <c r="CK1287" s="128"/>
      <c r="CL1287" s="128"/>
      <c r="CM1287" s="128"/>
      <c r="CN1287" s="128"/>
      <c r="CO1287" s="128"/>
      <c r="CP1287" s="128"/>
      <c r="CQ1287" s="128"/>
      <c r="CR1287" s="128"/>
      <c r="CS1287" s="128"/>
      <c r="CT1287" s="128"/>
      <c r="CU1287" s="128"/>
      <c r="CV1287" s="128"/>
      <c r="CW1287" s="128"/>
      <c r="CX1287" s="128"/>
      <c r="CY1287" s="128"/>
      <c r="CZ1287" s="128"/>
    </row>
    <row r="1288" spans="1:104">
      <c r="A1288" s="128"/>
      <c r="B1288" s="128"/>
      <c r="C1288" s="128"/>
      <c r="D1288" s="112"/>
      <c r="E1288" s="128"/>
      <c r="F1288" s="128"/>
      <c r="G1288" s="128"/>
      <c r="H1288" s="128"/>
      <c r="I1288" s="128"/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  <c r="AV1288" s="128"/>
      <c r="AW1288" s="128"/>
      <c r="AX1288" s="128"/>
      <c r="AY1288" s="128"/>
      <c r="AZ1288" s="128"/>
      <c r="BA1288" s="128"/>
      <c r="BB1288" s="128"/>
      <c r="BC1288" s="128"/>
      <c r="BD1288" s="128"/>
      <c r="BE1288" s="128"/>
      <c r="BF1288" s="128"/>
      <c r="BG1288" s="128"/>
      <c r="BH1288" s="128"/>
      <c r="BI1288" s="128"/>
      <c r="BJ1288" s="128"/>
      <c r="BK1288" s="128"/>
      <c r="BL1288" s="128"/>
      <c r="BM1288" s="151"/>
      <c r="BN1288" s="128"/>
      <c r="BO1288" s="128"/>
      <c r="BP1288" s="128"/>
      <c r="BQ1288" s="128"/>
      <c r="BR1288" s="128"/>
      <c r="BS1288" s="128"/>
      <c r="BT1288" s="128"/>
      <c r="BU1288" s="128"/>
      <c r="BV1288" s="128"/>
      <c r="BW1288" s="128"/>
      <c r="BX1288" s="128"/>
      <c r="BY1288" s="128"/>
      <c r="BZ1288" s="128"/>
      <c r="CA1288" s="128"/>
      <c r="CB1288" s="128"/>
      <c r="CC1288" s="128"/>
      <c r="CD1288" s="128"/>
      <c r="CE1288" s="128"/>
      <c r="CF1288" s="128"/>
      <c r="CG1288" s="128"/>
      <c r="CH1288" s="128"/>
      <c r="CI1288" s="128"/>
      <c r="CJ1288" s="128"/>
      <c r="CK1288" s="128"/>
      <c r="CL1288" s="128"/>
      <c r="CM1288" s="128"/>
      <c r="CN1288" s="128"/>
      <c r="CO1288" s="128"/>
      <c r="CP1288" s="128"/>
      <c r="CQ1288" s="128"/>
      <c r="CR1288" s="128"/>
      <c r="CS1288" s="128"/>
      <c r="CT1288" s="128"/>
      <c r="CU1288" s="128"/>
      <c r="CV1288" s="128"/>
      <c r="CW1288" s="128"/>
      <c r="CX1288" s="128"/>
      <c r="CY1288" s="128"/>
      <c r="CZ1288" s="128"/>
    </row>
    <row r="1289" spans="1:104">
      <c r="A1289" s="128"/>
      <c r="B1289" s="128"/>
      <c r="C1289" s="128"/>
      <c r="D1289" s="112"/>
      <c r="E1289" s="128"/>
      <c r="F1289" s="128"/>
      <c r="G1289" s="128"/>
      <c r="H1289" s="128"/>
      <c r="I1289" s="128"/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  <c r="AV1289" s="128"/>
      <c r="AW1289" s="128"/>
      <c r="AX1289" s="128"/>
      <c r="AY1289" s="128"/>
      <c r="AZ1289" s="128"/>
      <c r="BA1289" s="128"/>
      <c r="BB1289" s="128"/>
      <c r="BC1289" s="128"/>
      <c r="BD1289" s="128"/>
      <c r="BE1289" s="128"/>
      <c r="BF1289" s="128"/>
      <c r="BG1289" s="128"/>
      <c r="BH1289" s="128"/>
      <c r="BI1289" s="128"/>
      <c r="BJ1289" s="128"/>
      <c r="BK1289" s="128"/>
      <c r="BL1289" s="128"/>
      <c r="BM1289" s="151"/>
      <c r="BN1289" s="128"/>
      <c r="BO1289" s="128"/>
      <c r="BP1289" s="128"/>
      <c r="BQ1289" s="128"/>
      <c r="BR1289" s="128"/>
      <c r="BS1289" s="128"/>
      <c r="BT1289" s="128"/>
      <c r="BU1289" s="128"/>
      <c r="BV1289" s="128"/>
      <c r="BW1289" s="128"/>
      <c r="BX1289" s="128"/>
      <c r="BY1289" s="128"/>
      <c r="BZ1289" s="128"/>
      <c r="CA1289" s="128"/>
      <c r="CB1289" s="128"/>
      <c r="CC1289" s="128"/>
      <c r="CD1289" s="128"/>
      <c r="CE1289" s="128"/>
      <c r="CF1289" s="128"/>
      <c r="CG1289" s="128"/>
      <c r="CH1289" s="128"/>
      <c r="CI1289" s="128"/>
      <c r="CJ1289" s="128"/>
      <c r="CK1289" s="128"/>
      <c r="CL1289" s="128"/>
      <c r="CM1289" s="128"/>
      <c r="CN1289" s="128"/>
      <c r="CO1289" s="128"/>
      <c r="CP1289" s="128"/>
      <c r="CQ1289" s="128"/>
      <c r="CR1289" s="128"/>
      <c r="CS1289" s="128"/>
      <c r="CT1289" s="128"/>
      <c r="CU1289" s="128"/>
      <c r="CV1289" s="128"/>
      <c r="CW1289" s="128"/>
      <c r="CX1289" s="128"/>
      <c r="CY1289" s="128"/>
      <c r="CZ1289" s="128"/>
    </row>
    <row r="1290" spans="1:104">
      <c r="A1290" s="128"/>
      <c r="B1290" s="128"/>
      <c r="C1290" s="128"/>
      <c r="D1290" s="112"/>
      <c r="E1290" s="128"/>
      <c r="F1290" s="128"/>
      <c r="G1290" s="128"/>
      <c r="H1290" s="128"/>
      <c r="I1290" s="128"/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  <c r="AV1290" s="128"/>
      <c r="AW1290" s="128"/>
      <c r="AX1290" s="128"/>
      <c r="AY1290" s="128"/>
      <c r="AZ1290" s="128"/>
      <c r="BA1290" s="128"/>
      <c r="BB1290" s="128"/>
      <c r="BC1290" s="128"/>
      <c r="BD1290" s="128"/>
      <c r="BE1290" s="128"/>
      <c r="BF1290" s="128"/>
      <c r="BG1290" s="128"/>
      <c r="BH1290" s="128"/>
      <c r="BI1290" s="128"/>
      <c r="BJ1290" s="128"/>
      <c r="BK1290" s="128"/>
      <c r="BL1290" s="128"/>
      <c r="BM1290" s="151"/>
      <c r="BN1290" s="128"/>
      <c r="BO1290" s="128"/>
      <c r="BP1290" s="128"/>
      <c r="BQ1290" s="128"/>
      <c r="BR1290" s="128"/>
      <c r="BS1290" s="128"/>
      <c r="BT1290" s="128"/>
      <c r="BU1290" s="128"/>
      <c r="BV1290" s="128"/>
      <c r="BW1290" s="128"/>
      <c r="BX1290" s="128"/>
      <c r="BY1290" s="128"/>
      <c r="BZ1290" s="128"/>
      <c r="CA1290" s="128"/>
      <c r="CB1290" s="128"/>
      <c r="CC1290" s="128"/>
      <c r="CD1290" s="128"/>
      <c r="CE1290" s="128"/>
      <c r="CF1290" s="128"/>
      <c r="CG1290" s="128"/>
      <c r="CH1290" s="128"/>
      <c r="CI1290" s="128"/>
      <c r="CJ1290" s="128"/>
      <c r="CK1290" s="128"/>
      <c r="CL1290" s="128"/>
      <c r="CM1290" s="128"/>
      <c r="CN1290" s="128"/>
      <c r="CO1290" s="128"/>
      <c r="CP1290" s="128"/>
      <c r="CQ1290" s="128"/>
      <c r="CR1290" s="128"/>
      <c r="CS1290" s="128"/>
      <c r="CT1290" s="128"/>
      <c r="CU1290" s="128"/>
      <c r="CV1290" s="128"/>
      <c r="CW1290" s="128"/>
      <c r="CX1290" s="128"/>
      <c r="CY1290" s="128"/>
      <c r="CZ1290" s="128"/>
    </row>
    <row r="1291" spans="1:104">
      <c r="A1291" s="128"/>
      <c r="B1291" s="128"/>
      <c r="C1291" s="128"/>
      <c r="D1291" s="112"/>
      <c r="E1291" s="128"/>
      <c r="F1291" s="128"/>
      <c r="G1291" s="128"/>
      <c r="H1291" s="128"/>
      <c r="I1291" s="128"/>
      <c r="J1291" s="128"/>
      <c r="K1291" s="128"/>
      <c r="L1291" s="128"/>
      <c r="M1291" s="128"/>
      <c r="N1291" s="128"/>
      <c r="O1291" s="128"/>
      <c r="P1291" s="128"/>
      <c r="Q1291" s="128"/>
      <c r="R1291" s="128"/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  <c r="AV1291" s="128"/>
      <c r="AW1291" s="128"/>
      <c r="AX1291" s="128"/>
      <c r="AY1291" s="128"/>
      <c r="AZ1291" s="128"/>
      <c r="BA1291" s="128"/>
      <c r="BB1291" s="128"/>
      <c r="BC1291" s="128"/>
      <c r="BD1291" s="128"/>
      <c r="BE1291" s="128"/>
      <c r="BF1291" s="128"/>
      <c r="BG1291" s="128"/>
      <c r="BH1291" s="128"/>
      <c r="BI1291" s="128"/>
      <c r="BJ1291" s="128"/>
      <c r="BK1291" s="128"/>
      <c r="BL1291" s="128"/>
      <c r="BM1291" s="151"/>
      <c r="BN1291" s="128"/>
      <c r="BO1291" s="128"/>
      <c r="BP1291" s="128"/>
      <c r="BQ1291" s="128"/>
      <c r="BR1291" s="128"/>
      <c r="BS1291" s="128"/>
      <c r="BT1291" s="128"/>
      <c r="BU1291" s="128"/>
      <c r="BV1291" s="128"/>
      <c r="BW1291" s="128"/>
      <c r="BX1291" s="128"/>
      <c r="BY1291" s="128"/>
      <c r="BZ1291" s="128"/>
      <c r="CA1291" s="128"/>
      <c r="CB1291" s="128"/>
      <c r="CC1291" s="128"/>
      <c r="CD1291" s="128"/>
      <c r="CE1291" s="128"/>
      <c r="CF1291" s="128"/>
      <c r="CG1291" s="128"/>
      <c r="CH1291" s="128"/>
      <c r="CI1291" s="128"/>
      <c r="CJ1291" s="128"/>
      <c r="CK1291" s="128"/>
      <c r="CL1291" s="128"/>
      <c r="CM1291" s="128"/>
      <c r="CN1291" s="128"/>
      <c r="CO1291" s="128"/>
      <c r="CP1291" s="128"/>
      <c r="CQ1291" s="128"/>
      <c r="CR1291" s="128"/>
      <c r="CS1291" s="128"/>
      <c r="CT1291" s="128"/>
      <c r="CU1291" s="128"/>
      <c r="CV1291" s="128"/>
      <c r="CW1291" s="128"/>
      <c r="CX1291" s="128"/>
      <c r="CY1291" s="128"/>
      <c r="CZ1291" s="128"/>
    </row>
    <row r="1292" spans="1:104">
      <c r="A1292" s="128"/>
      <c r="B1292" s="128"/>
      <c r="C1292" s="128"/>
      <c r="D1292" s="112"/>
      <c r="E1292" s="128"/>
      <c r="F1292" s="128"/>
      <c r="G1292" s="128"/>
      <c r="H1292" s="128"/>
      <c r="I1292" s="128"/>
      <c r="J1292" s="128"/>
      <c r="K1292" s="128"/>
      <c r="L1292" s="128"/>
      <c r="M1292" s="128"/>
      <c r="N1292" s="128"/>
      <c r="O1292" s="128"/>
      <c r="P1292" s="128"/>
      <c r="Q1292" s="128"/>
      <c r="R1292" s="128"/>
      <c r="S1292" s="128"/>
      <c r="T1292" s="128"/>
      <c r="U1292" s="128"/>
      <c r="V1292" s="128"/>
      <c r="W1292" s="128"/>
      <c r="X1292" s="128"/>
      <c r="Y1292" s="128"/>
      <c r="Z1292" s="128"/>
      <c r="AA1292" s="128"/>
      <c r="AB1292" s="128"/>
      <c r="AC1292" s="128"/>
      <c r="AD1292" s="128"/>
      <c r="AE1292" s="128"/>
      <c r="AF1292" s="128"/>
      <c r="AG1292" s="128"/>
      <c r="AH1292" s="128"/>
      <c r="AI1292" s="128"/>
      <c r="AJ1292" s="128"/>
      <c r="AK1292" s="128"/>
      <c r="AL1292" s="128"/>
      <c r="AM1292" s="128"/>
      <c r="AN1292" s="128"/>
      <c r="AO1292" s="128"/>
      <c r="AP1292" s="128"/>
      <c r="AQ1292" s="128"/>
      <c r="AR1292" s="128"/>
      <c r="AS1292" s="128"/>
      <c r="AT1292" s="128"/>
      <c r="AU1292" s="128"/>
      <c r="AV1292" s="128"/>
      <c r="AW1292" s="128"/>
      <c r="AX1292" s="128"/>
      <c r="AY1292" s="128"/>
      <c r="AZ1292" s="128"/>
      <c r="BA1292" s="128"/>
      <c r="BB1292" s="128"/>
      <c r="BC1292" s="128"/>
      <c r="BD1292" s="128"/>
      <c r="BE1292" s="128"/>
      <c r="BF1292" s="128"/>
      <c r="BG1292" s="128"/>
      <c r="BH1292" s="128"/>
      <c r="BI1292" s="128"/>
      <c r="BJ1292" s="128"/>
      <c r="BK1292" s="128"/>
      <c r="BL1292" s="128"/>
      <c r="BM1292" s="151"/>
      <c r="BN1292" s="128"/>
      <c r="BO1292" s="128"/>
      <c r="BP1292" s="128"/>
      <c r="BQ1292" s="128"/>
      <c r="BR1292" s="128"/>
      <c r="BS1292" s="128"/>
      <c r="BT1292" s="128"/>
      <c r="BU1292" s="128"/>
      <c r="BV1292" s="128"/>
      <c r="BW1292" s="128"/>
      <c r="BX1292" s="128"/>
      <c r="BY1292" s="128"/>
      <c r="BZ1292" s="128"/>
      <c r="CA1292" s="128"/>
      <c r="CB1292" s="128"/>
      <c r="CC1292" s="128"/>
      <c r="CD1292" s="128"/>
      <c r="CE1292" s="128"/>
      <c r="CF1292" s="128"/>
      <c r="CG1292" s="128"/>
      <c r="CH1292" s="128"/>
      <c r="CI1292" s="128"/>
      <c r="CJ1292" s="128"/>
      <c r="CK1292" s="128"/>
      <c r="CL1292" s="128"/>
      <c r="CM1292" s="128"/>
      <c r="CN1292" s="128"/>
      <c r="CO1292" s="128"/>
      <c r="CP1292" s="128"/>
      <c r="CQ1292" s="128"/>
      <c r="CR1292" s="128"/>
      <c r="CS1292" s="128"/>
      <c r="CT1292" s="128"/>
      <c r="CU1292" s="128"/>
      <c r="CV1292" s="128"/>
      <c r="CW1292" s="128"/>
      <c r="CX1292" s="128"/>
      <c r="CY1292" s="128"/>
      <c r="CZ1292" s="128"/>
    </row>
    <row r="1293" spans="1:104">
      <c r="A1293" s="128"/>
      <c r="B1293" s="128"/>
      <c r="C1293" s="128"/>
      <c r="D1293" s="112"/>
      <c r="E1293" s="128"/>
      <c r="F1293" s="128"/>
      <c r="G1293" s="128"/>
      <c r="H1293" s="128"/>
      <c r="I1293" s="128"/>
      <c r="J1293" s="128"/>
      <c r="K1293" s="128"/>
      <c r="L1293" s="128"/>
      <c r="M1293" s="128"/>
      <c r="N1293" s="128"/>
      <c r="O1293" s="128"/>
      <c r="P1293" s="128"/>
      <c r="Q1293" s="128"/>
      <c r="R1293" s="128"/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  <c r="AV1293" s="128"/>
      <c r="AW1293" s="128"/>
      <c r="AX1293" s="128"/>
      <c r="AY1293" s="128"/>
      <c r="AZ1293" s="128"/>
      <c r="BA1293" s="128"/>
      <c r="BB1293" s="128"/>
      <c r="BC1293" s="128"/>
      <c r="BD1293" s="128"/>
      <c r="BE1293" s="128"/>
      <c r="BF1293" s="128"/>
      <c r="BG1293" s="128"/>
      <c r="BH1293" s="128"/>
      <c r="BI1293" s="128"/>
      <c r="BJ1293" s="128"/>
      <c r="BK1293" s="128"/>
      <c r="BL1293" s="128"/>
      <c r="BM1293" s="151"/>
      <c r="BN1293" s="128"/>
      <c r="BO1293" s="128"/>
      <c r="BP1293" s="128"/>
      <c r="BQ1293" s="128"/>
      <c r="BR1293" s="128"/>
      <c r="BS1293" s="128"/>
      <c r="BT1293" s="128"/>
      <c r="BU1293" s="128"/>
      <c r="BV1293" s="128"/>
      <c r="BW1293" s="128"/>
      <c r="BX1293" s="128"/>
      <c r="BY1293" s="128"/>
      <c r="BZ1293" s="128"/>
      <c r="CA1293" s="128"/>
      <c r="CB1293" s="128"/>
      <c r="CC1293" s="128"/>
      <c r="CD1293" s="128"/>
      <c r="CE1293" s="128"/>
      <c r="CF1293" s="128"/>
      <c r="CG1293" s="128"/>
      <c r="CH1293" s="128"/>
      <c r="CI1293" s="128"/>
      <c r="CJ1293" s="128"/>
      <c r="CK1293" s="128"/>
      <c r="CL1293" s="128"/>
      <c r="CM1293" s="128"/>
      <c r="CN1293" s="128"/>
      <c r="CO1293" s="128"/>
      <c r="CP1293" s="128"/>
      <c r="CQ1293" s="128"/>
      <c r="CR1293" s="128"/>
      <c r="CS1293" s="128"/>
      <c r="CT1293" s="128"/>
      <c r="CU1293" s="128"/>
      <c r="CV1293" s="128"/>
      <c r="CW1293" s="128"/>
      <c r="CX1293" s="128"/>
      <c r="CY1293" s="128"/>
      <c r="CZ1293" s="128"/>
    </row>
    <row r="1294" spans="1:104">
      <c r="A1294" s="128"/>
      <c r="B1294" s="128"/>
      <c r="C1294" s="128"/>
      <c r="D1294" s="112"/>
      <c r="E1294" s="128"/>
      <c r="F1294" s="128"/>
      <c r="G1294" s="128"/>
      <c r="H1294" s="128"/>
      <c r="I1294" s="128"/>
      <c r="J1294" s="128"/>
      <c r="K1294" s="128"/>
      <c r="L1294" s="128"/>
      <c r="M1294" s="128"/>
      <c r="N1294" s="128"/>
      <c r="O1294" s="128"/>
      <c r="P1294" s="128"/>
      <c r="Q1294" s="128"/>
      <c r="R1294" s="128"/>
      <c r="S1294" s="128"/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  <c r="AV1294" s="128"/>
      <c r="AW1294" s="128"/>
      <c r="AX1294" s="128"/>
      <c r="AY1294" s="128"/>
      <c r="AZ1294" s="128"/>
      <c r="BA1294" s="128"/>
      <c r="BB1294" s="128"/>
      <c r="BC1294" s="128"/>
      <c r="BD1294" s="128"/>
      <c r="BE1294" s="128"/>
      <c r="BF1294" s="128"/>
      <c r="BG1294" s="128"/>
      <c r="BH1294" s="128"/>
      <c r="BI1294" s="128"/>
      <c r="BJ1294" s="128"/>
      <c r="BK1294" s="128"/>
      <c r="BL1294" s="128"/>
      <c r="BM1294" s="151"/>
      <c r="BN1294" s="128"/>
      <c r="BO1294" s="128"/>
      <c r="BP1294" s="128"/>
      <c r="BQ1294" s="128"/>
      <c r="BR1294" s="128"/>
      <c r="BS1294" s="128"/>
      <c r="BT1294" s="128"/>
      <c r="BU1294" s="128"/>
      <c r="BV1294" s="128"/>
      <c r="BW1294" s="128"/>
      <c r="BX1294" s="128"/>
      <c r="BY1294" s="128"/>
      <c r="BZ1294" s="128"/>
      <c r="CA1294" s="128"/>
      <c r="CB1294" s="128"/>
      <c r="CC1294" s="128"/>
      <c r="CD1294" s="128"/>
      <c r="CE1294" s="128"/>
      <c r="CF1294" s="128"/>
      <c r="CG1294" s="128"/>
      <c r="CH1294" s="128"/>
      <c r="CI1294" s="128"/>
      <c r="CJ1294" s="128"/>
      <c r="CK1294" s="128"/>
      <c r="CL1294" s="128"/>
      <c r="CM1294" s="128"/>
      <c r="CN1294" s="128"/>
      <c r="CO1294" s="128"/>
      <c r="CP1294" s="128"/>
      <c r="CQ1294" s="128"/>
      <c r="CR1294" s="128"/>
      <c r="CS1294" s="128"/>
      <c r="CT1294" s="128"/>
      <c r="CU1294" s="128"/>
      <c r="CV1294" s="128"/>
      <c r="CW1294" s="128"/>
      <c r="CX1294" s="128"/>
      <c r="CY1294" s="128"/>
      <c r="CZ1294" s="128"/>
    </row>
    <row r="1295" spans="1:104">
      <c r="A1295" s="128"/>
      <c r="B1295" s="128"/>
      <c r="C1295" s="128"/>
      <c r="D1295" s="112"/>
      <c r="E1295" s="128"/>
      <c r="F1295" s="128"/>
      <c r="G1295" s="128"/>
      <c r="H1295" s="128"/>
      <c r="I1295" s="128"/>
      <c r="J1295" s="128"/>
      <c r="K1295" s="128"/>
      <c r="L1295" s="128"/>
      <c r="M1295" s="128"/>
      <c r="N1295" s="128"/>
      <c r="O1295" s="128"/>
      <c r="P1295" s="128"/>
      <c r="Q1295" s="128"/>
      <c r="R1295" s="128"/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  <c r="AV1295" s="128"/>
      <c r="AW1295" s="128"/>
      <c r="AX1295" s="128"/>
      <c r="AY1295" s="128"/>
      <c r="AZ1295" s="128"/>
      <c r="BA1295" s="128"/>
      <c r="BB1295" s="128"/>
      <c r="BC1295" s="128"/>
      <c r="BD1295" s="128"/>
      <c r="BE1295" s="128"/>
      <c r="BF1295" s="128"/>
      <c r="BG1295" s="128"/>
      <c r="BH1295" s="128"/>
      <c r="BI1295" s="128"/>
      <c r="BJ1295" s="128"/>
      <c r="BK1295" s="128"/>
      <c r="BL1295" s="128"/>
      <c r="BM1295" s="151"/>
      <c r="BN1295" s="128"/>
      <c r="BO1295" s="128"/>
      <c r="BP1295" s="128"/>
      <c r="BQ1295" s="128"/>
      <c r="BR1295" s="128"/>
      <c r="BS1295" s="128"/>
      <c r="BT1295" s="128"/>
      <c r="BU1295" s="128"/>
      <c r="BV1295" s="128"/>
      <c r="BW1295" s="128"/>
      <c r="BX1295" s="128"/>
      <c r="BY1295" s="128"/>
      <c r="BZ1295" s="128"/>
      <c r="CA1295" s="128"/>
      <c r="CB1295" s="128"/>
      <c r="CC1295" s="128"/>
      <c r="CD1295" s="128"/>
      <c r="CE1295" s="128"/>
      <c r="CF1295" s="128"/>
      <c r="CG1295" s="128"/>
      <c r="CH1295" s="128"/>
      <c r="CI1295" s="128"/>
      <c r="CJ1295" s="128"/>
      <c r="CK1295" s="128"/>
      <c r="CL1295" s="128"/>
      <c r="CM1295" s="128"/>
      <c r="CN1295" s="128"/>
      <c r="CO1295" s="128"/>
      <c r="CP1295" s="128"/>
      <c r="CQ1295" s="128"/>
      <c r="CR1295" s="128"/>
      <c r="CS1295" s="128"/>
      <c r="CT1295" s="128"/>
      <c r="CU1295" s="128"/>
      <c r="CV1295" s="128"/>
      <c r="CW1295" s="128"/>
      <c r="CX1295" s="128"/>
      <c r="CY1295" s="128"/>
      <c r="CZ1295" s="128"/>
    </row>
    <row r="1296" spans="1:104">
      <c r="A1296" s="128"/>
      <c r="B1296" s="128"/>
      <c r="C1296" s="128"/>
      <c r="D1296" s="112"/>
      <c r="E1296" s="128"/>
      <c r="F1296" s="128"/>
      <c r="G1296" s="128"/>
      <c r="H1296" s="128"/>
      <c r="I1296" s="128"/>
      <c r="J1296" s="128"/>
      <c r="K1296" s="128"/>
      <c r="L1296" s="128"/>
      <c r="M1296" s="128"/>
      <c r="N1296" s="128"/>
      <c r="O1296" s="128"/>
      <c r="P1296" s="128"/>
      <c r="Q1296" s="128"/>
      <c r="R1296" s="128"/>
      <c r="S1296" s="128"/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  <c r="AV1296" s="128"/>
      <c r="AW1296" s="128"/>
      <c r="AX1296" s="128"/>
      <c r="AY1296" s="128"/>
      <c r="AZ1296" s="128"/>
      <c r="BA1296" s="128"/>
      <c r="BB1296" s="128"/>
      <c r="BC1296" s="128"/>
      <c r="BD1296" s="128"/>
      <c r="BE1296" s="128"/>
      <c r="BF1296" s="128"/>
      <c r="BG1296" s="128"/>
      <c r="BH1296" s="128"/>
      <c r="BI1296" s="128"/>
      <c r="BJ1296" s="128"/>
      <c r="BK1296" s="128"/>
      <c r="BL1296" s="128"/>
      <c r="BM1296" s="151"/>
      <c r="BN1296" s="128"/>
      <c r="BO1296" s="128"/>
      <c r="BP1296" s="128"/>
      <c r="BQ1296" s="128"/>
      <c r="BR1296" s="128"/>
      <c r="BS1296" s="128"/>
      <c r="BT1296" s="128"/>
      <c r="BU1296" s="128"/>
      <c r="BV1296" s="128"/>
      <c r="BW1296" s="128"/>
      <c r="BX1296" s="128"/>
      <c r="BY1296" s="128"/>
      <c r="BZ1296" s="128"/>
      <c r="CA1296" s="128"/>
      <c r="CB1296" s="128"/>
      <c r="CC1296" s="128"/>
      <c r="CD1296" s="128"/>
      <c r="CE1296" s="128"/>
      <c r="CF1296" s="128"/>
      <c r="CG1296" s="128"/>
      <c r="CH1296" s="128"/>
      <c r="CI1296" s="128"/>
      <c r="CJ1296" s="128"/>
      <c r="CK1296" s="128"/>
      <c r="CL1296" s="128"/>
      <c r="CM1296" s="128"/>
      <c r="CN1296" s="128"/>
      <c r="CO1296" s="128"/>
      <c r="CP1296" s="128"/>
      <c r="CQ1296" s="128"/>
      <c r="CR1296" s="128"/>
      <c r="CS1296" s="128"/>
      <c r="CT1296" s="128"/>
      <c r="CU1296" s="128"/>
      <c r="CV1296" s="128"/>
      <c r="CW1296" s="128"/>
      <c r="CX1296" s="128"/>
      <c r="CY1296" s="128"/>
      <c r="CZ1296" s="128"/>
    </row>
    <row r="1297" spans="1:104">
      <c r="A1297" s="128"/>
      <c r="B1297" s="128"/>
      <c r="C1297" s="128"/>
      <c r="D1297" s="112"/>
      <c r="E1297" s="128"/>
      <c r="F1297" s="128"/>
      <c r="G1297" s="128"/>
      <c r="H1297" s="128"/>
      <c r="I1297" s="128"/>
      <c r="J1297" s="128"/>
      <c r="K1297" s="128"/>
      <c r="L1297" s="128"/>
      <c r="M1297" s="128"/>
      <c r="N1297" s="128"/>
      <c r="O1297" s="128"/>
      <c r="P1297" s="128"/>
      <c r="Q1297" s="128"/>
      <c r="R1297" s="128"/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  <c r="AV1297" s="128"/>
      <c r="AW1297" s="128"/>
      <c r="AX1297" s="128"/>
      <c r="AY1297" s="128"/>
      <c r="AZ1297" s="128"/>
      <c r="BA1297" s="128"/>
      <c r="BB1297" s="128"/>
      <c r="BC1297" s="128"/>
      <c r="BD1297" s="128"/>
      <c r="BE1297" s="128"/>
      <c r="BF1297" s="128"/>
      <c r="BG1297" s="128"/>
      <c r="BH1297" s="128"/>
      <c r="BI1297" s="128"/>
      <c r="BJ1297" s="128"/>
      <c r="BK1297" s="128"/>
      <c r="BL1297" s="128"/>
      <c r="BM1297" s="151"/>
      <c r="BN1297" s="128"/>
      <c r="BO1297" s="128"/>
      <c r="BP1297" s="128"/>
      <c r="BQ1297" s="128"/>
      <c r="BR1297" s="128"/>
      <c r="BS1297" s="128"/>
      <c r="BT1297" s="128"/>
      <c r="BU1297" s="128"/>
      <c r="BV1297" s="128"/>
      <c r="BW1297" s="128"/>
      <c r="BX1297" s="128"/>
      <c r="BY1297" s="128"/>
      <c r="BZ1297" s="128"/>
      <c r="CA1297" s="128"/>
      <c r="CB1297" s="128"/>
      <c r="CC1297" s="128"/>
      <c r="CD1297" s="128"/>
      <c r="CE1297" s="128"/>
      <c r="CF1297" s="128"/>
      <c r="CG1297" s="128"/>
      <c r="CH1297" s="128"/>
      <c r="CI1297" s="128"/>
      <c r="CJ1297" s="128"/>
      <c r="CK1297" s="128"/>
      <c r="CL1297" s="128"/>
      <c r="CM1297" s="128"/>
      <c r="CN1297" s="128"/>
      <c r="CO1297" s="128"/>
      <c r="CP1297" s="128"/>
      <c r="CQ1297" s="128"/>
      <c r="CR1297" s="128"/>
      <c r="CS1297" s="128"/>
      <c r="CT1297" s="128"/>
      <c r="CU1297" s="128"/>
      <c r="CV1297" s="128"/>
      <c r="CW1297" s="128"/>
      <c r="CX1297" s="128"/>
      <c r="CY1297" s="128"/>
      <c r="CZ1297" s="128"/>
    </row>
    <row r="1298" spans="1:104">
      <c r="A1298" s="128"/>
      <c r="B1298" s="128"/>
      <c r="C1298" s="128"/>
      <c r="D1298" s="112"/>
      <c r="E1298" s="128"/>
      <c r="F1298" s="128"/>
      <c r="G1298" s="128"/>
      <c r="H1298" s="128"/>
      <c r="I1298" s="128"/>
      <c r="J1298" s="128"/>
      <c r="K1298" s="128"/>
      <c r="L1298" s="128"/>
      <c r="M1298" s="128"/>
      <c r="N1298" s="128"/>
      <c r="O1298" s="128"/>
      <c r="P1298" s="128"/>
      <c r="Q1298" s="128"/>
      <c r="R1298" s="128"/>
      <c r="S1298" s="128"/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  <c r="AV1298" s="128"/>
      <c r="AW1298" s="128"/>
      <c r="AX1298" s="128"/>
      <c r="AY1298" s="128"/>
      <c r="AZ1298" s="128"/>
      <c r="BA1298" s="128"/>
      <c r="BB1298" s="128"/>
      <c r="BC1298" s="128"/>
      <c r="BD1298" s="128"/>
      <c r="BE1298" s="128"/>
      <c r="BF1298" s="128"/>
      <c r="BG1298" s="128"/>
      <c r="BH1298" s="128"/>
      <c r="BI1298" s="128"/>
      <c r="BJ1298" s="128"/>
      <c r="BK1298" s="128"/>
      <c r="BL1298" s="128"/>
      <c r="BM1298" s="151"/>
      <c r="BN1298" s="128"/>
      <c r="BO1298" s="128"/>
      <c r="BP1298" s="128"/>
      <c r="BQ1298" s="128"/>
      <c r="BR1298" s="128"/>
      <c r="BS1298" s="128"/>
      <c r="BT1298" s="128"/>
      <c r="BU1298" s="128"/>
      <c r="BV1298" s="128"/>
      <c r="BW1298" s="128"/>
      <c r="BX1298" s="128"/>
      <c r="BY1298" s="128"/>
      <c r="BZ1298" s="128"/>
      <c r="CA1298" s="128"/>
      <c r="CB1298" s="128"/>
      <c r="CC1298" s="128"/>
      <c r="CD1298" s="128"/>
      <c r="CE1298" s="128"/>
      <c r="CF1298" s="128"/>
      <c r="CG1298" s="128"/>
      <c r="CH1298" s="128"/>
      <c r="CI1298" s="128"/>
      <c r="CJ1298" s="128"/>
      <c r="CK1298" s="128"/>
      <c r="CL1298" s="128"/>
      <c r="CM1298" s="128"/>
      <c r="CN1298" s="128"/>
      <c r="CO1298" s="128"/>
      <c r="CP1298" s="128"/>
      <c r="CQ1298" s="128"/>
      <c r="CR1298" s="128"/>
      <c r="CS1298" s="128"/>
      <c r="CT1298" s="128"/>
      <c r="CU1298" s="128"/>
      <c r="CV1298" s="128"/>
      <c r="CW1298" s="128"/>
      <c r="CX1298" s="128"/>
      <c r="CY1298" s="128"/>
      <c r="CZ1298" s="128"/>
    </row>
    <row r="1299" spans="1:104">
      <c r="A1299" s="128"/>
      <c r="B1299" s="128"/>
      <c r="C1299" s="128"/>
      <c r="D1299" s="112"/>
      <c r="E1299" s="128"/>
      <c r="F1299" s="128"/>
      <c r="G1299" s="128"/>
      <c r="H1299" s="128"/>
      <c r="I1299" s="128"/>
      <c r="J1299" s="128"/>
      <c r="K1299" s="128"/>
      <c r="L1299" s="128"/>
      <c r="M1299" s="128"/>
      <c r="N1299" s="128"/>
      <c r="O1299" s="128"/>
      <c r="P1299" s="128"/>
      <c r="Q1299" s="128"/>
      <c r="R1299" s="128"/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  <c r="AV1299" s="128"/>
      <c r="AW1299" s="128"/>
      <c r="AX1299" s="128"/>
      <c r="AY1299" s="128"/>
      <c r="AZ1299" s="128"/>
      <c r="BA1299" s="128"/>
      <c r="BB1299" s="128"/>
      <c r="BC1299" s="128"/>
      <c r="BD1299" s="128"/>
      <c r="BE1299" s="128"/>
      <c r="BF1299" s="128"/>
      <c r="BG1299" s="128"/>
      <c r="BH1299" s="128"/>
      <c r="BI1299" s="128"/>
      <c r="BJ1299" s="128"/>
      <c r="BK1299" s="128"/>
      <c r="BL1299" s="128"/>
      <c r="BM1299" s="151"/>
      <c r="BN1299" s="128"/>
      <c r="BO1299" s="128"/>
      <c r="BP1299" s="128"/>
      <c r="BQ1299" s="128"/>
      <c r="BR1299" s="128"/>
      <c r="BS1299" s="128"/>
      <c r="BT1299" s="128"/>
      <c r="BU1299" s="128"/>
      <c r="BV1299" s="128"/>
      <c r="BW1299" s="128"/>
      <c r="BX1299" s="128"/>
      <c r="BY1299" s="128"/>
      <c r="BZ1299" s="128"/>
      <c r="CA1299" s="128"/>
      <c r="CB1299" s="128"/>
      <c r="CC1299" s="128"/>
      <c r="CD1299" s="128"/>
      <c r="CE1299" s="128"/>
      <c r="CF1299" s="128"/>
      <c r="CG1299" s="128"/>
      <c r="CH1299" s="128"/>
      <c r="CI1299" s="128"/>
      <c r="CJ1299" s="128"/>
      <c r="CK1299" s="128"/>
      <c r="CL1299" s="128"/>
      <c r="CM1299" s="128"/>
      <c r="CN1299" s="128"/>
      <c r="CO1299" s="128"/>
      <c r="CP1299" s="128"/>
      <c r="CQ1299" s="128"/>
      <c r="CR1299" s="128"/>
      <c r="CS1299" s="128"/>
      <c r="CT1299" s="128"/>
      <c r="CU1299" s="128"/>
      <c r="CV1299" s="128"/>
      <c r="CW1299" s="128"/>
      <c r="CX1299" s="128"/>
      <c r="CY1299" s="128"/>
      <c r="CZ1299" s="128"/>
    </row>
    <row r="1300" spans="1:104">
      <c r="A1300" s="128"/>
      <c r="B1300" s="128"/>
      <c r="C1300" s="128"/>
      <c r="D1300" s="112"/>
      <c r="E1300" s="128"/>
      <c r="F1300" s="128"/>
      <c r="G1300" s="128"/>
      <c r="H1300" s="128"/>
      <c r="I1300" s="128"/>
      <c r="J1300" s="128"/>
      <c r="K1300" s="128"/>
      <c r="L1300" s="128"/>
      <c r="M1300" s="128"/>
      <c r="N1300" s="128"/>
      <c r="O1300" s="128"/>
      <c r="P1300" s="128"/>
      <c r="Q1300" s="128"/>
      <c r="R1300" s="128"/>
      <c r="S1300" s="128"/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  <c r="AV1300" s="128"/>
      <c r="AW1300" s="128"/>
      <c r="AX1300" s="128"/>
      <c r="AY1300" s="128"/>
      <c r="AZ1300" s="128"/>
      <c r="BA1300" s="128"/>
      <c r="BB1300" s="128"/>
      <c r="BC1300" s="128"/>
      <c r="BD1300" s="128"/>
      <c r="BE1300" s="128"/>
      <c r="BF1300" s="128"/>
      <c r="BG1300" s="128"/>
      <c r="BH1300" s="128"/>
      <c r="BI1300" s="128"/>
      <c r="BJ1300" s="128"/>
      <c r="BK1300" s="128"/>
      <c r="BL1300" s="128"/>
      <c r="BM1300" s="151"/>
      <c r="BN1300" s="128"/>
      <c r="BO1300" s="128"/>
      <c r="BP1300" s="128"/>
      <c r="BQ1300" s="128"/>
      <c r="BR1300" s="128"/>
      <c r="BS1300" s="128"/>
      <c r="BT1300" s="128"/>
      <c r="BU1300" s="128"/>
      <c r="BV1300" s="128"/>
      <c r="BW1300" s="128"/>
      <c r="BX1300" s="128"/>
      <c r="BY1300" s="128"/>
      <c r="BZ1300" s="128"/>
      <c r="CA1300" s="128"/>
      <c r="CB1300" s="128"/>
      <c r="CC1300" s="128"/>
      <c r="CD1300" s="128"/>
      <c r="CE1300" s="128"/>
      <c r="CF1300" s="128"/>
      <c r="CG1300" s="128"/>
      <c r="CH1300" s="128"/>
      <c r="CI1300" s="128"/>
      <c r="CJ1300" s="128"/>
      <c r="CK1300" s="128"/>
      <c r="CL1300" s="128"/>
      <c r="CM1300" s="128"/>
      <c r="CN1300" s="128"/>
      <c r="CO1300" s="128"/>
      <c r="CP1300" s="128"/>
      <c r="CQ1300" s="128"/>
      <c r="CR1300" s="128"/>
      <c r="CS1300" s="128"/>
      <c r="CT1300" s="128"/>
      <c r="CU1300" s="128"/>
      <c r="CV1300" s="128"/>
      <c r="CW1300" s="128"/>
      <c r="CX1300" s="128"/>
      <c r="CY1300" s="128"/>
      <c r="CZ1300" s="128"/>
    </row>
    <row r="1301" spans="1:104">
      <c r="A1301" s="128"/>
      <c r="B1301" s="128"/>
      <c r="C1301" s="128"/>
      <c r="D1301" s="112"/>
      <c r="E1301" s="128"/>
      <c r="F1301" s="128"/>
      <c r="G1301" s="128"/>
      <c r="H1301" s="128"/>
      <c r="I1301" s="128"/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  <c r="AV1301" s="128"/>
      <c r="AW1301" s="128"/>
      <c r="AX1301" s="128"/>
      <c r="AY1301" s="128"/>
      <c r="AZ1301" s="128"/>
      <c r="BA1301" s="128"/>
      <c r="BB1301" s="128"/>
      <c r="BC1301" s="128"/>
      <c r="BD1301" s="128"/>
      <c r="BE1301" s="128"/>
      <c r="BF1301" s="128"/>
      <c r="BG1301" s="128"/>
      <c r="BH1301" s="128"/>
      <c r="BI1301" s="128"/>
      <c r="BJ1301" s="128"/>
      <c r="BK1301" s="128"/>
      <c r="BL1301" s="128"/>
      <c r="BM1301" s="151"/>
      <c r="BN1301" s="128"/>
      <c r="BO1301" s="128"/>
      <c r="BP1301" s="128"/>
      <c r="BQ1301" s="128"/>
      <c r="BR1301" s="128"/>
      <c r="BS1301" s="128"/>
      <c r="BT1301" s="128"/>
      <c r="BU1301" s="128"/>
      <c r="BV1301" s="128"/>
      <c r="BW1301" s="128"/>
      <c r="BX1301" s="128"/>
      <c r="BY1301" s="128"/>
      <c r="BZ1301" s="128"/>
      <c r="CA1301" s="128"/>
      <c r="CB1301" s="128"/>
      <c r="CC1301" s="128"/>
      <c r="CD1301" s="128"/>
      <c r="CE1301" s="128"/>
      <c r="CF1301" s="128"/>
      <c r="CG1301" s="128"/>
      <c r="CH1301" s="128"/>
      <c r="CI1301" s="128"/>
      <c r="CJ1301" s="128"/>
      <c r="CK1301" s="128"/>
      <c r="CL1301" s="128"/>
      <c r="CM1301" s="128"/>
      <c r="CN1301" s="128"/>
      <c r="CO1301" s="128"/>
      <c r="CP1301" s="128"/>
      <c r="CQ1301" s="128"/>
      <c r="CR1301" s="128"/>
      <c r="CS1301" s="128"/>
      <c r="CT1301" s="128"/>
      <c r="CU1301" s="128"/>
      <c r="CV1301" s="128"/>
      <c r="CW1301" s="128"/>
      <c r="CX1301" s="128"/>
      <c r="CY1301" s="128"/>
      <c r="CZ1301" s="128"/>
    </row>
    <row r="1302" spans="1:104">
      <c r="A1302" s="128"/>
      <c r="B1302" s="128"/>
      <c r="C1302" s="128"/>
      <c r="D1302" s="112"/>
      <c r="E1302" s="128"/>
      <c r="F1302" s="128"/>
      <c r="G1302" s="128"/>
      <c r="H1302" s="128"/>
      <c r="I1302" s="128"/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  <c r="AV1302" s="128"/>
      <c r="AW1302" s="128"/>
      <c r="AX1302" s="128"/>
      <c r="AY1302" s="128"/>
      <c r="AZ1302" s="128"/>
      <c r="BA1302" s="128"/>
      <c r="BB1302" s="128"/>
      <c r="BC1302" s="128"/>
      <c r="BD1302" s="128"/>
      <c r="BE1302" s="128"/>
      <c r="BF1302" s="128"/>
      <c r="BG1302" s="128"/>
      <c r="BH1302" s="128"/>
      <c r="BI1302" s="128"/>
      <c r="BJ1302" s="128"/>
      <c r="BK1302" s="128"/>
      <c r="BL1302" s="128"/>
      <c r="BM1302" s="151"/>
      <c r="BN1302" s="128"/>
      <c r="BO1302" s="128"/>
      <c r="BP1302" s="128"/>
      <c r="BQ1302" s="128"/>
      <c r="BR1302" s="128"/>
      <c r="BS1302" s="128"/>
      <c r="BT1302" s="128"/>
      <c r="BU1302" s="128"/>
      <c r="BV1302" s="128"/>
      <c r="BW1302" s="128"/>
      <c r="BX1302" s="128"/>
      <c r="BY1302" s="128"/>
      <c r="BZ1302" s="128"/>
      <c r="CA1302" s="128"/>
      <c r="CB1302" s="128"/>
      <c r="CC1302" s="128"/>
      <c r="CD1302" s="128"/>
      <c r="CE1302" s="128"/>
      <c r="CF1302" s="128"/>
      <c r="CG1302" s="128"/>
      <c r="CH1302" s="128"/>
      <c r="CI1302" s="128"/>
      <c r="CJ1302" s="128"/>
      <c r="CK1302" s="128"/>
      <c r="CL1302" s="128"/>
      <c r="CM1302" s="128"/>
      <c r="CN1302" s="128"/>
      <c r="CO1302" s="128"/>
      <c r="CP1302" s="128"/>
      <c r="CQ1302" s="128"/>
      <c r="CR1302" s="128"/>
      <c r="CS1302" s="128"/>
      <c r="CT1302" s="128"/>
      <c r="CU1302" s="128"/>
      <c r="CV1302" s="128"/>
      <c r="CW1302" s="128"/>
      <c r="CX1302" s="128"/>
      <c r="CY1302" s="128"/>
      <c r="CZ1302" s="128"/>
    </row>
    <row r="1303" spans="1:104">
      <c r="A1303" s="128"/>
      <c r="B1303" s="128"/>
      <c r="C1303" s="128"/>
      <c r="D1303" s="112"/>
      <c r="E1303" s="128"/>
      <c r="F1303" s="128"/>
      <c r="G1303" s="128"/>
      <c r="H1303" s="128"/>
      <c r="I1303" s="128"/>
      <c r="J1303" s="128"/>
      <c r="K1303" s="128"/>
      <c r="L1303" s="128"/>
      <c r="M1303" s="128"/>
      <c r="N1303" s="128"/>
      <c r="O1303" s="128"/>
      <c r="P1303" s="128"/>
      <c r="Q1303" s="128"/>
      <c r="R1303" s="128"/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  <c r="AV1303" s="128"/>
      <c r="AW1303" s="128"/>
      <c r="AX1303" s="128"/>
      <c r="AY1303" s="128"/>
      <c r="AZ1303" s="128"/>
      <c r="BA1303" s="128"/>
      <c r="BB1303" s="128"/>
      <c r="BC1303" s="128"/>
      <c r="BD1303" s="128"/>
      <c r="BE1303" s="128"/>
      <c r="BF1303" s="128"/>
      <c r="BG1303" s="128"/>
      <c r="BH1303" s="128"/>
      <c r="BI1303" s="128"/>
      <c r="BJ1303" s="128"/>
      <c r="BK1303" s="128"/>
      <c r="BL1303" s="128"/>
      <c r="BM1303" s="151"/>
      <c r="BN1303" s="128"/>
      <c r="BO1303" s="128"/>
      <c r="BP1303" s="128"/>
      <c r="BQ1303" s="128"/>
      <c r="BR1303" s="128"/>
      <c r="BS1303" s="128"/>
      <c r="BT1303" s="128"/>
      <c r="BU1303" s="128"/>
      <c r="BV1303" s="128"/>
      <c r="BW1303" s="128"/>
      <c r="BX1303" s="128"/>
      <c r="BY1303" s="128"/>
      <c r="BZ1303" s="128"/>
      <c r="CA1303" s="128"/>
      <c r="CB1303" s="128"/>
      <c r="CC1303" s="128"/>
      <c r="CD1303" s="128"/>
      <c r="CE1303" s="128"/>
      <c r="CF1303" s="128"/>
      <c r="CG1303" s="128"/>
      <c r="CH1303" s="128"/>
      <c r="CI1303" s="128"/>
      <c r="CJ1303" s="128"/>
      <c r="CK1303" s="128"/>
      <c r="CL1303" s="128"/>
      <c r="CM1303" s="128"/>
      <c r="CN1303" s="128"/>
      <c r="CO1303" s="128"/>
      <c r="CP1303" s="128"/>
      <c r="CQ1303" s="128"/>
      <c r="CR1303" s="128"/>
      <c r="CS1303" s="128"/>
      <c r="CT1303" s="128"/>
      <c r="CU1303" s="128"/>
      <c r="CV1303" s="128"/>
      <c r="CW1303" s="128"/>
      <c r="CX1303" s="128"/>
      <c r="CY1303" s="128"/>
      <c r="CZ1303" s="128"/>
    </row>
    <row r="1304" spans="1:104">
      <c r="A1304" s="128"/>
      <c r="B1304" s="128"/>
      <c r="C1304" s="128"/>
      <c r="D1304" s="112"/>
      <c r="E1304" s="128"/>
      <c r="F1304" s="128"/>
      <c r="G1304" s="128"/>
      <c r="H1304" s="128"/>
      <c r="I1304" s="128"/>
      <c r="J1304" s="128"/>
      <c r="K1304" s="128"/>
      <c r="L1304" s="128"/>
      <c r="M1304" s="128"/>
      <c r="N1304" s="128"/>
      <c r="O1304" s="128"/>
      <c r="P1304" s="128"/>
      <c r="Q1304" s="128"/>
      <c r="R1304" s="128"/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  <c r="AV1304" s="128"/>
      <c r="AW1304" s="128"/>
      <c r="AX1304" s="128"/>
      <c r="AY1304" s="128"/>
      <c r="AZ1304" s="128"/>
      <c r="BA1304" s="128"/>
      <c r="BB1304" s="128"/>
      <c r="BC1304" s="128"/>
      <c r="BD1304" s="128"/>
      <c r="BE1304" s="128"/>
      <c r="BF1304" s="128"/>
      <c r="BG1304" s="128"/>
      <c r="BH1304" s="128"/>
      <c r="BI1304" s="128"/>
      <c r="BJ1304" s="128"/>
      <c r="BK1304" s="128"/>
      <c r="BL1304" s="128"/>
      <c r="BM1304" s="151"/>
      <c r="BN1304" s="128"/>
      <c r="BO1304" s="128"/>
      <c r="BP1304" s="128"/>
      <c r="BQ1304" s="128"/>
      <c r="BR1304" s="128"/>
      <c r="BS1304" s="128"/>
      <c r="BT1304" s="128"/>
      <c r="BU1304" s="128"/>
      <c r="BV1304" s="128"/>
      <c r="BW1304" s="128"/>
      <c r="BX1304" s="128"/>
      <c r="BY1304" s="128"/>
      <c r="BZ1304" s="128"/>
      <c r="CA1304" s="128"/>
      <c r="CB1304" s="128"/>
      <c r="CC1304" s="128"/>
      <c r="CD1304" s="128"/>
      <c r="CE1304" s="128"/>
      <c r="CF1304" s="128"/>
      <c r="CG1304" s="128"/>
      <c r="CH1304" s="128"/>
      <c r="CI1304" s="128"/>
      <c r="CJ1304" s="128"/>
      <c r="CK1304" s="128"/>
      <c r="CL1304" s="128"/>
      <c r="CM1304" s="128"/>
      <c r="CN1304" s="128"/>
      <c r="CO1304" s="128"/>
      <c r="CP1304" s="128"/>
      <c r="CQ1304" s="128"/>
      <c r="CR1304" s="128"/>
      <c r="CS1304" s="128"/>
      <c r="CT1304" s="128"/>
      <c r="CU1304" s="128"/>
      <c r="CV1304" s="128"/>
      <c r="CW1304" s="128"/>
      <c r="CX1304" s="128"/>
      <c r="CY1304" s="128"/>
      <c r="CZ1304" s="128"/>
    </row>
    <row r="1305" spans="1:104">
      <c r="A1305" s="128"/>
      <c r="B1305" s="128"/>
      <c r="C1305" s="128"/>
      <c r="D1305" s="112"/>
      <c r="E1305" s="128"/>
      <c r="F1305" s="128"/>
      <c r="G1305" s="128"/>
      <c r="H1305" s="128"/>
      <c r="I1305" s="128"/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  <c r="AV1305" s="128"/>
      <c r="AW1305" s="128"/>
      <c r="AX1305" s="128"/>
      <c r="AY1305" s="128"/>
      <c r="AZ1305" s="128"/>
      <c r="BA1305" s="128"/>
      <c r="BB1305" s="128"/>
      <c r="BC1305" s="128"/>
      <c r="BD1305" s="128"/>
      <c r="BE1305" s="128"/>
      <c r="BF1305" s="128"/>
      <c r="BG1305" s="128"/>
      <c r="BH1305" s="128"/>
      <c r="BI1305" s="128"/>
      <c r="BJ1305" s="128"/>
      <c r="BK1305" s="128"/>
      <c r="BL1305" s="128"/>
      <c r="BM1305" s="151"/>
      <c r="BN1305" s="128"/>
      <c r="BO1305" s="128"/>
      <c r="BP1305" s="128"/>
      <c r="BQ1305" s="128"/>
      <c r="BR1305" s="128"/>
      <c r="BS1305" s="128"/>
      <c r="BT1305" s="128"/>
      <c r="BU1305" s="128"/>
      <c r="BV1305" s="128"/>
      <c r="BW1305" s="128"/>
      <c r="BX1305" s="128"/>
      <c r="BY1305" s="128"/>
      <c r="BZ1305" s="128"/>
      <c r="CA1305" s="128"/>
      <c r="CB1305" s="128"/>
      <c r="CC1305" s="128"/>
      <c r="CD1305" s="128"/>
      <c r="CE1305" s="128"/>
      <c r="CF1305" s="128"/>
      <c r="CG1305" s="128"/>
      <c r="CH1305" s="128"/>
      <c r="CI1305" s="128"/>
      <c r="CJ1305" s="128"/>
      <c r="CK1305" s="128"/>
      <c r="CL1305" s="128"/>
      <c r="CM1305" s="128"/>
      <c r="CN1305" s="128"/>
      <c r="CO1305" s="128"/>
      <c r="CP1305" s="128"/>
      <c r="CQ1305" s="128"/>
      <c r="CR1305" s="128"/>
      <c r="CS1305" s="128"/>
      <c r="CT1305" s="128"/>
      <c r="CU1305" s="128"/>
      <c r="CV1305" s="128"/>
      <c r="CW1305" s="128"/>
      <c r="CX1305" s="128"/>
      <c r="CY1305" s="128"/>
      <c r="CZ1305" s="128"/>
    </row>
    <row r="1306" spans="1:104">
      <c r="A1306" s="128"/>
      <c r="B1306" s="128"/>
      <c r="C1306" s="128"/>
      <c r="D1306" s="112"/>
      <c r="E1306" s="128"/>
      <c r="F1306" s="128"/>
      <c r="G1306" s="128"/>
      <c r="H1306" s="128"/>
      <c r="I1306" s="128"/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  <c r="AV1306" s="128"/>
      <c r="AW1306" s="128"/>
      <c r="AX1306" s="128"/>
      <c r="AY1306" s="128"/>
      <c r="AZ1306" s="128"/>
      <c r="BA1306" s="128"/>
      <c r="BB1306" s="128"/>
      <c r="BC1306" s="128"/>
      <c r="BD1306" s="128"/>
      <c r="BE1306" s="128"/>
      <c r="BF1306" s="128"/>
      <c r="BG1306" s="128"/>
      <c r="BH1306" s="128"/>
      <c r="BI1306" s="128"/>
      <c r="BJ1306" s="128"/>
      <c r="BK1306" s="128"/>
      <c r="BL1306" s="128"/>
      <c r="BM1306" s="151"/>
      <c r="BN1306" s="128"/>
      <c r="BO1306" s="128"/>
      <c r="BP1306" s="128"/>
      <c r="BQ1306" s="128"/>
      <c r="BR1306" s="128"/>
      <c r="BS1306" s="128"/>
      <c r="BT1306" s="128"/>
      <c r="BU1306" s="128"/>
      <c r="BV1306" s="128"/>
      <c r="BW1306" s="128"/>
      <c r="BX1306" s="128"/>
      <c r="BY1306" s="128"/>
      <c r="BZ1306" s="128"/>
      <c r="CA1306" s="128"/>
      <c r="CB1306" s="128"/>
      <c r="CC1306" s="128"/>
      <c r="CD1306" s="128"/>
      <c r="CE1306" s="128"/>
      <c r="CF1306" s="128"/>
      <c r="CG1306" s="128"/>
      <c r="CH1306" s="128"/>
      <c r="CI1306" s="128"/>
      <c r="CJ1306" s="128"/>
      <c r="CK1306" s="128"/>
      <c r="CL1306" s="128"/>
      <c r="CM1306" s="128"/>
      <c r="CN1306" s="128"/>
      <c r="CO1306" s="128"/>
      <c r="CP1306" s="128"/>
      <c r="CQ1306" s="128"/>
      <c r="CR1306" s="128"/>
      <c r="CS1306" s="128"/>
      <c r="CT1306" s="128"/>
      <c r="CU1306" s="128"/>
      <c r="CV1306" s="128"/>
      <c r="CW1306" s="128"/>
      <c r="CX1306" s="128"/>
      <c r="CY1306" s="128"/>
      <c r="CZ1306" s="128"/>
    </row>
    <row r="1307" spans="1:104">
      <c r="A1307" s="128"/>
      <c r="B1307" s="128"/>
      <c r="C1307" s="128"/>
      <c r="D1307" s="112"/>
      <c r="E1307" s="128"/>
      <c r="F1307" s="128"/>
      <c r="G1307" s="128"/>
      <c r="H1307" s="128"/>
      <c r="I1307" s="128"/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  <c r="AV1307" s="128"/>
      <c r="AW1307" s="128"/>
      <c r="AX1307" s="128"/>
      <c r="AY1307" s="128"/>
      <c r="AZ1307" s="128"/>
      <c r="BA1307" s="128"/>
      <c r="BB1307" s="128"/>
      <c r="BC1307" s="128"/>
      <c r="BD1307" s="128"/>
      <c r="BE1307" s="128"/>
      <c r="BF1307" s="128"/>
      <c r="BG1307" s="128"/>
      <c r="BH1307" s="128"/>
      <c r="BI1307" s="128"/>
      <c r="BJ1307" s="128"/>
      <c r="BK1307" s="128"/>
      <c r="BL1307" s="128"/>
      <c r="BM1307" s="151"/>
      <c r="BN1307" s="128"/>
      <c r="BO1307" s="128"/>
      <c r="BP1307" s="128"/>
      <c r="BQ1307" s="128"/>
      <c r="BR1307" s="128"/>
      <c r="BS1307" s="128"/>
      <c r="BT1307" s="128"/>
      <c r="BU1307" s="128"/>
      <c r="BV1307" s="128"/>
      <c r="BW1307" s="128"/>
      <c r="BX1307" s="128"/>
      <c r="BY1307" s="128"/>
      <c r="BZ1307" s="128"/>
      <c r="CA1307" s="128"/>
      <c r="CB1307" s="128"/>
      <c r="CC1307" s="128"/>
      <c r="CD1307" s="128"/>
      <c r="CE1307" s="128"/>
      <c r="CF1307" s="128"/>
      <c r="CG1307" s="128"/>
      <c r="CH1307" s="128"/>
      <c r="CI1307" s="128"/>
      <c r="CJ1307" s="128"/>
      <c r="CK1307" s="128"/>
      <c r="CL1307" s="128"/>
      <c r="CM1307" s="128"/>
      <c r="CN1307" s="128"/>
      <c r="CO1307" s="128"/>
      <c r="CP1307" s="128"/>
      <c r="CQ1307" s="128"/>
      <c r="CR1307" s="128"/>
      <c r="CS1307" s="128"/>
      <c r="CT1307" s="128"/>
      <c r="CU1307" s="128"/>
      <c r="CV1307" s="128"/>
      <c r="CW1307" s="128"/>
      <c r="CX1307" s="128"/>
      <c r="CY1307" s="128"/>
      <c r="CZ1307" s="128"/>
    </row>
    <row r="1308" spans="1:104">
      <c r="A1308" s="128"/>
      <c r="B1308" s="128"/>
      <c r="C1308" s="128"/>
      <c r="D1308" s="112"/>
      <c r="E1308" s="128"/>
      <c r="F1308" s="128"/>
      <c r="G1308" s="128"/>
      <c r="H1308" s="128"/>
      <c r="I1308" s="128"/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  <c r="AV1308" s="128"/>
      <c r="AW1308" s="128"/>
      <c r="AX1308" s="128"/>
      <c r="AY1308" s="128"/>
      <c r="AZ1308" s="128"/>
      <c r="BA1308" s="128"/>
      <c r="BB1308" s="128"/>
      <c r="BC1308" s="128"/>
      <c r="BD1308" s="128"/>
      <c r="BE1308" s="128"/>
      <c r="BF1308" s="128"/>
      <c r="BG1308" s="128"/>
      <c r="BH1308" s="128"/>
      <c r="BI1308" s="128"/>
      <c r="BJ1308" s="128"/>
      <c r="BK1308" s="128"/>
      <c r="BL1308" s="128"/>
      <c r="BM1308" s="151"/>
      <c r="BN1308" s="128"/>
      <c r="BO1308" s="128"/>
      <c r="BP1308" s="128"/>
      <c r="BQ1308" s="128"/>
      <c r="BR1308" s="128"/>
      <c r="BS1308" s="128"/>
      <c r="BT1308" s="128"/>
      <c r="BU1308" s="128"/>
      <c r="BV1308" s="128"/>
      <c r="BW1308" s="128"/>
      <c r="BX1308" s="128"/>
      <c r="BY1308" s="128"/>
      <c r="BZ1308" s="128"/>
      <c r="CA1308" s="128"/>
      <c r="CB1308" s="128"/>
      <c r="CC1308" s="128"/>
      <c r="CD1308" s="128"/>
      <c r="CE1308" s="128"/>
      <c r="CF1308" s="128"/>
      <c r="CG1308" s="128"/>
      <c r="CH1308" s="128"/>
      <c r="CI1308" s="128"/>
      <c r="CJ1308" s="128"/>
      <c r="CK1308" s="128"/>
      <c r="CL1308" s="128"/>
      <c r="CM1308" s="128"/>
      <c r="CN1308" s="128"/>
      <c r="CO1308" s="128"/>
      <c r="CP1308" s="128"/>
      <c r="CQ1308" s="128"/>
      <c r="CR1308" s="128"/>
      <c r="CS1308" s="128"/>
      <c r="CT1308" s="128"/>
      <c r="CU1308" s="128"/>
      <c r="CV1308" s="128"/>
      <c r="CW1308" s="128"/>
      <c r="CX1308" s="128"/>
      <c r="CY1308" s="128"/>
      <c r="CZ1308" s="128"/>
    </row>
    <row r="1309" spans="1:104">
      <c r="A1309" s="128"/>
      <c r="B1309" s="128"/>
      <c r="C1309" s="128"/>
      <c r="D1309" s="112"/>
      <c r="E1309" s="128"/>
      <c r="F1309" s="128"/>
      <c r="G1309" s="128"/>
      <c r="H1309" s="128"/>
      <c r="I1309" s="128"/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  <c r="AV1309" s="128"/>
      <c r="AW1309" s="128"/>
      <c r="AX1309" s="128"/>
      <c r="AY1309" s="128"/>
      <c r="AZ1309" s="128"/>
      <c r="BA1309" s="128"/>
      <c r="BB1309" s="128"/>
      <c r="BC1309" s="128"/>
      <c r="BD1309" s="128"/>
      <c r="BE1309" s="128"/>
      <c r="BF1309" s="128"/>
      <c r="BG1309" s="128"/>
      <c r="BH1309" s="128"/>
      <c r="BI1309" s="128"/>
      <c r="BJ1309" s="128"/>
      <c r="BK1309" s="128"/>
      <c r="BL1309" s="128"/>
      <c r="BM1309" s="151"/>
      <c r="BN1309" s="128"/>
      <c r="BO1309" s="128"/>
      <c r="BP1309" s="128"/>
      <c r="BQ1309" s="128"/>
      <c r="BR1309" s="128"/>
      <c r="BS1309" s="128"/>
      <c r="BT1309" s="128"/>
      <c r="BU1309" s="128"/>
      <c r="BV1309" s="128"/>
      <c r="BW1309" s="128"/>
      <c r="BX1309" s="128"/>
      <c r="BY1309" s="128"/>
      <c r="BZ1309" s="128"/>
      <c r="CA1309" s="128"/>
      <c r="CB1309" s="128"/>
      <c r="CC1309" s="128"/>
      <c r="CD1309" s="128"/>
      <c r="CE1309" s="128"/>
      <c r="CF1309" s="128"/>
      <c r="CG1309" s="128"/>
      <c r="CH1309" s="128"/>
      <c r="CI1309" s="128"/>
      <c r="CJ1309" s="128"/>
      <c r="CK1309" s="128"/>
      <c r="CL1309" s="128"/>
      <c r="CM1309" s="128"/>
      <c r="CN1309" s="128"/>
      <c r="CO1309" s="128"/>
      <c r="CP1309" s="128"/>
      <c r="CQ1309" s="128"/>
      <c r="CR1309" s="128"/>
      <c r="CS1309" s="128"/>
      <c r="CT1309" s="128"/>
      <c r="CU1309" s="128"/>
      <c r="CV1309" s="128"/>
      <c r="CW1309" s="128"/>
      <c r="CX1309" s="128"/>
      <c r="CY1309" s="128"/>
      <c r="CZ1309" s="128"/>
    </row>
    <row r="1310" spans="1:104">
      <c r="A1310" s="128"/>
      <c r="B1310" s="128"/>
      <c r="C1310" s="128"/>
      <c r="D1310" s="112"/>
      <c r="E1310" s="128"/>
      <c r="F1310" s="128"/>
      <c r="G1310" s="128"/>
      <c r="H1310" s="128"/>
      <c r="I1310" s="128"/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  <c r="AV1310" s="128"/>
      <c r="AW1310" s="128"/>
      <c r="AX1310" s="128"/>
      <c r="AY1310" s="128"/>
      <c r="AZ1310" s="128"/>
      <c r="BA1310" s="128"/>
      <c r="BB1310" s="128"/>
      <c r="BC1310" s="128"/>
      <c r="BD1310" s="128"/>
      <c r="BE1310" s="128"/>
      <c r="BF1310" s="128"/>
      <c r="BG1310" s="128"/>
      <c r="BH1310" s="128"/>
      <c r="BI1310" s="128"/>
      <c r="BJ1310" s="128"/>
      <c r="BK1310" s="128"/>
      <c r="BL1310" s="128"/>
      <c r="BM1310" s="151"/>
      <c r="BN1310" s="128"/>
      <c r="BO1310" s="128"/>
      <c r="BP1310" s="128"/>
      <c r="BQ1310" s="128"/>
      <c r="BR1310" s="128"/>
      <c r="BS1310" s="128"/>
      <c r="BT1310" s="128"/>
      <c r="BU1310" s="128"/>
      <c r="BV1310" s="128"/>
      <c r="BW1310" s="128"/>
      <c r="BX1310" s="128"/>
      <c r="BY1310" s="128"/>
      <c r="BZ1310" s="128"/>
      <c r="CA1310" s="128"/>
      <c r="CB1310" s="128"/>
      <c r="CC1310" s="128"/>
      <c r="CD1310" s="128"/>
      <c r="CE1310" s="128"/>
      <c r="CF1310" s="128"/>
      <c r="CG1310" s="128"/>
      <c r="CH1310" s="128"/>
      <c r="CI1310" s="128"/>
      <c r="CJ1310" s="128"/>
      <c r="CK1310" s="128"/>
      <c r="CL1310" s="128"/>
      <c r="CM1310" s="128"/>
      <c r="CN1310" s="128"/>
      <c r="CO1310" s="128"/>
      <c r="CP1310" s="128"/>
      <c r="CQ1310" s="128"/>
      <c r="CR1310" s="128"/>
      <c r="CS1310" s="128"/>
      <c r="CT1310" s="128"/>
      <c r="CU1310" s="128"/>
      <c r="CV1310" s="128"/>
      <c r="CW1310" s="128"/>
      <c r="CX1310" s="128"/>
      <c r="CY1310" s="128"/>
      <c r="CZ1310" s="128"/>
    </row>
    <row r="1311" spans="1:104">
      <c r="A1311" s="128"/>
      <c r="B1311" s="128"/>
      <c r="C1311" s="128"/>
      <c r="D1311" s="112"/>
      <c r="E1311" s="128"/>
      <c r="F1311" s="128"/>
      <c r="G1311" s="128"/>
      <c r="H1311" s="128"/>
      <c r="I1311" s="128"/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  <c r="AV1311" s="128"/>
      <c r="AW1311" s="128"/>
      <c r="AX1311" s="128"/>
      <c r="AY1311" s="128"/>
      <c r="AZ1311" s="128"/>
      <c r="BA1311" s="128"/>
      <c r="BB1311" s="128"/>
      <c r="BC1311" s="128"/>
      <c r="BD1311" s="128"/>
      <c r="BE1311" s="128"/>
      <c r="BF1311" s="128"/>
      <c r="BG1311" s="128"/>
      <c r="BH1311" s="128"/>
      <c r="BI1311" s="128"/>
      <c r="BJ1311" s="128"/>
      <c r="BK1311" s="128"/>
      <c r="BL1311" s="128"/>
      <c r="BM1311" s="151"/>
      <c r="BN1311" s="128"/>
      <c r="BO1311" s="128"/>
      <c r="BP1311" s="128"/>
      <c r="BQ1311" s="128"/>
      <c r="BR1311" s="128"/>
      <c r="BS1311" s="128"/>
      <c r="BT1311" s="128"/>
      <c r="BU1311" s="128"/>
      <c r="BV1311" s="128"/>
      <c r="BW1311" s="128"/>
      <c r="BX1311" s="128"/>
      <c r="BY1311" s="128"/>
      <c r="BZ1311" s="128"/>
      <c r="CA1311" s="128"/>
      <c r="CB1311" s="128"/>
      <c r="CC1311" s="128"/>
      <c r="CD1311" s="128"/>
      <c r="CE1311" s="128"/>
      <c r="CF1311" s="128"/>
      <c r="CG1311" s="128"/>
      <c r="CH1311" s="128"/>
      <c r="CI1311" s="128"/>
      <c r="CJ1311" s="128"/>
      <c r="CK1311" s="128"/>
      <c r="CL1311" s="128"/>
      <c r="CM1311" s="128"/>
      <c r="CN1311" s="128"/>
      <c r="CO1311" s="128"/>
      <c r="CP1311" s="128"/>
      <c r="CQ1311" s="128"/>
      <c r="CR1311" s="128"/>
      <c r="CS1311" s="128"/>
      <c r="CT1311" s="128"/>
      <c r="CU1311" s="128"/>
      <c r="CV1311" s="128"/>
      <c r="CW1311" s="128"/>
      <c r="CX1311" s="128"/>
      <c r="CY1311" s="128"/>
      <c r="CZ1311" s="128"/>
    </row>
    <row r="1312" spans="1:104">
      <c r="A1312" s="128"/>
      <c r="B1312" s="128"/>
      <c r="C1312" s="128"/>
      <c r="D1312" s="112"/>
      <c r="E1312" s="128"/>
      <c r="F1312" s="128"/>
      <c r="G1312" s="128"/>
      <c r="H1312" s="128"/>
      <c r="I1312" s="128"/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  <c r="AV1312" s="128"/>
      <c r="AW1312" s="128"/>
      <c r="AX1312" s="128"/>
      <c r="AY1312" s="128"/>
      <c r="AZ1312" s="128"/>
      <c r="BA1312" s="128"/>
      <c r="BB1312" s="128"/>
      <c r="BC1312" s="128"/>
      <c r="BD1312" s="128"/>
      <c r="BE1312" s="128"/>
      <c r="BF1312" s="128"/>
      <c r="BG1312" s="128"/>
      <c r="BH1312" s="128"/>
      <c r="BI1312" s="128"/>
      <c r="BJ1312" s="128"/>
      <c r="BK1312" s="128"/>
      <c r="BL1312" s="128"/>
      <c r="BM1312" s="151"/>
      <c r="BN1312" s="128"/>
      <c r="BO1312" s="128"/>
      <c r="BP1312" s="128"/>
      <c r="BQ1312" s="128"/>
      <c r="BR1312" s="128"/>
      <c r="BS1312" s="128"/>
      <c r="BT1312" s="128"/>
      <c r="BU1312" s="128"/>
      <c r="BV1312" s="128"/>
      <c r="BW1312" s="128"/>
      <c r="BX1312" s="128"/>
      <c r="BY1312" s="128"/>
      <c r="BZ1312" s="128"/>
      <c r="CA1312" s="128"/>
      <c r="CB1312" s="128"/>
      <c r="CC1312" s="128"/>
      <c r="CD1312" s="128"/>
      <c r="CE1312" s="128"/>
      <c r="CF1312" s="128"/>
      <c r="CG1312" s="128"/>
      <c r="CH1312" s="128"/>
      <c r="CI1312" s="128"/>
      <c r="CJ1312" s="128"/>
      <c r="CK1312" s="128"/>
      <c r="CL1312" s="128"/>
      <c r="CM1312" s="128"/>
      <c r="CN1312" s="128"/>
      <c r="CO1312" s="128"/>
      <c r="CP1312" s="128"/>
      <c r="CQ1312" s="128"/>
      <c r="CR1312" s="128"/>
      <c r="CS1312" s="128"/>
      <c r="CT1312" s="128"/>
      <c r="CU1312" s="128"/>
      <c r="CV1312" s="128"/>
      <c r="CW1312" s="128"/>
      <c r="CX1312" s="128"/>
      <c r="CY1312" s="128"/>
      <c r="CZ1312" s="128"/>
    </row>
    <row r="1313" spans="1:104">
      <c r="A1313" s="128"/>
      <c r="B1313" s="128"/>
      <c r="C1313" s="128"/>
      <c r="D1313" s="112"/>
      <c r="E1313" s="128"/>
      <c r="F1313" s="128"/>
      <c r="G1313" s="128"/>
      <c r="H1313" s="128"/>
      <c r="I1313" s="128"/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  <c r="AV1313" s="128"/>
      <c r="AW1313" s="128"/>
      <c r="AX1313" s="128"/>
      <c r="AY1313" s="128"/>
      <c r="AZ1313" s="128"/>
      <c r="BA1313" s="128"/>
      <c r="BB1313" s="128"/>
      <c r="BC1313" s="128"/>
      <c r="BD1313" s="128"/>
      <c r="BE1313" s="128"/>
      <c r="BF1313" s="128"/>
      <c r="BG1313" s="128"/>
      <c r="BH1313" s="128"/>
      <c r="BI1313" s="128"/>
      <c r="BJ1313" s="128"/>
      <c r="BK1313" s="128"/>
      <c r="BL1313" s="128"/>
      <c r="BM1313" s="151"/>
      <c r="BN1313" s="128"/>
      <c r="BO1313" s="128"/>
      <c r="BP1313" s="128"/>
      <c r="BQ1313" s="128"/>
      <c r="BR1313" s="128"/>
      <c r="BS1313" s="128"/>
      <c r="BT1313" s="128"/>
      <c r="BU1313" s="128"/>
      <c r="BV1313" s="128"/>
      <c r="BW1313" s="128"/>
      <c r="BX1313" s="128"/>
      <c r="BY1313" s="128"/>
      <c r="BZ1313" s="128"/>
      <c r="CA1313" s="128"/>
      <c r="CB1313" s="128"/>
      <c r="CC1313" s="128"/>
      <c r="CD1313" s="128"/>
      <c r="CE1313" s="128"/>
      <c r="CF1313" s="128"/>
      <c r="CG1313" s="128"/>
      <c r="CH1313" s="128"/>
      <c r="CI1313" s="128"/>
      <c r="CJ1313" s="128"/>
      <c r="CK1313" s="128"/>
      <c r="CL1313" s="128"/>
      <c r="CM1313" s="128"/>
      <c r="CN1313" s="128"/>
      <c r="CO1313" s="128"/>
      <c r="CP1313" s="128"/>
      <c r="CQ1313" s="128"/>
      <c r="CR1313" s="128"/>
      <c r="CS1313" s="128"/>
      <c r="CT1313" s="128"/>
      <c r="CU1313" s="128"/>
      <c r="CV1313" s="128"/>
      <c r="CW1313" s="128"/>
      <c r="CX1313" s="128"/>
      <c r="CY1313" s="128"/>
      <c r="CZ1313" s="128"/>
    </row>
    <row r="1314" spans="1:104">
      <c r="A1314" s="128"/>
      <c r="B1314" s="128"/>
      <c r="C1314" s="128"/>
      <c r="D1314" s="112"/>
      <c r="E1314" s="128"/>
      <c r="F1314" s="128"/>
      <c r="G1314" s="128"/>
      <c r="H1314" s="128"/>
      <c r="I1314" s="128"/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  <c r="AV1314" s="128"/>
      <c r="AW1314" s="128"/>
      <c r="AX1314" s="128"/>
      <c r="AY1314" s="128"/>
      <c r="AZ1314" s="128"/>
      <c r="BA1314" s="128"/>
      <c r="BB1314" s="128"/>
      <c r="BC1314" s="128"/>
      <c r="BD1314" s="128"/>
      <c r="BE1314" s="128"/>
      <c r="BF1314" s="128"/>
      <c r="BG1314" s="128"/>
      <c r="BH1314" s="128"/>
      <c r="BI1314" s="128"/>
      <c r="BJ1314" s="128"/>
      <c r="BK1314" s="128"/>
      <c r="BL1314" s="128"/>
      <c r="BM1314" s="151"/>
      <c r="BN1314" s="128"/>
      <c r="BO1314" s="128"/>
      <c r="BP1314" s="128"/>
      <c r="BQ1314" s="128"/>
      <c r="BR1314" s="128"/>
      <c r="BS1314" s="128"/>
      <c r="BT1314" s="128"/>
      <c r="BU1314" s="128"/>
      <c r="BV1314" s="128"/>
      <c r="BW1314" s="128"/>
      <c r="BX1314" s="128"/>
      <c r="BY1314" s="128"/>
      <c r="BZ1314" s="128"/>
      <c r="CA1314" s="128"/>
      <c r="CB1314" s="128"/>
      <c r="CC1314" s="128"/>
      <c r="CD1314" s="128"/>
      <c r="CE1314" s="128"/>
      <c r="CF1314" s="128"/>
      <c r="CG1314" s="128"/>
      <c r="CH1314" s="128"/>
      <c r="CI1314" s="128"/>
      <c r="CJ1314" s="128"/>
      <c r="CK1314" s="128"/>
      <c r="CL1314" s="128"/>
      <c r="CM1314" s="128"/>
      <c r="CN1314" s="128"/>
      <c r="CO1314" s="128"/>
      <c r="CP1314" s="128"/>
      <c r="CQ1314" s="128"/>
      <c r="CR1314" s="128"/>
      <c r="CS1314" s="128"/>
      <c r="CT1314" s="128"/>
      <c r="CU1314" s="128"/>
      <c r="CV1314" s="128"/>
      <c r="CW1314" s="128"/>
      <c r="CX1314" s="128"/>
      <c r="CY1314" s="128"/>
      <c r="CZ1314" s="128"/>
    </row>
    <row r="1315" spans="1:104">
      <c r="A1315" s="128"/>
      <c r="B1315" s="128"/>
      <c r="C1315" s="128"/>
      <c r="D1315" s="112"/>
      <c r="E1315" s="128"/>
      <c r="F1315" s="128"/>
      <c r="G1315" s="128"/>
      <c r="H1315" s="128"/>
      <c r="I1315" s="128"/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  <c r="AV1315" s="128"/>
      <c r="AW1315" s="128"/>
      <c r="AX1315" s="128"/>
      <c r="AY1315" s="128"/>
      <c r="AZ1315" s="128"/>
      <c r="BA1315" s="128"/>
      <c r="BB1315" s="128"/>
      <c r="BC1315" s="128"/>
      <c r="BD1315" s="128"/>
      <c r="BE1315" s="128"/>
      <c r="BF1315" s="128"/>
      <c r="BG1315" s="128"/>
      <c r="BH1315" s="128"/>
      <c r="BI1315" s="128"/>
      <c r="BJ1315" s="128"/>
      <c r="BK1315" s="128"/>
      <c r="BL1315" s="128"/>
      <c r="BM1315" s="151"/>
      <c r="BN1315" s="128"/>
      <c r="BO1315" s="128"/>
      <c r="BP1315" s="128"/>
      <c r="BQ1315" s="128"/>
      <c r="BR1315" s="128"/>
      <c r="BS1315" s="128"/>
      <c r="BT1315" s="128"/>
      <c r="BU1315" s="128"/>
      <c r="BV1315" s="128"/>
      <c r="BW1315" s="128"/>
      <c r="BX1315" s="128"/>
      <c r="BY1315" s="128"/>
      <c r="BZ1315" s="128"/>
      <c r="CA1315" s="128"/>
      <c r="CB1315" s="128"/>
      <c r="CC1315" s="128"/>
      <c r="CD1315" s="128"/>
      <c r="CE1315" s="128"/>
      <c r="CF1315" s="128"/>
      <c r="CG1315" s="128"/>
      <c r="CH1315" s="128"/>
      <c r="CI1315" s="128"/>
      <c r="CJ1315" s="128"/>
      <c r="CK1315" s="128"/>
      <c r="CL1315" s="128"/>
      <c r="CM1315" s="128"/>
      <c r="CN1315" s="128"/>
      <c r="CO1315" s="128"/>
      <c r="CP1315" s="128"/>
      <c r="CQ1315" s="128"/>
      <c r="CR1315" s="128"/>
      <c r="CS1315" s="128"/>
      <c r="CT1315" s="128"/>
      <c r="CU1315" s="128"/>
      <c r="CV1315" s="128"/>
      <c r="CW1315" s="128"/>
      <c r="CX1315" s="128"/>
      <c r="CY1315" s="128"/>
      <c r="CZ1315" s="128"/>
    </row>
    <row r="1316" spans="1:104">
      <c r="A1316" s="128"/>
      <c r="B1316" s="128"/>
      <c r="C1316" s="128"/>
      <c r="D1316" s="112"/>
      <c r="E1316" s="128"/>
      <c r="F1316" s="128"/>
      <c r="G1316" s="128"/>
      <c r="H1316" s="128"/>
      <c r="I1316" s="128"/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  <c r="AV1316" s="128"/>
      <c r="AW1316" s="128"/>
      <c r="AX1316" s="128"/>
      <c r="AY1316" s="128"/>
      <c r="AZ1316" s="128"/>
      <c r="BA1316" s="128"/>
      <c r="BB1316" s="128"/>
      <c r="BC1316" s="128"/>
      <c r="BD1316" s="128"/>
      <c r="BE1316" s="128"/>
      <c r="BF1316" s="128"/>
      <c r="BG1316" s="128"/>
      <c r="BH1316" s="128"/>
      <c r="BI1316" s="128"/>
      <c r="BJ1316" s="128"/>
      <c r="BK1316" s="128"/>
      <c r="BL1316" s="128"/>
      <c r="BM1316" s="151"/>
      <c r="BN1316" s="128"/>
      <c r="BO1316" s="128"/>
      <c r="BP1316" s="128"/>
      <c r="BQ1316" s="128"/>
      <c r="BR1316" s="128"/>
      <c r="BS1316" s="128"/>
      <c r="BT1316" s="128"/>
      <c r="BU1316" s="128"/>
      <c r="BV1316" s="128"/>
      <c r="BW1316" s="128"/>
      <c r="BX1316" s="128"/>
      <c r="BY1316" s="128"/>
      <c r="BZ1316" s="128"/>
      <c r="CA1316" s="128"/>
      <c r="CB1316" s="128"/>
      <c r="CC1316" s="128"/>
      <c r="CD1316" s="128"/>
      <c r="CE1316" s="128"/>
      <c r="CF1316" s="128"/>
      <c r="CG1316" s="128"/>
      <c r="CH1316" s="128"/>
      <c r="CI1316" s="128"/>
      <c r="CJ1316" s="128"/>
      <c r="CK1316" s="128"/>
      <c r="CL1316" s="128"/>
      <c r="CM1316" s="128"/>
      <c r="CN1316" s="128"/>
      <c r="CO1316" s="128"/>
      <c r="CP1316" s="128"/>
      <c r="CQ1316" s="128"/>
      <c r="CR1316" s="128"/>
      <c r="CS1316" s="128"/>
      <c r="CT1316" s="128"/>
      <c r="CU1316" s="128"/>
      <c r="CV1316" s="128"/>
      <c r="CW1316" s="128"/>
      <c r="CX1316" s="128"/>
      <c r="CY1316" s="128"/>
      <c r="CZ1316" s="128"/>
    </row>
    <row r="1317" spans="1:104">
      <c r="A1317" s="128"/>
      <c r="B1317" s="128"/>
      <c r="C1317" s="128"/>
      <c r="D1317" s="112"/>
      <c r="E1317" s="128"/>
      <c r="F1317" s="128"/>
      <c r="G1317" s="128"/>
      <c r="H1317" s="128"/>
      <c r="I1317" s="128"/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  <c r="AV1317" s="128"/>
      <c r="AW1317" s="128"/>
      <c r="AX1317" s="128"/>
      <c r="AY1317" s="128"/>
      <c r="AZ1317" s="128"/>
      <c r="BA1317" s="128"/>
      <c r="BB1317" s="128"/>
      <c r="BC1317" s="128"/>
      <c r="BD1317" s="128"/>
      <c r="BE1317" s="128"/>
      <c r="BF1317" s="128"/>
      <c r="BG1317" s="128"/>
      <c r="BH1317" s="128"/>
      <c r="BI1317" s="128"/>
      <c r="BJ1317" s="128"/>
      <c r="BK1317" s="128"/>
      <c r="BL1317" s="128"/>
      <c r="BM1317" s="151"/>
      <c r="BN1317" s="128"/>
      <c r="BO1317" s="128"/>
      <c r="BP1317" s="128"/>
      <c r="BQ1317" s="128"/>
      <c r="BR1317" s="128"/>
      <c r="BS1317" s="128"/>
      <c r="BT1317" s="128"/>
      <c r="BU1317" s="128"/>
      <c r="BV1317" s="128"/>
      <c r="BW1317" s="128"/>
      <c r="BX1317" s="128"/>
      <c r="BY1317" s="128"/>
      <c r="BZ1317" s="128"/>
      <c r="CA1317" s="128"/>
      <c r="CB1317" s="128"/>
      <c r="CC1317" s="128"/>
      <c r="CD1317" s="128"/>
      <c r="CE1317" s="128"/>
      <c r="CF1317" s="128"/>
      <c r="CG1317" s="128"/>
      <c r="CH1317" s="128"/>
      <c r="CI1317" s="128"/>
      <c r="CJ1317" s="128"/>
      <c r="CK1317" s="128"/>
      <c r="CL1317" s="128"/>
      <c r="CM1317" s="128"/>
      <c r="CN1317" s="128"/>
      <c r="CO1317" s="128"/>
      <c r="CP1317" s="128"/>
      <c r="CQ1317" s="128"/>
      <c r="CR1317" s="128"/>
      <c r="CS1317" s="128"/>
      <c r="CT1317" s="128"/>
      <c r="CU1317" s="128"/>
      <c r="CV1317" s="128"/>
      <c r="CW1317" s="128"/>
      <c r="CX1317" s="128"/>
      <c r="CY1317" s="128"/>
      <c r="CZ1317" s="128"/>
    </row>
    <row r="1318" spans="1:104">
      <c r="A1318" s="128"/>
      <c r="B1318" s="128"/>
      <c r="C1318" s="128"/>
      <c r="D1318" s="112"/>
      <c r="E1318" s="128"/>
      <c r="F1318" s="128"/>
      <c r="G1318" s="128"/>
      <c r="H1318" s="128"/>
      <c r="I1318" s="128"/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  <c r="AV1318" s="128"/>
      <c r="AW1318" s="128"/>
      <c r="AX1318" s="128"/>
      <c r="AY1318" s="128"/>
      <c r="AZ1318" s="128"/>
      <c r="BA1318" s="128"/>
      <c r="BB1318" s="128"/>
      <c r="BC1318" s="128"/>
      <c r="BD1318" s="128"/>
      <c r="BE1318" s="128"/>
      <c r="BF1318" s="128"/>
      <c r="BG1318" s="128"/>
      <c r="BH1318" s="128"/>
      <c r="BI1318" s="128"/>
      <c r="BJ1318" s="128"/>
      <c r="BK1318" s="128"/>
      <c r="BL1318" s="128"/>
      <c r="BM1318" s="151"/>
      <c r="BN1318" s="128"/>
      <c r="BO1318" s="128"/>
      <c r="BP1318" s="128"/>
      <c r="BQ1318" s="128"/>
      <c r="BR1318" s="128"/>
      <c r="BS1318" s="128"/>
      <c r="BT1318" s="128"/>
      <c r="BU1318" s="128"/>
      <c r="BV1318" s="128"/>
      <c r="BW1318" s="128"/>
      <c r="BX1318" s="128"/>
      <c r="BY1318" s="128"/>
      <c r="BZ1318" s="128"/>
      <c r="CA1318" s="128"/>
      <c r="CB1318" s="128"/>
      <c r="CC1318" s="128"/>
      <c r="CD1318" s="128"/>
      <c r="CE1318" s="128"/>
      <c r="CF1318" s="128"/>
      <c r="CG1318" s="128"/>
      <c r="CH1318" s="128"/>
      <c r="CI1318" s="128"/>
      <c r="CJ1318" s="128"/>
      <c r="CK1318" s="128"/>
      <c r="CL1318" s="128"/>
      <c r="CM1318" s="128"/>
      <c r="CN1318" s="128"/>
      <c r="CO1318" s="128"/>
      <c r="CP1318" s="128"/>
      <c r="CQ1318" s="128"/>
      <c r="CR1318" s="128"/>
      <c r="CS1318" s="128"/>
      <c r="CT1318" s="128"/>
      <c r="CU1318" s="128"/>
      <c r="CV1318" s="128"/>
      <c r="CW1318" s="128"/>
      <c r="CX1318" s="128"/>
      <c r="CY1318" s="128"/>
      <c r="CZ1318" s="128"/>
    </row>
    <row r="1319" spans="1:104">
      <c r="A1319" s="128"/>
      <c r="B1319" s="128"/>
      <c r="C1319" s="128"/>
      <c r="D1319" s="112"/>
      <c r="E1319" s="128"/>
      <c r="F1319" s="128"/>
      <c r="G1319" s="128"/>
      <c r="H1319" s="128"/>
      <c r="I1319" s="128"/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  <c r="AV1319" s="128"/>
      <c r="AW1319" s="128"/>
      <c r="AX1319" s="128"/>
      <c r="AY1319" s="128"/>
      <c r="AZ1319" s="128"/>
      <c r="BA1319" s="128"/>
      <c r="BB1319" s="128"/>
      <c r="BC1319" s="128"/>
      <c r="BD1319" s="128"/>
      <c r="BE1319" s="128"/>
      <c r="BF1319" s="128"/>
      <c r="BG1319" s="128"/>
      <c r="BH1319" s="128"/>
      <c r="BI1319" s="128"/>
      <c r="BJ1319" s="128"/>
      <c r="BK1319" s="128"/>
      <c r="BL1319" s="128"/>
      <c r="BM1319" s="151"/>
      <c r="BN1319" s="128"/>
      <c r="BO1319" s="128"/>
      <c r="BP1319" s="128"/>
      <c r="BQ1319" s="128"/>
      <c r="BR1319" s="128"/>
      <c r="BS1319" s="128"/>
      <c r="BT1319" s="128"/>
      <c r="BU1319" s="128"/>
      <c r="BV1319" s="128"/>
      <c r="BW1319" s="128"/>
      <c r="BX1319" s="128"/>
      <c r="BY1319" s="128"/>
      <c r="BZ1319" s="128"/>
      <c r="CA1319" s="128"/>
      <c r="CB1319" s="128"/>
      <c r="CC1319" s="128"/>
      <c r="CD1319" s="128"/>
      <c r="CE1319" s="128"/>
      <c r="CF1319" s="128"/>
      <c r="CG1319" s="128"/>
      <c r="CH1319" s="128"/>
      <c r="CI1319" s="128"/>
      <c r="CJ1319" s="128"/>
      <c r="CK1319" s="128"/>
      <c r="CL1319" s="128"/>
      <c r="CM1319" s="128"/>
      <c r="CN1319" s="128"/>
      <c r="CO1319" s="128"/>
      <c r="CP1319" s="128"/>
      <c r="CQ1319" s="128"/>
      <c r="CR1319" s="128"/>
      <c r="CS1319" s="128"/>
      <c r="CT1319" s="128"/>
      <c r="CU1319" s="128"/>
      <c r="CV1319" s="128"/>
      <c r="CW1319" s="128"/>
      <c r="CX1319" s="128"/>
      <c r="CY1319" s="128"/>
      <c r="CZ1319" s="128"/>
    </row>
    <row r="1320" spans="1:104">
      <c r="A1320" s="128"/>
      <c r="B1320" s="128"/>
      <c r="C1320" s="128"/>
      <c r="D1320" s="112"/>
      <c r="E1320" s="128"/>
      <c r="F1320" s="128"/>
      <c r="G1320" s="128"/>
      <c r="H1320" s="128"/>
      <c r="I1320" s="128"/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  <c r="AV1320" s="128"/>
      <c r="AW1320" s="128"/>
      <c r="AX1320" s="128"/>
      <c r="AY1320" s="128"/>
      <c r="AZ1320" s="128"/>
      <c r="BA1320" s="128"/>
      <c r="BB1320" s="128"/>
      <c r="BC1320" s="128"/>
      <c r="BD1320" s="128"/>
      <c r="BE1320" s="128"/>
      <c r="BF1320" s="128"/>
      <c r="BG1320" s="128"/>
      <c r="BH1320" s="128"/>
      <c r="BI1320" s="128"/>
      <c r="BJ1320" s="128"/>
      <c r="BK1320" s="128"/>
      <c r="BL1320" s="128"/>
      <c r="BM1320" s="151"/>
      <c r="BN1320" s="128"/>
      <c r="BO1320" s="128"/>
      <c r="BP1320" s="128"/>
      <c r="BQ1320" s="128"/>
      <c r="BR1320" s="128"/>
      <c r="BS1320" s="128"/>
      <c r="BT1320" s="128"/>
      <c r="BU1320" s="128"/>
      <c r="BV1320" s="128"/>
      <c r="BW1320" s="128"/>
      <c r="BX1320" s="128"/>
      <c r="BY1320" s="128"/>
      <c r="BZ1320" s="128"/>
      <c r="CA1320" s="128"/>
      <c r="CB1320" s="128"/>
      <c r="CC1320" s="128"/>
      <c r="CD1320" s="128"/>
      <c r="CE1320" s="128"/>
      <c r="CF1320" s="128"/>
      <c r="CG1320" s="128"/>
      <c r="CH1320" s="128"/>
      <c r="CI1320" s="128"/>
      <c r="CJ1320" s="128"/>
      <c r="CK1320" s="128"/>
      <c r="CL1320" s="128"/>
      <c r="CM1320" s="128"/>
      <c r="CN1320" s="128"/>
      <c r="CO1320" s="128"/>
      <c r="CP1320" s="128"/>
      <c r="CQ1320" s="128"/>
      <c r="CR1320" s="128"/>
      <c r="CS1320" s="128"/>
      <c r="CT1320" s="128"/>
      <c r="CU1320" s="128"/>
      <c r="CV1320" s="128"/>
      <c r="CW1320" s="128"/>
      <c r="CX1320" s="128"/>
      <c r="CY1320" s="128"/>
      <c r="CZ1320" s="128"/>
    </row>
    <row r="1321" spans="1:104">
      <c r="A1321" s="128"/>
      <c r="B1321" s="128"/>
      <c r="C1321" s="128"/>
      <c r="D1321" s="112"/>
      <c r="E1321" s="128"/>
      <c r="F1321" s="128"/>
      <c r="G1321" s="128"/>
      <c r="H1321" s="128"/>
      <c r="I1321" s="128"/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  <c r="AV1321" s="128"/>
      <c r="AW1321" s="128"/>
      <c r="AX1321" s="128"/>
      <c r="AY1321" s="128"/>
      <c r="AZ1321" s="128"/>
      <c r="BA1321" s="128"/>
      <c r="BB1321" s="128"/>
      <c r="BC1321" s="128"/>
      <c r="BD1321" s="128"/>
      <c r="BE1321" s="128"/>
      <c r="BF1321" s="128"/>
      <c r="BG1321" s="128"/>
      <c r="BH1321" s="128"/>
      <c r="BI1321" s="128"/>
      <c r="BJ1321" s="128"/>
      <c r="BK1321" s="128"/>
      <c r="BL1321" s="128"/>
      <c r="BM1321" s="151"/>
      <c r="BN1321" s="128"/>
      <c r="BO1321" s="128"/>
      <c r="BP1321" s="128"/>
      <c r="BQ1321" s="128"/>
      <c r="BR1321" s="128"/>
      <c r="BS1321" s="128"/>
      <c r="BT1321" s="128"/>
      <c r="BU1321" s="128"/>
      <c r="BV1321" s="128"/>
      <c r="BW1321" s="128"/>
      <c r="BX1321" s="128"/>
      <c r="BY1321" s="128"/>
      <c r="BZ1321" s="128"/>
      <c r="CA1321" s="128"/>
      <c r="CB1321" s="128"/>
      <c r="CC1321" s="128"/>
      <c r="CD1321" s="128"/>
      <c r="CE1321" s="128"/>
      <c r="CF1321" s="128"/>
      <c r="CG1321" s="128"/>
      <c r="CH1321" s="128"/>
      <c r="CI1321" s="128"/>
      <c r="CJ1321" s="128"/>
      <c r="CK1321" s="128"/>
      <c r="CL1321" s="128"/>
      <c r="CM1321" s="128"/>
      <c r="CN1321" s="128"/>
      <c r="CO1321" s="128"/>
      <c r="CP1321" s="128"/>
      <c r="CQ1321" s="128"/>
      <c r="CR1321" s="128"/>
      <c r="CS1321" s="128"/>
      <c r="CT1321" s="128"/>
      <c r="CU1321" s="128"/>
      <c r="CV1321" s="128"/>
      <c r="CW1321" s="128"/>
      <c r="CX1321" s="128"/>
      <c r="CY1321" s="128"/>
      <c r="CZ1321" s="128"/>
    </row>
    <row r="1322" spans="1:104">
      <c r="A1322" s="128"/>
      <c r="B1322" s="128"/>
      <c r="C1322" s="128"/>
      <c r="D1322" s="112"/>
      <c r="E1322" s="128"/>
      <c r="F1322" s="128"/>
      <c r="G1322" s="128"/>
      <c r="H1322" s="128"/>
      <c r="I1322" s="128"/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  <c r="AV1322" s="128"/>
      <c r="AW1322" s="128"/>
      <c r="AX1322" s="128"/>
      <c r="AY1322" s="128"/>
      <c r="AZ1322" s="128"/>
      <c r="BA1322" s="128"/>
      <c r="BB1322" s="128"/>
      <c r="BC1322" s="128"/>
      <c r="BD1322" s="128"/>
      <c r="BE1322" s="128"/>
      <c r="BF1322" s="128"/>
      <c r="BG1322" s="128"/>
      <c r="BH1322" s="128"/>
      <c r="BI1322" s="128"/>
      <c r="BJ1322" s="128"/>
      <c r="BK1322" s="128"/>
      <c r="BL1322" s="128"/>
      <c r="BM1322" s="151"/>
      <c r="BN1322" s="128"/>
      <c r="BO1322" s="128"/>
      <c r="BP1322" s="128"/>
      <c r="BQ1322" s="128"/>
      <c r="BR1322" s="128"/>
      <c r="BS1322" s="128"/>
      <c r="BT1322" s="128"/>
      <c r="BU1322" s="128"/>
      <c r="BV1322" s="128"/>
      <c r="BW1322" s="128"/>
      <c r="BX1322" s="128"/>
      <c r="BY1322" s="128"/>
      <c r="BZ1322" s="128"/>
      <c r="CA1322" s="128"/>
      <c r="CB1322" s="128"/>
      <c r="CC1322" s="128"/>
      <c r="CD1322" s="128"/>
      <c r="CE1322" s="128"/>
      <c r="CF1322" s="128"/>
      <c r="CG1322" s="128"/>
      <c r="CH1322" s="128"/>
      <c r="CI1322" s="128"/>
      <c r="CJ1322" s="128"/>
      <c r="CK1322" s="128"/>
      <c r="CL1322" s="128"/>
      <c r="CM1322" s="128"/>
      <c r="CN1322" s="128"/>
      <c r="CO1322" s="128"/>
      <c r="CP1322" s="128"/>
      <c r="CQ1322" s="128"/>
      <c r="CR1322" s="128"/>
      <c r="CS1322" s="128"/>
      <c r="CT1322" s="128"/>
      <c r="CU1322" s="128"/>
      <c r="CV1322" s="128"/>
      <c r="CW1322" s="128"/>
      <c r="CX1322" s="128"/>
      <c r="CY1322" s="128"/>
      <c r="CZ1322" s="128"/>
    </row>
    <row r="1323" spans="1:104">
      <c r="A1323" s="128"/>
      <c r="B1323" s="128"/>
      <c r="C1323" s="128"/>
      <c r="D1323" s="112"/>
      <c r="E1323" s="128"/>
      <c r="F1323" s="128"/>
      <c r="G1323" s="128"/>
      <c r="H1323" s="128"/>
      <c r="I1323" s="128"/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  <c r="AV1323" s="128"/>
      <c r="AW1323" s="128"/>
      <c r="AX1323" s="128"/>
      <c r="AY1323" s="128"/>
      <c r="AZ1323" s="128"/>
      <c r="BA1323" s="128"/>
      <c r="BB1323" s="128"/>
      <c r="BC1323" s="128"/>
      <c r="BD1323" s="128"/>
      <c r="BE1323" s="128"/>
      <c r="BF1323" s="128"/>
      <c r="BG1323" s="128"/>
      <c r="BH1323" s="128"/>
      <c r="BI1323" s="128"/>
      <c r="BJ1323" s="128"/>
      <c r="BK1323" s="128"/>
      <c r="BL1323" s="128"/>
      <c r="BM1323" s="151"/>
      <c r="BN1323" s="128"/>
      <c r="BO1323" s="128"/>
      <c r="BP1323" s="128"/>
      <c r="BQ1323" s="128"/>
      <c r="BR1323" s="128"/>
      <c r="BS1323" s="128"/>
      <c r="BT1323" s="128"/>
      <c r="BU1323" s="128"/>
      <c r="BV1323" s="128"/>
      <c r="BW1323" s="128"/>
      <c r="BX1323" s="128"/>
      <c r="BY1323" s="128"/>
      <c r="BZ1323" s="128"/>
      <c r="CA1323" s="128"/>
      <c r="CB1323" s="128"/>
      <c r="CC1323" s="128"/>
      <c r="CD1323" s="128"/>
      <c r="CE1323" s="128"/>
      <c r="CF1323" s="128"/>
      <c r="CG1323" s="128"/>
      <c r="CH1323" s="128"/>
      <c r="CI1323" s="128"/>
      <c r="CJ1323" s="128"/>
      <c r="CK1323" s="128"/>
      <c r="CL1323" s="128"/>
      <c r="CM1323" s="128"/>
      <c r="CN1323" s="128"/>
      <c r="CO1323" s="128"/>
      <c r="CP1323" s="128"/>
      <c r="CQ1323" s="128"/>
      <c r="CR1323" s="128"/>
      <c r="CS1323" s="128"/>
      <c r="CT1323" s="128"/>
      <c r="CU1323" s="128"/>
      <c r="CV1323" s="128"/>
      <c r="CW1323" s="128"/>
      <c r="CX1323" s="128"/>
      <c r="CY1323" s="128"/>
      <c r="CZ1323" s="128"/>
    </row>
    <row r="1324" spans="1:104">
      <c r="A1324" s="128"/>
      <c r="B1324" s="128"/>
      <c r="C1324" s="128"/>
      <c r="D1324" s="112"/>
      <c r="E1324" s="128"/>
      <c r="F1324" s="128"/>
      <c r="G1324" s="128"/>
      <c r="H1324" s="128"/>
      <c r="I1324" s="128"/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  <c r="AV1324" s="128"/>
      <c r="AW1324" s="128"/>
      <c r="AX1324" s="128"/>
      <c r="AY1324" s="128"/>
      <c r="AZ1324" s="128"/>
      <c r="BA1324" s="128"/>
      <c r="BB1324" s="128"/>
      <c r="BC1324" s="128"/>
      <c r="BD1324" s="128"/>
      <c r="BE1324" s="128"/>
      <c r="BF1324" s="128"/>
      <c r="BG1324" s="128"/>
      <c r="BH1324" s="128"/>
      <c r="BI1324" s="128"/>
      <c r="BJ1324" s="128"/>
      <c r="BK1324" s="128"/>
      <c r="BL1324" s="128"/>
      <c r="BM1324" s="151"/>
      <c r="BN1324" s="128"/>
      <c r="BO1324" s="128"/>
      <c r="BP1324" s="128"/>
      <c r="BQ1324" s="128"/>
      <c r="BR1324" s="128"/>
      <c r="BS1324" s="128"/>
      <c r="BT1324" s="128"/>
      <c r="BU1324" s="128"/>
      <c r="BV1324" s="128"/>
      <c r="BW1324" s="128"/>
      <c r="BX1324" s="128"/>
      <c r="BY1324" s="128"/>
      <c r="BZ1324" s="128"/>
      <c r="CA1324" s="128"/>
      <c r="CB1324" s="128"/>
      <c r="CC1324" s="128"/>
      <c r="CD1324" s="128"/>
      <c r="CE1324" s="128"/>
      <c r="CF1324" s="128"/>
      <c r="CG1324" s="128"/>
      <c r="CH1324" s="128"/>
      <c r="CI1324" s="128"/>
      <c r="CJ1324" s="128"/>
      <c r="CK1324" s="128"/>
      <c r="CL1324" s="128"/>
      <c r="CM1324" s="128"/>
      <c r="CN1324" s="128"/>
      <c r="CO1324" s="128"/>
      <c r="CP1324" s="128"/>
      <c r="CQ1324" s="128"/>
      <c r="CR1324" s="128"/>
      <c r="CS1324" s="128"/>
      <c r="CT1324" s="128"/>
      <c r="CU1324" s="128"/>
      <c r="CV1324" s="128"/>
      <c r="CW1324" s="128"/>
      <c r="CX1324" s="128"/>
      <c r="CY1324" s="128"/>
      <c r="CZ1324" s="128"/>
    </row>
    <row r="1325" spans="1:104">
      <c r="A1325" s="128"/>
      <c r="B1325" s="128"/>
      <c r="C1325" s="128"/>
      <c r="D1325" s="112"/>
      <c r="E1325" s="128"/>
      <c r="F1325" s="128"/>
      <c r="G1325" s="128"/>
      <c r="H1325" s="128"/>
      <c r="I1325" s="128"/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  <c r="AV1325" s="128"/>
      <c r="AW1325" s="128"/>
      <c r="AX1325" s="128"/>
      <c r="AY1325" s="128"/>
      <c r="AZ1325" s="128"/>
      <c r="BA1325" s="128"/>
      <c r="BB1325" s="128"/>
      <c r="BC1325" s="128"/>
      <c r="BD1325" s="128"/>
      <c r="BE1325" s="128"/>
      <c r="BF1325" s="128"/>
      <c r="BG1325" s="128"/>
      <c r="BH1325" s="128"/>
      <c r="BI1325" s="128"/>
      <c r="BJ1325" s="128"/>
      <c r="BK1325" s="128"/>
      <c r="BL1325" s="128"/>
      <c r="BM1325" s="151"/>
      <c r="BN1325" s="128"/>
      <c r="BO1325" s="128"/>
      <c r="BP1325" s="128"/>
      <c r="BQ1325" s="128"/>
      <c r="BR1325" s="128"/>
      <c r="BS1325" s="128"/>
      <c r="BT1325" s="128"/>
      <c r="BU1325" s="128"/>
      <c r="BV1325" s="128"/>
      <c r="BW1325" s="128"/>
      <c r="BX1325" s="128"/>
      <c r="BY1325" s="128"/>
      <c r="BZ1325" s="128"/>
      <c r="CA1325" s="128"/>
      <c r="CB1325" s="128"/>
      <c r="CC1325" s="128"/>
      <c r="CD1325" s="128"/>
      <c r="CE1325" s="128"/>
      <c r="CF1325" s="128"/>
      <c r="CG1325" s="128"/>
      <c r="CH1325" s="128"/>
      <c r="CI1325" s="128"/>
      <c r="CJ1325" s="128"/>
      <c r="CK1325" s="128"/>
      <c r="CL1325" s="128"/>
      <c r="CM1325" s="128"/>
      <c r="CN1325" s="128"/>
      <c r="CO1325" s="128"/>
      <c r="CP1325" s="128"/>
      <c r="CQ1325" s="128"/>
      <c r="CR1325" s="128"/>
      <c r="CS1325" s="128"/>
      <c r="CT1325" s="128"/>
      <c r="CU1325" s="128"/>
      <c r="CV1325" s="128"/>
      <c r="CW1325" s="128"/>
      <c r="CX1325" s="128"/>
      <c r="CY1325" s="128"/>
      <c r="CZ1325" s="128"/>
    </row>
    <row r="1326" spans="1:104">
      <c r="A1326" s="128"/>
      <c r="B1326" s="128"/>
      <c r="C1326" s="128"/>
      <c r="D1326" s="112"/>
      <c r="E1326" s="128"/>
      <c r="F1326" s="128"/>
      <c r="G1326" s="128"/>
      <c r="H1326" s="128"/>
      <c r="I1326" s="128"/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  <c r="AV1326" s="128"/>
      <c r="AW1326" s="128"/>
      <c r="AX1326" s="128"/>
      <c r="AY1326" s="128"/>
      <c r="AZ1326" s="128"/>
      <c r="BA1326" s="128"/>
      <c r="BB1326" s="128"/>
      <c r="BC1326" s="128"/>
      <c r="BD1326" s="128"/>
      <c r="BE1326" s="128"/>
      <c r="BF1326" s="128"/>
      <c r="BG1326" s="128"/>
      <c r="BH1326" s="128"/>
      <c r="BI1326" s="128"/>
      <c r="BJ1326" s="128"/>
      <c r="BK1326" s="128"/>
      <c r="BL1326" s="128"/>
      <c r="BM1326" s="151"/>
      <c r="BN1326" s="128"/>
      <c r="BO1326" s="128"/>
      <c r="BP1326" s="128"/>
      <c r="BQ1326" s="128"/>
      <c r="BR1326" s="128"/>
      <c r="BS1326" s="128"/>
      <c r="BT1326" s="128"/>
      <c r="BU1326" s="128"/>
      <c r="BV1326" s="128"/>
      <c r="BW1326" s="128"/>
      <c r="BX1326" s="128"/>
      <c r="BY1326" s="128"/>
      <c r="BZ1326" s="128"/>
      <c r="CA1326" s="128"/>
      <c r="CB1326" s="128"/>
      <c r="CC1326" s="128"/>
      <c r="CD1326" s="128"/>
      <c r="CE1326" s="128"/>
      <c r="CF1326" s="128"/>
      <c r="CG1326" s="128"/>
      <c r="CH1326" s="128"/>
      <c r="CI1326" s="128"/>
      <c r="CJ1326" s="128"/>
      <c r="CK1326" s="128"/>
      <c r="CL1326" s="128"/>
      <c r="CM1326" s="128"/>
      <c r="CN1326" s="128"/>
      <c r="CO1326" s="128"/>
      <c r="CP1326" s="128"/>
      <c r="CQ1326" s="128"/>
      <c r="CR1326" s="128"/>
      <c r="CS1326" s="128"/>
      <c r="CT1326" s="128"/>
      <c r="CU1326" s="128"/>
      <c r="CV1326" s="128"/>
      <c r="CW1326" s="128"/>
      <c r="CX1326" s="128"/>
      <c r="CY1326" s="128"/>
      <c r="CZ1326" s="128"/>
    </row>
    <row r="1327" spans="1:104">
      <c r="A1327" s="128"/>
      <c r="B1327" s="128"/>
      <c r="C1327" s="128"/>
      <c r="D1327" s="112"/>
      <c r="E1327" s="128"/>
      <c r="F1327" s="128"/>
      <c r="G1327" s="128"/>
      <c r="H1327" s="128"/>
      <c r="I1327" s="128"/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  <c r="AV1327" s="128"/>
      <c r="AW1327" s="128"/>
      <c r="AX1327" s="128"/>
      <c r="AY1327" s="128"/>
      <c r="AZ1327" s="128"/>
      <c r="BA1327" s="128"/>
      <c r="BB1327" s="128"/>
      <c r="BC1327" s="128"/>
      <c r="BD1327" s="128"/>
      <c r="BE1327" s="128"/>
      <c r="BF1327" s="128"/>
      <c r="BG1327" s="128"/>
      <c r="BH1327" s="128"/>
      <c r="BI1327" s="128"/>
      <c r="BJ1327" s="128"/>
      <c r="BK1327" s="128"/>
      <c r="BL1327" s="128"/>
      <c r="BM1327" s="151"/>
      <c r="BN1327" s="128"/>
      <c r="BO1327" s="128"/>
      <c r="BP1327" s="128"/>
      <c r="BQ1327" s="128"/>
      <c r="BR1327" s="128"/>
      <c r="BS1327" s="128"/>
      <c r="BT1327" s="128"/>
      <c r="BU1327" s="128"/>
      <c r="BV1327" s="128"/>
      <c r="BW1327" s="128"/>
      <c r="BX1327" s="128"/>
      <c r="BY1327" s="128"/>
      <c r="BZ1327" s="128"/>
      <c r="CA1327" s="128"/>
      <c r="CB1327" s="128"/>
      <c r="CC1327" s="128"/>
      <c r="CD1327" s="128"/>
      <c r="CE1327" s="128"/>
      <c r="CF1327" s="128"/>
      <c r="CG1327" s="128"/>
      <c r="CH1327" s="128"/>
      <c r="CI1327" s="128"/>
      <c r="CJ1327" s="128"/>
      <c r="CK1327" s="128"/>
      <c r="CL1327" s="128"/>
      <c r="CM1327" s="128"/>
      <c r="CN1327" s="128"/>
      <c r="CO1327" s="128"/>
      <c r="CP1327" s="128"/>
      <c r="CQ1327" s="128"/>
      <c r="CR1327" s="128"/>
      <c r="CS1327" s="128"/>
      <c r="CT1327" s="128"/>
      <c r="CU1327" s="128"/>
      <c r="CV1327" s="128"/>
      <c r="CW1327" s="128"/>
      <c r="CX1327" s="128"/>
      <c r="CY1327" s="128"/>
      <c r="CZ1327" s="128"/>
    </row>
    <row r="1328" spans="1:104">
      <c r="A1328" s="128"/>
      <c r="B1328" s="128"/>
      <c r="C1328" s="128"/>
      <c r="D1328" s="112"/>
      <c r="E1328" s="128"/>
      <c r="F1328" s="128"/>
      <c r="G1328" s="128"/>
      <c r="H1328" s="128"/>
      <c r="I1328" s="128"/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  <c r="AV1328" s="128"/>
      <c r="AW1328" s="128"/>
      <c r="AX1328" s="128"/>
      <c r="AY1328" s="128"/>
      <c r="AZ1328" s="128"/>
      <c r="BA1328" s="128"/>
      <c r="BB1328" s="128"/>
      <c r="BC1328" s="128"/>
      <c r="BD1328" s="128"/>
      <c r="BE1328" s="128"/>
      <c r="BF1328" s="128"/>
      <c r="BG1328" s="128"/>
      <c r="BH1328" s="128"/>
      <c r="BI1328" s="128"/>
      <c r="BJ1328" s="128"/>
      <c r="BK1328" s="128"/>
      <c r="BL1328" s="128"/>
      <c r="BM1328" s="151"/>
      <c r="BN1328" s="128"/>
      <c r="BO1328" s="128"/>
      <c r="BP1328" s="128"/>
      <c r="BQ1328" s="128"/>
      <c r="BR1328" s="128"/>
      <c r="BS1328" s="128"/>
      <c r="BT1328" s="128"/>
      <c r="BU1328" s="128"/>
      <c r="BV1328" s="128"/>
      <c r="BW1328" s="128"/>
      <c r="BX1328" s="128"/>
      <c r="BY1328" s="128"/>
      <c r="BZ1328" s="128"/>
      <c r="CA1328" s="128"/>
      <c r="CB1328" s="128"/>
      <c r="CC1328" s="128"/>
      <c r="CD1328" s="128"/>
      <c r="CE1328" s="128"/>
      <c r="CF1328" s="128"/>
      <c r="CG1328" s="128"/>
      <c r="CH1328" s="128"/>
      <c r="CI1328" s="128"/>
      <c r="CJ1328" s="128"/>
      <c r="CK1328" s="128"/>
      <c r="CL1328" s="128"/>
      <c r="CM1328" s="128"/>
      <c r="CN1328" s="128"/>
      <c r="CO1328" s="128"/>
      <c r="CP1328" s="128"/>
      <c r="CQ1328" s="128"/>
      <c r="CR1328" s="128"/>
      <c r="CS1328" s="128"/>
      <c r="CT1328" s="128"/>
      <c r="CU1328" s="128"/>
      <c r="CV1328" s="128"/>
      <c r="CW1328" s="128"/>
      <c r="CX1328" s="128"/>
      <c r="CY1328" s="128"/>
      <c r="CZ1328" s="128"/>
    </row>
    <row r="1329" spans="1:104">
      <c r="A1329" s="128"/>
      <c r="B1329" s="128"/>
      <c r="C1329" s="128"/>
      <c r="D1329" s="112"/>
      <c r="E1329" s="128"/>
      <c r="F1329" s="128"/>
      <c r="G1329" s="128"/>
      <c r="H1329" s="128"/>
      <c r="I1329" s="128"/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  <c r="AV1329" s="128"/>
      <c r="AW1329" s="128"/>
      <c r="AX1329" s="128"/>
      <c r="AY1329" s="128"/>
      <c r="AZ1329" s="128"/>
      <c r="BA1329" s="128"/>
      <c r="BB1329" s="128"/>
      <c r="BC1329" s="128"/>
      <c r="BD1329" s="128"/>
      <c r="BE1329" s="128"/>
      <c r="BF1329" s="128"/>
      <c r="BG1329" s="128"/>
      <c r="BH1329" s="128"/>
      <c r="BI1329" s="128"/>
      <c r="BJ1329" s="128"/>
      <c r="BK1329" s="128"/>
      <c r="BL1329" s="128"/>
      <c r="BM1329" s="151"/>
      <c r="BN1329" s="128"/>
      <c r="BO1329" s="128"/>
      <c r="BP1329" s="128"/>
      <c r="BQ1329" s="128"/>
      <c r="BR1329" s="128"/>
      <c r="BS1329" s="128"/>
      <c r="BT1329" s="128"/>
      <c r="BU1329" s="128"/>
      <c r="BV1329" s="128"/>
      <c r="BW1329" s="128"/>
      <c r="BX1329" s="128"/>
      <c r="BY1329" s="128"/>
      <c r="BZ1329" s="128"/>
      <c r="CA1329" s="128"/>
      <c r="CB1329" s="128"/>
      <c r="CC1329" s="128"/>
      <c r="CD1329" s="128"/>
      <c r="CE1329" s="128"/>
      <c r="CF1329" s="128"/>
      <c r="CG1329" s="128"/>
      <c r="CH1329" s="128"/>
      <c r="CI1329" s="128"/>
      <c r="CJ1329" s="128"/>
      <c r="CK1329" s="128"/>
      <c r="CL1329" s="128"/>
      <c r="CM1329" s="128"/>
      <c r="CN1329" s="128"/>
      <c r="CO1329" s="128"/>
      <c r="CP1329" s="128"/>
      <c r="CQ1329" s="128"/>
      <c r="CR1329" s="128"/>
      <c r="CS1329" s="128"/>
      <c r="CT1329" s="128"/>
      <c r="CU1329" s="128"/>
      <c r="CV1329" s="128"/>
      <c r="CW1329" s="128"/>
      <c r="CX1329" s="128"/>
      <c r="CY1329" s="128"/>
      <c r="CZ1329" s="128"/>
    </row>
    <row r="1330" spans="1:104">
      <c r="A1330" s="128"/>
      <c r="B1330" s="128"/>
      <c r="C1330" s="128"/>
      <c r="D1330" s="112"/>
      <c r="E1330" s="128"/>
      <c r="F1330" s="128"/>
      <c r="G1330" s="128"/>
      <c r="H1330" s="128"/>
      <c r="I1330" s="128"/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  <c r="AV1330" s="128"/>
      <c r="AW1330" s="128"/>
      <c r="AX1330" s="128"/>
      <c r="AY1330" s="128"/>
      <c r="AZ1330" s="128"/>
      <c r="BA1330" s="128"/>
      <c r="BB1330" s="128"/>
      <c r="BC1330" s="128"/>
      <c r="BD1330" s="128"/>
      <c r="BE1330" s="128"/>
      <c r="BF1330" s="128"/>
      <c r="BG1330" s="128"/>
      <c r="BH1330" s="128"/>
      <c r="BI1330" s="128"/>
      <c r="BJ1330" s="128"/>
      <c r="BK1330" s="128"/>
      <c r="BL1330" s="128"/>
      <c r="BM1330" s="151"/>
      <c r="BN1330" s="128"/>
      <c r="BO1330" s="128"/>
      <c r="BP1330" s="128"/>
      <c r="BQ1330" s="128"/>
      <c r="BR1330" s="128"/>
      <c r="BS1330" s="128"/>
      <c r="BT1330" s="128"/>
      <c r="BU1330" s="128"/>
      <c r="BV1330" s="128"/>
      <c r="BW1330" s="128"/>
      <c r="BX1330" s="128"/>
      <c r="BY1330" s="128"/>
      <c r="BZ1330" s="128"/>
      <c r="CA1330" s="128"/>
      <c r="CB1330" s="128"/>
      <c r="CC1330" s="128"/>
      <c r="CD1330" s="128"/>
      <c r="CE1330" s="128"/>
      <c r="CF1330" s="128"/>
      <c r="CG1330" s="128"/>
      <c r="CH1330" s="128"/>
      <c r="CI1330" s="128"/>
      <c r="CJ1330" s="128"/>
      <c r="CK1330" s="128"/>
      <c r="CL1330" s="128"/>
      <c r="CM1330" s="128"/>
      <c r="CN1330" s="128"/>
      <c r="CO1330" s="128"/>
      <c r="CP1330" s="128"/>
      <c r="CQ1330" s="128"/>
      <c r="CR1330" s="128"/>
      <c r="CS1330" s="128"/>
      <c r="CT1330" s="128"/>
      <c r="CU1330" s="128"/>
      <c r="CV1330" s="128"/>
      <c r="CW1330" s="128"/>
      <c r="CX1330" s="128"/>
      <c r="CY1330" s="128"/>
      <c r="CZ1330" s="128"/>
    </row>
    <row r="1331" spans="1:104">
      <c r="A1331" s="128"/>
      <c r="B1331" s="128"/>
      <c r="C1331" s="128"/>
      <c r="D1331" s="112"/>
      <c r="E1331" s="128"/>
      <c r="F1331" s="128"/>
      <c r="G1331" s="128"/>
      <c r="H1331" s="128"/>
      <c r="I1331" s="128"/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  <c r="AV1331" s="128"/>
      <c r="AW1331" s="128"/>
      <c r="AX1331" s="128"/>
      <c r="AY1331" s="128"/>
      <c r="AZ1331" s="128"/>
      <c r="BA1331" s="128"/>
      <c r="BB1331" s="128"/>
      <c r="BC1331" s="128"/>
      <c r="BD1331" s="128"/>
      <c r="BE1331" s="128"/>
      <c r="BF1331" s="128"/>
      <c r="BG1331" s="128"/>
      <c r="BH1331" s="128"/>
      <c r="BI1331" s="128"/>
      <c r="BJ1331" s="128"/>
      <c r="BK1331" s="128"/>
      <c r="BL1331" s="128"/>
      <c r="BM1331" s="151"/>
      <c r="BN1331" s="128"/>
      <c r="BO1331" s="128"/>
      <c r="BP1331" s="128"/>
      <c r="BQ1331" s="128"/>
      <c r="BR1331" s="128"/>
      <c r="BS1331" s="128"/>
      <c r="BT1331" s="128"/>
      <c r="BU1331" s="128"/>
      <c r="BV1331" s="128"/>
      <c r="BW1331" s="128"/>
      <c r="BX1331" s="128"/>
      <c r="BY1331" s="128"/>
      <c r="BZ1331" s="128"/>
      <c r="CA1331" s="128"/>
      <c r="CB1331" s="128"/>
      <c r="CC1331" s="128"/>
      <c r="CD1331" s="128"/>
      <c r="CE1331" s="128"/>
      <c r="CF1331" s="128"/>
      <c r="CG1331" s="128"/>
      <c r="CH1331" s="128"/>
      <c r="CI1331" s="128"/>
      <c r="CJ1331" s="128"/>
      <c r="CK1331" s="128"/>
      <c r="CL1331" s="128"/>
      <c r="CM1331" s="128"/>
      <c r="CN1331" s="128"/>
      <c r="CO1331" s="128"/>
      <c r="CP1331" s="128"/>
      <c r="CQ1331" s="128"/>
      <c r="CR1331" s="128"/>
      <c r="CS1331" s="128"/>
      <c r="CT1331" s="128"/>
      <c r="CU1331" s="128"/>
      <c r="CV1331" s="128"/>
      <c r="CW1331" s="128"/>
      <c r="CX1331" s="128"/>
      <c r="CY1331" s="128"/>
      <c r="CZ1331" s="128"/>
    </row>
    <row r="1332" spans="1:104">
      <c r="A1332" s="128"/>
      <c r="B1332" s="128"/>
      <c r="C1332" s="128"/>
      <c r="D1332" s="112"/>
      <c r="E1332" s="128"/>
      <c r="F1332" s="128"/>
      <c r="G1332" s="128"/>
      <c r="H1332" s="128"/>
      <c r="I1332" s="128"/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  <c r="AV1332" s="128"/>
      <c r="AW1332" s="128"/>
      <c r="AX1332" s="128"/>
      <c r="AY1332" s="128"/>
      <c r="AZ1332" s="128"/>
      <c r="BA1332" s="128"/>
      <c r="BB1332" s="128"/>
      <c r="BC1332" s="128"/>
      <c r="BD1332" s="128"/>
      <c r="BE1332" s="128"/>
      <c r="BF1332" s="128"/>
      <c r="BG1332" s="128"/>
      <c r="BH1332" s="128"/>
      <c r="BI1332" s="128"/>
      <c r="BJ1332" s="128"/>
      <c r="BK1332" s="128"/>
      <c r="BL1332" s="128"/>
      <c r="BM1332" s="151"/>
      <c r="BN1332" s="128"/>
      <c r="BO1332" s="128"/>
      <c r="BP1332" s="128"/>
      <c r="BQ1332" s="128"/>
      <c r="BR1332" s="128"/>
      <c r="BS1332" s="128"/>
      <c r="BT1332" s="128"/>
      <c r="BU1332" s="128"/>
      <c r="BV1332" s="128"/>
      <c r="BW1332" s="128"/>
      <c r="BX1332" s="128"/>
      <c r="BY1332" s="128"/>
      <c r="BZ1332" s="128"/>
      <c r="CA1332" s="128"/>
      <c r="CB1332" s="128"/>
      <c r="CC1332" s="128"/>
      <c r="CD1332" s="128"/>
      <c r="CE1332" s="128"/>
      <c r="CF1332" s="128"/>
      <c r="CG1332" s="128"/>
      <c r="CH1332" s="128"/>
      <c r="CI1332" s="128"/>
      <c r="CJ1332" s="128"/>
      <c r="CK1332" s="128"/>
      <c r="CL1332" s="128"/>
      <c r="CM1332" s="128"/>
      <c r="CN1332" s="128"/>
      <c r="CO1332" s="128"/>
      <c r="CP1332" s="128"/>
      <c r="CQ1332" s="128"/>
      <c r="CR1332" s="128"/>
      <c r="CS1332" s="128"/>
      <c r="CT1332" s="128"/>
      <c r="CU1332" s="128"/>
      <c r="CV1332" s="128"/>
      <c r="CW1332" s="128"/>
      <c r="CX1332" s="128"/>
      <c r="CY1332" s="128"/>
      <c r="CZ1332" s="128"/>
    </row>
    <row r="1333" spans="1:104">
      <c r="A1333" s="128"/>
      <c r="B1333" s="128"/>
      <c r="C1333" s="128"/>
      <c r="D1333" s="112"/>
      <c r="E1333" s="128"/>
      <c r="F1333" s="128"/>
      <c r="G1333" s="128"/>
      <c r="H1333" s="128"/>
      <c r="I1333" s="128"/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  <c r="AV1333" s="128"/>
      <c r="AW1333" s="128"/>
      <c r="AX1333" s="128"/>
      <c r="AY1333" s="128"/>
      <c r="AZ1333" s="128"/>
      <c r="BA1333" s="128"/>
      <c r="BB1333" s="128"/>
      <c r="BC1333" s="128"/>
      <c r="BD1333" s="128"/>
      <c r="BE1333" s="128"/>
      <c r="BF1333" s="128"/>
      <c r="BG1333" s="128"/>
      <c r="BH1333" s="128"/>
      <c r="BI1333" s="128"/>
      <c r="BJ1333" s="128"/>
      <c r="BK1333" s="128"/>
      <c r="BL1333" s="128"/>
      <c r="BM1333" s="151"/>
      <c r="BN1333" s="128"/>
      <c r="BO1333" s="128"/>
      <c r="BP1333" s="128"/>
      <c r="BQ1333" s="128"/>
      <c r="BR1333" s="128"/>
      <c r="BS1333" s="128"/>
      <c r="BT1333" s="128"/>
      <c r="BU1333" s="128"/>
      <c r="BV1333" s="128"/>
      <c r="BW1333" s="128"/>
      <c r="BX1333" s="128"/>
      <c r="BY1333" s="128"/>
      <c r="BZ1333" s="128"/>
      <c r="CA1333" s="128"/>
      <c r="CB1333" s="128"/>
      <c r="CC1333" s="128"/>
      <c r="CD1333" s="128"/>
      <c r="CE1333" s="128"/>
      <c r="CF1333" s="128"/>
      <c r="CG1333" s="128"/>
      <c r="CH1333" s="128"/>
      <c r="CI1333" s="128"/>
      <c r="CJ1333" s="128"/>
      <c r="CK1333" s="128"/>
      <c r="CL1333" s="128"/>
      <c r="CM1333" s="128"/>
      <c r="CN1333" s="128"/>
      <c r="CO1333" s="128"/>
      <c r="CP1333" s="128"/>
      <c r="CQ1333" s="128"/>
      <c r="CR1333" s="128"/>
      <c r="CS1333" s="128"/>
      <c r="CT1333" s="128"/>
      <c r="CU1333" s="128"/>
      <c r="CV1333" s="128"/>
      <c r="CW1333" s="128"/>
      <c r="CX1333" s="128"/>
      <c r="CY1333" s="128"/>
      <c r="CZ1333" s="128"/>
    </row>
    <row r="1334" spans="1:104">
      <c r="A1334" s="128"/>
      <c r="B1334" s="128"/>
      <c r="C1334" s="128"/>
      <c r="D1334" s="112"/>
      <c r="E1334" s="128"/>
      <c r="F1334" s="128"/>
      <c r="G1334" s="128"/>
      <c r="H1334" s="128"/>
      <c r="I1334" s="128"/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  <c r="AV1334" s="128"/>
      <c r="AW1334" s="128"/>
      <c r="AX1334" s="128"/>
      <c r="AY1334" s="128"/>
      <c r="AZ1334" s="128"/>
      <c r="BA1334" s="128"/>
      <c r="BB1334" s="128"/>
      <c r="BC1334" s="128"/>
      <c r="BD1334" s="128"/>
      <c r="BE1334" s="128"/>
      <c r="BF1334" s="128"/>
      <c r="BG1334" s="128"/>
      <c r="BH1334" s="128"/>
      <c r="BI1334" s="128"/>
      <c r="BJ1334" s="128"/>
      <c r="BK1334" s="128"/>
      <c r="BL1334" s="128"/>
      <c r="BM1334" s="151"/>
      <c r="BN1334" s="128"/>
      <c r="BO1334" s="128"/>
      <c r="BP1334" s="128"/>
      <c r="BQ1334" s="128"/>
      <c r="BR1334" s="128"/>
      <c r="BS1334" s="128"/>
      <c r="BT1334" s="128"/>
      <c r="BU1334" s="128"/>
      <c r="BV1334" s="128"/>
      <c r="BW1334" s="128"/>
      <c r="BX1334" s="128"/>
      <c r="BY1334" s="128"/>
      <c r="BZ1334" s="128"/>
      <c r="CA1334" s="128"/>
      <c r="CB1334" s="128"/>
      <c r="CC1334" s="128"/>
      <c r="CD1334" s="128"/>
      <c r="CE1334" s="128"/>
      <c r="CF1334" s="128"/>
      <c r="CG1334" s="128"/>
      <c r="CH1334" s="128"/>
      <c r="CI1334" s="128"/>
      <c r="CJ1334" s="128"/>
      <c r="CK1334" s="128"/>
      <c r="CL1334" s="128"/>
      <c r="CM1334" s="128"/>
      <c r="CN1334" s="128"/>
      <c r="CO1334" s="128"/>
      <c r="CP1334" s="128"/>
      <c r="CQ1334" s="128"/>
      <c r="CR1334" s="128"/>
      <c r="CS1334" s="128"/>
      <c r="CT1334" s="128"/>
      <c r="CU1334" s="128"/>
      <c r="CV1334" s="128"/>
      <c r="CW1334" s="128"/>
      <c r="CX1334" s="128"/>
      <c r="CY1334" s="128"/>
      <c r="CZ1334" s="128"/>
    </row>
    <row r="1335" spans="1:104">
      <c r="A1335" s="128"/>
      <c r="B1335" s="128"/>
      <c r="C1335" s="128"/>
      <c r="D1335" s="112"/>
      <c r="E1335" s="128"/>
      <c r="F1335" s="128"/>
      <c r="G1335" s="128"/>
      <c r="H1335" s="128"/>
      <c r="I1335" s="128"/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  <c r="AV1335" s="128"/>
      <c r="AW1335" s="128"/>
      <c r="AX1335" s="128"/>
      <c r="AY1335" s="128"/>
      <c r="AZ1335" s="128"/>
      <c r="BA1335" s="128"/>
      <c r="BB1335" s="128"/>
      <c r="BC1335" s="128"/>
      <c r="BD1335" s="128"/>
      <c r="BE1335" s="128"/>
      <c r="BF1335" s="128"/>
      <c r="BG1335" s="128"/>
      <c r="BH1335" s="128"/>
      <c r="BI1335" s="128"/>
      <c r="BJ1335" s="128"/>
      <c r="BK1335" s="128"/>
      <c r="BL1335" s="128"/>
      <c r="BM1335" s="151"/>
      <c r="BN1335" s="128"/>
      <c r="BO1335" s="128"/>
      <c r="BP1335" s="128"/>
      <c r="BQ1335" s="128"/>
      <c r="BR1335" s="128"/>
      <c r="BS1335" s="128"/>
      <c r="BT1335" s="128"/>
      <c r="BU1335" s="128"/>
      <c r="BV1335" s="128"/>
      <c r="BW1335" s="128"/>
      <c r="BX1335" s="128"/>
      <c r="BY1335" s="128"/>
      <c r="BZ1335" s="128"/>
      <c r="CA1335" s="128"/>
      <c r="CB1335" s="128"/>
      <c r="CC1335" s="128"/>
      <c r="CD1335" s="128"/>
      <c r="CE1335" s="128"/>
      <c r="CF1335" s="128"/>
      <c r="CG1335" s="128"/>
      <c r="CH1335" s="128"/>
      <c r="CI1335" s="128"/>
      <c r="CJ1335" s="128"/>
      <c r="CK1335" s="128"/>
      <c r="CL1335" s="128"/>
      <c r="CM1335" s="128"/>
      <c r="CN1335" s="128"/>
      <c r="CO1335" s="128"/>
      <c r="CP1335" s="128"/>
      <c r="CQ1335" s="128"/>
      <c r="CR1335" s="128"/>
      <c r="CS1335" s="128"/>
      <c r="CT1335" s="128"/>
      <c r="CU1335" s="128"/>
      <c r="CV1335" s="128"/>
      <c r="CW1335" s="128"/>
      <c r="CX1335" s="128"/>
      <c r="CY1335" s="128"/>
      <c r="CZ1335" s="128"/>
    </row>
    <row r="1336" spans="1:104">
      <c r="A1336" s="128"/>
      <c r="B1336" s="128"/>
      <c r="C1336" s="128"/>
      <c r="D1336" s="112"/>
      <c r="E1336" s="128"/>
      <c r="F1336" s="128"/>
      <c r="G1336" s="128"/>
      <c r="H1336" s="128"/>
      <c r="I1336" s="128"/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  <c r="AV1336" s="128"/>
      <c r="AW1336" s="128"/>
      <c r="AX1336" s="128"/>
      <c r="AY1336" s="128"/>
      <c r="AZ1336" s="128"/>
      <c r="BA1336" s="128"/>
      <c r="BB1336" s="128"/>
      <c r="BC1336" s="128"/>
      <c r="BD1336" s="128"/>
      <c r="BE1336" s="128"/>
      <c r="BF1336" s="128"/>
      <c r="BG1336" s="128"/>
      <c r="BH1336" s="128"/>
      <c r="BI1336" s="128"/>
      <c r="BJ1336" s="128"/>
      <c r="BK1336" s="128"/>
      <c r="BL1336" s="128"/>
      <c r="BM1336" s="151"/>
      <c r="BN1336" s="128"/>
      <c r="BO1336" s="128"/>
      <c r="BP1336" s="128"/>
      <c r="BQ1336" s="128"/>
      <c r="BR1336" s="128"/>
      <c r="BS1336" s="128"/>
      <c r="BT1336" s="128"/>
      <c r="BU1336" s="128"/>
      <c r="BV1336" s="128"/>
      <c r="BW1336" s="128"/>
      <c r="BX1336" s="128"/>
      <c r="BY1336" s="128"/>
      <c r="BZ1336" s="128"/>
      <c r="CA1336" s="128"/>
      <c r="CB1336" s="128"/>
      <c r="CC1336" s="128"/>
      <c r="CD1336" s="128"/>
      <c r="CE1336" s="128"/>
      <c r="CF1336" s="128"/>
      <c r="CG1336" s="128"/>
      <c r="CH1336" s="128"/>
      <c r="CI1336" s="128"/>
      <c r="CJ1336" s="128"/>
      <c r="CK1336" s="128"/>
      <c r="CL1336" s="128"/>
      <c r="CM1336" s="128"/>
      <c r="CN1336" s="128"/>
      <c r="CO1336" s="128"/>
      <c r="CP1336" s="128"/>
      <c r="CQ1336" s="128"/>
      <c r="CR1336" s="128"/>
      <c r="CS1336" s="128"/>
      <c r="CT1336" s="128"/>
      <c r="CU1336" s="128"/>
      <c r="CV1336" s="128"/>
      <c r="CW1336" s="128"/>
      <c r="CX1336" s="128"/>
      <c r="CY1336" s="128"/>
      <c r="CZ1336" s="128"/>
    </row>
    <row r="1337" spans="1:104">
      <c r="A1337" s="128"/>
      <c r="B1337" s="128"/>
      <c r="C1337" s="128"/>
      <c r="D1337" s="112"/>
      <c r="E1337" s="128"/>
      <c r="F1337" s="128"/>
      <c r="G1337" s="128"/>
      <c r="H1337" s="128"/>
      <c r="I1337" s="128"/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  <c r="AV1337" s="128"/>
      <c r="AW1337" s="128"/>
      <c r="AX1337" s="128"/>
      <c r="AY1337" s="128"/>
      <c r="AZ1337" s="128"/>
      <c r="BA1337" s="128"/>
      <c r="BB1337" s="128"/>
      <c r="BC1337" s="128"/>
      <c r="BD1337" s="128"/>
      <c r="BE1337" s="128"/>
      <c r="BF1337" s="128"/>
      <c r="BG1337" s="128"/>
      <c r="BH1337" s="128"/>
      <c r="BI1337" s="128"/>
      <c r="BJ1337" s="128"/>
      <c r="BK1337" s="128"/>
      <c r="BL1337" s="128"/>
      <c r="BM1337" s="151"/>
      <c r="BN1337" s="128"/>
      <c r="BO1337" s="128"/>
      <c r="BP1337" s="128"/>
      <c r="BQ1337" s="128"/>
      <c r="BR1337" s="128"/>
      <c r="BS1337" s="128"/>
      <c r="BT1337" s="128"/>
      <c r="BU1337" s="128"/>
      <c r="BV1337" s="128"/>
      <c r="BW1337" s="128"/>
      <c r="BX1337" s="128"/>
      <c r="BY1337" s="128"/>
      <c r="BZ1337" s="128"/>
      <c r="CA1337" s="128"/>
      <c r="CB1337" s="128"/>
      <c r="CC1337" s="128"/>
      <c r="CD1337" s="128"/>
      <c r="CE1337" s="128"/>
      <c r="CF1337" s="128"/>
      <c r="CG1337" s="128"/>
      <c r="CH1337" s="128"/>
      <c r="CI1337" s="128"/>
      <c r="CJ1337" s="128"/>
      <c r="CK1337" s="128"/>
      <c r="CL1337" s="128"/>
      <c r="CM1337" s="128"/>
      <c r="CN1337" s="128"/>
      <c r="CO1337" s="128"/>
      <c r="CP1337" s="128"/>
      <c r="CQ1337" s="128"/>
      <c r="CR1337" s="128"/>
      <c r="CS1337" s="128"/>
      <c r="CT1337" s="128"/>
      <c r="CU1337" s="128"/>
      <c r="CV1337" s="128"/>
      <c r="CW1337" s="128"/>
      <c r="CX1337" s="128"/>
      <c r="CY1337" s="128"/>
      <c r="CZ1337" s="128"/>
    </row>
    <row r="1338" spans="1:104">
      <c r="A1338" s="128"/>
      <c r="B1338" s="128"/>
      <c r="C1338" s="128"/>
      <c r="D1338" s="112"/>
      <c r="E1338" s="128"/>
      <c r="F1338" s="128"/>
      <c r="G1338" s="128"/>
      <c r="H1338" s="128"/>
      <c r="I1338" s="128"/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  <c r="AV1338" s="128"/>
      <c r="AW1338" s="128"/>
      <c r="AX1338" s="128"/>
      <c r="AY1338" s="128"/>
      <c r="AZ1338" s="128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51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28"/>
      <c r="BY1338" s="128"/>
      <c r="BZ1338" s="128"/>
      <c r="CA1338" s="128"/>
      <c r="CB1338" s="128"/>
      <c r="CC1338" s="128"/>
      <c r="CD1338" s="128"/>
      <c r="CE1338" s="128"/>
      <c r="CF1338" s="128"/>
      <c r="CG1338" s="128"/>
      <c r="CH1338" s="128"/>
      <c r="CI1338" s="128"/>
      <c r="CJ1338" s="128"/>
      <c r="CK1338" s="128"/>
      <c r="CL1338" s="128"/>
      <c r="CM1338" s="128"/>
      <c r="CN1338" s="128"/>
      <c r="CO1338" s="128"/>
      <c r="CP1338" s="128"/>
      <c r="CQ1338" s="128"/>
      <c r="CR1338" s="128"/>
      <c r="CS1338" s="128"/>
      <c r="CT1338" s="128"/>
      <c r="CU1338" s="128"/>
      <c r="CV1338" s="128"/>
      <c r="CW1338" s="128"/>
      <c r="CX1338" s="128"/>
      <c r="CY1338" s="128"/>
      <c r="CZ1338" s="128"/>
    </row>
    <row r="1339" spans="1:104">
      <c r="A1339" s="128"/>
      <c r="B1339" s="128"/>
      <c r="C1339" s="128"/>
      <c r="D1339" s="112"/>
      <c r="E1339" s="128"/>
      <c r="F1339" s="128"/>
      <c r="G1339" s="128"/>
      <c r="H1339" s="128"/>
      <c r="I1339" s="128"/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  <c r="AV1339" s="128"/>
      <c r="AW1339" s="128"/>
      <c r="AX1339" s="128"/>
      <c r="AY1339" s="128"/>
      <c r="AZ1339" s="128"/>
      <c r="BA1339" s="128"/>
      <c r="BB1339" s="128"/>
      <c r="BC1339" s="128"/>
      <c r="BD1339" s="128"/>
      <c r="BE1339" s="128"/>
      <c r="BF1339" s="128"/>
      <c r="BG1339" s="128"/>
      <c r="BH1339" s="128"/>
      <c r="BI1339" s="128"/>
      <c r="BJ1339" s="128"/>
      <c r="BK1339" s="128"/>
      <c r="BL1339" s="128"/>
      <c r="BM1339" s="151"/>
      <c r="BN1339" s="128"/>
      <c r="BO1339" s="128"/>
      <c r="BP1339" s="128"/>
      <c r="BQ1339" s="128"/>
      <c r="BR1339" s="128"/>
      <c r="BS1339" s="128"/>
      <c r="BT1339" s="128"/>
      <c r="BU1339" s="128"/>
      <c r="BV1339" s="128"/>
      <c r="BW1339" s="128"/>
      <c r="BX1339" s="128"/>
      <c r="BY1339" s="128"/>
      <c r="BZ1339" s="128"/>
      <c r="CA1339" s="128"/>
      <c r="CB1339" s="128"/>
      <c r="CC1339" s="128"/>
      <c r="CD1339" s="128"/>
      <c r="CE1339" s="128"/>
      <c r="CF1339" s="128"/>
      <c r="CG1339" s="128"/>
      <c r="CH1339" s="128"/>
      <c r="CI1339" s="128"/>
      <c r="CJ1339" s="128"/>
      <c r="CK1339" s="128"/>
      <c r="CL1339" s="128"/>
      <c r="CM1339" s="128"/>
      <c r="CN1339" s="128"/>
      <c r="CO1339" s="128"/>
      <c r="CP1339" s="128"/>
      <c r="CQ1339" s="128"/>
      <c r="CR1339" s="128"/>
      <c r="CS1339" s="128"/>
      <c r="CT1339" s="128"/>
      <c r="CU1339" s="128"/>
      <c r="CV1339" s="128"/>
      <c r="CW1339" s="128"/>
      <c r="CX1339" s="128"/>
      <c r="CY1339" s="128"/>
      <c r="CZ1339" s="128"/>
    </row>
    <row r="1340" spans="1:104">
      <c r="A1340" s="128"/>
      <c r="B1340" s="128"/>
      <c r="C1340" s="128"/>
      <c r="D1340" s="112"/>
      <c r="E1340" s="128"/>
      <c r="F1340" s="128"/>
      <c r="G1340" s="128"/>
      <c r="H1340" s="128"/>
      <c r="I1340" s="128"/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  <c r="AV1340" s="128"/>
      <c r="AW1340" s="128"/>
      <c r="AX1340" s="128"/>
      <c r="AY1340" s="128"/>
      <c r="AZ1340" s="128"/>
      <c r="BA1340" s="128"/>
      <c r="BB1340" s="128"/>
      <c r="BC1340" s="128"/>
      <c r="BD1340" s="128"/>
      <c r="BE1340" s="128"/>
      <c r="BF1340" s="128"/>
      <c r="BG1340" s="128"/>
      <c r="BH1340" s="128"/>
      <c r="BI1340" s="128"/>
      <c r="BJ1340" s="128"/>
      <c r="BK1340" s="128"/>
      <c r="BL1340" s="128"/>
      <c r="BM1340" s="151"/>
      <c r="BN1340" s="128"/>
      <c r="BO1340" s="128"/>
      <c r="BP1340" s="128"/>
      <c r="BQ1340" s="128"/>
      <c r="BR1340" s="128"/>
      <c r="BS1340" s="128"/>
      <c r="BT1340" s="128"/>
      <c r="BU1340" s="128"/>
      <c r="BV1340" s="128"/>
      <c r="BW1340" s="128"/>
      <c r="BX1340" s="128"/>
      <c r="BY1340" s="128"/>
      <c r="BZ1340" s="128"/>
      <c r="CA1340" s="128"/>
      <c r="CB1340" s="128"/>
      <c r="CC1340" s="128"/>
      <c r="CD1340" s="128"/>
      <c r="CE1340" s="128"/>
      <c r="CF1340" s="128"/>
      <c r="CG1340" s="128"/>
      <c r="CH1340" s="128"/>
      <c r="CI1340" s="128"/>
      <c r="CJ1340" s="128"/>
      <c r="CK1340" s="128"/>
      <c r="CL1340" s="128"/>
      <c r="CM1340" s="128"/>
      <c r="CN1340" s="128"/>
      <c r="CO1340" s="128"/>
      <c r="CP1340" s="128"/>
      <c r="CQ1340" s="128"/>
      <c r="CR1340" s="128"/>
      <c r="CS1340" s="128"/>
      <c r="CT1340" s="128"/>
      <c r="CU1340" s="128"/>
      <c r="CV1340" s="128"/>
      <c r="CW1340" s="128"/>
      <c r="CX1340" s="128"/>
      <c r="CY1340" s="128"/>
      <c r="CZ1340" s="128"/>
    </row>
    <row r="1341" spans="1:104">
      <c r="A1341" s="128"/>
      <c r="B1341" s="128"/>
      <c r="C1341" s="128"/>
      <c r="D1341" s="112"/>
      <c r="E1341" s="128"/>
      <c r="F1341" s="128"/>
      <c r="G1341" s="128"/>
      <c r="H1341" s="128"/>
      <c r="I1341" s="128"/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  <c r="AV1341" s="128"/>
      <c r="AW1341" s="128"/>
      <c r="AX1341" s="128"/>
      <c r="AY1341" s="128"/>
      <c r="AZ1341" s="128"/>
      <c r="BA1341" s="128"/>
      <c r="BB1341" s="128"/>
      <c r="BC1341" s="128"/>
      <c r="BD1341" s="128"/>
      <c r="BE1341" s="128"/>
      <c r="BF1341" s="128"/>
      <c r="BG1341" s="128"/>
      <c r="BH1341" s="128"/>
      <c r="BI1341" s="128"/>
      <c r="BJ1341" s="128"/>
      <c r="BK1341" s="128"/>
      <c r="BL1341" s="128"/>
      <c r="BM1341" s="151"/>
      <c r="BN1341" s="128"/>
      <c r="BO1341" s="128"/>
      <c r="BP1341" s="128"/>
      <c r="BQ1341" s="128"/>
      <c r="BR1341" s="128"/>
      <c r="BS1341" s="128"/>
      <c r="BT1341" s="128"/>
      <c r="BU1341" s="128"/>
      <c r="BV1341" s="128"/>
      <c r="BW1341" s="128"/>
      <c r="BX1341" s="128"/>
      <c r="BY1341" s="128"/>
      <c r="BZ1341" s="128"/>
      <c r="CA1341" s="128"/>
      <c r="CB1341" s="128"/>
      <c r="CC1341" s="128"/>
      <c r="CD1341" s="128"/>
      <c r="CE1341" s="128"/>
      <c r="CF1341" s="128"/>
      <c r="CG1341" s="128"/>
      <c r="CH1341" s="128"/>
      <c r="CI1341" s="128"/>
      <c r="CJ1341" s="128"/>
      <c r="CK1341" s="128"/>
      <c r="CL1341" s="128"/>
      <c r="CM1341" s="128"/>
      <c r="CN1341" s="128"/>
      <c r="CO1341" s="128"/>
      <c r="CP1341" s="128"/>
      <c r="CQ1341" s="128"/>
      <c r="CR1341" s="128"/>
      <c r="CS1341" s="128"/>
      <c r="CT1341" s="128"/>
      <c r="CU1341" s="128"/>
      <c r="CV1341" s="128"/>
      <c r="CW1341" s="128"/>
      <c r="CX1341" s="128"/>
      <c r="CY1341" s="128"/>
      <c r="CZ1341" s="128"/>
    </row>
    <row r="1342" spans="1:104">
      <c r="A1342" s="128"/>
      <c r="B1342" s="128"/>
      <c r="C1342" s="128"/>
      <c r="D1342" s="112"/>
      <c r="E1342" s="128"/>
      <c r="F1342" s="128"/>
      <c r="G1342" s="128"/>
      <c r="H1342" s="128"/>
      <c r="I1342" s="128"/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  <c r="AV1342" s="128"/>
      <c r="AW1342" s="128"/>
      <c r="AX1342" s="128"/>
      <c r="AY1342" s="128"/>
      <c r="AZ1342" s="128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51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28"/>
      <c r="BY1342" s="128"/>
      <c r="BZ1342" s="128"/>
      <c r="CA1342" s="128"/>
      <c r="CB1342" s="128"/>
      <c r="CC1342" s="128"/>
      <c r="CD1342" s="128"/>
      <c r="CE1342" s="128"/>
      <c r="CF1342" s="128"/>
      <c r="CG1342" s="128"/>
      <c r="CH1342" s="128"/>
      <c r="CI1342" s="128"/>
      <c r="CJ1342" s="128"/>
      <c r="CK1342" s="128"/>
      <c r="CL1342" s="128"/>
      <c r="CM1342" s="128"/>
      <c r="CN1342" s="128"/>
      <c r="CO1342" s="128"/>
      <c r="CP1342" s="128"/>
      <c r="CQ1342" s="128"/>
      <c r="CR1342" s="128"/>
      <c r="CS1342" s="128"/>
      <c r="CT1342" s="128"/>
      <c r="CU1342" s="128"/>
      <c r="CV1342" s="128"/>
      <c r="CW1342" s="128"/>
      <c r="CX1342" s="128"/>
      <c r="CY1342" s="128"/>
      <c r="CZ1342" s="128"/>
    </row>
    <row r="1343" spans="1:104">
      <c r="A1343" s="128"/>
      <c r="B1343" s="128"/>
      <c r="C1343" s="128"/>
      <c r="D1343" s="112"/>
      <c r="E1343" s="128"/>
      <c r="F1343" s="128"/>
      <c r="G1343" s="128"/>
      <c r="H1343" s="128"/>
      <c r="I1343" s="128"/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  <c r="AV1343" s="128"/>
      <c r="AW1343" s="128"/>
      <c r="AX1343" s="128"/>
      <c r="AY1343" s="128"/>
      <c r="AZ1343" s="128"/>
      <c r="BA1343" s="128"/>
      <c r="BB1343" s="128"/>
      <c r="BC1343" s="128"/>
      <c r="BD1343" s="128"/>
      <c r="BE1343" s="128"/>
      <c r="BF1343" s="128"/>
      <c r="BG1343" s="128"/>
      <c r="BH1343" s="128"/>
      <c r="BI1343" s="128"/>
      <c r="BJ1343" s="128"/>
      <c r="BK1343" s="128"/>
      <c r="BL1343" s="128"/>
      <c r="BM1343" s="151"/>
      <c r="BN1343" s="128"/>
      <c r="BO1343" s="128"/>
      <c r="BP1343" s="128"/>
      <c r="BQ1343" s="128"/>
      <c r="BR1343" s="128"/>
      <c r="BS1343" s="128"/>
      <c r="BT1343" s="128"/>
      <c r="BU1343" s="128"/>
      <c r="BV1343" s="128"/>
      <c r="BW1343" s="128"/>
      <c r="BX1343" s="128"/>
      <c r="BY1343" s="128"/>
      <c r="BZ1343" s="128"/>
      <c r="CA1343" s="128"/>
      <c r="CB1343" s="128"/>
      <c r="CC1343" s="128"/>
      <c r="CD1343" s="128"/>
      <c r="CE1343" s="128"/>
      <c r="CF1343" s="128"/>
      <c r="CG1343" s="128"/>
      <c r="CH1343" s="128"/>
      <c r="CI1343" s="128"/>
      <c r="CJ1343" s="128"/>
      <c r="CK1343" s="128"/>
      <c r="CL1343" s="128"/>
      <c r="CM1343" s="128"/>
      <c r="CN1343" s="128"/>
      <c r="CO1343" s="128"/>
      <c r="CP1343" s="128"/>
      <c r="CQ1343" s="128"/>
      <c r="CR1343" s="128"/>
      <c r="CS1343" s="128"/>
      <c r="CT1343" s="128"/>
      <c r="CU1343" s="128"/>
      <c r="CV1343" s="128"/>
      <c r="CW1343" s="128"/>
      <c r="CX1343" s="128"/>
      <c r="CY1343" s="128"/>
      <c r="CZ1343" s="128"/>
    </row>
    <row r="1344" spans="1:104">
      <c r="A1344" s="128"/>
      <c r="B1344" s="128"/>
      <c r="C1344" s="128"/>
      <c r="D1344" s="112"/>
      <c r="E1344" s="128"/>
      <c r="F1344" s="128"/>
      <c r="G1344" s="128"/>
      <c r="H1344" s="128"/>
      <c r="I1344" s="128"/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  <c r="AV1344" s="128"/>
      <c r="AW1344" s="128"/>
      <c r="AX1344" s="128"/>
      <c r="AY1344" s="128"/>
      <c r="AZ1344" s="128"/>
      <c r="BA1344" s="128"/>
      <c r="BB1344" s="128"/>
      <c r="BC1344" s="128"/>
      <c r="BD1344" s="128"/>
      <c r="BE1344" s="128"/>
      <c r="BF1344" s="128"/>
      <c r="BG1344" s="128"/>
      <c r="BH1344" s="128"/>
      <c r="BI1344" s="128"/>
      <c r="BJ1344" s="128"/>
      <c r="BK1344" s="128"/>
      <c r="BL1344" s="128"/>
      <c r="BM1344" s="151"/>
      <c r="BN1344" s="128"/>
      <c r="BO1344" s="128"/>
      <c r="BP1344" s="128"/>
      <c r="BQ1344" s="128"/>
      <c r="BR1344" s="128"/>
      <c r="BS1344" s="128"/>
      <c r="BT1344" s="128"/>
      <c r="BU1344" s="128"/>
      <c r="BV1344" s="128"/>
      <c r="BW1344" s="128"/>
      <c r="BX1344" s="128"/>
      <c r="BY1344" s="128"/>
      <c r="BZ1344" s="128"/>
      <c r="CA1344" s="128"/>
      <c r="CB1344" s="128"/>
      <c r="CC1344" s="128"/>
      <c r="CD1344" s="128"/>
      <c r="CE1344" s="128"/>
      <c r="CF1344" s="128"/>
      <c r="CG1344" s="128"/>
      <c r="CH1344" s="128"/>
      <c r="CI1344" s="128"/>
      <c r="CJ1344" s="128"/>
      <c r="CK1344" s="128"/>
      <c r="CL1344" s="128"/>
      <c r="CM1344" s="128"/>
      <c r="CN1344" s="128"/>
      <c r="CO1344" s="128"/>
      <c r="CP1344" s="128"/>
      <c r="CQ1344" s="128"/>
      <c r="CR1344" s="128"/>
      <c r="CS1344" s="128"/>
      <c r="CT1344" s="128"/>
      <c r="CU1344" s="128"/>
      <c r="CV1344" s="128"/>
      <c r="CW1344" s="128"/>
      <c r="CX1344" s="128"/>
      <c r="CY1344" s="128"/>
      <c r="CZ1344" s="128"/>
    </row>
    <row r="1345" spans="1:104">
      <c r="A1345" s="128"/>
      <c r="B1345" s="128"/>
      <c r="C1345" s="128"/>
      <c r="D1345" s="112"/>
      <c r="E1345" s="128"/>
      <c r="F1345" s="128"/>
      <c r="G1345" s="128"/>
      <c r="H1345" s="128"/>
      <c r="I1345" s="128"/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  <c r="AV1345" s="128"/>
      <c r="AW1345" s="128"/>
      <c r="AX1345" s="128"/>
      <c r="AY1345" s="128"/>
      <c r="AZ1345" s="128"/>
      <c r="BA1345" s="128"/>
      <c r="BB1345" s="128"/>
      <c r="BC1345" s="128"/>
      <c r="BD1345" s="128"/>
      <c r="BE1345" s="128"/>
      <c r="BF1345" s="128"/>
      <c r="BG1345" s="128"/>
      <c r="BH1345" s="128"/>
      <c r="BI1345" s="128"/>
      <c r="BJ1345" s="128"/>
      <c r="BK1345" s="128"/>
      <c r="BL1345" s="128"/>
      <c r="BM1345" s="151"/>
      <c r="BN1345" s="128"/>
      <c r="BO1345" s="128"/>
      <c r="BP1345" s="128"/>
      <c r="BQ1345" s="128"/>
      <c r="BR1345" s="128"/>
      <c r="BS1345" s="128"/>
      <c r="BT1345" s="128"/>
      <c r="BU1345" s="128"/>
      <c r="BV1345" s="128"/>
      <c r="BW1345" s="128"/>
      <c r="BX1345" s="128"/>
      <c r="BY1345" s="128"/>
      <c r="BZ1345" s="128"/>
      <c r="CA1345" s="128"/>
      <c r="CB1345" s="128"/>
      <c r="CC1345" s="128"/>
      <c r="CD1345" s="128"/>
      <c r="CE1345" s="128"/>
      <c r="CF1345" s="128"/>
      <c r="CG1345" s="128"/>
      <c r="CH1345" s="128"/>
      <c r="CI1345" s="128"/>
      <c r="CJ1345" s="128"/>
      <c r="CK1345" s="128"/>
      <c r="CL1345" s="128"/>
      <c r="CM1345" s="128"/>
      <c r="CN1345" s="128"/>
      <c r="CO1345" s="128"/>
      <c r="CP1345" s="128"/>
      <c r="CQ1345" s="128"/>
      <c r="CR1345" s="128"/>
      <c r="CS1345" s="128"/>
      <c r="CT1345" s="128"/>
      <c r="CU1345" s="128"/>
      <c r="CV1345" s="128"/>
      <c r="CW1345" s="128"/>
      <c r="CX1345" s="128"/>
      <c r="CY1345" s="128"/>
      <c r="CZ1345" s="128"/>
    </row>
    <row r="1346" spans="1:104">
      <c r="A1346" s="128"/>
      <c r="B1346" s="128"/>
      <c r="C1346" s="128"/>
      <c r="D1346" s="112"/>
      <c r="E1346" s="128"/>
      <c r="F1346" s="128"/>
      <c r="G1346" s="128"/>
      <c r="H1346" s="128"/>
      <c r="I1346" s="128"/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  <c r="AV1346" s="128"/>
      <c r="AW1346" s="128"/>
      <c r="AX1346" s="128"/>
      <c r="AY1346" s="128"/>
      <c r="AZ1346" s="128"/>
      <c r="BA1346" s="128"/>
      <c r="BB1346" s="128"/>
      <c r="BC1346" s="128"/>
      <c r="BD1346" s="128"/>
      <c r="BE1346" s="128"/>
      <c r="BF1346" s="128"/>
      <c r="BG1346" s="128"/>
      <c r="BH1346" s="128"/>
      <c r="BI1346" s="128"/>
      <c r="BJ1346" s="128"/>
      <c r="BK1346" s="128"/>
      <c r="BL1346" s="128"/>
      <c r="BM1346" s="151"/>
      <c r="BN1346" s="128"/>
      <c r="BO1346" s="128"/>
      <c r="BP1346" s="128"/>
      <c r="BQ1346" s="128"/>
      <c r="BR1346" s="128"/>
      <c r="BS1346" s="128"/>
      <c r="BT1346" s="128"/>
      <c r="BU1346" s="128"/>
      <c r="BV1346" s="128"/>
      <c r="BW1346" s="128"/>
      <c r="BX1346" s="128"/>
      <c r="BY1346" s="128"/>
      <c r="BZ1346" s="128"/>
      <c r="CA1346" s="128"/>
      <c r="CB1346" s="128"/>
      <c r="CC1346" s="128"/>
      <c r="CD1346" s="128"/>
      <c r="CE1346" s="128"/>
      <c r="CF1346" s="128"/>
      <c r="CG1346" s="128"/>
      <c r="CH1346" s="128"/>
      <c r="CI1346" s="128"/>
      <c r="CJ1346" s="128"/>
      <c r="CK1346" s="128"/>
      <c r="CL1346" s="128"/>
      <c r="CM1346" s="128"/>
      <c r="CN1346" s="128"/>
      <c r="CO1346" s="128"/>
      <c r="CP1346" s="128"/>
      <c r="CQ1346" s="128"/>
      <c r="CR1346" s="128"/>
      <c r="CS1346" s="128"/>
      <c r="CT1346" s="128"/>
      <c r="CU1346" s="128"/>
      <c r="CV1346" s="128"/>
      <c r="CW1346" s="128"/>
      <c r="CX1346" s="128"/>
      <c r="CY1346" s="128"/>
      <c r="CZ1346" s="128"/>
    </row>
    <row r="1347" spans="1:104">
      <c r="A1347" s="128"/>
      <c r="B1347" s="128"/>
      <c r="C1347" s="128"/>
      <c r="D1347" s="112"/>
      <c r="E1347" s="128"/>
      <c r="F1347" s="128"/>
      <c r="G1347" s="128"/>
      <c r="H1347" s="128"/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  <c r="AV1347" s="128"/>
      <c r="AW1347" s="128"/>
      <c r="AX1347" s="128"/>
      <c r="AY1347" s="128"/>
      <c r="AZ1347" s="128"/>
      <c r="BA1347" s="128"/>
      <c r="BB1347" s="128"/>
      <c r="BC1347" s="128"/>
      <c r="BD1347" s="128"/>
      <c r="BE1347" s="128"/>
      <c r="BF1347" s="128"/>
      <c r="BG1347" s="128"/>
      <c r="BH1347" s="128"/>
      <c r="BI1347" s="128"/>
      <c r="BJ1347" s="128"/>
      <c r="BK1347" s="128"/>
      <c r="BL1347" s="128"/>
      <c r="BM1347" s="151"/>
      <c r="BN1347" s="128"/>
      <c r="BO1347" s="128"/>
      <c r="BP1347" s="128"/>
      <c r="BQ1347" s="128"/>
      <c r="BR1347" s="128"/>
      <c r="BS1347" s="128"/>
      <c r="BT1347" s="128"/>
      <c r="BU1347" s="128"/>
      <c r="BV1347" s="128"/>
      <c r="BW1347" s="128"/>
      <c r="BX1347" s="128"/>
      <c r="BY1347" s="128"/>
      <c r="BZ1347" s="128"/>
      <c r="CA1347" s="128"/>
      <c r="CB1347" s="128"/>
      <c r="CC1347" s="128"/>
      <c r="CD1347" s="128"/>
      <c r="CE1347" s="128"/>
      <c r="CF1347" s="128"/>
      <c r="CG1347" s="128"/>
      <c r="CH1347" s="128"/>
      <c r="CI1347" s="128"/>
      <c r="CJ1347" s="128"/>
      <c r="CK1347" s="128"/>
      <c r="CL1347" s="128"/>
      <c r="CM1347" s="128"/>
      <c r="CN1347" s="128"/>
      <c r="CO1347" s="128"/>
      <c r="CP1347" s="128"/>
      <c r="CQ1347" s="128"/>
      <c r="CR1347" s="128"/>
      <c r="CS1347" s="128"/>
      <c r="CT1347" s="128"/>
      <c r="CU1347" s="128"/>
      <c r="CV1347" s="128"/>
      <c r="CW1347" s="128"/>
      <c r="CX1347" s="128"/>
      <c r="CY1347" s="128"/>
      <c r="CZ1347" s="128"/>
    </row>
    <row r="1348" spans="1:104">
      <c r="A1348" s="128"/>
      <c r="B1348" s="128"/>
      <c r="C1348" s="128"/>
      <c r="D1348" s="112"/>
      <c r="E1348" s="128"/>
      <c r="F1348" s="128"/>
      <c r="G1348" s="128"/>
      <c r="H1348" s="128"/>
      <c r="I1348" s="128"/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  <c r="AV1348" s="128"/>
      <c r="AW1348" s="128"/>
      <c r="AX1348" s="128"/>
      <c r="AY1348" s="128"/>
      <c r="AZ1348" s="128"/>
      <c r="BA1348" s="128"/>
      <c r="BB1348" s="128"/>
      <c r="BC1348" s="128"/>
      <c r="BD1348" s="128"/>
      <c r="BE1348" s="128"/>
      <c r="BF1348" s="128"/>
      <c r="BG1348" s="128"/>
      <c r="BH1348" s="128"/>
      <c r="BI1348" s="128"/>
      <c r="BJ1348" s="128"/>
      <c r="BK1348" s="128"/>
      <c r="BL1348" s="128"/>
      <c r="BM1348" s="151"/>
      <c r="BN1348" s="128"/>
      <c r="BO1348" s="128"/>
      <c r="BP1348" s="128"/>
      <c r="BQ1348" s="128"/>
      <c r="BR1348" s="128"/>
      <c r="BS1348" s="128"/>
      <c r="BT1348" s="128"/>
      <c r="BU1348" s="128"/>
      <c r="BV1348" s="128"/>
      <c r="BW1348" s="128"/>
      <c r="BX1348" s="128"/>
      <c r="BY1348" s="128"/>
      <c r="BZ1348" s="128"/>
      <c r="CA1348" s="128"/>
      <c r="CB1348" s="128"/>
      <c r="CC1348" s="128"/>
      <c r="CD1348" s="128"/>
      <c r="CE1348" s="128"/>
      <c r="CF1348" s="128"/>
      <c r="CG1348" s="128"/>
      <c r="CH1348" s="128"/>
      <c r="CI1348" s="128"/>
      <c r="CJ1348" s="128"/>
      <c r="CK1348" s="128"/>
      <c r="CL1348" s="128"/>
      <c r="CM1348" s="128"/>
      <c r="CN1348" s="128"/>
      <c r="CO1348" s="128"/>
      <c r="CP1348" s="128"/>
      <c r="CQ1348" s="128"/>
      <c r="CR1348" s="128"/>
      <c r="CS1348" s="128"/>
      <c r="CT1348" s="128"/>
      <c r="CU1348" s="128"/>
      <c r="CV1348" s="128"/>
      <c r="CW1348" s="128"/>
      <c r="CX1348" s="128"/>
      <c r="CY1348" s="128"/>
      <c r="CZ1348" s="128"/>
    </row>
    <row r="1349" spans="1:104">
      <c r="A1349" s="128"/>
      <c r="B1349" s="128"/>
      <c r="C1349" s="128"/>
      <c r="D1349" s="112"/>
      <c r="E1349" s="128"/>
      <c r="F1349" s="128"/>
      <c r="G1349" s="128"/>
      <c r="H1349" s="128"/>
      <c r="I1349" s="128"/>
      <c r="J1349" s="128"/>
      <c r="K1349" s="128"/>
      <c r="L1349" s="128"/>
      <c r="M1349" s="128"/>
      <c r="N1349" s="128"/>
      <c r="O1349" s="128"/>
      <c r="P1349" s="128"/>
      <c r="Q1349" s="128"/>
      <c r="R1349" s="128"/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  <c r="AV1349" s="128"/>
      <c r="AW1349" s="128"/>
      <c r="AX1349" s="128"/>
      <c r="AY1349" s="128"/>
      <c r="AZ1349" s="128"/>
      <c r="BA1349" s="128"/>
      <c r="BB1349" s="128"/>
      <c r="BC1349" s="128"/>
      <c r="BD1349" s="128"/>
      <c r="BE1349" s="128"/>
      <c r="BF1349" s="128"/>
      <c r="BG1349" s="128"/>
      <c r="BH1349" s="128"/>
      <c r="BI1349" s="128"/>
      <c r="BJ1349" s="128"/>
      <c r="BK1349" s="128"/>
      <c r="BL1349" s="128"/>
      <c r="BM1349" s="151"/>
      <c r="BN1349" s="128"/>
      <c r="BO1349" s="128"/>
      <c r="BP1349" s="128"/>
      <c r="BQ1349" s="128"/>
      <c r="BR1349" s="128"/>
      <c r="BS1349" s="128"/>
      <c r="BT1349" s="128"/>
      <c r="BU1349" s="128"/>
      <c r="BV1349" s="128"/>
      <c r="BW1349" s="128"/>
      <c r="BX1349" s="128"/>
      <c r="BY1349" s="128"/>
      <c r="BZ1349" s="128"/>
      <c r="CA1349" s="128"/>
      <c r="CB1349" s="128"/>
      <c r="CC1349" s="128"/>
      <c r="CD1349" s="128"/>
      <c r="CE1349" s="128"/>
      <c r="CF1349" s="128"/>
      <c r="CG1349" s="128"/>
      <c r="CH1349" s="128"/>
      <c r="CI1349" s="128"/>
      <c r="CJ1349" s="128"/>
      <c r="CK1349" s="128"/>
      <c r="CL1349" s="128"/>
      <c r="CM1349" s="128"/>
      <c r="CN1349" s="128"/>
      <c r="CO1349" s="128"/>
      <c r="CP1349" s="128"/>
      <c r="CQ1349" s="128"/>
      <c r="CR1349" s="128"/>
      <c r="CS1349" s="128"/>
      <c r="CT1349" s="128"/>
      <c r="CU1349" s="128"/>
      <c r="CV1349" s="128"/>
      <c r="CW1349" s="128"/>
      <c r="CX1349" s="128"/>
      <c r="CY1349" s="128"/>
      <c r="CZ1349" s="128"/>
    </row>
    <row r="1350" spans="1:104">
      <c r="A1350" s="128"/>
      <c r="B1350" s="128"/>
      <c r="C1350" s="128"/>
      <c r="D1350" s="112"/>
      <c r="E1350" s="128"/>
      <c r="F1350" s="128"/>
      <c r="G1350" s="128"/>
      <c r="H1350" s="128"/>
      <c r="I1350" s="128"/>
      <c r="J1350" s="128"/>
      <c r="K1350" s="128"/>
      <c r="L1350" s="128"/>
      <c r="M1350" s="128"/>
      <c r="N1350" s="128"/>
      <c r="O1350" s="128"/>
      <c r="P1350" s="128"/>
      <c r="Q1350" s="128"/>
      <c r="R1350" s="128"/>
      <c r="S1350" s="128"/>
      <c r="T1350" s="128"/>
      <c r="U1350" s="128"/>
      <c r="V1350" s="128"/>
      <c r="W1350" s="128"/>
      <c r="X1350" s="128"/>
      <c r="Y1350" s="128"/>
      <c r="Z1350" s="128"/>
      <c r="AA1350" s="128"/>
      <c r="AB1350" s="128"/>
      <c r="AC1350" s="128"/>
      <c r="AD1350" s="128"/>
      <c r="AE1350" s="128"/>
      <c r="AF1350" s="128"/>
      <c r="AG1350" s="128"/>
      <c r="AH1350" s="128"/>
      <c r="AI1350" s="128"/>
      <c r="AJ1350" s="128"/>
      <c r="AK1350" s="128"/>
      <c r="AL1350" s="128"/>
      <c r="AM1350" s="128"/>
      <c r="AN1350" s="128"/>
      <c r="AO1350" s="128"/>
      <c r="AP1350" s="128"/>
      <c r="AQ1350" s="128"/>
      <c r="AR1350" s="128"/>
      <c r="AS1350" s="128"/>
      <c r="AT1350" s="128"/>
      <c r="AU1350" s="128"/>
      <c r="AV1350" s="128"/>
      <c r="AW1350" s="128"/>
      <c r="AX1350" s="128"/>
      <c r="AY1350" s="128"/>
      <c r="AZ1350" s="128"/>
      <c r="BA1350" s="128"/>
      <c r="BB1350" s="128"/>
      <c r="BC1350" s="128"/>
      <c r="BD1350" s="128"/>
      <c r="BE1350" s="128"/>
      <c r="BF1350" s="128"/>
      <c r="BG1350" s="128"/>
      <c r="BH1350" s="128"/>
      <c r="BI1350" s="128"/>
      <c r="BJ1350" s="128"/>
      <c r="BK1350" s="128"/>
      <c r="BL1350" s="128"/>
      <c r="BM1350" s="151"/>
      <c r="BN1350" s="128"/>
      <c r="BO1350" s="128"/>
      <c r="BP1350" s="128"/>
      <c r="BQ1350" s="128"/>
      <c r="BR1350" s="128"/>
      <c r="BS1350" s="128"/>
      <c r="BT1350" s="128"/>
      <c r="BU1350" s="128"/>
      <c r="BV1350" s="128"/>
      <c r="BW1350" s="128"/>
      <c r="BX1350" s="128"/>
      <c r="BY1350" s="128"/>
      <c r="BZ1350" s="128"/>
      <c r="CA1350" s="128"/>
      <c r="CB1350" s="128"/>
      <c r="CC1350" s="128"/>
      <c r="CD1350" s="128"/>
      <c r="CE1350" s="128"/>
      <c r="CF1350" s="128"/>
      <c r="CG1350" s="128"/>
      <c r="CH1350" s="128"/>
      <c r="CI1350" s="128"/>
      <c r="CJ1350" s="128"/>
      <c r="CK1350" s="128"/>
      <c r="CL1350" s="128"/>
      <c r="CM1350" s="128"/>
      <c r="CN1350" s="128"/>
      <c r="CO1350" s="128"/>
      <c r="CP1350" s="128"/>
      <c r="CQ1350" s="128"/>
      <c r="CR1350" s="128"/>
      <c r="CS1350" s="128"/>
      <c r="CT1350" s="128"/>
      <c r="CU1350" s="128"/>
      <c r="CV1350" s="128"/>
      <c r="CW1350" s="128"/>
      <c r="CX1350" s="128"/>
      <c r="CY1350" s="128"/>
      <c r="CZ1350" s="128"/>
    </row>
    <row r="1351" spans="1:104">
      <c r="A1351" s="128"/>
      <c r="B1351" s="128"/>
      <c r="C1351" s="128"/>
      <c r="D1351" s="112"/>
      <c r="E1351" s="128"/>
      <c r="F1351" s="128"/>
      <c r="G1351" s="128"/>
      <c r="H1351" s="128"/>
      <c r="I1351" s="128"/>
      <c r="J1351" s="128"/>
      <c r="K1351" s="128"/>
      <c r="L1351" s="128"/>
      <c r="M1351" s="128"/>
      <c r="N1351" s="128"/>
      <c r="O1351" s="128"/>
      <c r="P1351" s="128"/>
      <c r="Q1351" s="128"/>
      <c r="R1351" s="128"/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  <c r="AV1351" s="128"/>
      <c r="AW1351" s="128"/>
      <c r="AX1351" s="128"/>
      <c r="AY1351" s="128"/>
      <c r="AZ1351" s="128"/>
      <c r="BA1351" s="128"/>
      <c r="BB1351" s="128"/>
      <c r="BC1351" s="128"/>
      <c r="BD1351" s="128"/>
      <c r="BE1351" s="128"/>
      <c r="BF1351" s="128"/>
      <c r="BG1351" s="128"/>
      <c r="BH1351" s="128"/>
      <c r="BI1351" s="128"/>
      <c r="BJ1351" s="128"/>
      <c r="BK1351" s="128"/>
      <c r="BL1351" s="128"/>
      <c r="BM1351" s="151"/>
      <c r="BN1351" s="128"/>
      <c r="BO1351" s="128"/>
      <c r="BP1351" s="128"/>
      <c r="BQ1351" s="128"/>
      <c r="BR1351" s="128"/>
      <c r="BS1351" s="128"/>
      <c r="BT1351" s="128"/>
      <c r="BU1351" s="128"/>
      <c r="BV1351" s="128"/>
      <c r="BW1351" s="128"/>
      <c r="BX1351" s="128"/>
      <c r="BY1351" s="128"/>
      <c r="BZ1351" s="128"/>
      <c r="CA1351" s="128"/>
      <c r="CB1351" s="128"/>
      <c r="CC1351" s="128"/>
      <c r="CD1351" s="128"/>
      <c r="CE1351" s="128"/>
      <c r="CF1351" s="128"/>
      <c r="CG1351" s="128"/>
      <c r="CH1351" s="128"/>
      <c r="CI1351" s="128"/>
      <c r="CJ1351" s="128"/>
      <c r="CK1351" s="128"/>
      <c r="CL1351" s="128"/>
      <c r="CM1351" s="128"/>
      <c r="CN1351" s="128"/>
      <c r="CO1351" s="128"/>
      <c r="CP1351" s="128"/>
      <c r="CQ1351" s="128"/>
      <c r="CR1351" s="128"/>
      <c r="CS1351" s="128"/>
      <c r="CT1351" s="128"/>
      <c r="CU1351" s="128"/>
      <c r="CV1351" s="128"/>
      <c r="CW1351" s="128"/>
      <c r="CX1351" s="128"/>
      <c r="CY1351" s="128"/>
      <c r="CZ1351" s="128"/>
    </row>
    <row r="1352" spans="1:104">
      <c r="A1352" s="128"/>
      <c r="B1352" s="128"/>
      <c r="C1352" s="128"/>
      <c r="D1352" s="112"/>
      <c r="E1352" s="128"/>
      <c r="F1352" s="128"/>
      <c r="G1352" s="128"/>
      <c r="H1352" s="128"/>
      <c r="I1352" s="128"/>
      <c r="J1352" s="128"/>
      <c r="K1352" s="128"/>
      <c r="L1352" s="128"/>
      <c r="M1352" s="128"/>
      <c r="N1352" s="128"/>
      <c r="O1352" s="128"/>
      <c r="P1352" s="128"/>
      <c r="Q1352" s="128"/>
      <c r="R1352" s="128"/>
      <c r="S1352" s="128"/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  <c r="AV1352" s="128"/>
      <c r="AW1352" s="128"/>
      <c r="AX1352" s="128"/>
      <c r="AY1352" s="128"/>
      <c r="AZ1352" s="128"/>
      <c r="BA1352" s="128"/>
      <c r="BB1352" s="128"/>
      <c r="BC1352" s="128"/>
      <c r="BD1352" s="128"/>
      <c r="BE1352" s="128"/>
      <c r="BF1352" s="128"/>
      <c r="BG1352" s="128"/>
      <c r="BH1352" s="128"/>
      <c r="BI1352" s="128"/>
      <c r="BJ1352" s="128"/>
      <c r="BK1352" s="128"/>
      <c r="BL1352" s="128"/>
      <c r="BM1352" s="151"/>
      <c r="BN1352" s="128"/>
      <c r="BO1352" s="128"/>
      <c r="BP1352" s="128"/>
      <c r="BQ1352" s="128"/>
      <c r="BR1352" s="128"/>
      <c r="BS1352" s="128"/>
      <c r="BT1352" s="128"/>
      <c r="BU1352" s="128"/>
      <c r="BV1352" s="128"/>
      <c r="BW1352" s="128"/>
      <c r="BX1352" s="128"/>
      <c r="BY1352" s="128"/>
      <c r="BZ1352" s="128"/>
      <c r="CA1352" s="128"/>
      <c r="CB1352" s="128"/>
      <c r="CC1352" s="128"/>
      <c r="CD1352" s="128"/>
      <c r="CE1352" s="128"/>
      <c r="CF1352" s="128"/>
      <c r="CG1352" s="128"/>
      <c r="CH1352" s="128"/>
      <c r="CI1352" s="128"/>
      <c r="CJ1352" s="128"/>
      <c r="CK1352" s="128"/>
      <c r="CL1352" s="128"/>
      <c r="CM1352" s="128"/>
      <c r="CN1352" s="128"/>
      <c r="CO1352" s="128"/>
      <c r="CP1352" s="128"/>
      <c r="CQ1352" s="128"/>
      <c r="CR1352" s="128"/>
      <c r="CS1352" s="128"/>
      <c r="CT1352" s="128"/>
      <c r="CU1352" s="128"/>
      <c r="CV1352" s="128"/>
      <c r="CW1352" s="128"/>
      <c r="CX1352" s="128"/>
      <c r="CY1352" s="128"/>
      <c r="CZ1352" s="128"/>
    </row>
    <row r="1353" spans="1:104">
      <c r="A1353" s="128"/>
      <c r="B1353" s="128"/>
      <c r="C1353" s="128"/>
      <c r="D1353" s="112"/>
      <c r="E1353" s="128"/>
      <c r="F1353" s="128"/>
      <c r="G1353" s="128"/>
      <c r="H1353" s="128"/>
      <c r="I1353" s="128"/>
      <c r="J1353" s="128"/>
      <c r="K1353" s="128"/>
      <c r="L1353" s="128"/>
      <c r="M1353" s="128"/>
      <c r="N1353" s="128"/>
      <c r="O1353" s="128"/>
      <c r="P1353" s="128"/>
      <c r="Q1353" s="128"/>
      <c r="R1353" s="128"/>
      <c r="S1353" s="128"/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  <c r="AV1353" s="128"/>
      <c r="AW1353" s="128"/>
      <c r="AX1353" s="128"/>
      <c r="AY1353" s="128"/>
      <c r="AZ1353" s="128"/>
      <c r="BA1353" s="128"/>
      <c r="BB1353" s="128"/>
      <c r="BC1353" s="128"/>
      <c r="BD1353" s="128"/>
      <c r="BE1353" s="128"/>
      <c r="BF1353" s="128"/>
      <c r="BG1353" s="128"/>
      <c r="BH1353" s="128"/>
      <c r="BI1353" s="128"/>
      <c r="BJ1353" s="128"/>
      <c r="BK1353" s="128"/>
      <c r="BL1353" s="128"/>
      <c r="BM1353" s="151"/>
      <c r="BN1353" s="128"/>
      <c r="BO1353" s="128"/>
      <c r="BP1353" s="128"/>
      <c r="BQ1353" s="128"/>
      <c r="BR1353" s="128"/>
      <c r="BS1353" s="128"/>
      <c r="BT1353" s="128"/>
      <c r="BU1353" s="128"/>
      <c r="BV1353" s="128"/>
      <c r="BW1353" s="128"/>
      <c r="BX1353" s="128"/>
      <c r="BY1353" s="128"/>
      <c r="BZ1353" s="128"/>
      <c r="CA1353" s="128"/>
      <c r="CB1353" s="128"/>
      <c r="CC1353" s="128"/>
      <c r="CD1353" s="128"/>
      <c r="CE1353" s="128"/>
      <c r="CF1353" s="128"/>
      <c r="CG1353" s="128"/>
      <c r="CH1353" s="128"/>
      <c r="CI1353" s="128"/>
      <c r="CJ1353" s="128"/>
      <c r="CK1353" s="128"/>
      <c r="CL1353" s="128"/>
      <c r="CM1353" s="128"/>
      <c r="CN1353" s="128"/>
      <c r="CO1353" s="128"/>
      <c r="CP1353" s="128"/>
      <c r="CQ1353" s="128"/>
      <c r="CR1353" s="128"/>
      <c r="CS1353" s="128"/>
      <c r="CT1353" s="128"/>
      <c r="CU1353" s="128"/>
      <c r="CV1353" s="128"/>
      <c r="CW1353" s="128"/>
      <c r="CX1353" s="128"/>
      <c r="CY1353" s="128"/>
      <c r="CZ1353" s="128"/>
    </row>
    <row r="1354" spans="1:104">
      <c r="A1354" s="128"/>
      <c r="B1354" s="128"/>
      <c r="C1354" s="128"/>
      <c r="D1354" s="112"/>
      <c r="E1354" s="128"/>
      <c r="F1354" s="128"/>
      <c r="G1354" s="128"/>
      <c r="H1354" s="128"/>
      <c r="I1354" s="128"/>
      <c r="J1354" s="128"/>
      <c r="K1354" s="128"/>
      <c r="L1354" s="128"/>
      <c r="M1354" s="128"/>
      <c r="N1354" s="128"/>
      <c r="O1354" s="128"/>
      <c r="P1354" s="128"/>
      <c r="Q1354" s="128"/>
      <c r="R1354" s="128"/>
      <c r="S1354" s="128"/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  <c r="AV1354" s="128"/>
      <c r="AW1354" s="128"/>
      <c r="AX1354" s="128"/>
      <c r="AY1354" s="128"/>
      <c r="AZ1354" s="128"/>
      <c r="BA1354" s="128"/>
      <c r="BB1354" s="128"/>
      <c r="BC1354" s="128"/>
      <c r="BD1354" s="128"/>
      <c r="BE1354" s="128"/>
      <c r="BF1354" s="128"/>
      <c r="BG1354" s="128"/>
      <c r="BH1354" s="128"/>
      <c r="BI1354" s="128"/>
      <c r="BJ1354" s="128"/>
      <c r="BK1354" s="128"/>
      <c r="BL1354" s="128"/>
      <c r="BM1354" s="151"/>
      <c r="BN1354" s="128"/>
      <c r="BO1354" s="128"/>
      <c r="BP1354" s="128"/>
      <c r="BQ1354" s="128"/>
      <c r="BR1354" s="128"/>
      <c r="BS1354" s="128"/>
      <c r="BT1354" s="128"/>
      <c r="BU1354" s="128"/>
      <c r="BV1354" s="128"/>
      <c r="BW1354" s="128"/>
      <c r="BX1354" s="128"/>
      <c r="BY1354" s="128"/>
      <c r="BZ1354" s="128"/>
      <c r="CA1354" s="128"/>
      <c r="CB1354" s="128"/>
      <c r="CC1354" s="128"/>
      <c r="CD1354" s="128"/>
      <c r="CE1354" s="128"/>
      <c r="CF1354" s="128"/>
      <c r="CG1354" s="128"/>
      <c r="CH1354" s="128"/>
      <c r="CI1354" s="128"/>
      <c r="CJ1354" s="128"/>
      <c r="CK1354" s="128"/>
      <c r="CL1354" s="128"/>
      <c r="CM1354" s="128"/>
      <c r="CN1354" s="128"/>
      <c r="CO1354" s="128"/>
      <c r="CP1354" s="128"/>
      <c r="CQ1354" s="128"/>
      <c r="CR1354" s="128"/>
      <c r="CS1354" s="128"/>
      <c r="CT1354" s="128"/>
      <c r="CU1354" s="128"/>
      <c r="CV1354" s="128"/>
      <c r="CW1354" s="128"/>
      <c r="CX1354" s="128"/>
      <c r="CY1354" s="128"/>
      <c r="CZ1354" s="128"/>
    </row>
    <row r="1355" spans="1:104">
      <c r="A1355" s="128"/>
      <c r="B1355" s="128"/>
      <c r="C1355" s="128"/>
      <c r="D1355" s="112"/>
      <c r="E1355" s="128"/>
      <c r="F1355" s="128"/>
      <c r="G1355" s="128"/>
      <c r="H1355" s="128"/>
      <c r="I1355" s="128"/>
      <c r="J1355" s="128"/>
      <c r="K1355" s="128"/>
      <c r="L1355" s="128"/>
      <c r="M1355" s="128"/>
      <c r="N1355" s="128"/>
      <c r="O1355" s="128"/>
      <c r="P1355" s="128"/>
      <c r="Q1355" s="128"/>
      <c r="R1355" s="128"/>
      <c r="S1355" s="128"/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  <c r="AV1355" s="128"/>
      <c r="AW1355" s="128"/>
      <c r="AX1355" s="128"/>
      <c r="AY1355" s="128"/>
      <c r="AZ1355" s="128"/>
      <c r="BA1355" s="128"/>
      <c r="BB1355" s="128"/>
      <c r="BC1355" s="128"/>
      <c r="BD1355" s="128"/>
      <c r="BE1355" s="128"/>
      <c r="BF1355" s="128"/>
      <c r="BG1355" s="128"/>
      <c r="BH1355" s="128"/>
      <c r="BI1355" s="128"/>
      <c r="BJ1355" s="128"/>
      <c r="BK1355" s="128"/>
      <c r="BL1355" s="128"/>
      <c r="BM1355" s="151"/>
      <c r="BN1355" s="128"/>
      <c r="BO1355" s="128"/>
      <c r="BP1355" s="128"/>
      <c r="BQ1355" s="128"/>
      <c r="BR1355" s="128"/>
      <c r="BS1355" s="128"/>
      <c r="BT1355" s="128"/>
      <c r="BU1355" s="128"/>
      <c r="BV1355" s="128"/>
      <c r="BW1355" s="128"/>
      <c r="BX1355" s="128"/>
      <c r="BY1355" s="128"/>
      <c r="BZ1355" s="128"/>
      <c r="CA1355" s="128"/>
      <c r="CB1355" s="128"/>
      <c r="CC1355" s="128"/>
      <c r="CD1355" s="128"/>
      <c r="CE1355" s="128"/>
      <c r="CF1355" s="128"/>
      <c r="CG1355" s="128"/>
      <c r="CH1355" s="128"/>
      <c r="CI1355" s="128"/>
      <c r="CJ1355" s="128"/>
      <c r="CK1355" s="128"/>
      <c r="CL1355" s="128"/>
      <c r="CM1355" s="128"/>
      <c r="CN1355" s="128"/>
      <c r="CO1355" s="128"/>
      <c r="CP1355" s="128"/>
      <c r="CQ1355" s="128"/>
      <c r="CR1355" s="128"/>
      <c r="CS1355" s="128"/>
      <c r="CT1355" s="128"/>
      <c r="CU1355" s="128"/>
      <c r="CV1355" s="128"/>
      <c r="CW1355" s="128"/>
      <c r="CX1355" s="128"/>
      <c r="CY1355" s="128"/>
      <c r="CZ1355" s="128"/>
    </row>
    <row r="1356" spans="1:104">
      <c r="A1356" s="128"/>
      <c r="B1356" s="128"/>
      <c r="C1356" s="128"/>
      <c r="D1356" s="112"/>
      <c r="E1356" s="128"/>
      <c r="F1356" s="128"/>
      <c r="G1356" s="128"/>
      <c r="H1356" s="128"/>
      <c r="I1356" s="128"/>
      <c r="J1356" s="128"/>
      <c r="K1356" s="128"/>
      <c r="L1356" s="128"/>
      <c r="M1356" s="128"/>
      <c r="N1356" s="128"/>
      <c r="O1356" s="128"/>
      <c r="P1356" s="128"/>
      <c r="Q1356" s="128"/>
      <c r="R1356" s="128"/>
      <c r="S1356" s="128"/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  <c r="AV1356" s="128"/>
      <c r="AW1356" s="128"/>
      <c r="AX1356" s="128"/>
      <c r="AY1356" s="128"/>
      <c r="AZ1356" s="128"/>
      <c r="BA1356" s="128"/>
      <c r="BB1356" s="128"/>
      <c r="BC1356" s="128"/>
      <c r="BD1356" s="128"/>
      <c r="BE1356" s="128"/>
      <c r="BF1356" s="128"/>
      <c r="BG1356" s="128"/>
      <c r="BH1356" s="128"/>
      <c r="BI1356" s="128"/>
      <c r="BJ1356" s="128"/>
      <c r="BK1356" s="128"/>
      <c r="BL1356" s="128"/>
      <c r="BM1356" s="151"/>
      <c r="BN1356" s="128"/>
      <c r="BO1356" s="128"/>
      <c r="BP1356" s="128"/>
      <c r="BQ1356" s="128"/>
      <c r="BR1356" s="128"/>
      <c r="BS1356" s="128"/>
      <c r="BT1356" s="128"/>
      <c r="BU1356" s="128"/>
      <c r="BV1356" s="128"/>
      <c r="BW1356" s="128"/>
      <c r="BX1356" s="128"/>
      <c r="BY1356" s="128"/>
      <c r="BZ1356" s="128"/>
      <c r="CA1356" s="128"/>
      <c r="CB1356" s="128"/>
      <c r="CC1356" s="128"/>
      <c r="CD1356" s="128"/>
      <c r="CE1356" s="128"/>
      <c r="CF1356" s="128"/>
      <c r="CG1356" s="128"/>
      <c r="CH1356" s="128"/>
      <c r="CI1356" s="128"/>
      <c r="CJ1356" s="128"/>
      <c r="CK1356" s="128"/>
      <c r="CL1356" s="128"/>
      <c r="CM1356" s="128"/>
      <c r="CN1356" s="128"/>
      <c r="CO1356" s="128"/>
      <c r="CP1356" s="128"/>
      <c r="CQ1356" s="128"/>
      <c r="CR1356" s="128"/>
      <c r="CS1356" s="128"/>
      <c r="CT1356" s="128"/>
      <c r="CU1356" s="128"/>
      <c r="CV1356" s="128"/>
      <c r="CW1356" s="128"/>
      <c r="CX1356" s="128"/>
      <c r="CY1356" s="128"/>
      <c r="CZ1356" s="128"/>
    </row>
    <row r="1357" spans="1:104">
      <c r="A1357" s="128"/>
      <c r="B1357" s="128"/>
      <c r="C1357" s="128"/>
      <c r="D1357" s="112"/>
      <c r="E1357" s="128"/>
      <c r="F1357" s="128"/>
      <c r="G1357" s="128"/>
      <c r="H1357" s="128"/>
      <c r="I1357" s="128"/>
      <c r="J1357" s="128"/>
      <c r="K1357" s="128"/>
      <c r="L1357" s="128"/>
      <c r="M1357" s="128"/>
      <c r="N1357" s="128"/>
      <c r="O1357" s="128"/>
      <c r="P1357" s="128"/>
      <c r="Q1357" s="128"/>
      <c r="R1357" s="128"/>
      <c r="S1357" s="128"/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  <c r="AV1357" s="128"/>
      <c r="AW1357" s="128"/>
      <c r="AX1357" s="128"/>
      <c r="AY1357" s="128"/>
      <c r="AZ1357" s="128"/>
      <c r="BA1357" s="128"/>
      <c r="BB1357" s="128"/>
      <c r="BC1357" s="128"/>
      <c r="BD1357" s="128"/>
      <c r="BE1357" s="128"/>
      <c r="BF1357" s="128"/>
      <c r="BG1357" s="128"/>
      <c r="BH1357" s="128"/>
      <c r="BI1357" s="128"/>
      <c r="BJ1357" s="128"/>
      <c r="BK1357" s="128"/>
      <c r="BL1357" s="128"/>
      <c r="BM1357" s="151"/>
      <c r="BN1357" s="128"/>
      <c r="BO1357" s="128"/>
      <c r="BP1357" s="128"/>
      <c r="BQ1357" s="128"/>
      <c r="BR1357" s="128"/>
      <c r="BS1357" s="128"/>
      <c r="BT1357" s="128"/>
      <c r="BU1357" s="128"/>
      <c r="BV1357" s="128"/>
      <c r="BW1357" s="128"/>
      <c r="BX1357" s="128"/>
      <c r="BY1357" s="128"/>
      <c r="BZ1357" s="128"/>
      <c r="CA1357" s="128"/>
      <c r="CB1357" s="128"/>
      <c r="CC1357" s="128"/>
      <c r="CD1357" s="128"/>
      <c r="CE1357" s="128"/>
      <c r="CF1357" s="128"/>
      <c r="CG1357" s="128"/>
      <c r="CH1357" s="128"/>
      <c r="CI1357" s="128"/>
      <c r="CJ1357" s="128"/>
      <c r="CK1357" s="128"/>
      <c r="CL1357" s="128"/>
      <c r="CM1357" s="128"/>
      <c r="CN1357" s="128"/>
      <c r="CO1357" s="128"/>
      <c r="CP1357" s="128"/>
      <c r="CQ1357" s="128"/>
      <c r="CR1357" s="128"/>
      <c r="CS1357" s="128"/>
      <c r="CT1357" s="128"/>
      <c r="CU1357" s="128"/>
      <c r="CV1357" s="128"/>
      <c r="CW1357" s="128"/>
      <c r="CX1357" s="128"/>
      <c r="CY1357" s="128"/>
      <c r="CZ1357" s="128"/>
    </row>
    <row r="1358" spans="1:104">
      <c r="A1358" s="128"/>
      <c r="B1358" s="128"/>
      <c r="C1358" s="128"/>
      <c r="D1358" s="112"/>
      <c r="E1358" s="128"/>
      <c r="F1358" s="128"/>
      <c r="G1358" s="128"/>
      <c r="H1358" s="128"/>
      <c r="I1358" s="128"/>
      <c r="J1358" s="128"/>
      <c r="K1358" s="128"/>
      <c r="L1358" s="128"/>
      <c r="M1358" s="128"/>
      <c r="N1358" s="128"/>
      <c r="O1358" s="128"/>
      <c r="P1358" s="128"/>
      <c r="Q1358" s="128"/>
      <c r="R1358" s="128"/>
      <c r="S1358" s="128"/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  <c r="AV1358" s="128"/>
      <c r="AW1358" s="128"/>
      <c r="AX1358" s="128"/>
      <c r="AY1358" s="128"/>
      <c r="AZ1358" s="128"/>
      <c r="BA1358" s="128"/>
      <c r="BB1358" s="128"/>
      <c r="BC1358" s="128"/>
      <c r="BD1358" s="128"/>
      <c r="BE1358" s="128"/>
      <c r="BF1358" s="128"/>
      <c r="BG1358" s="128"/>
      <c r="BH1358" s="128"/>
      <c r="BI1358" s="128"/>
      <c r="BJ1358" s="128"/>
      <c r="BK1358" s="128"/>
      <c r="BL1358" s="128"/>
      <c r="BM1358" s="151"/>
      <c r="BN1358" s="128"/>
      <c r="BO1358" s="128"/>
      <c r="BP1358" s="128"/>
      <c r="BQ1358" s="128"/>
      <c r="BR1358" s="128"/>
      <c r="BS1358" s="128"/>
      <c r="BT1358" s="128"/>
      <c r="BU1358" s="128"/>
      <c r="BV1358" s="128"/>
      <c r="BW1358" s="128"/>
      <c r="BX1358" s="128"/>
      <c r="BY1358" s="128"/>
      <c r="BZ1358" s="128"/>
      <c r="CA1358" s="128"/>
      <c r="CB1358" s="128"/>
      <c r="CC1358" s="128"/>
      <c r="CD1358" s="128"/>
      <c r="CE1358" s="128"/>
      <c r="CF1358" s="128"/>
      <c r="CG1358" s="128"/>
      <c r="CH1358" s="128"/>
      <c r="CI1358" s="128"/>
      <c r="CJ1358" s="128"/>
      <c r="CK1358" s="128"/>
      <c r="CL1358" s="128"/>
      <c r="CM1358" s="128"/>
      <c r="CN1358" s="128"/>
      <c r="CO1358" s="128"/>
      <c r="CP1358" s="128"/>
      <c r="CQ1358" s="128"/>
      <c r="CR1358" s="128"/>
      <c r="CS1358" s="128"/>
      <c r="CT1358" s="128"/>
      <c r="CU1358" s="128"/>
      <c r="CV1358" s="128"/>
      <c r="CW1358" s="128"/>
      <c r="CX1358" s="128"/>
      <c r="CY1358" s="128"/>
      <c r="CZ1358" s="128"/>
    </row>
    <row r="1359" spans="1:104">
      <c r="A1359" s="128"/>
      <c r="B1359" s="128"/>
      <c r="C1359" s="128"/>
      <c r="D1359" s="112"/>
      <c r="E1359" s="128"/>
      <c r="F1359" s="128"/>
      <c r="G1359" s="128"/>
      <c r="H1359" s="128"/>
      <c r="I1359" s="128"/>
      <c r="J1359" s="128"/>
      <c r="K1359" s="128"/>
      <c r="L1359" s="128"/>
      <c r="M1359" s="128"/>
      <c r="N1359" s="128"/>
      <c r="O1359" s="128"/>
      <c r="P1359" s="128"/>
      <c r="Q1359" s="128"/>
      <c r="R1359" s="128"/>
      <c r="S1359" s="128"/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  <c r="AV1359" s="128"/>
      <c r="AW1359" s="128"/>
      <c r="AX1359" s="128"/>
      <c r="AY1359" s="128"/>
      <c r="AZ1359" s="128"/>
      <c r="BA1359" s="128"/>
      <c r="BB1359" s="128"/>
      <c r="BC1359" s="128"/>
      <c r="BD1359" s="128"/>
      <c r="BE1359" s="128"/>
      <c r="BF1359" s="128"/>
      <c r="BG1359" s="128"/>
      <c r="BH1359" s="128"/>
      <c r="BI1359" s="128"/>
      <c r="BJ1359" s="128"/>
      <c r="BK1359" s="128"/>
      <c r="BL1359" s="128"/>
      <c r="BM1359" s="151"/>
      <c r="BN1359" s="128"/>
      <c r="BO1359" s="128"/>
      <c r="BP1359" s="128"/>
      <c r="BQ1359" s="128"/>
      <c r="BR1359" s="128"/>
      <c r="BS1359" s="128"/>
      <c r="BT1359" s="128"/>
      <c r="BU1359" s="128"/>
      <c r="BV1359" s="128"/>
      <c r="BW1359" s="128"/>
      <c r="BX1359" s="128"/>
      <c r="BY1359" s="128"/>
      <c r="BZ1359" s="128"/>
      <c r="CA1359" s="128"/>
      <c r="CB1359" s="128"/>
      <c r="CC1359" s="128"/>
      <c r="CD1359" s="128"/>
      <c r="CE1359" s="128"/>
      <c r="CF1359" s="128"/>
      <c r="CG1359" s="128"/>
      <c r="CH1359" s="128"/>
      <c r="CI1359" s="128"/>
      <c r="CJ1359" s="128"/>
      <c r="CK1359" s="128"/>
      <c r="CL1359" s="128"/>
      <c r="CM1359" s="128"/>
      <c r="CN1359" s="128"/>
      <c r="CO1359" s="128"/>
      <c r="CP1359" s="128"/>
      <c r="CQ1359" s="128"/>
      <c r="CR1359" s="128"/>
      <c r="CS1359" s="128"/>
      <c r="CT1359" s="128"/>
      <c r="CU1359" s="128"/>
      <c r="CV1359" s="128"/>
      <c r="CW1359" s="128"/>
      <c r="CX1359" s="128"/>
      <c r="CY1359" s="128"/>
      <c r="CZ1359" s="128"/>
    </row>
    <row r="1360" spans="1:104">
      <c r="A1360" s="128"/>
      <c r="B1360" s="128"/>
      <c r="C1360" s="128"/>
      <c r="D1360" s="112"/>
      <c r="E1360" s="128"/>
      <c r="F1360" s="128"/>
      <c r="G1360" s="128"/>
      <c r="H1360" s="128"/>
      <c r="I1360" s="128"/>
      <c r="J1360" s="128"/>
      <c r="K1360" s="128"/>
      <c r="L1360" s="128"/>
      <c r="M1360" s="128"/>
      <c r="N1360" s="128"/>
      <c r="O1360" s="128"/>
      <c r="P1360" s="128"/>
      <c r="Q1360" s="128"/>
      <c r="R1360" s="128"/>
      <c r="S1360" s="128"/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  <c r="AV1360" s="128"/>
      <c r="AW1360" s="128"/>
      <c r="AX1360" s="128"/>
      <c r="AY1360" s="128"/>
      <c r="AZ1360" s="128"/>
      <c r="BA1360" s="128"/>
      <c r="BB1360" s="128"/>
      <c r="BC1360" s="128"/>
      <c r="BD1360" s="128"/>
      <c r="BE1360" s="128"/>
      <c r="BF1360" s="128"/>
      <c r="BG1360" s="128"/>
      <c r="BH1360" s="128"/>
      <c r="BI1360" s="128"/>
      <c r="BJ1360" s="128"/>
      <c r="BK1360" s="128"/>
      <c r="BL1360" s="128"/>
      <c r="BM1360" s="151"/>
      <c r="BN1360" s="128"/>
      <c r="BO1360" s="128"/>
      <c r="BP1360" s="128"/>
      <c r="BQ1360" s="128"/>
      <c r="BR1360" s="128"/>
      <c r="BS1360" s="128"/>
      <c r="BT1360" s="128"/>
      <c r="BU1360" s="128"/>
      <c r="BV1360" s="128"/>
      <c r="BW1360" s="128"/>
      <c r="BX1360" s="128"/>
      <c r="BY1360" s="128"/>
      <c r="BZ1360" s="128"/>
      <c r="CA1360" s="128"/>
      <c r="CB1360" s="128"/>
      <c r="CC1360" s="128"/>
      <c r="CD1360" s="128"/>
      <c r="CE1360" s="128"/>
      <c r="CF1360" s="128"/>
      <c r="CG1360" s="128"/>
      <c r="CH1360" s="128"/>
      <c r="CI1360" s="128"/>
      <c r="CJ1360" s="128"/>
      <c r="CK1360" s="128"/>
      <c r="CL1360" s="128"/>
      <c r="CM1360" s="128"/>
      <c r="CN1360" s="128"/>
      <c r="CO1360" s="128"/>
      <c r="CP1360" s="128"/>
      <c r="CQ1360" s="128"/>
      <c r="CR1360" s="128"/>
      <c r="CS1360" s="128"/>
      <c r="CT1360" s="128"/>
      <c r="CU1360" s="128"/>
      <c r="CV1360" s="128"/>
      <c r="CW1360" s="128"/>
      <c r="CX1360" s="128"/>
      <c r="CY1360" s="128"/>
      <c r="CZ1360" s="128"/>
    </row>
    <row r="1361" spans="1:104">
      <c r="A1361" s="128"/>
      <c r="B1361" s="128"/>
      <c r="C1361" s="128"/>
      <c r="D1361" s="112"/>
      <c r="E1361" s="128"/>
      <c r="F1361" s="128"/>
      <c r="G1361" s="128"/>
      <c r="H1361" s="128"/>
      <c r="I1361" s="128"/>
      <c r="J1361" s="128"/>
      <c r="K1361" s="128"/>
      <c r="L1361" s="128"/>
      <c r="M1361" s="128"/>
      <c r="N1361" s="128"/>
      <c r="O1361" s="128"/>
      <c r="P1361" s="128"/>
      <c r="Q1361" s="128"/>
      <c r="R1361" s="128"/>
      <c r="S1361" s="128"/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  <c r="AV1361" s="128"/>
      <c r="AW1361" s="128"/>
      <c r="AX1361" s="128"/>
      <c r="AY1361" s="128"/>
      <c r="AZ1361" s="128"/>
      <c r="BA1361" s="128"/>
      <c r="BB1361" s="128"/>
      <c r="BC1361" s="128"/>
      <c r="BD1361" s="128"/>
      <c r="BE1361" s="128"/>
      <c r="BF1361" s="128"/>
      <c r="BG1361" s="128"/>
      <c r="BH1361" s="128"/>
      <c r="BI1361" s="128"/>
      <c r="BJ1361" s="128"/>
      <c r="BK1361" s="128"/>
      <c r="BL1361" s="128"/>
      <c r="BM1361" s="151"/>
      <c r="BN1361" s="128"/>
      <c r="BO1361" s="128"/>
      <c r="BP1361" s="128"/>
      <c r="BQ1361" s="128"/>
      <c r="BR1361" s="128"/>
      <c r="BS1361" s="128"/>
      <c r="BT1361" s="128"/>
      <c r="BU1361" s="128"/>
      <c r="BV1361" s="128"/>
      <c r="BW1361" s="128"/>
      <c r="BX1361" s="128"/>
      <c r="BY1361" s="128"/>
      <c r="BZ1361" s="128"/>
      <c r="CA1361" s="128"/>
      <c r="CB1361" s="128"/>
      <c r="CC1361" s="128"/>
      <c r="CD1361" s="128"/>
      <c r="CE1361" s="128"/>
      <c r="CF1361" s="128"/>
      <c r="CG1361" s="128"/>
      <c r="CH1361" s="128"/>
      <c r="CI1361" s="128"/>
      <c r="CJ1361" s="128"/>
      <c r="CK1361" s="128"/>
      <c r="CL1361" s="128"/>
      <c r="CM1361" s="128"/>
      <c r="CN1361" s="128"/>
      <c r="CO1361" s="128"/>
      <c r="CP1361" s="128"/>
      <c r="CQ1361" s="128"/>
      <c r="CR1361" s="128"/>
      <c r="CS1361" s="128"/>
      <c r="CT1361" s="128"/>
      <c r="CU1361" s="128"/>
      <c r="CV1361" s="128"/>
      <c r="CW1361" s="128"/>
      <c r="CX1361" s="128"/>
      <c r="CY1361" s="128"/>
      <c r="CZ1361" s="128"/>
    </row>
    <row r="1362" spans="1:104">
      <c r="A1362" s="128"/>
      <c r="B1362" s="128"/>
      <c r="C1362" s="128"/>
      <c r="D1362" s="112"/>
      <c r="E1362" s="128"/>
      <c r="F1362" s="128"/>
      <c r="G1362" s="128"/>
      <c r="H1362" s="128"/>
      <c r="I1362" s="128"/>
      <c r="J1362" s="128"/>
      <c r="K1362" s="128"/>
      <c r="L1362" s="128"/>
      <c r="M1362" s="128"/>
      <c r="N1362" s="128"/>
      <c r="O1362" s="128"/>
      <c r="P1362" s="128"/>
      <c r="Q1362" s="128"/>
      <c r="R1362" s="128"/>
      <c r="S1362" s="128"/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  <c r="AV1362" s="128"/>
      <c r="AW1362" s="128"/>
      <c r="AX1362" s="128"/>
      <c r="AY1362" s="128"/>
      <c r="AZ1362" s="128"/>
      <c r="BA1362" s="128"/>
      <c r="BB1362" s="128"/>
      <c r="BC1362" s="128"/>
      <c r="BD1362" s="128"/>
      <c r="BE1362" s="128"/>
      <c r="BF1362" s="128"/>
      <c r="BG1362" s="128"/>
      <c r="BH1362" s="128"/>
      <c r="BI1362" s="128"/>
      <c r="BJ1362" s="128"/>
      <c r="BK1362" s="128"/>
      <c r="BL1362" s="128"/>
      <c r="BM1362" s="151"/>
      <c r="BN1362" s="128"/>
      <c r="BO1362" s="128"/>
      <c r="BP1362" s="128"/>
      <c r="BQ1362" s="128"/>
      <c r="BR1362" s="128"/>
      <c r="BS1362" s="128"/>
      <c r="BT1362" s="128"/>
      <c r="BU1362" s="128"/>
      <c r="BV1362" s="128"/>
      <c r="BW1362" s="128"/>
      <c r="BX1362" s="128"/>
      <c r="BY1362" s="128"/>
      <c r="BZ1362" s="128"/>
      <c r="CA1362" s="128"/>
      <c r="CB1362" s="128"/>
      <c r="CC1362" s="128"/>
      <c r="CD1362" s="128"/>
      <c r="CE1362" s="128"/>
      <c r="CF1362" s="128"/>
      <c r="CG1362" s="128"/>
      <c r="CH1362" s="128"/>
      <c r="CI1362" s="128"/>
      <c r="CJ1362" s="128"/>
      <c r="CK1362" s="128"/>
      <c r="CL1362" s="128"/>
      <c r="CM1362" s="128"/>
      <c r="CN1362" s="128"/>
      <c r="CO1362" s="128"/>
      <c r="CP1362" s="128"/>
      <c r="CQ1362" s="128"/>
      <c r="CR1362" s="128"/>
      <c r="CS1362" s="128"/>
      <c r="CT1362" s="128"/>
      <c r="CU1362" s="128"/>
      <c r="CV1362" s="128"/>
      <c r="CW1362" s="128"/>
      <c r="CX1362" s="128"/>
      <c r="CY1362" s="128"/>
      <c r="CZ1362" s="128"/>
    </row>
    <row r="1363" spans="1:104">
      <c r="A1363" s="128"/>
      <c r="B1363" s="128"/>
      <c r="C1363" s="128"/>
      <c r="D1363" s="112"/>
      <c r="E1363" s="128"/>
      <c r="F1363" s="128"/>
      <c r="G1363" s="128"/>
      <c r="H1363" s="128"/>
      <c r="I1363" s="128"/>
      <c r="J1363" s="128"/>
      <c r="K1363" s="128"/>
      <c r="L1363" s="128"/>
      <c r="M1363" s="128"/>
      <c r="N1363" s="128"/>
      <c r="O1363" s="128"/>
      <c r="P1363" s="128"/>
      <c r="Q1363" s="128"/>
      <c r="R1363" s="128"/>
      <c r="S1363" s="128"/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  <c r="AV1363" s="128"/>
      <c r="AW1363" s="128"/>
      <c r="AX1363" s="128"/>
      <c r="AY1363" s="128"/>
      <c r="AZ1363" s="128"/>
      <c r="BA1363" s="128"/>
      <c r="BB1363" s="128"/>
      <c r="BC1363" s="128"/>
      <c r="BD1363" s="128"/>
      <c r="BE1363" s="128"/>
      <c r="BF1363" s="128"/>
      <c r="BG1363" s="128"/>
      <c r="BH1363" s="128"/>
      <c r="BI1363" s="128"/>
      <c r="BJ1363" s="128"/>
      <c r="BK1363" s="128"/>
      <c r="BL1363" s="128"/>
      <c r="BM1363" s="151"/>
      <c r="BN1363" s="128"/>
      <c r="BO1363" s="128"/>
      <c r="BP1363" s="128"/>
      <c r="BQ1363" s="128"/>
      <c r="BR1363" s="128"/>
      <c r="BS1363" s="128"/>
      <c r="BT1363" s="128"/>
      <c r="BU1363" s="128"/>
      <c r="BV1363" s="128"/>
      <c r="BW1363" s="128"/>
      <c r="BX1363" s="128"/>
      <c r="BY1363" s="128"/>
      <c r="BZ1363" s="128"/>
      <c r="CA1363" s="128"/>
      <c r="CB1363" s="128"/>
      <c r="CC1363" s="128"/>
      <c r="CD1363" s="128"/>
      <c r="CE1363" s="128"/>
      <c r="CF1363" s="128"/>
      <c r="CG1363" s="128"/>
      <c r="CH1363" s="128"/>
      <c r="CI1363" s="128"/>
      <c r="CJ1363" s="128"/>
      <c r="CK1363" s="128"/>
      <c r="CL1363" s="128"/>
      <c r="CM1363" s="128"/>
      <c r="CN1363" s="128"/>
      <c r="CO1363" s="128"/>
      <c r="CP1363" s="128"/>
      <c r="CQ1363" s="128"/>
      <c r="CR1363" s="128"/>
      <c r="CS1363" s="128"/>
      <c r="CT1363" s="128"/>
      <c r="CU1363" s="128"/>
      <c r="CV1363" s="128"/>
      <c r="CW1363" s="128"/>
      <c r="CX1363" s="128"/>
      <c r="CY1363" s="128"/>
      <c r="CZ1363" s="128"/>
    </row>
    <row r="1364" spans="1:104">
      <c r="A1364" s="128"/>
      <c r="B1364" s="128"/>
      <c r="C1364" s="128"/>
      <c r="D1364" s="112"/>
      <c r="E1364" s="128"/>
      <c r="F1364" s="128"/>
      <c r="G1364" s="128"/>
      <c r="H1364" s="128"/>
      <c r="I1364" s="128"/>
      <c r="J1364" s="128"/>
      <c r="K1364" s="128"/>
      <c r="L1364" s="128"/>
      <c r="M1364" s="128"/>
      <c r="N1364" s="128"/>
      <c r="O1364" s="128"/>
      <c r="P1364" s="128"/>
      <c r="Q1364" s="128"/>
      <c r="R1364" s="128"/>
      <c r="S1364" s="128"/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  <c r="AV1364" s="128"/>
      <c r="AW1364" s="128"/>
      <c r="AX1364" s="128"/>
      <c r="AY1364" s="128"/>
      <c r="AZ1364" s="128"/>
      <c r="BA1364" s="128"/>
      <c r="BB1364" s="128"/>
      <c r="BC1364" s="128"/>
      <c r="BD1364" s="128"/>
      <c r="BE1364" s="128"/>
      <c r="BF1364" s="128"/>
      <c r="BG1364" s="128"/>
      <c r="BH1364" s="128"/>
      <c r="BI1364" s="128"/>
      <c r="BJ1364" s="128"/>
      <c r="BK1364" s="128"/>
      <c r="BL1364" s="128"/>
      <c r="BM1364" s="151"/>
      <c r="BN1364" s="128"/>
      <c r="BO1364" s="128"/>
      <c r="BP1364" s="128"/>
      <c r="BQ1364" s="128"/>
      <c r="BR1364" s="128"/>
      <c r="BS1364" s="128"/>
      <c r="BT1364" s="128"/>
      <c r="BU1364" s="128"/>
      <c r="BV1364" s="128"/>
      <c r="BW1364" s="128"/>
      <c r="BX1364" s="128"/>
      <c r="BY1364" s="128"/>
      <c r="BZ1364" s="128"/>
      <c r="CA1364" s="128"/>
      <c r="CB1364" s="128"/>
      <c r="CC1364" s="128"/>
      <c r="CD1364" s="128"/>
      <c r="CE1364" s="128"/>
      <c r="CF1364" s="128"/>
      <c r="CG1364" s="128"/>
      <c r="CH1364" s="128"/>
      <c r="CI1364" s="128"/>
      <c r="CJ1364" s="128"/>
      <c r="CK1364" s="128"/>
      <c r="CL1364" s="128"/>
      <c r="CM1364" s="128"/>
      <c r="CN1364" s="128"/>
      <c r="CO1364" s="128"/>
      <c r="CP1364" s="128"/>
      <c r="CQ1364" s="128"/>
      <c r="CR1364" s="128"/>
      <c r="CS1364" s="128"/>
      <c r="CT1364" s="128"/>
      <c r="CU1364" s="128"/>
      <c r="CV1364" s="128"/>
      <c r="CW1364" s="128"/>
      <c r="CX1364" s="128"/>
      <c r="CY1364" s="128"/>
      <c r="CZ1364" s="128"/>
    </row>
    <row r="1365" spans="1:104">
      <c r="A1365" s="128"/>
      <c r="B1365" s="128"/>
      <c r="C1365" s="128"/>
      <c r="D1365" s="112"/>
      <c r="E1365" s="128"/>
      <c r="F1365" s="128"/>
      <c r="G1365" s="128"/>
      <c r="H1365" s="128"/>
      <c r="I1365" s="128"/>
      <c r="J1365" s="128"/>
      <c r="K1365" s="128"/>
      <c r="L1365" s="128"/>
      <c r="M1365" s="128"/>
      <c r="N1365" s="128"/>
      <c r="O1365" s="128"/>
      <c r="P1365" s="128"/>
      <c r="Q1365" s="128"/>
      <c r="R1365" s="128"/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  <c r="AV1365" s="128"/>
      <c r="AW1365" s="128"/>
      <c r="AX1365" s="128"/>
      <c r="AY1365" s="128"/>
      <c r="AZ1365" s="128"/>
      <c r="BA1365" s="128"/>
      <c r="BB1365" s="128"/>
      <c r="BC1365" s="128"/>
      <c r="BD1365" s="128"/>
      <c r="BE1365" s="128"/>
      <c r="BF1365" s="128"/>
      <c r="BG1365" s="128"/>
      <c r="BH1365" s="128"/>
      <c r="BI1365" s="128"/>
      <c r="BJ1365" s="128"/>
      <c r="BK1365" s="128"/>
      <c r="BL1365" s="128"/>
      <c r="BM1365" s="151"/>
      <c r="BN1365" s="128"/>
      <c r="BO1365" s="128"/>
      <c r="BP1365" s="128"/>
      <c r="BQ1365" s="128"/>
      <c r="BR1365" s="128"/>
      <c r="BS1365" s="128"/>
      <c r="BT1365" s="128"/>
      <c r="BU1365" s="128"/>
      <c r="BV1365" s="128"/>
      <c r="BW1365" s="128"/>
      <c r="BX1365" s="128"/>
      <c r="BY1365" s="128"/>
      <c r="BZ1365" s="128"/>
      <c r="CA1365" s="128"/>
      <c r="CB1365" s="128"/>
      <c r="CC1365" s="128"/>
      <c r="CD1365" s="128"/>
      <c r="CE1365" s="128"/>
      <c r="CF1365" s="128"/>
      <c r="CG1365" s="128"/>
      <c r="CH1365" s="128"/>
      <c r="CI1365" s="128"/>
      <c r="CJ1365" s="128"/>
      <c r="CK1365" s="128"/>
      <c r="CL1365" s="128"/>
      <c r="CM1365" s="128"/>
      <c r="CN1365" s="128"/>
      <c r="CO1365" s="128"/>
      <c r="CP1365" s="128"/>
      <c r="CQ1365" s="128"/>
      <c r="CR1365" s="128"/>
      <c r="CS1365" s="128"/>
      <c r="CT1365" s="128"/>
      <c r="CU1365" s="128"/>
      <c r="CV1365" s="128"/>
      <c r="CW1365" s="128"/>
      <c r="CX1365" s="128"/>
      <c r="CY1365" s="128"/>
      <c r="CZ1365" s="128"/>
    </row>
    <row r="1366" spans="1:104">
      <c r="A1366" s="128"/>
      <c r="B1366" s="128"/>
      <c r="C1366" s="128"/>
      <c r="D1366" s="112"/>
      <c r="E1366" s="128"/>
      <c r="F1366" s="128"/>
      <c r="G1366" s="128"/>
      <c r="H1366" s="128"/>
      <c r="I1366" s="128"/>
      <c r="J1366" s="128"/>
      <c r="K1366" s="128"/>
      <c r="L1366" s="128"/>
      <c r="M1366" s="128"/>
      <c r="N1366" s="128"/>
      <c r="O1366" s="128"/>
      <c r="P1366" s="128"/>
      <c r="Q1366" s="128"/>
      <c r="R1366" s="128"/>
      <c r="S1366" s="128"/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  <c r="AV1366" s="128"/>
      <c r="AW1366" s="128"/>
      <c r="AX1366" s="128"/>
      <c r="AY1366" s="128"/>
      <c r="AZ1366" s="128"/>
      <c r="BA1366" s="128"/>
      <c r="BB1366" s="128"/>
      <c r="BC1366" s="128"/>
      <c r="BD1366" s="128"/>
      <c r="BE1366" s="128"/>
      <c r="BF1366" s="128"/>
      <c r="BG1366" s="128"/>
      <c r="BH1366" s="128"/>
      <c r="BI1366" s="128"/>
      <c r="BJ1366" s="128"/>
      <c r="BK1366" s="128"/>
      <c r="BL1366" s="128"/>
      <c r="BM1366" s="151"/>
      <c r="BN1366" s="128"/>
      <c r="BO1366" s="128"/>
      <c r="BP1366" s="128"/>
      <c r="BQ1366" s="128"/>
      <c r="BR1366" s="128"/>
      <c r="BS1366" s="128"/>
      <c r="BT1366" s="128"/>
      <c r="BU1366" s="128"/>
      <c r="BV1366" s="128"/>
      <c r="BW1366" s="128"/>
      <c r="BX1366" s="128"/>
      <c r="BY1366" s="128"/>
      <c r="BZ1366" s="128"/>
      <c r="CA1366" s="128"/>
      <c r="CB1366" s="128"/>
      <c r="CC1366" s="128"/>
      <c r="CD1366" s="128"/>
      <c r="CE1366" s="128"/>
      <c r="CF1366" s="128"/>
      <c r="CG1366" s="128"/>
      <c r="CH1366" s="128"/>
      <c r="CI1366" s="128"/>
      <c r="CJ1366" s="128"/>
      <c r="CK1366" s="128"/>
      <c r="CL1366" s="128"/>
      <c r="CM1366" s="128"/>
      <c r="CN1366" s="128"/>
      <c r="CO1366" s="128"/>
      <c r="CP1366" s="128"/>
      <c r="CQ1366" s="128"/>
      <c r="CR1366" s="128"/>
      <c r="CS1366" s="128"/>
      <c r="CT1366" s="128"/>
      <c r="CU1366" s="128"/>
      <c r="CV1366" s="128"/>
      <c r="CW1366" s="128"/>
      <c r="CX1366" s="128"/>
      <c r="CY1366" s="128"/>
      <c r="CZ1366" s="128"/>
    </row>
    <row r="1367" spans="1:104">
      <c r="A1367" s="128"/>
      <c r="B1367" s="128"/>
      <c r="C1367" s="128"/>
      <c r="D1367" s="112"/>
      <c r="E1367" s="128"/>
      <c r="F1367" s="128"/>
      <c r="G1367" s="128"/>
      <c r="H1367" s="128"/>
      <c r="I1367" s="128"/>
      <c r="J1367" s="128"/>
      <c r="K1367" s="128"/>
      <c r="L1367" s="128"/>
      <c r="M1367" s="128"/>
      <c r="N1367" s="128"/>
      <c r="O1367" s="128"/>
      <c r="P1367" s="128"/>
      <c r="Q1367" s="128"/>
      <c r="R1367" s="128"/>
      <c r="S1367" s="128"/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  <c r="AV1367" s="128"/>
      <c r="AW1367" s="128"/>
      <c r="AX1367" s="128"/>
      <c r="AY1367" s="128"/>
      <c r="AZ1367" s="128"/>
      <c r="BA1367" s="128"/>
      <c r="BB1367" s="128"/>
      <c r="BC1367" s="128"/>
      <c r="BD1367" s="128"/>
      <c r="BE1367" s="128"/>
      <c r="BF1367" s="128"/>
      <c r="BG1367" s="128"/>
      <c r="BH1367" s="128"/>
      <c r="BI1367" s="128"/>
      <c r="BJ1367" s="128"/>
      <c r="BK1367" s="128"/>
      <c r="BL1367" s="128"/>
      <c r="BM1367" s="151"/>
      <c r="BN1367" s="128"/>
      <c r="BO1367" s="128"/>
      <c r="BP1367" s="128"/>
      <c r="BQ1367" s="128"/>
      <c r="BR1367" s="128"/>
      <c r="BS1367" s="128"/>
      <c r="BT1367" s="128"/>
      <c r="BU1367" s="128"/>
      <c r="BV1367" s="128"/>
      <c r="BW1367" s="128"/>
      <c r="BX1367" s="128"/>
      <c r="BY1367" s="128"/>
      <c r="BZ1367" s="128"/>
      <c r="CA1367" s="128"/>
      <c r="CB1367" s="128"/>
      <c r="CC1367" s="128"/>
      <c r="CD1367" s="128"/>
      <c r="CE1367" s="128"/>
      <c r="CF1367" s="128"/>
      <c r="CG1367" s="128"/>
      <c r="CH1367" s="128"/>
      <c r="CI1367" s="128"/>
      <c r="CJ1367" s="128"/>
      <c r="CK1367" s="128"/>
      <c r="CL1367" s="128"/>
      <c r="CM1367" s="128"/>
      <c r="CN1367" s="128"/>
      <c r="CO1367" s="128"/>
      <c r="CP1367" s="128"/>
      <c r="CQ1367" s="128"/>
      <c r="CR1367" s="128"/>
      <c r="CS1367" s="128"/>
      <c r="CT1367" s="128"/>
      <c r="CU1367" s="128"/>
      <c r="CV1367" s="128"/>
      <c r="CW1367" s="128"/>
      <c r="CX1367" s="128"/>
      <c r="CY1367" s="128"/>
      <c r="CZ1367" s="128"/>
    </row>
    <row r="1368" spans="1:104">
      <c r="A1368" s="128"/>
      <c r="B1368" s="128"/>
      <c r="C1368" s="128"/>
      <c r="D1368" s="112"/>
      <c r="E1368" s="128"/>
      <c r="F1368" s="128"/>
      <c r="G1368" s="128"/>
      <c r="H1368" s="128"/>
      <c r="I1368" s="128"/>
      <c r="J1368" s="128"/>
      <c r="K1368" s="128"/>
      <c r="L1368" s="128"/>
      <c r="M1368" s="128"/>
      <c r="N1368" s="128"/>
      <c r="O1368" s="128"/>
      <c r="P1368" s="128"/>
      <c r="Q1368" s="128"/>
      <c r="R1368" s="128"/>
      <c r="S1368" s="128"/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  <c r="AV1368" s="128"/>
      <c r="AW1368" s="128"/>
      <c r="AX1368" s="128"/>
      <c r="AY1368" s="128"/>
      <c r="AZ1368" s="128"/>
      <c r="BA1368" s="128"/>
      <c r="BB1368" s="128"/>
      <c r="BC1368" s="128"/>
      <c r="BD1368" s="128"/>
      <c r="BE1368" s="128"/>
      <c r="BF1368" s="128"/>
      <c r="BG1368" s="128"/>
      <c r="BH1368" s="128"/>
      <c r="BI1368" s="128"/>
      <c r="BJ1368" s="128"/>
      <c r="BK1368" s="128"/>
      <c r="BL1368" s="128"/>
      <c r="BM1368" s="151"/>
      <c r="BN1368" s="128"/>
      <c r="BO1368" s="128"/>
      <c r="BP1368" s="128"/>
      <c r="BQ1368" s="128"/>
      <c r="BR1368" s="128"/>
      <c r="BS1368" s="128"/>
      <c r="BT1368" s="128"/>
      <c r="BU1368" s="128"/>
      <c r="BV1368" s="128"/>
      <c r="BW1368" s="128"/>
      <c r="BX1368" s="128"/>
      <c r="BY1368" s="128"/>
      <c r="BZ1368" s="128"/>
      <c r="CA1368" s="128"/>
      <c r="CB1368" s="128"/>
      <c r="CC1368" s="128"/>
      <c r="CD1368" s="128"/>
      <c r="CE1368" s="128"/>
      <c r="CF1368" s="128"/>
      <c r="CG1368" s="128"/>
      <c r="CH1368" s="128"/>
      <c r="CI1368" s="128"/>
      <c r="CJ1368" s="128"/>
      <c r="CK1368" s="128"/>
      <c r="CL1368" s="128"/>
      <c r="CM1368" s="128"/>
      <c r="CN1368" s="128"/>
      <c r="CO1368" s="128"/>
      <c r="CP1368" s="128"/>
      <c r="CQ1368" s="128"/>
      <c r="CR1368" s="128"/>
      <c r="CS1368" s="128"/>
      <c r="CT1368" s="128"/>
      <c r="CU1368" s="128"/>
      <c r="CV1368" s="128"/>
      <c r="CW1368" s="128"/>
      <c r="CX1368" s="128"/>
      <c r="CY1368" s="128"/>
      <c r="CZ1368" s="128"/>
    </row>
    <row r="1369" spans="1:104">
      <c r="A1369" s="128"/>
      <c r="B1369" s="128"/>
      <c r="C1369" s="128"/>
      <c r="D1369" s="112"/>
      <c r="E1369" s="128"/>
      <c r="F1369" s="128"/>
      <c r="G1369" s="128"/>
      <c r="H1369" s="128"/>
      <c r="I1369" s="128"/>
      <c r="J1369" s="128"/>
      <c r="K1369" s="128"/>
      <c r="L1369" s="128"/>
      <c r="M1369" s="128"/>
      <c r="N1369" s="128"/>
      <c r="O1369" s="128"/>
      <c r="P1369" s="128"/>
      <c r="Q1369" s="128"/>
      <c r="R1369" s="128"/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  <c r="AV1369" s="128"/>
      <c r="AW1369" s="128"/>
      <c r="AX1369" s="128"/>
      <c r="AY1369" s="128"/>
      <c r="AZ1369" s="128"/>
      <c r="BA1369" s="128"/>
      <c r="BB1369" s="128"/>
      <c r="BC1369" s="128"/>
      <c r="BD1369" s="128"/>
      <c r="BE1369" s="128"/>
      <c r="BF1369" s="128"/>
      <c r="BG1369" s="128"/>
      <c r="BH1369" s="128"/>
      <c r="BI1369" s="128"/>
      <c r="BJ1369" s="128"/>
      <c r="BK1369" s="128"/>
      <c r="BL1369" s="128"/>
      <c r="BM1369" s="151"/>
      <c r="BN1369" s="128"/>
      <c r="BO1369" s="128"/>
      <c r="BP1369" s="128"/>
      <c r="BQ1369" s="128"/>
      <c r="BR1369" s="128"/>
      <c r="BS1369" s="128"/>
      <c r="BT1369" s="128"/>
      <c r="BU1369" s="128"/>
      <c r="BV1369" s="128"/>
      <c r="BW1369" s="128"/>
      <c r="BX1369" s="128"/>
      <c r="BY1369" s="128"/>
      <c r="BZ1369" s="128"/>
      <c r="CA1369" s="128"/>
      <c r="CB1369" s="128"/>
      <c r="CC1369" s="128"/>
      <c r="CD1369" s="128"/>
      <c r="CE1369" s="128"/>
      <c r="CF1369" s="128"/>
      <c r="CG1369" s="128"/>
      <c r="CH1369" s="128"/>
      <c r="CI1369" s="128"/>
      <c r="CJ1369" s="128"/>
      <c r="CK1369" s="128"/>
      <c r="CL1369" s="128"/>
      <c r="CM1369" s="128"/>
      <c r="CN1369" s="128"/>
      <c r="CO1369" s="128"/>
      <c r="CP1369" s="128"/>
      <c r="CQ1369" s="128"/>
      <c r="CR1369" s="128"/>
      <c r="CS1369" s="128"/>
      <c r="CT1369" s="128"/>
      <c r="CU1369" s="128"/>
      <c r="CV1369" s="128"/>
      <c r="CW1369" s="128"/>
      <c r="CX1369" s="128"/>
      <c r="CY1369" s="128"/>
      <c r="CZ1369" s="128"/>
    </row>
    <row r="1370" spans="1:104">
      <c r="A1370" s="128"/>
      <c r="B1370" s="128"/>
      <c r="C1370" s="128"/>
      <c r="D1370" s="112"/>
      <c r="E1370" s="128"/>
      <c r="F1370" s="128"/>
      <c r="G1370" s="128"/>
      <c r="H1370" s="128"/>
      <c r="I1370" s="128"/>
      <c r="J1370" s="128"/>
      <c r="K1370" s="128"/>
      <c r="L1370" s="128"/>
      <c r="M1370" s="128"/>
      <c r="N1370" s="128"/>
      <c r="O1370" s="128"/>
      <c r="P1370" s="128"/>
      <c r="Q1370" s="128"/>
      <c r="R1370" s="128"/>
      <c r="S1370" s="128"/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  <c r="AV1370" s="128"/>
      <c r="AW1370" s="128"/>
      <c r="AX1370" s="128"/>
      <c r="AY1370" s="128"/>
      <c r="AZ1370" s="128"/>
      <c r="BA1370" s="128"/>
      <c r="BB1370" s="128"/>
      <c r="BC1370" s="128"/>
      <c r="BD1370" s="128"/>
      <c r="BE1370" s="128"/>
      <c r="BF1370" s="128"/>
      <c r="BG1370" s="128"/>
      <c r="BH1370" s="128"/>
      <c r="BI1370" s="128"/>
      <c r="BJ1370" s="128"/>
      <c r="BK1370" s="128"/>
      <c r="BL1370" s="128"/>
      <c r="BM1370" s="151"/>
      <c r="BN1370" s="128"/>
      <c r="BO1370" s="128"/>
      <c r="BP1370" s="128"/>
      <c r="BQ1370" s="128"/>
      <c r="BR1370" s="128"/>
      <c r="BS1370" s="128"/>
      <c r="BT1370" s="128"/>
      <c r="BU1370" s="128"/>
      <c r="BV1370" s="128"/>
      <c r="BW1370" s="128"/>
      <c r="BX1370" s="128"/>
      <c r="BY1370" s="128"/>
      <c r="BZ1370" s="128"/>
      <c r="CA1370" s="128"/>
      <c r="CB1370" s="128"/>
      <c r="CC1370" s="128"/>
      <c r="CD1370" s="128"/>
      <c r="CE1370" s="128"/>
      <c r="CF1370" s="128"/>
      <c r="CG1370" s="128"/>
      <c r="CH1370" s="128"/>
      <c r="CI1370" s="128"/>
      <c r="CJ1370" s="128"/>
      <c r="CK1370" s="128"/>
      <c r="CL1370" s="128"/>
      <c r="CM1370" s="128"/>
      <c r="CN1370" s="128"/>
      <c r="CO1370" s="128"/>
      <c r="CP1370" s="128"/>
      <c r="CQ1370" s="128"/>
      <c r="CR1370" s="128"/>
      <c r="CS1370" s="128"/>
      <c r="CT1370" s="128"/>
      <c r="CU1370" s="128"/>
      <c r="CV1370" s="128"/>
      <c r="CW1370" s="128"/>
      <c r="CX1370" s="128"/>
      <c r="CY1370" s="128"/>
      <c r="CZ1370" s="128"/>
    </row>
    <row r="1371" spans="1:104">
      <c r="A1371" s="128"/>
      <c r="B1371" s="128"/>
      <c r="C1371" s="128"/>
      <c r="D1371" s="112"/>
      <c r="E1371" s="128"/>
      <c r="F1371" s="128"/>
      <c r="G1371" s="128"/>
      <c r="H1371" s="128"/>
      <c r="I1371" s="128"/>
      <c r="J1371" s="128"/>
      <c r="K1371" s="128"/>
      <c r="L1371" s="128"/>
      <c r="M1371" s="128"/>
      <c r="N1371" s="128"/>
      <c r="O1371" s="128"/>
      <c r="P1371" s="128"/>
      <c r="Q1371" s="128"/>
      <c r="R1371" s="128"/>
      <c r="S1371" s="128"/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  <c r="AV1371" s="128"/>
      <c r="AW1371" s="128"/>
      <c r="AX1371" s="128"/>
      <c r="AY1371" s="128"/>
      <c r="AZ1371" s="128"/>
      <c r="BA1371" s="128"/>
      <c r="BB1371" s="128"/>
      <c r="BC1371" s="128"/>
      <c r="BD1371" s="128"/>
      <c r="BE1371" s="128"/>
      <c r="BF1371" s="128"/>
      <c r="BG1371" s="128"/>
      <c r="BH1371" s="128"/>
      <c r="BI1371" s="128"/>
      <c r="BJ1371" s="128"/>
      <c r="BK1371" s="128"/>
      <c r="BL1371" s="128"/>
      <c r="BM1371" s="151"/>
      <c r="BN1371" s="128"/>
      <c r="BO1371" s="128"/>
      <c r="BP1371" s="128"/>
      <c r="BQ1371" s="128"/>
      <c r="BR1371" s="128"/>
      <c r="BS1371" s="128"/>
      <c r="BT1371" s="128"/>
      <c r="BU1371" s="128"/>
      <c r="BV1371" s="128"/>
      <c r="BW1371" s="128"/>
      <c r="BX1371" s="128"/>
      <c r="BY1371" s="128"/>
      <c r="BZ1371" s="128"/>
      <c r="CA1371" s="128"/>
      <c r="CB1371" s="128"/>
      <c r="CC1371" s="128"/>
      <c r="CD1371" s="128"/>
      <c r="CE1371" s="128"/>
      <c r="CF1371" s="128"/>
      <c r="CG1371" s="128"/>
      <c r="CH1371" s="128"/>
      <c r="CI1371" s="128"/>
      <c r="CJ1371" s="128"/>
      <c r="CK1371" s="128"/>
      <c r="CL1371" s="128"/>
      <c r="CM1371" s="128"/>
      <c r="CN1371" s="128"/>
      <c r="CO1371" s="128"/>
      <c r="CP1371" s="128"/>
      <c r="CQ1371" s="128"/>
      <c r="CR1371" s="128"/>
      <c r="CS1371" s="128"/>
      <c r="CT1371" s="128"/>
      <c r="CU1371" s="128"/>
      <c r="CV1371" s="128"/>
      <c r="CW1371" s="128"/>
      <c r="CX1371" s="128"/>
      <c r="CY1371" s="128"/>
      <c r="CZ1371" s="128"/>
    </row>
    <row r="1372" spans="1:104">
      <c r="A1372" s="128"/>
      <c r="B1372" s="128"/>
      <c r="C1372" s="128"/>
      <c r="D1372" s="112"/>
      <c r="E1372" s="128"/>
      <c r="F1372" s="128"/>
      <c r="G1372" s="128"/>
      <c r="H1372" s="128"/>
      <c r="I1372" s="128"/>
      <c r="J1372" s="128"/>
      <c r="K1372" s="128"/>
      <c r="L1372" s="128"/>
      <c r="M1372" s="128"/>
      <c r="N1372" s="128"/>
      <c r="O1372" s="128"/>
      <c r="P1372" s="128"/>
      <c r="Q1372" s="128"/>
      <c r="R1372" s="128"/>
      <c r="S1372" s="128"/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  <c r="AV1372" s="128"/>
      <c r="AW1372" s="128"/>
      <c r="AX1372" s="128"/>
      <c r="AY1372" s="128"/>
      <c r="AZ1372" s="128"/>
      <c r="BA1372" s="128"/>
      <c r="BB1372" s="128"/>
      <c r="BC1372" s="128"/>
      <c r="BD1372" s="128"/>
      <c r="BE1372" s="128"/>
      <c r="BF1372" s="128"/>
      <c r="BG1372" s="128"/>
      <c r="BH1372" s="128"/>
      <c r="BI1372" s="128"/>
      <c r="BJ1372" s="128"/>
      <c r="BK1372" s="128"/>
      <c r="BL1372" s="128"/>
      <c r="BM1372" s="151"/>
      <c r="BN1372" s="128"/>
      <c r="BO1372" s="128"/>
      <c r="BP1372" s="128"/>
      <c r="BQ1372" s="128"/>
      <c r="BR1372" s="128"/>
      <c r="BS1372" s="128"/>
      <c r="BT1372" s="128"/>
      <c r="BU1372" s="128"/>
      <c r="BV1372" s="128"/>
      <c r="BW1372" s="128"/>
      <c r="BX1372" s="128"/>
      <c r="BY1372" s="128"/>
      <c r="BZ1372" s="128"/>
      <c r="CA1372" s="128"/>
      <c r="CB1372" s="128"/>
      <c r="CC1372" s="128"/>
      <c r="CD1372" s="128"/>
      <c r="CE1372" s="128"/>
      <c r="CF1372" s="128"/>
      <c r="CG1372" s="128"/>
      <c r="CH1372" s="128"/>
      <c r="CI1372" s="128"/>
      <c r="CJ1372" s="128"/>
      <c r="CK1372" s="128"/>
      <c r="CL1372" s="128"/>
      <c r="CM1372" s="128"/>
      <c r="CN1372" s="128"/>
      <c r="CO1372" s="128"/>
      <c r="CP1372" s="128"/>
      <c r="CQ1372" s="128"/>
      <c r="CR1372" s="128"/>
      <c r="CS1372" s="128"/>
      <c r="CT1372" s="128"/>
      <c r="CU1372" s="128"/>
      <c r="CV1372" s="128"/>
      <c r="CW1372" s="128"/>
      <c r="CX1372" s="128"/>
      <c r="CY1372" s="128"/>
      <c r="CZ1372" s="128"/>
    </row>
    <row r="1373" spans="1:104">
      <c r="A1373" s="128"/>
      <c r="B1373" s="128"/>
      <c r="C1373" s="128"/>
      <c r="D1373" s="112"/>
      <c r="E1373" s="128"/>
      <c r="F1373" s="128"/>
      <c r="G1373" s="128"/>
      <c r="H1373" s="128"/>
      <c r="I1373" s="128"/>
      <c r="J1373" s="128"/>
      <c r="K1373" s="128"/>
      <c r="L1373" s="128"/>
      <c r="M1373" s="128"/>
      <c r="N1373" s="128"/>
      <c r="O1373" s="128"/>
      <c r="P1373" s="128"/>
      <c r="Q1373" s="128"/>
      <c r="R1373" s="128"/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  <c r="AV1373" s="128"/>
      <c r="AW1373" s="128"/>
      <c r="AX1373" s="128"/>
      <c r="AY1373" s="128"/>
      <c r="AZ1373" s="128"/>
      <c r="BA1373" s="128"/>
      <c r="BB1373" s="128"/>
      <c r="BC1373" s="128"/>
      <c r="BD1373" s="128"/>
      <c r="BE1373" s="128"/>
      <c r="BF1373" s="128"/>
      <c r="BG1373" s="128"/>
      <c r="BH1373" s="128"/>
      <c r="BI1373" s="128"/>
      <c r="BJ1373" s="128"/>
      <c r="BK1373" s="128"/>
      <c r="BL1373" s="128"/>
      <c r="BM1373" s="151"/>
      <c r="BN1373" s="128"/>
      <c r="BO1373" s="128"/>
      <c r="BP1373" s="128"/>
      <c r="BQ1373" s="128"/>
      <c r="BR1373" s="128"/>
      <c r="BS1373" s="128"/>
      <c r="BT1373" s="128"/>
      <c r="BU1373" s="128"/>
      <c r="BV1373" s="128"/>
      <c r="BW1373" s="128"/>
      <c r="BX1373" s="128"/>
      <c r="BY1373" s="128"/>
      <c r="BZ1373" s="128"/>
      <c r="CA1373" s="128"/>
      <c r="CB1373" s="128"/>
      <c r="CC1373" s="128"/>
      <c r="CD1373" s="128"/>
      <c r="CE1373" s="128"/>
      <c r="CF1373" s="128"/>
      <c r="CG1373" s="128"/>
      <c r="CH1373" s="128"/>
      <c r="CI1373" s="128"/>
      <c r="CJ1373" s="128"/>
      <c r="CK1373" s="128"/>
      <c r="CL1373" s="128"/>
      <c r="CM1373" s="128"/>
      <c r="CN1373" s="128"/>
      <c r="CO1373" s="128"/>
      <c r="CP1373" s="128"/>
      <c r="CQ1373" s="128"/>
      <c r="CR1373" s="128"/>
      <c r="CS1373" s="128"/>
      <c r="CT1373" s="128"/>
      <c r="CU1373" s="128"/>
      <c r="CV1373" s="128"/>
      <c r="CW1373" s="128"/>
      <c r="CX1373" s="128"/>
      <c r="CY1373" s="128"/>
      <c r="CZ1373" s="128"/>
    </row>
    <row r="1374" spans="1:104">
      <c r="A1374" s="128"/>
      <c r="B1374" s="128"/>
      <c r="C1374" s="128"/>
      <c r="D1374" s="112"/>
      <c r="E1374" s="128"/>
      <c r="F1374" s="128"/>
      <c r="G1374" s="128"/>
      <c r="H1374" s="128"/>
      <c r="I1374" s="128"/>
      <c r="J1374" s="128"/>
      <c r="K1374" s="128"/>
      <c r="L1374" s="128"/>
      <c r="M1374" s="128"/>
      <c r="N1374" s="128"/>
      <c r="O1374" s="128"/>
      <c r="P1374" s="128"/>
      <c r="Q1374" s="128"/>
      <c r="R1374" s="128"/>
      <c r="S1374" s="128"/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  <c r="AV1374" s="128"/>
      <c r="AW1374" s="128"/>
      <c r="AX1374" s="128"/>
      <c r="AY1374" s="128"/>
      <c r="AZ1374" s="128"/>
      <c r="BA1374" s="128"/>
      <c r="BB1374" s="128"/>
      <c r="BC1374" s="128"/>
      <c r="BD1374" s="128"/>
      <c r="BE1374" s="128"/>
      <c r="BF1374" s="128"/>
      <c r="BG1374" s="128"/>
      <c r="BH1374" s="128"/>
      <c r="BI1374" s="128"/>
      <c r="BJ1374" s="128"/>
      <c r="BK1374" s="128"/>
      <c r="BL1374" s="128"/>
      <c r="BM1374" s="151"/>
      <c r="BN1374" s="128"/>
      <c r="BO1374" s="128"/>
      <c r="BP1374" s="128"/>
      <c r="BQ1374" s="128"/>
      <c r="BR1374" s="128"/>
      <c r="BS1374" s="128"/>
      <c r="BT1374" s="128"/>
      <c r="BU1374" s="128"/>
      <c r="BV1374" s="128"/>
      <c r="BW1374" s="128"/>
      <c r="BX1374" s="128"/>
      <c r="BY1374" s="128"/>
      <c r="BZ1374" s="128"/>
      <c r="CA1374" s="128"/>
      <c r="CB1374" s="128"/>
      <c r="CC1374" s="128"/>
      <c r="CD1374" s="128"/>
      <c r="CE1374" s="128"/>
      <c r="CF1374" s="128"/>
      <c r="CG1374" s="128"/>
      <c r="CH1374" s="128"/>
      <c r="CI1374" s="128"/>
      <c r="CJ1374" s="128"/>
      <c r="CK1374" s="128"/>
      <c r="CL1374" s="128"/>
      <c r="CM1374" s="128"/>
      <c r="CN1374" s="128"/>
      <c r="CO1374" s="128"/>
      <c r="CP1374" s="128"/>
      <c r="CQ1374" s="128"/>
      <c r="CR1374" s="128"/>
      <c r="CS1374" s="128"/>
      <c r="CT1374" s="128"/>
      <c r="CU1374" s="128"/>
      <c r="CV1374" s="128"/>
      <c r="CW1374" s="128"/>
      <c r="CX1374" s="128"/>
      <c r="CY1374" s="128"/>
      <c r="CZ1374" s="128"/>
    </row>
    <row r="1375" spans="1:104">
      <c r="A1375" s="128"/>
      <c r="B1375" s="128"/>
      <c r="C1375" s="128"/>
      <c r="D1375" s="112"/>
      <c r="E1375" s="128"/>
      <c r="F1375" s="128"/>
      <c r="G1375" s="128"/>
      <c r="H1375" s="128"/>
      <c r="I1375" s="128"/>
      <c r="J1375" s="128"/>
      <c r="K1375" s="128"/>
      <c r="L1375" s="128"/>
      <c r="M1375" s="128"/>
      <c r="N1375" s="128"/>
      <c r="O1375" s="128"/>
      <c r="P1375" s="128"/>
      <c r="Q1375" s="128"/>
      <c r="R1375" s="128"/>
      <c r="S1375" s="128"/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  <c r="AV1375" s="128"/>
      <c r="AW1375" s="128"/>
      <c r="AX1375" s="128"/>
      <c r="AY1375" s="128"/>
      <c r="AZ1375" s="128"/>
      <c r="BA1375" s="128"/>
      <c r="BB1375" s="128"/>
      <c r="BC1375" s="128"/>
      <c r="BD1375" s="128"/>
      <c r="BE1375" s="128"/>
      <c r="BF1375" s="128"/>
      <c r="BG1375" s="128"/>
      <c r="BH1375" s="128"/>
      <c r="BI1375" s="128"/>
      <c r="BJ1375" s="128"/>
      <c r="BK1375" s="128"/>
      <c r="BL1375" s="128"/>
      <c r="BM1375" s="151"/>
      <c r="BN1375" s="128"/>
      <c r="BO1375" s="128"/>
      <c r="BP1375" s="128"/>
      <c r="BQ1375" s="128"/>
      <c r="BR1375" s="128"/>
      <c r="BS1375" s="128"/>
      <c r="BT1375" s="128"/>
      <c r="BU1375" s="128"/>
      <c r="BV1375" s="128"/>
      <c r="BW1375" s="128"/>
      <c r="BX1375" s="128"/>
      <c r="BY1375" s="128"/>
      <c r="BZ1375" s="128"/>
      <c r="CA1375" s="128"/>
      <c r="CB1375" s="128"/>
      <c r="CC1375" s="128"/>
      <c r="CD1375" s="128"/>
      <c r="CE1375" s="128"/>
      <c r="CF1375" s="128"/>
      <c r="CG1375" s="128"/>
      <c r="CH1375" s="128"/>
      <c r="CI1375" s="128"/>
      <c r="CJ1375" s="128"/>
      <c r="CK1375" s="128"/>
      <c r="CL1375" s="128"/>
      <c r="CM1375" s="128"/>
      <c r="CN1375" s="128"/>
      <c r="CO1375" s="128"/>
      <c r="CP1375" s="128"/>
      <c r="CQ1375" s="128"/>
      <c r="CR1375" s="128"/>
      <c r="CS1375" s="128"/>
      <c r="CT1375" s="128"/>
      <c r="CU1375" s="128"/>
      <c r="CV1375" s="128"/>
      <c r="CW1375" s="128"/>
      <c r="CX1375" s="128"/>
      <c r="CY1375" s="128"/>
      <c r="CZ1375" s="128"/>
    </row>
    <row r="1376" spans="1:104">
      <c r="A1376" s="128"/>
      <c r="B1376" s="128"/>
      <c r="C1376" s="128"/>
      <c r="D1376" s="112"/>
      <c r="E1376" s="128"/>
      <c r="F1376" s="128"/>
      <c r="G1376" s="128"/>
      <c r="H1376" s="128"/>
      <c r="I1376" s="128"/>
      <c r="J1376" s="128"/>
      <c r="K1376" s="128"/>
      <c r="L1376" s="128"/>
      <c r="M1376" s="128"/>
      <c r="N1376" s="128"/>
      <c r="O1376" s="128"/>
      <c r="P1376" s="128"/>
      <c r="Q1376" s="128"/>
      <c r="R1376" s="128"/>
      <c r="S1376" s="128"/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  <c r="AV1376" s="128"/>
      <c r="AW1376" s="128"/>
      <c r="AX1376" s="128"/>
      <c r="AY1376" s="128"/>
      <c r="AZ1376" s="128"/>
      <c r="BA1376" s="128"/>
      <c r="BB1376" s="128"/>
      <c r="BC1376" s="128"/>
      <c r="BD1376" s="128"/>
      <c r="BE1376" s="128"/>
      <c r="BF1376" s="128"/>
      <c r="BG1376" s="128"/>
      <c r="BH1376" s="128"/>
      <c r="BI1376" s="128"/>
      <c r="BJ1376" s="128"/>
      <c r="BK1376" s="128"/>
      <c r="BL1376" s="128"/>
      <c r="BM1376" s="151"/>
      <c r="BN1376" s="128"/>
      <c r="BO1376" s="128"/>
      <c r="BP1376" s="128"/>
      <c r="BQ1376" s="128"/>
      <c r="BR1376" s="128"/>
      <c r="BS1376" s="128"/>
      <c r="BT1376" s="128"/>
      <c r="BU1376" s="128"/>
      <c r="BV1376" s="128"/>
      <c r="BW1376" s="128"/>
      <c r="BX1376" s="128"/>
      <c r="BY1376" s="128"/>
      <c r="BZ1376" s="128"/>
      <c r="CA1376" s="128"/>
      <c r="CB1376" s="128"/>
      <c r="CC1376" s="128"/>
      <c r="CD1376" s="128"/>
      <c r="CE1376" s="128"/>
      <c r="CF1376" s="128"/>
      <c r="CG1376" s="128"/>
      <c r="CH1376" s="128"/>
      <c r="CI1376" s="128"/>
      <c r="CJ1376" s="128"/>
      <c r="CK1376" s="128"/>
      <c r="CL1376" s="128"/>
      <c r="CM1376" s="128"/>
      <c r="CN1376" s="128"/>
      <c r="CO1376" s="128"/>
      <c r="CP1376" s="128"/>
      <c r="CQ1376" s="128"/>
      <c r="CR1376" s="128"/>
      <c r="CS1376" s="128"/>
      <c r="CT1376" s="128"/>
      <c r="CU1376" s="128"/>
      <c r="CV1376" s="128"/>
      <c r="CW1376" s="128"/>
      <c r="CX1376" s="128"/>
      <c r="CY1376" s="128"/>
      <c r="CZ1376" s="128"/>
    </row>
    <row r="1377" spans="1:104">
      <c r="A1377" s="128"/>
      <c r="B1377" s="128"/>
      <c r="C1377" s="128"/>
      <c r="D1377" s="112"/>
      <c r="E1377" s="128"/>
      <c r="F1377" s="128"/>
      <c r="G1377" s="128"/>
      <c r="H1377" s="128"/>
      <c r="I1377" s="128"/>
      <c r="J1377" s="128"/>
      <c r="K1377" s="128"/>
      <c r="L1377" s="128"/>
      <c r="M1377" s="128"/>
      <c r="N1377" s="128"/>
      <c r="O1377" s="128"/>
      <c r="P1377" s="128"/>
      <c r="Q1377" s="128"/>
      <c r="R1377" s="128"/>
      <c r="S1377" s="128"/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  <c r="AV1377" s="128"/>
      <c r="AW1377" s="128"/>
      <c r="AX1377" s="128"/>
      <c r="AY1377" s="128"/>
      <c r="AZ1377" s="128"/>
      <c r="BA1377" s="128"/>
      <c r="BB1377" s="128"/>
      <c r="BC1377" s="128"/>
      <c r="BD1377" s="128"/>
      <c r="BE1377" s="128"/>
      <c r="BF1377" s="128"/>
      <c r="BG1377" s="128"/>
      <c r="BH1377" s="128"/>
      <c r="BI1377" s="128"/>
      <c r="BJ1377" s="128"/>
      <c r="BK1377" s="128"/>
      <c r="BL1377" s="128"/>
      <c r="BM1377" s="151"/>
      <c r="BN1377" s="128"/>
      <c r="BO1377" s="128"/>
      <c r="BP1377" s="128"/>
      <c r="BQ1377" s="128"/>
      <c r="BR1377" s="128"/>
      <c r="BS1377" s="128"/>
      <c r="BT1377" s="128"/>
      <c r="BU1377" s="128"/>
      <c r="BV1377" s="128"/>
      <c r="BW1377" s="128"/>
      <c r="BX1377" s="128"/>
      <c r="BY1377" s="128"/>
      <c r="BZ1377" s="128"/>
      <c r="CA1377" s="128"/>
      <c r="CB1377" s="128"/>
      <c r="CC1377" s="128"/>
      <c r="CD1377" s="128"/>
      <c r="CE1377" s="128"/>
      <c r="CF1377" s="128"/>
      <c r="CG1377" s="128"/>
      <c r="CH1377" s="128"/>
      <c r="CI1377" s="128"/>
      <c r="CJ1377" s="128"/>
      <c r="CK1377" s="128"/>
      <c r="CL1377" s="128"/>
      <c r="CM1377" s="128"/>
      <c r="CN1377" s="128"/>
      <c r="CO1377" s="128"/>
      <c r="CP1377" s="128"/>
      <c r="CQ1377" s="128"/>
      <c r="CR1377" s="128"/>
      <c r="CS1377" s="128"/>
      <c r="CT1377" s="128"/>
      <c r="CU1377" s="128"/>
      <c r="CV1377" s="128"/>
      <c r="CW1377" s="128"/>
      <c r="CX1377" s="128"/>
      <c r="CY1377" s="128"/>
      <c r="CZ1377" s="128"/>
    </row>
    <row r="1378" spans="1:104">
      <c r="A1378" s="128"/>
      <c r="B1378" s="128"/>
      <c r="C1378" s="128"/>
      <c r="D1378" s="112"/>
      <c r="E1378" s="128"/>
      <c r="F1378" s="128"/>
      <c r="G1378" s="128"/>
      <c r="H1378" s="128"/>
      <c r="I1378" s="128"/>
      <c r="J1378" s="128"/>
      <c r="K1378" s="128"/>
      <c r="L1378" s="128"/>
      <c r="M1378" s="128"/>
      <c r="N1378" s="128"/>
      <c r="O1378" s="128"/>
      <c r="P1378" s="128"/>
      <c r="Q1378" s="128"/>
      <c r="R1378" s="128"/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  <c r="AV1378" s="128"/>
      <c r="AW1378" s="128"/>
      <c r="AX1378" s="128"/>
      <c r="AY1378" s="128"/>
      <c r="AZ1378" s="128"/>
      <c r="BA1378" s="128"/>
      <c r="BB1378" s="128"/>
      <c r="BC1378" s="128"/>
      <c r="BD1378" s="128"/>
      <c r="BE1378" s="128"/>
      <c r="BF1378" s="128"/>
      <c r="BG1378" s="128"/>
      <c r="BH1378" s="128"/>
      <c r="BI1378" s="128"/>
      <c r="BJ1378" s="128"/>
      <c r="BK1378" s="128"/>
      <c r="BL1378" s="128"/>
      <c r="BM1378" s="151"/>
      <c r="BN1378" s="128"/>
      <c r="BO1378" s="128"/>
      <c r="BP1378" s="128"/>
      <c r="BQ1378" s="128"/>
      <c r="BR1378" s="128"/>
      <c r="BS1378" s="128"/>
      <c r="BT1378" s="128"/>
      <c r="BU1378" s="128"/>
      <c r="BV1378" s="128"/>
      <c r="BW1378" s="128"/>
      <c r="BX1378" s="128"/>
      <c r="BY1378" s="128"/>
      <c r="BZ1378" s="128"/>
      <c r="CA1378" s="128"/>
      <c r="CB1378" s="128"/>
      <c r="CC1378" s="128"/>
      <c r="CD1378" s="128"/>
      <c r="CE1378" s="128"/>
      <c r="CF1378" s="128"/>
      <c r="CG1378" s="128"/>
      <c r="CH1378" s="128"/>
      <c r="CI1378" s="128"/>
      <c r="CJ1378" s="128"/>
      <c r="CK1378" s="128"/>
      <c r="CL1378" s="128"/>
      <c r="CM1378" s="128"/>
      <c r="CN1378" s="128"/>
      <c r="CO1378" s="128"/>
      <c r="CP1378" s="128"/>
      <c r="CQ1378" s="128"/>
      <c r="CR1378" s="128"/>
      <c r="CS1378" s="128"/>
      <c r="CT1378" s="128"/>
      <c r="CU1378" s="128"/>
      <c r="CV1378" s="128"/>
      <c r="CW1378" s="128"/>
      <c r="CX1378" s="128"/>
      <c r="CY1378" s="128"/>
      <c r="CZ1378" s="128"/>
    </row>
    <row r="1379" spans="1:104">
      <c r="A1379" s="128"/>
      <c r="B1379" s="128"/>
      <c r="C1379" s="128"/>
      <c r="D1379" s="112"/>
      <c r="E1379" s="128"/>
      <c r="F1379" s="128"/>
      <c r="G1379" s="128"/>
      <c r="H1379" s="128"/>
      <c r="I1379" s="128"/>
      <c r="J1379" s="128"/>
      <c r="K1379" s="128"/>
      <c r="L1379" s="128"/>
      <c r="M1379" s="128"/>
      <c r="N1379" s="128"/>
      <c r="O1379" s="128"/>
      <c r="P1379" s="128"/>
      <c r="Q1379" s="128"/>
      <c r="R1379" s="128"/>
      <c r="S1379" s="128"/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  <c r="AV1379" s="128"/>
      <c r="AW1379" s="128"/>
      <c r="AX1379" s="128"/>
      <c r="AY1379" s="128"/>
      <c r="AZ1379" s="128"/>
      <c r="BA1379" s="128"/>
      <c r="BB1379" s="128"/>
      <c r="BC1379" s="128"/>
      <c r="BD1379" s="128"/>
      <c r="BE1379" s="128"/>
      <c r="BF1379" s="128"/>
      <c r="BG1379" s="128"/>
      <c r="BH1379" s="128"/>
      <c r="BI1379" s="128"/>
      <c r="BJ1379" s="128"/>
      <c r="BK1379" s="128"/>
      <c r="BL1379" s="128"/>
      <c r="BM1379" s="151"/>
      <c r="BN1379" s="128"/>
      <c r="BO1379" s="128"/>
      <c r="BP1379" s="128"/>
      <c r="BQ1379" s="128"/>
      <c r="BR1379" s="128"/>
      <c r="BS1379" s="128"/>
      <c r="BT1379" s="128"/>
      <c r="BU1379" s="128"/>
      <c r="BV1379" s="128"/>
      <c r="BW1379" s="128"/>
      <c r="BX1379" s="128"/>
      <c r="BY1379" s="128"/>
      <c r="BZ1379" s="128"/>
      <c r="CA1379" s="128"/>
      <c r="CB1379" s="128"/>
      <c r="CC1379" s="128"/>
      <c r="CD1379" s="128"/>
      <c r="CE1379" s="128"/>
      <c r="CF1379" s="128"/>
      <c r="CG1379" s="128"/>
      <c r="CH1379" s="128"/>
      <c r="CI1379" s="128"/>
      <c r="CJ1379" s="128"/>
      <c r="CK1379" s="128"/>
      <c r="CL1379" s="128"/>
      <c r="CM1379" s="128"/>
      <c r="CN1379" s="128"/>
      <c r="CO1379" s="128"/>
      <c r="CP1379" s="128"/>
      <c r="CQ1379" s="128"/>
      <c r="CR1379" s="128"/>
      <c r="CS1379" s="128"/>
      <c r="CT1379" s="128"/>
      <c r="CU1379" s="128"/>
      <c r="CV1379" s="128"/>
      <c r="CW1379" s="128"/>
      <c r="CX1379" s="128"/>
      <c r="CY1379" s="128"/>
      <c r="CZ1379" s="128"/>
    </row>
    <row r="1380" spans="1:104">
      <c r="A1380" s="128"/>
      <c r="B1380" s="128"/>
      <c r="C1380" s="128"/>
      <c r="D1380" s="112"/>
      <c r="E1380" s="128"/>
      <c r="F1380" s="128"/>
      <c r="G1380" s="128"/>
      <c r="H1380" s="128"/>
      <c r="I1380" s="128"/>
      <c r="J1380" s="128"/>
      <c r="K1380" s="128"/>
      <c r="L1380" s="128"/>
      <c r="M1380" s="128"/>
      <c r="N1380" s="128"/>
      <c r="O1380" s="128"/>
      <c r="P1380" s="128"/>
      <c r="Q1380" s="128"/>
      <c r="R1380" s="128"/>
      <c r="S1380" s="128"/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  <c r="AV1380" s="128"/>
      <c r="AW1380" s="128"/>
      <c r="AX1380" s="128"/>
      <c r="AY1380" s="128"/>
      <c r="AZ1380" s="128"/>
      <c r="BA1380" s="128"/>
      <c r="BB1380" s="128"/>
      <c r="BC1380" s="128"/>
      <c r="BD1380" s="128"/>
      <c r="BE1380" s="128"/>
      <c r="BF1380" s="128"/>
      <c r="BG1380" s="128"/>
      <c r="BH1380" s="128"/>
      <c r="BI1380" s="128"/>
      <c r="BJ1380" s="128"/>
      <c r="BK1380" s="128"/>
      <c r="BL1380" s="128"/>
      <c r="BM1380" s="151"/>
      <c r="BN1380" s="128"/>
      <c r="BO1380" s="128"/>
      <c r="BP1380" s="128"/>
      <c r="BQ1380" s="128"/>
      <c r="BR1380" s="128"/>
      <c r="BS1380" s="128"/>
      <c r="BT1380" s="128"/>
      <c r="BU1380" s="128"/>
      <c r="BV1380" s="128"/>
      <c r="BW1380" s="128"/>
      <c r="BX1380" s="128"/>
      <c r="BY1380" s="128"/>
      <c r="BZ1380" s="128"/>
      <c r="CA1380" s="128"/>
      <c r="CB1380" s="128"/>
      <c r="CC1380" s="128"/>
      <c r="CD1380" s="128"/>
      <c r="CE1380" s="128"/>
      <c r="CF1380" s="128"/>
      <c r="CG1380" s="128"/>
      <c r="CH1380" s="128"/>
      <c r="CI1380" s="128"/>
      <c r="CJ1380" s="128"/>
      <c r="CK1380" s="128"/>
      <c r="CL1380" s="128"/>
      <c r="CM1380" s="128"/>
      <c r="CN1380" s="128"/>
      <c r="CO1380" s="128"/>
      <c r="CP1380" s="128"/>
      <c r="CQ1380" s="128"/>
      <c r="CR1380" s="128"/>
      <c r="CS1380" s="128"/>
      <c r="CT1380" s="128"/>
      <c r="CU1380" s="128"/>
      <c r="CV1380" s="128"/>
      <c r="CW1380" s="128"/>
      <c r="CX1380" s="128"/>
      <c r="CY1380" s="128"/>
      <c r="CZ1380" s="128"/>
    </row>
    <row r="1381" spans="1:104">
      <c r="A1381" s="128"/>
      <c r="B1381" s="128"/>
      <c r="C1381" s="128"/>
      <c r="D1381" s="112"/>
      <c r="E1381" s="128"/>
      <c r="F1381" s="128"/>
      <c r="G1381" s="128"/>
      <c r="H1381" s="128"/>
      <c r="I1381" s="128"/>
      <c r="J1381" s="128"/>
      <c r="K1381" s="128"/>
      <c r="L1381" s="128"/>
      <c r="M1381" s="128"/>
      <c r="N1381" s="128"/>
      <c r="O1381" s="128"/>
      <c r="P1381" s="128"/>
      <c r="Q1381" s="128"/>
      <c r="R1381" s="128"/>
      <c r="S1381" s="128"/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  <c r="AV1381" s="128"/>
      <c r="AW1381" s="128"/>
      <c r="AX1381" s="128"/>
      <c r="AY1381" s="128"/>
      <c r="AZ1381" s="128"/>
      <c r="BA1381" s="128"/>
      <c r="BB1381" s="128"/>
      <c r="BC1381" s="128"/>
      <c r="BD1381" s="128"/>
      <c r="BE1381" s="128"/>
      <c r="BF1381" s="128"/>
      <c r="BG1381" s="128"/>
      <c r="BH1381" s="128"/>
      <c r="BI1381" s="128"/>
      <c r="BJ1381" s="128"/>
      <c r="BK1381" s="128"/>
      <c r="BL1381" s="128"/>
      <c r="BM1381" s="151"/>
      <c r="BN1381" s="128"/>
      <c r="BO1381" s="128"/>
      <c r="BP1381" s="128"/>
      <c r="BQ1381" s="128"/>
      <c r="BR1381" s="128"/>
      <c r="BS1381" s="128"/>
      <c r="BT1381" s="128"/>
      <c r="BU1381" s="128"/>
      <c r="BV1381" s="128"/>
      <c r="BW1381" s="128"/>
      <c r="BX1381" s="128"/>
      <c r="BY1381" s="128"/>
      <c r="BZ1381" s="128"/>
      <c r="CA1381" s="128"/>
      <c r="CB1381" s="128"/>
      <c r="CC1381" s="128"/>
      <c r="CD1381" s="128"/>
      <c r="CE1381" s="128"/>
      <c r="CF1381" s="128"/>
      <c r="CG1381" s="128"/>
      <c r="CH1381" s="128"/>
      <c r="CI1381" s="128"/>
      <c r="CJ1381" s="128"/>
      <c r="CK1381" s="128"/>
      <c r="CL1381" s="128"/>
      <c r="CM1381" s="128"/>
      <c r="CN1381" s="128"/>
      <c r="CO1381" s="128"/>
      <c r="CP1381" s="128"/>
      <c r="CQ1381" s="128"/>
      <c r="CR1381" s="128"/>
      <c r="CS1381" s="128"/>
      <c r="CT1381" s="128"/>
      <c r="CU1381" s="128"/>
      <c r="CV1381" s="128"/>
      <c r="CW1381" s="128"/>
      <c r="CX1381" s="128"/>
      <c r="CY1381" s="128"/>
      <c r="CZ1381" s="128"/>
    </row>
    <row r="1382" spans="1:104">
      <c r="A1382" s="128"/>
      <c r="B1382" s="128"/>
      <c r="C1382" s="128"/>
      <c r="D1382" s="112"/>
      <c r="E1382" s="128"/>
      <c r="F1382" s="128"/>
      <c r="G1382" s="128"/>
      <c r="H1382" s="128"/>
      <c r="I1382" s="128"/>
      <c r="J1382" s="128"/>
      <c r="K1382" s="128"/>
      <c r="L1382" s="128"/>
      <c r="M1382" s="128"/>
      <c r="N1382" s="128"/>
      <c r="O1382" s="128"/>
      <c r="P1382" s="128"/>
      <c r="Q1382" s="128"/>
      <c r="R1382" s="128"/>
      <c r="S1382" s="128"/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  <c r="AV1382" s="128"/>
      <c r="AW1382" s="128"/>
      <c r="AX1382" s="128"/>
      <c r="AY1382" s="128"/>
      <c r="AZ1382" s="128"/>
      <c r="BA1382" s="128"/>
      <c r="BB1382" s="128"/>
      <c r="BC1382" s="128"/>
      <c r="BD1382" s="128"/>
      <c r="BE1382" s="128"/>
      <c r="BF1382" s="128"/>
      <c r="BG1382" s="128"/>
      <c r="BH1382" s="128"/>
      <c r="BI1382" s="128"/>
      <c r="BJ1382" s="128"/>
      <c r="BK1382" s="128"/>
      <c r="BL1382" s="128"/>
      <c r="BM1382" s="151"/>
      <c r="BN1382" s="128"/>
      <c r="BO1382" s="128"/>
      <c r="BP1382" s="128"/>
      <c r="BQ1382" s="128"/>
      <c r="BR1382" s="128"/>
      <c r="BS1382" s="128"/>
      <c r="BT1382" s="128"/>
      <c r="BU1382" s="128"/>
      <c r="BV1382" s="128"/>
      <c r="BW1382" s="128"/>
      <c r="BX1382" s="128"/>
      <c r="BY1382" s="128"/>
      <c r="BZ1382" s="128"/>
      <c r="CA1382" s="128"/>
      <c r="CB1382" s="128"/>
      <c r="CC1382" s="128"/>
      <c r="CD1382" s="128"/>
      <c r="CE1382" s="128"/>
      <c r="CF1382" s="128"/>
      <c r="CG1382" s="128"/>
      <c r="CH1382" s="128"/>
      <c r="CI1382" s="128"/>
      <c r="CJ1382" s="128"/>
      <c r="CK1382" s="128"/>
      <c r="CL1382" s="128"/>
      <c r="CM1382" s="128"/>
      <c r="CN1382" s="128"/>
      <c r="CO1382" s="128"/>
      <c r="CP1382" s="128"/>
      <c r="CQ1382" s="128"/>
      <c r="CR1382" s="128"/>
      <c r="CS1382" s="128"/>
      <c r="CT1382" s="128"/>
      <c r="CU1382" s="128"/>
      <c r="CV1382" s="128"/>
      <c r="CW1382" s="128"/>
      <c r="CX1382" s="128"/>
      <c r="CY1382" s="128"/>
      <c r="CZ1382" s="128"/>
    </row>
    <row r="1383" spans="1:104">
      <c r="A1383" s="128"/>
      <c r="B1383" s="128"/>
      <c r="C1383" s="128"/>
      <c r="D1383" s="112"/>
      <c r="E1383" s="128"/>
      <c r="F1383" s="128"/>
      <c r="G1383" s="128"/>
      <c r="H1383" s="128"/>
      <c r="I1383" s="128"/>
      <c r="J1383" s="128"/>
      <c r="K1383" s="128"/>
      <c r="L1383" s="128"/>
      <c r="M1383" s="128"/>
      <c r="N1383" s="128"/>
      <c r="O1383" s="128"/>
      <c r="P1383" s="128"/>
      <c r="Q1383" s="128"/>
      <c r="R1383" s="128"/>
      <c r="S1383" s="128"/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  <c r="AV1383" s="128"/>
      <c r="AW1383" s="128"/>
      <c r="AX1383" s="128"/>
      <c r="AY1383" s="128"/>
      <c r="AZ1383" s="128"/>
      <c r="BA1383" s="128"/>
      <c r="BB1383" s="128"/>
      <c r="BC1383" s="128"/>
      <c r="BD1383" s="128"/>
      <c r="BE1383" s="128"/>
      <c r="BF1383" s="128"/>
      <c r="BG1383" s="128"/>
      <c r="BH1383" s="128"/>
      <c r="BI1383" s="128"/>
      <c r="BJ1383" s="128"/>
      <c r="BK1383" s="128"/>
      <c r="BL1383" s="128"/>
      <c r="BM1383" s="151"/>
      <c r="BN1383" s="128"/>
      <c r="BO1383" s="128"/>
      <c r="BP1383" s="128"/>
      <c r="BQ1383" s="128"/>
      <c r="BR1383" s="128"/>
      <c r="BS1383" s="128"/>
      <c r="BT1383" s="128"/>
      <c r="BU1383" s="128"/>
      <c r="BV1383" s="128"/>
      <c r="BW1383" s="128"/>
      <c r="BX1383" s="128"/>
      <c r="BY1383" s="128"/>
      <c r="BZ1383" s="128"/>
      <c r="CA1383" s="128"/>
      <c r="CB1383" s="128"/>
      <c r="CC1383" s="128"/>
      <c r="CD1383" s="128"/>
      <c r="CE1383" s="128"/>
      <c r="CF1383" s="128"/>
      <c r="CG1383" s="128"/>
      <c r="CH1383" s="128"/>
      <c r="CI1383" s="128"/>
      <c r="CJ1383" s="128"/>
      <c r="CK1383" s="128"/>
      <c r="CL1383" s="128"/>
      <c r="CM1383" s="128"/>
      <c r="CN1383" s="128"/>
      <c r="CO1383" s="128"/>
      <c r="CP1383" s="128"/>
      <c r="CQ1383" s="128"/>
      <c r="CR1383" s="128"/>
      <c r="CS1383" s="128"/>
      <c r="CT1383" s="128"/>
      <c r="CU1383" s="128"/>
      <c r="CV1383" s="128"/>
      <c r="CW1383" s="128"/>
      <c r="CX1383" s="128"/>
      <c r="CY1383" s="128"/>
      <c r="CZ1383" s="128"/>
    </row>
    <row r="1384" spans="1:104">
      <c r="A1384" s="128"/>
      <c r="B1384" s="128"/>
      <c r="C1384" s="128"/>
      <c r="D1384" s="112"/>
      <c r="E1384" s="128"/>
      <c r="F1384" s="128"/>
      <c r="G1384" s="128"/>
      <c r="H1384" s="128"/>
      <c r="I1384" s="128"/>
      <c r="J1384" s="128"/>
      <c r="K1384" s="128"/>
      <c r="L1384" s="128"/>
      <c r="M1384" s="128"/>
      <c r="N1384" s="128"/>
      <c r="O1384" s="128"/>
      <c r="P1384" s="128"/>
      <c r="Q1384" s="128"/>
      <c r="R1384" s="128"/>
      <c r="S1384" s="128"/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  <c r="AV1384" s="128"/>
      <c r="AW1384" s="128"/>
      <c r="AX1384" s="128"/>
      <c r="AY1384" s="128"/>
      <c r="AZ1384" s="128"/>
      <c r="BA1384" s="128"/>
      <c r="BB1384" s="128"/>
      <c r="BC1384" s="128"/>
      <c r="BD1384" s="128"/>
      <c r="BE1384" s="128"/>
      <c r="BF1384" s="128"/>
      <c r="BG1384" s="128"/>
      <c r="BH1384" s="128"/>
      <c r="BI1384" s="128"/>
      <c r="BJ1384" s="128"/>
      <c r="BK1384" s="128"/>
      <c r="BL1384" s="128"/>
      <c r="BM1384" s="151"/>
      <c r="BN1384" s="128"/>
      <c r="BO1384" s="128"/>
      <c r="BP1384" s="128"/>
      <c r="BQ1384" s="128"/>
      <c r="BR1384" s="128"/>
      <c r="BS1384" s="128"/>
      <c r="BT1384" s="128"/>
      <c r="BU1384" s="128"/>
      <c r="BV1384" s="128"/>
      <c r="BW1384" s="128"/>
      <c r="BX1384" s="128"/>
      <c r="BY1384" s="128"/>
      <c r="BZ1384" s="128"/>
      <c r="CA1384" s="128"/>
      <c r="CB1384" s="128"/>
      <c r="CC1384" s="128"/>
      <c r="CD1384" s="128"/>
      <c r="CE1384" s="128"/>
      <c r="CF1384" s="128"/>
      <c r="CG1384" s="128"/>
      <c r="CH1384" s="128"/>
      <c r="CI1384" s="128"/>
      <c r="CJ1384" s="128"/>
      <c r="CK1384" s="128"/>
      <c r="CL1384" s="128"/>
      <c r="CM1384" s="128"/>
      <c r="CN1384" s="128"/>
      <c r="CO1384" s="128"/>
      <c r="CP1384" s="128"/>
      <c r="CQ1384" s="128"/>
      <c r="CR1384" s="128"/>
      <c r="CS1384" s="128"/>
      <c r="CT1384" s="128"/>
      <c r="CU1384" s="128"/>
      <c r="CV1384" s="128"/>
      <c r="CW1384" s="128"/>
      <c r="CX1384" s="128"/>
      <c r="CY1384" s="128"/>
      <c r="CZ1384" s="128"/>
    </row>
    <row r="1385" spans="1:104">
      <c r="A1385" s="128"/>
      <c r="B1385" s="128"/>
      <c r="C1385" s="128"/>
      <c r="D1385" s="112"/>
      <c r="E1385" s="128"/>
      <c r="F1385" s="128"/>
      <c r="G1385" s="128"/>
      <c r="H1385" s="128"/>
      <c r="I1385" s="128"/>
      <c r="J1385" s="128"/>
      <c r="K1385" s="128"/>
      <c r="L1385" s="128"/>
      <c r="M1385" s="128"/>
      <c r="N1385" s="128"/>
      <c r="O1385" s="128"/>
      <c r="P1385" s="128"/>
      <c r="Q1385" s="128"/>
      <c r="R1385" s="128"/>
      <c r="S1385" s="128"/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  <c r="AV1385" s="128"/>
      <c r="AW1385" s="128"/>
      <c r="AX1385" s="128"/>
      <c r="AY1385" s="128"/>
      <c r="AZ1385" s="128"/>
      <c r="BA1385" s="128"/>
      <c r="BB1385" s="128"/>
      <c r="BC1385" s="128"/>
      <c r="BD1385" s="128"/>
      <c r="BE1385" s="128"/>
      <c r="BF1385" s="128"/>
      <c r="BG1385" s="128"/>
      <c r="BH1385" s="128"/>
      <c r="BI1385" s="128"/>
      <c r="BJ1385" s="128"/>
      <c r="BK1385" s="128"/>
      <c r="BL1385" s="128"/>
      <c r="BM1385" s="151"/>
      <c r="BN1385" s="128"/>
      <c r="BO1385" s="128"/>
      <c r="BP1385" s="128"/>
      <c r="BQ1385" s="128"/>
      <c r="BR1385" s="128"/>
      <c r="BS1385" s="128"/>
      <c r="BT1385" s="128"/>
      <c r="BU1385" s="128"/>
      <c r="BV1385" s="128"/>
      <c r="BW1385" s="128"/>
      <c r="BX1385" s="128"/>
      <c r="BY1385" s="128"/>
      <c r="BZ1385" s="128"/>
      <c r="CA1385" s="128"/>
      <c r="CB1385" s="128"/>
      <c r="CC1385" s="128"/>
      <c r="CD1385" s="128"/>
      <c r="CE1385" s="128"/>
      <c r="CF1385" s="128"/>
      <c r="CG1385" s="128"/>
      <c r="CH1385" s="128"/>
      <c r="CI1385" s="128"/>
      <c r="CJ1385" s="128"/>
      <c r="CK1385" s="128"/>
      <c r="CL1385" s="128"/>
      <c r="CM1385" s="128"/>
      <c r="CN1385" s="128"/>
      <c r="CO1385" s="128"/>
      <c r="CP1385" s="128"/>
      <c r="CQ1385" s="128"/>
      <c r="CR1385" s="128"/>
      <c r="CS1385" s="128"/>
      <c r="CT1385" s="128"/>
      <c r="CU1385" s="128"/>
      <c r="CV1385" s="128"/>
      <c r="CW1385" s="128"/>
      <c r="CX1385" s="128"/>
      <c r="CY1385" s="128"/>
      <c r="CZ1385" s="128"/>
    </row>
    <row r="1386" spans="1:104">
      <c r="A1386" s="128"/>
      <c r="B1386" s="128"/>
      <c r="C1386" s="128"/>
      <c r="D1386" s="112"/>
      <c r="E1386" s="128"/>
      <c r="F1386" s="128"/>
      <c r="G1386" s="128"/>
      <c r="H1386" s="128"/>
      <c r="I1386" s="128"/>
      <c r="J1386" s="128"/>
      <c r="K1386" s="128"/>
      <c r="L1386" s="128"/>
      <c r="M1386" s="128"/>
      <c r="N1386" s="128"/>
      <c r="O1386" s="128"/>
      <c r="P1386" s="128"/>
      <c r="Q1386" s="128"/>
      <c r="R1386" s="128"/>
      <c r="S1386" s="128"/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  <c r="AV1386" s="128"/>
      <c r="AW1386" s="128"/>
      <c r="AX1386" s="128"/>
      <c r="AY1386" s="128"/>
      <c r="AZ1386" s="128"/>
      <c r="BA1386" s="128"/>
      <c r="BB1386" s="128"/>
      <c r="BC1386" s="128"/>
      <c r="BD1386" s="128"/>
      <c r="BE1386" s="128"/>
      <c r="BF1386" s="128"/>
      <c r="BG1386" s="128"/>
      <c r="BH1386" s="128"/>
      <c r="BI1386" s="128"/>
      <c r="BJ1386" s="128"/>
      <c r="BK1386" s="128"/>
      <c r="BL1386" s="128"/>
      <c r="BM1386" s="151"/>
      <c r="BN1386" s="128"/>
      <c r="BO1386" s="128"/>
      <c r="BP1386" s="128"/>
      <c r="BQ1386" s="128"/>
      <c r="BR1386" s="128"/>
      <c r="BS1386" s="128"/>
      <c r="BT1386" s="128"/>
      <c r="BU1386" s="128"/>
      <c r="BV1386" s="128"/>
      <c r="BW1386" s="128"/>
      <c r="BX1386" s="128"/>
      <c r="BY1386" s="128"/>
      <c r="BZ1386" s="128"/>
      <c r="CA1386" s="128"/>
      <c r="CB1386" s="128"/>
      <c r="CC1386" s="128"/>
      <c r="CD1386" s="128"/>
      <c r="CE1386" s="128"/>
      <c r="CF1386" s="128"/>
      <c r="CG1386" s="128"/>
      <c r="CH1386" s="128"/>
      <c r="CI1386" s="128"/>
      <c r="CJ1386" s="128"/>
      <c r="CK1386" s="128"/>
      <c r="CL1386" s="128"/>
      <c r="CM1386" s="128"/>
      <c r="CN1386" s="128"/>
      <c r="CO1386" s="128"/>
      <c r="CP1386" s="128"/>
      <c r="CQ1386" s="128"/>
      <c r="CR1386" s="128"/>
      <c r="CS1386" s="128"/>
      <c r="CT1386" s="128"/>
      <c r="CU1386" s="128"/>
      <c r="CV1386" s="128"/>
      <c r="CW1386" s="128"/>
      <c r="CX1386" s="128"/>
      <c r="CY1386" s="128"/>
      <c r="CZ1386" s="128"/>
    </row>
    <row r="1387" spans="1:104">
      <c r="A1387" s="128"/>
      <c r="B1387" s="128"/>
      <c r="C1387" s="128"/>
      <c r="D1387" s="112"/>
      <c r="E1387" s="128"/>
      <c r="F1387" s="128"/>
      <c r="G1387" s="128"/>
      <c r="H1387" s="128"/>
      <c r="I1387" s="128"/>
      <c r="J1387" s="128"/>
      <c r="K1387" s="128"/>
      <c r="L1387" s="128"/>
      <c r="M1387" s="128"/>
      <c r="N1387" s="128"/>
      <c r="O1387" s="128"/>
      <c r="P1387" s="128"/>
      <c r="Q1387" s="128"/>
      <c r="R1387" s="128"/>
      <c r="S1387" s="128"/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  <c r="AV1387" s="128"/>
      <c r="AW1387" s="128"/>
      <c r="AX1387" s="128"/>
      <c r="AY1387" s="128"/>
      <c r="AZ1387" s="128"/>
      <c r="BA1387" s="128"/>
      <c r="BB1387" s="128"/>
      <c r="BC1387" s="128"/>
      <c r="BD1387" s="128"/>
      <c r="BE1387" s="128"/>
      <c r="BF1387" s="128"/>
      <c r="BG1387" s="128"/>
      <c r="BH1387" s="128"/>
      <c r="BI1387" s="128"/>
      <c r="BJ1387" s="128"/>
      <c r="BK1387" s="128"/>
      <c r="BL1387" s="128"/>
      <c r="BM1387" s="151"/>
      <c r="BN1387" s="128"/>
      <c r="BO1387" s="128"/>
      <c r="BP1387" s="128"/>
      <c r="BQ1387" s="128"/>
      <c r="BR1387" s="128"/>
      <c r="BS1387" s="128"/>
      <c r="BT1387" s="128"/>
      <c r="BU1387" s="128"/>
      <c r="BV1387" s="128"/>
      <c r="BW1387" s="128"/>
      <c r="BX1387" s="128"/>
      <c r="BY1387" s="128"/>
      <c r="BZ1387" s="128"/>
      <c r="CA1387" s="128"/>
      <c r="CB1387" s="128"/>
      <c r="CC1387" s="128"/>
      <c r="CD1387" s="128"/>
      <c r="CE1387" s="128"/>
      <c r="CF1387" s="128"/>
      <c r="CG1387" s="128"/>
      <c r="CH1387" s="128"/>
      <c r="CI1387" s="128"/>
      <c r="CJ1387" s="128"/>
      <c r="CK1387" s="128"/>
      <c r="CL1387" s="128"/>
      <c r="CM1387" s="128"/>
      <c r="CN1387" s="128"/>
      <c r="CO1387" s="128"/>
      <c r="CP1387" s="128"/>
      <c r="CQ1387" s="128"/>
      <c r="CR1387" s="128"/>
      <c r="CS1387" s="128"/>
      <c r="CT1387" s="128"/>
      <c r="CU1387" s="128"/>
      <c r="CV1387" s="128"/>
      <c r="CW1387" s="128"/>
      <c r="CX1387" s="128"/>
      <c r="CY1387" s="128"/>
      <c r="CZ1387" s="128"/>
    </row>
    <row r="1388" spans="1:104">
      <c r="A1388" s="128"/>
      <c r="B1388" s="128"/>
      <c r="C1388" s="128"/>
      <c r="D1388" s="112"/>
      <c r="E1388" s="128"/>
      <c r="F1388" s="128"/>
      <c r="G1388" s="128"/>
      <c r="H1388" s="128"/>
      <c r="I1388" s="128"/>
      <c r="J1388" s="128"/>
      <c r="K1388" s="128"/>
      <c r="L1388" s="128"/>
      <c r="M1388" s="128"/>
      <c r="N1388" s="128"/>
      <c r="O1388" s="128"/>
      <c r="P1388" s="128"/>
      <c r="Q1388" s="128"/>
      <c r="R1388" s="128"/>
      <c r="S1388" s="128"/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  <c r="AV1388" s="128"/>
      <c r="AW1388" s="128"/>
      <c r="AX1388" s="128"/>
      <c r="AY1388" s="128"/>
      <c r="AZ1388" s="128"/>
      <c r="BA1388" s="128"/>
      <c r="BB1388" s="128"/>
      <c r="BC1388" s="128"/>
      <c r="BD1388" s="128"/>
      <c r="BE1388" s="128"/>
      <c r="BF1388" s="128"/>
      <c r="BG1388" s="128"/>
      <c r="BH1388" s="128"/>
      <c r="BI1388" s="128"/>
      <c r="BJ1388" s="128"/>
      <c r="BK1388" s="128"/>
      <c r="BL1388" s="128"/>
      <c r="BM1388" s="151"/>
      <c r="BN1388" s="128"/>
      <c r="BO1388" s="128"/>
      <c r="BP1388" s="128"/>
      <c r="BQ1388" s="128"/>
      <c r="BR1388" s="128"/>
      <c r="BS1388" s="128"/>
      <c r="BT1388" s="128"/>
      <c r="BU1388" s="128"/>
      <c r="BV1388" s="128"/>
      <c r="BW1388" s="128"/>
      <c r="BX1388" s="128"/>
      <c r="BY1388" s="128"/>
      <c r="BZ1388" s="128"/>
      <c r="CA1388" s="128"/>
      <c r="CB1388" s="128"/>
      <c r="CC1388" s="128"/>
      <c r="CD1388" s="128"/>
      <c r="CE1388" s="128"/>
      <c r="CF1388" s="128"/>
      <c r="CG1388" s="128"/>
      <c r="CH1388" s="128"/>
      <c r="CI1388" s="128"/>
      <c r="CJ1388" s="128"/>
      <c r="CK1388" s="128"/>
      <c r="CL1388" s="128"/>
      <c r="CM1388" s="128"/>
      <c r="CN1388" s="128"/>
      <c r="CO1388" s="128"/>
      <c r="CP1388" s="128"/>
      <c r="CQ1388" s="128"/>
      <c r="CR1388" s="128"/>
      <c r="CS1388" s="128"/>
      <c r="CT1388" s="128"/>
      <c r="CU1388" s="128"/>
      <c r="CV1388" s="128"/>
      <c r="CW1388" s="128"/>
      <c r="CX1388" s="128"/>
      <c r="CY1388" s="128"/>
      <c r="CZ1388" s="128"/>
    </row>
    <row r="1389" spans="1:104">
      <c r="A1389" s="128"/>
      <c r="B1389" s="128"/>
      <c r="C1389" s="128"/>
      <c r="D1389" s="112"/>
      <c r="E1389" s="128"/>
      <c r="F1389" s="128"/>
      <c r="G1389" s="128"/>
      <c r="H1389" s="128"/>
      <c r="I1389" s="128"/>
      <c r="J1389" s="128"/>
      <c r="K1389" s="128"/>
      <c r="L1389" s="128"/>
      <c r="M1389" s="128"/>
      <c r="N1389" s="128"/>
      <c r="O1389" s="128"/>
      <c r="P1389" s="128"/>
      <c r="Q1389" s="128"/>
      <c r="R1389" s="128"/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  <c r="AV1389" s="128"/>
      <c r="AW1389" s="128"/>
      <c r="AX1389" s="128"/>
      <c r="AY1389" s="128"/>
      <c r="AZ1389" s="128"/>
      <c r="BA1389" s="128"/>
      <c r="BB1389" s="128"/>
      <c r="BC1389" s="128"/>
      <c r="BD1389" s="128"/>
      <c r="BE1389" s="128"/>
      <c r="BF1389" s="128"/>
      <c r="BG1389" s="128"/>
      <c r="BH1389" s="128"/>
      <c r="BI1389" s="128"/>
      <c r="BJ1389" s="128"/>
      <c r="BK1389" s="128"/>
      <c r="BL1389" s="128"/>
      <c r="BM1389" s="151"/>
      <c r="BN1389" s="128"/>
      <c r="BO1389" s="128"/>
      <c r="BP1389" s="128"/>
      <c r="BQ1389" s="128"/>
      <c r="BR1389" s="128"/>
      <c r="BS1389" s="128"/>
      <c r="BT1389" s="128"/>
      <c r="BU1389" s="128"/>
      <c r="BV1389" s="128"/>
      <c r="BW1389" s="128"/>
      <c r="BX1389" s="128"/>
      <c r="BY1389" s="128"/>
      <c r="BZ1389" s="128"/>
      <c r="CA1389" s="128"/>
      <c r="CB1389" s="128"/>
      <c r="CC1389" s="128"/>
      <c r="CD1389" s="128"/>
      <c r="CE1389" s="128"/>
      <c r="CF1389" s="128"/>
      <c r="CG1389" s="128"/>
      <c r="CH1389" s="128"/>
      <c r="CI1389" s="128"/>
      <c r="CJ1389" s="128"/>
      <c r="CK1389" s="128"/>
      <c r="CL1389" s="128"/>
      <c r="CM1389" s="128"/>
      <c r="CN1389" s="128"/>
      <c r="CO1389" s="128"/>
      <c r="CP1389" s="128"/>
      <c r="CQ1389" s="128"/>
      <c r="CR1389" s="128"/>
      <c r="CS1389" s="128"/>
      <c r="CT1389" s="128"/>
      <c r="CU1389" s="128"/>
      <c r="CV1389" s="128"/>
      <c r="CW1389" s="128"/>
      <c r="CX1389" s="128"/>
      <c r="CY1389" s="128"/>
      <c r="CZ1389" s="128"/>
    </row>
    <row r="1390" spans="1:104">
      <c r="A1390" s="128"/>
      <c r="B1390" s="128"/>
      <c r="C1390" s="128"/>
      <c r="D1390" s="112"/>
      <c r="E1390" s="128"/>
      <c r="F1390" s="128"/>
      <c r="G1390" s="128"/>
      <c r="H1390" s="128"/>
      <c r="I1390" s="128"/>
      <c r="J1390" s="128"/>
      <c r="K1390" s="128"/>
      <c r="L1390" s="128"/>
      <c r="M1390" s="128"/>
      <c r="N1390" s="128"/>
      <c r="O1390" s="128"/>
      <c r="P1390" s="128"/>
      <c r="Q1390" s="128"/>
      <c r="R1390" s="128"/>
      <c r="S1390" s="128"/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  <c r="AV1390" s="128"/>
      <c r="AW1390" s="128"/>
      <c r="AX1390" s="128"/>
      <c r="AY1390" s="128"/>
      <c r="AZ1390" s="128"/>
      <c r="BA1390" s="128"/>
      <c r="BB1390" s="128"/>
      <c r="BC1390" s="128"/>
      <c r="BD1390" s="128"/>
      <c r="BE1390" s="128"/>
      <c r="BF1390" s="128"/>
      <c r="BG1390" s="128"/>
      <c r="BH1390" s="128"/>
      <c r="BI1390" s="128"/>
      <c r="BJ1390" s="128"/>
      <c r="BK1390" s="128"/>
      <c r="BL1390" s="128"/>
      <c r="BM1390" s="151"/>
      <c r="BN1390" s="128"/>
      <c r="BO1390" s="128"/>
      <c r="BP1390" s="128"/>
      <c r="BQ1390" s="128"/>
      <c r="BR1390" s="128"/>
      <c r="BS1390" s="128"/>
      <c r="BT1390" s="128"/>
      <c r="BU1390" s="128"/>
      <c r="BV1390" s="128"/>
      <c r="BW1390" s="128"/>
      <c r="BX1390" s="128"/>
      <c r="BY1390" s="128"/>
      <c r="BZ1390" s="128"/>
      <c r="CA1390" s="128"/>
      <c r="CB1390" s="128"/>
      <c r="CC1390" s="128"/>
      <c r="CD1390" s="128"/>
      <c r="CE1390" s="128"/>
      <c r="CF1390" s="128"/>
      <c r="CG1390" s="128"/>
      <c r="CH1390" s="128"/>
      <c r="CI1390" s="128"/>
      <c r="CJ1390" s="128"/>
      <c r="CK1390" s="128"/>
      <c r="CL1390" s="128"/>
      <c r="CM1390" s="128"/>
      <c r="CN1390" s="128"/>
      <c r="CO1390" s="128"/>
      <c r="CP1390" s="128"/>
      <c r="CQ1390" s="128"/>
      <c r="CR1390" s="128"/>
      <c r="CS1390" s="128"/>
      <c r="CT1390" s="128"/>
      <c r="CU1390" s="128"/>
      <c r="CV1390" s="128"/>
      <c r="CW1390" s="128"/>
      <c r="CX1390" s="128"/>
      <c r="CY1390" s="128"/>
      <c r="CZ1390" s="128"/>
    </row>
    <row r="1391" spans="1:104">
      <c r="A1391" s="128"/>
      <c r="B1391" s="128"/>
      <c r="C1391" s="128"/>
      <c r="D1391" s="112"/>
      <c r="E1391" s="128"/>
      <c r="F1391" s="128"/>
      <c r="G1391" s="128"/>
      <c r="H1391" s="128"/>
      <c r="I1391" s="128"/>
      <c r="J1391" s="128"/>
      <c r="K1391" s="128"/>
      <c r="L1391" s="128"/>
      <c r="M1391" s="128"/>
      <c r="N1391" s="128"/>
      <c r="O1391" s="128"/>
      <c r="P1391" s="128"/>
      <c r="Q1391" s="128"/>
      <c r="R1391" s="128"/>
      <c r="S1391" s="128"/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  <c r="AV1391" s="128"/>
      <c r="AW1391" s="128"/>
      <c r="AX1391" s="128"/>
      <c r="AY1391" s="128"/>
      <c r="AZ1391" s="128"/>
      <c r="BA1391" s="128"/>
      <c r="BB1391" s="128"/>
      <c r="BC1391" s="128"/>
      <c r="BD1391" s="128"/>
      <c r="BE1391" s="128"/>
      <c r="BF1391" s="128"/>
      <c r="BG1391" s="128"/>
      <c r="BH1391" s="128"/>
      <c r="BI1391" s="128"/>
      <c r="BJ1391" s="128"/>
      <c r="BK1391" s="128"/>
      <c r="BL1391" s="128"/>
      <c r="BM1391" s="151"/>
      <c r="BN1391" s="128"/>
      <c r="BO1391" s="128"/>
      <c r="BP1391" s="128"/>
      <c r="BQ1391" s="128"/>
      <c r="BR1391" s="128"/>
      <c r="BS1391" s="128"/>
      <c r="BT1391" s="128"/>
      <c r="BU1391" s="128"/>
      <c r="BV1391" s="128"/>
      <c r="BW1391" s="128"/>
      <c r="BX1391" s="128"/>
      <c r="BY1391" s="128"/>
      <c r="BZ1391" s="128"/>
      <c r="CA1391" s="128"/>
      <c r="CB1391" s="128"/>
      <c r="CC1391" s="128"/>
      <c r="CD1391" s="128"/>
      <c r="CE1391" s="128"/>
      <c r="CF1391" s="128"/>
      <c r="CG1391" s="128"/>
      <c r="CH1391" s="128"/>
      <c r="CI1391" s="128"/>
      <c r="CJ1391" s="128"/>
      <c r="CK1391" s="128"/>
      <c r="CL1391" s="128"/>
      <c r="CM1391" s="128"/>
      <c r="CN1391" s="128"/>
      <c r="CO1391" s="128"/>
      <c r="CP1391" s="128"/>
      <c r="CQ1391" s="128"/>
      <c r="CR1391" s="128"/>
      <c r="CS1391" s="128"/>
      <c r="CT1391" s="128"/>
      <c r="CU1391" s="128"/>
      <c r="CV1391" s="128"/>
      <c r="CW1391" s="128"/>
      <c r="CX1391" s="128"/>
      <c r="CY1391" s="128"/>
      <c r="CZ1391" s="128"/>
    </row>
    <row r="1392" spans="1:104">
      <c r="A1392" s="128"/>
      <c r="B1392" s="128"/>
      <c r="C1392" s="128"/>
      <c r="D1392" s="112"/>
      <c r="E1392" s="128"/>
      <c r="F1392" s="128"/>
      <c r="G1392" s="128"/>
      <c r="H1392" s="128"/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  <c r="AV1392" s="128"/>
      <c r="AW1392" s="128"/>
      <c r="AX1392" s="128"/>
      <c r="AY1392" s="128"/>
      <c r="AZ1392" s="128"/>
      <c r="BA1392" s="128"/>
      <c r="BB1392" s="128"/>
      <c r="BC1392" s="128"/>
      <c r="BD1392" s="128"/>
      <c r="BE1392" s="128"/>
      <c r="BF1392" s="128"/>
      <c r="BG1392" s="128"/>
      <c r="BH1392" s="128"/>
      <c r="BI1392" s="128"/>
      <c r="BJ1392" s="128"/>
      <c r="BK1392" s="128"/>
      <c r="BL1392" s="128"/>
      <c r="BM1392" s="151"/>
      <c r="BN1392" s="128"/>
      <c r="BO1392" s="128"/>
      <c r="BP1392" s="128"/>
      <c r="BQ1392" s="128"/>
      <c r="BR1392" s="128"/>
      <c r="BS1392" s="128"/>
      <c r="BT1392" s="128"/>
      <c r="BU1392" s="128"/>
      <c r="BV1392" s="128"/>
      <c r="BW1392" s="128"/>
      <c r="BX1392" s="128"/>
      <c r="BY1392" s="128"/>
      <c r="BZ1392" s="128"/>
      <c r="CA1392" s="128"/>
      <c r="CB1392" s="128"/>
      <c r="CC1392" s="128"/>
      <c r="CD1392" s="128"/>
      <c r="CE1392" s="128"/>
      <c r="CF1392" s="128"/>
      <c r="CG1392" s="128"/>
      <c r="CH1392" s="128"/>
      <c r="CI1392" s="128"/>
      <c r="CJ1392" s="128"/>
      <c r="CK1392" s="128"/>
      <c r="CL1392" s="128"/>
      <c r="CM1392" s="128"/>
      <c r="CN1392" s="128"/>
      <c r="CO1392" s="128"/>
      <c r="CP1392" s="128"/>
      <c r="CQ1392" s="128"/>
      <c r="CR1392" s="128"/>
      <c r="CS1392" s="128"/>
      <c r="CT1392" s="128"/>
      <c r="CU1392" s="128"/>
      <c r="CV1392" s="128"/>
      <c r="CW1392" s="128"/>
      <c r="CX1392" s="128"/>
      <c r="CY1392" s="128"/>
      <c r="CZ1392" s="128"/>
    </row>
    <row r="1393" spans="1:104">
      <c r="A1393" s="128"/>
      <c r="B1393" s="128"/>
      <c r="C1393" s="128"/>
      <c r="D1393" s="112"/>
      <c r="E1393" s="128"/>
      <c r="F1393" s="128"/>
      <c r="G1393" s="128"/>
      <c r="H1393" s="128"/>
      <c r="I1393" s="128"/>
      <c r="J1393" s="128"/>
      <c r="K1393" s="128"/>
      <c r="L1393" s="128"/>
      <c r="M1393" s="128"/>
      <c r="N1393" s="128"/>
      <c r="O1393" s="128"/>
      <c r="P1393" s="128"/>
      <c r="Q1393" s="128"/>
      <c r="R1393" s="128"/>
      <c r="S1393" s="128"/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  <c r="AV1393" s="128"/>
      <c r="AW1393" s="128"/>
      <c r="AX1393" s="128"/>
      <c r="AY1393" s="128"/>
      <c r="AZ1393" s="128"/>
      <c r="BA1393" s="128"/>
      <c r="BB1393" s="128"/>
      <c r="BC1393" s="128"/>
      <c r="BD1393" s="128"/>
      <c r="BE1393" s="128"/>
      <c r="BF1393" s="128"/>
      <c r="BG1393" s="128"/>
      <c r="BH1393" s="128"/>
      <c r="BI1393" s="128"/>
      <c r="BJ1393" s="128"/>
      <c r="BK1393" s="128"/>
      <c r="BL1393" s="128"/>
      <c r="BM1393" s="151"/>
      <c r="BN1393" s="128"/>
      <c r="BO1393" s="128"/>
      <c r="BP1393" s="128"/>
      <c r="BQ1393" s="128"/>
      <c r="BR1393" s="128"/>
      <c r="BS1393" s="128"/>
      <c r="BT1393" s="128"/>
      <c r="BU1393" s="128"/>
      <c r="BV1393" s="128"/>
      <c r="BW1393" s="128"/>
      <c r="BX1393" s="128"/>
      <c r="BY1393" s="128"/>
      <c r="BZ1393" s="128"/>
      <c r="CA1393" s="128"/>
      <c r="CB1393" s="128"/>
      <c r="CC1393" s="128"/>
      <c r="CD1393" s="128"/>
      <c r="CE1393" s="128"/>
      <c r="CF1393" s="128"/>
      <c r="CG1393" s="128"/>
      <c r="CH1393" s="128"/>
      <c r="CI1393" s="128"/>
      <c r="CJ1393" s="128"/>
      <c r="CK1393" s="128"/>
      <c r="CL1393" s="128"/>
      <c r="CM1393" s="128"/>
      <c r="CN1393" s="128"/>
      <c r="CO1393" s="128"/>
      <c r="CP1393" s="128"/>
      <c r="CQ1393" s="128"/>
      <c r="CR1393" s="128"/>
      <c r="CS1393" s="128"/>
      <c r="CT1393" s="128"/>
      <c r="CU1393" s="128"/>
      <c r="CV1393" s="128"/>
      <c r="CW1393" s="128"/>
      <c r="CX1393" s="128"/>
      <c r="CY1393" s="128"/>
      <c r="CZ1393" s="128"/>
    </row>
    <row r="1394" spans="1:104">
      <c r="A1394" s="128"/>
      <c r="B1394" s="128"/>
      <c r="C1394" s="128"/>
      <c r="D1394" s="112"/>
      <c r="E1394" s="128"/>
      <c r="F1394" s="128"/>
      <c r="G1394" s="128"/>
      <c r="H1394" s="128"/>
      <c r="I1394" s="128"/>
      <c r="J1394" s="128"/>
      <c r="K1394" s="128"/>
      <c r="L1394" s="128"/>
      <c r="M1394" s="128"/>
      <c r="N1394" s="128"/>
      <c r="O1394" s="128"/>
      <c r="P1394" s="128"/>
      <c r="Q1394" s="128"/>
      <c r="R1394" s="128"/>
      <c r="S1394" s="128"/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  <c r="AV1394" s="128"/>
      <c r="AW1394" s="128"/>
      <c r="AX1394" s="128"/>
      <c r="AY1394" s="128"/>
      <c r="AZ1394" s="128"/>
      <c r="BA1394" s="128"/>
      <c r="BB1394" s="128"/>
      <c r="BC1394" s="128"/>
      <c r="BD1394" s="128"/>
      <c r="BE1394" s="128"/>
      <c r="BF1394" s="128"/>
      <c r="BG1394" s="128"/>
      <c r="BH1394" s="128"/>
      <c r="BI1394" s="128"/>
      <c r="BJ1394" s="128"/>
      <c r="BK1394" s="128"/>
      <c r="BL1394" s="128"/>
      <c r="BM1394" s="151"/>
      <c r="BN1394" s="128"/>
      <c r="BO1394" s="128"/>
      <c r="BP1394" s="128"/>
      <c r="BQ1394" s="128"/>
      <c r="BR1394" s="128"/>
      <c r="BS1394" s="128"/>
      <c r="BT1394" s="128"/>
      <c r="BU1394" s="128"/>
      <c r="BV1394" s="128"/>
      <c r="BW1394" s="128"/>
      <c r="BX1394" s="128"/>
      <c r="BY1394" s="128"/>
      <c r="BZ1394" s="128"/>
      <c r="CA1394" s="128"/>
      <c r="CB1394" s="128"/>
      <c r="CC1394" s="128"/>
      <c r="CD1394" s="128"/>
      <c r="CE1394" s="128"/>
      <c r="CF1394" s="128"/>
      <c r="CG1394" s="128"/>
      <c r="CH1394" s="128"/>
      <c r="CI1394" s="128"/>
      <c r="CJ1394" s="128"/>
      <c r="CK1394" s="128"/>
      <c r="CL1394" s="128"/>
      <c r="CM1394" s="128"/>
      <c r="CN1394" s="128"/>
      <c r="CO1394" s="128"/>
      <c r="CP1394" s="128"/>
      <c r="CQ1394" s="128"/>
      <c r="CR1394" s="128"/>
      <c r="CS1394" s="128"/>
      <c r="CT1394" s="128"/>
      <c r="CU1394" s="128"/>
      <c r="CV1394" s="128"/>
      <c r="CW1394" s="128"/>
      <c r="CX1394" s="128"/>
      <c r="CY1394" s="128"/>
      <c r="CZ1394" s="128"/>
    </row>
    <row r="1395" spans="1:104">
      <c r="A1395" s="128"/>
      <c r="B1395" s="128"/>
      <c r="C1395" s="128"/>
      <c r="D1395" s="112"/>
      <c r="E1395" s="128"/>
      <c r="F1395" s="128"/>
      <c r="G1395" s="128"/>
      <c r="H1395" s="128"/>
      <c r="I1395" s="128"/>
      <c r="J1395" s="128"/>
      <c r="K1395" s="128"/>
      <c r="L1395" s="128"/>
      <c r="M1395" s="128"/>
      <c r="N1395" s="128"/>
      <c r="O1395" s="128"/>
      <c r="P1395" s="128"/>
      <c r="Q1395" s="128"/>
      <c r="R1395" s="128"/>
      <c r="S1395" s="128"/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  <c r="AV1395" s="128"/>
      <c r="AW1395" s="128"/>
      <c r="AX1395" s="128"/>
      <c r="AY1395" s="128"/>
      <c r="AZ1395" s="128"/>
      <c r="BA1395" s="128"/>
      <c r="BB1395" s="128"/>
      <c r="BC1395" s="128"/>
      <c r="BD1395" s="128"/>
      <c r="BE1395" s="128"/>
      <c r="BF1395" s="128"/>
      <c r="BG1395" s="128"/>
      <c r="BH1395" s="128"/>
      <c r="BI1395" s="128"/>
      <c r="BJ1395" s="128"/>
      <c r="BK1395" s="128"/>
      <c r="BL1395" s="128"/>
      <c r="BM1395" s="151"/>
      <c r="BN1395" s="128"/>
      <c r="BO1395" s="128"/>
      <c r="BP1395" s="128"/>
      <c r="BQ1395" s="128"/>
      <c r="BR1395" s="128"/>
      <c r="BS1395" s="128"/>
      <c r="BT1395" s="128"/>
      <c r="BU1395" s="128"/>
      <c r="BV1395" s="128"/>
      <c r="BW1395" s="128"/>
      <c r="BX1395" s="128"/>
      <c r="BY1395" s="128"/>
      <c r="BZ1395" s="128"/>
      <c r="CA1395" s="128"/>
      <c r="CB1395" s="128"/>
      <c r="CC1395" s="128"/>
      <c r="CD1395" s="128"/>
      <c r="CE1395" s="128"/>
      <c r="CF1395" s="128"/>
      <c r="CG1395" s="128"/>
      <c r="CH1395" s="128"/>
      <c r="CI1395" s="128"/>
      <c r="CJ1395" s="128"/>
      <c r="CK1395" s="128"/>
      <c r="CL1395" s="128"/>
      <c r="CM1395" s="128"/>
      <c r="CN1395" s="128"/>
      <c r="CO1395" s="128"/>
      <c r="CP1395" s="128"/>
      <c r="CQ1395" s="128"/>
      <c r="CR1395" s="128"/>
      <c r="CS1395" s="128"/>
      <c r="CT1395" s="128"/>
      <c r="CU1395" s="128"/>
      <c r="CV1395" s="128"/>
      <c r="CW1395" s="128"/>
      <c r="CX1395" s="128"/>
      <c r="CY1395" s="128"/>
      <c r="CZ1395" s="128"/>
    </row>
    <row r="1396" spans="1:104">
      <c r="A1396" s="128"/>
      <c r="B1396" s="128"/>
      <c r="C1396" s="128"/>
      <c r="D1396" s="112"/>
      <c r="E1396" s="128"/>
      <c r="F1396" s="128"/>
      <c r="G1396" s="128"/>
      <c r="H1396" s="128"/>
      <c r="I1396" s="128"/>
      <c r="J1396" s="128"/>
      <c r="K1396" s="128"/>
      <c r="L1396" s="128"/>
      <c r="M1396" s="128"/>
      <c r="N1396" s="128"/>
      <c r="O1396" s="128"/>
      <c r="P1396" s="128"/>
      <c r="Q1396" s="128"/>
      <c r="R1396" s="128"/>
      <c r="S1396" s="128"/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  <c r="AV1396" s="128"/>
      <c r="AW1396" s="128"/>
      <c r="AX1396" s="128"/>
      <c r="AY1396" s="128"/>
      <c r="AZ1396" s="128"/>
      <c r="BA1396" s="128"/>
      <c r="BB1396" s="128"/>
      <c r="BC1396" s="128"/>
      <c r="BD1396" s="128"/>
      <c r="BE1396" s="128"/>
      <c r="BF1396" s="128"/>
      <c r="BG1396" s="128"/>
      <c r="BH1396" s="128"/>
      <c r="BI1396" s="128"/>
      <c r="BJ1396" s="128"/>
      <c r="BK1396" s="128"/>
      <c r="BL1396" s="128"/>
      <c r="BM1396" s="151"/>
      <c r="BN1396" s="128"/>
      <c r="BO1396" s="128"/>
      <c r="BP1396" s="128"/>
      <c r="BQ1396" s="128"/>
      <c r="BR1396" s="128"/>
      <c r="BS1396" s="128"/>
      <c r="BT1396" s="128"/>
      <c r="BU1396" s="128"/>
      <c r="BV1396" s="128"/>
      <c r="BW1396" s="128"/>
      <c r="BX1396" s="128"/>
      <c r="BY1396" s="128"/>
      <c r="BZ1396" s="128"/>
      <c r="CA1396" s="128"/>
      <c r="CB1396" s="128"/>
      <c r="CC1396" s="128"/>
      <c r="CD1396" s="128"/>
      <c r="CE1396" s="128"/>
      <c r="CF1396" s="128"/>
      <c r="CG1396" s="128"/>
      <c r="CH1396" s="128"/>
      <c r="CI1396" s="128"/>
      <c r="CJ1396" s="128"/>
      <c r="CK1396" s="128"/>
      <c r="CL1396" s="128"/>
      <c r="CM1396" s="128"/>
      <c r="CN1396" s="128"/>
      <c r="CO1396" s="128"/>
      <c r="CP1396" s="128"/>
      <c r="CQ1396" s="128"/>
      <c r="CR1396" s="128"/>
      <c r="CS1396" s="128"/>
      <c r="CT1396" s="128"/>
      <c r="CU1396" s="128"/>
      <c r="CV1396" s="128"/>
      <c r="CW1396" s="128"/>
      <c r="CX1396" s="128"/>
      <c r="CY1396" s="128"/>
      <c r="CZ1396" s="128"/>
    </row>
    <row r="1397" spans="1:104">
      <c r="A1397" s="128"/>
      <c r="B1397" s="128"/>
      <c r="C1397" s="128"/>
      <c r="D1397" s="112"/>
      <c r="E1397" s="128"/>
      <c r="F1397" s="128"/>
      <c r="G1397" s="128"/>
      <c r="H1397" s="128"/>
      <c r="I1397" s="128"/>
      <c r="J1397" s="128"/>
      <c r="K1397" s="128"/>
      <c r="L1397" s="128"/>
      <c r="M1397" s="128"/>
      <c r="N1397" s="128"/>
      <c r="O1397" s="128"/>
      <c r="P1397" s="128"/>
      <c r="Q1397" s="128"/>
      <c r="R1397" s="128"/>
      <c r="S1397" s="128"/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  <c r="AV1397" s="128"/>
      <c r="AW1397" s="128"/>
      <c r="AX1397" s="128"/>
      <c r="AY1397" s="128"/>
      <c r="AZ1397" s="128"/>
      <c r="BA1397" s="128"/>
      <c r="BB1397" s="128"/>
      <c r="BC1397" s="128"/>
      <c r="BD1397" s="128"/>
      <c r="BE1397" s="128"/>
      <c r="BF1397" s="128"/>
      <c r="BG1397" s="128"/>
      <c r="BH1397" s="128"/>
      <c r="BI1397" s="128"/>
      <c r="BJ1397" s="128"/>
      <c r="BK1397" s="128"/>
      <c r="BL1397" s="128"/>
      <c r="BM1397" s="151"/>
      <c r="BN1397" s="128"/>
      <c r="BO1397" s="128"/>
      <c r="BP1397" s="128"/>
      <c r="BQ1397" s="128"/>
      <c r="BR1397" s="128"/>
      <c r="BS1397" s="128"/>
      <c r="BT1397" s="128"/>
      <c r="BU1397" s="128"/>
      <c r="BV1397" s="128"/>
      <c r="BW1397" s="128"/>
      <c r="BX1397" s="128"/>
      <c r="BY1397" s="128"/>
      <c r="BZ1397" s="128"/>
      <c r="CA1397" s="128"/>
      <c r="CB1397" s="128"/>
      <c r="CC1397" s="128"/>
      <c r="CD1397" s="128"/>
      <c r="CE1397" s="128"/>
      <c r="CF1397" s="128"/>
      <c r="CG1397" s="128"/>
      <c r="CH1397" s="128"/>
      <c r="CI1397" s="128"/>
      <c r="CJ1397" s="128"/>
      <c r="CK1397" s="128"/>
      <c r="CL1397" s="128"/>
      <c r="CM1397" s="128"/>
      <c r="CN1397" s="128"/>
      <c r="CO1397" s="128"/>
      <c r="CP1397" s="128"/>
      <c r="CQ1397" s="128"/>
      <c r="CR1397" s="128"/>
      <c r="CS1397" s="128"/>
      <c r="CT1397" s="128"/>
      <c r="CU1397" s="128"/>
      <c r="CV1397" s="128"/>
      <c r="CW1397" s="128"/>
      <c r="CX1397" s="128"/>
      <c r="CY1397" s="128"/>
      <c r="CZ1397" s="128"/>
    </row>
    <row r="1398" spans="1:104">
      <c r="A1398" s="128"/>
      <c r="B1398" s="128"/>
      <c r="C1398" s="128"/>
      <c r="D1398" s="112"/>
      <c r="E1398" s="128"/>
      <c r="F1398" s="128"/>
      <c r="G1398" s="128"/>
      <c r="H1398" s="128"/>
      <c r="I1398" s="128"/>
      <c r="J1398" s="128"/>
      <c r="K1398" s="128"/>
      <c r="L1398" s="128"/>
      <c r="M1398" s="128"/>
      <c r="N1398" s="128"/>
      <c r="O1398" s="128"/>
      <c r="P1398" s="128"/>
      <c r="Q1398" s="128"/>
      <c r="R1398" s="128"/>
      <c r="S1398" s="128"/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  <c r="AV1398" s="128"/>
      <c r="AW1398" s="128"/>
      <c r="AX1398" s="128"/>
      <c r="AY1398" s="128"/>
      <c r="AZ1398" s="128"/>
      <c r="BA1398" s="128"/>
      <c r="BB1398" s="128"/>
      <c r="BC1398" s="128"/>
      <c r="BD1398" s="128"/>
      <c r="BE1398" s="128"/>
      <c r="BF1398" s="128"/>
      <c r="BG1398" s="128"/>
      <c r="BH1398" s="128"/>
      <c r="BI1398" s="128"/>
      <c r="BJ1398" s="128"/>
      <c r="BK1398" s="128"/>
      <c r="BL1398" s="128"/>
      <c r="BM1398" s="151"/>
      <c r="BN1398" s="128"/>
      <c r="BO1398" s="128"/>
      <c r="BP1398" s="128"/>
      <c r="BQ1398" s="128"/>
      <c r="BR1398" s="128"/>
      <c r="BS1398" s="128"/>
      <c r="BT1398" s="128"/>
      <c r="BU1398" s="128"/>
      <c r="BV1398" s="128"/>
      <c r="BW1398" s="128"/>
      <c r="BX1398" s="128"/>
      <c r="BY1398" s="128"/>
      <c r="BZ1398" s="128"/>
      <c r="CA1398" s="128"/>
      <c r="CB1398" s="128"/>
      <c r="CC1398" s="128"/>
      <c r="CD1398" s="128"/>
      <c r="CE1398" s="128"/>
      <c r="CF1398" s="128"/>
      <c r="CG1398" s="128"/>
      <c r="CH1398" s="128"/>
      <c r="CI1398" s="128"/>
      <c r="CJ1398" s="128"/>
      <c r="CK1398" s="128"/>
      <c r="CL1398" s="128"/>
      <c r="CM1398" s="128"/>
      <c r="CN1398" s="128"/>
      <c r="CO1398" s="128"/>
      <c r="CP1398" s="128"/>
      <c r="CQ1398" s="128"/>
      <c r="CR1398" s="128"/>
      <c r="CS1398" s="128"/>
      <c r="CT1398" s="128"/>
      <c r="CU1398" s="128"/>
      <c r="CV1398" s="128"/>
      <c r="CW1398" s="128"/>
      <c r="CX1398" s="128"/>
      <c r="CY1398" s="128"/>
      <c r="CZ1398" s="128"/>
    </row>
    <row r="1399" spans="1:104">
      <c r="A1399" s="128"/>
      <c r="B1399" s="128"/>
      <c r="C1399" s="128"/>
      <c r="D1399" s="112"/>
      <c r="E1399" s="128"/>
      <c r="F1399" s="128"/>
      <c r="G1399" s="128"/>
      <c r="H1399" s="128"/>
      <c r="I1399" s="128"/>
      <c r="J1399" s="128"/>
      <c r="K1399" s="128"/>
      <c r="L1399" s="128"/>
      <c r="M1399" s="128"/>
      <c r="N1399" s="128"/>
      <c r="O1399" s="128"/>
      <c r="P1399" s="128"/>
      <c r="Q1399" s="128"/>
      <c r="R1399" s="128"/>
      <c r="S1399" s="128"/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  <c r="AV1399" s="128"/>
      <c r="AW1399" s="128"/>
      <c r="AX1399" s="128"/>
      <c r="AY1399" s="128"/>
      <c r="AZ1399" s="128"/>
      <c r="BA1399" s="128"/>
      <c r="BB1399" s="128"/>
      <c r="BC1399" s="128"/>
      <c r="BD1399" s="128"/>
      <c r="BE1399" s="128"/>
      <c r="BF1399" s="128"/>
      <c r="BG1399" s="128"/>
      <c r="BH1399" s="128"/>
      <c r="BI1399" s="128"/>
      <c r="BJ1399" s="128"/>
      <c r="BK1399" s="128"/>
      <c r="BL1399" s="128"/>
      <c r="BM1399" s="151"/>
      <c r="BN1399" s="128"/>
      <c r="BO1399" s="128"/>
      <c r="BP1399" s="128"/>
      <c r="BQ1399" s="128"/>
      <c r="BR1399" s="128"/>
      <c r="BS1399" s="128"/>
      <c r="BT1399" s="128"/>
      <c r="BU1399" s="128"/>
      <c r="BV1399" s="128"/>
      <c r="BW1399" s="128"/>
      <c r="BX1399" s="128"/>
      <c r="BY1399" s="128"/>
      <c r="BZ1399" s="128"/>
      <c r="CA1399" s="128"/>
      <c r="CB1399" s="128"/>
      <c r="CC1399" s="128"/>
      <c r="CD1399" s="128"/>
      <c r="CE1399" s="128"/>
      <c r="CF1399" s="128"/>
      <c r="CG1399" s="128"/>
      <c r="CH1399" s="128"/>
      <c r="CI1399" s="128"/>
      <c r="CJ1399" s="128"/>
      <c r="CK1399" s="128"/>
      <c r="CL1399" s="128"/>
      <c r="CM1399" s="128"/>
      <c r="CN1399" s="128"/>
      <c r="CO1399" s="128"/>
      <c r="CP1399" s="128"/>
      <c r="CQ1399" s="128"/>
      <c r="CR1399" s="128"/>
      <c r="CS1399" s="128"/>
      <c r="CT1399" s="128"/>
      <c r="CU1399" s="128"/>
      <c r="CV1399" s="128"/>
      <c r="CW1399" s="128"/>
      <c r="CX1399" s="128"/>
      <c r="CY1399" s="128"/>
      <c r="CZ1399" s="128"/>
    </row>
    <row r="1400" spans="1:104">
      <c r="A1400" s="128"/>
      <c r="B1400" s="128"/>
      <c r="C1400" s="128"/>
      <c r="D1400" s="112"/>
      <c r="E1400" s="128"/>
      <c r="F1400" s="128"/>
      <c r="G1400" s="128"/>
      <c r="H1400" s="128"/>
      <c r="I1400" s="128"/>
      <c r="J1400" s="128"/>
      <c r="K1400" s="128"/>
      <c r="L1400" s="128"/>
      <c r="M1400" s="128"/>
      <c r="N1400" s="128"/>
      <c r="O1400" s="128"/>
      <c r="P1400" s="128"/>
      <c r="Q1400" s="128"/>
      <c r="R1400" s="128"/>
      <c r="S1400" s="128"/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  <c r="AV1400" s="128"/>
      <c r="AW1400" s="128"/>
      <c r="AX1400" s="128"/>
      <c r="AY1400" s="128"/>
      <c r="AZ1400" s="128"/>
      <c r="BA1400" s="128"/>
      <c r="BB1400" s="128"/>
      <c r="BC1400" s="128"/>
      <c r="BD1400" s="128"/>
      <c r="BE1400" s="128"/>
      <c r="BF1400" s="128"/>
      <c r="BG1400" s="128"/>
      <c r="BH1400" s="128"/>
      <c r="BI1400" s="128"/>
      <c r="BJ1400" s="128"/>
      <c r="BK1400" s="128"/>
      <c r="BL1400" s="128"/>
      <c r="BM1400" s="151"/>
      <c r="BN1400" s="128"/>
      <c r="BO1400" s="128"/>
      <c r="BP1400" s="128"/>
      <c r="BQ1400" s="128"/>
      <c r="BR1400" s="128"/>
      <c r="BS1400" s="128"/>
      <c r="BT1400" s="128"/>
      <c r="BU1400" s="128"/>
      <c r="BV1400" s="128"/>
      <c r="BW1400" s="128"/>
      <c r="BX1400" s="128"/>
      <c r="BY1400" s="128"/>
      <c r="BZ1400" s="128"/>
      <c r="CA1400" s="128"/>
      <c r="CB1400" s="128"/>
      <c r="CC1400" s="128"/>
      <c r="CD1400" s="128"/>
      <c r="CE1400" s="128"/>
      <c r="CF1400" s="128"/>
      <c r="CG1400" s="128"/>
      <c r="CH1400" s="128"/>
      <c r="CI1400" s="128"/>
      <c r="CJ1400" s="128"/>
      <c r="CK1400" s="128"/>
      <c r="CL1400" s="128"/>
      <c r="CM1400" s="128"/>
      <c r="CN1400" s="128"/>
      <c r="CO1400" s="128"/>
      <c r="CP1400" s="128"/>
      <c r="CQ1400" s="128"/>
      <c r="CR1400" s="128"/>
      <c r="CS1400" s="128"/>
      <c r="CT1400" s="128"/>
      <c r="CU1400" s="128"/>
      <c r="CV1400" s="128"/>
      <c r="CW1400" s="128"/>
      <c r="CX1400" s="128"/>
      <c r="CY1400" s="128"/>
      <c r="CZ1400" s="128"/>
    </row>
    <row r="1401" spans="1:104">
      <c r="A1401" s="128"/>
      <c r="B1401" s="128"/>
      <c r="C1401" s="128"/>
      <c r="D1401" s="112"/>
      <c r="E1401" s="128"/>
      <c r="F1401" s="128"/>
      <c r="G1401" s="128"/>
      <c r="H1401" s="128"/>
      <c r="I1401" s="128"/>
      <c r="J1401" s="128"/>
      <c r="K1401" s="128"/>
      <c r="L1401" s="128"/>
      <c r="M1401" s="128"/>
      <c r="N1401" s="128"/>
      <c r="O1401" s="128"/>
      <c r="P1401" s="128"/>
      <c r="Q1401" s="128"/>
      <c r="R1401" s="128"/>
      <c r="S1401" s="128"/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  <c r="AV1401" s="128"/>
      <c r="AW1401" s="128"/>
      <c r="AX1401" s="128"/>
      <c r="AY1401" s="128"/>
      <c r="AZ1401" s="128"/>
      <c r="BA1401" s="128"/>
      <c r="BB1401" s="128"/>
      <c r="BC1401" s="128"/>
      <c r="BD1401" s="128"/>
      <c r="BE1401" s="128"/>
      <c r="BF1401" s="128"/>
      <c r="BG1401" s="128"/>
      <c r="BH1401" s="128"/>
      <c r="BI1401" s="128"/>
      <c r="BJ1401" s="128"/>
      <c r="BK1401" s="128"/>
      <c r="BL1401" s="128"/>
      <c r="BM1401" s="151"/>
      <c r="BN1401" s="128"/>
      <c r="BO1401" s="128"/>
      <c r="BP1401" s="128"/>
      <c r="BQ1401" s="128"/>
      <c r="BR1401" s="128"/>
      <c r="BS1401" s="128"/>
      <c r="BT1401" s="128"/>
      <c r="BU1401" s="128"/>
      <c r="BV1401" s="128"/>
      <c r="BW1401" s="128"/>
      <c r="BX1401" s="128"/>
      <c r="BY1401" s="128"/>
      <c r="BZ1401" s="128"/>
      <c r="CA1401" s="128"/>
      <c r="CB1401" s="128"/>
      <c r="CC1401" s="128"/>
      <c r="CD1401" s="128"/>
      <c r="CE1401" s="128"/>
      <c r="CF1401" s="128"/>
      <c r="CG1401" s="128"/>
      <c r="CH1401" s="128"/>
      <c r="CI1401" s="128"/>
      <c r="CJ1401" s="128"/>
      <c r="CK1401" s="128"/>
      <c r="CL1401" s="128"/>
      <c r="CM1401" s="128"/>
      <c r="CN1401" s="128"/>
      <c r="CO1401" s="128"/>
      <c r="CP1401" s="128"/>
      <c r="CQ1401" s="128"/>
      <c r="CR1401" s="128"/>
      <c r="CS1401" s="128"/>
      <c r="CT1401" s="128"/>
      <c r="CU1401" s="128"/>
      <c r="CV1401" s="128"/>
      <c r="CW1401" s="128"/>
      <c r="CX1401" s="128"/>
      <c r="CY1401" s="128"/>
      <c r="CZ1401" s="128"/>
    </row>
    <row r="1402" spans="1:104">
      <c r="A1402" s="128"/>
      <c r="B1402" s="128"/>
      <c r="C1402" s="128"/>
      <c r="D1402" s="112"/>
      <c r="E1402" s="128"/>
      <c r="F1402" s="128"/>
      <c r="G1402" s="128"/>
      <c r="H1402" s="128"/>
      <c r="I1402" s="128"/>
      <c r="J1402" s="128"/>
      <c r="K1402" s="128"/>
      <c r="L1402" s="128"/>
      <c r="M1402" s="128"/>
      <c r="N1402" s="128"/>
      <c r="O1402" s="128"/>
      <c r="P1402" s="128"/>
      <c r="Q1402" s="128"/>
      <c r="R1402" s="128"/>
      <c r="S1402" s="128"/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  <c r="AV1402" s="128"/>
      <c r="AW1402" s="128"/>
      <c r="AX1402" s="128"/>
      <c r="AY1402" s="128"/>
      <c r="AZ1402" s="128"/>
      <c r="BA1402" s="128"/>
      <c r="BB1402" s="128"/>
      <c r="BC1402" s="128"/>
      <c r="BD1402" s="128"/>
      <c r="BE1402" s="128"/>
      <c r="BF1402" s="128"/>
      <c r="BG1402" s="128"/>
      <c r="BH1402" s="128"/>
      <c r="BI1402" s="128"/>
      <c r="BJ1402" s="128"/>
      <c r="BK1402" s="128"/>
      <c r="BL1402" s="128"/>
      <c r="BM1402" s="151"/>
      <c r="BN1402" s="128"/>
      <c r="BO1402" s="128"/>
      <c r="BP1402" s="128"/>
      <c r="BQ1402" s="128"/>
      <c r="BR1402" s="128"/>
      <c r="BS1402" s="128"/>
      <c r="BT1402" s="128"/>
      <c r="BU1402" s="128"/>
      <c r="BV1402" s="128"/>
      <c r="BW1402" s="128"/>
      <c r="BX1402" s="128"/>
      <c r="BY1402" s="128"/>
      <c r="BZ1402" s="128"/>
      <c r="CA1402" s="128"/>
      <c r="CB1402" s="128"/>
      <c r="CC1402" s="128"/>
      <c r="CD1402" s="128"/>
      <c r="CE1402" s="128"/>
      <c r="CF1402" s="128"/>
      <c r="CG1402" s="128"/>
      <c r="CH1402" s="128"/>
      <c r="CI1402" s="128"/>
      <c r="CJ1402" s="128"/>
      <c r="CK1402" s="128"/>
      <c r="CL1402" s="128"/>
      <c r="CM1402" s="128"/>
      <c r="CN1402" s="128"/>
      <c r="CO1402" s="128"/>
      <c r="CP1402" s="128"/>
      <c r="CQ1402" s="128"/>
      <c r="CR1402" s="128"/>
      <c r="CS1402" s="128"/>
      <c r="CT1402" s="128"/>
      <c r="CU1402" s="128"/>
      <c r="CV1402" s="128"/>
      <c r="CW1402" s="128"/>
      <c r="CX1402" s="128"/>
      <c r="CY1402" s="128"/>
      <c r="CZ1402" s="128"/>
    </row>
    <row r="1403" spans="1:104">
      <c r="A1403" s="128"/>
      <c r="B1403" s="128"/>
      <c r="C1403" s="128"/>
      <c r="D1403" s="112"/>
      <c r="E1403" s="128"/>
      <c r="F1403" s="128"/>
      <c r="G1403" s="128"/>
      <c r="H1403" s="128"/>
      <c r="I1403" s="128"/>
      <c r="J1403" s="128"/>
      <c r="K1403" s="128"/>
      <c r="L1403" s="128"/>
      <c r="M1403" s="128"/>
      <c r="N1403" s="128"/>
      <c r="O1403" s="128"/>
      <c r="P1403" s="128"/>
      <c r="Q1403" s="128"/>
      <c r="R1403" s="128"/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  <c r="AV1403" s="128"/>
      <c r="AW1403" s="128"/>
      <c r="AX1403" s="128"/>
      <c r="AY1403" s="128"/>
      <c r="AZ1403" s="128"/>
      <c r="BA1403" s="128"/>
      <c r="BB1403" s="128"/>
      <c r="BC1403" s="128"/>
      <c r="BD1403" s="128"/>
      <c r="BE1403" s="128"/>
      <c r="BF1403" s="128"/>
      <c r="BG1403" s="128"/>
      <c r="BH1403" s="128"/>
      <c r="BI1403" s="128"/>
      <c r="BJ1403" s="128"/>
      <c r="BK1403" s="128"/>
      <c r="BL1403" s="128"/>
      <c r="BM1403" s="151"/>
      <c r="BN1403" s="128"/>
      <c r="BO1403" s="128"/>
      <c r="BP1403" s="128"/>
      <c r="BQ1403" s="128"/>
      <c r="BR1403" s="128"/>
      <c r="BS1403" s="128"/>
      <c r="BT1403" s="128"/>
      <c r="BU1403" s="128"/>
      <c r="BV1403" s="128"/>
      <c r="BW1403" s="128"/>
      <c r="BX1403" s="128"/>
      <c r="BY1403" s="128"/>
      <c r="BZ1403" s="128"/>
      <c r="CA1403" s="128"/>
      <c r="CB1403" s="128"/>
      <c r="CC1403" s="128"/>
      <c r="CD1403" s="128"/>
      <c r="CE1403" s="128"/>
      <c r="CF1403" s="128"/>
      <c r="CG1403" s="128"/>
      <c r="CH1403" s="128"/>
      <c r="CI1403" s="128"/>
      <c r="CJ1403" s="128"/>
      <c r="CK1403" s="128"/>
      <c r="CL1403" s="128"/>
      <c r="CM1403" s="128"/>
      <c r="CN1403" s="128"/>
      <c r="CO1403" s="128"/>
      <c r="CP1403" s="128"/>
      <c r="CQ1403" s="128"/>
      <c r="CR1403" s="128"/>
      <c r="CS1403" s="128"/>
      <c r="CT1403" s="128"/>
      <c r="CU1403" s="128"/>
      <c r="CV1403" s="128"/>
      <c r="CW1403" s="128"/>
      <c r="CX1403" s="128"/>
      <c r="CY1403" s="128"/>
      <c r="CZ1403" s="128"/>
    </row>
    <row r="1404" spans="1:104">
      <c r="A1404" s="128"/>
      <c r="B1404" s="128"/>
      <c r="C1404" s="128"/>
      <c r="D1404" s="112"/>
      <c r="E1404" s="128"/>
      <c r="F1404" s="128"/>
      <c r="G1404" s="128"/>
      <c r="H1404" s="128"/>
      <c r="I1404" s="128"/>
      <c r="J1404" s="128"/>
      <c r="K1404" s="128"/>
      <c r="L1404" s="128"/>
      <c r="M1404" s="128"/>
      <c r="N1404" s="128"/>
      <c r="O1404" s="128"/>
      <c r="P1404" s="128"/>
      <c r="Q1404" s="128"/>
      <c r="R1404" s="128"/>
      <c r="S1404" s="128"/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  <c r="AV1404" s="128"/>
      <c r="AW1404" s="128"/>
      <c r="AX1404" s="128"/>
      <c r="AY1404" s="128"/>
      <c r="AZ1404" s="128"/>
      <c r="BA1404" s="128"/>
      <c r="BB1404" s="128"/>
      <c r="BC1404" s="128"/>
      <c r="BD1404" s="128"/>
      <c r="BE1404" s="128"/>
      <c r="BF1404" s="128"/>
      <c r="BG1404" s="128"/>
      <c r="BH1404" s="128"/>
      <c r="BI1404" s="128"/>
      <c r="BJ1404" s="128"/>
      <c r="BK1404" s="128"/>
      <c r="BL1404" s="128"/>
      <c r="BM1404" s="151"/>
      <c r="BN1404" s="128"/>
      <c r="BO1404" s="128"/>
      <c r="BP1404" s="128"/>
      <c r="BQ1404" s="128"/>
      <c r="BR1404" s="128"/>
      <c r="BS1404" s="128"/>
      <c r="BT1404" s="128"/>
      <c r="BU1404" s="128"/>
      <c r="BV1404" s="128"/>
      <c r="BW1404" s="128"/>
      <c r="BX1404" s="128"/>
      <c r="BY1404" s="128"/>
      <c r="BZ1404" s="128"/>
      <c r="CA1404" s="128"/>
      <c r="CB1404" s="128"/>
      <c r="CC1404" s="128"/>
      <c r="CD1404" s="128"/>
      <c r="CE1404" s="128"/>
      <c r="CF1404" s="128"/>
      <c r="CG1404" s="128"/>
      <c r="CH1404" s="128"/>
      <c r="CI1404" s="128"/>
      <c r="CJ1404" s="128"/>
      <c r="CK1404" s="128"/>
      <c r="CL1404" s="128"/>
      <c r="CM1404" s="128"/>
      <c r="CN1404" s="128"/>
      <c r="CO1404" s="128"/>
      <c r="CP1404" s="128"/>
      <c r="CQ1404" s="128"/>
      <c r="CR1404" s="128"/>
      <c r="CS1404" s="128"/>
      <c r="CT1404" s="128"/>
      <c r="CU1404" s="128"/>
      <c r="CV1404" s="128"/>
      <c r="CW1404" s="128"/>
      <c r="CX1404" s="128"/>
      <c r="CY1404" s="128"/>
      <c r="CZ1404" s="128"/>
    </row>
    <row r="1405" spans="1:104">
      <c r="A1405" s="128"/>
      <c r="B1405" s="128"/>
      <c r="C1405" s="128"/>
      <c r="D1405" s="112"/>
      <c r="E1405" s="128"/>
      <c r="F1405" s="128"/>
      <c r="G1405" s="128"/>
      <c r="H1405" s="128"/>
      <c r="I1405" s="128"/>
      <c r="J1405" s="128"/>
      <c r="K1405" s="128"/>
      <c r="L1405" s="128"/>
      <c r="M1405" s="128"/>
      <c r="N1405" s="128"/>
      <c r="O1405" s="128"/>
      <c r="P1405" s="128"/>
      <c r="Q1405" s="128"/>
      <c r="R1405" s="128"/>
      <c r="S1405" s="128"/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  <c r="AV1405" s="128"/>
      <c r="AW1405" s="128"/>
      <c r="AX1405" s="128"/>
      <c r="AY1405" s="128"/>
      <c r="AZ1405" s="128"/>
      <c r="BA1405" s="128"/>
      <c r="BB1405" s="128"/>
      <c r="BC1405" s="128"/>
      <c r="BD1405" s="128"/>
      <c r="BE1405" s="128"/>
      <c r="BF1405" s="128"/>
      <c r="BG1405" s="128"/>
      <c r="BH1405" s="128"/>
      <c r="BI1405" s="128"/>
      <c r="BJ1405" s="128"/>
      <c r="BK1405" s="128"/>
      <c r="BL1405" s="128"/>
      <c r="BM1405" s="151"/>
      <c r="BN1405" s="128"/>
      <c r="BO1405" s="128"/>
      <c r="BP1405" s="128"/>
      <c r="BQ1405" s="128"/>
      <c r="BR1405" s="128"/>
      <c r="BS1405" s="128"/>
      <c r="BT1405" s="128"/>
      <c r="BU1405" s="128"/>
      <c r="BV1405" s="128"/>
      <c r="BW1405" s="128"/>
      <c r="BX1405" s="128"/>
      <c r="BY1405" s="128"/>
      <c r="BZ1405" s="128"/>
      <c r="CA1405" s="128"/>
      <c r="CB1405" s="128"/>
      <c r="CC1405" s="128"/>
      <c r="CD1405" s="128"/>
      <c r="CE1405" s="128"/>
      <c r="CF1405" s="128"/>
      <c r="CG1405" s="128"/>
      <c r="CH1405" s="128"/>
      <c r="CI1405" s="128"/>
      <c r="CJ1405" s="128"/>
      <c r="CK1405" s="128"/>
      <c r="CL1405" s="128"/>
      <c r="CM1405" s="128"/>
      <c r="CN1405" s="128"/>
      <c r="CO1405" s="128"/>
      <c r="CP1405" s="128"/>
      <c r="CQ1405" s="128"/>
      <c r="CR1405" s="128"/>
      <c r="CS1405" s="128"/>
      <c r="CT1405" s="128"/>
      <c r="CU1405" s="128"/>
      <c r="CV1405" s="128"/>
      <c r="CW1405" s="128"/>
      <c r="CX1405" s="128"/>
      <c r="CY1405" s="128"/>
      <c r="CZ1405" s="128"/>
    </row>
    <row r="1406" spans="1:104">
      <c r="A1406" s="128"/>
      <c r="B1406" s="128"/>
      <c r="C1406" s="128"/>
      <c r="D1406" s="112"/>
      <c r="E1406" s="128"/>
      <c r="F1406" s="128"/>
      <c r="G1406" s="128"/>
      <c r="H1406" s="128"/>
      <c r="I1406" s="128"/>
      <c r="J1406" s="128"/>
      <c r="K1406" s="128"/>
      <c r="L1406" s="128"/>
      <c r="M1406" s="128"/>
      <c r="N1406" s="128"/>
      <c r="O1406" s="128"/>
      <c r="P1406" s="128"/>
      <c r="Q1406" s="128"/>
      <c r="R1406" s="128"/>
      <c r="S1406" s="128"/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  <c r="AV1406" s="128"/>
      <c r="AW1406" s="128"/>
      <c r="AX1406" s="128"/>
      <c r="AY1406" s="128"/>
      <c r="AZ1406" s="128"/>
      <c r="BA1406" s="128"/>
      <c r="BB1406" s="128"/>
      <c r="BC1406" s="128"/>
      <c r="BD1406" s="128"/>
      <c r="BE1406" s="128"/>
      <c r="BF1406" s="128"/>
      <c r="BG1406" s="128"/>
      <c r="BH1406" s="128"/>
      <c r="BI1406" s="128"/>
      <c r="BJ1406" s="128"/>
      <c r="BK1406" s="128"/>
      <c r="BL1406" s="128"/>
      <c r="BM1406" s="151"/>
      <c r="BN1406" s="128"/>
      <c r="BO1406" s="128"/>
      <c r="BP1406" s="128"/>
      <c r="BQ1406" s="128"/>
      <c r="BR1406" s="128"/>
      <c r="BS1406" s="128"/>
      <c r="BT1406" s="128"/>
      <c r="BU1406" s="128"/>
      <c r="BV1406" s="128"/>
      <c r="BW1406" s="128"/>
      <c r="BX1406" s="128"/>
      <c r="BY1406" s="128"/>
      <c r="BZ1406" s="128"/>
      <c r="CA1406" s="128"/>
      <c r="CB1406" s="128"/>
      <c r="CC1406" s="128"/>
      <c r="CD1406" s="128"/>
      <c r="CE1406" s="128"/>
      <c r="CF1406" s="128"/>
      <c r="CG1406" s="128"/>
      <c r="CH1406" s="128"/>
      <c r="CI1406" s="128"/>
      <c r="CJ1406" s="128"/>
      <c r="CK1406" s="128"/>
      <c r="CL1406" s="128"/>
      <c r="CM1406" s="128"/>
      <c r="CN1406" s="128"/>
      <c r="CO1406" s="128"/>
      <c r="CP1406" s="128"/>
      <c r="CQ1406" s="128"/>
      <c r="CR1406" s="128"/>
      <c r="CS1406" s="128"/>
      <c r="CT1406" s="128"/>
      <c r="CU1406" s="128"/>
      <c r="CV1406" s="128"/>
      <c r="CW1406" s="128"/>
      <c r="CX1406" s="128"/>
      <c r="CY1406" s="128"/>
      <c r="CZ1406" s="128"/>
    </row>
    <row r="1407" spans="1:104">
      <c r="A1407" s="128"/>
      <c r="B1407" s="128"/>
      <c r="C1407" s="128"/>
      <c r="D1407" s="112"/>
      <c r="E1407" s="128"/>
      <c r="F1407" s="128"/>
      <c r="G1407" s="128"/>
      <c r="H1407" s="128"/>
      <c r="I1407" s="128"/>
      <c r="J1407" s="128"/>
      <c r="K1407" s="128"/>
      <c r="L1407" s="128"/>
      <c r="M1407" s="128"/>
      <c r="N1407" s="128"/>
      <c r="O1407" s="128"/>
      <c r="P1407" s="128"/>
      <c r="Q1407" s="128"/>
      <c r="R1407" s="128"/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  <c r="AV1407" s="128"/>
      <c r="AW1407" s="128"/>
      <c r="AX1407" s="128"/>
      <c r="AY1407" s="128"/>
      <c r="AZ1407" s="128"/>
      <c r="BA1407" s="128"/>
      <c r="BB1407" s="128"/>
      <c r="BC1407" s="128"/>
      <c r="BD1407" s="128"/>
      <c r="BE1407" s="128"/>
      <c r="BF1407" s="128"/>
      <c r="BG1407" s="128"/>
      <c r="BH1407" s="128"/>
      <c r="BI1407" s="128"/>
      <c r="BJ1407" s="128"/>
      <c r="BK1407" s="128"/>
      <c r="BL1407" s="128"/>
      <c r="BM1407" s="151"/>
      <c r="BN1407" s="128"/>
      <c r="BO1407" s="128"/>
      <c r="BP1407" s="128"/>
      <c r="BQ1407" s="128"/>
      <c r="BR1407" s="128"/>
      <c r="BS1407" s="128"/>
      <c r="BT1407" s="128"/>
      <c r="BU1407" s="128"/>
      <c r="BV1407" s="128"/>
      <c r="BW1407" s="128"/>
      <c r="BX1407" s="128"/>
      <c r="BY1407" s="128"/>
      <c r="BZ1407" s="128"/>
      <c r="CA1407" s="128"/>
      <c r="CB1407" s="128"/>
      <c r="CC1407" s="128"/>
      <c r="CD1407" s="128"/>
      <c r="CE1407" s="128"/>
      <c r="CF1407" s="128"/>
      <c r="CG1407" s="128"/>
      <c r="CH1407" s="128"/>
      <c r="CI1407" s="128"/>
      <c r="CJ1407" s="128"/>
      <c r="CK1407" s="128"/>
      <c r="CL1407" s="128"/>
      <c r="CM1407" s="128"/>
      <c r="CN1407" s="128"/>
      <c r="CO1407" s="128"/>
      <c r="CP1407" s="128"/>
      <c r="CQ1407" s="128"/>
      <c r="CR1407" s="128"/>
      <c r="CS1407" s="128"/>
      <c r="CT1407" s="128"/>
      <c r="CU1407" s="128"/>
      <c r="CV1407" s="128"/>
      <c r="CW1407" s="128"/>
      <c r="CX1407" s="128"/>
      <c r="CY1407" s="128"/>
      <c r="CZ1407" s="128"/>
    </row>
    <row r="1408" spans="1:104">
      <c r="A1408" s="128"/>
      <c r="B1408" s="128"/>
      <c r="C1408" s="128"/>
      <c r="D1408" s="112"/>
      <c r="E1408" s="128"/>
      <c r="F1408" s="128"/>
      <c r="G1408" s="128"/>
      <c r="H1408" s="128"/>
      <c r="I1408" s="128"/>
      <c r="J1408" s="128"/>
      <c r="K1408" s="128"/>
      <c r="L1408" s="128"/>
      <c r="M1408" s="128"/>
      <c r="N1408" s="128"/>
      <c r="O1408" s="128"/>
      <c r="P1408" s="128"/>
      <c r="Q1408" s="128"/>
      <c r="R1408" s="128"/>
      <c r="S1408" s="128"/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  <c r="AV1408" s="128"/>
      <c r="AW1408" s="128"/>
      <c r="AX1408" s="128"/>
      <c r="AY1408" s="128"/>
      <c r="AZ1408" s="128"/>
      <c r="BA1408" s="128"/>
      <c r="BB1408" s="128"/>
      <c r="BC1408" s="128"/>
      <c r="BD1408" s="128"/>
      <c r="BE1408" s="128"/>
      <c r="BF1408" s="128"/>
      <c r="BG1408" s="128"/>
      <c r="BH1408" s="128"/>
      <c r="BI1408" s="128"/>
      <c r="BJ1408" s="128"/>
      <c r="BK1408" s="128"/>
      <c r="BL1408" s="128"/>
      <c r="BM1408" s="151"/>
      <c r="BN1408" s="128"/>
      <c r="BO1408" s="128"/>
      <c r="BP1408" s="128"/>
      <c r="BQ1408" s="128"/>
      <c r="BR1408" s="128"/>
      <c r="BS1408" s="128"/>
      <c r="BT1408" s="128"/>
      <c r="BU1408" s="128"/>
      <c r="BV1408" s="128"/>
      <c r="BW1408" s="128"/>
      <c r="BX1408" s="128"/>
      <c r="BY1408" s="128"/>
      <c r="BZ1408" s="128"/>
      <c r="CA1408" s="128"/>
      <c r="CB1408" s="128"/>
      <c r="CC1408" s="128"/>
      <c r="CD1408" s="128"/>
      <c r="CE1408" s="128"/>
      <c r="CF1408" s="128"/>
      <c r="CG1408" s="128"/>
      <c r="CH1408" s="128"/>
      <c r="CI1408" s="128"/>
      <c r="CJ1408" s="128"/>
      <c r="CK1408" s="128"/>
      <c r="CL1408" s="128"/>
      <c r="CM1408" s="128"/>
      <c r="CN1408" s="128"/>
      <c r="CO1408" s="128"/>
      <c r="CP1408" s="128"/>
      <c r="CQ1408" s="128"/>
      <c r="CR1408" s="128"/>
      <c r="CS1408" s="128"/>
      <c r="CT1408" s="128"/>
      <c r="CU1408" s="128"/>
      <c r="CV1408" s="128"/>
      <c r="CW1408" s="128"/>
      <c r="CX1408" s="128"/>
      <c r="CY1408" s="128"/>
      <c r="CZ1408" s="128"/>
    </row>
    <row r="1409" spans="1:104">
      <c r="A1409" s="128"/>
      <c r="B1409" s="128"/>
      <c r="C1409" s="128"/>
      <c r="D1409" s="112"/>
      <c r="E1409" s="128"/>
      <c r="F1409" s="128"/>
      <c r="G1409" s="128"/>
      <c r="H1409" s="128"/>
      <c r="I1409" s="128"/>
      <c r="J1409" s="128"/>
      <c r="K1409" s="128"/>
      <c r="L1409" s="128"/>
      <c r="M1409" s="128"/>
      <c r="N1409" s="128"/>
      <c r="O1409" s="128"/>
      <c r="P1409" s="128"/>
      <c r="Q1409" s="128"/>
      <c r="R1409" s="128"/>
      <c r="S1409" s="128"/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  <c r="AV1409" s="128"/>
      <c r="AW1409" s="128"/>
      <c r="AX1409" s="128"/>
      <c r="AY1409" s="128"/>
      <c r="AZ1409" s="128"/>
      <c r="BA1409" s="128"/>
      <c r="BB1409" s="128"/>
      <c r="BC1409" s="128"/>
      <c r="BD1409" s="128"/>
      <c r="BE1409" s="128"/>
      <c r="BF1409" s="128"/>
      <c r="BG1409" s="128"/>
      <c r="BH1409" s="128"/>
      <c r="BI1409" s="128"/>
      <c r="BJ1409" s="128"/>
      <c r="BK1409" s="128"/>
      <c r="BL1409" s="128"/>
      <c r="BM1409" s="151"/>
      <c r="BN1409" s="128"/>
      <c r="BO1409" s="128"/>
      <c r="BP1409" s="128"/>
      <c r="BQ1409" s="128"/>
      <c r="BR1409" s="128"/>
      <c r="BS1409" s="128"/>
      <c r="BT1409" s="128"/>
      <c r="BU1409" s="128"/>
      <c r="BV1409" s="128"/>
      <c r="BW1409" s="128"/>
      <c r="BX1409" s="128"/>
      <c r="BY1409" s="128"/>
      <c r="BZ1409" s="128"/>
      <c r="CA1409" s="128"/>
      <c r="CB1409" s="128"/>
      <c r="CC1409" s="128"/>
      <c r="CD1409" s="128"/>
      <c r="CE1409" s="128"/>
      <c r="CF1409" s="128"/>
      <c r="CG1409" s="128"/>
      <c r="CH1409" s="128"/>
      <c r="CI1409" s="128"/>
      <c r="CJ1409" s="128"/>
      <c r="CK1409" s="128"/>
      <c r="CL1409" s="128"/>
      <c r="CM1409" s="128"/>
      <c r="CN1409" s="128"/>
      <c r="CO1409" s="128"/>
      <c r="CP1409" s="128"/>
      <c r="CQ1409" s="128"/>
      <c r="CR1409" s="128"/>
      <c r="CS1409" s="128"/>
      <c r="CT1409" s="128"/>
      <c r="CU1409" s="128"/>
      <c r="CV1409" s="128"/>
      <c r="CW1409" s="128"/>
      <c r="CX1409" s="128"/>
      <c r="CY1409" s="128"/>
      <c r="CZ1409" s="128"/>
    </row>
    <row r="1410" spans="1:104">
      <c r="A1410" s="128"/>
      <c r="B1410" s="128"/>
      <c r="C1410" s="128"/>
      <c r="D1410" s="112"/>
      <c r="E1410" s="128"/>
      <c r="F1410" s="128"/>
      <c r="G1410" s="128"/>
      <c r="H1410" s="128"/>
      <c r="I1410" s="128"/>
      <c r="J1410" s="128"/>
      <c r="K1410" s="128"/>
      <c r="L1410" s="128"/>
      <c r="M1410" s="128"/>
      <c r="N1410" s="128"/>
      <c r="O1410" s="128"/>
      <c r="P1410" s="128"/>
      <c r="Q1410" s="128"/>
      <c r="R1410" s="128"/>
      <c r="S1410" s="128"/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  <c r="AV1410" s="128"/>
      <c r="AW1410" s="128"/>
      <c r="AX1410" s="128"/>
      <c r="AY1410" s="128"/>
      <c r="AZ1410" s="128"/>
      <c r="BA1410" s="128"/>
      <c r="BB1410" s="128"/>
      <c r="BC1410" s="128"/>
      <c r="BD1410" s="128"/>
      <c r="BE1410" s="128"/>
      <c r="BF1410" s="128"/>
      <c r="BG1410" s="128"/>
      <c r="BH1410" s="128"/>
      <c r="BI1410" s="128"/>
      <c r="BJ1410" s="128"/>
      <c r="BK1410" s="128"/>
      <c r="BL1410" s="128"/>
      <c r="BM1410" s="151"/>
      <c r="BN1410" s="128"/>
      <c r="BO1410" s="128"/>
      <c r="BP1410" s="128"/>
      <c r="BQ1410" s="128"/>
      <c r="BR1410" s="128"/>
      <c r="BS1410" s="128"/>
      <c r="BT1410" s="128"/>
      <c r="BU1410" s="128"/>
      <c r="BV1410" s="128"/>
      <c r="BW1410" s="128"/>
      <c r="BX1410" s="128"/>
      <c r="BY1410" s="128"/>
      <c r="BZ1410" s="128"/>
      <c r="CA1410" s="128"/>
      <c r="CB1410" s="128"/>
      <c r="CC1410" s="128"/>
      <c r="CD1410" s="128"/>
      <c r="CE1410" s="128"/>
      <c r="CF1410" s="128"/>
      <c r="CG1410" s="128"/>
      <c r="CH1410" s="128"/>
      <c r="CI1410" s="128"/>
      <c r="CJ1410" s="128"/>
      <c r="CK1410" s="128"/>
      <c r="CL1410" s="128"/>
      <c r="CM1410" s="128"/>
      <c r="CN1410" s="128"/>
      <c r="CO1410" s="128"/>
      <c r="CP1410" s="128"/>
      <c r="CQ1410" s="128"/>
      <c r="CR1410" s="128"/>
      <c r="CS1410" s="128"/>
      <c r="CT1410" s="128"/>
      <c r="CU1410" s="128"/>
      <c r="CV1410" s="128"/>
      <c r="CW1410" s="128"/>
      <c r="CX1410" s="128"/>
      <c r="CY1410" s="128"/>
      <c r="CZ1410" s="128"/>
    </row>
    <row r="1411" spans="1:104">
      <c r="A1411" s="128"/>
      <c r="B1411" s="128"/>
      <c r="C1411" s="128"/>
      <c r="D1411" s="112"/>
      <c r="E1411" s="128"/>
      <c r="F1411" s="128"/>
      <c r="G1411" s="128"/>
      <c r="H1411" s="128"/>
      <c r="I1411" s="128"/>
      <c r="J1411" s="128"/>
      <c r="K1411" s="128"/>
      <c r="L1411" s="128"/>
      <c r="M1411" s="128"/>
      <c r="N1411" s="128"/>
      <c r="O1411" s="128"/>
      <c r="P1411" s="128"/>
      <c r="Q1411" s="128"/>
      <c r="R1411" s="128"/>
      <c r="S1411" s="128"/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  <c r="AV1411" s="128"/>
      <c r="AW1411" s="128"/>
      <c r="AX1411" s="128"/>
      <c r="AY1411" s="128"/>
      <c r="AZ1411" s="128"/>
      <c r="BA1411" s="128"/>
      <c r="BB1411" s="128"/>
      <c r="BC1411" s="128"/>
      <c r="BD1411" s="128"/>
      <c r="BE1411" s="128"/>
      <c r="BF1411" s="128"/>
      <c r="BG1411" s="128"/>
      <c r="BH1411" s="128"/>
      <c r="BI1411" s="128"/>
      <c r="BJ1411" s="128"/>
      <c r="BK1411" s="128"/>
      <c r="BL1411" s="128"/>
      <c r="BM1411" s="151"/>
      <c r="BN1411" s="128"/>
      <c r="BO1411" s="128"/>
      <c r="BP1411" s="128"/>
      <c r="BQ1411" s="128"/>
      <c r="BR1411" s="128"/>
      <c r="BS1411" s="128"/>
      <c r="BT1411" s="128"/>
      <c r="BU1411" s="128"/>
      <c r="BV1411" s="128"/>
      <c r="BW1411" s="128"/>
      <c r="BX1411" s="128"/>
      <c r="BY1411" s="128"/>
      <c r="BZ1411" s="128"/>
      <c r="CA1411" s="128"/>
      <c r="CB1411" s="128"/>
      <c r="CC1411" s="128"/>
      <c r="CD1411" s="128"/>
      <c r="CE1411" s="128"/>
      <c r="CF1411" s="128"/>
      <c r="CG1411" s="128"/>
      <c r="CH1411" s="128"/>
      <c r="CI1411" s="128"/>
      <c r="CJ1411" s="128"/>
      <c r="CK1411" s="128"/>
      <c r="CL1411" s="128"/>
      <c r="CM1411" s="128"/>
      <c r="CN1411" s="128"/>
      <c r="CO1411" s="128"/>
      <c r="CP1411" s="128"/>
      <c r="CQ1411" s="128"/>
      <c r="CR1411" s="128"/>
      <c r="CS1411" s="128"/>
      <c r="CT1411" s="128"/>
      <c r="CU1411" s="128"/>
      <c r="CV1411" s="128"/>
      <c r="CW1411" s="128"/>
      <c r="CX1411" s="128"/>
      <c r="CY1411" s="128"/>
      <c r="CZ1411" s="128"/>
    </row>
    <row r="1412" spans="1:104">
      <c r="A1412" s="128"/>
      <c r="B1412" s="128"/>
      <c r="C1412" s="128"/>
      <c r="D1412" s="112"/>
      <c r="E1412" s="128"/>
      <c r="F1412" s="128"/>
      <c r="G1412" s="128"/>
      <c r="H1412" s="128"/>
      <c r="I1412" s="128"/>
      <c r="J1412" s="128"/>
      <c r="K1412" s="128"/>
      <c r="L1412" s="128"/>
      <c r="M1412" s="128"/>
      <c r="N1412" s="128"/>
      <c r="O1412" s="128"/>
      <c r="P1412" s="128"/>
      <c r="Q1412" s="128"/>
      <c r="R1412" s="128"/>
      <c r="S1412" s="128"/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  <c r="AV1412" s="128"/>
      <c r="AW1412" s="128"/>
      <c r="AX1412" s="128"/>
      <c r="AY1412" s="128"/>
      <c r="AZ1412" s="128"/>
      <c r="BA1412" s="128"/>
      <c r="BB1412" s="128"/>
      <c r="BC1412" s="128"/>
      <c r="BD1412" s="128"/>
      <c r="BE1412" s="128"/>
      <c r="BF1412" s="128"/>
      <c r="BG1412" s="128"/>
      <c r="BH1412" s="128"/>
      <c r="BI1412" s="128"/>
      <c r="BJ1412" s="128"/>
      <c r="BK1412" s="128"/>
      <c r="BL1412" s="128"/>
      <c r="BM1412" s="151"/>
      <c r="BN1412" s="128"/>
      <c r="BO1412" s="128"/>
      <c r="BP1412" s="128"/>
      <c r="BQ1412" s="128"/>
      <c r="BR1412" s="128"/>
      <c r="BS1412" s="128"/>
      <c r="BT1412" s="128"/>
      <c r="BU1412" s="128"/>
      <c r="BV1412" s="128"/>
      <c r="BW1412" s="128"/>
      <c r="BX1412" s="128"/>
      <c r="BY1412" s="128"/>
      <c r="BZ1412" s="128"/>
      <c r="CA1412" s="128"/>
      <c r="CB1412" s="128"/>
      <c r="CC1412" s="128"/>
      <c r="CD1412" s="128"/>
      <c r="CE1412" s="128"/>
      <c r="CF1412" s="128"/>
      <c r="CG1412" s="128"/>
      <c r="CH1412" s="128"/>
      <c r="CI1412" s="128"/>
      <c r="CJ1412" s="128"/>
      <c r="CK1412" s="128"/>
      <c r="CL1412" s="128"/>
      <c r="CM1412" s="128"/>
      <c r="CN1412" s="128"/>
      <c r="CO1412" s="128"/>
      <c r="CP1412" s="128"/>
      <c r="CQ1412" s="128"/>
      <c r="CR1412" s="128"/>
      <c r="CS1412" s="128"/>
      <c r="CT1412" s="128"/>
      <c r="CU1412" s="128"/>
      <c r="CV1412" s="128"/>
      <c r="CW1412" s="128"/>
      <c r="CX1412" s="128"/>
      <c r="CY1412" s="128"/>
      <c r="CZ1412" s="128"/>
    </row>
    <row r="1413" spans="1:104">
      <c r="A1413" s="128"/>
      <c r="B1413" s="128"/>
      <c r="C1413" s="128"/>
      <c r="D1413" s="112"/>
      <c r="E1413" s="128"/>
      <c r="F1413" s="128"/>
      <c r="G1413" s="128"/>
      <c r="H1413" s="128"/>
      <c r="I1413" s="128"/>
      <c r="J1413" s="128"/>
      <c r="K1413" s="128"/>
      <c r="L1413" s="128"/>
      <c r="M1413" s="128"/>
      <c r="N1413" s="128"/>
      <c r="O1413" s="128"/>
      <c r="P1413" s="128"/>
      <c r="Q1413" s="128"/>
      <c r="R1413" s="128"/>
      <c r="S1413" s="128"/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  <c r="AV1413" s="128"/>
      <c r="AW1413" s="128"/>
      <c r="AX1413" s="128"/>
      <c r="AY1413" s="128"/>
      <c r="AZ1413" s="128"/>
      <c r="BA1413" s="128"/>
      <c r="BB1413" s="128"/>
      <c r="BC1413" s="128"/>
      <c r="BD1413" s="128"/>
      <c r="BE1413" s="128"/>
      <c r="BF1413" s="128"/>
      <c r="BG1413" s="128"/>
      <c r="BH1413" s="128"/>
      <c r="BI1413" s="128"/>
      <c r="BJ1413" s="128"/>
      <c r="BK1413" s="128"/>
      <c r="BL1413" s="128"/>
      <c r="BM1413" s="151"/>
      <c r="BN1413" s="128"/>
      <c r="BO1413" s="128"/>
      <c r="BP1413" s="128"/>
      <c r="BQ1413" s="128"/>
      <c r="BR1413" s="128"/>
      <c r="BS1413" s="128"/>
      <c r="BT1413" s="128"/>
      <c r="BU1413" s="128"/>
      <c r="BV1413" s="128"/>
      <c r="BW1413" s="128"/>
      <c r="BX1413" s="128"/>
      <c r="BY1413" s="128"/>
      <c r="BZ1413" s="128"/>
      <c r="CA1413" s="128"/>
      <c r="CB1413" s="128"/>
      <c r="CC1413" s="128"/>
      <c r="CD1413" s="128"/>
      <c r="CE1413" s="128"/>
      <c r="CF1413" s="128"/>
      <c r="CG1413" s="128"/>
      <c r="CH1413" s="128"/>
      <c r="CI1413" s="128"/>
      <c r="CJ1413" s="128"/>
      <c r="CK1413" s="128"/>
      <c r="CL1413" s="128"/>
      <c r="CM1413" s="128"/>
      <c r="CN1413" s="128"/>
      <c r="CO1413" s="128"/>
      <c r="CP1413" s="128"/>
      <c r="CQ1413" s="128"/>
      <c r="CR1413" s="128"/>
      <c r="CS1413" s="128"/>
      <c r="CT1413" s="128"/>
      <c r="CU1413" s="128"/>
      <c r="CV1413" s="128"/>
      <c r="CW1413" s="128"/>
      <c r="CX1413" s="128"/>
      <c r="CY1413" s="128"/>
      <c r="CZ1413" s="128"/>
    </row>
    <row r="1414" spans="1:104">
      <c r="A1414" s="128"/>
      <c r="B1414" s="128"/>
      <c r="C1414" s="128"/>
      <c r="D1414" s="112"/>
      <c r="E1414" s="128"/>
      <c r="F1414" s="128"/>
      <c r="G1414" s="128"/>
      <c r="H1414" s="128"/>
      <c r="I1414" s="128"/>
      <c r="J1414" s="128"/>
      <c r="K1414" s="128"/>
      <c r="L1414" s="128"/>
      <c r="M1414" s="128"/>
      <c r="N1414" s="128"/>
      <c r="O1414" s="128"/>
      <c r="P1414" s="128"/>
      <c r="Q1414" s="128"/>
      <c r="R1414" s="128"/>
      <c r="S1414" s="128"/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  <c r="AV1414" s="128"/>
      <c r="AW1414" s="128"/>
      <c r="AX1414" s="128"/>
      <c r="AY1414" s="128"/>
      <c r="AZ1414" s="128"/>
      <c r="BA1414" s="128"/>
      <c r="BB1414" s="128"/>
      <c r="BC1414" s="128"/>
      <c r="BD1414" s="128"/>
      <c r="BE1414" s="128"/>
      <c r="BF1414" s="128"/>
      <c r="BG1414" s="128"/>
      <c r="BH1414" s="128"/>
      <c r="BI1414" s="128"/>
      <c r="BJ1414" s="128"/>
      <c r="BK1414" s="128"/>
      <c r="BL1414" s="128"/>
      <c r="BM1414" s="151"/>
      <c r="BN1414" s="128"/>
      <c r="BO1414" s="128"/>
      <c r="BP1414" s="128"/>
      <c r="BQ1414" s="128"/>
      <c r="BR1414" s="128"/>
      <c r="BS1414" s="128"/>
      <c r="BT1414" s="128"/>
      <c r="BU1414" s="128"/>
      <c r="BV1414" s="128"/>
      <c r="BW1414" s="128"/>
      <c r="BX1414" s="128"/>
      <c r="BY1414" s="128"/>
      <c r="BZ1414" s="128"/>
      <c r="CA1414" s="128"/>
      <c r="CB1414" s="128"/>
      <c r="CC1414" s="128"/>
      <c r="CD1414" s="128"/>
      <c r="CE1414" s="128"/>
      <c r="CF1414" s="128"/>
      <c r="CG1414" s="128"/>
      <c r="CH1414" s="128"/>
      <c r="CI1414" s="128"/>
      <c r="CJ1414" s="128"/>
      <c r="CK1414" s="128"/>
      <c r="CL1414" s="128"/>
      <c r="CM1414" s="128"/>
      <c r="CN1414" s="128"/>
      <c r="CO1414" s="128"/>
      <c r="CP1414" s="128"/>
      <c r="CQ1414" s="128"/>
      <c r="CR1414" s="128"/>
      <c r="CS1414" s="128"/>
      <c r="CT1414" s="128"/>
      <c r="CU1414" s="128"/>
      <c r="CV1414" s="128"/>
      <c r="CW1414" s="128"/>
      <c r="CX1414" s="128"/>
      <c r="CY1414" s="128"/>
      <c r="CZ1414" s="128"/>
    </row>
    <row r="1415" spans="1:104">
      <c r="A1415" s="128"/>
      <c r="B1415" s="128"/>
      <c r="C1415" s="128"/>
      <c r="D1415" s="112"/>
      <c r="E1415" s="128"/>
      <c r="F1415" s="128"/>
      <c r="G1415" s="128"/>
      <c r="H1415" s="128"/>
      <c r="I1415" s="128"/>
      <c r="J1415" s="128"/>
      <c r="K1415" s="128"/>
      <c r="L1415" s="128"/>
      <c r="M1415" s="128"/>
      <c r="N1415" s="128"/>
      <c r="O1415" s="128"/>
      <c r="P1415" s="128"/>
      <c r="Q1415" s="128"/>
      <c r="R1415" s="128"/>
      <c r="S1415" s="128"/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  <c r="AV1415" s="128"/>
      <c r="AW1415" s="128"/>
      <c r="AX1415" s="128"/>
      <c r="AY1415" s="128"/>
      <c r="AZ1415" s="128"/>
      <c r="BA1415" s="128"/>
      <c r="BB1415" s="128"/>
      <c r="BC1415" s="128"/>
      <c r="BD1415" s="128"/>
      <c r="BE1415" s="128"/>
      <c r="BF1415" s="128"/>
      <c r="BG1415" s="128"/>
      <c r="BH1415" s="128"/>
      <c r="BI1415" s="128"/>
      <c r="BJ1415" s="128"/>
      <c r="BK1415" s="128"/>
      <c r="BL1415" s="128"/>
      <c r="BM1415" s="151"/>
      <c r="BN1415" s="128"/>
      <c r="BO1415" s="128"/>
      <c r="BP1415" s="128"/>
      <c r="BQ1415" s="128"/>
      <c r="BR1415" s="128"/>
      <c r="BS1415" s="128"/>
      <c r="BT1415" s="128"/>
      <c r="BU1415" s="128"/>
      <c r="BV1415" s="128"/>
      <c r="BW1415" s="128"/>
      <c r="BX1415" s="128"/>
      <c r="BY1415" s="128"/>
      <c r="BZ1415" s="128"/>
      <c r="CA1415" s="128"/>
      <c r="CB1415" s="128"/>
      <c r="CC1415" s="128"/>
      <c r="CD1415" s="128"/>
      <c r="CE1415" s="128"/>
      <c r="CF1415" s="128"/>
      <c r="CG1415" s="128"/>
      <c r="CH1415" s="128"/>
      <c r="CI1415" s="128"/>
      <c r="CJ1415" s="128"/>
      <c r="CK1415" s="128"/>
      <c r="CL1415" s="128"/>
      <c r="CM1415" s="128"/>
      <c r="CN1415" s="128"/>
      <c r="CO1415" s="128"/>
      <c r="CP1415" s="128"/>
      <c r="CQ1415" s="128"/>
      <c r="CR1415" s="128"/>
      <c r="CS1415" s="128"/>
      <c r="CT1415" s="128"/>
      <c r="CU1415" s="128"/>
      <c r="CV1415" s="128"/>
      <c r="CW1415" s="128"/>
      <c r="CX1415" s="128"/>
      <c r="CY1415" s="128"/>
      <c r="CZ1415" s="128"/>
    </row>
    <row r="1416" spans="1:104">
      <c r="A1416" s="128"/>
      <c r="B1416" s="128"/>
      <c r="C1416" s="128"/>
      <c r="D1416" s="112"/>
      <c r="E1416" s="128"/>
      <c r="F1416" s="128"/>
      <c r="G1416" s="128"/>
      <c r="H1416" s="128"/>
      <c r="I1416" s="128"/>
      <c r="J1416" s="128"/>
      <c r="K1416" s="128"/>
      <c r="L1416" s="128"/>
      <c r="M1416" s="128"/>
      <c r="N1416" s="128"/>
      <c r="O1416" s="128"/>
      <c r="P1416" s="128"/>
      <c r="Q1416" s="128"/>
      <c r="R1416" s="128"/>
      <c r="S1416" s="128"/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  <c r="AV1416" s="128"/>
      <c r="AW1416" s="128"/>
      <c r="AX1416" s="128"/>
      <c r="AY1416" s="128"/>
      <c r="AZ1416" s="128"/>
      <c r="BA1416" s="128"/>
      <c r="BB1416" s="128"/>
      <c r="BC1416" s="128"/>
      <c r="BD1416" s="128"/>
      <c r="BE1416" s="128"/>
      <c r="BF1416" s="128"/>
      <c r="BG1416" s="128"/>
      <c r="BH1416" s="128"/>
      <c r="BI1416" s="128"/>
      <c r="BJ1416" s="128"/>
      <c r="BK1416" s="128"/>
      <c r="BL1416" s="128"/>
      <c r="BM1416" s="151"/>
      <c r="BN1416" s="128"/>
      <c r="BO1416" s="128"/>
      <c r="BP1416" s="128"/>
      <c r="BQ1416" s="128"/>
      <c r="BR1416" s="128"/>
      <c r="BS1416" s="128"/>
      <c r="BT1416" s="128"/>
      <c r="BU1416" s="128"/>
      <c r="BV1416" s="128"/>
      <c r="BW1416" s="128"/>
      <c r="BX1416" s="128"/>
      <c r="BY1416" s="128"/>
      <c r="BZ1416" s="128"/>
      <c r="CA1416" s="128"/>
      <c r="CB1416" s="128"/>
      <c r="CC1416" s="128"/>
      <c r="CD1416" s="128"/>
      <c r="CE1416" s="128"/>
      <c r="CF1416" s="128"/>
      <c r="CG1416" s="128"/>
      <c r="CH1416" s="128"/>
      <c r="CI1416" s="128"/>
      <c r="CJ1416" s="128"/>
      <c r="CK1416" s="128"/>
      <c r="CL1416" s="128"/>
      <c r="CM1416" s="128"/>
      <c r="CN1416" s="128"/>
      <c r="CO1416" s="128"/>
      <c r="CP1416" s="128"/>
      <c r="CQ1416" s="128"/>
      <c r="CR1416" s="128"/>
      <c r="CS1416" s="128"/>
      <c r="CT1416" s="128"/>
      <c r="CU1416" s="128"/>
      <c r="CV1416" s="128"/>
      <c r="CW1416" s="128"/>
      <c r="CX1416" s="128"/>
      <c r="CY1416" s="128"/>
      <c r="CZ1416" s="128"/>
    </row>
    <row r="1417" spans="1:104">
      <c r="A1417" s="128"/>
      <c r="B1417" s="128"/>
      <c r="C1417" s="128"/>
      <c r="D1417" s="112"/>
      <c r="E1417" s="128"/>
      <c r="F1417" s="128"/>
      <c r="G1417" s="128"/>
      <c r="H1417" s="128"/>
      <c r="I1417" s="128"/>
      <c r="J1417" s="128"/>
      <c r="K1417" s="128"/>
      <c r="L1417" s="128"/>
      <c r="M1417" s="128"/>
      <c r="N1417" s="128"/>
      <c r="O1417" s="128"/>
      <c r="P1417" s="128"/>
      <c r="Q1417" s="128"/>
      <c r="R1417" s="128"/>
      <c r="S1417" s="128"/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  <c r="AV1417" s="128"/>
      <c r="AW1417" s="128"/>
      <c r="AX1417" s="128"/>
      <c r="AY1417" s="128"/>
      <c r="AZ1417" s="128"/>
      <c r="BA1417" s="128"/>
      <c r="BB1417" s="128"/>
      <c r="BC1417" s="128"/>
      <c r="BD1417" s="128"/>
      <c r="BE1417" s="128"/>
      <c r="BF1417" s="128"/>
      <c r="BG1417" s="128"/>
      <c r="BH1417" s="128"/>
      <c r="BI1417" s="128"/>
      <c r="BJ1417" s="128"/>
      <c r="BK1417" s="128"/>
      <c r="BL1417" s="128"/>
      <c r="BM1417" s="151"/>
      <c r="BN1417" s="128"/>
      <c r="BO1417" s="128"/>
      <c r="BP1417" s="128"/>
      <c r="BQ1417" s="128"/>
      <c r="BR1417" s="128"/>
      <c r="BS1417" s="128"/>
      <c r="BT1417" s="128"/>
      <c r="BU1417" s="128"/>
      <c r="BV1417" s="128"/>
      <c r="BW1417" s="128"/>
      <c r="BX1417" s="128"/>
      <c r="BY1417" s="128"/>
      <c r="BZ1417" s="128"/>
      <c r="CA1417" s="128"/>
      <c r="CB1417" s="128"/>
      <c r="CC1417" s="128"/>
      <c r="CD1417" s="128"/>
      <c r="CE1417" s="128"/>
      <c r="CF1417" s="128"/>
      <c r="CG1417" s="128"/>
      <c r="CH1417" s="128"/>
      <c r="CI1417" s="128"/>
      <c r="CJ1417" s="128"/>
      <c r="CK1417" s="128"/>
      <c r="CL1417" s="128"/>
      <c r="CM1417" s="128"/>
      <c r="CN1417" s="128"/>
      <c r="CO1417" s="128"/>
      <c r="CP1417" s="128"/>
      <c r="CQ1417" s="128"/>
      <c r="CR1417" s="128"/>
      <c r="CS1417" s="128"/>
      <c r="CT1417" s="128"/>
      <c r="CU1417" s="128"/>
      <c r="CV1417" s="128"/>
      <c r="CW1417" s="128"/>
      <c r="CX1417" s="128"/>
      <c r="CY1417" s="128"/>
      <c r="CZ1417" s="128"/>
    </row>
    <row r="1418" spans="1:104">
      <c r="A1418" s="128"/>
      <c r="B1418" s="128"/>
      <c r="C1418" s="128"/>
      <c r="D1418" s="112"/>
      <c r="E1418" s="128"/>
      <c r="F1418" s="128"/>
      <c r="G1418" s="128"/>
      <c r="H1418" s="128"/>
      <c r="I1418" s="128"/>
      <c r="J1418" s="128"/>
      <c r="K1418" s="128"/>
      <c r="L1418" s="128"/>
      <c r="M1418" s="128"/>
      <c r="N1418" s="128"/>
      <c r="O1418" s="128"/>
      <c r="P1418" s="128"/>
      <c r="Q1418" s="128"/>
      <c r="R1418" s="128"/>
      <c r="S1418" s="128"/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  <c r="AV1418" s="128"/>
      <c r="AW1418" s="128"/>
      <c r="AX1418" s="128"/>
      <c r="AY1418" s="128"/>
      <c r="AZ1418" s="128"/>
      <c r="BA1418" s="128"/>
      <c r="BB1418" s="128"/>
      <c r="BC1418" s="128"/>
      <c r="BD1418" s="128"/>
      <c r="BE1418" s="128"/>
      <c r="BF1418" s="128"/>
      <c r="BG1418" s="128"/>
      <c r="BH1418" s="128"/>
      <c r="BI1418" s="128"/>
      <c r="BJ1418" s="128"/>
      <c r="BK1418" s="128"/>
      <c r="BL1418" s="128"/>
      <c r="BM1418" s="151"/>
      <c r="BN1418" s="128"/>
      <c r="BO1418" s="128"/>
      <c r="BP1418" s="128"/>
      <c r="BQ1418" s="128"/>
      <c r="BR1418" s="128"/>
      <c r="BS1418" s="128"/>
      <c r="BT1418" s="128"/>
      <c r="BU1418" s="128"/>
      <c r="BV1418" s="128"/>
      <c r="BW1418" s="128"/>
      <c r="BX1418" s="128"/>
      <c r="BY1418" s="128"/>
      <c r="BZ1418" s="128"/>
      <c r="CA1418" s="128"/>
      <c r="CB1418" s="128"/>
      <c r="CC1418" s="128"/>
      <c r="CD1418" s="128"/>
      <c r="CE1418" s="128"/>
      <c r="CF1418" s="128"/>
      <c r="CG1418" s="128"/>
      <c r="CH1418" s="128"/>
      <c r="CI1418" s="128"/>
      <c r="CJ1418" s="128"/>
      <c r="CK1418" s="128"/>
      <c r="CL1418" s="128"/>
      <c r="CM1418" s="128"/>
      <c r="CN1418" s="128"/>
      <c r="CO1418" s="128"/>
      <c r="CP1418" s="128"/>
      <c r="CQ1418" s="128"/>
      <c r="CR1418" s="128"/>
      <c r="CS1418" s="128"/>
      <c r="CT1418" s="128"/>
      <c r="CU1418" s="128"/>
      <c r="CV1418" s="128"/>
      <c r="CW1418" s="128"/>
      <c r="CX1418" s="128"/>
      <c r="CY1418" s="128"/>
      <c r="CZ1418" s="128"/>
    </row>
    <row r="1419" spans="1:104">
      <c r="A1419" s="128"/>
      <c r="B1419" s="128"/>
      <c r="C1419" s="128"/>
      <c r="D1419" s="112"/>
      <c r="E1419" s="128"/>
      <c r="F1419" s="128"/>
      <c r="G1419" s="128"/>
      <c r="H1419" s="128"/>
      <c r="I1419" s="128"/>
      <c r="J1419" s="128"/>
      <c r="K1419" s="128"/>
      <c r="L1419" s="128"/>
      <c r="M1419" s="128"/>
      <c r="N1419" s="128"/>
      <c r="O1419" s="128"/>
      <c r="P1419" s="128"/>
      <c r="Q1419" s="128"/>
      <c r="R1419" s="128"/>
      <c r="S1419" s="128"/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  <c r="AV1419" s="128"/>
      <c r="AW1419" s="128"/>
      <c r="AX1419" s="128"/>
      <c r="AY1419" s="128"/>
      <c r="AZ1419" s="128"/>
      <c r="BA1419" s="128"/>
      <c r="BB1419" s="128"/>
      <c r="BC1419" s="128"/>
      <c r="BD1419" s="128"/>
      <c r="BE1419" s="128"/>
      <c r="BF1419" s="128"/>
      <c r="BG1419" s="128"/>
      <c r="BH1419" s="128"/>
      <c r="BI1419" s="128"/>
      <c r="BJ1419" s="128"/>
      <c r="BK1419" s="128"/>
      <c r="BL1419" s="128"/>
      <c r="BM1419" s="151"/>
      <c r="BN1419" s="128"/>
      <c r="BO1419" s="128"/>
      <c r="BP1419" s="128"/>
      <c r="BQ1419" s="128"/>
      <c r="BR1419" s="128"/>
      <c r="BS1419" s="128"/>
      <c r="BT1419" s="128"/>
      <c r="BU1419" s="128"/>
      <c r="BV1419" s="128"/>
      <c r="BW1419" s="128"/>
      <c r="BX1419" s="128"/>
      <c r="BY1419" s="128"/>
      <c r="BZ1419" s="128"/>
      <c r="CA1419" s="128"/>
      <c r="CB1419" s="128"/>
      <c r="CC1419" s="128"/>
      <c r="CD1419" s="128"/>
      <c r="CE1419" s="128"/>
      <c r="CF1419" s="128"/>
      <c r="CG1419" s="128"/>
      <c r="CH1419" s="128"/>
      <c r="CI1419" s="128"/>
      <c r="CJ1419" s="128"/>
      <c r="CK1419" s="128"/>
      <c r="CL1419" s="128"/>
      <c r="CM1419" s="128"/>
      <c r="CN1419" s="128"/>
      <c r="CO1419" s="128"/>
      <c r="CP1419" s="128"/>
      <c r="CQ1419" s="128"/>
      <c r="CR1419" s="128"/>
      <c r="CS1419" s="128"/>
      <c r="CT1419" s="128"/>
      <c r="CU1419" s="128"/>
      <c r="CV1419" s="128"/>
      <c r="CW1419" s="128"/>
      <c r="CX1419" s="128"/>
      <c r="CY1419" s="128"/>
      <c r="CZ1419" s="128"/>
    </row>
    <row r="1420" spans="1:104">
      <c r="A1420" s="128"/>
      <c r="B1420" s="128"/>
      <c r="C1420" s="128"/>
      <c r="D1420" s="112"/>
      <c r="E1420" s="128"/>
      <c r="F1420" s="128"/>
      <c r="G1420" s="128"/>
      <c r="H1420" s="128"/>
      <c r="I1420" s="128"/>
      <c r="J1420" s="128"/>
      <c r="K1420" s="128"/>
      <c r="L1420" s="128"/>
      <c r="M1420" s="128"/>
      <c r="N1420" s="128"/>
      <c r="O1420" s="128"/>
      <c r="P1420" s="128"/>
      <c r="Q1420" s="128"/>
      <c r="R1420" s="128"/>
      <c r="S1420" s="128"/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  <c r="AV1420" s="128"/>
      <c r="AW1420" s="128"/>
      <c r="AX1420" s="128"/>
      <c r="AY1420" s="128"/>
      <c r="AZ1420" s="128"/>
      <c r="BA1420" s="128"/>
      <c r="BB1420" s="128"/>
      <c r="BC1420" s="128"/>
      <c r="BD1420" s="128"/>
      <c r="BE1420" s="128"/>
      <c r="BF1420" s="128"/>
      <c r="BG1420" s="128"/>
      <c r="BH1420" s="128"/>
      <c r="BI1420" s="128"/>
      <c r="BJ1420" s="128"/>
      <c r="BK1420" s="128"/>
      <c r="BL1420" s="128"/>
      <c r="BM1420" s="151"/>
      <c r="BN1420" s="128"/>
      <c r="BO1420" s="128"/>
      <c r="BP1420" s="128"/>
      <c r="BQ1420" s="128"/>
      <c r="BR1420" s="128"/>
      <c r="BS1420" s="128"/>
      <c r="BT1420" s="128"/>
      <c r="BU1420" s="128"/>
      <c r="BV1420" s="128"/>
      <c r="BW1420" s="128"/>
      <c r="BX1420" s="128"/>
      <c r="BY1420" s="128"/>
      <c r="BZ1420" s="128"/>
      <c r="CA1420" s="128"/>
      <c r="CB1420" s="128"/>
      <c r="CC1420" s="128"/>
      <c r="CD1420" s="128"/>
      <c r="CE1420" s="128"/>
      <c r="CF1420" s="128"/>
      <c r="CG1420" s="128"/>
      <c r="CH1420" s="128"/>
      <c r="CI1420" s="128"/>
      <c r="CJ1420" s="128"/>
      <c r="CK1420" s="128"/>
      <c r="CL1420" s="128"/>
      <c r="CM1420" s="128"/>
      <c r="CN1420" s="128"/>
      <c r="CO1420" s="128"/>
      <c r="CP1420" s="128"/>
      <c r="CQ1420" s="128"/>
      <c r="CR1420" s="128"/>
      <c r="CS1420" s="128"/>
      <c r="CT1420" s="128"/>
      <c r="CU1420" s="128"/>
      <c r="CV1420" s="128"/>
      <c r="CW1420" s="128"/>
      <c r="CX1420" s="128"/>
      <c r="CY1420" s="128"/>
      <c r="CZ1420" s="128"/>
    </row>
    <row r="1421" spans="1:104">
      <c r="A1421" s="128"/>
      <c r="B1421" s="128"/>
      <c r="C1421" s="128"/>
      <c r="D1421" s="112"/>
      <c r="E1421" s="128"/>
      <c r="F1421" s="128"/>
      <c r="G1421" s="128"/>
      <c r="H1421" s="128"/>
      <c r="I1421" s="128"/>
      <c r="J1421" s="128"/>
      <c r="K1421" s="128"/>
      <c r="L1421" s="128"/>
      <c r="M1421" s="128"/>
      <c r="N1421" s="128"/>
      <c r="O1421" s="128"/>
      <c r="P1421" s="128"/>
      <c r="Q1421" s="128"/>
      <c r="R1421" s="128"/>
      <c r="S1421" s="128"/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  <c r="AV1421" s="128"/>
      <c r="AW1421" s="128"/>
      <c r="AX1421" s="128"/>
      <c r="AY1421" s="128"/>
      <c r="AZ1421" s="128"/>
      <c r="BA1421" s="128"/>
      <c r="BB1421" s="128"/>
      <c r="BC1421" s="128"/>
      <c r="BD1421" s="128"/>
      <c r="BE1421" s="128"/>
      <c r="BF1421" s="128"/>
      <c r="BG1421" s="128"/>
      <c r="BH1421" s="128"/>
      <c r="BI1421" s="128"/>
      <c r="BJ1421" s="128"/>
      <c r="BK1421" s="128"/>
      <c r="BL1421" s="128"/>
      <c r="BM1421" s="151"/>
      <c r="BN1421" s="128"/>
      <c r="BO1421" s="128"/>
      <c r="BP1421" s="128"/>
      <c r="BQ1421" s="128"/>
      <c r="BR1421" s="128"/>
      <c r="BS1421" s="128"/>
      <c r="BT1421" s="128"/>
      <c r="BU1421" s="128"/>
      <c r="BV1421" s="128"/>
      <c r="BW1421" s="128"/>
      <c r="BX1421" s="128"/>
      <c r="BY1421" s="128"/>
      <c r="BZ1421" s="128"/>
      <c r="CA1421" s="128"/>
      <c r="CB1421" s="128"/>
      <c r="CC1421" s="128"/>
      <c r="CD1421" s="128"/>
      <c r="CE1421" s="128"/>
      <c r="CF1421" s="128"/>
      <c r="CG1421" s="128"/>
      <c r="CH1421" s="128"/>
      <c r="CI1421" s="128"/>
      <c r="CJ1421" s="128"/>
      <c r="CK1421" s="128"/>
      <c r="CL1421" s="128"/>
      <c r="CM1421" s="128"/>
      <c r="CN1421" s="128"/>
      <c r="CO1421" s="128"/>
      <c r="CP1421" s="128"/>
      <c r="CQ1421" s="128"/>
      <c r="CR1421" s="128"/>
      <c r="CS1421" s="128"/>
      <c r="CT1421" s="128"/>
      <c r="CU1421" s="128"/>
      <c r="CV1421" s="128"/>
      <c r="CW1421" s="128"/>
      <c r="CX1421" s="128"/>
      <c r="CY1421" s="128"/>
      <c r="CZ1421" s="128"/>
    </row>
    <row r="1422" spans="1:104">
      <c r="A1422" s="128"/>
      <c r="B1422" s="128"/>
      <c r="C1422" s="128"/>
      <c r="D1422" s="112"/>
      <c r="E1422" s="128"/>
      <c r="F1422" s="128"/>
      <c r="G1422" s="128"/>
      <c r="H1422" s="128"/>
      <c r="I1422" s="128"/>
      <c r="J1422" s="128"/>
      <c r="K1422" s="128"/>
      <c r="L1422" s="128"/>
      <c r="M1422" s="128"/>
      <c r="N1422" s="128"/>
      <c r="O1422" s="128"/>
      <c r="P1422" s="128"/>
      <c r="Q1422" s="128"/>
      <c r="R1422" s="128"/>
      <c r="S1422" s="128"/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  <c r="AV1422" s="128"/>
      <c r="AW1422" s="128"/>
      <c r="AX1422" s="128"/>
      <c r="AY1422" s="128"/>
      <c r="AZ1422" s="128"/>
      <c r="BA1422" s="128"/>
      <c r="BB1422" s="128"/>
      <c r="BC1422" s="128"/>
      <c r="BD1422" s="128"/>
      <c r="BE1422" s="128"/>
      <c r="BF1422" s="128"/>
      <c r="BG1422" s="128"/>
      <c r="BH1422" s="128"/>
      <c r="BI1422" s="128"/>
      <c r="BJ1422" s="128"/>
      <c r="BK1422" s="128"/>
      <c r="BL1422" s="128"/>
      <c r="BM1422" s="151"/>
      <c r="BN1422" s="128"/>
      <c r="BO1422" s="128"/>
      <c r="BP1422" s="128"/>
      <c r="BQ1422" s="128"/>
      <c r="BR1422" s="128"/>
      <c r="BS1422" s="128"/>
      <c r="BT1422" s="128"/>
      <c r="BU1422" s="128"/>
      <c r="BV1422" s="128"/>
      <c r="BW1422" s="128"/>
      <c r="BX1422" s="128"/>
      <c r="BY1422" s="128"/>
      <c r="BZ1422" s="128"/>
      <c r="CA1422" s="128"/>
      <c r="CB1422" s="128"/>
      <c r="CC1422" s="128"/>
      <c r="CD1422" s="128"/>
      <c r="CE1422" s="128"/>
      <c r="CF1422" s="128"/>
      <c r="CG1422" s="128"/>
      <c r="CH1422" s="128"/>
      <c r="CI1422" s="128"/>
      <c r="CJ1422" s="128"/>
      <c r="CK1422" s="128"/>
      <c r="CL1422" s="128"/>
      <c r="CM1422" s="128"/>
      <c r="CN1422" s="128"/>
      <c r="CO1422" s="128"/>
      <c r="CP1422" s="128"/>
      <c r="CQ1422" s="128"/>
      <c r="CR1422" s="128"/>
      <c r="CS1422" s="128"/>
      <c r="CT1422" s="128"/>
      <c r="CU1422" s="128"/>
      <c r="CV1422" s="128"/>
      <c r="CW1422" s="128"/>
      <c r="CX1422" s="128"/>
      <c r="CY1422" s="128"/>
      <c r="CZ1422" s="128"/>
    </row>
    <row r="1423" spans="1:104">
      <c r="A1423" s="128"/>
      <c r="B1423" s="128"/>
      <c r="C1423" s="128"/>
      <c r="D1423" s="112"/>
      <c r="E1423" s="128"/>
      <c r="F1423" s="128"/>
      <c r="G1423" s="128"/>
      <c r="H1423" s="128"/>
      <c r="I1423" s="128"/>
      <c r="J1423" s="128"/>
      <c r="K1423" s="128"/>
      <c r="L1423" s="128"/>
      <c r="M1423" s="128"/>
      <c r="N1423" s="128"/>
      <c r="O1423" s="128"/>
      <c r="P1423" s="128"/>
      <c r="Q1423" s="128"/>
      <c r="R1423" s="128"/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  <c r="AV1423" s="128"/>
      <c r="AW1423" s="128"/>
      <c r="AX1423" s="128"/>
      <c r="AY1423" s="128"/>
      <c r="AZ1423" s="128"/>
      <c r="BA1423" s="128"/>
      <c r="BB1423" s="128"/>
      <c r="BC1423" s="128"/>
      <c r="BD1423" s="128"/>
      <c r="BE1423" s="128"/>
      <c r="BF1423" s="128"/>
      <c r="BG1423" s="128"/>
      <c r="BH1423" s="128"/>
      <c r="BI1423" s="128"/>
      <c r="BJ1423" s="128"/>
      <c r="BK1423" s="128"/>
      <c r="BL1423" s="128"/>
      <c r="BM1423" s="151"/>
      <c r="BN1423" s="128"/>
      <c r="BO1423" s="128"/>
      <c r="BP1423" s="128"/>
      <c r="BQ1423" s="128"/>
      <c r="BR1423" s="128"/>
      <c r="BS1423" s="128"/>
      <c r="BT1423" s="128"/>
      <c r="BU1423" s="128"/>
      <c r="BV1423" s="128"/>
      <c r="BW1423" s="128"/>
      <c r="BX1423" s="128"/>
      <c r="BY1423" s="128"/>
      <c r="BZ1423" s="128"/>
      <c r="CA1423" s="128"/>
      <c r="CB1423" s="128"/>
      <c r="CC1423" s="128"/>
      <c r="CD1423" s="128"/>
      <c r="CE1423" s="128"/>
      <c r="CF1423" s="128"/>
      <c r="CG1423" s="128"/>
      <c r="CH1423" s="128"/>
      <c r="CI1423" s="128"/>
      <c r="CJ1423" s="128"/>
      <c r="CK1423" s="128"/>
      <c r="CL1423" s="128"/>
      <c r="CM1423" s="128"/>
      <c r="CN1423" s="128"/>
      <c r="CO1423" s="128"/>
      <c r="CP1423" s="128"/>
      <c r="CQ1423" s="128"/>
      <c r="CR1423" s="128"/>
      <c r="CS1423" s="128"/>
      <c r="CT1423" s="128"/>
      <c r="CU1423" s="128"/>
      <c r="CV1423" s="128"/>
      <c r="CW1423" s="128"/>
      <c r="CX1423" s="128"/>
      <c r="CY1423" s="128"/>
      <c r="CZ1423" s="128"/>
    </row>
    <row r="1424" spans="1:104">
      <c r="A1424" s="128"/>
      <c r="B1424" s="128"/>
      <c r="C1424" s="128"/>
      <c r="D1424" s="112"/>
      <c r="E1424" s="128"/>
      <c r="F1424" s="128"/>
      <c r="G1424" s="128"/>
      <c r="H1424" s="128"/>
      <c r="I1424" s="128"/>
      <c r="J1424" s="128"/>
      <c r="K1424" s="128"/>
      <c r="L1424" s="128"/>
      <c r="M1424" s="128"/>
      <c r="N1424" s="128"/>
      <c r="O1424" s="128"/>
      <c r="P1424" s="128"/>
      <c r="Q1424" s="128"/>
      <c r="R1424" s="128"/>
      <c r="S1424" s="128"/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  <c r="AV1424" s="128"/>
      <c r="AW1424" s="128"/>
      <c r="AX1424" s="128"/>
      <c r="AY1424" s="128"/>
      <c r="AZ1424" s="128"/>
      <c r="BA1424" s="128"/>
      <c r="BB1424" s="128"/>
      <c r="BC1424" s="128"/>
      <c r="BD1424" s="128"/>
      <c r="BE1424" s="128"/>
      <c r="BF1424" s="128"/>
      <c r="BG1424" s="128"/>
      <c r="BH1424" s="128"/>
      <c r="BI1424" s="128"/>
      <c r="BJ1424" s="128"/>
      <c r="BK1424" s="128"/>
      <c r="BL1424" s="128"/>
      <c r="BM1424" s="151"/>
      <c r="BN1424" s="128"/>
      <c r="BO1424" s="128"/>
      <c r="BP1424" s="128"/>
      <c r="BQ1424" s="128"/>
      <c r="BR1424" s="128"/>
      <c r="BS1424" s="128"/>
      <c r="BT1424" s="128"/>
      <c r="BU1424" s="128"/>
      <c r="BV1424" s="128"/>
      <c r="BW1424" s="128"/>
      <c r="BX1424" s="128"/>
      <c r="BY1424" s="128"/>
      <c r="BZ1424" s="128"/>
      <c r="CA1424" s="128"/>
      <c r="CB1424" s="128"/>
      <c r="CC1424" s="128"/>
      <c r="CD1424" s="128"/>
      <c r="CE1424" s="128"/>
      <c r="CF1424" s="128"/>
      <c r="CG1424" s="128"/>
      <c r="CH1424" s="128"/>
      <c r="CI1424" s="128"/>
      <c r="CJ1424" s="128"/>
      <c r="CK1424" s="128"/>
      <c r="CL1424" s="128"/>
      <c r="CM1424" s="128"/>
      <c r="CN1424" s="128"/>
      <c r="CO1424" s="128"/>
      <c r="CP1424" s="128"/>
      <c r="CQ1424" s="128"/>
      <c r="CR1424" s="128"/>
      <c r="CS1424" s="128"/>
      <c r="CT1424" s="128"/>
      <c r="CU1424" s="128"/>
      <c r="CV1424" s="128"/>
      <c r="CW1424" s="128"/>
      <c r="CX1424" s="128"/>
      <c r="CY1424" s="128"/>
      <c r="CZ1424" s="128"/>
    </row>
    <row r="1425" spans="1:104">
      <c r="A1425" s="128"/>
      <c r="B1425" s="128"/>
      <c r="C1425" s="128"/>
      <c r="D1425" s="112"/>
      <c r="E1425" s="128"/>
      <c r="F1425" s="128"/>
      <c r="G1425" s="128"/>
      <c r="H1425" s="128"/>
      <c r="I1425" s="128"/>
      <c r="J1425" s="128"/>
      <c r="K1425" s="128"/>
      <c r="L1425" s="128"/>
      <c r="M1425" s="128"/>
      <c r="N1425" s="128"/>
      <c r="O1425" s="128"/>
      <c r="P1425" s="128"/>
      <c r="Q1425" s="128"/>
      <c r="R1425" s="128"/>
      <c r="S1425" s="128"/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  <c r="AV1425" s="128"/>
      <c r="AW1425" s="128"/>
      <c r="AX1425" s="128"/>
      <c r="AY1425" s="128"/>
      <c r="AZ1425" s="128"/>
      <c r="BA1425" s="128"/>
      <c r="BB1425" s="128"/>
      <c r="BC1425" s="128"/>
      <c r="BD1425" s="128"/>
      <c r="BE1425" s="128"/>
      <c r="BF1425" s="128"/>
      <c r="BG1425" s="128"/>
      <c r="BH1425" s="128"/>
      <c r="BI1425" s="128"/>
      <c r="BJ1425" s="128"/>
      <c r="BK1425" s="128"/>
      <c r="BL1425" s="128"/>
      <c r="BM1425" s="151"/>
      <c r="BN1425" s="128"/>
      <c r="BO1425" s="128"/>
      <c r="BP1425" s="128"/>
      <c r="BQ1425" s="128"/>
      <c r="BR1425" s="128"/>
      <c r="BS1425" s="128"/>
      <c r="BT1425" s="128"/>
      <c r="BU1425" s="128"/>
      <c r="BV1425" s="128"/>
      <c r="BW1425" s="128"/>
      <c r="BX1425" s="128"/>
      <c r="BY1425" s="128"/>
      <c r="BZ1425" s="128"/>
      <c r="CA1425" s="128"/>
      <c r="CB1425" s="128"/>
      <c r="CC1425" s="128"/>
      <c r="CD1425" s="128"/>
      <c r="CE1425" s="128"/>
      <c r="CF1425" s="128"/>
      <c r="CG1425" s="128"/>
      <c r="CH1425" s="128"/>
      <c r="CI1425" s="128"/>
      <c r="CJ1425" s="128"/>
      <c r="CK1425" s="128"/>
      <c r="CL1425" s="128"/>
      <c r="CM1425" s="128"/>
      <c r="CN1425" s="128"/>
      <c r="CO1425" s="128"/>
      <c r="CP1425" s="128"/>
      <c r="CQ1425" s="128"/>
      <c r="CR1425" s="128"/>
      <c r="CS1425" s="128"/>
      <c r="CT1425" s="128"/>
      <c r="CU1425" s="128"/>
      <c r="CV1425" s="128"/>
      <c r="CW1425" s="128"/>
      <c r="CX1425" s="128"/>
      <c r="CY1425" s="128"/>
      <c r="CZ1425" s="128"/>
    </row>
    <row r="1426" spans="1:104">
      <c r="A1426" s="128"/>
      <c r="B1426" s="128"/>
      <c r="C1426" s="128"/>
      <c r="D1426" s="112"/>
      <c r="E1426" s="128"/>
      <c r="F1426" s="128"/>
      <c r="G1426" s="128"/>
      <c r="H1426" s="128"/>
      <c r="I1426" s="128"/>
      <c r="J1426" s="128"/>
      <c r="K1426" s="128"/>
      <c r="L1426" s="128"/>
      <c r="M1426" s="128"/>
      <c r="N1426" s="128"/>
      <c r="O1426" s="128"/>
      <c r="P1426" s="128"/>
      <c r="Q1426" s="128"/>
      <c r="R1426" s="128"/>
      <c r="S1426" s="128"/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  <c r="AV1426" s="128"/>
      <c r="AW1426" s="128"/>
      <c r="AX1426" s="128"/>
      <c r="AY1426" s="128"/>
      <c r="AZ1426" s="128"/>
      <c r="BA1426" s="128"/>
      <c r="BB1426" s="128"/>
      <c r="BC1426" s="128"/>
      <c r="BD1426" s="128"/>
      <c r="BE1426" s="128"/>
      <c r="BF1426" s="128"/>
      <c r="BG1426" s="128"/>
      <c r="BH1426" s="128"/>
      <c r="BI1426" s="128"/>
      <c r="BJ1426" s="128"/>
      <c r="BK1426" s="128"/>
      <c r="BL1426" s="128"/>
      <c r="BM1426" s="151"/>
      <c r="BN1426" s="128"/>
      <c r="BO1426" s="128"/>
      <c r="BP1426" s="128"/>
      <c r="BQ1426" s="128"/>
      <c r="BR1426" s="128"/>
      <c r="BS1426" s="128"/>
      <c r="BT1426" s="128"/>
      <c r="BU1426" s="128"/>
      <c r="BV1426" s="128"/>
      <c r="BW1426" s="128"/>
      <c r="BX1426" s="128"/>
      <c r="BY1426" s="128"/>
      <c r="BZ1426" s="128"/>
      <c r="CA1426" s="128"/>
      <c r="CB1426" s="128"/>
      <c r="CC1426" s="128"/>
      <c r="CD1426" s="128"/>
      <c r="CE1426" s="128"/>
      <c r="CF1426" s="128"/>
      <c r="CG1426" s="128"/>
      <c r="CH1426" s="128"/>
      <c r="CI1426" s="128"/>
      <c r="CJ1426" s="128"/>
      <c r="CK1426" s="128"/>
      <c r="CL1426" s="128"/>
      <c r="CM1426" s="128"/>
      <c r="CN1426" s="128"/>
      <c r="CO1426" s="128"/>
      <c r="CP1426" s="128"/>
      <c r="CQ1426" s="128"/>
      <c r="CR1426" s="128"/>
      <c r="CS1426" s="128"/>
      <c r="CT1426" s="128"/>
      <c r="CU1426" s="128"/>
      <c r="CV1426" s="128"/>
      <c r="CW1426" s="128"/>
      <c r="CX1426" s="128"/>
      <c r="CY1426" s="128"/>
      <c r="CZ1426" s="128"/>
    </row>
    <row r="1427" spans="1:104">
      <c r="A1427" s="128"/>
      <c r="B1427" s="128"/>
      <c r="C1427" s="128"/>
      <c r="D1427" s="112"/>
      <c r="E1427" s="128"/>
      <c r="F1427" s="128"/>
      <c r="G1427" s="128"/>
      <c r="H1427" s="128"/>
      <c r="I1427" s="128"/>
      <c r="J1427" s="128"/>
      <c r="K1427" s="128"/>
      <c r="L1427" s="128"/>
      <c r="M1427" s="128"/>
      <c r="N1427" s="128"/>
      <c r="O1427" s="128"/>
      <c r="P1427" s="128"/>
      <c r="Q1427" s="128"/>
      <c r="R1427" s="128"/>
      <c r="S1427" s="128"/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  <c r="AV1427" s="128"/>
      <c r="AW1427" s="128"/>
      <c r="AX1427" s="128"/>
      <c r="AY1427" s="128"/>
      <c r="AZ1427" s="128"/>
      <c r="BA1427" s="128"/>
      <c r="BB1427" s="128"/>
      <c r="BC1427" s="128"/>
      <c r="BD1427" s="128"/>
      <c r="BE1427" s="128"/>
      <c r="BF1427" s="128"/>
      <c r="BG1427" s="128"/>
      <c r="BH1427" s="128"/>
      <c r="BI1427" s="128"/>
      <c r="BJ1427" s="128"/>
      <c r="BK1427" s="128"/>
      <c r="BL1427" s="128"/>
      <c r="BM1427" s="151"/>
      <c r="BN1427" s="128"/>
      <c r="BO1427" s="128"/>
      <c r="BP1427" s="128"/>
      <c r="BQ1427" s="128"/>
      <c r="BR1427" s="128"/>
      <c r="BS1427" s="128"/>
      <c r="BT1427" s="128"/>
      <c r="BU1427" s="128"/>
      <c r="BV1427" s="128"/>
      <c r="BW1427" s="128"/>
      <c r="BX1427" s="128"/>
      <c r="BY1427" s="128"/>
      <c r="BZ1427" s="128"/>
      <c r="CA1427" s="128"/>
      <c r="CB1427" s="128"/>
      <c r="CC1427" s="128"/>
      <c r="CD1427" s="128"/>
      <c r="CE1427" s="128"/>
      <c r="CF1427" s="128"/>
      <c r="CG1427" s="128"/>
      <c r="CH1427" s="128"/>
      <c r="CI1427" s="128"/>
      <c r="CJ1427" s="128"/>
      <c r="CK1427" s="128"/>
      <c r="CL1427" s="128"/>
      <c r="CM1427" s="128"/>
      <c r="CN1427" s="128"/>
      <c r="CO1427" s="128"/>
      <c r="CP1427" s="128"/>
      <c r="CQ1427" s="128"/>
      <c r="CR1427" s="128"/>
      <c r="CS1427" s="128"/>
      <c r="CT1427" s="128"/>
      <c r="CU1427" s="128"/>
      <c r="CV1427" s="128"/>
      <c r="CW1427" s="128"/>
      <c r="CX1427" s="128"/>
      <c r="CY1427" s="128"/>
      <c r="CZ1427" s="128"/>
    </row>
    <row r="1428" spans="1:104">
      <c r="A1428" s="128"/>
      <c r="B1428" s="128"/>
      <c r="C1428" s="128"/>
      <c r="D1428" s="112"/>
      <c r="E1428" s="128"/>
      <c r="F1428" s="128"/>
      <c r="G1428" s="128"/>
      <c r="H1428" s="128"/>
      <c r="I1428" s="128"/>
      <c r="J1428" s="128"/>
      <c r="K1428" s="128"/>
      <c r="L1428" s="128"/>
      <c r="M1428" s="128"/>
      <c r="N1428" s="128"/>
      <c r="O1428" s="128"/>
      <c r="P1428" s="128"/>
      <c r="Q1428" s="128"/>
      <c r="R1428" s="128"/>
      <c r="S1428" s="128"/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  <c r="AV1428" s="128"/>
      <c r="AW1428" s="128"/>
      <c r="AX1428" s="128"/>
      <c r="AY1428" s="128"/>
      <c r="AZ1428" s="128"/>
      <c r="BA1428" s="128"/>
      <c r="BB1428" s="128"/>
      <c r="BC1428" s="128"/>
      <c r="BD1428" s="128"/>
      <c r="BE1428" s="128"/>
      <c r="BF1428" s="128"/>
      <c r="BG1428" s="128"/>
      <c r="BH1428" s="128"/>
      <c r="BI1428" s="128"/>
      <c r="BJ1428" s="128"/>
      <c r="BK1428" s="128"/>
      <c r="BL1428" s="128"/>
      <c r="BM1428" s="151"/>
      <c r="BN1428" s="128"/>
      <c r="BO1428" s="128"/>
      <c r="BP1428" s="128"/>
      <c r="BQ1428" s="128"/>
      <c r="BR1428" s="128"/>
      <c r="BS1428" s="128"/>
      <c r="BT1428" s="128"/>
      <c r="BU1428" s="128"/>
      <c r="BV1428" s="128"/>
      <c r="BW1428" s="128"/>
      <c r="BX1428" s="128"/>
      <c r="BY1428" s="128"/>
      <c r="BZ1428" s="128"/>
      <c r="CA1428" s="128"/>
      <c r="CB1428" s="128"/>
      <c r="CC1428" s="128"/>
      <c r="CD1428" s="128"/>
      <c r="CE1428" s="128"/>
      <c r="CF1428" s="128"/>
      <c r="CG1428" s="128"/>
      <c r="CH1428" s="128"/>
      <c r="CI1428" s="128"/>
      <c r="CJ1428" s="128"/>
      <c r="CK1428" s="128"/>
      <c r="CL1428" s="128"/>
      <c r="CM1428" s="128"/>
      <c r="CN1428" s="128"/>
      <c r="CO1428" s="128"/>
      <c r="CP1428" s="128"/>
      <c r="CQ1428" s="128"/>
      <c r="CR1428" s="128"/>
      <c r="CS1428" s="128"/>
      <c r="CT1428" s="128"/>
      <c r="CU1428" s="128"/>
      <c r="CV1428" s="128"/>
      <c r="CW1428" s="128"/>
      <c r="CX1428" s="128"/>
      <c r="CY1428" s="128"/>
      <c r="CZ1428" s="128"/>
    </row>
    <row r="1429" spans="1:104">
      <c r="A1429" s="128"/>
      <c r="B1429" s="128"/>
      <c r="C1429" s="128"/>
      <c r="D1429" s="112"/>
      <c r="E1429" s="128"/>
      <c r="F1429" s="128"/>
      <c r="G1429" s="128"/>
      <c r="H1429" s="128"/>
      <c r="I1429" s="128"/>
      <c r="J1429" s="128"/>
      <c r="K1429" s="128"/>
      <c r="L1429" s="128"/>
      <c r="M1429" s="128"/>
      <c r="N1429" s="128"/>
      <c r="O1429" s="128"/>
      <c r="P1429" s="128"/>
      <c r="Q1429" s="128"/>
      <c r="R1429" s="128"/>
      <c r="S1429" s="128"/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  <c r="AV1429" s="128"/>
      <c r="AW1429" s="128"/>
      <c r="AX1429" s="128"/>
      <c r="AY1429" s="128"/>
      <c r="AZ1429" s="128"/>
      <c r="BA1429" s="128"/>
      <c r="BB1429" s="128"/>
      <c r="BC1429" s="128"/>
      <c r="BD1429" s="128"/>
      <c r="BE1429" s="128"/>
      <c r="BF1429" s="128"/>
      <c r="BG1429" s="128"/>
      <c r="BH1429" s="128"/>
      <c r="BI1429" s="128"/>
      <c r="BJ1429" s="128"/>
      <c r="BK1429" s="128"/>
      <c r="BL1429" s="128"/>
      <c r="BM1429" s="151"/>
      <c r="BN1429" s="128"/>
      <c r="BO1429" s="128"/>
      <c r="BP1429" s="128"/>
      <c r="BQ1429" s="128"/>
      <c r="BR1429" s="128"/>
      <c r="BS1429" s="128"/>
      <c r="BT1429" s="128"/>
      <c r="BU1429" s="128"/>
      <c r="BV1429" s="128"/>
      <c r="BW1429" s="128"/>
      <c r="BX1429" s="128"/>
      <c r="BY1429" s="128"/>
      <c r="BZ1429" s="128"/>
      <c r="CA1429" s="128"/>
      <c r="CB1429" s="128"/>
      <c r="CC1429" s="128"/>
      <c r="CD1429" s="128"/>
      <c r="CE1429" s="128"/>
      <c r="CF1429" s="128"/>
      <c r="CG1429" s="128"/>
      <c r="CH1429" s="128"/>
      <c r="CI1429" s="128"/>
      <c r="CJ1429" s="128"/>
      <c r="CK1429" s="128"/>
      <c r="CL1429" s="128"/>
      <c r="CM1429" s="128"/>
      <c r="CN1429" s="128"/>
      <c r="CO1429" s="128"/>
      <c r="CP1429" s="128"/>
      <c r="CQ1429" s="128"/>
      <c r="CR1429" s="128"/>
      <c r="CS1429" s="128"/>
      <c r="CT1429" s="128"/>
      <c r="CU1429" s="128"/>
      <c r="CV1429" s="128"/>
      <c r="CW1429" s="128"/>
      <c r="CX1429" s="128"/>
      <c r="CY1429" s="128"/>
      <c r="CZ1429" s="128"/>
    </row>
    <row r="1430" spans="1:104">
      <c r="A1430" s="128"/>
      <c r="B1430" s="128"/>
      <c r="C1430" s="128"/>
      <c r="D1430" s="112"/>
      <c r="E1430" s="128"/>
      <c r="F1430" s="128"/>
      <c r="G1430" s="128"/>
      <c r="H1430" s="128"/>
      <c r="I1430" s="128"/>
      <c r="J1430" s="128"/>
      <c r="K1430" s="128"/>
      <c r="L1430" s="128"/>
      <c r="M1430" s="128"/>
      <c r="N1430" s="128"/>
      <c r="O1430" s="128"/>
      <c r="P1430" s="128"/>
      <c r="Q1430" s="128"/>
      <c r="R1430" s="128"/>
      <c r="S1430" s="128"/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  <c r="AV1430" s="128"/>
      <c r="AW1430" s="128"/>
      <c r="AX1430" s="128"/>
      <c r="AY1430" s="128"/>
      <c r="AZ1430" s="128"/>
      <c r="BA1430" s="128"/>
      <c r="BB1430" s="128"/>
      <c r="BC1430" s="128"/>
      <c r="BD1430" s="128"/>
      <c r="BE1430" s="128"/>
      <c r="BF1430" s="128"/>
      <c r="BG1430" s="128"/>
      <c r="BH1430" s="128"/>
      <c r="BI1430" s="128"/>
      <c r="BJ1430" s="128"/>
      <c r="BK1430" s="128"/>
      <c r="BL1430" s="128"/>
      <c r="BM1430" s="151"/>
      <c r="BN1430" s="128"/>
      <c r="BO1430" s="128"/>
      <c r="BP1430" s="128"/>
      <c r="BQ1430" s="128"/>
      <c r="BR1430" s="128"/>
      <c r="BS1430" s="128"/>
      <c r="BT1430" s="128"/>
      <c r="BU1430" s="128"/>
      <c r="BV1430" s="128"/>
      <c r="BW1430" s="128"/>
      <c r="BX1430" s="128"/>
      <c r="BY1430" s="128"/>
      <c r="BZ1430" s="128"/>
      <c r="CA1430" s="128"/>
      <c r="CB1430" s="128"/>
      <c r="CC1430" s="128"/>
      <c r="CD1430" s="128"/>
      <c r="CE1430" s="128"/>
      <c r="CF1430" s="128"/>
      <c r="CG1430" s="128"/>
      <c r="CH1430" s="128"/>
      <c r="CI1430" s="128"/>
      <c r="CJ1430" s="128"/>
      <c r="CK1430" s="128"/>
      <c r="CL1430" s="128"/>
      <c r="CM1430" s="128"/>
      <c r="CN1430" s="128"/>
      <c r="CO1430" s="128"/>
      <c r="CP1430" s="128"/>
      <c r="CQ1430" s="128"/>
      <c r="CR1430" s="128"/>
      <c r="CS1430" s="128"/>
      <c r="CT1430" s="128"/>
      <c r="CU1430" s="128"/>
      <c r="CV1430" s="128"/>
      <c r="CW1430" s="128"/>
      <c r="CX1430" s="128"/>
      <c r="CY1430" s="128"/>
      <c r="CZ1430" s="128"/>
    </row>
    <row r="1431" spans="1:104">
      <c r="A1431" s="128"/>
      <c r="B1431" s="128"/>
      <c r="C1431" s="128"/>
      <c r="D1431" s="112"/>
      <c r="E1431" s="128"/>
      <c r="F1431" s="128"/>
      <c r="G1431" s="128"/>
      <c r="H1431" s="128"/>
      <c r="I1431" s="128"/>
      <c r="J1431" s="128"/>
      <c r="K1431" s="128"/>
      <c r="L1431" s="128"/>
      <c r="M1431" s="128"/>
      <c r="N1431" s="128"/>
      <c r="O1431" s="128"/>
      <c r="P1431" s="128"/>
      <c r="Q1431" s="128"/>
      <c r="R1431" s="128"/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  <c r="AV1431" s="128"/>
      <c r="AW1431" s="128"/>
      <c r="AX1431" s="128"/>
      <c r="AY1431" s="128"/>
      <c r="AZ1431" s="128"/>
      <c r="BA1431" s="128"/>
      <c r="BB1431" s="128"/>
      <c r="BC1431" s="128"/>
      <c r="BD1431" s="128"/>
      <c r="BE1431" s="128"/>
      <c r="BF1431" s="128"/>
      <c r="BG1431" s="128"/>
      <c r="BH1431" s="128"/>
      <c r="BI1431" s="128"/>
      <c r="BJ1431" s="128"/>
      <c r="BK1431" s="128"/>
      <c r="BL1431" s="128"/>
      <c r="BM1431" s="151"/>
      <c r="BN1431" s="128"/>
      <c r="BO1431" s="128"/>
      <c r="BP1431" s="128"/>
      <c r="BQ1431" s="128"/>
      <c r="BR1431" s="128"/>
      <c r="BS1431" s="128"/>
      <c r="BT1431" s="128"/>
      <c r="BU1431" s="128"/>
      <c r="BV1431" s="128"/>
      <c r="BW1431" s="128"/>
      <c r="BX1431" s="128"/>
      <c r="BY1431" s="128"/>
      <c r="BZ1431" s="128"/>
      <c r="CA1431" s="128"/>
      <c r="CB1431" s="128"/>
      <c r="CC1431" s="128"/>
      <c r="CD1431" s="128"/>
      <c r="CE1431" s="128"/>
      <c r="CF1431" s="128"/>
      <c r="CG1431" s="128"/>
      <c r="CH1431" s="128"/>
      <c r="CI1431" s="128"/>
      <c r="CJ1431" s="128"/>
      <c r="CK1431" s="128"/>
      <c r="CL1431" s="128"/>
      <c r="CM1431" s="128"/>
      <c r="CN1431" s="128"/>
      <c r="CO1431" s="128"/>
      <c r="CP1431" s="128"/>
      <c r="CQ1431" s="128"/>
      <c r="CR1431" s="128"/>
      <c r="CS1431" s="128"/>
      <c r="CT1431" s="128"/>
      <c r="CU1431" s="128"/>
      <c r="CV1431" s="128"/>
      <c r="CW1431" s="128"/>
      <c r="CX1431" s="128"/>
      <c r="CY1431" s="128"/>
      <c r="CZ1431" s="128"/>
    </row>
    <row r="1432" spans="1:104">
      <c r="A1432" s="128"/>
      <c r="B1432" s="128"/>
      <c r="C1432" s="128"/>
      <c r="D1432" s="112"/>
      <c r="E1432" s="128"/>
      <c r="F1432" s="128"/>
      <c r="G1432" s="128"/>
      <c r="H1432" s="128"/>
      <c r="I1432" s="128"/>
      <c r="J1432" s="128"/>
      <c r="K1432" s="128"/>
      <c r="L1432" s="128"/>
      <c r="M1432" s="128"/>
      <c r="N1432" s="128"/>
      <c r="O1432" s="128"/>
      <c r="P1432" s="128"/>
      <c r="Q1432" s="128"/>
      <c r="R1432" s="128"/>
      <c r="S1432" s="128"/>
      <c r="T1432" s="128"/>
      <c r="U1432" s="128"/>
      <c r="V1432" s="128"/>
      <c r="W1432" s="128"/>
      <c r="X1432" s="128"/>
      <c r="Y1432" s="128"/>
      <c r="Z1432" s="128"/>
      <c r="AA1432" s="128"/>
      <c r="AB1432" s="128"/>
      <c r="AC1432" s="128"/>
      <c r="AD1432" s="128"/>
      <c r="AE1432" s="128"/>
      <c r="AF1432" s="128"/>
      <c r="AG1432" s="128"/>
      <c r="AH1432" s="128"/>
      <c r="AI1432" s="128"/>
      <c r="AJ1432" s="128"/>
      <c r="AK1432" s="128"/>
      <c r="AL1432" s="128"/>
      <c r="AM1432" s="128"/>
      <c r="AN1432" s="128"/>
      <c r="AO1432" s="128"/>
      <c r="AP1432" s="128"/>
      <c r="AQ1432" s="128"/>
      <c r="AR1432" s="128"/>
      <c r="AS1432" s="128"/>
      <c r="AT1432" s="128"/>
      <c r="AU1432" s="128"/>
      <c r="AV1432" s="128"/>
      <c r="AW1432" s="128"/>
      <c r="AX1432" s="128"/>
      <c r="AY1432" s="128"/>
      <c r="AZ1432" s="128"/>
      <c r="BA1432" s="128"/>
      <c r="BB1432" s="128"/>
      <c r="BC1432" s="128"/>
      <c r="BD1432" s="128"/>
      <c r="BE1432" s="128"/>
      <c r="BF1432" s="128"/>
      <c r="BG1432" s="128"/>
      <c r="BH1432" s="128"/>
      <c r="BI1432" s="128"/>
      <c r="BJ1432" s="128"/>
      <c r="BK1432" s="128"/>
      <c r="BL1432" s="128"/>
      <c r="BM1432" s="151"/>
      <c r="BN1432" s="128"/>
      <c r="BO1432" s="128"/>
      <c r="BP1432" s="128"/>
      <c r="BQ1432" s="128"/>
      <c r="BR1432" s="128"/>
      <c r="BS1432" s="128"/>
      <c r="BT1432" s="128"/>
      <c r="BU1432" s="128"/>
      <c r="BV1432" s="128"/>
      <c r="BW1432" s="128"/>
      <c r="BX1432" s="128"/>
      <c r="BY1432" s="128"/>
      <c r="BZ1432" s="128"/>
      <c r="CA1432" s="128"/>
      <c r="CB1432" s="128"/>
      <c r="CC1432" s="128"/>
      <c r="CD1432" s="128"/>
      <c r="CE1432" s="128"/>
      <c r="CF1432" s="128"/>
      <c r="CG1432" s="128"/>
      <c r="CH1432" s="128"/>
      <c r="CI1432" s="128"/>
      <c r="CJ1432" s="128"/>
      <c r="CK1432" s="128"/>
      <c r="CL1432" s="128"/>
      <c r="CM1432" s="128"/>
      <c r="CN1432" s="128"/>
      <c r="CO1432" s="128"/>
      <c r="CP1432" s="128"/>
      <c r="CQ1432" s="128"/>
      <c r="CR1432" s="128"/>
      <c r="CS1432" s="128"/>
      <c r="CT1432" s="128"/>
      <c r="CU1432" s="128"/>
      <c r="CV1432" s="128"/>
      <c r="CW1432" s="128"/>
      <c r="CX1432" s="128"/>
      <c r="CY1432" s="128"/>
      <c r="CZ1432" s="128"/>
    </row>
    <row r="1433" spans="1:104">
      <c r="A1433" s="128"/>
      <c r="B1433" s="128"/>
      <c r="C1433" s="128"/>
      <c r="D1433" s="112"/>
      <c r="E1433" s="128"/>
      <c r="F1433" s="128"/>
      <c r="G1433" s="128"/>
      <c r="H1433" s="128"/>
      <c r="I1433" s="128"/>
      <c r="J1433" s="128"/>
      <c r="K1433" s="128"/>
      <c r="L1433" s="128"/>
      <c r="M1433" s="128"/>
      <c r="N1433" s="128"/>
      <c r="O1433" s="128"/>
      <c r="P1433" s="128"/>
      <c r="Q1433" s="128"/>
      <c r="R1433" s="128"/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  <c r="AV1433" s="128"/>
      <c r="AW1433" s="128"/>
      <c r="AX1433" s="128"/>
      <c r="AY1433" s="128"/>
      <c r="AZ1433" s="128"/>
      <c r="BA1433" s="128"/>
      <c r="BB1433" s="128"/>
      <c r="BC1433" s="128"/>
      <c r="BD1433" s="128"/>
      <c r="BE1433" s="128"/>
      <c r="BF1433" s="128"/>
      <c r="BG1433" s="128"/>
      <c r="BH1433" s="128"/>
      <c r="BI1433" s="128"/>
      <c r="BJ1433" s="128"/>
      <c r="BK1433" s="128"/>
      <c r="BL1433" s="128"/>
      <c r="BM1433" s="151"/>
      <c r="BN1433" s="128"/>
      <c r="BO1433" s="128"/>
      <c r="BP1433" s="128"/>
      <c r="BQ1433" s="128"/>
      <c r="BR1433" s="128"/>
      <c r="BS1433" s="128"/>
      <c r="BT1433" s="128"/>
      <c r="BU1433" s="128"/>
      <c r="BV1433" s="128"/>
      <c r="BW1433" s="128"/>
      <c r="BX1433" s="128"/>
      <c r="BY1433" s="128"/>
      <c r="BZ1433" s="128"/>
      <c r="CA1433" s="128"/>
      <c r="CB1433" s="128"/>
      <c r="CC1433" s="128"/>
      <c r="CD1433" s="128"/>
      <c r="CE1433" s="128"/>
      <c r="CF1433" s="128"/>
      <c r="CG1433" s="128"/>
      <c r="CH1433" s="128"/>
      <c r="CI1433" s="128"/>
      <c r="CJ1433" s="128"/>
      <c r="CK1433" s="128"/>
      <c r="CL1433" s="128"/>
      <c r="CM1433" s="128"/>
      <c r="CN1433" s="128"/>
      <c r="CO1433" s="128"/>
      <c r="CP1433" s="128"/>
      <c r="CQ1433" s="128"/>
      <c r="CR1433" s="128"/>
      <c r="CS1433" s="128"/>
      <c r="CT1433" s="128"/>
      <c r="CU1433" s="128"/>
      <c r="CV1433" s="128"/>
      <c r="CW1433" s="128"/>
      <c r="CX1433" s="128"/>
      <c r="CY1433" s="128"/>
      <c r="CZ1433" s="128"/>
    </row>
    <row r="1434" spans="1:104">
      <c r="A1434" s="128"/>
      <c r="B1434" s="128"/>
      <c r="C1434" s="128"/>
      <c r="D1434" s="112"/>
      <c r="E1434" s="128"/>
      <c r="F1434" s="128"/>
      <c r="G1434" s="128"/>
      <c r="H1434" s="128"/>
      <c r="I1434" s="128"/>
      <c r="J1434" s="128"/>
      <c r="K1434" s="128"/>
      <c r="L1434" s="128"/>
      <c r="M1434" s="128"/>
      <c r="N1434" s="128"/>
      <c r="O1434" s="128"/>
      <c r="P1434" s="128"/>
      <c r="Q1434" s="128"/>
      <c r="R1434" s="128"/>
      <c r="S1434" s="128"/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  <c r="AV1434" s="128"/>
      <c r="AW1434" s="128"/>
      <c r="AX1434" s="128"/>
      <c r="AY1434" s="128"/>
      <c r="AZ1434" s="128"/>
      <c r="BA1434" s="128"/>
      <c r="BB1434" s="128"/>
      <c r="BC1434" s="128"/>
      <c r="BD1434" s="128"/>
      <c r="BE1434" s="128"/>
      <c r="BF1434" s="128"/>
      <c r="BG1434" s="128"/>
      <c r="BH1434" s="128"/>
      <c r="BI1434" s="128"/>
      <c r="BJ1434" s="128"/>
      <c r="BK1434" s="128"/>
      <c r="BL1434" s="128"/>
      <c r="BM1434" s="151"/>
      <c r="BN1434" s="128"/>
      <c r="BO1434" s="128"/>
      <c r="BP1434" s="128"/>
      <c r="BQ1434" s="128"/>
      <c r="BR1434" s="128"/>
      <c r="BS1434" s="128"/>
      <c r="BT1434" s="128"/>
      <c r="BU1434" s="128"/>
      <c r="BV1434" s="128"/>
      <c r="BW1434" s="128"/>
      <c r="BX1434" s="128"/>
      <c r="BY1434" s="128"/>
      <c r="BZ1434" s="128"/>
      <c r="CA1434" s="128"/>
      <c r="CB1434" s="128"/>
      <c r="CC1434" s="128"/>
      <c r="CD1434" s="128"/>
      <c r="CE1434" s="128"/>
      <c r="CF1434" s="128"/>
      <c r="CG1434" s="128"/>
      <c r="CH1434" s="128"/>
      <c r="CI1434" s="128"/>
      <c r="CJ1434" s="128"/>
      <c r="CK1434" s="128"/>
      <c r="CL1434" s="128"/>
      <c r="CM1434" s="128"/>
      <c r="CN1434" s="128"/>
      <c r="CO1434" s="128"/>
      <c r="CP1434" s="128"/>
      <c r="CQ1434" s="128"/>
      <c r="CR1434" s="128"/>
      <c r="CS1434" s="128"/>
      <c r="CT1434" s="128"/>
      <c r="CU1434" s="128"/>
      <c r="CV1434" s="128"/>
      <c r="CW1434" s="128"/>
      <c r="CX1434" s="128"/>
      <c r="CY1434" s="128"/>
      <c r="CZ1434" s="128"/>
    </row>
    <row r="1435" spans="1:104">
      <c r="A1435" s="128"/>
      <c r="B1435" s="128"/>
      <c r="C1435" s="128"/>
      <c r="D1435" s="112"/>
      <c r="E1435" s="128"/>
      <c r="F1435" s="128"/>
      <c r="G1435" s="128"/>
      <c r="H1435" s="128"/>
      <c r="I1435" s="128"/>
      <c r="J1435" s="128"/>
      <c r="K1435" s="128"/>
      <c r="L1435" s="128"/>
      <c r="M1435" s="128"/>
      <c r="N1435" s="128"/>
      <c r="O1435" s="128"/>
      <c r="P1435" s="128"/>
      <c r="Q1435" s="128"/>
      <c r="R1435" s="128"/>
      <c r="S1435" s="128"/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  <c r="AV1435" s="128"/>
      <c r="AW1435" s="128"/>
      <c r="AX1435" s="128"/>
      <c r="AY1435" s="128"/>
      <c r="AZ1435" s="128"/>
      <c r="BA1435" s="128"/>
      <c r="BB1435" s="128"/>
      <c r="BC1435" s="128"/>
      <c r="BD1435" s="128"/>
      <c r="BE1435" s="128"/>
      <c r="BF1435" s="128"/>
      <c r="BG1435" s="128"/>
      <c r="BH1435" s="128"/>
      <c r="BI1435" s="128"/>
      <c r="BJ1435" s="128"/>
      <c r="BK1435" s="128"/>
      <c r="BL1435" s="128"/>
      <c r="BM1435" s="151"/>
      <c r="BN1435" s="128"/>
      <c r="BO1435" s="128"/>
      <c r="BP1435" s="128"/>
      <c r="BQ1435" s="128"/>
      <c r="BR1435" s="128"/>
      <c r="BS1435" s="128"/>
      <c r="BT1435" s="128"/>
      <c r="BU1435" s="128"/>
      <c r="BV1435" s="128"/>
      <c r="BW1435" s="128"/>
      <c r="BX1435" s="128"/>
      <c r="BY1435" s="128"/>
      <c r="BZ1435" s="128"/>
      <c r="CA1435" s="128"/>
      <c r="CB1435" s="128"/>
      <c r="CC1435" s="128"/>
      <c r="CD1435" s="128"/>
      <c r="CE1435" s="128"/>
      <c r="CF1435" s="128"/>
      <c r="CG1435" s="128"/>
      <c r="CH1435" s="128"/>
      <c r="CI1435" s="128"/>
      <c r="CJ1435" s="128"/>
      <c r="CK1435" s="128"/>
      <c r="CL1435" s="128"/>
      <c r="CM1435" s="128"/>
      <c r="CN1435" s="128"/>
      <c r="CO1435" s="128"/>
      <c r="CP1435" s="128"/>
      <c r="CQ1435" s="128"/>
      <c r="CR1435" s="128"/>
      <c r="CS1435" s="128"/>
      <c r="CT1435" s="128"/>
      <c r="CU1435" s="128"/>
      <c r="CV1435" s="128"/>
      <c r="CW1435" s="128"/>
      <c r="CX1435" s="128"/>
      <c r="CY1435" s="128"/>
      <c r="CZ1435" s="128"/>
    </row>
    <row r="1436" spans="1:104">
      <c r="A1436" s="128"/>
      <c r="B1436" s="128"/>
      <c r="C1436" s="128"/>
      <c r="D1436" s="112"/>
      <c r="E1436" s="128"/>
      <c r="F1436" s="128"/>
      <c r="G1436" s="128"/>
      <c r="H1436" s="128"/>
      <c r="I1436" s="128"/>
      <c r="J1436" s="128"/>
      <c r="K1436" s="128"/>
      <c r="L1436" s="128"/>
      <c r="M1436" s="128"/>
      <c r="N1436" s="128"/>
      <c r="O1436" s="128"/>
      <c r="P1436" s="128"/>
      <c r="Q1436" s="128"/>
      <c r="R1436" s="128"/>
      <c r="S1436" s="128"/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  <c r="AV1436" s="128"/>
      <c r="AW1436" s="128"/>
      <c r="AX1436" s="128"/>
      <c r="AY1436" s="128"/>
      <c r="AZ1436" s="128"/>
      <c r="BA1436" s="128"/>
      <c r="BB1436" s="128"/>
      <c r="BC1436" s="128"/>
      <c r="BD1436" s="128"/>
      <c r="BE1436" s="128"/>
      <c r="BF1436" s="128"/>
      <c r="BG1436" s="128"/>
      <c r="BH1436" s="128"/>
      <c r="BI1436" s="128"/>
      <c r="BJ1436" s="128"/>
      <c r="BK1436" s="128"/>
      <c r="BL1436" s="128"/>
      <c r="BM1436" s="151"/>
      <c r="BN1436" s="128"/>
      <c r="BO1436" s="128"/>
      <c r="BP1436" s="128"/>
      <c r="BQ1436" s="128"/>
      <c r="BR1436" s="128"/>
      <c r="BS1436" s="128"/>
      <c r="BT1436" s="128"/>
      <c r="BU1436" s="128"/>
      <c r="BV1436" s="128"/>
      <c r="BW1436" s="128"/>
      <c r="BX1436" s="128"/>
      <c r="BY1436" s="128"/>
      <c r="BZ1436" s="128"/>
      <c r="CA1436" s="128"/>
      <c r="CB1436" s="128"/>
      <c r="CC1436" s="128"/>
      <c r="CD1436" s="128"/>
      <c r="CE1436" s="128"/>
      <c r="CF1436" s="128"/>
      <c r="CG1436" s="128"/>
      <c r="CH1436" s="128"/>
      <c r="CI1436" s="128"/>
      <c r="CJ1436" s="128"/>
      <c r="CK1436" s="128"/>
      <c r="CL1436" s="128"/>
      <c r="CM1436" s="128"/>
      <c r="CN1436" s="128"/>
      <c r="CO1436" s="128"/>
      <c r="CP1436" s="128"/>
      <c r="CQ1436" s="128"/>
      <c r="CR1436" s="128"/>
      <c r="CS1436" s="128"/>
      <c r="CT1436" s="128"/>
      <c r="CU1436" s="128"/>
      <c r="CV1436" s="128"/>
      <c r="CW1436" s="128"/>
      <c r="CX1436" s="128"/>
      <c r="CY1436" s="128"/>
      <c r="CZ1436" s="128"/>
    </row>
    <row r="1437" spans="1:104">
      <c r="A1437" s="128"/>
      <c r="B1437" s="128"/>
      <c r="C1437" s="128"/>
      <c r="D1437" s="112"/>
      <c r="E1437" s="128"/>
      <c r="F1437" s="128"/>
      <c r="G1437" s="128"/>
      <c r="H1437" s="128"/>
      <c r="I1437" s="128"/>
      <c r="J1437" s="128"/>
      <c r="K1437" s="128"/>
      <c r="L1437" s="128"/>
      <c r="M1437" s="128"/>
      <c r="N1437" s="128"/>
      <c r="O1437" s="128"/>
      <c r="P1437" s="128"/>
      <c r="Q1437" s="128"/>
      <c r="R1437" s="128"/>
      <c r="S1437" s="128"/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  <c r="AV1437" s="128"/>
      <c r="AW1437" s="128"/>
      <c r="AX1437" s="128"/>
      <c r="AY1437" s="128"/>
      <c r="AZ1437" s="128"/>
      <c r="BA1437" s="128"/>
      <c r="BB1437" s="128"/>
      <c r="BC1437" s="128"/>
      <c r="BD1437" s="128"/>
      <c r="BE1437" s="128"/>
      <c r="BF1437" s="128"/>
      <c r="BG1437" s="128"/>
      <c r="BH1437" s="128"/>
      <c r="BI1437" s="128"/>
      <c r="BJ1437" s="128"/>
      <c r="BK1437" s="128"/>
      <c r="BL1437" s="128"/>
      <c r="BM1437" s="151"/>
      <c r="BN1437" s="128"/>
      <c r="BO1437" s="128"/>
      <c r="BP1437" s="128"/>
      <c r="BQ1437" s="128"/>
      <c r="BR1437" s="128"/>
      <c r="BS1437" s="128"/>
      <c r="BT1437" s="128"/>
      <c r="BU1437" s="128"/>
      <c r="BV1437" s="128"/>
      <c r="BW1437" s="128"/>
      <c r="BX1437" s="128"/>
      <c r="BY1437" s="128"/>
      <c r="BZ1437" s="128"/>
      <c r="CA1437" s="128"/>
      <c r="CB1437" s="128"/>
      <c r="CC1437" s="128"/>
      <c r="CD1437" s="128"/>
      <c r="CE1437" s="128"/>
      <c r="CF1437" s="128"/>
      <c r="CG1437" s="128"/>
      <c r="CH1437" s="128"/>
      <c r="CI1437" s="128"/>
      <c r="CJ1437" s="128"/>
      <c r="CK1437" s="128"/>
      <c r="CL1437" s="128"/>
      <c r="CM1437" s="128"/>
      <c r="CN1437" s="128"/>
      <c r="CO1437" s="128"/>
      <c r="CP1437" s="128"/>
      <c r="CQ1437" s="128"/>
      <c r="CR1437" s="128"/>
      <c r="CS1437" s="128"/>
      <c r="CT1437" s="128"/>
      <c r="CU1437" s="128"/>
      <c r="CV1437" s="128"/>
      <c r="CW1437" s="128"/>
      <c r="CX1437" s="128"/>
      <c r="CY1437" s="128"/>
      <c r="CZ1437" s="128"/>
    </row>
    <row r="1438" spans="1:104">
      <c r="A1438" s="128"/>
      <c r="B1438" s="128"/>
      <c r="C1438" s="128"/>
      <c r="D1438" s="112"/>
      <c r="E1438" s="128"/>
      <c r="F1438" s="128"/>
      <c r="G1438" s="128"/>
      <c r="H1438" s="128"/>
      <c r="I1438" s="128"/>
      <c r="J1438" s="128"/>
      <c r="K1438" s="128"/>
      <c r="L1438" s="128"/>
      <c r="M1438" s="128"/>
      <c r="N1438" s="128"/>
      <c r="O1438" s="128"/>
      <c r="P1438" s="128"/>
      <c r="Q1438" s="128"/>
      <c r="R1438" s="128"/>
      <c r="S1438" s="128"/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  <c r="AV1438" s="128"/>
      <c r="AW1438" s="128"/>
      <c r="AX1438" s="128"/>
      <c r="AY1438" s="128"/>
      <c r="AZ1438" s="128"/>
      <c r="BA1438" s="128"/>
      <c r="BB1438" s="128"/>
      <c r="BC1438" s="128"/>
      <c r="BD1438" s="128"/>
      <c r="BE1438" s="128"/>
      <c r="BF1438" s="128"/>
      <c r="BG1438" s="128"/>
      <c r="BH1438" s="128"/>
      <c r="BI1438" s="128"/>
      <c r="BJ1438" s="128"/>
      <c r="BK1438" s="128"/>
      <c r="BL1438" s="128"/>
      <c r="BM1438" s="151"/>
      <c r="BN1438" s="128"/>
      <c r="BO1438" s="128"/>
      <c r="BP1438" s="128"/>
      <c r="BQ1438" s="128"/>
      <c r="BR1438" s="128"/>
      <c r="BS1438" s="128"/>
      <c r="BT1438" s="128"/>
      <c r="BU1438" s="128"/>
      <c r="BV1438" s="128"/>
      <c r="BW1438" s="128"/>
      <c r="BX1438" s="128"/>
      <c r="BY1438" s="128"/>
      <c r="BZ1438" s="128"/>
      <c r="CA1438" s="128"/>
      <c r="CB1438" s="128"/>
      <c r="CC1438" s="128"/>
      <c r="CD1438" s="128"/>
      <c r="CE1438" s="128"/>
      <c r="CF1438" s="128"/>
      <c r="CG1438" s="128"/>
      <c r="CH1438" s="128"/>
      <c r="CI1438" s="128"/>
      <c r="CJ1438" s="128"/>
      <c r="CK1438" s="128"/>
      <c r="CL1438" s="128"/>
      <c r="CM1438" s="128"/>
      <c r="CN1438" s="128"/>
      <c r="CO1438" s="128"/>
      <c r="CP1438" s="128"/>
      <c r="CQ1438" s="128"/>
      <c r="CR1438" s="128"/>
      <c r="CS1438" s="128"/>
      <c r="CT1438" s="128"/>
      <c r="CU1438" s="128"/>
      <c r="CV1438" s="128"/>
      <c r="CW1438" s="128"/>
      <c r="CX1438" s="128"/>
      <c r="CY1438" s="128"/>
      <c r="CZ1438" s="128"/>
    </row>
    <row r="1439" spans="1:104">
      <c r="A1439" s="128"/>
      <c r="B1439" s="128"/>
      <c r="C1439" s="128"/>
      <c r="D1439" s="112"/>
      <c r="E1439" s="128"/>
      <c r="F1439" s="128"/>
      <c r="G1439" s="128"/>
      <c r="H1439" s="128"/>
      <c r="I1439" s="128"/>
      <c r="J1439" s="128"/>
      <c r="K1439" s="128"/>
      <c r="L1439" s="128"/>
      <c r="M1439" s="128"/>
      <c r="N1439" s="128"/>
      <c r="O1439" s="128"/>
      <c r="P1439" s="128"/>
      <c r="Q1439" s="128"/>
      <c r="R1439" s="128"/>
      <c r="S1439" s="128"/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  <c r="AV1439" s="128"/>
      <c r="AW1439" s="128"/>
      <c r="AX1439" s="128"/>
      <c r="AY1439" s="128"/>
      <c r="AZ1439" s="128"/>
      <c r="BA1439" s="128"/>
      <c r="BB1439" s="128"/>
      <c r="BC1439" s="128"/>
      <c r="BD1439" s="128"/>
      <c r="BE1439" s="128"/>
      <c r="BF1439" s="128"/>
      <c r="BG1439" s="128"/>
      <c r="BH1439" s="128"/>
      <c r="BI1439" s="128"/>
      <c r="BJ1439" s="128"/>
      <c r="BK1439" s="128"/>
      <c r="BL1439" s="128"/>
      <c r="BM1439" s="151"/>
      <c r="BN1439" s="128"/>
      <c r="BO1439" s="128"/>
      <c r="BP1439" s="128"/>
      <c r="BQ1439" s="128"/>
      <c r="BR1439" s="128"/>
      <c r="BS1439" s="128"/>
      <c r="BT1439" s="128"/>
      <c r="BU1439" s="128"/>
      <c r="BV1439" s="128"/>
      <c r="BW1439" s="128"/>
      <c r="BX1439" s="128"/>
      <c r="BY1439" s="128"/>
      <c r="BZ1439" s="128"/>
      <c r="CA1439" s="128"/>
      <c r="CB1439" s="128"/>
      <c r="CC1439" s="128"/>
      <c r="CD1439" s="128"/>
      <c r="CE1439" s="128"/>
      <c r="CF1439" s="128"/>
      <c r="CG1439" s="128"/>
      <c r="CH1439" s="128"/>
      <c r="CI1439" s="128"/>
      <c r="CJ1439" s="128"/>
      <c r="CK1439" s="128"/>
      <c r="CL1439" s="128"/>
      <c r="CM1439" s="128"/>
      <c r="CN1439" s="128"/>
      <c r="CO1439" s="128"/>
      <c r="CP1439" s="128"/>
      <c r="CQ1439" s="128"/>
      <c r="CR1439" s="128"/>
      <c r="CS1439" s="128"/>
      <c r="CT1439" s="128"/>
      <c r="CU1439" s="128"/>
      <c r="CV1439" s="128"/>
      <c r="CW1439" s="128"/>
      <c r="CX1439" s="128"/>
      <c r="CY1439" s="128"/>
      <c r="CZ1439" s="128"/>
    </row>
    <row r="1440" spans="1:104">
      <c r="A1440" s="128"/>
      <c r="B1440" s="128"/>
      <c r="C1440" s="128"/>
      <c r="D1440" s="112"/>
      <c r="E1440" s="128"/>
      <c r="F1440" s="128"/>
      <c r="G1440" s="128"/>
      <c r="H1440" s="128"/>
      <c r="I1440" s="128"/>
      <c r="J1440" s="128"/>
      <c r="K1440" s="128"/>
      <c r="L1440" s="128"/>
      <c r="M1440" s="128"/>
      <c r="N1440" s="128"/>
      <c r="O1440" s="128"/>
      <c r="P1440" s="128"/>
      <c r="Q1440" s="128"/>
      <c r="R1440" s="128"/>
      <c r="S1440" s="128"/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  <c r="AV1440" s="128"/>
      <c r="AW1440" s="128"/>
      <c r="AX1440" s="128"/>
      <c r="AY1440" s="128"/>
      <c r="AZ1440" s="128"/>
      <c r="BA1440" s="128"/>
      <c r="BB1440" s="128"/>
      <c r="BC1440" s="128"/>
      <c r="BD1440" s="128"/>
      <c r="BE1440" s="128"/>
      <c r="BF1440" s="128"/>
      <c r="BG1440" s="128"/>
      <c r="BH1440" s="128"/>
      <c r="BI1440" s="128"/>
      <c r="BJ1440" s="128"/>
      <c r="BK1440" s="128"/>
      <c r="BL1440" s="128"/>
      <c r="BM1440" s="151"/>
      <c r="BN1440" s="128"/>
      <c r="BO1440" s="128"/>
      <c r="BP1440" s="128"/>
      <c r="BQ1440" s="128"/>
      <c r="BR1440" s="128"/>
      <c r="BS1440" s="128"/>
      <c r="BT1440" s="128"/>
      <c r="BU1440" s="128"/>
      <c r="BV1440" s="128"/>
      <c r="BW1440" s="128"/>
      <c r="BX1440" s="128"/>
      <c r="BY1440" s="128"/>
      <c r="BZ1440" s="128"/>
      <c r="CA1440" s="128"/>
      <c r="CB1440" s="128"/>
      <c r="CC1440" s="128"/>
      <c r="CD1440" s="128"/>
      <c r="CE1440" s="128"/>
      <c r="CF1440" s="128"/>
      <c r="CG1440" s="128"/>
      <c r="CH1440" s="128"/>
      <c r="CI1440" s="128"/>
      <c r="CJ1440" s="128"/>
      <c r="CK1440" s="128"/>
      <c r="CL1440" s="128"/>
      <c r="CM1440" s="128"/>
      <c r="CN1440" s="128"/>
      <c r="CO1440" s="128"/>
      <c r="CP1440" s="128"/>
      <c r="CQ1440" s="128"/>
      <c r="CR1440" s="128"/>
      <c r="CS1440" s="128"/>
      <c r="CT1440" s="128"/>
      <c r="CU1440" s="128"/>
      <c r="CV1440" s="128"/>
      <c r="CW1440" s="128"/>
      <c r="CX1440" s="128"/>
      <c r="CY1440" s="128"/>
      <c r="CZ1440" s="128"/>
    </row>
    <row r="1441" spans="1:104">
      <c r="A1441" s="128"/>
      <c r="B1441" s="128"/>
      <c r="C1441" s="128"/>
      <c r="D1441" s="112"/>
      <c r="E1441" s="128"/>
      <c r="F1441" s="128"/>
      <c r="G1441" s="128"/>
      <c r="H1441" s="128"/>
      <c r="I1441" s="128"/>
      <c r="J1441" s="128"/>
      <c r="K1441" s="128"/>
      <c r="L1441" s="128"/>
      <c r="M1441" s="128"/>
      <c r="N1441" s="128"/>
      <c r="O1441" s="128"/>
      <c r="P1441" s="128"/>
      <c r="Q1441" s="128"/>
      <c r="R1441" s="128"/>
      <c r="S1441" s="128"/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  <c r="AV1441" s="128"/>
      <c r="AW1441" s="128"/>
      <c r="AX1441" s="128"/>
      <c r="AY1441" s="128"/>
      <c r="AZ1441" s="128"/>
      <c r="BA1441" s="128"/>
      <c r="BB1441" s="128"/>
      <c r="BC1441" s="128"/>
      <c r="BD1441" s="128"/>
      <c r="BE1441" s="128"/>
      <c r="BF1441" s="128"/>
      <c r="BG1441" s="128"/>
      <c r="BH1441" s="128"/>
      <c r="BI1441" s="128"/>
      <c r="BJ1441" s="128"/>
      <c r="BK1441" s="128"/>
      <c r="BL1441" s="128"/>
      <c r="BM1441" s="151"/>
      <c r="BN1441" s="128"/>
      <c r="BO1441" s="128"/>
      <c r="BP1441" s="128"/>
      <c r="BQ1441" s="128"/>
      <c r="BR1441" s="128"/>
      <c r="BS1441" s="128"/>
      <c r="BT1441" s="128"/>
      <c r="BU1441" s="128"/>
      <c r="BV1441" s="128"/>
      <c r="BW1441" s="128"/>
      <c r="BX1441" s="128"/>
      <c r="BY1441" s="128"/>
      <c r="BZ1441" s="128"/>
      <c r="CA1441" s="128"/>
      <c r="CB1441" s="128"/>
      <c r="CC1441" s="128"/>
      <c r="CD1441" s="128"/>
      <c r="CE1441" s="128"/>
      <c r="CF1441" s="128"/>
      <c r="CG1441" s="128"/>
      <c r="CH1441" s="128"/>
      <c r="CI1441" s="128"/>
      <c r="CJ1441" s="128"/>
      <c r="CK1441" s="128"/>
      <c r="CL1441" s="128"/>
      <c r="CM1441" s="128"/>
      <c r="CN1441" s="128"/>
      <c r="CO1441" s="128"/>
      <c r="CP1441" s="128"/>
      <c r="CQ1441" s="128"/>
      <c r="CR1441" s="128"/>
      <c r="CS1441" s="128"/>
      <c r="CT1441" s="128"/>
      <c r="CU1441" s="128"/>
      <c r="CV1441" s="128"/>
      <c r="CW1441" s="128"/>
      <c r="CX1441" s="128"/>
      <c r="CY1441" s="128"/>
      <c r="CZ1441" s="128"/>
    </row>
    <row r="1442" spans="1:104">
      <c r="A1442" s="128"/>
      <c r="B1442" s="128"/>
      <c r="C1442" s="128"/>
      <c r="D1442" s="112"/>
      <c r="E1442" s="128"/>
      <c r="F1442" s="128"/>
      <c r="G1442" s="128"/>
      <c r="H1442" s="128"/>
      <c r="I1442" s="128"/>
      <c r="J1442" s="128"/>
      <c r="K1442" s="128"/>
      <c r="L1442" s="128"/>
      <c r="M1442" s="128"/>
      <c r="N1442" s="128"/>
      <c r="O1442" s="128"/>
      <c r="P1442" s="128"/>
      <c r="Q1442" s="128"/>
      <c r="R1442" s="128"/>
      <c r="S1442" s="128"/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  <c r="AV1442" s="128"/>
      <c r="AW1442" s="128"/>
      <c r="AX1442" s="128"/>
      <c r="AY1442" s="128"/>
      <c r="AZ1442" s="128"/>
      <c r="BA1442" s="128"/>
      <c r="BB1442" s="128"/>
      <c r="BC1442" s="128"/>
      <c r="BD1442" s="128"/>
      <c r="BE1442" s="128"/>
      <c r="BF1442" s="128"/>
      <c r="BG1442" s="128"/>
      <c r="BH1442" s="128"/>
      <c r="BI1442" s="128"/>
      <c r="BJ1442" s="128"/>
      <c r="BK1442" s="128"/>
      <c r="BL1442" s="128"/>
      <c r="BM1442" s="151"/>
      <c r="BN1442" s="128"/>
      <c r="BO1442" s="128"/>
      <c r="BP1442" s="128"/>
      <c r="BQ1442" s="128"/>
      <c r="BR1442" s="128"/>
      <c r="BS1442" s="128"/>
      <c r="BT1442" s="128"/>
      <c r="BU1442" s="128"/>
      <c r="BV1442" s="128"/>
      <c r="BW1442" s="128"/>
      <c r="BX1442" s="128"/>
      <c r="BY1442" s="128"/>
      <c r="BZ1442" s="128"/>
      <c r="CA1442" s="128"/>
      <c r="CB1442" s="128"/>
      <c r="CC1442" s="128"/>
      <c r="CD1442" s="128"/>
      <c r="CE1442" s="128"/>
      <c r="CF1442" s="128"/>
      <c r="CG1442" s="128"/>
      <c r="CH1442" s="128"/>
      <c r="CI1442" s="128"/>
      <c r="CJ1442" s="128"/>
      <c r="CK1442" s="128"/>
      <c r="CL1442" s="128"/>
      <c r="CM1442" s="128"/>
      <c r="CN1442" s="128"/>
      <c r="CO1442" s="128"/>
      <c r="CP1442" s="128"/>
      <c r="CQ1442" s="128"/>
      <c r="CR1442" s="128"/>
      <c r="CS1442" s="128"/>
      <c r="CT1442" s="128"/>
      <c r="CU1442" s="128"/>
      <c r="CV1442" s="128"/>
      <c r="CW1442" s="128"/>
      <c r="CX1442" s="128"/>
      <c r="CY1442" s="128"/>
      <c r="CZ1442" s="128"/>
    </row>
    <row r="1443" spans="1:104">
      <c r="A1443" s="128"/>
      <c r="B1443" s="128"/>
      <c r="C1443" s="128"/>
      <c r="D1443" s="112"/>
      <c r="E1443" s="128"/>
      <c r="F1443" s="128"/>
      <c r="G1443" s="128"/>
      <c r="H1443" s="128"/>
      <c r="I1443" s="128"/>
      <c r="J1443" s="128"/>
      <c r="K1443" s="128"/>
      <c r="L1443" s="128"/>
      <c r="M1443" s="128"/>
      <c r="N1443" s="128"/>
      <c r="O1443" s="128"/>
      <c r="P1443" s="128"/>
      <c r="Q1443" s="128"/>
      <c r="R1443" s="128"/>
      <c r="S1443" s="128"/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  <c r="AV1443" s="128"/>
      <c r="AW1443" s="128"/>
      <c r="AX1443" s="128"/>
      <c r="AY1443" s="128"/>
      <c r="AZ1443" s="128"/>
      <c r="BA1443" s="128"/>
      <c r="BB1443" s="128"/>
      <c r="BC1443" s="128"/>
      <c r="BD1443" s="128"/>
      <c r="BE1443" s="128"/>
      <c r="BF1443" s="128"/>
      <c r="BG1443" s="128"/>
      <c r="BH1443" s="128"/>
      <c r="BI1443" s="128"/>
      <c r="BJ1443" s="128"/>
      <c r="BK1443" s="128"/>
      <c r="BL1443" s="128"/>
      <c r="BM1443" s="151"/>
      <c r="BN1443" s="128"/>
      <c r="BO1443" s="128"/>
      <c r="BP1443" s="128"/>
      <c r="BQ1443" s="128"/>
      <c r="BR1443" s="128"/>
      <c r="BS1443" s="128"/>
      <c r="BT1443" s="128"/>
      <c r="BU1443" s="128"/>
      <c r="BV1443" s="128"/>
      <c r="BW1443" s="128"/>
      <c r="BX1443" s="128"/>
      <c r="BY1443" s="128"/>
      <c r="BZ1443" s="128"/>
      <c r="CA1443" s="128"/>
      <c r="CB1443" s="128"/>
      <c r="CC1443" s="128"/>
      <c r="CD1443" s="128"/>
      <c r="CE1443" s="128"/>
      <c r="CF1443" s="128"/>
      <c r="CG1443" s="128"/>
      <c r="CH1443" s="128"/>
      <c r="CI1443" s="128"/>
      <c r="CJ1443" s="128"/>
      <c r="CK1443" s="128"/>
      <c r="CL1443" s="128"/>
      <c r="CM1443" s="128"/>
      <c r="CN1443" s="128"/>
      <c r="CO1443" s="128"/>
      <c r="CP1443" s="128"/>
      <c r="CQ1443" s="128"/>
      <c r="CR1443" s="128"/>
      <c r="CS1443" s="128"/>
      <c r="CT1443" s="128"/>
      <c r="CU1443" s="128"/>
      <c r="CV1443" s="128"/>
      <c r="CW1443" s="128"/>
      <c r="CX1443" s="128"/>
      <c r="CY1443" s="128"/>
      <c r="CZ1443" s="128"/>
    </row>
    <row r="1444" spans="1:104">
      <c r="A1444" s="128"/>
      <c r="B1444" s="128"/>
      <c r="C1444" s="128"/>
      <c r="D1444" s="112"/>
      <c r="E1444" s="128"/>
      <c r="F1444" s="128"/>
      <c r="G1444" s="128"/>
      <c r="H1444" s="128"/>
      <c r="I1444" s="128"/>
      <c r="J1444" s="128"/>
      <c r="K1444" s="128"/>
      <c r="L1444" s="128"/>
      <c r="M1444" s="128"/>
      <c r="N1444" s="128"/>
      <c r="O1444" s="128"/>
      <c r="P1444" s="128"/>
      <c r="Q1444" s="128"/>
      <c r="R1444" s="128"/>
      <c r="S1444" s="128"/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  <c r="AV1444" s="128"/>
      <c r="AW1444" s="128"/>
      <c r="AX1444" s="128"/>
      <c r="AY1444" s="128"/>
      <c r="AZ1444" s="128"/>
      <c r="BA1444" s="128"/>
      <c r="BB1444" s="128"/>
      <c r="BC1444" s="128"/>
      <c r="BD1444" s="128"/>
      <c r="BE1444" s="128"/>
      <c r="BF1444" s="128"/>
      <c r="BG1444" s="128"/>
      <c r="BH1444" s="128"/>
      <c r="BI1444" s="128"/>
      <c r="BJ1444" s="128"/>
      <c r="BK1444" s="128"/>
      <c r="BL1444" s="128"/>
      <c r="BM1444" s="151"/>
      <c r="BN1444" s="128"/>
      <c r="BO1444" s="128"/>
      <c r="BP1444" s="128"/>
      <c r="BQ1444" s="128"/>
      <c r="BR1444" s="128"/>
      <c r="BS1444" s="128"/>
      <c r="BT1444" s="128"/>
      <c r="BU1444" s="128"/>
      <c r="BV1444" s="128"/>
      <c r="BW1444" s="128"/>
      <c r="BX1444" s="128"/>
      <c r="BY1444" s="128"/>
      <c r="BZ1444" s="128"/>
      <c r="CA1444" s="128"/>
      <c r="CB1444" s="128"/>
      <c r="CC1444" s="128"/>
      <c r="CD1444" s="128"/>
      <c r="CE1444" s="128"/>
      <c r="CF1444" s="128"/>
      <c r="CG1444" s="128"/>
      <c r="CH1444" s="128"/>
      <c r="CI1444" s="128"/>
      <c r="CJ1444" s="128"/>
      <c r="CK1444" s="128"/>
      <c r="CL1444" s="128"/>
      <c r="CM1444" s="128"/>
      <c r="CN1444" s="128"/>
      <c r="CO1444" s="128"/>
      <c r="CP1444" s="128"/>
      <c r="CQ1444" s="128"/>
      <c r="CR1444" s="128"/>
      <c r="CS1444" s="128"/>
      <c r="CT1444" s="128"/>
      <c r="CU1444" s="128"/>
      <c r="CV1444" s="128"/>
      <c r="CW1444" s="128"/>
      <c r="CX1444" s="128"/>
      <c r="CY1444" s="128"/>
      <c r="CZ1444" s="128"/>
    </row>
    <row r="1445" spans="1:104">
      <c r="A1445" s="128"/>
      <c r="B1445" s="128"/>
      <c r="C1445" s="128"/>
      <c r="D1445" s="112"/>
      <c r="E1445" s="128"/>
      <c r="F1445" s="128"/>
      <c r="G1445" s="128"/>
      <c r="H1445" s="128"/>
      <c r="I1445" s="128"/>
      <c r="J1445" s="128"/>
      <c r="K1445" s="128"/>
      <c r="L1445" s="128"/>
      <c r="M1445" s="128"/>
      <c r="N1445" s="128"/>
      <c r="O1445" s="128"/>
      <c r="P1445" s="128"/>
      <c r="Q1445" s="128"/>
      <c r="R1445" s="128"/>
      <c r="S1445" s="128"/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  <c r="AV1445" s="128"/>
      <c r="AW1445" s="128"/>
      <c r="AX1445" s="128"/>
      <c r="AY1445" s="128"/>
      <c r="AZ1445" s="128"/>
      <c r="BA1445" s="128"/>
      <c r="BB1445" s="128"/>
      <c r="BC1445" s="128"/>
      <c r="BD1445" s="128"/>
      <c r="BE1445" s="128"/>
      <c r="BF1445" s="128"/>
      <c r="BG1445" s="128"/>
      <c r="BH1445" s="128"/>
      <c r="BI1445" s="128"/>
      <c r="BJ1445" s="128"/>
      <c r="BK1445" s="128"/>
      <c r="BL1445" s="128"/>
      <c r="BM1445" s="151"/>
      <c r="BN1445" s="128"/>
      <c r="BO1445" s="128"/>
      <c r="BP1445" s="128"/>
      <c r="BQ1445" s="128"/>
      <c r="BR1445" s="128"/>
      <c r="BS1445" s="128"/>
      <c r="BT1445" s="128"/>
      <c r="BU1445" s="128"/>
      <c r="BV1445" s="128"/>
      <c r="BW1445" s="128"/>
      <c r="BX1445" s="128"/>
      <c r="BY1445" s="128"/>
      <c r="BZ1445" s="128"/>
      <c r="CA1445" s="128"/>
      <c r="CB1445" s="128"/>
      <c r="CC1445" s="128"/>
      <c r="CD1445" s="128"/>
      <c r="CE1445" s="128"/>
      <c r="CF1445" s="128"/>
      <c r="CG1445" s="128"/>
      <c r="CH1445" s="128"/>
      <c r="CI1445" s="128"/>
      <c r="CJ1445" s="128"/>
      <c r="CK1445" s="128"/>
      <c r="CL1445" s="128"/>
      <c r="CM1445" s="128"/>
      <c r="CN1445" s="128"/>
      <c r="CO1445" s="128"/>
      <c r="CP1445" s="128"/>
      <c r="CQ1445" s="128"/>
      <c r="CR1445" s="128"/>
      <c r="CS1445" s="128"/>
      <c r="CT1445" s="128"/>
      <c r="CU1445" s="128"/>
      <c r="CV1445" s="128"/>
      <c r="CW1445" s="128"/>
      <c r="CX1445" s="128"/>
      <c r="CY1445" s="128"/>
      <c r="CZ1445" s="128"/>
    </row>
    <row r="1446" spans="1:104">
      <c r="A1446" s="128"/>
      <c r="B1446" s="128"/>
      <c r="C1446" s="128"/>
      <c r="D1446" s="112"/>
      <c r="E1446" s="128"/>
      <c r="F1446" s="128"/>
      <c r="G1446" s="128"/>
      <c r="H1446" s="128"/>
      <c r="I1446" s="128"/>
      <c r="J1446" s="128"/>
      <c r="K1446" s="128"/>
      <c r="L1446" s="128"/>
      <c r="M1446" s="128"/>
      <c r="N1446" s="128"/>
      <c r="O1446" s="128"/>
      <c r="P1446" s="128"/>
      <c r="Q1446" s="128"/>
      <c r="R1446" s="128"/>
      <c r="S1446" s="128"/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  <c r="AV1446" s="128"/>
      <c r="AW1446" s="128"/>
      <c r="AX1446" s="128"/>
      <c r="AY1446" s="128"/>
      <c r="AZ1446" s="128"/>
      <c r="BA1446" s="128"/>
      <c r="BB1446" s="128"/>
      <c r="BC1446" s="128"/>
      <c r="BD1446" s="128"/>
      <c r="BE1446" s="128"/>
      <c r="BF1446" s="128"/>
      <c r="BG1446" s="128"/>
      <c r="BH1446" s="128"/>
      <c r="BI1446" s="128"/>
      <c r="BJ1446" s="128"/>
      <c r="BK1446" s="128"/>
      <c r="BL1446" s="128"/>
      <c r="BM1446" s="151"/>
      <c r="BN1446" s="128"/>
      <c r="BO1446" s="128"/>
      <c r="BP1446" s="128"/>
      <c r="BQ1446" s="128"/>
      <c r="BR1446" s="128"/>
      <c r="BS1446" s="128"/>
      <c r="BT1446" s="128"/>
      <c r="BU1446" s="128"/>
      <c r="BV1446" s="128"/>
      <c r="BW1446" s="128"/>
      <c r="BX1446" s="128"/>
      <c r="BY1446" s="128"/>
      <c r="BZ1446" s="128"/>
      <c r="CA1446" s="128"/>
      <c r="CB1446" s="128"/>
      <c r="CC1446" s="128"/>
      <c r="CD1446" s="128"/>
      <c r="CE1446" s="128"/>
      <c r="CF1446" s="128"/>
      <c r="CG1446" s="128"/>
      <c r="CH1446" s="128"/>
      <c r="CI1446" s="128"/>
      <c r="CJ1446" s="128"/>
      <c r="CK1446" s="128"/>
      <c r="CL1446" s="128"/>
      <c r="CM1446" s="128"/>
      <c r="CN1446" s="128"/>
      <c r="CO1446" s="128"/>
      <c r="CP1446" s="128"/>
      <c r="CQ1446" s="128"/>
      <c r="CR1446" s="128"/>
      <c r="CS1446" s="128"/>
      <c r="CT1446" s="128"/>
      <c r="CU1446" s="128"/>
      <c r="CV1446" s="128"/>
      <c r="CW1446" s="128"/>
      <c r="CX1446" s="128"/>
      <c r="CY1446" s="128"/>
      <c r="CZ1446" s="128"/>
    </row>
    <row r="1447" spans="1:104">
      <c r="A1447" s="128"/>
      <c r="B1447" s="128"/>
      <c r="C1447" s="128"/>
      <c r="D1447" s="112"/>
      <c r="E1447" s="128"/>
      <c r="F1447" s="128"/>
      <c r="G1447" s="128"/>
      <c r="H1447" s="128"/>
      <c r="I1447" s="128"/>
      <c r="J1447" s="128"/>
      <c r="K1447" s="128"/>
      <c r="L1447" s="128"/>
      <c r="M1447" s="128"/>
      <c r="N1447" s="128"/>
      <c r="O1447" s="128"/>
      <c r="P1447" s="128"/>
      <c r="Q1447" s="128"/>
      <c r="R1447" s="128"/>
      <c r="S1447" s="128"/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  <c r="AV1447" s="128"/>
      <c r="AW1447" s="128"/>
      <c r="AX1447" s="128"/>
      <c r="AY1447" s="128"/>
      <c r="AZ1447" s="128"/>
      <c r="BA1447" s="128"/>
      <c r="BB1447" s="128"/>
      <c r="BC1447" s="128"/>
      <c r="BD1447" s="128"/>
      <c r="BE1447" s="128"/>
      <c r="BF1447" s="128"/>
      <c r="BG1447" s="128"/>
      <c r="BH1447" s="128"/>
      <c r="BI1447" s="128"/>
      <c r="BJ1447" s="128"/>
      <c r="BK1447" s="128"/>
      <c r="BL1447" s="128"/>
      <c r="BM1447" s="151"/>
      <c r="BN1447" s="128"/>
      <c r="BO1447" s="128"/>
      <c r="BP1447" s="128"/>
      <c r="BQ1447" s="128"/>
      <c r="BR1447" s="128"/>
      <c r="BS1447" s="128"/>
      <c r="BT1447" s="128"/>
      <c r="BU1447" s="128"/>
      <c r="BV1447" s="128"/>
      <c r="BW1447" s="128"/>
      <c r="BX1447" s="128"/>
      <c r="BY1447" s="128"/>
      <c r="BZ1447" s="128"/>
      <c r="CA1447" s="128"/>
      <c r="CB1447" s="128"/>
      <c r="CC1447" s="128"/>
      <c r="CD1447" s="128"/>
      <c r="CE1447" s="128"/>
      <c r="CF1447" s="128"/>
      <c r="CG1447" s="128"/>
      <c r="CH1447" s="128"/>
      <c r="CI1447" s="128"/>
      <c r="CJ1447" s="128"/>
      <c r="CK1447" s="128"/>
      <c r="CL1447" s="128"/>
      <c r="CM1447" s="128"/>
      <c r="CN1447" s="128"/>
      <c r="CO1447" s="128"/>
      <c r="CP1447" s="128"/>
      <c r="CQ1447" s="128"/>
      <c r="CR1447" s="128"/>
      <c r="CS1447" s="128"/>
      <c r="CT1447" s="128"/>
      <c r="CU1447" s="128"/>
      <c r="CV1447" s="128"/>
      <c r="CW1447" s="128"/>
      <c r="CX1447" s="128"/>
      <c r="CY1447" s="128"/>
      <c r="CZ1447" s="128"/>
    </row>
    <row r="1448" spans="1:104">
      <c r="A1448" s="128"/>
      <c r="B1448" s="128"/>
      <c r="C1448" s="128"/>
      <c r="D1448" s="112"/>
      <c r="E1448" s="128"/>
      <c r="F1448" s="128"/>
      <c r="G1448" s="128"/>
      <c r="H1448" s="128"/>
      <c r="I1448" s="128"/>
      <c r="J1448" s="128"/>
      <c r="K1448" s="128"/>
      <c r="L1448" s="128"/>
      <c r="M1448" s="128"/>
      <c r="N1448" s="128"/>
      <c r="O1448" s="128"/>
      <c r="P1448" s="128"/>
      <c r="Q1448" s="128"/>
      <c r="R1448" s="128"/>
      <c r="S1448" s="128"/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  <c r="AV1448" s="128"/>
      <c r="AW1448" s="128"/>
      <c r="AX1448" s="128"/>
      <c r="AY1448" s="128"/>
      <c r="AZ1448" s="128"/>
      <c r="BA1448" s="128"/>
      <c r="BB1448" s="128"/>
      <c r="BC1448" s="128"/>
      <c r="BD1448" s="128"/>
      <c r="BE1448" s="128"/>
      <c r="BF1448" s="128"/>
      <c r="BG1448" s="128"/>
      <c r="BH1448" s="128"/>
      <c r="BI1448" s="128"/>
      <c r="BJ1448" s="128"/>
      <c r="BK1448" s="128"/>
      <c r="BL1448" s="128"/>
      <c r="BM1448" s="151"/>
      <c r="BN1448" s="128"/>
      <c r="BO1448" s="128"/>
      <c r="BP1448" s="128"/>
      <c r="BQ1448" s="128"/>
      <c r="BR1448" s="128"/>
      <c r="BS1448" s="128"/>
      <c r="BT1448" s="128"/>
      <c r="BU1448" s="128"/>
      <c r="BV1448" s="128"/>
      <c r="BW1448" s="128"/>
      <c r="BX1448" s="128"/>
      <c r="BY1448" s="128"/>
      <c r="BZ1448" s="128"/>
      <c r="CA1448" s="128"/>
      <c r="CB1448" s="128"/>
      <c r="CC1448" s="128"/>
      <c r="CD1448" s="128"/>
      <c r="CE1448" s="128"/>
      <c r="CF1448" s="128"/>
      <c r="CG1448" s="128"/>
      <c r="CH1448" s="128"/>
      <c r="CI1448" s="128"/>
      <c r="CJ1448" s="128"/>
      <c r="CK1448" s="128"/>
      <c r="CL1448" s="128"/>
      <c r="CM1448" s="128"/>
      <c r="CN1448" s="128"/>
      <c r="CO1448" s="128"/>
      <c r="CP1448" s="128"/>
      <c r="CQ1448" s="128"/>
      <c r="CR1448" s="128"/>
      <c r="CS1448" s="128"/>
      <c r="CT1448" s="128"/>
      <c r="CU1448" s="128"/>
      <c r="CV1448" s="128"/>
      <c r="CW1448" s="128"/>
      <c r="CX1448" s="128"/>
      <c r="CY1448" s="128"/>
      <c r="CZ1448" s="128"/>
    </row>
    <row r="1449" spans="1:104">
      <c r="A1449" s="128"/>
      <c r="B1449" s="128"/>
      <c r="C1449" s="128"/>
      <c r="D1449" s="112"/>
      <c r="E1449" s="128"/>
      <c r="F1449" s="128"/>
      <c r="G1449" s="128"/>
      <c r="H1449" s="128"/>
      <c r="I1449" s="128"/>
      <c r="J1449" s="128"/>
      <c r="K1449" s="128"/>
      <c r="L1449" s="128"/>
      <c r="M1449" s="128"/>
      <c r="N1449" s="128"/>
      <c r="O1449" s="128"/>
      <c r="P1449" s="128"/>
      <c r="Q1449" s="128"/>
      <c r="R1449" s="128"/>
      <c r="S1449" s="128"/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  <c r="AV1449" s="128"/>
      <c r="AW1449" s="128"/>
      <c r="AX1449" s="128"/>
      <c r="AY1449" s="128"/>
      <c r="AZ1449" s="128"/>
      <c r="BA1449" s="128"/>
      <c r="BB1449" s="128"/>
      <c r="BC1449" s="128"/>
      <c r="BD1449" s="128"/>
      <c r="BE1449" s="128"/>
      <c r="BF1449" s="128"/>
      <c r="BG1449" s="128"/>
      <c r="BH1449" s="128"/>
      <c r="BI1449" s="128"/>
      <c r="BJ1449" s="128"/>
      <c r="BK1449" s="128"/>
      <c r="BL1449" s="128"/>
      <c r="BM1449" s="151"/>
      <c r="BN1449" s="128"/>
      <c r="BO1449" s="128"/>
      <c r="BP1449" s="128"/>
      <c r="BQ1449" s="128"/>
      <c r="BR1449" s="128"/>
      <c r="BS1449" s="128"/>
      <c r="BT1449" s="128"/>
      <c r="BU1449" s="128"/>
      <c r="BV1449" s="128"/>
      <c r="BW1449" s="128"/>
      <c r="BX1449" s="128"/>
      <c r="BY1449" s="128"/>
      <c r="BZ1449" s="128"/>
      <c r="CA1449" s="128"/>
      <c r="CB1449" s="128"/>
      <c r="CC1449" s="128"/>
      <c r="CD1449" s="128"/>
      <c r="CE1449" s="128"/>
      <c r="CF1449" s="128"/>
      <c r="CG1449" s="128"/>
      <c r="CH1449" s="128"/>
      <c r="CI1449" s="128"/>
      <c r="CJ1449" s="128"/>
      <c r="CK1449" s="128"/>
      <c r="CL1449" s="128"/>
      <c r="CM1449" s="128"/>
      <c r="CN1449" s="128"/>
      <c r="CO1449" s="128"/>
      <c r="CP1449" s="128"/>
      <c r="CQ1449" s="128"/>
      <c r="CR1449" s="128"/>
      <c r="CS1449" s="128"/>
      <c r="CT1449" s="128"/>
      <c r="CU1449" s="128"/>
      <c r="CV1449" s="128"/>
      <c r="CW1449" s="128"/>
      <c r="CX1449" s="128"/>
      <c r="CY1449" s="128"/>
      <c r="CZ1449" s="128"/>
    </row>
    <row r="1450" spans="1:104">
      <c r="A1450" s="128"/>
      <c r="B1450" s="128"/>
      <c r="C1450" s="128"/>
      <c r="D1450" s="112"/>
      <c r="E1450" s="128"/>
      <c r="F1450" s="128"/>
      <c r="G1450" s="128"/>
      <c r="H1450" s="128"/>
      <c r="I1450" s="128"/>
      <c r="J1450" s="128"/>
      <c r="K1450" s="128"/>
      <c r="L1450" s="128"/>
      <c r="M1450" s="128"/>
      <c r="N1450" s="128"/>
      <c r="O1450" s="128"/>
      <c r="P1450" s="128"/>
      <c r="Q1450" s="128"/>
      <c r="R1450" s="128"/>
      <c r="S1450" s="128"/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  <c r="AV1450" s="128"/>
      <c r="AW1450" s="128"/>
      <c r="AX1450" s="128"/>
      <c r="AY1450" s="128"/>
      <c r="AZ1450" s="128"/>
      <c r="BA1450" s="128"/>
      <c r="BB1450" s="128"/>
      <c r="BC1450" s="128"/>
      <c r="BD1450" s="128"/>
      <c r="BE1450" s="128"/>
      <c r="BF1450" s="128"/>
      <c r="BG1450" s="128"/>
      <c r="BH1450" s="128"/>
      <c r="BI1450" s="128"/>
      <c r="BJ1450" s="128"/>
      <c r="BK1450" s="128"/>
      <c r="BL1450" s="128"/>
      <c r="BM1450" s="151"/>
      <c r="BN1450" s="128"/>
      <c r="BO1450" s="128"/>
      <c r="BP1450" s="128"/>
      <c r="BQ1450" s="128"/>
      <c r="BR1450" s="128"/>
      <c r="BS1450" s="128"/>
      <c r="BT1450" s="128"/>
      <c r="BU1450" s="128"/>
      <c r="BV1450" s="128"/>
      <c r="BW1450" s="128"/>
      <c r="BX1450" s="128"/>
      <c r="BY1450" s="128"/>
      <c r="BZ1450" s="128"/>
      <c r="CA1450" s="128"/>
      <c r="CB1450" s="128"/>
      <c r="CC1450" s="128"/>
      <c r="CD1450" s="128"/>
      <c r="CE1450" s="128"/>
      <c r="CF1450" s="128"/>
      <c r="CG1450" s="128"/>
      <c r="CH1450" s="128"/>
      <c r="CI1450" s="128"/>
      <c r="CJ1450" s="128"/>
      <c r="CK1450" s="128"/>
      <c r="CL1450" s="128"/>
      <c r="CM1450" s="128"/>
      <c r="CN1450" s="128"/>
      <c r="CO1450" s="128"/>
      <c r="CP1450" s="128"/>
      <c r="CQ1450" s="128"/>
      <c r="CR1450" s="128"/>
      <c r="CS1450" s="128"/>
      <c r="CT1450" s="128"/>
      <c r="CU1450" s="128"/>
      <c r="CV1450" s="128"/>
      <c r="CW1450" s="128"/>
      <c r="CX1450" s="128"/>
      <c r="CY1450" s="128"/>
      <c r="CZ1450" s="128"/>
    </row>
    <row r="1451" spans="1:104">
      <c r="A1451" s="128"/>
      <c r="B1451" s="128"/>
      <c r="C1451" s="128"/>
      <c r="D1451" s="112"/>
      <c r="E1451" s="128"/>
      <c r="F1451" s="128"/>
      <c r="G1451" s="128"/>
      <c r="H1451" s="128"/>
      <c r="I1451" s="128"/>
      <c r="J1451" s="128"/>
      <c r="K1451" s="128"/>
      <c r="L1451" s="128"/>
      <c r="M1451" s="128"/>
      <c r="N1451" s="128"/>
      <c r="O1451" s="128"/>
      <c r="P1451" s="128"/>
      <c r="Q1451" s="128"/>
      <c r="R1451" s="128"/>
      <c r="S1451" s="128"/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  <c r="AV1451" s="128"/>
      <c r="AW1451" s="128"/>
      <c r="AX1451" s="128"/>
      <c r="AY1451" s="128"/>
      <c r="AZ1451" s="128"/>
      <c r="BA1451" s="128"/>
      <c r="BB1451" s="128"/>
      <c r="BC1451" s="128"/>
      <c r="BD1451" s="128"/>
      <c r="BE1451" s="128"/>
      <c r="BF1451" s="128"/>
      <c r="BG1451" s="128"/>
      <c r="BH1451" s="128"/>
      <c r="BI1451" s="128"/>
      <c r="BJ1451" s="128"/>
      <c r="BK1451" s="128"/>
      <c r="BL1451" s="128"/>
      <c r="BM1451" s="151"/>
      <c r="BN1451" s="128"/>
      <c r="BO1451" s="128"/>
      <c r="BP1451" s="128"/>
      <c r="BQ1451" s="128"/>
      <c r="BR1451" s="128"/>
      <c r="BS1451" s="128"/>
      <c r="BT1451" s="128"/>
      <c r="BU1451" s="128"/>
      <c r="BV1451" s="128"/>
      <c r="BW1451" s="128"/>
      <c r="BX1451" s="128"/>
      <c r="BY1451" s="128"/>
      <c r="BZ1451" s="128"/>
      <c r="CA1451" s="128"/>
      <c r="CB1451" s="128"/>
      <c r="CC1451" s="128"/>
      <c r="CD1451" s="128"/>
      <c r="CE1451" s="128"/>
      <c r="CF1451" s="128"/>
      <c r="CG1451" s="128"/>
      <c r="CH1451" s="128"/>
      <c r="CI1451" s="128"/>
      <c r="CJ1451" s="128"/>
      <c r="CK1451" s="128"/>
      <c r="CL1451" s="128"/>
      <c r="CM1451" s="128"/>
      <c r="CN1451" s="128"/>
      <c r="CO1451" s="128"/>
      <c r="CP1451" s="128"/>
      <c r="CQ1451" s="128"/>
      <c r="CR1451" s="128"/>
      <c r="CS1451" s="128"/>
      <c r="CT1451" s="128"/>
      <c r="CU1451" s="128"/>
      <c r="CV1451" s="128"/>
      <c r="CW1451" s="128"/>
      <c r="CX1451" s="128"/>
      <c r="CY1451" s="128"/>
      <c r="CZ1451" s="128"/>
    </row>
    <row r="1452" spans="1:104">
      <c r="A1452" s="128"/>
      <c r="B1452" s="128"/>
      <c r="C1452" s="128"/>
      <c r="D1452" s="112"/>
      <c r="E1452" s="128"/>
      <c r="F1452" s="128"/>
      <c r="G1452" s="128"/>
      <c r="H1452" s="128"/>
      <c r="I1452" s="128"/>
      <c r="J1452" s="128"/>
      <c r="K1452" s="128"/>
      <c r="L1452" s="128"/>
      <c r="M1452" s="128"/>
      <c r="N1452" s="128"/>
      <c r="O1452" s="128"/>
      <c r="P1452" s="128"/>
      <c r="Q1452" s="128"/>
      <c r="R1452" s="128"/>
      <c r="S1452" s="128"/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  <c r="AV1452" s="128"/>
      <c r="AW1452" s="128"/>
      <c r="AX1452" s="128"/>
      <c r="AY1452" s="128"/>
      <c r="AZ1452" s="128"/>
      <c r="BA1452" s="128"/>
      <c r="BB1452" s="128"/>
      <c r="BC1452" s="128"/>
      <c r="BD1452" s="128"/>
      <c r="BE1452" s="128"/>
      <c r="BF1452" s="128"/>
      <c r="BG1452" s="128"/>
      <c r="BH1452" s="128"/>
      <c r="BI1452" s="128"/>
      <c r="BJ1452" s="128"/>
      <c r="BK1452" s="128"/>
      <c r="BL1452" s="128"/>
      <c r="BM1452" s="151"/>
      <c r="BN1452" s="128"/>
      <c r="BO1452" s="128"/>
      <c r="BP1452" s="128"/>
      <c r="BQ1452" s="128"/>
      <c r="BR1452" s="128"/>
      <c r="BS1452" s="128"/>
      <c r="BT1452" s="128"/>
      <c r="BU1452" s="128"/>
      <c r="BV1452" s="128"/>
      <c r="BW1452" s="128"/>
      <c r="BX1452" s="128"/>
      <c r="BY1452" s="128"/>
      <c r="BZ1452" s="128"/>
      <c r="CA1452" s="128"/>
      <c r="CB1452" s="128"/>
      <c r="CC1452" s="128"/>
      <c r="CD1452" s="128"/>
      <c r="CE1452" s="128"/>
      <c r="CF1452" s="128"/>
      <c r="CG1452" s="128"/>
      <c r="CH1452" s="128"/>
      <c r="CI1452" s="128"/>
      <c r="CJ1452" s="128"/>
      <c r="CK1452" s="128"/>
      <c r="CL1452" s="128"/>
      <c r="CM1452" s="128"/>
      <c r="CN1452" s="128"/>
      <c r="CO1452" s="128"/>
      <c r="CP1452" s="128"/>
      <c r="CQ1452" s="128"/>
      <c r="CR1452" s="128"/>
      <c r="CS1452" s="128"/>
      <c r="CT1452" s="128"/>
      <c r="CU1452" s="128"/>
      <c r="CV1452" s="128"/>
      <c r="CW1452" s="128"/>
      <c r="CX1452" s="128"/>
      <c r="CY1452" s="128"/>
      <c r="CZ1452" s="128"/>
    </row>
    <row r="1453" spans="1:104">
      <c r="A1453" s="128"/>
      <c r="B1453" s="128"/>
      <c r="C1453" s="128"/>
      <c r="D1453" s="112"/>
      <c r="E1453" s="128"/>
      <c r="F1453" s="128"/>
      <c r="G1453" s="128"/>
      <c r="H1453" s="128"/>
      <c r="I1453" s="128"/>
      <c r="J1453" s="128"/>
      <c r="K1453" s="128"/>
      <c r="L1453" s="128"/>
      <c r="M1453" s="128"/>
      <c r="N1453" s="128"/>
      <c r="O1453" s="128"/>
      <c r="P1453" s="128"/>
      <c r="Q1453" s="128"/>
      <c r="R1453" s="128"/>
      <c r="S1453" s="128"/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  <c r="AV1453" s="128"/>
      <c r="AW1453" s="128"/>
      <c r="AX1453" s="128"/>
      <c r="AY1453" s="128"/>
      <c r="AZ1453" s="128"/>
      <c r="BA1453" s="128"/>
      <c r="BB1453" s="128"/>
      <c r="BC1453" s="128"/>
      <c r="BD1453" s="128"/>
      <c r="BE1453" s="128"/>
      <c r="BF1453" s="128"/>
      <c r="BG1453" s="128"/>
      <c r="BH1453" s="128"/>
      <c r="BI1453" s="128"/>
      <c r="BJ1453" s="128"/>
      <c r="BK1453" s="128"/>
      <c r="BL1453" s="128"/>
      <c r="BM1453" s="151"/>
      <c r="BN1453" s="128"/>
      <c r="BO1453" s="128"/>
      <c r="BP1453" s="128"/>
      <c r="BQ1453" s="128"/>
      <c r="BR1453" s="128"/>
      <c r="BS1453" s="128"/>
      <c r="BT1453" s="128"/>
      <c r="BU1453" s="128"/>
      <c r="BV1453" s="128"/>
      <c r="BW1453" s="128"/>
      <c r="BX1453" s="128"/>
      <c r="BY1453" s="128"/>
      <c r="BZ1453" s="128"/>
      <c r="CA1453" s="128"/>
      <c r="CB1453" s="128"/>
      <c r="CC1453" s="128"/>
      <c r="CD1453" s="128"/>
      <c r="CE1453" s="128"/>
      <c r="CF1453" s="128"/>
      <c r="CG1453" s="128"/>
      <c r="CH1453" s="128"/>
      <c r="CI1453" s="128"/>
      <c r="CJ1453" s="128"/>
      <c r="CK1453" s="128"/>
      <c r="CL1453" s="128"/>
      <c r="CM1453" s="128"/>
      <c r="CN1453" s="128"/>
      <c r="CO1453" s="128"/>
      <c r="CP1453" s="128"/>
      <c r="CQ1453" s="128"/>
      <c r="CR1453" s="128"/>
      <c r="CS1453" s="128"/>
      <c r="CT1453" s="128"/>
      <c r="CU1453" s="128"/>
      <c r="CV1453" s="128"/>
      <c r="CW1453" s="128"/>
      <c r="CX1453" s="128"/>
      <c r="CY1453" s="128"/>
      <c r="CZ1453" s="128"/>
    </row>
    <row r="1454" spans="1:104">
      <c r="A1454" s="128"/>
      <c r="B1454" s="128"/>
      <c r="C1454" s="128"/>
      <c r="D1454" s="112"/>
      <c r="E1454" s="128"/>
      <c r="F1454" s="128"/>
      <c r="G1454" s="128"/>
      <c r="H1454" s="128"/>
      <c r="I1454" s="128"/>
      <c r="J1454" s="128"/>
      <c r="K1454" s="128"/>
      <c r="L1454" s="128"/>
      <c r="M1454" s="128"/>
      <c r="N1454" s="128"/>
      <c r="O1454" s="128"/>
      <c r="P1454" s="128"/>
      <c r="Q1454" s="128"/>
      <c r="R1454" s="128"/>
      <c r="S1454" s="128"/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  <c r="AV1454" s="128"/>
      <c r="AW1454" s="128"/>
      <c r="AX1454" s="128"/>
      <c r="AY1454" s="128"/>
      <c r="AZ1454" s="128"/>
      <c r="BA1454" s="128"/>
      <c r="BB1454" s="128"/>
      <c r="BC1454" s="128"/>
      <c r="BD1454" s="128"/>
      <c r="BE1454" s="128"/>
      <c r="BF1454" s="128"/>
      <c r="BG1454" s="128"/>
      <c r="BH1454" s="128"/>
      <c r="BI1454" s="128"/>
      <c r="BJ1454" s="128"/>
      <c r="BK1454" s="128"/>
      <c r="BL1454" s="128"/>
      <c r="BM1454" s="151"/>
      <c r="BN1454" s="128"/>
      <c r="BO1454" s="128"/>
      <c r="BP1454" s="128"/>
      <c r="BQ1454" s="128"/>
      <c r="BR1454" s="128"/>
      <c r="BS1454" s="128"/>
      <c r="BT1454" s="128"/>
      <c r="BU1454" s="128"/>
      <c r="BV1454" s="128"/>
      <c r="BW1454" s="128"/>
      <c r="BX1454" s="128"/>
      <c r="BY1454" s="128"/>
      <c r="BZ1454" s="128"/>
      <c r="CA1454" s="128"/>
      <c r="CB1454" s="128"/>
      <c r="CC1454" s="128"/>
      <c r="CD1454" s="128"/>
      <c r="CE1454" s="128"/>
      <c r="CF1454" s="128"/>
      <c r="CG1454" s="128"/>
      <c r="CH1454" s="128"/>
      <c r="CI1454" s="128"/>
      <c r="CJ1454" s="128"/>
      <c r="CK1454" s="128"/>
      <c r="CL1454" s="128"/>
      <c r="CM1454" s="128"/>
      <c r="CN1454" s="128"/>
      <c r="CO1454" s="128"/>
      <c r="CP1454" s="128"/>
      <c r="CQ1454" s="128"/>
      <c r="CR1454" s="128"/>
      <c r="CS1454" s="128"/>
      <c r="CT1454" s="128"/>
      <c r="CU1454" s="128"/>
      <c r="CV1454" s="128"/>
      <c r="CW1454" s="128"/>
      <c r="CX1454" s="128"/>
      <c r="CY1454" s="128"/>
      <c r="CZ1454" s="128"/>
    </row>
    <row r="1455" spans="1:104">
      <c r="A1455" s="128"/>
      <c r="B1455" s="128"/>
      <c r="C1455" s="128"/>
      <c r="D1455" s="112"/>
      <c r="E1455" s="128"/>
      <c r="F1455" s="128"/>
      <c r="G1455" s="128"/>
      <c r="H1455" s="128"/>
      <c r="I1455" s="128"/>
      <c r="J1455" s="128"/>
      <c r="K1455" s="128"/>
      <c r="L1455" s="128"/>
      <c r="M1455" s="128"/>
      <c r="N1455" s="128"/>
      <c r="O1455" s="128"/>
      <c r="P1455" s="128"/>
      <c r="Q1455" s="128"/>
      <c r="R1455" s="128"/>
      <c r="S1455" s="128"/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  <c r="AV1455" s="128"/>
      <c r="AW1455" s="128"/>
      <c r="AX1455" s="128"/>
      <c r="AY1455" s="128"/>
      <c r="AZ1455" s="128"/>
      <c r="BA1455" s="128"/>
      <c r="BB1455" s="128"/>
      <c r="BC1455" s="128"/>
      <c r="BD1455" s="128"/>
      <c r="BE1455" s="128"/>
      <c r="BF1455" s="128"/>
      <c r="BG1455" s="128"/>
      <c r="BH1455" s="128"/>
      <c r="BI1455" s="128"/>
      <c r="BJ1455" s="128"/>
      <c r="BK1455" s="128"/>
      <c r="BL1455" s="128"/>
      <c r="BM1455" s="151"/>
      <c r="BN1455" s="128"/>
      <c r="BO1455" s="128"/>
      <c r="BP1455" s="128"/>
      <c r="BQ1455" s="128"/>
      <c r="BR1455" s="128"/>
      <c r="BS1455" s="128"/>
      <c r="BT1455" s="128"/>
      <c r="BU1455" s="128"/>
      <c r="BV1455" s="128"/>
      <c r="BW1455" s="128"/>
      <c r="BX1455" s="128"/>
      <c r="BY1455" s="128"/>
      <c r="BZ1455" s="128"/>
      <c r="CA1455" s="128"/>
      <c r="CB1455" s="128"/>
      <c r="CC1455" s="128"/>
      <c r="CD1455" s="128"/>
      <c r="CE1455" s="128"/>
      <c r="CF1455" s="128"/>
      <c r="CG1455" s="128"/>
      <c r="CH1455" s="128"/>
      <c r="CI1455" s="128"/>
      <c r="CJ1455" s="128"/>
      <c r="CK1455" s="128"/>
      <c r="CL1455" s="128"/>
      <c r="CM1455" s="128"/>
      <c r="CN1455" s="128"/>
      <c r="CO1455" s="128"/>
      <c r="CP1455" s="128"/>
      <c r="CQ1455" s="128"/>
      <c r="CR1455" s="128"/>
      <c r="CS1455" s="128"/>
      <c r="CT1455" s="128"/>
      <c r="CU1455" s="128"/>
      <c r="CV1455" s="128"/>
      <c r="CW1455" s="128"/>
      <c r="CX1455" s="128"/>
      <c r="CY1455" s="128"/>
      <c r="CZ1455" s="128"/>
    </row>
    <row r="1456" spans="1:104">
      <c r="A1456" s="128"/>
      <c r="B1456" s="128"/>
      <c r="C1456" s="128"/>
      <c r="D1456" s="112"/>
      <c r="E1456" s="128"/>
      <c r="F1456" s="128"/>
      <c r="G1456" s="128"/>
      <c r="H1456" s="128"/>
      <c r="I1456" s="128"/>
      <c r="J1456" s="128"/>
      <c r="K1456" s="128"/>
      <c r="L1456" s="128"/>
      <c r="M1456" s="128"/>
      <c r="N1456" s="128"/>
      <c r="O1456" s="128"/>
      <c r="P1456" s="128"/>
      <c r="Q1456" s="128"/>
      <c r="R1456" s="128"/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  <c r="AV1456" s="128"/>
      <c r="AW1456" s="128"/>
      <c r="AX1456" s="128"/>
      <c r="AY1456" s="128"/>
      <c r="AZ1456" s="128"/>
      <c r="BA1456" s="128"/>
      <c r="BB1456" s="128"/>
      <c r="BC1456" s="128"/>
      <c r="BD1456" s="128"/>
      <c r="BE1456" s="128"/>
      <c r="BF1456" s="128"/>
      <c r="BG1456" s="128"/>
      <c r="BH1456" s="128"/>
      <c r="BI1456" s="128"/>
      <c r="BJ1456" s="128"/>
      <c r="BK1456" s="128"/>
      <c r="BL1456" s="128"/>
      <c r="BM1456" s="151"/>
      <c r="BN1456" s="128"/>
      <c r="BO1456" s="128"/>
      <c r="BP1456" s="128"/>
      <c r="BQ1456" s="128"/>
      <c r="BR1456" s="128"/>
      <c r="BS1456" s="128"/>
      <c r="BT1456" s="128"/>
      <c r="BU1456" s="128"/>
      <c r="BV1456" s="128"/>
      <c r="BW1456" s="128"/>
      <c r="BX1456" s="128"/>
      <c r="BY1456" s="128"/>
      <c r="BZ1456" s="128"/>
      <c r="CA1456" s="128"/>
      <c r="CB1456" s="128"/>
      <c r="CC1456" s="128"/>
      <c r="CD1456" s="128"/>
      <c r="CE1456" s="128"/>
      <c r="CF1456" s="128"/>
      <c r="CG1456" s="128"/>
      <c r="CH1456" s="128"/>
      <c r="CI1456" s="128"/>
      <c r="CJ1456" s="128"/>
      <c r="CK1456" s="128"/>
      <c r="CL1456" s="128"/>
      <c r="CM1456" s="128"/>
      <c r="CN1456" s="128"/>
      <c r="CO1456" s="128"/>
      <c r="CP1456" s="128"/>
      <c r="CQ1456" s="128"/>
      <c r="CR1456" s="128"/>
      <c r="CS1456" s="128"/>
      <c r="CT1456" s="128"/>
      <c r="CU1456" s="128"/>
      <c r="CV1456" s="128"/>
      <c r="CW1456" s="128"/>
      <c r="CX1456" s="128"/>
      <c r="CY1456" s="128"/>
      <c r="CZ1456" s="128"/>
    </row>
    <row r="1457" spans="1:104">
      <c r="A1457" s="128"/>
      <c r="B1457" s="128"/>
      <c r="C1457" s="128"/>
      <c r="D1457" s="112"/>
      <c r="E1457" s="128"/>
      <c r="F1457" s="128"/>
      <c r="G1457" s="128"/>
      <c r="H1457" s="128"/>
      <c r="I1457" s="128"/>
      <c r="J1457" s="128"/>
      <c r="K1457" s="128"/>
      <c r="L1457" s="128"/>
      <c r="M1457" s="128"/>
      <c r="N1457" s="128"/>
      <c r="O1457" s="128"/>
      <c r="P1457" s="128"/>
      <c r="Q1457" s="128"/>
      <c r="R1457" s="128"/>
      <c r="S1457" s="128"/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  <c r="AV1457" s="128"/>
      <c r="AW1457" s="128"/>
      <c r="AX1457" s="128"/>
      <c r="AY1457" s="128"/>
      <c r="AZ1457" s="128"/>
      <c r="BA1457" s="128"/>
      <c r="BB1457" s="128"/>
      <c r="BC1457" s="128"/>
      <c r="BD1457" s="128"/>
      <c r="BE1457" s="128"/>
      <c r="BF1457" s="128"/>
      <c r="BG1457" s="128"/>
      <c r="BH1457" s="128"/>
      <c r="BI1457" s="128"/>
      <c r="BJ1457" s="128"/>
      <c r="BK1457" s="128"/>
      <c r="BL1457" s="128"/>
      <c r="BM1457" s="151"/>
      <c r="BN1457" s="128"/>
      <c r="BO1457" s="128"/>
      <c r="BP1457" s="128"/>
      <c r="BQ1457" s="128"/>
      <c r="BR1457" s="128"/>
      <c r="BS1457" s="128"/>
      <c r="BT1457" s="128"/>
      <c r="BU1457" s="128"/>
      <c r="BV1457" s="128"/>
      <c r="BW1457" s="128"/>
      <c r="BX1457" s="128"/>
      <c r="BY1457" s="128"/>
      <c r="BZ1457" s="128"/>
      <c r="CA1457" s="128"/>
      <c r="CB1457" s="128"/>
      <c r="CC1457" s="128"/>
      <c r="CD1457" s="128"/>
      <c r="CE1457" s="128"/>
      <c r="CF1457" s="128"/>
      <c r="CG1457" s="128"/>
      <c r="CH1457" s="128"/>
      <c r="CI1457" s="128"/>
      <c r="CJ1457" s="128"/>
      <c r="CK1457" s="128"/>
      <c r="CL1457" s="128"/>
      <c r="CM1457" s="128"/>
      <c r="CN1457" s="128"/>
      <c r="CO1457" s="128"/>
      <c r="CP1457" s="128"/>
      <c r="CQ1457" s="128"/>
      <c r="CR1457" s="128"/>
      <c r="CS1457" s="128"/>
      <c r="CT1457" s="128"/>
      <c r="CU1457" s="128"/>
      <c r="CV1457" s="128"/>
      <c r="CW1457" s="128"/>
      <c r="CX1457" s="128"/>
      <c r="CY1457" s="128"/>
      <c r="CZ1457" s="128"/>
    </row>
    <row r="1458" spans="1:104">
      <c r="A1458" s="128"/>
      <c r="B1458" s="128"/>
      <c r="C1458" s="128"/>
      <c r="D1458" s="112"/>
      <c r="E1458" s="128"/>
      <c r="F1458" s="128"/>
      <c r="G1458" s="128"/>
      <c r="H1458" s="128"/>
      <c r="I1458" s="128"/>
      <c r="J1458" s="128"/>
      <c r="K1458" s="128"/>
      <c r="L1458" s="128"/>
      <c r="M1458" s="128"/>
      <c r="N1458" s="128"/>
      <c r="O1458" s="128"/>
      <c r="P1458" s="128"/>
      <c r="Q1458" s="128"/>
      <c r="R1458" s="128"/>
      <c r="S1458" s="128"/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  <c r="AV1458" s="128"/>
      <c r="AW1458" s="128"/>
      <c r="AX1458" s="128"/>
      <c r="AY1458" s="128"/>
      <c r="AZ1458" s="128"/>
      <c r="BA1458" s="128"/>
      <c r="BB1458" s="128"/>
      <c r="BC1458" s="128"/>
      <c r="BD1458" s="128"/>
      <c r="BE1458" s="128"/>
      <c r="BF1458" s="128"/>
      <c r="BG1458" s="128"/>
      <c r="BH1458" s="128"/>
      <c r="BI1458" s="128"/>
      <c r="BJ1458" s="128"/>
      <c r="BK1458" s="128"/>
      <c r="BL1458" s="128"/>
      <c r="BM1458" s="151"/>
      <c r="BN1458" s="128"/>
      <c r="BO1458" s="128"/>
      <c r="BP1458" s="128"/>
      <c r="BQ1458" s="128"/>
      <c r="BR1458" s="128"/>
      <c r="BS1458" s="128"/>
      <c r="BT1458" s="128"/>
      <c r="BU1458" s="128"/>
      <c r="BV1458" s="128"/>
      <c r="BW1458" s="128"/>
      <c r="BX1458" s="128"/>
      <c r="BY1458" s="128"/>
      <c r="BZ1458" s="128"/>
      <c r="CA1458" s="128"/>
      <c r="CB1458" s="128"/>
      <c r="CC1458" s="128"/>
      <c r="CD1458" s="128"/>
      <c r="CE1458" s="128"/>
      <c r="CF1458" s="128"/>
      <c r="CG1458" s="128"/>
      <c r="CH1458" s="128"/>
      <c r="CI1458" s="128"/>
      <c r="CJ1458" s="128"/>
      <c r="CK1458" s="128"/>
      <c r="CL1458" s="128"/>
      <c r="CM1458" s="128"/>
      <c r="CN1458" s="128"/>
      <c r="CO1458" s="128"/>
      <c r="CP1458" s="128"/>
      <c r="CQ1458" s="128"/>
      <c r="CR1458" s="128"/>
      <c r="CS1458" s="128"/>
      <c r="CT1458" s="128"/>
      <c r="CU1458" s="128"/>
      <c r="CV1458" s="128"/>
      <c r="CW1458" s="128"/>
      <c r="CX1458" s="128"/>
      <c r="CY1458" s="128"/>
      <c r="CZ1458" s="128"/>
    </row>
    <row r="1459" spans="1:104">
      <c r="A1459" s="128"/>
      <c r="B1459" s="128"/>
      <c r="C1459" s="128"/>
      <c r="D1459" s="112"/>
      <c r="E1459" s="128"/>
      <c r="F1459" s="128"/>
      <c r="G1459" s="128"/>
      <c r="H1459" s="128"/>
      <c r="I1459" s="128"/>
      <c r="J1459" s="128"/>
      <c r="K1459" s="128"/>
      <c r="L1459" s="128"/>
      <c r="M1459" s="128"/>
      <c r="N1459" s="128"/>
      <c r="O1459" s="128"/>
      <c r="P1459" s="128"/>
      <c r="Q1459" s="128"/>
      <c r="R1459" s="128"/>
      <c r="S1459" s="128"/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  <c r="AV1459" s="128"/>
      <c r="AW1459" s="128"/>
      <c r="AX1459" s="128"/>
      <c r="AY1459" s="128"/>
      <c r="AZ1459" s="128"/>
      <c r="BA1459" s="128"/>
      <c r="BB1459" s="128"/>
      <c r="BC1459" s="128"/>
      <c r="BD1459" s="128"/>
      <c r="BE1459" s="128"/>
      <c r="BF1459" s="128"/>
      <c r="BG1459" s="128"/>
      <c r="BH1459" s="128"/>
      <c r="BI1459" s="128"/>
      <c r="BJ1459" s="128"/>
      <c r="BK1459" s="128"/>
      <c r="BL1459" s="128"/>
      <c r="BM1459" s="151"/>
      <c r="BN1459" s="128"/>
      <c r="BO1459" s="128"/>
      <c r="BP1459" s="128"/>
      <c r="BQ1459" s="128"/>
      <c r="BR1459" s="128"/>
      <c r="BS1459" s="128"/>
      <c r="BT1459" s="128"/>
      <c r="BU1459" s="128"/>
      <c r="BV1459" s="128"/>
      <c r="BW1459" s="128"/>
      <c r="BX1459" s="128"/>
      <c r="BY1459" s="128"/>
      <c r="BZ1459" s="128"/>
      <c r="CA1459" s="128"/>
      <c r="CB1459" s="128"/>
      <c r="CC1459" s="128"/>
      <c r="CD1459" s="128"/>
      <c r="CE1459" s="128"/>
      <c r="CF1459" s="128"/>
      <c r="CG1459" s="128"/>
      <c r="CH1459" s="128"/>
      <c r="CI1459" s="128"/>
      <c r="CJ1459" s="128"/>
      <c r="CK1459" s="128"/>
      <c r="CL1459" s="128"/>
      <c r="CM1459" s="128"/>
      <c r="CN1459" s="128"/>
      <c r="CO1459" s="128"/>
      <c r="CP1459" s="128"/>
      <c r="CQ1459" s="128"/>
      <c r="CR1459" s="128"/>
      <c r="CS1459" s="128"/>
      <c r="CT1459" s="128"/>
      <c r="CU1459" s="128"/>
      <c r="CV1459" s="128"/>
      <c r="CW1459" s="128"/>
      <c r="CX1459" s="128"/>
      <c r="CY1459" s="128"/>
      <c r="CZ1459" s="128"/>
    </row>
    <row r="1460" spans="1:104">
      <c r="A1460" s="128"/>
      <c r="B1460" s="128"/>
      <c r="C1460" s="128"/>
      <c r="D1460" s="112"/>
      <c r="E1460" s="128"/>
      <c r="F1460" s="128"/>
      <c r="G1460" s="128"/>
      <c r="H1460" s="128"/>
      <c r="I1460" s="128"/>
      <c r="J1460" s="128"/>
      <c r="K1460" s="128"/>
      <c r="L1460" s="128"/>
      <c r="M1460" s="128"/>
      <c r="N1460" s="128"/>
      <c r="O1460" s="128"/>
      <c r="P1460" s="128"/>
      <c r="Q1460" s="128"/>
      <c r="R1460" s="128"/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  <c r="AV1460" s="128"/>
      <c r="AW1460" s="128"/>
      <c r="AX1460" s="128"/>
      <c r="AY1460" s="128"/>
      <c r="AZ1460" s="128"/>
      <c r="BA1460" s="128"/>
      <c r="BB1460" s="128"/>
      <c r="BC1460" s="128"/>
      <c r="BD1460" s="128"/>
      <c r="BE1460" s="128"/>
      <c r="BF1460" s="128"/>
      <c r="BG1460" s="128"/>
      <c r="BH1460" s="128"/>
      <c r="BI1460" s="128"/>
      <c r="BJ1460" s="128"/>
      <c r="BK1460" s="128"/>
      <c r="BL1460" s="128"/>
      <c r="BM1460" s="151"/>
      <c r="BN1460" s="128"/>
      <c r="BO1460" s="128"/>
      <c r="BP1460" s="128"/>
      <c r="BQ1460" s="128"/>
      <c r="BR1460" s="128"/>
      <c r="BS1460" s="128"/>
      <c r="BT1460" s="128"/>
      <c r="BU1460" s="128"/>
      <c r="BV1460" s="128"/>
      <c r="BW1460" s="128"/>
      <c r="BX1460" s="128"/>
      <c r="BY1460" s="128"/>
      <c r="BZ1460" s="128"/>
      <c r="CA1460" s="128"/>
      <c r="CB1460" s="128"/>
      <c r="CC1460" s="128"/>
      <c r="CD1460" s="128"/>
      <c r="CE1460" s="128"/>
      <c r="CF1460" s="128"/>
      <c r="CG1460" s="128"/>
      <c r="CH1460" s="128"/>
      <c r="CI1460" s="128"/>
      <c r="CJ1460" s="128"/>
      <c r="CK1460" s="128"/>
      <c r="CL1460" s="128"/>
      <c r="CM1460" s="128"/>
      <c r="CN1460" s="128"/>
      <c r="CO1460" s="128"/>
      <c r="CP1460" s="128"/>
      <c r="CQ1460" s="128"/>
      <c r="CR1460" s="128"/>
      <c r="CS1460" s="128"/>
      <c r="CT1460" s="128"/>
      <c r="CU1460" s="128"/>
      <c r="CV1460" s="128"/>
      <c r="CW1460" s="128"/>
      <c r="CX1460" s="128"/>
      <c r="CY1460" s="128"/>
      <c r="CZ1460" s="128"/>
    </row>
    <row r="1461" spans="1:104">
      <c r="A1461" s="128"/>
      <c r="B1461" s="128"/>
      <c r="C1461" s="128"/>
      <c r="D1461" s="112"/>
      <c r="E1461" s="128"/>
      <c r="F1461" s="128"/>
      <c r="G1461" s="128"/>
      <c r="H1461" s="128"/>
      <c r="I1461" s="128"/>
      <c r="J1461" s="128"/>
      <c r="K1461" s="128"/>
      <c r="L1461" s="128"/>
      <c r="M1461" s="128"/>
      <c r="N1461" s="128"/>
      <c r="O1461" s="128"/>
      <c r="P1461" s="128"/>
      <c r="Q1461" s="128"/>
      <c r="R1461" s="128"/>
      <c r="S1461" s="128"/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  <c r="AV1461" s="128"/>
      <c r="AW1461" s="128"/>
      <c r="AX1461" s="128"/>
      <c r="AY1461" s="128"/>
      <c r="AZ1461" s="128"/>
      <c r="BA1461" s="128"/>
      <c r="BB1461" s="128"/>
      <c r="BC1461" s="128"/>
      <c r="BD1461" s="128"/>
      <c r="BE1461" s="128"/>
      <c r="BF1461" s="128"/>
      <c r="BG1461" s="128"/>
      <c r="BH1461" s="128"/>
      <c r="BI1461" s="128"/>
      <c r="BJ1461" s="128"/>
      <c r="BK1461" s="128"/>
      <c r="BL1461" s="128"/>
      <c r="BM1461" s="151"/>
      <c r="BN1461" s="128"/>
      <c r="BO1461" s="128"/>
      <c r="BP1461" s="128"/>
      <c r="BQ1461" s="128"/>
      <c r="BR1461" s="128"/>
      <c r="BS1461" s="128"/>
      <c r="BT1461" s="128"/>
      <c r="BU1461" s="128"/>
      <c r="BV1461" s="128"/>
      <c r="BW1461" s="128"/>
      <c r="BX1461" s="128"/>
      <c r="BY1461" s="128"/>
      <c r="BZ1461" s="128"/>
      <c r="CA1461" s="128"/>
      <c r="CB1461" s="128"/>
      <c r="CC1461" s="128"/>
      <c r="CD1461" s="128"/>
      <c r="CE1461" s="128"/>
      <c r="CF1461" s="128"/>
      <c r="CG1461" s="128"/>
      <c r="CH1461" s="128"/>
      <c r="CI1461" s="128"/>
      <c r="CJ1461" s="128"/>
      <c r="CK1461" s="128"/>
      <c r="CL1461" s="128"/>
      <c r="CM1461" s="128"/>
      <c r="CN1461" s="128"/>
      <c r="CO1461" s="128"/>
      <c r="CP1461" s="128"/>
      <c r="CQ1461" s="128"/>
      <c r="CR1461" s="128"/>
      <c r="CS1461" s="128"/>
      <c r="CT1461" s="128"/>
      <c r="CU1461" s="128"/>
      <c r="CV1461" s="128"/>
      <c r="CW1461" s="128"/>
      <c r="CX1461" s="128"/>
      <c r="CY1461" s="128"/>
      <c r="CZ1461" s="128"/>
    </row>
    <row r="1462" spans="1:104">
      <c r="A1462" s="128"/>
      <c r="B1462" s="128"/>
      <c r="C1462" s="128"/>
      <c r="D1462" s="112"/>
      <c r="E1462" s="128"/>
      <c r="F1462" s="128"/>
      <c r="G1462" s="128"/>
      <c r="H1462" s="128"/>
      <c r="I1462" s="128"/>
      <c r="J1462" s="128"/>
      <c r="K1462" s="128"/>
      <c r="L1462" s="128"/>
      <c r="M1462" s="128"/>
      <c r="N1462" s="128"/>
      <c r="O1462" s="128"/>
      <c r="P1462" s="128"/>
      <c r="Q1462" s="128"/>
      <c r="R1462" s="128"/>
      <c r="S1462" s="128"/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  <c r="AV1462" s="128"/>
      <c r="AW1462" s="128"/>
      <c r="AX1462" s="128"/>
      <c r="AY1462" s="128"/>
      <c r="AZ1462" s="128"/>
      <c r="BA1462" s="128"/>
      <c r="BB1462" s="128"/>
      <c r="BC1462" s="128"/>
      <c r="BD1462" s="128"/>
      <c r="BE1462" s="128"/>
      <c r="BF1462" s="128"/>
      <c r="BG1462" s="128"/>
      <c r="BH1462" s="128"/>
      <c r="BI1462" s="128"/>
      <c r="BJ1462" s="128"/>
      <c r="BK1462" s="128"/>
      <c r="BL1462" s="128"/>
      <c r="BM1462" s="151"/>
      <c r="BN1462" s="128"/>
      <c r="BO1462" s="128"/>
      <c r="BP1462" s="128"/>
      <c r="BQ1462" s="128"/>
      <c r="BR1462" s="128"/>
      <c r="BS1462" s="128"/>
      <c r="BT1462" s="128"/>
      <c r="BU1462" s="128"/>
      <c r="BV1462" s="128"/>
      <c r="BW1462" s="128"/>
      <c r="BX1462" s="128"/>
      <c r="BY1462" s="128"/>
      <c r="BZ1462" s="128"/>
      <c r="CA1462" s="128"/>
      <c r="CB1462" s="128"/>
      <c r="CC1462" s="128"/>
      <c r="CD1462" s="128"/>
      <c r="CE1462" s="128"/>
      <c r="CF1462" s="128"/>
      <c r="CG1462" s="128"/>
      <c r="CH1462" s="128"/>
      <c r="CI1462" s="128"/>
      <c r="CJ1462" s="128"/>
      <c r="CK1462" s="128"/>
      <c r="CL1462" s="128"/>
      <c r="CM1462" s="128"/>
      <c r="CN1462" s="128"/>
      <c r="CO1462" s="128"/>
      <c r="CP1462" s="128"/>
      <c r="CQ1462" s="128"/>
      <c r="CR1462" s="128"/>
      <c r="CS1462" s="128"/>
      <c r="CT1462" s="128"/>
      <c r="CU1462" s="128"/>
      <c r="CV1462" s="128"/>
      <c r="CW1462" s="128"/>
      <c r="CX1462" s="128"/>
      <c r="CY1462" s="128"/>
      <c r="CZ1462" s="128"/>
    </row>
    <row r="1463" spans="1:104">
      <c r="A1463" s="128"/>
      <c r="B1463" s="128"/>
      <c r="C1463" s="128"/>
      <c r="D1463" s="112"/>
      <c r="E1463" s="128"/>
      <c r="F1463" s="128"/>
      <c r="G1463" s="128"/>
      <c r="H1463" s="128"/>
      <c r="I1463" s="128"/>
      <c r="J1463" s="128"/>
      <c r="K1463" s="128"/>
      <c r="L1463" s="128"/>
      <c r="M1463" s="128"/>
      <c r="N1463" s="128"/>
      <c r="O1463" s="128"/>
      <c r="P1463" s="128"/>
      <c r="Q1463" s="128"/>
      <c r="R1463" s="128"/>
      <c r="S1463" s="128"/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  <c r="AV1463" s="128"/>
      <c r="AW1463" s="128"/>
      <c r="AX1463" s="128"/>
      <c r="AY1463" s="128"/>
      <c r="AZ1463" s="128"/>
      <c r="BA1463" s="128"/>
      <c r="BB1463" s="128"/>
      <c r="BC1463" s="128"/>
      <c r="BD1463" s="128"/>
      <c r="BE1463" s="128"/>
      <c r="BF1463" s="128"/>
      <c r="BG1463" s="128"/>
      <c r="BH1463" s="128"/>
      <c r="BI1463" s="128"/>
      <c r="BJ1463" s="128"/>
      <c r="BK1463" s="128"/>
      <c r="BL1463" s="128"/>
      <c r="BM1463" s="151"/>
      <c r="BN1463" s="128"/>
      <c r="BO1463" s="128"/>
      <c r="BP1463" s="128"/>
      <c r="BQ1463" s="128"/>
      <c r="BR1463" s="128"/>
      <c r="BS1463" s="128"/>
      <c r="BT1463" s="128"/>
      <c r="BU1463" s="128"/>
      <c r="BV1463" s="128"/>
      <c r="BW1463" s="128"/>
      <c r="BX1463" s="128"/>
      <c r="BY1463" s="128"/>
      <c r="BZ1463" s="128"/>
      <c r="CA1463" s="128"/>
      <c r="CB1463" s="128"/>
      <c r="CC1463" s="128"/>
      <c r="CD1463" s="128"/>
      <c r="CE1463" s="128"/>
      <c r="CF1463" s="128"/>
      <c r="CG1463" s="128"/>
      <c r="CH1463" s="128"/>
      <c r="CI1463" s="128"/>
      <c r="CJ1463" s="128"/>
      <c r="CK1463" s="128"/>
      <c r="CL1463" s="128"/>
      <c r="CM1463" s="128"/>
      <c r="CN1463" s="128"/>
      <c r="CO1463" s="128"/>
      <c r="CP1463" s="128"/>
      <c r="CQ1463" s="128"/>
      <c r="CR1463" s="128"/>
      <c r="CS1463" s="128"/>
      <c r="CT1463" s="128"/>
      <c r="CU1463" s="128"/>
      <c r="CV1463" s="128"/>
      <c r="CW1463" s="128"/>
      <c r="CX1463" s="128"/>
      <c r="CY1463" s="128"/>
      <c r="CZ1463" s="128"/>
    </row>
    <row r="1464" spans="1:104">
      <c r="A1464" s="128"/>
      <c r="B1464" s="128"/>
      <c r="C1464" s="128"/>
      <c r="D1464" s="112"/>
      <c r="E1464" s="128"/>
      <c r="F1464" s="128"/>
      <c r="G1464" s="128"/>
      <c r="H1464" s="128"/>
      <c r="I1464" s="128"/>
      <c r="J1464" s="128"/>
      <c r="K1464" s="128"/>
      <c r="L1464" s="128"/>
      <c r="M1464" s="128"/>
      <c r="N1464" s="128"/>
      <c r="O1464" s="128"/>
      <c r="P1464" s="128"/>
      <c r="Q1464" s="128"/>
      <c r="R1464" s="128"/>
      <c r="S1464" s="128"/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  <c r="AV1464" s="128"/>
      <c r="AW1464" s="128"/>
      <c r="AX1464" s="128"/>
      <c r="AY1464" s="128"/>
      <c r="AZ1464" s="128"/>
      <c r="BA1464" s="128"/>
      <c r="BB1464" s="128"/>
      <c r="BC1464" s="128"/>
      <c r="BD1464" s="128"/>
      <c r="BE1464" s="128"/>
      <c r="BF1464" s="128"/>
      <c r="BG1464" s="128"/>
      <c r="BH1464" s="128"/>
      <c r="BI1464" s="128"/>
      <c r="BJ1464" s="128"/>
      <c r="BK1464" s="128"/>
      <c r="BL1464" s="128"/>
      <c r="BM1464" s="151"/>
      <c r="BN1464" s="128"/>
      <c r="BO1464" s="128"/>
      <c r="BP1464" s="128"/>
      <c r="BQ1464" s="128"/>
      <c r="BR1464" s="128"/>
      <c r="BS1464" s="128"/>
      <c r="BT1464" s="128"/>
      <c r="BU1464" s="128"/>
      <c r="BV1464" s="128"/>
      <c r="BW1464" s="128"/>
      <c r="BX1464" s="128"/>
      <c r="BY1464" s="128"/>
      <c r="BZ1464" s="128"/>
      <c r="CA1464" s="128"/>
      <c r="CB1464" s="128"/>
      <c r="CC1464" s="128"/>
      <c r="CD1464" s="128"/>
      <c r="CE1464" s="128"/>
      <c r="CF1464" s="128"/>
      <c r="CG1464" s="128"/>
      <c r="CH1464" s="128"/>
      <c r="CI1464" s="128"/>
      <c r="CJ1464" s="128"/>
      <c r="CK1464" s="128"/>
      <c r="CL1464" s="128"/>
      <c r="CM1464" s="128"/>
      <c r="CN1464" s="128"/>
      <c r="CO1464" s="128"/>
      <c r="CP1464" s="128"/>
      <c r="CQ1464" s="128"/>
      <c r="CR1464" s="128"/>
      <c r="CS1464" s="128"/>
      <c r="CT1464" s="128"/>
      <c r="CU1464" s="128"/>
      <c r="CV1464" s="128"/>
      <c r="CW1464" s="128"/>
      <c r="CX1464" s="128"/>
      <c r="CY1464" s="128"/>
      <c r="CZ1464" s="128"/>
    </row>
    <row r="1465" spans="1:104">
      <c r="A1465" s="128"/>
      <c r="B1465" s="128"/>
      <c r="C1465" s="128"/>
      <c r="D1465" s="112"/>
      <c r="E1465" s="128"/>
      <c r="F1465" s="128"/>
      <c r="G1465" s="128"/>
      <c r="H1465" s="128"/>
      <c r="I1465" s="128"/>
      <c r="J1465" s="128"/>
      <c r="K1465" s="128"/>
      <c r="L1465" s="128"/>
      <c r="M1465" s="128"/>
      <c r="N1465" s="128"/>
      <c r="O1465" s="128"/>
      <c r="P1465" s="128"/>
      <c r="Q1465" s="128"/>
      <c r="R1465" s="128"/>
      <c r="S1465" s="128"/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  <c r="AV1465" s="128"/>
      <c r="AW1465" s="128"/>
      <c r="AX1465" s="128"/>
      <c r="AY1465" s="128"/>
      <c r="AZ1465" s="128"/>
      <c r="BA1465" s="128"/>
      <c r="BB1465" s="128"/>
      <c r="BC1465" s="128"/>
      <c r="BD1465" s="128"/>
      <c r="BE1465" s="128"/>
      <c r="BF1465" s="128"/>
      <c r="BG1465" s="128"/>
      <c r="BH1465" s="128"/>
      <c r="BI1465" s="128"/>
      <c r="BJ1465" s="128"/>
      <c r="BK1465" s="128"/>
      <c r="BL1465" s="128"/>
      <c r="BM1465" s="151"/>
      <c r="BN1465" s="128"/>
      <c r="BO1465" s="128"/>
      <c r="BP1465" s="128"/>
      <c r="BQ1465" s="128"/>
      <c r="BR1465" s="128"/>
      <c r="BS1465" s="128"/>
      <c r="BT1465" s="128"/>
      <c r="BU1465" s="128"/>
      <c r="BV1465" s="128"/>
      <c r="BW1465" s="128"/>
      <c r="BX1465" s="128"/>
      <c r="BY1465" s="128"/>
      <c r="BZ1465" s="128"/>
      <c r="CA1465" s="128"/>
      <c r="CB1465" s="128"/>
      <c r="CC1465" s="128"/>
      <c r="CD1465" s="128"/>
      <c r="CE1465" s="128"/>
      <c r="CF1465" s="128"/>
      <c r="CG1465" s="128"/>
      <c r="CH1465" s="128"/>
      <c r="CI1465" s="128"/>
      <c r="CJ1465" s="128"/>
      <c r="CK1465" s="128"/>
      <c r="CL1465" s="128"/>
      <c r="CM1465" s="128"/>
      <c r="CN1465" s="128"/>
      <c r="CO1465" s="128"/>
      <c r="CP1465" s="128"/>
      <c r="CQ1465" s="128"/>
      <c r="CR1465" s="128"/>
      <c r="CS1465" s="128"/>
      <c r="CT1465" s="128"/>
      <c r="CU1465" s="128"/>
      <c r="CV1465" s="128"/>
      <c r="CW1465" s="128"/>
      <c r="CX1465" s="128"/>
      <c r="CY1465" s="128"/>
      <c r="CZ1465" s="128"/>
    </row>
    <row r="1466" spans="1:104">
      <c r="A1466" s="128"/>
      <c r="B1466" s="128"/>
      <c r="C1466" s="128"/>
      <c r="D1466" s="112"/>
      <c r="E1466" s="128"/>
      <c r="F1466" s="128"/>
      <c r="G1466" s="128"/>
      <c r="H1466" s="128"/>
      <c r="I1466" s="128"/>
      <c r="J1466" s="128"/>
      <c r="K1466" s="128"/>
      <c r="L1466" s="128"/>
      <c r="M1466" s="128"/>
      <c r="N1466" s="128"/>
      <c r="O1466" s="128"/>
      <c r="P1466" s="128"/>
      <c r="Q1466" s="128"/>
      <c r="R1466" s="128"/>
      <c r="S1466" s="128"/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  <c r="AV1466" s="128"/>
      <c r="AW1466" s="128"/>
      <c r="AX1466" s="128"/>
      <c r="AY1466" s="128"/>
      <c r="AZ1466" s="128"/>
      <c r="BA1466" s="128"/>
      <c r="BB1466" s="128"/>
      <c r="BC1466" s="128"/>
      <c r="BD1466" s="128"/>
      <c r="BE1466" s="128"/>
      <c r="BF1466" s="128"/>
      <c r="BG1466" s="128"/>
      <c r="BH1466" s="128"/>
      <c r="BI1466" s="128"/>
      <c r="BJ1466" s="128"/>
      <c r="BK1466" s="128"/>
      <c r="BL1466" s="128"/>
      <c r="BM1466" s="151"/>
      <c r="BN1466" s="128"/>
      <c r="BO1466" s="128"/>
      <c r="BP1466" s="128"/>
      <c r="BQ1466" s="128"/>
      <c r="BR1466" s="128"/>
      <c r="BS1466" s="128"/>
      <c r="BT1466" s="128"/>
      <c r="BU1466" s="128"/>
      <c r="BV1466" s="128"/>
      <c r="BW1466" s="128"/>
      <c r="BX1466" s="128"/>
      <c r="BY1466" s="128"/>
      <c r="BZ1466" s="128"/>
      <c r="CA1466" s="128"/>
      <c r="CB1466" s="128"/>
      <c r="CC1466" s="128"/>
      <c r="CD1466" s="128"/>
      <c r="CE1466" s="128"/>
      <c r="CF1466" s="128"/>
      <c r="CG1466" s="128"/>
      <c r="CH1466" s="128"/>
      <c r="CI1466" s="128"/>
      <c r="CJ1466" s="128"/>
      <c r="CK1466" s="128"/>
      <c r="CL1466" s="128"/>
      <c r="CM1466" s="128"/>
      <c r="CN1466" s="128"/>
      <c r="CO1466" s="128"/>
      <c r="CP1466" s="128"/>
      <c r="CQ1466" s="128"/>
      <c r="CR1466" s="128"/>
      <c r="CS1466" s="128"/>
      <c r="CT1466" s="128"/>
      <c r="CU1466" s="128"/>
      <c r="CV1466" s="128"/>
      <c r="CW1466" s="128"/>
      <c r="CX1466" s="128"/>
      <c r="CY1466" s="128"/>
      <c r="CZ1466" s="128"/>
    </row>
    <row r="1467" spans="1:104">
      <c r="A1467" s="128"/>
      <c r="B1467" s="128"/>
      <c r="C1467" s="128"/>
      <c r="D1467" s="112"/>
      <c r="E1467" s="128"/>
      <c r="F1467" s="128"/>
      <c r="G1467" s="128"/>
      <c r="H1467" s="128"/>
      <c r="I1467" s="128"/>
      <c r="J1467" s="128"/>
      <c r="K1467" s="128"/>
      <c r="L1467" s="128"/>
      <c r="M1467" s="128"/>
      <c r="N1467" s="128"/>
      <c r="O1467" s="128"/>
      <c r="P1467" s="128"/>
      <c r="Q1467" s="128"/>
      <c r="R1467" s="128"/>
      <c r="S1467" s="128"/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  <c r="AV1467" s="128"/>
      <c r="AW1467" s="128"/>
      <c r="AX1467" s="128"/>
      <c r="AY1467" s="128"/>
      <c r="AZ1467" s="128"/>
      <c r="BA1467" s="128"/>
      <c r="BB1467" s="128"/>
      <c r="BC1467" s="128"/>
      <c r="BD1467" s="128"/>
      <c r="BE1467" s="128"/>
      <c r="BF1467" s="128"/>
      <c r="BG1467" s="128"/>
      <c r="BH1467" s="128"/>
      <c r="BI1467" s="128"/>
      <c r="BJ1467" s="128"/>
      <c r="BK1467" s="128"/>
      <c r="BL1467" s="128"/>
      <c r="BM1467" s="151"/>
      <c r="BN1467" s="128"/>
      <c r="BO1467" s="128"/>
      <c r="BP1467" s="128"/>
      <c r="BQ1467" s="128"/>
      <c r="BR1467" s="128"/>
      <c r="BS1467" s="128"/>
      <c r="BT1467" s="128"/>
      <c r="BU1467" s="128"/>
      <c r="BV1467" s="128"/>
      <c r="BW1467" s="128"/>
      <c r="BX1467" s="128"/>
      <c r="BY1467" s="128"/>
      <c r="BZ1467" s="128"/>
      <c r="CA1467" s="128"/>
      <c r="CB1467" s="128"/>
      <c r="CC1467" s="128"/>
      <c r="CD1467" s="128"/>
      <c r="CE1467" s="128"/>
      <c r="CF1467" s="128"/>
      <c r="CG1467" s="128"/>
      <c r="CH1467" s="128"/>
      <c r="CI1467" s="128"/>
      <c r="CJ1467" s="128"/>
      <c r="CK1467" s="128"/>
      <c r="CL1467" s="128"/>
      <c r="CM1467" s="128"/>
      <c r="CN1467" s="128"/>
      <c r="CO1467" s="128"/>
      <c r="CP1467" s="128"/>
      <c r="CQ1467" s="128"/>
      <c r="CR1467" s="128"/>
      <c r="CS1467" s="128"/>
      <c r="CT1467" s="128"/>
      <c r="CU1467" s="128"/>
      <c r="CV1467" s="128"/>
      <c r="CW1467" s="128"/>
      <c r="CX1467" s="128"/>
      <c r="CY1467" s="128"/>
      <c r="CZ1467" s="128"/>
    </row>
    <row r="1468" spans="1:104">
      <c r="A1468" s="128"/>
      <c r="B1468" s="128"/>
      <c r="C1468" s="128"/>
      <c r="D1468" s="112"/>
      <c r="E1468" s="128"/>
      <c r="F1468" s="128"/>
      <c r="G1468" s="128"/>
      <c r="H1468" s="128"/>
      <c r="I1468" s="128"/>
      <c r="J1468" s="128"/>
      <c r="K1468" s="128"/>
      <c r="L1468" s="128"/>
      <c r="M1468" s="128"/>
      <c r="N1468" s="128"/>
      <c r="O1468" s="128"/>
      <c r="P1468" s="128"/>
      <c r="Q1468" s="128"/>
      <c r="R1468" s="128"/>
      <c r="S1468" s="128"/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  <c r="AV1468" s="128"/>
      <c r="AW1468" s="128"/>
      <c r="AX1468" s="128"/>
      <c r="AY1468" s="128"/>
      <c r="AZ1468" s="128"/>
      <c r="BA1468" s="128"/>
      <c r="BB1468" s="128"/>
      <c r="BC1468" s="128"/>
      <c r="BD1468" s="128"/>
      <c r="BE1468" s="128"/>
      <c r="BF1468" s="128"/>
      <c r="BG1468" s="128"/>
      <c r="BH1468" s="128"/>
      <c r="BI1468" s="128"/>
      <c r="BJ1468" s="128"/>
      <c r="BK1468" s="128"/>
      <c r="BL1468" s="128"/>
      <c r="BM1468" s="151"/>
      <c r="BN1468" s="128"/>
      <c r="BO1468" s="128"/>
      <c r="BP1468" s="128"/>
      <c r="BQ1468" s="128"/>
      <c r="BR1468" s="128"/>
      <c r="BS1468" s="128"/>
      <c r="BT1468" s="128"/>
      <c r="BU1468" s="128"/>
      <c r="BV1468" s="128"/>
      <c r="BW1468" s="128"/>
      <c r="BX1468" s="128"/>
      <c r="BY1468" s="128"/>
      <c r="BZ1468" s="128"/>
      <c r="CA1468" s="128"/>
      <c r="CB1468" s="128"/>
      <c r="CC1468" s="128"/>
      <c r="CD1468" s="128"/>
      <c r="CE1468" s="128"/>
      <c r="CF1468" s="128"/>
      <c r="CG1468" s="128"/>
      <c r="CH1468" s="128"/>
      <c r="CI1468" s="128"/>
      <c r="CJ1468" s="128"/>
      <c r="CK1468" s="128"/>
      <c r="CL1468" s="128"/>
      <c r="CM1468" s="128"/>
      <c r="CN1468" s="128"/>
      <c r="CO1468" s="128"/>
      <c r="CP1468" s="128"/>
      <c r="CQ1468" s="128"/>
      <c r="CR1468" s="128"/>
      <c r="CS1468" s="128"/>
      <c r="CT1468" s="128"/>
      <c r="CU1468" s="128"/>
      <c r="CV1468" s="128"/>
      <c r="CW1468" s="128"/>
      <c r="CX1468" s="128"/>
      <c r="CY1468" s="128"/>
      <c r="CZ1468" s="128"/>
    </row>
    <row r="1469" spans="1:104">
      <c r="A1469" s="128"/>
      <c r="B1469" s="128"/>
      <c r="C1469" s="128"/>
      <c r="D1469" s="112"/>
      <c r="E1469" s="128"/>
      <c r="F1469" s="128"/>
      <c r="G1469" s="128"/>
      <c r="H1469" s="128"/>
      <c r="I1469" s="128"/>
      <c r="J1469" s="128"/>
      <c r="K1469" s="128"/>
      <c r="L1469" s="128"/>
      <c r="M1469" s="128"/>
      <c r="N1469" s="128"/>
      <c r="O1469" s="128"/>
      <c r="P1469" s="128"/>
      <c r="Q1469" s="128"/>
      <c r="R1469" s="128"/>
      <c r="S1469" s="128"/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  <c r="AV1469" s="128"/>
      <c r="AW1469" s="128"/>
      <c r="AX1469" s="128"/>
      <c r="AY1469" s="128"/>
      <c r="AZ1469" s="128"/>
      <c r="BA1469" s="128"/>
      <c r="BB1469" s="128"/>
      <c r="BC1469" s="128"/>
      <c r="BD1469" s="128"/>
      <c r="BE1469" s="128"/>
      <c r="BF1469" s="128"/>
      <c r="BG1469" s="128"/>
      <c r="BH1469" s="128"/>
      <c r="BI1469" s="128"/>
      <c r="BJ1469" s="128"/>
      <c r="BK1469" s="128"/>
      <c r="BL1469" s="128"/>
      <c r="BM1469" s="151"/>
      <c r="BN1469" s="128"/>
      <c r="BO1469" s="128"/>
      <c r="BP1469" s="128"/>
      <c r="BQ1469" s="128"/>
      <c r="BR1469" s="128"/>
      <c r="BS1469" s="128"/>
      <c r="BT1469" s="128"/>
      <c r="BU1469" s="128"/>
      <c r="BV1469" s="128"/>
      <c r="BW1469" s="128"/>
      <c r="BX1469" s="128"/>
      <c r="BY1469" s="128"/>
      <c r="BZ1469" s="128"/>
      <c r="CA1469" s="128"/>
      <c r="CB1469" s="128"/>
      <c r="CC1469" s="128"/>
      <c r="CD1469" s="128"/>
      <c r="CE1469" s="128"/>
      <c r="CF1469" s="128"/>
      <c r="CG1469" s="128"/>
      <c r="CH1469" s="128"/>
      <c r="CI1469" s="128"/>
      <c r="CJ1469" s="128"/>
      <c r="CK1469" s="128"/>
      <c r="CL1469" s="128"/>
      <c r="CM1469" s="128"/>
      <c r="CN1469" s="128"/>
      <c r="CO1469" s="128"/>
      <c r="CP1469" s="128"/>
      <c r="CQ1469" s="128"/>
      <c r="CR1469" s="128"/>
      <c r="CS1469" s="128"/>
      <c r="CT1469" s="128"/>
      <c r="CU1469" s="128"/>
      <c r="CV1469" s="128"/>
      <c r="CW1469" s="128"/>
      <c r="CX1469" s="128"/>
      <c r="CY1469" s="128"/>
      <c r="CZ1469" s="128"/>
    </row>
    <row r="1470" spans="1:104">
      <c r="A1470" s="128"/>
      <c r="B1470" s="128"/>
      <c r="C1470" s="128"/>
      <c r="D1470" s="112"/>
      <c r="E1470" s="128"/>
      <c r="F1470" s="128"/>
      <c r="G1470" s="128"/>
      <c r="H1470" s="128"/>
      <c r="I1470" s="128"/>
      <c r="J1470" s="128"/>
      <c r="K1470" s="128"/>
      <c r="L1470" s="128"/>
      <c r="M1470" s="128"/>
      <c r="N1470" s="128"/>
      <c r="O1470" s="128"/>
      <c r="P1470" s="128"/>
      <c r="Q1470" s="128"/>
      <c r="R1470" s="128"/>
      <c r="S1470" s="128"/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  <c r="AV1470" s="128"/>
      <c r="AW1470" s="128"/>
      <c r="AX1470" s="128"/>
      <c r="AY1470" s="128"/>
      <c r="AZ1470" s="128"/>
      <c r="BA1470" s="128"/>
      <c r="BB1470" s="128"/>
      <c r="BC1470" s="128"/>
      <c r="BD1470" s="128"/>
      <c r="BE1470" s="128"/>
      <c r="BF1470" s="128"/>
      <c r="BG1470" s="128"/>
      <c r="BH1470" s="128"/>
      <c r="BI1470" s="128"/>
      <c r="BJ1470" s="128"/>
      <c r="BK1470" s="128"/>
      <c r="BL1470" s="128"/>
      <c r="BM1470" s="151"/>
      <c r="BN1470" s="128"/>
      <c r="BO1470" s="128"/>
      <c r="BP1470" s="128"/>
      <c r="BQ1470" s="128"/>
      <c r="BR1470" s="128"/>
      <c r="BS1470" s="128"/>
      <c r="BT1470" s="128"/>
      <c r="BU1470" s="128"/>
      <c r="BV1470" s="128"/>
      <c r="BW1470" s="128"/>
      <c r="BX1470" s="128"/>
      <c r="BY1470" s="128"/>
      <c r="BZ1470" s="128"/>
      <c r="CA1470" s="128"/>
      <c r="CB1470" s="128"/>
      <c r="CC1470" s="128"/>
      <c r="CD1470" s="128"/>
      <c r="CE1470" s="128"/>
      <c r="CF1470" s="128"/>
      <c r="CG1470" s="128"/>
      <c r="CH1470" s="128"/>
      <c r="CI1470" s="128"/>
      <c r="CJ1470" s="128"/>
      <c r="CK1470" s="128"/>
      <c r="CL1470" s="128"/>
      <c r="CM1470" s="128"/>
      <c r="CN1470" s="128"/>
      <c r="CO1470" s="128"/>
      <c r="CP1470" s="128"/>
      <c r="CQ1470" s="128"/>
      <c r="CR1470" s="128"/>
      <c r="CS1470" s="128"/>
      <c r="CT1470" s="128"/>
      <c r="CU1470" s="128"/>
      <c r="CV1470" s="128"/>
      <c r="CW1470" s="128"/>
      <c r="CX1470" s="128"/>
      <c r="CY1470" s="128"/>
      <c r="CZ1470" s="128"/>
    </row>
    <row r="1471" spans="1:104">
      <c r="A1471" s="128"/>
      <c r="B1471" s="128"/>
      <c r="C1471" s="128"/>
      <c r="D1471" s="112"/>
      <c r="E1471" s="128"/>
      <c r="F1471" s="128"/>
      <c r="G1471" s="128"/>
      <c r="H1471" s="128"/>
      <c r="I1471" s="128"/>
      <c r="J1471" s="128"/>
      <c r="K1471" s="128"/>
      <c r="L1471" s="128"/>
      <c r="M1471" s="128"/>
      <c r="N1471" s="128"/>
      <c r="O1471" s="128"/>
      <c r="P1471" s="128"/>
      <c r="Q1471" s="128"/>
      <c r="R1471" s="128"/>
      <c r="S1471" s="128"/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  <c r="AV1471" s="128"/>
      <c r="AW1471" s="128"/>
      <c r="AX1471" s="128"/>
      <c r="AY1471" s="128"/>
      <c r="AZ1471" s="128"/>
      <c r="BA1471" s="128"/>
      <c r="BB1471" s="128"/>
      <c r="BC1471" s="128"/>
      <c r="BD1471" s="128"/>
      <c r="BE1471" s="128"/>
      <c r="BF1471" s="128"/>
      <c r="BG1471" s="128"/>
      <c r="BH1471" s="128"/>
      <c r="BI1471" s="128"/>
      <c r="BJ1471" s="128"/>
      <c r="BK1471" s="128"/>
      <c r="BL1471" s="128"/>
      <c r="BM1471" s="151"/>
      <c r="BN1471" s="128"/>
      <c r="BO1471" s="128"/>
      <c r="BP1471" s="128"/>
      <c r="BQ1471" s="128"/>
      <c r="BR1471" s="128"/>
      <c r="BS1471" s="128"/>
      <c r="BT1471" s="128"/>
      <c r="BU1471" s="128"/>
      <c r="BV1471" s="128"/>
      <c r="BW1471" s="128"/>
      <c r="BX1471" s="128"/>
      <c r="BY1471" s="128"/>
      <c r="BZ1471" s="128"/>
      <c r="CA1471" s="128"/>
      <c r="CB1471" s="128"/>
      <c r="CC1471" s="128"/>
      <c r="CD1471" s="128"/>
      <c r="CE1471" s="128"/>
      <c r="CF1471" s="128"/>
      <c r="CG1471" s="128"/>
      <c r="CH1471" s="128"/>
      <c r="CI1471" s="128"/>
      <c r="CJ1471" s="128"/>
      <c r="CK1471" s="128"/>
      <c r="CL1471" s="128"/>
      <c r="CM1471" s="128"/>
      <c r="CN1471" s="128"/>
      <c r="CO1471" s="128"/>
      <c r="CP1471" s="128"/>
      <c r="CQ1471" s="128"/>
      <c r="CR1471" s="128"/>
      <c r="CS1471" s="128"/>
      <c r="CT1471" s="128"/>
      <c r="CU1471" s="128"/>
      <c r="CV1471" s="128"/>
      <c r="CW1471" s="128"/>
      <c r="CX1471" s="128"/>
      <c r="CY1471" s="128"/>
      <c r="CZ1471" s="128"/>
    </row>
    <row r="1472" spans="1:104">
      <c r="A1472" s="128"/>
      <c r="B1472" s="128"/>
      <c r="C1472" s="128"/>
      <c r="D1472" s="112"/>
      <c r="E1472" s="128"/>
      <c r="F1472" s="128"/>
      <c r="G1472" s="128"/>
      <c r="H1472" s="128"/>
      <c r="I1472" s="128"/>
      <c r="J1472" s="128"/>
      <c r="K1472" s="128"/>
      <c r="L1472" s="128"/>
      <c r="M1472" s="128"/>
      <c r="N1472" s="128"/>
      <c r="O1472" s="128"/>
      <c r="P1472" s="128"/>
      <c r="Q1472" s="128"/>
      <c r="R1472" s="128"/>
      <c r="S1472" s="128"/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  <c r="AV1472" s="128"/>
      <c r="AW1472" s="128"/>
      <c r="AX1472" s="128"/>
      <c r="AY1472" s="128"/>
      <c r="AZ1472" s="128"/>
      <c r="BA1472" s="128"/>
      <c r="BB1472" s="128"/>
      <c r="BC1472" s="128"/>
      <c r="BD1472" s="128"/>
      <c r="BE1472" s="128"/>
      <c r="BF1472" s="128"/>
      <c r="BG1472" s="128"/>
      <c r="BH1472" s="128"/>
      <c r="BI1472" s="128"/>
      <c r="BJ1472" s="128"/>
      <c r="BK1472" s="128"/>
      <c r="BL1472" s="128"/>
      <c r="BM1472" s="151"/>
      <c r="BN1472" s="128"/>
      <c r="BO1472" s="128"/>
      <c r="BP1472" s="128"/>
      <c r="BQ1472" s="128"/>
      <c r="BR1472" s="128"/>
      <c r="BS1472" s="128"/>
      <c r="BT1472" s="128"/>
      <c r="BU1472" s="128"/>
      <c r="BV1472" s="128"/>
      <c r="BW1472" s="128"/>
      <c r="BX1472" s="128"/>
      <c r="BY1472" s="128"/>
      <c r="BZ1472" s="128"/>
      <c r="CA1472" s="128"/>
      <c r="CB1472" s="128"/>
      <c r="CC1472" s="128"/>
      <c r="CD1472" s="128"/>
      <c r="CE1472" s="128"/>
      <c r="CF1472" s="128"/>
      <c r="CG1472" s="128"/>
      <c r="CH1472" s="128"/>
      <c r="CI1472" s="128"/>
      <c r="CJ1472" s="128"/>
      <c r="CK1472" s="128"/>
      <c r="CL1472" s="128"/>
      <c r="CM1472" s="128"/>
      <c r="CN1472" s="128"/>
      <c r="CO1472" s="128"/>
      <c r="CP1472" s="128"/>
      <c r="CQ1472" s="128"/>
      <c r="CR1472" s="128"/>
      <c r="CS1472" s="128"/>
      <c r="CT1472" s="128"/>
      <c r="CU1472" s="128"/>
      <c r="CV1472" s="128"/>
      <c r="CW1472" s="128"/>
      <c r="CX1472" s="128"/>
      <c r="CY1472" s="128"/>
      <c r="CZ1472" s="128"/>
    </row>
    <row r="1473" spans="1:104">
      <c r="A1473" s="128"/>
      <c r="B1473" s="128"/>
      <c r="C1473" s="128"/>
      <c r="D1473" s="112"/>
      <c r="E1473" s="128"/>
      <c r="F1473" s="128"/>
      <c r="G1473" s="128"/>
      <c r="H1473" s="128"/>
      <c r="I1473" s="128"/>
      <c r="J1473" s="128"/>
      <c r="K1473" s="128"/>
      <c r="L1473" s="128"/>
      <c r="M1473" s="128"/>
      <c r="N1473" s="128"/>
      <c r="O1473" s="128"/>
      <c r="P1473" s="128"/>
      <c r="Q1473" s="128"/>
      <c r="R1473" s="128"/>
      <c r="S1473" s="128"/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  <c r="AV1473" s="128"/>
      <c r="AW1473" s="128"/>
      <c r="AX1473" s="128"/>
      <c r="AY1473" s="128"/>
      <c r="AZ1473" s="128"/>
      <c r="BA1473" s="128"/>
      <c r="BB1473" s="128"/>
      <c r="BC1473" s="128"/>
      <c r="BD1473" s="128"/>
      <c r="BE1473" s="128"/>
      <c r="BF1473" s="128"/>
      <c r="BG1473" s="128"/>
      <c r="BH1473" s="128"/>
      <c r="BI1473" s="128"/>
      <c r="BJ1473" s="128"/>
      <c r="BK1473" s="128"/>
      <c r="BL1473" s="128"/>
      <c r="BM1473" s="151"/>
      <c r="BN1473" s="128"/>
      <c r="BO1473" s="128"/>
      <c r="BP1473" s="128"/>
      <c r="BQ1473" s="128"/>
      <c r="BR1473" s="128"/>
      <c r="BS1473" s="128"/>
      <c r="BT1473" s="128"/>
      <c r="BU1473" s="128"/>
      <c r="BV1473" s="128"/>
      <c r="BW1473" s="128"/>
      <c r="BX1473" s="128"/>
      <c r="BY1473" s="128"/>
      <c r="BZ1473" s="128"/>
      <c r="CA1473" s="128"/>
      <c r="CB1473" s="128"/>
      <c r="CC1473" s="128"/>
      <c r="CD1473" s="128"/>
      <c r="CE1473" s="128"/>
      <c r="CF1473" s="128"/>
      <c r="CG1473" s="128"/>
      <c r="CH1473" s="128"/>
      <c r="CI1473" s="128"/>
      <c r="CJ1473" s="128"/>
      <c r="CK1473" s="128"/>
      <c r="CL1473" s="128"/>
      <c r="CM1473" s="128"/>
      <c r="CN1473" s="128"/>
      <c r="CO1473" s="128"/>
      <c r="CP1473" s="128"/>
      <c r="CQ1473" s="128"/>
      <c r="CR1473" s="128"/>
      <c r="CS1473" s="128"/>
      <c r="CT1473" s="128"/>
      <c r="CU1473" s="128"/>
      <c r="CV1473" s="128"/>
      <c r="CW1473" s="128"/>
      <c r="CX1473" s="128"/>
      <c r="CY1473" s="128"/>
      <c r="CZ1473" s="128"/>
    </row>
    <row r="1474" spans="1:104">
      <c r="A1474" s="128"/>
      <c r="B1474" s="128"/>
      <c r="C1474" s="128"/>
      <c r="D1474" s="112"/>
      <c r="E1474" s="128"/>
      <c r="F1474" s="128"/>
      <c r="G1474" s="128"/>
      <c r="H1474" s="128"/>
      <c r="I1474" s="128"/>
      <c r="J1474" s="128"/>
      <c r="K1474" s="128"/>
      <c r="L1474" s="128"/>
      <c r="M1474" s="128"/>
      <c r="N1474" s="128"/>
      <c r="O1474" s="128"/>
      <c r="P1474" s="128"/>
      <c r="Q1474" s="128"/>
      <c r="R1474" s="128"/>
      <c r="S1474" s="128"/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  <c r="AV1474" s="128"/>
      <c r="AW1474" s="128"/>
      <c r="AX1474" s="128"/>
      <c r="AY1474" s="128"/>
      <c r="AZ1474" s="128"/>
      <c r="BA1474" s="128"/>
      <c r="BB1474" s="128"/>
      <c r="BC1474" s="128"/>
      <c r="BD1474" s="128"/>
      <c r="BE1474" s="128"/>
      <c r="BF1474" s="128"/>
      <c r="BG1474" s="128"/>
      <c r="BH1474" s="128"/>
      <c r="BI1474" s="128"/>
      <c r="BJ1474" s="128"/>
      <c r="BK1474" s="128"/>
      <c r="BL1474" s="128"/>
      <c r="BM1474" s="151"/>
      <c r="BN1474" s="128"/>
      <c r="BO1474" s="128"/>
      <c r="BP1474" s="128"/>
      <c r="BQ1474" s="128"/>
      <c r="BR1474" s="128"/>
      <c r="BS1474" s="128"/>
      <c r="BT1474" s="128"/>
      <c r="BU1474" s="128"/>
      <c r="BV1474" s="128"/>
      <c r="BW1474" s="128"/>
      <c r="BX1474" s="128"/>
      <c r="BY1474" s="128"/>
      <c r="BZ1474" s="128"/>
      <c r="CA1474" s="128"/>
      <c r="CB1474" s="128"/>
      <c r="CC1474" s="128"/>
      <c r="CD1474" s="128"/>
      <c r="CE1474" s="128"/>
      <c r="CF1474" s="128"/>
      <c r="CG1474" s="128"/>
      <c r="CH1474" s="128"/>
      <c r="CI1474" s="128"/>
      <c r="CJ1474" s="128"/>
      <c r="CK1474" s="128"/>
      <c r="CL1474" s="128"/>
      <c r="CM1474" s="128"/>
      <c r="CN1474" s="128"/>
      <c r="CO1474" s="128"/>
      <c r="CP1474" s="128"/>
      <c r="CQ1474" s="128"/>
      <c r="CR1474" s="128"/>
      <c r="CS1474" s="128"/>
      <c r="CT1474" s="128"/>
      <c r="CU1474" s="128"/>
      <c r="CV1474" s="128"/>
      <c r="CW1474" s="128"/>
      <c r="CX1474" s="128"/>
      <c r="CY1474" s="128"/>
      <c r="CZ1474" s="128"/>
    </row>
    <row r="1475" spans="1:104">
      <c r="A1475" s="128"/>
      <c r="B1475" s="128"/>
      <c r="C1475" s="128"/>
      <c r="D1475" s="112"/>
      <c r="E1475" s="128"/>
      <c r="F1475" s="128"/>
      <c r="G1475" s="128"/>
      <c r="H1475" s="128"/>
      <c r="I1475" s="128"/>
      <c r="J1475" s="128"/>
      <c r="K1475" s="128"/>
      <c r="L1475" s="128"/>
      <c r="M1475" s="128"/>
      <c r="N1475" s="128"/>
      <c r="O1475" s="128"/>
      <c r="P1475" s="128"/>
      <c r="Q1475" s="128"/>
      <c r="R1475" s="128"/>
      <c r="S1475" s="128"/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  <c r="AV1475" s="128"/>
      <c r="AW1475" s="128"/>
      <c r="AX1475" s="128"/>
      <c r="AY1475" s="128"/>
      <c r="AZ1475" s="128"/>
      <c r="BA1475" s="128"/>
      <c r="BB1475" s="128"/>
      <c r="BC1475" s="128"/>
      <c r="BD1475" s="128"/>
      <c r="BE1475" s="128"/>
      <c r="BF1475" s="128"/>
      <c r="BG1475" s="128"/>
      <c r="BH1475" s="128"/>
      <c r="BI1475" s="128"/>
      <c r="BJ1475" s="128"/>
      <c r="BK1475" s="128"/>
      <c r="BL1475" s="128"/>
      <c r="BM1475" s="151"/>
      <c r="BN1475" s="128"/>
      <c r="BO1475" s="128"/>
      <c r="BP1475" s="128"/>
      <c r="BQ1475" s="128"/>
      <c r="BR1475" s="128"/>
      <c r="BS1475" s="128"/>
      <c r="BT1475" s="128"/>
      <c r="BU1475" s="128"/>
      <c r="BV1475" s="128"/>
      <c r="BW1475" s="128"/>
      <c r="BX1475" s="128"/>
      <c r="BY1475" s="128"/>
      <c r="BZ1475" s="128"/>
      <c r="CA1475" s="128"/>
      <c r="CB1475" s="128"/>
      <c r="CC1475" s="128"/>
      <c r="CD1475" s="128"/>
      <c r="CE1475" s="128"/>
      <c r="CF1475" s="128"/>
      <c r="CG1475" s="128"/>
      <c r="CH1475" s="128"/>
      <c r="CI1475" s="128"/>
      <c r="CJ1475" s="128"/>
      <c r="CK1475" s="128"/>
      <c r="CL1475" s="128"/>
      <c r="CM1475" s="128"/>
      <c r="CN1475" s="128"/>
      <c r="CO1475" s="128"/>
      <c r="CP1475" s="128"/>
      <c r="CQ1475" s="128"/>
      <c r="CR1475" s="128"/>
      <c r="CS1475" s="128"/>
      <c r="CT1475" s="128"/>
      <c r="CU1475" s="128"/>
      <c r="CV1475" s="128"/>
      <c r="CW1475" s="128"/>
      <c r="CX1475" s="128"/>
      <c r="CY1475" s="128"/>
      <c r="CZ1475" s="128"/>
    </row>
    <row r="1476" spans="1:104">
      <c r="A1476" s="128"/>
      <c r="B1476" s="128"/>
      <c r="C1476" s="128"/>
      <c r="D1476" s="112"/>
      <c r="E1476" s="128"/>
      <c r="F1476" s="128"/>
      <c r="G1476" s="128"/>
      <c r="H1476" s="128"/>
      <c r="I1476" s="128"/>
      <c r="J1476" s="128"/>
      <c r="K1476" s="128"/>
      <c r="L1476" s="128"/>
      <c r="M1476" s="128"/>
      <c r="N1476" s="128"/>
      <c r="O1476" s="128"/>
      <c r="P1476" s="128"/>
      <c r="Q1476" s="128"/>
      <c r="R1476" s="128"/>
      <c r="S1476" s="128"/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  <c r="AV1476" s="128"/>
      <c r="AW1476" s="128"/>
      <c r="AX1476" s="128"/>
      <c r="AY1476" s="128"/>
      <c r="AZ1476" s="128"/>
      <c r="BA1476" s="128"/>
      <c r="BB1476" s="128"/>
      <c r="BC1476" s="128"/>
      <c r="BD1476" s="128"/>
      <c r="BE1476" s="128"/>
      <c r="BF1476" s="128"/>
      <c r="BG1476" s="128"/>
      <c r="BH1476" s="128"/>
      <c r="BI1476" s="128"/>
      <c r="BJ1476" s="128"/>
      <c r="BK1476" s="128"/>
      <c r="BL1476" s="128"/>
      <c r="BM1476" s="151"/>
      <c r="BN1476" s="128"/>
      <c r="BO1476" s="128"/>
      <c r="BP1476" s="128"/>
      <c r="BQ1476" s="128"/>
      <c r="BR1476" s="128"/>
      <c r="BS1476" s="128"/>
      <c r="BT1476" s="128"/>
      <c r="BU1476" s="128"/>
      <c r="BV1476" s="128"/>
      <c r="BW1476" s="128"/>
      <c r="BX1476" s="128"/>
      <c r="BY1476" s="128"/>
      <c r="BZ1476" s="128"/>
      <c r="CA1476" s="128"/>
      <c r="CB1476" s="128"/>
      <c r="CC1476" s="128"/>
      <c r="CD1476" s="128"/>
      <c r="CE1476" s="128"/>
      <c r="CF1476" s="128"/>
      <c r="CG1476" s="128"/>
      <c r="CH1476" s="128"/>
      <c r="CI1476" s="128"/>
      <c r="CJ1476" s="128"/>
      <c r="CK1476" s="128"/>
      <c r="CL1476" s="128"/>
      <c r="CM1476" s="128"/>
      <c r="CN1476" s="128"/>
      <c r="CO1476" s="128"/>
      <c r="CP1476" s="128"/>
      <c r="CQ1476" s="128"/>
      <c r="CR1476" s="128"/>
      <c r="CS1476" s="128"/>
      <c r="CT1476" s="128"/>
      <c r="CU1476" s="128"/>
      <c r="CV1476" s="128"/>
      <c r="CW1476" s="128"/>
      <c r="CX1476" s="128"/>
      <c r="CY1476" s="128"/>
      <c r="CZ1476" s="128"/>
    </row>
    <row r="1477" spans="1:104">
      <c r="A1477" s="128"/>
      <c r="B1477" s="128"/>
      <c r="C1477" s="128"/>
      <c r="D1477" s="112"/>
      <c r="E1477" s="128"/>
      <c r="F1477" s="128"/>
      <c r="G1477" s="128"/>
      <c r="H1477" s="128"/>
      <c r="I1477" s="128"/>
      <c r="J1477" s="128"/>
      <c r="K1477" s="128"/>
      <c r="L1477" s="128"/>
      <c r="M1477" s="128"/>
      <c r="N1477" s="128"/>
      <c r="O1477" s="128"/>
      <c r="P1477" s="128"/>
      <c r="Q1477" s="128"/>
      <c r="R1477" s="128"/>
      <c r="S1477" s="128"/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  <c r="AV1477" s="128"/>
      <c r="AW1477" s="128"/>
      <c r="AX1477" s="128"/>
      <c r="AY1477" s="128"/>
      <c r="AZ1477" s="128"/>
      <c r="BA1477" s="128"/>
      <c r="BB1477" s="128"/>
      <c r="BC1477" s="128"/>
      <c r="BD1477" s="128"/>
      <c r="BE1477" s="128"/>
      <c r="BF1477" s="128"/>
      <c r="BG1477" s="128"/>
      <c r="BH1477" s="128"/>
      <c r="BI1477" s="128"/>
      <c r="BJ1477" s="128"/>
      <c r="BK1477" s="128"/>
      <c r="BL1477" s="128"/>
      <c r="BM1477" s="151"/>
      <c r="BN1477" s="128"/>
      <c r="BO1477" s="128"/>
      <c r="BP1477" s="128"/>
      <c r="BQ1477" s="128"/>
      <c r="BR1477" s="128"/>
      <c r="BS1477" s="128"/>
      <c r="BT1477" s="128"/>
      <c r="BU1477" s="128"/>
      <c r="BV1477" s="128"/>
      <c r="BW1477" s="128"/>
      <c r="BX1477" s="128"/>
      <c r="BY1477" s="128"/>
      <c r="BZ1477" s="128"/>
      <c r="CA1477" s="128"/>
      <c r="CB1477" s="128"/>
      <c r="CC1477" s="128"/>
      <c r="CD1477" s="128"/>
      <c r="CE1477" s="128"/>
      <c r="CF1477" s="128"/>
      <c r="CG1477" s="128"/>
      <c r="CH1477" s="128"/>
      <c r="CI1477" s="128"/>
      <c r="CJ1477" s="128"/>
      <c r="CK1477" s="128"/>
      <c r="CL1477" s="128"/>
      <c r="CM1477" s="128"/>
      <c r="CN1477" s="128"/>
      <c r="CO1477" s="128"/>
      <c r="CP1477" s="128"/>
      <c r="CQ1477" s="128"/>
      <c r="CR1477" s="128"/>
      <c r="CS1477" s="128"/>
      <c r="CT1477" s="128"/>
      <c r="CU1477" s="128"/>
      <c r="CV1477" s="128"/>
      <c r="CW1477" s="128"/>
      <c r="CX1477" s="128"/>
      <c r="CY1477" s="128"/>
      <c r="CZ1477" s="128"/>
    </row>
    <row r="1478" spans="1:104">
      <c r="A1478" s="128"/>
      <c r="B1478" s="128"/>
      <c r="C1478" s="128"/>
      <c r="D1478" s="112"/>
      <c r="E1478" s="128"/>
      <c r="F1478" s="128"/>
      <c r="G1478" s="128"/>
      <c r="H1478" s="128"/>
      <c r="I1478" s="128"/>
      <c r="J1478" s="128"/>
      <c r="K1478" s="128"/>
      <c r="L1478" s="128"/>
      <c r="M1478" s="128"/>
      <c r="N1478" s="128"/>
      <c r="O1478" s="128"/>
      <c r="P1478" s="128"/>
      <c r="Q1478" s="128"/>
      <c r="R1478" s="128"/>
      <c r="S1478" s="128"/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  <c r="AV1478" s="128"/>
      <c r="AW1478" s="128"/>
      <c r="AX1478" s="128"/>
      <c r="AY1478" s="128"/>
      <c r="AZ1478" s="128"/>
      <c r="BA1478" s="128"/>
      <c r="BB1478" s="128"/>
      <c r="BC1478" s="128"/>
      <c r="BD1478" s="128"/>
      <c r="BE1478" s="128"/>
      <c r="BF1478" s="128"/>
      <c r="BG1478" s="128"/>
      <c r="BH1478" s="128"/>
      <c r="BI1478" s="128"/>
      <c r="BJ1478" s="128"/>
      <c r="BK1478" s="128"/>
      <c r="BL1478" s="128"/>
      <c r="BM1478" s="151"/>
      <c r="BN1478" s="128"/>
      <c r="BO1478" s="128"/>
      <c r="BP1478" s="128"/>
      <c r="BQ1478" s="128"/>
      <c r="BR1478" s="128"/>
      <c r="BS1478" s="128"/>
      <c r="BT1478" s="128"/>
      <c r="BU1478" s="128"/>
      <c r="BV1478" s="128"/>
      <c r="BW1478" s="128"/>
      <c r="BX1478" s="128"/>
      <c r="BY1478" s="128"/>
      <c r="BZ1478" s="128"/>
      <c r="CA1478" s="128"/>
      <c r="CB1478" s="128"/>
      <c r="CC1478" s="128"/>
      <c r="CD1478" s="128"/>
      <c r="CE1478" s="128"/>
      <c r="CF1478" s="128"/>
      <c r="CG1478" s="128"/>
      <c r="CH1478" s="128"/>
      <c r="CI1478" s="128"/>
      <c r="CJ1478" s="128"/>
      <c r="CK1478" s="128"/>
      <c r="CL1478" s="128"/>
      <c r="CM1478" s="128"/>
      <c r="CN1478" s="128"/>
      <c r="CO1478" s="128"/>
      <c r="CP1478" s="128"/>
      <c r="CQ1478" s="128"/>
      <c r="CR1478" s="128"/>
      <c r="CS1478" s="128"/>
      <c r="CT1478" s="128"/>
      <c r="CU1478" s="128"/>
      <c r="CV1478" s="128"/>
      <c r="CW1478" s="128"/>
      <c r="CX1478" s="128"/>
      <c r="CY1478" s="128"/>
      <c r="CZ1478" s="128"/>
    </row>
    <row r="1479" spans="1:104">
      <c r="A1479" s="128"/>
      <c r="B1479" s="128"/>
      <c r="C1479" s="128"/>
      <c r="D1479" s="112"/>
      <c r="E1479" s="128"/>
      <c r="F1479" s="128"/>
      <c r="G1479" s="128"/>
      <c r="H1479" s="128"/>
      <c r="I1479" s="128"/>
      <c r="J1479" s="128"/>
      <c r="K1479" s="128"/>
      <c r="L1479" s="128"/>
      <c r="M1479" s="128"/>
      <c r="N1479" s="128"/>
      <c r="O1479" s="128"/>
      <c r="P1479" s="128"/>
      <c r="Q1479" s="128"/>
      <c r="R1479" s="128"/>
      <c r="S1479" s="128"/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  <c r="AV1479" s="128"/>
      <c r="AW1479" s="128"/>
      <c r="AX1479" s="128"/>
      <c r="AY1479" s="128"/>
      <c r="AZ1479" s="128"/>
      <c r="BA1479" s="128"/>
      <c r="BB1479" s="128"/>
      <c r="BC1479" s="128"/>
      <c r="BD1479" s="128"/>
      <c r="BE1479" s="128"/>
      <c r="BF1479" s="128"/>
      <c r="BG1479" s="128"/>
      <c r="BH1479" s="128"/>
      <c r="BI1479" s="128"/>
      <c r="BJ1479" s="128"/>
      <c r="BK1479" s="128"/>
      <c r="BL1479" s="128"/>
      <c r="BM1479" s="151"/>
      <c r="BN1479" s="128"/>
      <c r="BO1479" s="128"/>
      <c r="BP1479" s="128"/>
      <c r="BQ1479" s="128"/>
      <c r="BR1479" s="128"/>
      <c r="BS1479" s="128"/>
      <c r="BT1479" s="128"/>
      <c r="BU1479" s="128"/>
      <c r="BV1479" s="128"/>
      <c r="BW1479" s="128"/>
      <c r="BX1479" s="128"/>
      <c r="BY1479" s="128"/>
      <c r="BZ1479" s="128"/>
      <c r="CA1479" s="128"/>
      <c r="CB1479" s="128"/>
      <c r="CC1479" s="128"/>
      <c r="CD1479" s="128"/>
      <c r="CE1479" s="128"/>
      <c r="CF1479" s="128"/>
      <c r="CG1479" s="128"/>
      <c r="CH1479" s="128"/>
      <c r="CI1479" s="128"/>
      <c r="CJ1479" s="128"/>
      <c r="CK1479" s="128"/>
      <c r="CL1479" s="128"/>
      <c r="CM1479" s="128"/>
      <c r="CN1479" s="128"/>
      <c r="CO1479" s="128"/>
      <c r="CP1479" s="128"/>
      <c r="CQ1479" s="128"/>
      <c r="CR1479" s="128"/>
      <c r="CS1479" s="128"/>
      <c r="CT1479" s="128"/>
      <c r="CU1479" s="128"/>
      <c r="CV1479" s="128"/>
      <c r="CW1479" s="128"/>
      <c r="CX1479" s="128"/>
      <c r="CY1479" s="128"/>
      <c r="CZ1479" s="128"/>
    </row>
    <row r="1480" spans="1:104">
      <c r="A1480" s="128"/>
      <c r="B1480" s="128"/>
      <c r="C1480" s="128"/>
      <c r="D1480" s="112"/>
      <c r="E1480" s="128"/>
      <c r="F1480" s="128"/>
      <c r="G1480" s="128"/>
      <c r="H1480" s="128"/>
      <c r="I1480" s="128"/>
      <c r="J1480" s="128"/>
      <c r="K1480" s="128"/>
      <c r="L1480" s="128"/>
      <c r="M1480" s="128"/>
      <c r="N1480" s="128"/>
      <c r="O1480" s="128"/>
      <c r="P1480" s="128"/>
      <c r="Q1480" s="128"/>
      <c r="R1480" s="128"/>
      <c r="S1480" s="128"/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  <c r="AV1480" s="128"/>
      <c r="AW1480" s="128"/>
      <c r="AX1480" s="128"/>
      <c r="AY1480" s="128"/>
      <c r="AZ1480" s="128"/>
      <c r="BA1480" s="128"/>
      <c r="BB1480" s="128"/>
      <c r="BC1480" s="128"/>
      <c r="BD1480" s="128"/>
      <c r="BE1480" s="128"/>
      <c r="BF1480" s="128"/>
      <c r="BG1480" s="128"/>
      <c r="BH1480" s="128"/>
      <c r="BI1480" s="128"/>
      <c r="BJ1480" s="128"/>
      <c r="BK1480" s="128"/>
      <c r="BL1480" s="128"/>
      <c r="BM1480" s="151"/>
      <c r="BN1480" s="128"/>
      <c r="BO1480" s="128"/>
      <c r="BP1480" s="128"/>
      <c r="BQ1480" s="128"/>
      <c r="BR1480" s="128"/>
      <c r="BS1480" s="128"/>
      <c r="BT1480" s="128"/>
      <c r="BU1480" s="128"/>
      <c r="BV1480" s="128"/>
      <c r="BW1480" s="128"/>
      <c r="BX1480" s="128"/>
      <c r="BY1480" s="128"/>
      <c r="BZ1480" s="128"/>
      <c r="CA1480" s="128"/>
      <c r="CB1480" s="128"/>
      <c r="CC1480" s="128"/>
      <c r="CD1480" s="128"/>
      <c r="CE1480" s="128"/>
      <c r="CF1480" s="128"/>
      <c r="CG1480" s="128"/>
      <c r="CH1480" s="128"/>
      <c r="CI1480" s="128"/>
      <c r="CJ1480" s="128"/>
      <c r="CK1480" s="128"/>
      <c r="CL1480" s="128"/>
      <c r="CM1480" s="128"/>
      <c r="CN1480" s="128"/>
      <c r="CO1480" s="128"/>
      <c r="CP1480" s="128"/>
      <c r="CQ1480" s="128"/>
      <c r="CR1480" s="128"/>
      <c r="CS1480" s="128"/>
      <c r="CT1480" s="128"/>
      <c r="CU1480" s="128"/>
      <c r="CV1480" s="128"/>
      <c r="CW1480" s="128"/>
      <c r="CX1480" s="128"/>
      <c r="CY1480" s="128"/>
      <c r="CZ1480" s="128"/>
    </row>
    <row r="1481" spans="1:104">
      <c r="A1481" s="128"/>
      <c r="B1481" s="128"/>
      <c r="C1481" s="128"/>
      <c r="D1481" s="112"/>
      <c r="E1481" s="128"/>
      <c r="F1481" s="128"/>
      <c r="G1481" s="128"/>
      <c r="H1481" s="128"/>
      <c r="I1481" s="128"/>
      <c r="J1481" s="128"/>
      <c r="K1481" s="128"/>
      <c r="L1481" s="128"/>
      <c r="M1481" s="128"/>
      <c r="N1481" s="128"/>
      <c r="O1481" s="128"/>
      <c r="P1481" s="128"/>
      <c r="Q1481" s="128"/>
      <c r="R1481" s="128"/>
      <c r="S1481" s="128"/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  <c r="AV1481" s="128"/>
      <c r="AW1481" s="128"/>
      <c r="AX1481" s="128"/>
      <c r="AY1481" s="128"/>
      <c r="AZ1481" s="128"/>
      <c r="BA1481" s="128"/>
      <c r="BB1481" s="128"/>
      <c r="BC1481" s="128"/>
      <c r="BD1481" s="128"/>
      <c r="BE1481" s="128"/>
      <c r="BF1481" s="128"/>
      <c r="BG1481" s="128"/>
      <c r="BH1481" s="128"/>
      <c r="BI1481" s="128"/>
      <c r="BJ1481" s="128"/>
      <c r="BK1481" s="128"/>
      <c r="BL1481" s="128"/>
      <c r="BM1481" s="151"/>
      <c r="BN1481" s="128"/>
      <c r="BO1481" s="128"/>
      <c r="BP1481" s="128"/>
      <c r="BQ1481" s="128"/>
      <c r="BR1481" s="128"/>
      <c r="BS1481" s="128"/>
      <c r="BT1481" s="128"/>
      <c r="BU1481" s="128"/>
      <c r="BV1481" s="128"/>
      <c r="BW1481" s="128"/>
      <c r="BX1481" s="128"/>
      <c r="BY1481" s="128"/>
      <c r="BZ1481" s="128"/>
      <c r="CA1481" s="128"/>
      <c r="CB1481" s="128"/>
      <c r="CC1481" s="128"/>
      <c r="CD1481" s="128"/>
      <c r="CE1481" s="128"/>
      <c r="CF1481" s="128"/>
      <c r="CG1481" s="128"/>
      <c r="CH1481" s="128"/>
      <c r="CI1481" s="128"/>
      <c r="CJ1481" s="128"/>
      <c r="CK1481" s="128"/>
      <c r="CL1481" s="128"/>
      <c r="CM1481" s="128"/>
      <c r="CN1481" s="128"/>
      <c r="CO1481" s="128"/>
      <c r="CP1481" s="128"/>
      <c r="CQ1481" s="128"/>
      <c r="CR1481" s="128"/>
      <c r="CS1481" s="128"/>
      <c r="CT1481" s="128"/>
      <c r="CU1481" s="128"/>
      <c r="CV1481" s="128"/>
      <c r="CW1481" s="128"/>
      <c r="CX1481" s="128"/>
      <c r="CY1481" s="128"/>
      <c r="CZ1481" s="128"/>
    </row>
    <row r="1482" spans="1:104">
      <c r="A1482" s="128"/>
      <c r="B1482" s="128"/>
      <c r="C1482" s="128"/>
      <c r="D1482" s="112"/>
      <c r="E1482" s="128"/>
      <c r="F1482" s="128"/>
      <c r="G1482" s="128"/>
      <c r="H1482" s="128"/>
      <c r="I1482" s="128"/>
      <c r="J1482" s="128"/>
      <c r="K1482" s="128"/>
      <c r="L1482" s="128"/>
      <c r="M1482" s="128"/>
      <c r="N1482" s="128"/>
      <c r="O1482" s="128"/>
      <c r="P1482" s="128"/>
      <c r="Q1482" s="128"/>
      <c r="R1482" s="128"/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  <c r="AV1482" s="128"/>
      <c r="AW1482" s="128"/>
      <c r="AX1482" s="128"/>
      <c r="AY1482" s="128"/>
      <c r="AZ1482" s="128"/>
      <c r="BA1482" s="128"/>
      <c r="BB1482" s="128"/>
      <c r="BC1482" s="128"/>
      <c r="BD1482" s="128"/>
      <c r="BE1482" s="128"/>
      <c r="BF1482" s="128"/>
      <c r="BG1482" s="128"/>
      <c r="BH1482" s="128"/>
      <c r="BI1482" s="128"/>
      <c r="BJ1482" s="128"/>
      <c r="BK1482" s="128"/>
      <c r="BL1482" s="128"/>
      <c r="BM1482" s="151"/>
      <c r="BN1482" s="128"/>
      <c r="BO1482" s="128"/>
      <c r="BP1482" s="128"/>
      <c r="BQ1482" s="128"/>
      <c r="BR1482" s="128"/>
      <c r="BS1482" s="128"/>
      <c r="BT1482" s="128"/>
      <c r="BU1482" s="128"/>
      <c r="BV1482" s="128"/>
      <c r="BW1482" s="128"/>
      <c r="BX1482" s="128"/>
      <c r="BY1482" s="128"/>
      <c r="BZ1482" s="128"/>
      <c r="CA1482" s="128"/>
      <c r="CB1482" s="128"/>
      <c r="CC1482" s="128"/>
      <c r="CD1482" s="128"/>
      <c r="CE1482" s="128"/>
      <c r="CF1482" s="128"/>
      <c r="CG1482" s="128"/>
      <c r="CH1482" s="128"/>
      <c r="CI1482" s="128"/>
      <c r="CJ1482" s="128"/>
      <c r="CK1482" s="128"/>
      <c r="CL1482" s="128"/>
      <c r="CM1482" s="128"/>
      <c r="CN1482" s="128"/>
      <c r="CO1482" s="128"/>
      <c r="CP1482" s="128"/>
      <c r="CQ1482" s="128"/>
      <c r="CR1482" s="128"/>
      <c r="CS1482" s="128"/>
      <c r="CT1482" s="128"/>
      <c r="CU1482" s="128"/>
      <c r="CV1482" s="128"/>
      <c r="CW1482" s="128"/>
      <c r="CX1482" s="128"/>
      <c r="CY1482" s="128"/>
      <c r="CZ1482" s="128"/>
    </row>
    <row r="1483" spans="1:104">
      <c r="A1483" s="128"/>
      <c r="B1483" s="128"/>
      <c r="C1483" s="128"/>
      <c r="D1483" s="112"/>
      <c r="E1483" s="128"/>
      <c r="F1483" s="128"/>
      <c r="G1483" s="128"/>
      <c r="H1483" s="128"/>
      <c r="I1483" s="128"/>
      <c r="J1483" s="128"/>
      <c r="K1483" s="128"/>
      <c r="L1483" s="128"/>
      <c r="M1483" s="128"/>
      <c r="N1483" s="128"/>
      <c r="O1483" s="128"/>
      <c r="P1483" s="128"/>
      <c r="Q1483" s="128"/>
      <c r="R1483" s="128"/>
      <c r="S1483" s="128"/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  <c r="AV1483" s="128"/>
      <c r="AW1483" s="128"/>
      <c r="AX1483" s="128"/>
      <c r="AY1483" s="128"/>
      <c r="AZ1483" s="128"/>
      <c r="BA1483" s="128"/>
      <c r="BB1483" s="128"/>
      <c r="BC1483" s="128"/>
      <c r="BD1483" s="128"/>
      <c r="BE1483" s="128"/>
      <c r="BF1483" s="128"/>
      <c r="BG1483" s="128"/>
      <c r="BH1483" s="128"/>
      <c r="BI1483" s="128"/>
      <c r="BJ1483" s="128"/>
      <c r="BK1483" s="128"/>
      <c r="BL1483" s="128"/>
      <c r="BM1483" s="151"/>
      <c r="BN1483" s="128"/>
      <c r="BO1483" s="128"/>
      <c r="BP1483" s="128"/>
      <c r="BQ1483" s="128"/>
      <c r="BR1483" s="128"/>
      <c r="BS1483" s="128"/>
      <c r="BT1483" s="128"/>
      <c r="BU1483" s="128"/>
      <c r="BV1483" s="128"/>
      <c r="BW1483" s="128"/>
      <c r="BX1483" s="128"/>
      <c r="BY1483" s="128"/>
      <c r="BZ1483" s="128"/>
      <c r="CA1483" s="128"/>
      <c r="CB1483" s="128"/>
      <c r="CC1483" s="128"/>
      <c r="CD1483" s="128"/>
      <c r="CE1483" s="128"/>
      <c r="CF1483" s="128"/>
      <c r="CG1483" s="128"/>
      <c r="CH1483" s="128"/>
      <c r="CI1483" s="128"/>
      <c r="CJ1483" s="128"/>
      <c r="CK1483" s="128"/>
      <c r="CL1483" s="128"/>
      <c r="CM1483" s="128"/>
      <c r="CN1483" s="128"/>
      <c r="CO1483" s="128"/>
      <c r="CP1483" s="128"/>
      <c r="CQ1483" s="128"/>
      <c r="CR1483" s="128"/>
      <c r="CS1483" s="128"/>
      <c r="CT1483" s="128"/>
      <c r="CU1483" s="128"/>
      <c r="CV1483" s="128"/>
      <c r="CW1483" s="128"/>
      <c r="CX1483" s="128"/>
      <c r="CY1483" s="128"/>
      <c r="CZ1483" s="128"/>
    </row>
    <row r="1484" spans="1:104">
      <c r="A1484" s="128"/>
      <c r="B1484" s="128"/>
      <c r="C1484" s="128"/>
      <c r="D1484" s="112"/>
      <c r="E1484" s="128"/>
      <c r="F1484" s="128"/>
      <c r="G1484" s="128"/>
      <c r="H1484" s="128"/>
      <c r="I1484" s="128"/>
      <c r="J1484" s="128"/>
      <c r="K1484" s="128"/>
      <c r="L1484" s="128"/>
      <c r="M1484" s="128"/>
      <c r="N1484" s="128"/>
      <c r="O1484" s="128"/>
      <c r="P1484" s="128"/>
      <c r="Q1484" s="128"/>
      <c r="R1484" s="128"/>
      <c r="S1484" s="128"/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  <c r="AV1484" s="128"/>
      <c r="AW1484" s="128"/>
      <c r="AX1484" s="128"/>
      <c r="AY1484" s="128"/>
      <c r="AZ1484" s="128"/>
      <c r="BA1484" s="128"/>
      <c r="BB1484" s="128"/>
      <c r="BC1484" s="128"/>
      <c r="BD1484" s="128"/>
      <c r="BE1484" s="128"/>
      <c r="BF1484" s="128"/>
      <c r="BG1484" s="128"/>
      <c r="BH1484" s="128"/>
      <c r="BI1484" s="128"/>
      <c r="BJ1484" s="128"/>
      <c r="BK1484" s="128"/>
      <c r="BL1484" s="128"/>
      <c r="BM1484" s="151"/>
      <c r="BN1484" s="128"/>
      <c r="BO1484" s="128"/>
      <c r="BP1484" s="128"/>
      <c r="BQ1484" s="128"/>
      <c r="BR1484" s="128"/>
      <c r="BS1484" s="128"/>
      <c r="BT1484" s="128"/>
      <c r="BU1484" s="128"/>
      <c r="BV1484" s="128"/>
      <c r="BW1484" s="128"/>
      <c r="BX1484" s="128"/>
      <c r="BY1484" s="128"/>
      <c r="BZ1484" s="128"/>
      <c r="CA1484" s="128"/>
      <c r="CB1484" s="128"/>
      <c r="CC1484" s="128"/>
      <c r="CD1484" s="128"/>
      <c r="CE1484" s="128"/>
      <c r="CF1484" s="128"/>
      <c r="CG1484" s="128"/>
      <c r="CH1484" s="128"/>
      <c r="CI1484" s="128"/>
      <c r="CJ1484" s="128"/>
      <c r="CK1484" s="128"/>
      <c r="CL1484" s="128"/>
      <c r="CM1484" s="128"/>
      <c r="CN1484" s="128"/>
      <c r="CO1484" s="128"/>
      <c r="CP1484" s="128"/>
      <c r="CQ1484" s="128"/>
      <c r="CR1484" s="128"/>
      <c r="CS1484" s="128"/>
      <c r="CT1484" s="128"/>
      <c r="CU1484" s="128"/>
      <c r="CV1484" s="128"/>
      <c r="CW1484" s="128"/>
      <c r="CX1484" s="128"/>
      <c r="CY1484" s="128"/>
      <c r="CZ1484" s="128"/>
    </row>
    <row r="1485" spans="1:104">
      <c r="A1485" s="149"/>
      <c r="B1485" s="149"/>
      <c r="C1485" s="150"/>
      <c r="D1485" s="102"/>
      <c r="E1485" s="149"/>
      <c r="F1485" s="149"/>
      <c r="G1485" s="149"/>
      <c r="H1485" s="149"/>
      <c r="I1485" s="149"/>
      <c r="J1485" s="149"/>
      <c r="K1485" s="149"/>
      <c r="L1485" s="149"/>
      <c r="M1485" s="149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9"/>
      <c r="AA1485" s="149"/>
      <c r="AB1485" s="149"/>
      <c r="AC1485" s="149"/>
      <c r="AD1485" s="149"/>
      <c r="AE1485" s="149"/>
      <c r="AF1485" s="149"/>
      <c r="AG1485" s="149"/>
      <c r="AH1485" s="149"/>
      <c r="AI1485" s="149"/>
      <c r="AJ1485" s="149"/>
      <c r="AK1485" s="149"/>
      <c r="AL1485" s="149"/>
      <c r="AM1485" s="149"/>
      <c r="AN1485" s="149"/>
      <c r="AO1485" s="128"/>
      <c r="AP1485" s="128"/>
      <c r="AQ1485" s="128"/>
      <c r="AR1485" s="128"/>
      <c r="AS1485" s="128"/>
      <c r="AT1485" s="128"/>
      <c r="AU1485" s="128"/>
      <c r="AV1485" s="128"/>
      <c r="AW1485" s="128"/>
      <c r="AX1485" s="128"/>
      <c r="AY1485" s="128"/>
      <c r="AZ1485" s="128"/>
      <c r="BA1485" s="128"/>
      <c r="BB1485" s="128"/>
      <c r="BC1485" s="128"/>
      <c r="BD1485" s="128"/>
      <c r="BE1485" s="128"/>
      <c r="BF1485" s="128"/>
      <c r="BG1485" s="128"/>
      <c r="BH1485" s="128"/>
      <c r="BI1485" s="128"/>
      <c r="BJ1485" s="128"/>
      <c r="BK1485" s="128"/>
      <c r="BL1485" s="128"/>
      <c r="BM1485" s="151"/>
      <c r="BN1485" s="128"/>
      <c r="BO1485" s="128"/>
      <c r="BP1485" s="128"/>
      <c r="BQ1485" s="128"/>
      <c r="BR1485" s="128"/>
      <c r="BS1485" s="128"/>
      <c r="BT1485" s="128"/>
      <c r="BU1485" s="128"/>
      <c r="BV1485" s="128"/>
      <c r="BW1485" s="128"/>
      <c r="BX1485" s="128"/>
      <c r="BY1485" s="128"/>
      <c r="BZ1485" s="128"/>
      <c r="CA1485" s="128"/>
      <c r="CB1485" s="128"/>
      <c r="CC1485" s="128"/>
      <c r="CD1485" s="128"/>
      <c r="CE1485" s="128"/>
      <c r="CF1485" s="128"/>
      <c r="CG1485" s="128"/>
      <c r="CI1485" s="128"/>
      <c r="CJ1485" s="128"/>
      <c r="CK1485" s="128"/>
      <c r="CL1485" s="128"/>
      <c r="CM1485" s="128"/>
      <c r="CN1485" s="128"/>
      <c r="CO1485" s="128"/>
      <c r="CP1485" s="128"/>
      <c r="CQ1485" s="128"/>
      <c r="CR1485" s="128"/>
      <c r="CS1485" s="128"/>
      <c r="CT1485" s="128"/>
      <c r="CU1485" s="128"/>
      <c r="CV1485" s="128"/>
      <c r="CW1485" s="128"/>
      <c r="CX1485" s="128"/>
      <c r="CY1485" s="128"/>
      <c r="CZ1485" s="165"/>
    </row>
    <row r="1486" spans="1:104">
      <c r="A1486" s="149"/>
      <c r="B1486" s="149"/>
      <c r="C1486" s="150"/>
      <c r="D1486" s="102"/>
      <c r="E1486" s="149"/>
      <c r="F1486" s="149"/>
      <c r="G1486" s="149"/>
      <c r="H1486" s="149"/>
      <c r="I1486" s="149"/>
      <c r="J1486" s="149"/>
      <c r="K1486" s="149"/>
      <c r="L1486" s="149"/>
      <c r="M1486" s="149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9"/>
      <c r="AA1486" s="149"/>
      <c r="AB1486" s="149"/>
      <c r="AC1486" s="149"/>
      <c r="AD1486" s="149"/>
      <c r="AE1486" s="149"/>
      <c r="AF1486" s="149"/>
      <c r="AG1486" s="149"/>
      <c r="AH1486" s="149"/>
      <c r="AI1486" s="149"/>
      <c r="AJ1486" s="149"/>
      <c r="AK1486" s="149"/>
      <c r="AL1486" s="149"/>
      <c r="AM1486" s="149"/>
      <c r="AN1486" s="149"/>
      <c r="AO1486" s="128"/>
      <c r="AP1486" s="128"/>
      <c r="AQ1486" s="128"/>
      <c r="AR1486" s="128"/>
      <c r="AS1486" s="128"/>
      <c r="AT1486" s="128"/>
      <c r="AU1486" s="128"/>
      <c r="AV1486" s="128"/>
      <c r="AW1486" s="128"/>
      <c r="AX1486" s="128"/>
      <c r="AY1486" s="128"/>
      <c r="AZ1486" s="128"/>
      <c r="BA1486" s="128"/>
      <c r="BB1486" s="128"/>
      <c r="BC1486" s="128"/>
      <c r="BD1486" s="128"/>
      <c r="BE1486" s="128"/>
      <c r="BF1486" s="128"/>
      <c r="BG1486" s="128"/>
      <c r="BH1486" s="128"/>
      <c r="BI1486" s="128"/>
      <c r="BJ1486" s="128"/>
      <c r="BK1486" s="128"/>
      <c r="BL1486" s="128"/>
      <c r="BM1486" s="151"/>
      <c r="BN1486" s="128"/>
      <c r="BO1486" s="128"/>
      <c r="BP1486" s="128"/>
      <c r="BQ1486" s="128"/>
      <c r="BR1486" s="128"/>
      <c r="BS1486" s="128"/>
      <c r="BT1486" s="128"/>
      <c r="BU1486" s="128"/>
      <c r="BV1486" s="128"/>
      <c r="BW1486" s="128"/>
      <c r="BX1486" s="128"/>
      <c r="BY1486" s="128"/>
      <c r="BZ1486" s="128"/>
      <c r="CA1486" s="128"/>
      <c r="CB1486" s="128"/>
      <c r="CC1486" s="128"/>
      <c r="CD1486" s="128"/>
      <c r="CE1486" s="128"/>
      <c r="CF1486" s="128"/>
      <c r="CG1486" s="128"/>
      <c r="CI1486" s="128"/>
      <c r="CJ1486" s="128"/>
      <c r="CK1486" s="128"/>
      <c r="CL1486" s="128"/>
      <c r="CM1486" s="128"/>
      <c r="CN1486" s="128"/>
      <c r="CO1486" s="128"/>
      <c r="CP1486" s="128"/>
      <c r="CQ1486" s="128"/>
      <c r="CR1486" s="128"/>
      <c r="CS1486" s="128"/>
      <c r="CT1486" s="128"/>
      <c r="CU1486" s="128"/>
      <c r="CV1486" s="128"/>
      <c r="CW1486" s="128"/>
      <c r="CX1486" s="128"/>
      <c r="CY1486" s="128"/>
      <c r="CZ1486" s="165"/>
    </row>
    <row r="1487" spans="1:104">
      <c r="A1487" s="149"/>
      <c r="B1487" s="149"/>
      <c r="C1487" s="150"/>
      <c r="D1487" s="102"/>
      <c r="E1487" s="149"/>
      <c r="F1487" s="149"/>
      <c r="G1487" s="149"/>
      <c r="H1487" s="149"/>
      <c r="I1487" s="149"/>
      <c r="J1487" s="149"/>
      <c r="K1487" s="149"/>
      <c r="L1487" s="149"/>
      <c r="M1487" s="149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9"/>
      <c r="AA1487" s="149"/>
      <c r="AB1487" s="149"/>
      <c r="AC1487" s="149"/>
      <c r="AD1487" s="149"/>
      <c r="AE1487" s="149"/>
      <c r="AF1487" s="149"/>
      <c r="AG1487" s="149"/>
      <c r="AH1487" s="149"/>
      <c r="AI1487" s="149"/>
      <c r="AJ1487" s="149"/>
      <c r="AK1487" s="149"/>
      <c r="AL1487" s="149"/>
      <c r="AM1487" s="149"/>
      <c r="AN1487" s="149"/>
      <c r="AO1487" s="128"/>
      <c r="AP1487" s="128"/>
      <c r="AQ1487" s="128"/>
      <c r="AR1487" s="128"/>
      <c r="AS1487" s="128"/>
      <c r="AT1487" s="128"/>
      <c r="AU1487" s="128"/>
      <c r="AV1487" s="128"/>
      <c r="AW1487" s="128"/>
      <c r="AX1487" s="128"/>
      <c r="AY1487" s="128"/>
      <c r="AZ1487" s="128"/>
      <c r="BA1487" s="128"/>
      <c r="BB1487" s="128"/>
      <c r="BC1487" s="128"/>
      <c r="BD1487" s="128"/>
      <c r="BE1487" s="128"/>
      <c r="BF1487" s="128"/>
      <c r="BG1487" s="128"/>
      <c r="BH1487" s="128"/>
      <c r="BI1487" s="128"/>
      <c r="BJ1487" s="128"/>
      <c r="BK1487" s="128"/>
      <c r="BL1487" s="128"/>
      <c r="BM1487" s="151"/>
      <c r="BN1487" s="128"/>
      <c r="BO1487" s="128"/>
      <c r="BP1487" s="128"/>
      <c r="BQ1487" s="128"/>
      <c r="BR1487" s="128"/>
      <c r="BS1487" s="128"/>
      <c r="BT1487" s="128"/>
      <c r="BU1487" s="128"/>
      <c r="BV1487" s="128"/>
      <c r="BW1487" s="128"/>
      <c r="BX1487" s="128"/>
      <c r="BY1487" s="128"/>
      <c r="BZ1487" s="128"/>
      <c r="CA1487" s="128"/>
      <c r="CB1487" s="128"/>
      <c r="CC1487" s="128"/>
      <c r="CD1487" s="128"/>
      <c r="CE1487" s="128"/>
      <c r="CF1487" s="128"/>
      <c r="CG1487" s="128"/>
      <c r="CI1487" s="128"/>
      <c r="CJ1487" s="128"/>
      <c r="CK1487" s="128"/>
      <c r="CL1487" s="128"/>
      <c r="CM1487" s="128"/>
      <c r="CN1487" s="128"/>
      <c r="CO1487" s="128"/>
      <c r="CP1487" s="128"/>
      <c r="CQ1487" s="128"/>
      <c r="CR1487" s="128"/>
      <c r="CS1487" s="128"/>
      <c r="CT1487" s="128"/>
      <c r="CU1487" s="128"/>
      <c r="CV1487" s="128"/>
      <c r="CW1487" s="128"/>
      <c r="CX1487" s="128"/>
      <c r="CY1487" s="128"/>
      <c r="CZ1487" s="165"/>
    </row>
    <row r="1488" spans="1:104">
      <c r="A1488" s="149"/>
      <c r="B1488" s="149"/>
      <c r="C1488" s="150"/>
      <c r="D1488" s="102"/>
      <c r="E1488" s="149"/>
      <c r="F1488" s="149"/>
      <c r="G1488" s="149"/>
      <c r="H1488" s="149"/>
      <c r="I1488" s="149"/>
      <c r="J1488" s="149"/>
      <c r="K1488" s="149"/>
      <c r="L1488" s="149"/>
      <c r="M1488" s="149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9"/>
      <c r="AA1488" s="149"/>
      <c r="AB1488" s="149"/>
      <c r="AC1488" s="149"/>
      <c r="AD1488" s="149"/>
      <c r="AE1488" s="149"/>
      <c r="AF1488" s="149"/>
      <c r="AG1488" s="149"/>
      <c r="AH1488" s="149"/>
      <c r="AI1488" s="149"/>
      <c r="AJ1488" s="149"/>
      <c r="AK1488" s="149"/>
      <c r="AL1488" s="149"/>
      <c r="AM1488" s="149"/>
      <c r="AN1488" s="149"/>
      <c r="AO1488" s="128"/>
      <c r="AP1488" s="128"/>
      <c r="AQ1488" s="128"/>
      <c r="AR1488" s="128"/>
      <c r="AS1488" s="128"/>
      <c r="AT1488" s="128"/>
      <c r="AU1488" s="128"/>
      <c r="AV1488" s="128"/>
      <c r="AW1488" s="128"/>
      <c r="AX1488" s="128"/>
      <c r="AY1488" s="128"/>
      <c r="AZ1488" s="128"/>
      <c r="BA1488" s="128"/>
      <c r="BB1488" s="128"/>
      <c r="BC1488" s="128"/>
      <c r="BD1488" s="128"/>
      <c r="BE1488" s="128"/>
      <c r="BF1488" s="128"/>
      <c r="BG1488" s="128"/>
      <c r="BH1488" s="128"/>
      <c r="BI1488" s="128"/>
      <c r="BJ1488" s="128"/>
      <c r="BK1488" s="128"/>
      <c r="BL1488" s="128"/>
      <c r="BM1488" s="151"/>
      <c r="BN1488" s="128"/>
      <c r="BO1488" s="128"/>
      <c r="BP1488" s="128"/>
      <c r="BQ1488" s="128"/>
      <c r="BR1488" s="128"/>
      <c r="BS1488" s="128"/>
      <c r="BT1488" s="128"/>
      <c r="BU1488" s="128"/>
      <c r="BV1488" s="128"/>
      <c r="BW1488" s="128"/>
      <c r="BX1488" s="128"/>
      <c r="BY1488" s="128"/>
      <c r="BZ1488" s="128"/>
      <c r="CA1488" s="128"/>
      <c r="CB1488" s="128"/>
      <c r="CC1488" s="128"/>
      <c r="CD1488" s="128"/>
      <c r="CE1488" s="128"/>
      <c r="CF1488" s="128"/>
      <c r="CG1488" s="128"/>
      <c r="CI1488" s="128"/>
      <c r="CJ1488" s="128"/>
      <c r="CK1488" s="128"/>
      <c r="CL1488" s="128"/>
      <c r="CM1488" s="128"/>
      <c r="CN1488" s="128"/>
      <c r="CO1488" s="128"/>
      <c r="CP1488" s="128"/>
      <c r="CQ1488" s="128"/>
      <c r="CR1488" s="128"/>
      <c r="CS1488" s="128"/>
      <c r="CT1488" s="128"/>
      <c r="CU1488" s="128"/>
      <c r="CV1488" s="128"/>
      <c r="CW1488" s="128"/>
      <c r="CX1488" s="128"/>
      <c r="CY1488" s="128"/>
      <c r="CZ1488" s="165"/>
    </row>
    <row r="1489" spans="1:104">
      <c r="A1489" s="149"/>
      <c r="B1489" s="149"/>
      <c r="C1489" s="150"/>
      <c r="D1489" s="102"/>
      <c r="E1489" s="149"/>
      <c r="F1489" s="149"/>
      <c r="G1489" s="149"/>
      <c r="H1489" s="149"/>
      <c r="I1489" s="149"/>
      <c r="J1489" s="149"/>
      <c r="K1489" s="149"/>
      <c r="L1489" s="149"/>
      <c r="M1489" s="149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9"/>
      <c r="AA1489" s="149"/>
      <c r="AB1489" s="149"/>
      <c r="AC1489" s="149"/>
      <c r="AD1489" s="149"/>
      <c r="AE1489" s="149"/>
      <c r="AF1489" s="149"/>
      <c r="AG1489" s="149"/>
      <c r="AH1489" s="149"/>
      <c r="AI1489" s="149"/>
      <c r="AJ1489" s="149"/>
      <c r="AK1489" s="149"/>
      <c r="AL1489" s="149"/>
      <c r="AM1489" s="149"/>
      <c r="AN1489" s="149"/>
      <c r="AO1489" s="128"/>
      <c r="AP1489" s="128"/>
      <c r="AQ1489" s="128"/>
      <c r="AR1489" s="128"/>
      <c r="AS1489" s="128"/>
      <c r="AT1489" s="128"/>
      <c r="AU1489" s="128"/>
      <c r="AV1489" s="128"/>
      <c r="AW1489" s="128"/>
      <c r="AX1489" s="128"/>
      <c r="AY1489" s="128"/>
      <c r="AZ1489" s="128"/>
      <c r="BA1489" s="128"/>
      <c r="BB1489" s="128"/>
      <c r="BC1489" s="128"/>
      <c r="BD1489" s="128"/>
      <c r="BE1489" s="128"/>
      <c r="BF1489" s="128"/>
      <c r="BG1489" s="128"/>
      <c r="BH1489" s="128"/>
      <c r="BI1489" s="128"/>
      <c r="BJ1489" s="128"/>
      <c r="BK1489" s="128"/>
      <c r="BL1489" s="128"/>
      <c r="BM1489" s="151"/>
      <c r="BN1489" s="128"/>
      <c r="BO1489" s="128"/>
      <c r="BP1489" s="128"/>
      <c r="BQ1489" s="128"/>
      <c r="BR1489" s="128"/>
      <c r="BS1489" s="128"/>
      <c r="BT1489" s="128"/>
      <c r="BU1489" s="128"/>
      <c r="BV1489" s="128"/>
      <c r="BW1489" s="128"/>
      <c r="BX1489" s="128"/>
      <c r="BY1489" s="128"/>
      <c r="BZ1489" s="128"/>
      <c r="CA1489" s="128"/>
      <c r="CB1489" s="128"/>
      <c r="CC1489" s="128"/>
      <c r="CD1489" s="128"/>
      <c r="CE1489" s="128"/>
      <c r="CF1489" s="128"/>
      <c r="CG1489" s="128"/>
      <c r="CI1489" s="128"/>
      <c r="CJ1489" s="128"/>
      <c r="CK1489" s="128"/>
      <c r="CL1489" s="128"/>
      <c r="CM1489" s="128"/>
      <c r="CN1489" s="128"/>
      <c r="CO1489" s="128"/>
      <c r="CP1489" s="128"/>
      <c r="CQ1489" s="128"/>
      <c r="CR1489" s="128"/>
      <c r="CS1489" s="128"/>
      <c r="CT1489" s="128"/>
      <c r="CU1489" s="128"/>
      <c r="CV1489" s="128"/>
      <c r="CW1489" s="128"/>
      <c r="CX1489" s="128"/>
      <c r="CY1489" s="128"/>
      <c r="CZ1489" s="165"/>
    </row>
    <row r="1490" spans="1:104">
      <c r="A1490" s="149"/>
      <c r="B1490" s="149"/>
      <c r="C1490" s="150"/>
      <c r="D1490" s="102"/>
      <c r="E1490" s="149"/>
      <c r="F1490" s="149"/>
      <c r="G1490" s="149"/>
      <c r="H1490" s="149"/>
      <c r="I1490" s="149"/>
      <c r="J1490" s="149"/>
      <c r="K1490" s="149"/>
      <c r="L1490" s="149"/>
      <c r="M1490" s="149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9"/>
      <c r="AA1490" s="149"/>
      <c r="AB1490" s="149"/>
      <c r="AC1490" s="149"/>
      <c r="AD1490" s="149"/>
      <c r="AE1490" s="149"/>
      <c r="AF1490" s="149"/>
      <c r="AG1490" s="149"/>
      <c r="AH1490" s="149"/>
      <c r="AI1490" s="149"/>
      <c r="AJ1490" s="149"/>
      <c r="AK1490" s="149"/>
      <c r="AL1490" s="149"/>
      <c r="AM1490" s="149"/>
      <c r="AN1490" s="149"/>
      <c r="AO1490" s="128"/>
      <c r="AP1490" s="128"/>
      <c r="AQ1490" s="128"/>
      <c r="AR1490" s="128"/>
      <c r="AS1490" s="128"/>
      <c r="AT1490" s="128"/>
      <c r="AU1490" s="128"/>
      <c r="AV1490" s="128"/>
      <c r="AW1490" s="128"/>
      <c r="AX1490" s="128"/>
      <c r="AY1490" s="128"/>
      <c r="AZ1490" s="128"/>
      <c r="BA1490" s="128"/>
      <c r="BB1490" s="128"/>
      <c r="BC1490" s="128"/>
      <c r="BD1490" s="128"/>
      <c r="BE1490" s="128"/>
      <c r="BF1490" s="128"/>
      <c r="BG1490" s="128"/>
      <c r="BH1490" s="128"/>
      <c r="BI1490" s="128"/>
      <c r="BJ1490" s="128"/>
      <c r="BK1490" s="128"/>
      <c r="BL1490" s="128"/>
      <c r="BM1490" s="151"/>
      <c r="BN1490" s="128"/>
      <c r="BO1490" s="128"/>
      <c r="BP1490" s="128"/>
      <c r="BQ1490" s="128"/>
      <c r="BR1490" s="128"/>
      <c r="BS1490" s="128"/>
      <c r="BT1490" s="128"/>
      <c r="BU1490" s="128"/>
      <c r="BV1490" s="128"/>
      <c r="BW1490" s="128"/>
      <c r="BX1490" s="128"/>
      <c r="BY1490" s="128"/>
      <c r="BZ1490" s="128"/>
      <c r="CA1490" s="128"/>
      <c r="CB1490" s="128"/>
      <c r="CC1490" s="128"/>
      <c r="CD1490" s="128"/>
      <c r="CE1490" s="128"/>
      <c r="CF1490" s="128"/>
      <c r="CG1490" s="128"/>
      <c r="CI1490" s="128"/>
      <c r="CJ1490" s="128"/>
      <c r="CK1490" s="128"/>
      <c r="CL1490" s="128"/>
      <c r="CM1490" s="128"/>
      <c r="CN1490" s="128"/>
      <c r="CO1490" s="128"/>
      <c r="CP1490" s="128"/>
      <c r="CQ1490" s="128"/>
      <c r="CR1490" s="128"/>
      <c r="CS1490" s="128"/>
      <c r="CT1490" s="128"/>
      <c r="CU1490" s="128"/>
      <c r="CV1490" s="128"/>
      <c r="CW1490" s="128"/>
      <c r="CX1490" s="128"/>
      <c r="CY1490" s="128"/>
      <c r="CZ1490" s="165"/>
    </row>
    <row r="1491" spans="1:104">
      <c r="A1491" s="149"/>
      <c r="B1491" s="149"/>
      <c r="C1491" s="150"/>
      <c r="D1491" s="102"/>
      <c r="E1491" s="149"/>
      <c r="F1491" s="149"/>
      <c r="G1491" s="149"/>
      <c r="H1491" s="149"/>
      <c r="I1491" s="149"/>
      <c r="J1491" s="149"/>
      <c r="K1491" s="149"/>
      <c r="L1491" s="149"/>
      <c r="M1491" s="149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9"/>
      <c r="AA1491" s="149"/>
      <c r="AB1491" s="149"/>
      <c r="AC1491" s="149"/>
      <c r="AD1491" s="149"/>
      <c r="AE1491" s="149"/>
      <c r="AF1491" s="149"/>
      <c r="AG1491" s="149"/>
      <c r="AH1491" s="149"/>
      <c r="AI1491" s="149"/>
      <c r="AJ1491" s="149"/>
      <c r="AK1491" s="149"/>
      <c r="AL1491" s="149"/>
      <c r="AM1491" s="149"/>
      <c r="AN1491" s="149"/>
      <c r="AO1491" s="128"/>
      <c r="AP1491" s="128"/>
      <c r="AQ1491" s="128"/>
      <c r="AR1491" s="128"/>
      <c r="AS1491" s="128"/>
      <c r="AT1491" s="128"/>
      <c r="AU1491" s="128"/>
      <c r="AV1491" s="128"/>
      <c r="AW1491" s="128"/>
      <c r="AX1491" s="128"/>
      <c r="AY1491" s="128"/>
      <c r="AZ1491" s="128"/>
      <c r="BA1491" s="128"/>
      <c r="BB1491" s="128"/>
      <c r="BC1491" s="128"/>
      <c r="BD1491" s="128"/>
      <c r="BE1491" s="128"/>
      <c r="BF1491" s="128"/>
      <c r="BG1491" s="128"/>
      <c r="BH1491" s="128"/>
      <c r="BI1491" s="128"/>
      <c r="BJ1491" s="128"/>
      <c r="BK1491" s="128"/>
      <c r="BL1491" s="128"/>
      <c r="BM1491" s="151"/>
      <c r="BN1491" s="128"/>
      <c r="BO1491" s="128"/>
      <c r="BP1491" s="128"/>
      <c r="BQ1491" s="128"/>
      <c r="BR1491" s="128"/>
      <c r="BS1491" s="128"/>
      <c r="BT1491" s="128"/>
      <c r="BU1491" s="128"/>
      <c r="BV1491" s="128"/>
      <c r="BW1491" s="128"/>
      <c r="BX1491" s="128"/>
      <c r="BY1491" s="128"/>
      <c r="BZ1491" s="128"/>
      <c r="CA1491" s="128"/>
      <c r="CB1491" s="128"/>
      <c r="CC1491" s="128"/>
      <c r="CD1491" s="128"/>
      <c r="CE1491" s="128"/>
      <c r="CF1491" s="128"/>
      <c r="CG1491" s="128"/>
      <c r="CI1491" s="128"/>
      <c r="CJ1491" s="128"/>
      <c r="CK1491" s="128"/>
      <c r="CL1491" s="128"/>
      <c r="CM1491" s="128"/>
      <c r="CN1491" s="128"/>
      <c r="CO1491" s="128"/>
      <c r="CP1491" s="128"/>
      <c r="CQ1491" s="128"/>
      <c r="CR1491" s="128"/>
      <c r="CS1491" s="128"/>
      <c r="CT1491" s="128"/>
      <c r="CU1491" s="128"/>
      <c r="CV1491" s="128"/>
      <c r="CW1491" s="128"/>
      <c r="CX1491" s="128"/>
      <c r="CY1491" s="128"/>
      <c r="CZ1491" s="165"/>
    </row>
    <row r="1492" spans="1:104">
      <c r="A1492" s="149"/>
      <c r="B1492" s="149"/>
      <c r="C1492" s="150"/>
      <c r="D1492" s="102"/>
      <c r="E1492" s="149"/>
      <c r="F1492" s="149"/>
      <c r="G1492" s="149"/>
      <c r="H1492" s="149"/>
      <c r="I1492" s="149"/>
      <c r="J1492" s="149"/>
      <c r="K1492" s="149"/>
      <c r="L1492" s="149"/>
      <c r="M1492" s="149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9"/>
      <c r="AA1492" s="149"/>
      <c r="AB1492" s="149"/>
      <c r="AC1492" s="149"/>
      <c r="AD1492" s="149"/>
      <c r="AE1492" s="149"/>
      <c r="AF1492" s="149"/>
      <c r="AG1492" s="149"/>
      <c r="AH1492" s="149"/>
      <c r="AI1492" s="149"/>
      <c r="AJ1492" s="149"/>
      <c r="AK1492" s="149"/>
      <c r="AL1492" s="149"/>
      <c r="AM1492" s="149"/>
      <c r="AN1492" s="149"/>
      <c r="AO1492" s="128"/>
      <c r="AP1492" s="128"/>
      <c r="AQ1492" s="128"/>
      <c r="AR1492" s="128"/>
      <c r="AS1492" s="128"/>
      <c r="AT1492" s="128"/>
      <c r="AU1492" s="128"/>
      <c r="AV1492" s="128"/>
      <c r="AW1492" s="128"/>
      <c r="AX1492" s="128"/>
      <c r="AY1492" s="128"/>
      <c r="AZ1492" s="128"/>
      <c r="BA1492" s="128"/>
      <c r="BB1492" s="128"/>
      <c r="BC1492" s="128"/>
      <c r="BD1492" s="128"/>
      <c r="BE1492" s="128"/>
      <c r="BF1492" s="128"/>
      <c r="BG1492" s="128"/>
      <c r="BH1492" s="128"/>
      <c r="BI1492" s="128"/>
      <c r="BJ1492" s="128"/>
      <c r="BK1492" s="128"/>
      <c r="BL1492" s="128"/>
      <c r="BM1492" s="151"/>
      <c r="BN1492" s="128"/>
      <c r="BO1492" s="128"/>
      <c r="BP1492" s="128"/>
      <c r="BQ1492" s="128"/>
      <c r="BR1492" s="128"/>
      <c r="BS1492" s="128"/>
      <c r="BT1492" s="128"/>
      <c r="BU1492" s="128"/>
      <c r="BV1492" s="128"/>
      <c r="BW1492" s="128"/>
      <c r="BX1492" s="128"/>
      <c r="BY1492" s="128"/>
      <c r="BZ1492" s="128"/>
      <c r="CA1492" s="128"/>
      <c r="CB1492" s="128"/>
      <c r="CC1492" s="128"/>
      <c r="CD1492" s="128"/>
      <c r="CE1492" s="128"/>
      <c r="CF1492" s="128"/>
      <c r="CG1492" s="128"/>
      <c r="CI1492" s="128"/>
      <c r="CJ1492" s="128"/>
      <c r="CK1492" s="128"/>
      <c r="CL1492" s="128"/>
      <c r="CM1492" s="128"/>
      <c r="CN1492" s="128"/>
      <c r="CO1492" s="128"/>
      <c r="CP1492" s="128"/>
      <c r="CQ1492" s="128"/>
      <c r="CR1492" s="128"/>
      <c r="CS1492" s="128"/>
      <c r="CT1492" s="128"/>
      <c r="CU1492" s="128"/>
      <c r="CV1492" s="128"/>
      <c r="CW1492" s="128"/>
      <c r="CX1492" s="128"/>
      <c r="CY1492" s="128"/>
      <c r="CZ1492" s="165"/>
    </row>
    <row r="1493" spans="1:104">
      <c r="A1493" s="149"/>
      <c r="B1493" s="149"/>
      <c r="C1493" s="150"/>
      <c r="D1493" s="102"/>
      <c r="E1493" s="149"/>
      <c r="F1493" s="149"/>
      <c r="G1493" s="149"/>
      <c r="H1493" s="149"/>
      <c r="I1493" s="149"/>
      <c r="J1493" s="149"/>
      <c r="K1493" s="149"/>
      <c r="L1493" s="149"/>
      <c r="M1493" s="149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9"/>
      <c r="AA1493" s="149"/>
      <c r="AB1493" s="149"/>
      <c r="AC1493" s="149"/>
      <c r="AD1493" s="149"/>
      <c r="AE1493" s="149"/>
      <c r="AF1493" s="149"/>
      <c r="AG1493" s="149"/>
      <c r="AH1493" s="149"/>
      <c r="AI1493" s="149"/>
      <c r="AJ1493" s="149"/>
      <c r="AK1493" s="149"/>
      <c r="AL1493" s="149"/>
      <c r="AM1493" s="149"/>
      <c r="AN1493" s="149"/>
      <c r="AO1493" s="128"/>
      <c r="AP1493" s="128"/>
      <c r="AQ1493" s="128"/>
      <c r="AR1493" s="128"/>
      <c r="AS1493" s="128"/>
      <c r="AT1493" s="128"/>
      <c r="AU1493" s="128"/>
      <c r="AV1493" s="128"/>
      <c r="AW1493" s="128"/>
      <c r="AX1493" s="128"/>
      <c r="AY1493" s="128"/>
      <c r="AZ1493" s="128"/>
      <c r="BA1493" s="128"/>
      <c r="BB1493" s="128"/>
      <c r="BC1493" s="128"/>
      <c r="BD1493" s="128"/>
      <c r="BE1493" s="128"/>
      <c r="BF1493" s="128"/>
      <c r="BG1493" s="128"/>
      <c r="BH1493" s="128"/>
      <c r="BI1493" s="128"/>
      <c r="BJ1493" s="128"/>
      <c r="BK1493" s="128"/>
      <c r="BL1493" s="128"/>
      <c r="BM1493" s="151"/>
      <c r="BN1493" s="128"/>
      <c r="BO1493" s="128"/>
      <c r="BP1493" s="128"/>
      <c r="BQ1493" s="128"/>
      <c r="BR1493" s="128"/>
      <c r="BS1493" s="128"/>
      <c r="BT1493" s="128"/>
      <c r="BU1493" s="128"/>
      <c r="BV1493" s="128"/>
      <c r="BW1493" s="128"/>
      <c r="BX1493" s="128"/>
      <c r="BY1493" s="128"/>
      <c r="BZ1493" s="128"/>
      <c r="CA1493" s="128"/>
      <c r="CB1493" s="128"/>
      <c r="CC1493" s="128"/>
      <c r="CD1493" s="128"/>
      <c r="CE1493" s="128"/>
      <c r="CF1493" s="128"/>
      <c r="CG1493" s="128"/>
      <c r="CI1493" s="128"/>
      <c r="CJ1493" s="128"/>
      <c r="CK1493" s="128"/>
      <c r="CL1493" s="128"/>
      <c r="CM1493" s="128"/>
      <c r="CN1493" s="128"/>
      <c r="CO1493" s="128"/>
      <c r="CP1493" s="128"/>
      <c r="CQ1493" s="128"/>
      <c r="CR1493" s="128"/>
      <c r="CS1493" s="128"/>
      <c r="CT1493" s="128"/>
      <c r="CU1493" s="128"/>
      <c r="CV1493" s="128"/>
      <c r="CW1493" s="128"/>
      <c r="CX1493" s="128"/>
      <c r="CY1493" s="128"/>
      <c r="CZ1493" s="165"/>
    </row>
    <row r="1494" spans="1:104">
      <c r="A1494" s="149"/>
      <c r="B1494" s="149"/>
      <c r="C1494" s="150"/>
      <c r="D1494" s="102"/>
      <c r="E1494" s="149"/>
      <c r="F1494" s="149"/>
      <c r="G1494" s="149"/>
      <c r="H1494" s="149"/>
      <c r="I1494" s="149"/>
      <c r="J1494" s="149"/>
      <c r="K1494" s="149"/>
      <c r="L1494" s="149"/>
      <c r="M1494" s="149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9"/>
      <c r="AA1494" s="149"/>
      <c r="AB1494" s="149"/>
      <c r="AC1494" s="149"/>
      <c r="AD1494" s="149"/>
      <c r="AE1494" s="149"/>
      <c r="AF1494" s="149"/>
      <c r="AG1494" s="149"/>
      <c r="AH1494" s="149"/>
      <c r="AI1494" s="149"/>
      <c r="AJ1494" s="149"/>
      <c r="AK1494" s="149"/>
      <c r="AL1494" s="149"/>
      <c r="AM1494" s="149"/>
      <c r="AN1494" s="149"/>
      <c r="AO1494" s="128"/>
      <c r="AP1494" s="128"/>
      <c r="AQ1494" s="128"/>
      <c r="AR1494" s="128"/>
      <c r="AS1494" s="128"/>
      <c r="AT1494" s="128"/>
      <c r="AU1494" s="128"/>
      <c r="AV1494" s="128"/>
      <c r="AW1494" s="128"/>
      <c r="AX1494" s="128"/>
      <c r="AY1494" s="128"/>
      <c r="AZ1494" s="128"/>
      <c r="BA1494" s="128"/>
      <c r="BB1494" s="128"/>
      <c r="BC1494" s="128"/>
      <c r="BD1494" s="128"/>
      <c r="BE1494" s="128"/>
      <c r="BF1494" s="128"/>
      <c r="BG1494" s="128"/>
      <c r="BH1494" s="128"/>
      <c r="BI1494" s="128"/>
      <c r="BJ1494" s="128"/>
      <c r="BK1494" s="128"/>
      <c r="BL1494" s="128"/>
      <c r="BM1494" s="151"/>
      <c r="BN1494" s="128"/>
      <c r="BO1494" s="128"/>
      <c r="BP1494" s="128"/>
      <c r="BQ1494" s="128"/>
      <c r="BR1494" s="128"/>
      <c r="BS1494" s="128"/>
      <c r="BT1494" s="128"/>
      <c r="BU1494" s="128"/>
      <c r="BV1494" s="128"/>
      <c r="BW1494" s="128"/>
      <c r="BX1494" s="128"/>
      <c r="BY1494" s="128"/>
      <c r="BZ1494" s="128"/>
      <c r="CA1494" s="128"/>
      <c r="CB1494" s="128"/>
      <c r="CC1494" s="128"/>
      <c r="CD1494" s="128"/>
      <c r="CE1494" s="128"/>
      <c r="CF1494" s="128"/>
      <c r="CG1494" s="128"/>
      <c r="CI1494" s="128"/>
      <c r="CJ1494" s="128"/>
      <c r="CK1494" s="128"/>
      <c r="CL1494" s="128"/>
      <c r="CM1494" s="128"/>
      <c r="CN1494" s="128"/>
      <c r="CO1494" s="128"/>
      <c r="CP1494" s="128"/>
      <c r="CQ1494" s="128"/>
      <c r="CR1494" s="128"/>
      <c r="CS1494" s="128"/>
      <c r="CT1494" s="128"/>
      <c r="CU1494" s="128"/>
      <c r="CV1494" s="128"/>
      <c r="CW1494" s="128"/>
      <c r="CX1494" s="128"/>
      <c r="CY1494" s="128"/>
      <c r="CZ1494" s="165"/>
    </row>
    <row r="1495" spans="1:104">
      <c r="A1495" s="149"/>
      <c r="B1495" s="149"/>
      <c r="C1495" s="150"/>
      <c r="D1495" s="102"/>
      <c r="E1495" s="149"/>
      <c r="F1495" s="149"/>
      <c r="G1495" s="149"/>
      <c r="H1495" s="149"/>
      <c r="I1495" s="149"/>
      <c r="J1495" s="149"/>
      <c r="K1495" s="149"/>
      <c r="L1495" s="149"/>
      <c r="M1495" s="149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9"/>
      <c r="AA1495" s="149"/>
      <c r="AB1495" s="149"/>
      <c r="AC1495" s="149"/>
      <c r="AD1495" s="149"/>
      <c r="AE1495" s="149"/>
      <c r="AF1495" s="149"/>
      <c r="AG1495" s="149"/>
      <c r="AH1495" s="149"/>
      <c r="AI1495" s="149"/>
      <c r="AJ1495" s="149"/>
      <c r="AK1495" s="149"/>
      <c r="AL1495" s="149"/>
      <c r="AM1495" s="149"/>
      <c r="AN1495" s="149"/>
      <c r="AO1495" s="128"/>
      <c r="AP1495" s="128"/>
      <c r="AQ1495" s="128"/>
      <c r="AR1495" s="128"/>
      <c r="AS1495" s="128"/>
      <c r="AT1495" s="128"/>
      <c r="AU1495" s="128"/>
      <c r="AV1495" s="128"/>
      <c r="AW1495" s="128"/>
      <c r="AX1495" s="128"/>
      <c r="AY1495" s="128"/>
      <c r="AZ1495" s="128"/>
      <c r="BA1495" s="128"/>
      <c r="BB1495" s="128"/>
      <c r="BC1495" s="128"/>
      <c r="BD1495" s="128"/>
      <c r="BE1495" s="128"/>
      <c r="BF1495" s="128"/>
      <c r="BG1495" s="128"/>
      <c r="BH1495" s="128"/>
      <c r="BI1495" s="128"/>
      <c r="BJ1495" s="128"/>
      <c r="BK1495" s="128"/>
      <c r="BL1495" s="128"/>
      <c r="BM1495" s="151"/>
      <c r="BN1495" s="128"/>
      <c r="BO1495" s="128"/>
      <c r="BP1495" s="128"/>
      <c r="BQ1495" s="128"/>
      <c r="BR1495" s="128"/>
      <c r="BS1495" s="128"/>
      <c r="BT1495" s="128"/>
      <c r="BU1495" s="128"/>
      <c r="BV1495" s="128"/>
      <c r="BW1495" s="128"/>
      <c r="BX1495" s="128"/>
      <c r="BY1495" s="128"/>
      <c r="BZ1495" s="128"/>
      <c r="CA1495" s="128"/>
      <c r="CB1495" s="128"/>
      <c r="CC1495" s="128"/>
      <c r="CD1495" s="128"/>
      <c r="CE1495" s="128"/>
      <c r="CF1495" s="128"/>
      <c r="CG1495" s="128"/>
      <c r="CI1495" s="128"/>
      <c r="CJ1495" s="128"/>
      <c r="CK1495" s="128"/>
      <c r="CL1495" s="128"/>
      <c r="CM1495" s="128"/>
      <c r="CN1495" s="128"/>
      <c r="CO1495" s="128"/>
      <c r="CP1495" s="128"/>
      <c r="CQ1495" s="128"/>
      <c r="CR1495" s="128"/>
      <c r="CS1495" s="128"/>
      <c r="CT1495" s="128"/>
      <c r="CU1495" s="128"/>
      <c r="CV1495" s="128"/>
      <c r="CW1495" s="128"/>
      <c r="CX1495" s="128"/>
      <c r="CY1495" s="128"/>
      <c r="CZ1495" s="165"/>
    </row>
    <row r="1496" spans="1:104">
      <c r="A1496" s="149"/>
      <c r="B1496" s="149"/>
      <c r="C1496" s="150"/>
      <c r="D1496" s="102"/>
      <c r="E1496" s="149"/>
      <c r="F1496" s="149"/>
      <c r="G1496" s="149"/>
      <c r="H1496" s="149"/>
      <c r="I1496" s="149"/>
      <c r="J1496" s="149"/>
      <c r="K1496" s="149"/>
      <c r="L1496" s="149"/>
      <c r="M1496" s="149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9"/>
      <c r="AA1496" s="149"/>
      <c r="AB1496" s="149"/>
      <c r="AC1496" s="149"/>
      <c r="AD1496" s="149"/>
      <c r="AE1496" s="149"/>
      <c r="AF1496" s="149"/>
      <c r="AG1496" s="149"/>
      <c r="AH1496" s="149"/>
      <c r="AI1496" s="149"/>
      <c r="AJ1496" s="149"/>
      <c r="AK1496" s="149"/>
      <c r="AL1496" s="149"/>
      <c r="AM1496" s="149"/>
      <c r="AN1496" s="149"/>
      <c r="AO1496" s="128"/>
      <c r="AP1496" s="128"/>
      <c r="AQ1496" s="128"/>
      <c r="AR1496" s="128"/>
      <c r="AS1496" s="128"/>
      <c r="AT1496" s="128"/>
      <c r="AU1496" s="128"/>
      <c r="AV1496" s="128"/>
      <c r="AW1496" s="128"/>
      <c r="AX1496" s="128"/>
      <c r="AY1496" s="128"/>
      <c r="AZ1496" s="128"/>
      <c r="BA1496" s="128"/>
      <c r="BB1496" s="128"/>
      <c r="BC1496" s="128"/>
      <c r="BD1496" s="128"/>
      <c r="BE1496" s="128"/>
      <c r="BF1496" s="128"/>
      <c r="BG1496" s="128"/>
      <c r="BH1496" s="128"/>
      <c r="BI1496" s="128"/>
      <c r="BJ1496" s="128"/>
      <c r="BK1496" s="128"/>
      <c r="BL1496" s="128"/>
      <c r="BM1496" s="151"/>
      <c r="BN1496" s="128"/>
      <c r="BO1496" s="128"/>
      <c r="BP1496" s="128"/>
      <c r="BQ1496" s="128"/>
      <c r="BR1496" s="128"/>
      <c r="BS1496" s="128"/>
      <c r="BT1496" s="128"/>
      <c r="BU1496" s="128"/>
      <c r="BV1496" s="128"/>
      <c r="BW1496" s="128"/>
      <c r="BX1496" s="128"/>
      <c r="BY1496" s="128"/>
      <c r="BZ1496" s="128"/>
      <c r="CA1496" s="128"/>
      <c r="CB1496" s="128"/>
      <c r="CC1496" s="128"/>
      <c r="CD1496" s="128"/>
      <c r="CE1496" s="128"/>
      <c r="CF1496" s="128"/>
      <c r="CG1496" s="128"/>
      <c r="CI1496" s="128"/>
      <c r="CJ1496" s="128"/>
      <c r="CK1496" s="128"/>
      <c r="CL1496" s="128"/>
      <c r="CM1496" s="128"/>
      <c r="CN1496" s="128"/>
      <c r="CO1496" s="128"/>
      <c r="CP1496" s="128"/>
      <c r="CQ1496" s="128"/>
      <c r="CR1496" s="128"/>
      <c r="CS1496" s="128"/>
      <c r="CT1496" s="128"/>
      <c r="CU1496" s="128"/>
      <c r="CV1496" s="128"/>
      <c r="CW1496" s="128"/>
      <c r="CX1496" s="128"/>
      <c r="CY1496" s="128"/>
      <c r="CZ1496" s="165"/>
    </row>
    <row r="1497" spans="1:104">
      <c r="A1497" s="149"/>
      <c r="B1497" s="149"/>
      <c r="C1497" s="150"/>
      <c r="D1497" s="102"/>
      <c r="E1497" s="149"/>
      <c r="F1497" s="149"/>
      <c r="G1497" s="149"/>
      <c r="H1497" s="149"/>
      <c r="I1497" s="149"/>
      <c r="J1497" s="149"/>
      <c r="K1497" s="149"/>
      <c r="L1497" s="149"/>
      <c r="M1497" s="149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9"/>
      <c r="AA1497" s="149"/>
      <c r="AB1497" s="149"/>
      <c r="AC1497" s="149"/>
      <c r="AD1497" s="149"/>
      <c r="AE1497" s="149"/>
      <c r="AF1497" s="149"/>
      <c r="AG1497" s="149"/>
      <c r="AH1497" s="149"/>
      <c r="AI1497" s="149"/>
      <c r="AJ1497" s="149"/>
      <c r="AK1497" s="149"/>
      <c r="AL1497" s="149"/>
      <c r="AM1497" s="149"/>
      <c r="AN1497" s="149"/>
      <c r="AO1497" s="128"/>
      <c r="AP1497" s="128"/>
      <c r="AQ1497" s="128"/>
      <c r="AR1497" s="128"/>
      <c r="AS1497" s="128"/>
      <c r="AT1497" s="128"/>
      <c r="AU1497" s="128"/>
      <c r="AV1497" s="128"/>
      <c r="AW1497" s="128"/>
      <c r="AX1497" s="128"/>
      <c r="AY1497" s="128"/>
      <c r="AZ1497" s="128"/>
      <c r="BA1497" s="128"/>
      <c r="BB1497" s="128"/>
      <c r="BC1497" s="128"/>
      <c r="BD1497" s="128"/>
      <c r="BE1497" s="128"/>
      <c r="BF1497" s="128"/>
      <c r="BG1497" s="128"/>
      <c r="BH1497" s="128"/>
      <c r="BI1497" s="128"/>
      <c r="BJ1497" s="128"/>
      <c r="BK1497" s="128"/>
      <c r="BL1497" s="128"/>
      <c r="BM1497" s="151"/>
      <c r="BN1497" s="128"/>
      <c r="BO1497" s="128"/>
      <c r="BP1497" s="128"/>
      <c r="BQ1497" s="128"/>
      <c r="BR1497" s="128"/>
      <c r="BS1497" s="128"/>
      <c r="BT1497" s="128"/>
      <c r="BU1497" s="128"/>
      <c r="BV1497" s="128"/>
      <c r="BW1497" s="128"/>
      <c r="BX1497" s="128"/>
      <c r="BY1497" s="128"/>
      <c r="BZ1497" s="128"/>
      <c r="CA1497" s="128"/>
      <c r="CB1497" s="128"/>
      <c r="CC1497" s="128"/>
      <c r="CD1497" s="128"/>
      <c r="CE1497" s="128"/>
      <c r="CF1497" s="128"/>
      <c r="CG1497" s="128"/>
      <c r="CI1497" s="128"/>
      <c r="CJ1497" s="128"/>
      <c r="CK1497" s="128"/>
      <c r="CL1497" s="128"/>
      <c r="CM1497" s="128"/>
      <c r="CN1497" s="128"/>
      <c r="CO1497" s="128"/>
      <c r="CP1497" s="128"/>
      <c r="CQ1497" s="128"/>
      <c r="CR1497" s="128"/>
      <c r="CS1497" s="128"/>
      <c r="CT1497" s="128"/>
      <c r="CU1497" s="128"/>
      <c r="CV1497" s="128"/>
      <c r="CW1497" s="128"/>
      <c r="CX1497" s="128"/>
      <c r="CY1497" s="128"/>
      <c r="CZ1497" s="165"/>
    </row>
    <row r="1498" spans="1:104">
      <c r="A1498" s="149"/>
      <c r="B1498" s="149"/>
      <c r="C1498" s="150"/>
      <c r="D1498" s="102"/>
      <c r="E1498" s="149"/>
      <c r="F1498" s="149"/>
      <c r="G1498" s="149"/>
      <c r="H1498" s="149"/>
      <c r="I1498" s="149"/>
      <c r="J1498" s="149"/>
      <c r="K1498" s="149"/>
      <c r="L1498" s="149"/>
      <c r="M1498" s="149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9"/>
      <c r="AA1498" s="149"/>
      <c r="AB1498" s="149"/>
      <c r="AC1498" s="149"/>
      <c r="AD1498" s="149"/>
      <c r="AE1498" s="149"/>
      <c r="AF1498" s="149"/>
      <c r="AG1498" s="149"/>
      <c r="AH1498" s="149"/>
      <c r="AI1498" s="149"/>
      <c r="AJ1498" s="149"/>
      <c r="AK1498" s="149"/>
      <c r="AL1498" s="149"/>
      <c r="AM1498" s="149"/>
      <c r="AN1498" s="149"/>
      <c r="AO1498" s="128"/>
      <c r="AP1498" s="128"/>
      <c r="AQ1498" s="128"/>
      <c r="AR1498" s="128"/>
      <c r="AS1498" s="128"/>
      <c r="AT1498" s="128"/>
      <c r="AU1498" s="128"/>
      <c r="AV1498" s="128"/>
      <c r="AW1498" s="128"/>
      <c r="AX1498" s="128"/>
      <c r="AY1498" s="128"/>
      <c r="AZ1498" s="128"/>
      <c r="BA1498" s="128"/>
      <c r="BB1498" s="128"/>
      <c r="BC1498" s="128"/>
      <c r="BD1498" s="128"/>
      <c r="BE1498" s="128"/>
      <c r="BF1498" s="128"/>
      <c r="BG1498" s="128"/>
      <c r="BH1498" s="128"/>
      <c r="BI1498" s="128"/>
      <c r="BJ1498" s="128"/>
      <c r="BK1498" s="128"/>
      <c r="BL1498" s="128"/>
      <c r="BM1498" s="151"/>
      <c r="BN1498" s="128"/>
      <c r="BO1498" s="128"/>
      <c r="BP1498" s="128"/>
      <c r="BQ1498" s="128"/>
      <c r="BR1498" s="128"/>
      <c r="BS1498" s="128"/>
      <c r="BT1498" s="128"/>
      <c r="BU1498" s="128"/>
      <c r="BV1498" s="128"/>
      <c r="BW1498" s="128"/>
      <c r="BX1498" s="128"/>
      <c r="BY1498" s="128"/>
      <c r="BZ1498" s="128"/>
      <c r="CA1498" s="128"/>
      <c r="CB1498" s="128"/>
      <c r="CC1498" s="128"/>
      <c r="CD1498" s="128"/>
      <c r="CE1498" s="128"/>
      <c r="CF1498" s="128"/>
      <c r="CG1498" s="128"/>
      <c r="CI1498" s="128"/>
      <c r="CJ1498" s="128"/>
      <c r="CK1498" s="128"/>
      <c r="CL1498" s="128"/>
      <c r="CM1498" s="128"/>
      <c r="CN1498" s="128"/>
      <c r="CO1498" s="128"/>
      <c r="CP1498" s="128"/>
      <c r="CQ1498" s="128"/>
      <c r="CR1498" s="128"/>
      <c r="CS1498" s="128"/>
      <c r="CT1498" s="128"/>
      <c r="CU1498" s="128"/>
      <c r="CV1498" s="128"/>
      <c r="CW1498" s="128"/>
      <c r="CX1498" s="128"/>
      <c r="CY1498" s="128"/>
      <c r="CZ1498" s="165"/>
    </row>
    <row r="1499" spans="1:104">
      <c r="A1499" s="149"/>
      <c r="B1499" s="149"/>
      <c r="C1499" s="150"/>
      <c r="D1499" s="102"/>
      <c r="E1499" s="149"/>
      <c r="F1499" s="149"/>
      <c r="G1499" s="149"/>
      <c r="H1499" s="149"/>
      <c r="I1499" s="149"/>
      <c r="J1499" s="149"/>
      <c r="K1499" s="149"/>
      <c r="L1499" s="149"/>
      <c r="M1499" s="149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9"/>
      <c r="AA1499" s="149"/>
      <c r="AB1499" s="149"/>
      <c r="AC1499" s="149"/>
      <c r="AD1499" s="149"/>
      <c r="AE1499" s="149"/>
      <c r="AF1499" s="149"/>
      <c r="AG1499" s="149"/>
      <c r="AH1499" s="149"/>
      <c r="AI1499" s="149"/>
      <c r="AJ1499" s="149"/>
      <c r="AK1499" s="149"/>
      <c r="AL1499" s="149"/>
      <c r="AM1499" s="149"/>
      <c r="AN1499" s="149"/>
      <c r="AO1499" s="128"/>
      <c r="AP1499" s="128"/>
      <c r="AQ1499" s="128"/>
      <c r="AR1499" s="128"/>
      <c r="AS1499" s="128"/>
      <c r="AT1499" s="128"/>
      <c r="AU1499" s="128"/>
      <c r="AV1499" s="128"/>
      <c r="AW1499" s="128"/>
      <c r="AX1499" s="128"/>
      <c r="AY1499" s="128"/>
      <c r="AZ1499" s="128"/>
      <c r="BA1499" s="128"/>
      <c r="BB1499" s="128"/>
      <c r="BC1499" s="128"/>
      <c r="BD1499" s="128"/>
      <c r="BE1499" s="128"/>
      <c r="BF1499" s="128"/>
      <c r="BG1499" s="128"/>
      <c r="BH1499" s="128"/>
      <c r="BI1499" s="128"/>
      <c r="BJ1499" s="128"/>
      <c r="BK1499" s="128"/>
      <c r="BL1499" s="128"/>
      <c r="BM1499" s="151"/>
      <c r="BN1499" s="128"/>
      <c r="BO1499" s="128"/>
      <c r="BP1499" s="128"/>
      <c r="BQ1499" s="128"/>
      <c r="BR1499" s="128"/>
      <c r="BS1499" s="128"/>
      <c r="BT1499" s="128"/>
      <c r="BU1499" s="128"/>
      <c r="BV1499" s="128"/>
      <c r="BW1499" s="128"/>
      <c r="BX1499" s="128"/>
      <c r="BY1499" s="128"/>
      <c r="BZ1499" s="128"/>
      <c r="CA1499" s="128"/>
      <c r="CB1499" s="128"/>
      <c r="CC1499" s="128"/>
      <c r="CD1499" s="128"/>
      <c r="CE1499" s="128"/>
      <c r="CF1499" s="128"/>
      <c r="CG1499" s="128"/>
      <c r="CI1499" s="128"/>
      <c r="CJ1499" s="128"/>
      <c r="CK1499" s="128"/>
      <c r="CL1499" s="128"/>
      <c r="CM1499" s="128"/>
      <c r="CN1499" s="128"/>
      <c r="CO1499" s="128"/>
      <c r="CP1499" s="128"/>
      <c r="CQ1499" s="128"/>
      <c r="CR1499" s="128"/>
      <c r="CS1499" s="128"/>
      <c r="CT1499" s="128"/>
      <c r="CU1499" s="128"/>
      <c r="CV1499" s="128"/>
      <c r="CW1499" s="128"/>
      <c r="CX1499" s="128"/>
      <c r="CY1499" s="128"/>
      <c r="CZ1499" s="165"/>
    </row>
    <row r="1500" spans="1:104">
      <c r="A1500" s="149"/>
      <c r="B1500" s="149"/>
      <c r="C1500" s="150"/>
      <c r="D1500" s="102"/>
      <c r="E1500" s="149"/>
      <c r="F1500" s="149"/>
      <c r="G1500" s="149"/>
      <c r="H1500" s="149"/>
      <c r="I1500" s="149"/>
      <c r="J1500" s="149"/>
      <c r="K1500" s="149"/>
      <c r="L1500" s="149"/>
      <c r="M1500" s="149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9"/>
      <c r="AA1500" s="149"/>
      <c r="AB1500" s="149"/>
      <c r="AC1500" s="149"/>
      <c r="AD1500" s="149"/>
      <c r="AE1500" s="149"/>
      <c r="AF1500" s="149"/>
      <c r="AG1500" s="149"/>
      <c r="AH1500" s="149"/>
      <c r="AI1500" s="149"/>
      <c r="AJ1500" s="149"/>
      <c r="AK1500" s="149"/>
      <c r="AL1500" s="149"/>
      <c r="AM1500" s="149"/>
      <c r="AN1500" s="149"/>
      <c r="AO1500" s="128"/>
      <c r="AP1500" s="128"/>
      <c r="AQ1500" s="128"/>
      <c r="AR1500" s="128"/>
      <c r="AS1500" s="128"/>
      <c r="AT1500" s="128"/>
      <c r="AU1500" s="128"/>
      <c r="AV1500" s="128"/>
      <c r="AW1500" s="128"/>
      <c r="AX1500" s="128"/>
      <c r="AY1500" s="128"/>
      <c r="AZ1500" s="128"/>
      <c r="BA1500" s="128"/>
      <c r="BB1500" s="128"/>
      <c r="BC1500" s="128"/>
      <c r="BD1500" s="128"/>
      <c r="BE1500" s="128"/>
      <c r="BF1500" s="128"/>
      <c r="BG1500" s="128"/>
      <c r="BH1500" s="128"/>
      <c r="BI1500" s="128"/>
      <c r="BJ1500" s="128"/>
      <c r="BK1500" s="128"/>
      <c r="BL1500" s="128"/>
      <c r="BM1500" s="151"/>
      <c r="BN1500" s="128"/>
      <c r="BO1500" s="128"/>
      <c r="BP1500" s="128"/>
      <c r="BQ1500" s="128"/>
      <c r="BR1500" s="128"/>
      <c r="BS1500" s="128"/>
      <c r="BT1500" s="128"/>
      <c r="BU1500" s="128"/>
      <c r="BV1500" s="128"/>
      <c r="BW1500" s="128"/>
      <c r="BX1500" s="128"/>
      <c r="BY1500" s="128"/>
      <c r="BZ1500" s="128"/>
      <c r="CA1500" s="128"/>
      <c r="CB1500" s="128"/>
      <c r="CC1500" s="128"/>
      <c r="CD1500" s="128"/>
      <c r="CE1500" s="128"/>
      <c r="CF1500" s="128"/>
      <c r="CG1500" s="128"/>
      <c r="CI1500" s="128"/>
      <c r="CJ1500" s="128"/>
      <c r="CK1500" s="128"/>
      <c r="CL1500" s="128"/>
      <c r="CM1500" s="128"/>
      <c r="CN1500" s="128"/>
      <c r="CO1500" s="128"/>
      <c r="CP1500" s="128"/>
      <c r="CQ1500" s="128"/>
      <c r="CR1500" s="128"/>
      <c r="CS1500" s="128"/>
      <c r="CT1500" s="128"/>
      <c r="CU1500" s="128"/>
      <c r="CV1500" s="128"/>
      <c r="CW1500" s="128"/>
      <c r="CX1500" s="128"/>
      <c r="CY1500" s="128"/>
      <c r="CZ1500" s="165"/>
    </row>
    <row r="1501" spans="1:104">
      <c r="A1501" s="149"/>
      <c r="B1501" s="149"/>
      <c r="C1501" s="150"/>
      <c r="D1501" s="102"/>
      <c r="E1501" s="149"/>
      <c r="F1501" s="149"/>
      <c r="G1501" s="149"/>
      <c r="H1501" s="149"/>
      <c r="I1501" s="149"/>
      <c r="J1501" s="149"/>
      <c r="K1501" s="149"/>
      <c r="L1501" s="149"/>
      <c r="M1501" s="149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9"/>
      <c r="AA1501" s="149"/>
      <c r="AB1501" s="149"/>
      <c r="AC1501" s="149"/>
      <c r="AD1501" s="149"/>
      <c r="AE1501" s="149"/>
      <c r="AF1501" s="149"/>
      <c r="AG1501" s="149"/>
      <c r="AH1501" s="149"/>
      <c r="AI1501" s="149"/>
      <c r="AJ1501" s="149"/>
      <c r="AK1501" s="149"/>
      <c r="AL1501" s="149"/>
      <c r="AM1501" s="149"/>
      <c r="AN1501" s="149"/>
      <c r="AO1501" s="128"/>
      <c r="AP1501" s="128"/>
      <c r="AQ1501" s="128"/>
      <c r="AR1501" s="128"/>
      <c r="AS1501" s="128"/>
      <c r="AT1501" s="128"/>
      <c r="AU1501" s="128"/>
      <c r="AV1501" s="128"/>
      <c r="AW1501" s="128"/>
      <c r="AX1501" s="128"/>
      <c r="AY1501" s="128"/>
      <c r="AZ1501" s="128"/>
      <c r="BA1501" s="128"/>
      <c r="BB1501" s="128"/>
      <c r="BC1501" s="128"/>
      <c r="BD1501" s="128"/>
      <c r="BE1501" s="128"/>
      <c r="BF1501" s="128"/>
      <c r="BG1501" s="128"/>
      <c r="BH1501" s="128"/>
      <c r="BI1501" s="128"/>
      <c r="BJ1501" s="128"/>
      <c r="BK1501" s="128"/>
      <c r="BL1501" s="128"/>
      <c r="BM1501" s="151"/>
      <c r="BN1501" s="128"/>
      <c r="BO1501" s="128"/>
      <c r="BP1501" s="128"/>
      <c r="BQ1501" s="128"/>
      <c r="BR1501" s="128"/>
      <c r="BS1501" s="128"/>
      <c r="BT1501" s="128"/>
      <c r="BU1501" s="128"/>
      <c r="BV1501" s="128"/>
      <c r="BW1501" s="128"/>
      <c r="BX1501" s="128"/>
      <c r="BY1501" s="128"/>
      <c r="BZ1501" s="128"/>
      <c r="CA1501" s="128"/>
      <c r="CB1501" s="128"/>
      <c r="CC1501" s="128"/>
      <c r="CD1501" s="128"/>
      <c r="CE1501" s="128"/>
      <c r="CF1501" s="128"/>
      <c r="CG1501" s="128"/>
      <c r="CI1501" s="128"/>
      <c r="CJ1501" s="128"/>
      <c r="CK1501" s="128"/>
      <c r="CL1501" s="128"/>
      <c r="CM1501" s="128"/>
      <c r="CN1501" s="128"/>
      <c r="CO1501" s="128"/>
      <c r="CP1501" s="128"/>
      <c r="CQ1501" s="128"/>
      <c r="CR1501" s="128"/>
      <c r="CS1501" s="128"/>
      <c r="CT1501" s="128"/>
      <c r="CU1501" s="128"/>
      <c r="CV1501" s="128"/>
      <c r="CW1501" s="128"/>
      <c r="CX1501" s="128"/>
      <c r="CY1501" s="128"/>
      <c r="CZ1501" s="165"/>
    </row>
    <row r="1502" spans="1:104">
      <c r="A1502" s="149"/>
      <c r="B1502" s="149"/>
      <c r="C1502" s="150"/>
      <c r="D1502" s="102"/>
      <c r="E1502" s="149"/>
      <c r="F1502" s="149"/>
      <c r="G1502" s="149"/>
      <c r="H1502" s="149"/>
      <c r="I1502" s="149"/>
      <c r="J1502" s="149"/>
      <c r="K1502" s="149"/>
      <c r="L1502" s="149"/>
      <c r="M1502" s="149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9"/>
      <c r="AA1502" s="149"/>
      <c r="AB1502" s="149"/>
      <c r="AC1502" s="149"/>
      <c r="AD1502" s="149"/>
      <c r="AE1502" s="149"/>
      <c r="AF1502" s="149"/>
      <c r="AG1502" s="149"/>
      <c r="AH1502" s="149"/>
      <c r="AI1502" s="149"/>
      <c r="AJ1502" s="149"/>
      <c r="AK1502" s="149"/>
      <c r="AL1502" s="149"/>
      <c r="AM1502" s="149"/>
      <c r="AN1502" s="149"/>
      <c r="AO1502" s="128"/>
      <c r="AP1502" s="128"/>
      <c r="AQ1502" s="128"/>
      <c r="AR1502" s="128"/>
      <c r="AS1502" s="128"/>
      <c r="AT1502" s="128"/>
      <c r="AU1502" s="128"/>
      <c r="AV1502" s="128"/>
      <c r="AW1502" s="128"/>
      <c r="AX1502" s="128"/>
      <c r="AY1502" s="128"/>
      <c r="AZ1502" s="128"/>
      <c r="BA1502" s="128"/>
      <c r="BB1502" s="128"/>
      <c r="BC1502" s="128"/>
      <c r="BD1502" s="128"/>
      <c r="BE1502" s="128"/>
      <c r="BF1502" s="128"/>
      <c r="BG1502" s="128"/>
      <c r="BH1502" s="128"/>
      <c r="BI1502" s="128"/>
      <c r="BJ1502" s="128"/>
      <c r="BK1502" s="128"/>
      <c r="BL1502" s="128"/>
      <c r="BM1502" s="151"/>
      <c r="BN1502" s="128"/>
      <c r="BO1502" s="128"/>
      <c r="BP1502" s="128"/>
      <c r="BQ1502" s="128"/>
      <c r="BR1502" s="128"/>
      <c r="BS1502" s="128"/>
      <c r="BT1502" s="128"/>
      <c r="BU1502" s="128"/>
      <c r="BV1502" s="128"/>
      <c r="BW1502" s="128"/>
      <c r="BX1502" s="128"/>
      <c r="BY1502" s="128"/>
      <c r="BZ1502" s="128"/>
      <c r="CA1502" s="128"/>
      <c r="CB1502" s="128"/>
      <c r="CC1502" s="128"/>
      <c r="CD1502" s="128"/>
      <c r="CE1502" s="128"/>
      <c r="CF1502" s="128"/>
      <c r="CG1502" s="128"/>
      <c r="CI1502" s="128"/>
      <c r="CJ1502" s="128"/>
      <c r="CK1502" s="128"/>
      <c r="CL1502" s="128"/>
      <c r="CM1502" s="128"/>
      <c r="CN1502" s="128"/>
      <c r="CO1502" s="128"/>
      <c r="CP1502" s="128"/>
      <c r="CQ1502" s="128"/>
      <c r="CR1502" s="128"/>
      <c r="CS1502" s="128"/>
      <c r="CT1502" s="128"/>
      <c r="CU1502" s="128"/>
      <c r="CV1502" s="128"/>
      <c r="CW1502" s="128"/>
      <c r="CX1502" s="128"/>
      <c r="CY1502" s="128"/>
      <c r="CZ1502" s="165"/>
    </row>
    <row r="1503" spans="1:104">
      <c r="A1503" s="149"/>
      <c r="B1503" s="149"/>
      <c r="C1503" s="150"/>
      <c r="D1503" s="102"/>
      <c r="E1503" s="149"/>
      <c r="F1503" s="149"/>
      <c r="G1503" s="149"/>
      <c r="H1503" s="149"/>
      <c r="I1503" s="149"/>
      <c r="J1503" s="149"/>
      <c r="K1503" s="149"/>
      <c r="L1503" s="149"/>
      <c r="M1503" s="149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9"/>
      <c r="AA1503" s="149"/>
      <c r="AB1503" s="149"/>
      <c r="AC1503" s="149"/>
      <c r="AD1503" s="149"/>
      <c r="AE1503" s="149"/>
      <c r="AF1503" s="149"/>
      <c r="AG1503" s="149"/>
      <c r="AH1503" s="149"/>
      <c r="AI1503" s="149"/>
      <c r="AJ1503" s="149"/>
      <c r="AK1503" s="149"/>
      <c r="AL1503" s="149"/>
      <c r="AM1503" s="149"/>
      <c r="AN1503" s="149"/>
      <c r="AO1503" s="128"/>
      <c r="AP1503" s="128"/>
      <c r="AQ1503" s="128"/>
      <c r="AR1503" s="128"/>
      <c r="AS1503" s="128"/>
      <c r="AT1503" s="128"/>
      <c r="AU1503" s="128"/>
      <c r="AV1503" s="128"/>
      <c r="AW1503" s="128"/>
      <c r="AX1503" s="128"/>
      <c r="AY1503" s="128"/>
      <c r="AZ1503" s="128"/>
      <c r="BA1503" s="128"/>
      <c r="BB1503" s="128"/>
      <c r="BC1503" s="128"/>
      <c r="BD1503" s="128"/>
      <c r="BE1503" s="128"/>
      <c r="BF1503" s="128"/>
      <c r="BG1503" s="128"/>
      <c r="BH1503" s="128"/>
      <c r="BI1503" s="128"/>
      <c r="BJ1503" s="128"/>
      <c r="BK1503" s="128"/>
      <c r="BL1503" s="128"/>
      <c r="BM1503" s="151"/>
      <c r="BN1503" s="128"/>
      <c r="BO1503" s="128"/>
      <c r="BP1503" s="128"/>
      <c r="BQ1503" s="128"/>
      <c r="BR1503" s="128"/>
      <c r="BS1503" s="128"/>
      <c r="BT1503" s="128"/>
      <c r="BU1503" s="128"/>
      <c r="BV1503" s="128"/>
      <c r="BW1503" s="128"/>
      <c r="BX1503" s="128"/>
      <c r="BY1503" s="128"/>
      <c r="BZ1503" s="128"/>
      <c r="CA1503" s="128"/>
      <c r="CB1503" s="128"/>
      <c r="CC1503" s="128"/>
      <c r="CD1503" s="128"/>
      <c r="CE1503" s="128"/>
      <c r="CF1503" s="128"/>
      <c r="CG1503" s="128"/>
      <c r="CI1503" s="128"/>
      <c r="CJ1503" s="128"/>
      <c r="CK1503" s="128"/>
      <c r="CL1503" s="128"/>
      <c r="CM1503" s="128"/>
      <c r="CN1503" s="128"/>
      <c r="CO1503" s="128"/>
      <c r="CP1503" s="128"/>
      <c r="CQ1503" s="128"/>
      <c r="CR1503" s="128"/>
      <c r="CS1503" s="128"/>
      <c r="CT1503" s="128"/>
      <c r="CU1503" s="128"/>
      <c r="CV1503" s="128"/>
      <c r="CW1503" s="128"/>
      <c r="CX1503" s="128"/>
      <c r="CY1503" s="128"/>
      <c r="CZ1503" s="165"/>
    </row>
    <row r="1504" spans="1:104">
      <c r="A1504" s="149"/>
      <c r="B1504" s="149"/>
      <c r="C1504" s="150"/>
      <c r="D1504" s="102"/>
      <c r="E1504" s="149"/>
      <c r="F1504" s="149"/>
      <c r="G1504" s="149"/>
      <c r="H1504" s="149"/>
      <c r="I1504" s="149"/>
      <c r="J1504" s="149"/>
      <c r="K1504" s="149"/>
      <c r="L1504" s="149"/>
      <c r="M1504" s="149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9"/>
      <c r="AA1504" s="149"/>
      <c r="AB1504" s="149"/>
      <c r="AC1504" s="149"/>
      <c r="AD1504" s="149"/>
      <c r="AE1504" s="149"/>
      <c r="AF1504" s="149"/>
      <c r="AG1504" s="149"/>
      <c r="AH1504" s="149"/>
      <c r="AI1504" s="149"/>
      <c r="AJ1504" s="149"/>
      <c r="AK1504" s="149"/>
      <c r="AL1504" s="149"/>
      <c r="AM1504" s="149"/>
      <c r="AN1504" s="149"/>
      <c r="AO1504" s="128"/>
      <c r="AP1504" s="128"/>
      <c r="AQ1504" s="128"/>
      <c r="AR1504" s="128"/>
      <c r="AS1504" s="128"/>
      <c r="AT1504" s="128"/>
      <c r="AU1504" s="128"/>
      <c r="AV1504" s="128"/>
      <c r="AW1504" s="128"/>
      <c r="AX1504" s="128"/>
      <c r="AY1504" s="128"/>
      <c r="AZ1504" s="128"/>
      <c r="BA1504" s="128"/>
      <c r="BB1504" s="128"/>
      <c r="BC1504" s="128"/>
      <c r="BD1504" s="128"/>
      <c r="BE1504" s="128"/>
      <c r="BF1504" s="128"/>
      <c r="BG1504" s="128"/>
      <c r="BH1504" s="128"/>
      <c r="BI1504" s="128"/>
      <c r="BJ1504" s="128"/>
      <c r="BK1504" s="128"/>
      <c r="BL1504" s="128"/>
      <c r="BM1504" s="151"/>
      <c r="BN1504" s="128"/>
      <c r="BO1504" s="128"/>
      <c r="BP1504" s="128"/>
      <c r="BQ1504" s="128"/>
      <c r="BR1504" s="128"/>
      <c r="BS1504" s="128"/>
      <c r="BT1504" s="128"/>
      <c r="BU1504" s="128"/>
      <c r="BV1504" s="128"/>
      <c r="BW1504" s="128"/>
      <c r="BX1504" s="128"/>
      <c r="BY1504" s="128"/>
      <c r="BZ1504" s="128"/>
      <c r="CA1504" s="128"/>
      <c r="CB1504" s="128"/>
      <c r="CC1504" s="128"/>
      <c r="CD1504" s="128"/>
      <c r="CE1504" s="128"/>
      <c r="CF1504" s="128"/>
      <c r="CG1504" s="128"/>
      <c r="CI1504" s="128"/>
      <c r="CJ1504" s="128"/>
      <c r="CK1504" s="128"/>
      <c r="CL1504" s="128"/>
      <c r="CM1504" s="128"/>
      <c r="CN1504" s="128"/>
      <c r="CO1504" s="128"/>
      <c r="CP1504" s="128"/>
      <c r="CQ1504" s="128"/>
      <c r="CR1504" s="128"/>
      <c r="CS1504" s="128"/>
      <c r="CT1504" s="128"/>
      <c r="CU1504" s="128"/>
      <c r="CV1504" s="128"/>
      <c r="CW1504" s="128"/>
      <c r="CX1504" s="128"/>
      <c r="CY1504" s="128"/>
      <c r="CZ1504" s="165"/>
    </row>
    <row r="1505" spans="1:104">
      <c r="A1505" s="149"/>
      <c r="B1505" s="149"/>
      <c r="C1505" s="150"/>
      <c r="D1505" s="102"/>
      <c r="E1505" s="149"/>
      <c r="F1505" s="149"/>
      <c r="G1505" s="149"/>
      <c r="H1505" s="149"/>
      <c r="I1505" s="149"/>
      <c r="J1505" s="149"/>
      <c r="K1505" s="149"/>
      <c r="L1505" s="149"/>
      <c r="M1505" s="149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9"/>
      <c r="AA1505" s="149"/>
      <c r="AB1505" s="149"/>
      <c r="AC1505" s="149"/>
      <c r="AD1505" s="149"/>
      <c r="AE1505" s="149"/>
      <c r="AF1505" s="149"/>
      <c r="AG1505" s="149"/>
      <c r="AH1505" s="149"/>
      <c r="AI1505" s="149"/>
      <c r="AJ1505" s="149"/>
      <c r="AK1505" s="149"/>
      <c r="AL1505" s="149"/>
      <c r="AM1505" s="149"/>
      <c r="AN1505" s="149"/>
      <c r="AO1505" s="128"/>
      <c r="AP1505" s="128"/>
      <c r="AQ1505" s="128"/>
      <c r="AR1505" s="128"/>
      <c r="AS1505" s="128"/>
      <c r="AT1505" s="128"/>
      <c r="AU1505" s="128"/>
      <c r="AV1505" s="128"/>
      <c r="AW1505" s="128"/>
      <c r="AX1505" s="128"/>
      <c r="AY1505" s="128"/>
      <c r="AZ1505" s="128"/>
      <c r="BA1505" s="128"/>
      <c r="BB1505" s="128"/>
      <c r="BC1505" s="128"/>
      <c r="BD1505" s="128"/>
      <c r="BE1505" s="128"/>
      <c r="BF1505" s="128"/>
      <c r="BG1505" s="128"/>
      <c r="BH1505" s="128"/>
      <c r="BI1505" s="128"/>
      <c r="BJ1505" s="128"/>
      <c r="BK1505" s="128"/>
      <c r="BL1505" s="128"/>
      <c r="BM1505" s="151"/>
      <c r="BN1505" s="128"/>
      <c r="BO1505" s="128"/>
      <c r="BP1505" s="128"/>
      <c r="BQ1505" s="128"/>
      <c r="BR1505" s="128"/>
      <c r="BS1505" s="128"/>
      <c r="BT1505" s="128"/>
      <c r="BU1505" s="128"/>
      <c r="BV1505" s="128"/>
      <c r="BW1505" s="128"/>
      <c r="BX1505" s="128"/>
      <c r="BY1505" s="128"/>
      <c r="BZ1505" s="128"/>
      <c r="CA1505" s="128"/>
      <c r="CB1505" s="128"/>
      <c r="CC1505" s="128"/>
      <c r="CD1505" s="128"/>
      <c r="CE1505" s="128"/>
      <c r="CF1505" s="128"/>
      <c r="CG1505" s="128"/>
      <c r="CI1505" s="128"/>
      <c r="CJ1505" s="128"/>
      <c r="CK1505" s="128"/>
      <c r="CL1505" s="128"/>
      <c r="CM1505" s="128"/>
      <c r="CN1505" s="128"/>
      <c r="CO1505" s="128"/>
      <c r="CP1505" s="128"/>
      <c r="CQ1505" s="128"/>
      <c r="CR1505" s="128"/>
      <c r="CS1505" s="128"/>
      <c r="CT1505" s="128"/>
      <c r="CU1505" s="128"/>
      <c r="CV1505" s="128"/>
      <c r="CW1505" s="128"/>
      <c r="CX1505" s="128"/>
      <c r="CY1505" s="128"/>
      <c r="CZ1505" s="165"/>
    </row>
    <row r="1506" spans="1:104">
      <c r="A1506" s="149"/>
      <c r="B1506" s="149"/>
      <c r="C1506" s="150"/>
      <c r="D1506" s="102"/>
      <c r="E1506" s="149"/>
      <c r="F1506" s="149"/>
      <c r="G1506" s="149"/>
      <c r="H1506" s="149"/>
      <c r="I1506" s="149"/>
      <c r="J1506" s="149"/>
      <c r="K1506" s="149"/>
      <c r="L1506" s="149"/>
      <c r="M1506" s="149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9"/>
      <c r="AA1506" s="149"/>
      <c r="AB1506" s="149"/>
      <c r="AC1506" s="149"/>
      <c r="AD1506" s="149"/>
      <c r="AE1506" s="149"/>
      <c r="AF1506" s="149"/>
      <c r="AG1506" s="149"/>
      <c r="AH1506" s="149"/>
      <c r="AI1506" s="149"/>
      <c r="AJ1506" s="149"/>
      <c r="AK1506" s="149"/>
      <c r="AL1506" s="149"/>
      <c r="AM1506" s="149"/>
      <c r="AN1506" s="149"/>
      <c r="AO1506" s="128"/>
      <c r="AP1506" s="128"/>
      <c r="AQ1506" s="128"/>
      <c r="AR1506" s="128"/>
      <c r="AS1506" s="128"/>
      <c r="AT1506" s="128"/>
      <c r="AU1506" s="128"/>
      <c r="AV1506" s="128"/>
      <c r="AW1506" s="128"/>
      <c r="AX1506" s="128"/>
      <c r="AY1506" s="128"/>
      <c r="AZ1506" s="128"/>
      <c r="BA1506" s="128"/>
      <c r="BB1506" s="128"/>
      <c r="BC1506" s="128"/>
      <c r="BD1506" s="128"/>
      <c r="BE1506" s="128"/>
      <c r="BF1506" s="128"/>
      <c r="BG1506" s="128"/>
      <c r="BH1506" s="128"/>
      <c r="BI1506" s="128"/>
      <c r="BJ1506" s="128"/>
      <c r="BK1506" s="128"/>
      <c r="BL1506" s="128"/>
      <c r="BM1506" s="151"/>
      <c r="BN1506" s="128"/>
      <c r="BO1506" s="128"/>
      <c r="BP1506" s="128"/>
      <c r="BQ1506" s="128"/>
      <c r="BR1506" s="128"/>
      <c r="BS1506" s="128"/>
      <c r="BT1506" s="128"/>
      <c r="BU1506" s="128"/>
      <c r="BV1506" s="128"/>
      <c r="BW1506" s="128"/>
      <c r="BX1506" s="128"/>
      <c r="BY1506" s="128"/>
      <c r="BZ1506" s="128"/>
      <c r="CA1506" s="128"/>
      <c r="CB1506" s="128"/>
      <c r="CC1506" s="128"/>
      <c r="CD1506" s="128"/>
      <c r="CE1506" s="128"/>
      <c r="CF1506" s="128"/>
      <c r="CG1506" s="128"/>
      <c r="CI1506" s="128"/>
      <c r="CJ1506" s="128"/>
      <c r="CK1506" s="128"/>
      <c r="CL1506" s="128"/>
      <c r="CM1506" s="128"/>
      <c r="CN1506" s="128"/>
      <c r="CO1506" s="128"/>
      <c r="CP1506" s="128"/>
      <c r="CQ1506" s="128"/>
      <c r="CR1506" s="128"/>
      <c r="CS1506" s="128"/>
      <c r="CT1506" s="128"/>
      <c r="CU1506" s="128"/>
      <c r="CV1506" s="128"/>
      <c r="CW1506" s="128"/>
      <c r="CX1506" s="128"/>
      <c r="CY1506" s="128"/>
      <c r="CZ1506" s="165"/>
    </row>
    <row r="1507" spans="1:104">
      <c r="A1507" s="149"/>
      <c r="B1507" s="149"/>
      <c r="C1507" s="150"/>
      <c r="D1507" s="102"/>
      <c r="E1507" s="149"/>
      <c r="F1507" s="149"/>
      <c r="G1507" s="149"/>
      <c r="H1507" s="149"/>
      <c r="I1507" s="149"/>
      <c r="J1507" s="149"/>
      <c r="K1507" s="149"/>
      <c r="L1507" s="149"/>
      <c r="M1507" s="149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9"/>
      <c r="AA1507" s="149"/>
      <c r="AB1507" s="149"/>
      <c r="AC1507" s="149"/>
      <c r="AD1507" s="149"/>
      <c r="AE1507" s="149"/>
      <c r="AF1507" s="149"/>
      <c r="AG1507" s="149"/>
      <c r="AH1507" s="149"/>
      <c r="AI1507" s="149"/>
      <c r="AJ1507" s="149"/>
      <c r="AK1507" s="149"/>
      <c r="AL1507" s="149"/>
      <c r="AM1507" s="149"/>
      <c r="AN1507" s="149"/>
      <c r="AO1507" s="128"/>
      <c r="AP1507" s="128"/>
      <c r="AQ1507" s="128"/>
      <c r="AR1507" s="128"/>
      <c r="AS1507" s="128"/>
      <c r="AT1507" s="128"/>
      <c r="AU1507" s="128"/>
      <c r="AV1507" s="128"/>
      <c r="AW1507" s="128"/>
      <c r="AX1507" s="128"/>
      <c r="AY1507" s="128"/>
      <c r="AZ1507" s="128"/>
      <c r="BA1507" s="128"/>
      <c r="BB1507" s="128"/>
      <c r="BC1507" s="128"/>
      <c r="BD1507" s="128"/>
      <c r="BE1507" s="128"/>
      <c r="BF1507" s="128"/>
      <c r="BG1507" s="128"/>
      <c r="BH1507" s="128"/>
      <c r="BI1507" s="128"/>
      <c r="BJ1507" s="128"/>
      <c r="BK1507" s="128"/>
      <c r="BL1507" s="128"/>
      <c r="BM1507" s="151"/>
      <c r="BN1507" s="128"/>
      <c r="BO1507" s="128"/>
      <c r="BP1507" s="128"/>
      <c r="BQ1507" s="128"/>
      <c r="BR1507" s="128"/>
      <c r="BS1507" s="128"/>
      <c r="BT1507" s="128"/>
      <c r="BU1507" s="128"/>
      <c r="BV1507" s="128"/>
      <c r="BW1507" s="128"/>
      <c r="BX1507" s="128"/>
      <c r="BY1507" s="128"/>
      <c r="BZ1507" s="128"/>
      <c r="CA1507" s="128"/>
      <c r="CB1507" s="128"/>
      <c r="CC1507" s="128"/>
      <c r="CD1507" s="128"/>
      <c r="CE1507" s="128"/>
      <c r="CF1507" s="128"/>
      <c r="CG1507" s="128"/>
      <c r="CI1507" s="128"/>
      <c r="CJ1507" s="128"/>
      <c r="CK1507" s="128"/>
      <c r="CL1507" s="128"/>
      <c r="CM1507" s="128"/>
      <c r="CN1507" s="128"/>
      <c r="CO1507" s="128"/>
      <c r="CP1507" s="128"/>
      <c r="CQ1507" s="128"/>
      <c r="CR1507" s="128"/>
      <c r="CS1507" s="128"/>
      <c r="CT1507" s="128"/>
      <c r="CU1507" s="128"/>
      <c r="CV1507" s="128"/>
      <c r="CW1507" s="128"/>
      <c r="CX1507" s="128"/>
      <c r="CY1507" s="128"/>
      <c r="CZ1507" s="165"/>
    </row>
    <row r="1508" spans="1:104">
      <c r="A1508" s="149"/>
      <c r="B1508" s="149"/>
      <c r="C1508" s="150"/>
      <c r="D1508" s="102"/>
      <c r="E1508" s="149"/>
      <c r="F1508" s="149"/>
      <c r="G1508" s="149"/>
      <c r="H1508" s="149"/>
      <c r="I1508" s="149"/>
      <c r="J1508" s="149"/>
      <c r="K1508" s="149"/>
      <c r="L1508" s="149"/>
      <c r="M1508" s="149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9"/>
      <c r="AA1508" s="149"/>
      <c r="AB1508" s="149"/>
      <c r="AC1508" s="149"/>
      <c r="AD1508" s="149"/>
      <c r="AE1508" s="149"/>
      <c r="AF1508" s="149"/>
      <c r="AG1508" s="149"/>
      <c r="AH1508" s="149"/>
      <c r="AI1508" s="149"/>
      <c r="AJ1508" s="149"/>
      <c r="AK1508" s="149"/>
      <c r="AL1508" s="149"/>
      <c r="AM1508" s="149"/>
      <c r="AN1508" s="149"/>
      <c r="AO1508" s="128"/>
      <c r="AP1508" s="128"/>
      <c r="AQ1508" s="128"/>
      <c r="AR1508" s="128"/>
      <c r="AS1508" s="128"/>
      <c r="AT1508" s="128"/>
      <c r="AU1508" s="128"/>
      <c r="AV1508" s="128"/>
      <c r="AW1508" s="128"/>
      <c r="AX1508" s="128"/>
      <c r="AY1508" s="128"/>
      <c r="AZ1508" s="128"/>
      <c r="BA1508" s="128"/>
      <c r="BB1508" s="128"/>
      <c r="BC1508" s="128"/>
      <c r="BD1508" s="128"/>
      <c r="BE1508" s="128"/>
      <c r="BF1508" s="128"/>
      <c r="BG1508" s="128"/>
      <c r="BH1508" s="128"/>
      <c r="BI1508" s="128"/>
      <c r="BJ1508" s="128"/>
      <c r="BK1508" s="128"/>
      <c r="BL1508" s="128"/>
      <c r="BM1508" s="151"/>
      <c r="BN1508" s="128"/>
      <c r="BO1508" s="128"/>
      <c r="BP1508" s="128"/>
      <c r="BQ1508" s="128"/>
      <c r="BR1508" s="128"/>
      <c r="BS1508" s="128"/>
      <c r="BT1508" s="128"/>
      <c r="BU1508" s="128"/>
      <c r="BV1508" s="128"/>
      <c r="BW1508" s="128"/>
      <c r="BX1508" s="128"/>
      <c r="BY1508" s="128"/>
      <c r="BZ1508" s="128"/>
      <c r="CA1508" s="128"/>
      <c r="CB1508" s="128"/>
      <c r="CC1508" s="128"/>
      <c r="CD1508" s="128"/>
      <c r="CE1508" s="128"/>
      <c r="CF1508" s="128"/>
      <c r="CG1508" s="128"/>
      <c r="CI1508" s="128"/>
      <c r="CJ1508" s="128"/>
      <c r="CK1508" s="128"/>
      <c r="CL1508" s="128"/>
      <c r="CM1508" s="128"/>
      <c r="CN1508" s="128"/>
      <c r="CO1508" s="128"/>
      <c r="CP1508" s="128"/>
      <c r="CQ1508" s="128"/>
      <c r="CR1508" s="128"/>
      <c r="CS1508" s="128"/>
      <c r="CT1508" s="128"/>
      <c r="CU1508" s="128"/>
      <c r="CV1508" s="128"/>
      <c r="CW1508" s="128"/>
      <c r="CX1508" s="128"/>
      <c r="CY1508" s="128"/>
      <c r="CZ1508" s="165"/>
    </row>
    <row r="1509" spans="1:104">
      <c r="A1509" s="149"/>
      <c r="B1509" s="149"/>
      <c r="C1509" s="150"/>
      <c r="D1509" s="102"/>
      <c r="E1509" s="149"/>
      <c r="F1509" s="149"/>
      <c r="G1509" s="149"/>
      <c r="H1509" s="149"/>
      <c r="I1509" s="149"/>
      <c r="J1509" s="149"/>
      <c r="K1509" s="149"/>
      <c r="L1509" s="149"/>
      <c r="M1509" s="149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9"/>
      <c r="AA1509" s="149"/>
      <c r="AB1509" s="149"/>
      <c r="AC1509" s="149"/>
      <c r="AD1509" s="149"/>
      <c r="AE1509" s="149"/>
      <c r="AF1509" s="149"/>
      <c r="AG1509" s="149"/>
      <c r="AH1509" s="149"/>
      <c r="AI1509" s="149"/>
      <c r="AJ1509" s="149"/>
      <c r="AK1509" s="149"/>
      <c r="AL1509" s="149"/>
      <c r="AM1509" s="149"/>
      <c r="AN1509" s="149"/>
      <c r="AO1509" s="128"/>
      <c r="AP1509" s="128"/>
      <c r="AQ1509" s="128"/>
      <c r="AR1509" s="128"/>
      <c r="AS1509" s="128"/>
      <c r="AT1509" s="128"/>
      <c r="AU1509" s="128"/>
      <c r="AV1509" s="128"/>
      <c r="AW1509" s="128"/>
      <c r="AX1509" s="128"/>
      <c r="AY1509" s="128"/>
      <c r="AZ1509" s="128"/>
      <c r="BA1509" s="128"/>
      <c r="BB1509" s="128"/>
      <c r="BC1509" s="128"/>
      <c r="BD1509" s="128"/>
      <c r="BE1509" s="128"/>
      <c r="BF1509" s="128"/>
      <c r="BG1509" s="128"/>
      <c r="BH1509" s="128"/>
      <c r="BI1509" s="128"/>
      <c r="BJ1509" s="128"/>
      <c r="BK1509" s="128"/>
      <c r="BL1509" s="128"/>
      <c r="BM1509" s="151"/>
      <c r="BN1509" s="128"/>
      <c r="BO1509" s="128"/>
      <c r="BP1509" s="128"/>
      <c r="BQ1509" s="128"/>
      <c r="BR1509" s="128"/>
      <c r="BS1509" s="128"/>
      <c r="BT1509" s="128"/>
      <c r="BU1509" s="128"/>
      <c r="BV1509" s="128"/>
      <c r="BW1509" s="128"/>
      <c r="BX1509" s="128"/>
      <c r="BY1509" s="128"/>
      <c r="BZ1509" s="128"/>
      <c r="CA1509" s="128"/>
      <c r="CB1509" s="128"/>
      <c r="CC1509" s="128"/>
      <c r="CD1509" s="128"/>
      <c r="CE1509" s="128"/>
      <c r="CF1509" s="128"/>
      <c r="CG1509" s="128"/>
      <c r="CI1509" s="128"/>
      <c r="CJ1509" s="128"/>
      <c r="CK1509" s="128"/>
      <c r="CL1509" s="128"/>
      <c r="CM1509" s="128"/>
      <c r="CN1509" s="128"/>
      <c r="CO1509" s="128"/>
      <c r="CP1509" s="128"/>
      <c r="CQ1509" s="128"/>
      <c r="CR1509" s="128"/>
      <c r="CS1509" s="128"/>
      <c r="CT1509" s="128"/>
      <c r="CU1509" s="128"/>
      <c r="CV1509" s="128"/>
      <c r="CW1509" s="128"/>
      <c r="CX1509" s="128"/>
      <c r="CY1509" s="128"/>
      <c r="CZ1509" s="165"/>
    </row>
    <row r="1510" spans="1:104">
      <c r="A1510" s="149"/>
      <c r="B1510" s="149"/>
      <c r="C1510" s="150"/>
      <c r="D1510" s="102"/>
      <c r="E1510" s="149"/>
      <c r="F1510" s="149"/>
      <c r="G1510" s="149"/>
      <c r="H1510" s="149"/>
      <c r="I1510" s="149"/>
      <c r="J1510" s="149"/>
      <c r="K1510" s="149"/>
      <c r="L1510" s="149"/>
      <c r="M1510" s="149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9"/>
      <c r="AA1510" s="149"/>
      <c r="AB1510" s="149"/>
      <c r="AC1510" s="149"/>
      <c r="AD1510" s="149"/>
      <c r="AE1510" s="149"/>
      <c r="AF1510" s="149"/>
      <c r="AG1510" s="149"/>
      <c r="AH1510" s="149"/>
      <c r="AI1510" s="149"/>
      <c r="AJ1510" s="149"/>
      <c r="AK1510" s="149"/>
      <c r="AL1510" s="149"/>
      <c r="AM1510" s="149"/>
      <c r="AN1510" s="149"/>
      <c r="AO1510" s="128"/>
      <c r="AP1510" s="128"/>
      <c r="AQ1510" s="128"/>
      <c r="AR1510" s="128"/>
      <c r="AS1510" s="128"/>
      <c r="AT1510" s="128"/>
      <c r="AU1510" s="128"/>
      <c r="AV1510" s="128"/>
      <c r="AW1510" s="128"/>
      <c r="AX1510" s="128"/>
      <c r="AY1510" s="128"/>
      <c r="AZ1510" s="128"/>
      <c r="BA1510" s="128"/>
      <c r="BB1510" s="128"/>
      <c r="BC1510" s="128"/>
      <c r="BD1510" s="128"/>
      <c r="BE1510" s="128"/>
      <c r="BF1510" s="128"/>
      <c r="BG1510" s="128"/>
      <c r="BH1510" s="128"/>
      <c r="BI1510" s="128"/>
      <c r="BJ1510" s="128"/>
      <c r="BK1510" s="128"/>
      <c r="BL1510" s="128"/>
      <c r="BM1510" s="151"/>
      <c r="BN1510" s="128"/>
      <c r="BO1510" s="128"/>
      <c r="BP1510" s="128"/>
      <c r="BQ1510" s="128"/>
      <c r="BR1510" s="128"/>
      <c r="BS1510" s="128"/>
      <c r="BT1510" s="128"/>
      <c r="BU1510" s="128"/>
      <c r="BV1510" s="128"/>
      <c r="BW1510" s="128"/>
      <c r="BX1510" s="128"/>
      <c r="BY1510" s="128"/>
      <c r="BZ1510" s="128"/>
      <c r="CA1510" s="128"/>
      <c r="CB1510" s="128"/>
      <c r="CC1510" s="128"/>
      <c r="CD1510" s="128"/>
      <c r="CE1510" s="128"/>
      <c r="CF1510" s="128"/>
      <c r="CG1510" s="128"/>
      <c r="CI1510" s="128"/>
      <c r="CJ1510" s="128"/>
      <c r="CK1510" s="128"/>
      <c r="CL1510" s="128"/>
      <c r="CM1510" s="128"/>
      <c r="CN1510" s="128"/>
      <c r="CO1510" s="128"/>
      <c r="CP1510" s="128"/>
      <c r="CQ1510" s="128"/>
      <c r="CR1510" s="128"/>
      <c r="CS1510" s="128"/>
      <c r="CT1510" s="128"/>
      <c r="CU1510" s="128"/>
      <c r="CV1510" s="128"/>
      <c r="CW1510" s="128"/>
      <c r="CX1510" s="128"/>
      <c r="CY1510" s="128"/>
      <c r="CZ1510" s="165"/>
    </row>
    <row r="1511" spans="1:104">
      <c r="A1511" s="149"/>
      <c r="B1511" s="149"/>
      <c r="C1511" s="150"/>
      <c r="D1511" s="102"/>
      <c r="E1511" s="149"/>
      <c r="F1511" s="149"/>
      <c r="G1511" s="149"/>
      <c r="H1511" s="149"/>
      <c r="I1511" s="149"/>
      <c r="J1511" s="149"/>
      <c r="K1511" s="149"/>
      <c r="L1511" s="149"/>
      <c r="M1511" s="149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9"/>
      <c r="AA1511" s="149"/>
      <c r="AB1511" s="149"/>
      <c r="AC1511" s="149"/>
      <c r="AD1511" s="149"/>
      <c r="AE1511" s="149"/>
      <c r="AF1511" s="149"/>
      <c r="AG1511" s="149"/>
      <c r="AH1511" s="149"/>
      <c r="AI1511" s="149"/>
      <c r="AJ1511" s="149"/>
      <c r="AK1511" s="149"/>
      <c r="AL1511" s="149"/>
      <c r="AM1511" s="149"/>
      <c r="AN1511" s="149"/>
      <c r="AO1511" s="128"/>
      <c r="AP1511" s="128"/>
      <c r="AQ1511" s="128"/>
      <c r="AR1511" s="128"/>
      <c r="AS1511" s="128"/>
      <c r="AT1511" s="128"/>
      <c r="AU1511" s="128"/>
      <c r="AV1511" s="128"/>
      <c r="AW1511" s="128"/>
      <c r="AX1511" s="128"/>
      <c r="AY1511" s="128"/>
      <c r="AZ1511" s="128"/>
      <c r="BA1511" s="128"/>
      <c r="BB1511" s="128"/>
      <c r="BC1511" s="128"/>
      <c r="BD1511" s="128"/>
      <c r="BE1511" s="128"/>
      <c r="BF1511" s="128"/>
      <c r="BG1511" s="128"/>
      <c r="BH1511" s="128"/>
      <c r="BI1511" s="128"/>
      <c r="BJ1511" s="128"/>
      <c r="BK1511" s="128"/>
      <c r="BL1511" s="128"/>
      <c r="BM1511" s="151"/>
      <c r="BN1511" s="128"/>
      <c r="BO1511" s="128"/>
      <c r="BP1511" s="128"/>
      <c r="BQ1511" s="128"/>
      <c r="BR1511" s="128"/>
      <c r="BS1511" s="128"/>
      <c r="BT1511" s="128"/>
      <c r="BU1511" s="128"/>
      <c r="BV1511" s="128"/>
      <c r="BW1511" s="128"/>
      <c r="BX1511" s="128"/>
      <c r="BY1511" s="128"/>
      <c r="BZ1511" s="128"/>
      <c r="CA1511" s="128"/>
      <c r="CB1511" s="128"/>
      <c r="CC1511" s="128"/>
      <c r="CD1511" s="128"/>
      <c r="CE1511" s="128"/>
      <c r="CF1511" s="128"/>
      <c r="CG1511" s="128"/>
      <c r="CI1511" s="128"/>
      <c r="CJ1511" s="128"/>
      <c r="CK1511" s="128"/>
      <c r="CL1511" s="128"/>
      <c r="CM1511" s="128"/>
      <c r="CN1511" s="128"/>
      <c r="CO1511" s="128"/>
      <c r="CP1511" s="128"/>
      <c r="CQ1511" s="128"/>
      <c r="CR1511" s="128"/>
      <c r="CS1511" s="128"/>
      <c r="CT1511" s="128"/>
      <c r="CU1511" s="128"/>
      <c r="CV1511" s="128"/>
      <c r="CW1511" s="128"/>
      <c r="CX1511" s="128"/>
      <c r="CY1511" s="128"/>
      <c r="CZ1511" s="165"/>
    </row>
    <row r="1512" spans="1:104">
      <c r="A1512" s="149"/>
      <c r="B1512" s="149"/>
      <c r="C1512" s="150"/>
      <c r="D1512" s="102"/>
      <c r="E1512" s="149"/>
      <c r="F1512" s="149"/>
      <c r="G1512" s="149"/>
      <c r="H1512" s="149"/>
      <c r="I1512" s="149"/>
      <c r="J1512" s="149"/>
      <c r="K1512" s="149"/>
      <c r="L1512" s="149"/>
      <c r="M1512" s="149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9"/>
      <c r="AA1512" s="149"/>
      <c r="AB1512" s="149"/>
      <c r="AC1512" s="149"/>
      <c r="AD1512" s="149"/>
      <c r="AE1512" s="149"/>
      <c r="AF1512" s="149"/>
      <c r="AG1512" s="149"/>
      <c r="AH1512" s="149"/>
      <c r="AI1512" s="149"/>
      <c r="AJ1512" s="149"/>
      <c r="AK1512" s="149"/>
      <c r="AL1512" s="149"/>
      <c r="AM1512" s="149"/>
      <c r="AN1512" s="149"/>
      <c r="AO1512" s="128"/>
      <c r="AP1512" s="128"/>
      <c r="AQ1512" s="128"/>
      <c r="AR1512" s="128"/>
      <c r="AS1512" s="128"/>
      <c r="AT1512" s="128"/>
      <c r="AU1512" s="128"/>
      <c r="AV1512" s="128"/>
      <c r="AW1512" s="128"/>
      <c r="AX1512" s="128"/>
      <c r="AY1512" s="128"/>
      <c r="AZ1512" s="128"/>
      <c r="BA1512" s="128"/>
      <c r="BB1512" s="128"/>
      <c r="BC1512" s="128"/>
      <c r="BD1512" s="128"/>
      <c r="BE1512" s="128"/>
      <c r="BF1512" s="128"/>
      <c r="BG1512" s="128"/>
      <c r="BH1512" s="128"/>
      <c r="BI1512" s="128"/>
      <c r="BJ1512" s="128"/>
      <c r="BK1512" s="128"/>
      <c r="BL1512" s="128"/>
      <c r="BM1512" s="151"/>
      <c r="BN1512" s="128"/>
      <c r="BO1512" s="128"/>
      <c r="BP1512" s="128"/>
      <c r="BQ1512" s="128"/>
      <c r="BR1512" s="128"/>
      <c r="BS1512" s="128"/>
      <c r="BT1512" s="128"/>
      <c r="BU1512" s="128"/>
      <c r="BV1512" s="128"/>
      <c r="BW1512" s="128"/>
      <c r="BX1512" s="128"/>
      <c r="BY1512" s="128"/>
      <c r="BZ1512" s="128"/>
      <c r="CA1512" s="128"/>
      <c r="CB1512" s="128"/>
      <c r="CC1512" s="128"/>
      <c r="CD1512" s="128"/>
      <c r="CE1512" s="128"/>
      <c r="CF1512" s="128"/>
      <c r="CG1512" s="128"/>
      <c r="CI1512" s="128"/>
      <c r="CJ1512" s="128"/>
      <c r="CK1512" s="128"/>
      <c r="CL1512" s="128"/>
      <c r="CM1512" s="128"/>
      <c r="CN1512" s="128"/>
      <c r="CO1512" s="128"/>
      <c r="CP1512" s="128"/>
      <c r="CQ1512" s="128"/>
      <c r="CR1512" s="128"/>
      <c r="CS1512" s="128"/>
      <c r="CT1512" s="128"/>
      <c r="CU1512" s="128"/>
      <c r="CV1512" s="128"/>
      <c r="CW1512" s="128"/>
      <c r="CX1512" s="128"/>
      <c r="CY1512" s="128"/>
      <c r="CZ1512" s="165"/>
    </row>
    <row r="1513" spans="1:104">
      <c r="A1513" s="149"/>
      <c r="B1513" s="149"/>
      <c r="C1513" s="150"/>
      <c r="D1513" s="102"/>
      <c r="E1513" s="149"/>
      <c r="F1513" s="149"/>
      <c r="G1513" s="149"/>
      <c r="H1513" s="149"/>
      <c r="I1513" s="149"/>
      <c r="J1513" s="149"/>
      <c r="K1513" s="149"/>
      <c r="L1513" s="149"/>
      <c r="M1513" s="149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9"/>
      <c r="AA1513" s="149"/>
      <c r="AB1513" s="149"/>
      <c r="AC1513" s="149"/>
      <c r="AD1513" s="149"/>
      <c r="AE1513" s="149"/>
      <c r="AF1513" s="149"/>
      <c r="AG1513" s="149"/>
      <c r="AH1513" s="149"/>
      <c r="AI1513" s="149"/>
      <c r="AJ1513" s="149"/>
      <c r="AK1513" s="149"/>
      <c r="AL1513" s="149"/>
      <c r="AM1513" s="149"/>
      <c r="AN1513" s="149"/>
      <c r="AO1513" s="128"/>
      <c r="AP1513" s="128"/>
      <c r="AQ1513" s="128"/>
      <c r="AR1513" s="128"/>
      <c r="AS1513" s="128"/>
      <c r="AT1513" s="128"/>
      <c r="AU1513" s="128"/>
      <c r="AV1513" s="128"/>
      <c r="AW1513" s="128"/>
      <c r="AX1513" s="128"/>
      <c r="AY1513" s="128"/>
      <c r="AZ1513" s="128"/>
      <c r="BA1513" s="128"/>
      <c r="BB1513" s="128"/>
      <c r="BC1513" s="128"/>
      <c r="BD1513" s="128"/>
      <c r="BE1513" s="128"/>
      <c r="BF1513" s="128"/>
      <c r="BG1513" s="128"/>
      <c r="BH1513" s="128"/>
      <c r="BI1513" s="128"/>
      <c r="BJ1513" s="128"/>
      <c r="BK1513" s="128"/>
      <c r="BL1513" s="128"/>
      <c r="BM1513" s="151"/>
      <c r="BN1513" s="128"/>
      <c r="BO1513" s="128"/>
      <c r="BP1513" s="128"/>
      <c r="BQ1513" s="128"/>
      <c r="BR1513" s="128"/>
      <c r="BS1513" s="128"/>
      <c r="BT1513" s="128"/>
      <c r="BU1513" s="128"/>
      <c r="BV1513" s="128"/>
      <c r="BW1513" s="128"/>
      <c r="BX1513" s="128"/>
      <c r="BY1513" s="128"/>
      <c r="BZ1513" s="128"/>
      <c r="CA1513" s="128"/>
      <c r="CB1513" s="128"/>
      <c r="CC1513" s="128"/>
      <c r="CD1513" s="128"/>
      <c r="CE1513" s="128"/>
      <c r="CF1513" s="128"/>
      <c r="CG1513" s="128"/>
      <c r="CI1513" s="128"/>
      <c r="CJ1513" s="128"/>
      <c r="CK1513" s="128"/>
      <c r="CL1513" s="128"/>
      <c r="CM1513" s="128"/>
      <c r="CN1513" s="128"/>
      <c r="CO1513" s="128"/>
      <c r="CP1513" s="128"/>
      <c r="CQ1513" s="128"/>
      <c r="CR1513" s="128"/>
      <c r="CS1513" s="128"/>
      <c r="CT1513" s="128"/>
      <c r="CU1513" s="128"/>
      <c r="CV1513" s="128"/>
      <c r="CW1513" s="128"/>
      <c r="CX1513" s="128"/>
      <c r="CY1513" s="128"/>
      <c r="CZ1513" s="165"/>
    </row>
    <row r="1514" spans="1:104">
      <c r="A1514" s="149"/>
      <c r="B1514" s="149"/>
      <c r="C1514" s="150"/>
      <c r="D1514" s="102"/>
      <c r="E1514" s="149"/>
      <c r="F1514" s="149"/>
      <c r="G1514" s="149"/>
      <c r="H1514" s="149"/>
      <c r="I1514" s="149"/>
      <c r="J1514" s="149"/>
      <c r="K1514" s="149"/>
      <c r="L1514" s="149"/>
      <c r="M1514" s="149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9"/>
      <c r="AA1514" s="149"/>
      <c r="AB1514" s="149"/>
      <c r="AC1514" s="149"/>
      <c r="AD1514" s="149"/>
      <c r="AE1514" s="149"/>
      <c r="AF1514" s="149"/>
      <c r="AG1514" s="149"/>
      <c r="AH1514" s="149"/>
      <c r="AI1514" s="149"/>
      <c r="AJ1514" s="149"/>
      <c r="AK1514" s="149"/>
      <c r="AL1514" s="149"/>
      <c r="AM1514" s="149"/>
      <c r="AN1514" s="149"/>
      <c r="AO1514" s="128"/>
      <c r="AP1514" s="128"/>
      <c r="AQ1514" s="128"/>
      <c r="AR1514" s="128"/>
      <c r="AS1514" s="128"/>
      <c r="AT1514" s="128"/>
      <c r="AU1514" s="128"/>
      <c r="AV1514" s="128"/>
      <c r="AW1514" s="128"/>
      <c r="AX1514" s="128"/>
      <c r="AY1514" s="128"/>
      <c r="AZ1514" s="128"/>
      <c r="BA1514" s="128"/>
      <c r="BB1514" s="128"/>
      <c r="BC1514" s="128"/>
      <c r="BD1514" s="128"/>
      <c r="BE1514" s="128"/>
      <c r="BF1514" s="128"/>
      <c r="BG1514" s="128"/>
      <c r="BH1514" s="128"/>
      <c r="BI1514" s="128"/>
      <c r="BJ1514" s="128"/>
      <c r="BK1514" s="128"/>
      <c r="BL1514" s="128"/>
      <c r="BM1514" s="151"/>
      <c r="BN1514" s="128"/>
      <c r="BO1514" s="128"/>
      <c r="BP1514" s="128"/>
      <c r="BQ1514" s="128"/>
      <c r="BR1514" s="128"/>
      <c r="BS1514" s="128"/>
      <c r="BT1514" s="128"/>
      <c r="BU1514" s="128"/>
      <c r="BV1514" s="128"/>
      <c r="BW1514" s="128"/>
      <c r="BX1514" s="128"/>
      <c r="BY1514" s="128"/>
      <c r="BZ1514" s="128"/>
      <c r="CA1514" s="128"/>
      <c r="CB1514" s="128"/>
      <c r="CC1514" s="128"/>
      <c r="CD1514" s="128"/>
      <c r="CE1514" s="128"/>
      <c r="CF1514" s="128"/>
      <c r="CG1514" s="128"/>
      <c r="CI1514" s="128"/>
      <c r="CJ1514" s="128"/>
      <c r="CK1514" s="128"/>
      <c r="CL1514" s="128"/>
      <c r="CM1514" s="128"/>
      <c r="CN1514" s="128"/>
      <c r="CO1514" s="128"/>
      <c r="CP1514" s="128"/>
      <c r="CQ1514" s="128"/>
      <c r="CR1514" s="128"/>
      <c r="CS1514" s="128"/>
      <c r="CT1514" s="128"/>
      <c r="CU1514" s="128"/>
      <c r="CV1514" s="128"/>
      <c r="CW1514" s="128"/>
      <c r="CX1514" s="128"/>
      <c r="CY1514" s="128"/>
      <c r="CZ1514" s="165"/>
    </row>
    <row r="1515" spans="1:104">
      <c r="A1515" s="149"/>
      <c r="B1515" s="149"/>
      <c r="C1515" s="150"/>
      <c r="D1515" s="102"/>
      <c r="E1515" s="149"/>
      <c r="F1515" s="149"/>
      <c r="G1515" s="149"/>
      <c r="H1515" s="149"/>
      <c r="I1515" s="149"/>
      <c r="J1515" s="149"/>
      <c r="K1515" s="149"/>
      <c r="L1515" s="149"/>
      <c r="M1515" s="149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9"/>
      <c r="AA1515" s="149"/>
      <c r="AB1515" s="149"/>
      <c r="AC1515" s="149"/>
      <c r="AD1515" s="149"/>
      <c r="AE1515" s="149"/>
      <c r="AF1515" s="149"/>
      <c r="AG1515" s="149"/>
      <c r="AH1515" s="149"/>
      <c r="AI1515" s="149"/>
      <c r="AJ1515" s="149"/>
      <c r="AK1515" s="149"/>
      <c r="AL1515" s="149"/>
      <c r="AM1515" s="149"/>
      <c r="AN1515" s="149"/>
      <c r="AO1515" s="128"/>
      <c r="AP1515" s="128"/>
      <c r="AQ1515" s="128"/>
      <c r="AR1515" s="128"/>
      <c r="AS1515" s="128"/>
      <c r="AT1515" s="128"/>
      <c r="AU1515" s="128"/>
      <c r="AV1515" s="128"/>
      <c r="AW1515" s="128"/>
      <c r="AX1515" s="128"/>
      <c r="AY1515" s="128"/>
      <c r="AZ1515" s="128"/>
      <c r="BA1515" s="128"/>
      <c r="BB1515" s="128"/>
      <c r="BC1515" s="128"/>
      <c r="BD1515" s="128"/>
      <c r="BE1515" s="128"/>
      <c r="BF1515" s="128"/>
      <c r="BG1515" s="128"/>
      <c r="BH1515" s="128"/>
      <c r="BI1515" s="128"/>
      <c r="BJ1515" s="128"/>
      <c r="BK1515" s="128"/>
      <c r="BL1515" s="128"/>
      <c r="BM1515" s="151"/>
      <c r="BN1515" s="128"/>
      <c r="BO1515" s="128"/>
      <c r="BP1515" s="128"/>
      <c r="BQ1515" s="128"/>
      <c r="BR1515" s="128"/>
      <c r="BS1515" s="128"/>
      <c r="BT1515" s="128"/>
      <c r="BU1515" s="128"/>
      <c r="BV1515" s="128"/>
      <c r="BW1515" s="128"/>
      <c r="BX1515" s="128"/>
      <c r="BY1515" s="128"/>
      <c r="BZ1515" s="128"/>
      <c r="CA1515" s="128"/>
      <c r="CB1515" s="128"/>
      <c r="CC1515" s="128"/>
      <c r="CD1515" s="128"/>
      <c r="CE1515" s="128"/>
      <c r="CF1515" s="128"/>
      <c r="CG1515" s="128"/>
      <c r="CI1515" s="128"/>
      <c r="CJ1515" s="128"/>
      <c r="CK1515" s="128"/>
      <c r="CL1515" s="128"/>
      <c r="CM1515" s="128"/>
      <c r="CN1515" s="128"/>
      <c r="CO1515" s="128"/>
      <c r="CP1515" s="128"/>
      <c r="CQ1515" s="128"/>
      <c r="CR1515" s="128"/>
      <c r="CS1515" s="128"/>
      <c r="CT1515" s="128"/>
      <c r="CU1515" s="128"/>
      <c r="CV1515" s="128"/>
      <c r="CW1515" s="128"/>
      <c r="CX1515" s="128"/>
      <c r="CY1515" s="128"/>
      <c r="CZ1515" s="165"/>
    </row>
    <row r="1516" spans="1:104">
      <c r="A1516" s="149"/>
      <c r="B1516" s="149"/>
      <c r="C1516" s="150"/>
      <c r="D1516" s="102"/>
      <c r="E1516" s="149"/>
      <c r="F1516" s="149"/>
      <c r="G1516" s="149"/>
      <c r="H1516" s="149"/>
      <c r="I1516" s="149"/>
      <c r="J1516" s="149"/>
      <c r="K1516" s="149"/>
      <c r="L1516" s="149"/>
      <c r="M1516" s="149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9"/>
      <c r="AA1516" s="149"/>
      <c r="AB1516" s="149"/>
      <c r="AC1516" s="149"/>
      <c r="AD1516" s="149"/>
      <c r="AE1516" s="149"/>
      <c r="AF1516" s="149"/>
      <c r="AG1516" s="149"/>
      <c r="AH1516" s="149"/>
      <c r="AI1516" s="149"/>
      <c r="AJ1516" s="149"/>
      <c r="AK1516" s="149"/>
      <c r="AL1516" s="149"/>
      <c r="AM1516" s="149"/>
      <c r="AN1516" s="149"/>
      <c r="AO1516" s="128"/>
      <c r="AP1516" s="128"/>
      <c r="AQ1516" s="128"/>
      <c r="AR1516" s="128"/>
      <c r="AS1516" s="128"/>
      <c r="AT1516" s="128"/>
      <c r="AU1516" s="128"/>
      <c r="AV1516" s="128"/>
      <c r="AW1516" s="128"/>
      <c r="AX1516" s="128"/>
      <c r="AY1516" s="128"/>
      <c r="AZ1516" s="128"/>
      <c r="BA1516" s="128"/>
      <c r="BB1516" s="128"/>
      <c r="BC1516" s="128"/>
      <c r="BD1516" s="128"/>
      <c r="BE1516" s="128"/>
      <c r="BF1516" s="128"/>
      <c r="BG1516" s="128"/>
      <c r="BH1516" s="128"/>
      <c r="BI1516" s="128"/>
      <c r="BJ1516" s="128"/>
      <c r="BK1516" s="128"/>
      <c r="BL1516" s="128"/>
      <c r="BM1516" s="151"/>
      <c r="BN1516" s="128"/>
      <c r="BO1516" s="128"/>
      <c r="BP1516" s="128"/>
      <c r="BQ1516" s="128"/>
      <c r="BR1516" s="128"/>
      <c r="BS1516" s="128"/>
      <c r="BT1516" s="128"/>
      <c r="BU1516" s="128"/>
      <c r="BV1516" s="128"/>
      <c r="BW1516" s="128"/>
      <c r="BX1516" s="128"/>
      <c r="BY1516" s="128"/>
      <c r="BZ1516" s="128"/>
      <c r="CA1516" s="128"/>
      <c r="CB1516" s="128"/>
      <c r="CC1516" s="128"/>
      <c r="CD1516" s="128"/>
      <c r="CE1516" s="128"/>
      <c r="CF1516" s="128"/>
      <c r="CG1516" s="128"/>
      <c r="CI1516" s="128"/>
      <c r="CJ1516" s="128"/>
      <c r="CK1516" s="128"/>
      <c r="CL1516" s="128"/>
      <c r="CM1516" s="128"/>
      <c r="CN1516" s="128"/>
      <c r="CO1516" s="128"/>
      <c r="CP1516" s="128"/>
      <c r="CQ1516" s="128"/>
      <c r="CR1516" s="128"/>
      <c r="CS1516" s="128"/>
      <c r="CT1516" s="128"/>
      <c r="CU1516" s="128"/>
      <c r="CV1516" s="128"/>
      <c r="CW1516" s="128"/>
      <c r="CX1516" s="128"/>
      <c r="CY1516" s="128"/>
      <c r="CZ1516" s="165"/>
    </row>
    <row r="1517" spans="1:104">
      <c r="A1517" s="149"/>
      <c r="B1517" s="149"/>
      <c r="C1517" s="150"/>
      <c r="D1517" s="102"/>
      <c r="E1517" s="149"/>
      <c r="F1517" s="149"/>
      <c r="G1517" s="149"/>
      <c r="H1517" s="149"/>
      <c r="I1517" s="149"/>
      <c r="J1517" s="149"/>
      <c r="K1517" s="149"/>
      <c r="L1517" s="149"/>
      <c r="M1517" s="149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9"/>
      <c r="AA1517" s="149"/>
      <c r="AB1517" s="149"/>
      <c r="AC1517" s="149"/>
      <c r="AD1517" s="149"/>
      <c r="AE1517" s="149"/>
      <c r="AF1517" s="149"/>
      <c r="AG1517" s="149"/>
      <c r="AH1517" s="149"/>
      <c r="AI1517" s="149"/>
      <c r="AJ1517" s="149"/>
      <c r="AK1517" s="149"/>
      <c r="AL1517" s="149"/>
      <c r="AM1517" s="149"/>
      <c r="AN1517" s="149"/>
      <c r="AO1517" s="128"/>
      <c r="AP1517" s="128"/>
      <c r="AQ1517" s="128"/>
      <c r="AR1517" s="128"/>
      <c r="AS1517" s="128"/>
      <c r="AT1517" s="128"/>
      <c r="AU1517" s="128"/>
      <c r="AV1517" s="128"/>
      <c r="AW1517" s="128"/>
      <c r="AX1517" s="128"/>
      <c r="AY1517" s="128"/>
      <c r="AZ1517" s="128"/>
      <c r="BA1517" s="128"/>
      <c r="BB1517" s="128"/>
      <c r="BC1517" s="128"/>
      <c r="BD1517" s="128"/>
      <c r="BE1517" s="128"/>
      <c r="BF1517" s="128"/>
      <c r="BG1517" s="128"/>
      <c r="BH1517" s="128"/>
      <c r="BI1517" s="128"/>
      <c r="BJ1517" s="128"/>
      <c r="BK1517" s="128"/>
      <c r="BL1517" s="128"/>
      <c r="BM1517" s="151"/>
      <c r="BN1517" s="128"/>
      <c r="BO1517" s="128"/>
      <c r="BP1517" s="128"/>
      <c r="BQ1517" s="128"/>
      <c r="BR1517" s="128"/>
      <c r="BS1517" s="128"/>
      <c r="BT1517" s="128"/>
      <c r="BU1517" s="128"/>
      <c r="BV1517" s="128"/>
      <c r="BW1517" s="128"/>
      <c r="BX1517" s="128"/>
      <c r="BY1517" s="128"/>
      <c r="BZ1517" s="128"/>
      <c r="CA1517" s="128"/>
      <c r="CB1517" s="128"/>
      <c r="CC1517" s="128"/>
      <c r="CD1517" s="128"/>
      <c r="CE1517" s="128"/>
      <c r="CF1517" s="128"/>
      <c r="CG1517" s="128"/>
      <c r="CI1517" s="128"/>
      <c r="CJ1517" s="128"/>
      <c r="CK1517" s="128"/>
      <c r="CL1517" s="128"/>
      <c r="CM1517" s="128"/>
      <c r="CN1517" s="128"/>
      <c r="CO1517" s="128"/>
      <c r="CP1517" s="128"/>
      <c r="CQ1517" s="128"/>
      <c r="CR1517" s="128"/>
      <c r="CS1517" s="128"/>
      <c r="CT1517" s="128"/>
      <c r="CU1517" s="128"/>
      <c r="CV1517" s="128"/>
      <c r="CW1517" s="128"/>
      <c r="CX1517" s="128"/>
      <c r="CY1517" s="128"/>
      <c r="CZ1517" s="165"/>
    </row>
    <row r="1518" spans="1:104">
      <c r="A1518" s="149"/>
      <c r="B1518" s="149"/>
      <c r="C1518" s="150"/>
      <c r="D1518" s="102"/>
      <c r="E1518" s="149"/>
      <c r="F1518" s="149"/>
      <c r="G1518" s="149"/>
      <c r="H1518" s="149"/>
      <c r="I1518" s="149"/>
      <c r="J1518" s="149"/>
      <c r="K1518" s="149"/>
      <c r="L1518" s="149"/>
      <c r="M1518" s="149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9"/>
      <c r="AA1518" s="149"/>
      <c r="AB1518" s="149"/>
      <c r="AC1518" s="149"/>
      <c r="AD1518" s="149"/>
      <c r="AE1518" s="149"/>
      <c r="AF1518" s="149"/>
      <c r="AG1518" s="149"/>
      <c r="AH1518" s="149"/>
      <c r="AI1518" s="149"/>
      <c r="AJ1518" s="149"/>
      <c r="AK1518" s="149"/>
      <c r="AL1518" s="149"/>
      <c r="AM1518" s="149"/>
      <c r="AN1518" s="149"/>
      <c r="AO1518" s="128"/>
      <c r="AP1518" s="128"/>
      <c r="AQ1518" s="128"/>
      <c r="AR1518" s="128"/>
      <c r="AS1518" s="128"/>
      <c r="AT1518" s="128"/>
      <c r="AU1518" s="128"/>
      <c r="AV1518" s="128"/>
      <c r="AW1518" s="128"/>
      <c r="AX1518" s="128"/>
      <c r="AY1518" s="128"/>
      <c r="AZ1518" s="128"/>
      <c r="BA1518" s="128"/>
      <c r="BB1518" s="128"/>
      <c r="BC1518" s="128"/>
      <c r="BD1518" s="128"/>
      <c r="BE1518" s="128"/>
      <c r="BF1518" s="128"/>
      <c r="BG1518" s="128"/>
      <c r="BH1518" s="128"/>
      <c r="BI1518" s="128"/>
      <c r="BJ1518" s="128"/>
      <c r="BK1518" s="128"/>
      <c r="BL1518" s="128"/>
      <c r="BM1518" s="151"/>
      <c r="BN1518" s="128"/>
      <c r="BO1518" s="128"/>
      <c r="BP1518" s="128"/>
      <c r="BQ1518" s="128"/>
      <c r="BR1518" s="128"/>
      <c r="BS1518" s="128"/>
      <c r="BT1518" s="128"/>
      <c r="BU1518" s="128"/>
      <c r="BV1518" s="128"/>
      <c r="BW1518" s="128"/>
      <c r="BX1518" s="128"/>
      <c r="BY1518" s="128"/>
      <c r="BZ1518" s="128"/>
      <c r="CA1518" s="128"/>
      <c r="CB1518" s="128"/>
      <c r="CC1518" s="128"/>
      <c r="CD1518" s="128"/>
      <c r="CE1518" s="128"/>
      <c r="CF1518" s="128"/>
      <c r="CG1518" s="128"/>
      <c r="CI1518" s="128"/>
      <c r="CJ1518" s="128"/>
      <c r="CK1518" s="128"/>
      <c r="CL1518" s="128"/>
      <c r="CM1518" s="128"/>
      <c r="CN1518" s="128"/>
      <c r="CO1518" s="128"/>
      <c r="CP1518" s="128"/>
      <c r="CQ1518" s="128"/>
      <c r="CR1518" s="128"/>
      <c r="CS1518" s="128"/>
      <c r="CT1518" s="128"/>
      <c r="CU1518" s="128"/>
      <c r="CV1518" s="128"/>
      <c r="CW1518" s="128"/>
      <c r="CX1518" s="128"/>
      <c r="CY1518" s="128"/>
      <c r="CZ1518" s="165"/>
    </row>
    <row r="1519" spans="1:104">
      <c r="A1519" s="149"/>
      <c r="B1519" s="149"/>
      <c r="C1519" s="150"/>
      <c r="D1519" s="102"/>
      <c r="E1519" s="149"/>
      <c r="F1519" s="149"/>
      <c r="G1519" s="149"/>
      <c r="H1519" s="149"/>
      <c r="I1519" s="149"/>
      <c r="J1519" s="149"/>
      <c r="K1519" s="149"/>
      <c r="L1519" s="149"/>
      <c r="M1519" s="149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9"/>
      <c r="AA1519" s="149"/>
      <c r="AB1519" s="149"/>
      <c r="AC1519" s="149"/>
      <c r="AD1519" s="149"/>
      <c r="AE1519" s="149"/>
      <c r="AF1519" s="149"/>
      <c r="AG1519" s="149"/>
      <c r="AH1519" s="149"/>
      <c r="AI1519" s="149"/>
      <c r="AJ1519" s="149"/>
      <c r="AK1519" s="149"/>
      <c r="AL1519" s="149"/>
      <c r="AM1519" s="149"/>
      <c r="AN1519" s="149"/>
      <c r="AO1519" s="128"/>
      <c r="AP1519" s="128"/>
      <c r="AQ1519" s="128"/>
      <c r="AR1519" s="128"/>
      <c r="AS1519" s="128"/>
      <c r="AT1519" s="128"/>
      <c r="AU1519" s="128"/>
      <c r="AV1519" s="128"/>
      <c r="AW1519" s="128"/>
      <c r="AX1519" s="128"/>
      <c r="AY1519" s="128"/>
      <c r="AZ1519" s="128"/>
      <c r="BA1519" s="128"/>
      <c r="BB1519" s="128"/>
      <c r="BC1519" s="128"/>
      <c r="BD1519" s="128"/>
      <c r="BE1519" s="128"/>
      <c r="BF1519" s="128"/>
      <c r="BG1519" s="128"/>
      <c r="BH1519" s="128"/>
      <c r="BI1519" s="128"/>
      <c r="BJ1519" s="128"/>
      <c r="BK1519" s="128"/>
      <c r="BL1519" s="128"/>
      <c r="BM1519" s="151"/>
      <c r="BN1519" s="128"/>
      <c r="BO1519" s="128"/>
      <c r="BP1519" s="128"/>
      <c r="BQ1519" s="128"/>
      <c r="BR1519" s="128"/>
      <c r="BS1519" s="128"/>
      <c r="BT1519" s="128"/>
      <c r="BU1519" s="128"/>
      <c r="BV1519" s="128"/>
      <c r="BW1519" s="128"/>
      <c r="BX1519" s="128"/>
      <c r="BY1519" s="128"/>
      <c r="BZ1519" s="128"/>
      <c r="CA1519" s="128"/>
      <c r="CB1519" s="128"/>
      <c r="CC1519" s="128"/>
      <c r="CD1519" s="128"/>
      <c r="CE1519" s="128"/>
      <c r="CF1519" s="128"/>
      <c r="CG1519" s="128"/>
      <c r="CI1519" s="128"/>
      <c r="CJ1519" s="128"/>
      <c r="CK1519" s="128"/>
      <c r="CL1519" s="128"/>
      <c r="CM1519" s="128"/>
      <c r="CN1519" s="128"/>
      <c r="CO1519" s="128"/>
      <c r="CP1519" s="128"/>
      <c r="CQ1519" s="128"/>
      <c r="CR1519" s="128"/>
      <c r="CS1519" s="128"/>
      <c r="CT1519" s="128"/>
      <c r="CU1519" s="128"/>
      <c r="CV1519" s="128"/>
      <c r="CW1519" s="128"/>
      <c r="CX1519" s="128"/>
      <c r="CY1519" s="128"/>
      <c r="CZ1519" s="165"/>
    </row>
    <row r="1520" spans="1:104">
      <c r="A1520" s="149"/>
      <c r="B1520" s="149"/>
      <c r="C1520" s="150"/>
      <c r="D1520" s="102"/>
      <c r="E1520" s="149"/>
      <c r="F1520" s="149"/>
      <c r="G1520" s="149"/>
      <c r="H1520" s="149"/>
      <c r="I1520" s="149"/>
      <c r="J1520" s="149"/>
      <c r="K1520" s="149"/>
      <c r="L1520" s="149"/>
      <c r="M1520" s="149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9"/>
      <c r="AA1520" s="149"/>
      <c r="AB1520" s="149"/>
      <c r="AC1520" s="149"/>
      <c r="AD1520" s="149"/>
      <c r="AE1520" s="149"/>
      <c r="AF1520" s="149"/>
      <c r="AG1520" s="149"/>
      <c r="AH1520" s="149"/>
      <c r="AI1520" s="149"/>
      <c r="AJ1520" s="149"/>
      <c r="AK1520" s="149"/>
      <c r="AL1520" s="149"/>
      <c r="AM1520" s="149"/>
      <c r="AN1520" s="149"/>
      <c r="AO1520" s="128"/>
      <c r="AP1520" s="128"/>
      <c r="AQ1520" s="128"/>
      <c r="AR1520" s="128"/>
      <c r="AS1520" s="128"/>
      <c r="AT1520" s="128"/>
      <c r="AU1520" s="128"/>
      <c r="AV1520" s="128"/>
      <c r="AW1520" s="128"/>
      <c r="AX1520" s="128"/>
      <c r="AY1520" s="128"/>
      <c r="AZ1520" s="128"/>
      <c r="BA1520" s="128"/>
      <c r="BB1520" s="128"/>
      <c r="BC1520" s="128"/>
      <c r="BD1520" s="128"/>
      <c r="BE1520" s="128"/>
      <c r="BF1520" s="128"/>
      <c r="BG1520" s="128"/>
      <c r="BH1520" s="128"/>
      <c r="BI1520" s="128"/>
      <c r="BJ1520" s="128"/>
      <c r="BK1520" s="128"/>
      <c r="BL1520" s="128"/>
      <c r="BM1520" s="151"/>
      <c r="BN1520" s="128"/>
      <c r="BO1520" s="128"/>
      <c r="BP1520" s="128"/>
      <c r="BQ1520" s="128"/>
      <c r="BR1520" s="128"/>
      <c r="BS1520" s="128"/>
      <c r="BT1520" s="128"/>
      <c r="BU1520" s="128"/>
      <c r="BV1520" s="128"/>
      <c r="BW1520" s="128"/>
      <c r="BX1520" s="128"/>
      <c r="BY1520" s="128"/>
      <c r="BZ1520" s="128"/>
      <c r="CA1520" s="128"/>
      <c r="CB1520" s="128"/>
      <c r="CC1520" s="128"/>
      <c r="CD1520" s="128"/>
      <c r="CE1520" s="128"/>
      <c r="CF1520" s="128"/>
      <c r="CG1520" s="128"/>
      <c r="CI1520" s="128"/>
      <c r="CJ1520" s="128"/>
      <c r="CK1520" s="128"/>
      <c r="CL1520" s="128"/>
      <c r="CM1520" s="128"/>
      <c r="CN1520" s="128"/>
      <c r="CO1520" s="128"/>
      <c r="CP1520" s="128"/>
      <c r="CQ1520" s="128"/>
      <c r="CR1520" s="128"/>
      <c r="CS1520" s="128"/>
      <c r="CT1520" s="128"/>
      <c r="CU1520" s="128"/>
      <c r="CV1520" s="128"/>
      <c r="CW1520" s="128"/>
      <c r="CX1520" s="128"/>
      <c r="CY1520" s="128"/>
      <c r="CZ1520" s="165"/>
    </row>
    <row r="1521" spans="1:104">
      <c r="A1521" s="149"/>
      <c r="B1521" s="149"/>
      <c r="C1521" s="150"/>
      <c r="D1521" s="102"/>
      <c r="E1521" s="149"/>
      <c r="F1521" s="149"/>
      <c r="G1521" s="149"/>
      <c r="H1521" s="149"/>
      <c r="I1521" s="149"/>
      <c r="J1521" s="149"/>
      <c r="K1521" s="149"/>
      <c r="L1521" s="149"/>
      <c r="M1521" s="149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9"/>
      <c r="AA1521" s="149"/>
      <c r="AB1521" s="149"/>
      <c r="AC1521" s="149"/>
      <c r="AD1521" s="149"/>
      <c r="AE1521" s="149"/>
      <c r="AF1521" s="149"/>
      <c r="AG1521" s="149"/>
      <c r="AH1521" s="149"/>
      <c r="AI1521" s="149"/>
      <c r="AJ1521" s="149"/>
      <c r="AK1521" s="149"/>
      <c r="AL1521" s="149"/>
      <c r="AM1521" s="149"/>
      <c r="AN1521" s="149"/>
      <c r="AO1521" s="128"/>
      <c r="AP1521" s="128"/>
      <c r="AQ1521" s="128"/>
      <c r="AR1521" s="128"/>
      <c r="AS1521" s="128"/>
      <c r="AT1521" s="128"/>
      <c r="AU1521" s="128"/>
      <c r="AV1521" s="128"/>
      <c r="AW1521" s="128"/>
      <c r="AX1521" s="128"/>
      <c r="AY1521" s="128"/>
      <c r="AZ1521" s="128"/>
      <c r="BA1521" s="128"/>
      <c r="BB1521" s="128"/>
      <c r="BC1521" s="128"/>
      <c r="BD1521" s="128"/>
      <c r="BE1521" s="128"/>
      <c r="BF1521" s="128"/>
      <c r="BG1521" s="128"/>
      <c r="BH1521" s="128"/>
      <c r="BI1521" s="128"/>
      <c r="BJ1521" s="128"/>
      <c r="BK1521" s="128"/>
      <c r="BL1521" s="128"/>
      <c r="BM1521" s="151"/>
      <c r="BN1521" s="128"/>
      <c r="BO1521" s="128"/>
      <c r="BP1521" s="128"/>
      <c r="BQ1521" s="128"/>
      <c r="BR1521" s="128"/>
      <c r="BS1521" s="128"/>
      <c r="BT1521" s="128"/>
      <c r="BU1521" s="128"/>
      <c r="BV1521" s="128"/>
      <c r="BW1521" s="128"/>
      <c r="BX1521" s="128"/>
      <c r="BY1521" s="128"/>
      <c r="BZ1521" s="128"/>
      <c r="CA1521" s="128"/>
      <c r="CB1521" s="128"/>
      <c r="CC1521" s="128"/>
      <c r="CD1521" s="128"/>
      <c r="CE1521" s="128"/>
      <c r="CF1521" s="128"/>
      <c r="CG1521" s="128"/>
      <c r="CI1521" s="128"/>
      <c r="CJ1521" s="128"/>
      <c r="CK1521" s="128"/>
      <c r="CL1521" s="128"/>
      <c r="CM1521" s="128"/>
      <c r="CN1521" s="128"/>
      <c r="CO1521" s="128"/>
      <c r="CP1521" s="128"/>
      <c r="CQ1521" s="128"/>
      <c r="CR1521" s="128"/>
      <c r="CS1521" s="128"/>
      <c r="CT1521" s="128"/>
      <c r="CU1521" s="128"/>
      <c r="CV1521" s="128"/>
      <c r="CW1521" s="128"/>
      <c r="CX1521" s="128"/>
      <c r="CY1521" s="128"/>
      <c r="CZ1521" s="165"/>
    </row>
    <row r="1522" spans="1:104">
      <c r="A1522" s="149"/>
      <c r="B1522" s="149"/>
      <c r="C1522" s="150"/>
      <c r="D1522" s="102"/>
      <c r="E1522" s="149"/>
      <c r="F1522" s="149"/>
      <c r="G1522" s="149"/>
      <c r="H1522" s="149"/>
      <c r="I1522" s="149"/>
      <c r="J1522" s="149"/>
      <c r="K1522" s="149"/>
      <c r="L1522" s="149"/>
      <c r="M1522" s="149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9"/>
      <c r="AA1522" s="149"/>
      <c r="AB1522" s="149"/>
      <c r="AC1522" s="149"/>
      <c r="AD1522" s="149"/>
      <c r="AE1522" s="149"/>
      <c r="AF1522" s="149"/>
      <c r="AG1522" s="149"/>
      <c r="AH1522" s="149"/>
      <c r="AI1522" s="149"/>
      <c r="AJ1522" s="149"/>
      <c r="AK1522" s="149"/>
      <c r="AL1522" s="149"/>
      <c r="AM1522" s="149"/>
      <c r="AN1522" s="149"/>
      <c r="AO1522" s="128"/>
      <c r="AP1522" s="128"/>
      <c r="AQ1522" s="128"/>
      <c r="AR1522" s="128"/>
      <c r="AS1522" s="128"/>
      <c r="AT1522" s="128"/>
      <c r="AU1522" s="128"/>
      <c r="AV1522" s="128"/>
      <c r="AW1522" s="128"/>
      <c r="AX1522" s="128"/>
      <c r="AY1522" s="128"/>
      <c r="AZ1522" s="128"/>
      <c r="BA1522" s="128"/>
      <c r="BB1522" s="128"/>
      <c r="BC1522" s="128"/>
      <c r="BD1522" s="128"/>
      <c r="BE1522" s="128"/>
      <c r="BF1522" s="128"/>
      <c r="BG1522" s="128"/>
      <c r="BH1522" s="128"/>
      <c r="BI1522" s="128"/>
      <c r="BJ1522" s="128"/>
      <c r="BK1522" s="128"/>
      <c r="BL1522" s="128"/>
      <c r="BM1522" s="151"/>
      <c r="BN1522" s="128"/>
      <c r="BO1522" s="128"/>
      <c r="BP1522" s="128"/>
      <c r="BQ1522" s="128"/>
      <c r="BR1522" s="128"/>
      <c r="BS1522" s="128"/>
      <c r="BT1522" s="128"/>
      <c r="BU1522" s="128"/>
      <c r="BV1522" s="128"/>
      <c r="BW1522" s="128"/>
      <c r="BX1522" s="128"/>
      <c r="BY1522" s="128"/>
      <c r="BZ1522" s="128"/>
      <c r="CA1522" s="128"/>
      <c r="CB1522" s="128"/>
      <c r="CC1522" s="128"/>
      <c r="CD1522" s="128"/>
      <c r="CE1522" s="128"/>
      <c r="CF1522" s="128"/>
      <c r="CG1522" s="128"/>
      <c r="CI1522" s="128"/>
      <c r="CJ1522" s="128"/>
      <c r="CK1522" s="128"/>
      <c r="CL1522" s="128"/>
      <c r="CM1522" s="128"/>
      <c r="CN1522" s="128"/>
      <c r="CO1522" s="128"/>
      <c r="CP1522" s="128"/>
      <c r="CQ1522" s="128"/>
      <c r="CR1522" s="128"/>
      <c r="CS1522" s="128"/>
      <c r="CT1522" s="128"/>
      <c r="CU1522" s="128"/>
      <c r="CV1522" s="128"/>
      <c r="CW1522" s="128"/>
      <c r="CX1522" s="128"/>
      <c r="CY1522" s="128"/>
      <c r="CZ1522" s="165"/>
    </row>
    <row r="1523" spans="1:104">
      <c r="A1523" s="149"/>
      <c r="B1523" s="149"/>
      <c r="C1523" s="150"/>
      <c r="D1523" s="102"/>
      <c r="E1523" s="149"/>
      <c r="F1523" s="149"/>
      <c r="G1523" s="149"/>
      <c r="H1523" s="149"/>
      <c r="I1523" s="149"/>
      <c r="J1523" s="149"/>
      <c r="K1523" s="149"/>
      <c r="L1523" s="149"/>
      <c r="M1523" s="149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9"/>
      <c r="AA1523" s="149"/>
      <c r="AB1523" s="149"/>
      <c r="AC1523" s="149"/>
      <c r="AD1523" s="149"/>
      <c r="AE1523" s="149"/>
      <c r="AF1523" s="149"/>
      <c r="AG1523" s="149"/>
      <c r="AH1523" s="149"/>
      <c r="AI1523" s="149"/>
      <c r="AJ1523" s="149"/>
      <c r="AK1523" s="149"/>
      <c r="AL1523" s="149"/>
      <c r="AM1523" s="149"/>
      <c r="AN1523" s="149"/>
      <c r="AO1523" s="128"/>
      <c r="AP1523" s="128"/>
      <c r="AQ1523" s="128"/>
      <c r="AR1523" s="128"/>
      <c r="AS1523" s="128"/>
      <c r="AT1523" s="128"/>
      <c r="AU1523" s="128"/>
      <c r="AV1523" s="128"/>
      <c r="AW1523" s="128"/>
      <c r="AX1523" s="128"/>
      <c r="AY1523" s="128"/>
      <c r="AZ1523" s="128"/>
      <c r="BA1523" s="128"/>
      <c r="BB1523" s="128"/>
      <c r="BC1523" s="128"/>
      <c r="BD1523" s="128"/>
      <c r="BE1523" s="128"/>
      <c r="BF1523" s="128"/>
      <c r="BG1523" s="128"/>
      <c r="BH1523" s="128"/>
      <c r="BI1523" s="128"/>
      <c r="BJ1523" s="128"/>
      <c r="BK1523" s="128"/>
      <c r="BL1523" s="128"/>
      <c r="BM1523" s="151"/>
      <c r="BN1523" s="128"/>
      <c r="BO1523" s="128"/>
      <c r="BP1523" s="128"/>
      <c r="BQ1523" s="128"/>
      <c r="BR1523" s="128"/>
      <c r="BS1523" s="128"/>
      <c r="BT1523" s="128"/>
      <c r="BU1523" s="128"/>
      <c r="BV1523" s="128"/>
      <c r="BW1523" s="128"/>
      <c r="BX1523" s="128"/>
      <c r="BY1523" s="128"/>
      <c r="BZ1523" s="128"/>
      <c r="CA1523" s="128"/>
      <c r="CB1523" s="128"/>
      <c r="CC1523" s="128"/>
      <c r="CD1523" s="128"/>
      <c r="CE1523" s="128"/>
      <c r="CF1523" s="128"/>
      <c r="CG1523" s="128"/>
      <c r="CI1523" s="128"/>
      <c r="CJ1523" s="128"/>
      <c r="CK1523" s="128"/>
      <c r="CL1523" s="128"/>
      <c r="CM1523" s="128"/>
      <c r="CN1523" s="128"/>
      <c r="CO1523" s="128"/>
      <c r="CP1523" s="128"/>
      <c r="CQ1523" s="128"/>
      <c r="CR1523" s="128"/>
      <c r="CS1523" s="128"/>
      <c r="CT1523" s="128"/>
      <c r="CU1523" s="128"/>
      <c r="CV1523" s="128"/>
      <c r="CW1523" s="128"/>
      <c r="CX1523" s="128"/>
      <c r="CY1523" s="128"/>
      <c r="CZ1523" s="165"/>
    </row>
    <row r="1524" spans="1:104">
      <c r="A1524" s="149"/>
      <c r="B1524" s="149"/>
      <c r="C1524" s="150"/>
      <c r="D1524" s="102"/>
      <c r="E1524" s="149"/>
      <c r="F1524" s="149"/>
      <c r="G1524" s="149"/>
      <c r="H1524" s="149"/>
      <c r="I1524" s="149"/>
      <c r="J1524" s="149"/>
      <c r="K1524" s="149"/>
      <c r="L1524" s="149"/>
      <c r="M1524" s="149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9"/>
      <c r="AA1524" s="149"/>
      <c r="AB1524" s="149"/>
      <c r="AC1524" s="149"/>
      <c r="AD1524" s="149"/>
      <c r="AE1524" s="149"/>
      <c r="AF1524" s="149"/>
      <c r="AG1524" s="149"/>
      <c r="AH1524" s="149"/>
      <c r="AI1524" s="149"/>
      <c r="AJ1524" s="149"/>
      <c r="AK1524" s="149"/>
      <c r="AL1524" s="149"/>
      <c r="AM1524" s="149"/>
      <c r="AN1524" s="149"/>
      <c r="AO1524" s="128"/>
      <c r="AP1524" s="128"/>
      <c r="AQ1524" s="128"/>
      <c r="AR1524" s="128"/>
      <c r="AS1524" s="128"/>
      <c r="AT1524" s="128"/>
      <c r="AU1524" s="128"/>
      <c r="AV1524" s="128"/>
      <c r="AW1524" s="128"/>
      <c r="AX1524" s="128"/>
      <c r="AY1524" s="128"/>
      <c r="AZ1524" s="128"/>
      <c r="BA1524" s="128"/>
      <c r="BB1524" s="128"/>
      <c r="BC1524" s="128"/>
      <c r="BD1524" s="128"/>
      <c r="BE1524" s="128"/>
      <c r="BF1524" s="128"/>
      <c r="BG1524" s="128"/>
      <c r="BH1524" s="128"/>
      <c r="BI1524" s="128"/>
      <c r="BJ1524" s="128"/>
      <c r="BK1524" s="128"/>
      <c r="BL1524" s="128"/>
      <c r="BM1524" s="151"/>
      <c r="BN1524" s="128"/>
      <c r="BO1524" s="128"/>
      <c r="BP1524" s="128"/>
      <c r="BQ1524" s="128"/>
      <c r="BR1524" s="128"/>
      <c r="BS1524" s="128"/>
      <c r="BT1524" s="128"/>
      <c r="BU1524" s="128"/>
      <c r="BV1524" s="128"/>
      <c r="BW1524" s="128"/>
      <c r="BX1524" s="128"/>
      <c r="BY1524" s="128"/>
      <c r="BZ1524" s="128"/>
      <c r="CA1524" s="128"/>
      <c r="CB1524" s="128"/>
      <c r="CC1524" s="128"/>
      <c r="CD1524" s="128"/>
      <c r="CE1524" s="128"/>
      <c r="CF1524" s="128"/>
      <c r="CG1524" s="128"/>
      <c r="CI1524" s="128"/>
      <c r="CJ1524" s="128"/>
      <c r="CK1524" s="128"/>
      <c r="CL1524" s="128"/>
      <c r="CM1524" s="128"/>
      <c r="CN1524" s="128"/>
      <c r="CO1524" s="128"/>
      <c r="CP1524" s="128"/>
      <c r="CQ1524" s="128"/>
      <c r="CR1524" s="128"/>
      <c r="CS1524" s="128"/>
      <c r="CT1524" s="128"/>
      <c r="CU1524" s="128"/>
      <c r="CV1524" s="128"/>
      <c r="CW1524" s="128"/>
      <c r="CX1524" s="128"/>
      <c r="CY1524" s="128"/>
      <c r="CZ1524" s="165"/>
    </row>
    <row r="1525" spans="1:104">
      <c r="A1525" s="149"/>
      <c r="B1525" s="149"/>
      <c r="C1525" s="150"/>
      <c r="D1525" s="102"/>
      <c r="E1525" s="149"/>
      <c r="F1525" s="149"/>
      <c r="G1525" s="149"/>
      <c r="H1525" s="149"/>
      <c r="I1525" s="149"/>
      <c r="J1525" s="149"/>
      <c r="K1525" s="149"/>
      <c r="L1525" s="149"/>
      <c r="M1525" s="149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9"/>
      <c r="AA1525" s="149"/>
      <c r="AB1525" s="149"/>
      <c r="AC1525" s="149"/>
      <c r="AD1525" s="149"/>
      <c r="AE1525" s="149"/>
      <c r="AF1525" s="149"/>
      <c r="AG1525" s="149"/>
      <c r="AH1525" s="149"/>
      <c r="AI1525" s="149"/>
      <c r="AJ1525" s="149"/>
      <c r="AK1525" s="149"/>
      <c r="AL1525" s="149"/>
      <c r="AM1525" s="149"/>
      <c r="AN1525" s="149"/>
      <c r="AO1525" s="128"/>
      <c r="AP1525" s="128"/>
      <c r="AQ1525" s="128"/>
      <c r="AR1525" s="128"/>
      <c r="AS1525" s="128"/>
      <c r="AT1525" s="128"/>
      <c r="AU1525" s="128"/>
      <c r="AV1525" s="128"/>
      <c r="AW1525" s="128"/>
      <c r="AX1525" s="128"/>
      <c r="AY1525" s="128"/>
      <c r="AZ1525" s="128"/>
      <c r="BA1525" s="128"/>
      <c r="BB1525" s="128"/>
      <c r="BC1525" s="128"/>
      <c r="BD1525" s="128"/>
      <c r="BE1525" s="128"/>
      <c r="BF1525" s="128"/>
      <c r="BG1525" s="128"/>
      <c r="BH1525" s="128"/>
      <c r="BI1525" s="128"/>
      <c r="BJ1525" s="128"/>
      <c r="BK1525" s="128"/>
      <c r="BL1525" s="128"/>
      <c r="BM1525" s="151"/>
      <c r="BN1525" s="128"/>
      <c r="BO1525" s="128"/>
      <c r="BP1525" s="128"/>
      <c r="BQ1525" s="128"/>
      <c r="BR1525" s="128"/>
      <c r="BS1525" s="128"/>
      <c r="BT1525" s="128"/>
      <c r="BU1525" s="128"/>
      <c r="BV1525" s="128"/>
      <c r="BW1525" s="128"/>
      <c r="BX1525" s="128"/>
      <c r="BY1525" s="128"/>
      <c r="BZ1525" s="128"/>
      <c r="CA1525" s="128"/>
      <c r="CB1525" s="128"/>
      <c r="CC1525" s="128"/>
      <c r="CD1525" s="128"/>
      <c r="CE1525" s="128"/>
      <c r="CF1525" s="128"/>
      <c r="CG1525" s="128"/>
      <c r="CI1525" s="128"/>
      <c r="CJ1525" s="128"/>
      <c r="CK1525" s="128"/>
      <c r="CL1525" s="128"/>
      <c r="CM1525" s="128"/>
      <c r="CN1525" s="128"/>
      <c r="CO1525" s="128"/>
      <c r="CP1525" s="128"/>
      <c r="CQ1525" s="128"/>
      <c r="CR1525" s="128"/>
      <c r="CS1525" s="128"/>
      <c r="CT1525" s="128"/>
      <c r="CU1525" s="128"/>
      <c r="CV1525" s="128"/>
      <c r="CW1525" s="128"/>
      <c r="CX1525" s="128"/>
      <c r="CY1525" s="128"/>
      <c r="CZ1525" s="165"/>
    </row>
    <row r="1526" spans="1:104">
      <c r="A1526" s="149"/>
      <c r="B1526" s="149"/>
      <c r="C1526" s="150"/>
      <c r="D1526" s="102"/>
      <c r="E1526" s="149"/>
      <c r="F1526" s="149"/>
      <c r="G1526" s="149"/>
      <c r="H1526" s="149"/>
      <c r="I1526" s="149"/>
      <c r="J1526" s="149"/>
      <c r="K1526" s="149"/>
      <c r="L1526" s="149"/>
      <c r="M1526" s="149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9"/>
      <c r="AA1526" s="149"/>
      <c r="AB1526" s="149"/>
      <c r="AC1526" s="149"/>
      <c r="AD1526" s="149"/>
      <c r="AE1526" s="149"/>
      <c r="AF1526" s="149"/>
      <c r="AG1526" s="149"/>
      <c r="AH1526" s="149"/>
      <c r="AI1526" s="149"/>
      <c r="AJ1526" s="149"/>
      <c r="AK1526" s="149"/>
      <c r="AL1526" s="149"/>
      <c r="AM1526" s="149"/>
      <c r="AN1526" s="149"/>
      <c r="AO1526" s="128"/>
      <c r="AP1526" s="128"/>
      <c r="AQ1526" s="128"/>
      <c r="AR1526" s="128"/>
      <c r="AS1526" s="128"/>
      <c r="AT1526" s="128"/>
      <c r="AU1526" s="128"/>
      <c r="AV1526" s="128"/>
      <c r="AW1526" s="128"/>
      <c r="AX1526" s="128"/>
      <c r="AY1526" s="128"/>
      <c r="AZ1526" s="128"/>
      <c r="BA1526" s="128"/>
      <c r="BB1526" s="128"/>
      <c r="BC1526" s="128"/>
      <c r="BD1526" s="128"/>
      <c r="BE1526" s="128"/>
      <c r="BF1526" s="128"/>
      <c r="BG1526" s="128"/>
      <c r="BH1526" s="128"/>
      <c r="BI1526" s="128"/>
      <c r="BJ1526" s="128"/>
      <c r="BK1526" s="128"/>
      <c r="BL1526" s="128"/>
      <c r="BM1526" s="151"/>
      <c r="BN1526" s="128"/>
      <c r="BO1526" s="128"/>
      <c r="BP1526" s="128"/>
      <c r="BQ1526" s="128"/>
      <c r="BR1526" s="128"/>
      <c r="BS1526" s="128"/>
      <c r="BT1526" s="128"/>
      <c r="BU1526" s="128"/>
      <c r="BV1526" s="128"/>
      <c r="BW1526" s="128"/>
      <c r="BX1526" s="128"/>
      <c r="BY1526" s="128"/>
      <c r="BZ1526" s="128"/>
      <c r="CA1526" s="128"/>
      <c r="CB1526" s="128"/>
      <c r="CC1526" s="128"/>
      <c r="CD1526" s="128"/>
      <c r="CE1526" s="128"/>
      <c r="CF1526" s="128"/>
      <c r="CG1526" s="128"/>
      <c r="CI1526" s="128"/>
      <c r="CJ1526" s="128"/>
      <c r="CK1526" s="128"/>
      <c r="CL1526" s="128"/>
      <c r="CM1526" s="128"/>
      <c r="CN1526" s="128"/>
      <c r="CO1526" s="128"/>
      <c r="CP1526" s="128"/>
      <c r="CQ1526" s="128"/>
      <c r="CR1526" s="128"/>
      <c r="CS1526" s="128"/>
      <c r="CT1526" s="128"/>
      <c r="CU1526" s="128"/>
      <c r="CV1526" s="128"/>
      <c r="CW1526" s="128"/>
      <c r="CX1526" s="128"/>
      <c r="CY1526" s="128"/>
      <c r="CZ1526" s="165"/>
    </row>
    <row r="1527" spans="1:104">
      <c r="A1527" s="149"/>
      <c r="B1527" s="149"/>
      <c r="C1527" s="150"/>
      <c r="D1527" s="102"/>
      <c r="E1527" s="149"/>
      <c r="F1527" s="149"/>
      <c r="G1527" s="149"/>
      <c r="H1527" s="149"/>
      <c r="I1527" s="149"/>
      <c r="J1527" s="149"/>
      <c r="K1527" s="149"/>
      <c r="L1527" s="149"/>
      <c r="M1527" s="149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9"/>
      <c r="AA1527" s="149"/>
      <c r="AB1527" s="149"/>
      <c r="AC1527" s="149"/>
      <c r="AD1527" s="149"/>
      <c r="AE1527" s="149"/>
      <c r="AF1527" s="149"/>
      <c r="AG1527" s="149"/>
      <c r="AH1527" s="149"/>
      <c r="AI1527" s="149"/>
      <c r="AJ1527" s="149"/>
      <c r="AK1527" s="149"/>
      <c r="AL1527" s="149"/>
      <c r="AM1527" s="149"/>
      <c r="AN1527" s="149"/>
      <c r="AO1527" s="128"/>
      <c r="AP1527" s="128"/>
      <c r="AQ1527" s="128"/>
      <c r="AR1527" s="128"/>
      <c r="AS1527" s="128"/>
      <c r="AT1527" s="128"/>
      <c r="AU1527" s="128"/>
      <c r="AV1527" s="128"/>
      <c r="AW1527" s="128"/>
      <c r="AX1527" s="128"/>
      <c r="AY1527" s="128"/>
      <c r="AZ1527" s="128"/>
      <c r="BA1527" s="128"/>
      <c r="BB1527" s="128"/>
      <c r="BC1527" s="128"/>
      <c r="BD1527" s="128"/>
      <c r="BE1527" s="128"/>
      <c r="BF1527" s="128"/>
      <c r="BG1527" s="128"/>
      <c r="BH1527" s="128"/>
      <c r="BI1527" s="128"/>
      <c r="BJ1527" s="128"/>
      <c r="BK1527" s="128"/>
      <c r="BL1527" s="128"/>
      <c r="BM1527" s="151"/>
      <c r="BN1527" s="128"/>
      <c r="BO1527" s="128"/>
      <c r="BP1527" s="128"/>
      <c r="BQ1527" s="128"/>
      <c r="BR1527" s="128"/>
      <c r="BS1527" s="128"/>
      <c r="BT1527" s="128"/>
      <c r="BU1527" s="128"/>
      <c r="BV1527" s="128"/>
      <c r="BW1527" s="128"/>
      <c r="BX1527" s="128"/>
      <c r="BY1527" s="128"/>
      <c r="BZ1527" s="128"/>
      <c r="CA1527" s="128"/>
      <c r="CB1527" s="128"/>
      <c r="CC1527" s="128"/>
      <c r="CD1527" s="128"/>
      <c r="CE1527" s="128"/>
      <c r="CF1527" s="128"/>
      <c r="CG1527" s="128"/>
      <c r="CI1527" s="128"/>
      <c r="CJ1527" s="128"/>
      <c r="CK1527" s="128"/>
      <c r="CL1527" s="128"/>
      <c r="CM1527" s="128"/>
      <c r="CN1527" s="128"/>
      <c r="CO1527" s="128"/>
      <c r="CP1527" s="128"/>
      <c r="CQ1527" s="128"/>
      <c r="CR1527" s="128"/>
      <c r="CS1527" s="128"/>
      <c r="CT1527" s="128"/>
      <c r="CU1527" s="128"/>
      <c r="CV1527" s="128"/>
      <c r="CW1527" s="128"/>
      <c r="CX1527" s="128"/>
      <c r="CY1527" s="128"/>
      <c r="CZ1527" s="165"/>
    </row>
    <row r="1528" spans="1:104">
      <c r="A1528" s="149"/>
      <c r="B1528" s="149"/>
      <c r="C1528" s="150"/>
      <c r="D1528" s="102"/>
      <c r="E1528" s="149"/>
      <c r="F1528" s="149"/>
      <c r="G1528" s="149"/>
      <c r="H1528" s="149"/>
      <c r="I1528" s="149"/>
      <c r="J1528" s="149"/>
      <c r="K1528" s="149"/>
      <c r="L1528" s="149"/>
      <c r="M1528" s="149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9"/>
      <c r="AA1528" s="149"/>
      <c r="AB1528" s="149"/>
      <c r="AC1528" s="149"/>
      <c r="AD1528" s="149"/>
      <c r="AE1528" s="149"/>
      <c r="AF1528" s="149"/>
      <c r="AG1528" s="149"/>
      <c r="AH1528" s="149"/>
      <c r="AI1528" s="149"/>
      <c r="AJ1528" s="149"/>
      <c r="AK1528" s="149"/>
      <c r="AL1528" s="149"/>
      <c r="AM1528" s="149"/>
      <c r="AN1528" s="149"/>
      <c r="AO1528" s="128"/>
      <c r="AP1528" s="128"/>
      <c r="AQ1528" s="128"/>
      <c r="AR1528" s="128"/>
      <c r="AS1528" s="128"/>
      <c r="AT1528" s="128"/>
      <c r="AU1528" s="128"/>
      <c r="AV1528" s="128"/>
      <c r="AW1528" s="128"/>
      <c r="AX1528" s="128"/>
      <c r="AY1528" s="128"/>
      <c r="AZ1528" s="128"/>
      <c r="BA1528" s="128"/>
      <c r="BB1528" s="128"/>
      <c r="BC1528" s="128"/>
      <c r="BD1528" s="128"/>
      <c r="BE1528" s="128"/>
      <c r="BF1528" s="128"/>
      <c r="BG1528" s="128"/>
      <c r="BH1528" s="128"/>
      <c r="BI1528" s="128"/>
      <c r="BJ1528" s="128"/>
      <c r="BK1528" s="128"/>
      <c r="BL1528" s="128"/>
      <c r="BM1528" s="151"/>
      <c r="BN1528" s="128"/>
      <c r="BO1528" s="128"/>
      <c r="BP1528" s="128"/>
      <c r="BQ1528" s="128"/>
      <c r="BR1528" s="128"/>
      <c r="BS1528" s="128"/>
      <c r="BT1528" s="128"/>
      <c r="BU1528" s="128"/>
      <c r="BV1528" s="128"/>
      <c r="BW1528" s="128"/>
      <c r="BX1528" s="128"/>
      <c r="BY1528" s="128"/>
      <c r="BZ1528" s="128"/>
      <c r="CA1528" s="128"/>
      <c r="CB1528" s="128"/>
      <c r="CC1528" s="128"/>
      <c r="CD1528" s="128"/>
      <c r="CE1528" s="128"/>
      <c r="CF1528" s="128"/>
      <c r="CG1528" s="128"/>
      <c r="CI1528" s="128"/>
      <c r="CJ1528" s="128"/>
      <c r="CK1528" s="128"/>
      <c r="CL1528" s="128"/>
      <c r="CM1528" s="128"/>
      <c r="CN1528" s="128"/>
      <c r="CO1528" s="128"/>
      <c r="CP1528" s="128"/>
      <c r="CQ1528" s="128"/>
      <c r="CR1528" s="128"/>
      <c r="CS1528" s="128"/>
      <c r="CT1528" s="128"/>
      <c r="CU1528" s="128"/>
      <c r="CV1528" s="128"/>
      <c r="CW1528" s="128"/>
      <c r="CX1528" s="128"/>
      <c r="CY1528" s="128"/>
      <c r="CZ1528" s="165"/>
    </row>
    <row r="1529" spans="1:104">
      <c r="A1529" s="149"/>
      <c r="B1529" s="149"/>
      <c r="C1529" s="150"/>
      <c r="D1529" s="102"/>
      <c r="E1529" s="149"/>
      <c r="F1529" s="149"/>
      <c r="G1529" s="149"/>
      <c r="H1529" s="149"/>
      <c r="I1529" s="149"/>
      <c r="J1529" s="149"/>
      <c r="K1529" s="149"/>
      <c r="L1529" s="149"/>
      <c r="M1529" s="149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9"/>
      <c r="AA1529" s="149"/>
      <c r="AB1529" s="149"/>
      <c r="AC1529" s="149"/>
      <c r="AD1529" s="149"/>
      <c r="AE1529" s="149"/>
      <c r="AF1529" s="149"/>
      <c r="AG1529" s="149"/>
      <c r="AH1529" s="149"/>
      <c r="AI1529" s="149"/>
      <c r="AJ1529" s="149"/>
      <c r="AK1529" s="149"/>
      <c r="AL1529" s="149"/>
      <c r="AM1529" s="149"/>
      <c r="AN1529" s="149"/>
      <c r="AO1529" s="128"/>
      <c r="AP1529" s="128"/>
      <c r="AQ1529" s="128"/>
      <c r="AR1529" s="128"/>
      <c r="AS1529" s="128"/>
      <c r="AT1529" s="128"/>
      <c r="AU1529" s="128"/>
      <c r="AV1529" s="128"/>
      <c r="AW1529" s="128"/>
      <c r="AX1529" s="128"/>
      <c r="AY1529" s="128"/>
      <c r="AZ1529" s="128"/>
      <c r="BA1529" s="128"/>
      <c r="BB1529" s="128"/>
      <c r="BC1529" s="128"/>
      <c r="BD1529" s="128"/>
      <c r="BE1529" s="128"/>
      <c r="BF1529" s="128"/>
      <c r="BG1529" s="128"/>
      <c r="BH1529" s="128"/>
      <c r="BI1529" s="128"/>
      <c r="BJ1529" s="128"/>
      <c r="BK1529" s="128"/>
      <c r="BL1529" s="128"/>
      <c r="BM1529" s="151"/>
      <c r="BN1529" s="128"/>
      <c r="BO1529" s="128"/>
      <c r="BP1529" s="128"/>
      <c r="BQ1529" s="128"/>
      <c r="BR1529" s="128"/>
      <c r="BS1529" s="128"/>
      <c r="BT1529" s="128"/>
      <c r="BU1529" s="128"/>
      <c r="BV1529" s="128"/>
      <c r="BW1529" s="128"/>
      <c r="BX1529" s="128"/>
      <c r="BY1529" s="128"/>
      <c r="BZ1529" s="128"/>
      <c r="CA1529" s="128"/>
      <c r="CB1529" s="128"/>
      <c r="CC1529" s="128"/>
      <c r="CD1529" s="128"/>
      <c r="CE1529" s="128"/>
      <c r="CF1529" s="128"/>
      <c r="CG1529" s="128"/>
      <c r="CI1529" s="128"/>
      <c r="CJ1529" s="128"/>
      <c r="CK1529" s="128"/>
      <c r="CL1529" s="128"/>
      <c r="CM1529" s="128"/>
      <c r="CN1529" s="128"/>
      <c r="CO1529" s="128"/>
      <c r="CP1529" s="128"/>
      <c r="CQ1529" s="128"/>
      <c r="CR1529" s="128"/>
      <c r="CS1529" s="128"/>
      <c r="CT1529" s="128"/>
      <c r="CU1529" s="128"/>
      <c r="CV1529" s="128"/>
      <c r="CW1529" s="128"/>
      <c r="CX1529" s="128"/>
      <c r="CY1529" s="128"/>
      <c r="CZ1529" s="165"/>
    </row>
    <row r="1530" spans="1:104">
      <c r="A1530" s="149"/>
      <c r="B1530" s="149"/>
      <c r="C1530" s="150"/>
      <c r="D1530" s="102"/>
      <c r="E1530" s="149"/>
      <c r="F1530" s="149"/>
      <c r="G1530" s="149"/>
      <c r="H1530" s="149"/>
      <c r="I1530" s="149"/>
      <c r="J1530" s="149"/>
      <c r="K1530" s="149"/>
      <c r="L1530" s="149"/>
      <c r="M1530" s="149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9"/>
      <c r="AA1530" s="149"/>
      <c r="AB1530" s="149"/>
      <c r="AC1530" s="149"/>
      <c r="AD1530" s="149"/>
      <c r="AE1530" s="149"/>
      <c r="AF1530" s="149"/>
      <c r="AG1530" s="149"/>
      <c r="AH1530" s="149"/>
      <c r="AI1530" s="149"/>
      <c r="AJ1530" s="149"/>
      <c r="AK1530" s="149"/>
      <c r="AL1530" s="149"/>
      <c r="AM1530" s="149"/>
      <c r="AN1530" s="149"/>
      <c r="AO1530" s="128"/>
      <c r="AP1530" s="128"/>
      <c r="AQ1530" s="128"/>
      <c r="AR1530" s="128"/>
      <c r="AS1530" s="128"/>
      <c r="AT1530" s="128"/>
      <c r="AU1530" s="128"/>
      <c r="AV1530" s="128"/>
      <c r="AW1530" s="128"/>
      <c r="AX1530" s="128"/>
      <c r="AY1530" s="128"/>
      <c r="AZ1530" s="128"/>
      <c r="BA1530" s="128"/>
      <c r="BB1530" s="128"/>
      <c r="BC1530" s="128"/>
      <c r="BD1530" s="128"/>
      <c r="BE1530" s="128"/>
      <c r="BF1530" s="128"/>
      <c r="BG1530" s="128"/>
      <c r="BH1530" s="128"/>
      <c r="BI1530" s="128"/>
      <c r="BJ1530" s="128"/>
      <c r="BK1530" s="128"/>
      <c r="BL1530" s="128"/>
      <c r="BM1530" s="151"/>
      <c r="BN1530" s="128"/>
      <c r="BO1530" s="128"/>
      <c r="BP1530" s="128"/>
      <c r="BQ1530" s="128"/>
      <c r="BR1530" s="128"/>
      <c r="BS1530" s="128"/>
      <c r="BT1530" s="128"/>
      <c r="BU1530" s="128"/>
      <c r="BV1530" s="128"/>
      <c r="BW1530" s="128"/>
      <c r="BX1530" s="128"/>
      <c r="BY1530" s="128"/>
      <c r="BZ1530" s="128"/>
      <c r="CA1530" s="128"/>
      <c r="CB1530" s="128"/>
      <c r="CC1530" s="128"/>
      <c r="CD1530" s="128"/>
      <c r="CE1530" s="128"/>
      <c r="CF1530" s="128"/>
      <c r="CG1530" s="128"/>
      <c r="CI1530" s="128"/>
      <c r="CJ1530" s="128"/>
      <c r="CK1530" s="128"/>
      <c r="CL1530" s="128"/>
      <c r="CM1530" s="128"/>
      <c r="CN1530" s="128"/>
      <c r="CO1530" s="128"/>
      <c r="CP1530" s="128"/>
      <c r="CQ1530" s="128"/>
      <c r="CR1530" s="128"/>
      <c r="CS1530" s="128"/>
      <c r="CT1530" s="128"/>
      <c r="CU1530" s="128"/>
      <c r="CV1530" s="128"/>
      <c r="CW1530" s="128"/>
      <c r="CX1530" s="128"/>
      <c r="CY1530" s="128"/>
      <c r="CZ1530" s="165"/>
    </row>
    <row r="1531" spans="1:104">
      <c r="A1531" s="149"/>
      <c r="B1531" s="149"/>
      <c r="C1531" s="150"/>
      <c r="D1531" s="102"/>
      <c r="E1531" s="149"/>
      <c r="F1531" s="149"/>
      <c r="G1531" s="149"/>
      <c r="H1531" s="149"/>
      <c r="I1531" s="149"/>
      <c r="J1531" s="149"/>
      <c r="K1531" s="149"/>
      <c r="L1531" s="149"/>
      <c r="M1531" s="149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9"/>
      <c r="AA1531" s="149"/>
      <c r="AB1531" s="149"/>
      <c r="AC1531" s="149"/>
      <c r="AD1531" s="149"/>
      <c r="AE1531" s="149"/>
      <c r="AF1531" s="149"/>
      <c r="AG1531" s="149"/>
      <c r="AH1531" s="149"/>
      <c r="AI1531" s="149"/>
      <c r="AJ1531" s="149"/>
      <c r="AK1531" s="149"/>
      <c r="AL1531" s="149"/>
      <c r="AM1531" s="149"/>
      <c r="AN1531" s="149"/>
      <c r="AO1531" s="128"/>
      <c r="AP1531" s="128"/>
      <c r="AQ1531" s="128"/>
      <c r="AR1531" s="128"/>
      <c r="AS1531" s="128"/>
      <c r="AT1531" s="128"/>
      <c r="AU1531" s="128"/>
      <c r="AV1531" s="128"/>
      <c r="AW1531" s="128"/>
      <c r="AX1531" s="128"/>
      <c r="AY1531" s="128"/>
      <c r="AZ1531" s="128"/>
      <c r="BA1531" s="128"/>
      <c r="BB1531" s="128"/>
      <c r="BC1531" s="128"/>
      <c r="BD1531" s="128"/>
      <c r="BE1531" s="128"/>
      <c r="BF1531" s="128"/>
      <c r="BG1531" s="128"/>
      <c r="BH1531" s="128"/>
      <c r="BI1531" s="128"/>
      <c r="BJ1531" s="128"/>
      <c r="BK1531" s="128"/>
      <c r="BL1531" s="128"/>
      <c r="BM1531" s="151"/>
      <c r="BN1531" s="128"/>
      <c r="BO1531" s="128"/>
      <c r="BP1531" s="128"/>
      <c r="BQ1531" s="128"/>
      <c r="BR1531" s="128"/>
      <c r="BS1531" s="128"/>
      <c r="BT1531" s="128"/>
      <c r="BU1531" s="128"/>
      <c r="BV1531" s="128"/>
      <c r="BW1531" s="128"/>
      <c r="BX1531" s="128"/>
      <c r="BY1531" s="128"/>
      <c r="BZ1531" s="128"/>
      <c r="CA1531" s="128"/>
      <c r="CB1531" s="128"/>
      <c r="CC1531" s="128"/>
      <c r="CD1531" s="128"/>
      <c r="CE1531" s="128"/>
      <c r="CF1531" s="128"/>
      <c r="CG1531" s="128"/>
      <c r="CI1531" s="128"/>
      <c r="CJ1531" s="128"/>
      <c r="CK1531" s="128"/>
      <c r="CL1531" s="128"/>
      <c r="CM1531" s="128"/>
      <c r="CN1531" s="128"/>
      <c r="CO1531" s="128"/>
      <c r="CP1531" s="128"/>
      <c r="CQ1531" s="128"/>
      <c r="CR1531" s="128"/>
      <c r="CS1531" s="128"/>
      <c r="CT1531" s="128"/>
      <c r="CU1531" s="128"/>
      <c r="CV1531" s="128"/>
      <c r="CW1531" s="128"/>
      <c r="CX1531" s="128"/>
      <c r="CY1531" s="128"/>
      <c r="CZ1531" s="165"/>
    </row>
    <row r="1532" spans="1:104">
      <c r="A1532" s="149"/>
      <c r="B1532" s="149"/>
      <c r="C1532" s="150"/>
      <c r="D1532" s="102"/>
      <c r="E1532" s="149"/>
      <c r="F1532" s="149"/>
      <c r="G1532" s="149"/>
      <c r="H1532" s="149"/>
      <c r="I1532" s="149"/>
      <c r="J1532" s="149"/>
      <c r="K1532" s="149"/>
      <c r="L1532" s="149"/>
      <c r="M1532" s="149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9"/>
      <c r="AA1532" s="149"/>
      <c r="AB1532" s="149"/>
      <c r="AC1532" s="149"/>
      <c r="AD1532" s="149"/>
      <c r="AE1532" s="149"/>
      <c r="AF1532" s="149"/>
      <c r="AG1532" s="149"/>
      <c r="AH1532" s="149"/>
      <c r="AI1532" s="149"/>
      <c r="AJ1532" s="149"/>
      <c r="AK1532" s="149"/>
      <c r="AL1532" s="149"/>
      <c r="AM1532" s="149"/>
      <c r="AN1532" s="149"/>
      <c r="AO1532" s="128"/>
      <c r="AP1532" s="128"/>
      <c r="AQ1532" s="128"/>
      <c r="AR1532" s="128"/>
      <c r="AS1532" s="128"/>
      <c r="AT1532" s="128"/>
      <c r="AU1532" s="128"/>
      <c r="AV1532" s="128"/>
      <c r="AW1532" s="128"/>
      <c r="AX1532" s="128"/>
      <c r="AY1532" s="128"/>
      <c r="AZ1532" s="128"/>
      <c r="BA1532" s="128"/>
      <c r="BB1532" s="128"/>
      <c r="BC1532" s="128"/>
      <c r="BD1532" s="128"/>
      <c r="BE1532" s="128"/>
      <c r="BF1532" s="128"/>
      <c r="BG1532" s="128"/>
      <c r="BH1532" s="128"/>
      <c r="BI1532" s="128"/>
      <c r="BJ1532" s="128"/>
      <c r="BK1532" s="128"/>
      <c r="BL1532" s="128"/>
      <c r="BM1532" s="151"/>
      <c r="BN1532" s="128"/>
      <c r="BO1532" s="128"/>
      <c r="BP1532" s="128"/>
      <c r="BQ1532" s="128"/>
      <c r="BR1532" s="128"/>
      <c r="BS1532" s="128"/>
      <c r="BT1532" s="128"/>
      <c r="BU1532" s="128"/>
      <c r="BV1532" s="128"/>
      <c r="BW1532" s="128"/>
      <c r="BX1532" s="128"/>
      <c r="BY1532" s="128"/>
      <c r="BZ1532" s="128"/>
      <c r="CA1532" s="128"/>
      <c r="CB1532" s="128"/>
      <c r="CC1532" s="128"/>
      <c r="CD1532" s="128"/>
      <c r="CE1532" s="128"/>
      <c r="CF1532" s="128"/>
      <c r="CG1532" s="128"/>
      <c r="CI1532" s="128"/>
      <c r="CJ1532" s="128"/>
      <c r="CK1532" s="128"/>
      <c r="CL1532" s="128"/>
      <c r="CM1532" s="128"/>
      <c r="CN1532" s="128"/>
      <c r="CO1532" s="128"/>
      <c r="CP1532" s="128"/>
      <c r="CQ1532" s="128"/>
      <c r="CR1532" s="128"/>
      <c r="CS1532" s="128"/>
      <c r="CT1532" s="128"/>
      <c r="CU1532" s="128"/>
      <c r="CV1532" s="128"/>
      <c r="CW1532" s="128"/>
      <c r="CX1532" s="128"/>
      <c r="CY1532" s="128"/>
      <c r="CZ1532" s="165"/>
    </row>
    <row r="1533" spans="1:104">
      <c r="A1533" s="149"/>
      <c r="B1533" s="149"/>
      <c r="C1533" s="150"/>
      <c r="D1533" s="102"/>
      <c r="E1533" s="149"/>
      <c r="F1533" s="149"/>
      <c r="G1533" s="149"/>
      <c r="H1533" s="149"/>
      <c r="I1533" s="149"/>
      <c r="J1533" s="149"/>
      <c r="K1533" s="149"/>
      <c r="L1533" s="149"/>
      <c r="M1533" s="149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9"/>
      <c r="AA1533" s="149"/>
      <c r="AB1533" s="149"/>
      <c r="AC1533" s="149"/>
      <c r="AD1533" s="149"/>
      <c r="AE1533" s="149"/>
      <c r="AF1533" s="149"/>
      <c r="AG1533" s="149"/>
      <c r="AH1533" s="149"/>
      <c r="AI1533" s="149"/>
      <c r="AJ1533" s="149"/>
      <c r="AK1533" s="149"/>
      <c r="AL1533" s="149"/>
      <c r="AM1533" s="149"/>
      <c r="AN1533" s="149"/>
      <c r="AO1533" s="128"/>
      <c r="AP1533" s="128"/>
      <c r="AQ1533" s="128"/>
      <c r="AR1533" s="128"/>
      <c r="AS1533" s="128"/>
      <c r="AT1533" s="128"/>
      <c r="AU1533" s="128"/>
      <c r="AV1533" s="128"/>
      <c r="AW1533" s="128"/>
      <c r="AX1533" s="128"/>
      <c r="AY1533" s="128"/>
      <c r="AZ1533" s="128"/>
      <c r="BA1533" s="128"/>
      <c r="BB1533" s="128"/>
      <c r="BC1533" s="128"/>
      <c r="BD1533" s="128"/>
      <c r="BE1533" s="128"/>
      <c r="BF1533" s="128"/>
      <c r="BG1533" s="128"/>
      <c r="BH1533" s="128"/>
      <c r="BI1533" s="128"/>
      <c r="BJ1533" s="128"/>
      <c r="BK1533" s="128"/>
      <c r="BL1533" s="128"/>
      <c r="BM1533" s="151"/>
      <c r="BN1533" s="128"/>
      <c r="BO1533" s="128"/>
      <c r="BP1533" s="128"/>
      <c r="BQ1533" s="128"/>
      <c r="BR1533" s="128"/>
      <c r="BS1533" s="128"/>
      <c r="BT1533" s="128"/>
      <c r="BU1533" s="128"/>
      <c r="BV1533" s="128"/>
      <c r="BW1533" s="128"/>
      <c r="BX1533" s="128"/>
      <c r="BY1533" s="128"/>
      <c r="BZ1533" s="128"/>
      <c r="CA1533" s="128"/>
      <c r="CB1533" s="128"/>
      <c r="CC1533" s="128"/>
      <c r="CD1533" s="128"/>
      <c r="CE1533" s="128"/>
      <c r="CF1533" s="128"/>
      <c r="CG1533" s="128"/>
      <c r="CI1533" s="128"/>
      <c r="CJ1533" s="128"/>
      <c r="CK1533" s="128"/>
      <c r="CL1533" s="128"/>
      <c r="CM1533" s="128"/>
      <c r="CN1533" s="128"/>
      <c r="CO1533" s="128"/>
      <c r="CP1533" s="128"/>
      <c r="CQ1533" s="128"/>
      <c r="CR1533" s="128"/>
      <c r="CS1533" s="128"/>
      <c r="CT1533" s="128"/>
      <c r="CU1533" s="128"/>
      <c r="CV1533" s="128"/>
      <c r="CW1533" s="128"/>
      <c r="CX1533" s="128"/>
      <c r="CY1533" s="128"/>
      <c r="CZ1533" s="165"/>
    </row>
    <row r="1534" spans="1:104">
      <c r="A1534" s="149"/>
      <c r="B1534" s="149"/>
      <c r="C1534" s="150"/>
      <c r="D1534" s="102"/>
      <c r="E1534" s="149"/>
      <c r="F1534" s="149"/>
      <c r="G1534" s="149"/>
      <c r="H1534" s="149"/>
      <c r="I1534" s="149"/>
      <c r="J1534" s="149"/>
      <c r="K1534" s="149"/>
      <c r="L1534" s="149"/>
      <c r="M1534" s="149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9"/>
      <c r="AA1534" s="149"/>
      <c r="AB1534" s="149"/>
      <c r="AC1534" s="149"/>
      <c r="AD1534" s="149"/>
      <c r="AE1534" s="149"/>
      <c r="AF1534" s="149"/>
      <c r="AG1534" s="149"/>
      <c r="AH1534" s="149"/>
      <c r="AI1534" s="149"/>
      <c r="AJ1534" s="149"/>
      <c r="AK1534" s="149"/>
      <c r="AL1534" s="149"/>
      <c r="AM1534" s="149"/>
      <c r="AN1534" s="149"/>
      <c r="AO1534" s="128"/>
      <c r="AP1534" s="128"/>
      <c r="AQ1534" s="128"/>
      <c r="AR1534" s="128"/>
      <c r="AS1534" s="128"/>
      <c r="AT1534" s="128"/>
      <c r="AU1534" s="128"/>
      <c r="AV1534" s="128"/>
      <c r="AW1534" s="128"/>
      <c r="AX1534" s="128"/>
      <c r="AY1534" s="128"/>
      <c r="AZ1534" s="128"/>
      <c r="BA1534" s="128"/>
      <c r="BB1534" s="128"/>
      <c r="BC1534" s="128"/>
      <c r="BD1534" s="128"/>
      <c r="BE1534" s="128"/>
      <c r="BF1534" s="128"/>
      <c r="BG1534" s="128"/>
      <c r="BH1534" s="128"/>
      <c r="BI1534" s="128"/>
      <c r="BJ1534" s="128"/>
      <c r="BK1534" s="128"/>
      <c r="BL1534" s="128"/>
      <c r="BM1534" s="151"/>
      <c r="BN1534" s="128"/>
      <c r="BO1534" s="128"/>
      <c r="BP1534" s="128"/>
      <c r="BQ1534" s="128"/>
      <c r="BR1534" s="128"/>
      <c r="BS1534" s="128"/>
      <c r="BT1534" s="128"/>
      <c r="BU1534" s="128"/>
      <c r="BV1534" s="128"/>
      <c r="BW1534" s="128"/>
      <c r="BX1534" s="128"/>
      <c r="BY1534" s="128"/>
      <c r="BZ1534" s="128"/>
      <c r="CA1534" s="128"/>
      <c r="CB1534" s="128"/>
      <c r="CC1534" s="128"/>
      <c r="CD1534" s="128"/>
      <c r="CE1534" s="128"/>
      <c r="CF1534" s="128"/>
      <c r="CG1534" s="128"/>
      <c r="CI1534" s="128"/>
      <c r="CJ1534" s="128"/>
      <c r="CK1534" s="128"/>
      <c r="CL1534" s="128"/>
      <c r="CM1534" s="128"/>
      <c r="CN1534" s="128"/>
      <c r="CO1534" s="128"/>
      <c r="CP1534" s="128"/>
      <c r="CQ1534" s="128"/>
      <c r="CR1534" s="128"/>
      <c r="CS1534" s="128"/>
      <c r="CT1534" s="128"/>
      <c r="CU1534" s="128"/>
      <c r="CV1534" s="128"/>
      <c r="CW1534" s="128"/>
      <c r="CX1534" s="128"/>
      <c r="CY1534" s="128"/>
      <c r="CZ1534" s="165"/>
    </row>
    <row r="1535" spans="1:104">
      <c r="A1535" s="149"/>
      <c r="B1535" s="149"/>
      <c r="C1535" s="150"/>
      <c r="D1535" s="102"/>
      <c r="E1535" s="149"/>
      <c r="F1535" s="149"/>
      <c r="G1535" s="149"/>
      <c r="H1535" s="149"/>
      <c r="I1535" s="149"/>
      <c r="J1535" s="149"/>
      <c r="K1535" s="149"/>
      <c r="L1535" s="149"/>
      <c r="M1535" s="149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9"/>
      <c r="AA1535" s="149"/>
      <c r="AB1535" s="149"/>
      <c r="AC1535" s="149"/>
      <c r="AD1535" s="149"/>
      <c r="AE1535" s="149"/>
      <c r="AF1535" s="149"/>
      <c r="AG1535" s="149"/>
      <c r="AH1535" s="149"/>
      <c r="AI1535" s="149"/>
      <c r="AJ1535" s="149"/>
      <c r="AK1535" s="149"/>
      <c r="AL1535" s="149"/>
      <c r="AM1535" s="149"/>
      <c r="AN1535" s="149"/>
      <c r="AO1535" s="128"/>
      <c r="AP1535" s="128"/>
      <c r="AQ1535" s="128"/>
      <c r="AR1535" s="128"/>
      <c r="AS1535" s="128"/>
      <c r="AT1535" s="128"/>
      <c r="AU1535" s="128"/>
      <c r="AV1535" s="128"/>
      <c r="AW1535" s="128"/>
      <c r="AX1535" s="128"/>
      <c r="AY1535" s="128"/>
      <c r="AZ1535" s="128"/>
      <c r="BA1535" s="128"/>
      <c r="BB1535" s="128"/>
      <c r="BC1535" s="128"/>
      <c r="BD1535" s="128"/>
      <c r="BE1535" s="128"/>
      <c r="BF1535" s="128"/>
      <c r="BG1535" s="128"/>
      <c r="BH1535" s="128"/>
      <c r="BI1535" s="128"/>
      <c r="BJ1535" s="128"/>
      <c r="BK1535" s="128"/>
      <c r="BL1535" s="128"/>
      <c r="BM1535" s="151"/>
      <c r="BN1535" s="128"/>
      <c r="BO1535" s="128"/>
      <c r="BP1535" s="128"/>
      <c r="BQ1535" s="128"/>
      <c r="BR1535" s="128"/>
      <c r="BS1535" s="128"/>
      <c r="BT1535" s="128"/>
      <c r="BU1535" s="128"/>
      <c r="BV1535" s="128"/>
      <c r="BW1535" s="128"/>
      <c r="BX1535" s="128"/>
      <c r="BY1535" s="128"/>
      <c r="BZ1535" s="128"/>
      <c r="CA1535" s="128"/>
      <c r="CB1535" s="128"/>
      <c r="CC1535" s="128"/>
      <c r="CD1535" s="128"/>
      <c r="CE1535" s="128"/>
      <c r="CF1535" s="128"/>
      <c r="CG1535" s="128"/>
      <c r="CI1535" s="128"/>
      <c r="CJ1535" s="128"/>
      <c r="CK1535" s="128"/>
      <c r="CL1535" s="128"/>
      <c r="CM1535" s="128"/>
      <c r="CN1535" s="128"/>
      <c r="CO1535" s="128"/>
      <c r="CP1535" s="128"/>
      <c r="CQ1535" s="128"/>
      <c r="CR1535" s="128"/>
      <c r="CS1535" s="128"/>
      <c r="CT1535" s="128"/>
      <c r="CU1535" s="128"/>
      <c r="CV1535" s="128"/>
      <c r="CW1535" s="128"/>
      <c r="CX1535" s="128"/>
      <c r="CY1535" s="128"/>
      <c r="CZ1535" s="165"/>
    </row>
    <row r="1536" spans="1:104">
      <c r="A1536" s="149"/>
      <c r="B1536" s="149"/>
      <c r="C1536" s="150"/>
      <c r="D1536" s="102"/>
      <c r="E1536" s="149"/>
      <c r="F1536" s="149"/>
      <c r="G1536" s="149"/>
      <c r="H1536" s="149"/>
      <c r="I1536" s="149"/>
      <c r="J1536" s="149"/>
      <c r="K1536" s="149"/>
      <c r="L1536" s="149"/>
      <c r="M1536" s="149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9"/>
      <c r="AA1536" s="149"/>
      <c r="AB1536" s="149"/>
      <c r="AC1536" s="149"/>
      <c r="AD1536" s="149"/>
      <c r="AE1536" s="149"/>
      <c r="AF1536" s="149"/>
      <c r="AG1536" s="149"/>
      <c r="AH1536" s="149"/>
      <c r="AI1536" s="149"/>
      <c r="AJ1536" s="149"/>
      <c r="AK1536" s="149"/>
      <c r="AL1536" s="149"/>
      <c r="AM1536" s="149"/>
      <c r="AN1536" s="149"/>
      <c r="AO1536" s="128"/>
      <c r="AP1536" s="128"/>
      <c r="AQ1536" s="128"/>
      <c r="AR1536" s="128"/>
      <c r="AS1536" s="128"/>
      <c r="AT1536" s="128"/>
      <c r="AU1536" s="128"/>
      <c r="AV1536" s="128"/>
      <c r="AW1536" s="128"/>
      <c r="AX1536" s="128"/>
      <c r="AY1536" s="128"/>
      <c r="AZ1536" s="128"/>
      <c r="BA1536" s="128"/>
      <c r="BB1536" s="128"/>
      <c r="BC1536" s="128"/>
      <c r="BD1536" s="128"/>
      <c r="BE1536" s="128"/>
      <c r="BF1536" s="128"/>
      <c r="BG1536" s="128"/>
      <c r="BH1536" s="128"/>
      <c r="BI1536" s="128"/>
      <c r="BJ1536" s="128"/>
      <c r="BK1536" s="128"/>
      <c r="BL1536" s="128"/>
      <c r="BM1536" s="151"/>
      <c r="BN1536" s="128"/>
      <c r="BO1536" s="128"/>
      <c r="BP1536" s="128"/>
      <c r="BQ1536" s="128"/>
      <c r="BR1536" s="128"/>
      <c r="BS1536" s="128"/>
      <c r="BT1536" s="128"/>
      <c r="BU1536" s="128"/>
      <c r="BV1536" s="128"/>
      <c r="BW1536" s="128"/>
      <c r="BX1536" s="128"/>
      <c r="BY1536" s="128"/>
      <c r="BZ1536" s="128"/>
      <c r="CA1536" s="128"/>
      <c r="CB1536" s="128"/>
      <c r="CC1536" s="128"/>
      <c r="CD1536" s="128"/>
      <c r="CE1536" s="128"/>
      <c r="CF1536" s="128"/>
      <c r="CG1536" s="128"/>
      <c r="CI1536" s="128"/>
      <c r="CJ1536" s="128"/>
      <c r="CK1536" s="128"/>
      <c r="CL1536" s="128"/>
      <c r="CM1536" s="128"/>
      <c r="CN1536" s="128"/>
      <c r="CO1536" s="128"/>
      <c r="CP1536" s="128"/>
      <c r="CQ1536" s="128"/>
      <c r="CR1536" s="128"/>
      <c r="CS1536" s="128"/>
      <c r="CT1536" s="128"/>
      <c r="CU1536" s="128"/>
      <c r="CV1536" s="128"/>
      <c r="CW1536" s="128"/>
      <c r="CX1536" s="128"/>
      <c r="CY1536" s="128"/>
      <c r="CZ1536" s="165"/>
    </row>
    <row r="1537" spans="1:104">
      <c r="A1537" s="149"/>
      <c r="B1537" s="149"/>
      <c r="C1537" s="150"/>
      <c r="D1537" s="102"/>
      <c r="E1537" s="149"/>
      <c r="F1537" s="149"/>
      <c r="G1537" s="149"/>
      <c r="H1537" s="149"/>
      <c r="I1537" s="149"/>
      <c r="J1537" s="149"/>
      <c r="K1537" s="149"/>
      <c r="L1537" s="149"/>
      <c r="M1537" s="149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9"/>
      <c r="AA1537" s="149"/>
      <c r="AB1537" s="149"/>
      <c r="AC1537" s="149"/>
      <c r="AD1537" s="149"/>
      <c r="AE1537" s="149"/>
      <c r="AF1537" s="149"/>
      <c r="AG1537" s="149"/>
      <c r="AH1537" s="149"/>
      <c r="AI1537" s="149"/>
      <c r="AJ1537" s="149"/>
      <c r="AK1537" s="149"/>
      <c r="AL1537" s="149"/>
      <c r="AM1537" s="149"/>
      <c r="AN1537" s="149"/>
      <c r="AO1537" s="128"/>
      <c r="AP1537" s="128"/>
      <c r="AQ1537" s="128"/>
      <c r="AR1537" s="128"/>
      <c r="AS1537" s="128"/>
      <c r="AT1537" s="128"/>
      <c r="AU1537" s="128"/>
      <c r="AV1537" s="128"/>
      <c r="AW1537" s="128"/>
      <c r="AX1537" s="128"/>
      <c r="AY1537" s="128"/>
      <c r="AZ1537" s="128"/>
      <c r="BA1537" s="128"/>
      <c r="BB1537" s="128"/>
      <c r="BC1537" s="128"/>
      <c r="BD1537" s="128"/>
      <c r="BE1537" s="128"/>
      <c r="BF1537" s="128"/>
      <c r="BG1537" s="128"/>
      <c r="BH1537" s="128"/>
      <c r="BI1537" s="128"/>
      <c r="BJ1537" s="128"/>
      <c r="BK1537" s="128"/>
      <c r="BL1537" s="128"/>
      <c r="BM1537" s="151"/>
      <c r="BN1537" s="128"/>
      <c r="BO1537" s="128"/>
      <c r="BP1537" s="128"/>
      <c r="BQ1537" s="128"/>
      <c r="BR1537" s="128"/>
      <c r="BS1537" s="128"/>
      <c r="BT1537" s="128"/>
      <c r="BU1537" s="128"/>
      <c r="BV1537" s="128"/>
      <c r="BW1537" s="128"/>
      <c r="BX1537" s="128"/>
      <c r="BY1537" s="128"/>
      <c r="BZ1537" s="128"/>
      <c r="CA1537" s="128"/>
      <c r="CB1537" s="128"/>
      <c r="CC1537" s="128"/>
      <c r="CD1537" s="128"/>
      <c r="CE1537" s="128"/>
      <c r="CF1537" s="128"/>
      <c r="CG1537" s="128"/>
      <c r="CI1537" s="128"/>
      <c r="CJ1537" s="128"/>
      <c r="CK1537" s="128"/>
      <c r="CL1537" s="128"/>
      <c r="CM1537" s="128"/>
      <c r="CN1537" s="128"/>
      <c r="CO1537" s="128"/>
      <c r="CP1537" s="128"/>
      <c r="CQ1537" s="128"/>
      <c r="CR1537" s="128"/>
      <c r="CS1537" s="128"/>
      <c r="CT1537" s="128"/>
      <c r="CU1537" s="128"/>
      <c r="CV1537" s="128"/>
      <c r="CW1537" s="128"/>
      <c r="CX1537" s="128"/>
      <c r="CY1537" s="128"/>
      <c r="CZ1537" s="165"/>
    </row>
    <row r="1538" spans="1:104">
      <c r="A1538" s="149"/>
      <c r="B1538" s="149"/>
      <c r="C1538" s="150"/>
      <c r="D1538" s="102"/>
      <c r="E1538" s="149"/>
      <c r="F1538" s="149"/>
      <c r="G1538" s="149"/>
      <c r="H1538" s="149"/>
      <c r="I1538" s="149"/>
      <c r="J1538" s="149"/>
      <c r="K1538" s="149"/>
      <c r="L1538" s="149"/>
      <c r="M1538" s="149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9"/>
      <c r="AA1538" s="149"/>
      <c r="AB1538" s="149"/>
      <c r="AC1538" s="149"/>
      <c r="AD1538" s="149"/>
      <c r="AE1538" s="149"/>
      <c r="AF1538" s="149"/>
      <c r="AG1538" s="149"/>
      <c r="AH1538" s="149"/>
      <c r="AI1538" s="149"/>
      <c r="AJ1538" s="149"/>
      <c r="AK1538" s="149"/>
      <c r="AL1538" s="149"/>
      <c r="AM1538" s="149"/>
      <c r="AN1538" s="149"/>
      <c r="AO1538" s="128"/>
      <c r="AP1538" s="128"/>
      <c r="AQ1538" s="128"/>
      <c r="AR1538" s="128"/>
      <c r="AS1538" s="128"/>
      <c r="AT1538" s="128"/>
      <c r="AU1538" s="128"/>
      <c r="AV1538" s="128"/>
      <c r="AW1538" s="128"/>
      <c r="AX1538" s="128"/>
      <c r="AY1538" s="128"/>
      <c r="AZ1538" s="128"/>
      <c r="BA1538" s="128"/>
      <c r="BB1538" s="128"/>
      <c r="BC1538" s="128"/>
      <c r="BD1538" s="128"/>
      <c r="BE1538" s="128"/>
      <c r="BF1538" s="128"/>
      <c r="BG1538" s="128"/>
      <c r="BH1538" s="128"/>
      <c r="BI1538" s="128"/>
      <c r="BJ1538" s="128"/>
      <c r="BK1538" s="128"/>
      <c r="BL1538" s="128"/>
      <c r="BM1538" s="151"/>
      <c r="BN1538" s="128"/>
      <c r="BO1538" s="128"/>
      <c r="BP1538" s="128"/>
      <c r="BQ1538" s="128"/>
      <c r="BR1538" s="128"/>
      <c r="BS1538" s="128"/>
      <c r="BT1538" s="128"/>
      <c r="BU1538" s="128"/>
      <c r="BV1538" s="128"/>
      <c r="BW1538" s="128"/>
      <c r="BX1538" s="128"/>
      <c r="BY1538" s="128"/>
      <c r="BZ1538" s="128"/>
      <c r="CA1538" s="128"/>
      <c r="CB1538" s="128"/>
      <c r="CC1538" s="128"/>
      <c r="CD1538" s="128"/>
      <c r="CE1538" s="128"/>
      <c r="CF1538" s="128"/>
      <c r="CG1538" s="128"/>
      <c r="CI1538" s="128"/>
      <c r="CJ1538" s="128"/>
      <c r="CK1538" s="128"/>
      <c r="CL1538" s="128"/>
      <c r="CM1538" s="128"/>
      <c r="CN1538" s="128"/>
      <c r="CO1538" s="128"/>
      <c r="CP1538" s="128"/>
      <c r="CQ1538" s="128"/>
      <c r="CR1538" s="128"/>
      <c r="CS1538" s="128"/>
      <c r="CT1538" s="128"/>
      <c r="CU1538" s="128"/>
      <c r="CV1538" s="128"/>
      <c r="CW1538" s="128"/>
      <c r="CX1538" s="128"/>
      <c r="CY1538" s="128"/>
      <c r="CZ1538" s="165"/>
    </row>
    <row r="1539" spans="1:104">
      <c r="A1539" s="149"/>
      <c r="B1539" s="149"/>
      <c r="C1539" s="150"/>
      <c r="D1539" s="102"/>
      <c r="E1539" s="149"/>
      <c r="F1539" s="149"/>
      <c r="G1539" s="149"/>
      <c r="H1539" s="149"/>
      <c r="I1539" s="149"/>
      <c r="J1539" s="149"/>
      <c r="K1539" s="149"/>
      <c r="L1539" s="149"/>
      <c r="M1539" s="149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9"/>
      <c r="AA1539" s="149"/>
      <c r="AB1539" s="149"/>
      <c r="AC1539" s="149"/>
      <c r="AD1539" s="149"/>
      <c r="AE1539" s="149"/>
      <c r="AF1539" s="149"/>
      <c r="AG1539" s="149"/>
      <c r="AH1539" s="149"/>
      <c r="AI1539" s="149"/>
      <c r="AJ1539" s="149"/>
      <c r="AK1539" s="149"/>
      <c r="AL1539" s="149"/>
      <c r="AM1539" s="149"/>
      <c r="AN1539" s="149"/>
      <c r="AO1539" s="128"/>
      <c r="AP1539" s="128"/>
      <c r="AQ1539" s="128"/>
      <c r="AR1539" s="128"/>
      <c r="AS1539" s="128"/>
      <c r="AT1539" s="128"/>
      <c r="AU1539" s="128"/>
      <c r="AV1539" s="128"/>
      <c r="AW1539" s="128"/>
      <c r="AX1539" s="128"/>
      <c r="AY1539" s="128"/>
      <c r="AZ1539" s="128"/>
      <c r="BA1539" s="128"/>
      <c r="BB1539" s="128"/>
      <c r="BC1539" s="128"/>
      <c r="BD1539" s="128"/>
      <c r="BE1539" s="128"/>
      <c r="BF1539" s="128"/>
      <c r="BG1539" s="128"/>
      <c r="BH1539" s="128"/>
      <c r="BI1539" s="128"/>
      <c r="BJ1539" s="128"/>
      <c r="BK1539" s="128"/>
      <c r="BL1539" s="128"/>
      <c r="BM1539" s="151"/>
      <c r="BN1539" s="128"/>
      <c r="BO1539" s="128"/>
      <c r="BP1539" s="128"/>
      <c r="BQ1539" s="128"/>
      <c r="BR1539" s="128"/>
      <c r="BS1539" s="128"/>
      <c r="BT1539" s="128"/>
      <c r="BU1539" s="128"/>
      <c r="BV1539" s="128"/>
      <c r="BW1539" s="128"/>
      <c r="BX1539" s="128"/>
      <c r="BY1539" s="128"/>
      <c r="BZ1539" s="128"/>
      <c r="CA1539" s="128"/>
      <c r="CB1539" s="128"/>
      <c r="CC1539" s="128"/>
      <c r="CD1539" s="128"/>
      <c r="CE1539" s="128"/>
      <c r="CF1539" s="128"/>
      <c r="CG1539" s="128"/>
      <c r="CI1539" s="128"/>
      <c r="CJ1539" s="128"/>
      <c r="CK1539" s="128"/>
      <c r="CL1539" s="128"/>
      <c r="CM1539" s="128"/>
      <c r="CN1539" s="128"/>
      <c r="CO1539" s="128"/>
      <c r="CP1539" s="128"/>
      <c r="CQ1539" s="128"/>
      <c r="CR1539" s="128"/>
      <c r="CS1539" s="128"/>
      <c r="CT1539" s="128"/>
      <c r="CU1539" s="128"/>
      <c r="CV1539" s="128"/>
      <c r="CW1539" s="128"/>
      <c r="CX1539" s="128"/>
      <c r="CY1539" s="128"/>
      <c r="CZ1539" s="165"/>
    </row>
    <row r="1540" spans="1:104">
      <c r="A1540" s="149"/>
      <c r="B1540" s="149"/>
      <c r="C1540" s="150"/>
      <c r="D1540" s="102"/>
      <c r="E1540" s="149"/>
      <c r="F1540" s="149"/>
      <c r="G1540" s="149"/>
      <c r="H1540" s="149"/>
      <c r="I1540" s="149"/>
      <c r="J1540" s="149"/>
      <c r="K1540" s="149"/>
      <c r="L1540" s="149"/>
      <c r="M1540" s="149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9"/>
      <c r="AA1540" s="149"/>
      <c r="AB1540" s="149"/>
      <c r="AC1540" s="149"/>
      <c r="AD1540" s="149"/>
      <c r="AE1540" s="149"/>
      <c r="AF1540" s="149"/>
      <c r="AG1540" s="149"/>
      <c r="AH1540" s="149"/>
      <c r="AI1540" s="149"/>
      <c r="AJ1540" s="149"/>
      <c r="AK1540" s="149"/>
      <c r="AL1540" s="149"/>
      <c r="AM1540" s="149"/>
      <c r="AN1540" s="149"/>
      <c r="AO1540" s="128"/>
      <c r="AP1540" s="128"/>
      <c r="AQ1540" s="128"/>
      <c r="AR1540" s="128"/>
      <c r="AS1540" s="128"/>
      <c r="AT1540" s="128"/>
      <c r="AU1540" s="128"/>
      <c r="AV1540" s="128"/>
      <c r="AW1540" s="128"/>
      <c r="AX1540" s="128"/>
      <c r="AY1540" s="128"/>
      <c r="AZ1540" s="128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51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28"/>
      <c r="BY1540" s="128"/>
      <c r="BZ1540" s="128"/>
      <c r="CA1540" s="128"/>
      <c r="CB1540" s="128"/>
      <c r="CC1540" s="128"/>
      <c r="CD1540" s="128"/>
      <c r="CE1540" s="128"/>
      <c r="CF1540" s="128"/>
      <c r="CG1540" s="128"/>
      <c r="CI1540" s="128"/>
      <c r="CJ1540" s="128"/>
      <c r="CK1540" s="128"/>
      <c r="CL1540" s="128"/>
      <c r="CM1540" s="128"/>
      <c r="CN1540" s="128"/>
      <c r="CO1540" s="128"/>
      <c r="CP1540" s="128"/>
      <c r="CQ1540" s="128"/>
      <c r="CR1540" s="128"/>
      <c r="CS1540" s="128"/>
      <c r="CT1540" s="128"/>
      <c r="CU1540" s="128"/>
      <c r="CV1540" s="128"/>
      <c r="CW1540" s="128"/>
      <c r="CX1540" s="128"/>
      <c r="CY1540" s="128"/>
      <c r="CZ1540" s="165"/>
    </row>
    <row r="1541" spans="1:104">
      <c r="A1541" s="149"/>
      <c r="B1541" s="149"/>
      <c r="C1541" s="150"/>
      <c r="D1541" s="102"/>
      <c r="E1541" s="149"/>
      <c r="F1541" s="149"/>
      <c r="G1541" s="149"/>
      <c r="H1541" s="149"/>
      <c r="I1541" s="149"/>
      <c r="J1541" s="149"/>
      <c r="K1541" s="149"/>
      <c r="L1541" s="149"/>
      <c r="M1541" s="149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9"/>
      <c r="AA1541" s="149"/>
      <c r="AB1541" s="149"/>
      <c r="AC1541" s="149"/>
      <c r="AD1541" s="149"/>
      <c r="AE1541" s="149"/>
      <c r="AF1541" s="149"/>
      <c r="AG1541" s="149"/>
      <c r="AH1541" s="149"/>
      <c r="AI1541" s="149"/>
      <c r="AJ1541" s="149"/>
      <c r="AK1541" s="149"/>
      <c r="AL1541" s="149"/>
      <c r="AM1541" s="149"/>
      <c r="AN1541" s="149"/>
      <c r="AO1541" s="128"/>
      <c r="AP1541" s="128"/>
      <c r="AQ1541" s="128"/>
      <c r="AR1541" s="128"/>
      <c r="AS1541" s="128"/>
      <c r="AT1541" s="128"/>
      <c r="AU1541" s="128"/>
      <c r="AV1541" s="128"/>
      <c r="AW1541" s="128"/>
      <c r="AX1541" s="128"/>
      <c r="AY1541" s="128"/>
      <c r="AZ1541" s="128"/>
      <c r="BA1541" s="128"/>
      <c r="BB1541" s="128"/>
      <c r="BC1541" s="128"/>
      <c r="BD1541" s="128"/>
      <c r="BE1541" s="128"/>
      <c r="BF1541" s="128"/>
      <c r="BG1541" s="128"/>
      <c r="BH1541" s="128"/>
      <c r="BI1541" s="128"/>
      <c r="BJ1541" s="128"/>
      <c r="BK1541" s="128"/>
      <c r="BL1541" s="128"/>
      <c r="BM1541" s="151"/>
      <c r="BN1541" s="128"/>
      <c r="BO1541" s="128"/>
      <c r="BP1541" s="128"/>
      <c r="BQ1541" s="128"/>
      <c r="BR1541" s="128"/>
      <c r="BS1541" s="128"/>
      <c r="BT1541" s="128"/>
      <c r="BU1541" s="128"/>
      <c r="BV1541" s="128"/>
      <c r="BW1541" s="128"/>
      <c r="BX1541" s="128"/>
      <c r="BY1541" s="128"/>
      <c r="BZ1541" s="128"/>
      <c r="CA1541" s="128"/>
      <c r="CB1541" s="128"/>
      <c r="CC1541" s="128"/>
      <c r="CD1541" s="128"/>
      <c r="CE1541" s="128"/>
      <c r="CF1541" s="128"/>
      <c r="CG1541" s="128"/>
      <c r="CI1541" s="128"/>
      <c r="CJ1541" s="128"/>
      <c r="CK1541" s="128"/>
      <c r="CL1541" s="128"/>
      <c r="CM1541" s="128"/>
      <c r="CN1541" s="128"/>
      <c r="CO1541" s="128"/>
      <c r="CP1541" s="128"/>
      <c r="CQ1541" s="128"/>
      <c r="CR1541" s="128"/>
      <c r="CS1541" s="128"/>
      <c r="CT1541" s="128"/>
      <c r="CU1541" s="128"/>
      <c r="CV1541" s="128"/>
      <c r="CW1541" s="128"/>
      <c r="CX1541" s="128"/>
      <c r="CY1541" s="128"/>
      <c r="CZ1541" s="165"/>
    </row>
    <row r="1542" spans="1:104">
      <c r="A1542" s="149"/>
      <c r="B1542" s="149"/>
      <c r="C1542" s="150"/>
      <c r="D1542" s="102"/>
      <c r="E1542" s="149"/>
      <c r="F1542" s="149"/>
      <c r="G1542" s="149"/>
      <c r="H1542" s="149"/>
      <c r="I1542" s="149"/>
      <c r="J1542" s="149"/>
      <c r="K1542" s="149"/>
      <c r="L1542" s="149"/>
      <c r="M1542" s="149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9"/>
      <c r="AA1542" s="149"/>
      <c r="AB1542" s="149"/>
      <c r="AC1542" s="149"/>
      <c r="AD1542" s="149"/>
      <c r="AE1542" s="149"/>
      <c r="AF1542" s="149"/>
      <c r="AG1542" s="149"/>
      <c r="AH1542" s="149"/>
      <c r="AI1542" s="149"/>
      <c r="AJ1542" s="149"/>
      <c r="AK1542" s="149"/>
      <c r="AL1542" s="149"/>
      <c r="AM1542" s="149"/>
      <c r="AN1542" s="149"/>
      <c r="AO1542" s="128"/>
      <c r="AP1542" s="128"/>
      <c r="AQ1542" s="128"/>
      <c r="AR1542" s="128"/>
      <c r="AS1542" s="128"/>
      <c r="AT1542" s="128"/>
      <c r="AU1542" s="128"/>
      <c r="AV1542" s="128"/>
      <c r="AW1542" s="128"/>
      <c r="AX1542" s="128"/>
      <c r="AY1542" s="128"/>
      <c r="AZ1542" s="128"/>
      <c r="BA1542" s="128"/>
      <c r="BB1542" s="128"/>
      <c r="BC1542" s="128"/>
      <c r="BD1542" s="128"/>
      <c r="BE1542" s="128"/>
      <c r="BF1542" s="128"/>
      <c r="BG1542" s="128"/>
      <c r="BH1542" s="128"/>
      <c r="BI1542" s="128"/>
      <c r="BJ1542" s="128"/>
      <c r="BK1542" s="128"/>
      <c r="BL1542" s="128"/>
      <c r="BM1542" s="151"/>
      <c r="BN1542" s="128"/>
      <c r="BO1542" s="128"/>
      <c r="BP1542" s="128"/>
      <c r="BQ1542" s="128"/>
      <c r="BR1542" s="128"/>
      <c r="BS1542" s="128"/>
      <c r="BT1542" s="128"/>
      <c r="BU1542" s="128"/>
      <c r="BV1542" s="128"/>
      <c r="BW1542" s="128"/>
      <c r="BX1542" s="128"/>
      <c r="BY1542" s="128"/>
      <c r="BZ1542" s="128"/>
      <c r="CA1542" s="128"/>
      <c r="CB1542" s="128"/>
      <c r="CC1542" s="128"/>
      <c r="CD1542" s="128"/>
      <c r="CE1542" s="128"/>
      <c r="CF1542" s="128"/>
      <c r="CG1542" s="128"/>
      <c r="CI1542" s="128"/>
      <c r="CJ1542" s="128"/>
      <c r="CK1542" s="128"/>
      <c r="CL1542" s="128"/>
      <c r="CM1542" s="128"/>
      <c r="CN1542" s="128"/>
      <c r="CO1542" s="128"/>
      <c r="CP1542" s="128"/>
      <c r="CQ1542" s="128"/>
      <c r="CR1542" s="128"/>
      <c r="CS1542" s="128"/>
      <c r="CT1542" s="128"/>
      <c r="CU1542" s="128"/>
      <c r="CV1542" s="128"/>
      <c r="CW1542" s="128"/>
      <c r="CX1542" s="128"/>
      <c r="CY1542" s="128"/>
      <c r="CZ1542" s="165"/>
    </row>
    <row r="1543" spans="1:104">
      <c r="A1543" s="149"/>
      <c r="B1543" s="149"/>
      <c r="C1543" s="150"/>
      <c r="D1543" s="102"/>
      <c r="E1543" s="149"/>
      <c r="F1543" s="149"/>
      <c r="G1543" s="149"/>
      <c r="H1543" s="149"/>
      <c r="I1543" s="149"/>
      <c r="J1543" s="149"/>
      <c r="K1543" s="149"/>
      <c r="L1543" s="149"/>
      <c r="M1543" s="149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9"/>
      <c r="AA1543" s="149"/>
      <c r="AB1543" s="149"/>
      <c r="AC1543" s="149"/>
      <c r="AD1543" s="149"/>
      <c r="AE1543" s="149"/>
      <c r="AF1543" s="149"/>
      <c r="AG1543" s="149"/>
      <c r="AH1543" s="149"/>
      <c r="AI1543" s="149"/>
      <c r="AJ1543" s="149"/>
      <c r="AK1543" s="149"/>
      <c r="AL1543" s="149"/>
      <c r="AM1543" s="149"/>
      <c r="AN1543" s="149"/>
      <c r="AO1543" s="128"/>
      <c r="AP1543" s="128"/>
      <c r="AQ1543" s="128"/>
      <c r="AR1543" s="128"/>
      <c r="AS1543" s="128"/>
      <c r="AT1543" s="128"/>
      <c r="AU1543" s="128"/>
      <c r="AV1543" s="128"/>
      <c r="AW1543" s="128"/>
      <c r="AX1543" s="128"/>
      <c r="AY1543" s="128"/>
      <c r="AZ1543" s="128"/>
      <c r="BA1543" s="128"/>
      <c r="BB1543" s="128"/>
      <c r="BC1543" s="128"/>
      <c r="BD1543" s="128"/>
      <c r="BE1543" s="128"/>
      <c r="BF1543" s="128"/>
      <c r="BG1543" s="128"/>
      <c r="BH1543" s="128"/>
      <c r="BI1543" s="128"/>
      <c r="BJ1543" s="128"/>
      <c r="BK1543" s="128"/>
      <c r="BL1543" s="128"/>
      <c r="BM1543" s="151"/>
      <c r="BN1543" s="128"/>
      <c r="BO1543" s="128"/>
      <c r="BP1543" s="128"/>
      <c r="BQ1543" s="128"/>
      <c r="BR1543" s="128"/>
      <c r="BS1543" s="128"/>
      <c r="BT1543" s="128"/>
      <c r="BU1543" s="128"/>
      <c r="BV1543" s="128"/>
      <c r="BW1543" s="128"/>
      <c r="BX1543" s="128"/>
      <c r="BY1543" s="128"/>
      <c r="BZ1543" s="128"/>
      <c r="CA1543" s="128"/>
      <c r="CB1543" s="128"/>
      <c r="CC1543" s="128"/>
      <c r="CD1543" s="128"/>
      <c r="CE1543" s="128"/>
      <c r="CF1543" s="128"/>
      <c r="CG1543" s="128"/>
      <c r="CI1543" s="128"/>
      <c r="CJ1543" s="128"/>
      <c r="CK1543" s="128"/>
      <c r="CL1543" s="128"/>
      <c r="CM1543" s="128"/>
      <c r="CN1543" s="128"/>
      <c r="CO1543" s="128"/>
      <c r="CP1543" s="128"/>
      <c r="CQ1543" s="128"/>
      <c r="CR1543" s="128"/>
      <c r="CS1543" s="128"/>
      <c r="CT1543" s="128"/>
      <c r="CU1543" s="128"/>
      <c r="CV1543" s="128"/>
      <c r="CW1543" s="128"/>
      <c r="CX1543" s="128"/>
      <c r="CY1543" s="128"/>
      <c r="CZ1543" s="165"/>
    </row>
    <row r="1544" spans="1:104">
      <c r="A1544" s="149"/>
      <c r="B1544" s="149"/>
      <c r="C1544" s="150"/>
      <c r="D1544" s="102"/>
      <c r="E1544" s="149"/>
      <c r="F1544" s="149"/>
      <c r="G1544" s="149"/>
      <c r="H1544" s="149"/>
      <c r="I1544" s="149"/>
      <c r="J1544" s="149"/>
      <c r="K1544" s="149"/>
      <c r="L1544" s="149"/>
      <c r="M1544" s="149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9"/>
      <c r="AA1544" s="149"/>
      <c r="AB1544" s="149"/>
      <c r="AC1544" s="149"/>
      <c r="AD1544" s="149"/>
      <c r="AE1544" s="149"/>
      <c r="AF1544" s="149"/>
      <c r="AG1544" s="149"/>
      <c r="AH1544" s="149"/>
      <c r="AI1544" s="149"/>
      <c r="AJ1544" s="149"/>
      <c r="AK1544" s="149"/>
      <c r="AL1544" s="149"/>
      <c r="AM1544" s="149"/>
      <c r="AN1544" s="149"/>
      <c r="AO1544" s="128"/>
      <c r="AP1544" s="128"/>
      <c r="AQ1544" s="128"/>
      <c r="AR1544" s="128"/>
      <c r="AS1544" s="128"/>
      <c r="AT1544" s="128"/>
      <c r="AU1544" s="128"/>
      <c r="AV1544" s="128"/>
      <c r="AW1544" s="128"/>
      <c r="AX1544" s="128"/>
      <c r="AY1544" s="128"/>
      <c r="AZ1544" s="128"/>
      <c r="BA1544" s="128"/>
      <c r="BB1544" s="128"/>
      <c r="BC1544" s="128"/>
      <c r="BD1544" s="128"/>
      <c r="BE1544" s="128"/>
      <c r="BF1544" s="128"/>
      <c r="BG1544" s="128"/>
      <c r="BH1544" s="128"/>
      <c r="BI1544" s="128"/>
      <c r="BJ1544" s="128"/>
      <c r="BK1544" s="128"/>
      <c r="BL1544" s="128"/>
      <c r="BM1544" s="151"/>
      <c r="BN1544" s="128"/>
      <c r="BO1544" s="128"/>
      <c r="BP1544" s="128"/>
      <c r="BQ1544" s="128"/>
      <c r="BR1544" s="128"/>
      <c r="BS1544" s="128"/>
      <c r="BT1544" s="128"/>
      <c r="BU1544" s="128"/>
      <c r="BV1544" s="128"/>
      <c r="BW1544" s="128"/>
      <c r="BX1544" s="128"/>
      <c r="BY1544" s="128"/>
      <c r="BZ1544" s="128"/>
      <c r="CA1544" s="128"/>
      <c r="CB1544" s="128"/>
      <c r="CC1544" s="128"/>
      <c r="CD1544" s="128"/>
      <c r="CE1544" s="128"/>
      <c r="CF1544" s="128"/>
      <c r="CG1544" s="128"/>
      <c r="CI1544" s="128"/>
      <c r="CJ1544" s="128"/>
      <c r="CK1544" s="128"/>
      <c r="CL1544" s="128"/>
      <c r="CM1544" s="128"/>
      <c r="CN1544" s="128"/>
      <c r="CO1544" s="128"/>
      <c r="CP1544" s="128"/>
      <c r="CQ1544" s="128"/>
      <c r="CR1544" s="128"/>
      <c r="CS1544" s="128"/>
      <c r="CT1544" s="128"/>
      <c r="CU1544" s="128"/>
      <c r="CV1544" s="128"/>
      <c r="CW1544" s="128"/>
      <c r="CX1544" s="128"/>
      <c r="CY1544" s="128"/>
      <c r="CZ1544" s="165"/>
    </row>
    <row r="1545" spans="1:104">
      <c r="A1545" s="149"/>
      <c r="B1545" s="149"/>
      <c r="C1545" s="150"/>
      <c r="D1545" s="102"/>
      <c r="E1545" s="149"/>
      <c r="F1545" s="149"/>
      <c r="G1545" s="149"/>
      <c r="H1545" s="149"/>
      <c r="I1545" s="149"/>
      <c r="J1545" s="149"/>
      <c r="K1545" s="149"/>
      <c r="L1545" s="149"/>
      <c r="M1545" s="149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9"/>
      <c r="AA1545" s="149"/>
      <c r="AB1545" s="149"/>
      <c r="AC1545" s="149"/>
      <c r="AD1545" s="149"/>
      <c r="AE1545" s="149"/>
      <c r="AF1545" s="149"/>
      <c r="AG1545" s="149"/>
      <c r="AH1545" s="149"/>
      <c r="AI1545" s="149"/>
      <c r="AJ1545" s="149"/>
      <c r="AK1545" s="149"/>
      <c r="AL1545" s="149"/>
      <c r="AM1545" s="149"/>
      <c r="AN1545" s="149"/>
      <c r="AO1545" s="128"/>
      <c r="AP1545" s="128"/>
      <c r="AQ1545" s="128"/>
      <c r="AR1545" s="128"/>
      <c r="AS1545" s="128"/>
      <c r="AT1545" s="128"/>
      <c r="AU1545" s="128"/>
      <c r="AV1545" s="128"/>
      <c r="AW1545" s="128"/>
      <c r="AX1545" s="128"/>
      <c r="AY1545" s="128"/>
      <c r="AZ1545" s="128"/>
      <c r="BA1545" s="128"/>
      <c r="BB1545" s="128"/>
      <c r="BC1545" s="128"/>
      <c r="BD1545" s="128"/>
      <c r="BE1545" s="128"/>
      <c r="BF1545" s="128"/>
      <c r="BG1545" s="128"/>
      <c r="BH1545" s="128"/>
      <c r="BI1545" s="128"/>
      <c r="BJ1545" s="128"/>
      <c r="BK1545" s="128"/>
      <c r="BL1545" s="128"/>
      <c r="BM1545" s="151"/>
      <c r="BN1545" s="128"/>
      <c r="BO1545" s="128"/>
      <c r="BP1545" s="128"/>
      <c r="BQ1545" s="128"/>
      <c r="BR1545" s="128"/>
      <c r="BS1545" s="128"/>
      <c r="BT1545" s="128"/>
      <c r="BU1545" s="128"/>
      <c r="BV1545" s="128"/>
      <c r="BW1545" s="128"/>
      <c r="BX1545" s="128"/>
      <c r="BY1545" s="128"/>
      <c r="BZ1545" s="128"/>
      <c r="CA1545" s="128"/>
      <c r="CB1545" s="128"/>
      <c r="CC1545" s="128"/>
      <c r="CD1545" s="128"/>
      <c r="CE1545" s="128"/>
      <c r="CF1545" s="128"/>
      <c r="CG1545" s="128"/>
      <c r="CI1545" s="128"/>
      <c r="CJ1545" s="128"/>
      <c r="CK1545" s="128"/>
      <c r="CL1545" s="128"/>
      <c r="CM1545" s="128"/>
      <c r="CN1545" s="128"/>
      <c r="CO1545" s="128"/>
      <c r="CP1545" s="128"/>
      <c r="CQ1545" s="128"/>
      <c r="CR1545" s="128"/>
      <c r="CS1545" s="128"/>
      <c r="CT1545" s="128"/>
      <c r="CU1545" s="128"/>
      <c r="CV1545" s="128"/>
      <c r="CW1545" s="128"/>
      <c r="CX1545" s="128"/>
      <c r="CY1545" s="128"/>
      <c r="CZ1545" s="165"/>
    </row>
    <row r="1546" spans="1:104">
      <c r="A1546" s="149"/>
      <c r="B1546" s="149"/>
      <c r="C1546" s="150"/>
      <c r="D1546" s="102"/>
      <c r="E1546" s="149"/>
      <c r="F1546" s="149"/>
      <c r="G1546" s="149"/>
      <c r="H1546" s="149"/>
      <c r="I1546" s="149"/>
      <c r="J1546" s="149"/>
      <c r="K1546" s="149"/>
      <c r="L1546" s="149"/>
      <c r="M1546" s="149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9"/>
      <c r="AA1546" s="149"/>
      <c r="AB1546" s="149"/>
      <c r="AC1546" s="149"/>
      <c r="AD1546" s="149"/>
      <c r="AE1546" s="149"/>
      <c r="AF1546" s="149"/>
      <c r="AG1546" s="149"/>
      <c r="AH1546" s="149"/>
      <c r="AI1546" s="149"/>
      <c r="AJ1546" s="149"/>
      <c r="AK1546" s="149"/>
      <c r="AL1546" s="149"/>
      <c r="AM1546" s="149"/>
      <c r="AN1546" s="149"/>
      <c r="AO1546" s="128"/>
      <c r="AP1546" s="128"/>
      <c r="AQ1546" s="128"/>
      <c r="AR1546" s="128"/>
      <c r="AS1546" s="128"/>
      <c r="AT1546" s="128"/>
      <c r="AU1546" s="128"/>
      <c r="AV1546" s="128"/>
      <c r="AW1546" s="128"/>
      <c r="AX1546" s="128"/>
      <c r="AY1546" s="128"/>
      <c r="AZ1546" s="128"/>
      <c r="BA1546" s="128"/>
      <c r="BB1546" s="128"/>
      <c r="BC1546" s="128"/>
      <c r="BD1546" s="128"/>
      <c r="BE1546" s="128"/>
      <c r="BF1546" s="128"/>
      <c r="BG1546" s="128"/>
      <c r="BH1546" s="128"/>
      <c r="BI1546" s="128"/>
      <c r="BJ1546" s="128"/>
      <c r="BK1546" s="128"/>
      <c r="BL1546" s="128"/>
      <c r="BM1546" s="151"/>
      <c r="BN1546" s="128"/>
      <c r="BO1546" s="128"/>
      <c r="BP1546" s="128"/>
      <c r="BQ1546" s="128"/>
      <c r="BR1546" s="128"/>
      <c r="BS1546" s="128"/>
      <c r="BT1546" s="128"/>
      <c r="BU1546" s="128"/>
      <c r="BV1546" s="128"/>
      <c r="BW1546" s="128"/>
      <c r="BX1546" s="128"/>
      <c r="BY1546" s="128"/>
      <c r="BZ1546" s="128"/>
      <c r="CA1546" s="128"/>
      <c r="CB1546" s="128"/>
      <c r="CC1546" s="128"/>
      <c r="CD1546" s="128"/>
      <c r="CE1546" s="128"/>
      <c r="CF1546" s="128"/>
      <c r="CG1546" s="128"/>
      <c r="CI1546" s="128"/>
      <c r="CJ1546" s="128"/>
      <c r="CK1546" s="128"/>
      <c r="CL1546" s="128"/>
      <c r="CM1546" s="128"/>
      <c r="CN1546" s="128"/>
      <c r="CO1546" s="128"/>
      <c r="CP1546" s="128"/>
      <c r="CQ1546" s="128"/>
      <c r="CR1546" s="128"/>
      <c r="CS1546" s="128"/>
      <c r="CT1546" s="128"/>
      <c r="CU1546" s="128"/>
      <c r="CV1546" s="128"/>
      <c r="CW1546" s="128"/>
      <c r="CX1546" s="128"/>
      <c r="CY1546" s="128"/>
      <c r="CZ1546" s="165"/>
    </row>
    <row r="1547" spans="1:104">
      <c r="A1547" s="149"/>
      <c r="B1547" s="149"/>
      <c r="C1547" s="150"/>
      <c r="D1547" s="102"/>
      <c r="E1547" s="149"/>
      <c r="F1547" s="149"/>
      <c r="G1547" s="149"/>
      <c r="H1547" s="149"/>
      <c r="I1547" s="149"/>
      <c r="J1547" s="149"/>
      <c r="K1547" s="149"/>
      <c r="L1547" s="149"/>
      <c r="M1547" s="149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9"/>
      <c r="AA1547" s="149"/>
      <c r="AB1547" s="149"/>
      <c r="AC1547" s="149"/>
      <c r="AD1547" s="149"/>
      <c r="AE1547" s="149"/>
      <c r="AF1547" s="149"/>
      <c r="AG1547" s="149"/>
      <c r="AH1547" s="149"/>
      <c r="AI1547" s="149"/>
      <c r="AJ1547" s="149"/>
      <c r="AK1547" s="149"/>
      <c r="AL1547" s="149"/>
      <c r="AM1547" s="149"/>
      <c r="AN1547" s="149"/>
      <c r="AO1547" s="128"/>
      <c r="AP1547" s="128"/>
      <c r="AQ1547" s="128"/>
      <c r="AR1547" s="128"/>
      <c r="AS1547" s="128"/>
      <c r="AT1547" s="128"/>
      <c r="AU1547" s="128"/>
      <c r="AV1547" s="128"/>
      <c r="AW1547" s="128"/>
      <c r="AX1547" s="128"/>
      <c r="AY1547" s="128"/>
      <c r="AZ1547" s="128"/>
      <c r="BA1547" s="128"/>
      <c r="BB1547" s="128"/>
      <c r="BC1547" s="128"/>
      <c r="BD1547" s="128"/>
      <c r="BE1547" s="128"/>
      <c r="BF1547" s="128"/>
      <c r="BG1547" s="128"/>
      <c r="BH1547" s="128"/>
      <c r="BI1547" s="128"/>
      <c r="BJ1547" s="128"/>
      <c r="BK1547" s="128"/>
      <c r="BL1547" s="128"/>
      <c r="BM1547" s="151"/>
      <c r="BN1547" s="128"/>
      <c r="BO1547" s="128"/>
      <c r="BP1547" s="128"/>
      <c r="BQ1547" s="128"/>
      <c r="BR1547" s="128"/>
      <c r="BS1547" s="128"/>
      <c r="BT1547" s="128"/>
      <c r="BU1547" s="128"/>
      <c r="BV1547" s="128"/>
      <c r="BW1547" s="128"/>
      <c r="BX1547" s="128"/>
      <c r="BY1547" s="128"/>
      <c r="BZ1547" s="128"/>
      <c r="CA1547" s="128"/>
      <c r="CB1547" s="128"/>
      <c r="CC1547" s="128"/>
      <c r="CD1547" s="128"/>
      <c r="CE1547" s="128"/>
      <c r="CF1547" s="128"/>
      <c r="CG1547" s="128"/>
      <c r="CI1547" s="128"/>
      <c r="CJ1547" s="128"/>
      <c r="CK1547" s="128"/>
      <c r="CL1547" s="128"/>
      <c r="CM1547" s="128"/>
      <c r="CN1547" s="128"/>
      <c r="CO1547" s="128"/>
      <c r="CP1547" s="128"/>
      <c r="CQ1547" s="128"/>
      <c r="CR1547" s="128"/>
      <c r="CS1547" s="128"/>
      <c r="CT1547" s="128"/>
      <c r="CU1547" s="128"/>
      <c r="CV1547" s="128"/>
      <c r="CW1547" s="128"/>
      <c r="CX1547" s="128"/>
      <c r="CY1547" s="128"/>
      <c r="CZ1547" s="165"/>
    </row>
    <row r="1548" spans="1:104">
      <c r="A1548" s="149"/>
      <c r="B1548" s="149"/>
      <c r="C1548" s="150"/>
      <c r="D1548" s="102"/>
      <c r="E1548" s="149"/>
      <c r="F1548" s="149"/>
      <c r="G1548" s="149"/>
      <c r="H1548" s="149"/>
      <c r="I1548" s="149"/>
      <c r="J1548" s="149"/>
      <c r="K1548" s="149"/>
      <c r="L1548" s="149"/>
      <c r="M1548" s="149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9"/>
      <c r="AA1548" s="149"/>
      <c r="AB1548" s="149"/>
      <c r="AC1548" s="149"/>
      <c r="AD1548" s="149"/>
      <c r="AE1548" s="149"/>
      <c r="AF1548" s="149"/>
      <c r="AG1548" s="149"/>
      <c r="AH1548" s="149"/>
      <c r="AI1548" s="149"/>
      <c r="AJ1548" s="149"/>
      <c r="AK1548" s="149"/>
      <c r="AL1548" s="149"/>
      <c r="AM1548" s="149"/>
      <c r="AN1548" s="149"/>
      <c r="AO1548" s="128"/>
      <c r="AP1548" s="128"/>
      <c r="AQ1548" s="128"/>
      <c r="AR1548" s="128"/>
      <c r="AS1548" s="128"/>
      <c r="AT1548" s="128"/>
      <c r="AU1548" s="128"/>
      <c r="AV1548" s="128"/>
      <c r="AW1548" s="128"/>
      <c r="AX1548" s="128"/>
      <c r="AY1548" s="128"/>
      <c r="AZ1548" s="128"/>
      <c r="BA1548" s="128"/>
      <c r="BB1548" s="128"/>
      <c r="BC1548" s="128"/>
      <c r="BD1548" s="128"/>
      <c r="BE1548" s="128"/>
      <c r="BF1548" s="128"/>
      <c r="BG1548" s="128"/>
      <c r="BH1548" s="128"/>
      <c r="BI1548" s="128"/>
      <c r="BJ1548" s="128"/>
      <c r="BK1548" s="128"/>
      <c r="BL1548" s="128"/>
      <c r="BM1548" s="151"/>
      <c r="BN1548" s="128"/>
      <c r="BO1548" s="128"/>
      <c r="BP1548" s="128"/>
      <c r="BQ1548" s="128"/>
      <c r="BR1548" s="128"/>
      <c r="BS1548" s="128"/>
      <c r="BT1548" s="128"/>
      <c r="BU1548" s="128"/>
      <c r="BV1548" s="128"/>
      <c r="BW1548" s="128"/>
      <c r="BX1548" s="128"/>
      <c r="BY1548" s="128"/>
      <c r="BZ1548" s="128"/>
      <c r="CA1548" s="128"/>
      <c r="CB1548" s="128"/>
      <c r="CC1548" s="128"/>
      <c r="CD1548" s="128"/>
      <c r="CE1548" s="128"/>
      <c r="CF1548" s="128"/>
      <c r="CG1548" s="128"/>
      <c r="CI1548" s="128"/>
      <c r="CJ1548" s="128"/>
      <c r="CK1548" s="128"/>
      <c r="CL1548" s="128"/>
      <c r="CM1548" s="128"/>
      <c r="CN1548" s="128"/>
      <c r="CO1548" s="128"/>
      <c r="CP1548" s="128"/>
      <c r="CQ1548" s="128"/>
      <c r="CR1548" s="128"/>
      <c r="CS1548" s="128"/>
      <c r="CT1548" s="128"/>
      <c r="CU1548" s="128"/>
      <c r="CV1548" s="128"/>
      <c r="CW1548" s="128"/>
      <c r="CX1548" s="128"/>
      <c r="CY1548" s="128"/>
      <c r="CZ1548" s="165"/>
    </row>
    <row r="1549" spans="1:104">
      <c r="A1549" s="149"/>
      <c r="B1549" s="149"/>
      <c r="C1549" s="150"/>
      <c r="D1549" s="102"/>
      <c r="E1549" s="149"/>
      <c r="F1549" s="149"/>
      <c r="G1549" s="149"/>
      <c r="H1549" s="149"/>
      <c r="I1549" s="149"/>
      <c r="J1549" s="149"/>
      <c r="K1549" s="149"/>
      <c r="L1549" s="149"/>
      <c r="M1549" s="149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9"/>
      <c r="AA1549" s="149"/>
      <c r="AB1549" s="149"/>
      <c r="AC1549" s="149"/>
      <c r="AD1549" s="149"/>
      <c r="AE1549" s="149"/>
      <c r="AF1549" s="149"/>
      <c r="AG1549" s="149"/>
      <c r="AH1549" s="149"/>
      <c r="AI1549" s="149"/>
      <c r="AJ1549" s="149"/>
      <c r="AK1549" s="149"/>
      <c r="AL1549" s="149"/>
      <c r="AM1549" s="149"/>
      <c r="AN1549" s="149"/>
      <c r="AO1549" s="128"/>
      <c r="AP1549" s="128"/>
      <c r="AQ1549" s="128"/>
      <c r="AR1549" s="128"/>
      <c r="AS1549" s="128"/>
      <c r="AT1549" s="128"/>
      <c r="AU1549" s="128"/>
      <c r="AV1549" s="128"/>
      <c r="AW1549" s="128"/>
      <c r="AX1549" s="128"/>
      <c r="AY1549" s="128"/>
      <c r="AZ1549" s="128"/>
      <c r="BA1549" s="128"/>
      <c r="BB1549" s="128"/>
      <c r="BC1549" s="128"/>
      <c r="BD1549" s="128"/>
      <c r="BE1549" s="128"/>
      <c r="BF1549" s="128"/>
      <c r="BG1549" s="128"/>
      <c r="BH1549" s="128"/>
      <c r="BI1549" s="128"/>
      <c r="BJ1549" s="128"/>
      <c r="BK1549" s="128"/>
      <c r="BL1549" s="128"/>
      <c r="BM1549" s="151"/>
      <c r="BN1549" s="128"/>
      <c r="BO1549" s="128"/>
      <c r="BP1549" s="128"/>
      <c r="BQ1549" s="128"/>
      <c r="BR1549" s="128"/>
      <c r="BS1549" s="128"/>
      <c r="BT1549" s="128"/>
      <c r="BU1549" s="128"/>
      <c r="BV1549" s="128"/>
      <c r="BW1549" s="128"/>
      <c r="BX1549" s="128"/>
      <c r="BY1549" s="128"/>
      <c r="BZ1549" s="128"/>
      <c r="CA1549" s="128"/>
      <c r="CB1549" s="128"/>
      <c r="CC1549" s="128"/>
      <c r="CD1549" s="128"/>
      <c r="CE1549" s="128"/>
      <c r="CF1549" s="128"/>
      <c r="CG1549" s="128"/>
      <c r="CI1549" s="128"/>
      <c r="CJ1549" s="128"/>
      <c r="CK1549" s="128"/>
      <c r="CL1549" s="128"/>
      <c r="CM1549" s="128"/>
      <c r="CN1549" s="128"/>
      <c r="CO1549" s="128"/>
      <c r="CP1549" s="128"/>
      <c r="CQ1549" s="128"/>
      <c r="CR1549" s="128"/>
      <c r="CS1549" s="128"/>
      <c r="CT1549" s="128"/>
      <c r="CU1549" s="128"/>
      <c r="CV1549" s="128"/>
      <c r="CW1549" s="128"/>
      <c r="CX1549" s="128"/>
      <c r="CY1549" s="128"/>
      <c r="CZ1549" s="165"/>
    </row>
    <row r="1550" spans="1:104">
      <c r="A1550" s="149"/>
      <c r="B1550" s="149"/>
      <c r="C1550" s="150"/>
      <c r="D1550" s="102"/>
      <c r="E1550" s="149"/>
      <c r="F1550" s="149"/>
      <c r="G1550" s="149"/>
      <c r="H1550" s="149"/>
      <c r="I1550" s="149"/>
      <c r="J1550" s="149"/>
      <c r="K1550" s="149"/>
      <c r="L1550" s="149"/>
      <c r="M1550" s="149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9"/>
      <c r="AA1550" s="149"/>
      <c r="AB1550" s="149"/>
      <c r="AC1550" s="149"/>
      <c r="AD1550" s="149"/>
      <c r="AE1550" s="149"/>
      <c r="AF1550" s="149"/>
      <c r="AG1550" s="149"/>
      <c r="AH1550" s="149"/>
      <c r="AI1550" s="149"/>
      <c r="AJ1550" s="149"/>
      <c r="AK1550" s="149"/>
      <c r="AL1550" s="149"/>
      <c r="AM1550" s="149"/>
      <c r="AN1550" s="149"/>
      <c r="AO1550" s="128"/>
      <c r="AP1550" s="128"/>
      <c r="AQ1550" s="128"/>
      <c r="AR1550" s="128"/>
      <c r="AS1550" s="128"/>
      <c r="AT1550" s="128"/>
      <c r="AU1550" s="128"/>
      <c r="AV1550" s="128"/>
      <c r="AW1550" s="128"/>
      <c r="AX1550" s="128"/>
      <c r="AY1550" s="128"/>
      <c r="AZ1550" s="128"/>
      <c r="BA1550" s="128"/>
      <c r="BB1550" s="128"/>
      <c r="BC1550" s="128"/>
      <c r="BD1550" s="128"/>
      <c r="BE1550" s="128"/>
      <c r="BF1550" s="128"/>
      <c r="BG1550" s="128"/>
      <c r="BH1550" s="128"/>
      <c r="BI1550" s="128"/>
      <c r="BJ1550" s="128"/>
      <c r="BK1550" s="128"/>
      <c r="BL1550" s="128"/>
      <c r="BM1550" s="151"/>
      <c r="BN1550" s="128"/>
      <c r="BO1550" s="128"/>
      <c r="BP1550" s="128"/>
      <c r="BQ1550" s="128"/>
      <c r="BR1550" s="128"/>
      <c r="BS1550" s="128"/>
      <c r="BT1550" s="128"/>
      <c r="BU1550" s="128"/>
      <c r="BV1550" s="128"/>
      <c r="BW1550" s="128"/>
      <c r="BX1550" s="128"/>
      <c r="BY1550" s="128"/>
      <c r="BZ1550" s="128"/>
      <c r="CA1550" s="128"/>
      <c r="CB1550" s="128"/>
      <c r="CC1550" s="128"/>
      <c r="CD1550" s="128"/>
      <c r="CE1550" s="128"/>
      <c r="CF1550" s="128"/>
      <c r="CG1550" s="128"/>
      <c r="CI1550" s="128"/>
      <c r="CJ1550" s="128"/>
      <c r="CK1550" s="128"/>
      <c r="CL1550" s="128"/>
      <c r="CM1550" s="128"/>
      <c r="CN1550" s="128"/>
      <c r="CO1550" s="128"/>
      <c r="CP1550" s="128"/>
      <c r="CQ1550" s="128"/>
      <c r="CR1550" s="128"/>
      <c r="CS1550" s="128"/>
      <c r="CT1550" s="128"/>
      <c r="CU1550" s="128"/>
      <c r="CV1550" s="128"/>
      <c r="CW1550" s="128"/>
      <c r="CX1550" s="128"/>
      <c r="CY1550" s="128"/>
      <c r="CZ1550" s="165"/>
    </row>
    <row r="1551" spans="1:104">
      <c r="A1551" s="149"/>
      <c r="B1551" s="149"/>
      <c r="C1551" s="150"/>
      <c r="D1551" s="102"/>
      <c r="E1551" s="149"/>
      <c r="F1551" s="149"/>
      <c r="G1551" s="149"/>
      <c r="H1551" s="149"/>
      <c r="I1551" s="149"/>
      <c r="J1551" s="149"/>
      <c r="K1551" s="149"/>
      <c r="L1551" s="149"/>
      <c r="M1551" s="149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9"/>
      <c r="AA1551" s="149"/>
      <c r="AB1551" s="149"/>
      <c r="AC1551" s="149"/>
      <c r="AD1551" s="149"/>
      <c r="AE1551" s="149"/>
      <c r="AF1551" s="149"/>
      <c r="AG1551" s="149"/>
      <c r="AH1551" s="149"/>
      <c r="AI1551" s="149"/>
      <c r="AJ1551" s="149"/>
      <c r="AK1551" s="149"/>
      <c r="AL1551" s="149"/>
      <c r="AM1551" s="149"/>
      <c r="AN1551" s="149"/>
      <c r="AO1551" s="128"/>
      <c r="AP1551" s="128"/>
      <c r="AQ1551" s="128"/>
      <c r="AR1551" s="128"/>
      <c r="AS1551" s="128"/>
      <c r="AT1551" s="128"/>
      <c r="AU1551" s="128"/>
      <c r="AV1551" s="128"/>
      <c r="AW1551" s="128"/>
      <c r="AX1551" s="128"/>
      <c r="AY1551" s="128"/>
      <c r="AZ1551" s="128"/>
      <c r="BA1551" s="128"/>
      <c r="BB1551" s="128"/>
      <c r="BC1551" s="128"/>
      <c r="BD1551" s="128"/>
      <c r="BE1551" s="128"/>
      <c r="BF1551" s="128"/>
      <c r="BG1551" s="128"/>
      <c r="BH1551" s="128"/>
      <c r="BI1551" s="128"/>
      <c r="BJ1551" s="128"/>
      <c r="BK1551" s="128"/>
      <c r="BL1551" s="128"/>
      <c r="BM1551" s="151"/>
      <c r="BN1551" s="128"/>
      <c r="BO1551" s="128"/>
      <c r="BP1551" s="128"/>
      <c r="BQ1551" s="128"/>
      <c r="BR1551" s="128"/>
      <c r="BS1551" s="128"/>
      <c r="BT1551" s="128"/>
      <c r="BU1551" s="128"/>
      <c r="BV1551" s="128"/>
      <c r="BW1551" s="128"/>
      <c r="BX1551" s="128"/>
      <c r="BY1551" s="128"/>
      <c r="BZ1551" s="128"/>
      <c r="CA1551" s="128"/>
      <c r="CB1551" s="128"/>
      <c r="CC1551" s="128"/>
      <c r="CD1551" s="128"/>
      <c r="CE1551" s="128"/>
      <c r="CF1551" s="128"/>
      <c r="CG1551" s="128"/>
      <c r="CI1551" s="128"/>
      <c r="CJ1551" s="128"/>
      <c r="CK1551" s="128"/>
      <c r="CL1551" s="128"/>
      <c r="CM1551" s="128"/>
      <c r="CN1551" s="128"/>
      <c r="CO1551" s="128"/>
      <c r="CP1551" s="128"/>
      <c r="CQ1551" s="128"/>
      <c r="CR1551" s="128"/>
      <c r="CS1551" s="128"/>
      <c r="CT1551" s="128"/>
      <c r="CU1551" s="128"/>
      <c r="CV1551" s="128"/>
      <c r="CW1551" s="128"/>
      <c r="CX1551" s="128"/>
      <c r="CY1551" s="128"/>
      <c r="CZ1551" s="165"/>
    </row>
    <row r="1552" spans="1:104">
      <c r="A1552" s="149"/>
      <c r="B1552" s="149"/>
      <c r="C1552" s="150"/>
      <c r="D1552" s="102"/>
      <c r="E1552" s="149"/>
      <c r="F1552" s="149"/>
      <c r="G1552" s="149"/>
      <c r="H1552" s="149"/>
      <c r="I1552" s="149"/>
      <c r="J1552" s="149"/>
      <c r="K1552" s="149"/>
      <c r="L1552" s="149"/>
      <c r="M1552" s="149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9"/>
      <c r="AA1552" s="149"/>
      <c r="AB1552" s="149"/>
      <c r="AC1552" s="149"/>
      <c r="AD1552" s="149"/>
      <c r="AE1552" s="149"/>
      <c r="AF1552" s="149"/>
      <c r="AG1552" s="149"/>
      <c r="AH1552" s="149"/>
      <c r="AI1552" s="149"/>
      <c r="AJ1552" s="149"/>
      <c r="AK1552" s="149"/>
      <c r="AL1552" s="149"/>
      <c r="AM1552" s="149"/>
      <c r="AN1552" s="149"/>
      <c r="AO1552" s="128"/>
      <c r="AP1552" s="128"/>
      <c r="AQ1552" s="128"/>
      <c r="AR1552" s="128"/>
      <c r="AS1552" s="128"/>
      <c r="AT1552" s="128"/>
      <c r="AU1552" s="128"/>
      <c r="AV1552" s="128"/>
      <c r="AW1552" s="128"/>
      <c r="AX1552" s="128"/>
      <c r="AY1552" s="128"/>
      <c r="AZ1552" s="128"/>
      <c r="BA1552" s="128"/>
      <c r="BB1552" s="128"/>
      <c r="BC1552" s="128"/>
      <c r="BD1552" s="128"/>
      <c r="BE1552" s="128"/>
      <c r="BF1552" s="128"/>
      <c r="BG1552" s="128"/>
      <c r="BH1552" s="128"/>
      <c r="BI1552" s="128"/>
      <c r="BJ1552" s="128"/>
      <c r="BK1552" s="128"/>
      <c r="BL1552" s="128"/>
      <c r="BM1552" s="151"/>
      <c r="BN1552" s="128"/>
      <c r="BO1552" s="128"/>
      <c r="BP1552" s="128"/>
      <c r="BQ1552" s="128"/>
      <c r="BR1552" s="128"/>
      <c r="BS1552" s="128"/>
      <c r="BT1552" s="128"/>
      <c r="BU1552" s="128"/>
      <c r="BV1552" s="128"/>
      <c r="BW1552" s="128"/>
      <c r="BX1552" s="128"/>
      <c r="BY1552" s="128"/>
      <c r="BZ1552" s="128"/>
      <c r="CA1552" s="128"/>
      <c r="CB1552" s="128"/>
      <c r="CC1552" s="128"/>
      <c r="CD1552" s="128"/>
      <c r="CE1552" s="128"/>
      <c r="CF1552" s="128"/>
      <c r="CG1552" s="128"/>
      <c r="CI1552" s="128"/>
      <c r="CJ1552" s="128"/>
      <c r="CK1552" s="128"/>
      <c r="CL1552" s="128"/>
      <c r="CM1552" s="128"/>
      <c r="CN1552" s="128"/>
      <c r="CO1552" s="128"/>
      <c r="CP1552" s="128"/>
      <c r="CQ1552" s="128"/>
      <c r="CR1552" s="128"/>
      <c r="CS1552" s="128"/>
      <c r="CT1552" s="128"/>
      <c r="CU1552" s="128"/>
      <c r="CV1552" s="128"/>
      <c r="CW1552" s="128"/>
      <c r="CX1552" s="128"/>
      <c r="CY1552" s="128"/>
      <c r="CZ1552" s="165"/>
    </row>
    <row r="1553" spans="1:104">
      <c r="A1553" s="149"/>
      <c r="B1553" s="149"/>
      <c r="C1553" s="150"/>
      <c r="D1553" s="102"/>
      <c r="E1553" s="149"/>
      <c r="F1553" s="149"/>
      <c r="G1553" s="149"/>
      <c r="H1553" s="149"/>
      <c r="I1553" s="149"/>
      <c r="J1553" s="149"/>
      <c r="K1553" s="149"/>
      <c r="L1553" s="149"/>
      <c r="M1553" s="149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9"/>
      <c r="AA1553" s="149"/>
      <c r="AB1553" s="149"/>
      <c r="AC1553" s="149"/>
      <c r="AD1553" s="149"/>
      <c r="AE1553" s="149"/>
      <c r="AF1553" s="149"/>
      <c r="AG1553" s="149"/>
      <c r="AH1553" s="149"/>
      <c r="AI1553" s="149"/>
      <c r="AJ1553" s="149"/>
      <c r="AK1553" s="149"/>
      <c r="AL1553" s="149"/>
      <c r="AM1553" s="149"/>
      <c r="AN1553" s="149"/>
      <c r="AO1553" s="128"/>
      <c r="AP1553" s="128"/>
      <c r="AQ1553" s="128"/>
      <c r="AR1553" s="128"/>
      <c r="AS1553" s="128"/>
      <c r="AT1553" s="128"/>
      <c r="AU1553" s="128"/>
      <c r="AV1553" s="128"/>
      <c r="AW1553" s="128"/>
      <c r="AX1553" s="128"/>
      <c r="AY1553" s="128"/>
      <c r="AZ1553" s="128"/>
      <c r="BA1553" s="128"/>
      <c r="BB1553" s="128"/>
      <c r="BC1553" s="128"/>
      <c r="BD1553" s="128"/>
      <c r="BE1553" s="128"/>
      <c r="BF1553" s="128"/>
      <c r="BG1553" s="128"/>
      <c r="BH1553" s="128"/>
      <c r="BI1553" s="128"/>
      <c r="BJ1553" s="128"/>
      <c r="BK1553" s="128"/>
      <c r="BL1553" s="128"/>
      <c r="BM1553" s="151"/>
      <c r="BN1553" s="128"/>
      <c r="BO1553" s="128"/>
      <c r="BP1553" s="128"/>
      <c r="BQ1553" s="128"/>
      <c r="BR1553" s="128"/>
      <c r="BS1553" s="128"/>
      <c r="BT1553" s="128"/>
      <c r="BU1553" s="128"/>
      <c r="BV1553" s="128"/>
      <c r="BW1553" s="128"/>
      <c r="BX1553" s="128"/>
      <c r="BY1553" s="128"/>
      <c r="BZ1553" s="128"/>
      <c r="CA1553" s="128"/>
      <c r="CB1553" s="128"/>
      <c r="CC1553" s="128"/>
      <c r="CD1553" s="128"/>
      <c r="CE1553" s="128"/>
      <c r="CF1553" s="128"/>
      <c r="CG1553" s="128"/>
      <c r="CI1553" s="128"/>
      <c r="CJ1553" s="128"/>
      <c r="CK1553" s="128"/>
      <c r="CL1553" s="128"/>
      <c r="CM1553" s="128"/>
      <c r="CN1553" s="128"/>
      <c r="CO1553" s="128"/>
      <c r="CP1553" s="128"/>
      <c r="CQ1553" s="128"/>
      <c r="CR1553" s="128"/>
      <c r="CS1553" s="128"/>
      <c r="CT1553" s="128"/>
      <c r="CU1553" s="128"/>
      <c r="CV1553" s="128"/>
      <c r="CW1553" s="128"/>
      <c r="CX1553" s="128"/>
      <c r="CY1553" s="128"/>
      <c r="CZ1553" s="165"/>
    </row>
    <row r="1554" spans="1:104">
      <c r="A1554" s="149"/>
      <c r="B1554" s="149"/>
      <c r="C1554" s="150"/>
      <c r="D1554" s="102"/>
      <c r="E1554" s="149"/>
      <c r="F1554" s="149"/>
      <c r="G1554" s="149"/>
      <c r="H1554" s="149"/>
      <c r="I1554" s="149"/>
      <c r="J1554" s="149"/>
      <c r="K1554" s="149"/>
      <c r="L1554" s="149"/>
      <c r="M1554" s="149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9"/>
      <c r="AA1554" s="149"/>
      <c r="AB1554" s="149"/>
      <c r="AC1554" s="149"/>
      <c r="AD1554" s="149"/>
      <c r="AE1554" s="149"/>
      <c r="AF1554" s="149"/>
      <c r="AG1554" s="149"/>
      <c r="AH1554" s="149"/>
      <c r="AI1554" s="149"/>
      <c r="AJ1554" s="149"/>
      <c r="AK1554" s="149"/>
      <c r="AL1554" s="149"/>
      <c r="AM1554" s="149"/>
      <c r="AN1554" s="149"/>
      <c r="AO1554" s="128"/>
      <c r="AP1554" s="128"/>
      <c r="AQ1554" s="128"/>
      <c r="AR1554" s="128"/>
      <c r="AS1554" s="128"/>
      <c r="AT1554" s="128"/>
      <c r="AU1554" s="128"/>
      <c r="AV1554" s="128"/>
      <c r="AW1554" s="128"/>
      <c r="AX1554" s="128"/>
      <c r="AY1554" s="128"/>
      <c r="AZ1554" s="128"/>
      <c r="BA1554" s="128"/>
      <c r="BB1554" s="128"/>
      <c r="BC1554" s="128"/>
      <c r="BD1554" s="128"/>
      <c r="BE1554" s="128"/>
      <c r="BF1554" s="128"/>
      <c r="BG1554" s="128"/>
      <c r="BH1554" s="128"/>
      <c r="BI1554" s="128"/>
      <c r="BJ1554" s="128"/>
      <c r="BK1554" s="128"/>
      <c r="BL1554" s="128"/>
      <c r="BM1554" s="151"/>
      <c r="BN1554" s="128"/>
      <c r="BO1554" s="128"/>
      <c r="BP1554" s="128"/>
      <c r="BQ1554" s="128"/>
      <c r="BR1554" s="128"/>
      <c r="BS1554" s="128"/>
      <c r="BT1554" s="128"/>
      <c r="BU1554" s="128"/>
      <c r="BV1554" s="128"/>
      <c r="BW1554" s="128"/>
      <c r="BX1554" s="128"/>
      <c r="BY1554" s="128"/>
      <c r="BZ1554" s="128"/>
      <c r="CA1554" s="128"/>
      <c r="CB1554" s="128"/>
      <c r="CC1554" s="128"/>
      <c r="CD1554" s="128"/>
      <c r="CE1554" s="128"/>
      <c r="CF1554" s="128"/>
      <c r="CG1554" s="128"/>
      <c r="CI1554" s="128"/>
      <c r="CJ1554" s="128"/>
      <c r="CK1554" s="128"/>
      <c r="CL1554" s="128"/>
      <c r="CM1554" s="128"/>
      <c r="CN1554" s="128"/>
      <c r="CO1554" s="128"/>
      <c r="CP1554" s="128"/>
      <c r="CQ1554" s="128"/>
      <c r="CR1554" s="128"/>
      <c r="CS1554" s="128"/>
      <c r="CT1554" s="128"/>
      <c r="CU1554" s="128"/>
      <c r="CV1554" s="128"/>
      <c r="CW1554" s="128"/>
      <c r="CX1554" s="128"/>
      <c r="CY1554" s="128"/>
      <c r="CZ1554" s="165"/>
    </row>
    <row r="1555" spans="1:104">
      <c r="A1555" s="149"/>
      <c r="B1555" s="149"/>
      <c r="C1555" s="150"/>
      <c r="D1555" s="102"/>
      <c r="E1555" s="149"/>
      <c r="F1555" s="149"/>
      <c r="G1555" s="149"/>
      <c r="H1555" s="149"/>
      <c r="I1555" s="149"/>
      <c r="J1555" s="149"/>
      <c r="K1555" s="149"/>
      <c r="L1555" s="149"/>
      <c r="M1555" s="149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9"/>
      <c r="AA1555" s="149"/>
      <c r="AB1555" s="149"/>
      <c r="AC1555" s="149"/>
      <c r="AD1555" s="149"/>
      <c r="AE1555" s="149"/>
      <c r="AF1555" s="149"/>
      <c r="AG1555" s="149"/>
      <c r="AH1555" s="149"/>
      <c r="AI1555" s="149"/>
      <c r="AJ1555" s="149"/>
      <c r="AK1555" s="149"/>
      <c r="AL1555" s="149"/>
      <c r="AM1555" s="149"/>
      <c r="AN1555" s="149"/>
      <c r="AO1555" s="128"/>
      <c r="AP1555" s="128"/>
      <c r="AQ1555" s="128"/>
      <c r="AR1555" s="128"/>
      <c r="AS1555" s="128"/>
      <c r="AT1555" s="128"/>
      <c r="AU1555" s="128"/>
      <c r="AV1555" s="128"/>
      <c r="AW1555" s="128"/>
      <c r="AX1555" s="128"/>
      <c r="AY1555" s="128"/>
      <c r="AZ1555" s="128"/>
      <c r="BA1555" s="128"/>
      <c r="BB1555" s="128"/>
      <c r="BC1555" s="128"/>
      <c r="BD1555" s="128"/>
      <c r="BE1555" s="128"/>
      <c r="BF1555" s="128"/>
      <c r="BG1555" s="128"/>
      <c r="BH1555" s="128"/>
      <c r="BI1555" s="128"/>
      <c r="BJ1555" s="128"/>
      <c r="BK1555" s="128"/>
      <c r="BL1555" s="128"/>
      <c r="BM1555" s="151"/>
      <c r="BN1555" s="128"/>
      <c r="BO1555" s="128"/>
      <c r="BP1555" s="128"/>
      <c r="BQ1555" s="128"/>
      <c r="BR1555" s="128"/>
      <c r="BS1555" s="128"/>
      <c r="BT1555" s="128"/>
      <c r="BU1555" s="128"/>
      <c r="BV1555" s="128"/>
      <c r="BW1555" s="128"/>
      <c r="BX1555" s="128"/>
      <c r="BY1555" s="128"/>
      <c r="BZ1555" s="128"/>
      <c r="CA1555" s="128"/>
      <c r="CB1555" s="128"/>
      <c r="CC1555" s="128"/>
      <c r="CD1555" s="128"/>
      <c r="CE1555" s="128"/>
      <c r="CF1555" s="128"/>
      <c r="CG1555" s="128"/>
      <c r="CI1555" s="128"/>
      <c r="CJ1555" s="128"/>
      <c r="CK1555" s="128"/>
      <c r="CL1555" s="128"/>
      <c r="CM1555" s="128"/>
      <c r="CN1555" s="128"/>
      <c r="CO1555" s="128"/>
      <c r="CP1555" s="128"/>
      <c r="CQ1555" s="128"/>
      <c r="CR1555" s="128"/>
      <c r="CS1555" s="128"/>
      <c r="CT1555" s="128"/>
      <c r="CU1555" s="128"/>
      <c r="CV1555" s="128"/>
      <c r="CW1555" s="128"/>
      <c r="CX1555" s="128"/>
      <c r="CY1555" s="128"/>
      <c r="CZ1555" s="165"/>
    </row>
    <row r="1556" spans="1:104">
      <c r="A1556" s="149"/>
      <c r="B1556" s="149"/>
      <c r="C1556" s="150"/>
      <c r="D1556" s="102"/>
      <c r="E1556" s="149"/>
      <c r="F1556" s="149"/>
      <c r="G1556" s="149"/>
      <c r="H1556" s="149"/>
      <c r="I1556" s="149"/>
      <c r="J1556" s="149"/>
      <c r="K1556" s="149"/>
      <c r="L1556" s="149"/>
      <c r="M1556" s="149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9"/>
      <c r="AA1556" s="149"/>
      <c r="AB1556" s="149"/>
      <c r="AC1556" s="149"/>
      <c r="AD1556" s="149"/>
      <c r="AE1556" s="149"/>
      <c r="AF1556" s="149"/>
      <c r="AG1556" s="149"/>
      <c r="AH1556" s="149"/>
      <c r="AI1556" s="149"/>
      <c r="AJ1556" s="149"/>
      <c r="AK1556" s="149"/>
      <c r="AL1556" s="149"/>
      <c r="AM1556" s="149"/>
      <c r="AN1556" s="149"/>
      <c r="AO1556" s="128"/>
      <c r="AP1556" s="128"/>
      <c r="AQ1556" s="128"/>
      <c r="AR1556" s="128"/>
      <c r="AS1556" s="128"/>
      <c r="AT1556" s="128"/>
      <c r="AU1556" s="128"/>
      <c r="AV1556" s="128"/>
      <c r="AW1556" s="128"/>
      <c r="AX1556" s="128"/>
      <c r="AY1556" s="128"/>
      <c r="AZ1556" s="128"/>
      <c r="BA1556" s="128"/>
      <c r="BB1556" s="128"/>
      <c r="BC1556" s="128"/>
      <c r="BD1556" s="128"/>
      <c r="BE1556" s="128"/>
      <c r="BF1556" s="128"/>
      <c r="BG1556" s="128"/>
      <c r="BH1556" s="128"/>
      <c r="BI1556" s="128"/>
      <c r="BJ1556" s="128"/>
      <c r="BK1556" s="128"/>
      <c r="BL1556" s="128"/>
      <c r="BM1556" s="151"/>
      <c r="BN1556" s="128"/>
      <c r="BO1556" s="128"/>
      <c r="BP1556" s="128"/>
      <c r="BQ1556" s="128"/>
      <c r="BR1556" s="128"/>
      <c r="BS1556" s="128"/>
      <c r="BT1556" s="128"/>
      <c r="BU1556" s="128"/>
      <c r="BV1556" s="128"/>
      <c r="BW1556" s="128"/>
      <c r="BX1556" s="128"/>
      <c r="BY1556" s="128"/>
      <c r="BZ1556" s="128"/>
      <c r="CA1556" s="128"/>
      <c r="CB1556" s="128"/>
      <c r="CC1556" s="128"/>
      <c r="CD1556" s="128"/>
      <c r="CE1556" s="128"/>
      <c r="CF1556" s="128"/>
      <c r="CG1556" s="128"/>
      <c r="CI1556" s="128"/>
      <c r="CJ1556" s="128"/>
      <c r="CK1556" s="128"/>
      <c r="CL1556" s="128"/>
      <c r="CM1556" s="128"/>
      <c r="CN1556" s="128"/>
      <c r="CO1556" s="128"/>
      <c r="CP1556" s="128"/>
      <c r="CQ1556" s="128"/>
      <c r="CR1556" s="128"/>
      <c r="CS1556" s="128"/>
      <c r="CT1556" s="128"/>
      <c r="CU1556" s="128"/>
      <c r="CV1556" s="128"/>
      <c r="CW1556" s="128"/>
      <c r="CX1556" s="128"/>
      <c r="CY1556" s="128"/>
      <c r="CZ1556" s="165"/>
    </row>
    <row r="1557" spans="1:104">
      <c r="A1557" s="149"/>
      <c r="B1557" s="149"/>
      <c r="C1557" s="150"/>
      <c r="D1557" s="102"/>
      <c r="E1557" s="149"/>
      <c r="F1557" s="149"/>
      <c r="G1557" s="149"/>
      <c r="H1557" s="149"/>
      <c r="I1557" s="149"/>
      <c r="J1557" s="149"/>
      <c r="K1557" s="149"/>
      <c r="L1557" s="149"/>
      <c r="M1557" s="149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9"/>
      <c r="AA1557" s="149"/>
      <c r="AB1557" s="149"/>
      <c r="AC1557" s="149"/>
      <c r="AD1557" s="149"/>
      <c r="AE1557" s="149"/>
      <c r="AF1557" s="149"/>
      <c r="AG1557" s="149"/>
      <c r="AH1557" s="149"/>
      <c r="AI1557" s="149"/>
      <c r="AJ1557" s="149"/>
      <c r="AK1557" s="149"/>
      <c r="AL1557" s="149"/>
      <c r="AM1557" s="149"/>
      <c r="AN1557" s="149"/>
      <c r="AO1557" s="128"/>
      <c r="AP1557" s="128"/>
      <c r="AQ1557" s="128"/>
      <c r="AR1557" s="128"/>
      <c r="AS1557" s="128"/>
      <c r="AT1557" s="128"/>
      <c r="AU1557" s="128"/>
      <c r="AV1557" s="128"/>
      <c r="AW1557" s="128"/>
      <c r="AX1557" s="128"/>
      <c r="AY1557" s="128"/>
      <c r="AZ1557" s="128"/>
      <c r="BA1557" s="128"/>
      <c r="BB1557" s="128"/>
      <c r="BC1557" s="128"/>
      <c r="BD1557" s="128"/>
      <c r="BE1557" s="128"/>
      <c r="BF1557" s="128"/>
      <c r="BG1557" s="128"/>
      <c r="BH1557" s="128"/>
      <c r="BI1557" s="128"/>
      <c r="BJ1557" s="128"/>
      <c r="BK1557" s="128"/>
      <c r="BL1557" s="128"/>
      <c r="BM1557" s="151"/>
      <c r="BN1557" s="128"/>
      <c r="BO1557" s="128"/>
      <c r="BP1557" s="128"/>
      <c r="BQ1557" s="128"/>
      <c r="BR1557" s="128"/>
      <c r="BS1557" s="128"/>
      <c r="BT1557" s="128"/>
      <c r="BU1557" s="128"/>
      <c r="BV1557" s="128"/>
      <c r="BW1557" s="128"/>
      <c r="BX1557" s="128"/>
      <c r="BY1557" s="128"/>
      <c r="BZ1557" s="128"/>
      <c r="CA1557" s="128"/>
      <c r="CB1557" s="128"/>
      <c r="CC1557" s="128"/>
      <c r="CD1557" s="128"/>
      <c r="CE1557" s="128"/>
      <c r="CF1557" s="128"/>
      <c r="CG1557" s="128"/>
      <c r="CI1557" s="128"/>
      <c r="CJ1557" s="128"/>
      <c r="CK1557" s="128"/>
      <c r="CL1557" s="128"/>
      <c r="CM1557" s="128"/>
      <c r="CN1557" s="128"/>
      <c r="CO1557" s="128"/>
      <c r="CP1557" s="128"/>
      <c r="CQ1557" s="128"/>
      <c r="CR1557" s="128"/>
      <c r="CS1557" s="128"/>
      <c r="CT1557" s="128"/>
      <c r="CU1557" s="128"/>
      <c r="CV1557" s="128"/>
      <c r="CW1557" s="128"/>
      <c r="CX1557" s="128"/>
      <c r="CY1557" s="128"/>
      <c r="CZ1557" s="165"/>
    </row>
    <row r="1558" spans="1:104">
      <c r="A1558" s="149"/>
      <c r="B1558" s="149"/>
      <c r="C1558" s="150"/>
      <c r="D1558" s="102"/>
      <c r="E1558" s="149"/>
      <c r="F1558" s="149"/>
      <c r="G1558" s="149"/>
      <c r="H1558" s="149"/>
      <c r="I1558" s="149"/>
      <c r="J1558" s="149"/>
      <c r="K1558" s="149"/>
      <c r="L1558" s="149"/>
      <c r="M1558" s="149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9"/>
      <c r="AA1558" s="149"/>
      <c r="AB1558" s="149"/>
      <c r="AC1558" s="149"/>
      <c r="AD1558" s="149"/>
      <c r="AE1558" s="149"/>
      <c r="AF1558" s="149"/>
      <c r="AG1558" s="149"/>
      <c r="AH1558" s="149"/>
      <c r="AI1558" s="149"/>
      <c r="AJ1558" s="149"/>
      <c r="AK1558" s="149"/>
      <c r="AL1558" s="149"/>
      <c r="AM1558" s="149"/>
      <c r="AN1558" s="149"/>
      <c r="AO1558" s="128"/>
      <c r="AP1558" s="128"/>
      <c r="AQ1558" s="128"/>
      <c r="AR1558" s="128"/>
      <c r="AS1558" s="128"/>
      <c r="AT1558" s="128"/>
      <c r="AU1558" s="128"/>
      <c r="AV1558" s="128"/>
      <c r="AW1558" s="128"/>
      <c r="AX1558" s="128"/>
      <c r="AY1558" s="128"/>
      <c r="AZ1558" s="128"/>
      <c r="BA1558" s="128"/>
      <c r="BB1558" s="128"/>
      <c r="BC1558" s="128"/>
      <c r="BD1558" s="128"/>
      <c r="BE1558" s="128"/>
      <c r="BF1558" s="128"/>
      <c r="BG1558" s="128"/>
      <c r="BH1558" s="128"/>
      <c r="BI1558" s="128"/>
      <c r="BJ1558" s="128"/>
      <c r="BK1558" s="128"/>
      <c r="BL1558" s="128"/>
      <c r="BM1558" s="151"/>
      <c r="BN1558" s="128"/>
      <c r="BO1558" s="128"/>
      <c r="BP1558" s="128"/>
      <c r="BQ1558" s="128"/>
      <c r="BR1558" s="128"/>
      <c r="BS1558" s="128"/>
      <c r="BT1558" s="128"/>
      <c r="BU1558" s="128"/>
      <c r="BV1558" s="128"/>
      <c r="BW1558" s="128"/>
      <c r="BX1558" s="128"/>
      <c r="BY1558" s="128"/>
      <c r="BZ1558" s="128"/>
      <c r="CA1558" s="128"/>
      <c r="CB1558" s="128"/>
      <c r="CC1558" s="128"/>
      <c r="CD1558" s="128"/>
      <c r="CE1558" s="128"/>
      <c r="CF1558" s="128"/>
      <c r="CG1558" s="128"/>
      <c r="CI1558" s="128"/>
      <c r="CJ1558" s="128"/>
      <c r="CK1558" s="128"/>
      <c r="CL1558" s="128"/>
      <c r="CM1558" s="128"/>
      <c r="CN1558" s="128"/>
      <c r="CO1558" s="128"/>
      <c r="CP1558" s="128"/>
      <c r="CQ1558" s="128"/>
      <c r="CR1558" s="128"/>
      <c r="CS1558" s="128"/>
      <c r="CT1558" s="128"/>
      <c r="CU1558" s="128"/>
      <c r="CV1558" s="128"/>
      <c r="CW1558" s="128"/>
      <c r="CX1558" s="128"/>
      <c r="CY1558" s="128"/>
      <c r="CZ1558" s="165"/>
    </row>
    <row r="1559" spans="1:104">
      <c r="A1559" s="149"/>
      <c r="B1559" s="149"/>
      <c r="C1559" s="150"/>
      <c r="D1559" s="102"/>
      <c r="E1559" s="149"/>
      <c r="F1559" s="149"/>
      <c r="G1559" s="149"/>
      <c r="H1559" s="149"/>
      <c r="I1559" s="149"/>
      <c r="J1559" s="149"/>
      <c r="K1559" s="149"/>
      <c r="L1559" s="149"/>
      <c r="M1559" s="149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9"/>
      <c r="AA1559" s="149"/>
      <c r="AB1559" s="149"/>
      <c r="AC1559" s="149"/>
      <c r="AD1559" s="149"/>
      <c r="AE1559" s="149"/>
      <c r="AF1559" s="149"/>
      <c r="AG1559" s="149"/>
      <c r="AH1559" s="149"/>
      <c r="AI1559" s="149"/>
      <c r="AJ1559" s="149"/>
      <c r="AK1559" s="149"/>
      <c r="AL1559" s="149"/>
      <c r="AM1559" s="149"/>
      <c r="AN1559" s="149"/>
      <c r="AO1559" s="128"/>
      <c r="AP1559" s="128"/>
      <c r="AQ1559" s="128"/>
      <c r="AR1559" s="128"/>
      <c r="AS1559" s="128"/>
      <c r="AT1559" s="128"/>
      <c r="AU1559" s="128"/>
      <c r="AV1559" s="128"/>
      <c r="AW1559" s="128"/>
      <c r="AX1559" s="128"/>
      <c r="AY1559" s="128"/>
      <c r="AZ1559" s="128"/>
      <c r="BA1559" s="128"/>
      <c r="BB1559" s="128"/>
      <c r="BC1559" s="128"/>
      <c r="BD1559" s="128"/>
      <c r="BE1559" s="128"/>
      <c r="BF1559" s="128"/>
      <c r="BG1559" s="128"/>
      <c r="BH1559" s="128"/>
      <c r="BI1559" s="128"/>
      <c r="BJ1559" s="128"/>
      <c r="BK1559" s="128"/>
      <c r="BL1559" s="128"/>
      <c r="BM1559" s="151"/>
      <c r="BN1559" s="128"/>
      <c r="BO1559" s="128"/>
      <c r="BP1559" s="128"/>
      <c r="BQ1559" s="128"/>
      <c r="BR1559" s="128"/>
      <c r="BS1559" s="128"/>
      <c r="BT1559" s="128"/>
      <c r="BU1559" s="128"/>
      <c r="BV1559" s="128"/>
      <c r="BW1559" s="128"/>
      <c r="BX1559" s="128"/>
      <c r="BY1559" s="128"/>
      <c r="BZ1559" s="128"/>
      <c r="CA1559" s="128"/>
      <c r="CB1559" s="128"/>
      <c r="CC1559" s="128"/>
      <c r="CD1559" s="128"/>
      <c r="CE1559" s="128"/>
      <c r="CF1559" s="128"/>
      <c r="CG1559" s="128"/>
      <c r="CI1559" s="128"/>
      <c r="CJ1559" s="128"/>
      <c r="CK1559" s="128"/>
      <c r="CL1559" s="128"/>
      <c r="CM1559" s="128"/>
      <c r="CN1559" s="128"/>
      <c r="CO1559" s="128"/>
      <c r="CP1559" s="128"/>
      <c r="CQ1559" s="128"/>
      <c r="CR1559" s="128"/>
      <c r="CS1559" s="128"/>
      <c r="CT1559" s="128"/>
      <c r="CU1559" s="128"/>
      <c r="CV1559" s="128"/>
      <c r="CW1559" s="128"/>
      <c r="CX1559" s="128"/>
      <c r="CY1559" s="128"/>
      <c r="CZ1559" s="165"/>
    </row>
    <row r="1560" spans="1:104">
      <c r="A1560" s="149"/>
      <c r="B1560" s="149"/>
      <c r="C1560" s="150"/>
      <c r="D1560" s="102"/>
      <c r="E1560" s="149"/>
      <c r="F1560" s="149"/>
      <c r="G1560" s="149"/>
      <c r="H1560" s="149"/>
      <c r="I1560" s="149"/>
      <c r="J1560" s="149"/>
      <c r="K1560" s="149"/>
      <c r="L1560" s="149"/>
      <c r="M1560" s="149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9"/>
      <c r="AA1560" s="149"/>
      <c r="AB1560" s="149"/>
      <c r="AC1560" s="149"/>
      <c r="AD1560" s="149"/>
      <c r="AE1560" s="149"/>
      <c r="AF1560" s="149"/>
      <c r="AG1560" s="149"/>
      <c r="AH1560" s="149"/>
      <c r="AI1560" s="149"/>
      <c r="AJ1560" s="149"/>
      <c r="AK1560" s="149"/>
      <c r="AL1560" s="149"/>
      <c r="AM1560" s="149"/>
      <c r="AN1560" s="149"/>
      <c r="AO1560" s="128"/>
      <c r="AP1560" s="128"/>
      <c r="AQ1560" s="128"/>
      <c r="AR1560" s="128"/>
      <c r="AS1560" s="128"/>
      <c r="AT1560" s="128"/>
      <c r="AU1560" s="128"/>
      <c r="AV1560" s="128"/>
      <c r="AW1560" s="128"/>
      <c r="AX1560" s="128"/>
      <c r="AY1560" s="128"/>
      <c r="AZ1560" s="128"/>
      <c r="BA1560" s="128"/>
      <c r="BB1560" s="128"/>
      <c r="BC1560" s="128"/>
      <c r="BD1560" s="128"/>
      <c r="BE1560" s="128"/>
      <c r="BF1560" s="128"/>
      <c r="BG1560" s="128"/>
      <c r="BH1560" s="128"/>
      <c r="BI1560" s="128"/>
      <c r="BJ1560" s="128"/>
      <c r="BK1560" s="128"/>
      <c r="BL1560" s="128"/>
      <c r="BM1560" s="151"/>
      <c r="BN1560" s="128"/>
      <c r="BO1560" s="128"/>
      <c r="BP1560" s="128"/>
      <c r="BQ1560" s="128"/>
      <c r="BR1560" s="128"/>
      <c r="BS1560" s="128"/>
      <c r="BT1560" s="128"/>
      <c r="BU1560" s="128"/>
      <c r="BV1560" s="128"/>
      <c r="BW1560" s="128"/>
      <c r="BX1560" s="128"/>
      <c r="BY1560" s="128"/>
      <c r="BZ1560" s="128"/>
      <c r="CA1560" s="128"/>
      <c r="CB1560" s="128"/>
      <c r="CC1560" s="128"/>
      <c r="CD1560" s="128"/>
      <c r="CE1560" s="128"/>
      <c r="CF1560" s="128"/>
      <c r="CG1560" s="128"/>
      <c r="CI1560" s="128"/>
      <c r="CJ1560" s="128"/>
      <c r="CK1560" s="128"/>
      <c r="CL1560" s="128"/>
      <c r="CM1560" s="128"/>
      <c r="CN1560" s="128"/>
      <c r="CO1560" s="128"/>
      <c r="CP1560" s="128"/>
      <c r="CQ1560" s="128"/>
      <c r="CR1560" s="128"/>
      <c r="CS1560" s="128"/>
      <c r="CT1560" s="128"/>
      <c r="CU1560" s="128"/>
      <c r="CV1560" s="128"/>
      <c r="CW1560" s="128"/>
      <c r="CX1560" s="128"/>
      <c r="CY1560" s="128"/>
      <c r="CZ1560" s="165"/>
    </row>
    <row r="1561" spans="1:104">
      <c r="A1561" s="149"/>
      <c r="B1561" s="149"/>
      <c r="C1561" s="150"/>
      <c r="D1561" s="102"/>
      <c r="E1561" s="149"/>
      <c r="F1561" s="149"/>
      <c r="G1561" s="149"/>
      <c r="H1561" s="149"/>
      <c r="I1561" s="149"/>
      <c r="J1561" s="149"/>
      <c r="K1561" s="149"/>
      <c r="L1561" s="149"/>
      <c r="M1561" s="149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9"/>
      <c r="AA1561" s="149"/>
      <c r="AB1561" s="149"/>
      <c r="AC1561" s="149"/>
      <c r="AD1561" s="149"/>
      <c r="AE1561" s="149"/>
      <c r="AF1561" s="149"/>
      <c r="AG1561" s="149"/>
      <c r="AH1561" s="149"/>
      <c r="AI1561" s="149"/>
      <c r="AJ1561" s="149"/>
      <c r="AK1561" s="149"/>
      <c r="AL1561" s="149"/>
      <c r="AM1561" s="149"/>
      <c r="AN1561" s="149"/>
      <c r="AO1561" s="128"/>
      <c r="AP1561" s="128"/>
      <c r="AQ1561" s="128"/>
      <c r="AR1561" s="128"/>
      <c r="AS1561" s="128"/>
      <c r="AT1561" s="128"/>
      <c r="AU1561" s="128"/>
      <c r="AV1561" s="128"/>
      <c r="AW1561" s="128"/>
      <c r="AX1561" s="128"/>
      <c r="AY1561" s="128"/>
      <c r="AZ1561" s="128"/>
      <c r="BA1561" s="128"/>
      <c r="BB1561" s="128"/>
      <c r="BC1561" s="128"/>
      <c r="BD1561" s="128"/>
      <c r="BE1561" s="128"/>
      <c r="BF1561" s="128"/>
      <c r="BG1561" s="128"/>
      <c r="BH1561" s="128"/>
      <c r="BI1561" s="128"/>
      <c r="BJ1561" s="128"/>
      <c r="BK1561" s="128"/>
      <c r="BL1561" s="128"/>
      <c r="BM1561" s="151"/>
      <c r="BN1561" s="128"/>
      <c r="BO1561" s="128"/>
      <c r="BP1561" s="128"/>
      <c r="BQ1561" s="128"/>
      <c r="BR1561" s="128"/>
      <c r="BS1561" s="128"/>
      <c r="BT1561" s="128"/>
      <c r="BU1561" s="128"/>
      <c r="BV1561" s="128"/>
      <c r="BW1561" s="128"/>
      <c r="BX1561" s="128"/>
      <c r="BY1561" s="128"/>
      <c r="BZ1561" s="128"/>
      <c r="CA1561" s="128"/>
      <c r="CB1561" s="128"/>
      <c r="CC1561" s="128"/>
      <c r="CD1561" s="128"/>
      <c r="CE1561" s="128"/>
      <c r="CF1561" s="128"/>
      <c r="CG1561" s="128"/>
      <c r="CI1561" s="128"/>
      <c r="CJ1561" s="128"/>
      <c r="CK1561" s="128"/>
      <c r="CL1561" s="128"/>
      <c r="CM1561" s="128"/>
      <c r="CN1561" s="128"/>
      <c r="CO1561" s="128"/>
      <c r="CP1561" s="128"/>
      <c r="CQ1561" s="128"/>
      <c r="CR1561" s="128"/>
      <c r="CS1561" s="128"/>
      <c r="CT1561" s="128"/>
      <c r="CU1561" s="128"/>
      <c r="CV1561" s="128"/>
      <c r="CW1561" s="128"/>
      <c r="CX1561" s="128"/>
      <c r="CY1561" s="128"/>
      <c r="CZ1561" s="165"/>
    </row>
    <row r="1562" spans="1:104">
      <c r="A1562" s="149"/>
      <c r="B1562" s="149"/>
      <c r="C1562" s="150"/>
      <c r="D1562" s="102"/>
      <c r="E1562" s="149"/>
      <c r="F1562" s="149"/>
      <c r="G1562" s="149"/>
      <c r="H1562" s="149"/>
      <c r="I1562" s="149"/>
      <c r="J1562" s="149"/>
      <c r="K1562" s="149"/>
      <c r="L1562" s="149"/>
      <c r="M1562" s="149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9"/>
      <c r="AA1562" s="149"/>
      <c r="AB1562" s="149"/>
      <c r="AC1562" s="149"/>
      <c r="AD1562" s="149"/>
      <c r="AE1562" s="149"/>
      <c r="AF1562" s="149"/>
      <c r="AG1562" s="149"/>
      <c r="AH1562" s="149"/>
      <c r="AI1562" s="149"/>
      <c r="AJ1562" s="149"/>
      <c r="AK1562" s="149"/>
      <c r="AL1562" s="149"/>
      <c r="AM1562" s="149"/>
      <c r="AN1562" s="149"/>
      <c r="AO1562" s="128"/>
      <c r="AP1562" s="128"/>
      <c r="AQ1562" s="128"/>
      <c r="AR1562" s="128"/>
      <c r="AS1562" s="128"/>
      <c r="AT1562" s="128"/>
      <c r="AU1562" s="128"/>
      <c r="AV1562" s="128"/>
      <c r="AW1562" s="128"/>
      <c r="AX1562" s="128"/>
      <c r="AY1562" s="128"/>
      <c r="AZ1562" s="128"/>
      <c r="BA1562" s="128"/>
      <c r="BB1562" s="128"/>
      <c r="BC1562" s="128"/>
      <c r="BD1562" s="128"/>
      <c r="BE1562" s="128"/>
      <c r="BF1562" s="128"/>
      <c r="BG1562" s="128"/>
      <c r="BH1562" s="128"/>
      <c r="BI1562" s="128"/>
      <c r="BJ1562" s="128"/>
      <c r="BK1562" s="128"/>
      <c r="BL1562" s="128"/>
      <c r="BM1562" s="151"/>
      <c r="BN1562" s="128"/>
      <c r="BO1562" s="128"/>
      <c r="BP1562" s="128"/>
      <c r="BQ1562" s="128"/>
      <c r="BR1562" s="128"/>
      <c r="BS1562" s="128"/>
      <c r="BT1562" s="128"/>
      <c r="BU1562" s="128"/>
      <c r="BV1562" s="128"/>
      <c r="BW1562" s="128"/>
      <c r="BX1562" s="128"/>
      <c r="BY1562" s="128"/>
      <c r="BZ1562" s="128"/>
      <c r="CA1562" s="128"/>
      <c r="CB1562" s="128"/>
      <c r="CC1562" s="128"/>
      <c r="CD1562" s="128"/>
      <c r="CE1562" s="128"/>
      <c r="CF1562" s="128"/>
      <c r="CG1562" s="128"/>
      <c r="CI1562" s="128"/>
      <c r="CJ1562" s="128"/>
      <c r="CK1562" s="128"/>
      <c r="CL1562" s="128"/>
      <c r="CM1562" s="128"/>
      <c r="CN1562" s="128"/>
      <c r="CO1562" s="128"/>
      <c r="CP1562" s="128"/>
      <c r="CQ1562" s="128"/>
      <c r="CR1562" s="128"/>
      <c r="CS1562" s="128"/>
      <c r="CT1562" s="128"/>
      <c r="CU1562" s="128"/>
      <c r="CV1562" s="128"/>
      <c r="CW1562" s="128"/>
      <c r="CX1562" s="128"/>
      <c r="CY1562" s="128"/>
      <c r="CZ1562" s="165"/>
    </row>
    <row r="1563" spans="1:104">
      <c r="A1563" s="149"/>
      <c r="B1563" s="149"/>
      <c r="C1563" s="150"/>
      <c r="D1563" s="102"/>
      <c r="E1563" s="149"/>
      <c r="F1563" s="149"/>
      <c r="G1563" s="149"/>
      <c r="H1563" s="149"/>
      <c r="I1563" s="149"/>
      <c r="J1563" s="149"/>
      <c r="K1563" s="149"/>
      <c r="L1563" s="149"/>
      <c r="M1563" s="149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9"/>
      <c r="AA1563" s="149"/>
      <c r="AB1563" s="149"/>
      <c r="AC1563" s="149"/>
      <c r="AD1563" s="149"/>
      <c r="AE1563" s="149"/>
      <c r="AF1563" s="149"/>
      <c r="AG1563" s="149"/>
      <c r="AH1563" s="149"/>
      <c r="AI1563" s="149"/>
      <c r="AJ1563" s="149"/>
      <c r="AK1563" s="149"/>
      <c r="AL1563" s="149"/>
      <c r="AM1563" s="149"/>
      <c r="AN1563" s="149"/>
      <c r="AO1563" s="128"/>
      <c r="AP1563" s="128"/>
      <c r="AQ1563" s="128"/>
      <c r="AR1563" s="128"/>
      <c r="AS1563" s="128"/>
      <c r="AT1563" s="128"/>
      <c r="AU1563" s="128"/>
      <c r="AV1563" s="128"/>
      <c r="AW1563" s="128"/>
      <c r="AX1563" s="128"/>
      <c r="AY1563" s="128"/>
      <c r="AZ1563" s="128"/>
      <c r="BA1563" s="128"/>
      <c r="BB1563" s="128"/>
      <c r="BC1563" s="128"/>
      <c r="BD1563" s="128"/>
      <c r="BE1563" s="128"/>
      <c r="BF1563" s="128"/>
      <c r="BG1563" s="128"/>
      <c r="BH1563" s="128"/>
      <c r="BI1563" s="128"/>
      <c r="BJ1563" s="128"/>
      <c r="BK1563" s="128"/>
      <c r="BL1563" s="128"/>
      <c r="BM1563" s="151"/>
      <c r="BN1563" s="128"/>
      <c r="BO1563" s="128"/>
      <c r="BP1563" s="128"/>
      <c r="BQ1563" s="128"/>
      <c r="BR1563" s="128"/>
      <c r="BS1563" s="128"/>
      <c r="BT1563" s="128"/>
      <c r="BU1563" s="128"/>
      <c r="BV1563" s="128"/>
      <c r="BW1563" s="128"/>
      <c r="BX1563" s="128"/>
      <c r="BY1563" s="128"/>
      <c r="BZ1563" s="128"/>
      <c r="CA1563" s="128"/>
      <c r="CB1563" s="128"/>
      <c r="CC1563" s="128"/>
      <c r="CD1563" s="128"/>
      <c r="CE1563" s="128"/>
      <c r="CF1563" s="128"/>
      <c r="CG1563" s="128"/>
      <c r="CI1563" s="128"/>
      <c r="CJ1563" s="128"/>
      <c r="CK1563" s="128"/>
      <c r="CL1563" s="128"/>
      <c r="CM1563" s="128"/>
      <c r="CN1563" s="128"/>
      <c r="CO1563" s="128"/>
      <c r="CP1563" s="128"/>
      <c r="CQ1563" s="128"/>
      <c r="CR1563" s="128"/>
      <c r="CS1563" s="128"/>
      <c r="CT1563" s="128"/>
      <c r="CU1563" s="128"/>
      <c r="CV1563" s="128"/>
      <c r="CW1563" s="128"/>
      <c r="CX1563" s="128"/>
      <c r="CY1563" s="128"/>
      <c r="CZ1563" s="165"/>
    </row>
    <row r="1564" spans="1:104">
      <c r="A1564" s="149"/>
      <c r="B1564" s="149"/>
      <c r="C1564" s="150"/>
      <c r="D1564" s="102"/>
      <c r="E1564" s="149"/>
      <c r="F1564" s="149"/>
      <c r="G1564" s="149"/>
      <c r="H1564" s="149"/>
      <c r="I1564" s="149"/>
      <c r="J1564" s="149"/>
      <c r="K1564" s="149"/>
      <c r="L1564" s="149"/>
      <c r="M1564" s="149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9"/>
      <c r="AA1564" s="149"/>
      <c r="AB1564" s="149"/>
      <c r="AC1564" s="149"/>
      <c r="AD1564" s="149"/>
      <c r="AE1564" s="149"/>
      <c r="AF1564" s="149"/>
      <c r="AG1564" s="149"/>
      <c r="AH1564" s="149"/>
      <c r="AI1564" s="149"/>
      <c r="AJ1564" s="149"/>
      <c r="AK1564" s="149"/>
      <c r="AL1564" s="149"/>
      <c r="AM1564" s="149"/>
      <c r="AN1564" s="149"/>
      <c r="AO1564" s="128"/>
      <c r="AP1564" s="128"/>
      <c r="AQ1564" s="128"/>
      <c r="AR1564" s="128"/>
      <c r="AS1564" s="128"/>
      <c r="AT1564" s="128"/>
      <c r="AU1564" s="128"/>
      <c r="AV1564" s="128"/>
      <c r="AW1564" s="128"/>
      <c r="AX1564" s="128"/>
      <c r="AY1564" s="128"/>
      <c r="AZ1564" s="128"/>
      <c r="BA1564" s="128"/>
      <c r="BB1564" s="128"/>
      <c r="BC1564" s="128"/>
      <c r="BD1564" s="128"/>
      <c r="BE1564" s="128"/>
      <c r="BF1564" s="128"/>
      <c r="BG1564" s="128"/>
      <c r="BH1564" s="128"/>
      <c r="BI1564" s="128"/>
      <c r="BJ1564" s="128"/>
      <c r="BK1564" s="128"/>
      <c r="BL1564" s="128"/>
      <c r="BM1564" s="151"/>
      <c r="BN1564" s="128"/>
      <c r="BO1564" s="128"/>
      <c r="BP1564" s="128"/>
      <c r="BQ1564" s="128"/>
      <c r="BR1564" s="128"/>
      <c r="BS1564" s="128"/>
      <c r="BT1564" s="128"/>
      <c r="BU1564" s="128"/>
      <c r="BV1564" s="128"/>
      <c r="BW1564" s="128"/>
      <c r="BX1564" s="128"/>
      <c r="BY1564" s="128"/>
      <c r="BZ1564" s="128"/>
      <c r="CA1564" s="128"/>
      <c r="CB1564" s="128"/>
      <c r="CC1564" s="128"/>
      <c r="CD1564" s="128"/>
      <c r="CE1564" s="128"/>
      <c r="CF1564" s="128"/>
      <c r="CG1564" s="128"/>
      <c r="CI1564" s="128"/>
      <c r="CJ1564" s="128"/>
      <c r="CK1564" s="128"/>
      <c r="CL1564" s="128"/>
      <c r="CM1564" s="128"/>
      <c r="CN1564" s="128"/>
      <c r="CO1564" s="128"/>
      <c r="CP1564" s="128"/>
      <c r="CQ1564" s="128"/>
      <c r="CR1564" s="128"/>
      <c r="CS1564" s="128"/>
      <c r="CT1564" s="128"/>
      <c r="CU1564" s="128"/>
      <c r="CV1564" s="128"/>
      <c r="CW1564" s="128"/>
      <c r="CX1564" s="128"/>
      <c r="CY1564" s="128"/>
      <c r="CZ1564" s="165"/>
    </row>
    <row r="1565" spans="1:104">
      <c r="A1565" s="149"/>
      <c r="B1565" s="149"/>
      <c r="C1565" s="150"/>
      <c r="D1565" s="102"/>
      <c r="E1565" s="149"/>
      <c r="F1565" s="149"/>
      <c r="G1565" s="149"/>
      <c r="H1565" s="149"/>
      <c r="I1565" s="149"/>
      <c r="J1565" s="149"/>
      <c r="K1565" s="149"/>
      <c r="L1565" s="149"/>
      <c r="M1565" s="149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9"/>
      <c r="AA1565" s="149"/>
      <c r="AB1565" s="149"/>
      <c r="AC1565" s="149"/>
      <c r="AD1565" s="149"/>
      <c r="AE1565" s="149"/>
      <c r="AF1565" s="149"/>
      <c r="AG1565" s="149"/>
      <c r="AH1565" s="149"/>
      <c r="AI1565" s="149"/>
      <c r="AJ1565" s="149"/>
      <c r="AK1565" s="149"/>
      <c r="AL1565" s="149"/>
      <c r="AM1565" s="149"/>
      <c r="AN1565" s="149"/>
      <c r="AO1565" s="128"/>
      <c r="AP1565" s="128"/>
      <c r="AQ1565" s="128"/>
      <c r="AR1565" s="128"/>
      <c r="AS1565" s="128"/>
      <c r="AT1565" s="128"/>
      <c r="AU1565" s="128"/>
      <c r="AV1565" s="128"/>
      <c r="AW1565" s="128"/>
      <c r="AX1565" s="128"/>
      <c r="AY1565" s="128"/>
      <c r="AZ1565" s="128"/>
      <c r="BA1565" s="128"/>
      <c r="BB1565" s="128"/>
      <c r="BC1565" s="128"/>
      <c r="BD1565" s="128"/>
      <c r="BE1565" s="128"/>
      <c r="BF1565" s="128"/>
      <c r="BG1565" s="128"/>
      <c r="BH1565" s="128"/>
      <c r="BI1565" s="128"/>
      <c r="BJ1565" s="128"/>
      <c r="BK1565" s="128"/>
      <c r="BL1565" s="128"/>
      <c r="BM1565" s="151"/>
      <c r="BN1565" s="128"/>
      <c r="BO1565" s="128"/>
      <c r="BP1565" s="128"/>
      <c r="BQ1565" s="128"/>
      <c r="BR1565" s="128"/>
      <c r="BS1565" s="128"/>
      <c r="BT1565" s="128"/>
      <c r="BU1565" s="128"/>
      <c r="BV1565" s="128"/>
      <c r="BW1565" s="128"/>
      <c r="BX1565" s="128"/>
      <c r="BY1565" s="128"/>
      <c r="BZ1565" s="128"/>
      <c r="CA1565" s="128"/>
      <c r="CB1565" s="128"/>
      <c r="CC1565" s="128"/>
      <c r="CD1565" s="128"/>
      <c r="CE1565" s="128"/>
      <c r="CF1565" s="128"/>
      <c r="CG1565" s="128"/>
      <c r="CI1565" s="128"/>
      <c r="CJ1565" s="128"/>
      <c r="CK1565" s="128"/>
      <c r="CL1565" s="128"/>
      <c r="CM1565" s="128"/>
      <c r="CN1565" s="128"/>
      <c r="CO1565" s="128"/>
      <c r="CP1565" s="128"/>
      <c r="CQ1565" s="128"/>
      <c r="CR1565" s="128"/>
      <c r="CS1565" s="128"/>
      <c r="CT1565" s="128"/>
      <c r="CU1565" s="128"/>
      <c r="CV1565" s="128"/>
      <c r="CW1565" s="128"/>
      <c r="CX1565" s="128"/>
      <c r="CY1565" s="128"/>
      <c r="CZ1565" s="165"/>
    </row>
    <row r="1566" spans="1:104">
      <c r="A1566" s="149"/>
      <c r="B1566" s="149"/>
      <c r="C1566" s="150"/>
      <c r="D1566" s="102"/>
      <c r="E1566" s="149"/>
      <c r="F1566" s="149"/>
      <c r="G1566" s="149"/>
      <c r="H1566" s="149"/>
      <c r="I1566" s="149"/>
      <c r="J1566" s="149"/>
      <c r="K1566" s="149"/>
      <c r="L1566" s="149"/>
      <c r="M1566" s="149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9"/>
      <c r="AA1566" s="149"/>
      <c r="AB1566" s="149"/>
      <c r="AC1566" s="149"/>
      <c r="AD1566" s="149"/>
      <c r="AE1566" s="149"/>
      <c r="AF1566" s="149"/>
      <c r="AG1566" s="149"/>
      <c r="AH1566" s="149"/>
      <c r="AI1566" s="149"/>
      <c r="AJ1566" s="149"/>
      <c r="AK1566" s="149"/>
      <c r="AL1566" s="149"/>
      <c r="AM1566" s="149"/>
      <c r="AN1566" s="149"/>
      <c r="AO1566" s="128"/>
      <c r="AP1566" s="128"/>
      <c r="AQ1566" s="128"/>
      <c r="AR1566" s="128"/>
      <c r="AS1566" s="128"/>
      <c r="AT1566" s="128"/>
      <c r="AU1566" s="128"/>
      <c r="AV1566" s="128"/>
      <c r="AW1566" s="128"/>
      <c r="AX1566" s="128"/>
      <c r="AY1566" s="128"/>
      <c r="AZ1566" s="128"/>
      <c r="BA1566" s="128"/>
      <c r="BB1566" s="128"/>
      <c r="BC1566" s="128"/>
      <c r="BD1566" s="128"/>
      <c r="BE1566" s="128"/>
      <c r="BF1566" s="128"/>
      <c r="BG1566" s="128"/>
      <c r="BH1566" s="128"/>
      <c r="BI1566" s="128"/>
      <c r="BJ1566" s="128"/>
      <c r="BK1566" s="128"/>
      <c r="BL1566" s="128"/>
      <c r="BM1566" s="151"/>
      <c r="BN1566" s="128"/>
      <c r="BO1566" s="128"/>
      <c r="BP1566" s="128"/>
      <c r="BQ1566" s="128"/>
      <c r="BR1566" s="128"/>
      <c r="BS1566" s="128"/>
      <c r="BT1566" s="128"/>
      <c r="BU1566" s="128"/>
      <c r="BV1566" s="128"/>
      <c r="BW1566" s="128"/>
      <c r="BX1566" s="128"/>
      <c r="BY1566" s="128"/>
      <c r="BZ1566" s="128"/>
      <c r="CA1566" s="128"/>
      <c r="CB1566" s="128"/>
      <c r="CC1566" s="128"/>
      <c r="CD1566" s="128"/>
      <c r="CE1566" s="128"/>
      <c r="CF1566" s="128"/>
      <c r="CG1566" s="128"/>
      <c r="CI1566" s="128"/>
      <c r="CJ1566" s="128"/>
      <c r="CK1566" s="128"/>
      <c r="CL1566" s="128"/>
      <c r="CM1566" s="128"/>
      <c r="CN1566" s="128"/>
      <c r="CO1566" s="128"/>
      <c r="CP1566" s="128"/>
      <c r="CQ1566" s="128"/>
      <c r="CR1566" s="128"/>
      <c r="CS1566" s="128"/>
      <c r="CT1566" s="128"/>
      <c r="CU1566" s="128"/>
      <c r="CV1566" s="128"/>
      <c r="CW1566" s="128"/>
      <c r="CX1566" s="128"/>
      <c r="CY1566" s="128"/>
      <c r="CZ1566" s="165"/>
    </row>
    <row r="1567" spans="1:104">
      <c r="A1567" s="149"/>
      <c r="B1567" s="149"/>
      <c r="C1567" s="150"/>
      <c r="D1567" s="102"/>
      <c r="E1567" s="149"/>
      <c r="F1567" s="149"/>
      <c r="G1567" s="149"/>
      <c r="H1567" s="149"/>
      <c r="I1567" s="149"/>
      <c r="J1567" s="149"/>
      <c r="K1567" s="149"/>
      <c r="L1567" s="149"/>
      <c r="M1567" s="149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9"/>
      <c r="AA1567" s="149"/>
      <c r="AB1567" s="149"/>
      <c r="AC1567" s="149"/>
      <c r="AD1567" s="149"/>
      <c r="AE1567" s="149"/>
      <c r="AF1567" s="149"/>
      <c r="AG1567" s="149"/>
      <c r="AH1567" s="149"/>
      <c r="AI1567" s="149"/>
      <c r="AJ1567" s="149"/>
      <c r="AK1567" s="149"/>
      <c r="AL1567" s="149"/>
      <c r="AM1567" s="149"/>
      <c r="AN1567" s="149"/>
      <c r="AO1567" s="128"/>
      <c r="AP1567" s="128"/>
      <c r="AQ1567" s="128"/>
      <c r="AR1567" s="128"/>
      <c r="AS1567" s="128"/>
      <c r="AT1567" s="128"/>
      <c r="AU1567" s="128"/>
      <c r="AV1567" s="128"/>
      <c r="AW1567" s="128"/>
      <c r="AX1567" s="128"/>
      <c r="AY1567" s="128"/>
      <c r="AZ1567" s="128"/>
      <c r="BA1567" s="128"/>
      <c r="BB1567" s="128"/>
      <c r="BC1567" s="128"/>
      <c r="BD1567" s="128"/>
      <c r="BE1567" s="128"/>
      <c r="BF1567" s="128"/>
      <c r="BG1567" s="128"/>
      <c r="BH1567" s="128"/>
      <c r="BI1567" s="128"/>
      <c r="BJ1567" s="128"/>
      <c r="BK1567" s="128"/>
      <c r="BL1567" s="128"/>
      <c r="BM1567" s="151"/>
      <c r="BN1567" s="128"/>
      <c r="BO1567" s="128"/>
      <c r="BP1567" s="128"/>
      <c r="BQ1567" s="128"/>
      <c r="BR1567" s="128"/>
      <c r="BS1567" s="128"/>
      <c r="BT1567" s="128"/>
      <c r="BU1567" s="128"/>
      <c r="BV1567" s="128"/>
      <c r="BW1567" s="128"/>
      <c r="BX1567" s="128"/>
      <c r="BY1567" s="128"/>
      <c r="BZ1567" s="128"/>
      <c r="CA1567" s="128"/>
      <c r="CB1567" s="128"/>
      <c r="CC1567" s="128"/>
      <c r="CD1567" s="128"/>
      <c r="CE1567" s="128"/>
      <c r="CF1567" s="128"/>
      <c r="CG1567" s="128"/>
      <c r="CI1567" s="128"/>
      <c r="CJ1567" s="128"/>
      <c r="CK1567" s="128"/>
      <c r="CL1567" s="128"/>
      <c r="CM1567" s="128"/>
      <c r="CN1567" s="128"/>
      <c r="CO1567" s="128"/>
      <c r="CP1567" s="128"/>
      <c r="CQ1567" s="128"/>
      <c r="CR1567" s="128"/>
      <c r="CS1567" s="128"/>
      <c r="CT1567" s="128"/>
      <c r="CU1567" s="128"/>
      <c r="CV1567" s="128"/>
      <c r="CW1567" s="128"/>
      <c r="CX1567" s="128"/>
      <c r="CY1567" s="128"/>
      <c r="CZ1567" s="165"/>
    </row>
    <row r="1568" spans="1:104">
      <c r="A1568" s="149"/>
      <c r="B1568" s="149"/>
      <c r="C1568" s="150"/>
      <c r="D1568" s="102"/>
      <c r="E1568" s="149"/>
      <c r="F1568" s="149"/>
      <c r="G1568" s="149"/>
      <c r="H1568" s="149"/>
      <c r="I1568" s="149"/>
      <c r="J1568" s="149"/>
      <c r="K1568" s="149"/>
      <c r="L1568" s="149"/>
      <c r="M1568" s="149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9"/>
      <c r="AA1568" s="149"/>
      <c r="AB1568" s="149"/>
      <c r="AC1568" s="149"/>
      <c r="AD1568" s="149"/>
      <c r="AE1568" s="149"/>
      <c r="AF1568" s="149"/>
      <c r="AG1568" s="149"/>
      <c r="AH1568" s="149"/>
      <c r="AI1568" s="149"/>
      <c r="AJ1568" s="149"/>
      <c r="AK1568" s="149"/>
      <c r="AL1568" s="149"/>
      <c r="AM1568" s="149"/>
      <c r="AN1568" s="149"/>
      <c r="AO1568" s="128"/>
      <c r="AP1568" s="128"/>
      <c r="AQ1568" s="128"/>
      <c r="AR1568" s="128"/>
      <c r="AS1568" s="128"/>
      <c r="AT1568" s="128"/>
      <c r="AU1568" s="128"/>
      <c r="AV1568" s="128"/>
      <c r="AW1568" s="128"/>
      <c r="AX1568" s="128"/>
      <c r="AY1568" s="128"/>
      <c r="AZ1568" s="128"/>
      <c r="BA1568" s="128"/>
      <c r="BB1568" s="128"/>
      <c r="BC1568" s="128"/>
      <c r="BD1568" s="128"/>
      <c r="BE1568" s="128"/>
      <c r="BF1568" s="128"/>
      <c r="BG1568" s="128"/>
      <c r="BH1568" s="128"/>
      <c r="BI1568" s="128"/>
      <c r="BJ1568" s="128"/>
      <c r="BK1568" s="128"/>
      <c r="BL1568" s="128"/>
      <c r="BM1568" s="151"/>
      <c r="BN1568" s="128"/>
      <c r="BO1568" s="128"/>
      <c r="BP1568" s="128"/>
      <c r="BQ1568" s="128"/>
      <c r="BR1568" s="128"/>
      <c r="BS1568" s="128"/>
      <c r="BT1568" s="128"/>
      <c r="BU1568" s="128"/>
      <c r="BV1568" s="128"/>
      <c r="BW1568" s="128"/>
      <c r="BX1568" s="128"/>
      <c r="BY1568" s="128"/>
      <c r="BZ1568" s="128"/>
      <c r="CA1568" s="128"/>
      <c r="CB1568" s="128"/>
      <c r="CC1568" s="128"/>
      <c r="CD1568" s="128"/>
      <c r="CE1568" s="128"/>
      <c r="CF1568" s="128"/>
      <c r="CG1568" s="128"/>
      <c r="CI1568" s="128"/>
      <c r="CJ1568" s="128"/>
      <c r="CK1568" s="128"/>
      <c r="CL1568" s="128"/>
      <c r="CM1568" s="128"/>
      <c r="CN1568" s="128"/>
      <c r="CO1568" s="128"/>
      <c r="CP1568" s="128"/>
      <c r="CQ1568" s="128"/>
      <c r="CR1568" s="128"/>
      <c r="CS1568" s="128"/>
      <c r="CT1568" s="128"/>
      <c r="CU1568" s="128"/>
      <c r="CV1568" s="128"/>
      <c r="CW1568" s="128"/>
      <c r="CX1568" s="128"/>
      <c r="CY1568" s="128"/>
      <c r="CZ1568" s="165"/>
    </row>
    <row r="1569" spans="1:104">
      <c r="A1569" s="149"/>
      <c r="B1569" s="149"/>
      <c r="C1569" s="150"/>
      <c r="D1569" s="102"/>
      <c r="E1569" s="149"/>
      <c r="F1569" s="149"/>
      <c r="G1569" s="149"/>
      <c r="H1569" s="149"/>
      <c r="I1569" s="149"/>
      <c r="J1569" s="149"/>
      <c r="K1569" s="149"/>
      <c r="L1569" s="149"/>
      <c r="M1569" s="149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9"/>
      <c r="AA1569" s="149"/>
      <c r="AB1569" s="149"/>
      <c r="AC1569" s="149"/>
      <c r="AD1569" s="149"/>
      <c r="AE1569" s="149"/>
      <c r="AF1569" s="149"/>
      <c r="AG1569" s="149"/>
      <c r="AH1569" s="149"/>
      <c r="AI1569" s="149"/>
      <c r="AJ1569" s="149"/>
      <c r="AK1569" s="149"/>
      <c r="AL1569" s="149"/>
      <c r="AM1569" s="149"/>
      <c r="AN1569" s="149"/>
      <c r="AO1569" s="128"/>
      <c r="AP1569" s="128"/>
      <c r="AQ1569" s="128"/>
      <c r="AR1569" s="128"/>
      <c r="AS1569" s="128"/>
      <c r="AT1569" s="128"/>
      <c r="AU1569" s="128"/>
      <c r="AV1569" s="128"/>
      <c r="AW1569" s="128"/>
      <c r="AX1569" s="128"/>
      <c r="AY1569" s="128"/>
      <c r="AZ1569" s="128"/>
      <c r="BA1569" s="128"/>
      <c r="BB1569" s="128"/>
      <c r="BC1569" s="128"/>
      <c r="BD1569" s="128"/>
      <c r="BE1569" s="128"/>
      <c r="BF1569" s="128"/>
      <c r="BG1569" s="128"/>
      <c r="BH1569" s="128"/>
      <c r="BI1569" s="128"/>
      <c r="BJ1569" s="128"/>
      <c r="BK1569" s="128"/>
      <c r="BL1569" s="128"/>
      <c r="BM1569" s="151"/>
      <c r="BN1569" s="128"/>
      <c r="BO1569" s="128"/>
      <c r="BP1569" s="128"/>
      <c r="BQ1569" s="128"/>
      <c r="BR1569" s="128"/>
      <c r="BS1569" s="128"/>
      <c r="BT1569" s="128"/>
      <c r="BU1569" s="128"/>
      <c r="BV1569" s="128"/>
      <c r="BW1569" s="128"/>
      <c r="BX1569" s="128"/>
      <c r="BY1569" s="128"/>
      <c r="BZ1569" s="128"/>
      <c r="CA1569" s="128"/>
      <c r="CB1569" s="128"/>
      <c r="CC1569" s="128"/>
      <c r="CD1569" s="128"/>
      <c r="CE1569" s="128"/>
      <c r="CF1569" s="128"/>
      <c r="CG1569" s="128"/>
      <c r="CI1569" s="128"/>
      <c r="CJ1569" s="128"/>
      <c r="CK1569" s="128"/>
      <c r="CL1569" s="128"/>
      <c r="CM1569" s="128"/>
      <c r="CN1569" s="128"/>
      <c r="CO1569" s="128"/>
      <c r="CP1569" s="128"/>
      <c r="CQ1569" s="128"/>
      <c r="CR1569" s="128"/>
      <c r="CS1569" s="128"/>
      <c r="CT1569" s="128"/>
      <c r="CU1569" s="128"/>
      <c r="CV1569" s="128"/>
      <c r="CW1569" s="128"/>
      <c r="CX1569" s="128"/>
      <c r="CY1569" s="128"/>
      <c r="CZ1569" s="165"/>
    </row>
    <row r="1570" spans="1:104">
      <c r="A1570" s="149"/>
      <c r="B1570" s="149"/>
      <c r="C1570" s="150"/>
      <c r="D1570" s="102"/>
      <c r="E1570" s="149"/>
      <c r="F1570" s="149"/>
      <c r="G1570" s="149"/>
      <c r="H1570" s="149"/>
      <c r="I1570" s="149"/>
      <c r="J1570" s="149"/>
      <c r="K1570" s="149"/>
      <c r="L1570" s="149"/>
      <c r="M1570" s="149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9"/>
      <c r="AA1570" s="149"/>
      <c r="AB1570" s="149"/>
      <c r="AC1570" s="149"/>
      <c r="AD1570" s="149"/>
      <c r="AE1570" s="149"/>
      <c r="AF1570" s="149"/>
      <c r="AG1570" s="149"/>
      <c r="AH1570" s="149"/>
      <c r="AI1570" s="149"/>
      <c r="AJ1570" s="149"/>
      <c r="AK1570" s="149"/>
      <c r="AL1570" s="149"/>
      <c r="AM1570" s="149"/>
      <c r="AN1570" s="149"/>
      <c r="AO1570" s="128"/>
      <c r="AP1570" s="128"/>
      <c r="AQ1570" s="128"/>
      <c r="AR1570" s="128"/>
      <c r="AS1570" s="128"/>
      <c r="AT1570" s="128"/>
      <c r="AU1570" s="128"/>
      <c r="AV1570" s="128"/>
      <c r="AW1570" s="128"/>
      <c r="AX1570" s="128"/>
      <c r="AY1570" s="128"/>
      <c r="AZ1570" s="128"/>
      <c r="BA1570" s="128"/>
      <c r="BB1570" s="128"/>
      <c r="BC1570" s="128"/>
      <c r="BD1570" s="128"/>
      <c r="BE1570" s="128"/>
      <c r="BF1570" s="128"/>
      <c r="BG1570" s="128"/>
      <c r="BH1570" s="128"/>
      <c r="BI1570" s="128"/>
      <c r="BJ1570" s="128"/>
      <c r="BK1570" s="128"/>
      <c r="BL1570" s="128"/>
      <c r="BM1570" s="151"/>
      <c r="BN1570" s="128"/>
      <c r="BO1570" s="128"/>
      <c r="BP1570" s="128"/>
      <c r="BQ1570" s="128"/>
      <c r="BR1570" s="128"/>
      <c r="BS1570" s="128"/>
      <c r="BT1570" s="128"/>
      <c r="BU1570" s="128"/>
      <c r="BV1570" s="128"/>
      <c r="BW1570" s="128"/>
      <c r="BX1570" s="128"/>
      <c r="BY1570" s="128"/>
      <c r="BZ1570" s="128"/>
      <c r="CA1570" s="128"/>
      <c r="CB1570" s="128"/>
      <c r="CC1570" s="128"/>
      <c r="CD1570" s="128"/>
      <c r="CE1570" s="128"/>
      <c r="CF1570" s="128"/>
      <c r="CG1570" s="128"/>
      <c r="CI1570" s="128"/>
      <c r="CJ1570" s="128"/>
      <c r="CK1570" s="128"/>
      <c r="CL1570" s="128"/>
      <c r="CM1570" s="128"/>
      <c r="CN1570" s="128"/>
      <c r="CO1570" s="128"/>
      <c r="CP1570" s="128"/>
      <c r="CQ1570" s="128"/>
      <c r="CR1570" s="128"/>
      <c r="CS1570" s="128"/>
      <c r="CT1570" s="128"/>
      <c r="CU1570" s="128"/>
      <c r="CV1570" s="128"/>
      <c r="CW1570" s="128"/>
      <c r="CX1570" s="128"/>
      <c r="CY1570" s="128"/>
      <c r="CZ1570" s="165"/>
    </row>
    <row r="1571" spans="1:104">
      <c r="A1571" s="149"/>
      <c r="B1571" s="149"/>
      <c r="C1571" s="150"/>
      <c r="D1571" s="102"/>
      <c r="E1571" s="149"/>
      <c r="F1571" s="149"/>
      <c r="G1571" s="149"/>
      <c r="H1571" s="149"/>
      <c r="I1571" s="149"/>
      <c r="J1571" s="149"/>
      <c r="K1571" s="149"/>
      <c r="L1571" s="149"/>
      <c r="M1571" s="149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9"/>
      <c r="AA1571" s="149"/>
      <c r="AB1571" s="149"/>
      <c r="AC1571" s="149"/>
      <c r="AD1571" s="149"/>
      <c r="AE1571" s="149"/>
      <c r="AF1571" s="149"/>
      <c r="AG1571" s="149"/>
      <c r="AH1571" s="149"/>
      <c r="AI1571" s="149"/>
      <c r="AJ1571" s="149"/>
      <c r="AK1571" s="149"/>
      <c r="AL1571" s="149"/>
      <c r="AM1571" s="149"/>
      <c r="AN1571" s="149"/>
      <c r="AO1571" s="128"/>
      <c r="AP1571" s="128"/>
      <c r="AQ1571" s="128"/>
      <c r="AR1571" s="128"/>
      <c r="AS1571" s="128"/>
      <c r="AT1571" s="128"/>
      <c r="AU1571" s="128"/>
      <c r="AV1571" s="128"/>
      <c r="AW1571" s="128"/>
      <c r="AX1571" s="128"/>
      <c r="AY1571" s="128"/>
      <c r="AZ1571" s="128"/>
      <c r="BA1571" s="128"/>
      <c r="BB1571" s="128"/>
      <c r="BC1571" s="128"/>
      <c r="BD1571" s="128"/>
      <c r="BE1571" s="128"/>
      <c r="BF1571" s="128"/>
      <c r="BG1571" s="128"/>
      <c r="BH1571" s="128"/>
      <c r="BI1571" s="128"/>
      <c r="BJ1571" s="128"/>
      <c r="BK1571" s="128"/>
      <c r="BL1571" s="128"/>
      <c r="BM1571" s="151"/>
      <c r="BN1571" s="128"/>
      <c r="BO1571" s="128"/>
      <c r="BP1571" s="128"/>
      <c r="BQ1571" s="128"/>
      <c r="BR1571" s="128"/>
      <c r="BS1571" s="128"/>
      <c r="BT1571" s="128"/>
      <c r="BU1571" s="128"/>
      <c r="BV1571" s="128"/>
      <c r="BW1571" s="128"/>
      <c r="BX1571" s="128"/>
      <c r="BY1571" s="128"/>
      <c r="BZ1571" s="128"/>
      <c r="CA1571" s="128"/>
      <c r="CB1571" s="128"/>
      <c r="CC1571" s="128"/>
      <c r="CD1571" s="128"/>
      <c r="CE1571" s="128"/>
      <c r="CF1571" s="128"/>
      <c r="CG1571" s="128"/>
      <c r="CI1571" s="128"/>
      <c r="CJ1571" s="128"/>
      <c r="CK1571" s="128"/>
      <c r="CL1571" s="128"/>
      <c r="CM1571" s="128"/>
      <c r="CN1571" s="128"/>
      <c r="CO1571" s="128"/>
      <c r="CP1571" s="128"/>
      <c r="CQ1571" s="128"/>
      <c r="CR1571" s="128"/>
      <c r="CS1571" s="128"/>
      <c r="CT1571" s="128"/>
      <c r="CU1571" s="128"/>
      <c r="CV1571" s="128"/>
      <c r="CW1571" s="128"/>
      <c r="CX1571" s="128"/>
      <c r="CY1571" s="128"/>
      <c r="CZ1571" s="165"/>
    </row>
    <row r="1572" spans="1:104">
      <c r="A1572" s="149"/>
      <c r="B1572" s="149"/>
      <c r="C1572" s="150"/>
      <c r="D1572" s="102"/>
      <c r="E1572" s="149"/>
      <c r="F1572" s="149"/>
      <c r="G1572" s="149"/>
      <c r="H1572" s="149"/>
      <c r="I1572" s="149"/>
      <c r="J1572" s="149"/>
      <c r="K1572" s="149"/>
      <c r="L1572" s="149"/>
      <c r="M1572" s="149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9"/>
      <c r="AA1572" s="149"/>
      <c r="AB1572" s="149"/>
      <c r="AC1572" s="149"/>
      <c r="AD1572" s="149"/>
      <c r="AE1572" s="149"/>
      <c r="AF1572" s="149"/>
      <c r="AG1572" s="149"/>
      <c r="AH1572" s="149"/>
      <c r="AI1572" s="149"/>
      <c r="AJ1572" s="149"/>
      <c r="AK1572" s="149"/>
      <c r="AL1572" s="149"/>
      <c r="AM1572" s="149"/>
      <c r="AN1572" s="149"/>
      <c r="AO1572" s="128"/>
      <c r="AP1572" s="128"/>
      <c r="AQ1572" s="128"/>
      <c r="AR1572" s="128"/>
      <c r="AS1572" s="128"/>
      <c r="AT1572" s="128"/>
      <c r="AU1572" s="128"/>
      <c r="AV1572" s="128"/>
      <c r="AW1572" s="128"/>
      <c r="AX1572" s="128"/>
      <c r="AY1572" s="128"/>
      <c r="AZ1572" s="128"/>
      <c r="BA1572" s="128"/>
      <c r="BB1572" s="128"/>
      <c r="BC1572" s="128"/>
      <c r="BD1572" s="128"/>
      <c r="BE1572" s="128"/>
      <c r="BF1572" s="128"/>
      <c r="BG1572" s="128"/>
      <c r="BH1572" s="128"/>
      <c r="BI1572" s="128"/>
      <c r="BJ1572" s="128"/>
      <c r="BK1572" s="128"/>
      <c r="BL1572" s="128"/>
      <c r="BM1572" s="151"/>
      <c r="BN1572" s="128"/>
      <c r="BO1572" s="128"/>
      <c r="BP1572" s="128"/>
      <c r="BQ1572" s="128"/>
      <c r="BR1572" s="128"/>
      <c r="BS1572" s="128"/>
      <c r="BT1572" s="128"/>
      <c r="BU1572" s="128"/>
      <c r="BV1572" s="128"/>
      <c r="BW1572" s="128"/>
      <c r="BX1572" s="128"/>
      <c r="BY1572" s="128"/>
      <c r="BZ1572" s="128"/>
      <c r="CA1572" s="128"/>
      <c r="CB1572" s="128"/>
      <c r="CC1572" s="128"/>
      <c r="CD1572" s="128"/>
      <c r="CE1572" s="128"/>
      <c r="CF1572" s="128"/>
      <c r="CG1572" s="128"/>
      <c r="CI1572" s="128"/>
      <c r="CJ1572" s="128"/>
      <c r="CK1572" s="128"/>
      <c r="CL1572" s="128"/>
      <c r="CM1572" s="128"/>
      <c r="CN1572" s="128"/>
      <c r="CO1572" s="128"/>
      <c r="CP1572" s="128"/>
      <c r="CQ1572" s="128"/>
      <c r="CR1572" s="128"/>
      <c r="CS1572" s="128"/>
      <c r="CT1572" s="128"/>
      <c r="CU1572" s="128"/>
      <c r="CV1572" s="128"/>
      <c r="CW1572" s="128"/>
      <c r="CX1572" s="128"/>
      <c r="CY1572" s="128"/>
      <c r="CZ1572" s="165"/>
    </row>
    <row r="1573" spans="1:104">
      <c r="A1573" s="149"/>
      <c r="B1573" s="149"/>
      <c r="C1573" s="150"/>
      <c r="D1573" s="102"/>
      <c r="E1573" s="149"/>
      <c r="F1573" s="149"/>
      <c r="G1573" s="149"/>
      <c r="H1573" s="149"/>
      <c r="I1573" s="149"/>
      <c r="J1573" s="149"/>
      <c r="K1573" s="149"/>
      <c r="L1573" s="149"/>
      <c r="M1573" s="149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9"/>
      <c r="AA1573" s="149"/>
      <c r="AB1573" s="149"/>
      <c r="AC1573" s="149"/>
      <c r="AD1573" s="149"/>
      <c r="AE1573" s="149"/>
      <c r="AF1573" s="149"/>
      <c r="AG1573" s="149"/>
      <c r="AH1573" s="149"/>
      <c r="AI1573" s="149"/>
      <c r="AJ1573" s="149"/>
      <c r="AK1573" s="149"/>
      <c r="AL1573" s="149"/>
      <c r="AM1573" s="149"/>
      <c r="AN1573" s="149"/>
      <c r="AO1573" s="128"/>
      <c r="AP1573" s="128"/>
      <c r="AQ1573" s="128"/>
      <c r="AR1573" s="128"/>
      <c r="AS1573" s="128"/>
      <c r="AT1573" s="128"/>
      <c r="AU1573" s="128"/>
      <c r="AV1573" s="128"/>
      <c r="AW1573" s="128"/>
      <c r="AX1573" s="128"/>
      <c r="AY1573" s="128"/>
      <c r="AZ1573" s="128"/>
      <c r="BA1573" s="128"/>
      <c r="BB1573" s="128"/>
      <c r="BC1573" s="128"/>
      <c r="BD1573" s="128"/>
      <c r="BE1573" s="128"/>
      <c r="BF1573" s="128"/>
      <c r="BG1573" s="128"/>
      <c r="BH1573" s="128"/>
      <c r="BI1573" s="128"/>
      <c r="BJ1573" s="128"/>
      <c r="BK1573" s="128"/>
      <c r="BL1573" s="128"/>
      <c r="BM1573" s="151"/>
      <c r="BN1573" s="128"/>
      <c r="BO1573" s="128"/>
      <c r="BP1573" s="128"/>
      <c r="BQ1573" s="128"/>
      <c r="BR1573" s="128"/>
      <c r="BS1573" s="128"/>
      <c r="BT1573" s="128"/>
      <c r="BU1573" s="128"/>
      <c r="BV1573" s="128"/>
      <c r="BW1573" s="128"/>
      <c r="BX1573" s="128"/>
      <c r="BY1573" s="128"/>
      <c r="BZ1573" s="128"/>
      <c r="CA1573" s="128"/>
      <c r="CB1573" s="128"/>
      <c r="CC1573" s="128"/>
      <c r="CD1573" s="128"/>
      <c r="CE1573" s="128"/>
      <c r="CF1573" s="128"/>
      <c r="CG1573" s="128"/>
      <c r="CI1573" s="128"/>
      <c r="CJ1573" s="128"/>
      <c r="CK1573" s="128"/>
      <c r="CL1573" s="128"/>
      <c r="CM1573" s="128"/>
      <c r="CN1573" s="128"/>
      <c r="CO1573" s="128"/>
      <c r="CP1573" s="128"/>
      <c r="CQ1573" s="128"/>
      <c r="CR1573" s="128"/>
      <c r="CS1573" s="128"/>
      <c r="CT1573" s="128"/>
      <c r="CU1573" s="128"/>
      <c r="CV1573" s="128"/>
      <c r="CW1573" s="128"/>
      <c r="CX1573" s="128"/>
      <c r="CY1573" s="128"/>
      <c r="CZ1573" s="165"/>
    </row>
    <row r="1574" spans="1:104">
      <c r="A1574" s="149"/>
      <c r="B1574" s="149"/>
      <c r="C1574" s="150"/>
      <c r="D1574" s="102"/>
      <c r="E1574" s="149"/>
      <c r="F1574" s="149"/>
      <c r="G1574" s="149"/>
      <c r="H1574" s="149"/>
      <c r="I1574" s="149"/>
      <c r="J1574" s="149"/>
      <c r="K1574" s="149"/>
      <c r="L1574" s="149"/>
      <c r="M1574" s="149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9"/>
      <c r="AA1574" s="149"/>
      <c r="AB1574" s="149"/>
      <c r="AC1574" s="149"/>
      <c r="AD1574" s="149"/>
      <c r="AE1574" s="149"/>
      <c r="AF1574" s="149"/>
      <c r="AG1574" s="149"/>
      <c r="AH1574" s="149"/>
      <c r="AI1574" s="149"/>
      <c r="AJ1574" s="149"/>
      <c r="AK1574" s="149"/>
      <c r="AL1574" s="149"/>
      <c r="AM1574" s="149"/>
      <c r="AN1574" s="149"/>
      <c r="AO1574" s="128"/>
      <c r="AP1574" s="128"/>
      <c r="AQ1574" s="128"/>
      <c r="AR1574" s="128"/>
      <c r="AS1574" s="128"/>
      <c r="AT1574" s="128"/>
      <c r="AU1574" s="128"/>
      <c r="AV1574" s="128"/>
      <c r="AW1574" s="128"/>
      <c r="AX1574" s="128"/>
      <c r="AY1574" s="128"/>
      <c r="AZ1574" s="128"/>
      <c r="BA1574" s="128"/>
      <c r="BB1574" s="128"/>
      <c r="BC1574" s="128"/>
      <c r="BD1574" s="128"/>
      <c r="BE1574" s="128"/>
      <c r="BF1574" s="128"/>
      <c r="BG1574" s="128"/>
      <c r="BH1574" s="128"/>
      <c r="BI1574" s="128"/>
      <c r="BJ1574" s="128"/>
      <c r="BK1574" s="128"/>
      <c r="BL1574" s="128"/>
      <c r="BM1574" s="151"/>
      <c r="BN1574" s="128"/>
      <c r="BO1574" s="128"/>
      <c r="BP1574" s="128"/>
      <c r="BQ1574" s="128"/>
      <c r="BR1574" s="128"/>
      <c r="BS1574" s="128"/>
      <c r="BT1574" s="128"/>
      <c r="BU1574" s="128"/>
      <c r="BV1574" s="128"/>
      <c r="BW1574" s="128"/>
      <c r="BX1574" s="128"/>
      <c r="BY1574" s="128"/>
      <c r="BZ1574" s="128"/>
      <c r="CA1574" s="128"/>
      <c r="CB1574" s="128"/>
      <c r="CC1574" s="128"/>
      <c r="CD1574" s="128"/>
      <c r="CE1574" s="128"/>
      <c r="CF1574" s="128"/>
      <c r="CG1574" s="128"/>
      <c r="CI1574" s="128"/>
      <c r="CJ1574" s="128"/>
      <c r="CK1574" s="128"/>
      <c r="CL1574" s="128"/>
      <c r="CM1574" s="128"/>
      <c r="CN1574" s="128"/>
      <c r="CO1574" s="128"/>
      <c r="CP1574" s="128"/>
      <c r="CQ1574" s="128"/>
      <c r="CR1574" s="128"/>
      <c r="CS1574" s="128"/>
      <c r="CT1574" s="128"/>
      <c r="CU1574" s="128"/>
      <c r="CV1574" s="128"/>
      <c r="CW1574" s="128"/>
      <c r="CX1574" s="128"/>
      <c r="CY1574" s="128"/>
      <c r="CZ1574" s="165"/>
    </row>
    <row r="1575" spans="1:104">
      <c r="A1575" s="149"/>
      <c r="B1575" s="149"/>
      <c r="C1575" s="150"/>
      <c r="D1575" s="102"/>
      <c r="E1575" s="149"/>
      <c r="F1575" s="149"/>
      <c r="G1575" s="149"/>
      <c r="H1575" s="149"/>
      <c r="I1575" s="149"/>
      <c r="J1575" s="149"/>
      <c r="K1575" s="149"/>
      <c r="L1575" s="149"/>
      <c r="M1575" s="149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9"/>
      <c r="AA1575" s="149"/>
      <c r="AB1575" s="149"/>
      <c r="AC1575" s="149"/>
      <c r="AD1575" s="149"/>
      <c r="AE1575" s="149"/>
      <c r="AF1575" s="149"/>
      <c r="AG1575" s="149"/>
      <c r="AH1575" s="149"/>
      <c r="AI1575" s="149"/>
      <c r="AJ1575" s="149"/>
      <c r="AK1575" s="149"/>
      <c r="AL1575" s="149"/>
      <c r="AM1575" s="149"/>
      <c r="AN1575" s="149"/>
      <c r="AO1575" s="128"/>
      <c r="AP1575" s="128"/>
      <c r="AQ1575" s="128"/>
      <c r="AR1575" s="128"/>
      <c r="AS1575" s="128"/>
      <c r="AT1575" s="128"/>
      <c r="AU1575" s="128"/>
      <c r="AV1575" s="128"/>
      <c r="AW1575" s="128"/>
      <c r="AX1575" s="128"/>
      <c r="AY1575" s="128"/>
      <c r="AZ1575" s="128"/>
      <c r="BA1575" s="128"/>
      <c r="BB1575" s="128"/>
      <c r="BC1575" s="128"/>
      <c r="BD1575" s="128"/>
      <c r="BE1575" s="128"/>
      <c r="BF1575" s="128"/>
      <c r="BG1575" s="128"/>
      <c r="BH1575" s="128"/>
      <c r="BI1575" s="128"/>
      <c r="BJ1575" s="128"/>
      <c r="BK1575" s="128"/>
      <c r="BL1575" s="128"/>
      <c r="BM1575" s="151"/>
      <c r="BN1575" s="128"/>
      <c r="BO1575" s="128"/>
      <c r="BP1575" s="128"/>
      <c r="BQ1575" s="128"/>
      <c r="BR1575" s="128"/>
      <c r="BS1575" s="128"/>
      <c r="BT1575" s="128"/>
      <c r="BU1575" s="128"/>
      <c r="BV1575" s="128"/>
      <c r="BW1575" s="128"/>
      <c r="BX1575" s="128"/>
      <c r="BY1575" s="128"/>
      <c r="BZ1575" s="128"/>
      <c r="CA1575" s="128"/>
      <c r="CB1575" s="128"/>
      <c r="CC1575" s="128"/>
      <c r="CD1575" s="128"/>
      <c r="CE1575" s="128"/>
      <c r="CF1575" s="128"/>
      <c r="CG1575" s="128"/>
      <c r="CI1575" s="128"/>
      <c r="CJ1575" s="128"/>
      <c r="CK1575" s="128"/>
      <c r="CL1575" s="128"/>
      <c r="CM1575" s="128"/>
      <c r="CN1575" s="128"/>
      <c r="CO1575" s="128"/>
      <c r="CP1575" s="128"/>
      <c r="CQ1575" s="128"/>
      <c r="CR1575" s="128"/>
      <c r="CS1575" s="128"/>
      <c r="CT1575" s="128"/>
      <c r="CU1575" s="128"/>
      <c r="CV1575" s="128"/>
      <c r="CW1575" s="128"/>
      <c r="CX1575" s="128"/>
      <c r="CY1575" s="128"/>
      <c r="CZ1575" s="165"/>
    </row>
    <row r="1576" spans="1:104">
      <c r="A1576" s="149"/>
      <c r="B1576" s="149"/>
      <c r="C1576" s="150"/>
      <c r="D1576" s="102"/>
      <c r="E1576" s="149"/>
      <c r="F1576" s="149"/>
      <c r="G1576" s="149"/>
      <c r="H1576" s="149"/>
      <c r="I1576" s="149"/>
      <c r="J1576" s="149"/>
      <c r="K1576" s="149"/>
      <c r="L1576" s="149"/>
      <c r="M1576" s="149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9"/>
      <c r="AA1576" s="149"/>
      <c r="AB1576" s="149"/>
      <c r="AC1576" s="149"/>
      <c r="AD1576" s="149"/>
      <c r="AE1576" s="149"/>
      <c r="AF1576" s="149"/>
      <c r="AG1576" s="149"/>
      <c r="AH1576" s="149"/>
      <c r="AI1576" s="149"/>
      <c r="AJ1576" s="149"/>
      <c r="AK1576" s="149"/>
      <c r="AL1576" s="149"/>
      <c r="AM1576" s="149"/>
      <c r="AN1576" s="149"/>
      <c r="AO1576" s="128"/>
      <c r="AP1576" s="128"/>
      <c r="AQ1576" s="128"/>
      <c r="AR1576" s="128"/>
      <c r="AS1576" s="128"/>
      <c r="AT1576" s="128"/>
      <c r="AU1576" s="128"/>
      <c r="AV1576" s="128"/>
      <c r="AW1576" s="128"/>
      <c r="AX1576" s="128"/>
      <c r="AY1576" s="128"/>
      <c r="AZ1576" s="128"/>
      <c r="BA1576" s="128"/>
      <c r="BB1576" s="128"/>
      <c r="BC1576" s="128"/>
      <c r="BD1576" s="128"/>
      <c r="BE1576" s="128"/>
      <c r="BF1576" s="128"/>
      <c r="BG1576" s="128"/>
      <c r="BH1576" s="128"/>
      <c r="BI1576" s="128"/>
      <c r="BJ1576" s="128"/>
      <c r="BK1576" s="128"/>
      <c r="BL1576" s="128"/>
      <c r="BM1576" s="151"/>
      <c r="BN1576" s="128"/>
      <c r="BO1576" s="128"/>
      <c r="BP1576" s="128"/>
      <c r="BQ1576" s="128"/>
      <c r="BR1576" s="128"/>
      <c r="BS1576" s="128"/>
      <c r="BT1576" s="128"/>
      <c r="BU1576" s="128"/>
      <c r="BV1576" s="128"/>
      <c r="BW1576" s="128"/>
      <c r="BX1576" s="128"/>
      <c r="BY1576" s="128"/>
      <c r="BZ1576" s="128"/>
      <c r="CA1576" s="128"/>
      <c r="CB1576" s="128"/>
      <c r="CC1576" s="128"/>
      <c r="CD1576" s="128"/>
      <c r="CE1576" s="128"/>
      <c r="CF1576" s="128"/>
      <c r="CG1576" s="128"/>
      <c r="CI1576" s="128"/>
      <c r="CJ1576" s="128"/>
      <c r="CK1576" s="128"/>
      <c r="CL1576" s="128"/>
      <c r="CM1576" s="128"/>
      <c r="CN1576" s="128"/>
      <c r="CO1576" s="128"/>
      <c r="CP1576" s="128"/>
      <c r="CQ1576" s="128"/>
      <c r="CR1576" s="128"/>
      <c r="CS1576" s="128"/>
      <c r="CT1576" s="128"/>
      <c r="CU1576" s="128"/>
      <c r="CV1576" s="128"/>
      <c r="CW1576" s="128"/>
      <c r="CX1576" s="128"/>
      <c r="CY1576" s="128"/>
      <c r="CZ1576" s="165"/>
    </row>
    <row r="1577" spans="1:104">
      <c r="A1577" s="149"/>
      <c r="B1577" s="149"/>
      <c r="C1577" s="150"/>
      <c r="D1577" s="102"/>
      <c r="E1577" s="149"/>
      <c r="F1577" s="149"/>
      <c r="G1577" s="149"/>
      <c r="H1577" s="149"/>
      <c r="I1577" s="149"/>
      <c r="J1577" s="149"/>
      <c r="K1577" s="149"/>
      <c r="L1577" s="149"/>
      <c r="M1577" s="149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9"/>
      <c r="AA1577" s="149"/>
      <c r="AB1577" s="149"/>
      <c r="AC1577" s="149"/>
      <c r="AD1577" s="149"/>
      <c r="AE1577" s="149"/>
      <c r="AF1577" s="149"/>
      <c r="AG1577" s="149"/>
      <c r="AH1577" s="149"/>
      <c r="AI1577" s="149"/>
      <c r="AJ1577" s="149"/>
      <c r="AK1577" s="149"/>
      <c r="AL1577" s="149"/>
      <c r="AM1577" s="149"/>
      <c r="AN1577" s="149"/>
      <c r="AO1577" s="128"/>
      <c r="AP1577" s="128"/>
      <c r="AQ1577" s="128"/>
      <c r="AR1577" s="128"/>
      <c r="AS1577" s="128"/>
      <c r="AT1577" s="128"/>
      <c r="AU1577" s="128"/>
      <c r="AV1577" s="128"/>
      <c r="AW1577" s="128"/>
      <c r="AX1577" s="128"/>
      <c r="AY1577" s="128"/>
      <c r="AZ1577" s="128"/>
      <c r="BA1577" s="128"/>
      <c r="BB1577" s="128"/>
      <c r="BC1577" s="128"/>
      <c r="BD1577" s="128"/>
      <c r="BE1577" s="128"/>
      <c r="BF1577" s="128"/>
      <c r="BG1577" s="128"/>
      <c r="BH1577" s="128"/>
      <c r="BI1577" s="128"/>
      <c r="BJ1577" s="128"/>
      <c r="BK1577" s="128"/>
      <c r="BL1577" s="128"/>
      <c r="BM1577" s="151"/>
      <c r="BN1577" s="128"/>
      <c r="BO1577" s="128"/>
      <c r="BP1577" s="128"/>
      <c r="BQ1577" s="128"/>
      <c r="BR1577" s="128"/>
      <c r="BS1577" s="128"/>
      <c r="BT1577" s="128"/>
      <c r="BU1577" s="128"/>
      <c r="BV1577" s="128"/>
      <c r="BW1577" s="128"/>
      <c r="BX1577" s="128"/>
      <c r="BY1577" s="128"/>
      <c r="BZ1577" s="128"/>
      <c r="CA1577" s="128"/>
      <c r="CB1577" s="128"/>
      <c r="CC1577" s="128"/>
      <c r="CD1577" s="128"/>
      <c r="CE1577" s="128"/>
      <c r="CF1577" s="128"/>
      <c r="CG1577" s="128"/>
      <c r="CI1577" s="128"/>
      <c r="CJ1577" s="128"/>
      <c r="CK1577" s="128"/>
      <c r="CL1577" s="128"/>
      <c r="CM1577" s="128"/>
      <c r="CN1577" s="128"/>
      <c r="CO1577" s="128"/>
      <c r="CP1577" s="128"/>
      <c r="CQ1577" s="128"/>
      <c r="CR1577" s="128"/>
      <c r="CS1577" s="128"/>
      <c r="CT1577" s="128"/>
      <c r="CU1577" s="128"/>
      <c r="CV1577" s="128"/>
      <c r="CW1577" s="128"/>
      <c r="CX1577" s="128"/>
      <c r="CY1577" s="128"/>
      <c r="CZ1577" s="165"/>
    </row>
    <row r="1578" spans="1:104">
      <c r="A1578" s="149"/>
      <c r="B1578" s="149"/>
      <c r="C1578" s="150"/>
      <c r="D1578" s="102"/>
      <c r="E1578" s="149"/>
      <c r="F1578" s="149"/>
      <c r="G1578" s="149"/>
      <c r="H1578" s="149"/>
      <c r="I1578" s="149"/>
      <c r="J1578" s="149"/>
      <c r="K1578" s="149"/>
      <c r="L1578" s="149"/>
      <c r="M1578" s="149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9"/>
      <c r="AA1578" s="149"/>
      <c r="AB1578" s="149"/>
      <c r="AC1578" s="149"/>
      <c r="AD1578" s="149"/>
      <c r="AE1578" s="149"/>
      <c r="AF1578" s="149"/>
      <c r="AG1578" s="149"/>
      <c r="AH1578" s="149"/>
      <c r="AI1578" s="149"/>
      <c r="AJ1578" s="149"/>
      <c r="AK1578" s="149"/>
      <c r="AL1578" s="149"/>
      <c r="AM1578" s="149"/>
      <c r="AN1578" s="149"/>
      <c r="AO1578" s="128"/>
      <c r="AP1578" s="128"/>
      <c r="AQ1578" s="128"/>
      <c r="AR1578" s="128"/>
      <c r="AS1578" s="128"/>
      <c r="AT1578" s="128"/>
      <c r="AU1578" s="128"/>
      <c r="AV1578" s="128"/>
      <c r="AW1578" s="128"/>
      <c r="AX1578" s="128"/>
      <c r="AY1578" s="128"/>
      <c r="AZ1578" s="128"/>
      <c r="BA1578" s="128"/>
      <c r="BB1578" s="128"/>
      <c r="BC1578" s="128"/>
      <c r="BD1578" s="128"/>
      <c r="BE1578" s="128"/>
      <c r="BF1578" s="128"/>
      <c r="BG1578" s="128"/>
      <c r="BH1578" s="128"/>
      <c r="BI1578" s="128"/>
      <c r="BJ1578" s="128"/>
      <c r="BK1578" s="128"/>
      <c r="BL1578" s="128"/>
      <c r="BM1578" s="151"/>
      <c r="BN1578" s="128"/>
      <c r="BO1578" s="128"/>
      <c r="BP1578" s="128"/>
      <c r="BQ1578" s="128"/>
      <c r="BR1578" s="128"/>
      <c r="BS1578" s="128"/>
      <c r="BT1578" s="128"/>
      <c r="BU1578" s="128"/>
      <c r="BV1578" s="128"/>
      <c r="BW1578" s="128"/>
      <c r="BX1578" s="128"/>
      <c r="BY1578" s="128"/>
      <c r="BZ1578" s="128"/>
      <c r="CA1578" s="128"/>
      <c r="CB1578" s="128"/>
      <c r="CC1578" s="128"/>
      <c r="CD1578" s="128"/>
      <c r="CE1578" s="128"/>
      <c r="CF1578" s="128"/>
      <c r="CG1578" s="128"/>
      <c r="CI1578" s="128"/>
      <c r="CJ1578" s="128"/>
      <c r="CK1578" s="128"/>
      <c r="CL1578" s="128"/>
      <c r="CM1578" s="128"/>
      <c r="CN1578" s="128"/>
      <c r="CO1578" s="128"/>
      <c r="CP1578" s="128"/>
      <c r="CQ1578" s="128"/>
      <c r="CR1578" s="128"/>
      <c r="CS1578" s="128"/>
      <c r="CT1578" s="128"/>
      <c r="CU1578" s="128"/>
      <c r="CV1578" s="128"/>
      <c r="CW1578" s="128"/>
      <c r="CX1578" s="128"/>
      <c r="CY1578" s="128"/>
      <c r="CZ1578" s="165"/>
    </row>
    <row r="1579" spans="1:104">
      <c r="A1579" s="149"/>
      <c r="B1579" s="149"/>
      <c r="C1579" s="150"/>
      <c r="D1579" s="102"/>
      <c r="E1579" s="149"/>
      <c r="F1579" s="149"/>
      <c r="G1579" s="149"/>
      <c r="H1579" s="149"/>
      <c r="I1579" s="149"/>
      <c r="J1579" s="149"/>
      <c r="K1579" s="149"/>
      <c r="L1579" s="149"/>
      <c r="M1579" s="149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9"/>
      <c r="AA1579" s="149"/>
      <c r="AB1579" s="149"/>
      <c r="AC1579" s="149"/>
      <c r="AD1579" s="149"/>
      <c r="AE1579" s="149"/>
      <c r="AF1579" s="149"/>
      <c r="AG1579" s="149"/>
      <c r="AH1579" s="149"/>
      <c r="AI1579" s="149"/>
      <c r="AJ1579" s="149"/>
      <c r="AK1579" s="149"/>
      <c r="AL1579" s="149"/>
      <c r="AM1579" s="149"/>
      <c r="AN1579" s="149"/>
      <c r="AO1579" s="128"/>
      <c r="AP1579" s="128"/>
      <c r="AQ1579" s="128"/>
      <c r="AR1579" s="128"/>
      <c r="AS1579" s="128"/>
      <c r="AT1579" s="128"/>
      <c r="AU1579" s="128"/>
      <c r="AV1579" s="128"/>
      <c r="AW1579" s="128"/>
      <c r="AX1579" s="128"/>
      <c r="AY1579" s="128"/>
      <c r="AZ1579" s="128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51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28"/>
      <c r="BY1579" s="128"/>
      <c r="BZ1579" s="128"/>
      <c r="CA1579" s="128"/>
      <c r="CB1579" s="128"/>
      <c r="CC1579" s="128"/>
      <c r="CD1579" s="128"/>
      <c r="CE1579" s="128"/>
      <c r="CF1579" s="128"/>
      <c r="CG1579" s="128"/>
      <c r="CI1579" s="128"/>
      <c r="CJ1579" s="128"/>
      <c r="CK1579" s="128"/>
      <c r="CL1579" s="128"/>
      <c r="CM1579" s="128"/>
      <c r="CN1579" s="128"/>
      <c r="CO1579" s="128"/>
      <c r="CP1579" s="128"/>
      <c r="CQ1579" s="128"/>
      <c r="CR1579" s="128"/>
      <c r="CS1579" s="128"/>
      <c r="CT1579" s="128"/>
      <c r="CU1579" s="128"/>
      <c r="CV1579" s="128"/>
      <c r="CW1579" s="128"/>
      <c r="CX1579" s="128"/>
      <c r="CY1579" s="128"/>
      <c r="CZ1579" s="165"/>
    </row>
    <row r="1580" spans="1:104">
      <c r="A1580" s="149"/>
      <c r="B1580" s="149"/>
      <c r="C1580" s="150"/>
      <c r="D1580" s="102"/>
      <c r="E1580" s="149"/>
      <c r="F1580" s="149"/>
      <c r="G1580" s="149"/>
      <c r="H1580" s="149"/>
      <c r="I1580" s="149"/>
      <c r="J1580" s="149"/>
      <c r="K1580" s="149"/>
      <c r="L1580" s="149"/>
      <c r="M1580" s="149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9"/>
      <c r="AA1580" s="149"/>
      <c r="AB1580" s="149"/>
      <c r="AC1580" s="149"/>
      <c r="AD1580" s="149"/>
      <c r="AE1580" s="149"/>
      <c r="AF1580" s="149"/>
      <c r="AG1580" s="149"/>
      <c r="AH1580" s="149"/>
      <c r="AI1580" s="149"/>
      <c r="AJ1580" s="149"/>
      <c r="AK1580" s="149"/>
      <c r="AL1580" s="149"/>
      <c r="AM1580" s="149"/>
      <c r="AN1580" s="149"/>
      <c r="AO1580" s="128"/>
      <c r="AP1580" s="128"/>
      <c r="AQ1580" s="128"/>
      <c r="AR1580" s="128"/>
      <c r="AS1580" s="128"/>
      <c r="AT1580" s="128"/>
      <c r="AU1580" s="128"/>
      <c r="AV1580" s="128"/>
      <c r="AW1580" s="128"/>
      <c r="AX1580" s="128"/>
      <c r="AY1580" s="128"/>
      <c r="AZ1580" s="128"/>
      <c r="BA1580" s="128"/>
      <c r="BB1580" s="128"/>
      <c r="BC1580" s="128"/>
      <c r="BD1580" s="128"/>
      <c r="BE1580" s="128"/>
      <c r="BF1580" s="128"/>
      <c r="BG1580" s="128"/>
      <c r="BH1580" s="128"/>
      <c r="BI1580" s="128"/>
      <c r="BJ1580" s="128"/>
      <c r="BK1580" s="128"/>
      <c r="BL1580" s="128"/>
      <c r="BM1580" s="151"/>
      <c r="BN1580" s="128"/>
      <c r="BO1580" s="128"/>
      <c r="BP1580" s="128"/>
      <c r="BQ1580" s="128"/>
      <c r="BR1580" s="128"/>
      <c r="BS1580" s="128"/>
      <c r="BT1580" s="128"/>
      <c r="BU1580" s="128"/>
      <c r="BV1580" s="128"/>
      <c r="BW1580" s="128"/>
      <c r="BX1580" s="128"/>
      <c r="BY1580" s="128"/>
      <c r="BZ1580" s="128"/>
      <c r="CA1580" s="128"/>
      <c r="CB1580" s="128"/>
      <c r="CC1580" s="128"/>
      <c r="CD1580" s="128"/>
      <c r="CE1580" s="128"/>
      <c r="CF1580" s="128"/>
      <c r="CG1580" s="128"/>
      <c r="CI1580" s="128"/>
      <c r="CJ1580" s="128"/>
      <c r="CK1580" s="128"/>
      <c r="CL1580" s="128"/>
      <c r="CM1580" s="128"/>
      <c r="CN1580" s="128"/>
      <c r="CO1580" s="128"/>
      <c r="CP1580" s="128"/>
      <c r="CQ1580" s="128"/>
      <c r="CR1580" s="128"/>
      <c r="CS1580" s="128"/>
      <c r="CT1580" s="128"/>
      <c r="CU1580" s="128"/>
      <c r="CV1580" s="128"/>
      <c r="CW1580" s="128"/>
      <c r="CX1580" s="128"/>
      <c r="CY1580" s="128"/>
      <c r="CZ1580" s="165"/>
    </row>
    <row r="1581" spans="1:104">
      <c r="A1581" s="149"/>
      <c r="B1581" s="149"/>
      <c r="C1581" s="150"/>
      <c r="D1581" s="102"/>
      <c r="E1581" s="149"/>
      <c r="F1581" s="149"/>
      <c r="G1581" s="149"/>
      <c r="H1581" s="149"/>
      <c r="I1581" s="149"/>
      <c r="J1581" s="149"/>
      <c r="K1581" s="149"/>
      <c r="L1581" s="149"/>
      <c r="M1581" s="149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9"/>
      <c r="AA1581" s="149"/>
      <c r="AB1581" s="149"/>
      <c r="AC1581" s="149"/>
      <c r="AD1581" s="149"/>
      <c r="AE1581" s="149"/>
      <c r="AF1581" s="149"/>
      <c r="AG1581" s="149"/>
      <c r="AH1581" s="149"/>
      <c r="AI1581" s="149"/>
      <c r="AJ1581" s="149"/>
      <c r="AK1581" s="149"/>
      <c r="AL1581" s="149"/>
      <c r="AM1581" s="149"/>
      <c r="AN1581" s="149"/>
      <c r="AO1581" s="128"/>
      <c r="AP1581" s="128"/>
      <c r="AQ1581" s="128"/>
      <c r="AR1581" s="128"/>
      <c r="AS1581" s="128"/>
      <c r="AT1581" s="128"/>
      <c r="AU1581" s="128"/>
      <c r="AV1581" s="128"/>
      <c r="AW1581" s="128"/>
      <c r="AX1581" s="128"/>
      <c r="AY1581" s="128"/>
      <c r="AZ1581" s="128"/>
      <c r="BA1581" s="128"/>
      <c r="BB1581" s="128"/>
      <c r="BC1581" s="128"/>
      <c r="BD1581" s="128"/>
      <c r="BE1581" s="128"/>
      <c r="BF1581" s="128"/>
      <c r="BG1581" s="128"/>
      <c r="BH1581" s="128"/>
      <c r="BI1581" s="128"/>
      <c r="BJ1581" s="128"/>
      <c r="BK1581" s="128"/>
      <c r="BL1581" s="128"/>
      <c r="BM1581" s="151"/>
      <c r="BN1581" s="128"/>
      <c r="BO1581" s="128"/>
      <c r="BP1581" s="128"/>
      <c r="BQ1581" s="128"/>
      <c r="BR1581" s="128"/>
      <c r="BS1581" s="128"/>
      <c r="BT1581" s="128"/>
      <c r="BU1581" s="128"/>
      <c r="BV1581" s="128"/>
      <c r="BW1581" s="128"/>
      <c r="BX1581" s="128"/>
      <c r="BY1581" s="128"/>
      <c r="BZ1581" s="128"/>
      <c r="CA1581" s="128"/>
      <c r="CB1581" s="128"/>
      <c r="CC1581" s="128"/>
      <c r="CD1581" s="128"/>
      <c r="CE1581" s="128"/>
      <c r="CF1581" s="128"/>
      <c r="CG1581" s="128"/>
      <c r="CI1581" s="128"/>
      <c r="CJ1581" s="128"/>
      <c r="CK1581" s="128"/>
      <c r="CL1581" s="128"/>
      <c r="CM1581" s="128"/>
      <c r="CN1581" s="128"/>
      <c r="CO1581" s="128"/>
      <c r="CP1581" s="128"/>
      <c r="CQ1581" s="128"/>
      <c r="CR1581" s="128"/>
      <c r="CS1581" s="128"/>
      <c r="CT1581" s="128"/>
      <c r="CU1581" s="128"/>
      <c r="CV1581" s="128"/>
      <c r="CW1581" s="128"/>
      <c r="CX1581" s="128"/>
      <c r="CY1581" s="128"/>
      <c r="CZ1581" s="165"/>
    </row>
    <row r="1582" spans="1:104">
      <c r="A1582" s="149"/>
      <c r="B1582" s="149"/>
      <c r="C1582" s="150"/>
      <c r="D1582" s="102"/>
      <c r="E1582" s="149"/>
      <c r="F1582" s="149"/>
      <c r="G1582" s="149"/>
      <c r="H1582" s="149"/>
      <c r="I1582" s="149"/>
      <c r="J1582" s="149"/>
      <c r="K1582" s="149"/>
      <c r="L1582" s="149"/>
      <c r="M1582" s="149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9"/>
      <c r="AA1582" s="149"/>
      <c r="AB1582" s="149"/>
      <c r="AC1582" s="149"/>
      <c r="AD1582" s="149"/>
      <c r="AE1582" s="149"/>
      <c r="AF1582" s="149"/>
      <c r="AG1582" s="149"/>
      <c r="AH1582" s="149"/>
      <c r="AI1582" s="149"/>
      <c r="AJ1582" s="149"/>
      <c r="AK1582" s="149"/>
      <c r="AL1582" s="149"/>
      <c r="AM1582" s="149"/>
      <c r="AN1582" s="149"/>
      <c r="AO1582" s="128"/>
      <c r="AP1582" s="128"/>
      <c r="AQ1582" s="128"/>
      <c r="AR1582" s="128"/>
      <c r="AS1582" s="128"/>
      <c r="AT1582" s="128"/>
      <c r="AU1582" s="128"/>
      <c r="AV1582" s="128"/>
      <c r="AW1582" s="128"/>
      <c r="AX1582" s="128"/>
      <c r="AY1582" s="128"/>
      <c r="AZ1582" s="128"/>
      <c r="BA1582" s="128"/>
      <c r="BB1582" s="128"/>
      <c r="BC1582" s="128"/>
      <c r="BD1582" s="128"/>
      <c r="BE1582" s="128"/>
      <c r="BF1582" s="128"/>
      <c r="BG1582" s="128"/>
      <c r="BH1582" s="128"/>
      <c r="BI1582" s="128"/>
      <c r="BJ1582" s="128"/>
      <c r="BK1582" s="128"/>
      <c r="BL1582" s="128"/>
      <c r="BM1582" s="151"/>
      <c r="BN1582" s="128"/>
      <c r="BO1582" s="128"/>
      <c r="BP1582" s="128"/>
      <c r="BQ1582" s="128"/>
      <c r="BR1582" s="128"/>
      <c r="BS1582" s="128"/>
      <c r="BT1582" s="128"/>
      <c r="BU1582" s="128"/>
      <c r="BV1582" s="128"/>
      <c r="BW1582" s="128"/>
      <c r="BX1582" s="128"/>
      <c r="BY1582" s="128"/>
      <c r="BZ1582" s="128"/>
      <c r="CA1582" s="128"/>
      <c r="CB1582" s="128"/>
      <c r="CC1582" s="128"/>
      <c r="CD1582" s="128"/>
      <c r="CE1582" s="128"/>
      <c r="CF1582" s="128"/>
      <c r="CG1582" s="128"/>
      <c r="CI1582" s="128"/>
      <c r="CJ1582" s="128"/>
      <c r="CK1582" s="128"/>
      <c r="CL1582" s="128"/>
      <c r="CM1582" s="128"/>
      <c r="CN1582" s="128"/>
      <c r="CO1582" s="128"/>
      <c r="CP1582" s="128"/>
      <c r="CQ1582" s="128"/>
      <c r="CR1582" s="128"/>
      <c r="CS1582" s="128"/>
      <c r="CT1582" s="128"/>
      <c r="CU1582" s="128"/>
      <c r="CV1582" s="128"/>
      <c r="CW1582" s="128"/>
      <c r="CX1582" s="128"/>
      <c r="CY1582" s="128"/>
      <c r="CZ1582" s="165"/>
    </row>
    <row r="1583" spans="1:104">
      <c r="A1583" s="149"/>
      <c r="B1583" s="149"/>
      <c r="C1583" s="150"/>
      <c r="D1583" s="102"/>
      <c r="E1583" s="149"/>
      <c r="F1583" s="149"/>
      <c r="G1583" s="149"/>
      <c r="H1583" s="149"/>
      <c r="I1583" s="149"/>
      <c r="J1583" s="149"/>
      <c r="K1583" s="149"/>
      <c r="L1583" s="149"/>
      <c r="M1583" s="149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9"/>
      <c r="AA1583" s="149"/>
      <c r="AB1583" s="149"/>
      <c r="AC1583" s="149"/>
      <c r="AD1583" s="149"/>
      <c r="AE1583" s="149"/>
      <c r="AF1583" s="149"/>
      <c r="AG1583" s="149"/>
      <c r="AH1583" s="149"/>
      <c r="AI1583" s="149"/>
      <c r="AJ1583" s="149"/>
      <c r="AK1583" s="149"/>
      <c r="AL1583" s="149"/>
      <c r="AM1583" s="149"/>
      <c r="AN1583" s="149"/>
      <c r="AO1583" s="128"/>
      <c r="AP1583" s="128"/>
      <c r="AQ1583" s="128"/>
      <c r="AR1583" s="128"/>
      <c r="AS1583" s="128"/>
      <c r="AT1583" s="128"/>
      <c r="AU1583" s="128"/>
      <c r="AV1583" s="128"/>
      <c r="AW1583" s="128"/>
      <c r="AX1583" s="128"/>
      <c r="AY1583" s="128"/>
      <c r="AZ1583" s="128"/>
      <c r="BA1583" s="128"/>
      <c r="BB1583" s="128"/>
      <c r="BC1583" s="128"/>
      <c r="BD1583" s="128"/>
      <c r="BE1583" s="128"/>
      <c r="BF1583" s="128"/>
      <c r="BG1583" s="128"/>
      <c r="BH1583" s="128"/>
      <c r="BI1583" s="128"/>
      <c r="BJ1583" s="128"/>
      <c r="BK1583" s="128"/>
      <c r="BL1583" s="128"/>
      <c r="BM1583" s="151"/>
      <c r="BN1583" s="128"/>
      <c r="BO1583" s="128"/>
      <c r="BP1583" s="128"/>
      <c r="BQ1583" s="128"/>
      <c r="BR1583" s="128"/>
      <c r="BS1583" s="128"/>
      <c r="BT1583" s="128"/>
      <c r="BU1583" s="128"/>
      <c r="BV1583" s="128"/>
      <c r="BW1583" s="128"/>
      <c r="BX1583" s="128"/>
      <c r="BY1583" s="128"/>
      <c r="BZ1583" s="128"/>
      <c r="CA1583" s="128"/>
      <c r="CB1583" s="128"/>
      <c r="CC1583" s="128"/>
      <c r="CD1583" s="128"/>
      <c r="CE1583" s="128"/>
      <c r="CF1583" s="128"/>
      <c r="CG1583" s="128"/>
      <c r="CI1583" s="128"/>
      <c r="CJ1583" s="128"/>
      <c r="CK1583" s="128"/>
      <c r="CL1583" s="128"/>
      <c r="CM1583" s="128"/>
      <c r="CN1583" s="128"/>
      <c r="CO1583" s="128"/>
      <c r="CP1583" s="128"/>
      <c r="CQ1583" s="128"/>
      <c r="CR1583" s="128"/>
      <c r="CS1583" s="128"/>
      <c r="CT1583" s="128"/>
      <c r="CU1583" s="128"/>
      <c r="CV1583" s="128"/>
      <c r="CW1583" s="128"/>
      <c r="CX1583" s="128"/>
      <c r="CY1583" s="128"/>
      <c r="CZ1583" s="165"/>
    </row>
    <row r="1584" spans="1:104">
      <c r="A1584" s="149"/>
      <c r="B1584" s="149"/>
      <c r="C1584" s="150"/>
      <c r="D1584" s="102"/>
      <c r="E1584" s="149"/>
      <c r="F1584" s="149"/>
      <c r="G1584" s="149"/>
      <c r="H1584" s="149"/>
      <c r="I1584" s="149"/>
      <c r="J1584" s="149"/>
      <c r="K1584" s="149"/>
      <c r="L1584" s="149"/>
      <c r="M1584" s="149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9"/>
      <c r="AA1584" s="149"/>
      <c r="AB1584" s="149"/>
      <c r="AC1584" s="149"/>
      <c r="AD1584" s="149"/>
      <c r="AE1584" s="149"/>
      <c r="AF1584" s="149"/>
      <c r="AG1584" s="149"/>
      <c r="AH1584" s="149"/>
      <c r="AI1584" s="149"/>
      <c r="AJ1584" s="149"/>
      <c r="AK1584" s="149"/>
      <c r="AL1584" s="149"/>
      <c r="AM1584" s="149"/>
      <c r="AN1584" s="149"/>
      <c r="AO1584" s="128"/>
      <c r="AP1584" s="128"/>
      <c r="AQ1584" s="128"/>
      <c r="AR1584" s="128"/>
      <c r="AS1584" s="128"/>
      <c r="AT1584" s="128"/>
      <c r="AU1584" s="128"/>
      <c r="AV1584" s="128"/>
      <c r="AW1584" s="128"/>
      <c r="AX1584" s="128"/>
      <c r="AY1584" s="128"/>
      <c r="AZ1584" s="128"/>
      <c r="BA1584" s="128"/>
      <c r="BB1584" s="128"/>
      <c r="BC1584" s="128"/>
      <c r="BD1584" s="128"/>
      <c r="BE1584" s="128"/>
      <c r="BF1584" s="128"/>
      <c r="BG1584" s="128"/>
      <c r="BH1584" s="128"/>
      <c r="BI1584" s="128"/>
      <c r="BJ1584" s="128"/>
      <c r="BK1584" s="128"/>
      <c r="BL1584" s="128"/>
      <c r="BM1584" s="151"/>
      <c r="BN1584" s="128"/>
      <c r="BO1584" s="128"/>
      <c r="BP1584" s="128"/>
      <c r="BQ1584" s="128"/>
      <c r="BR1584" s="128"/>
      <c r="BS1584" s="128"/>
      <c r="BT1584" s="128"/>
      <c r="BU1584" s="128"/>
      <c r="BV1584" s="128"/>
      <c r="BW1584" s="128"/>
      <c r="BX1584" s="128"/>
      <c r="BY1584" s="128"/>
      <c r="BZ1584" s="128"/>
      <c r="CA1584" s="128"/>
      <c r="CB1584" s="128"/>
      <c r="CC1584" s="128"/>
      <c r="CD1584" s="128"/>
      <c r="CE1584" s="128"/>
      <c r="CF1584" s="128"/>
      <c r="CG1584" s="128"/>
      <c r="CI1584" s="128"/>
      <c r="CJ1584" s="128"/>
      <c r="CK1584" s="128"/>
      <c r="CL1584" s="128"/>
      <c r="CM1584" s="128"/>
      <c r="CN1584" s="128"/>
      <c r="CO1584" s="128"/>
      <c r="CP1584" s="128"/>
      <c r="CQ1584" s="128"/>
      <c r="CR1584" s="128"/>
      <c r="CS1584" s="128"/>
      <c r="CT1584" s="128"/>
      <c r="CU1584" s="128"/>
      <c r="CV1584" s="128"/>
      <c r="CW1584" s="128"/>
      <c r="CX1584" s="128"/>
      <c r="CY1584" s="128"/>
      <c r="CZ1584" s="165"/>
    </row>
    <row r="1585" spans="1:104">
      <c r="A1585" s="149"/>
      <c r="B1585" s="149"/>
      <c r="C1585" s="150"/>
      <c r="D1585" s="102"/>
      <c r="E1585" s="149"/>
      <c r="F1585" s="149"/>
      <c r="G1585" s="149"/>
      <c r="H1585" s="149"/>
      <c r="I1585" s="149"/>
      <c r="J1585" s="149"/>
      <c r="K1585" s="149"/>
      <c r="L1585" s="149"/>
      <c r="M1585" s="149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9"/>
      <c r="AA1585" s="149"/>
      <c r="AB1585" s="149"/>
      <c r="AC1585" s="149"/>
      <c r="AD1585" s="149"/>
      <c r="AE1585" s="149"/>
      <c r="AF1585" s="149"/>
      <c r="AG1585" s="149"/>
      <c r="AH1585" s="149"/>
      <c r="AI1585" s="149"/>
      <c r="AJ1585" s="149"/>
      <c r="AK1585" s="149"/>
      <c r="AL1585" s="149"/>
      <c r="AM1585" s="149"/>
      <c r="AN1585" s="149"/>
      <c r="AO1585" s="128"/>
      <c r="AP1585" s="128"/>
      <c r="AQ1585" s="128"/>
      <c r="AR1585" s="128"/>
      <c r="AS1585" s="128"/>
      <c r="AT1585" s="128"/>
      <c r="AU1585" s="128"/>
      <c r="AV1585" s="128"/>
      <c r="AW1585" s="128"/>
      <c r="AX1585" s="128"/>
      <c r="AY1585" s="128"/>
      <c r="AZ1585" s="128"/>
      <c r="BA1585" s="128"/>
      <c r="BB1585" s="128"/>
      <c r="BC1585" s="128"/>
      <c r="BD1585" s="128"/>
      <c r="BE1585" s="128"/>
      <c r="BF1585" s="128"/>
      <c r="BG1585" s="128"/>
      <c r="BH1585" s="128"/>
      <c r="BI1585" s="128"/>
      <c r="BJ1585" s="128"/>
      <c r="BK1585" s="128"/>
      <c r="BL1585" s="128"/>
      <c r="BM1585" s="151"/>
      <c r="BN1585" s="128"/>
      <c r="BO1585" s="128"/>
      <c r="BP1585" s="128"/>
      <c r="BQ1585" s="128"/>
      <c r="BR1585" s="128"/>
      <c r="BS1585" s="128"/>
      <c r="BT1585" s="128"/>
      <c r="BU1585" s="128"/>
      <c r="BV1585" s="128"/>
      <c r="BW1585" s="128"/>
      <c r="BX1585" s="128"/>
      <c r="BY1585" s="128"/>
      <c r="BZ1585" s="128"/>
      <c r="CA1585" s="128"/>
      <c r="CB1585" s="128"/>
      <c r="CC1585" s="128"/>
      <c r="CD1585" s="128"/>
      <c r="CE1585" s="128"/>
      <c r="CF1585" s="128"/>
      <c r="CG1585" s="128"/>
      <c r="CI1585" s="128"/>
      <c r="CJ1585" s="128"/>
      <c r="CK1585" s="128"/>
      <c r="CL1585" s="128"/>
      <c r="CM1585" s="128"/>
      <c r="CN1585" s="128"/>
      <c r="CO1585" s="128"/>
      <c r="CP1585" s="128"/>
      <c r="CQ1585" s="128"/>
      <c r="CR1585" s="128"/>
      <c r="CS1585" s="128"/>
      <c r="CT1585" s="128"/>
      <c r="CU1585" s="128"/>
      <c r="CV1585" s="128"/>
      <c r="CW1585" s="128"/>
      <c r="CX1585" s="128"/>
      <c r="CY1585" s="128"/>
      <c r="CZ1585" s="165"/>
    </row>
    <row r="1586" spans="1:104">
      <c r="A1586" s="149"/>
      <c r="B1586" s="149"/>
      <c r="C1586" s="150"/>
      <c r="D1586" s="102"/>
      <c r="E1586" s="149"/>
      <c r="F1586" s="149"/>
      <c r="G1586" s="149"/>
      <c r="H1586" s="149"/>
      <c r="I1586" s="149"/>
      <c r="J1586" s="149"/>
      <c r="K1586" s="149"/>
      <c r="L1586" s="149"/>
      <c r="M1586" s="149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9"/>
      <c r="AA1586" s="149"/>
      <c r="AB1586" s="149"/>
      <c r="AC1586" s="149"/>
      <c r="AD1586" s="149"/>
      <c r="AE1586" s="149"/>
      <c r="AF1586" s="149"/>
      <c r="AG1586" s="149"/>
      <c r="AH1586" s="149"/>
      <c r="AI1586" s="149"/>
      <c r="AJ1586" s="149"/>
      <c r="AK1586" s="149"/>
      <c r="AL1586" s="149"/>
      <c r="AM1586" s="149"/>
      <c r="AN1586" s="149"/>
      <c r="AO1586" s="128"/>
      <c r="AP1586" s="128"/>
      <c r="AQ1586" s="128"/>
      <c r="AR1586" s="128"/>
      <c r="AS1586" s="128"/>
      <c r="AT1586" s="128"/>
      <c r="AU1586" s="128"/>
      <c r="AV1586" s="128"/>
      <c r="AW1586" s="128"/>
      <c r="AX1586" s="128"/>
      <c r="AY1586" s="128"/>
      <c r="AZ1586" s="128"/>
      <c r="BA1586" s="128"/>
      <c r="BB1586" s="128"/>
      <c r="BC1586" s="128"/>
      <c r="BD1586" s="128"/>
      <c r="BE1586" s="128"/>
      <c r="BF1586" s="128"/>
      <c r="BG1586" s="128"/>
      <c r="BH1586" s="128"/>
      <c r="BI1586" s="128"/>
      <c r="BJ1586" s="128"/>
      <c r="BK1586" s="128"/>
      <c r="BL1586" s="128"/>
      <c r="BM1586" s="151"/>
      <c r="BN1586" s="128"/>
      <c r="BO1586" s="128"/>
      <c r="BP1586" s="128"/>
      <c r="BQ1586" s="128"/>
      <c r="BR1586" s="128"/>
      <c r="BS1586" s="128"/>
      <c r="BT1586" s="128"/>
      <c r="BU1586" s="128"/>
      <c r="BV1586" s="128"/>
      <c r="BW1586" s="128"/>
      <c r="BX1586" s="128"/>
      <c r="BY1586" s="128"/>
      <c r="BZ1586" s="128"/>
      <c r="CA1586" s="128"/>
      <c r="CB1586" s="128"/>
      <c r="CC1586" s="128"/>
      <c r="CD1586" s="128"/>
      <c r="CE1586" s="128"/>
      <c r="CF1586" s="128"/>
      <c r="CG1586" s="128"/>
      <c r="CI1586" s="128"/>
      <c r="CJ1586" s="128"/>
      <c r="CK1586" s="128"/>
      <c r="CL1586" s="128"/>
      <c r="CM1586" s="128"/>
      <c r="CN1586" s="128"/>
      <c r="CO1586" s="128"/>
      <c r="CP1586" s="128"/>
      <c r="CQ1586" s="128"/>
      <c r="CR1586" s="128"/>
      <c r="CS1586" s="128"/>
      <c r="CT1586" s="128"/>
      <c r="CU1586" s="128"/>
      <c r="CV1586" s="128"/>
      <c r="CW1586" s="128"/>
      <c r="CX1586" s="128"/>
      <c r="CY1586" s="128"/>
      <c r="CZ1586" s="165"/>
    </row>
    <row r="1587" spans="1:104">
      <c r="A1587" s="149"/>
      <c r="B1587" s="149"/>
      <c r="C1587" s="150"/>
      <c r="D1587" s="102"/>
      <c r="E1587" s="149"/>
      <c r="F1587" s="149"/>
      <c r="G1587" s="149"/>
      <c r="H1587" s="149"/>
      <c r="I1587" s="149"/>
      <c r="J1587" s="149"/>
      <c r="K1587" s="149"/>
      <c r="L1587" s="149"/>
      <c r="M1587" s="149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9"/>
      <c r="AA1587" s="149"/>
      <c r="AB1587" s="149"/>
      <c r="AC1587" s="149"/>
      <c r="AD1587" s="149"/>
      <c r="AE1587" s="149"/>
      <c r="AF1587" s="149"/>
      <c r="AG1587" s="149"/>
      <c r="AH1587" s="149"/>
      <c r="AI1587" s="149"/>
      <c r="AJ1587" s="149"/>
      <c r="AK1587" s="149"/>
      <c r="AL1587" s="149"/>
      <c r="AM1587" s="149"/>
      <c r="AN1587" s="149"/>
      <c r="AO1587" s="128"/>
      <c r="AP1587" s="128"/>
      <c r="AQ1587" s="128"/>
      <c r="AR1587" s="128"/>
      <c r="AS1587" s="128"/>
      <c r="AT1587" s="128"/>
      <c r="AU1587" s="128"/>
      <c r="AV1587" s="128"/>
      <c r="AW1587" s="128"/>
      <c r="AX1587" s="128"/>
      <c r="AY1587" s="128"/>
      <c r="AZ1587" s="128"/>
      <c r="BA1587" s="128"/>
      <c r="BB1587" s="128"/>
      <c r="BC1587" s="128"/>
      <c r="BD1587" s="128"/>
      <c r="BE1587" s="128"/>
      <c r="BF1587" s="128"/>
      <c r="BG1587" s="128"/>
      <c r="BH1587" s="128"/>
      <c r="BI1587" s="128"/>
      <c r="BJ1587" s="128"/>
      <c r="BK1587" s="128"/>
      <c r="BL1587" s="128"/>
      <c r="BM1587" s="151"/>
      <c r="BN1587" s="128"/>
      <c r="BO1587" s="128"/>
      <c r="BP1587" s="128"/>
      <c r="BQ1587" s="128"/>
      <c r="BR1587" s="128"/>
      <c r="BS1587" s="128"/>
      <c r="BT1587" s="128"/>
      <c r="BU1587" s="128"/>
      <c r="BV1587" s="128"/>
      <c r="BW1587" s="128"/>
      <c r="BX1587" s="128"/>
      <c r="BY1587" s="128"/>
      <c r="BZ1587" s="128"/>
      <c r="CA1587" s="128"/>
      <c r="CB1587" s="128"/>
      <c r="CC1587" s="128"/>
      <c r="CD1587" s="128"/>
      <c r="CE1587" s="128"/>
      <c r="CF1587" s="128"/>
      <c r="CG1587" s="128"/>
      <c r="CI1587" s="128"/>
      <c r="CJ1587" s="128"/>
      <c r="CK1587" s="128"/>
      <c r="CL1587" s="128"/>
      <c r="CM1587" s="128"/>
      <c r="CN1587" s="128"/>
      <c r="CO1587" s="128"/>
      <c r="CP1587" s="128"/>
      <c r="CQ1587" s="128"/>
      <c r="CR1587" s="128"/>
      <c r="CS1587" s="128"/>
      <c r="CT1587" s="128"/>
      <c r="CU1587" s="128"/>
      <c r="CV1587" s="128"/>
      <c r="CW1587" s="128"/>
      <c r="CX1587" s="128"/>
      <c r="CY1587" s="128"/>
      <c r="CZ1587" s="165"/>
    </row>
    <row r="1588" spans="1:104">
      <c r="A1588" s="149"/>
      <c r="B1588" s="149"/>
      <c r="C1588" s="150"/>
      <c r="D1588" s="102"/>
      <c r="E1588" s="149"/>
      <c r="F1588" s="149"/>
      <c r="G1588" s="149"/>
      <c r="H1588" s="149"/>
      <c r="I1588" s="149"/>
      <c r="J1588" s="149"/>
      <c r="K1588" s="149"/>
      <c r="L1588" s="149"/>
      <c r="M1588" s="149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9"/>
      <c r="AA1588" s="149"/>
      <c r="AB1588" s="149"/>
      <c r="AC1588" s="149"/>
      <c r="AD1588" s="149"/>
      <c r="AE1588" s="149"/>
      <c r="AF1588" s="149"/>
      <c r="AG1588" s="149"/>
      <c r="AH1588" s="149"/>
      <c r="AI1588" s="149"/>
      <c r="AJ1588" s="149"/>
      <c r="AK1588" s="149"/>
      <c r="AL1588" s="149"/>
      <c r="AM1588" s="149"/>
      <c r="AN1588" s="149"/>
      <c r="AO1588" s="128"/>
      <c r="AP1588" s="128"/>
      <c r="AQ1588" s="128"/>
      <c r="AR1588" s="128"/>
      <c r="AS1588" s="128"/>
      <c r="AT1588" s="128"/>
      <c r="AU1588" s="128"/>
      <c r="AV1588" s="128"/>
      <c r="AW1588" s="128"/>
      <c r="AX1588" s="128"/>
      <c r="AY1588" s="128"/>
      <c r="AZ1588" s="128"/>
      <c r="BA1588" s="128"/>
      <c r="BB1588" s="128"/>
      <c r="BC1588" s="128"/>
      <c r="BD1588" s="128"/>
      <c r="BE1588" s="128"/>
      <c r="BF1588" s="128"/>
      <c r="BG1588" s="128"/>
      <c r="BH1588" s="128"/>
      <c r="BI1588" s="128"/>
      <c r="BJ1588" s="128"/>
      <c r="BK1588" s="128"/>
      <c r="BL1588" s="128"/>
      <c r="BM1588" s="151"/>
      <c r="BN1588" s="128"/>
      <c r="BO1588" s="128"/>
      <c r="BP1588" s="128"/>
      <c r="BQ1588" s="128"/>
      <c r="BR1588" s="128"/>
      <c r="BS1588" s="128"/>
      <c r="BT1588" s="128"/>
      <c r="BU1588" s="128"/>
      <c r="BV1588" s="128"/>
      <c r="BW1588" s="128"/>
      <c r="BX1588" s="128"/>
      <c r="BY1588" s="128"/>
      <c r="BZ1588" s="128"/>
      <c r="CA1588" s="128"/>
      <c r="CB1588" s="128"/>
      <c r="CC1588" s="128"/>
      <c r="CD1588" s="128"/>
      <c r="CE1588" s="128"/>
      <c r="CF1588" s="128"/>
      <c r="CG1588" s="128"/>
      <c r="CI1588" s="128"/>
      <c r="CJ1588" s="128"/>
      <c r="CK1588" s="128"/>
      <c r="CL1588" s="128"/>
      <c r="CM1588" s="128"/>
      <c r="CN1588" s="128"/>
      <c r="CO1588" s="128"/>
      <c r="CP1588" s="128"/>
      <c r="CQ1588" s="128"/>
      <c r="CR1588" s="128"/>
      <c r="CS1588" s="128"/>
      <c r="CT1588" s="128"/>
      <c r="CU1588" s="128"/>
      <c r="CV1588" s="128"/>
      <c r="CW1588" s="128"/>
      <c r="CX1588" s="128"/>
      <c r="CY1588" s="128"/>
      <c r="CZ1588" s="165"/>
    </row>
    <row r="1589" spans="1:104">
      <c r="A1589" s="149"/>
      <c r="B1589" s="149"/>
      <c r="C1589" s="150"/>
      <c r="D1589" s="102"/>
      <c r="E1589" s="149"/>
      <c r="F1589" s="149"/>
      <c r="G1589" s="149"/>
      <c r="H1589" s="149"/>
      <c r="I1589" s="149"/>
      <c r="J1589" s="149"/>
      <c r="K1589" s="149"/>
      <c r="L1589" s="149"/>
      <c r="M1589" s="149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9"/>
      <c r="AA1589" s="149"/>
      <c r="AB1589" s="149"/>
      <c r="AC1589" s="149"/>
      <c r="AD1589" s="149"/>
      <c r="AE1589" s="149"/>
      <c r="AF1589" s="149"/>
      <c r="AG1589" s="149"/>
      <c r="AH1589" s="149"/>
      <c r="AI1589" s="149"/>
      <c r="AJ1589" s="149"/>
      <c r="AK1589" s="149"/>
      <c r="AL1589" s="149"/>
      <c r="AM1589" s="149"/>
      <c r="AN1589" s="149"/>
      <c r="AO1589" s="128"/>
      <c r="AP1589" s="128"/>
      <c r="AQ1589" s="128"/>
      <c r="AR1589" s="128"/>
      <c r="AS1589" s="128"/>
      <c r="AT1589" s="128"/>
      <c r="AU1589" s="128"/>
      <c r="AV1589" s="128"/>
      <c r="AW1589" s="128"/>
      <c r="AX1589" s="128"/>
      <c r="AY1589" s="128"/>
      <c r="AZ1589" s="128"/>
      <c r="BA1589" s="128"/>
      <c r="BB1589" s="128"/>
      <c r="BC1589" s="128"/>
      <c r="BD1589" s="128"/>
      <c r="BE1589" s="128"/>
      <c r="BF1589" s="128"/>
      <c r="BG1589" s="128"/>
      <c r="BH1589" s="128"/>
      <c r="BI1589" s="128"/>
      <c r="BJ1589" s="128"/>
      <c r="BK1589" s="128"/>
      <c r="BL1589" s="128"/>
      <c r="BM1589" s="151"/>
      <c r="BN1589" s="128"/>
      <c r="BO1589" s="128"/>
      <c r="BP1589" s="128"/>
      <c r="BQ1589" s="128"/>
      <c r="BR1589" s="128"/>
      <c r="BS1589" s="128"/>
      <c r="BT1589" s="128"/>
      <c r="BU1589" s="128"/>
      <c r="BV1589" s="128"/>
      <c r="BW1589" s="128"/>
      <c r="BX1589" s="128"/>
      <c r="BY1589" s="128"/>
      <c r="BZ1589" s="128"/>
      <c r="CA1589" s="128"/>
      <c r="CB1589" s="128"/>
      <c r="CC1589" s="128"/>
      <c r="CD1589" s="128"/>
      <c r="CE1589" s="128"/>
      <c r="CF1589" s="128"/>
      <c r="CG1589" s="128"/>
      <c r="CI1589" s="128"/>
      <c r="CJ1589" s="128"/>
      <c r="CK1589" s="128"/>
      <c r="CL1589" s="128"/>
      <c r="CM1589" s="128"/>
      <c r="CN1589" s="128"/>
      <c r="CO1589" s="128"/>
      <c r="CP1589" s="128"/>
      <c r="CQ1589" s="128"/>
      <c r="CR1589" s="128"/>
      <c r="CS1589" s="128"/>
      <c r="CT1589" s="128"/>
      <c r="CU1589" s="128"/>
      <c r="CV1589" s="128"/>
      <c r="CW1589" s="128"/>
      <c r="CX1589" s="128"/>
      <c r="CY1589" s="128"/>
      <c r="CZ1589" s="165"/>
    </row>
    <row r="1590" spans="1:104">
      <c r="A1590" s="149"/>
      <c r="B1590" s="149"/>
      <c r="C1590" s="150"/>
      <c r="D1590" s="102"/>
      <c r="E1590" s="149"/>
      <c r="F1590" s="149"/>
      <c r="G1590" s="149"/>
      <c r="H1590" s="149"/>
      <c r="I1590" s="149"/>
      <c r="J1590" s="149"/>
      <c r="K1590" s="149"/>
      <c r="L1590" s="149"/>
      <c r="M1590" s="149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9"/>
      <c r="AA1590" s="149"/>
      <c r="AB1590" s="149"/>
      <c r="AC1590" s="149"/>
      <c r="AD1590" s="149"/>
      <c r="AE1590" s="149"/>
      <c r="AF1590" s="149"/>
      <c r="AG1590" s="149"/>
      <c r="AH1590" s="149"/>
      <c r="AI1590" s="149"/>
      <c r="AJ1590" s="149"/>
      <c r="AK1590" s="149"/>
      <c r="AL1590" s="149"/>
      <c r="AM1590" s="149"/>
      <c r="AN1590" s="149"/>
      <c r="AO1590" s="128"/>
      <c r="AP1590" s="128"/>
      <c r="AQ1590" s="128"/>
      <c r="AR1590" s="128"/>
      <c r="AS1590" s="128"/>
      <c r="AT1590" s="128"/>
      <c r="AU1590" s="128"/>
      <c r="AV1590" s="128"/>
      <c r="AW1590" s="128"/>
      <c r="AX1590" s="128"/>
      <c r="AY1590" s="128"/>
      <c r="AZ1590" s="128"/>
      <c r="BA1590" s="128"/>
      <c r="BB1590" s="128"/>
      <c r="BC1590" s="128"/>
      <c r="BD1590" s="128"/>
      <c r="BE1590" s="128"/>
      <c r="BF1590" s="128"/>
      <c r="BG1590" s="128"/>
      <c r="BH1590" s="128"/>
      <c r="BI1590" s="128"/>
      <c r="BJ1590" s="128"/>
      <c r="BK1590" s="128"/>
      <c r="BL1590" s="128"/>
      <c r="BM1590" s="151"/>
      <c r="BN1590" s="128"/>
      <c r="BO1590" s="128"/>
      <c r="BP1590" s="128"/>
      <c r="BQ1590" s="128"/>
      <c r="BR1590" s="128"/>
      <c r="BS1590" s="128"/>
      <c r="BT1590" s="128"/>
      <c r="BU1590" s="128"/>
      <c r="BV1590" s="128"/>
      <c r="BW1590" s="128"/>
      <c r="BX1590" s="128"/>
      <c r="BY1590" s="128"/>
      <c r="BZ1590" s="128"/>
      <c r="CA1590" s="128"/>
      <c r="CB1590" s="128"/>
      <c r="CC1590" s="128"/>
      <c r="CD1590" s="128"/>
      <c r="CE1590" s="128"/>
      <c r="CF1590" s="128"/>
      <c r="CG1590" s="128"/>
      <c r="CI1590" s="128"/>
      <c r="CJ1590" s="128"/>
      <c r="CK1590" s="128"/>
      <c r="CL1590" s="128"/>
      <c r="CM1590" s="128"/>
      <c r="CN1590" s="128"/>
      <c r="CO1590" s="128"/>
      <c r="CP1590" s="128"/>
      <c r="CQ1590" s="128"/>
      <c r="CR1590" s="128"/>
      <c r="CS1590" s="128"/>
      <c r="CT1590" s="128"/>
      <c r="CU1590" s="128"/>
      <c r="CV1590" s="128"/>
      <c r="CW1590" s="128"/>
      <c r="CX1590" s="128"/>
      <c r="CY1590" s="128"/>
      <c r="CZ1590" s="165"/>
    </row>
    <row r="1591" spans="1:104">
      <c r="A1591" s="149"/>
      <c r="B1591" s="149"/>
      <c r="C1591" s="150"/>
      <c r="D1591" s="102"/>
      <c r="E1591" s="149"/>
      <c r="F1591" s="149"/>
      <c r="G1591" s="149"/>
      <c r="H1591" s="149"/>
      <c r="I1591" s="149"/>
      <c r="J1591" s="149"/>
      <c r="K1591" s="149"/>
      <c r="L1591" s="149"/>
      <c r="M1591" s="149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9"/>
      <c r="AA1591" s="149"/>
      <c r="AB1591" s="149"/>
      <c r="AC1591" s="149"/>
      <c r="AD1591" s="149"/>
      <c r="AE1591" s="149"/>
      <c r="AF1591" s="149"/>
      <c r="AG1591" s="149"/>
      <c r="AH1591" s="149"/>
      <c r="AI1591" s="149"/>
      <c r="AJ1591" s="149"/>
      <c r="AK1591" s="149"/>
      <c r="AL1591" s="149"/>
      <c r="AM1591" s="149"/>
      <c r="AN1591" s="149"/>
      <c r="AO1591" s="128"/>
      <c r="AP1591" s="128"/>
      <c r="AQ1591" s="128"/>
      <c r="AR1591" s="128"/>
      <c r="AS1591" s="128"/>
      <c r="AT1591" s="128"/>
      <c r="AU1591" s="128"/>
      <c r="AV1591" s="128"/>
      <c r="AW1591" s="128"/>
      <c r="AX1591" s="128"/>
      <c r="AY1591" s="128"/>
      <c r="AZ1591" s="128"/>
      <c r="BA1591" s="128"/>
      <c r="BB1591" s="128"/>
      <c r="BC1591" s="128"/>
      <c r="BD1591" s="128"/>
      <c r="BE1591" s="128"/>
      <c r="BF1591" s="128"/>
      <c r="BG1591" s="128"/>
      <c r="BH1591" s="128"/>
      <c r="BI1591" s="128"/>
      <c r="BJ1591" s="128"/>
      <c r="BK1591" s="128"/>
      <c r="BL1591" s="128"/>
      <c r="BM1591" s="151"/>
      <c r="BN1591" s="128"/>
      <c r="BO1591" s="128"/>
      <c r="BP1591" s="128"/>
      <c r="BQ1591" s="128"/>
      <c r="BR1591" s="128"/>
      <c r="BS1591" s="128"/>
      <c r="BT1591" s="128"/>
      <c r="BU1591" s="128"/>
      <c r="BV1591" s="128"/>
      <c r="BW1591" s="128"/>
      <c r="BX1591" s="128"/>
      <c r="BY1591" s="128"/>
      <c r="BZ1591" s="128"/>
      <c r="CA1591" s="128"/>
      <c r="CB1591" s="128"/>
      <c r="CC1591" s="128"/>
      <c r="CD1591" s="128"/>
      <c r="CE1591" s="128"/>
      <c r="CF1591" s="128"/>
      <c r="CG1591" s="128"/>
      <c r="CI1591" s="128"/>
      <c r="CJ1591" s="128"/>
      <c r="CK1591" s="128"/>
      <c r="CL1591" s="128"/>
      <c r="CM1591" s="128"/>
      <c r="CN1591" s="128"/>
      <c r="CO1591" s="128"/>
      <c r="CP1591" s="128"/>
      <c r="CQ1591" s="128"/>
      <c r="CR1591" s="128"/>
      <c r="CS1591" s="128"/>
      <c r="CT1591" s="128"/>
      <c r="CU1591" s="128"/>
      <c r="CV1591" s="128"/>
      <c r="CW1591" s="128"/>
      <c r="CX1591" s="128"/>
      <c r="CY1591" s="128"/>
      <c r="CZ1591" s="165"/>
    </row>
    <row r="1592" spans="1:104">
      <c r="A1592" s="149"/>
      <c r="B1592" s="149"/>
      <c r="C1592" s="150"/>
      <c r="D1592" s="102"/>
      <c r="E1592" s="149"/>
      <c r="F1592" s="149"/>
      <c r="G1592" s="149"/>
      <c r="H1592" s="149"/>
      <c r="I1592" s="149"/>
      <c r="J1592" s="149"/>
      <c r="K1592" s="149"/>
      <c r="L1592" s="149"/>
      <c r="M1592" s="149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9"/>
      <c r="AA1592" s="149"/>
      <c r="AB1592" s="149"/>
      <c r="AC1592" s="149"/>
      <c r="AD1592" s="149"/>
      <c r="AE1592" s="149"/>
      <c r="AF1592" s="149"/>
      <c r="AG1592" s="149"/>
      <c r="AH1592" s="149"/>
      <c r="AI1592" s="149"/>
      <c r="AJ1592" s="149"/>
      <c r="AK1592" s="149"/>
      <c r="AL1592" s="149"/>
      <c r="AM1592" s="149"/>
      <c r="AN1592" s="149"/>
      <c r="AO1592" s="128"/>
      <c r="AP1592" s="128"/>
      <c r="AQ1592" s="128"/>
      <c r="AR1592" s="128"/>
      <c r="AS1592" s="128"/>
      <c r="AT1592" s="128"/>
      <c r="AU1592" s="128"/>
      <c r="AV1592" s="128"/>
      <c r="AW1592" s="128"/>
      <c r="AX1592" s="128"/>
      <c r="AY1592" s="128"/>
      <c r="AZ1592" s="128"/>
      <c r="BA1592" s="128"/>
      <c r="BB1592" s="128"/>
      <c r="BC1592" s="128"/>
      <c r="BD1592" s="128"/>
      <c r="BE1592" s="128"/>
      <c r="BF1592" s="128"/>
      <c r="BG1592" s="128"/>
      <c r="BH1592" s="128"/>
      <c r="BI1592" s="128"/>
      <c r="BJ1592" s="128"/>
      <c r="BK1592" s="128"/>
      <c r="BL1592" s="128"/>
      <c r="BM1592" s="151"/>
      <c r="BN1592" s="128"/>
      <c r="BO1592" s="128"/>
      <c r="BP1592" s="128"/>
      <c r="BQ1592" s="128"/>
      <c r="BR1592" s="128"/>
      <c r="BS1592" s="128"/>
      <c r="BT1592" s="128"/>
      <c r="BU1592" s="128"/>
      <c r="BV1592" s="128"/>
      <c r="BW1592" s="128"/>
      <c r="BX1592" s="128"/>
      <c r="BY1592" s="128"/>
      <c r="BZ1592" s="128"/>
      <c r="CA1592" s="128"/>
      <c r="CB1592" s="128"/>
      <c r="CC1592" s="128"/>
      <c r="CD1592" s="128"/>
      <c r="CE1592" s="128"/>
      <c r="CF1592" s="128"/>
      <c r="CG1592" s="128"/>
      <c r="CI1592" s="128"/>
      <c r="CJ1592" s="128"/>
      <c r="CK1592" s="128"/>
      <c r="CL1592" s="128"/>
      <c r="CM1592" s="128"/>
      <c r="CN1592" s="128"/>
      <c r="CO1592" s="128"/>
      <c r="CP1592" s="128"/>
      <c r="CQ1592" s="128"/>
      <c r="CR1592" s="128"/>
      <c r="CS1592" s="128"/>
      <c r="CT1592" s="128"/>
      <c r="CU1592" s="128"/>
      <c r="CV1592" s="128"/>
      <c r="CW1592" s="128"/>
      <c r="CX1592" s="128"/>
      <c r="CY1592" s="128"/>
      <c r="CZ1592" s="165"/>
    </row>
    <row r="1593" spans="1:104">
      <c r="A1593" s="149"/>
      <c r="B1593" s="149"/>
      <c r="C1593" s="150"/>
      <c r="D1593" s="102"/>
      <c r="E1593" s="149"/>
      <c r="F1593" s="149"/>
      <c r="G1593" s="149"/>
      <c r="H1593" s="149"/>
      <c r="I1593" s="149"/>
      <c r="J1593" s="149"/>
      <c r="K1593" s="149"/>
      <c r="L1593" s="149"/>
      <c r="M1593" s="149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9"/>
      <c r="AA1593" s="149"/>
      <c r="AB1593" s="149"/>
      <c r="AC1593" s="149"/>
      <c r="AD1593" s="149"/>
      <c r="AE1593" s="149"/>
      <c r="AF1593" s="149"/>
      <c r="AG1593" s="149"/>
      <c r="AH1593" s="149"/>
      <c r="AI1593" s="149"/>
      <c r="AJ1593" s="149"/>
      <c r="AK1593" s="149"/>
      <c r="AL1593" s="149"/>
      <c r="AM1593" s="149"/>
      <c r="AN1593" s="149"/>
      <c r="AO1593" s="128"/>
      <c r="AP1593" s="128"/>
      <c r="AQ1593" s="128"/>
      <c r="AR1593" s="128"/>
      <c r="AS1593" s="128"/>
      <c r="AT1593" s="128"/>
      <c r="AU1593" s="128"/>
      <c r="AV1593" s="128"/>
      <c r="AW1593" s="128"/>
      <c r="AX1593" s="128"/>
      <c r="AY1593" s="128"/>
      <c r="AZ1593" s="128"/>
      <c r="BA1593" s="128"/>
      <c r="BB1593" s="128"/>
      <c r="BC1593" s="128"/>
      <c r="BD1593" s="128"/>
      <c r="BE1593" s="128"/>
      <c r="BF1593" s="128"/>
      <c r="BG1593" s="128"/>
      <c r="BH1593" s="128"/>
      <c r="BI1593" s="128"/>
      <c r="BJ1593" s="128"/>
      <c r="BK1593" s="128"/>
      <c r="BL1593" s="128"/>
      <c r="BM1593" s="151"/>
      <c r="BN1593" s="128"/>
      <c r="BO1593" s="128"/>
      <c r="BP1593" s="128"/>
      <c r="BQ1593" s="128"/>
      <c r="BR1593" s="128"/>
      <c r="BS1593" s="128"/>
      <c r="BT1593" s="128"/>
      <c r="BU1593" s="128"/>
      <c r="BV1593" s="128"/>
      <c r="BW1593" s="128"/>
      <c r="BX1593" s="128"/>
      <c r="BY1593" s="128"/>
      <c r="BZ1593" s="128"/>
      <c r="CA1593" s="128"/>
      <c r="CB1593" s="128"/>
      <c r="CC1593" s="128"/>
      <c r="CD1593" s="128"/>
      <c r="CE1593" s="128"/>
      <c r="CF1593" s="128"/>
      <c r="CG1593" s="128"/>
      <c r="CI1593" s="128"/>
      <c r="CJ1593" s="128"/>
      <c r="CK1593" s="128"/>
      <c r="CL1593" s="128"/>
      <c r="CM1593" s="128"/>
      <c r="CN1593" s="128"/>
      <c r="CO1593" s="128"/>
      <c r="CP1593" s="128"/>
      <c r="CQ1593" s="128"/>
      <c r="CR1593" s="128"/>
      <c r="CS1593" s="128"/>
      <c r="CT1593" s="128"/>
      <c r="CU1593" s="128"/>
      <c r="CV1593" s="128"/>
      <c r="CW1593" s="128"/>
      <c r="CX1593" s="128"/>
      <c r="CY1593" s="128"/>
      <c r="CZ1593" s="165"/>
    </row>
    <row r="1594" spans="1:104">
      <c r="A1594" s="149"/>
      <c r="B1594" s="149"/>
      <c r="C1594" s="150"/>
      <c r="D1594" s="102"/>
      <c r="E1594" s="149"/>
      <c r="F1594" s="149"/>
      <c r="G1594" s="149"/>
      <c r="H1594" s="149"/>
      <c r="I1594" s="149"/>
      <c r="J1594" s="149"/>
      <c r="K1594" s="149"/>
      <c r="L1594" s="149"/>
      <c r="M1594" s="149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9"/>
      <c r="AA1594" s="149"/>
      <c r="AB1594" s="149"/>
      <c r="AC1594" s="149"/>
      <c r="AD1594" s="149"/>
      <c r="AE1594" s="149"/>
      <c r="AF1594" s="149"/>
      <c r="AG1594" s="149"/>
      <c r="AH1594" s="149"/>
      <c r="AI1594" s="149"/>
      <c r="AJ1594" s="149"/>
      <c r="AK1594" s="149"/>
      <c r="AL1594" s="149"/>
      <c r="AM1594" s="149"/>
      <c r="AN1594" s="149"/>
      <c r="AO1594" s="128"/>
      <c r="AP1594" s="128"/>
      <c r="AQ1594" s="128"/>
      <c r="AR1594" s="128"/>
      <c r="AS1594" s="128"/>
      <c r="AT1594" s="128"/>
      <c r="AU1594" s="128"/>
      <c r="AV1594" s="128"/>
      <c r="AW1594" s="128"/>
      <c r="AX1594" s="128"/>
      <c r="AY1594" s="128"/>
      <c r="AZ1594" s="128"/>
      <c r="BA1594" s="128"/>
      <c r="BB1594" s="128"/>
      <c r="BC1594" s="128"/>
      <c r="BD1594" s="128"/>
      <c r="BE1594" s="128"/>
      <c r="BF1594" s="128"/>
      <c r="BG1594" s="128"/>
      <c r="BH1594" s="128"/>
      <c r="BI1594" s="128"/>
      <c r="BJ1594" s="128"/>
      <c r="BK1594" s="128"/>
      <c r="BL1594" s="128"/>
      <c r="BM1594" s="151"/>
      <c r="BN1594" s="128"/>
      <c r="BO1594" s="128"/>
      <c r="BP1594" s="128"/>
      <c r="BQ1594" s="128"/>
      <c r="BR1594" s="128"/>
      <c r="BS1594" s="128"/>
      <c r="BT1594" s="128"/>
      <c r="BU1594" s="128"/>
      <c r="BV1594" s="128"/>
      <c r="BW1594" s="128"/>
      <c r="BX1594" s="128"/>
      <c r="BY1594" s="128"/>
      <c r="BZ1594" s="128"/>
      <c r="CA1594" s="128"/>
      <c r="CB1594" s="128"/>
      <c r="CC1594" s="128"/>
      <c r="CD1594" s="128"/>
      <c r="CE1594" s="128"/>
      <c r="CF1594" s="128"/>
      <c r="CG1594" s="128"/>
      <c r="CI1594" s="128"/>
      <c r="CJ1594" s="128"/>
      <c r="CK1594" s="128"/>
      <c r="CL1594" s="128"/>
      <c r="CM1594" s="128"/>
      <c r="CN1594" s="128"/>
      <c r="CO1594" s="128"/>
      <c r="CP1594" s="128"/>
      <c r="CQ1594" s="128"/>
      <c r="CR1594" s="128"/>
      <c r="CS1594" s="128"/>
      <c r="CT1594" s="128"/>
      <c r="CU1594" s="128"/>
      <c r="CV1594" s="128"/>
      <c r="CW1594" s="128"/>
      <c r="CX1594" s="128"/>
      <c r="CY1594" s="128"/>
      <c r="CZ1594" s="165"/>
    </row>
    <row r="1595" spans="1:104">
      <c r="A1595" s="149"/>
      <c r="B1595" s="149"/>
      <c r="C1595" s="150"/>
      <c r="D1595" s="102"/>
      <c r="E1595" s="149"/>
      <c r="F1595" s="149"/>
      <c r="G1595" s="149"/>
      <c r="H1595" s="149"/>
      <c r="I1595" s="149"/>
      <c r="J1595" s="149"/>
      <c r="K1595" s="149"/>
      <c r="L1595" s="149"/>
      <c r="M1595" s="149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9"/>
      <c r="AA1595" s="149"/>
      <c r="AB1595" s="149"/>
      <c r="AC1595" s="149"/>
      <c r="AD1595" s="149"/>
      <c r="AE1595" s="149"/>
      <c r="AF1595" s="149"/>
      <c r="AG1595" s="149"/>
      <c r="AH1595" s="149"/>
      <c r="AI1595" s="149"/>
      <c r="AJ1595" s="149"/>
      <c r="AK1595" s="149"/>
      <c r="AL1595" s="149"/>
      <c r="AM1595" s="149"/>
      <c r="AN1595" s="149"/>
      <c r="AO1595" s="128"/>
      <c r="AP1595" s="128"/>
      <c r="AQ1595" s="128"/>
      <c r="AR1595" s="128"/>
      <c r="AS1595" s="128"/>
      <c r="AT1595" s="128"/>
      <c r="AU1595" s="128"/>
      <c r="AV1595" s="128"/>
      <c r="AW1595" s="128"/>
      <c r="AX1595" s="128"/>
      <c r="AY1595" s="128"/>
      <c r="AZ1595" s="128"/>
      <c r="BA1595" s="128"/>
      <c r="BB1595" s="128"/>
      <c r="BC1595" s="128"/>
      <c r="BD1595" s="128"/>
      <c r="BE1595" s="128"/>
      <c r="BF1595" s="128"/>
      <c r="BG1595" s="128"/>
      <c r="BH1595" s="128"/>
      <c r="BI1595" s="128"/>
      <c r="BJ1595" s="128"/>
      <c r="BK1595" s="128"/>
      <c r="BL1595" s="128"/>
      <c r="BM1595" s="151"/>
      <c r="BN1595" s="128"/>
      <c r="BO1595" s="128"/>
      <c r="BP1595" s="128"/>
      <c r="BQ1595" s="128"/>
      <c r="BR1595" s="128"/>
      <c r="BS1595" s="128"/>
      <c r="BT1595" s="128"/>
      <c r="BU1595" s="128"/>
      <c r="BV1595" s="128"/>
      <c r="BW1595" s="128"/>
      <c r="BX1595" s="128"/>
      <c r="BY1595" s="128"/>
      <c r="BZ1595" s="128"/>
      <c r="CA1595" s="128"/>
      <c r="CB1595" s="128"/>
      <c r="CC1595" s="128"/>
      <c r="CD1595" s="128"/>
      <c r="CE1595" s="128"/>
      <c r="CF1595" s="128"/>
      <c r="CG1595" s="128"/>
      <c r="CI1595" s="128"/>
      <c r="CJ1595" s="128"/>
      <c r="CK1595" s="128"/>
      <c r="CL1595" s="128"/>
      <c r="CM1595" s="128"/>
      <c r="CN1595" s="128"/>
      <c r="CO1595" s="128"/>
      <c r="CP1595" s="128"/>
      <c r="CQ1595" s="128"/>
      <c r="CR1595" s="128"/>
      <c r="CS1595" s="128"/>
      <c r="CT1595" s="128"/>
      <c r="CU1595" s="128"/>
      <c r="CV1595" s="128"/>
      <c r="CW1595" s="128"/>
      <c r="CX1595" s="128"/>
      <c r="CY1595" s="128"/>
      <c r="CZ1595" s="165"/>
    </row>
    <row r="1596" spans="1:104">
      <c r="A1596" s="149"/>
      <c r="B1596" s="149"/>
      <c r="C1596" s="150"/>
      <c r="D1596" s="102"/>
      <c r="E1596" s="149"/>
      <c r="F1596" s="149"/>
      <c r="G1596" s="149"/>
      <c r="H1596" s="149"/>
      <c r="I1596" s="149"/>
      <c r="J1596" s="149"/>
      <c r="K1596" s="149"/>
      <c r="L1596" s="149"/>
      <c r="M1596" s="149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9"/>
      <c r="AA1596" s="149"/>
      <c r="AB1596" s="149"/>
      <c r="AC1596" s="149"/>
      <c r="AD1596" s="149"/>
      <c r="AE1596" s="149"/>
      <c r="AF1596" s="149"/>
      <c r="AG1596" s="149"/>
      <c r="AH1596" s="149"/>
      <c r="AI1596" s="149"/>
      <c r="AJ1596" s="149"/>
      <c r="AK1596" s="149"/>
      <c r="AL1596" s="149"/>
      <c r="AM1596" s="149"/>
      <c r="AN1596" s="149"/>
      <c r="AO1596" s="128"/>
      <c r="AP1596" s="128"/>
      <c r="AQ1596" s="128"/>
      <c r="AR1596" s="128"/>
      <c r="AS1596" s="128"/>
      <c r="AT1596" s="128"/>
      <c r="AU1596" s="128"/>
      <c r="AV1596" s="128"/>
      <c r="AW1596" s="128"/>
      <c r="AX1596" s="128"/>
      <c r="AY1596" s="128"/>
      <c r="AZ1596" s="128"/>
      <c r="BA1596" s="128"/>
      <c r="BB1596" s="128"/>
      <c r="BC1596" s="128"/>
      <c r="BD1596" s="128"/>
      <c r="BE1596" s="128"/>
      <c r="BF1596" s="128"/>
      <c r="BG1596" s="128"/>
      <c r="BH1596" s="128"/>
      <c r="BI1596" s="128"/>
      <c r="BJ1596" s="128"/>
      <c r="BK1596" s="128"/>
      <c r="BL1596" s="128"/>
      <c r="BM1596" s="151"/>
      <c r="BN1596" s="128"/>
      <c r="BO1596" s="128"/>
      <c r="BP1596" s="128"/>
      <c r="BQ1596" s="128"/>
      <c r="BR1596" s="128"/>
      <c r="BS1596" s="128"/>
      <c r="BT1596" s="128"/>
      <c r="BU1596" s="128"/>
      <c r="BV1596" s="128"/>
      <c r="BW1596" s="128"/>
      <c r="BX1596" s="128"/>
      <c r="BY1596" s="128"/>
      <c r="BZ1596" s="128"/>
      <c r="CA1596" s="128"/>
      <c r="CB1596" s="128"/>
      <c r="CC1596" s="128"/>
      <c r="CD1596" s="128"/>
      <c r="CE1596" s="128"/>
      <c r="CF1596" s="128"/>
      <c r="CG1596" s="128"/>
      <c r="CI1596" s="128"/>
      <c r="CJ1596" s="128"/>
      <c r="CK1596" s="128"/>
      <c r="CL1596" s="128"/>
      <c r="CM1596" s="128"/>
      <c r="CN1596" s="128"/>
      <c r="CO1596" s="128"/>
      <c r="CP1596" s="128"/>
      <c r="CQ1596" s="128"/>
      <c r="CR1596" s="128"/>
      <c r="CS1596" s="128"/>
      <c r="CT1596" s="128"/>
      <c r="CU1596" s="128"/>
      <c r="CV1596" s="128"/>
      <c r="CW1596" s="128"/>
      <c r="CX1596" s="128"/>
      <c r="CY1596" s="128"/>
      <c r="CZ1596" s="165"/>
    </row>
    <row r="1597" spans="1:104">
      <c r="A1597" s="149"/>
      <c r="B1597" s="149"/>
      <c r="C1597" s="150"/>
      <c r="D1597" s="102"/>
      <c r="E1597" s="149"/>
      <c r="F1597" s="149"/>
      <c r="G1597" s="149"/>
      <c r="H1597" s="149"/>
      <c r="I1597" s="149"/>
      <c r="J1597" s="149"/>
      <c r="K1597" s="149"/>
      <c r="L1597" s="149"/>
      <c r="M1597" s="149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9"/>
      <c r="AA1597" s="149"/>
      <c r="AB1597" s="149"/>
      <c r="AC1597" s="149"/>
      <c r="AD1597" s="149"/>
      <c r="AE1597" s="149"/>
      <c r="AF1597" s="149"/>
      <c r="AG1597" s="149"/>
      <c r="AH1597" s="149"/>
      <c r="AI1597" s="149"/>
      <c r="AJ1597" s="149"/>
      <c r="AK1597" s="149"/>
      <c r="AL1597" s="149"/>
      <c r="AM1597" s="149"/>
      <c r="AN1597" s="149"/>
      <c r="AO1597" s="128"/>
      <c r="AP1597" s="128"/>
      <c r="AQ1597" s="128"/>
      <c r="AR1597" s="128"/>
      <c r="AS1597" s="128"/>
      <c r="AT1597" s="128"/>
      <c r="AU1597" s="128"/>
      <c r="AV1597" s="128"/>
      <c r="AW1597" s="128"/>
      <c r="AX1597" s="128"/>
      <c r="AY1597" s="128"/>
      <c r="AZ1597" s="128"/>
      <c r="BA1597" s="128"/>
      <c r="BB1597" s="128"/>
      <c r="BC1597" s="128"/>
      <c r="BD1597" s="128"/>
      <c r="BE1597" s="128"/>
      <c r="BF1597" s="128"/>
      <c r="BG1597" s="128"/>
      <c r="BH1597" s="128"/>
      <c r="BI1597" s="128"/>
      <c r="BJ1597" s="128"/>
      <c r="BK1597" s="128"/>
      <c r="BL1597" s="128"/>
      <c r="BM1597" s="151"/>
      <c r="BN1597" s="128"/>
      <c r="BO1597" s="128"/>
      <c r="BP1597" s="128"/>
      <c r="BQ1597" s="128"/>
      <c r="BR1597" s="128"/>
      <c r="BS1597" s="128"/>
      <c r="BT1597" s="128"/>
      <c r="BU1597" s="128"/>
      <c r="BV1597" s="128"/>
      <c r="BW1597" s="128"/>
      <c r="BX1597" s="128"/>
      <c r="BY1597" s="128"/>
      <c r="BZ1597" s="128"/>
      <c r="CA1597" s="128"/>
      <c r="CB1597" s="128"/>
      <c r="CC1597" s="128"/>
      <c r="CD1597" s="128"/>
      <c r="CE1597" s="128"/>
      <c r="CF1597" s="128"/>
      <c r="CG1597" s="128"/>
      <c r="CI1597" s="128"/>
      <c r="CJ1597" s="128"/>
      <c r="CK1597" s="128"/>
      <c r="CL1597" s="128"/>
      <c r="CM1597" s="128"/>
      <c r="CN1597" s="128"/>
      <c r="CO1597" s="128"/>
      <c r="CP1597" s="128"/>
      <c r="CQ1597" s="128"/>
      <c r="CR1597" s="128"/>
      <c r="CS1597" s="128"/>
      <c r="CT1597" s="128"/>
      <c r="CU1597" s="128"/>
      <c r="CV1597" s="128"/>
      <c r="CW1597" s="128"/>
      <c r="CX1597" s="128"/>
      <c r="CY1597" s="128"/>
      <c r="CZ1597" s="165"/>
    </row>
    <row r="1598" spans="1:104">
      <c r="A1598" s="149"/>
      <c r="B1598" s="149"/>
      <c r="C1598" s="150"/>
      <c r="D1598" s="102"/>
      <c r="E1598" s="149"/>
      <c r="F1598" s="149"/>
      <c r="G1598" s="149"/>
      <c r="H1598" s="149"/>
      <c r="I1598" s="149"/>
      <c r="J1598" s="149"/>
      <c r="K1598" s="149"/>
      <c r="L1598" s="149"/>
      <c r="M1598" s="149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9"/>
      <c r="AA1598" s="149"/>
      <c r="AB1598" s="149"/>
      <c r="AC1598" s="149"/>
      <c r="AD1598" s="149"/>
      <c r="AE1598" s="149"/>
      <c r="AF1598" s="149"/>
      <c r="AG1598" s="149"/>
      <c r="AH1598" s="149"/>
      <c r="AI1598" s="149"/>
      <c r="AJ1598" s="149"/>
      <c r="AK1598" s="149"/>
      <c r="AL1598" s="149"/>
      <c r="AM1598" s="149"/>
      <c r="AN1598" s="149"/>
      <c r="AO1598" s="128"/>
      <c r="AP1598" s="128"/>
      <c r="AQ1598" s="128"/>
      <c r="AR1598" s="128"/>
      <c r="AS1598" s="128"/>
      <c r="AT1598" s="128"/>
      <c r="AU1598" s="128"/>
      <c r="AV1598" s="128"/>
      <c r="AW1598" s="128"/>
      <c r="AX1598" s="128"/>
      <c r="AY1598" s="128"/>
      <c r="AZ1598" s="128"/>
      <c r="BA1598" s="128"/>
      <c r="BB1598" s="128"/>
      <c r="BC1598" s="128"/>
      <c r="BD1598" s="128"/>
      <c r="BE1598" s="128"/>
      <c r="BF1598" s="128"/>
      <c r="BG1598" s="128"/>
      <c r="BH1598" s="128"/>
      <c r="BI1598" s="128"/>
      <c r="BJ1598" s="128"/>
      <c r="BK1598" s="128"/>
      <c r="BL1598" s="128"/>
      <c r="BM1598" s="151"/>
      <c r="BN1598" s="128"/>
      <c r="BO1598" s="128"/>
      <c r="BP1598" s="128"/>
      <c r="BQ1598" s="128"/>
      <c r="BR1598" s="128"/>
      <c r="BS1598" s="128"/>
      <c r="BT1598" s="128"/>
      <c r="BU1598" s="128"/>
      <c r="BV1598" s="128"/>
      <c r="BW1598" s="128"/>
      <c r="BX1598" s="128"/>
      <c r="BY1598" s="128"/>
      <c r="BZ1598" s="128"/>
      <c r="CA1598" s="128"/>
      <c r="CB1598" s="128"/>
      <c r="CC1598" s="128"/>
      <c r="CD1598" s="128"/>
      <c r="CE1598" s="128"/>
      <c r="CF1598" s="128"/>
      <c r="CG1598" s="128"/>
      <c r="CI1598" s="128"/>
      <c r="CJ1598" s="128"/>
      <c r="CK1598" s="128"/>
      <c r="CL1598" s="128"/>
      <c r="CM1598" s="128"/>
      <c r="CN1598" s="128"/>
      <c r="CO1598" s="128"/>
      <c r="CP1598" s="128"/>
      <c r="CQ1598" s="128"/>
      <c r="CR1598" s="128"/>
      <c r="CS1598" s="128"/>
      <c r="CT1598" s="128"/>
      <c r="CU1598" s="128"/>
      <c r="CV1598" s="128"/>
      <c r="CW1598" s="128"/>
      <c r="CX1598" s="128"/>
      <c r="CY1598" s="128"/>
      <c r="CZ1598" s="165"/>
    </row>
    <row r="1599" spans="1:104">
      <c r="A1599" s="149"/>
      <c r="B1599" s="149"/>
      <c r="C1599" s="150"/>
      <c r="D1599" s="102"/>
      <c r="E1599" s="149"/>
      <c r="F1599" s="149"/>
      <c r="G1599" s="149"/>
      <c r="H1599" s="149"/>
      <c r="I1599" s="149"/>
      <c r="J1599" s="149"/>
      <c r="K1599" s="149"/>
      <c r="L1599" s="149"/>
      <c r="M1599" s="149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9"/>
      <c r="AA1599" s="149"/>
      <c r="AB1599" s="149"/>
      <c r="AC1599" s="149"/>
      <c r="AD1599" s="149"/>
      <c r="AE1599" s="149"/>
      <c r="AF1599" s="149"/>
      <c r="AG1599" s="149"/>
      <c r="AH1599" s="149"/>
      <c r="AI1599" s="149"/>
      <c r="AJ1599" s="149"/>
      <c r="AK1599" s="149"/>
      <c r="AL1599" s="149"/>
      <c r="AM1599" s="149"/>
      <c r="AN1599" s="149"/>
      <c r="AO1599" s="128"/>
      <c r="AP1599" s="128"/>
      <c r="AQ1599" s="128"/>
      <c r="AR1599" s="128"/>
      <c r="AS1599" s="128"/>
      <c r="AT1599" s="128"/>
      <c r="AU1599" s="128"/>
      <c r="AV1599" s="128"/>
      <c r="AW1599" s="128"/>
      <c r="AX1599" s="128"/>
      <c r="AY1599" s="128"/>
      <c r="AZ1599" s="128"/>
      <c r="BA1599" s="128"/>
      <c r="BB1599" s="128"/>
      <c r="BC1599" s="128"/>
      <c r="BD1599" s="128"/>
      <c r="BE1599" s="128"/>
      <c r="BF1599" s="128"/>
      <c r="BG1599" s="128"/>
      <c r="BH1599" s="128"/>
      <c r="BI1599" s="128"/>
      <c r="BJ1599" s="128"/>
      <c r="BK1599" s="128"/>
      <c r="BL1599" s="128"/>
      <c r="BM1599" s="151"/>
      <c r="BN1599" s="128"/>
      <c r="BO1599" s="128"/>
      <c r="BP1599" s="128"/>
      <c r="BQ1599" s="128"/>
      <c r="BR1599" s="128"/>
      <c r="BS1599" s="128"/>
      <c r="BT1599" s="128"/>
      <c r="BU1599" s="128"/>
      <c r="BV1599" s="128"/>
      <c r="BW1599" s="128"/>
      <c r="BX1599" s="128"/>
      <c r="BY1599" s="128"/>
      <c r="BZ1599" s="128"/>
      <c r="CA1599" s="128"/>
      <c r="CB1599" s="128"/>
      <c r="CC1599" s="128"/>
      <c r="CD1599" s="128"/>
      <c r="CE1599" s="128"/>
      <c r="CF1599" s="128"/>
      <c r="CG1599" s="128"/>
      <c r="CI1599" s="128"/>
      <c r="CJ1599" s="128"/>
      <c r="CK1599" s="128"/>
      <c r="CL1599" s="128"/>
      <c r="CM1599" s="128"/>
      <c r="CN1599" s="128"/>
      <c r="CO1599" s="128"/>
      <c r="CP1599" s="128"/>
      <c r="CQ1599" s="128"/>
      <c r="CR1599" s="128"/>
      <c r="CS1599" s="128"/>
      <c r="CT1599" s="128"/>
      <c r="CU1599" s="128"/>
      <c r="CV1599" s="128"/>
      <c r="CW1599" s="128"/>
      <c r="CX1599" s="128"/>
      <c r="CY1599" s="128"/>
      <c r="CZ1599" s="165"/>
    </row>
    <row r="1600" spans="1:104">
      <c r="A1600" s="149"/>
      <c r="B1600" s="149"/>
      <c r="C1600" s="150"/>
      <c r="D1600" s="102"/>
      <c r="E1600" s="149"/>
      <c r="F1600" s="149"/>
      <c r="G1600" s="149"/>
      <c r="H1600" s="149"/>
      <c r="I1600" s="149"/>
      <c r="J1600" s="149"/>
      <c r="K1600" s="149"/>
      <c r="L1600" s="149"/>
      <c r="M1600" s="149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9"/>
      <c r="AA1600" s="149"/>
      <c r="AB1600" s="149"/>
      <c r="AC1600" s="149"/>
      <c r="AD1600" s="149"/>
      <c r="AE1600" s="149"/>
      <c r="AF1600" s="149"/>
      <c r="AG1600" s="149"/>
      <c r="AH1600" s="149"/>
      <c r="AI1600" s="149"/>
      <c r="AJ1600" s="149"/>
      <c r="AK1600" s="149"/>
      <c r="AL1600" s="149"/>
      <c r="AM1600" s="149"/>
      <c r="AN1600" s="149"/>
      <c r="AO1600" s="128"/>
      <c r="AP1600" s="128"/>
      <c r="AQ1600" s="128"/>
      <c r="AR1600" s="128"/>
      <c r="AS1600" s="128"/>
      <c r="AT1600" s="128"/>
      <c r="AU1600" s="128"/>
      <c r="AV1600" s="128"/>
      <c r="AW1600" s="128"/>
      <c r="AX1600" s="128"/>
      <c r="AY1600" s="128"/>
      <c r="AZ1600" s="128"/>
      <c r="BA1600" s="128"/>
      <c r="BB1600" s="128"/>
      <c r="BC1600" s="128"/>
      <c r="BD1600" s="128"/>
      <c r="BE1600" s="128"/>
      <c r="BF1600" s="128"/>
      <c r="BG1600" s="128"/>
      <c r="BH1600" s="128"/>
      <c r="BI1600" s="128"/>
      <c r="BJ1600" s="128"/>
      <c r="BK1600" s="128"/>
      <c r="BL1600" s="128"/>
      <c r="BM1600" s="151"/>
      <c r="BN1600" s="128"/>
      <c r="BO1600" s="128"/>
      <c r="BP1600" s="128"/>
      <c r="BQ1600" s="128"/>
      <c r="BR1600" s="128"/>
      <c r="BS1600" s="128"/>
      <c r="BT1600" s="128"/>
      <c r="BU1600" s="128"/>
      <c r="BV1600" s="128"/>
      <c r="BW1600" s="128"/>
      <c r="BX1600" s="128"/>
      <c r="BY1600" s="128"/>
      <c r="BZ1600" s="128"/>
      <c r="CA1600" s="128"/>
      <c r="CB1600" s="128"/>
      <c r="CC1600" s="128"/>
      <c r="CD1600" s="128"/>
      <c r="CE1600" s="128"/>
      <c r="CF1600" s="128"/>
      <c r="CG1600" s="128"/>
      <c r="CI1600" s="128"/>
      <c r="CJ1600" s="128"/>
      <c r="CK1600" s="128"/>
      <c r="CL1600" s="128"/>
      <c r="CM1600" s="128"/>
      <c r="CN1600" s="128"/>
      <c r="CO1600" s="128"/>
      <c r="CP1600" s="128"/>
      <c r="CQ1600" s="128"/>
      <c r="CR1600" s="128"/>
      <c r="CS1600" s="128"/>
      <c r="CT1600" s="128"/>
      <c r="CU1600" s="128"/>
      <c r="CV1600" s="128"/>
      <c r="CW1600" s="128"/>
      <c r="CX1600" s="128"/>
      <c r="CY1600" s="128"/>
      <c r="CZ1600" s="165"/>
    </row>
    <row r="1601" spans="1:104">
      <c r="A1601" s="149"/>
      <c r="B1601" s="149"/>
      <c r="C1601" s="150"/>
      <c r="D1601" s="102"/>
      <c r="E1601" s="149"/>
      <c r="F1601" s="149"/>
      <c r="G1601" s="149"/>
      <c r="H1601" s="149"/>
      <c r="I1601" s="149"/>
      <c r="J1601" s="149"/>
      <c r="K1601" s="149"/>
      <c r="L1601" s="149"/>
      <c r="M1601" s="149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9"/>
      <c r="AA1601" s="149"/>
      <c r="AB1601" s="149"/>
      <c r="AC1601" s="149"/>
      <c r="AD1601" s="149"/>
      <c r="AE1601" s="149"/>
      <c r="AF1601" s="149"/>
      <c r="AG1601" s="149"/>
      <c r="AH1601" s="149"/>
      <c r="AI1601" s="149"/>
      <c r="AJ1601" s="149"/>
      <c r="AK1601" s="149"/>
      <c r="AL1601" s="149"/>
      <c r="AM1601" s="149"/>
      <c r="AN1601" s="149"/>
      <c r="AO1601" s="128"/>
      <c r="AP1601" s="128"/>
      <c r="AQ1601" s="128"/>
      <c r="AR1601" s="128"/>
      <c r="AS1601" s="128"/>
      <c r="AT1601" s="128"/>
      <c r="AU1601" s="128"/>
      <c r="AV1601" s="128"/>
      <c r="AW1601" s="128"/>
      <c r="AX1601" s="128"/>
      <c r="AY1601" s="128"/>
      <c r="AZ1601" s="128"/>
      <c r="BA1601" s="128"/>
      <c r="BB1601" s="128"/>
      <c r="BC1601" s="128"/>
      <c r="BD1601" s="128"/>
      <c r="BE1601" s="128"/>
      <c r="BF1601" s="128"/>
      <c r="BG1601" s="128"/>
      <c r="BH1601" s="128"/>
      <c r="BI1601" s="128"/>
      <c r="BJ1601" s="128"/>
      <c r="BK1601" s="128"/>
      <c r="BL1601" s="128"/>
      <c r="BM1601" s="151"/>
      <c r="BN1601" s="128"/>
      <c r="BO1601" s="128"/>
      <c r="BP1601" s="128"/>
      <c r="BQ1601" s="128"/>
      <c r="BR1601" s="128"/>
      <c r="BS1601" s="128"/>
      <c r="BT1601" s="128"/>
      <c r="BU1601" s="128"/>
      <c r="BV1601" s="128"/>
      <c r="BW1601" s="128"/>
      <c r="BX1601" s="128"/>
      <c r="BY1601" s="128"/>
      <c r="BZ1601" s="128"/>
      <c r="CA1601" s="128"/>
      <c r="CB1601" s="128"/>
      <c r="CC1601" s="128"/>
      <c r="CD1601" s="128"/>
      <c r="CE1601" s="128"/>
      <c r="CF1601" s="128"/>
      <c r="CG1601" s="128"/>
      <c r="CI1601" s="128"/>
      <c r="CJ1601" s="128"/>
      <c r="CK1601" s="128"/>
      <c r="CL1601" s="128"/>
      <c r="CM1601" s="128"/>
      <c r="CN1601" s="128"/>
      <c r="CO1601" s="128"/>
      <c r="CP1601" s="128"/>
      <c r="CQ1601" s="128"/>
      <c r="CR1601" s="128"/>
      <c r="CS1601" s="128"/>
      <c r="CT1601" s="128"/>
      <c r="CU1601" s="128"/>
      <c r="CV1601" s="128"/>
      <c r="CW1601" s="128"/>
      <c r="CX1601" s="128"/>
      <c r="CY1601" s="128"/>
      <c r="CZ1601" s="165"/>
    </row>
    <row r="1602" spans="1:104">
      <c r="A1602" s="149"/>
      <c r="B1602" s="149"/>
      <c r="C1602" s="150"/>
      <c r="D1602" s="102"/>
      <c r="E1602" s="149"/>
      <c r="F1602" s="149"/>
      <c r="G1602" s="149"/>
      <c r="H1602" s="149"/>
      <c r="I1602" s="149"/>
      <c r="J1602" s="149"/>
      <c r="K1602" s="149"/>
      <c r="L1602" s="149"/>
      <c r="M1602" s="149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9"/>
      <c r="AA1602" s="149"/>
      <c r="AB1602" s="149"/>
      <c r="AC1602" s="149"/>
      <c r="AD1602" s="149"/>
      <c r="AE1602" s="149"/>
      <c r="AF1602" s="149"/>
      <c r="AG1602" s="149"/>
      <c r="AH1602" s="149"/>
      <c r="AI1602" s="149"/>
      <c r="AJ1602" s="149"/>
      <c r="AK1602" s="149"/>
      <c r="AL1602" s="149"/>
      <c r="AM1602" s="149"/>
      <c r="AN1602" s="149"/>
      <c r="AO1602" s="128"/>
      <c r="AP1602" s="128"/>
      <c r="AQ1602" s="128"/>
      <c r="AR1602" s="128"/>
      <c r="AS1602" s="128"/>
      <c r="AT1602" s="128"/>
      <c r="AU1602" s="128"/>
      <c r="AV1602" s="128"/>
      <c r="AW1602" s="128"/>
      <c r="AX1602" s="128"/>
      <c r="AY1602" s="128"/>
      <c r="AZ1602" s="128"/>
      <c r="BA1602" s="128"/>
      <c r="BB1602" s="128"/>
      <c r="BC1602" s="128"/>
      <c r="BD1602" s="128"/>
      <c r="BE1602" s="128"/>
      <c r="BF1602" s="128"/>
      <c r="BG1602" s="128"/>
      <c r="BH1602" s="128"/>
      <c r="BI1602" s="128"/>
      <c r="BJ1602" s="128"/>
      <c r="BK1602" s="128"/>
      <c r="BL1602" s="128"/>
      <c r="BM1602" s="151"/>
      <c r="BN1602" s="128"/>
      <c r="BO1602" s="128"/>
      <c r="BP1602" s="128"/>
      <c r="BQ1602" s="128"/>
      <c r="BR1602" s="128"/>
      <c r="BS1602" s="128"/>
      <c r="BT1602" s="128"/>
      <c r="BU1602" s="128"/>
      <c r="BV1602" s="128"/>
      <c r="BW1602" s="128"/>
      <c r="BX1602" s="128"/>
      <c r="BY1602" s="128"/>
      <c r="BZ1602" s="128"/>
      <c r="CA1602" s="128"/>
      <c r="CB1602" s="128"/>
      <c r="CC1602" s="128"/>
      <c r="CD1602" s="128"/>
      <c r="CE1602" s="128"/>
      <c r="CF1602" s="128"/>
      <c r="CG1602" s="128"/>
      <c r="CI1602" s="128"/>
      <c r="CJ1602" s="128"/>
      <c r="CK1602" s="128"/>
      <c r="CL1602" s="128"/>
      <c r="CM1602" s="128"/>
      <c r="CN1602" s="128"/>
      <c r="CO1602" s="128"/>
      <c r="CP1602" s="128"/>
      <c r="CQ1602" s="128"/>
      <c r="CR1602" s="128"/>
      <c r="CS1602" s="128"/>
      <c r="CT1602" s="128"/>
      <c r="CU1602" s="128"/>
      <c r="CV1602" s="128"/>
      <c r="CW1602" s="128"/>
      <c r="CX1602" s="128"/>
      <c r="CY1602" s="128"/>
      <c r="CZ1602" s="165"/>
    </row>
    <row r="1603" spans="1:104">
      <c r="A1603" s="149"/>
      <c r="B1603" s="149"/>
      <c r="C1603" s="150"/>
      <c r="D1603" s="102"/>
      <c r="E1603" s="149"/>
      <c r="F1603" s="149"/>
      <c r="G1603" s="149"/>
      <c r="H1603" s="149"/>
      <c r="I1603" s="149"/>
      <c r="J1603" s="149"/>
      <c r="K1603" s="149"/>
      <c r="L1603" s="149"/>
      <c r="M1603" s="149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9"/>
      <c r="AA1603" s="149"/>
      <c r="AB1603" s="149"/>
      <c r="AC1603" s="149"/>
      <c r="AD1603" s="149"/>
      <c r="AE1603" s="149"/>
      <c r="AF1603" s="149"/>
      <c r="AG1603" s="149"/>
      <c r="AH1603" s="149"/>
      <c r="AI1603" s="149"/>
      <c r="AJ1603" s="149"/>
      <c r="AK1603" s="149"/>
      <c r="AL1603" s="149"/>
      <c r="AM1603" s="149"/>
      <c r="AN1603" s="149"/>
      <c r="AO1603" s="128"/>
      <c r="AP1603" s="128"/>
      <c r="AQ1603" s="128"/>
      <c r="AR1603" s="128"/>
      <c r="AS1603" s="128"/>
      <c r="AT1603" s="128"/>
      <c r="AU1603" s="128"/>
      <c r="AV1603" s="128"/>
      <c r="AW1603" s="128"/>
      <c r="AX1603" s="128"/>
      <c r="AY1603" s="128"/>
      <c r="AZ1603" s="128"/>
      <c r="BA1603" s="128"/>
      <c r="BB1603" s="128"/>
      <c r="BC1603" s="128"/>
      <c r="BD1603" s="128"/>
      <c r="BE1603" s="128"/>
      <c r="BF1603" s="128"/>
      <c r="BG1603" s="128"/>
      <c r="BH1603" s="128"/>
      <c r="BI1603" s="128"/>
      <c r="BJ1603" s="128"/>
      <c r="BK1603" s="128"/>
      <c r="BL1603" s="128"/>
      <c r="BM1603" s="151"/>
      <c r="BN1603" s="128"/>
      <c r="BO1603" s="128"/>
      <c r="BP1603" s="128"/>
      <c r="BQ1603" s="128"/>
      <c r="BR1603" s="128"/>
      <c r="BS1603" s="128"/>
      <c r="BT1603" s="128"/>
      <c r="BU1603" s="128"/>
      <c r="BV1603" s="128"/>
      <c r="BW1603" s="128"/>
      <c r="BX1603" s="128"/>
      <c r="BY1603" s="128"/>
      <c r="BZ1603" s="128"/>
      <c r="CA1603" s="128"/>
      <c r="CB1603" s="128"/>
      <c r="CC1603" s="128"/>
      <c r="CD1603" s="128"/>
      <c r="CE1603" s="128"/>
      <c r="CF1603" s="128"/>
      <c r="CG1603" s="128"/>
      <c r="CI1603" s="128"/>
      <c r="CJ1603" s="128"/>
      <c r="CK1603" s="128"/>
      <c r="CL1603" s="128"/>
      <c r="CM1603" s="128"/>
      <c r="CN1603" s="128"/>
      <c r="CO1603" s="128"/>
      <c r="CP1603" s="128"/>
      <c r="CQ1603" s="128"/>
      <c r="CR1603" s="128"/>
      <c r="CS1603" s="128"/>
      <c r="CT1603" s="128"/>
      <c r="CU1603" s="128"/>
      <c r="CV1603" s="128"/>
      <c r="CW1603" s="128"/>
      <c r="CX1603" s="128"/>
      <c r="CY1603" s="128"/>
      <c r="CZ1603" s="165"/>
    </row>
    <row r="1604" spans="1:104">
      <c r="A1604" s="149"/>
      <c r="B1604" s="149"/>
      <c r="C1604" s="150"/>
      <c r="D1604" s="102"/>
      <c r="E1604" s="149"/>
      <c r="F1604" s="149"/>
      <c r="G1604" s="149"/>
      <c r="H1604" s="149"/>
      <c r="I1604" s="149"/>
      <c r="J1604" s="149"/>
      <c r="K1604" s="149"/>
      <c r="L1604" s="149"/>
      <c r="M1604" s="149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9"/>
      <c r="AA1604" s="149"/>
      <c r="AB1604" s="149"/>
      <c r="AC1604" s="149"/>
      <c r="AD1604" s="149"/>
      <c r="AE1604" s="149"/>
      <c r="AF1604" s="149"/>
      <c r="AG1604" s="149"/>
      <c r="AH1604" s="149"/>
      <c r="AI1604" s="149"/>
      <c r="AJ1604" s="149"/>
      <c r="AK1604" s="149"/>
      <c r="AL1604" s="149"/>
      <c r="AM1604" s="149"/>
      <c r="AN1604" s="149"/>
      <c r="AO1604" s="128"/>
      <c r="AP1604" s="128"/>
      <c r="AQ1604" s="128"/>
      <c r="AR1604" s="128"/>
      <c r="AS1604" s="128"/>
      <c r="AT1604" s="128"/>
      <c r="AU1604" s="128"/>
      <c r="AV1604" s="128"/>
      <c r="AW1604" s="128"/>
      <c r="AX1604" s="128"/>
      <c r="AY1604" s="128"/>
      <c r="AZ1604" s="128"/>
      <c r="BA1604" s="128"/>
      <c r="BB1604" s="128"/>
      <c r="BC1604" s="128"/>
      <c r="BD1604" s="128"/>
      <c r="BE1604" s="128"/>
      <c r="BF1604" s="128"/>
      <c r="BG1604" s="128"/>
      <c r="BH1604" s="128"/>
      <c r="BI1604" s="128"/>
      <c r="BJ1604" s="128"/>
      <c r="BK1604" s="128"/>
      <c r="BL1604" s="128"/>
      <c r="BM1604" s="151"/>
      <c r="BN1604" s="128"/>
      <c r="BO1604" s="128"/>
      <c r="BP1604" s="128"/>
      <c r="BQ1604" s="128"/>
      <c r="BR1604" s="128"/>
      <c r="BS1604" s="128"/>
      <c r="BT1604" s="128"/>
      <c r="BU1604" s="128"/>
      <c r="BV1604" s="128"/>
      <c r="BW1604" s="128"/>
      <c r="BX1604" s="128"/>
      <c r="BY1604" s="128"/>
      <c r="BZ1604" s="128"/>
      <c r="CA1604" s="128"/>
      <c r="CB1604" s="128"/>
      <c r="CC1604" s="128"/>
      <c r="CD1604" s="128"/>
      <c r="CE1604" s="128"/>
      <c r="CF1604" s="128"/>
      <c r="CG1604" s="128"/>
      <c r="CI1604" s="128"/>
      <c r="CJ1604" s="128"/>
      <c r="CK1604" s="128"/>
      <c r="CL1604" s="128"/>
      <c r="CM1604" s="128"/>
      <c r="CN1604" s="128"/>
      <c r="CO1604" s="128"/>
      <c r="CP1604" s="128"/>
      <c r="CQ1604" s="128"/>
      <c r="CR1604" s="128"/>
      <c r="CS1604" s="128"/>
      <c r="CT1604" s="128"/>
      <c r="CU1604" s="128"/>
      <c r="CV1604" s="128"/>
      <c r="CW1604" s="128"/>
      <c r="CX1604" s="128"/>
      <c r="CY1604" s="128"/>
      <c r="CZ1604" s="165"/>
    </row>
    <row r="1605" spans="1:104">
      <c r="A1605" s="149"/>
      <c r="B1605" s="149"/>
      <c r="C1605" s="150"/>
      <c r="D1605" s="102"/>
      <c r="E1605" s="149"/>
      <c r="F1605" s="149"/>
      <c r="G1605" s="149"/>
      <c r="H1605" s="149"/>
      <c r="I1605" s="149"/>
      <c r="J1605" s="149"/>
      <c r="K1605" s="149"/>
      <c r="L1605" s="149"/>
      <c r="M1605" s="149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9"/>
      <c r="AA1605" s="149"/>
      <c r="AB1605" s="149"/>
      <c r="AC1605" s="149"/>
      <c r="AD1605" s="149"/>
      <c r="AE1605" s="149"/>
      <c r="AF1605" s="149"/>
      <c r="AG1605" s="149"/>
      <c r="AH1605" s="149"/>
      <c r="AI1605" s="149"/>
      <c r="AJ1605" s="149"/>
      <c r="AK1605" s="149"/>
      <c r="AL1605" s="149"/>
      <c r="AM1605" s="149"/>
      <c r="AN1605" s="149"/>
      <c r="AO1605" s="128"/>
      <c r="AP1605" s="128"/>
      <c r="AQ1605" s="128"/>
      <c r="AR1605" s="128"/>
      <c r="AS1605" s="128"/>
      <c r="AT1605" s="128"/>
      <c r="AU1605" s="128"/>
      <c r="AV1605" s="128"/>
      <c r="AW1605" s="128"/>
      <c r="AX1605" s="128"/>
      <c r="AY1605" s="128"/>
      <c r="AZ1605" s="128"/>
      <c r="BA1605" s="128"/>
      <c r="BB1605" s="128"/>
      <c r="BC1605" s="128"/>
      <c r="BD1605" s="128"/>
      <c r="BE1605" s="128"/>
      <c r="BF1605" s="128"/>
      <c r="BG1605" s="128"/>
      <c r="BH1605" s="128"/>
      <c r="BI1605" s="128"/>
      <c r="BJ1605" s="128"/>
      <c r="BK1605" s="128"/>
      <c r="BL1605" s="128"/>
      <c r="BM1605" s="151"/>
      <c r="BN1605" s="128"/>
      <c r="BO1605" s="128"/>
      <c r="BP1605" s="128"/>
      <c r="BQ1605" s="128"/>
      <c r="BR1605" s="128"/>
      <c r="BS1605" s="128"/>
      <c r="BT1605" s="128"/>
      <c r="BU1605" s="128"/>
      <c r="BV1605" s="128"/>
      <c r="BW1605" s="128"/>
      <c r="BX1605" s="128"/>
      <c r="BY1605" s="128"/>
      <c r="BZ1605" s="128"/>
      <c r="CA1605" s="128"/>
      <c r="CB1605" s="128"/>
      <c r="CC1605" s="128"/>
      <c r="CD1605" s="128"/>
      <c r="CE1605" s="128"/>
      <c r="CF1605" s="128"/>
      <c r="CG1605" s="128"/>
      <c r="CI1605" s="128"/>
      <c r="CJ1605" s="128"/>
      <c r="CK1605" s="128"/>
      <c r="CL1605" s="128"/>
      <c r="CM1605" s="128"/>
      <c r="CN1605" s="128"/>
      <c r="CO1605" s="128"/>
      <c r="CP1605" s="128"/>
      <c r="CQ1605" s="128"/>
      <c r="CR1605" s="128"/>
      <c r="CS1605" s="128"/>
      <c r="CT1605" s="128"/>
      <c r="CU1605" s="128"/>
      <c r="CV1605" s="128"/>
      <c r="CW1605" s="128"/>
      <c r="CX1605" s="128"/>
      <c r="CY1605" s="128"/>
      <c r="CZ1605" s="165"/>
    </row>
    <row r="1606" spans="1:104">
      <c r="A1606" s="149"/>
      <c r="B1606" s="149"/>
      <c r="C1606" s="150"/>
      <c r="D1606" s="102"/>
      <c r="E1606" s="149"/>
      <c r="F1606" s="149"/>
      <c r="G1606" s="149"/>
      <c r="H1606" s="149"/>
      <c r="I1606" s="149"/>
      <c r="J1606" s="149"/>
      <c r="K1606" s="149"/>
      <c r="L1606" s="149"/>
      <c r="M1606" s="149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9"/>
      <c r="AA1606" s="149"/>
      <c r="AB1606" s="149"/>
      <c r="AC1606" s="149"/>
      <c r="AD1606" s="149"/>
      <c r="AE1606" s="149"/>
      <c r="AF1606" s="149"/>
      <c r="AG1606" s="149"/>
      <c r="AH1606" s="149"/>
      <c r="AI1606" s="149"/>
      <c r="AJ1606" s="149"/>
      <c r="AK1606" s="149"/>
      <c r="AL1606" s="149"/>
      <c r="AM1606" s="149"/>
      <c r="AN1606" s="149"/>
      <c r="AO1606" s="128"/>
      <c r="AP1606" s="128"/>
      <c r="AQ1606" s="128"/>
      <c r="AR1606" s="128"/>
      <c r="AS1606" s="128"/>
      <c r="AT1606" s="128"/>
      <c r="AU1606" s="128"/>
      <c r="AV1606" s="128"/>
      <c r="AW1606" s="128"/>
      <c r="AX1606" s="128"/>
      <c r="AY1606" s="128"/>
      <c r="AZ1606" s="128"/>
      <c r="BA1606" s="128"/>
      <c r="BB1606" s="128"/>
      <c r="BC1606" s="128"/>
      <c r="BD1606" s="128"/>
      <c r="BE1606" s="128"/>
      <c r="BF1606" s="128"/>
      <c r="BG1606" s="128"/>
      <c r="BH1606" s="128"/>
      <c r="BI1606" s="128"/>
      <c r="BJ1606" s="128"/>
      <c r="BK1606" s="128"/>
      <c r="BL1606" s="128"/>
      <c r="BM1606" s="151"/>
      <c r="BN1606" s="128"/>
      <c r="BO1606" s="128"/>
      <c r="BP1606" s="128"/>
      <c r="BQ1606" s="128"/>
      <c r="BR1606" s="128"/>
      <c r="BS1606" s="128"/>
      <c r="BT1606" s="128"/>
      <c r="BU1606" s="128"/>
      <c r="BV1606" s="128"/>
      <c r="BW1606" s="128"/>
      <c r="BX1606" s="128"/>
      <c r="BY1606" s="128"/>
      <c r="BZ1606" s="128"/>
      <c r="CA1606" s="128"/>
      <c r="CB1606" s="128"/>
      <c r="CC1606" s="128"/>
      <c r="CD1606" s="128"/>
      <c r="CE1606" s="128"/>
      <c r="CF1606" s="128"/>
      <c r="CG1606" s="128"/>
      <c r="CI1606" s="128"/>
      <c r="CJ1606" s="128"/>
      <c r="CK1606" s="128"/>
      <c r="CL1606" s="128"/>
      <c r="CM1606" s="128"/>
      <c r="CN1606" s="128"/>
      <c r="CO1606" s="128"/>
      <c r="CP1606" s="128"/>
      <c r="CQ1606" s="128"/>
      <c r="CR1606" s="128"/>
      <c r="CS1606" s="128"/>
      <c r="CT1606" s="128"/>
      <c r="CU1606" s="128"/>
      <c r="CV1606" s="128"/>
      <c r="CW1606" s="128"/>
      <c r="CX1606" s="128"/>
      <c r="CY1606" s="128"/>
      <c r="CZ1606" s="165"/>
    </row>
    <row r="1607" spans="1:104">
      <c r="A1607" s="149"/>
      <c r="B1607" s="149"/>
      <c r="C1607" s="150"/>
      <c r="D1607" s="102"/>
      <c r="E1607" s="149"/>
      <c r="F1607" s="149"/>
      <c r="G1607" s="149"/>
      <c r="H1607" s="149"/>
      <c r="I1607" s="149"/>
      <c r="J1607" s="149"/>
      <c r="K1607" s="149"/>
      <c r="L1607" s="149"/>
      <c r="M1607" s="149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9"/>
      <c r="AA1607" s="149"/>
      <c r="AB1607" s="149"/>
      <c r="AC1607" s="149"/>
      <c r="AD1607" s="149"/>
      <c r="AE1607" s="149"/>
      <c r="AF1607" s="149"/>
      <c r="AG1607" s="149"/>
      <c r="AH1607" s="149"/>
      <c r="AI1607" s="149"/>
      <c r="AJ1607" s="149"/>
      <c r="AK1607" s="149"/>
      <c r="AL1607" s="149"/>
      <c r="AM1607" s="149"/>
      <c r="AN1607" s="149"/>
      <c r="AO1607" s="128"/>
      <c r="AP1607" s="128"/>
      <c r="AQ1607" s="128"/>
      <c r="AR1607" s="128"/>
      <c r="AS1607" s="128"/>
      <c r="AT1607" s="128"/>
      <c r="AU1607" s="128"/>
      <c r="AV1607" s="128"/>
      <c r="AW1607" s="128"/>
      <c r="AX1607" s="128"/>
      <c r="AY1607" s="128"/>
      <c r="AZ1607" s="128"/>
      <c r="BA1607" s="128"/>
      <c r="BB1607" s="128"/>
      <c r="BC1607" s="128"/>
      <c r="BD1607" s="128"/>
      <c r="BE1607" s="128"/>
      <c r="BF1607" s="128"/>
      <c r="BG1607" s="128"/>
      <c r="BH1607" s="128"/>
      <c r="BI1607" s="128"/>
      <c r="BJ1607" s="128"/>
      <c r="BK1607" s="128"/>
      <c r="BL1607" s="128"/>
      <c r="BM1607" s="151"/>
      <c r="BN1607" s="128"/>
      <c r="BO1607" s="128"/>
      <c r="BP1607" s="128"/>
      <c r="BQ1607" s="128"/>
      <c r="BR1607" s="128"/>
      <c r="BS1607" s="128"/>
      <c r="BT1607" s="128"/>
      <c r="BU1607" s="128"/>
      <c r="BV1607" s="128"/>
      <c r="BW1607" s="128"/>
      <c r="BX1607" s="128"/>
      <c r="BY1607" s="128"/>
      <c r="BZ1607" s="128"/>
      <c r="CA1607" s="128"/>
      <c r="CB1607" s="128"/>
      <c r="CC1607" s="128"/>
      <c r="CD1607" s="128"/>
      <c r="CE1607" s="128"/>
      <c r="CF1607" s="128"/>
      <c r="CG1607" s="128"/>
      <c r="CI1607" s="128"/>
      <c r="CJ1607" s="128"/>
      <c r="CK1607" s="128"/>
      <c r="CL1607" s="128"/>
      <c r="CM1607" s="128"/>
      <c r="CN1607" s="128"/>
      <c r="CO1607" s="128"/>
      <c r="CP1607" s="128"/>
      <c r="CQ1607" s="128"/>
      <c r="CR1607" s="128"/>
      <c r="CS1607" s="128"/>
      <c r="CT1607" s="128"/>
      <c r="CU1607" s="128"/>
      <c r="CV1607" s="128"/>
      <c r="CW1607" s="128"/>
      <c r="CX1607" s="128"/>
      <c r="CY1607" s="128"/>
      <c r="CZ1607" s="165"/>
    </row>
    <row r="1608" spans="1:104">
      <c r="A1608" s="149"/>
      <c r="B1608" s="149"/>
      <c r="C1608" s="150"/>
      <c r="D1608" s="102"/>
      <c r="E1608" s="149"/>
      <c r="F1608" s="149"/>
      <c r="G1608" s="149"/>
      <c r="H1608" s="149"/>
      <c r="I1608" s="149"/>
      <c r="J1608" s="149"/>
      <c r="K1608" s="149"/>
      <c r="L1608" s="149"/>
      <c r="M1608" s="149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9"/>
      <c r="AA1608" s="149"/>
      <c r="AB1608" s="149"/>
      <c r="AC1608" s="149"/>
      <c r="AD1608" s="149"/>
      <c r="AE1608" s="149"/>
      <c r="AF1608" s="149"/>
      <c r="AG1608" s="149"/>
      <c r="AH1608" s="149"/>
      <c r="AI1608" s="149"/>
      <c r="AJ1608" s="149"/>
      <c r="AK1608" s="149"/>
      <c r="AL1608" s="149"/>
      <c r="AM1608" s="149"/>
      <c r="AN1608" s="149"/>
      <c r="AO1608" s="128"/>
      <c r="AP1608" s="128"/>
      <c r="AQ1608" s="128"/>
      <c r="AR1608" s="128"/>
      <c r="AS1608" s="128"/>
      <c r="AT1608" s="128"/>
      <c r="AU1608" s="128"/>
      <c r="AV1608" s="128"/>
      <c r="AW1608" s="128"/>
      <c r="AX1608" s="128"/>
      <c r="AY1608" s="128"/>
      <c r="AZ1608" s="128"/>
      <c r="BA1608" s="128"/>
      <c r="BB1608" s="128"/>
      <c r="BC1608" s="128"/>
      <c r="BD1608" s="128"/>
      <c r="BE1608" s="128"/>
      <c r="BF1608" s="128"/>
      <c r="BG1608" s="128"/>
      <c r="BH1608" s="128"/>
      <c r="BI1608" s="128"/>
      <c r="BJ1608" s="128"/>
      <c r="BK1608" s="128"/>
      <c r="BL1608" s="128"/>
      <c r="BM1608" s="151"/>
      <c r="BN1608" s="128"/>
      <c r="BO1608" s="128"/>
      <c r="BP1608" s="128"/>
      <c r="BQ1608" s="128"/>
      <c r="BR1608" s="128"/>
      <c r="BS1608" s="128"/>
      <c r="BT1608" s="128"/>
      <c r="BU1608" s="128"/>
      <c r="BV1608" s="128"/>
      <c r="BW1608" s="128"/>
      <c r="BX1608" s="128"/>
      <c r="BY1608" s="128"/>
      <c r="BZ1608" s="128"/>
      <c r="CA1608" s="128"/>
      <c r="CB1608" s="128"/>
      <c r="CC1608" s="128"/>
      <c r="CD1608" s="128"/>
      <c r="CE1608" s="128"/>
      <c r="CF1608" s="128"/>
      <c r="CG1608" s="128"/>
      <c r="CI1608" s="128"/>
      <c r="CJ1608" s="128"/>
      <c r="CK1608" s="128"/>
      <c r="CL1608" s="128"/>
      <c r="CM1608" s="128"/>
      <c r="CN1608" s="128"/>
      <c r="CO1608" s="128"/>
      <c r="CP1608" s="128"/>
      <c r="CQ1608" s="128"/>
      <c r="CR1608" s="128"/>
      <c r="CS1608" s="128"/>
      <c r="CT1608" s="128"/>
      <c r="CU1608" s="128"/>
      <c r="CV1608" s="128"/>
      <c r="CW1608" s="128"/>
      <c r="CX1608" s="128"/>
      <c r="CY1608" s="128"/>
      <c r="CZ1608" s="165"/>
    </row>
    <row r="1609" spans="1:104">
      <c r="A1609" s="149"/>
      <c r="B1609" s="149"/>
      <c r="C1609" s="150"/>
      <c r="D1609" s="102"/>
      <c r="E1609" s="149"/>
      <c r="F1609" s="149"/>
      <c r="G1609" s="149"/>
      <c r="H1609" s="149"/>
      <c r="I1609" s="149"/>
      <c r="J1609" s="149"/>
      <c r="K1609" s="149"/>
      <c r="L1609" s="149"/>
      <c r="M1609" s="149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9"/>
      <c r="AA1609" s="149"/>
      <c r="AB1609" s="149"/>
      <c r="AC1609" s="149"/>
      <c r="AD1609" s="149"/>
      <c r="AE1609" s="149"/>
      <c r="AF1609" s="149"/>
      <c r="AG1609" s="149"/>
      <c r="AH1609" s="149"/>
      <c r="AI1609" s="149"/>
      <c r="AJ1609" s="149"/>
      <c r="AK1609" s="149"/>
      <c r="AL1609" s="149"/>
      <c r="AM1609" s="149"/>
      <c r="AN1609" s="149"/>
      <c r="AO1609" s="128"/>
      <c r="AP1609" s="128"/>
      <c r="AQ1609" s="128"/>
      <c r="AR1609" s="128"/>
      <c r="AS1609" s="128"/>
      <c r="AT1609" s="128"/>
      <c r="AU1609" s="128"/>
      <c r="AV1609" s="128"/>
      <c r="AW1609" s="128"/>
      <c r="AX1609" s="128"/>
      <c r="AY1609" s="128"/>
      <c r="AZ1609" s="128"/>
      <c r="BA1609" s="128"/>
      <c r="BB1609" s="128"/>
      <c r="BC1609" s="128"/>
      <c r="BD1609" s="128"/>
      <c r="BE1609" s="128"/>
      <c r="BF1609" s="128"/>
      <c r="BG1609" s="128"/>
      <c r="BH1609" s="128"/>
      <c r="BI1609" s="128"/>
      <c r="BJ1609" s="128"/>
      <c r="BK1609" s="128"/>
      <c r="BL1609" s="128"/>
      <c r="BM1609" s="151"/>
      <c r="BN1609" s="128"/>
      <c r="BO1609" s="128"/>
      <c r="BP1609" s="128"/>
      <c r="BQ1609" s="128"/>
      <c r="BR1609" s="128"/>
      <c r="BS1609" s="128"/>
      <c r="BT1609" s="128"/>
      <c r="BU1609" s="128"/>
      <c r="BV1609" s="128"/>
      <c r="BW1609" s="128"/>
      <c r="BX1609" s="128"/>
      <c r="BY1609" s="128"/>
      <c r="BZ1609" s="128"/>
      <c r="CA1609" s="128"/>
      <c r="CB1609" s="128"/>
      <c r="CC1609" s="128"/>
      <c r="CD1609" s="128"/>
      <c r="CE1609" s="128"/>
      <c r="CF1609" s="128"/>
      <c r="CG1609" s="128"/>
      <c r="CI1609" s="128"/>
      <c r="CJ1609" s="128"/>
      <c r="CK1609" s="128"/>
      <c r="CL1609" s="128"/>
      <c r="CM1609" s="128"/>
      <c r="CN1609" s="128"/>
      <c r="CO1609" s="128"/>
      <c r="CP1609" s="128"/>
      <c r="CQ1609" s="128"/>
      <c r="CR1609" s="128"/>
      <c r="CS1609" s="128"/>
      <c r="CT1609" s="128"/>
      <c r="CU1609" s="128"/>
      <c r="CV1609" s="128"/>
      <c r="CW1609" s="128"/>
      <c r="CX1609" s="128"/>
      <c r="CY1609" s="128"/>
      <c r="CZ1609" s="165"/>
    </row>
    <row r="1610" spans="1:104">
      <c r="A1610" s="149"/>
      <c r="B1610" s="149"/>
      <c r="C1610" s="150"/>
      <c r="D1610" s="102"/>
      <c r="E1610" s="149"/>
      <c r="F1610" s="149"/>
      <c r="G1610" s="149"/>
      <c r="H1610" s="149"/>
      <c r="I1610" s="149"/>
      <c r="J1610" s="149"/>
      <c r="K1610" s="149"/>
      <c r="L1610" s="149"/>
      <c r="M1610" s="149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9"/>
      <c r="AA1610" s="149"/>
      <c r="AB1610" s="149"/>
      <c r="AC1610" s="149"/>
      <c r="AD1610" s="149"/>
      <c r="AE1610" s="149"/>
      <c r="AF1610" s="149"/>
      <c r="AG1610" s="149"/>
      <c r="AH1610" s="149"/>
      <c r="AI1610" s="149"/>
      <c r="AJ1610" s="149"/>
      <c r="AK1610" s="149"/>
      <c r="AL1610" s="149"/>
      <c r="AM1610" s="149"/>
      <c r="AN1610" s="149"/>
      <c r="AO1610" s="128"/>
      <c r="AP1610" s="128"/>
      <c r="AQ1610" s="128"/>
      <c r="AR1610" s="128"/>
      <c r="AS1610" s="128"/>
      <c r="AT1610" s="128"/>
      <c r="AU1610" s="128"/>
      <c r="AV1610" s="128"/>
      <c r="AW1610" s="128"/>
      <c r="AX1610" s="128"/>
      <c r="AY1610" s="128"/>
      <c r="AZ1610" s="128"/>
      <c r="BA1610" s="128"/>
      <c r="BB1610" s="128"/>
      <c r="BC1610" s="128"/>
      <c r="BD1610" s="128"/>
      <c r="BE1610" s="128"/>
      <c r="BF1610" s="128"/>
      <c r="BG1610" s="128"/>
      <c r="BH1610" s="128"/>
      <c r="BI1610" s="128"/>
      <c r="BJ1610" s="128"/>
      <c r="BK1610" s="128"/>
      <c r="BL1610" s="128"/>
      <c r="BM1610" s="151"/>
      <c r="BN1610" s="128"/>
      <c r="BO1610" s="128"/>
      <c r="BP1610" s="128"/>
      <c r="BQ1610" s="128"/>
      <c r="BR1610" s="128"/>
      <c r="BS1610" s="128"/>
      <c r="BT1610" s="128"/>
      <c r="BU1610" s="128"/>
      <c r="BV1610" s="128"/>
      <c r="BW1610" s="128"/>
      <c r="BX1610" s="128"/>
      <c r="BY1610" s="128"/>
      <c r="BZ1610" s="128"/>
      <c r="CA1610" s="128"/>
      <c r="CB1610" s="128"/>
      <c r="CC1610" s="128"/>
      <c r="CD1610" s="128"/>
      <c r="CE1610" s="128"/>
      <c r="CF1610" s="128"/>
      <c r="CG1610" s="128"/>
      <c r="CI1610" s="128"/>
      <c r="CJ1610" s="128"/>
      <c r="CK1610" s="128"/>
      <c r="CL1610" s="128"/>
      <c r="CM1610" s="128"/>
      <c r="CN1610" s="128"/>
      <c r="CO1610" s="128"/>
      <c r="CP1610" s="128"/>
      <c r="CQ1610" s="128"/>
      <c r="CR1610" s="128"/>
      <c r="CS1610" s="128"/>
      <c r="CT1610" s="128"/>
      <c r="CU1610" s="128"/>
      <c r="CV1610" s="128"/>
      <c r="CW1610" s="128"/>
      <c r="CX1610" s="128"/>
      <c r="CY1610" s="128"/>
      <c r="CZ1610" s="165"/>
    </row>
    <row r="1611" spans="1:104">
      <c r="A1611" s="149"/>
      <c r="B1611" s="149"/>
      <c r="C1611" s="150"/>
      <c r="D1611" s="102"/>
      <c r="E1611" s="149"/>
      <c r="F1611" s="149"/>
      <c r="G1611" s="149"/>
      <c r="H1611" s="149"/>
      <c r="I1611" s="149"/>
      <c r="J1611" s="149"/>
      <c r="K1611" s="149"/>
      <c r="L1611" s="149"/>
      <c r="M1611" s="149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9"/>
      <c r="AA1611" s="149"/>
      <c r="AB1611" s="149"/>
      <c r="AC1611" s="149"/>
      <c r="AD1611" s="149"/>
      <c r="AE1611" s="149"/>
      <c r="AF1611" s="149"/>
      <c r="AG1611" s="149"/>
      <c r="AH1611" s="149"/>
      <c r="AI1611" s="149"/>
      <c r="AJ1611" s="149"/>
      <c r="AK1611" s="149"/>
      <c r="AL1611" s="149"/>
      <c r="AM1611" s="149"/>
      <c r="AN1611" s="149"/>
      <c r="AO1611" s="128"/>
      <c r="AP1611" s="128"/>
      <c r="AQ1611" s="128"/>
      <c r="AR1611" s="128"/>
      <c r="AS1611" s="128"/>
      <c r="AT1611" s="128"/>
      <c r="AU1611" s="128"/>
      <c r="AV1611" s="128"/>
      <c r="AW1611" s="128"/>
      <c r="AX1611" s="128"/>
      <c r="AY1611" s="128"/>
      <c r="AZ1611" s="128"/>
      <c r="BA1611" s="128"/>
      <c r="BB1611" s="128"/>
      <c r="BC1611" s="128"/>
      <c r="BD1611" s="128"/>
      <c r="BE1611" s="128"/>
      <c r="BF1611" s="128"/>
      <c r="BG1611" s="128"/>
      <c r="BH1611" s="128"/>
      <c r="BI1611" s="128"/>
      <c r="BJ1611" s="128"/>
      <c r="BK1611" s="128"/>
      <c r="BL1611" s="128"/>
      <c r="BM1611" s="151"/>
      <c r="BN1611" s="128"/>
      <c r="BO1611" s="128"/>
      <c r="BP1611" s="128"/>
      <c r="BQ1611" s="128"/>
      <c r="BR1611" s="128"/>
      <c r="BS1611" s="128"/>
      <c r="BT1611" s="128"/>
      <c r="BU1611" s="128"/>
      <c r="BV1611" s="128"/>
      <c r="BW1611" s="128"/>
      <c r="BX1611" s="128"/>
      <c r="BY1611" s="128"/>
      <c r="BZ1611" s="128"/>
      <c r="CA1611" s="128"/>
      <c r="CB1611" s="128"/>
      <c r="CC1611" s="128"/>
      <c r="CD1611" s="128"/>
      <c r="CE1611" s="128"/>
      <c r="CF1611" s="128"/>
      <c r="CG1611" s="128"/>
      <c r="CI1611" s="128"/>
      <c r="CJ1611" s="128"/>
      <c r="CK1611" s="128"/>
      <c r="CL1611" s="128"/>
      <c r="CM1611" s="128"/>
      <c r="CN1611" s="128"/>
      <c r="CO1611" s="128"/>
      <c r="CP1611" s="128"/>
      <c r="CQ1611" s="128"/>
      <c r="CR1611" s="128"/>
      <c r="CS1611" s="128"/>
      <c r="CT1611" s="128"/>
      <c r="CU1611" s="128"/>
      <c r="CV1611" s="128"/>
      <c r="CW1611" s="128"/>
      <c r="CX1611" s="128"/>
      <c r="CY1611" s="128"/>
      <c r="CZ1611" s="165"/>
    </row>
    <row r="1612" spans="1:104">
      <c r="A1612" s="149"/>
      <c r="B1612" s="149"/>
      <c r="C1612" s="150"/>
      <c r="D1612" s="102"/>
      <c r="E1612" s="149"/>
      <c r="F1612" s="149"/>
      <c r="G1612" s="149"/>
      <c r="H1612" s="149"/>
      <c r="I1612" s="149"/>
      <c r="J1612" s="149"/>
      <c r="K1612" s="149"/>
      <c r="L1612" s="149"/>
      <c r="M1612" s="149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9"/>
      <c r="AA1612" s="149"/>
      <c r="AB1612" s="149"/>
      <c r="AC1612" s="149"/>
      <c r="AD1612" s="149"/>
      <c r="AE1612" s="149"/>
      <c r="AF1612" s="149"/>
      <c r="AG1612" s="149"/>
      <c r="AH1612" s="149"/>
      <c r="AI1612" s="149"/>
      <c r="AJ1612" s="149"/>
      <c r="AK1612" s="149"/>
      <c r="AL1612" s="149"/>
      <c r="AM1612" s="149"/>
      <c r="AN1612" s="149"/>
      <c r="AO1612" s="128"/>
      <c r="AP1612" s="128"/>
      <c r="AQ1612" s="128"/>
      <c r="AR1612" s="128"/>
      <c r="AS1612" s="128"/>
      <c r="AT1612" s="128"/>
      <c r="AU1612" s="128"/>
      <c r="AV1612" s="128"/>
      <c r="AW1612" s="128"/>
      <c r="AX1612" s="128"/>
      <c r="AY1612" s="128"/>
      <c r="AZ1612" s="128"/>
      <c r="BA1612" s="128"/>
      <c r="BB1612" s="128"/>
      <c r="BC1612" s="128"/>
      <c r="BD1612" s="128"/>
      <c r="BE1612" s="128"/>
      <c r="BF1612" s="128"/>
      <c r="BG1612" s="128"/>
      <c r="BH1612" s="128"/>
      <c r="BI1612" s="128"/>
      <c r="BJ1612" s="128"/>
      <c r="BK1612" s="128"/>
      <c r="BL1612" s="128"/>
      <c r="BM1612" s="151"/>
      <c r="BN1612" s="128"/>
      <c r="BO1612" s="128"/>
      <c r="BP1612" s="128"/>
      <c r="BQ1612" s="128"/>
      <c r="BR1612" s="128"/>
      <c r="BS1612" s="128"/>
      <c r="BT1612" s="128"/>
      <c r="BU1612" s="128"/>
      <c r="BV1612" s="128"/>
      <c r="BW1612" s="128"/>
      <c r="BX1612" s="128"/>
      <c r="BY1612" s="128"/>
      <c r="BZ1612" s="128"/>
      <c r="CA1612" s="128"/>
      <c r="CB1612" s="128"/>
      <c r="CC1612" s="128"/>
      <c r="CD1612" s="128"/>
      <c r="CE1612" s="128"/>
      <c r="CF1612" s="128"/>
      <c r="CG1612" s="128"/>
      <c r="CI1612" s="128"/>
      <c r="CJ1612" s="128"/>
      <c r="CK1612" s="128"/>
      <c r="CL1612" s="128"/>
      <c r="CM1612" s="128"/>
      <c r="CN1612" s="128"/>
      <c r="CO1612" s="128"/>
      <c r="CP1612" s="128"/>
      <c r="CQ1612" s="128"/>
      <c r="CR1612" s="128"/>
      <c r="CS1612" s="128"/>
      <c r="CT1612" s="128"/>
      <c r="CU1612" s="128"/>
      <c r="CV1612" s="128"/>
      <c r="CW1612" s="128"/>
      <c r="CX1612" s="128"/>
      <c r="CY1612" s="128"/>
      <c r="CZ1612" s="165"/>
    </row>
    <row r="1613" spans="1:104">
      <c r="A1613" s="149"/>
      <c r="B1613" s="149"/>
      <c r="C1613" s="150"/>
      <c r="D1613" s="102"/>
      <c r="E1613" s="149"/>
      <c r="F1613" s="149"/>
      <c r="G1613" s="149"/>
      <c r="H1613" s="149"/>
      <c r="I1613" s="149"/>
      <c r="J1613" s="149"/>
      <c r="K1613" s="149"/>
      <c r="L1613" s="149"/>
      <c r="M1613" s="149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9"/>
      <c r="AA1613" s="149"/>
      <c r="AB1613" s="149"/>
      <c r="AC1613" s="149"/>
      <c r="AD1613" s="149"/>
      <c r="AE1613" s="149"/>
      <c r="AF1613" s="149"/>
      <c r="AG1613" s="149"/>
      <c r="AH1613" s="149"/>
      <c r="AI1613" s="149"/>
      <c r="AJ1613" s="149"/>
      <c r="AK1613" s="149"/>
      <c r="AL1613" s="149"/>
      <c r="AM1613" s="149"/>
      <c r="AN1613" s="149"/>
      <c r="AO1613" s="128"/>
      <c r="AP1613" s="128"/>
      <c r="AQ1613" s="128"/>
      <c r="AR1613" s="128"/>
      <c r="AS1613" s="128"/>
      <c r="AT1613" s="128"/>
      <c r="AU1613" s="128"/>
      <c r="AV1613" s="128"/>
      <c r="AW1613" s="128"/>
      <c r="AX1613" s="128"/>
      <c r="AY1613" s="128"/>
      <c r="AZ1613" s="128"/>
      <c r="BA1613" s="128"/>
      <c r="BB1613" s="128"/>
      <c r="BC1613" s="128"/>
      <c r="BD1613" s="128"/>
      <c r="BE1613" s="128"/>
      <c r="BF1613" s="128"/>
      <c r="BG1613" s="128"/>
      <c r="BH1613" s="128"/>
      <c r="BI1613" s="128"/>
      <c r="BJ1613" s="128"/>
      <c r="BK1613" s="128"/>
      <c r="BL1613" s="128"/>
      <c r="BM1613" s="151"/>
      <c r="BN1613" s="128"/>
      <c r="BO1613" s="128"/>
      <c r="BP1613" s="128"/>
      <c r="BQ1613" s="128"/>
      <c r="BR1613" s="128"/>
      <c r="BS1613" s="128"/>
      <c r="BT1613" s="128"/>
      <c r="BU1613" s="128"/>
      <c r="BV1613" s="128"/>
      <c r="BW1613" s="128"/>
      <c r="BX1613" s="128"/>
      <c r="BY1613" s="128"/>
      <c r="BZ1613" s="128"/>
      <c r="CA1613" s="128"/>
      <c r="CB1613" s="128"/>
      <c r="CC1613" s="128"/>
      <c r="CD1613" s="128"/>
      <c r="CE1613" s="128"/>
      <c r="CF1613" s="128"/>
      <c r="CG1613" s="128"/>
      <c r="CI1613" s="128"/>
      <c r="CJ1613" s="128"/>
      <c r="CK1613" s="128"/>
      <c r="CL1613" s="128"/>
      <c r="CM1613" s="128"/>
      <c r="CN1613" s="128"/>
      <c r="CO1613" s="128"/>
      <c r="CP1613" s="128"/>
      <c r="CQ1613" s="128"/>
      <c r="CR1613" s="128"/>
      <c r="CS1613" s="128"/>
      <c r="CT1613" s="128"/>
      <c r="CU1613" s="128"/>
      <c r="CV1613" s="128"/>
      <c r="CW1613" s="128"/>
      <c r="CX1613" s="128"/>
      <c r="CY1613" s="128"/>
      <c r="CZ1613" s="165"/>
    </row>
    <row r="1614" spans="1:104">
      <c r="A1614" s="149"/>
      <c r="B1614" s="149"/>
      <c r="C1614" s="150"/>
      <c r="D1614" s="102"/>
      <c r="E1614" s="149"/>
      <c r="F1614" s="149"/>
      <c r="G1614" s="149"/>
      <c r="H1614" s="149"/>
      <c r="I1614" s="149"/>
      <c r="J1614" s="149"/>
      <c r="K1614" s="149"/>
      <c r="L1614" s="149"/>
      <c r="M1614" s="149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9"/>
      <c r="AA1614" s="149"/>
      <c r="AB1614" s="149"/>
      <c r="AC1614" s="149"/>
      <c r="AD1614" s="149"/>
      <c r="AE1614" s="149"/>
      <c r="AF1614" s="149"/>
      <c r="AG1614" s="149"/>
      <c r="AH1614" s="149"/>
      <c r="AI1614" s="149"/>
      <c r="AJ1614" s="149"/>
      <c r="AK1614" s="149"/>
      <c r="AL1614" s="149"/>
      <c r="AM1614" s="149"/>
      <c r="AN1614" s="149"/>
      <c r="AO1614" s="128"/>
      <c r="AP1614" s="128"/>
      <c r="AQ1614" s="128"/>
      <c r="AR1614" s="128"/>
      <c r="AS1614" s="128"/>
      <c r="AT1614" s="128"/>
      <c r="AU1614" s="128"/>
      <c r="AV1614" s="128"/>
      <c r="AW1614" s="128"/>
      <c r="AX1614" s="128"/>
      <c r="AY1614" s="128"/>
      <c r="AZ1614" s="128"/>
      <c r="BA1614" s="128"/>
      <c r="BB1614" s="128"/>
      <c r="BC1614" s="128"/>
      <c r="BD1614" s="128"/>
      <c r="BE1614" s="128"/>
      <c r="BF1614" s="128"/>
      <c r="BG1614" s="128"/>
      <c r="BH1614" s="128"/>
      <c r="BI1614" s="128"/>
      <c r="BJ1614" s="128"/>
      <c r="BK1614" s="128"/>
      <c r="BL1614" s="128"/>
      <c r="BM1614" s="151"/>
      <c r="BN1614" s="128"/>
      <c r="BO1614" s="128"/>
      <c r="BP1614" s="128"/>
      <c r="BQ1614" s="128"/>
      <c r="BR1614" s="128"/>
      <c r="BS1614" s="128"/>
      <c r="BT1614" s="128"/>
      <c r="BU1614" s="128"/>
      <c r="BV1614" s="128"/>
      <c r="BW1614" s="128"/>
      <c r="BX1614" s="128"/>
      <c r="BY1614" s="128"/>
      <c r="BZ1614" s="128"/>
      <c r="CA1614" s="128"/>
      <c r="CB1614" s="128"/>
      <c r="CC1614" s="128"/>
      <c r="CD1614" s="128"/>
      <c r="CE1614" s="128"/>
      <c r="CF1614" s="128"/>
      <c r="CG1614" s="128"/>
      <c r="CI1614" s="128"/>
      <c r="CJ1614" s="128"/>
      <c r="CK1614" s="128"/>
      <c r="CL1614" s="128"/>
      <c r="CM1614" s="128"/>
      <c r="CN1614" s="128"/>
      <c r="CO1614" s="128"/>
      <c r="CP1614" s="128"/>
      <c r="CQ1614" s="128"/>
      <c r="CR1614" s="128"/>
      <c r="CS1614" s="128"/>
      <c r="CT1614" s="128"/>
      <c r="CU1614" s="128"/>
      <c r="CV1614" s="128"/>
      <c r="CW1614" s="128"/>
      <c r="CX1614" s="128"/>
      <c r="CY1614" s="128"/>
      <c r="CZ1614" s="165"/>
    </row>
    <row r="1615" spans="1:104">
      <c r="A1615" s="149"/>
      <c r="B1615" s="149"/>
      <c r="C1615" s="150"/>
      <c r="D1615" s="102"/>
      <c r="E1615" s="149"/>
      <c r="F1615" s="149"/>
      <c r="G1615" s="149"/>
      <c r="H1615" s="149"/>
      <c r="I1615" s="149"/>
      <c r="J1615" s="149"/>
      <c r="K1615" s="149"/>
      <c r="L1615" s="149"/>
      <c r="M1615" s="149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9"/>
      <c r="AA1615" s="149"/>
      <c r="AB1615" s="149"/>
      <c r="AC1615" s="149"/>
      <c r="AD1615" s="149"/>
      <c r="AE1615" s="149"/>
      <c r="AF1615" s="149"/>
      <c r="AG1615" s="149"/>
      <c r="AH1615" s="149"/>
      <c r="AI1615" s="149"/>
      <c r="AJ1615" s="149"/>
      <c r="AK1615" s="149"/>
      <c r="AL1615" s="149"/>
      <c r="AM1615" s="149"/>
      <c r="AN1615" s="149"/>
      <c r="AO1615" s="128"/>
      <c r="AP1615" s="128"/>
      <c r="AQ1615" s="128"/>
      <c r="AR1615" s="128"/>
      <c r="AS1615" s="128"/>
      <c r="AT1615" s="128"/>
      <c r="AU1615" s="128"/>
      <c r="AV1615" s="128"/>
      <c r="AW1615" s="128"/>
      <c r="AX1615" s="128"/>
      <c r="AY1615" s="128"/>
      <c r="AZ1615" s="128"/>
      <c r="BA1615" s="128"/>
      <c r="BB1615" s="128"/>
      <c r="BC1615" s="128"/>
      <c r="BD1615" s="128"/>
      <c r="BE1615" s="128"/>
      <c r="BF1615" s="128"/>
      <c r="BG1615" s="128"/>
      <c r="BH1615" s="128"/>
      <c r="BI1615" s="128"/>
      <c r="BJ1615" s="128"/>
      <c r="BK1615" s="128"/>
      <c r="BL1615" s="128"/>
      <c r="BM1615" s="151"/>
      <c r="BN1615" s="128"/>
      <c r="BO1615" s="128"/>
      <c r="BP1615" s="128"/>
      <c r="BQ1615" s="128"/>
      <c r="BR1615" s="128"/>
      <c r="BS1615" s="128"/>
      <c r="BT1615" s="128"/>
      <c r="BU1615" s="128"/>
      <c r="BV1615" s="128"/>
      <c r="BW1615" s="128"/>
      <c r="BX1615" s="128"/>
      <c r="BY1615" s="128"/>
      <c r="BZ1615" s="128"/>
      <c r="CA1615" s="128"/>
      <c r="CB1615" s="128"/>
      <c r="CC1615" s="128"/>
      <c r="CD1615" s="128"/>
      <c r="CE1615" s="128"/>
      <c r="CF1615" s="128"/>
      <c r="CG1615" s="128"/>
      <c r="CI1615" s="128"/>
      <c r="CJ1615" s="128"/>
      <c r="CK1615" s="128"/>
      <c r="CL1615" s="128"/>
      <c r="CM1615" s="128"/>
      <c r="CN1615" s="128"/>
      <c r="CO1615" s="128"/>
      <c r="CP1615" s="128"/>
      <c r="CQ1615" s="128"/>
      <c r="CR1615" s="128"/>
      <c r="CS1615" s="128"/>
      <c r="CT1615" s="128"/>
      <c r="CU1615" s="128"/>
      <c r="CV1615" s="128"/>
      <c r="CW1615" s="128"/>
      <c r="CX1615" s="128"/>
      <c r="CY1615" s="128"/>
      <c r="CZ1615" s="165"/>
    </row>
    <row r="1616" spans="1:104">
      <c r="A1616" s="149"/>
      <c r="B1616" s="149"/>
      <c r="C1616" s="150"/>
      <c r="D1616" s="102"/>
      <c r="E1616" s="149"/>
      <c r="F1616" s="149"/>
      <c r="G1616" s="149"/>
      <c r="H1616" s="149"/>
      <c r="I1616" s="149"/>
      <c r="J1616" s="149"/>
      <c r="K1616" s="149"/>
      <c r="L1616" s="149"/>
      <c r="M1616" s="149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9"/>
      <c r="AA1616" s="149"/>
      <c r="AB1616" s="149"/>
      <c r="AC1616" s="149"/>
      <c r="AD1616" s="149"/>
      <c r="AE1616" s="149"/>
      <c r="AF1616" s="149"/>
      <c r="AG1616" s="149"/>
      <c r="AH1616" s="149"/>
      <c r="AI1616" s="149"/>
      <c r="AJ1616" s="149"/>
      <c r="AK1616" s="149"/>
      <c r="AL1616" s="149"/>
      <c r="AM1616" s="149"/>
      <c r="AN1616" s="149"/>
      <c r="AO1616" s="128"/>
      <c r="AP1616" s="128"/>
      <c r="AQ1616" s="128"/>
      <c r="AR1616" s="128"/>
      <c r="AS1616" s="128"/>
      <c r="AT1616" s="128"/>
      <c r="AU1616" s="128"/>
      <c r="AV1616" s="128"/>
      <c r="AW1616" s="128"/>
      <c r="AX1616" s="128"/>
      <c r="AY1616" s="128"/>
      <c r="AZ1616" s="128"/>
      <c r="BA1616" s="128"/>
      <c r="BB1616" s="128"/>
      <c r="BC1616" s="128"/>
      <c r="BD1616" s="128"/>
      <c r="BE1616" s="128"/>
      <c r="BF1616" s="128"/>
      <c r="BG1616" s="128"/>
      <c r="BH1616" s="128"/>
      <c r="BI1616" s="128"/>
      <c r="BJ1616" s="128"/>
      <c r="BK1616" s="128"/>
      <c r="BL1616" s="128"/>
      <c r="BM1616" s="151"/>
      <c r="BN1616" s="128"/>
      <c r="BO1616" s="128"/>
      <c r="BP1616" s="128"/>
      <c r="BQ1616" s="128"/>
      <c r="BR1616" s="128"/>
      <c r="BS1616" s="128"/>
      <c r="BT1616" s="128"/>
      <c r="BU1616" s="128"/>
      <c r="BV1616" s="128"/>
      <c r="BW1616" s="128"/>
      <c r="BX1616" s="128"/>
      <c r="BY1616" s="128"/>
      <c r="BZ1616" s="128"/>
      <c r="CA1616" s="128"/>
      <c r="CB1616" s="128"/>
      <c r="CC1616" s="128"/>
      <c r="CD1616" s="128"/>
      <c r="CE1616" s="128"/>
      <c r="CF1616" s="128"/>
      <c r="CG1616" s="128"/>
      <c r="CI1616" s="128"/>
      <c r="CJ1616" s="128"/>
      <c r="CK1616" s="128"/>
      <c r="CL1616" s="128"/>
      <c r="CM1616" s="128"/>
      <c r="CN1616" s="128"/>
      <c r="CO1616" s="128"/>
      <c r="CP1616" s="128"/>
      <c r="CQ1616" s="128"/>
      <c r="CR1616" s="128"/>
      <c r="CS1616" s="128"/>
      <c r="CT1616" s="128"/>
      <c r="CU1616" s="128"/>
      <c r="CV1616" s="128"/>
      <c r="CW1616" s="128"/>
      <c r="CX1616" s="128"/>
      <c r="CY1616" s="128"/>
      <c r="CZ1616" s="165"/>
    </row>
    <row r="1617" spans="1:104">
      <c r="A1617" s="149"/>
      <c r="B1617" s="149"/>
      <c r="C1617" s="150"/>
      <c r="D1617" s="102"/>
      <c r="E1617" s="149"/>
      <c r="F1617" s="149"/>
      <c r="G1617" s="149"/>
      <c r="H1617" s="149"/>
      <c r="I1617" s="149"/>
      <c r="J1617" s="149"/>
      <c r="K1617" s="149"/>
      <c r="L1617" s="149"/>
      <c r="M1617" s="149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9"/>
      <c r="AA1617" s="149"/>
      <c r="AB1617" s="149"/>
      <c r="AC1617" s="149"/>
      <c r="AD1617" s="149"/>
      <c r="AE1617" s="149"/>
      <c r="AF1617" s="149"/>
      <c r="AG1617" s="149"/>
      <c r="AH1617" s="149"/>
      <c r="AI1617" s="149"/>
      <c r="AJ1617" s="149"/>
      <c r="AK1617" s="149"/>
      <c r="AL1617" s="149"/>
      <c r="AM1617" s="149"/>
      <c r="AN1617" s="149"/>
      <c r="AO1617" s="128"/>
      <c r="AP1617" s="128"/>
      <c r="AQ1617" s="128"/>
      <c r="AR1617" s="128"/>
      <c r="AS1617" s="128"/>
      <c r="AT1617" s="128"/>
      <c r="AU1617" s="128"/>
      <c r="AV1617" s="128"/>
      <c r="AW1617" s="128"/>
      <c r="AX1617" s="128"/>
      <c r="AY1617" s="128"/>
      <c r="AZ1617" s="128"/>
      <c r="BA1617" s="128"/>
      <c r="BB1617" s="128"/>
      <c r="BC1617" s="128"/>
      <c r="BD1617" s="128"/>
      <c r="BE1617" s="128"/>
      <c r="BF1617" s="128"/>
      <c r="BG1617" s="128"/>
      <c r="BH1617" s="128"/>
      <c r="BI1617" s="128"/>
      <c r="BJ1617" s="128"/>
      <c r="BK1617" s="128"/>
      <c r="BL1617" s="128"/>
      <c r="BM1617" s="151"/>
      <c r="BN1617" s="128"/>
      <c r="BO1617" s="128"/>
      <c r="BP1617" s="128"/>
      <c r="BQ1617" s="128"/>
      <c r="BR1617" s="128"/>
      <c r="BS1617" s="128"/>
      <c r="BT1617" s="128"/>
      <c r="BU1617" s="128"/>
      <c r="BV1617" s="128"/>
      <c r="BW1617" s="128"/>
      <c r="BX1617" s="128"/>
      <c r="BY1617" s="128"/>
      <c r="BZ1617" s="128"/>
      <c r="CA1617" s="128"/>
      <c r="CB1617" s="128"/>
      <c r="CC1617" s="128"/>
      <c r="CD1617" s="128"/>
      <c r="CE1617" s="128"/>
      <c r="CF1617" s="128"/>
      <c r="CG1617" s="128"/>
      <c r="CI1617" s="128"/>
      <c r="CJ1617" s="128"/>
      <c r="CK1617" s="128"/>
      <c r="CL1617" s="128"/>
      <c r="CM1617" s="128"/>
      <c r="CN1617" s="128"/>
      <c r="CO1617" s="128"/>
      <c r="CP1617" s="128"/>
      <c r="CQ1617" s="128"/>
      <c r="CR1617" s="128"/>
      <c r="CS1617" s="128"/>
      <c r="CT1617" s="128"/>
      <c r="CU1617" s="128"/>
      <c r="CV1617" s="128"/>
      <c r="CW1617" s="128"/>
      <c r="CX1617" s="128"/>
      <c r="CY1617" s="128"/>
      <c r="CZ1617" s="165"/>
    </row>
    <row r="1618" spans="1:104">
      <c r="A1618" s="149"/>
      <c r="B1618" s="149"/>
      <c r="C1618" s="150"/>
      <c r="D1618" s="102"/>
      <c r="E1618" s="149"/>
      <c r="F1618" s="149"/>
      <c r="G1618" s="149"/>
      <c r="H1618" s="149"/>
      <c r="I1618" s="149"/>
      <c r="J1618" s="149"/>
      <c r="K1618" s="149"/>
      <c r="L1618" s="149"/>
      <c r="M1618" s="149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9"/>
      <c r="AA1618" s="149"/>
      <c r="AB1618" s="149"/>
      <c r="AC1618" s="149"/>
      <c r="AD1618" s="149"/>
      <c r="AE1618" s="149"/>
      <c r="AF1618" s="149"/>
      <c r="AG1618" s="149"/>
      <c r="AH1618" s="149"/>
      <c r="AI1618" s="149"/>
      <c r="AJ1618" s="149"/>
      <c r="AK1618" s="149"/>
      <c r="AL1618" s="149"/>
      <c r="AM1618" s="149"/>
      <c r="AN1618" s="149"/>
      <c r="AO1618" s="128"/>
      <c r="AP1618" s="128"/>
      <c r="AQ1618" s="128"/>
      <c r="AR1618" s="128"/>
      <c r="AS1618" s="128"/>
      <c r="AT1618" s="128"/>
      <c r="AU1618" s="128"/>
      <c r="AV1618" s="128"/>
      <c r="AW1618" s="128"/>
      <c r="AX1618" s="128"/>
      <c r="AY1618" s="128"/>
      <c r="AZ1618" s="128"/>
      <c r="BA1618" s="128"/>
      <c r="BB1618" s="128"/>
      <c r="BC1618" s="128"/>
      <c r="BD1618" s="128"/>
      <c r="BE1618" s="128"/>
      <c r="BF1618" s="128"/>
      <c r="BG1618" s="128"/>
      <c r="BH1618" s="128"/>
      <c r="BI1618" s="128"/>
      <c r="BJ1618" s="128"/>
      <c r="BK1618" s="128"/>
      <c r="BL1618" s="128"/>
      <c r="BM1618" s="151"/>
      <c r="BN1618" s="128"/>
      <c r="BO1618" s="128"/>
      <c r="BP1618" s="128"/>
      <c r="BQ1618" s="128"/>
      <c r="BR1618" s="128"/>
      <c r="BS1618" s="128"/>
      <c r="BT1618" s="128"/>
      <c r="BU1618" s="128"/>
      <c r="BV1618" s="128"/>
      <c r="BW1618" s="128"/>
      <c r="BX1618" s="128"/>
      <c r="BY1618" s="128"/>
      <c r="BZ1618" s="128"/>
      <c r="CA1618" s="128"/>
      <c r="CB1618" s="128"/>
      <c r="CC1618" s="128"/>
      <c r="CD1618" s="128"/>
      <c r="CE1618" s="128"/>
      <c r="CF1618" s="128"/>
      <c r="CG1618" s="128"/>
      <c r="CI1618" s="128"/>
      <c r="CJ1618" s="128"/>
      <c r="CK1618" s="128"/>
      <c r="CL1618" s="128"/>
      <c r="CM1618" s="128"/>
      <c r="CN1618" s="128"/>
      <c r="CO1618" s="128"/>
      <c r="CP1618" s="128"/>
      <c r="CQ1618" s="128"/>
      <c r="CR1618" s="128"/>
      <c r="CS1618" s="128"/>
      <c r="CT1618" s="128"/>
      <c r="CU1618" s="128"/>
      <c r="CV1618" s="128"/>
      <c r="CW1618" s="128"/>
      <c r="CX1618" s="128"/>
      <c r="CY1618" s="128"/>
      <c r="CZ1618" s="165"/>
    </row>
    <row r="1619" spans="1:104">
      <c r="A1619" s="149"/>
      <c r="B1619" s="149"/>
      <c r="C1619" s="150"/>
      <c r="D1619" s="102"/>
      <c r="E1619" s="149"/>
      <c r="F1619" s="149"/>
      <c r="G1619" s="149"/>
      <c r="H1619" s="149"/>
      <c r="I1619" s="149"/>
      <c r="J1619" s="149"/>
      <c r="K1619" s="149"/>
      <c r="L1619" s="149"/>
      <c r="M1619" s="149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9"/>
      <c r="AA1619" s="149"/>
      <c r="AB1619" s="149"/>
      <c r="AC1619" s="149"/>
      <c r="AD1619" s="149"/>
      <c r="AE1619" s="149"/>
      <c r="AF1619" s="149"/>
      <c r="AG1619" s="149"/>
      <c r="AH1619" s="149"/>
      <c r="AI1619" s="149"/>
      <c r="AJ1619" s="149"/>
      <c r="AK1619" s="149"/>
      <c r="AL1619" s="149"/>
      <c r="AM1619" s="149"/>
      <c r="AN1619" s="149"/>
      <c r="AO1619" s="128"/>
      <c r="AP1619" s="128"/>
      <c r="AQ1619" s="128"/>
      <c r="AR1619" s="128"/>
      <c r="AS1619" s="128"/>
      <c r="AT1619" s="128"/>
      <c r="AU1619" s="128"/>
      <c r="AV1619" s="128"/>
      <c r="AW1619" s="128"/>
      <c r="AX1619" s="128"/>
      <c r="AY1619" s="128"/>
      <c r="AZ1619" s="128"/>
      <c r="BA1619" s="128"/>
      <c r="BB1619" s="128"/>
      <c r="BC1619" s="128"/>
      <c r="BD1619" s="128"/>
      <c r="BE1619" s="128"/>
      <c r="BF1619" s="128"/>
      <c r="BG1619" s="128"/>
      <c r="BH1619" s="128"/>
      <c r="BI1619" s="128"/>
      <c r="BJ1619" s="128"/>
      <c r="BK1619" s="128"/>
      <c r="BL1619" s="128"/>
      <c r="BM1619" s="151"/>
      <c r="BN1619" s="128"/>
      <c r="BO1619" s="128"/>
      <c r="BP1619" s="128"/>
      <c r="BQ1619" s="128"/>
      <c r="BR1619" s="128"/>
      <c r="BS1619" s="128"/>
      <c r="BT1619" s="128"/>
      <c r="BU1619" s="128"/>
      <c r="BV1619" s="128"/>
      <c r="BW1619" s="128"/>
      <c r="BX1619" s="128"/>
      <c r="BY1619" s="128"/>
      <c r="BZ1619" s="128"/>
      <c r="CA1619" s="128"/>
      <c r="CB1619" s="128"/>
      <c r="CC1619" s="128"/>
      <c r="CD1619" s="128"/>
      <c r="CE1619" s="128"/>
      <c r="CF1619" s="128"/>
      <c r="CG1619" s="128"/>
      <c r="CI1619" s="128"/>
      <c r="CJ1619" s="128"/>
      <c r="CK1619" s="128"/>
      <c r="CL1619" s="128"/>
      <c r="CM1619" s="128"/>
      <c r="CN1619" s="128"/>
      <c r="CO1619" s="128"/>
      <c r="CP1619" s="128"/>
      <c r="CQ1619" s="128"/>
      <c r="CR1619" s="128"/>
      <c r="CS1619" s="128"/>
      <c r="CT1619" s="128"/>
      <c r="CU1619" s="128"/>
      <c r="CV1619" s="128"/>
      <c r="CW1619" s="128"/>
      <c r="CX1619" s="128"/>
      <c r="CY1619" s="128"/>
      <c r="CZ1619" s="165"/>
    </row>
    <row r="1620" spans="1:104">
      <c r="A1620" s="149"/>
      <c r="B1620" s="149"/>
      <c r="C1620" s="150"/>
      <c r="D1620" s="102"/>
      <c r="E1620" s="149"/>
      <c r="F1620" s="149"/>
      <c r="G1620" s="149"/>
      <c r="H1620" s="149"/>
      <c r="I1620" s="149"/>
      <c r="J1620" s="149"/>
      <c r="K1620" s="149"/>
      <c r="L1620" s="149"/>
      <c r="M1620" s="149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9"/>
      <c r="AA1620" s="149"/>
      <c r="AB1620" s="149"/>
      <c r="AC1620" s="149"/>
      <c r="AD1620" s="149"/>
      <c r="AE1620" s="149"/>
      <c r="AF1620" s="149"/>
      <c r="AG1620" s="149"/>
      <c r="AH1620" s="149"/>
      <c r="AI1620" s="149"/>
      <c r="AJ1620" s="149"/>
      <c r="AK1620" s="149"/>
      <c r="AL1620" s="149"/>
      <c r="AM1620" s="149"/>
      <c r="AN1620" s="149"/>
      <c r="AO1620" s="128"/>
      <c r="AP1620" s="128"/>
      <c r="AQ1620" s="128"/>
      <c r="AR1620" s="128"/>
      <c r="AS1620" s="128"/>
      <c r="AT1620" s="128"/>
      <c r="AU1620" s="128"/>
      <c r="AV1620" s="128"/>
      <c r="AW1620" s="128"/>
      <c r="AX1620" s="128"/>
      <c r="AY1620" s="128"/>
      <c r="AZ1620" s="128"/>
      <c r="BA1620" s="128"/>
      <c r="BB1620" s="128"/>
      <c r="BC1620" s="128"/>
      <c r="BD1620" s="128"/>
      <c r="BE1620" s="128"/>
      <c r="BF1620" s="128"/>
      <c r="BG1620" s="128"/>
      <c r="BH1620" s="128"/>
      <c r="BI1620" s="128"/>
      <c r="BJ1620" s="128"/>
      <c r="BK1620" s="128"/>
      <c r="BL1620" s="128"/>
      <c r="BM1620" s="151"/>
      <c r="BN1620" s="128"/>
      <c r="BO1620" s="128"/>
      <c r="BP1620" s="128"/>
      <c r="BQ1620" s="128"/>
      <c r="BR1620" s="128"/>
      <c r="BS1620" s="128"/>
      <c r="BT1620" s="128"/>
      <c r="BU1620" s="128"/>
      <c r="BV1620" s="128"/>
      <c r="BW1620" s="128"/>
      <c r="BX1620" s="128"/>
      <c r="BY1620" s="128"/>
      <c r="BZ1620" s="128"/>
      <c r="CA1620" s="128"/>
      <c r="CB1620" s="128"/>
      <c r="CC1620" s="128"/>
      <c r="CD1620" s="128"/>
      <c r="CE1620" s="128"/>
      <c r="CF1620" s="128"/>
      <c r="CG1620" s="128"/>
      <c r="CI1620" s="128"/>
      <c r="CJ1620" s="128"/>
      <c r="CK1620" s="128"/>
      <c r="CL1620" s="128"/>
      <c r="CM1620" s="128"/>
      <c r="CN1620" s="128"/>
      <c r="CO1620" s="128"/>
      <c r="CP1620" s="128"/>
      <c r="CQ1620" s="128"/>
      <c r="CR1620" s="128"/>
      <c r="CS1620" s="128"/>
      <c r="CT1620" s="128"/>
      <c r="CU1620" s="128"/>
      <c r="CV1620" s="128"/>
      <c r="CW1620" s="128"/>
      <c r="CX1620" s="128"/>
      <c r="CY1620" s="128"/>
      <c r="CZ1620" s="165"/>
    </row>
    <row r="1621" spans="1:104">
      <c r="A1621" s="149"/>
      <c r="B1621" s="149"/>
      <c r="C1621" s="150"/>
      <c r="D1621" s="102"/>
      <c r="E1621" s="149"/>
      <c r="F1621" s="149"/>
      <c r="G1621" s="149"/>
      <c r="H1621" s="149"/>
      <c r="I1621" s="149"/>
      <c r="J1621" s="149"/>
      <c r="K1621" s="149"/>
      <c r="L1621" s="149"/>
      <c r="M1621" s="149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9"/>
      <c r="AA1621" s="149"/>
      <c r="AB1621" s="149"/>
      <c r="AC1621" s="149"/>
      <c r="AD1621" s="149"/>
      <c r="AE1621" s="149"/>
      <c r="AF1621" s="149"/>
      <c r="AG1621" s="149"/>
      <c r="AH1621" s="149"/>
      <c r="AI1621" s="149"/>
      <c r="AJ1621" s="149"/>
      <c r="AK1621" s="149"/>
      <c r="AL1621" s="149"/>
      <c r="AM1621" s="149"/>
      <c r="AN1621" s="149"/>
      <c r="AO1621" s="128"/>
      <c r="AP1621" s="128"/>
      <c r="AQ1621" s="128"/>
      <c r="AR1621" s="128"/>
      <c r="AS1621" s="128"/>
      <c r="AT1621" s="128"/>
      <c r="AU1621" s="128"/>
      <c r="AV1621" s="128"/>
      <c r="AW1621" s="128"/>
      <c r="AX1621" s="128"/>
      <c r="AY1621" s="128"/>
      <c r="AZ1621" s="128"/>
      <c r="BA1621" s="128"/>
      <c r="BB1621" s="128"/>
      <c r="BC1621" s="128"/>
      <c r="BD1621" s="128"/>
      <c r="BE1621" s="128"/>
      <c r="BF1621" s="128"/>
      <c r="BG1621" s="128"/>
      <c r="BH1621" s="128"/>
      <c r="BI1621" s="128"/>
      <c r="BJ1621" s="128"/>
      <c r="BK1621" s="128"/>
      <c r="BL1621" s="128"/>
      <c r="BM1621" s="151"/>
      <c r="BN1621" s="128"/>
      <c r="BO1621" s="128"/>
      <c r="BP1621" s="128"/>
      <c r="BQ1621" s="128"/>
      <c r="BR1621" s="128"/>
      <c r="BS1621" s="128"/>
      <c r="BT1621" s="128"/>
      <c r="BU1621" s="128"/>
      <c r="BV1621" s="128"/>
      <c r="BW1621" s="128"/>
      <c r="BX1621" s="128"/>
      <c r="BY1621" s="128"/>
      <c r="BZ1621" s="128"/>
      <c r="CA1621" s="128"/>
      <c r="CB1621" s="128"/>
      <c r="CC1621" s="128"/>
      <c r="CD1621" s="128"/>
      <c r="CE1621" s="128"/>
      <c r="CF1621" s="128"/>
      <c r="CG1621" s="128"/>
      <c r="CI1621" s="128"/>
      <c r="CJ1621" s="128"/>
      <c r="CK1621" s="128"/>
      <c r="CL1621" s="128"/>
      <c r="CM1621" s="128"/>
      <c r="CN1621" s="128"/>
      <c r="CO1621" s="128"/>
      <c r="CP1621" s="128"/>
      <c r="CQ1621" s="128"/>
      <c r="CR1621" s="128"/>
      <c r="CS1621" s="128"/>
      <c r="CT1621" s="128"/>
      <c r="CU1621" s="128"/>
      <c r="CV1621" s="128"/>
      <c r="CW1621" s="128"/>
      <c r="CX1621" s="128"/>
      <c r="CY1621" s="128"/>
      <c r="CZ1621" s="165"/>
    </row>
    <row r="1622" spans="1:104">
      <c r="A1622" s="149"/>
      <c r="B1622" s="149"/>
      <c r="C1622" s="150"/>
      <c r="D1622" s="102"/>
      <c r="E1622" s="149"/>
      <c r="F1622" s="149"/>
      <c r="G1622" s="149"/>
      <c r="H1622" s="149"/>
      <c r="I1622" s="149"/>
      <c r="J1622" s="149"/>
      <c r="K1622" s="149"/>
      <c r="L1622" s="149"/>
      <c r="M1622" s="149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9"/>
      <c r="AA1622" s="149"/>
      <c r="AB1622" s="149"/>
      <c r="AC1622" s="149"/>
      <c r="AD1622" s="149"/>
      <c r="AE1622" s="149"/>
      <c r="AF1622" s="149"/>
      <c r="AG1622" s="149"/>
      <c r="AH1622" s="149"/>
      <c r="AI1622" s="149"/>
      <c r="AJ1622" s="149"/>
      <c r="AK1622" s="149"/>
      <c r="AL1622" s="149"/>
      <c r="AM1622" s="149"/>
      <c r="AN1622" s="149"/>
      <c r="AO1622" s="128"/>
      <c r="AP1622" s="128"/>
      <c r="AQ1622" s="128"/>
      <c r="AR1622" s="128"/>
      <c r="AS1622" s="128"/>
      <c r="AT1622" s="128"/>
      <c r="AU1622" s="128"/>
      <c r="AV1622" s="128"/>
      <c r="AW1622" s="128"/>
      <c r="AX1622" s="128"/>
      <c r="AY1622" s="128"/>
      <c r="AZ1622" s="128"/>
      <c r="BA1622" s="128"/>
      <c r="BB1622" s="128"/>
      <c r="BC1622" s="128"/>
      <c r="BD1622" s="128"/>
      <c r="BE1622" s="128"/>
      <c r="BF1622" s="128"/>
      <c r="BG1622" s="128"/>
      <c r="BH1622" s="128"/>
      <c r="BI1622" s="128"/>
      <c r="BJ1622" s="128"/>
      <c r="BK1622" s="128"/>
      <c r="BL1622" s="128"/>
      <c r="BM1622" s="151"/>
      <c r="BN1622" s="128"/>
      <c r="BO1622" s="128"/>
      <c r="BP1622" s="128"/>
      <c r="BQ1622" s="128"/>
      <c r="BR1622" s="128"/>
      <c r="BS1622" s="128"/>
      <c r="BT1622" s="128"/>
      <c r="BU1622" s="128"/>
      <c r="BV1622" s="128"/>
      <c r="BW1622" s="128"/>
      <c r="BX1622" s="128"/>
      <c r="BY1622" s="128"/>
      <c r="BZ1622" s="128"/>
      <c r="CA1622" s="128"/>
      <c r="CB1622" s="128"/>
      <c r="CC1622" s="128"/>
      <c r="CD1622" s="128"/>
      <c r="CE1622" s="128"/>
      <c r="CF1622" s="128"/>
      <c r="CG1622" s="128"/>
      <c r="CI1622" s="128"/>
      <c r="CJ1622" s="128"/>
      <c r="CK1622" s="128"/>
      <c r="CL1622" s="128"/>
      <c r="CM1622" s="128"/>
      <c r="CN1622" s="128"/>
      <c r="CO1622" s="128"/>
      <c r="CP1622" s="128"/>
      <c r="CQ1622" s="128"/>
      <c r="CR1622" s="128"/>
      <c r="CS1622" s="128"/>
      <c r="CT1622" s="128"/>
      <c r="CU1622" s="128"/>
      <c r="CV1622" s="128"/>
      <c r="CW1622" s="128"/>
      <c r="CX1622" s="128"/>
      <c r="CY1622" s="128"/>
      <c r="CZ1622" s="165"/>
    </row>
    <row r="1623" spans="1:104">
      <c r="A1623" s="149"/>
      <c r="B1623" s="149"/>
      <c r="C1623" s="150"/>
      <c r="D1623" s="102"/>
      <c r="E1623" s="149"/>
      <c r="F1623" s="149"/>
      <c r="G1623" s="149"/>
      <c r="H1623" s="149"/>
      <c r="I1623" s="149"/>
      <c r="J1623" s="149"/>
      <c r="K1623" s="149"/>
      <c r="L1623" s="149"/>
      <c r="M1623" s="149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9"/>
      <c r="AA1623" s="149"/>
      <c r="AB1623" s="149"/>
      <c r="AC1623" s="149"/>
      <c r="AD1623" s="149"/>
      <c r="AE1623" s="149"/>
      <c r="AF1623" s="149"/>
      <c r="AG1623" s="149"/>
      <c r="AH1623" s="149"/>
      <c r="AI1623" s="149"/>
      <c r="AJ1623" s="149"/>
      <c r="AK1623" s="149"/>
      <c r="AL1623" s="149"/>
      <c r="AM1623" s="149"/>
      <c r="AN1623" s="149"/>
      <c r="AO1623" s="128"/>
      <c r="AP1623" s="128"/>
      <c r="AQ1623" s="128"/>
      <c r="AR1623" s="128"/>
      <c r="AS1623" s="128"/>
      <c r="AT1623" s="128"/>
      <c r="AU1623" s="128"/>
      <c r="AV1623" s="128"/>
      <c r="AW1623" s="128"/>
      <c r="AX1623" s="128"/>
      <c r="AY1623" s="128"/>
      <c r="AZ1623" s="128"/>
      <c r="BA1623" s="128"/>
      <c r="BB1623" s="128"/>
      <c r="BC1623" s="128"/>
      <c r="BD1623" s="128"/>
      <c r="BE1623" s="128"/>
      <c r="BF1623" s="128"/>
      <c r="BG1623" s="128"/>
      <c r="BH1623" s="128"/>
      <c r="BI1623" s="128"/>
      <c r="BJ1623" s="128"/>
      <c r="BK1623" s="128"/>
      <c r="BL1623" s="128"/>
      <c r="BM1623" s="151"/>
      <c r="BN1623" s="128"/>
      <c r="BO1623" s="128"/>
      <c r="BP1623" s="128"/>
      <c r="BQ1623" s="128"/>
      <c r="BR1623" s="128"/>
      <c r="BS1623" s="128"/>
      <c r="BT1623" s="128"/>
      <c r="BU1623" s="128"/>
      <c r="BV1623" s="128"/>
      <c r="BW1623" s="128"/>
      <c r="BX1623" s="128"/>
      <c r="BY1623" s="128"/>
      <c r="BZ1623" s="128"/>
      <c r="CA1623" s="128"/>
      <c r="CB1623" s="128"/>
      <c r="CC1623" s="128"/>
      <c r="CD1623" s="128"/>
      <c r="CE1623" s="128"/>
      <c r="CF1623" s="128"/>
      <c r="CG1623" s="128"/>
      <c r="CI1623" s="128"/>
      <c r="CJ1623" s="128"/>
      <c r="CK1623" s="128"/>
      <c r="CL1623" s="128"/>
      <c r="CM1623" s="128"/>
      <c r="CN1623" s="128"/>
      <c r="CO1623" s="128"/>
      <c r="CP1623" s="128"/>
      <c r="CQ1623" s="128"/>
      <c r="CR1623" s="128"/>
      <c r="CS1623" s="128"/>
      <c r="CT1623" s="128"/>
      <c r="CU1623" s="128"/>
      <c r="CV1623" s="128"/>
      <c r="CW1623" s="128"/>
      <c r="CX1623" s="128"/>
      <c r="CY1623" s="128"/>
      <c r="CZ1623" s="165"/>
    </row>
    <row r="1624" spans="1:104">
      <c r="A1624" s="149"/>
      <c r="B1624" s="149"/>
      <c r="C1624" s="150"/>
      <c r="D1624" s="102"/>
      <c r="E1624" s="149"/>
      <c r="F1624" s="149"/>
      <c r="G1624" s="149"/>
      <c r="H1624" s="149"/>
      <c r="I1624" s="149"/>
      <c r="J1624" s="149"/>
      <c r="K1624" s="149"/>
      <c r="L1624" s="149"/>
      <c r="M1624" s="149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9"/>
      <c r="AA1624" s="149"/>
      <c r="AB1624" s="149"/>
      <c r="AC1624" s="149"/>
      <c r="AD1624" s="149"/>
      <c r="AE1624" s="149"/>
      <c r="AF1624" s="149"/>
      <c r="AG1624" s="149"/>
      <c r="AH1624" s="149"/>
      <c r="AI1624" s="149"/>
      <c r="AJ1624" s="149"/>
      <c r="AK1624" s="149"/>
      <c r="AL1624" s="149"/>
      <c r="AM1624" s="149"/>
      <c r="AN1624" s="149"/>
      <c r="AO1624" s="128"/>
      <c r="AP1624" s="128"/>
      <c r="AQ1624" s="128"/>
      <c r="AR1624" s="128"/>
      <c r="AS1624" s="128"/>
      <c r="AT1624" s="128"/>
      <c r="AU1624" s="128"/>
      <c r="AV1624" s="128"/>
      <c r="AW1624" s="128"/>
      <c r="AX1624" s="128"/>
      <c r="AY1624" s="128"/>
      <c r="AZ1624" s="128"/>
      <c r="BA1624" s="128"/>
      <c r="BB1624" s="128"/>
      <c r="BC1624" s="128"/>
      <c r="BD1624" s="128"/>
      <c r="BE1624" s="128"/>
      <c r="BF1624" s="128"/>
      <c r="BG1624" s="128"/>
      <c r="BH1624" s="128"/>
      <c r="BI1624" s="128"/>
      <c r="BJ1624" s="128"/>
      <c r="BK1624" s="128"/>
      <c r="BL1624" s="128"/>
      <c r="BM1624" s="151"/>
      <c r="BN1624" s="128"/>
      <c r="BO1624" s="128"/>
      <c r="BP1624" s="128"/>
      <c r="BQ1624" s="128"/>
      <c r="BR1624" s="128"/>
      <c r="BS1624" s="128"/>
      <c r="BT1624" s="128"/>
      <c r="BU1624" s="128"/>
      <c r="BV1624" s="128"/>
      <c r="BW1624" s="128"/>
      <c r="BX1624" s="128"/>
      <c r="BY1624" s="128"/>
      <c r="BZ1624" s="128"/>
      <c r="CA1624" s="128"/>
      <c r="CB1624" s="128"/>
      <c r="CC1624" s="128"/>
      <c r="CD1624" s="128"/>
      <c r="CE1624" s="128"/>
      <c r="CF1624" s="128"/>
      <c r="CG1624" s="128"/>
      <c r="CI1624" s="128"/>
      <c r="CJ1624" s="128"/>
      <c r="CK1624" s="128"/>
      <c r="CL1624" s="128"/>
      <c r="CM1624" s="128"/>
      <c r="CN1624" s="128"/>
      <c r="CO1624" s="128"/>
      <c r="CP1624" s="128"/>
      <c r="CQ1624" s="128"/>
      <c r="CR1624" s="128"/>
      <c r="CS1624" s="128"/>
      <c r="CT1624" s="128"/>
      <c r="CU1624" s="128"/>
      <c r="CV1624" s="128"/>
      <c r="CW1624" s="128"/>
      <c r="CX1624" s="128"/>
      <c r="CY1624" s="128"/>
      <c r="CZ1624" s="165"/>
    </row>
    <row r="1625" spans="1:104">
      <c r="A1625" s="149"/>
      <c r="B1625" s="149"/>
      <c r="C1625" s="150"/>
      <c r="D1625" s="102"/>
      <c r="E1625" s="149"/>
      <c r="F1625" s="149"/>
      <c r="G1625" s="149"/>
      <c r="H1625" s="149"/>
      <c r="I1625" s="149"/>
      <c r="J1625" s="149"/>
      <c r="K1625" s="149"/>
      <c r="L1625" s="149"/>
      <c r="M1625" s="149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9"/>
      <c r="AA1625" s="149"/>
      <c r="AB1625" s="149"/>
      <c r="AC1625" s="149"/>
      <c r="AD1625" s="149"/>
      <c r="AE1625" s="149"/>
      <c r="AF1625" s="149"/>
      <c r="AG1625" s="149"/>
      <c r="AH1625" s="149"/>
      <c r="AI1625" s="149"/>
      <c r="AJ1625" s="149"/>
      <c r="AK1625" s="149"/>
      <c r="AL1625" s="149"/>
      <c r="AM1625" s="149"/>
      <c r="AN1625" s="149"/>
      <c r="AO1625" s="128"/>
      <c r="AP1625" s="128"/>
      <c r="AQ1625" s="128"/>
      <c r="AR1625" s="128"/>
      <c r="AS1625" s="128"/>
      <c r="AT1625" s="128"/>
      <c r="AU1625" s="128"/>
      <c r="AV1625" s="128"/>
      <c r="AW1625" s="128"/>
      <c r="AX1625" s="128"/>
      <c r="AY1625" s="128"/>
      <c r="AZ1625" s="128"/>
      <c r="BA1625" s="128"/>
      <c r="BB1625" s="128"/>
      <c r="BC1625" s="128"/>
      <c r="BD1625" s="128"/>
      <c r="BE1625" s="128"/>
      <c r="BF1625" s="128"/>
      <c r="BG1625" s="128"/>
      <c r="BH1625" s="128"/>
      <c r="BI1625" s="128"/>
      <c r="BJ1625" s="128"/>
      <c r="BK1625" s="128"/>
      <c r="BL1625" s="128"/>
      <c r="BM1625" s="151"/>
      <c r="BN1625" s="128"/>
      <c r="BO1625" s="128"/>
      <c r="BP1625" s="128"/>
      <c r="BQ1625" s="128"/>
      <c r="BR1625" s="128"/>
      <c r="BS1625" s="128"/>
      <c r="BT1625" s="128"/>
      <c r="BU1625" s="128"/>
      <c r="BV1625" s="128"/>
      <c r="BW1625" s="128"/>
      <c r="BX1625" s="128"/>
      <c r="BY1625" s="128"/>
      <c r="BZ1625" s="128"/>
      <c r="CA1625" s="128"/>
      <c r="CB1625" s="128"/>
      <c r="CC1625" s="128"/>
      <c r="CD1625" s="128"/>
      <c r="CE1625" s="128"/>
      <c r="CF1625" s="128"/>
      <c r="CG1625" s="128"/>
      <c r="CI1625" s="128"/>
      <c r="CJ1625" s="128"/>
      <c r="CK1625" s="128"/>
      <c r="CL1625" s="128"/>
      <c r="CM1625" s="128"/>
      <c r="CN1625" s="128"/>
      <c r="CO1625" s="128"/>
      <c r="CP1625" s="128"/>
      <c r="CQ1625" s="128"/>
      <c r="CR1625" s="128"/>
      <c r="CS1625" s="128"/>
      <c r="CT1625" s="128"/>
      <c r="CU1625" s="128"/>
      <c r="CV1625" s="128"/>
      <c r="CW1625" s="128"/>
      <c r="CX1625" s="128"/>
      <c r="CY1625" s="128"/>
      <c r="CZ1625" s="165"/>
    </row>
    <row r="1626" spans="1:104">
      <c r="A1626" s="149"/>
      <c r="B1626" s="149"/>
      <c r="C1626" s="150"/>
      <c r="D1626" s="102"/>
      <c r="E1626" s="149"/>
      <c r="F1626" s="149"/>
      <c r="G1626" s="149"/>
      <c r="H1626" s="149"/>
      <c r="I1626" s="149"/>
      <c r="J1626" s="149"/>
      <c r="K1626" s="149"/>
      <c r="L1626" s="149"/>
      <c r="M1626" s="149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9"/>
      <c r="AA1626" s="149"/>
      <c r="AB1626" s="149"/>
      <c r="AC1626" s="149"/>
      <c r="AD1626" s="149"/>
      <c r="AE1626" s="149"/>
      <c r="AF1626" s="149"/>
      <c r="AG1626" s="149"/>
      <c r="AH1626" s="149"/>
      <c r="AI1626" s="149"/>
      <c r="AJ1626" s="149"/>
      <c r="AK1626" s="149"/>
      <c r="AL1626" s="149"/>
      <c r="AM1626" s="149"/>
      <c r="AN1626" s="149"/>
      <c r="AO1626" s="128"/>
      <c r="AP1626" s="128"/>
      <c r="AQ1626" s="128"/>
      <c r="AR1626" s="128"/>
      <c r="AS1626" s="128"/>
      <c r="AT1626" s="128"/>
      <c r="AU1626" s="128"/>
      <c r="AV1626" s="128"/>
      <c r="AW1626" s="128"/>
      <c r="AX1626" s="128"/>
      <c r="AY1626" s="128"/>
      <c r="AZ1626" s="128"/>
      <c r="BA1626" s="128"/>
      <c r="BB1626" s="128"/>
      <c r="BC1626" s="128"/>
      <c r="BD1626" s="128"/>
      <c r="BE1626" s="128"/>
      <c r="BF1626" s="128"/>
      <c r="BG1626" s="128"/>
      <c r="BH1626" s="128"/>
      <c r="BI1626" s="128"/>
      <c r="BJ1626" s="128"/>
      <c r="BK1626" s="128"/>
      <c r="BL1626" s="128"/>
      <c r="BM1626" s="151"/>
      <c r="BN1626" s="128"/>
      <c r="BO1626" s="128"/>
      <c r="BP1626" s="128"/>
      <c r="BQ1626" s="128"/>
      <c r="BR1626" s="128"/>
      <c r="BS1626" s="128"/>
      <c r="BT1626" s="128"/>
      <c r="BU1626" s="128"/>
      <c r="BV1626" s="128"/>
      <c r="BW1626" s="128"/>
      <c r="BX1626" s="128"/>
      <c r="BY1626" s="128"/>
      <c r="BZ1626" s="128"/>
      <c r="CA1626" s="128"/>
      <c r="CB1626" s="128"/>
      <c r="CC1626" s="128"/>
      <c r="CD1626" s="128"/>
      <c r="CE1626" s="128"/>
      <c r="CF1626" s="128"/>
      <c r="CG1626" s="128"/>
      <c r="CI1626" s="128"/>
      <c r="CJ1626" s="128"/>
      <c r="CK1626" s="128"/>
      <c r="CL1626" s="128"/>
      <c r="CM1626" s="128"/>
      <c r="CN1626" s="128"/>
      <c r="CO1626" s="128"/>
      <c r="CP1626" s="128"/>
      <c r="CQ1626" s="128"/>
      <c r="CR1626" s="128"/>
      <c r="CS1626" s="128"/>
      <c r="CT1626" s="128"/>
      <c r="CU1626" s="128"/>
      <c r="CV1626" s="128"/>
      <c r="CW1626" s="128"/>
      <c r="CX1626" s="128"/>
      <c r="CY1626" s="128"/>
      <c r="CZ1626" s="165"/>
    </row>
    <row r="1627" spans="1:104">
      <c r="A1627" s="149"/>
      <c r="B1627" s="149"/>
      <c r="C1627" s="150"/>
      <c r="D1627" s="102"/>
      <c r="E1627" s="149"/>
      <c r="F1627" s="149"/>
      <c r="G1627" s="149"/>
      <c r="H1627" s="149"/>
      <c r="I1627" s="149"/>
      <c r="J1627" s="149"/>
      <c r="K1627" s="149"/>
      <c r="L1627" s="149"/>
      <c r="M1627" s="149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9"/>
      <c r="AA1627" s="149"/>
      <c r="AB1627" s="149"/>
      <c r="AC1627" s="149"/>
      <c r="AD1627" s="149"/>
      <c r="AE1627" s="149"/>
      <c r="AF1627" s="149"/>
      <c r="AG1627" s="149"/>
      <c r="AH1627" s="149"/>
      <c r="AI1627" s="149"/>
      <c r="AJ1627" s="149"/>
      <c r="AK1627" s="149"/>
      <c r="AL1627" s="149"/>
      <c r="AM1627" s="149"/>
      <c r="AN1627" s="149"/>
      <c r="AO1627" s="128"/>
      <c r="AP1627" s="128"/>
      <c r="AQ1627" s="128"/>
      <c r="AR1627" s="128"/>
      <c r="AS1627" s="128"/>
      <c r="AT1627" s="128"/>
      <c r="AU1627" s="128"/>
      <c r="AV1627" s="128"/>
      <c r="AW1627" s="128"/>
      <c r="AX1627" s="128"/>
      <c r="AY1627" s="128"/>
      <c r="AZ1627" s="128"/>
      <c r="BA1627" s="128"/>
      <c r="BB1627" s="128"/>
      <c r="BC1627" s="128"/>
      <c r="BD1627" s="128"/>
      <c r="BE1627" s="128"/>
      <c r="BF1627" s="128"/>
      <c r="BG1627" s="128"/>
      <c r="BH1627" s="128"/>
      <c r="BI1627" s="128"/>
      <c r="BJ1627" s="128"/>
      <c r="BK1627" s="128"/>
      <c r="BL1627" s="128"/>
      <c r="BM1627" s="151"/>
      <c r="BN1627" s="128"/>
      <c r="BO1627" s="128"/>
      <c r="BP1627" s="128"/>
      <c r="BQ1627" s="128"/>
      <c r="BR1627" s="128"/>
      <c r="BS1627" s="128"/>
      <c r="BT1627" s="128"/>
      <c r="BU1627" s="128"/>
      <c r="BV1627" s="128"/>
      <c r="BW1627" s="128"/>
      <c r="BX1627" s="128"/>
      <c r="BY1627" s="128"/>
      <c r="BZ1627" s="128"/>
      <c r="CA1627" s="128"/>
      <c r="CB1627" s="128"/>
      <c r="CC1627" s="128"/>
      <c r="CD1627" s="128"/>
      <c r="CE1627" s="128"/>
      <c r="CF1627" s="128"/>
      <c r="CG1627" s="128"/>
      <c r="CI1627" s="128"/>
      <c r="CJ1627" s="128"/>
      <c r="CK1627" s="128"/>
      <c r="CL1627" s="128"/>
      <c r="CM1627" s="128"/>
      <c r="CN1627" s="128"/>
      <c r="CO1627" s="128"/>
      <c r="CP1627" s="128"/>
      <c r="CQ1627" s="128"/>
      <c r="CR1627" s="128"/>
      <c r="CS1627" s="128"/>
      <c r="CT1627" s="128"/>
      <c r="CU1627" s="128"/>
      <c r="CV1627" s="128"/>
      <c r="CW1627" s="128"/>
      <c r="CX1627" s="128"/>
      <c r="CY1627" s="128"/>
      <c r="CZ1627" s="165"/>
    </row>
    <row r="1628" spans="1:104">
      <c r="A1628" s="149"/>
      <c r="B1628" s="149"/>
      <c r="C1628" s="150"/>
      <c r="D1628" s="102"/>
      <c r="E1628" s="149"/>
      <c r="F1628" s="149"/>
      <c r="G1628" s="149"/>
      <c r="H1628" s="149"/>
      <c r="I1628" s="149"/>
      <c r="J1628" s="149"/>
      <c r="K1628" s="149"/>
      <c r="L1628" s="149"/>
      <c r="M1628" s="149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9"/>
      <c r="AA1628" s="149"/>
      <c r="AB1628" s="149"/>
      <c r="AC1628" s="149"/>
      <c r="AD1628" s="149"/>
      <c r="AE1628" s="149"/>
      <c r="AF1628" s="149"/>
      <c r="AG1628" s="149"/>
      <c r="AH1628" s="149"/>
      <c r="AI1628" s="149"/>
      <c r="AJ1628" s="149"/>
      <c r="AK1628" s="149"/>
      <c r="AL1628" s="149"/>
      <c r="AM1628" s="149"/>
      <c r="AN1628" s="149"/>
      <c r="AO1628" s="128"/>
      <c r="AP1628" s="128"/>
      <c r="AQ1628" s="128"/>
      <c r="AR1628" s="128"/>
      <c r="AS1628" s="128"/>
      <c r="AT1628" s="128"/>
      <c r="AU1628" s="128"/>
      <c r="AV1628" s="128"/>
      <c r="AW1628" s="128"/>
      <c r="AX1628" s="128"/>
      <c r="AY1628" s="128"/>
      <c r="AZ1628" s="128"/>
      <c r="BA1628" s="128"/>
      <c r="BB1628" s="128"/>
      <c r="BC1628" s="128"/>
      <c r="BD1628" s="128"/>
      <c r="BE1628" s="128"/>
      <c r="BF1628" s="128"/>
      <c r="BG1628" s="128"/>
      <c r="BH1628" s="128"/>
      <c r="BI1628" s="128"/>
      <c r="BJ1628" s="128"/>
      <c r="BK1628" s="128"/>
      <c r="BL1628" s="128"/>
      <c r="BM1628" s="151"/>
      <c r="BN1628" s="128"/>
      <c r="BO1628" s="128"/>
      <c r="BP1628" s="128"/>
      <c r="BQ1628" s="128"/>
      <c r="BR1628" s="128"/>
      <c r="BS1628" s="128"/>
      <c r="BT1628" s="128"/>
      <c r="BU1628" s="128"/>
      <c r="BV1628" s="128"/>
      <c r="BW1628" s="128"/>
      <c r="BX1628" s="128"/>
      <c r="BY1628" s="128"/>
      <c r="BZ1628" s="128"/>
      <c r="CA1628" s="128"/>
      <c r="CB1628" s="128"/>
      <c r="CC1628" s="128"/>
      <c r="CD1628" s="128"/>
      <c r="CE1628" s="128"/>
      <c r="CF1628" s="128"/>
      <c r="CG1628" s="128"/>
      <c r="CI1628" s="128"/>
      <c r="CJ1628" s="128"/>
      <c r="CK1628" s="128"/>
      <c r="CL1628" s="128"/>
      <c r="CM1628" s="128"/>
      <c r="CN1628" s="128"/>
      <c r="CO1628" s="128"/>
      <c r="CP1628" s="128"/>
      <c r="CQ1628" s="128"/>
      <c r="CR1628" s="128"/>
      <c r="CS1628" s="128"/>
      <c r="CT1628" s="128"/>
      <c r="CU1628" s="128"/>
      <c r="CV1628" s="128"/>
      <c r="CW1628" s="128"/>
      <c r="CX1628" s="128"/>
      <c r="CY1628" s="128"/>
      <c r="CZ1628" s="165"/>
    </row>
    <row r="1629" spans="1:104">
      <c r="A1629" s="149"/>
      <c r="B1629" s="149"/>
      <c r="C1629" s="150"/>
      <c r="D1629" s="102"/>
      <c r="E1629" s="149"/>
      <c r="F1629" s="149"/>
      <c r="G1629" s="149"/>
      <c r="H1629" s="149"/>
      <c r="I1629" s="149"/>
      <c r="J1629" s="149"/>
      <c r="K1629" s="149"/>
      <c r="L1629" s="149"/>
      <c r="M1629" s="149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9"/>
      <c r="AA1629" s="149"/>
      <c r="AB1629" s="149"/>
      <c r="AC1629" s="149"/>
      <c r="AD1629" s="149"/>
      <c r="AE1629" s="149"/>
      <c r="AF1629" s="149"/>
      <c r="AG1629" s="149"/>
      <c r="AH1629" s="149"/>
      <c r="AI1629" s="149"/>
      <c r="AJ1629" s="149"/>
      <c r="AK1629" s="149"/>
      <c r="AL1629" s="149"/>
      <c r="AM1629" s="149"/>
      <c r="AN1629" s="149"/>
      <c r="AO1629" s="128"/>
      <c r="AP1629" s="128"/>
      <c r="AQ1629" s="128"/>
      <c r="AR1629" s="128"/>
      <c r="AS1629" s="128"/>
      <c r="AT1629" s="128"/>
      <c r="AU1629" s="128"/>
      <c r="AV1629" s="128"/>
      <c r="AW1629" s="128"/>
      <c r="AX1629" s="128"/>
      <c r="AY1629" s="128"/>
      <c r="AZ1629" s="128"/>
      <c r="BA1629" s="128"/>
      <c r="BB1629" s="128"/>
      <c r="BC1629" s="128"/>
      <c r="BD1629" s="128"/>
      <c r="BE1629" s="128"/>
      <c r="BF1629" s="128"/>
      <c r="BG1629" s="128"/>
      <c r="BH1629" s="128"/>
      <c r="BI1629" s="128"/>
      <c r="BJ1629" s="128"/>
      <c r="BK1629" s="128"/>
      <c r="BL1629" s="128"/>
      <c r="BM1629" s="151"/>
      <c r="BN1629" s="128"/>
      <c r="BO1629" s="128"/>
      <c r="BP1629" s="128"/>
      <c r="BQ1629" s="128"/>
      <c r="BR1629" s="128"/>
      <c r="BS1629" s="128"/>
      <c r="BT1629" s="128"/>
      <c r="BU1629" s="128"/>
      <c r="BV1629" s="128"/>
      <c r="BW1629" s="128"/>
      <c r="BX1629" s="128"/>
      <c r="BY1629" s="128"/>
      <c r="BZ1629" s="128"/>
      <c r="CA1629" s="128"/>
      <c r="CB1629" s="128"/>
      <c r="CC1629" s="128"/>
      <c r="CD1629" s="128"/>
      <c r="CE1629" s="128"/>
      <c r="CF1629" s="128"/>
      <c r="CG1629" s="128"/>
      <c r="CI1629" s="128"/>
      <c r="CJ1629" s="128"/>
      <c r="CK1629" s="128"/>
      <c r="CL1629" s="128"/>
      <c r="CM1629" s="128"/>
      <c r="CN1629" s="128"/>
      <c r="CO1629" s="128"/>
      <c r="CP1629" s="128"/>
      <c r="CQ1629" s="128"/>
      <c r="CR1629" s="128"/>
      <c r="CS1629" s="128"/>
      <c r="CT1629" s="128"/>
      <c r="CU1629" s="128"/>
      <c r="CV1629" s="128"/>
      <c r="CW1629" s="128"/>
      <c r="CX1629" s="128"/>
      <c r="CY1629" s="128"/>
      <c r="CZ1629" s="165"/>
    </row>
    <row r="1630" spans="1:104">
      <c r="A1630" s="149"/>
      <c r="B1630" s="149"/>
      <c r="C1630" s="150"/>
      <c r="D1630" s="102"/>
      <c r="E1630" s="149"/>
      <c r="F1630" s="149"/>
      <c r="G1630" s="149"/>
      <c r="H1630" s="149"/>
      <c r="I1630" s="149"/>
      <c r="J1630" s="149"/>
      <c r="K1630" s="149"/>
      <c r="L1630" s="149"/>
      <c r="M1630" s="149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9"/>
      <c r="AA1630" s="149"/>
      <c r="AB1630" s="149"/>
      <c r="AC1630" s="149"/>
      <c r="AD1630" s="149"/>
      <c r="AE1630" s="149"/>
      <c r="AF1630" s="149"/>
      <c r="AG1630" s="149"/>
      <c r="AH1630" s="149"/>
      <c r="AI1630" s="149"/>
      <c r="AJ1630" s="149"/>
      <c r="AK1630" s="149"/>
      <c r="AL1630" s="149"/>
      <c r="AM1630" s="149"/>
      <c r="AN1630" s="149"/>
      <c r="AO1630" s="128"/>
      <c r="AP1630" s="128"/>
      <c r="AQ1630" s="128"/>
      <c r="AR1630" s="128"/>
      <c r="AS1630" s="128"/>
      <c r="AT1630" s="128"/>
      <c r="AU1630" s="128"/>
      <c r="AV1630" s="128"/>
      <c r="AW1630" s="128"/>
      <c r="AX1630" s="128"/>
      <c r="AY1630" s="128"/>
      <c r="AZ1630" s="128"/>
      <c r="BA1630" s="128"/>
      <c r="BB1630" s="128"/>
      <c r="BC1630" s="128"/>
      <c r="BD1630" s="128"/>
      <c r="BE1630" s="128"/>
      <c r="BF1630" s="128"/>
      <c r="BG1630" s="128"/>
      <c r="BH1630" s="128"/>
      <c r="BI1630" s="128"/>
      <c r="BJ1630" s="128"/>
      <c r="BK1630" s="128"/>
      <c r="BL1630" s="128"/>
      <c r="BM1630" s="151"/>
      <c r="BN1630" s="128"/>
      <c r="BO1630" s="128"/>
      <c r="BP1630" s="128"/>
      <c r="BQ1630" s="128"/>
      <c r="BR1630" s="128"/>
      <c r="BS1630" s="128"/>
      <c r="BT1630" s="128"/>
      <c r="BU1630" s="128"/>
      <c r="BV1630" s="128"/>
      <c r="BW1630" s="128"/>
      <c r="BX1630" s="128"/>
      <c r="BY1630" s="128"/>
      <c r="BZ1630" s="128"/>
      <c r="CA1630" s="128"/>
      <c r="CB1630" s="128"/>
      <c r="CC1630" s="128"/>
      <c r="CD1630" s="128"/>
      <c r="CE1630" s="128"/>
      <c r="CF1630" s="128"/>
      <c r="CG1630" s="128"/>
      <c r="CI1630" s="128"/>
      <c r="CJ1630" s="128"/>
      <c r="CK1630" s="128"/>
      <c r="CL1630" s="128"/>
      <c r="CM1630" s="128"/>
      <c r="CN1630" s="128"/>
      <c r="CO1630" s="128"/>
      <c r="CP1630" s="128"/>
      <c r="CQ1630" s="128"/>
      <c r="CR1630" s="128"/>
      <c r="CS1630" s="128"/>
      <c r="CT1630" s="128"/>
      <c r="CU1630" s="128"/>
      <c r="CV1630" s="128"/>
      <c r="CW1630" s="128"/>
      <c r="CX1630" s="128"/>
      <c r="CY1630" s="128"/>
      <c r="CZ1630" s="165"/>
    </row>
    <row r="1631" spans="1:104">
      <c r="A1631" s="149"/>
      <c r="B1631" s="149"/>
      <c r="C1631" s="150"/>
      <c r="D1631" s="102"/>
      <c r="E1631" s="149"/>
      <c r="F1631" s="149"/>
      <c r="G1631" s="149"/>
      <c r="H1631" s="149"/>
      <c r="I1631" s="149"/>
      <c r="J1631" s="149"/>
      <c r="K1631" s="149"/>
      <c r="L1631" s="149"/>
      <c r="M1631" s="149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9"/>
      <c r="AA1631" s="149"/>
      <c r="AB1631" s="149"/>
      <c r="AC1631" s="149"/>
      <c r="AD1631" s="149"/>
      <c r="AE1631" s="149"/>
      <c r="AF1631" s="149"/>
      <c r="AG1631" s="149"/>
      <c r="AH1631" s="149"/>
      <c r="AI1631" s="149"/>
      <c r="AJ1631" s="149"/>
      <c r="AK1631" s="149"/>
      <c r="AL1631" s="149"/>
      <c r="AM1631" s="149"/>
      <c r="AN1631" s="149"/>
      <c r="AO1631" s="128"/>
      <c r="AP1631" s="128"/>
      <c r="AQ1631" s="128"/>
      <c r="AR1631" s="128"/>
      <c r="AS1631" s="128"/>
      <c r="AT1631" s="128"/>
      <c r="AU1631" s="128"/>
      <c r="AV1631" s="128"/>
      <c r="AW1631" s="128"/>
      <c r="AX1631" s="128"/>
      <c r="AY1631" s="128"/>
      <c r="AZ1631" s="128"/>
      <c r="BA1631" s="128"/>
      <c r="BB1631" s="128"/>
      <c r="BC1631" s="128"/>
      <c r="BD1631" s="128"/>
      <c r="BE1631" s="128"/>
      <c r="BF1631" s="128"/>
      <c r="BG1631" s="128"/>
      <c r="BH1631" s="128"/>
      <c r="BI1631" s="128"/>
      <c r="BJ1631" s="128"/>
      <c r="BK1631" s="128"/>
      <c r="BL1631" s="128"/>
      <c r="BM1631" s="151"/>
      <c r="BN1631" s="128"/>
      <c r="BO1631" s="128"/>
      <c r="BP1631" s="128"/>
      <c r="BQ1631" s="128"/>
      <c r="BR1631" s="128"/>
      <c r="BS1631" s="128"/>
      <c r="BT1631" s="128"/>
      <c r="BU1631" s="128"/>
      <c r="BV1631" s="128"/>
      <c r="BW1631" s="128"/>
      <c r="BX1631" s="128"/>
      <c r="BY1631" s="128"/>
      <c r="BZ1631" s="128"/>
      <c r="CA1631" s="128"/>
      <c r="CB1631" s="128"/>
      <c r="CC1631" s="128"/>
      <c r="CD1631" s="128"/>
      <c r="CE1631" s="128"/>
      <c r="CF1631" s="128"/>
      <c r="CG1631" s="128"/>
      <c r="CI1631" s="128"/>
      <c r="CJ1631" s="128"/>
      <c r="CK1631" s="128"/>
      <c r="CL1631" s="128"/>
      <c r="CM1631" s="128"/>
      <c r="CN1631" s="128"/>
      <c r="CO1631" s="128"/>
      <c r="CP1631" s="128"/>
      <c r="CQ1631" s="128"/>
      <c r="CR1631" s="128"/>
      <c r="CS1631" s="128"/>
      <c r="CT1631" s="128"/>
      <c r="CU1631" s="128"/>
      <c r="CV1631" s="128"/>
      <c r="CW1631" s="128"/>
      <c r="CX1631" s="128"/>
      <c r="CY1631" s="128"/>
      <c r="CZ1631" s="165"/>
    </row>
    <row r="1632" spans="1:104">
      <c r="A1632" s="149"/>
      <c r="B1632" s="149"/>
      <c r="C1632" s="150"/>
      <c r="D1632" s="102"/>
      <c r="E1632" s="149"/>
      <c r="F1632" s="149"/>
      <c r="G1632" s="149"/>
      <c r="H1632" s="149"/>
      <c r="I1632" s="149"/>
      <c r="J1632" s="149"/>
      <c r="K1632" s="149"/>
      <c r="L1632" s="149"/>
      <c r="M1632" s="149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9"/>
      <c r="AA1632" s="149"/>
      <c r="AB1632" s="149"/>
      <c r="AC1632" s="149"/>
      <c r="AD1632" s="149"/>
      <c r="AE1632" s="149"/>
      <c r="AF1632" s="149"/>
      <c r="AG1632" s="149"/>
      <c r="AH1632" s="149"/>
      <c r="AI1632" s="149"/>
      <c r="AJ1632" s="149"/>
      <c r="AK1632" s="149"/>
      <c r="AL1632" s="149"/>
      <c r="AM1632" s="149"/>
      <c r="AN1632" s="149"/>
      <c r="AO1632" s="128"/>
      <c r="AP1632" s="128"/>
      <c r="AQ1632" s="128"/>
      <c r="AR1632" s="128"/>
      <c r="AS1632" s="128"/>
      <c r="AT1632" s="128"/>
      <c r="AU1632" s="128"/>
      <c r="AV1632" s="128"/>
      <c r="AW1632" s="128"/>
      <c r="AX1632" s="128"/>
      <c r="AY1632" s="128"/>
      <c r="AZ1632" s="128"/>
      <c r="BA1632" s="128"/>
      <c r="BB1632" s="128"/>
      <c r="BC1632" s="128"/>
      <c r="BD1632" s="128"/>
      <c r="BE1632" s="128"/>
      <c r="BF1632" s="128"/>
      <c r="BG1632" s="128"/>
      <c r="BH1632" s="128"/>
      <c r="BI1632" s="128"/>
      <c r="BJ1632" s="128"/>
      <c r="BK1632" s="128"/>
      <c r="BL1632" s="128"/>
      <c r="BM1632" s="151"/>
      <c r="BN1632" s="128"/>
      <c r="BO1632" s="128"/>
      <c r="BP1632" s="128"/>
      <c r="BQ1632" s="128"/>
      <c r="BR1632" s="128"/>
      <c r="BS1632" s="128"/>
      <c r="BT1632" s="128"/>
      <c r="BU1632" s="128"/>
      <c r="BV1632" s="128"/>
      <c r="BW1632" s="128"/>
      <c r="BX1632" s="128"/>
      <c r="BY1632" s="128"/>
      <c r="BZ1632" s="128"/>
      <c r="CA1632" s="128"/>
      <c r="CB1632" s="128"/>
      <c r="CC1632" s="128"/>
      <c r="CD1632" s="128"/>
      <c r="CE1632" s="128"/>
      <c r="CF1632" s="128"/>
      <c r="CG1632" s="128"/>
      <c r="CI1632" s="128"/>
      <c r="CJ1632" s="128"/>
      <c r="CK1632" s="128"/>
      <c r="CL1632" s="128"/>
      <c r="CM1632" s="128"/>
      <c r="CN1632" s="128"/>
      <c r="CO1632" s="128"/>
      <c r="CP1632" s="128"/>
      <c r="CQ1632" s="128"/>
      <c r="CR1632" s="128"/>
      <c r="CS1632" s="128"/>
      <c r="CT1632" s="128"/>
      <c r="CU1632" s="128"/>
      <c r="CV1632" s="128"/>
      <c r="CW1632" s="128"/>
      <c r="CX1632" s="128"/>
      <c r="CY1632" s="128"/>
      <c r="CZ1632" s="165"/>
    </row>
    <row r="1633" spans="1:104">
      <c r="A1633" s="149"/>
      <c r="B1633" s="149"/>
      <c r="C1633" s="150"/>
      <c r="D1633" s="102"/>
      <c r="E1633" s="149"/>
      <c r="F1633" s="149"/>
      <c r="G1633" s="149"/>
      <c r="H1633" s="149"/>
      <c r="I1633" s="149"/>
      <c r="J1633" s="149"/>
      <c r="K1633" s="149"/>
      <c r="L1633" s="149"/>
      <c r="M1633" s="149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9"/>
      <c r="AA1633" s="149"/>
      <c r="AB1633" s="149"/>
      <c r="AC1633" s="149"/>
      <c r="AD1633" s="149"/>
      <c r="AE1633" s="149"/>
      <c r="AF1633" s="149"/>
      <c r="AG1633" s="149"/>
      <c r="AH1633" s="149"/>
      <c r="AI1633" s="149"/>
      <c r="AJ1633" s="149"/>
      <c r="AK1633" s="149"/>
      <c r="AL1633" s="149"/>
      <c r="AM1633" s="149"/>
      <c r="AN1633" s="149"/>
      <c r="AO1633" s="128"/>
      <c r="AP1633" s="128"/>
      <c r="AQ1633" s="128"/>
      <c r="AR1633" s="128"/>
      <c r="AS1633" s="128"/>
      <c r="AT1633" s="128"/>
      <c r="AU1633" s="128"/>
      <c r="AV1633" s="128"/>
      <c r="AW1633" s="128"/>
      <c r="AX1633" s="128"/>
      <c r="AY1633" s="128"/>
      <c r="AZ1633" s="128"/>
      <c r="BA1633" s="128"/>
      <c r="BB1633" s="128"/>
      <c r="BC1633" s="128"/>
      <c r="BD1633" s="128"/>
      <c r="BE1633" s="128"/>
      <c r="BF1633" s="128"/>
      <c r="BG1633" s="128"/>
      <c r="BH1633" s="128"/>
      <c r="BI1633" s="128"/>
      <c r="BJ1633" s="128"/>
      <c r="BK1633" s="128"/>
      <c r="BL1633" s="128"/>
      <c r="BM1633" s="151"/>
      <c r="BN1633" s="128"/>
      <c r="BO1633" s="128"/>
      <c r="BP1633" s="128"/>
      <c r="BQ1633" s="128"/>
      <c r="BR1633" s="128"/>
      <c r="BS1633" s="128"/>
      <c r="BT1633" s="128"/>
      <c r="BU1633" s="128"/>
      <c r="BV1633" s="128"/>
      <c r="BW1633" s="128"/>
      <c r="BX1633" s="128"/>
      <c r="BY1633" s="128"/>
      <c r="BZ1633" s="128"/>
      <c r="CA1633" s="128"/>
      <c r="CB1633" s="128"/>
      <c r="CC1633" s="128"/>
      <c r="CD1633" s="128"/>
      <c r="CE1633" s="128"/>
      <c r="CF1633" s="128"/>
      <c r="CG1633" s="128"/>
      <c r="CI1633" s="128"/>
      <c r="CJ1633" s="128"/>
      <c r="CK1633" s="128"/>
      <c r="CL1633" s="128"/>
      <c r="CM1633" s="128"/>
      <c r="CN1633" s="128"/>
      <c r="CO1633" s="128"/>
      <c r="CP1633" s="128"/>
      <c r="CQ1633" s="128"/>
      <c r="CR1633" s="128"/>
      <c r="CS1633" s="128"/>
      <c r="CT1633" s="128"/>
      <c r="CU1633" s="128"/>
      <c r="CV1633" s="128"/>
      <c r="CW1633" s="128"/>
      <c r="CX1633" s="128"/>
      <c r="CY1633" s="128"/>
      <c r="CZ1633" s="165"/>
    </row>
    <row r="1634" spans="1:104">
      <c r="A1634" s="149"/>
      <c r="B1634" s="149"/>
      <c r="C1634" s="150"/>
      <c r="D1634" s="102"/>
      <c r="E1634" s="149"/>
      <c r="F1634" s="149"/>
      <c r="G1634" s="149"/>
      <c r="H1634" s="149"/>
      <c r="I1634" s="149"/>
      <c r="J1634" s="149"/>
      <c r="K1634" s="149"/>
      <c r="L1634" s="149"/>
      <c r="M1634" s="149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9"/>
      <c r="AA1634" s="149"/>
      <c r="AB1634" s="149"/>
      <c r="AC1634" s="149"/>
      <c r="AD1634" s="149"/>
      <c r="AE1634" s="149"/>
      <c r="AF1634" s="149"/>
      <c r="AG1634" s="149"/>
      <c r="AH1634" s="149"/>
      <c r="AI1634" s="149"/>
      <c r="AJ1634" s="149"/>
      <c r="AK1634" s="149"/>
      <c r="AL1634" s="149"/>
      <c r="AM1634" s="149"/>
      <c r="AN1634" s="149"/>
      <c r="AO1634" s="128"/>
      <c r="AP1634" s="128"/>
      <c r="AQ1634" s="128"/>
      <c r="AR1634" s="128"/>
      <c r="AS1634" s="128"/>
      <c r="AT1634" s="128"/>
      <c r="AU1634" s="128"/>
      <c r="AV1634" s="128"/>
      <c r="AW1634" s="128"/>
      <c r="AX1634" s="128"/>
      <c r="AY1634" s="128"/>
      <c r="AZ1634" s="128"/>
      <c r="BA1634" s="128"/>
      <c r="BB1634" s="128"/>
      <c r="BC1634" s="128"/>
      <c r="BD1634" s="128"/>
      <c r="BE1634" s="128"/>
      <c r="BF1634" s="128"/>
      <c r="BG1634" s="128"/>
      <c r="BH1634" s="128"/>
      <c r="BI1634" s="128"/>
      <c r="BJ1634" s="128"/>
      <c r="BK1634" s="128"/>
      <c r="BL1634" s="128"/>
      <c r="BM1634" s="151"/>
      <c r="BN1634" s="128"/>
      <c r="BO1634" s="128"/>
      <c r="BP1634" s="128"/>
      <c r="BQ1634" s="128"/>
      <c r="BR1634" s="128"/>
      <c r="BS1634" s="128"/>
      <c r="BT1634" s="128"/>
      <c r="BU1634" s="128"/>
      <c r="BV1634" s="128"/>
      <c r="BW1634" s="128"/>
      <c r="BX1634" s="128"/>
      <c r="BY1634" s="128"/>
      <c r="BZ1634" s="128"/>
      <c r="CA1634" s="128"/>
      <c r="CB1634" s="128"/>
      <c r="CC1634" s="128"/>
      <c r="CD1634" s="128"/>
      <c r="CE1634" s="128"/>
      <c r="CF1634" s="128"/>
      <c r="CG1634" s="128"/>
      <c r="CI1634" s="128"/>
      <c r="CJ1634" s="128"/>
      <c r="CK1634" s="128"/>
      <c r="CL1634" s="128"/>
      <c r="CM1634" s="128"/>
      <c r="CN1634" s="128"/>
      <c r="CO1634" s="128"/>
      <c r="CP1634" s="128"/>
      <c r="CQ1634" s="128"/>
      <c r="CR1634" s="128"/>
      <c r="CS1634" s="128"/>
      <c r="CT1634" s="128"/>
      <c r="CU1634" s="128"/>
      <c r="CV1634" s="128"/>
      <c r="CW1634" s="128"/>
      <c r="CX1634" s="128"/>
      <c r="CY1634" s="128"/>
      <c r="CZ1634" s="165"/>
    </row>
    <row r="1635" spans="1:104">
      <c r="A1635" s="149"/>
      <c r="B1635" s="149"/>
      <c r="C1635" s="150"/>
      <c r="D1635" s="102"/>
      <c r="E1635" s="149"/>
      <c r="F1635" s="149"/>
      <c r="G1635" s="149"/>
      <c r="H1635" s="149"/>
      <c r="I1635" s="149"/>
      <c r="J1635" s="149"/>
      <c r="K1635" s="149"/>
      <c r="L1635" s="149"/>
      <c r="M1635" s="149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9"/>
      <c r="AA1635" s="149"/>
      <c r="AB1635" s="149"/>
      <c r="AC1635" s="149"/>
      <c r="AD1635" s="149"/>
      <c r="AE1635" s="149"/>
      <c r="AF1635" s="149"/>
      <c r="AG1635" s="149"/>
      <c r="AH1635" s="149"/>
      <c r="AI1635" s="149"/>
      <c r="AJ1635" s="149"/>
      <c r="AK1635" s="149"/>
      <c r="AL1635" s="149"/>
      <c r="AM1635" s="149"/>
      <c r="AN1635" s="149"/>
      <c r="AO1635" s="128"/>
      <c r="AP1635" s="128"/>
      <c r="AQ1635" s="128"/>
      <c r="AR1635" s="128"/>
      <c r="AS1635" s="128"/>
      <c r="AT1635" s="128"/>
      <c r="AU1635" s="128"/>
      <c r="AV1635" s="128"/>
      <c r="AW1635" s="128"/>
      <c r="AX1635" s="128"/>
      <c r="AY1635" s="128"/>
      <c r="AZ1635" s="128"/>
      <c r="BA1635" s="128"/>
      <c r="BB1635" s="128"/>
      <c r="BC1635" s="128"/>
      <c r="BD1635" s="128"/>
      <c r="BE1635" s="128"/>
      <c r="BF1635" s="128"/>
      <c r="BG1635" s="128"/>
      <c r="BH1635" s="128"/>
      <c r="BI1635" s="128"/>
      <c r="BJ1635" s="128"/>
      <c r="BK1635" s="128"/>
      <c r="BL1635" s="128"/>
      <c r="BM1635" s="151"/>
      <c r="BN1635" s="128"/>
      <c r="BO1635" s="128"/>
      <c r="BP1635" s="128"/>
      <c r="BQ1635" s="128"/>
      <c r="BR1635" s="128"/>
      <c r="BS1635" s="128"/>
      <c r="BT1635" s="128"/>
      <c r="BU1635" s="128"/>
      <c r="BV1635" s="128"/>
      <c r="BW1635" s="128"/>
      <c r="BX1635" s="128"/>
      <c r="BY1635" s="128"/>
      <c r="BZ1635" s="128"/>
      <c r="CA1635" s="128"/>
      <c r="CB1635" s="128"/>
      <c r="CC1635" s="128"/>
      <c r="CD1635" s="128"/>
      <c r="CE1635" s="128"/>
      <c r="CF1635" s="128"/>
      <c r="CG1635" s="128"/>
      <c r="CI1635" s="128"/>
      <c r="CJ1635" s="128"/>
      <c r="CK1635" s="128"/>
      <c r="CL1635" s="128"/>
      <c r="CM1635" s="128"/>
      <c r="CN1635" s="128"/>
      <c r="CO1635" s="128"/>
      <c r="CP1635" s="128"/>
      <c r="CQ1635" s="128"/>
      <c r="CR1635" s="128"/>
      <c r="CS1635" s="128"/>
      <c r="CT1635" s="128"/>
      <c r="CU1635" s="128"/>
      <c r="CV1635" s="128"/>
      <c r="CW1635" s="128"/>
      <c r="CX1635" s="128"/>
      <c r="CY1635" s="128"/>
      <c r="CZ1635" s="165"/>
    </row>
    <row r="1636" spans="1:104">
      <c r="A1636" s="149"/>
      <c r="B1636" s="149"/>
      <c r="C1636" s="150"/>
      <c r="D1636" s="102"/>
      <c r="E1636" s="149"/>
      <c r="F1636" s="149"/>
      <c r="G1636" s="149"/>
      <c r="H1636" s="149"/>
      <c r="I1636" s="149"/>
      <c r="J1636" s="149"/>
      <c r="K1636" s="149"/>
      <c r="L1636" s="149"/>
      <c r="M1636" s="149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9"/>
      <c r="AA1636" s="149"/>
      <c r="AB1636" s="149"/>
      <c r="AC1636" s="149"/>
      <c r="AD1636" s="149"/>
      <c r="AE1636" s="149"/>
      <c r="AF1636" s="149"/>
      <c r="AG1636" s="149"/>
      <c r="AH1636" s="149"/>
      <c r="AI1636" s="149"/>
      <c r="AJ1636" s="149"/>
      <c r="AK1636" s="149"/>
      <c r="AL1636" s="149"/>
      <c r="AM1636" s="149"/>
      <c r="AN1636" s="149"/>
      <c r="AO1636" s="128"/>
      <c r="AP1636" s="128"/>
      <c r="AQ1636" s="128"/>
      <c r="AR1636" s="128"/>
      <c r="AS1636" s="128"/>
      <c r="AT1636" s="128"/>
      <c r="AU1636" s="128"/>
      <c r="AV1636" s="128"/>
      <c r="AW1636" s="128"/>
      <c r="AX1636" s="128"/>
      <c r="AY1636" s="128"/>
      <c r="AZ1636" s="128"/>
      <c r="BA1636" s="128"/>
      <c r="BB1636" s="128"/>
      <c r="BC1636" s="128"/>
      <c r="BD1636" s="128"/>
      <c r="BE1636" s="128"/>
      <c r="BF1636" s="128"/>
      <c r="BG1636" s="128"/>
      <c r="BH1636" s="128"/>
      <c r="BI1636" s="128"/>
      <c r="BJ1636" s="128"/>
      <c r="BK1636" s="128"/>
      <c r="BL1636" s="128"/>
      <c r="BM1636" s="151"/>
      <c r="BN1636" s="128"/>
      <c r="BO1636" s="128"/>
      <c r="BP1636" s="128"/>
      <c r="BQ1636" s="128"/>
      <c r="BR1636" s="128"/>
      <c r="BS1636" s="128"/>
      <c r="BT1636" s="128"/>
      <c r="BU1636" s="128"/>
      <c r="BV1636" s="128"/>
      <c r="BW1636" s="128"/>
      <c r="BX1636" s="128"/>
      <c r="BY1636" s="128"/>
      <c r="BZ1636" s="128"/>
      <c r="CA1636" s="128"/>
      <c r="CB1636" s="128"/>
      <c r="CC1636" s="128"/>
      <c r="CD1636" s="128"/>
      <c r="CE1636" s="128"/>
      <c r="CF1636" s="128"/>
      <c r="CG1636" s="128"/>
      <c r="CI1636" s="128"/>
      <c r="CJ1636" s="128"/>
      <c r="CK1636" s="128"/>
      <c r="CL1636" s="128"/>
      <c r="CM1636" s="128"/>
      <c r="CN1636" s="128"/>
      <c r="CO1636" s="128"/>
      <c r="CP1636" s="128"/>
      <c r="CQ1636" s="128"/>
      <c r="CR1636" s="128"/>
      <c r="CS1636" s="128"/>
      <c r="CT1636" s="128"/>
      <c r="CU1636" s="128"/>
      <c r="CV1636" s="128"/>
      <c r="CW1636" s="128"/>
      <c r="CX1636" s="128"/>
      <c r="CY1636" s="128"/>
      <c r="CZ1636" s="165"/>
    </row>
    <row r="1637" spans="1:104">
      <c r="A1637" s="149"/>
      <c r="B1637" s="149"/>
      <c r="C1637" s="150"/>
      <c r="D1637" s="102"/>
      <c r="E1637" s="149"/>
      <c r="F1637" s="149"/>
      <c r="G1637" s="149"/>
      <c r="H1637" s="149"/>
      <c r="I1637" s="149"/>
      <c r="J1637" s="149"/>
      <c r="K1637" s="149"/>
      <c r="L1637" s="149"/>
      <c r="M1637" s="149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9"/>
      <c r="AA1637" s="149"/>
      <c r="AB1637" s="149"/>
      <c r="AC1637" s="149"/>
      <c r="AD1637" s="149"/>
      <c r="AE1637" s="149"/>
      <c r="AF1637" s="149"/>
      <c r="AG1637" s="149"/>
      <c r="AH1637" s="149"/>
      <c r="AI1637" s="149"/>
      <c r="AJ1637" s="149"/>
      <c r="AK1637" s="149"/>
      <c r="AL1637" s="149"/>
      <c r="AM1637" s="149"/>
      <c r="AN1637" s="149"/>
      <c r="AO1637" s="128"/>
      <c r="AP1637" s="128"/>
      <c r="AQ1637" s="128"/>
      <c r="AR1637" s="128"/>
      <c r="AS1637" s="128"/>
      <c r="AT1637" s="128"/>
      <c r="AU1637" s="128"/>
      <c r="AV1637" s="128"/>
      <c r="AW1637" s="128"/>
      <c r="AX1637" s="128"/>
      <c r="AY1637" s="128"/>
      <c r="AZ1637" s="128"/>
      <c r="BA1637" s="128"/>
      <c r="BB1637" s="128"/>
      <c r="BC1637" s="128"/>
      <c r="BD1637" s="128"/>
      <c r="BE1637" s="128"/>
      <c r="BF1637" s="128"/>
      <c r="BG1637" s="128"/>
      <c r="BH1637" s="128"/>
      <c r="BI1637" s="128"/>
      <c r="BJ1637" s="128"/>
      <c r="BK1637" s="128"/>
      <c r="BL1637" s="128"/>
      <c r="BM1637" s="151"/>
      <c r="BN1637" s="128"/>
      <c r="BO1637" s="128"/>
      <c r="BP1637" s="128"/>
      <c r="BQ1637" s="128"/>
      <c r="BR1637" s="128"/>
      <c r="BS1637" s="128"/>
      <c r="BT1637" s="128"/>
      <c r="BU1637" s="128"/>
      <c r="BV1637" s="128"/>
      <c r="BW1637" s="128"/>
      <c r="BX1637" s="128"/>
      <c r="BY1637" s="128"/>
      <c r="BZ1637" s="128"/>
      <c r="CA1637" s="128"/>
      <c r="CB1637" s="128"/>
      <c r="CC1637" s="128"/>
      <c r="CD1637" s="128"/>
      <c r="CE1637" s="128"/>
      <c r="CF1637" s="128"/>
      <c r="CG1637" s="128"/>
      <c r="CI1637" s="128"/>
      <c r="CJ1637" s="128"/>
      <c r="CK1637" s="128"/>
      <c r="CL1637" s="128"/>
      <c r="CM1637" s="128"/>
      <c r="CN1637" s="128"/>
      <c r="CO1637" s="128"/>
      <c r="CP1637" s="128"/>
      <c r="CQ1637" s="128"/>
      <c r="CR1637" s="128"/>
      <c r="CS1637" s="128"/>
      <c r="CT1637" s="128"/>
      <c r="CU1637" s="128"/>
      <c r="CV1637" s="128"/>
      <c r="CW1637" s="128"/>
      <c r="CX1637" s="128"/>
      <c r="CY1637" s="128"/>
      <c r="CZ1637" s="165"/>
    </row>
    <row r="1638" spans="1:104">
      <c r="A1638" s="149"/>
      <c r="B1638" s="149"/>
      <c r="C1638" s="150"/>
      <c r="D1638" s="102"/>
      <c r="E1638" s="149"/>
      <c r="F1638" s="149"/>
      <c r="G1638" s="149"/>
      <c r="H1638" s="149"/>
      <c r="I1638" s="149"/>
      <c r="J1638" s="149"/>
      <c r="K1638" s="149"/>
      <c r="L1638" s="149"/>
      <c r="M1638" s="149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9"/>
      <c r="AA1638" s="149"/>
      <c r="AB1638" s="149"/>
      <c r="AC1638" s="149"/>
      <c r="AD1638" s="149"/>
      <c r="AE1638" s="149"/>
      <c r="AF1638" s="149"/>
      <c r="AG1638" s="149"/>
      <c r="AH1638" s="149"/>
      <c r="AI1638" s="149"/>
      <c r="AJ1638" s="149"/>
      <c r="AK1638" s="149"/>
      <c r="AL1638" s="149"/>
      <c r="AM1638" s="149"/>
      <c r="AN1638" s="149"/>
      <c r="AO1638" s="128"/>
      <c r="AP1638" s="128"/>
      <c r="AQ1638" s="128"/>
      <c r="AR1638" s="128"/>
      <c r="AS1638" s="128"/>
      <c r="AT1638" s="128"/>
      <c r="AU1638" s="128"/>
      <c r="AV1638" s="128"/>
      <c r="AW1638" s="128"/>
      <c r="AX1638" s="128"/>
      <c r="AY1638" s="128"/>
      <c r="AZ1638" s="128"/>
      <c r="BA1638" s="128"/>
      <c r="BB1638" s="128"/>
      <c r="BC1638" s="128"/>
      <c r="BD1638" s="128"/>
      <c r="BE1638" s="128"/>
      <c r="BF1638" s="128"/>
      <c r="BG1638" s="128"/>
      <c r="BH1638" s="128"/>
      <c r="BI1638" s="128"/>
      <c r="BJ1638" s="128"/>
      <c r="BK1638" s="128"/>
      <c r="BL1638" s="128"/>
      <c r="BM1638" s="151"/>
      <c r="BN1638" s="128"/>
      <c r="BO1638" s="128"/>
      <c r="BP1638" s="128"/>
      <c r="BQ1638" s="128"/>
      <c r="BR1638" s="128"/>
      <c r="BS1638" s="128"/>
      <c r="BT1638" s="128"/>
      <c r="BU1638" s="128"/>
      <c r="BV1638" s="128"/>
      <c r="BW1638" s="128"/>
      <c r="BX1638" s="128"/>
      <c r="BY1638" s="128"/>
      <c r="BZ1638" s="128"/>
      <c r="CA1638" s="128"/>
      <c r="CB1638" s="128"/>
      <c r="CC1638" s="128"/>
      <c r="CD1638" s="128"/>
      <c r="CE1638" s="128"/>
      <c r="CF1638" s="128"/>
      <c r="CG1638" s="128"/>
      <c r="CI1638" s="128"/>
      <c r="CJ1638" s="128"/>
      <c r="CK1638" s="128"/>
      <c r="CL1638" s="128"/>
      <c r="CM1638" s="128"/>
      <c r="CN1638" s="128"/>
      <c r="CO1638" s="128"/>
      <c r="CP1638" s="128"/>
      <c r="CQ1638" s="128"/>
      <c r="CR1638" s="128"/>
      <c r="CS1638" s="128"/>
      <c r="CT1638" s="128"/>
      <c r="CU1638" s="128"/>
      <c r="CV1638" s="128"/>
      <c r="CW1638" s="128"/>
      <c r="CX1638" s="128"/>
      <c r="CY1638" s="128"/>
      <c r="CZ1638" s="165"/>
    </row>
    <row r="1639" spans="1:104">
      <c r="A1639" s="149"/>
      <c r="B1639" s="149"/>
      <c r="C1639" s="150"/>
      <c r="D1639" s="102"/>
      <c r="E1639" s="149"/>
      <c r="F1639" s="149"/>
      <c r="G1639" s="149"/>
      <c r="H1639" s="149"/>
      <c r="I1639" s="149"/>
      <c r="J1639" s="149"/>
      <c r="K1639" s="149"/>
      <c r="L1639" s="149"/>
      <c r="M1639" s="149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9"/>
      <c r="AA1639" s="149"/>
      <c r="AB1639" s="149"/>
      <c r="AC1639" s="149"/>
      <c r="AD1639" s="149"/>
      <c r="AE1639" s="149"/>
      <c r="AF1639" s="149"/>
      <c r="AG1639" s="149"/>
      <c r="AH1639" s="149"/>
      <c r="AI1639" s="149"/>
      <c r="AJ1639" s="149"/>
      <c r="AK1639" s="149"/>
      <c r="AL1639" s="149"/>
      <c r="AM1639" s="149"/>
      <c r="AN1639" s="149"/>
      <c r="AO1639" s="128"/>
      <c r="AP1639" s="128"/>
      <c r="AQ1639" s="128"/>
      <c r="AR1639" s="128"/>
      <c r="AS1639" s="128"/>
      <c r="AT1639" s="128"/>
      <c r="AU1639" s="128"/>
      <c r="AV1639" s="128"/>
      <c r="AW1639" s="128"/>
      <c r="AX1639" s="128"/>
      <c r="AY1639" s="128"/>
      <c r="AZ1639" s="128"/>
      <c r="BA1639" s="128"/>
      <c r="BB1639" s="128"/>
      <c r="BC1639" s="128"/>
      <c r="BD1639" s="128"/>
      <c r="BE1639" s="128"/>
      <c r="BF1639" s="128"/>
      <c r="BG1639" s="128"/>
      <c r="BH1639" s="128"/>
      <c r="BI1639" s="128"/>
      <c r="BJ1639" s="128"/>
      <c r="BK1639" s="128"/>
      <c r="BL1639" s="128"/>
      <c r="BM1639" s="151"/>
      <c r="BN1639" s="128"/>
      <c r="BO1639" s="128"/>
      <c r="BP1639" s="128"/>
      <c r="BQ1639" s="128"/>
      <c r="BR1639" s="128"/>
      <c r="BS1639" s="128"/>
      <c r="BT1639" s="128"/>
      <c r="BU1639" s="128"/>
      <c r="BV1639" s="128"/>
      <c r="BW1639" s="128"/>
      <c r="BX1639" s="128"/>
      <c r="BY1639" s="128"/>
      <c r="BZ1639" s="128"/>
      <c r="CA1639" s="128"/>
      <c r="CB1639" s="128"/>
      <c r="CC1639" s="128"/>
      <c r="CD1639" s="128"/>
      <c r="CE1639" s="128"/>
      <c r="CF1639" s="128"/>
      <c r="CG1639" s="128"/>
      <c r="CI1639" s="128"/>
      <c r="CJ1639" s="128"/>
      <c r="CK1639" s="128"/>
      <c r="CL1639" s="128"/>
      <c r="CM1639" s="128"/>
      <c r="CN1639" s="128"/>
      <c r="CO1639" s="128"/>
      <c r="CP1639" s="128"/>
      <c r="CQ1639" s="128"/>
      <c r="CR1639" s="128"/>
      <c r="CS1639" s="128"/>
      <c r="CT1639" s="128"/>
      <c r="CU1639" s="128"/>
      <c r="CV1639" s="128"/>
      <c r="CW1639" s="128"/>
      <c r="CX1639" s="128"/>
      <c r="CY1639" s="128"/>
      <c r="CZ1639" s="165"/>
    </row>
    <row r="1640" spans="1:104">
      <c r="A1640" s="149"/>
      <c r="B1640" s="149"/>
      <c r="C1640" s="150"/>
      <c r="D1640" s="102"/>
      <c r="E1640" s="149"/>
      <c r="F1640" s="149"/>
      <c r="G1640" s="149"/>
      <c r="H1640" s="149"/>
      <c r="I1640" s="149"/>
      <c r="J1640" s="149"/>
      <c r="K1640" s="149"/>
      <c r="L1640" s="149"/>
      <c r="M1640" s="149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9"/>
      <c r="AA1640" s="149"/>
      <c r="AB1640" s="149"/>
      <c r="AC1640" s="149"/>
      <c r="AD1640" s="149"/>
      <c r="AE1640" s="149"/>
      <c r="AF1640" s="149"/>
      <c r="AG1640" s="149"/>
      <c r="AH1640" s="149"/>
      <c r="AI1640" s="149"/>
      <c r="AJ1640" s="149"/>
      <c r="AK1640" s="149"/>
      <c r="AL1640" s="149"/>
      <c r="AM1640" s="149"/>
      <c r="AN1640" s="149"/>
      <c r="AO1640" s="128"/>
      <c r="AP1640" s="128"/>
      <c r="AQ1640" s="128"/>
      <c r="AR1640" s="128"/>
      <c r="AS1640" s="128"/>
      <c r="AT1640" s="128"/>
      <c r="AU1640" s="128"/>
      <c r="AV1640" s="128"/>
      <c r="AW1640" s="128"/>
      <c r="AX1640" s="128"/>
      <c r="AY1640" s="128"/>
      <c r="AZ1640" s="128"/>
      <c r="BA1640" s="128"/>
      <c r="BB1640" s="128"/>
      <c r="BC1640" s="128"/>
      <c r="BD1640" s="128"/>
      <c r="BE1640" s="128"/>
      <c r="BF1640" s="128"/>
      <c r="BG1640" s="128"/>
      <c r="BH1640" s="128"/>
      <c r="BI1640" s="128"/>
      <c r="BJ1640" s="128"/>
      <c r="BK1640" s="128"/>
      <c r="BL1640" s="128"/>
      <c r="BM1640" s="151"/>
      <c r="BN1640" s="128"/>
      <c r="BO1640" s="128"/>
      <c r="BP1640" s="128"/>
      <c r="BQ1640" s="128"/>
      <c r="BR1640" s="128"/>
      <c r="BS1640" s="128"/>
      <c r="BT1640" s="128"/>
      <c r="BU1640" s="128"/>
      <c r="BV1640" s="128"/>
      <c r="BW1640" s="128"/>
      <c r="BX1640" s="128"/>
      <c r="BY1640" s="128"/>
      <c r="BZ1640" s="128"/>
      <c r="CA1640" s="128"/>
      <c r="CB1640" s="128"/>
      <c r="CC1640" s="128"/>
      <c r="CD1640" s="128"/>
      <c r="CE1640" s="128"/>
      <c r="CF1640" s="128"/>
      <c r="CG1640" s="128"/>
      <c r="CI1640" s="128"/>
      <c r="CJ1640" s="128"/>
      <c r="CK1640" s="128"/>
      <c r="CL1640" s="128"/>
      <c r="CM1640" s="128"/>
      <c r="CN1640" s="128"/>
      <c r="CO1640" s="128"/>
      <c r="CP1640" s="128"/>
      <c r="CQ1640" s="128"/>
      <c r="CR1640" s="128"/>
      <c r="CS1640" s="128"/>
      <c r="CT1640" s="128"/>
      <c r="CU1640" s="128"/>
      <c r="CV1640" s="128"/>
      <c r="CW1640" s="128"/>
      <c r="CX1640" s="128"/>
      <c r="CY1640" s="128"/>
      <c r="CZ1640" s="165"/>
    </row>
    <row r="1641" spans="1:104">
      <c r="A1641" s="149"/>
      <c r="B1641" s="149"/>
      <c r="C1641" s="150"/>
      <c r="D1641" s="102"/>
      <c r="E1641" s="149"/>
      <c r="F1641" s="149"/>
      <c r="G1641" s="149"/>
      <c r="H1641" s="149"/>
      <c r="I1641" s="149"/>
      <c r="J1641" s="149"/>
      <c r="K1641" s="149"/>
      <c r="L1641" s="149"/>
      <c r="M1641" s="149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9"/>
      <c r="AA1641" s="149"/>
      <c r="AB1641" s="149"/>
      <c r="AC1641" s="149"/>
      <c r="AD1641" s="149"/>
      <c r="AE1641" s="149"/>
      <c r="AF1641" s="149"/>
      <c r="AG1641" s="149"/>
      <c r="AH1641" s="149"/>
      <c r="AI1641" s="149"/>
      <c r="AJ1641" s="149"/>
      <c r="AK1641" s="149"/>
      <c r="AL1641" s="149"/>
      <c r="AM1641" s="149"/>
      <c r="AN1641" s="149"/>
      <c r="AO1641" s="128"/>
      <c r="AP1641" s="128"/>
      <c r="AQ1641" s="128"/>
      <c r="AR1641" s="128"/>
      <c r="AS1641" s="128"/>
      <c r="AT1641" s="128"/>
      <c r="AU1641" s="128"/>
      <c r="AV1641" s="128"/>
      <c r="AW1641" s="128"/>
      <c r="AX1641" s="128"/>
      <c r="AY1641" s="128"/>
      <c r="AZ1641" s="128"/>
      <c r="BA1641" s="128"/>
      <c r="BB1641" s="128"/>
      <c r="BC1641" s="128"/>
      <c r="BD1641" s="128"/>
      <c r="BE1641" s="128"/>
      <c r="BF1641" s="128"/>
      <c r="BG1641" s="128"/>
      <c r="BH1641" s="128"/>
      <c r="BI1641" s="128"/>
      <c r="BJ1641" s="128"/>
      <c r="BK1641" s="128"/>
      <c r="BL1641" s="128"/>
      <c r="BM1641" s="151"/>
      <c r="BN1641" s="128"/>
      <c r="BO1641" s="128"/>
      <c r="BP1641" s="128"/>
      <c r="BQ1641" s="128"/>
      <c r="BR1641" s="128"/>
      <c r="BS1641" s="128"/>
      <c r="BT1641" s="128"/>
      <c r="BU1641" s="128"/>
      <c r="BV1641" s="128"/>
      <c r="BW1641" s="128"/>
      <c r="BX1641" s="128"/>
      <c r="BY1641" s="128"/>
      <c r="BZ1641" s="128"/>
      <c r="CA1641" s="128"/>
      <c r="CB1641" s="128"/>
      <c r="CC1641" s="128"/>
      <c r="CD1641" s="128"/>
      <c r="CE1641" s="128"/>
      <c r="CF1641" s="128"/>
      <c r="CG1641" s="128"/>
      <c r="CI1641" s="128"/>
      <c r="CJ1641" s="128"/>
      <c r="CK1641" s="128"/>
      <c r="CL1641" s="128"/>
      <c r="CM1641" s="128"/>
      <c r="CN1641" s="128"/>
      <c r="CO1641" s="128"/>
      <c r="CP1641" s="128"/>
      <c r="CQ1641" s="128"/>
      <c r="CR1641" s="128"/>
      <c r="CS1641" s="128"/>
      <c r="CT1641" s="128"/>
      <c r="CU1641" s="128"/>
      <c r="CV1641" s="128"/>
      <c r="CW1641" s="128"/>
      <c r="CX1641" s="128"/>
      <c r="CY1641" s="128"/>
      <c r="CZ1641" s="165"/>
    </row>
    <row r="1642" spans="1:104">
      <c r="A1642" s="149"/>
      <c r="B1642" s="149"/>
      <c r="C1642" s="150"/>
      <c r="D1642" s="102"/>
      <c r="E1642" s="149"/>
      <c r="F1642" s="149"/>
      <c r="G1642" s="149"/>
      <c r="H1642" s="149"/>
      <c r="I1642" s="149"/>
      <c r="J1642" s="149"/>
      <c r="K1642" s="149"/>
      <c r="L1642" s="149"/>
      <c r="M1642" s="149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9"/>
      <c r="AA1642" s="149"/>
      <c r="AB1642" s="149"/>
      <c r="AC1642" s="149"/>
      <c r="AD1642" s="149"/>
      <c r="AE1642" s="149"/>
      <c r="AF1642" s="149"/>
      <c r="AG1642" s="149"/>
      <c r="AH1642" s="149"/>
      <c r="AI1642" s="149"/>
      <c r="AJ1642" s="149"/>
      <c r="AK1642" s="149"/>
      <c r="AL1642" s="149"/>
      <c r="AM1642" s="149"/>
      <c r="AN1642" s="149"/>
      <c r="AO1642" s="128"/>
      <c r="AP1642" s="128"/>
      <c r="AQ1642" s="128"/>
      <c r="AR1642" s="128"/>
      <c r="AS1642" s="128"/>
      <c r="AT1642" s="128"/>
      <c r="AU1642" s="128"/>
      <c r="AV1642" s="128"/>
      <c r="AW1642" s="128"/>
      <c r="AX1642" s="128"/>
      <c r="AY1642" s="128"/>
      <c r="AZ1642" s="128"/>
      <c r="BA1642" s="128"/>
      <c r="BB1642" s="128"/>
      <c r="BC1642" s="128"/>
      <c r="BD1642" s="128"/>
      <c r="BE1642" s="128"/>
      <c r="BF1642" s="128"/>
      <c r="BG1642" s="128"/>
      <c r="BH1642" s="128"/>
      <c r="BI1642" s="128"/>
      <c r="BJ1642" s="128"/>
      <c r="BK1642" s="128"/>
      <c r="BL1642" s="128"/>
      <c r="BM1642" s="151"/>
      <c r="BN1642" s="128"/>
      <c r="BO1642" s="128"/>
      <c r="BP1642" s="128"/>
      <c r="BQ1642" s="128"/>
      <c r="BR1642" s="128"/>
      <c r="BS1642" s="128"/>
      <c r="BT1642" s="128"/>
      <c r="BU1642" s="128"/>
      <c r="BV1642" s="128"/>
      <c r="BW1642" s="128"/>
      <c r="BX1642" s="128"/>
      <c r="BY1642" s="128"/>
      <c r="BZ1642" s="128"/>
      <c r="CA1642" s="128"/>
      <c r="CB1642" s="128"/>
      <c r="CC1642" s="128"/>
      <c r="CD1642" s="128"/>
      <c r="CE1642" s="128"/>
      <c r="CF1642" s="128"/>
      <c r="CG1642" s="128"/>
      <c r="CI1642" s="128"/>
      <c r="CJ1642" s="128"/>
      <c r="CK1642" s="128"/>
      <c r="CL1642" s="128"/>
      <c r="CM1642" s="128"/>
      <c r="CN1642" s="128"/>
      <c r="CO1642" s="128"/>
      <c r="CP1642" s="128"/>
      <c r="CQ1642" s="128"/>
      <c r="CR1642" s="128"/>
      <c r="CS1642" s="128"/>
      <c r="CT1642" s="128"/>
      <c r="CU1642" s="128"/>
      <c r="CV1642" s="128"/>
      <c r="CW1642" s="128"/>
      <c r="CX1642" s="128"/>
      <c r="CY1642" s="128"/>
      <c r="CZ1642" s="165"/>
    </row>
    <row r="1643" spans="1:104">
      <c r="A1643" s="149"/>
      <c r="B1643" s="149"/>
      <c r="C1643" s="150"/>
      <c r="D1643" s="102"/>
      <c r="E1643" s="149"/>
      <c r="F1643" s="149"/>
      <c r="G1643" s="149"/>
      <c r="H1643" s="149"/>
      <c r="I1643" s="149"/>
      <c r="J1643" s="149"/>
      <c r="K1643" s="149"/>
      <c r="L1643" s="149"/>
      <c r="M1643" s="149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9"/>
      <c r="AA1643" s="149"/>
      <c r="AB1643" s="149"/>
      <c r="AC1643" s="149"/>
      <c r="AD1643" s="149"/>
      <c r="AE1643" s="149"/>
      <c r="AF1643" s="149"/>
      <c r="AG1643" s="149"/>
      <c r="AH1643" s="149"/>
      <c r="AI1643" s="149"/>
      <c r="AJ1643" s="149"/>
      <c r="AK1643" s="149"/>
      <c r="AL1643" s="149"/>
      <c r="AM1643" s="149"/>
      <c r="AN1643" s="149"/>
      <c r="AO1643" s="128"/>
      <c r="AP1643" s="128"/>
      <c r="AQ1643" s="128"/>
      <c r="AR1643" s="128"/>
      <c r="AS1643" s="128"/>
      <c r="AT1643" s="128"/>
      <c r="AU1643" s="128"/>
      <c r="AV1643" s="128"/>
      <c r="AW1643" s="128"/>
      <c r="AX1643" s="128"/>
      <c r="AY1643" s="128"/>
      <c r="AZ1643" s="128"/>
      <c r="BA1643" s="128"/>
      <c r="BB1643" s="128"/>
      <c r="BC1643" s="128"/>
      <c r="BD1643" s="128"/>
      <c r="BE1643" s="128"/>
      <c r="BF1643" s="128"/>
      <c r="BG1643" s="128"/>
      <c r="BH1643" s="128"/>
      <c r="BI1643" s="128"/>
      <c r="BJ1643" s="128"/>
      <c r="BK1643" s="128"/>
      <c r="BL1643" s="128"/>
      <c r="BM1643" s="151"/>
      <c r="BN1643" s="128"/>
      <c r="BO1643" s="128"/>
      <c r="BP1643" s="128"/>
      <c r="BQ1643" s="128"/>
      <c r="BR1643" s="128"/>
      <c r="BS1643" s="128"/>
      <c r="BT1643" s="128"/>
      <c r="BU1643" s="128"/>
      <c r="BV1643" s="128"/>
      <c r="BW1643" s="128"/>
      <c r="BX1643" s="128"/>
      <c r="BY1643" s="128"/>
      <c r="BZ1643" s="128"/>
      <c r="CA1643" s="128"/>
      <c r="CB1643" s="128"/>
      <c r="CC1643" s="128"/>
      <c r="CD1643" s="128"/>
      <c r="CE1643" s="128"/>
      <c r="CF1643" s="128"/>
      <c r="CG1643" s="128"/>
      <c r="CI1643" s="128"/>
      <c r="CJ1643" s="128"/>
      <c r="CK1643" s="128"/>
      <c r="CL1643" s="128"/>
      <c r="CM1643" s="128"/>
      <c r="CN1643" s="128"/>
      <c r="CO1643" s="128"/>
      <c r="CP1643" s="128"/>
      <c r="CQ1643" s="128"/>
      <c r="CR1643" s="128"/>
      <c r="CS1643" s="128"/>
      <c r="CT1643" s="128"/>
      <c r="CU1643" s="128"/>
      <c r="CV1643" s="128"/>
      <c r="CW1643" s="128"/>
      <c r="CX1643" s="128"/>
      <c r="CY1643" s="128"/>
      <c r="CZ1643" s="165"/>
    </row>
    <row r="1644" spans="1:104">
      <c r="A1644" s="149"/>
      <c r="B1644" s="149"/>
      <c r="C1644" s="150"/>
      <c r="D1644" s="102"/>
      <c r="E1644" s="149"/>
      <c r="F1644" s="149"/>
      <c r="G1644" s="149"/>
      <c r="H1644" s="149"/>
      <c r="I1644" s="149"/>
      <c r="J1644" s="149"/>
      <c r="K1644" s="149"/>
      <c r="L1644" s="149"/>
      <c r="M1644" s="149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9"/>
      <c r="AA1644" s="149"/>
      <c r="AB1644" s="149"/>
      <c r="AC1644" s="149"/>
      <c r="AD1644" s="149"/>
      <c r="AE1644" s="149"/>
      <c r="AF1644" s="149"/>
      <c r="AG1644" s="149"/>
      <c r="AH1644" s="149"/>
      <c r="AI1644" s="149"/>
      <c r="AJ1644" s="149"/>
      <c r="AK1644" s="149"/>
      <c r="AL1644" s="149"/>
      <c r="AM1644" s="149"/>
      <c r="AN1644" s="149"/>
      <c r="AO1644" s="128"/>
      <c r="AP1644" s="128"/>
      <c r="AQ1644" s="128"/>
      <c r="AR1644" s="128"/>
      <c r="AS1644" s="128"/>
      <c r="AT1644" s="128"/>
      <c r="AU1644" s="128"/>
      <c r="AV1644" s="128"/>
      <c r="AW1644" s="128"/>
      <c r="AX1644" s="128"/>
      <c r="AY1644" s="128"/>
      <c r="AZ1644" s="128"/>
      <c r="BA1644" s="128"/>
      <c r="BB1644" s="128"/>
      <c r="BC1644" s="128"/>
      <c r="BD1644" s="128"/>
      <c r="BE1644" s="128"/>
      <c r="BF1644" s="128"/>
      <c r="BG1644" s="128"/>
      <c r="BH1644" s="128"/>
      <c r="BI1644" s="128"/>
      <c r="BJ1644" s="128"/>
      <c r="BK1644" s="128"/>
      <c r="BL1644" s="128"/>
      <c r="BM1644" s="151"/>
      <c r="BN1644" s="128"/>
      <c r="BO1644" s="128"/>
      <c r="BP1644" s="128"/>
      <c r="BQ1644" s="128"/>
      <c r="BR1644" s="128"/>
      <c r="BS1644" s="128"/>
      <c r="BT1644" s="128"/>
      <c r="BU1644" s="128"/>
      <c r="BV1644" s="128"/>
      <c r="BW1644" s="128"/>
      <c r="BX1644" s="128"/>
      <c r="BY1644" s="128"/>
      <c r="BZ1644" s="128"/>
      <c r="CA1644" s="128"/>
      <c r="CB1644" s="128"/>
      <c r="CC1644" s="128"/>
      <c r="CD1644" s="128"/>
      <c r="CE1644" s="128"/>
      <c r="CF1644" s="128"/>
      <c r="CG1644" s="128"/>
      <c r="CI1644" s="128"/>
      <c r="CJ1644" s="128"/>
      <c r="CK1644" s="128"/>
      <c r="CL1644" s="128"/>
      <c r="CM1644" s="128"/>
      <c r="CN1644" s="128"/>
      <c r="CO1644" s="128"/>
      <c r="CP1644" s="128"/>
      <c r="CQ1644" s="128"/>
      <c r="CR1644" s="128"/>
      <c r="CS1644" s="128"/>
      <c r="CT1644" s="128"/>
      <c r="CU1644" s="128"/>
      <c r="CV1644" s="128"/>
      <c r="CW1644" s="128"/>
      <c r="CX1644" s="128"/>
      <c r="CY1644" s="128"/>
      <c r="CZ1644" s="165"/>
    </row>
    <row r="1645" spans="1:104">
      <c r="A1645" s="149"/>
      <c r="B1645" s="149"/>
      <c r="C1645" s="150"/>
      <c r="D1645" s="102"/>
      <c r="E1645" s="149"/>
      <c r="F1645" s="149"/>
      <c r="G1645" s="149"/>
      <c r="H1645" s="149"/>
      <c r="I1645" s="149"/>
      <c r="J1645" s="149"/>
      <c r="K1645" s="149"/>
      <c r="L1645" s="149"/>
      <c r="M1645" s="149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9"/>
      <c r="AA1645" s="149"/>
      <c r="AB1645" s="149"/>
      <c r="AC1645" s="149"/>
      <c r="AD1645" s="149"/>
      <c r="AE1645" s="149"/>
      <c r="AF1645" s="149"/>
      <c r="AG1645" s="149"/>
      <c r="AH1645" s="149"/>
      <c r="AI1645" s="149"/>
      <c r="AJ1645" s="149"/>
      <c r="AK1645" s="149"/>
      <c r="AL1645" s="149"/>
      <c r="AM1645" s="149"/>
      <c r="AN1645" s="149"/>
      <c r="AO1645" s="128"/>
      <c r="AP1645" s="128"/>
      <c r="AQ1645" s="128"/>
      <c r="AR1645" s="128"/>
      <c r="AS1645" s="128"/>
      <c r="AT1645" s="128"/>
      <c r="AU1645" s="128"/>
      <c r="AV1645" s="128"/>
      <c r="AW1645" s="128"/>
      <c r="AX1645" s="128"/>
      <c r="AY1645" s="128"/>
      <c r="AZ1645" s="128"/>
      <c r="BA1645" s="128"/>
      <c r="BB1645" s="128"/>
      <c r="BC1645" s="128"/>
      <c r="BD1645" s="128"/>
      <c r="BE1645" s="128"/>
      <c r="BF1645" s="128"/>
      <c r="BG1645" s="128"/>
      <c r="BH1645" s="128"/>
      <c r="BI1645" s="128"/>
      <c r="BJ1645" s="128"/>
      <c r="BK1645" s="128"/>
      <c r="BL1645" s="128"/>
      <c r="BM1645" s="151"/>
      <c r="BN1645" s="128"/>
      <c r="BO1645" s="128"/>
      <c r="BP1645" s="128"/>
      <c r="BQ1645" s="128"/>
      <c r="BR1645" s="128"/>
      <c r="BS1645" s="128"/>
      <c r="BT1645" s="128"/>
      <c r="BU1645" s="128"/>
      <c r="BV1645" s="128"/>
      <c r="BW1645" s="128"/>
      <c r="BX1645" s="128"/>
      <c r="BY1645" s="128"/>
      <c r="BZ1645" s="128"/>
      <c r="CA1645" s="128"/>
      <c r="CB1645" s="128"/>
      <c r="CC1645" s="128"/>
      <c r="CD1645" s="128"/>
      <c r="CE1645" s="128"/>
      <c r="CF1645" s="128"/>
      <c r="CG1645" s="128"/>
      <c r="CI1645" s="128"/>
      <c r="CJ1645" s="128"/>
      <c r="CK1645" s="128"/>
      <c r="CL1645" s="128"/>
      <c r="CM1645" s="128"/>
      <c r="CN1645" s="128"/>
      <c r="CO1645" s="128"/>
      <c r="CP1645" s="128"/>
      <c r="CQ1645" s="128"/>
      <c r="CR1645" s="128"/>
      <c r="CS1645" s="128"/>
      <c r="CT1645" s="128"/>
      <c r="CU1645" s="128"/>
      <c r="CV1645" s="128"/>
      <c r="CW1645" s="128"/>
      <c r="CX1645" s="128"/>
      <c r="CY1645" s="128"/>
      <c r="CZ1645" s="165"/>
    </row>
    <row r="1646" spans="1:104">
      <c r="A1646" s="149"/>
      <c r="B1646" s="149"/>
      <c r="C1646" s="150"/>
      <c r="D1646" s="102"/>
      <c r="E1646" s="149"/>
      <c r="F1646" s="149"/>
      <c r="G1646" s="149"/>
      <c r="H1646" s="149"/>
      <c r="I1646" s="149"/>
      <c r="J1646" s="149"/>
      <c r="K1646" s="149"/>
      <c r="L1646" s="149"/>
      <c r="M1646" s="149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9"/>
      <c r="AA1646" s="149"/>
      <c r="AB1646" s="149"/>
      <c r="AC1646" s="149"/>
      <c r="AD1646" s="149"/>
      <c r="AE1646" s="149"/>
      <c r="AF1646" s="149"/>
      <c r="AG1646" s="149"/>
      <c r="AH1646" s="149"/>
      <c r="AI1646" s="149"/>
      <c r="AJ1646" s="149"/>
      <c r="AK1646" s="149"/>
      <c r="AL1646" s="149"/>
      <c r="AM1646" s="149"/>
      <c r="AN1646" s="149"/>
      <c r="AO1646" s="128"/>
      <c r="AP1646" s="128"/>
      <c r="AQ1646" s="128"/>
      <c r="AR1646" s="128"/>
      <c r="AS1646" s="128"/>
      <c r="AT1646" s="128"/>
      <c r="AU1646" s="128"/>
      <c r="AV1646" s="128"/>
      <c r="AW1646" s="128"/>
      <c r="AX1646" s="128"/>
      <c r="AY1646" s="128"/>
      <c r="AZ1646" s="128"/>
      <c r="BA1646" s="128"/>
      <c r="BB1646" s="128"/>
      <c r="BC1646" s="128"/>
      <c r="BD1646" s="128"/>
      <c r="BE1646" s="128"/>
      <c r="BF1646" s="128"/>
      <c r="BG1646" s="128"/>
      <c r="BH1646" s="128"/>
      <c r="BI1646" s="128"/>
      <c r="BJ1646" s="128"/>
      <c r="BK1646" s="128"/>
      <c r="BL1646" s="128"/>
      <c r="BM1646" s="151"/>
      <c r="BN1646" s="128"/>
      <c r="BO1646" s="128"/>
      <c r="BP1646" s="128"/>
      <c r="BQ1646" s="128"/>
      <c r="BR1646" s="128"/>
      <c r="BS1646" s="128"/>
      <c r="BT1646" s="128"/>
      <c r="BU1646" s="128"/>
      <c r="BV1646" s="128"/>
      <c r="BW1646" s="128"/>
      <c r="BX1646" s="128"/>
      <c r="BY1646" s="128"/>
      <c r="BZ1646" s="128"/>
      <c r="CA1646" s="128"/>
      <c r="CB1646" s="128"/>
      <c r="CC1646" s="128"/>
      <c r="CD1646" s="128"/>
      <c r="CE1646" s="128"/>
      <c r="CF1646" s="128"/>
      <c r="CG1646" s="128"/>
      <c r="CI1646" s="128"/>
      <c r="CJ1646" s="128"/>
      <c r="CK1646" s="128"/>
      <c r="CL1646" s="128"/>
      <c r="CM1646" s="128"/>
      <c r="CN1646" s="128"/>
      <c r="CO1646" s="128"/>
      <c r="CP1646" s="128"/>
      <c r="CQ1646" s="128"/>
      <c r="CR1646" s="128"/>
      <c r="CS1646" s="128"/>
      <c r="CT1646" s="128"/>
      <c r="CU1646" s="128"/>
      <c r="CV1646" s="128"/>
      <c r="CW1646" s="128"/>
      <c r="CX1646" s="128"/>
      <c r="CY1646" s="128"/>
      <c r="CZ1646" s="165"/>
    </row>
    <row r="1647" spans="1:104">
      <c r="A1647" s="149"/>
      <c r="B1647" s="149"/>
      <c r="C1647" s="150"/>
      <c r="D1647" s="102"/>
      <c r="E1647" s="149"/>
      <c r="F1647" s="149"/>
      <c r="G1647" s="149"/>
      <c r="H1647" s="149"/>
      <c r="I1647" s="149"/>
      <c r="J1647" s="149"/>
      <c r="K1647" s="149"/>
      <c r="L1647" s="149"/>
      <c r="M1647" s="149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9"/>
      <c r="AA1647" s="149"/>
      <c r="AB1647" s="149"/>
      <c r="AC1647" s="149"/>
      <c r="AD1647" s="149"/>
      <c r="AE1647" s="149"/>
      <c r="AF1647" s="149"/>
      <c r="AG1647" s="149"/>
      <c r="AH1647" s="149"/>
      <c r="AI1647" s="149"/>
      <c r="AJ1647" s="149"/>
      <c r="AK1647" s="149"/>
      <c r="AL1647" s="149"/>
      <c r="AM1647" s="149"/>
      <c r="AN1647" s="149"/>
      <c r="AO1647" s="128"/>
      <c r="AP1647" s="128"/>
      <c r="AQ1647" s="128"/>
      <c r="AR1647" s="128"/>
      <c r="AS1647" s="128"/>
      <c r="AT1647" s="128"/>
      <c r="AU1647" s="128"/>
      <c r="AV1647" s="128"/>
      <c r="AW1647" s="128"/>
      <c r="AX1647" s="128"/>
      <c r="AY1647" s="128"/>
      <c r="AZ1647" s="128"/>
      <c r="BA1647" s="128"/>
      <c r="BB1647" s="128"/>
      <c r="BC1647" s="128"/>
      <c r="BD1647" s="128"/>
      <c r="BE1647" s="128"/>
      <c r="BF1647" s="128"/>
      <c r="BG1647" s="128"/>
      <c r="BH1647" s="128"/>
      <c r="BI1647" s="128"/>
      <c r="BJ1647" s="128"/>
      <c r="BK1647" s="128"/>
      <c r="BL1647" s="128"/>
      <c r="BM1647" s="151"/>
      <c r="BN1647" s="128"/>
      <c r="BO1647" s="128"/>
      <c r="BP1647" s="128"/>
      <c r="BQ1647" s="128"/>
      <c r="BR1647" s="128"/>
      <c r="BS1647" s="128"/>
      <c r="BT1647" s="128"/>
      <c r="BU1647" s="128"/>
      <c r="BV1647" s="128"/>
      <c r="BW1647" s="128"/>
      <c r="BX1647" s="128"/>
      <c r="BY1647" s="128"/>
      <c r="BZ1647" s="128"/>
      <c r="CA1647" s="128"/>
      <c r="CB1647" s="128"/>
      <c r="CC1647" s="128"/>
      <c r="CD1647" s="128"/>
      <c r="CE1647" s="128"/>
      <c r="CF1647" s="128"/>
      <c r="CG1647" s="128"/>
      <c r="CI1647" s="128"/>
      <c r="CJ1647" s="128"/>
      <c r="CK1647" s="128"/>
      <c r="CL1647" s="128"/>
      <c r="CM1647" s="128"/>
      <c r="CN1647" s="128"/>
      <c r="CO1647" s="128"/>
      <c r="CP1647" s="128"/>
      <c r="CQ1647" s="128"/>
      <c r="CR1647" s="128"/>
      <c r="CS1647" s="128"/>
      <c r="CT1647" s="128"/>
      <c r="CU1647" s="128"/>
      <c r="CV1647" s="128"/>
      <c r="CW1647" s="128"/>
      <c r="CX1647" s="128"/>
      <c r="CY1647" s="128"/>
      <c r="CZ1647" s="165"/>
    </row>
    <row r="1648" spans="1:104">
      <c r="A1648" s="149"/>
      <c r="B1648" s="149"/>
      <c r="C1648" s="150"/>
      <c r="D1648" s="102"/>
      <c r="E1648" s="149"/>
      <c r="F1648" s="149"/>
      <c r="G1648" s="149"/>
      <c r="H1648" s="149"/>
      <c r="I1648" s="149"/>
      <c r="J1648" s="149"/>
      <c r="K1648" s="149"/>
      <c r="L1648" s="149"/>
      <c r="M1648" s="149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9"/>
      <c r="AA1648" s="149"/>
      <c r="AB1648" s="149"/>
      <c r="AC1648" s="149"/>
      <c r="AD1648" s="149"/>
      <c r="AE1648" s="149"/>
      <c r="AF1648" s="149"/>
      <c r="AG1648" s="149"/>
      <c r="AH1648" s="149"/>
      <c r="AI1648" s="149"/>
      <c r="AJ1648" s="149"/>
      <c r="AK1648" s="149"/>
      <c r="AL1648" s="149"/>
      <c r="AM1648" s="149"/>
      <c r="AN1648" s="149"/>
      <c r="AO1648" s="128"/>
      <c r="AP1648" s="128"/>
      <c r="AQ1648" s="128"/>
      <c r="AR1648" s="128"/>
      <c r="AS1648" s="128"/>
      <c r="AT1648" s="128"/>
      <c r="AU1648" s="128"/>
      <c r="AV1648" s="128"/>
      <c r="AW1648" s="128"/>
      <c r="AX1648" s="128"/>
      <c r="AY1648" s="128"/>
      <c r="AZ1648" s="128"/>
      <c r="BA1648" s="128"/>
      <c r="BB1648" s="128"/>
      <c r="BC1648" s="128"/>
      <c r="BD1648" s="128"/>
      <c r="BE1648" s="128"/>
      <c r="BF1648" s="128"/>
      <c r="BG1648" s="128"/>
      <c r="BH1648" s="128"/>
      <c r="BI1648" s="128"/>
      <c r="BJ1648" s="128"/>
      <c r="BK1648" s="128"/>
      <c r="BL1648" s="128"/>
      <c r="BM1648" s="151"/>
      <c r="BN1648" s="128"/>
      <c r="BO1648" s="128"/>
      <c r="BP1648" s="128"/>
      <c r="BQ1648" s="128"/>
      <c r="BR1648" s="128"/>
      <c r="BS1648" s="128"/>
      <c r="BT1648" s="128"/>
      <c r="BU1648" s="128"/>
      <c r="BV1648" s="128"/>
      <c r="BW1648" s="128"/>
      <c r="BX1648" s="128"/>
      <c r="BY1648" s="128"/>
      <c r="BZ1648" s="128"/>
      <c r="CA1648" s="128"/>
      <c r="CB1648" s="128"/>
      <c r="CC1648" s="128"/>
      <c r="CD1648" s="128"/>
      <c r="CE1648" s="128"/>
      <c r="CF1648" s="128"/>
      <c r="CG1648" s="128"/>
      <c r="CI1648" s="128"/>
      <c r="CJ1648" s="128"/>
      <c r="CK1648" s="128"/>
      <c r="CL1648" s="128"/>
      <c r="CM1648" s="128"/>
      <c r="CN1648" s="128"/>
      <c r="CO1648" s="128"/>
      <c r="CP1648" s="128"/>
      <c r="CQ1648" s="128"/>
      <c r="CR1648" s="128"/>
      <c r="CS1648" s="128"/>
      <c r="CT1648" s="128"/>
      <c r="CU1648" s="128"/>
      <c r="CV1648" s="128"/>
      <c r="CW1648" s="128"/>
      <c r="CX1648" s="128"/>
      <c r="CY1648" s="128"/>
      <c r="CZ1648" s="165"/>
    </row>
    <row r="1649" spans="1:104">
      <c r="A1649" s="149"/>
      <c r="B1649" s="149"/>
      <c r="C1649" s="150"/>
      <c r="D1649" s="102"/>
      <c r="E1649" s="149"/>
      <c r="F1649" s="149"/>
      <c r="G1649" s="149"/>
      <c r="H1649" s="149"/>
      <c r="I1649" s="149"/>
      <c r="J1649" s="149"/>
      <c r="K1649" s="149"/>
      <c r="L1649" s="149"/>
      <c r="M1649" s="149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9"/>
      <c r="AA1649" s="149"/>
      <c r="AB1649" s="149"/>
      <c r="AC1649" s="149"/>
      <c r="AD1649" s="149"/>
      <c r="AE1649" s="149"/>
      <c r="AF1649" s="149"/>
      <c r="AG1649" s="149"/>
      <c r="AH1649" s="149"/>
      <c r="AI1649" s="149"/>
      <c r="AJ1649" s="149"/>
      <c r="AK1649" s="149"/>
      <c r="AL1649" s="149"/>
      <c r="AM1649" s="149"/>
      <c r="AN1649" s="149"/>
      <c r="AO1649" s="128"/>
      <c r="AP1649" s="128"/>
      <c r="AQ1649" s="128"/>
      <c r="AR1649" s="128"/>
      <c r="AS1649" s="128"/>
      <c r="AT1649" s="128"/>
      <c r="AU1649" s="128"/>
      <c r="AV1649" s="128"/>
      <c r="AW1649" s="128"/>
      <c r="AX1649" s="128"/>
      <c r="AY1649" s="128"/>
      <c r="AZ1649" s="128"/>
      <c r="BA1649" s="128"/>
      <c r="BB1649" s="128"/>
      <c r="BC1649" s="128"/>
      <c r="BD1649" s="128"/>
      <c r="BE1649" s="128"/>
      <c r="BF1649" s="128"/>
      <c r="BG1649" s="128"/>
      <c r="BH1649" s="128"/>
      <c r="BI1649" s="128"/>
      <c r="BJ1649" s="128"/>
      <c r="BK1649" s="128"/>
      <c r="BL1649" s="128"/>
      <c r="BM1649" s="151"/>
      <c r="BN1649" s="128"/>
      <c r="BO1649" s="128"/>
      <c r="BP1649" s="128"/>
      <c r="BQ1649" s="128"/>
      <c r="BR1649" s="128"/>
      <c r="BS1649" s="128"/>
      <c r="BT1649" s="128"/>
      <c r="BU1649" s="128"/>
      <c r="BV1649" s="128"/>
      <c r="BW1649" s="128"/>
      <c r="BX1649" s="128"/>
      <c r="BY1649" s="128"/>
      <c r="BZ1649" s="128"/>
      <c r="CA1649" s="128"/>
      <c r="CB1649" s="128"/>
      <c r="CC1649" s="128"/>
      <c r="CD1649" s="128"/>
      <c r="CE1649" s="128"/>
      <c r="CF1649" s="128"/>
      <c r="CG1649" s="128"/>
      <c r="CI1649" s="128"/>
      <c r="CJ1649" s="128"/>
      <c r="CK1649" s="128"/>
      <c r="CL1649" s="128"/>
      <c r="CM1649" s="128"/>
      <c r="CN1649" s="128"/>
      <c r="CO1649" s="128"/>
      <c r="CP1649" s="128"/>
      <c r="CQ1649" s="128"/>
      <c r="CR1649" s="128"/>
      <c r="CS1649" s="128"/>
      <c r="CT1649" s="128"/>
      <c r="CU1649" s="128"/>
      <c r="CV1649" s="128"/>
      <c r="CW1649" s="128"/>
      <c r="CX1649" s="128"/>
      <c r="CY1649" s="128"/>
      <c r="CZ1649" s="165"/>
    </row>
    <row r="1650" spans="1:104">
      <c r="A1650" s="149"/>
      <c r="B1650" s="149"/>
      <c r="C1650" s="150"/>
      <c r="D1650" s="102"/>
      <c r="E1650" s="149"/>
      <c r="F1650" s="149"/>
      <c r="G1650" s="149"/>
      <c r="H1650" s="149"/>
      <c r="I1650" s="149"/>
      <c r="J1650" s="149"/>
      <c r="K1650" s="149"/>
      <c r="L1650" s="149"/>
      <c r="M1650" s="149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9"/>
      <c r="AA1650" s="149"/>
      <c r="AB1650" s="149"/>
      <c r="AC1650" s="149"/>
      <c r="AD1650" s="149"/>
      <c r="AE1650" s="149"/>
      <c r="AF1650" s="149"/>
      <c r="AG1650" s="149"/>
      <c r="AH1650" s="149"/>
      <c r="AI1650" s="149"/>
      <c r="AJ1650" s="149"/>
      <c r="AK1650" s="149"/>
      <c r="AL1650" s="149"/>
      <c r="AM1650" s="149"/>
      <c r="AN1650" s="149"/>
      <c r="AO1650" s="128"/>
      <c r="AP1650" s="128"/>
      <c r="AQ1650" s="128"/>
      <c r="AR1650" s="128"/>
      <c r="AS1650" s="128"/>
      <c r="AT1650" s="128"/>
      <c r="AU1650" s="128"/>
      <c r="AV1650" s="128"/>
      <c r="AW1650" s="128"/>
      <c r="AX1650" s="128"/>
      <c r="AY1650" s="128"/>
      <c r="AZ1650" s="128"/>
      <c r="BA1650" s="128"/>
      <c r="BB1650" s="128"/>
      <c r="BC1650" s="128"/>
      <c r="BD1650" s="128"/>
      <c r="BE1650" s="128"/>
      <c r="BF1650" s="128"/>
      <c r="BG1650" s="128"/>
      <c r="BH1650" s="128"/>
      <c r="BI1650" s="128"/>
      <c r="BJ1650" s="128"/>
      <c r="BK1650" s="128"/>
      <c r="BL1650" s="128"/>
      <c r="BM1650" s="151"/>
      <c r="BN1650" s="128"/>
      <c r="BO1650" s="128"/>
      <c r="BP1650" s="128"/>
      <c r="BQ1650" s="128"/>
      <c r="BR1650" s="128"/>
      <c r="BS1650" s="128"/>
      <c r="BT1650" s="128"/>
      <c r="BU1650" s="128"/>
      <c r="BV1650" s="128"/>
      <c r="BW1650" s="128"/>
      <c r="BX1650" s="128"/>
      <c r="BY1650" s="128"/>
      <c r="BZ1650" s="128"/>
      <c r="CA1650" s="128"/>
      <c r="CB1650" s="128"/>
      <c r="CC1650" s="128"/>
      <c r="CD1650" s="128"/>
      <c r="CE1650" s="128"/>
      <c r="CF1650" s="128"/>
      <c r="CG1650" s="128"/>
      <c r="CI1650" s="128"/>
      <c r="CJ1650" s="128"/>
      <c r="CK1650" s="128"/>
      <c r="CL1650" s="128"/>
      <c r="CM1650" s="128"/>
      <c r="CN1650" s="128"/>
      <c r="CO1650" s="128"/>
      <c r="CP1650" s="128"/>
      <c r="CQ1650" s="128"/>
      <c r="CR1650" s="128"/>
      <c r="CS1650" s="128"/>
      <c r="CT1650" s="128"/>
      <c r="CU1650" s="128"/>
      <c r="CV1650" s="128"/>
      <c r="CW1650" s="128"/>
      <c r="CX1650" s="128"/>
      <c r="CY1650" s="128"/>
      <c r="CZ1650" s="165"/>
    </row>
    <row r="1651" spans="1:104">
      <c r="A1651" s="149"/>
      <c r="B1651" s="149"/>
      <c r="C1651" s="150"/>
      <c r="D1651" s="102"/>
      <c r="E1651" s="149"/>
      <c r="F1651" s="149"/>
      <c r="G1651" s="149"/>
      <c r="H1651" s="149"/>
      <c r="I1651" s="149"/>
      <c r="J1651" s="149"/>
      <c r="K1651" s="149"/>
      <c r="L1651" s="149"/>
      <c r="M1651" s="149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9"/>
      <c r="AA1651" s="149"/>
      <c r="AB1651" s="149"/>
      <c r="AC1651" s="149"/>
      <c r="AD1651" s="149"/>
      <c r="AE1651" s="149"/>
      <c r="AF1651" s="149"/>
      <c r="AG1651" s="149"/>
      <c r="AH1651" s="149"/>
      <c r="AI1651" s="149"/>
      <c r="AJ1651" s="149"/>
      <c r="AK1651" s="149"/>
      <c r="AL1651" s="149"/>
      <c r="AM1651" s="149"/>
      <c r="AN1651" s="149"/>
      <c r="AO1651" s="128"/>
      <c r="AP1651" s="128"/>
      <c r="AQ1651" s="128"/>
      <c r="AR1651" s="128"/>
      <c r="AS1651" s="128"/>
      <c r="AT1651" s="128"/>
      <c r="AU1651" s="128"/>
      <c r="AV1651" s="128"/>
      <c r="AW1651" s="128"/>
      <c r="AX1651" s="128"/>
      <c r="AY1651" s="128"/>
      <c r="AZ1651" s="128"/>
      <c r="BA1651" s="128"/>
      <c r="BB1651" s="128"/>
      <c r="BC1651" s="128"/>
      <c r="BD1651" s="128"/>
      <c r="BE1651" s="128"/>
      <c r="BF1651" s="128"/>
      <c r="BG1651" s="128"/>
      <c r="BH1651" s="128"/>
      <c r="BI1651" s="128"/>
      <c r="BJ1651" s="128"/>
      <c r="BK1651" s="128"/>
      <c r="BL1651" s="128"/>
      <c r="BM1651" s="151"/>
      <c r="BN1651" s="128"/>
      <c r="BO1651" s="128"/>
      <c r="BP1651" s="128"/>
      <c r="BQ1651" s="128"/>
      <c r="BR1651" s="128"/>
      <c r="BS1651" s="128"/>
      <c r="BT1651" s="128"/>
      <c r="BU1651" s="128"/>
      <c r="BV1651" s="128"/>
      <c r="BW1651" s="128"/>
      <c r="BX1651" s="128"/>
      <c r="BY1651" s="128"/>
      <c r="BZ1651" s="128"/>
      <c r="CA1651" s="128"/>
      <c r="CB1651" s="128"/>
      <c r="CC1651" s="128"/>
      <c r="CD1651" s="128"/>
      <c r="CE1651" s="128"/>
      <c r="CF1651" s="128"/>
      <c r="CG1651" s="128"/>
      <c r="CI1651" s="128"/>
      <c r="CJ1651" s="128"/>
      <c r="CK1651" s="128"/>
      <c r="CL1651" s="128"/>
      <c r="CM1651" s="128"/>
      <c r="CN1651" s="128"/>
      <c r="CO1651" s="128"/>
      <c r="CP1651" s="128"/>
      <c r="CQ1651" s="128"/>
      <c r="CR1651" s="128"/>
      <c r="CS1651" s="128"/>
      <c r="CT1651" s="128"/>
      <c r="CU1651" s="128"/>
      <c r="CV1651" s="128"/>
      <c r="CW1651" s="128"/>
      <c r="CX1651" s="128"/>
      <c r="CY1651" s="128"/>
      <c r="CZ1651" s="165"/>
    </row>
    <row r="1652" spans="1:104">
      <c r="A1652" s="149"/>
      <c r="B1652" s="149"/>
      <c r="C1652" s="150"/>
      <c r="D1652" s="102"/>
      <c r="E1652" s="149"/>
      <c r="F1652" s="149"/>
      <c r="G1652" s="149"/>
      <c r="H1652" s="149"/>
      <c r="I1652" s="149"/>
      <c r="J1652" s="149"/>
      <c r="K1652" s="149"/>
      <c r="L1652" s="149"/>
      <c r="M1652" s="149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9"/>
      <c r="AA1652" s="149"/>
      <c r="AB1652" s="149"/>
      <c r="AC1652" s="149"/>
      <c r="AD1652" s="149"/>
      <c r="AE1652" s="149"/>
      <c r="AF1652" s="149"/>
      <c r="AG1652" s="149"/>
      <c r="AH1652" s="149"/>
      <c r="AI1652" s="149"/>
      <c r="AJ1652" s="149"/>
      <c r="AK1652" s="149"/>
      <c r="AL1652" s="149"/>
      <c r="AM1652" s="149"/>
      <c r="AN1652" s="149"/>
      <c r="AO1652" s="128"/>
      <c r="AP1652" s="128"/>
      <c r="AQ1652" s="128"/>
      <c r="AR1652" s="128"/>
      <c r="AS1652" s="128"/>
      <c r="AT1652" s="128"/>
      <c r="AU1652" s="128"/>
      <c r="AV1652" s="128"/>
      <c r="AW1652" s="128"/>
      <c r="AX1652" s="128"/>
      <c r="AY1652" s="128"/>
      <c r="AZ1652" s="128"/>
      <c r="BA1652" s="128"/>
      <c r="BB1652" s="128"/>
      <c r="BC1652" s="128"/>
      <c r="BD1652" s="128"/>
      <c r="BE1652" s="128"/>
      <c r="BF1652" s="128"/>
      <c r="BG1652" s="128"/>
      <c r="BH1652" s="128"/>
      <c r="BI1652" s="128"/>
      <c r="BJ1652" s="128"/>
      <c r="BK1652" s="128"/>
      <c r="BL1652" s="128"/>
      <c r="BM1652" s="151"/>
      <c r="BN1652" s="128"/>
      <c r="BO1652" s="128"/>
      <c r="BP1652" s="128"/>
      <c r="BQ1652" s="128"/>
      <c r="BR1652" s="128"/>
      <c r="BS1652" s="128"/>
      <c r="BT1652" s="128"/>
      <c r="BU1652" s="128"/>
      <c r="BV1652" s="128"/>
      <c r="BW1652" s="128"/>
      <c r="BX1652" s="128"/>
      <c r="BY1652" s="128"/>
      <c r="BZ1652" s="128"/>
      <c r="CA1652" s="128"/>
      <c r="CB1652" s="128"/>
      <c r="CC1652" s="128"/>
      <c r="CD1652" s="128"/>
      <c r="CE1652" s="128"/>
      <c r="CF1652" s="128"/>
      <c r="CG1652" s="128"/>
      <c r="CI1652" s="128"/>
      <c r="CJ1652" s="128"/>
      <c r="CK1652" s="128"/>
      <c r="CL1652" s="128"/>
      <c r="CM1652" s="128"/>
      <c r="CN1652" s="128"/>
      <c r="CO1652" s="128"/>
      <c r="CP1652" s="128"/>
      <c r="CQ1652" s="128"/>
      <c r="CR1652" s="128"/>
      <c r="CS1652" s="128"/>
      <c r="CT1652" s="128"/>
      <c r="CU1652" s="128"/>
      <c r="CV1652" s="128"/>
      <c r="CW1652" s="128"/>
      <c r="CX1652" s="128"/>
      <c r="CY1652" s="128"/>
      <c r="CZ1652" s="165"/>
    </row>
    <row r="1653" spans="1:104">
      <c r="A1653" s="149"/>
      <c r="B1653" s="149"/>
      <c r="C1653" s="150"/>
      <c r="D1653" s="102"/>
      <c r="E1653" s="149"/>
      <c r="F1653" s="149"/>
      <c r="G1653" s="149"/>
      <c r="H1653" s="149"/>
      <c r="I1653" s="149"/>
      <c r="J1653" s="149"/>
      <c r="K1653" s="149"/>
      <c r="L1653" s="149"/>
      <c r="M1653" s="149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9"/>
      <c r="AA1653" s="149"/>
      <c r="AB1653" s="149"/>
      <c r="AC1653" s="149"/>
      <c r="AD1653" s="149"/>
      <c r="AE1653" s="149"/>
      <c r="AF1653" s="149"/>
      <c r="AG1653" s="149"/>
      <c r="AH1653" s="149"/>
      <c r="AI1653" s="149"/>
      <c r="AJ1653" s="149"/>
      <c r="AK1653" s="149"/>
      <c r="AL1653" s="149"/>
      <c r="AM1653" s="149"/>
      <c r="AN1653" s="149"/>
      <c r="AO1653" s="128"/>
      <c r="AP1653" s="128"/>
      <c r="AQ1653" s="128"/>
      <c r="AR1653" s="128"/>
      <c r="AS1653" s="128"/>
      <c r="AT1653" s="128"/>
      <c r="AU1653" s="128"/>
      <c r="AV1653" s="128"/>
      <c r="AW1653" s="128"/>
      <c r="AX1653" s="128"/>
      <c r="AY1653" s="128"/>
      <c r="AZ1653" s="128"/>
      <c r="BA1653" s="128"/>
      <c r="BB1653" s="128"/>
      <c r="BC1653" s="128"/>
      <c r="BD1653" s="128"/>
      <c r="BE1653" s="128"/>
      <c r="BF1653" s="128"/>
      <c r="BG1653" s="128"/>
      <c r="BH1653" s="128"/>
      <c r="BI1653" s="128"/>
      <c r="BJ1653" s="128"/>
      <c r="BK1653" s="128"/>
      <c r="BL1653" s="128"/>
      <c r="BM1653" s="151"/>
      <c r="BN1653" s="128"/>
      <c r="BO1653" s="128"/>
      <c r="BP1653" s="128"/>
      <c r="BQ1653" s="128"/>
      <c r="BR1653" s="128"/>
      <c r="BS1653" s="128"/>
      <c r="BT1653" s="128"/>
      <c r="BU1653" s="128"/>
      <c r="BV1653" s="128"/>
      <c r="BW1653" s="128"/>
      <c r="BX1653" s="128"/>
      <c r="BY1653" s="128"/>
      <c r="BZ1653" s="128"/>
      <c r="CA1653" s="128"/>
      <c r="CB1653" s="128"/>
      <c r="CC1653" s="128"/>
      <c r="CD1653" s="128"/>
      <c r="CE1653" s="128"/>
      <c r="CF1653" s="128"/>
      <c r="CG1653" s="128"/>
      <c r="CI1653" s="128"/>
      <c r="CJ1653" s="128"/>
      <c r="CK1653" s="128"/>
      <c r="CL1653" s="128"/>
      <c r="CM1653" s="128"/>
      <c r="CN1653" s="128"/>
      <c r="CO1653" s="128"/>
      <c r="CP1653" s="128"/>
      <c r="CQ1653" s="128"/>
      <c r="CR1653" s="128"/>
      <c r="CS1653" s="128"/>
      <c r="CT1653" s="128"/>
      <c r="CU1653" s="128"/>
      <c r="CV1653" s="128"/>
      <c r="CW1653" s="128"/>
      <c r="CX1653" s="128"/>
      <c r="CY1653" s="128"/>
      <c r="CZ1653" s="165"/>
    </row>
    <row r="1654" spans="1:104">
      <c r="A1654" s="149"/>
      <c r="B1654" s="149"/>
      <c r="C1654" s="150"/>
      <c r="D1654" s="102"/>
      <c r="E1654" s="149"/>
      <c r="F1654" s="149"/>
      <c r="G1654" s="149"/>
      <c r="H1654" s="149"/>
      <c r="I1654" s="149"/>
      <c r="J1654" s="149"/>
      <c r="K1654" s="149"/>
      <c r="L1654" s="149"/>
      <c r="M1654" s="149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9"/>
      <c r="AA1654" s="149"/>
      <c r="AB1654" s="149"/>
      <c r="AC1654" s="149"/>
      <c r="AD1654" s="149"/>
      <c r="AE1654" s="149"/>
      <c r="AF1654" s="149"/>
      <c r="AG1654" s="149"/>
      <c r="AH1654" s="149"/>
      <c r="AI1654" s="149"/>
      <c r="AJ1654" s="149"/>
      <c r="AK1654" s="149"/>
      <c r="AL1654" s="149"/>
      <c r="AM1654" s="149"/>
      <c r="AN1654" s="149"/>
      <c r="AO1654" s="128"/>
      <c r="AP1654" s="128"/>
      <c r="AQ1654" s="128"/>
      <c r="AR1654" s="128"/>
      <c r="AS1654" s="128"/>
      <c r="AT1654" s="128"/>
      <c r="AU1654" s="128"/>
      <c r="AV1654" s="128"/>
      <c r="AW1654" s="128"/>
      <c r="AX1654" s="128"/>
      <c r="AY1654" s="128"/>
      <c r="AZ1654" s="128"/>
      <c r="BA1654" s="128"/>
      <c r="BB1654" s="128"/>
      <c r="BC1654" s="128"/>
      <c r="BD1654" s="128"/>
      <c r="BE1654" s="128"/>
      <c r="BF1654" s="128"/>
      <c r="BG1654" s="128"/>
      <c r="BH1654" s="128"/>
      <c r="BI1654" s="128"/>
      <c r="BJ1654" s="128"/>
      <c r="BK1654" s="128"/>
      <c r="BL1654" s="128"/>
      <c r="BM1654" s="151"/>
      <c r="BN1654" s="128"/>
      <c r="BO1654" s="128"/>
      <c r="BP1654" s="128"/>
      <c r="BQ1654" s="128"/>
      <c r="BR1654" s="128"/>
      <c r="BS1654" s="128"/>
      <c r="BT1654" s="128"/>
      <c r="BU1654" s="128"/>
      <c r="BV1654" s="128"/>
      <c r="BW1654" s="128"/>
      <c r="BX1654" s="128"/>
      <c r="BY1654" s="128"/>
      <c r="BZ1654" s="128"/>
      <c r="CA1654" s="128"/>
      <c r="CB1654" s="128"/>
      <c r="CC1654" s="128"/>
      <c r="CD1654" s="128"/>
      <c r="CE1654" s="128"/>
      <c r="CF1654" s="128"/>
      <c r="CG1654" s="128"/>
      <c r="CI1654" s="128"/>
      <c r="CJ1654" s="128"/>
      <c r="CK1654" s="128"/>
      <c r="CL1654" s="128"/>
      <c r="CM1654" s="128"/>
      <c r="CN1654" s="128"/>
      <c r="CO1654" s="128"/>
      <c r="CP1654" s="128"/>
      <c r="CQ1654" s="128"/>
      <c r="CR1654" s="128"/>
      <c r="CS1654" s="128"/>
      <c r="CT1654" s="128"/>
      <c r="CU1654" s="128"/>
      <c r="CV1654" s="128"/>
      <c r="CW1654" s="128"/>
      <c r="CX1654" s="128"/>
      <c r="CY1654" s="128"/>
      <c r="CZ1654" s="165"/>
    </row>
    <row r="1655" spans="1:104">
      <c r="A1655" s="149"/>
      <c r="B1655" s="149"/>
      <c r="C1655" s="150"/>
      <c r="D1655" s="102"/>
      <c r="E1655" s="149"/>
      <c r="F1655" s="149"/>
      <c r="G1655" s="149"/>
      <c r="H1655" s="149"/>
      <c r="I1655" s="149"/>
      <c r="J1655" s="149"/>
      <c r="K1655" s="149"/>
      <c r="L1655" s="149"/>
      <c r="M1655" s="149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9"/>
      <c r="AA1655" s="149"/>
      <c r="AB1655" s="149"/>
      <c r="AC1655" s="149"/>
      <c r="AD1655" s="149"/>
      <c r="AE1655" s="149"/>
      <c r="AF1655" s="149"/>
      <c r="AG1655" s="149"/>
      <c r="AH1655" s="149"/>
      <c r="AI1655" s="149"/>
      <c r="AJ1655" s="149"/>
      <c r="AK1655" s="149"/>
      <c r="AL1655" s="149"/>
      <c r="AM1655" s="149"/>
      <c r="AN1655" s="149"/>
      <c r="AO1655" s="128"/>
      <c r="AP1655" s="128"/>
      <c r="AQ1655" s="128"/>
      <c r="AR1655" s="128"/>
      <c r="AS1655" s="128"/>
      <c r="AT1655" s="128"/>
      <c r="AU1655" s="128"/>
      <c r="AV1655" s="128"/>
      <c r="AW1655" s="128"/>
      <c r="AX1655" s="128"/>
      <c r="AY1655" s="128"/>
      <c r="AZ1655" s="128"/>
      <c r="BA1655" s="128"/>
      <c r="BB1655" s="128"/>
      <c r="BC1655" s="128"/>
      <c r="BD1655" s="128"/>
      <c r="BE1655" s="128"/>
      <c r="BF1655" s="128"/>
      <c r="BG1655" s="128"/>
      <c r="BH1655" s="128"/>
      <c r="BI1655" s="128"/>
      <c r="BJ1655" s="128"/>
      <c r="BK1655" s="128"/>
      <c r="BL1655" s="128"/>
      <c r="BM1655" s="151"/>
      <c r="BN1655" s="128"/>
      <c r="BO1655" s="128"/>
      <c r="BP1655" s="128"/>
      <c r="BQ1655" s="128"/>
      <c r="BR1655" s="128"/>
      <c r="BS1655" s="128"/>
      <c r="BT1655" s="128"/>
      <c r="BU1655" s="128"/>
      <c r="BV1655" s="128"/>
      <c r="BW1655" s="128"/>
      <c r="BX1655" s="128"/>
      <c r="BY1655" s="128"/>
      <c r="BZ1655" s="128"/>
      <c r="CA1655" s="128"/>
      <c r="CB1655" s="128"/>
      <c r="CC1655" s="128"/>
      <c r="CD1655" s="128"/>
      <c r="CE1655" s="128"/>
      <c r="CF1655" s="128"/>
      <c r="CG1655" s="128"/>
      <c r="CI1655" s="128"/>
      <c r="CJ1655" s="128"/>
      <c r="CK1655" s="128"/>
      <c r="CL1655" s="128"/>
      <c r="CM1655" s="128"/>
      <c r="CN1655" s="128"/>
      <c r="CO1655" s="128"/>
      <c r="CP1655" s="128"/>
      <c r="CQ1655" s="128"/>
      <c r="CR1655" s="128"/>
      <c r="CS1655" s="128"/>
      <c r="CT1655" s="128"/>
      <c r="CU1655" s="128"/>
      <c r="CV1655" s="128"/>
      <c r="CW1655" s="128"/>
      <c r="CX1655" s="128"/>
      <c r="CY1655" s="128"/>
      <c r="CZ1655" s="165"/>
    </row>
    <row r="1656" spans="1:104">
      <c r="A1656" s="149"/>
      <c r="B1656" s="149"/>
      <c r="C1656" s="150"/>
      <c r="D1656" s="102"/>
      <c r="E1656" s="149"/>
      <c r="F1656" s="149"/>
      <c r="G1656" s="149"/>
      <c r="H1656" s="149"/>
      <c r="I1656" s="149"/>
      <c r="J1656" s="149"/>
      <c r="K1656" s="149"/>
      <c r="L1656" s="149"/>
      <c r="M1656" s="149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9"/>
      <c r="AA1656" s="149"/>
      <c r="AB1656" s="149"/>
      <c r="AC1656" s="149"/>
      <c r="AD1656" s="149"/>
      <c r="AE1656" s="149"/>
      <c r="AF1656" s="149"/>
      <c r="AG1656" s="149"/>
      <c r="AH1656" s="149"/>
      <c r="AI1656" s="149"/>
      <c r="AJ1656" s="149"/>
      <c r="AK1656" s="149"/>
      <c r="AL1656" s="149"/>
      <c r="AM1656" s="149"/>
      <c r="AN1656" s="149"/>
      <c r="AO1656" s="128"/>
      <c r="AP1656" s="128"/>
      <c r="AQ1656" s="128"/>
      <c r="AR1656" s="128"/>
      <c r="AS1656" s="128"/>
      <c r="AT1656" s="128"/>
      <c r="AU1656" s="128"/>
      <c r="AV1656" s="128"/>
      <c r="AW1656" s="128"/>
      <c r="AX1656" s="128"/>
      <c r="AY1656" s="128"/>
      <c r="AZ1656" s="128"/>
      <c r="BA1656" s="128"/>
      <c r="BB1656" s="128"/>
      <c r="BC1656" s="128"/>
      <c r="BD1656" s="128"/>
      <c r="BE1656" s="128"/>
      <c r="BF1656" s="128"/>
      <c r="BG1656" s="128"/>
      <c r="BH1656" s="128"/>
      <c r="BI1656" s="128"/>
      <c r="BJ1656" s="128"/>
      <c r="BK1656" s="128"/>
      <c r="BL1656" s="128"/>
      <c r="BM1656" s="151"/>
      <c r="BN1656" s="128"/>
      <c r="BO1656" s="128"/>
      <c r="BP1656" s="128"/>
      <c r="BQ1656" s="128"/>
      <c r="BR1656" s="128"/>
      <c r="BS1656" s="128"/>
      <c r="BT1656" s="128"/>
      <c r="BU1656" s="128"/>
      <c r="BV1656" s="128"/>
      <c r="BW1656" s="128"/>
      <c r="BX1656" s="128"/>
      <c r="BY1656" s="128"/>
      <c r="BZ1656" s="128"/>
      <c r="CA1656" s="128"/>
      <c r="CB1656" s="128"/>
      <c r="CC1656" s="128"/>
      <c r="CD1656" s="128"/>
      <c r="CE1656" s="128"/>
      <c r="CF1656" s="128"/>
      <c r="CG1656" s="128"/>
      <c r="CI1656" s="128"/>
      <c r="CJ1656" s="128"/>
      <c r="CK1656" s="128"/>
      <c r="CL1656" s="128"/>
      <c r="CM1656" s="128"/>
      <c r="CN1656" s="128"/>
      <c r="CO1656" s="128"/>
      <c r="CP1656" s="128"/>
      <c r="CQ1656" s="128"/>
      <c r="CR1656" s="128"/>
      <c r="CS1656" s="128"/>
      <c r="CT1656" s="128"/>
      <c r="CU1656" s="128"/>
      <c r="CV1656" s="128"/>
      <c r="CW1656" s="128"/>
      <c r="CX1656" s="128"/>
      <c r="CY1656" s="128"/>
      <c r="CZ1656" s="165"/>
    </row>
    <row r="1657" spans="1:104">
      <c r="A1657" s="149"/>
      <c r="B1657" s="149"/>
      <c r="C1657" s="150"/>
      <c r="D1657" s="102"/>
      <c r="E1657" s="149"/>
      <c r="F1657" s="149"/>
      <c r="G1657" s="149"/>
      <c r="H1657" s="149"/>
      <c r="I1657" s="149"/>
      <c r="J1657" s="149"/>
      <c r="K1657" s="149"/>
      <c r="L1657" s="149"/>
      <c r="M1657" s="149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9"/>
      <c r="AA1657" s="149"/>
      <c r="AB1657" s="149"/>
      <c r="AC1657" s="149"/>
      <c r="AD1657" s="149"/>
      <c r="AE1657" s="149"/>
      <c r="AF1657" s="149"/>
      <c r="AG1657" s="149"/>
      <c r="AH1657" s="149"/>
      <c r="AI1657" s="149"/>
      <c r="AJ1657" s="149"/>
      <c r="AK1657" s="149"/>
      <c r="AL1657" s="149"/>
      <c r="AM1657" s="149"/>
      <c r="AN1657" s="149"/>
      <c r="AO1657" s="128"/>
      <c r="AP1657" s="128"/>
      <c r="AQ1657" s="128"/>
      <c r="AR1657" s="128"/>
      <c r="AS1657" s="128"/>
      <c r="AT1657" s="128"/>
      <c r="AU1657" s="128"/>
      <c r="AV1657" s="128"/>
      <c r="AW1657" s="128"/>
      <c r="AX1657" s="128"/>
      <c r="AY1657" s="128"/>
      <c r="AZ1657" s="128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51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28"/>
      <c r="BY1657" s="128"/>
      <c r="BZ1657" s="128"/>
      <c r="CA1657" s="128"/>
      <c r="CB1657" s="128"/>
      <c r="CC1657" s="128"/>
      <c r="CD1657" s="128"/>
      <c r="CE1657" s="128"/>
      <c r="CF1657" s="128"/>
      <c r="CG1657" s="128"/>
      <c r="CI1657" s="128"/>
      <c r="CJ1657" s="128"/>
      <c r="CK1657" s="128"/>
      <c r="CL1657" s="128"/>
      <c r="CM1657" s="128"/>
      <c r="CN1657" s="128"/>
      <c r="CO1657" s="128"/>
      <c r="CP1657" s="128"/>
      <c r="CQ1657" s="128"/>
      <c r="CR1657" s="128"/>
      <c r="CS1657" s="128"/>
      <c r="CT1657" s="128"/>
      <c r="CU1657" s="128"/>
      <c r="CV1657" s="128"/>
      <c r="CW1657" s="128"/>
      <c r="CX1657" s="128"/>
      <c r="CY1657" s="128"/>
      <c r="CZ1657" s="165"/>
    </row>
    <row r="1658" spans="1:104">
      <c r="A1658" s="149"/>
      <c r="B1658" s="149"/>
      <c r="C1658" s="150"/>
      <c r="D1658" s="102"/>
      <c r="E1658" s="149"/>
      <c r="F1658" s="149"/>
      <c r="G1658" s="149"/>
      <c r="H1658" s="149"/>
      <c r="I1658" s="149"/>
      <c r="J1658" s="149"/>
      <c r="K1658" s="149"/>
      <c r="L1658" s="149"/>
      <c r="M1658" s="149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9"/>
      <c r="AA1658" s="149"/>
      <c r="AB1658" s="149"/>
      <c r="AC1658" s="149"/>
      <c r="AD1658" s="149"/>
      <c r="AE1658" s="149"/>
      <c r="AF1658" s="149"/>
      <c r="AG1658" s="149"/>
      <c r="AH1658" s="149"/>
      <c r="AI1658" s="149"/>
      <c r="AJ1658" s="149"/>
      <c r="AK1658" s="149"/>
      <c r="AL1658" s="149"/>
      <c r="AM1658" s="149"/>
      <c r="AN1658" s="149"/>
      <c r="AO1658" s="128"/>
      <c r="AP1658" s="128"/>
      <c r="AQ1658" s="128"/>
      <c r="AR1658" s="128"/>
      <c r="AS1658" s="128"/>
      <c r="AT1658" s="128"/>
      <c r="AU1658" s="128"/>
      <c r="AV1658" s="128"/>
      <c r="AW1658" s="128"/>
      <c r="AX1658" s="128"/>
      <c r="AY1658" s="128"/>
      <c r="AZ1658" s="128"/>
      <c r="BA1658" s="128"/>
      <c r="BB1658" s="128"/>
      <c r="BC1658" s="128"/>
      <c r="BD1658" s="128"/>
      <c r="BE1658" s="128"/>
      <c r="BF1658" s="128"/>
      <c r="BG1658" s="128"/>
      <c r="BH1658" s="128"/>
      <c r="BI1658" s="128"/>
      <c r="BJ1658" s="128"/>
      <c r="BK1658" s="128"/>
      <c r="BL1658" s="128"/>
      <c r="BM1658" s="151"/>
      <c r="BN1658" s="128"/>
      <c r="BO1658" s="128"/>
      <c r="BP1658" s="128"/>
      <c r="BQ1658" s="128"/>
      <c r="BR1658" s="128"/>
      <c r="BS1658" s="128"/>
      <c r="BT1658" s="128"/>
      <c r="BU1658" s="128"/>
      <c r="BV1658" s="128"/>
      <c r="BW1658" s="128"/>
      <c r="BX1658" s="128"/>
      <c r="BY1658" s="128"/>
      <c r="BZ1658" s="128"/>
      <c r="CA1658" s="128"/>
      <c r="CB1658" s="128"/>
      <c r="CC1658" s="128"/>
      <c r="CD1658" s="128"/>
      <c r="CE1658" s="128"/>
      <c r="CF1658" s="128"/>
      <c r="CG1658" s="128"/>
      <c r="CI1658" s="128"/>
      <c r="CJ1658" s="128"/>
      <c r="CK1658" s="128"/>
      <c r="CL1658" s="128"/>
      <c r="CM1658" s="128"/>
      <c r="CN1658" s="128"/>
      <c r="CO1658" s="128"/>
      <c r="CP1658" s="128"/>
      <c r="CQ1658" s="128"/>
      <c r="CR1658" s="128"/>
      <c r="CS1658" s="128"/>
      <c r="CT1658" s="128"/>
      <c r="CU1658" s="128"/>
      <c r="CV1658" s="128"/>
      <c r="CW1658" s="128"/>
      <c r="CX1658" s="128"/>
      <c r="CY1658" s="128"/>
      <c r="CZ1658" s="165"/>
    </row>
    <row r="1659" spans="1:104">
      <c r="A1659" s="149"/>
      <c r="B1659" s="149"/>
      <c r="C1659" s="150"/>
      <c r="D1659" s="102"/>
      <c r="E1659" s="149"/>
      <c r="F1659" s="149"/>
      <c r="G1659" s="149"/>
      <c r="H1659" s="149"/>
      <c r="I1659" s="149"/>
      <c r="J1659" s="149"/>
      <c r="K1659" s="149"/>
      <c r="L1659" s="149"/>
      <c r="M1659" s="149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9"/>
      <c r="AA1659" s="149"/>
      <c r="AB1659" s="149"/>
      <c r="AC1659" s="149"/>
      <c r="AD1659" s="149"/>
      <c r="AE1659" s="149"/>
      <c r="AF1659" s="149"/>
      <c r="AG1659" s="149"/>
      <c r="AH1659" s="149"/>
      <c r="AI1659" s="149"/>
      <c r="AJ1659" s="149"/>
      <c r="AK1659" s="149"/>
      <c r="AL1659" s="149"/>
      <c r="AM1659" s="149"/>
      <c r="AN1659" s="149"/>
      <c r="AO1659" s="128"/>
      <c r="AP1659" s="128"/>
      <c r="AQ1659" s="128"/>
      <c r="AR1659" s="128"/>
      <c r="AS1659" s="128"/>
      <c r="AT1659" s="128"/>
      <c r="AU1659" s="128"/>
      <c r="AV1659" s="128"/>
      <c r="AW1659" s="128"/>
      <c r="AX1659" s="128"/>
      <c r="AY1659" s="128"/>
      <c r="AZ1659" s="128"/>
      <c r="BA1659" s="128"/>
      <c r="BB1659" s="128"/>
      <c r="BC1659" s="128"/>
      <c r="BD1659" s="128"/>
      <c r="BE1659" s="128"/>
      <c r="BF1659" s="128"/>
      <c r="BG1659" s="128"/>
      <c r="BH1659" s="128"/>
      <c r="BI1659" s="128"/>
      <c r="BJ1659" s="128"/>
      <c r="BK1659" s="128"/>
      <c r="BL1659" s="128"/>
      <c r="BM1659" s="151"/>
      <c r="BN1659" s="128"/>
      <c r="BO1659" s="128"/>
      <c r="BP1659" s="128"/>
      <c r="BQ1659" s="128"/>
      <c r="BR1659" s="128"/>
      <c r="BS1659" s="128"/>
      <c r="BT1659" s="128"/>
      <c r="BU1659" s="128"/>
      <c r="BV1659" s="128"/>
      <c r="BW1659" s="128"/>
      <c r="BX1659" s="128"/>
      <c r="BY1659" s="128"/>
      <c r="BZ1659" s="128"/>
      <c r="CA1659" s="128"/>
      <c r="CB1659" s="128"/>
      <c r="CC1659" s="128"/>
      <c r="CD1659" s="128"/>
      <c r="CE1659" s="128"/>
      <c r="CF1659" s="128"/>
      <c r="CG1659" s="128"/>
      <c r="CI1659" s="128"/>
      <c r="CJ1659" s="128"/>
      <c r="CK1659" s="128"/>
      <c r="CL1659" s="128"/>
      <c r="CM1659" s="128"/>
      <c r="CN1659" s="128"/>
      <c r="CO1659" s="128"/>
      <c r="CP1659" s="128"/>
      <c r="CQ1659" s="128"/>
      <c r="CR1659" s="128"/>
      <c r="CS1659" s="128"/>
      <c r="CT1659" s="128"/>
      <c r="CU1659" s="128"/>
      <c r="CV1659" s="128"/>
      <c r="CW1659" s="128"/>
      <c r="CX1659" s="128"/>
      <c r="CY1659" s="128"/>
      <c r="CZ1659" s="165"/>
    </row>
    <row r="1660" spans="1:104">
      <c r="A1660" s="149"/>
      <c r="B1660" s="149"/>
      <c r="C1660" s="150"/>
      <c r="D1660" s="102"/>
      <c r="E1660" s="149"/>
      <c r="F1660" s="149"/>
      <c r="G1660" s="149"/>
      <c r="H1660" s="149"/>
      <c r="I1660" s="149"/>
      <c r="J1660" s="149"/>
      <c r="K1660" s="149"/>
      <c r="L1660" s="149"/>
      <c r="M1660" s="149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9"/>
      <c r="AA1660" s="149"/>
      <c r="AB1660" s="149"/>
      <c r="AC1660" s="149"/>
      <c r="AD1660" s="149"/>
      <c r="AE1660" s="149"/>
      <c r="AF1660" s="149"/>
      <c r="AG1660" s="149"/>
      <c r="AH1660" s="149"/>
      <c r="AI1660" s="149"/>
      <c r="AJ1660" s="149"/>
      <c r="AK1660" s="149"/>
      <c r="AL1660" s="149"/>
      <c r="AM1660" s="149"/>
      <c r="AN1660" s="149"/>
      <c r="AO1660" s="128"/>
      <c r="AP1660" s="128"/>
      <c r="AQ1660" s="128"/>
      <c r="AR1660" s="128"/>
      <c r="AS1660" s="128"/>
      <c r="AT1660" s="128"/>
      <c r="AU1660" s="128"/>
      <c r="AV1660" s="128"/>
      <c r="AW1660" s="128"/>
      <c r="AX1660" s="128"/>
      <c r="AY1660" s="128"/>
      <c r="AZ1660" s="128"/>
      <c r="BA1660" s="128"/>
      <c r="BB1660" s="128"/>
      <c r="BC1660" s="128"/>
      <c r="BD1660" s="128"/>
      <c r="BE1660" s="128"/>
      <c r="BF1660" s="128"/>
      <c r="BG1660" s="128"/>
      <c r="BH1660" s="128"/>
      <c r="BI1660" s="128"/>
      <c r="BJ1660" s="128"/>
      <c r="BK1660" s="128"/>
      <c r="BL1660" s="128"/>
      <c r="BM1660" s="151"/>
      <c r="BN1660" s="128"/>
      <c r="BO1660" s="128"/>
      <c r="BP1660" s="128"/>
      <c r="BQ1660" s="128"/>
      <c r="BR1660" s="128"/>
      <c r="BS1660" s="128"/>
      <c r="BT1660" s="128"/>
      <c r="BU1660" s="128"/>
      <c r="BV1660" s="128"/>
      <c r="BW1660" s="128"/>
      <c r="BX1660" s="128"/>
      <c r="BY1660" s="128"/>
      <c r="BZ1660" s="128"/>
      <c r="CA1660" s="128"/>
      <c r="CB1660" s="128"/>
      <c r="CC1660" s="128"/>
      <c r="CD1660" s="128"/>
      <c r="CE1660" s="128"/>
      <c r="CF1660" s="128"/>
      <c r="CG1660" s="128"/>
      <c r="CI1660" s="128"/>
      <c r="CJ1660" s="128"/>
      <c r="CK1660" s="128"/>
      <c r="CL1660" s="128"/>
      <c r="CM1660" s="128"/>
      <c r="CN1660" s="128"/>
      <c r="CO1660" s="128"/>
      <c r="CP1660" s="128"/>
      <c r="CQ1660" s="128"/>
      <c r="CR1660" s="128"/>
      <c r="CS1660" s="128"/>
      <c r="CT1660" s="128"/>
      <c r="CU1660" s="128"/>
      <c r="CV1660" s="128"/>
      <c r="CW1660" s="128"/>
      <c r="CX1660" s="128"/>
      <c r="CY1660" s="128"/>
      <c r="CZ1660" s="165"/>
    </row>
    <row r="1661" spans="1:104">
      <c r="A1661" s="149"/>
      <c r="B1661" s="149"/>
      <c r="C1661" s="150"/>
      <c r="D1661" s="102"/>
      <c r="E1661" s="149"/>
      <c r="F1661" s="149"/>
      <c r="G1661" s="149"/>
      <c r="H1661" s="149"/>
      <c r="I1661" s="149"/>
      <c r="J1661" s="149"/>
      <c r="K1661" s="149"/>
      <c r="L1661" s="149"/>
      <c r="M1661" s="149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9"/>
      <c r="AA1661" s="149"/>
      <c r="AB1661" s="149"/>
      <c r="AC1661" s="149"/>
      <c r="AD1661" s="149"/>
      <c r="AE1661" s="149"/>
      <c r="AF1661" s="149"/>
      <c r="AG1661" s="149"/>
      <c r="AH1661" s="149"/>
      <c r="AI1661" s="149"/>
      <c r="AJ1661" s="149"/>
      <c r="AK1661" s="149"/>
      <c r="AL1661" s="149"/>
      <c r="AM1661" s="149"/>
      <c r="AN1661" s="149"/>
      <c r="AO1661" s="128"/>
      <c r="AP1661" s="128"/>
      <c r="AQ1661" s="128"/>
      <c r="AR1661" s="128"/>
      <c r="AS1661" s="128"/>
      <c r="AT1661" s="128"/>
      <c r="AU1661" s="128"/>
      <c r="AV1661" s="128"/>
      <c r="AW1661" s="128"/>
      <c r="AX1661" s="128"/>
      <c r="AY1661" s="128"/>
      <c r="AZ1661" s="128"/>
      <c r="BA1661" s="128"/>
      <c r="BB1661" s="128"/>
      <c r="BC1661" s="128"/>
      <c r="BD1661" s="128"/>
      <c r="BE1661" s="128"/>
      <c r="BF1661" s="128"/>
      <c r="BG1661" s="128"/>
      <c r="BH1661" s="128"/>
      <c r="BI1661" s="128"/>
      <c r="BJ1661" s="128"/>
      <c r="BK1661" s="128"/>
      <c r="BL1661" s="128"/>
      <c r="BM1661" s="151"/>
      <c r="BN1661" s="128"/>
      <c r="BO1661" s="128"/>
      <c r="BP1661" s="128"/>
      <c r="BQ1661" s="128"/>
      <c r="BR1661" s="128"/>
      <c r="BS1661" s="128"/>
      <c r="BT1661" s="128"/>
      <c r="BU1661" s="128"/>
      <c r="BV1661" s="128"/>
      <c r="BW1661" s="128"/>
      <c r="BX1661" s="128"/>
      <c r="BY1661" s="128"/>
      <c r="BZ1661" s="128"/>
      <c r="CA1661" s="128"/>
      <c r="CB1661" s="128"/>
      <c r="CC1661" s="128"/>
      <c r="CD1661" s="128"/>
      <c r="CE1661" s="128"/>
      <c r="CF1661" s="128"/>
      <c r="CG1661" s="128"/>
      <c r="CI1661" s="128"/>
      <c r="CJ1661" s="128"/>
      <c r="CK1661" s="128"/>
      <c r="CL1661" s="128"/>
      <c r="CM1661" s="128"/>
      <c r="CN1661" s="128"/>
      <c r="CO1661" s="128"/>
      <c r="CP1661" s="128"/>
      <c r="CQ1661" s="128"/>
      <c r="CR1661" s="128"/>
      <c r="CS1661" s="128"/>
      <c r="CT1661" s="128"/>
      <c r="CU1661" s="128"/>
      <c r="CV1661" s="128"/>
      <c r="CW1661" s="128"/>
      <c r="CX1661" s="128"/>
      <c r="CY1661" s="128"/>
      <c r="CZ1661" s="165"/>
    </row>
    <row r="1662" spans="1:104">
      <c r="A1662" s="149"/>
      <c r="B1662" s="149"/>
      <c r="C1662" s="150"/>
      <c r="D1662" s="102"/>
      <c r="E1662" s="149"/>
      <c r="F1662" s="149"/>
      <c r="G1662" s="149"/>
      <c r="H1662" s="149"/>
      <c r="I1662" s="149"/>
      <c r="J1662" s="149"/>
      <c r="K1662" s="149"/>
      <c r="L1662" s="149"/>
      <c r="M1662" s="149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9"/>
      <c r="AA1662" s="149"/>
      <c r="AB1662" s="149"/>
      <c r="AC1662" s="149"/>
      <c r="AD1662" s="149"/>
      <c r="AE1662" s="149"/>
      <c r="AF1662" s="149"/>
      <c r="AG1662" s="149"/>
      <c r="AH1662" s="149"/>
      <c r="AI1662" s="149"/>
      <c r="AJ1662" s="149"/>
      <c r="AK1662" s="149"/>
      <c r="AL1662" s="149"/>
      <c r="AM1662" s="149"/>
      <c r="AN1662" s="149"/>
      <c r="AO1662" s="128"/>
      <c r="AP1662" s="128"/>
      <c r="AQ1662" s="128"/>
      <c r="AR1662" s="128"/>
      <c r="AS1662" s="128"/>
      <c r="AT1662" s="128"/>
      <c r="AU1662" s="128"/>
      <c r="AV1662" s="128"/>
      <c r="AW1662" s="128"/>
      <c r="AX1662" s="128"/>
      <c r="AY1662" s="128"/>
      <c r="AZ1662" s="128"/>
      <c r="BA1662" s="128"/>
      <c r="BB1662" s="128"/>
      <c r="BC1662" s="128"/>
      <c r="BD1662" s="128"/>
      <c r="BE1662" s="128"/>
      <c r="BF1662" s="128"/>
      <c r="BG1662" s="128"/>
      <c r="BH1662" s="128"/>
      <c r="BI1662" s="128"/>
      <c r="BJ1662" s="128"/>
      <c r="BK1662" s="128"/>
      <c r="BL1662" s="128"/>
      <c r="BM1662" s="151"/>
      <c r="BN1662" s="128"/>
      <c r="BO1662" s="128"/>
      <c r="BP1662" s="128"/>
      <c r="BQ1662" s="128"/>
      <c r="BR1662" s="128"/>
      <c r="BS1662" s="128"/>
      <c r="BT1662" s="128"/>
      <c r="BU1662" s="128"/>
      <c r="BV1662" s="128"/>
      <c r="BW1662" s="128"/>
      <c r="BX1662" s="128"/>
      <c r="BY1662" s="128"/>
      <c r="BZ1662" s="128"/>
      <c r="CA1662" s="128"/>
      <c r="CB1662" s="128"/>
      <c r="CC1662" s="128"/>
      <c r="CD1662" s="128"/>
      <c r="CE1662" s="128"/>
      <c r="CF1662" s="128"/>
      <c r="CG1662" s="128"/>
      <c r="CI1662" s="128"/>
      <c r="CJ1662" s="128"/>
      <c r="CK1662" s="128"/>
      <c r="CL1662" s="128"/>
      <c r="CM1662" s="128"/>
      <c r="CN1662" s="128"/>
      <c r="CO1662" s="128"/>
      <c r="CP1662" s="128"/>
      <c r="CQ1662" s="128"/>
      <c r="CR1662" s="128"/>
      <c r="CS1662" s="128"/>
      <c r="CT1662" s="128"/>
      <c r="CU1662" s="128"/>
      <c r="CV1662" s="128"/>
      <c r="CW1662" s="128"/>
      <c r="CX1662" s="128"/>
      <c r="CY1662" s="128"/>
      <c r="CZ1662" s="165"/>
    </row>
    <row r="1663" spans="1:104">
      <c r="A1663" s="149"/>
      <c r="B1663" s="149"/>
      <c r="C1663" s="150"/>
      <c r="D1663" s="102"/>
      <c r="E1663" s="149"/>
      <c r="F1663" s="149"/>
      <c r="G1663" s="149"/>
      <c r="H1663" s="149"/>
      <c r="I1663" s="149"/>
      <c r="J1663" s="149"/>
      <c r="K1663" s="149"/>
      <c r="L1663" s="149"/>
      <c r="M1663" s="149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9"/>
      <c r="AA1663" s="149"/>
      <c r="AB1663" s="149"/>
      <c r="AC1663" s="149"/>
      <c r="AD1663" s="149"/>
      <c r="AE1663" s="149"/>
      <c r="AF1663" s="149"/>
      <c r="AG1663" s="149"/>
      <c r="AH1663" s="149"/>
      <c r="AI1663" s="149"/>
      <c r="AJ1663" s="149"/>
      <c r="AK1663" s="149"/>
      <c r="AL1663" s="149"/>
      <c r="AM1663" s="149"/>
      <c r="AN1663" s="149"/>
      <c r="AO1663" s="128"/>
      <c r="AP1663" s="128"/>
      <c r="AQ1663" s="128"/>
      <c r="AR1663" s="128"/>
      <c r="AS1663" s="128"/>
      <c r="AT1663" s="128"/>
      <c r="AU1663" s="128"/>
      <c r="AV1663" s="128"/>
      <c r="AW1663" s="128"/>
      <c r="AX1663" s="128"/>
      <c r="AY1663" s="128"/>
      <c r="AZ1663" s="128"/>
      <c r="BA1663" s="128"/>
      <c r="BB1663" s="128"/>
      <c r="BC1663" s="128"/>
      <c r="BD1663" s="128"/>
      <c r="BE1663" s="128"/>
      <c r="BF1663" s="128"/>
      <c r="BG1663" s="128"/>
      <c r="BH1663" s="128"/>
      <c r="BI1663" s="128"/>
      <c r="BJ1663" s="128"/>
      <c r="BK1663" s="128"/>
      <c r="BL1663" s="128"/>
      <c r="BM1663" s="151"/>
      <c r="BN1663" s="128"/>
      <c r="BO1663" s="128"/>
      <c r="BP1663" s="128"/>
      <c r="BQ1663" s="128"/>
      <c r="BR1663" s="128"/>
      <c r="BS1663" s="128"/>
      <c r="BT1663" s="128"/>
      <c r="BU1663" s="128"/>
      <c r="BV1663" s="128"/>
      <c r="BW1663" s="128"/>
      <c r="BX1663" s="128"/>
      <c r="BY1663" s="128"/>
      <c r="BZ1663" s="128"/>
      <c r="CA1663" s="128"/>
      <c r="CB1663" s="128"/>
      <c r="CC1663" s="128"/>
      <c r="CD1663" s="128"/>
      <c r="CE1663" s="128"/>
      <c r="CF1663" s="128"/>
      <c r="CG1663" s="128"/>
      <c r="CI1663" s="128"/>
      <c r="CJ1663" s="128"/>
      <c r="CK1663" s="128"/>
      <c r="CL1663" s="128"/>
      <c r="CM1663" s="128"/>
      <c r="CN1663" s="128"/>
      <c r="CO1663" s="128"/>
      <c r="CP1663" s="128"/>
      <c r="CQ1663" s="128"/>
      <c r="CR1663" s="128"/>
      <c r="CS1663" s="128"/>
      <c r="CT1663" s="128"/>
      <c r="CU1663" s="128"/>
      <c r="CV1663" s="128"/>
      <c r="CW1663" s="128"/>
      <c r="CX1663" s="128"/>
      <c r="CY1663" s="128"/>
      <c r="CZ1663" s="165"/>
    </row>
    <row r="1664" spans="1:104">
      <c r="A1664" s="149"/>
      <c r="B1664" s="149"/>
      <c r="C1664" s="150"/>
      <c r="D1664" s="102"/>
      <c r="E1664" s="149"/>
      <c r="F1664" s="149"/>
      <c r="G1664" s="149"/>
      <c r="H1664" s="149"/>
      <c r="I1664" s="149"/>
      <c r="J1664" s="149"/>
      <c r="K1664" s="149"/>
      <c r="L1664" s="149"/>
      <c r="M1664" s="149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9"/>
      <c r="AA1664" s="149"/>
      <c r="AB1664" s="149"/>
      <c r="AC1664" s="149"/>
      <c r="AD1664" s="149"/>
      <c r="AE1664" s="149"/>
      <c r="AF1664" s="149"/>
      <c r="AG1664" s="149"/>
      <c r="AH1664" s="149"/>
      <c r="AI1664" s="149"/>
      <c r="AJ1664" s="149"/>
      <c r="AK1664" s="149"/>
      <c r="AL1664" s="149"/>
      <c r="AM1664" s="149"/>
      <c r="AN1664" s="149"/>
      <c r="AO1664" s="128"/>
      <c r="AP1664" s="128"/>
      <c r="AQ1664" s="128"/>
      <c r="AR1664" s="128"/>
      <c r="AS1664" s="128"/>
      <c r="AT1664" s="128"/>
      <c r="AU1664" s="128"/>
      <c r="AV1664" s="128"/>
      <c r="AW1664" s="128"/>
      <c r="AX1664" s="128"/>
      <c r="AY1664" s="128"/>
      <c r="AZ1664" s="128"/>
      <c r="BA1664" s="128"/>
      <c r="BB1664" s="128"/>
      <c r="BC1664" s="128"/>
      <c r="BD1664" s="128"/>
      <c r="BE1664" s="128"/>
      <c r="BF1664" s="128"/>
      <c r="BG1664" s="128"/>
      <c r="BH1664" s="128"/>
      <c r="BI1664" s="128"/>
      <c r="BJ1664" s="128"/>
      <c r="BK1664" s="128"/>
      <c r="BL1664" s="128"/>
      <c r="BM1664" s="151"/>
      <c r="BN1664" s="128"/>
      <c r="BO1664" s="128"/>
      <c r="BP1664" s="128"/>
      <c r="BQ1664" s="128"/>
      <c r="BR1664" s="128"/>
      <c r="BS1664" s="128"/>
      <c r="BT1664" s="128"/>
      <c r="BU1664" s="128"/>
      <c r="BV1664" s="128"/>
      <c r="BW1664" s="128"/>
      <c r="BX1664" s="128"/>
      <c r="BY1664" s="128"/>
      <c r="BZ1664" s="128"/>
      <c r="CA1664" s="128"/>
      <c r="CB1664" s="128"/>
      <c r="CC1664" s="128"/>
      <c r="CD1664" s="128"/>
      <c r="CE1664" s="128"/>
      <c r="CF1664" s="128"/>
      <c r="CG1664" s="128"/>
      <c r="CI1664" s="128"/>
      <c r="CJ1664" s="128"/>
      <c r="CK1664" s="128"/>
      <c r="CL1664" s="128"/>
      <c r="CM1664" s="128"/>
      <c r="CN1664" s="128"/>
      <c r="CO1664" s="128"/>
      <c r="CP1664" s="128"/>
      <c r="CQ1664" s="128"/>
      <c r="CR1664" s="128"/>
      <c r="CS1664" s="128"/>
      <c r="CT1664" s="128"/>
      <c r="CU1664" s="128"/>
      <c r="CV1664" s="128"/>
      <c r="CW1664" s="128"/>
      <c r="CX1664" s="128"/>
      <c r="CY1664" s="128"/>
      <c r="CZ1664" s="165"/>
    </row>
    <row r="1665" spans="1:104">
      <c r="A1665" s="149"/>
      <c r="B1665" s="149"/>
      <c r="C1665" s="150"/>
      <c r="D1665" s="102"/>
      <c r="E1665" s="149"/>
      <c r="F1665" s="149"/>
      <c r="G1665" s="149"/>
      <c r="H1665" s="149"/>
      <c r="I1665" s="149"/>
      <c r="J1665" s="149"/>
      <c r="K1665" s="149"/>
      <c r="L1665" s="149"/>
      <c r="M1665" s="149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9"/>
      <c r="AA1665" s="149"/>
      <c r="AB1665" s="149"/>
      <c r="AC1665" s="149"/>
      <c r="AD1665" s="149"/>
      <c r="AE1665" s="149"/>
      <c r="AF1665" s="149"/>
      <c r="AG1665" s="149"/>
      <c r="AH1665" s="149"/>
      <c r="AI1665" s="149"/>
      <c r="AJ1665" s="149"/>
      <c r="AK1665" s="149"/>
      <c r="AL1665" s="149"/>
      <c r="AM1665" s="149"/>
      <c r="AN1665" s="149"/>
      <c r="AO1665" s="128"/>
      <c r="AP1665" s="128"/>
      <c r="AQ1665" s="128"/>
      <c r="AR1665" s="128"/>
      <c r="AS1665" s="128"/>
      <c r="AT1665" s="128"/>
      <c r="AU1665" s="128"/>
      <c r="AV1665" s="128"/>
      <c r="AW1665" s="128"/>
      <c r="AX1665" s="128"/>
      <c r="AY1665" s="128"/>
      <c r="AZ1665" s="128"/>
      <c r="BA1665" s="128"/>
      <c r="BB1665" s="128"/>
      <c r="BC1665" s="128"/>
      <c r="BD1665" s="128"/>
      <c r="BE1665" s="128"/>
      <c r="BF1665" s="128"/>
      <c r="BG1665" s="128"/>
      <c r="BH1665" s="128"/>
      <c r="BI1665" s="128"/>
      <c r="BJ1665" s="128"/>
      <c r="BK1665" s="128"/>
      <c r="BL1665" s="128"/>
      <c r="BM1665" s="151"/>
      <c r="BN1665" s="128"/>
      <c r="BO1665" s="128"/>
      <c r="BP1665" s="128"/>
      <c r="BQ1665" s="128"/>
      <c r="BR1665" s="128"/>
      <c r="BS1665" s="128"/>
      <c r="BT1665" s="128"/>
      <c r="BU1665" s="128"/>
      <c r="BV1665" s="128"/>
      <c r="BW1665" s="128"/>
      <c r="BX1665" s="128"/>
      <c r="BY1665" s="128"/>
      <c r="BZ1665" s="128"/>
      <c r="CA1665" s="128"/>
      <c r="CB1665" s="128"/>
      <c r="CC1665" s="128"/>
      <c r="CD1665" s="128"/>
      <c r="CE1665" s="128"/>
      <c r="CF1665" s="128"/>
      <c r="CG1665" s="128"/>
      <c r="CI1665" s="128"/>
      <c r="CJ1665" s="128"/>
      <c r="CK1665" s="128"/>
      <c r="CL1665" s="128"/>
      <c r="CM1665" s="128"/>
      <c r="CN1665" s="128"/>
      <c r="CO1665" s="128"/>
      <c r="CP1665" s="128"/>
      <c r="CQ1665" s="128"/>
      <c r="CR1665" s="128"/>
      <c r="CS1665" s="128"/>
      <c r="CT1665" s="128"/>
      <c r="CU1665" s="128"/>
      <c r="CV1665" s="128"/>
      <c r="CW1665" s="128"/>
      <c r="CX1665" s="128"/>
      <c r="CY1665" s="128"/>
      <c r="CZ1665" s="165"/>
    </row>
    <row r="1666" spans="1:104">
      <c r="A1666" s="149"/>
      <c r="B1666" s="149"/>
      <c r="C1666" s="150"/>
      <c r="D1666" s="102"/>
      <c r="E1666" s="149"/>
      <c r="F1666" s="149"/>
      <c r="G1666" s="149"/>
      <c r="H1666" s="149"/>
      <c r="I1666" s="149"/>
      <c r="J1666" s="149"/>
      <c r="K1666" s="149"/>
      <c r="L1666" s="149"/>
      <c r="M1666" s="149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9"/>
      <c r="AA1666" s="149"/>
      <c r="AB1666" s="149"/>
      <c r="AC1666" s="149"/>
      <c r="AD1666" s="149"/>
      <c r="AE1666" s="149"/>
      <c r="AF1666" s="149"/>
      <c r="AG1666" s="149"/>
      <c r="AH1666" s="149"/>
      <c r="AI1666" s="149"/>
      <c r="AJ1666" s="149"/>
      <c r="AK1666" s="149"/>
      <c r="AL1666" s="149"/>
      <c r="AM1666" s="149"/>
      <c r="AN1666" s="149"/>
      <c r="AO1666" s="128"/>
      <c r="AP1666" s="128"/>
      <c r="AQ1666" s="128"/>
      <c r="AR1666" s="128"/>
      <c r="AS1666" s="128"/>
      <c r="AT1666" s="128"/>
      <c r="AU1666" s="128"/>
      <c r="AV1666" s="128"/>
      <c r="AW1666" s="128"/>
      <c r="AX1666" s="128"/>
      <c r="AY1666" s="128"/>
      <c r="AZ1666" s="128"/>
      <c r="BA1666" s="128"/>
      <c r="BB1666" s="128"/>
      <c r="BC1666" s="128"/>
      <c r="BD1666" s="128"/>
      <c r="BE1666" s="128"/>
      <c r="BF1666" s="128"/>
      <c r="BG1666" s="128"/>
      <c r="BH1666" s="128"/>
      <c r="BI1666" s="128"/>
      <c r="BJ1666" s="128"/>
      <c r="BK1666" s="128"/>
      <c r="BL1666" s="128"/>
      <c r="BM1666" s="151"/>
      <c r="BN1666" s="128"/>
      <c r="BO1666" s="128"/>
      <c r="BP1666" s="128"/>
      <c r="BQ1666" s="128"/>
      <c r="BR1666" s="128"/>
      <c r="BS1666" s="128"/>
      <c r="BT1666" s="128"/>
      <c r="BU1666" s="128"/>
      <c r="BV1666" s="128"/>
      <c r="BW1666" s="128"/>
      <c r="BX1666" s="128"/>
      <c r="BY1666" s="128"/>
      <c r="BZ1666" s="128"/>
      <c r="CA1666" s="128"/>
      <c r="CB1666" s="128"/>
      <c r="CC1666" s="128"/>
      <c r="CD1666" s="128"/>
      <c r="CE1666" s="128"/>
      <c r="CF1666" s="128"/>
      <c r="CG1666" s="128"/>
      <c r="CI1666" s="128"/>
      <c r="CJ1666" s="128"/>
      <c r="CK1666" s="128"/>
      <c r="CL1666" s="128"/>
      <c r="CM1666" s="128"/>
      <c r="CN1666" s="128"/>
      <c r="CO1666" s="128"/>
      <c r="CP1666" s="128"/>
      <c r="CQ1666" s="128"/>
      <c r="CR1666" s="128"/>
      <c r="CS1666" s="128"/>
      <c r="CT1666" s="128"/>
      <c r="CU1666" s="128"/>
      <c r="CV1666" s="128"/>
      <c r="CW1666" s="128"/>
      <c r="CX1666" s="128"/>
      <c r="CY1666" s="128"/>
      <c r="CZ1666" s="165"/>
    </row>
    <row r="1667" spans="1:104">
      <c r="A1667" s="149"/>
      <c r="B1667" s="149"/>
      <c r="C1667" s="150"/>
      <c r="D1667" s="102"/>
      <c r="E1667" s="149"/>
      <c r="F1667" s="149"/>
      <c r="G1667" s="149"/>
      <c r="H1667" s="149"/>
      <c r="I1667" s="149"/>
      <c r="J1667" s="149"/>
      <c r="K1667" s="149"/>
      <c r="L1667" s="149"/>
      <c r="M1667" s="149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9"/>
      <c r="AA1667" s="149"/>
      <c r="AB1667" s="149"/>
      <c r="AC1667" s="149"/>
      <c r="AD1667" s="149"/>
      <c r="AE1667" s="149"/>
      <c r="AF1667" s="149"/>
      <c r="AG1667" s="149"/>
      <c r="AH1667" s="149"/>
      <c r="AI1667" s="149"/>
      <c r="AJ1667" s="149"/>
      <c r="AK1667" s="149"/>
      <c r="AL1667" s="149"/>
      <c r="AM1667" s="149"/>
      <c r="AN1667" s="149"/>
      <c r="AO1667" s="128"/>
      <c r="AP1667" s="128"/>
      <c r="AQ1667" s="128"/>
      <c r="AR1667" s="128"/>
      <c r="AS1667" s="128"/>
      <c r="AT1667" s="128"/>
      <c r="AU1667" s="128"/>
      <c r="AV1667" s="128"/>
      <c r="AW1667" s="128"/>
      <c r="AX1667" s="128"/>
      <c r="AY1667" s="128"/>
      <c r="AZ1667" s="128"/>
      <c r="BA1667" s="128"/>
      <c r="BB1667" s="128"/>
      <c r="BC1667" s="128"/>
      <c r="BD1667" s="128"/>
      <c r="BE1667" s="128"/>
      <c r="BF1667" s="128"/>
      <c r="BG1667" s="128"/>
      <c r="BH1667" s="128"/>
      <c r="BI1667" s="128"/>
      <c r="BJ1667" s="128"/>
      <c r="BK1667" s="128"/>
      <c r="BL1667" s="128"/>
      <c r="BM1667" s="151"/>
      <c r="BN1667" s="128"/>
      <c r="BO1667" s="128"/>
      <c r="BP1667" s="128"/>
      <c r="BQ1667" s="128"/>
      <c r="BR1667" s="128"/>
      <c r="BS1667" s="128"/>
      <c r="BT1667" s="128"/>
      <c r="BU1667" s="128"/>
      <c r="BV1667" s="128"/>
      <c r="BW1667" s="128"/>
      <c r="BX1667" s="128"/>
      <c r="BY1667" s="128"/>
      <c r="BZ1667" s="128"/>
      <c r="CA1667" s="128"/>
      <c r="CB1667" s="128"/>
      <c r="CC1667" s="128"/>
      <c r="CD1667" s="128"/>
      <c r="CE1667" s="128"/>
      <c r="CF1667" s="128"/>
      <c r="CG1667" s="128"/>
      <c r="CI1667" s="128"/>
      <c r="CJ1667" s="128"/>
      <c r="CK1667" s="128"/>
      <c r="CL1667" s="128"/>
      <c r="CM1667" s="128"/>
      <c r="CN1667" s="128"/>
      <c r="CO1667" s="128"/>
      <c r="CP1667" s="128"/>
      <c r="CQ1667" s="128"/>
      <c r="CR1667" s="128"/>
      <c r="CS1667" s="128"/>
      <c r="CT1667" s="128"/>
      <c r="CU1667" s="128"/>
      <c r="CV1667" s="128"/>
      <c r="CW1667" s="128"/>
      <c r="CX1667" s="128"/>
      <c r="CY1667" s="128"/>
      <c r="CZ1667" s="165"/>
    </row>
    <row r="1668" spans="1:104">
      <c r="A1668" s="149"/>
      <c r="B1668" s="149"/>
      <c r="C1668" s="150"/>
      <c r="D1668" s="102"/>
      <c r="E1668" s="149"/>
      <c r="F1668" s="149"/>
      <c r="G1668" s="149"/>
      <c r="H1668" s="149"/>
      <c r="I1668" s="149"/>
      <c r="J1668" s="149"/>
      <c r="K1668" s="149"/>
      <c r="L1668" s="149"/>
      <c r="M1668" s="149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9"/>
      <c r="AA1668" s="149"/>
      <c r="AB1668" s="149"/>
      <c r="AC1668" s="149"/>
      <c r="AD1668" s="149"/>
      <c r="AE1668" s="149"/>
      <c r="AF1668" s="149"/>
      <c r="AG1668" s="149"/>
      <c r="AH1668" s="149"/>
      <c r="AI1668" s="149"/>
      <c r="AJ1668" s="149"/>
      <c r="AK1668" s="149"/>
      <c r="AL1668" s="149"/>
      <c r="AM1668" s="149"/>
      <c r="AN1668" s="149"/>
      <c r="AO1668" s="128"/>
      <c r="AP1668" s="128"/>
      <c r="AQ1668" s="128"/>
      <c r="AR1668" s="128"/>
      <c r="AS1668" s="128"/>
      <c r="AT1668" s="128"/>
      <c r="AU1668" s="128"/>
      <c r="AV1668" s="128"/>
      <c r="AW1668" s="128"/>
      <c r="AX1668" s="128"/>
      <c r="AY1668" s="128"/>
      <c r="AZ1668" s="128"/>
      <c r="BA1668" s="128"/>
      <c r="BB1668" s="128"/>
      <c r="BC1668" s="128"/>
      <c r="BD1668" s="128"/>
      <c r="BE1668" s="128"/>
      <c r="BF1668" s="128"/>
      <c r="BG1668" s="128"/>
      <c r="BH1668" s="128"/>
      <c r="BI1668" s="128"/>
      <c r="BJ1668" s="128"/>
      <c r="BK1668" s="128"/>
      <c r="BL1668" s="128"/>
      <c r="BM1668" s="151"/>
      <c r="BN1668" s="128"/>
      <c r="BO1668" s="128"/>
      <c r="BP1668" s="128"/>
      <c r="BQ1668" s="128"/>
      <c r="BR1668" s="128"/>
      <c r="BS1668" s="128"/>
      <c r="BT1668" s="128"/>
      <c r="BU1668" s="128"/>
      <c r="BV1668" s="128"/>
      <c r="BW1668" s="128"/>
      <c r="BX1668" s="128"/>
      <c r="BY1668" s="128"/>
      <c r="BZ1668" s="128"/>
      <c r="CA1668" s="128"/>
      <c r="CB1668" s="128"/>
      <c r="CC1668" s="128"/>
      <c r="CD1668" s="128"/>
      <c r="CE1668" s="128"/>
      <c r="CF1668" s="128"/>
      <c r="CG1668" s="128"/>
      <c r="CI1668" s="128"/>
      <c r="CJ1668" s="128"/>
      <c r="CK1668" s="128"/>
      <c r="CL1668" s="128"/>
      <c r="CM1668" s="128"/>
      <c r="CN1668" s="128"/>
      <c r="CO1668" s="128"/>
      <c r="CP1668" s="128"/>
      <c r="CQ1668" s="128"/>
      <c r="CR1668" s="128"/>
      <c r="CS1668" s="128"/>
      <c r="CT1668" s="128"/>
      <c r="CU1668" s="128"/>
      <c r="CV1668" s="128"/>
      <c r="CW1668" s="128"/>
      <c r="CX1668" s="128"/>
      <c r="CY1668" s="128"/>
      <c r="CZ1668" s="165"/>
    </row>
    <row r="1669" spans="1:104">
      <c r="A1669" s="149"/>
      <c r="B1669" s="149"/>
      <c r="C1669" s="150"/>
      <c r="D1669" s="102"/>
      <c r="E1669" s="149"/>
      <c r="F1669" s="149"/>
      <c r="G1669" s="149"/>
      <c r="H1669" s="149"/>
      <c r="I1669" s="149"/>
      <c r="J1669" s="149"/>
      <c r="K1669" s="149"/>
      <c r="L1669" s="149"/>
      <c r="M1669" s="149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9"/>
      <c r="AA1669" s="149"/>
      <c r="AB1669" s="149"/>
      <c r="AC1669" s="149"/>
      <c r="AD1669" s="149"/>
      <c r="AE1669" s="149"/>
      <c r="AF1669" s="149"/>
      <c r="AG1669" s="149"/>
      <c r="AH1669" s="149"/>
      <c r="AI1669" s="149"/>
      <c r="AJ1669" s="149"/>
      <c r="AK1669" s="149"/>
      <c r="AL1669" s="149"/>
      <c r="AM1669" s="149"/>
      <c r="AN1669" s="149"/>
      <c r="AO1669" s="128"/>
      <c r="AP1669" s="128"/>
      <c r="AQ1669" s="128"/>
      <c r="AR1669" s="128"/>
      <c r="AS1669" s="128"/>
      <c r="AT1669" s="128"/>
      <c r="AU1669" s="128"/>
      <c r="AV1669" s="128"/>
      <c r="AW1669" s="128"/>
      <c r="AX1669" s="128"/>
      <c r="AY1669" s="128"/>
      <c r="AZ1669" s="128"/>
      <c r="BA1669" s="128"/>
      <c r="BB1669" s="128"/>
      <c r="BC1669" s="128"/>
      <c r="BD1669" s="128"/>
      <c r="BE1669" s="128"/>
      <c r="BF1669" s="128"/>
      <c r="BG1669" s="128"/>
      <c r="BH1669" s="128"/>
      <c r="BI1669" s="128"/>
      <c r="BJ1669" s="128"/>
      <c r="BK1669" s="128"/>
      <c r="BL1669" s="128"/>
      <c r="BM1669" s="151"/>
      <c r="BN1669" s="128"/>
      <c r="BO1669" s="128"/>
      <c r="BP1669" s="128"/>
      <c r="BQ1669" s="128"/>
      <c r="BR1669" s="128"/>
      <c r="BS1669" s="128"/>
      <c r="BT1669" s="128"/>
      <c r="BU1669" s="128"/>
      <c r="BV1669" s="128"/>
      <c r="BW1669" s="128"/>
      <c r="BX1669" s="128"/>
      <c r="BY1669" s="128"/>
      <c r="BZ1669" s="128"/>
      <c r="CA1669" s="128"/>
      <c r="CB1669" s="128"/>
      <c r="CC1669" s="128"/>
      <c r="CD1669" s="128"/>
      <c r="CE1669" s="128"/>
      <c r="CF1669" s="128"/>
      <c r="CG1669" s="128"/>
      <c r="CI1669" s="128"/>
      <c r="CJ1669" s="128"/>
      <c r="CK1669" s="128"/>
      <c r="CL1669" s="128"/>
      <c r="CM1669" s="128"/>
      <c r="CN1669" s="128"/>
      <c r="CO1669" s="128"/>
      <c r="CP1669" s="128"/>
      <c r="CQ1669" s="128"/>
      <c r="CR1669" s="128"/>
      <c r="CS1669" s="128"/>
      <c r="CT1669" s="128"/>
      <c r="CU1669" s="128"/>
      <c r="CV1669" s="128"/>
      <c r="CW1669" s="128"/>
      <c r="CX1669" s="128"/>
      <c r="CY1669" s="128"/>
      <c r="CZ1669" s="165"/>
    </row>
    <row r="1670" spans="1:104">
      <c r="A1670" s="149"/>
      <c r="B1670" s="149"/>
      <c r="C1670" s="150"/>
      <c r="D1670" s="102"/>
      <c r="E1670" s="149"/>
      <c r="F1670" s="149"/>
      <c r="G1670" s="149"/>
      <c r="H1670" s="149"/>
      <c r="I1670" s="149"/>
      <c r="J1670" s="149"/>
      <c r="K1670" s="149"/>
      <c r="L1670" s="149"/>
      <c r="M1670" s="149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9"/>
      <c r="AA1670" s="149"/>
      <c r="AB1670" s="149"/>
      <c r="AC1670" s="149"/>
      <c r="AD1670" s="149"/>
      <c r="AE1670" s="149"/>
      <c r="AF1670" s="149"/>
      <c r="AG1670" s="149"/>
      <c r="AH1670" s="149"/>
      <c r="AI1670" s="149"/>
      <c r="AJ1670" s="149"/>
      <c r="AK1670" s="149"/>
      <c r="AL1670" s="149"/>
      <c r="AM1670" s="149"/>
      <c r="AN1670" s="149"/>
      <c r="AO1670" s="128"/>
      <c r="AP1670" s="128"/>
      <c r="AQ1670" s="128"/>
      <c r="AR1670" s="128"/>
      <c r="AS1670" s="128"/>
      <c r="AT1670" s="128"/>
      <c r="AU1670" s="128"/>
      <c r="AV1670" s="128"/>
      <c r="AW1670" s="128"/>
      <c r="AX1670" s="128"/>
      <c r="AY1670" s="128"/>
      <c r="AZ1670" s="128"/>
      <c r="BA1670" s="128"/>
      <c r="BB1670" s="128"/>
      <c r="BC1670" s="128"/>
      <c r="BD1670" s="128"/>
      <c r="BE1670" s="128"/>
      <c r="BF1670" s="128"/>
      <c r="BG1670" s="128"/>
      <c r="BH1670" s="128"/>
      <c r="BI1670" s="128"/>
      <c r="BJ1670" s="128"/>
      <c r="BK1670" s="128"/>
      <c r="BL1670" s="128"/>
      <c r="BM1670" s="151"/>
      <c r="BN1670" s="128"/>
      <c r="BO1670" s="128"/>
      <c r="BP1670" s="128"/>
      <c r="BQ1670" s="128"/>
      <c r="BR1670" s="128"/>
      <c r="BS1670" s="128"/>
      <c r="BT1670" s="128"/>
      <c r="BU1670" s="128"/>
      <c r="BV1670" s="128"/>
      <c r="BW1670" s="128"/>
      <c r="BX1670" s="128"/>
      <c r="BY1670" s="128"/>
      <c r="BZ1670" s="128"/>
      <c r="CA1670" s="128"/>
      <c r="CB1670" s="128"/>
      <c r="CC1670" s="128"/>
      <c r="CD1670" s="128"/>
      <c r="CE1670" s="128"/>
      <c r="CF1670" s="128"/>
      <c r="CG1670" s="128"/>
      <c r="CI1670" s="128"/>
      <c r="CJ1670" s="128"/>
      <c r="CK1670" s="128"/>
      <c r="CL1670" s="128"/>
      <c r="CM1670" s="128"/>
      <c r="CN1670" s="128"/>
      <c r="CO1670" s="128"/>
      <c r="CP1670" s="128"/>
      <c r="CQ1670" s="128"/>
      <c r="CR1670" s="128"/>
      <c r="CS1670" s="128"/>
      <c r="CT1670" s="128"/>
      <c r="CU1670" s="128"/>
      <c r="CV1670" s="128"/>
      <c r="CW1670" s="128"/>
      <c r="CX1670" s="128"/>
      <c r="CY1670" s="128"/>
      <c r="CZ1670" s="165"/>
    </row>
    <row r="1671" spans="1:104">
      <c r="A1671" s="149"/>
      <c r="B1671" s="149"/>
      <c r="C1671" s="150"/>
      <c r="D1671" s="102"/>
      <c r="E1671" s="149"/>
      <c r="F1671" s="149"/>
      <c r="G1671" s="149"/>
      <c r="H1671" s="149"/>
      <c r="I1671" s="149"/>
      <c r="J1671" s="149"/>
      <c r="K1671" s="149"/>
      <c r="L1671" s="149"/>
      <c r="M1671" s="149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9"/>
      <c r="AA1671" s="149"/>
      <c r="AB1671" s="149"/>
      <c r="AC1671" s="149"/>
      <c r="AD1671" s="149"/>
      <c r="AE1671" s="149"/>
      <c r="AF1671" s="149"/>
      <c r="AG1671" s="149"/>
      <c r="AH1671" s="149"/>
      <c r="AI1671" s="149"/>
      <c r="AJ1671" s="149"/>
      <c r="AK1671" s="149"/>
      <c r="AL1671" s="149"/>
      <c r="AM1671" s="149"/>
      <c r="AN1671" s="149"/>
      <c r="AO1671" s="128"/>
      <c r="AP1671" s="128"/>
      <c r="AQ1671" s="128"/>
      <c r="AR1671" s="128"/>
      <c r="AS1671" s="128"/>
      <c r="AT1671" s="128"/>
      <c r="AU1671" s="128"/>
      <c r="AV1671" s="128"/>
      <c r="AW1671" s="128"/>
      <c r="AX1671" s="128"/>
      <c r="AY1671" s="128"/>
      <c r="AZ1671" s="128"/>
      <c r="BA1671" s="128"/>
      <c r="BB1671" s="128"/>
      <c r="BC1671" s="128"/>
      <c r="BD1671" s="128"/>
      <c r="BE1671" s="128"/>
      <c r="BF1671" s="128"/>
      <c r="BG1671" s="128"/>
      <c r="BH1671" s="128"/>
      <c r="BI1671" s="128"/>
      <c r="BJ1671" s="128"/>
      <c r="BK1671" s="128"/>
      <c r="BL1671" s="128"/>
      <c r="BM1671" s="151"/>
      <c r="BN1671" s="128"/>
      <c r="BO1671" s="128"/>
      <c r="BP1671" s="128"/>
      <c r="BQ1671" s="128"/>
      <c r="BR1671" s="128"/>
      <c r="BS1671" s="128"/>
      <c r="BT1671" s="128"/>
      <c r="BU1671" s="128"/>
      <c r="BV1671" s="128"/>
      <c r="BW1671" s="128"/>
      <c r="BX1671" s="128"/>
      <c r="BY1671" s="128"/>
      <c r="BZ1671" s="128"/>
      <c r="CA1671" s="128"/>
      <c r="CB1671" s="128"/>
      <c r="CC1671" s="128"/>
      <c r="CD1671" s="128"/>
      <c r="CE1671" s="128"/>
      <c r="CF1671" s="128"/>
      <c r="CG1671" s="128"/>
      <c r="CI1671" s="128"/>
      <c r="CJ1671" s="128"/>
      <c r="CK1671" s="128"/>
      <c r="CL1671" s="128"/>
      <c r="CM1671" s="128"/>
      <c r="CN1671" s="128"/>
      <c r="CO1671" s="128"/>
      <c r="CP1671" s="128"/>
      <c r="CQ1671" s="128"/>
      <c r="CR1671" s="128"/>
      <c r="CS1671" s="128"/>
      <c r="CT1671" s="128"/>
      <c r="CU1671" s="128"/>
      <c r="CV1671" s="128"/>
      <c r="CW1671" s="128"/>
      <c r="CX1671" s="128"/>
      <c r="CY1671" s="128"/>
      <c r="CZ1671" s="165"/>
    </row>
    <row r="1672" spans="1:104">
      <c r="A1672" s="149"/>
      <c r="B1672" s="149"/>
      <c r="C1672" s="150"/>
      <c r="D1672" s="102"/>
      <c r="E1672" s="149"/>
      <c r="F1672" s="149"/>
      <c r="G1672" s="149"/>
      <c r="H1672" s="149"/>
      <c r="I1672" s="149"/>
      <c r="J1672" s="149"/>
      <c r="K1672" s="149"/>
      <c r="L1672" s="149"/>
      <c r="M1672" s="149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9"/>
      <c r="AA1672" s="149"/>
      <c r="AB1672" s="149"/>
      <c r="AC1672" s="149"/>
      <c r="AD1672" s="149"/>
      <c r="AE1672" s="149"/>
      <c r="AF1672" s="149"/>
      <c r="AG1672" s="149"/>
      <c r="AH1672" s="149"/>
      <c r="AI1672" s="149"/>
      <c r="AJ1672" s="149"/>
      <c r="AK1672" s="149"/>
      <c r="AL1672" s="149"/>
      <c r="AM1672" s="149"/>
      <c r="AN1672" s="149"/>
      <c r="AO1672" s="128"/>
      <c r="AP1672" s="128"/>
      <c r="AQ1672" s="128"/>
      <c r="AR1672" s="128"/>
      <c r="AS1672" s="128"/>
      <c r="AT1672" s="128"/>
      <c r="AU1672" s="128"/>
      <c r="AV1672" s="128"/>
      <c r="AW1672" s="128"/>
      <c r="AX1672" s="128"/>
      <c r="AY1672" s="128"/>
      <c r="AZ1672" s="128"/>
      <c r="BA1672" s="128"/>
      <c r="BB1672" s="128"/>
      <c r="BC1672" s="128"/>
      <c r="BD1672" s="128"/>
      <c r="BE1672" s="128"/>
      <c r="BF1672" s="128"/>
      <c r="BG1672" s="128"/>
      <c r="BH1672" s="128"/>
      <c r="BI1672" s="128"/>
      <c r="BJ1672" s="128"/>
      <c r="BK1672" s="128"/>
      <c r="BL1672" s="128"/>
      <c r="BM1672" s="151"/>
      <c r="BN1672" s="128"/>
      <c r="BO1672" s="128"/>
      <c r="BP1672" s="128"/>
      <c r="BQ1672" s="128"/>
      <c r="BR1672" s="128"/>
      <c r="BS1672" s="128"/>
      <c r="BT1672" s="128"/>
      <c r="BU1672" s="128"/>
      <c r="BV1672" s="128"/>
      <c r="BW1672" s="128"/>
      <c r="BX1672" s="128"/>
      <c r="BY1672" s="128"/>
      <c r="BZ1672" s="128"/>
      <c r="CA1672" s="128"/>
      <c r="CB1672" s="128"/>
      <c r="CC1672" s="128"/>
      <c r="CD1672" s="128"/>
      <c r="CE1672" s="128"/>
      <c r="CF1672" s="128"/>
      <c r="CG1672" s="128"/>
      <c r="CI1672" s="128"/>
      <c r="CJ1672" s="128"/>
      <c r="CK1672" s="128"/>
      <c r="CL1672" s="128"/>
      <c r="CM1672" s="128"/>
      <c r="CN1672" s="128"/>
      <c r="CO1672" s="128"/>
      <c r="CP1672" s="128"/>
      <c r="CQ1672" s="128"/>
      <c r="CR1672" s="128"/>
      <c r="CS1672" s="128"/>
      <c r="CT1672" s="128"/>
      <c r="CU1672" s="128"/>
      <c r="CV1672" s="128"/>
      <c r="CW1672" s="128"/>
      <c r="CX1672" s="128"/>
      <c r="CY1672" s="128"/>
      <c r="CZ1672" s="165"/>
    </row>
    <row r="1673" spans="1:104">
      <c r="A1673" s="149"/>
      <c r="B1673" s="149"/>
      <c r="C1673" s="150"/>
      <c r="D1673" s="102"/>
      <c r="E1673" s="149"/>
      <c r="F1673" s="149"/>
      <c r="G1673" s="149"/>
      <c r="H1673" s="149"/>
      <c r="I1673" s="149"/>
      <c r="J1673" s="149"/>
      <c r="K1673" s="149"/>
      <c r="L1673" s="149"/>
      <c r="M1673" s="149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9"/>
      <c r="AA1673" s="149"/>
      <c r="AB1673" s="149"/>
      <c r="AC1673" s="149"/>
      <c r="AD1673" s="149"/>
      <c r="AE1673" s="149"/>
      <c r="AF1673" s="149"/>
      <c r="AG1673" s="149"/>
      <c r="AH1673" s="149"/>
      <c r="AI1673" s="149"/>
      <c r="AJ1673" s="149"/>
      <c r="AK1673" s="149"/>
      <c r="AL1673" s="149"/>
      <c r="AM1673" s="149"/>
      <c r="AN1673" s="149"/>
      <c r="AO1673" s="128"/>
      <c r="AP1673" s="128"/>
      <c r="AQ1673" s="128"/>
      <c r="AR1673" s="128"/>
      <c r="AS1673" s="128"/>
      <c r="AT1673" s="128"/>
      <c r="AU1673" s="128"/>
      <c r="AV1673" s="128"/>
      <c r="AW1673" s="128"/>
      <c r="AX1673" s="128"/>
      <c r="AY1673" s="128"/>
      <c r="AZ1673" s="128"/>
      <c r="BA1673" s="128"/>
      <c r="BB1673" s="128"/>
      <c r="BC1673" s="128"/>
      <c r="BD1673" s="128"/>
      <c r="BE1673" s="128"/>
      <c r="BF1673" s="128"/>
      <c r="BG1673" s="128"/>
      <c r="BH1673" s="128"/>
      <c r="BI1673" s="128"/>
      <c r="BJ1673" s="128"/>
      <c r="BK1673" s="128"/>
      <c r="BL1673" s="128"/>
      <c r="BM1673" s="151"/>
      <c r="BN1673" s="128"/>
      <c r="BO1673" s="128"/>
      <c r="BP1673" s="128"/>
      <c r="BQ1673" s="128"/>
      <c r="BR1673" s="128"/>
      <c r="BS1673" s="128"/>
      <c r="BT1673" s="128"/>
      <c r="BU1673" s="128"/>
      <c r="BV1673" s="128"/>
      <c r="BW1673" s="128"/>
      <c r="BX1673" s="128"/>
      <c r="BY1673" s="128"/>
      <c r="BZ1673" s="128"/>
      <c r="CA1673" s="128"/>
      <c r="CB1673" s="128"/>
      <c r="CC1673" s="128"/>
      <c r="CD1673" s="128"/>
      <c r="CE1673" s="128"/>
      <c r="CF1673" s="128"/>
      <c r="CG1673" s="128"/>
      <c r="CI1673" s="128"/>
      <c r="CJ1673" s="128"/>
      <c r="CK1673" s="128"/>
      <c r="CL1673" s="128"/>
      <c r="CM1673" s="128"/>
      <c r="CN1673" s="128"/>
      <c r="CO1673" s="128"/>
      <c r="CP1673" s="128"/>
      <c r="CQ1673" s="128"/>
      <c r="CR1673" s="128"/>
      <c r="CS1673" s="128"/>
      <c r="CT1673" s="128"/>
      <c r="CU1673" s="128"/>
      <c r="CV1673" s="128"/>
      <c r="CW1673" s="128"/>
      <c r="CX1673" s="128"/>
      <c r="CY1673" s="128"/>
      <c r="CZ1673" s="165"/>
    </row>
    <row r="1674" spans="1:104">
      <c r="A1674" s="149"/>
      <c r="B1674" s="149"/>
      <c r="C1674" s="150"/>
      <c r="D1674" s="102"/>
      <c r="E1674" s="149"/>
      <c r="F1674" s="149"/>
      <c r="G1674" s="149"/>
      <c r="H1674" s="149"/>
      <c r="I1674" s="149"/>
      <c r="J1674" s="149"/>
      <c r="K1674" s="149"/>
      <c r="L1674" s="149"/>
      <c r="M1674" s="149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9"/>
      <c r="AA1674" s="149"/>
      <c r="AB1674" s="149"/>
      <c r="AC1674" s="149"/>
      <c r="AD1674" s="149"/>
      <c r="AE1674" s="149"/>
      <c r="AF1674" s="149"/>
      <c r="AG1674" s="149"/>
      <c r="AH1674" s="149"/>
      <c r="AI1674" s="149"/>
      <c r="AJ1674" s="149"/>
      <c r="AK1674" s="149"/>
      <c r="AL1674" s="149"/>
      <c r="AM1674" s="149"/>
      <c r="AN1674" s="149"/>
      <c r="AO1674" s="128"/>
      <c r="AP1674" s="128"/>
      <c r="AQ1674" s="128"/>
      <c r="AR1674" s="128"/>
      <c r="AS1674" s="128"/>
      <c r="AT1674" s="128"/>
      <c r="AU1674" s="128"/>
      <c r="AV1674" s="128"/>
      <c r="AW1674" s="128"/>
      <c r="AX1674" s="128"/>
      <c r="AY1674" s="128"/>
      <c r="AZ1674" s="128"/>
      <c r="BA1674" s="128"/>
      <c r="BB1674" s="128"/>
      <c r="BC1674" s="128"/>
      <c r="BD1674" s="128"/>
      <c r="BE1674" s="128"/>
      <c r="BF1674" s="128"/>
      <c r="BG1674" s="128"/>
      <c r="BH1674" s="128"/>
      <c r="BI1674" s="128"/>
      <c r="BJ1674" s="128"/>
      <c r="BK1674" s="128"/>
      <c r="BL1674" s="128"/>
      <c r="BM1674" s="151"/>
      <c r="BN1674" s="128"/>
      <c r="BO1674" s="128"/>
      <c r="BP1674" s="128"/>
      <c r="BQ1674" s="128"/>
      <c r="BR1674" s="128"/>
      <c r="BS1674" s="128"/>
      <c r="BT1674" s="128"/>
      <c r="BU1674" s="128"/>
      <c r="BV1674" s="128"/>
      <c r="BW1674" s="128"/>
      <c r="BX1674" s="128"/>
      <c r="BY1674" s="128"/>
      <c r="BZ1674" s="128"/>
      <c r="CA1674" s="128"/>
      <c r="CB1674" s="128"/>
      <c r="CC1674" s="128"/>
      <c r="CD1674" s="128"/>
      <c r="CE1674" s="128"/>
      <c r="CF1674" s="128"/>
      <c r="CG1674" s="128"/>
      <c r="CI1674" s="128"/>
      <c r="CJ1674" s="128"/>
      <c r="CK1674" s="128"/>
      <c r="CL1674" s="128"/>
      <c r="CM1674" s="128"/>
      <c r="CN1674" s="128"/>
      <c r="CO1674" s="128"/>
      <c r="CP1674" s="128"/>
      <c r="CQ1674" s="128"/>
      <c r="CR1674" s="128"/>
      <c r="CS1674" s="128"/>
      <c r="CT1674" s="128"/>
      <c r="CU1674" s="128"/>
      <c r="CV1674" s="128"/>
      <c r="CW1674" s="128"/>
      <c r="CX1674" s="128"/>
      <c r="CY1674" s="128"/>
      <c r="CZ1674" s="165"/>
    </row>
    <row r="1675" spans="1:104">
      <c r="A1675" s="149"/>
      <c r="B1675" s="149"/>
      <c r="C1675" s="150"/>
      <c r="D1675" s="102"/>
      <c r="E1675" s="149"/>
      <c r="F1675" s="149"/>
      <c r="G1675" s="149"/>
      <c r="H1675" s="149"/>
      <c r="I1675" s="149"/>
      <c r="J1675" s="149"/>
      <c r="K1675" s="149"/>
      <c r="L1675" s="149"/>
      <c r="M1675" s="149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9"/>
      <c r="AA1675" s="149"/>
      <c r="AB1675" s="149"/>
      <c r="AC1675" s="149"/>
      <c r="AD1675" s="149"/>
      <c r="AE1675" s="149"/>
      <c r="AF1675" s="149"/>
      <c r="AG1675" s="149"/>
      <c r="AH1675" s="149"/>
      <c r="AI1675" s="149"/>
      <c r="AJ1675" s="149"/>
      <c r="AK1675" s="149"/>
      <c r="AL1675" s="149"/>
      <c r="AM1675" s="149"/>
      <c r="AN1675" s="149"/>
      <c r="AO1675" s="128"/>
      <c r="AP1675" s="128"/>
      <c r="AQ1675" s="128"/>
      <c r="AR1675" s="128"/>
      <c r="AS1675" s="128"/>
      <c r="AT1675" s="128"/>
      <c r="AU1675" s="128"/>
      <c r="AV1675" s="128"/>
      <c r="AW1675" s="128"/>
      <c r="AX1675" s="128"/>
      <c r="AY1675" s="128"/>
      <c r="AZ1675" s="128"/>
      <c r="BA1675" s="128"/>
      <c r="BB1675" s="128"/>
      <c r="BC1675" s="128"/>
      <c r="BD1675" s="128"/>
      <c r="BE1675" s="128"/>
      <c r="BF1675" s="128"/>
      <c r="BG1675" s="128"/>
      <c r="BH1675" s="128"/>
      <c r="BI1675" s="128"/>
      <c r="BJ1675" s="128"/>
      <c r="BK1675" s="128"/>
      <c r="BL1675" s="128"/>
      <c r="BM1675" s="151"/>
      <c r="BN1675" s="128"/>
      <c r="BO1675" s="128"/>
      <c r="BP1675" s="128"/>
      <c r="BQ1675" s="128"/>
      <c r="BR1675" s="128"/>
      <c r="BS1675" s="128"/>
      <c r="BT1675" s="128"/>
      <c r="BU1675" s="128"/>
      <c r="BV1675" s="128"/>
      <c r="BW1675" s="128"/>
      <c r="BX1675" s="128"/>
      <c r="BY1675" s="128"/>
      <c r="BZ1675" s="128"/>
      <c r="CA1675" s="128"/>
      <c r="CB1675" s="128"/>
      <c r="CC1675" s="128"/>
      <c r="CD1675" s="128"/>
      <c r="CE1675" s="128"/>
      <c r="CF1675" s="128"/>
      <c r="CG1675" s="128"/>
      <c r="CI1675" s="128"/>
      <c r="CJ1675" s="128"/>
      <c r="CK1675" s="128"/>
      <c r="CL1675" s="128"/>
      <c r="CM1675" s="128"/>
      <c r="CN1675" s="128"/>
      <c r="CO1675" s="128"/>
      <c r="CP1675" s="128"/>
      <c r="CQ1675" s="128"/>
      <c r="CR1675" s="128"/>
      <c r="CS1675" s="128"/>
      <c r="CT1675" s="128"/>
      <c r="CU1675" s="128"/>
      <c r="CV1675" s="128"/>
      <c r="CW1675" s="128"/>
      <c r="CX1675" s="128"/>
      <c r="CY1675" s="128"/>
      <c r="CZ1675" s="165"/>
    </row>
    <row r="1676" spans="1:104">
      <c r="A1676" s="149"/>
      <c r="B1676" s="149"/>
      <c r="C1676" s="150"/>
      <c r="D1676" s="102"/>
      <c r="E1676" s="149"/>
      <c r="F1676" s="149"/>
      <c r="G1676" s="149"/>
      <c r="H1676" s="149"/>
      <c r="I1676" s="149"/>
      <c r="J1676" s="149"/>
      <c r="K1676" s="149"/>
      <c r="L1676" s="149"/>
      <c r="M1676" s="149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9"/>
      <c r="AA1676" s="149"/>
      <c r="AB1676" s="149"/>
      <c r="AC1676" s="149"/>
      <c r="AD1676" s="149"/>
      <c r="AE1676" s="149"/>
      <c r="AF1676" s="149"/>
      <c r="AG1676" s="149"/>
      <c r="AH1676" s="149"/>
      <c r="AI1676" s="149"/>
      <c r="AJ1676" s="149"/>
      <c r="AK1676" s="149"/>
      <c r="AL1676" s="149"/>
      <c r="AM1676" s="149"/>
      <c r="AN1676" s="149"/>
      <c r="AO1676" s="128"/>
      <c r="AP1676" s="128"/>
      <c r="AQ1676" s="128"/>
      <c r="AR1676" s="128"/>
      <c r="AS1676" s="128"/>
      <c r="AT1676" s="128"/>
      <c r="AU1676" s="128"/>
      <c r="AV1676" s="128"/>
      <c r="AW1676" s="128"/>
      <c r="AX1676" s="128"/>
      <c r="AY1676" s="128"/>
      <c r="AZ1676" s="128"/>
      <c r="BA1676" s="128"/>
      <c r="BB1676" s="128"/>
      <c r="BC1676" s="128"/>
      <c r="BD1676" s="128"/>
      <c r="BE1676" s="128"/>
      <c r="BF1676" s="128"/>
      <c r="BG1676" s="128"/>
      <c r="BH1676" s="128"/>
      <c r="BI1676" s="128"/>
      <c r="BJ1676" s="128"/>
      <c r="BK1676" s="128"/>
      <c r="BL1676" s="128"/>
      <c r="BM1676" s="151"/>
      <c r="BN1676" s="128"/>
      <c r="BO1676" s="128"/>
      <c r="BP1676" s="128"/>
      <c r="BQ1676" s="128"/>
      <c r="BR1676" s="128"/>
      <c r="BS1676" s="128"/>
      <c r="BT1676" s="128"/>
      <c r="BU1676" s="128"/>
      <c r="BV1676" s="128"/>
      <c r="BW1676" s="128"/>
      <c r="BX1676" s="128"/>
      <c r="BY1676" s="128"/>
      <c r="BZ1676" s="128"/>
      <c r="CA1676" s="128"/>
      <c r="CB1676" s="128"/>
      <c r="CC1676" s="128"/>
      <c r="CD1676" s="128"/>
      <c r="CE1676" s="128"/>
      <c r="CF1676" s="128"/>
      <c r="CG1676" s="128"/>
      <c r="CI1676" s="128"/>
      <c r="CJ1676" s="128"/>
      <c r="CK1676" s="128"/>
      <c r="CL1676" s="128"/>
      <c r="CM1676" s="128"/>
      <c r="CN1676" s="128"/>
      <c r="CO1676" s="128"/>
      <c r="CP1676" s="128"/>
      <c r="CQ1676" s="128"/>
      <c r="CR1676" s="128"/>
      <c r="CS1676" s="128"/>
      <c r="CT1676" s="128"/>
      <c r="CU1676" s="128"/>
      <c r="CV1676" s="128"/>
      <c r="CW1676" s="128"/>
      <c r="CX1676" s="128"/>
      <c r="CY1676" s="128"/>
      <c r="CZ1676" s="165"/>
    </row>
    <row r="1677" spans="1:104">
      <c r="A1677" s="149"/>
      <c r="B1677" s="149"/>
      <c r="C1677" s="150"/>
      <c r="D1677" s="102"/>
      <c r="E1677" s="149"/>
      <c r="F1677" s="149"/>
      <c r="G1677" s="149"/>
      <c r="H1677" s="149"/>
      <c r="I1677" s="149"/>
      <c r="J1677" s="149"/>
      <c r="K1677" s="149"/>
      <c r="L1677" s="149"/>
      <c r="M1677" s="149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9"/>
      <c r="AA1677" s="149"/>
      <c r="AB1677" s="149"/>
      <c r="AC1677" s="149"/>
      <c r="AD1677" s="149"/>
      <c r="AE1677" s="149"/>
      <c r="AF1677" s="149"/>
      <c r="AG1677" s="149"/>
      <c r="AH1677" s="149"/>
      <c r="AI1677" s="149"/>
      <c r="AJ1677" s="149"/>
      <c r="AK1677" s="149"/>
      <c r="AL1677" s="149"/>
      <c r="AM1677" s="149"/>
      <c r="AN1677" s="149"/>
      <c r="AO1677" s="128"/>
      <c r="AP1677" s="128"/>
      <c r="AQ1677" s="128"/>
      <c r="AR1677" s="128"/>
      <c r="AS1677" s="128"/>
      <c r="AT1677" s="128"/>
      <c r="AU1677" s="128"/>
      <c r="AV1677" s="128"/>
      <c r="AW1677" s="128"/>
      <c r="AX1677" s="128"/>
      <c r="AY1677" s="128"/>
      <c r="AZ1677" s="128"/>
      <c r="BA1677" s="128"/>
      <c r="BB1677" s="128"/>
      <c r="BC1677" s="128"/>
      <c r="BD1677" s="128"/>
      <c r="BE1677" s="128"/>
      <c r="BF1677" s="128"/>
      <c r="BG1677" s="128"/>
      <c r="BH1677" s="128"/>
      <c r="BI1677" s="128"/>
      <c r="BJ1677" s="128"/>
      <c r="BK1677" s="128"/>
      <c r="BL1677" s="128"/>
      <c r="BM1677" s="151"/>
      <c r="BN1677" s="128"/>
      <c r="BO1677" s="128"/>
      <c r="BP1677" s="128"/>
      <c r="BQ1677" s="128"/>
      <c r="BR1677" s="128"/>
      <c r="BS1677" s="128"/>
      <c r="BT1677" s="128"/>
      <c r="BU1677" s="128"/>
      <c r="BV1677" s="128"/>
      <c r="BW1677" s="128"/>
      <c r="BX1677" s="128"/>
      <c r="BY1677" s="128"/>
      <c r="BZ1677" s="128"/>
      <c r="CA1677" s="128"/>
      <c r="CB1677" s="128"/>
      <c r="CC1677" s="128"/>
      <c r="CD1677" s="128"/>
      <c r="CE1677" s="128"/>
      <c r="CF1677" s="128"/>
      <c r="CG1677" s="128"/>
      <c r="CI1677" s="128"/>
      <c r="CJ1677" s="128"/>
      <c r="CK1677" s="128"/>
      <c r="CL1677" s="128"/>
      <c r="CM1677" s="128"/>
      <c r="CN1677" s="128"/>
      <c r="CO1677" s="128"/>
      <c r="CP1677" s="128"/>
      <c r="CQ1677" s="128"/>
      <c r="CR1677" s="128"/>
      <c r="CS1677" s="128"/>
      <c r="CT1677" s="128"/>
      <c r="CU1677" s="128"/>
      <c r="CV1677" s="128"/>
      <c r="CW1677" s="128"/>
      <c r="CX1677" s="128"/>
      <c r="CY1677" s="128"/>
      <c r="CZ1677" s="165"/>
    </row>
    <row r="1678" spans="1:104">
      <c r="A1678" s="149"/>
      <c r="B1678" s="149"/>
      <c r="C1678" s="150"/>
      <c r="D1678" s="102"/>
      <c r="E1678" s="149"/>
      <c r="F1678" s="149"/>
      <c r="G1678" s="149"/>
      <c r="H1678" s="149"/>
      <c r="I1678" s="149"/>
      <c r="J1678" s="149"/>
      <c r="K1678" s="149"/>
      <c r="L1678" s="149"/>
      <c r="M1678" s="149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9"/>
      <c r="AA1678" s="149"/>
      <c r="AB1678" s="149"/>
      <c r="AC1678" s="149"/>
      <c r="AD1678" s="149"/>
      <c r="AE1678" s="149"/>
      <c r="AF1678" s="149"/>
      <c r="AG1678" s="149"/>
      <c r="AH1678" s="149"/>
      <c r="AI1678" s="149"/>
      <c r="AJ1678" s="149"/>
      <c r="AK1678" s="149"/>
      <c r="AL1678" s="149"/>
      <c r="AM1678" s="149"/>
      <c r="AN1678" s="149"/>
      <c r="AO1678" s="128"/>
      <c r="AP1678" s="128"/>
      <c r="AQ1678" s="128"/>
      <c r="AR1678" s="128"/>
      <c r="AS1678" s="128"/>
      <c r="AT1678" s="128"/>
      <c r="AU1678" s="128"/>
      <c r="AV1678" s="128"/>
      <c r="AW1678" s="128"/>
      <c r="AX1678" s="128"/>
      <c r="AY1678" s="128"/>
      <c r="AZ1678" s="128"/>
      <c r="BA1678" s="128"/>
      <c r="BB1678" s="128"/>
      <c r="BC1678" s="128"/>
      <c r="BD1678" s="128"/>
      <c r="BE1678" s="128"/>
      <c r="BF1678" s="128"/>
      <c r="BG1678" s="128"/>
      <c r="BH1678" s="128"/>
      <c r="BI1678" s="128"/>
      <c r="BJ1678" s="128"/>
      <c r="BK1678" s="128"/>
      <c r="BL1678" s="128"/>
      <c r="BM1678" s="151"/>
      <c r="BN1678" s="128"/>
      <c r="BO1678" s="128"/>
      <c r="BP1678" s="128"/>
      <c r="BQ1678" s="128"/>
      <c r="BR1678" s="128"/>
      <c r="BS1678" s="128"/>
      <c r="BT1678" s="128"/>
      <c r="BU1678" s="128"/>
      <c r="BV1678" s="128"/>
      <c r="BW1678" s="128"/>
      <c r="BX1678" s="128"/>
      <c r="BY1678" s="128"/>
      <c r="BZ1678" s="128"/>
      <c r="CA1678" s="128"/>
      <c r="CB1678" s="128"/>
      <c r="CC1678" s="128"/>
      <c r="CD1678" s="128"/>
      <c r="CE1678" s="128"/>
      <c r="CF1678" s="128"/>
      <c r="CG1678" s="128"/>
      <c r="CI1678" s="128"/>
      <c r="CJ1678" s="128"/>
      <c r="CK1678" s="128"/>
      <c r="CL1678" s="128"/>
      <c r="CM1678" s="128"/>
      <c r="CN1678" s="128"/>
      <c r="CO1678" s="128"/>
      <c r="CP1678" s="128"/>
      <c r="CQ1678" s="128"/>
      <c r="CR1678" s="128"/>
      <c r="CS1678" s="128"/>
      <c r="CT1678" s="128"/>
      <c r="CU1678" s="128"/>
      <c r="CV1678" s="128"/>
      <c r="CW1678" s="128"/>
      <c r="CX1678" s="128"/>
      <c r="CY1678" s="128"/>
      <c r="CZ1678" s="165"/>
    </row>
    <row r="1679" spans="1:104">
      <c r="A1679" s="149"/>
      <c r="B1679" s="149"/>
      <c r="C1679" s="150"/>
      <c r="D1679" s="102"/>
      <c r="E1679" s="149"/>
      <c r="F1679" s="149"/>
      <c r="G1679" s="149"/>
      <c r="H1679" s="149"/>
      <c r="I1679" s="149"/>
      <c r="J1679" s="149"/>
      <c r="K1679" s="149"/>
      <c r="L1679" s="149"/>
      <c r="M1679" s="149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9"/>
      <c r="AA1679" s="149"/>
      <c r="AB1679" s="149"/>
      <c r="AC1679" s="149"/>
      <c r="AD1679" s="149"/>
      <c r="AE1679" s="149"/>
      <c r="AF1679" s="149"/>
      <c r="AG1679" s="149"/>
      <c r="AH1679" s="149"/>
      <c r="AI1679" s="149"/>
      <c r="AJ1679" s="149"/>
      <c r="AK1679" s="149"/>
      <c r="AL1679" s="149"/>
      <c r="AM1679" s="149"/>
      <c r="AN1679" s="149"/>
      <c r="AO1679" s="128"/>
      <c r="AP1679" s="128"/>
      <c r="AQ1679" s="128"/>
      <c r="AR1679" s="128"/>
      <c r="AS1679" s="128"/>
      <c r="AT1679" s="128"/>
      <c r="AU1679" s="128"/>
      <c r="AV1679" s="128"/>
      <c r="AW1679" s="128"/>
      <c r="AX1679" s="128"/>
      <c r="AY1679" s="128"/>
      <c r="AZ1679" s="128"/>
      <c r="BA1679" s="128"/>
      <c r="BB1679" s="128"/>
      <c r="BC1679" s="128"/>
      <c r="BD1679" s="128"/>
      <c r="BE1679" s="128"/>
      <c r="BF1679" s="128"/>
      <c r="BG1679" s="128"/>
      <c r="BH1679" s="128"/>
      <c r="BI1679" s="128"/>
      <c r="BJ1679" s="128"/>
      <c r="BK1679" s="128"/>
      <c r="BL1679" s="128"/>
      <c r="BM1679" s="151"/>
      <c r="BN1679" s="128"/>
      <c r="BO1679" s="128"/>
      <c r="BP1679" s="128"/>
      <c r="BQ1679" s="128"/>
      <c r="BR1679" s="128"/>
      <c r="BS1679" s="128"/>
      <c r="BT1679" s="128"/>
      <c r="BU1679" s="128"/>
      <c r="BV1679" s="128"/>
      <c r="BW1679" s="128"/>
      <c r="BX1679" s="128"/>
      <c r="BY1679" s="128"/>
      <c r="BZ1679" s="128"/>
      <c r="CA1679" s="128"/>
      <c r="CB1679" s="128"/>
      <c r="CC1679" s="128"/>
      <c r="CD1679" s="128"/>
      <c r="CE1679" s="128"/>
      <c r="CF1679" s="128"/>
      <c r="CG1679" s="128"/>
      <c r="CI1679" s="128"/>
      <c r="CJ1679" s="128"/>
      <c r="CK1679" s="128"/>
      <c r="CL1679" s="128"/>
      <c r="CM1679" s="128"/>
      <c r="CN1679" s="128"/>
      <c r="CO1679" s="128"/>
      <c r="CP1679" s="128"/>
      <c r="CQ1679" s="128"/>
      <c r="CR1679" s="128"/>
      <c r="CS1679" s="128"/>
      <c r="CT1679" s="128"/>
      <c r="CU1679" s="128"/>
      <c r="CV1679" s="128"/>
      <c r="CW1679" s="128"/>
      <c r="CX1679" s="128"/>
      <c r="CY1679" s="128"/>
      <c r="CZ1679" s="165"/>
    </row>
    <row r="1680" spans="1:104">
      <c r="A1680" s="149"/>
      <c r="B1680" s="149"/>
      <c r="C1680" s="150"/>
      <c r="D1680" s="102"/>
      <c r="E1680" s="149"/>
      <c r="F1680" s="149"/>
      <c r="G1680" s="149"/>
      <c r="H1680" s="149"/>
      <c r="I1680" s="149"/>
      <c r="J1680" s="149"/>
      <c r="K1680" s="149"/>
      <c r="L1680" s="149"/>
      <c r="M1680" s="149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9"/>
      <c r="AA1680" s="149"/>
      <c r="AB1680" s="149"/>
      <c r="AC1680" s="149"/>
      <c r="AD1680" s="149"/>
      <c r="AE1680" s="149"/>
      <c r="AF1680" s="149"/>
      <c r="AG1680" s="149"/>
      <c r="AH1680" s="149"/>
      <c r="AI1680" s="149"/>
      <c r="AJ1680" s="149"/>
      <c r="AK1680" s="149"/>
      <c r="AL1680" s="149"/>
      <c r="AM1680" s="149"/>
      <c r="AN1680" s="149"/>
      <c r="AO1680" s="128"/>
      <c r="AP1680" s="128"/>
      <c r="AQ1680" s="128"/>
      <c r="AR1680" s="128"/>
      <c r="AS1680" s="128"/>
      <c r="AT1680" s="128"/>
      <c r="AU1680" s="128"/>
      <c r="AV1680" s="128"/>
      <c r="AW1680" s="128"/>
      <c r="AX1680" s="128"/>
      <c r="AY1680" s="128"/>
      <c r="AZ1680" s="128"/>
      <c r="BA1680" s="128"/>
      <c r="BB1680" s="128"/>
      <c r="BC1680" s="128"/>
      <c r="BD1680" s="128"/>
      <c r="BE1680" s="128"/>
      <c r="BF1680" s="128"/>
      <c r="BG1680" s="128"/>
      <c r="BH1680" s="128"/>
      <c r="BI1680" s="128"/>
      <c r="BJ1680" s="128"/>
      <c r="BK1680" s="128"/>
      <c r="BL1680" s="128"/>
      <c r="BM1680" s="151"/>
      <c r="BN1680" s="128"/>
      <c r="BO1680" s="128"/>
      <c r="BP1680" s="128"/>
      <c r="BQ1680" s="128"/>
      <c r="BR1680" s="128"/>
      <c r="BS1680" s="128"/>
      <c r="BT1680" s="128"/>
      <c r="BU1680" s="128"/>
      <c r="BV1680" s="128"/>
      <c r="BW1680" s="128"/>
      <c r="BX1680" s="128"/>
      <c r="BY1680" s="128"/>
      <c r="BZ1680" s="128"/>
      <c r="CA1680" s="128"/>
      <c r="CB1680" s="128"/>
      <c r="CC1680" s="128"/>
      <c r="CD1680" s="128"/>
      <c r="CE1680" s="128"/>
      <c r="CF1680" s="128"/>
      <c r="CG1680" s="128"/>
      <c r="CI1680" s="128"/>
      <c r="CJ1680" s="128"/>
      <c r="CK1680" s="128"/>
      <c r="CL1680" s="128"/>
      <c r="CM1680" s="128"/>
      <c r="CN1680" s="128"/>
      <c r="CO1680" s="128"/>
      <c r="CP1680" s="128"/>
      <c r="CQ1680" s="128"/>
      <c r="CR1680" s="128"/>
      <c r="CS1680" s="128"/>
      <c r="CT1680" s="128"/>
      <c r="CU1680" s="128"/>
      <c r="CV1680" s="128"/>
      <c r="CW1680" s="128"/>
      <c r="CX1680" s="128"/>
      <c r="CY1680" s="128"/>
      <c r="CZ1680" s="165"/>
    </row>
    <row r="1681" spans="1:104">
      <c r="A1681" s="149"/>
      <c r="B1681" s="149"/>
      <c r="C1681" s="150"/>
      <c r="D1681" s="102"/>
      <c r="E1681" s="149"/>
      <c r="F1681" s="149"/>
      <c r="G1681" s="149"/>
      <c r="H1681" s="149"/>
      <c r="I1681" s="149"/>
      <c r="J1681" s="149"/>
      <c r="K1681" s="149"/>
      <c r="L1681" s="149"/>
      <c r="M1681" s="149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9"/>
      <c r="AA1681" s="149"/>
      <c r="AB1681" s="149"/>
      <c r="AC1681" s="149"/>
      <c r="AD1681" s="149"/>
      <c r="AE1681" s="149"/>
      <c r="AF1681" s="149"/>
      <c r="AG1681" s="149"/>
      <c r="AH1681" s="149"/>
      <c r="AI1681" s="149"/>
      <c r="AJ1681" s="149"/>
      <c r="AK1681" s="149"/>
      <c r="AL1681" s="149"/>
      <c r="AM1681" s="149"/>
      <c r="AN1681" s="149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51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28"/>
      <c r="BY1681" s="128"/>
      <c r="BZ1681" s="128"/>
      <c r="CA1681" s="128"/>
      <c r="CB1681" s="128"/>
      <c r="CC1681" s="128"/>
      <c r="CD1681" s="128"/>
      <c r="CE1681" s="128"/>
      <c r="CF1681" s="128"/>
      <c r="CG1681" s="128"/>
      <c r="CI1681" s="128"/>
      <c r="CJ1681" s="128"/>
      <c r="CK1681" s="128"/>
      <c r="CL1681" s="128"/>
      <c r="CM1681" s="128"/>
      <c r="CN1681" s="128"/>
      <c r="CO1681" s="128"/>
      <c r="CP1681" s="128"/>
      <c r="CQ1681" s="128"/>
      <c r="CR1681" s="128"/>
      <c r="CS1681" s="128"/>
      <c r="CT1681" s="128"/>
      <c r="CU1681" s="128"/>
      <c r="CV1681" s="128"/>
      <c r="CW1681" s="128"/>
      <c r="CX1681" s="128"/>
      <c r="CY1681" s="128"/>
      <c r="CZ1681" s="165"/>
    </row>
    <row r="1682" spans="1:104">
      <c r="A1682" s="149"/>
      <c r="B1682" s="149"/>
      <c r="C1682" s="150"/>
      <c r="D1682" s="102"/>
      <c r="E1682" s="149"/>
      <c r="F1682" s="149"/>
      <c r="G1682" s="149"/>
      <c r="H1682" s="149"/>
      <c r="I1682" s="149"/>
      <c r="J1682" s="149"/>
      <c r="K1682" s="149"/>
      <c r="L1682" s="149"/>
      <c r="M1682" s="149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9"/>
      <c r="AA1682" s="149"/>
      <c r="AB1682" s="149"/>
      <c r="AC1682" s="149"/>
      <c r="AD1682" s="149"/>
      <c r="AE1682" s="149"/>
      <c r="AF1682" s="149"/>
      <c r="AG1682" s="149"/>
      <c r="AH1682" s="149"/>
      <c r="AI1682" s="149"/>
      <c r="AJ1682" s="149"/>
      <c r="AK1682" s="149"/>
      <c r="AL1682" s="149"/>
      <c r="AM1682" s="149"/>
      <c r="AN1682" s="149"/>
      <c r="AO1682" s="128"/>
      <c r="AP1682" s="128"/>
      <c r="AQ1682" s="128"/>
      <c r="AR1682" s="128"/>
      <c r="AS1682" s="128"/>
      <c r="AT1682" s="128"/>
      <c r="AU1682" s="128"/>
      <c r="AV1682" s="128"/>
      <c r="AW1682" s="128"/>
      <c r="AX1682" s="128"/>
      <c r="AY1682" s="128"/>
      <c r="AZ1682" s="128"/>
      <c r="BA1682" s="128"/>
      <c r="BB1682" s="128"/>
      <c r="BC1682" s="128"/>
      <c r="BD1682" s="128"/>
      <c r="BE1682" s="128"/>
      <c r="BF1682" s="128"/>
      <c r="BG1682" s="128"/>
      <c r="BH1682" s="128"/>
      <c r="BI1682" s="128"/>
      <c r="BJ1682" s="128"/>
      <c r="BK1682" s="128"/>
      <c r="BL1682" s="128"/>
      <c r="BM1682" s="151"/>
      <c r="BN1682" s="128"/>
      <c r="BO1682" s="128"/>
      <c r="BP1682" s="128"/>
      <c r="BQ1682" s="128"/>
      <c r="BR1682" s="128"/>
      <c r="BS1682" s="128"/>
      <c r="BT1682" s="128"/>
      <c r="BU1682" s="128"/>
      <c r="BV1682" s="128"/>
      <c r="BW1682" s="128"/>
      <c r="BX1682" s="128"/>
      <c r="BY1682" s="128"/>
      <c r="BZ1682" s="128"/>
      <c r="CA1682" s="128"/>
      <c r="CB1682" s="128"/>
      <c r="CC1682" s="128"/>
      <c r="CD1682" s="128"/>
      <c r="CE1682" s="128"/>
      <c r="CF1682" s="128"/>
      <c r="CG1682" s="128"/>
      <c r="CI1682" s="128"/>
      <c r="CJ1682" s="128"/>
      <c r="CK1682" s="128"/>
      <c r="CL1682" s="128"/>
      <c r="CM1682" s="128"/>
      <c r="CN1682" s="128"/>
      <c r="CO1682" s="128"/>
      <c r="CP1682" s="128"/>
      <c r="CQ1682" s="128"/>
      <c r="CR1682" s="128"/>
      <c r="CS1682" s="128"/>
      <c r="CT1682" s="128"/>
      <c r="CU1682" s="128"/>
      <c r="CV1682" s="128"/>
      <c r="CW1682" s="128"/>
      <c r="CX1682" s="128"/>
      <c r="CY1682" s="128"/>
      <c r="CZ1682" s="165"/>
    </row>
    <row r="1683" spans="1:104">
      <c r="A1683" s="149"/>
      <c r="B1683" s="149"/>
      <c r="C1683" s="150"/>
      <c r="D1683" s="102"/>
      <c r="E1683" s="149"/>
      <c r="F1683" s="149"/>
      <c r="G1683" s="149"/>
      <c r="H1683" s="149"/>
      <c r="I1683" s="149"/>
      <c r="J1683" s="149"/>
      <c r="K1683" s="149"/>
      <c r="L1683" s="149"/>
      <c r="M1683" s="149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9"/>
      <c r="AA1683" s="149"/>
      <c r="AB1683" s="149"/>
      <c r="AC1683" s="149"/>
      <c r="AD1683" s="149"/>
      <c r="AE1683" s="149"/>
      <c r="AF1683" s="149"/>
      <c r="AG1683" s="149"/>
      <c r="AH1683" s="149"/>
      <c r="AI1683" s="149"/>
      <c r="AJ1683" s="149"/>
      <c r="AK1683" s="149"/>
      <c r="AL1683" s="149"/>
      <c r="AM1683" s="149"/>
      <c r="AN1683" s="149"/>
      <c r="AO1683" s="128"/>
      <c r="AP1683" s="128"/>
      <c r="AQ1683" s="128"/>
      <c r="AR1683" s="128"/>
      <c r="AS1683" s="128"/>
      <c r="AT1683" s="128"/>
      <c r="AU1683" s="128"/>
      <c r="AV1683" s="128"/>
      <c r="AW1683" s="128"/>
      <c r="AX1683" s="128"/>
      <c r="AY1683" s="128"/>
      <c r="AZ1683" s="128"/>
      <c r="BA1683" s="128"/>
      <c r="BB1683" s="128"/>
      <c r="BC1683" s="128"/>
      <c r="BD1683" s="128"/>
      <c r="BE1683" s="128"/>
      <c r="BF1683" s="128"/>
      <c r="BG1683" s="128"/>
      <c r="BH1683" s="128"/>
      <c r="BI1683" s="128"/>
      <c r="BJ1683" s="128"/>
      <c r="BK1683" s="128"/>
      <c r="BL1683" s="128"/>
      <c r="BM1683" s="151"/>
      <c r="BN1683" s="128"/>
      <c r="BO1683" s="128"/>
      <c r="BP1683" s="128"/>
      <c r="BQ1683" s="128"/>
      <c r="BR1683" s="128"/>
      <c r="BS1683" s="128"/>
      <c r="BT1683" s="128"/>
      <c r="BU1683" s="128"/>
      <c r="BV1683" s="128"/>
      <c r="BW1683" s="128"/>
      <c r="BX1683" s="128"/>
      <c r="BY1683" s="128"/>
      <c r="BZ1683" s="128"/>
      <c r="CA1683" s="128"/>
      <c r="CB1683" s="128"/>
      <c r="CC1683" s="128"/>
      <c r="CD1683" s="128"/>
      <c r="CE1683" s="128"/>
      <c r="CF1683" s="128"/>
      <c r="CG1683" s="128"/>
      <c r="CI1683" s="128"/>
      <c r="CJ1683" s="128"/>
      <c r="CK1683" s="128"/>
      <c r="CL1683" s="128"/>
      <c r="CM1683" s="128"/>
      <c r="CN1683" s="128"/>
      <c r="CO1683" s="128"/>
      <c r="CP1683" s="128"/>
      <c r="CQ1683" s="128"/>
      <c r="CR1683" s="128"/>
      <c r="CS1683" s="128"/>
      <c r="CT1683" s="128"/>
      <c r="CU1683" s="128"/>
      <c r="CV1683" s="128"/>
      <c r="CW1683" s="128"/>
      <c r="CX1683" s="128"/>
      <c r="CY1683" s="128"/>
      <c r="CZ1683" s="165"/>
    </row>
    <row r="1684" spans="1:104">
      <c r="A1684" s="149"/>
      <c r="B1684" s="149"/>
      <c r="C1684" s="150"/>
      <c r="D1684" s="102"/>
      <c r="E1684" s="149"/>
      <c r="F1684" s="149"/>
      <c r="G1684" s="149"/>
      <c r="H1684" s="149"/>
      <c r="I1684" s="149"/>
      <c r="J1684" s="149"/>
      <c r="K1684" s="149"/>
      <c r="L1684" s="149"/>
      <c r="M1684" s="149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9"/>
      <c r="AA1684" s="149"/>
      <c r="AB1684" s="149"/>
      <c r="AC1684" s="149"/>
      <c r="AD1684" s="149"/>
      <c r="AE1684" s="149"/>
      <c r="AF1684" s="149"/>
      <c r="AG1684" s="149"/>
      <c r="AH1684" s="149"/>
      <c r="AI1684" s="149"/>
      <c r="AJ1684" s="149"/>
      <c r="AK1684" s="149"/>
      <c r="AL1684" s="149"/>
      <c r="AM1684" s="149"/>
      <c r="AN1684" s="149"/>
      <c r="AO1684" s="128"/>
      <c r="AP1684" s="128"/>
      <c r="AQ1684" s="128"/>
      <c r="AR1684" s="128"/>
      <c r="AS1684" s="128"/>
      <c r="AT1684" s="128"/>
      <c r="AU1684" s="128"/>
      <c r="AV1684" s="128"/>
      <c r="AW1684" s="128"/>
      <c r="AX1684" s="128"/>
      <c r="AY1684" s="128"/>
      <c r="AZ1684" s="128"/>
      <c r="BA1684" s="128"/>
      <c r="BB1684" s="128"/>
      <c r="BC1684" s="128"/>
      <c r="BD1684" s="128"/>
      <c r="BE1684" s="128"/>
      <c r="BF1684" s="128"/>
      <c r="BG1684" s="128"/>
      <c r="BH1684" s="128"/>
      <c r="BI1684" s="128"/>
      <c r="BJ1684" s="128"/>
      <c r="BK1684" s="128"/>
      <c r="BL1684" s="128"/>
      <c r="BM1684" s="151"/>
      <c r="BN1684" s="128"/>
      <c r="BO1684" s="128"/>
      <c r="BP1684" s="128"/>
      <c r="BQ1684" s="128"/>
      <c r="BR1684" s="128"/>
      <c r="BS1684" s="128"/>
      <c r="BT1684" s="128"/>
      <c r="BU1684" s="128"/>
      <c r="BV1684" s="128"/>
      <c r="BW1684" s="128"/>
      <c r="BX1684" s="128"/>
      <c r="BY1684" s="128"/>
      <c r="BZ1684" s="128"/>
      <c r="CA1684" s="128"/>
      <c r="CB1684" s="128"/>
      <c r="CC1684" s="128"/>
      <c r="CD1684" s="128"/>
      <c r="CE1684" s="128"/>
      <c r="CF1684" s="128"/>
      <c r="CG1684" s="128"/>
      <c r="CI1684" s="128"/>
      <c r="CJ1684" s="128"/>
      <c r="CK1684" s="128"/>
      <c r="CL1684" s="128"/>
      <c r="CM1684" s="128"/>
      <c r="CN1684" s="128"/>
      <c r="CO1684" s="128"/>
      <c r="CP1684" s="128"/>
      <c r="CQ1684" s="128"/>
      <c r="CR1684" s="128"/>
      <c r="CS1684" s="128"/>
      <c r="CT1684" s="128"/>
      <c r="CU1684" s="128"/>
      <c r="CV1684" s="128"/>
      <c r="CW1684" s="128"/>
      <c r="CX1684" s="128"/>
      <c r="CY1684" s="128"/>
      <c r="CZ1684" s="165"/>
    </row>
    <row r="1685" spans="1:104">
      <c r="A1685" s="149"/>
      <c r="B1685" s="149"/>
      <c r="C1685" s="150"/>
      <c r="D1685" s="102"/>
      <c r="E1685" s="149"/>
      <c r="F1685" s="149"/>
      <c r="G1685" s="149"/>
      <c r="H1685" s="149"/>
      <c r="I1685" s="149"/>
      <c r="J1685" s="149"/>
      <c r="K1685" s="149"/>
      <c r="L1685" s="149"/>
      <c r="M1685" s="149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9"/>
      <c r="AA1685" s="149"/>
      <c r="AB1685" s="149"/>
      <c r="AC1685" s="149"/>
      <c r="AD1685" s="149"/>
      <c r="AE1685" s="149"/>
      <c r="AF1685" s="149"/>
      <c r="AG1685" s="149"/>
      <c r="AH1685" s="149"/>
      <c r="AI1685" s="149"/>
      <c r="AJ1685" s="149"/>
      <c r="AK1685" s="149"/>
      <c r="AL1685" s="149"/>
      <c r="AM1685" s="149"/>
      <c r="AN1685" s="149"/>
      <c r="AO1685" s="128"/>
      <c r="AP1685" s="128"/>
      <c r="AQ1685" s="128"/>
      <c r="AR1685" s="128"/>
      <c r="AS1685" s="128"/>
      <c r="AT1685" s="128"/>
      <c r="AU1685" s="128"/>
      <c r="AV1685" s="128"/>
      <c r="AW1685" s="128"/>
      <c r="AX1685" s="128"/>
      <c r="AY1685" s="128"/>
      <c r="AZ1685" s="128"/>
      <c r="BA1685" s="128"/>
      <c r="BB1685" s="128"/>
      <c r="BC1685" s="128"/>
      <c r="BD1685" s="128"/>
      <c r="BE1685" s="128"/>
      <c r="BF1685" s="128"/>
      <c r="BG1685" s="128"/>
      <c r="BH1685" s="128"/>
      <c r="BI1685" s="128"/>
      <c r="BJ1685" s="128"/>
      <c r="BK1685" s="128"/>
      <c r="BL1685" s="128"/>
      <c r="BM1685" s="151"/>
      <c r="BN1685" s="128"/>
      <c r="BO1685" s="128"/>
      <c r="BP1685" s="128"/>
      <c r="BQ1685" s="128"/>
      <c r="BR1685" s="128"/>
      <c r="BS1685" s="128"/>
      <c r="BT1685" s="128"/>
      <c r="BU1685" s="128"/>
      <c r="BV1685" s="128"/>
      <c r="BW1685" s="128"/>
      <c r="BX1685" s="128"/>
      <c r="BY1685" s="128"/>
      <c r="BZ1685" s="128"/>
      <c r="CA1685" s="128"/>
      <c r="CB1685" s="128"/>
      <c r="CC1685" s="128"/>
      <c r="CD1685" s="128"/>
      <c r="CE1685" s="128"/>
      <c r="CF1685" s="128"/>
      <c r="CG1685" s="128"/>
      <c r="CI1685" s="128"/>
      <c r="CJ1685" s="128"/>
      <c r="CK1685" s="128"/>
      <c r="CL1685" s="128"/>
      <c r="CM1685" s="128"/>
      <c r="CN1685" s="128"/>
      <c r="CO1685" s="128"/>
      <c r="CP1685" s="128"/>
      <c r="CQ1685" s="128"/>
      <c r="CR1685" s="128"/>
      <c r="CS1685" s="128"/>
      <c r="CT1685" s="128"/>
      <c r="CU1685" s="128"/>
      <c r="CV1685" s="128"/>
      <c r="CW1685" s="128"/>
      <c r="CX1685" s="128"/>
      <c r="CY1685" s="128"/>
      <c r="CZ1685" s="165"/>
    </row>
    <row r="1686" spans="1:104">
      <c r="A1686" s="149"/>
      <c r="B1686" s="149"/>
      <c r="C1686" s="150"/>
      <c r="D1686" s="102"/>
      <c r="E1686" s="149"/>
      <c r="F1686" s="149"/>
      <c r="G1686" s="149"/>
      <c r="H1686" s="149"/>
      <c r="I1686" s="149"/>
      <c r="J1686" s="149"/>
      <c r="K1686" s="149"/>
      <c r="L1686" s="149"/>
      <c r="M1686" s="149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9"/>
      <c r="AA1686" s="149"/>
      <c r="AB1686" s="149"/>
      <c r="AC1686" s="149"/>
      <c r="AD1686" s="149"/>
      <c r="AE1686" s="149"/>
      <c r="AF1686" s="149"/>
      <c r="AG1686" s="149"/>
      <c r="AH1686" s="149"/>
      <c r="AI1686" s="149"/>
      <c r="AJ1686" s="149"/>
      <c r="AK1686" s="149"/>
      <c r="AL1686" s="149"/>
      <c r="AM1686" s="149"/>
      <c r="AN1686" s="149"/>
      <c r="AO1686" s="128"/>
      <c r="AP1686" s="128"/>
      <c r="AQ1686" s="128"/>
      <c r="AR1686" s="128"/>
      <c r="AS1686" s="128"/>
      <c r="AT1686" s="128"/>
      <c r="AU1686" s="128"/>
      <c r="AV1686" s="128"/>
      <c r="AW1686" s="128"/>
      <c r="AX1686" s="128"/>
      <c r="AY1686" s="128"/>
      <c r="AZ1686" s="128"/>
      <c r="BA1686" s="128"/>
      <c r="BB1686" s="128"/>
      <c r="BC1686" s="128"/>
      <c r="BD1686" s="128"/>
      <c r="BE1686" s="128"/>
      <c r="BF1686" s="128"/>
      <c r="BG1686" s="128"/>
      <c r="BH1686" s="128"/>
      <c r="BI1686" s="128"/>
      <c r="BJ1686" s="128"/>
      <c r="BK1686" s="128"/>
      <c r="BL1686" s="128"/>
      <c r="BM1686" s="151"/>
      <c r="BN1686" s="128"/>
      <c r="BO1686" s="128"/>
      <c r="BP1686" s="128"/>
      <c r="BQ1686" s="128"/>
      <c r="BR1686" s="128"/>
      <c r="BS1686" s="128"/>
      <c r="BT1686" s="128"/>
      <c r="BU1686" s="128"/>
      <c r="BV1686" s="128"/>
      <c r="BW1686" s="128"/>
      <c r="BX1686" s="128"/>
      <c r="BY1686" s="128"/>
      <c r="BZ1686" s="128"/>
      <c r="CA1686" s="128"/>
      <c r="CB1686" s="128"/>
      <c r="CC1686" s="128"/>
      <c r="CD1686" s="128"/>
      <c r="CE1686" s="128"/>
      <c r="CF1686" s="128"/>
      <c r="CG1686" s="128"/>
      <c r="CI1686" s="128"/>
      <c r="CJ1686" s="128"/>
      <c r="CK1686" s="128"/>
      <c r="CL1686" s="128"/>
      <c r="CM1686" s="128"/>
      <c r="CN1686" s="128"/>
      <c r="CO1686" s="128"/>
      <c r="CP1686" s="128"/>
      <c r="CQ1686" s="128"/>
      <c r="CR1686" s="128"/>
      <c r="CS1686" s="128"/>
      <c r="CT1686" s="128"/>
      <c r="CU1686" s="128"/>
      <c r="CV1686" s="128"/>
      <c r="CW1686" s="128"/>
      <c r="CX1686" s="128"/>
      <c r="CY1686" s="128"/>
      <c r="CZ1686" s="165"/>
    </row>
    <row r="1687" spans="1:104">
      <c r="A1687" s="149"/>
      <c r="B1687" s="149"/>
      <c r="C1687" s="150"/>
      <c r="D1687" s="102"/>
      <c r="E1687" s="149"/>
      <c r="F1687" s="149"/>
      <c r="G1687" s="149"/>
      <c r="H1687" s="149"/>
      <c r="I1687" s="149"/>
      <c r="J1687" s="149"/>
      <c r="K1687" s="149"/>
      <c r="L1687" s="149"/>
      <c r="M1687" s="149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9"/>
      <c r="AA1687" s="149"/>
      <c r="AB1687" s="149"/>
      <c r="AC1687" s="149"/>
      <c r="AD1687" s="149"/>
      <c r="AE1687" s="149"/>
      <c r="AF1687" s="149"/>
      <c r="AG1687" s="149"/>
      <c r="AH1687" s="149"/>
      <c r="AI1687" s="149"/>
      <c r="AJ1687" s="149"/>
      <c r="AK1687" s="149"/>
      <c r="AL1687" s="149"/>
      <c r="AM1687" s="149"/>
      <c r="AN1687" s="149"/>
      <c r="AO1687" s="128"/>
      <c r="AP1687" s="128"/>
      <c r="AQ1687" s="128"/>
      <c r="AR1687" s="128"/>
      <c r="AS1687" s="128"/>
      <c r="AT1687" s="128"/>
      <c r="AU1687" s="128"/>
      <c r="AV1687" s="128"/>
      <c r="AW1687" s="128"/>
      <c r="AX1687" s="128"/>
      <c r="AY1687" s="128"/>
      <c r="AZ1687" s="128"/>
      <c r="BA1687" s="128"/>
      <c r="BB1687" s="128"/>
      <c r="BC1687" s="128"/>
      <c r="BD1687" s="128"/>
      <c r="BE1687" s="128"/>
      <c r="BF1687" s="128"/>
      <c r="BG1687" s="128"/>
      <c r="BH1687" s="128"/>
      <c r="BI1687" s="128"/>
      <c r="BJ1687" s="128"/>
      <c r="BK1687" s="128"/>
      <c r="BL1687" s="128"/>
      <c r="BM1687" s="151"/>
      <c r="BN1687" s="128"/>
      <c r="BO1687" s="128"/>
      <c r="BP1687" s="128"/>
      <c r="BQ1687" s="128"/>
      <c r="BR1687" s="128"/>
      <c r="BS1687" s="128"/>
      <c r="BT1687" s="128"/>
      <c r="BU1687" s="128"/>
      <c r="BV1687" s="128"/>
      <c r="BW1687" s="128"/>
      <c r="BX1687" s="128"/>
      <c r="BY1687" s="128"/>
      <c r="BZ1687" s="128"/>
      <c r="CA1687" s="128"/>
      <c r="CB1687" s="128"/>
      <c r="CC1687" s="128"/>
      <c r="CD1687" s="128"/>
      <c r="CE1687" s="128"/>
      <c r="CF1687" s="128"/>
      <c r="CG1687" s="128"/>
      <c r="CI1687" s="128"/>
      <c r="CJ1687" s="128"/>
      <c r="CK1687" s="128"/>
      <c r="CL1687" s="128"/>
      <c r="CM1687" s="128"/>
      <c r="CN1687" s="128"/>
      <c r="CO1687" s="128"/>
      <c r="CP1687" s="128"/>
      <c r="CQ1687" s="128"/>
      <c r="CR1687" s="128"/>
      <c r="CS1687" s="128"/>
      <c r="CT1687" s="128"/>
      <c r="CU1687" s="128"/>
      <c r="CV1687" s="128"/>
      <c r="CW1687" s="128"/>
      <c r="CX1687" s="128"/>
      <c r="CY1687" s="128"/>
      <c r="CZ1687" s="165"/>
    </row>
    <row r="1688" spans="1:104">
      <c r="A1688" s="149"/>
      <c r="B1688" s="149"/>
      <c r="C1688" s="150"/>
      <c r="D1688" s="102"/>
      <c r="E1688" s="149"/>
      <c r="F1688" s="149"/>
      <c r="G1688" s="149"/>
      <c r="H1688" s="149"/>
      <c r="I1688" s="149"/>
      <c r="J1688" s="149"/>
      <c r="K1688" s="149"/>
      <c r="L1688" s="149"/>
      <c r="M1688" s="149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9"/>
      <c r="AA1688" s="149"/>
      <c r="AB1688" s="149"/>
      <c r="AC1688" s="149"/>
      <c r="AD1688" s="149"/>
      <c r="AE1688" s="149"/>
      <c r="AF1688" s="149"/>
      <c r="AG1688" s="149"/>
      <c r="AH1688" s="149"/>
      <c r="AI1688" s="149"/>
      <c r="AJ1688" s="149"/>
      <c r="AK1688" s="149"/>
      <c r="AL1688" s="149"/>
      <c r="AM1688" s="149"/>
      <c r="AN1688" s="149"/>
      <c r="AO1688" s="128"/>
      <c r="AP1688" s="128"/>
      <c r="AQ1688" s="128"/>
      <c r="AR1688" s="128"/>
      <c r="AS1688" s="128"/>
      <c r="AT1688" s="128"/>
      <c r="AU1688" s="128"/>
      <c r="AV1688" s="128"/>
      <c r="AW1688" s="128"/>
      <c r="AX1688" s="128"/>
      <c r="AY1688" s="128"/>
      <c r="AZ1688" s="128"/>
      <c r="BA1688" s="128"/>
      <c r="BB1688" s="128"/>
      <c r="BC1688" s="128"/>
      <c r="BD1688" s="128"/>
      <c r="BE1688" s="128"/>
      <c r="BF1688" s="128"/>
      <c r="BG1688" s="128"/>
      <c r="BH1688" s="128"/>
      <c r="BI1688" s="128"/>
      <c r="BJ1688" s="128"/>
      <c r="BK1688" s="128"/>
      <c r="BL1688" s="128"/>
      <c r="BM1688" s="151"/>
      <c r="BN1688" s="128"/>
      <c r="BO1688" s="128"/>
      <c r="BP1688" s="128"/>
      <c r="BQ1688" s="128"/>
      <c r="BR1688" s="128"/>
      <c r="BS1688" s="128"/>
      <c r="BT1688" s="128"/>
      <c r="BU1688" s="128"/>
      <c r="BV1688" s="128"/>
      <c r="BW1688" s="128"/>
      <c r="BX1688" s="128"/>
      <c r="BY1688" s="128"/>
      <c r="BZ1688" s="128"/>
      <c r="CA1688" s="128"/>
      <c r="CB1688" s="128"/>
      <c r="CC1688" s="128"/>
      <c r="CD1688" s="128"/>
      <c r="CE1688" s="128"/>
      <c r="CF1688" s="128"/>
      <c r="CG1688" s="128"/>
      <c r="CI1688" s="128"/>
      <c r="CJ1688" s="128"/>
      <c r="CK1688" s="128"/>
      <c r="CL1688" s="128"/>
      <c r="CM1688" s="128"/>
      <c r="CN1688" s="128"/>
      <c r="CO1688" s="128"/>
      <c r="CP1688" s="128"/>
      <c r="CQ1688" s="128"/>
      <c r="CR1688" s="128"/>
      <c r="CS1688" s="128"/>
      <c r="CT1688" s="128"/>
      <c r="CU1688" s="128"/>
      <c r="CV1688" s="128"/>
      <c r="CW1688" s="128"/>
      <c r="CX1688" s="128"/>
      <c r="CY1688" s="128"/>
      <c r="CZ1688" s="165"/>
    </row>
    <row r="1689" spans="1:104">
      <c r="A1689" s="149"/>
      <c r="B1689" s="149"/>
      <c r="C1689" s="150"/>
      <c r="D1689" s="102"/>
      <c r="E1689" s="149"/>
      <c r="F1689" s="149"/>
      <c r="G1689" s="149"/>
      <c r="H1689" s="149"/>
      <c r="I1689" s="149"/>
      <c r="J1689" s="149"/>
      <c r="K1689" s="149"/>
      <c r="L1689" s="149"/>
      <c r="M1689" s="149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9"/>
      <c r="AA1689" s="149"/>
      <c r="AB1689" s="149"/>
      <c r="AC1689" s="149"/>
      <c r="AD1689" s="149"/>
      <c r="AE1689" s="149"/>
      <c r="AF1689" s="149"/>
      <c r="AG1689" s="149"/>
      <c r="AH1689" s="149"/>
      <c r="AI1689" s="149"/>
      <c r="AJ1689" s="149"/>
      <c r="AK1689" s="149"/>
      <c r="AL1689" s="149"/>
      <c r="AM1689" s="149"/>
      <c r="AN1689" s="149"/>
      <c r="AO1689" s="128"/>
      <c r="AP1689" s="128"/>
      <c r="AQ1689" s="128"/>
      <c r="AR1689" s="128"/>
      <c r="AS1689" s="128"/>
      <c r="AT1689" s="128"/>
      <c r="AU1689" s="128"/>
      <c r="AV1689" s="128"/>
      <c r="AW1689" s="128"/>
      <c r="AX1689" s="128"/>
      <c r="AY1689" s="128"/>
      <c r="AZ1689" s="128"/>
      <c r="BA1689" s="128"/>
      <c r="BB1689" s="128"/>
      <c r="BC1689" s="128"/>
      <c r="BD1689" s="128"/>
      <c r="BE1689" s="128"/>
      <c r="BF1689" s="128"/>
      <c r="BG1689" s="128"/>
      <c r="BH1689" s="128"/>
      <c r="BI1689" s="128"/>
      <c r="BJ1689" s="128"/>
      <c r="BK1689" s="128"/>
      <c r="BL1689" s="128"/>
      <c r="BM1689" s="151"/>
      <c r="BN1689" s="128"/>
      <c r="BO1689" s="128"/>
      <c r="BP1689" s="128"/>
      <c r="BQ1689" s="128"/>
      <c r="BR1689" s="128"/>
      <c r="BS1689" s="128"/>
      <c r="BT1689" s="128"/>
      <c r="BU1689" s="128"/>
      <c r="BV1689" s="128"/>
      <c r="BW1689" s="128"/>
      <c r="BX1689" s="128"/>
      <c r="BY1689" s="128"/>
      <c r="BZ1689" s="128"/>
      <c r="CA1689" s="128"/>
      <c r="CB1689" s="128"/>
      <c r="CC1689" s="128"/>
      <c r="CD1689" s="128"/>
      <c r="CE1689" s="128"/>
      <c r="CF1689" s="128"/>
      <c r="CG1689" s="128"/>
      <c r="CI1689" s="128"/>
      <c r="CJ1689" s="128"/>
      <c r="CK1689" s="128"/>
      <c r="CL1689" s="128"/>
      <c r="CM1689" s="128"/>
      <c r="CN1689" s="128"/>
      <c r="CO1689" s="128"/>
      <c r="CP1689" s="128"/>
      <c r="CQ1689" s="128"/>
      <c r="CR1689" s="128"/>
      <c r="CS1689" s="128"/>
      <c r="CT1689" s="128"/>
      <c r="CU1689" s="128"/>
      <c r="CV1689" s="128"/>
      <c r="CW1689" s="128"/>
      <c r="CX1689" s="128"/>
      <c r="CY1689" s="128"/>
      <c r="CZ1689" s="165"/>
    </row>
    <row r="1690" spans="1:104">
      <c r="A1690" s="149"/>
      <c r="B1690" s="149"/>
      <c r="C1690" s="150"/>
      <c r="D1690" s="102"/>
      <c r="E1690" s="149"/>
      <c r="F1690" s="149"/>
      <c r="G1690" s="149"/>
      <c r="H1690" s="149"/>
      <c r="I1690" s="149"/>
      <c r="J1690" s="149"/>
      <c r="K1690" s="149"/>
      <c r="L1690" s="149"/>
      <c r="M1690" s="149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9"/>
      <c r="AA1690" s="149"/>
      <c r="AB1690" s="149"/>
      <c r="AC1690" s="149"/>
      <c r="AD1690" s="149"/>
      <c r="AE1690" s="149"/>
      <c r="AF1690" s="149"/>
      <c r="AG1690" s="149"/>
      <c r="AH1690" s="149"/>
      <c r="AI1690" s="149"/>
      <c r="AJ1690" s="149"/>
      <c r="AK1690" s="149"/>
      <c r="AL1690" s="149"/>
      <c r="AM1690" s="149"/>
      <c r="AN1690" s="149"/>
      <c r="AO1690" s="128"/>
      <c r="AP1690" s="128"/>
      <c r="AQ1690" s="128"/>
      <c r="AR1690" s="128"/>
      <c r="AS1690" s="128"/>
      <c r="AT1690" s="128"/>
      <c r="AU1690" s="128"/>
      <c r="AV1690" s="128"/>
      <c r="AW1690" s="128"/>
      <c r="AX1690" s="128"/>
      <c r="AY1690" s="128"/>
      <c r="AZ1690" s="128"/>
      <c r="BA1690" s="128"/>
      <c r="BB1690" s="128"/>
      <c r="BC1690" s="128"/>
      <c r="BD1690" s="128"/>
      <c r="BE1690" s="128"/>
      <c r="BF1690" s="128"/>
      <c r="BG1690" s="128"/>
      <c r="BH1690" s="128"/>
      <c r="BI1690" s="128"/>
      <c r="BJ1690" s="128"/>
      <c r="BK1690" s="128"/>
      <c r="BL1690" s="128"/>
      <c r="BM1690" s="151"/>
      <c r="BN1690" s="128"/>
      <c r="BO1690" s="128"/>
      <c r="BP1690" s="128"/>
      <c r="BQ1690" s="128"/>
      <c r="BR1690" s="128"/>
      <c r="BS1690" s="128"/>
      <c r="BT1690" s="128"/>
      <c r="BU1690" s="128"/>
      <c r="BV1690" s="128"/>
      <c r="BW1690" s="128"/>
      <c r="BX1690" s="128"/>
      <c r="BY1690" s="128"/>
      <c r="BZ1690" s="128"/>
      <c r="CA1690" s="128"/>
      <c r="CB1690" s="128"/>
      <c r="CC1690" s="128"/>
      <c r="CD1690" s="128"/>
      <c r="CE1690" s="128"/>
      <c r="CF1690" s="128"/>
      <c r="CG1690" s="128"/>
      <c r="CI1690" s="128"/>
      <c r="CJ1690" s="128"/>
      <c r="CK1690" s="128"/>
      <c r="CL1690" s="128"/>
      <c r="CM1690" s="128"/>
      <c r="CN1690" s="128"/>
      <c r="CO1690" s="128"/>
      <c r="CP1690" s="128"/>
      <c r="CQ1690" s="128"/>
      <c r="CR1690" s="128"/>
      <c r="CS1690" s="128"/>
      <c r="CT1690" s="128"/>
      <c r="CU1690" s="128"/>
      <c r="CV1690" s="128"/>
      <c r="CW1690" s="128"/>
      <c r="CX1690" s="128"/>
      <c r="CY1690" s="128"/>
      <c r="CZ1690" s="165"/>
    </row>
    <row r="1691" spans="1:104">
      <c r="A1691" s="149"/>
      <c r="B1691" s="149"/>
      <c r="C1691" s="150"/>
      <c r="D1691" s="102"/>
      <c r="E1691" s="149"/>
      <c r="F1691" s="149"/>
      <c r="G1691" s="149"/>
      <c r="H1691" s="149"/>
      <c r="I1691" s="149"/>
      <c r="J1691" s="149"/>
      <c r="K1691" s="149"/>
      <c r="L1691" s="149"/>
      <c r="M1691" s="149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9"/>
      <c r="AA1691" s="149"/>
      <c r="AB1691" s="149"/>
      <c r="AC1691" s="149"/>
      <c r="AD1691" s="149"/>
      <c r="AE1691" s="149"/>
      <c r="AF1691" s="149"/>
      <c r="AG1691" s="149"/>
      <c r="AH1691" s="149"/>
      <c r="AI1691" s="149"/>
      <c r="AJ1691" s="149"/>
      <c r="AK1691" s="149"/>
      <c r="AL1691" s="149"/>
      <c r="AM1691" s="149"/>
      <c r="AN1691" s="149"/>
      <c r="AO1691" s="128"/>
      <c r="AP1691" s="128"/>
      <c r="AQ1691" s="128"/>
      <c r="AR1691" s="128"/>
      <c r="AS1691" s="128"/>
      <c r="AT1691" s="128"/>
      <c r="AU1691" s="128"/>
      <c r="AV1691" s="128"/>
      <c r="AW1691" s="128"/>
      <c r="AX1691" s="128"/>
      <c r="AY1691" s="128"/>
      <c r="AZ1691" s="128"/>
      <c r="BA1691" s="128"/>
      <c r="BB1691" s="128"/>
      <c r="BC1691" s="128"/>
      <c r="BD1691" s="128"/>
      <c r="BE1691" s="128"/>
      <c r="BF1691" s="128"/>
      <c r="BG1691" s="128"/>
      <c r="BH1691" s="128"/>
      <c r="BI1691" s="128"/>
      <c r="BJ1691" s="128"/>
      <c r="BK1691" s="128"/>
      <c r="BL1691" s="128"/>
      <c r="BM1691" s="151"/>
      <c r="BN1691" s="128"/>
      <c r="BO1691" s="128"/>
      <c r="BP1691" s="128"/>
      <c r="BQ1691" s="128"/>
      <c r="BR1691" s="128"/>
      <c r="BS1691" s="128"/>
      <c r="BT1691" s="128"/>
      <c r="BU1691" s="128"/>
      <c r="BV1691" s="128"/>
      <c r="BW1691" s="128"/>
      <c r="BX1691" s="128"/>
      <c r="BY1691" s="128"/>
      <c r="BZ1691" s="128"/>
      <c r="CA1691" s="128"/>
      <c r="CB1691" s="128"/>
      <c r="CC1691" s="128"/>
      <c r="CD1691" s="128"/>
      <c r="CE1691" s="128"/>
      <c r="CF1691" s="128"/>
      <c r="CG1691" s="128"/>
      <c r="CI1691" s="128"/>
      <c r="CJ1691" s="128"/>
      <c r="CK1691" s="128"/>
      <c r="CL1691" s="128"/>
      <c r="CM1691" s="128"/>
      <c r="CN1691" s="128"/>
      <c r="CO1691" s="128"/>
      <c r="CP1691" s="128"/>
      <c r="CQ1691" s="128"/>
      <c r="CR1691" s="128"/>
      <c r="CS1691" s="128"/>
      <c r="CT1691" s="128"/>
      <c r="CU1691" s="128"/>
      <c r="CV1691" s="128"/>
      <c r="CW1691" s="128"/>
      <c r="CX1691" s="128"/>
      <c r="CY1691" s="128"/>
      <c r="CZ1691" s="165"/>
    </row>
    <row r="1692" spans="1:104">
      <c r="A1692" s="149"/>
      <c r="B1692" s="149"/>
      <c r="C1692" s="150"/>
      <c r="D1692" s="102"/>
      <c r="E1692" s="149"/>
      <c r="F1692" s="149"/>
      <c r="G1692" s="149"/>
      <c r="H1692" s="149"/>
      <c r="I1692" s="149"/>
      <c r="J1692" s="149"/>
      <c r="K1692" s="149"/>
      <c r="L1692" s="149"/>
      <c r="M1692" s="149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9"/>
      <c r="AA1692" s="149"/>
      <c r="AB1692" s="149"/>
      <c r="AC1692" s="149"/>
      <c r="AD1692" s="149"/>
      <c r="AE1692" s="149"/>
      <c r="AF1692" s="149"/>
      <c r="AG1692" s="149"/>
      <c r="AH1692" s="149"/>
      <c r="AI1692" s="149"/>
      <c r="AJ1692" s="149"/>
      <c r="AK1692" s="149"/>
      <c r="AL1692" s="149"/>
      <c r="AM1692" s="149"/>
      <c r="AN1692" s="149"/>
      <c r="AO1692" s="128"/>
      <c r="AP1692" s="128"/>
      <c r="AQ1692" s="128"/>
      <c r="AR1692" s="128"/>
      <c r="AS1692" s="128"/>
      <c r="AT1692" s="128"/>
      <c r="AU1692" s="128"/>
      <c r="AV1692" s="128"/>
      <c r="AW1692" s="128"/>
      <c r="AX1692" s="128"/>
      <c r="AY1692" s="128"/>
      <c r="AZ1692" s="128"/>
      <c r="BA1692" s="128"/>
      <c r="BB1692" s="128"/>
      <c r="BC1692" s="128"/>
      <c r="BD1692" s="128"/>
      <c r="BE1692" s="128"/>
      <c r="BF1692" s="128"/>
      <c r="BG1692" s="128"/>
      <c r="BH1692" s="128"/>
      <c r="BI1692" s="128"/>
      <c r="BJ1692" s="128"/>
      <c r="BK1692" s="128"/>
      <c r="BL1692" s="128"/>
      <c r="BM1692" s="151"/>
      <c r="BN1692" s="128"/>
      <c r="BO1692" s="128"/>
      <c r="BP1692" s="128"/>
      <c r="BQ1692" s="128"/>
      <c r="BR1692" s="128"/>
      <c r="BS1692" s="128"/>
      <c r="BT1692" s="128"/>
      <c r="BU1692" s="128"/>
      <c r="BV1692" s="128"/>
      <c r="BW1692" s="128"/>
      <c r="BX1692" s="128"/>
      <c r="BY1692" s="128"/>
      <c r="BZ1692" s="128"/>
      <c r="CA1692" s="128"/>
      <c r="CB1692" s="128"/>
      <c r="CC1692" s="128"/>
      <c r="CD1692" s="128"/>
      <c r="CE1692" s="128"/>
      <c r="CF1692" s="128"/>
      <c r="CG1692" s="128"/>
      <c r="CI1692" s="128"/>
      <c r="CJ1692" s="128"/>
      <c r="CK1692" s="128"/>
      <c r="CL1692" s="128"/>
      <c r="CM1692" s="128"/>
      <c r="CN1692" s="128"/>
      <c r="CO1692" s="128"/>
      <c r="CP1692" s="128"/>
      <c r="CQ1692" s="128"/>
      <c r="CR1692" s="128"/>
      <c r="CS1692" s="128"/>
      <c r="CT1692" s="128"/>
      <c r="CU1692" s="128"/>
      <c r="CV1692" s="128"/>
      <c r="CW1692" s="128"/>
      <c r="CX1692" s="128"/>
      <c r="CY1692" s="128"/>
      <c r="CZ1692" s="165"/>
    </row>
    <row r="1693" spans="1:104">
      <c r="A1693" s="149"/>
      <c r="B1693" s="149"/>
      <c r="C1693" s="150"/>
      <c r="D1693" s="102"/>
      <c r="E1693" s="149"/>
      <c r="F1693" s="149"/>
      <c r="G1693" s="149"/>
      <c r="H1693" s="149"/>
      <c r="I1693" s="149"/>
      <c r="J1693" s="149"/>
      <c r="K1693" s="149"/>
      <c r="L1693" s="149"/>
      <c r="M1693" s="149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9"/>
      <c r="AA1693" s="149"/>
      <c r="AB1693" s="149"/>
      <c r="AC1693" s="149"/>
      <c r="AD1693" s="149"/>
      <c r="AE1693" s="149"/>
      <c r="AF1693" s="149"/>
      <c r="AG1693" s="149"/>
      <c r="AH1693" s="149"/>
      <c r="AI1693" s="149"/>
      <c r="AJ1693" s="149"/>
      <c r="AK1693" s="149"/>
      <c r="AL1693" s="149"/>
      <c r="AM1693" s="149"/>
      <c r="AN1693" s="149"/>
      <c r="AO1693" s="128"/>
      <c r="AP1693" s="128"/>
      <c r="AQ1693" s="128"/>
      <c r="AR1693" s="128"/>
      <c r="AS1693" s="128"/>
      <c r="AT1693" s="128"/>
      <c r="AU1693" s="128"/>
      <c r="AV1693" s="128"/>
      <c r="AW1693" s="128"/>
      <c r="AX1693" s="128"/>
      <c r="AY1693" s="128"/>
      <c r="AZ1693" s="128"/>
      <c r="BA1693" s="128"/>
      <c r="BB1693" s="128"/>
      <c r="BC1693" s="128"/>
      <c r="BD1693" s="128"/>
      <c r="BE1693" s="128"/>
      <c r="BF1693" s="128"/>
      <c r="BG1693" s="128"/>
      <c r="BH1693" s="128"/>
      <c r="BI1693" s="128"/>
      <c r="BJ1693" s="128"/>
      <c r="BK1693" s="128"/>
      <c r="BL1693" s="128"/>
      <c r="BM1693" s="151"/>
      <c r="BN1693" s="128"/>
      <c r="BO1693" s="128"/>
      <c r="BP1693" s="128"/>
      <c r="BQ1693" s="128"/>
      <c r="BR1693" s="128"/>
      <c r="BS1693" s="128"/>
      <c r="BT1693" s="128"/>
      <c r="BU1693" s="128"/>
      <c r="BV1693" s="128"/>
      <c r="BW1693" s="128"/>
      <c r="BX1693" s="128"/>
      <c r="BY1693" s="128"/>
      <c r="BZ1693" s="128"/>
      <c r="CA1693" s="128"/>
      <c r="CB1693" s="128"/>
      <c r="CC1693" s="128"/>
      <c r="CD1693" s="128"/>
      <c r="CE1693" s="128"/>
      <c r="CF1693" s="128"/>
      <c r="CG1693" s="128"/>
      <c r="CI1693" s="128"/>
      <c r="CJ1693" s="128"/>
      <c r="CK1693" s="128"/>
      <c r="CL1693" s="128"/>
      <c r="CM1693" s="128"/>
      <c r="CN1693" s="128"/>
      <c r="CO1693" s="128"/>
      <c r="CP1693" s="128"/>
      <c r="CQ1693" s="128"/>
      <c r="CR1693" s="128"/>
      <c r="CS1693" s="128"/>
      <c r="CT1693" s="128"/>
      <c r="CU1693" s="128"/>
      <c r="CV1693" s="128"/>
      <c r="CW1693" s="128"/>
      <c r="CX1693" s="128"/>
      <c r="CY1693" s="128"/>
      <c r="CZ1693" s="165"/>
    </row>
    <row r="1694" spans="1:104">
      <c r="A1694" s="149"/>
      <c r="B1694" s="149"/>
      <c r="C1694" s="150"/>
      <c r="D1694" s="102"/>
      <c r="E1694" s="149"/>
      <c r="F1694" s="149"/>
      <c r="G1694" s="149"/>
      <c r="H1694" s="149"/>
      <c r="I1694" s="149"/>
      <c r="J1694" s="149"/>
      <c r="K1694" s="149"/>
      <c r="L1694" s="149"/>
      <c r="M1694" s="149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9"/>
      <c r="AA1694" s="149"/>
      <c r="AB1694" s="149"/>
      <c r="AC1694" s="149"/>
      <c r="AD1694" s="149"/>
      <c r="AE1694" s="149"/>
      <c r="AF1694" s="149"/>
      <c r="AG1694" s="149"/>
      <c r="AH1694" s="149"/>
      <c r="AI1694" s="149"/>
      <c r="AJ1694" s="149"/>
      <c r="AK1694" s="149"/>
      <c r="AL1694" s="149"/>
      <c r="AM1694" s="149"/>
      <c r="AN1694" s="149"/>
      <c r="AO1694" s="128"/>
      <c r="AP1694" s="128"/>
      <c r="AQ1694" s="128"/>
      <c r="AR1694" s="128"/>
      <c r="AS1694" s="128"/>
      <c r="AT1694" s="128"/>
      <c r="AU1694" s="128"/>
      <c r="AV1694" s="128"/>
      <c r="AW1694" s="128"/>
      <c r="AX1694" s="128"/>
      <c r="AY1694" s="128"/>
      <c r="AZ1694" s="128"/>
      <c r="BA1694" s="128"/>
      <c r="BB1694" s="128"/>
      <c r="BC1694" s="128"/>
      <c r="BD1694" s="128"/>
      <c r="BE1694" s="128"/>
      <c r="BF1694" s="128"/>
      <c r="BG1694" s="128"/>
      <c r="BH1694" s="128"/>
      <c r="BI1694" s="128"/>
      <c r="BJ1694" s="128"/>
      <c r="BK1694" s="128"/>
      <c r="BL1694" s="128"/>
      <c r="BM1694" s="151"/>
      <c r="BN1694" s="128"/>
      <c r="BO1694" s="128"/>
      <c r="BP1694" s="128"/>
      <c r="BQ1694" s="128"/>
      <c r="BR1694" s="128"/>
      <c r="BS1694" s="128"/>
      <c r="BT1694" s="128"/>
      <c r="BU1694" s="128"/>
      <c r="BV1694" s="128"/>
      <c r="BW1694" s="128"/>
      <c r="BX1694" s="128"/>
      <c r="BY1694" s="128"/>
      <c r="BZ1694" s="128"/>
      <c r="CA1694" s="128"/>
      <c r="CB1694" s="128"/>
      <c r="CC1694" s="128"/>
      <c r="CD1694" s="128"/>
      <c r="CE1694" s="128"/>
      <c r="CF1694" s="128"/>
      <c r="CG1694" s="128"/>
      <c r="CI1694" s="128"/>
      <c r="CJ1694" s="128"/>
      <c r="CK1694" s="128"/>
      <c r="CL1694" s="128"/>
      <c r="CM1694" s="128"/>
      <c r="CN1694" s="128"/>
      <c r="CO1694" s="128"/>
      <c r="CP1694" s="128"/>
      <c r="CQ1694" s="128"/>
      <c r="CR1694" s="128"/>
      <c r="CS1694" s="128"/>
      <c r="CT1694" s="128"/>
      <c r="CU1694" s="128"/>
      <c r="CV1694" s="128"/>
      <c r="CW1694" s="128"/>
      <c r="CX1694" s="128"/>
      <c r="CY1694" s="128"/>
      <c r="CZ1694" s="165"/>
    </row>
    <row r="1695" spans="1:104">
      <c r="A1695" s="149"/>
      <c r="B1695" s="149"/>
      <c r="C1695" s="150"/>
      <c r="D1695" s="102"/>
      <c r="E1695" s="149"/>
      <c r="F1695" s="149"/>
      <c r="G1695" s="149"/>
      <c r="H1695" s="149"/>
      <c r="I1695" s="149"/>
      <c r="J1695" s="149"/>
      <c r="K1695" s="149"/>
      <c r="L1695" s="149"/>
      <c r="M1695" s="149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9"/>
      <c r="AA1695" s="149"/>
      <c r="AB1695" s="149"/>
      <c r="AC1695" s="149"/>
      <c r="AD1695" s="149"/>
      <c r="AE1695" s="149"/>
      <c r="AF1695" s="149"/>
      <c r="AG1695" s="149"/>
      <c r="AH1695" s="149"/>
      <c r="AI1695" s="149"/>
      <c r="AJ1695" s="149"/>
      <c r="AK1695" s="149"/>
      <c r="AL1695" s="149"/>
      <c r="AM1695" s="149"/>
      <c r="AN1695" s="149"/>
      <c r="AO1695" s="128"/>
      <c r="AP1695" s="128"/>
      <c r="AQ1695" s="128"/>
      <c r="AR1695" s="128"/>
      <c r="AS1695" s="128"/>
      <c r="AT1695" s="128"/>
      <c r="AU1695" s="128"/>
      <c r="AV1695" s="128"/>
      <c r="AW1695" s="128"/>
      <c r="AX1695" s="128"/>
      <c r="AY1695" s="128"/>
      <c r="AZ1695" s="128"/>
      <c r="BA1695" s="128"/>
      <c r="BB1695" s="128"/>
      <c r="BC1695" s="128"/>
      <c r="BD1695" s="128"/>
      <c r="BE1695" s="128"/>
      <c r="BF1695" s="128"/>
      <c r="BG1695" s="128"/>
      <c r="BH1695" s="128"/>
      <c r="BI1695" s="128"/>
      <c r="BJ1695" s="128"/>
      <c r="BK1695" s="128"/>
      <c r="BL1695" s="128"/>
      <c r="BM1695" s="151"/>
      <c r="BN1695" s="128"/>
      <c r="BO1695" s="128"/>
      <c r="BP1695" s="128"/>
      <c r="BQ1695" s="128"/>
      <c r="BR1695" s="128"/>
      <c r="BS1695" s="128"/>
      <c r="BT1695" s="128"/>
      <c r="BU1695" s="128"/>
      <c r="BV1695" s="128"/>
      <c r="BW1695" s="128"/>
      <c r="BX1695" s="128"/>
      <c r="BY1695" s="128"/>
      <c r="BZ1695" s="128"/>
      <c r="CA1695" s="128"/>
      <c r="CB1695" s="128"/>
      <c r="CC1695" s="128"/>
      <c r="CD1695" s="128"/>
      <c r="CE1695" s="128"/>
      <c r="CF1695" s="128"/>
      <c r="CG1695" s="128"/>
      <c r="CI1695" s="128"/>
      <c r="CJ1695" s="128"/>
      <c r="CK1695" s="128"/>
      <c r="CL1695" s="128"/>
      <c r="CM1695" s="128"/>
      <c r="CN1695" s="128"/>
      <c r="CO1695" s="128"/>
      <c r="CP1695" s="128"/>
      <c r="CQ1695" s="128"/>
      <c r="CR1695" s="128"/>
      <c r="CS1695" s="128"/>
      <c r="CT1695" s="128"/>
      <c r="CU1695" s="128"/>
      <c r="CV1695" s="128"/>
      <c r="CW1695" s="128"/>
      <c r="CX1695" s="128"/>
      <c r="CY1695" s="128"/>
      <c r="CZ1695" s="165"/>
    </row>
    <row r="1696" spans="1:104">
      <c r="A1696" s="149"/>
      <c r="B1696" s="149"/>
      <c r="C1696" s="150"/>
      <c r="D1696" s="102"/>
      <c r="E1696" s="149"/>
      <c r="F1696" s="149"/>
      <c r="G1696" s="149"/>
      <c r="H1696" s="149"/>
      <c r="I1696" s="149"/>
      <c r="J1696" s="149"/>
      <c r="K1696" s="149"/>
      <c r="L1696" s="149"/>
      <c r="M1696" s="149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9"/>
      <c r="AA1696" s="149"/>
      <c r="AB1696" s="149"/>
      <c r="AC1696" s="149"/>
      <c r="AD1696" s="149"/>
      <c r="AE1696" s="149"/>
      <c r="AF1696" s="149"/>
      <c r="AG1696" s="149"/>
      <c r="AH1696" s="149"/>
      <c r="AI1696" s="149"/>
      <c r="AJ1696" s="149"/>
      <c r="AK1696" s="149"/>
      <c r="AL1696" s="149"/>
      <c r="AM1696" s="149"/>
      <c r="AN1696" s="149"/>
      <c r="AO1696" s="128"/>
      <c r="AP1696" s="128"/>
      <c r="AQ1696" s="128"/>
      <c r="AR1696" s="128"/>
      <c r="AS1696" s="128"/>
      <c r="AT1696" s="128"/>
      <c r="AU1696" s="128"/>
      <c r="AV1696" s="128"/>
      <c r="AW1696" s="128"/>
      <c r="AX1696" s="128"/>
      <c r="AY1696" s="128"/>
      <c r="AZ1696" s="128"/>
      <c r="BA1696" s="128"/>
      <c r="BB1696" s="128"/>
      <c r="BC1696" s="128"/>
      <c r="BD1696" s="128"/>
      <c r="BE1696" s="128"/>
      <c r="BF1696" s="128"/>
      <c r="BG1696" s="128"/>
      <c r="BH1696" s="128"/>
      <c r="BI1696" s="128"/>
      <c r="BJ1696" s="128"/>
      <c r="BK1696" s="128"/>
      <c r="BL1696" s="128"/>
      <c r="BM1696" s="151"/>
      <c r="BN1696" s="128"/>
      <c r="BO1696" s="128"/>
      <c r="BP1696" s="128"/>
      <c r="BQ1696" s="128"/>
      <c r="BR1696" s="128"/>
      <c r="BS1696" s="128"/>
      <c r="BT1696" s="128"/>
      <c r="BU1696" s="128"/>
      <c r="BV1696" s="128"/>
      <c r="BW1696" s="128"/>
      <c r="BX1696" s="128"/>
      <c r="BY1696" s="128"/>
      <c r="BZ1696" s="128"/>
      <c r="CA1696" s="128"/>
      <c r="CB1696" s="128"/>
      <c r="CC1696" s="128"/>
      <c r="CD1696" s="128"/>
      <c r="CE1696" s="128"/>
      <c r="CF1696" s="128"/>
      <c r="CG1696" s="128"/>
      <c r="CI1696" s="128"/>
      <c r="CJ1696" s="128"/>
      <c r="CK1696" s="128"/>
      <c r="CL1696" s="128"/>
      <c r="CM1696" s="128"/>
      <c r="CN1696" s="128"/>
      <c r="CO1696" s="128"/>
      <c r="CP1696" s="128"/>
      <c r="CQ1696" s="128"/>
      <c r="CR1696" s="128"/>
      <c r="CS1696" s="128"/>
      <c r="CT1696" s="128"/>
      <c r="CU1696" s="128"/>
      <c r="CV1696" s="128"/>
      <c r="CW1696" s="128"/>
      <c r="CX1696" s="128"/>
      <c r="CY1696" s="128"/>
      <c r="CZ1696" s="165"/>
    </row>
    <row r="1697" spans="1:104">
      <c r="A1697" s="149"/>
      <c r="B1697" s="149"/>
      <c r="C1697" s="150"/>
      <c r="D1697" s="102"/>
      <c r="E1697" s="149"/>
      <c r="F1697" s="149"/>
      <c r="G1697" s="149"/>
      <c r="H1697" s="149"/>
      <c r="I1697" s="149"/>
      <c r="J1697" s="149"/>
      <c r="K1697" s="149"/>
      <c r="L1697" s="149"/>
      <c r="M1697" s="149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9"/>
      <c r="AA1697" s="149"/>
      <c r="AB1697" s="149"/>
      <c r="AC1697" s="149"/>
      <c r="AD1697" s="149"/>
      <c r="AE1697" s="149"/>
      <c r="AF1697" s="149"/>
      <c r="AG1697" s="149"/>
      <c r="AH1697" s="149"/>
      <c r="AI1697" s="149"/>
      <c r="AJ1697" s="149"/>
      <c r="AK1697" s="149"/>
      <c r="AL1697" s="149"/>
      <c r="AM1697" s="149"/>
      <c r="AN1697" s="149"/>
      <c r="AO1697" s="128"/>
      <c r="AP1697" s="128"/>
      <c r="AQ1697" s="128"/>
      <c r="AR1697" s="128"/>
      <c r="AS1697" s="128"/>
      <c r="AT1697" s="128"/>
      <c r="AU1697" s="128"/>
      <c r="AV1697" s="128"/>
      <c r="AW1697" s="128"/>
      <c r="AX1697" s="128"/>
      <c r="AY1697" s="128"/>
      <c r="AZ1697" s="128"/>
      <c r="BA1697" s="128"/>
      <c r="BB1697" s="128"/>
      <c r="BC1697" s="128"/>
      <c r="BD1697" s="128"/>
      <c r="BE1697" s="128"/>
      <c r="BF1697" s="128"/>
      <c r="BG1697" s="128"/>
      <c r="BH1697" s="128"/>
      <c r="BI1697" s="128"/>
      <c r="BJ1697" s="128"/>
      <c r="BK1697" s="128"/>
      <c r="BL1697" s="128"/>
      <c r="BM1697" s="151"/>
      <c r="BN1697" s="128"/>
      <c r="BO1697" s="128"/>
      <c r="BP1697" s="128"/>
      <c r="BQ1697" s="128"/>
      <c r="BR1697" s="128"/>
      <c r="BS1697" s="128"/>
      <c r="BT1697" s="128"/>
      <c r="BU1697" s="128"/>
      <c r="BV1697" s="128"/>
      <c r="BW1697" s="128"/>
      <c r="BX1697" s="128"/>
      <c r="BY1697" s="128"/>
      <c r="BZ1697" s="128"/>
      <c r="CA1697" s="128"/>
      <c r="CB1697" s="128"/>
      <c r="CC1697" s="128"/>
      <c r="CD1697" s="128"/>
      <c r="CE1697" s="128"/>
      <c r="CF1697" s="128"/>
      <c r="CG1697" s="128"/>
      <c r="CI1697" s="128"/>
      <c r="CJ1697" s="128"/>
      <c r="CK1697" s="128"/>
      <c r="CL1697" s="128"/>
      <c r="CM1697" s="128"/>
      <c r="CN1697" s="128"/>
      <c r="CO1697" s="128"/>
      <c r="CP1697" s="128"/>
      <c r="CQ1697" s="128"/>
      <c r="CR1697" s="128"/>
      <c r="CS1697" s="128"/>
      <c r="CT1697" s="128"/>
      <c r="CU1697" s="128"/>
      <c r="CV1697" s="128"/>
      <c r="CW1697" s="128"/>
      <c r="CX1697" s="128"/>
      <c r="CY1697" s="128"/>
      <c r="CZ1697" s="165"/>
    </row>
    <row r="1698" spans="1:104">
      <c r="A1698" s="149"/>
      <c r="B1698" s="149"/>
      <c r="C1698" s="150"/>
      <c r="D1698" s="102"/>
      <c r="E1698" s="149"/>
      <c r="F1698" s="149"/>
      <c r="G1698" s="149"/>
      <c r="H1698" s="149"/>
      <c r="I1698" s="149"/>
      <c r="J1698" s="149"/>
      <c r="K1698" s="149"/>
      <c r="L1698" s="149"/>
      <c r="M1698" s="149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9"/>
      <c r="AA1698" s="149"/>
      <c r="AB1698" s="149"/>
      <c r="AC1698" s="149"/>
      <c r="AD1698" s="149"/>
      <c r="AE1698" s="149"/>
      <c r="AF1698" s="149"/>
      <c r="AG1698" s="149"/>
      <c r="AH1698" s="149"/>
      <c r="AI1698" s="149"/>
      <c r="AJ1698" s="149"/>
      <c r="AK1698" s="149"/>
      <c r="AL1698" s="149"/>
      <c r="AM1698" s="149"/>
      <c r="AN1698" s="149"/>
      <c r="AO1698" s="128"/>
      <c r="AP1698" s="128"/>
      <c r="AQ1698" s="128"/>
      <c r="AR1698" s="128"/>
      <c r="AS1698" s="128"/>
      <c r="AT1698" s="128"/>
      <c r="AU1698" s="128"/>
      <c r="AV1698" s="128"/>
      <c r="AW1698" s="128"/>
      <c r="AX1698" s="128"/>
      <c r="AY1698" s="128"/>
      <c r="AZ1698" s="128"/>
      <c r="BA1698" s="128"/>
      <c r="BB1698" s="128"/>
      <c r="BC1698" s="128"/>
      <c r="BD1698" s="128"/>
      <c r="BE1698" s="128"/>
      <c r="BF1698" s="128"/>
      <c r="BG1698" s="128"/>
      <c r="BH1698" s="128"/>
      <c r="BI1698" s="128"/>
      <c r="BJ1698" s="128"/>
      <c r="BK1698" s="128"/>
      <c r="BL1698" s="128"/>
      <c r="BM1698" s="151"/>
      <c r="BN1698" s="128"/>
      <c r="BO1698" s="128"/>
      <c r="BP1698" s="128"/>
      <c r="BQ1698" s="128"/>
      <c r="BR1698" s="128"/>
      <c r="BS1698" s="128"/>
      <c r="BT1698" s="128"/>
      <c r="BU1698" s="128"/>
      <c r="BV1698" s="128"/>
      <c r="BW1698" s="128"/>
      <c r="BX1698" s="128"/>
      <c r="BY1698" s="128"/>
      <c r="BZ1698" s="128"/>
      <c r="CA1698" s="128"/>
      <c r="CB1698" s="128"/>
      <c r="CC1698" s="128"/>
      <c r="CD1698" s="128"/>
      <c r="CE1698" s="128"/>
      <c r="CF1698" s="128"/>
      <c r="CG1698" s="128"/>
      <c r="CI1698" s="128"/>
      <c r="CJ1698" s="128"/>
      <c r="CK1698" s="128"/>
      <c r="CL1698" s="128"/>
      <c r="CM1698" s="128"/>
      <c r="CN1698" s="128"/>
      <c r="CO1698" s="128"/>
      <c r="CP1698" s="128"/>
      <c r="CQ1698" s="128"/>
      <c r="CR1698" s="128"/>
      <c r="CS1698" s="128"/>
      <c r="CT1698" s="128"/>
      <c r="CU1698" s="128"/>
      <c r="CV1698" s="128"/>
      <c r="CW1698" s="128"/>
      <c r="CX1698" s="128"/>
      <c r="CY1698" s="128"/>
      <c r="CZ1698" s="165"/>
    </row>
    <row r="1699" spans="1:104">
      <c r="A1699" s="149"/>
      <c r="B1699" s="149"/>
      <c r="C1699" s="150"/>
      <c r="D1699" s="102"/>
      <c r="E1699" s="149"/>
      <c r="F1699" s="149"/>
      <c r="G1699" s="149"/>
      <c r="H1699" s="149"/>
      <c r="I1699" s="149"/>
      <c r="J1699" s="149"/>
      <c r="K1699" s="149"/>
      <c r="L1699" s="149"/>
      <c r="M1699" s="149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9"/>
      <c r="AA1699" s="149"/>
      <c r="AB1699" s="149"/>
      <c r="AC1699" s="149"/>
      <c r="AD1699" s="149"/>
      <c r="AE1699" s="149"/>
      <c r="AF1699" s="149"/>
      <c r="AG1699" s="149"/>
      <c r="AH1699" s="149"/>
      <c r="AI1699" s="149"/>
      <c r="AJ1699" s="149"/>
      <c r="AK1699" s="149"/>
      <c r="AL1699" s="149"/>
      <c r="AM1699" s="149"/>
      <c r="AN1699" s="149"/>
      <c r="AO1699" s="128"/>
      <c r="AP1699" s="128"/>
      <c r="AQ1699" s="128"/>
      <c r="AR1699" s="128"/>
      <c r="AS1699" s="128"/>
      <c r="AT1699" s="128"/>
      <c r="AU1699" s="128"/>
      <c r="AV1699" s="128"/>
      <c r="AW1699" s="128"/>
      <c r="AX1699" s="128"/>
      <c r="AY1699" s="128"/>
      <c r="AZ1699" s="128"/>
      <c r="BA1699" s="128"/>
      <c r="BB1699" s="128"/>
      <c r="BC1699" s="128"/>
      <c r="BD1699" s="128"/>
      <c r="BE1699" s="128"/>
      <c r="BF1699" s="128"/>
      <c r="BG1699" s="128"/>
      <c r="BH1699" s="128"/>
      <c r="BI1699" s="128"/>
      <c r="BJ1699" s="128"/>
      <c r="BK1699" s="128"/>
      <c r="BL1699" s="128"/>
      <c r="BM1699" s="151"/>
      <c r="BN1699" s="128"/>
      <c r="BO1699" s="128"/>
      <c r="BP1699" s="128"/>
      <c r="BQ1699" s="128"/>
      <c r="BR1699" s="128"/>
      <c r="BS1699" s="128"/>
      <c r="BT1699" s="128"/>
      <c r="BU1699" s="128"/>
      <c r="BV1699" s="128"/>
      <c r="BW1699" s="128"/>
      <c r="BX1699" s="128"/>
      <c r="BY1699" s="128"/>
      <c r="BZ1699" s="128"/>
      <c r="CA1699" s="128"/>
      <c r="CB1699" s="128"/>
      <c r="CC1699" s="128"/>
      <c r="CD1699" s="128"/>
      <c r="CE1699" s="128"/>
      <c r="CF1699" s="128"/>
      <c r="CG1699" s="128"/>
      <c r="CI1699" s="128"/>
      <c r="CJ1699" s="128"/>
      <c r="CK1699" s="128"/>
      <c r="CL1699" s="128"/>
      <c r="CM1699" s="128"/>
      <c r="CN1699" s="128"/>
      <c r="CO1699" s="128"/>
      <c r="CP1699" s="128"/>
      <c r="CQ1699" s="128"/>
      <c r="CR1699" s="128"/>
      <c r="CS1699" s="128"/>
      <c r="CT1699" s="128"/>
      <c r="CU1699" s="128"/>
      <c r="CV1699" s="128"/>
      <c r="CW1699" s="128"/>
      <c r="CX1699" s="128"/>
      <c r="CY1699" s="128"/>
      <c r="CZ1699" s="165"/>
    </row>
    <row r="1700" spans="1:104">
      <c r="A1700" s="149"/>
      <c r="B1700" s="149"/>
      <c r="C1700" s="150"/>
      <c r="D1700" s="102"/>
      <c r="E1700" s="149"/>
      <c r="F1700" s="149"/>
      <c r="G1700" s="149"/>
      <c r="H1700" s="149"/>
      <c r="I1700" s="149"/>
      <c r="J1700" s="149"/>
      <c r="K1700" s="149"/>
      <c r="L1700" s="149"/>
      <c r="M1700" s="149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9"/>
      <c r="AA1700" s="149"/>
      <c r="AB1700" s="149"/>
      <c r="AC1700" s="149"/>
      <c r="AD1700" s="149"/>
      <c r="AE1700" s="149"/>
      <c r="AF1700" s="149"/>
      <c r="AG1700" s="149"/>
      <c r="AH1700" s="149"/>
      <c r="AI1700" s="149"/>
      <c r="AJ1700" s="149"/>
      <c r="AK1700" s="149"/>
      <c r="AL1700" s="149"/>
      <c r="AM1700" s="149"/>
      <c r="AN1700" s="149"/>
      <c r="AO1700" s="128"/>
      <c r="AP1700" s="128"/>
      <c r="AQ1700" s="128"/>
      <c r="AR1700" s="128"/>
      <c r="AS1700" s="128"/>
      <c r="AT1700" s="128"/>
      <c r="AU1700" s="128"/>
      <c r="AV1700" s="128"/>
      <c r="AW1700" s="128"/>
      <c r="AX1700" s="128"/>
      <c r="AY1700" s="128"/>
      <c r="AZ1700" s="128"/>
      <c r="BA1700" s="128"/>
      <c r="BB1700" s="128"/>
      <c r="BC1700" s="128"/>
      <c r="BD1700" s="128"/>
      <c r="BE1700" s="128"/>
      <c r="BF1700" s="128"/>
      <c r="BG1700" s="128"/>
      <c r="BH1700" s="128"/>
      <c r="BI1700" s="128"/>
      <c r="BJ1700" s="128"/>
      <c r="BK1700" s="128"/>
      <c r="BL1700" s="128"/>
      <c r="BM1700" s="151"/>
      <c r="BN1700" s="128"/>
      <c r="BO1700" s="128"/>
      <c r="BP1700" s="128"/>
      <c r="BQ1700" s="128"/>
      <c r="BR1700" s="128"/>
      <c r="BS1700" s="128"/>
      <c r="BT1700" s="128"/>
      <c r="BU1700" s="128"/>
      <c r="BV1700" s="128"/>
      <c r="BW1700" s="128"/>
      <c r="BX1700" s="128"/>
      <c r="BY1700" s="128"/>
      <c r="BZ1700" s="128"/>
      <c r="CA1700" s="128"/>
      <c r="CB1700" s="128"/>
      <c r="CC1700" s="128"/>
      <c r="CD1700" s="128"/>
      <c r="CE1700" s="128"/>
      <c r="CF1700" s="128"/>
      <c r="CG1700" s="128"/>
      <c r="CI1700" s="128"/>
      <c r="CJ1700" s="128"/>
      <c r="CK1700" s="128"/>
      <c r="CL1700" s="128"/>
      <c r="CM1700" s="128"/>
      <c r="CN1700" s="128"/>
      <c r="CO1700" s="128"/>
      <c r="CP1700" s="128"/>
      <c r="CQ1700" s="128"/>
      <c r="CR1700" s="128"/>
      <c r="CS1700" s="128"/>
      <c r="CT1700" s="128"/>
      <c r="CU1700" s="128"/>
      <c r="CV1700" s="128"/>
      <c r="CW1700" s="128"/>
      <c r="CX1700" s="128"/>
      <c r="CY1700" s="128"/>
      <c r="CZ1700" s="165"/>
    </row>
    <row r="1701" spans="1:104">
      <c r="A1701" s="149"/>
      <c r="B1701" s="149"/>
      <c r="C1701" s="150"/>
      <c r="D1701" s="102"/>
      <c r="E1701" s="149"/>
      <c r="F1701" s="149"/>
      <c r="G1701" s="149"/>
      <c r="H1701" s="149"/>
      <c r="I1701" s="149"/>
      <c r="J1701" s="149"/>
      <c r="K1701" s="149"/>
      <c r="L1701" s="149"/>
      <c r="M1701" s="149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9"/>
      <c r="AA1701" s="149"/>
      <c r="AB1701" s="149"/>
      <c r="AC1701" s="149"/>
      <c r="AD1701" s="149"/>
      <c r="AE1701" s="149"/>
      <c r="AF1701" s="149"/>
      <c r="AG1701" s="149"/>
      <c r="AH1701" s="149"/>
      <c r="AI1701" s="149"/>
      <c r="AJ1701" s="149"/>
      <c r="AK1701" s="149"/>
      <c r="AL1701" s="149"/>
      <c r="AM1701" s="149"/>
      <c r="AN1701" s="149"/>
      <c r="AO1701" s="128"/>
      <c r="AP1701" s="128"/>
      <c r="AQ1701" s="128"/>
      <c r="AR1701" s="128"/>
      <c r="AS1701" s="128"/>
      <c r="AT1701" s="128"/>
      <c r="AU1701" s="128"/>
      <c r="AV1701" s="128"/>
      <c r="AW1701" s="128"/>
      <c r="AX1701" s="128"/>
      <c r="AY1701" s="128"/>
      <c r="AZ1701" s="128"/>
      <c r="BA1701" s="128"/>
      <c r="BB1701" s="128"/>
      <c r="BC1701" s="128"/>
      <c r="BD1701" s="128"/>
      <c r="BE1701" s="128"/>
      <c r="BF1701" s="128"/>
      <c r="BG1701" s="128"/>
      <c r="BH1701" s="128"/>
      <c r="BI1701" s="128"/>
      <c r="BJ1701" s="128"/>
      <c r="BK1701" s="128"/>
      <c r="BL1701" s="128"/>
      <c r="BM1701" s="151"/>
      <c r="BN1701" s="128"/>
      <c r="BO1701" s="128"/>
      <c r="BP1701" s="128"/>
      <c r="BQ1701" s="128"/>
      <c r="BR1701" s="128"/>
      <c r="BS1701" s="128"/>
      <c r="BT1701" s="128"/>
      <c r="BU1701" s="128"/>
      <c r="BV1701" s="128"/>
      <c r="BW1701" s="128"/>
      <c r="BX1701" s="128"/>
      <c r="BY1701" s="128"/>
      <c r="BZ1701" s="128"/>
      <c r="CA1701" s="128"/>
      <c r="CB1701" s="128"/>
      <c r="CC1701" s="128"/>
      <c r="CD1701" s="128"/>
      <c r="CE1701" s="128"/>
      <c r="CF1701" s="128"/>
      <c r="CG1701" s="128"/>
      <c r="CI1701" s="128"/>
      <c r="CJ1701" s="128"/>
      <c r="CK1701" s="128"/>
      <c r="CL1701" s="128"/>
      <c r="CM1701" s="128"/>
      <c r="CN1701" s="128"/>
      <c r="CO1701" s="128"/>
      <c r="CP1701" s="128"/>
      <c r="CQ1701" s="128"/>
      <c r="CR1701" s="128"/>
      <c r="CS1701" s="128"/>
      <c r="CT1701" s="128"/>
      <c r="CU1701" s="128"/>
      <c r="CV1701" s="128"/>
      <c r="CW1701" s="128"/>
      <c r="CX1701" s="128"/>
      <c r="CY1701" s="128"/>
      <c r="CZ1701" s="165"/>
    </row>
    <row r="1702" spans="1:104">
      <c r="A1702" s="149"/>
      <c r="B1702" s="149"/>
      <c r="C1702" s="150"/>
      <c r="D1702" s="102"/>
      <c r="E1702" s="149"/>
      <c r="F1702" s="149"/>
      <c r="G1702" s="149"/>
      <c r="H1702" s="149"/>
      <c r="I1702" s="149"/>
      <c r="J1702" s="149"/>
      <c r="K1702" s="149"/>
      <c r="L1702" s="149"/>
      <c r="M1702" s="149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9"/>
      <c r="AA1702" s="149"/>
      <c r="AB1702" s="149"/>
      <c r="AC1702" s="149"/>
      <c r="AD1702" s="149"/>
      <c r="AE1702" s="149"/>
      <c r="AF1702" s="149"/>
      <c r="AG1702" s="149"/>
      <c r="AH1702" s="149"/>
      <c r="AI1702" s="149"/>
      <c r="AJ1702" s="149"/>
      <c r="AK1702" s="149"/>
      <c r="AL1702" s="149"/>
      <c r="AM1702" s="149"/>
      <c r="AN1702" s="149"/>
      <c r="AO1702" s="128"/>
      <c r="AP1702" s="128"/>
      <c r="AQ1702" s="128"/>
      <c r="AR1702" s="128"/>
      <c r="AS1702" s="128"/>
      <c r="AT1702" s="128"/>
      <c r="AU1702" s="128"/>
      <c r="AV1702" s="128"/>
      <c r="AW1702" s="128"/>
      <c r="AX1702" s="128"/>
      <c r="AY1702" s="128"/>
      <c r="AZ1702" s="128"/>
      <c r="BA1702" s="128"/>
      <c r="BB1702" s="128"/>
      <c r="BC1702" s="128"/>
      <c r="BD1702" s="128"/>
      <c r="BE1702" s="128"/>
      <c r="BF1702" s="128"/>
      <c r="BG1702" s="128"/>
      <c r="BH1702" s="128"/>
      <c r="BI1702" s="128"/>
      <c r="BJ1702" s="128"/>
      <c r="BK1702" s="128"/>
      <c r="BL1702" s="128"/>
      <c r="BM1702" s="151"/>
      <c r="BN1702" s="128"/>
      <c r="BO1702" s="128"/>
      <c r="BP1702" s="128"/>
      <c r="BQ1702" s="128"/>
      <c r="BR1702" s="128"/>
      <c r="BS1702" s="128"/>
      <c r="BT1702" s="128"/>
      <c r="BU1702" s="128"/>
      <c r="BV1702" s="128"/>
      <c r="BW1702" s="128"/>
      <c r="BX1702" s="128"/>
      <c r="BY1702" s="128"/>
      <c r="BZ1702" s="128"/>
      <c r="CA1702" s="128"/>
      <c r="CB1702" s="128"/>
      <c r="CC1702" s="128"/>
      <c r="CD1702" s="128"/>
      <c r="CE1702" s="128"/>
      <c r="CF1702" s="128"/>
      <c r="CG1702" s="128"/>
      <c r="CI1702" s="128"/>
      <c r="CJ1702" s="128"/>
      <c r="CK1702" s="128"/>
      <c r="CL1702" s="128"/>
      <c r="CM1702" s="128"/>
      <c r="CN1702" s="128"/>
      <c r="CO1702" s="128"/>
      <c r="CP1702" s="128"/>
      <c r="CQ1702" s="128"/>
      <c r="CR1702" s="128"/>
      <c r="CS1702" s="128"/>
      <c r="CT1702" s="128"/>
      <c r="CU1702" s="128"/>
      <c r="CV1702" s="128"/>
      <c r="CW1702" s="128"/>
      <c r="CX1702" s="128"/>
      <c r="CY1702" s="128"/>
      <c r="CZ1702" s="165"/>
    </row>
    <row r="1703" spans="1:104">
      <c r="A1703" s="149"/>
      <c r="B1703" s="149"/>
      <c r="C1703" s="150"/>
      <c r="D1703" s="102"/>
      <c r="E1703" s="149"/>
      <c r="F1703" s="149"/>
      <c r="G1703" s="149"/>
      <c r="H1703" s="149"/>
      <c r="I1703" s="149"/>
      <c r="J1703" s="149"/>
      <c r="K1703" s="149"/>
      <c r="L1703" s="149"/>
      <c r="M1703" s="149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9"/>
      <c r="AA1703" s="149"/>
      <c r="AB1703" s="149"/>
      <c r="AC1703" s="149"/>
      <c r="AD1703" s="149"/>
      <c r="AE1703" s="149"/>
      <c r="AF1703" s="149"/>
      <c r="AG1703" s="149"/>
      <c r="AH1703" s="149"/>
      <c r="AI1703" s="149"/>
      <c r="AJ1703" s="149"/>
      <c r="AK1703" s="149"/>
      <c r="AL1703" s="149"/>
      <c r="AM1703" s="149"/>
      <c r="AN1703" s="149"/>
      <c r="AO1703" s="128"/>
      <c r="AP1703" s="128"/>
      <c r="AQ1703" s="128"/>
      <c r="AR1703" s="128"/>
      <c r="AS1703" s="128"/>
      <c r="AT1703" s="128"/>
      <c r="AU1703" s="128"/>
      <c r="AV1703" s="128"/>
      <c r="AW1703" s="128"/>
      <c r="AX1703" s="128"/>
      <c r="AY1703" s="128"/>
      <c r="AZ1703" s="128"/>
      <c r="BA1703" s="128"/>
      <c r="BB1703" s="128"/>
      <c r="BC1703" s="128"/>
      <c r="BD1703" s="128"/>
      <c r="BE1703" s="128"/>
      <c r="BF1703" s="128"/>
      <c r="BG1703" s="128"/>
      <c r="BH1703" s="128"/>
      <c r="BI1703" s="128"/>
      <c r="BJ1703" s="128"/>
      <c r="BK1703" s="128"/>
      <c r="BL1703" s="128"/>
      <c r="BM1703" s="151"/>
      <c r="BN1703" s="128"/>
      <c r="BO1703" s="128"/>
      <c r="BP1703" s="128"/>
      <c r="BQ1703" s="128"/>
      <c r="BR1703" s="128"/>
      <c r="BS1703" s="128"/>
      <c r="BT1703" s="128"/>
      <c r="BU1703" s="128"/>
      <c r="BV1703" s="128"/>
      <c r="BW1703" s="128"/>
      <c r="BX1703" s="128"/>
      <c r="BY1703" s="128"/>
      <c r="BZ1703" s="128"/>
      <c r="CA1703" s="128"/>
      <c r="CB1703" s="128"/>
      <c r="CC1703" s="128"/>
      <c r="CD1703" s="128"/>
      <c r="CE1703" s="128"/>
      <c r="CF1703" s="128"/>
      <c r="CG1703" s="128"/>
      <c r="CI1703" s="128"/>
      <c r="CJ1703" s="128"/>
      <c r="CK1703" s="128"/>
      <c r="CL1703" s="128"/>
      <c r="CM1703" s="128"/>
      <c r="CN1703" s="128"/>
      <c r="CO1703" s="128"/>
      <c r="CP1703" s="128"/>
      <c r="CQ1703" s="128"/>
      <c r="CR1703" s="128"/>
      <c r="CS1703" s="128"/>
      <c r="CT1703" s="128"/>
      <c r="CU1703" s="128"/>
      <c r="CV1703" s="128"/>
      <c r="CW1703" s="128"/>
      <c r="CX1703" s="128"/>
      <c r="CY1703" s="128"/>
      <c r="CZ1703" s="165"/>
    </row>
    <row r="1704" spans="1:104">
      <c r="A1704" s="149"/>
      <c r="B1704" s="149"/>
      <c r="C1704" s="150"/>
      <c r="D1704" s="102"/>
      <c r="E1704" s="149"/>
      <c r="F1704" s="149"/>
      <c r="G1704" s="149"/>
      <c r="H1704" s="149"/>
      <c r="I1704" s="149"/>
      <c r="J1704" s="149"/>
      <c r="K1704" s="149"/>
      <c r="L1704" s="149"/>
      <c r="M1704" s="149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9"/>
      <c r="AA1704" s="149"/>
      <c r="AB1704" s="149"/>
      <c r="AC1704" s="149"/>
      <c r="AD1704" s="149"/>
      <c r="AE1704" s="149"/>
      <c r="AF1704" s="149"/>
      <c r="AG1704" s="149"/>
      <c r="AH1704" s="149"/>
      <c r="AI1704" s="149"/>
      <c r="AJ1704" s="149"/>
      <c r="AK1704" s="149"/>
      <c r="AL1704" s="149"/>
      <c r="AM1704" s="149"/>
      <c r="AN1704" s="149"/>
      <c r="AO1704" s="128"/>
      <c r="AP1704" s="128"/>
      <c r="AQ1704" s="128"/>
      <c r="AR1704" s="128"/>
      <c r="AS1704" s="128"/>
      <c r="AT1704" s="128"/>
      <c r="AU1704" s="128"/>
      <c r="AV1704" s="128"/>
      <c r="AW1704" s="128"/>
      <c r="AX1704" s="128"/>
      <c r="AY1704" s="128"/>
      <c r="AZ1704" s="128"/>
      <c r="BA1704" s="128"/>
      <c r="BB1704" s="128"/>
      <c r="BC1704" s="128"/>
      <c r="BD1704" s="128"/>
      <c r="BE1704" s="128"/>
      <c r="BF1704" s="128"/>
      <c r="BG1704" s="128"/>
      <c r="BH1704" s="128"/>
      <c r="BI1704" s="128"/>
      <c r="BJ1704" s="128"/>
      <c r="BK1704" s="128"/>
      <c r="BL1704" s="128"/>
      <c r="BM1704" s="151"/>
      <c r="BN1704" s="128"/>
      <c r="BO1704" s="128"/>
      <c r="BP1704" s="128"/>
      <c r="BQ1704" s="128"/>
      <c r="BR1704" s="128"/>
      <c r="BS1704" s="128"/>
      <c r="BT1704" s="128"/>
      <c r="BU1704" s="128"/>
      <c r="BV1704" s="128"/>
      <c r="BW1704" s="128"/>
      <c r="BX1704" s="128"/>
      <c r="BY1704" s="128"/>
      <c r="BZ1704" s="128"/>
      <c r="CA1704" s="128"/>
      <c r="CB1704" s="128"/>
      <c r="CC1704" s="128"/>
      <c r="CD1704" s="128"/>
      <c r="CE1704" s="128"/>
      <c r="CF1704" s="128"/>
      <c r="CG1704" s="128"/>
      <c r="CI1704" s="128"/>
      <c r="CJ1704" s="128"/>
      <c r="CK1704" s="128"/>
      <c r="CL1704" s="128"/>
      <c r="CM1704" s="128"/>
      <c r="CN1704" s="128"/>
      <c r="CO1704" s="128"/>
      <c r="CP1704" s="128"/>
      <c r="CQ1704" s="128"/>
      <c r="CR1704" s="128"/>
      <c r="CS1704" s="128"/>
      <c r="CT1704" s="128"/>
      <c r="CU1704" s="128"/>
      <c r="CV1704" s="128"/>
      <c r="CW1704" s="128"/>
      <c r="CX1704" s="128"/>
      <c r="CY1704" s="128"/>
      <c r="CZ1704" s="165"/>
    </row>
    <row r="1705" spans="1:104">
      <c r="A1705" s="149"/>
      <c r="B1705" s="149"/>
      <c r="C1705" s="150"/>
      <c r="D1705" s="102"/>
      <c r="E1705" s="149"/>
      <c r="F1705" s="149"/>
      <c r="G1705" s="149"/>
      <c r="H1705" s="149"/>
      <c r="I1705" s="149"/>
      <c r="J1705" s="149"/>
      <c r="K1705" s="149"/>
      <c r="L1705" s="149"/>
      <c r="M1705" s="149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9"/>
      <c r="AA1705" s="149"/>
      <c r="AB1705" s="149"/>
      <c r="AC1705" s="149"/>
      <c r="AD1705" s="149"/>
      <c r="AE1705" s="149"/>
      <c r="AF1705" s="149"/>
      <c r="AG1705" s="149"/>
      <c r="AH1705" s="149"/>
      <c r="AI1705" s="149"/>
      <c r="AJ1705" s="149"/>
      <c r="AK1705" s="149"/>
      <c r="AL1705" s="149"/>
      <c r="AM1705" s="149"/>
      <c r="AN1705" s="149"/>
      <c r="AO1705" s="128"/>
      <c r="AP1705" s="128"/>
      <c r="AQ1705" s="128"/>
      <c r="AR1705" s="128"/>
      <c r="AS1705" s="128"/>
      <c r="AT1705" s="128"/>
      <c r="AU1705" s="128"/>
      <c r="AV1705" s="128"/>
      <c r="AW1705" s="128"/>
      <c r="AX1705" s="128"/>
      <c r="AY1705" s="128"/>
      <c r="AZ1705" s="128"/>
      <c r="BA1705" s="128"/>
      <c r="BB1705" s="128"/>
      <c r="BC1705" s="128"/>
      <c r="BD1705" s="128"/>
      <c r="BE1705" s="128"/>
      <c r="BF1705" s="128"/>
      <c r="BG1705" s="128"/>
      <c r="BH1705" s="128"/>
      <c r="BI1705" s="128"/>
      <c r="BJ1705" s="128"/>
      <c r="BK1705" s="128"/>
      <c r="BL1705" s="128"/>
      <c r="BM1705" s="151"/>
      <c r="BN1705" s="128"/>
      <c r="BO1705" s="128"/>
      <c r="BP1705" s="128"/>
      <c r="BQ1705" s="128"/>
      <c r="BR1705" s="128"/>
      <c r="BS1705" s="128"/>
      <c r="BT1705" s="128"/>
      <c r="BU1705" s="128"/>
      <c r="BV1705" s="128"/>
      <c r="BW1705" s="128"/>
      <c r="BX1705" s="128"/>
      <c r="BY1705" s="128"/>
      <c r="BZ1705" s="128"/>
      <c r="CA1705" s="128"/>
      <c r="CB1705" s="128"/>
      <c r="CC1705" s="128"/>
      <c r="CD1705" s="128"/>
      <c r="CE1705" s="128"/>
      <c r="CF1705" s="128"/>
      <c r="CG1705" s="128"/>
      <c r="CI1705" s="128"/>
      <c r="CJ1705" s="128"/>
      <c r="CK1705" s="128"/>
      <c r="CL1705" s="128"/>
      <c r="CM1705" s="128"/>
      <c r="CN1705" s="128"/>
      <c r="CO1705" s="128"/>
      <c r="CP1705" s="128"/>
      <c r="CQ1705" s="128"/>
      <c r="CR1705" s="128"/>
      <c r="CS1705" s="128"/>
      <c r="CT1705" s="128"/>
      <c r="CU1705" s="128"/>
      <c r="CV1705" s="128"/>
      <c r="CW1705" s="128"/>
      <c r="CX1705" s="128"/>
      <c r="CY1705" s="128"/>
      <c r="CZ1705" s="165"/>
    </row>
    <row r="1706" spans="1:104">
      <c r="A1706" s="149"/>
      <c r="B1706" s="149"/>
      <c r="C1706" s="150"/>
      <c r="D1706" s="102"/>
      <c r="E1706" s="149"/>
      <c r="F1706" s="149"/>
      <c r="G1706" s="149"/>
      <c r="H1706" s="149"/>
      <c r="I1706" s="149"/>
      <c r="J1706" s="149"/>
      <c r="K1706" s="149"/>
      <c r="L1706" s="149"/>
      <c r="M1706" s="149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9"/>
      <c r="AA1706" s="149"/>
      <c r="AB1706" s="149"/>
      <c r="AC1706" s="149"/>
      <c r="AD1706" s="149"/>
      <c r="AE1706" s="149"/>
      <c r="AF1706" s="149"/>
      <c r="AG1706" s="149"/>
      <c r="AH1706" s="149"/>
      <c r="AI1706" s="149"/>
      <c r="AJ1706" s="149"/>
      <c r="AK1706" s="149"/>
      <c r="AL1706" s="149"/>
      <c r="AM1706" s="149"/>
      <c r="AN1706" s="149"/>
      <c r="AO1706" s="128"/>
      <c r="AP1706" s="128"/>
      <c r="AQ1706" s="128"/>
      <c r="AR1706" s="128"/>
      <c r="AS1706" s="128"/>
      <c r="AT1706" s="128"/>
      <c r="AU1706" s="128"/>
      <c r="AV1706" s="128"/>
      <c r="AW1706" s="128"/>
      <c r="AX1706" s="128"/>
      <c r="AY1706" s="128"/>
      <c r="AZ1706" s="128"/>
      <c r="BA1706" s="128"/>
      <c r="BB1706" s="128"/>
      <c r="BC1706" s="128"/>
      <c r="BD1706" s="128"/>
      <c r="BE1706" s="128"/>
      <c r="BF1706" s="128"/>
      <c r="BG1706" s="128"/>
      <c r="BH1706" s="128"/>
      <c r="BI1706" s="128"/>
      <c r="BJ1706" s="128"/>
      <c r="BK1706" s="128"/>
      <c r="BL1706" s="128"/>
      <c r="BM1706" s="151"/>
      <c r="BN1706" s="128"/>
      <c r="BO1706" s="128"/>
      <c r="BP1706" s="128"/>
      <c r="BQ1706" s="128"/>
      <c r="BR1706" s="128"/>
      <c r="BS1706" s="128"/>
      <c r="BT1706" s="128"/>
      <c r="BU1706" s="128"/>
      <c r="BV1706" s="128"/>
      <c r="BW1706" s="128"/>
      <c r="BX1706" s="128"/>
      <c r="BY1706" s="128"/>
      <c r="BZ1706" s="128"/>
      <c r="CA1706" s="128"/>
      <c r="CB1706" s="128"/>
      <c r="CC1706" s="128"/>
      <c r="CD1706" s="128"/>
      <c r="CE1706" s="128"/>
      <c r="CF1706" s="128"/>
      <c r="CG1706" s="128"/>
      <c r="CI1706" s="128"/>
      <c r="CJ1706" s="128"/>
      <c r="CK1706" s="128"/>
      <c r="CL1706" s="128"/>
      <c r="CM1706" s="128"/>
      <c r="CN1706" s="128"/>
      <c r="CO1706" s="128"/>
      <c r="CP1706" s="128"/>
      <c r="CQ1706" s="128"/>
      <c r="CR1706" s="128"/>
      <c r="CS1706" s="128"/>
      <c r="CT1706" s="128"/>
      <c r="CU1706" s="128"/>
      <c r="CV1706" s="128"/>
      <c r="CW1706" s="128"/>
      <c r="CX1706" s="128"/>
      <c r="CY1706" s="128"/>
      <c r="CZ1706" s="165"/>
    </row>
    <row r="1707" spans="1:104">
      <c r="A1707" s="149"/>
      <c r="B1707" s="149"/>
      <c r="C1707" s="150"/>
      <c r="D1707" s="102"/>
      <c r="E1707" s="149"/>
      <c r="F1707" s="149"/>
      <c r="G1707" s="149"/>
      <c r="H1707" s="149"/>
      <c r="I1707" s="149"/>
      <c r="J1707" s="149"/>
      <c r="K1707" s="149"/>
      <c r="L1707" s="149"/>
      <c r="M1707" s="149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9"/>
      <c r="AA1707" s="149"/>
      <c r="AB1707" s="149"/>
      <c r="AC1707" s="149"/>
      <c r="AD1707" s="149"/>
      <c r="AE1707" s="149"/>
      <c r="AF1707" s="149"/>
      <c r="AG1707" s="149"/>
      <c r="AH1707" s="149"/>
      <c r="AI1707" s="149"/>
      <c r="AJ1707" s="149"/>
      <c r="AK1707" s="149"/>
      <c r="AL1707" s="149"/>
      <c r="AM1707" s="149"/>
      <c r="AN1707" s="149"/>
      <c r="AO1707" s="128"/>
      <c r="AP1707" s="128"/>
      <c r="AQ1707" s="128"/>
      <c r="AR1707" s="128"/>
      <c r="AS1707" s="128"/>
      <c r="AT1707" s="128"/>
      <c r="AU1707" s="128"/>
      <c r="AV1707" s="128"/>
      <c r="AW1707" s="128"/>
      <c r="AX1707" s="128"/>
      <c r="AY1707" s="128"/>
      <c r="AZ1707" s="128"/>
      <c r="BA1707" s="128"/>
      <c r="BB1707" s="128"/>
      <c r="BC1707" s="128"/>
      <c r="BD1707" s="128"/>
      <c r="BE1707" s="128"/>
      <c r="BF1707" s="128"/>
      <c r="BG1707" s="128"/>
      <c r="BH1707" s="128"/>
      <c r="BI1707" s="128"/>
      <c r="BJ1707" s="128"/>
      <c r="BK1707" s="128"/>
      <c r="BL1707" s="128"/>
      <c r="BM1707" s="151"/>
      <c r="BN1707" s="128"/>
      <c r="BO1707" s="128"/>
      <c r="BP1707" s="128"/>
      <c r="BQ1707" s="128"/>
      <c r="BR1707" s="128"/>
      <c r="BS1707" s="128"/>
      <c r="BT1707" s="128"/>
      <c r="BU1707" s="128"/>
      <c r="BV1707" s="128"/>
      <c r="BW1707" s="128"/>
      <c r="BX1707" s="128"/>
      <c r="BY1707" s="128"/>
      <c r="BZ1707" s="128"/>
      <c r="CA1707" s="128"/>
      <c r="CB1707" s="128"/>
      <c r="CC1707" s="128"/>
      <c r="CD1707" s="128"/>
      <c r="CE1707" s="128"/>
      <c r="CF1707" s="128"/>
      <c r="CG1707" s="128"/>
      <c r="CI1707" s="128"/>
      <c r="CJ1707" s="128"/>
      <c r="CK1707" s="128"/>
      <c r="CL1707" s="128"/>
      <c r="CM1707" s="128"/>
      <c r="CN1707" s="128"/>
      <c r="CO1707" s="128"/>
      <c r="CP1707" s="128"/>
      <c r="CQ1707" s="128"/>
      <c r="CR1707" s="128"/>
      <c r="CS1707" s="128"/>
      <c r="CT1707" s="128"/>
      <c r="CU1707" s="128"/>
      <c r="CV1707" s="128"/>
      <c r="CW1707" s="128"/>
      <c r="CX1707" s="128"/>
      <c r="CY1707" s="128"/>
      <c r="CZ1707" s="165"/>
    </row>
    <row r="1708" spans="1:104">
      <c r="A1708" s="149"/>
      <c r="B1708" s="149"/>
      <c r="C1708" s="150"/>
      <c r="D1708" s="102"/>
      <c r="E1708" s="149"/>
      <c r="F1708" s="149"/>
      <c r="G1708" s="149"/>
      <c r="H1708" s="149"/>
      <c r="I1708" s="149"/>
      <c r="J1708" s="149"/>
      <c r="K1708" s="149"/>
      <c r="L1708" s="149"/>
      <c r="M1708" s="149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9"/>
      <c r="AA1708" s="149"/>
      <c r="AB1708" s="149"/>
      <c r="AC1708" s="149"/>
      <c r="AD1708" s="149"/>
      <c r="AE1708" s="149"/>
      <c r="AF1708" s="149"/>
      <c r="AG1708" s="149"/>
      <c r="AH1708" s="149"/>
      <c r="AI1708" s="149"/>
      <c r="AJ1708" s="149"/>
      <c r="AK1708" s="149"/>
      <c r="AL1708" s="149"/>
      <c r="AM1708" s="149"/>
      <c r="AN1708" s="149"/>
      <c r="AO1708" s="128"/>
      <c r="AP1708" s="128"/>
      <c r="AQ1708" s="128"/>
      <c r="AR1708" s="128"/>
      <c r="AS1708" s="128"/>
      <c r="AT1708" s="128"/>
      <c r="AU1708" s="128"/>
      <c r="AV1708" s="128"/>
      <c r="AW1708" s="128"/>
      <c r="AX1708" s="128"/>
      <c r="AY1708" s="128"/>
      <c r="AZ1708" s="128"/>
      <c r="BA1708" s="128"/>
      <c r="BB1708" s="128"/>
      <c r="BC1708" s="128"/>
      <c r="BD1708" s="128"/>
      <c r="BE1708" s="128"/>
      <c r="BF1708" s="128"/>
      <c r="BG1708" s="128"/>
      <c r="BH1708" s="128"/>
      <c r="BI1708" s="128"/>
      <c r="BJ1708" s="128"/>
      <c r="BK1708" s="128"/>
      <c r="BL1708" s="128"/>
      <c r="BM1708" s="151"/>
      <c r="BN1708" s="128"/>
      <c r="BO1708" s="128"/>
      <c r="BP1708" s="128"/>
      <c r="BQ1708" s="128"/>
      <c r="BR1708" s="128"/>
      <c r="BS1708" s="128"/>
      <c r="BT1708" s="128"/>
      <c r="BU1708" s="128"/>
      <c r="BV1708" s="128"/>
      <c r="BW1708" s="128"/>
      <c r="BX1708" s="128"/>
      <c r="BY1708" s="128"/>
      <c r="BZ1708" s="128"/>
      <c r="CA1708" s="128"/>
      <c r="CB1708" s="128"/>
      <c r="CC1708" s="128"/>
      <c r="CD1708" s="128"/>
      <c r="CE1708" s="128"/>
      <c r="CF1708" s="128"/>
      <c r="CG1708" s="128"/>
      <c r="CI1708" s="128"/>
      <c r="CJ1708" s="128"/>
      <c r="CK1708" s="128"/>
      <c r="CL1708" s="128"/>
      <c r="CM1708" s="128"/>
      <c r="CN1708" s="128"/>
      <c r="CO1708" s="128"/>
      <c r="CP1708" s="128"/>
      <c r="CQ1708" s="128"/>
      <c r="CR1708" s="128"/>
      <c r="CS1708" s="128"/>
      <c r="CT1708" s="128"/>
      <c r="CU1708" s="128"/>
      <c r="CV1708" s="128"/>
      <c r="CW1708" s="128"/>
      <c r="CX1708" s="128"/>
      <c r="CY1708" s="128"/>
      <c r="CZ1708" s="165"/>
    </row>
    <row r="1709" spans="1:104">
      <c r="A1709" s="149"/>
      <c r="B1709" s="149"/>
      <c r="C1709" s="150"/>
      <c r="D1709" s="102"/>
      <c r="E1709" s="149"/>
      <c r="F1709" s="149"/>
      <c r="G1709" s="149"/>
      <c r="H1709" s="149"/>
      <c r="I1709" s="149"/>
      <c r="J1709" s="149"/>
      <c r="K1709" s="149"/>
      <c r="L1709" s="149"/>
      <c r="M1709" s="149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9"/>
      <c r="AA1709" s="149"/>
      <c r="AB1709" s="149"/>
      <c r="AC1709" s="149"/>
      <c r="AD1709" s="149"/>
      <c r="AE1709" s="149"/>
      <c r="AF1709" s="149"/>
      <c r="AG1709" s="149"/>
      <c r="AH1709" s="149"/>
      <c r="AI1709" s="149"/>
      <c r="AJ1709" s="149"/>
      <c r="AK1709" s="149"/>
      <c r="AL1709" s="149"/>
      <c r="AM1709" s="149"/>
      <c r="AN1709" s="149"/>
      <c r="AO1709" s="128"/>
      <c r="AP1709" s="128"/>
      <c r="AQ1709" s="128"/>
      <c r="AR1709" s="128"/>
      <c r="AS1709" s="128"/>
      <c r="AT1709" s="128"/>
      <c r="AU1709" s="128"/>
      <c r="AV1709" s="128"/>
      <c r="AW1709" s="128"/>
      <c r="AX1709" s="128"/>
      <c r="AY1709" s="128"/>
      <c r="AZ1709" s="128"/>
      <c r="BA1709" s="128"/>
      <c r="BB1709" s="128"/>
      <c r="BC1709" s="128"/>
      <c r="BD1709" s="128"/>
      <c r="BE1709" s="128"/>
      <c r="BF1709" s="128"/>
      <c r="BG1709" s="128"/>
      <c r="BH1709" s="128"/>
      <c r="BI1709" s="128"/>
      <c r="BJ1709" s="128"/>
      <c r="BK1709" s="128"/>
      <c r="BL1709" s="128"/>
      <c r="BM1709" s="151"/>
      <c r="BN1709" s="128"/>
      <c r="BO1709" s="128"/>
      <c r="BP1709" s="128"/>
      <c r="BQ1709" s="128"/>
      <c r="BR1709" s="128"/>
      <c r="BS1709" s="128"/>
      <c r="BT1709" s="128"/>
      <c r="BU1709" s="128"/>
      <c r="BV1709" s="128"/>
      <c r="BW1709" s="128"/>
      <c r="BX1709" s="128"/>
      <c r="BY1709" s="128"/>
      <c r="BZ1709" s="128"/>
      <c r="CA1709" s="128"/>
      <c r="CB1709" s="128"/>
      <c r="CC1709" s="128"/>
      <c r="CD1709" s="128"/>
      <c r="CE1709" s="128"/>
      <c r="CF1709" s="128"/>
      <c r="CG1709" s="128"/>
      <c r="CI1709" s="128"/>
      <c r="CJ1709" s="128"/>
      <c r="CK1709" s="128"/>
      <c r="CL1709" s="128"/>
      <c r="CM1709" s="128"/>
      <c r="CN1709" s="128"/>
      <c r="CO1709" s="128"/>
      <c r="CP1709" s="128"/>
      <c r="CQ1709" s="128"/>
      <c r="CR1709" s="128"/>
      <c r="CS1709" s="128"/>
      <c r="CT1709" s="128"/>
      <c r="CU1709" s="128"/>
      <c r="CV1709" s="128"/>
      <c r="CW1709" s="128"/>
      <c r="CX1709" s="128"/>
      <c r="CY1709" s="128"/>
      <c r="CZ1709" s="165"/>
    </row>
    <row r="1710" spans="1:104">
      <c r="A1710" s="149"/>
      <c r="B1710" s="149"/>
      <c r="C1710" s="150"/>
      <c r="D1710" s="102"/>
      <c r="E1710" s="149"/>
      <c r="F1710" s="149"/>
      <c r="G1710" s="149"/>
      <c r="H1710" s="149"/>
      <c r="I1710" s="149"/>
      <c r="J1710" s="149"/>
      <c r="K1710" s="149"/>
      <c r="L1710" s="149"/>
      <c r="M1710" s="149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9"/>
      <c r="AA1710" s="149"/>
      <c r="AB1710" s="149"/>
      <c r="AC1710" s="149"/>
      <c r="AD1710" s="149"/>
      <c r="AE1710" s="149"/>
      <c r="AF1710" s="149"/>
      <c r="AG1710" s="149"/>
      <c r="AH1710" s="149"/>
      <c r="AI1710" s="149"/>
      <c r="AJ1710" s="149"/>
      <c r="AK1710" s="149"/>
      <c r="AL1710" s="149"/>
      <c r="AM1710" s="149"/>
      <c r="AN1710" s="149"/>
      <c r="AO1710" s="128"/>
      <c r="AP1710" s="128"/>
      <c r="AQ1710" s="128"/>
      <c r="AR1710" s="128"/>
      <c r="AS1710" s="128"/>
      <c r="AT1710" s="128"/>
      <c r="AU1710" s="128"/>
      <c r="AV1710" s="128"/>
      <c r="AW1710" s="128"/>
      <c r="AX1710" s="128"/>
      <c r="AY1710" s="128"/>
      <c r="AZ1710" s="128"/>
      <c r="BA1710" s="128"/>
      <c r="BB1710" s="128"/>
      <c r="BC1710" s="128"/>
      <c r="BD1710" s="128"/>
      <c r="BE1710" s="128"/>
      <c r="BF1710" s="128"/>
      <c r="BG1710" s="128"/>
      <c r="BH1710" s="128"/>
      <c r="BI1710" s="128"/>
      <c r="BJ1710" s="128"/>
      <c r="BK1710" s="128"/>
      <c r="BL1710" s="128"/>
      <c r="BM1710" s="151"/>
      <c r="BN1710" s="128"/>
      <c r="BO1710" s="128"/>
      <c r="BP1710" s="128"/>
      <c r="BQ1710" s="128"/>
      <c r="BR1710" s="128"/>
      <c r="BS1710" s="128"/>
      <c r="BT1710" s="128"/>
      <c r="BU1710" s="128"/>
      <c r="BV1710" s="128"/>
      <c r="BW1710" s="128"/>
      <c r="BX1710" s="128"/>
      <c r="BY1710" s="128"/>
      <c r="BZ1710" s="128"/>
      <c r="CA1710" s="128"/>
      <c r="CB1710" s="128"/>
      <c r="CC1710" s="128"/>
      <c r="CD1710" s="128"/>
      <c r="CE1710" s="128"/>
      <c r="CF1710" s="128"/>
      <c r="CG1710" s="128"/>
      <c r="CI1710" s="128"/>
      <c r="CJ1710" s="128"/>
      <c r="CK1710" s="128"/>
      <c r="CL1710" s="128"/>
      <c r="CM1710" s="128"/>
      <c r="CN1710" s="128"/>
      <c r="CO1710" s="128"/>
      <c r="CP1710" s="128"/>
      <c r="CQ1710" s="128"/>
      <c r="CR1710" s="128"/>
      <c r="CS1710" s="128"/>
      <c r="CT1710" s="128"/>
      <c r="CU1710" s="128"/>
      <c r="CV1710" s="128"/>
      <c r="CW1710" s="128"/>
      <c r="CX1710" s="128"/>
      <c r="CY1710" s="128"/>
      <c r="CZ1710" s="165"/>
    </row>
    <row r="1711" spans="1:104">
      <c r="A1711" s="149"/>
      <c r="B1711" s="149"/>
      <c r="C1711" s="150"/>
      <c r="D1711" s="102"/>
      <c r="E1711" s="149"/>
      <c r="F1711" s="149"/>
      <c r="G1711" s="149"/>
      <c r="H1711" s="149"/>
      <c r="I1711" s="149"/>
      <c r="J1711" s="149"/>
      <c r="K1711" s="149"/>
      <c r="L1711" s="149"/>
      <c r="M1711" s="149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9"/>
      <c r="AA1711" s="149"/>
      <c r="AB1711" s="149"/>
      <c r="AC1711" s="149"/>
      <c r="AD1711" s="149"/>
      <c r="AE1711" s="149"/>
      <c r="AF1711" s="149"/>
      <c r="AG1711" s="149"/>
      <c r="AH1711" s="149"/>
      <c r="AI1711" s="149"/>
      <c r="AJ1711" s="149"/>
      <c r="AK1711" s="149"/>
      <c r="AL1711" s="149"/>
      <c r="AM1711" s="149"/>
      <c r="AN1711" s="149"/>
      <c r="AO1711" s="128"/>
      <c r="AP1711" s="128"/>
      <c r="AQ1711" s="128"/>
      <c r="AR1711" s="128"/>
      <c r="AS1711" s="128"/>
      <c r="AT1711" s="128"/>
      <c r="AU1711" s="128"/>
      <c r="AV1711" s="128"/>
      <c r="AW1711" s="128"/>
      <c r="AX1711" s="128"/>
      <c r="AY1711" s="128"/>
      <c r="AZ1711" s="128"/>
      <c r="BA1711" s="128"/>
      <c r="BB1711" s="128"/>
      <c r="BC1711" s="128"/>
      <c r="BD1711" s="128"/>
      <c r="BE1711" s="128"/>
      <c r="BF1711" s="128"/>
      <c r="BG1711" s="128"/>
      <c r="BH1711" s="128"/>
      <c r="BI1711" s="128"/>
      <c r="BJ1711" s="128"/>
      <c r="BK1711" s="128"/>
      <c r="BL1711" s="128"/>
      <c r="BM1711" s="151"/>
      <c r="BN1711" s="128"/>
      <c r="BO1711" s="128"/>
      <c r="BP1711" s="128"/>
      <c r="BQ1711" s="128"/>
      <c r="BR1711" s="128"/>
      <c r="BS1711" s="128"/>
      <c r="BT1711" s="128"/>
      <c r="BU1711" s="128"/>
      <c r="BV1711" s="128"/>
      <c r="BW1711" s="128"/>
      <c r="BX1711" s="128"/>
      <c r="BY1711" s="128"/>
      <c r="BZ1711" s="128"/>
      <c r="CA1711" s="128"/>
      <c r="CB1711" s="128"/>
      <c r="CC1711" s="128"/>
      <c r="CD1711" s="128"/>
      <c r="CE1711" s="128"/>
      <c r="CF1711" s="128"/>
      <c r="CG1711" s="128"/>
      <c r="CI1711" s="128"/>
      <c r="CJ1711" s="128"/>
      <c r="CK1711" s="128"/>
      <c r="CL1711" s="128"/>
      <c r="CM1711" s="128"/>
      <c r="CN1711" s="128"/>
      <c r="CO1711" s="128"/>
      <c r="CP1711" s="128"/>
      <c r="CQ1711" s="128"/>
      <c r="CR1711" s="128"/>
      <c r="CS1711" s="128"/>
      <c r="CT1711" s="128"/>
      <c r="CU1711" s="128"/>
      <c r="CV1711" s="128"/>
      <c r="CW1711" s="128"/>
      <c r="CX1711" s="128"/>
      <c r="CY1711" s="128"/>
      <c r="CZ1711" s="165"/>
    </row>
    <row r="1712" spans="1:104">
      <c r="A1712" s="149"/>
      <c r="B1712" s="149"/>
      <c r="C1712" s="150"/>
      <c r="D1712" s="102"/>
      <c r="E1712" s="149"/>
      <c r="F1712" s="149"/>
      <c r="G1712" s="149"/>
      <c r="H1712" s="149"/>
      <c r="I1712" s="149"/>
      <c r="J1712" s="149"/>
      <c r="K1712" s="149"/>
      <c r="L1712" s="149"/>
      <c r="M1712" s="149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9"/>
      <c r="AA1712" s="149"/>
      <c r="AB1712" s="149"/>
      <c r="AC1712" s="149"/>
      <c r="AD1712" s="149"/>
      <c r="AE1712" s="149"/>
      <c r="AF1712" s="149"/>
      <c r="AG1712" s="149"/>
      <c r="AH1712" s="149"/>
      <c r="AI1712" s="149"/>
      <c r="AJ1712" s="149"/>
      <c r="AK1712" s="149"/>
      <c r="AL1712" s="149"/>
      <c r="AM1712" s="149"/>
      <c r="AN1712" s="149"/>
      <c r="AO1712" s="128"/>
      <c r="AP1712" s="128"/>
      <c r="AQ1712" s="128"/>
      <c r="AR1712" s="128"/>
      <c r="AS1712" s="128"/>
      <c r="AT1712" s="128"/>
      <c r="AU1712" s="128"/>
      <c r="AV1712" s="128"/>
      <c r="AW1712" s="128"/>
      <c r="AX1712" s="128"/>
      <c r="AY1712" s="128"/>
      <c r="AZ1712" s="128"/>
      <c r="BA1712" s="128"/>
      <c r="BB1712" s="128"/>
      <c r="BC1712" s="128"/>
      <c r="BD1712" s="128"/>
      <c r="BE1712" s="128"/>
      <c r="BF1712" s="128"/>
      <c r="BG1712" s="128"/>
      <c r="BH1712" s="128"/>
      <c r="BI1712" s="128"/>
      <c r="BJ1712" s="128"/>
      <c r="BK1712" s="128"/>
      <c r="BL1712" s="128"/>
      <c r="BM1712" s="151"/>
      <c r="BN1712" s="128"/>
      <c r="BO1712" s="128"/>
      <c r="BP1712" s="128"/>
      <c r="BQ1712" s="128"/>
      <c r="BR1712" s="128"/>
      <c r="BS1712" s="128"/>
      <c r="BT1712" s="128"/>
      <c r="BU1712" s="128"/>
      <c r="BV1712" s="128"/>
      <c r="BW1712" s="128"/>
      <c r="BX1712" s="128"/>
      <c r="BY1712" s="128"/>
      <c r="BZ1712" s="128"/>
      <c r="CA1712" s="128"/>
      <c r="CB1712" s="128"/>
      <c r="CC1712" s="128"/>
      <c r="CD1712" s="128"/>
      <c r="CE1712" s="128"/>
      <c r="CF1712" s="128"/>
      <c r="CG1712" s="128"/>
      <c r="CI1712" s="128"/>
      <c r="CJ1712" s="128"/>
      <c r="CK1712" s="128"/>
      <c r="CL1712" s="128"/>
      <c r="CM1712" s="128"/>
      <c r="CN1712" s="128"/>
      <c r="CO1712" s="128"/>
      <c r="CP1712" s="128"/>
      <c r="CQ1712" s="128"/>
      <c r="CR1712" s="128"/>
      <c r="CS1712" s="128"/>
      <c r="CT1712" s="128"/>
      <c r="CU1712" s="128"/>
      <c r="CV1712" s="128"/>
      <c r="CW1712" s="128"/>
      <c r="CX1712" s="128"/>
      <c r="CY1712" s="128"/>
      <c r="CZ1712" s="165"/>
    </row>
    <row r="1713" spans="1:104">
      <c r="A1713" s="149"/>
      <c r="B1713" s="149"/>
      <c r="C1713" s="150"/>
      <c r="D1713" s="102"/>
      <c r="E1713" s="149"/>
      <c r="F1713" s="149"/>
      <c r="G1713" s="149"/>
      <c r="H1713" s="149"/>
      <c r="I1713" s="149"/>
      <c r="J1713" s="149"/>
      <c r="K1713" s="149"/>
      <c r="L1713" s="149"/>
      <c r="M1713" s="149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9"/>
      <c r="AA1713" s="149"/>
      <c r="AB1713" s="149"/>
      <c r="AC1713" s="149"/>
      <c r="AD1713" s="149"/>
      <c r="AE1713" s="149"/>
      <c r="AF1713" s="149"/>
      <c r="AG1713" s="149"/>
      <c r="AH1713" s="149"/>
      <c r="AI1713" s="149"/>
      <c r="AJ1713" s="149"/>
      <c r="AK1713" s="149"/>
      <c r="AL1713" s="149"/>
      <c r="AM1713" s="149"/>
      <c r="AN1713" s="149"/>
      <c r="AO1713" s="128"/>
      <c r="AP1713" s="128"/>
      <c r="AQ1713" s="128"/>
      <c r="AR1713" s="128"/>
      <c r="AS1713" s="128"/>
      <c r="AT1713" s="128"/>
      <c r="AU1713" s="128"/>
      <c r="AV1713" s="128"/>
      <c r="AW1713" s="128"/>
      <c r="AX1713" s="128"/>
      <c r="AY1713" s="128"/>
      <c r="AZ1713" s="128"/>
      <c r="BA1713" s="128"/>
      <c r="BB1713" s="128"/>
      <c r="BC1713" s="128"/>
      <c r="BD1713" s="128"/>
      <c r="BE1713" s="128"/>
      <c r="BF1713" s="128"/>
      <c r="BG1713" s="128"/>
      <c r="BH1713" s="128"/>
      <c r="BI1713" s="128"/>
      <c r="BJ1713" s="128"/>
      <c r="BK1713" s="128"/>
      <c r="BL1713" s="128"/>
      <c r="BM1713" s="151"/>
      <c r="BN1713" s="128"/>
      <c r="BO1713" s="128"/>
      <c r="BP1713" s="128"/>
      <c r="BQ1713" s="128"/>
      <c r="BR1713" s="128"/>
      <c r="BS1713" s="128"/>
      <c r="BT1713" s="128"/>
      <c r="BU1713" s="128"/>
      <c r="BV1713" s="128"/>
      <c r="BW1713" s="128"/>
      <c r="BX1713" s="128"/>
      <c r="BY1713" s="128"/>
      <c r="BZ1713" s="128"/>
      <c r="CA1713" s="128"/>
      <c r="CB1713" s="128"/>
      <c r="CC1713" s="128"/>
      <c r="CD1713" s="128"/>
      <c r="CE1713" s="128"/>
      <c r="CF1713" s="128"/>
      <c r="CG1713" s="128"/>
      <c r="CI1713" s="128"/>
      <c r="CJ1713" s="128"/>
      <c r="CK1713" s="128"/>
      <c r="CL1713" s="128"/>
      <c r="CM1713" s="128"/>
      <c r="CN1713" s="128"/>
      <c r="CO1713" s="128"/>
      <c r="CP1713" s="128"/>
      <c r="CQ1713" s="128"/>
      <c r="CR1713" s="128"/>
      <c r="CS1713" s="128"/>
      <c r="CT1713" s="128"/>
      <c r="CU1713" s="128"/>
      <c r="CV1713" s="128"/>
      <c r="CW1713" s="128"/>
      <c r="CX1713" s="128"/>
      <c r="CY1713" s="128"/>
      <c r="CZ1713" s="165"/>
    </row>
    <row r="1714" spans="1:104">
      <c r="A1714" s="149"/>
      <c r="B1714" s="149"/>
      <c r="C1714" s="150"/>
      <c r="D1714" s="102"/>
      <c r="E1714" s="149"/>
      <c r="F1714" s="149"/>
      <c r="G1714" s="149"/>
      <c r="H1714" s="149"/>
      <c r="I1714" s="149"/>
      <c r="J1714" s="149"/>
      <c r="K1714" s="149"/>
      <c r="L1714" s="149"/>
      <c r="M1714" s="149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9"/>
      <c r="AA1714" s="149"/>
      <c r="AB1714" s="149"/>
      <c r="AC1714" s="149"/>
      <c r="AD1714" s="149"/>
      <c r="AE1714" s="149"/>
      <c r="AF1714" s="149"/>
      <c r="AG1714" s="149"/>
      <c r="AH1714" s="149"/>
      <c r="AI1714" s="149"/>
      <c r="AJ1714" s="149"/>
      <c r="AK1714" s="149"/>
      <c r="AL1714" s="149"/>
      <c r="AM1714" s="149"/>
      <c r="AN1714" s="149"/>
      <c r="AO1714" s="128"/>
      <c r="AP1714" s="128"/>
      <c r="AQ1714" s="128"/>
      <c r="AR1714" s="128"/>
      <c r="AS1714" s="128"/>
      <c r="AT1714" s="128"/>
      <c r="AU1714" s="128"/>
      <c r="AV1714" s="128"/>
      <c r="AW1714" s="128"/>
      <c r="AX1714" s="128"/>
      <c r="AY1714" s="128"/>
      <c r="AZ1714" s="128"/>
      <c r="BA1714" s="128"/>
      <c r="BB1714" s="128"/>
      <c r="BC1714" s="128"/>
      <c r="BD1714" s="128"/>
      <c r="BE1714" s="128"/>
      <c r="BF1714" s="128"/>
      <c r="BG1714" s="128"/>
      <c r="BH1714" s="128"/>
      <c r="BI1714" s="128"/>
      <c r="BJ1714" s="128"/>
      <c r="BK1714" s="128"/>
      <c r="BL1714" s="128"/>
      <c r="BM1714" s="151"/>
      <c r="BN1714" s="128"/>
      <c r="BO1714" s="128"/>
      <c r="BP1714" s="128"/>
      <c r="BQ1714" s="128"/>
      <c r="BR1714" s="128"/>
      <c r="BS1714" s="128"/>
      <c r="BT1714" s="128"/>
      <c r="BU1714" s="128"/>
      <c r="BV1714" s="128"/>
      <c r="BW1714" s="128"/>
      <c r="BX1714" s="128"/>
      <c r="BY1714" s="128"/>
      <c r="BZ1714" s="128"/>
      <c r="CA1714" s="128"/>
      <c r="CB1714" s="128"/>
      <c r="CC1714" s="128"/>
      <c r="CD1714" s="128"/>
      <c r="CE1714" s="128"/>
      <c r="CF1714" s="128"/>
      <c r="CG1714" s="128"/>
      <c r="CI1714" s="128"/>
      <c r="CJ1714" s="128"/>
      <c r="CK1714" s="128"/>
      <c r="CL1714" s="128"/>
      <c r="CM1714" s="128"/>
      <c r="CN1714" s="128"/>
      <c r="CO1714" s="128"/>
      <c r="CP1714" s="128"/>
      <c r="CQ1714" s="128"/>
      <c r="CR1714" s="128"/>
      <c r="CS1714" s="128"/>
      <c r="CT1714" s="128"/>
      <c r="CU1714" s="128"/>
      <c r="CV1714" s="128"/>
      <c r="CW1714" s="128"/>
      <c r="CX1714" s="128"/>
      <c r="CY1714" s="128"/>
      <c r="CZ1714" s="165"/>
    </row>
    <row r="1715" spans="1:104">
      <c r="A1715" s="149"/>
      <c r="B1715" s="149"/>
      <c r="C1715" s="150"/>
      <c r="D1715" s="102"/>
      <c r="E1715" s="149"/>
      <c r="F1715" s="149"/>
      <c r="G1715" s="149"/>
      <c r="H1715" s="149"/>
      <c r="I1715" s="149"/>
      <c r="J1715" s="149"/>
      <c r="K1715" s="149"/>
      <c r="L1715" s="149"/>
      <c r="M1715" s="149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9"/>
      <c r="AA1715" s="149"/>
      <c r="AB1715" s="149"/>
      <c r="AC1715" s="149"/>
      <c r="AD1715" s="149"/>
      <c r="AE1715" s="149"/>
      <c r="AF1715" s="149"/>
      <c r="AG1715" s="149"/>
      <c r="AH1715" s="149"/>
      <c r="AI1715" s="149"/>
      <c r="AJ1715" s="149"/>
      <c r="AK1715" s="149"/>
      <c r="AL1715" s="149"/>
      <c r="AM1715" s="149"/>
      <c r="AN1715" s="149"/>
      <c r="AO1715" s="128"/>
      <c r="AP1715" s="128"/>
      <c r="AQ1715" s="128"/>
      <c r="AR1715" s="128"/>
      <c r="AS1715" s="128"/>
      <c r="AT1715" s="128"/>
      <c r="AU1715" s="128"/>
      <c r="AV1715" s="128"/>
      <c r="AW1715" s="128"/>
      <c r="AX1715" s="128"/>
      <c r="AY1715" s="128"/>
      <c r="AZ1715" s="128"/>
      <c r="BA1715" s="128"/>
      <c r="BB1715" s="128"/>
      <c r="BC1715" s="128"/>
      <c r="BD1715" s="128"/>
      <c r="BE1715" s="128"/>
      <c r="BF1715" s="128"/>
      <c r="BG1715" s="128"/>
      <c r="BH1715" s="128"/>
      <c r="BI1715" s="128"/>
      <c r="BJ1715" s="128"/>
      <c r="BK1715" s="128"/>
      <c r="BL1715" s="128"/>
      <c r="BM1715" s="151"/>
      <c r="BN1715" s="128"/>
      <c r="BO1715" s="128"/>
      <c r="BP1715" s="128"/>
      <c r="BQ1715" s="128"/>
      <c r="BR1715" s="128"/>
      <c r="BS1715" s="128"/>
      <c r="BT1715" s="128"/>
      <c r="BU1715" s="128"/>
      <c r="BV1715" s="128"/>
      <c r="BW1715" s="128"/>
      <c r="BX1715" s="128"/>
      <c r="BY1715" s="128"/>
      <c r="BZ1715" s="128"/>
      <c r="CA1715" s="128"/>
      <c r="CB1715" s="128"/>
      <c r="CC1715" s="128"/>
      <c r="CD1715" s="128"/>
      <c r="CE1715" s="128"/>
      <c r="CF1715" s="128"/>
      <c r="CG1715" s="128"/>
      <c r="CI1715" s="128"/>
      <c r="CJ1715" s="128"/>
      <c r="CK1715" s="128"/>
      <c r="CL1715" s="128"/>
      <c r="CM1715" s="128"/>
      <c r="CN1715" s="128"/>
      <c r="CO1715" s="128"/>
      <c r="CP1715" s="128"/>
      <c r="CQ1715" s="128"/>
      <c r="CR1715" s="128"/>
      <c r="CS1715" s="128"/>
      <c r="CT1715" s="128"/>
      <c r="CU1715" s="128"/>
      <c r="CV1715" s="128"/>
      <c r="CW1715" s="128"/>
      <c r="CX1715" s="128"/>
      <c r="CY1715" s="128"/>
      <c r="CZ1715" s="165"/>
    </row>
    <row r="1716" spans="1:104">
      <c r="A1716" s="149"/>
      <c r="B1716" s="149"/>
      <c r="C1716" s="150"/>
      <c r="D1716" s="102"/>
      <c r="E1716" s="149"/>
      <c r="F1716" s="149"/>
      <c r="G1716" s="149"/>
      <c r="H1716" s="149"/>
      <c r="I1716" s="149"/>
      <c r="J1716" s="149"/>
      <c r="K1716" s="149"/>
      <c r="L1716" s="149"/>
      <c r="M1716" s="149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9"/>
      <c r="AA1716" s="149"/>
      <c r="AB1716" s="149"/>
      <c r="AC1716" s="149"/>
      <c r="AD1716" s="149"/>
      <c r="AE1716" s="149"/>
      <c r="AF1716" s="149"/>
      <c r="AG1716" s="149"/>
      <c r="AH1716" s="149"/>
      <c r="AI1716" s="149"/>
      <c r="AJ1716" s="149"/>
      <c r="AK1716" s="149"/>
      <c r="AL1716" s="149"/>
      <c r="AM1716" s="149"/>
      <c r="AN1716" s="149"/>
      <c r="AO1716" s="128"/>
      <c r="AP1716" s="128"/>
      <c r="AQ1716" s="128"/>
      <c r="AR1716" s="128"/>
      <c r="AS1716" s="128"/>
      <c r="AT1716" s="128"/>
      <c r="AU1716" s="128"/>
      <c r="AV1716" s="128"/>
      <c r="AW1716" s="128"/>
      <c r="AX1716" s="128"/>
      <c r="AY1716" s="128"/>
      <c r="AZ1716" s="128"/>
      <c r="BA1716" s="128"/>
      <c r="BB1716" s="128"/>
      <c r="BC1716" s="128"/>
      <c r="BD1716" s="128"/>
      <c r="BE1716" s="128"/>
      <c r="BF1716" s="128"/>
      <c r="BG1716" s="128"/>
      <c r="BH1716" s="128"/>
      <c r="BI1716" s="128"/>
      <c r="BJ1716" s="128"/>
      <c r="BK1716" s="128"/>
      <c r="BL1716" s="128"/>
      <c r="BM1716" s="151"/>
      <c r="BN1716" s="128"/>
      <c r="BO1716" s="128"/>
      <c r="BP1716" s="128"/>
      <c r="BQ1716" s="128"/>
      <c r="BR1716" s="128"/>
      <c r="BS1716" s="128"/>
      <c r="BT1716" s="128"/>
      <c r="BU1716" s="128"/>
      <c r="BV1716" s="128"/>
      <c r="BW1716" s="128"/>
      <c r="BX1716" s="128"/>
      <c r="BY1716" s="128"/>
      <c r="BZ1716" s="128"/>
      <c r="CA1716" s="128"/>
      <c r="CB1716" s="128"/>
      <c r="CC1716" s="128"/>
      <c r="CD1716" s="128"/>
      <c r="CE1716" s="128"/>
      <c r="CF1716" s="128"/>
      <c r="CG1716" s="128"/>
      <c r="CI1716" s="128"/>
      <c r="CJ1716" s="128"/>
      <c r="CK1716" s="128"/>
      <c r="CL1716" s="128"/>
      <c r="CM1716" s="128"/>
      <c r="CN1716" s="128"/>
      <c r="CO1716" s="128"/>
      <c r="CP1716" s="128"/>
      <c r="CQ1716" s="128"/>
      <c r="CR1716" s="128"/>
      <c r="CS1716" s="128"/>
      <c r="CT1716" s="128"/>
      <c r="CU1716" s="128"/>
      <c r="CV1716" s="128"/>
      <c r="CW1716" s="128"/>
      <c r="CX1716" s="128"/>
      <c r="CY1716" s="128"/>
      <c r="CZ1716" s="165"/>
    </row>
    <row r="1717" spans="1:104">
      <c r="A1717" s="149"/>
      <c r="B1717" s="149"/>
      <c r="C1717" s="150"/>
      <c r="D1717" s="102"/>
      <c r="E1717" s="149"/>
      <c r="F1717" s="149"/>
      <c r="G1717" s="149"/>
      <c r="H1717" s="149"/>
      <c r="I1717" s="149"/>
      <c r="J1717" s="149"/>
      <c r="K1717" s="149"/>
      <c r="L1717" s="149"/>
      <c r="M1717" s="149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9"/>
      <c r="AA1717" s="149"/>
      <c r="AB1717" s="149"/>
      <c r="AC1717" s="149"/>
      <c r="AD1717" s="149"/>
      <c r="AE1717" s="149"/>
      <c r="AF1717" s="149"/>
      <c r="AG1717" s="149"/>
      <c r="AH1717" s="149"/>
      <c r="AI1717" s="149"/>
      <c r="AJ1717" s="149"/>
      <c r="AK1717" s="149"/>
      <c r="AL1717" s="149"/>
      <c r="AM1717" s="149"/>
      <c r="AN1717" s="149"/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51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28"/>
      <c r="BY1717" s="128"/>
      <c r="BZ1717" s="128"/>
      <c r="CA1717" s="128"/>
      <c r="CB1717" s="128"/>
      <c r="CC1717" s="128"/>
      <c r="CD1717" s="128"/>
      <c r="CE1717" s="128"/>
      <c r="CF1717" s="128"/>
      <c r="CG1717" s="128"/>
      <c r="CI1717" s="128"/>
      <c r="CJ1717" s="128"/>
      <c r="CK1717" s="128"/>
      <c r="CL1717" s="128"/>
      <c r="CM1717" s="128"/>
      <c r="CN1717" s="128"/>
      <c r="CO1717" s="128"/>
      <c r="CP1717" s="128"/>
      <c r="CQ1717" s="128"/>
      <c r="CR1717" s="128"/>
      <c r="CS1717" s="128"/>
      <c r="CT1717" s="128"/>
      <c r="CU1717" s="128"/>
      <c r="CV1717" s="128"/>
      <c r="CW1717" s="128"/>
      <c r="CX1717" s="128"/>
      <c r="CY1717" s="128"/>
      <c r="CZ1717" s="165"/>
    </row>
    <row r="1718" spans="1:104">
      <c r="A1718" s="149"/>
      <c r="B1718" s="149"/>
      <c r="C1718" s="150"/>
      <c r="D1718" s="102"/>
      <c r="E1718" s="149"/>
      <c r="F1718" s="149"/>
      <c r="G1718" s="149"/>
      <c r="H1718" s="149"/>
      <c r="I1718" s="149"/>
      <c r="J1718" s="149"/>
      <c r="K1718" s="149"/>
      <c r="L1718" s="149"/>
      <c r="M1718" s="149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9"/>
      <c r="AA1718" s="149"/>
      <c r="AB1718" s="149"/>
      <c r="AC1718" s="149"/>
      <c r="AD1718" s="149"/>
      <c r="AE1718" s="149"/>
      <c r="AF1718" s="149"/>
      <c r="AG1718" s="149"/>
      <c r="AH1718" s="149"/>
      <c r="AI1718" s="149"/>
      <c r="AJ1718" s="149"/>
      <c r="AK1718" s="149"/>
      <c r="AL1718" s="149"/>
      <c r="AM1718" s="149"/>
      <c r="AN1718" s="149"/>
      <c r="AO1718" s="128"/>
      <c r="AP1718" s="128"/>
      <c r="AQ1718" s="128"/>
      <c r="AR1718" s="128"/>
      <c r="AS1718" s="128"/>
      <c r="AT1718" s="128"/>
      <c r="AU1718" s="128"/>
      <c r="AV1718" s="128"/>
      <c r="AW1718" s="128"/>
      <c r="AX1718" s="128"/>
      <c r="AY1718" s="128"/>
      <c r="AZ1718" s="128"/>
      <c r="BA1718" s="128"/>
      <c r="BB1718" s="128"/>
      <c r="BC1718" s="128"/>
      <c r="BD1718" s="128"/>
      <c r="BE1718" s="128"/>
      <c r="BF1718" s="128"/>
      <c r="BG1718" s="128"/>
      <c r="BH1718" s="128"/>
      <c r="BI1718" s="128"/>
      <c r="BJ1718" s="128"/>
      <c r="BK1718" s="128"/>
      <c r="BL1718" s="128"/>
      <c r="BM1718" s="151"/>
      <c r="BN1718" s="128"/>
      <c r="BO1718" s="128"/>
      <c r="BP1718" s="128"/>
      <c r="BQ1718" s="128"/>
      <c r="BR1718" s="128"/>
      <c r="BS1718" s="128"/>
      <c r="BT1718" s="128"/>
      <c r="BU1718" s="128"/>
      <c r="BV1718" s="128"/>
      <c r="BW1718" s="128"/>
      <c r="BX1718" s="128"/>
      <c r="BY1718" s="128"/>
      <c r="BZ1718" s="128"/>
      <c r="CA1718" s="128"/>
      <c r="CB1718" s="128"/>
      <c r="CC1718" s="128"/>
      <c r="CD1718" s="128"/>
      <c r="CE1718" s="128"/>
      <c r="CF1718" s="128"/>
      <c r="CG1718" s="128"/>
      <c r="CI1718" s="128"/>
      <c r="CJ1718" s="128"/>
      <c r="CK1718" s="128"/>
      <c r="CL1718" s="128"/>
      <c r="CM1718" s="128"/>
      <c r="CN1718" s="128"/>
      <c r="CO1718" s="128"/>
      <c r="CP1718" s="128"/>
      <c r="CQ1718" s="128"/>
      <c r="CR1718" s="128"/>
      <c r="CS1718" s="128"/>
      <c r="CT1718" s="128"/>
      <c r="CU1718" s="128"/>
      <c r="CV1718" s="128"/>
      <c r="CW1718" s="128"/>
      <c r="CX1718" s="128"/>
      <c r="CY1718" s="128"/>
      <c r="CZ1718" s="165"/>
    </row>
    <row r="1719" spans="1:104">
      <c r="A1719" s="149"/>
      <c r="B1719" s="149"/>
      <c r="C1719" s="150"/>
      <c r="D1719" s="102"/>
      <c r="E1719" s="149"/>
      <c r="F1719" s="149"/>
      <c r="G1719" s="149"/>
      <c r="H1719" s="149"/>
      <c r="I1719" s="149"/>
      <c r="J1719" s="149"/>
      <c r="K1719" s="149"/>
      <c r="L1719" s="149"/>
      <c r="M1719" s="149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9"/>
      <c r="AA1719" s="149"/>
      <c r="AB1719" s="149"/>
      <c r="AC1719" s="149"/>
      <c r="AD1719" s="149"/>
      <c r="AE1719" s="149"/>
      <c r="AF1719" s="149"/>
      <c r="AG1719" s="149"/>
      <c r="AH1719" s="149"/>
      <c r="AI1719" s="149"/>
      <c r="AJ1719" s="149"/>
      <c r="AK1719" s="149"/>
      <c r="AL1719" s="149"/>
      <c r="AM1719" s="149"/>
      <c r="AN1719" s="149"/>
      <c r="AO1719" s="128"/>
      <c r="AP1719" s="128"/>
      <c r="AQ1719" s="128"/>
      <c r="AR1719" s="128"/>
      <c r="AS1719" s="128"/>
      <c r="AT1719" s="128"/>
      <c r="AU1719" s="128"/>
      <c r="AV1719" s="128"/>
      <c r="AW1719" s="128"/>
      <c r="AX1719" s="128"/>
      <c r="AY1719" s="128"/>
      <c r="AZ1719" s="128"/>
      <c r="BA1719" s="128"/>
      <c r="BB1719" s="128"/>
      <c r="BC1719" s="128"/>
      <c r="BD1719" s="128"/>
      <c r="BE1719" s="128"/>
      <c r="BF1719" s="128"/>
      <c r="BG1719" s="128"/>
      <c r="BH1719" s="128"/>
      <c r="BI1719" s="128"/>
      <c r="BJ1719" s="128"/>
      <c r="BK1719" s="128"/>
      <c r="BL1719" s="128"/>
      <c r="BM1719" s="151"/>
      <c r="BN1719" s="128"/>
      <c r="BO1719" s="128"/>
      <c r="BP1719" s="128"/>
      <c r="BQ1719" s="128"/>
      <c r="BR1719" s="128"/>
      <c r="BS1719" s="128"/>
      <c r="BT1719" s="128"/>
      <c r="BU1719" s="128"/>
      <c r="BV1719" s="128"/>
      <c r="BW1719" s="128"/>
      <c r="BX1719" s="128"/>
      <c r="BY1719" s="128"/>
      <c r="BZ1719" s="128"/>
      <c r="CA1719" s="128"/>
      <c r="CB1719" s="128"/>
      <c r="CC1719" s="128"/>
      <c r="CD1719" s="128"/>
      <c r="CE1719" s="128"/>
      <c r="CF1719" s="128"/>
      <c r="CG1719" s="128"/>
      <c r="CI1719" s="128"/>
      <c r="CJ1719" s="128"/>
      <c r="CK1719" s="128"/>
      <c r="CL1719" s="128"/>
      <c r="CM1719" s="128"/>
      <c r="CN1719" s="128"/>
      <c r="CO1719" s="128"/>
      <c r="CP1719" s="128"/>
      <c r="CQ1719" s="128"/>
      <c r="CR1719" s="128"/>
      <c r="CS1719" s="128"/>
      <c r="CT1719" s="128"/>
      <c r="CU1719" s="128"/>
      <c r="CV1719" s="128"/>
      <c r="CW1719" s="128"/>
      <c r="CX1719" s="128"/>
      <c r="CY1719" s="128"/>
      <c r="CZ1719" s="165"/>
    </row>
    <row r="1720" spans="1:104">
      <c r="A1720" s="149"/>
      <c r="B1720" s="149"/>
      <c r="C1720" s="150"/>
      <c r="D1720" s="102"/>
      <c r="E1720" s="149"/>
      <c r="F1720" s="149"/>
      <c r="G1720" s="149"/>
      <c r="H1720" s="149"/>
      <c r="I1720" s="149"/>
      <c r="J1720" s="149"/>
      <c r="K1720" s="149"/>
      <c r="L1720" s="149"/>
      <c r="M1720" s="149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9"/>
      <c r="AA1720" s="149"/>
      <c r="AB1720" s="149"/>
      <c r="AC1720" s="149"/>
      <c r="AD1720" s="149"/>
      <c r="AE1720" s="149"/>
      <c r="AF1720" s="149"/>
      <c r="AG1720" s="149"/>
      <c r="AH1720" s="149"/>
      <c r="AI1720" s="149"/>
      <c r="AJ1720" s="149"/>
      <c r="AK1720" s="149"/>
      <c r="AL1720" s="149"/>
      <c r="AM1720" s="149"/>
      <c r="AN1720" s="149"/>
      <c r="AO1720" s="128"/>
      <c r="AP1720" s="128"/>
      <c r="AQ1720" s="128"/>
      <c r="AR1720" s="128"/>
      <c r="AS1720" s="128"/>
      <c r="AT1720" s="128"/>
      <c r="AU1720" s="128"/>
      <c r="AV1720" s="128"/>
      <c r="AW1720" s="128"/>
      <c r="AX1720" s="128"/>
      <c r="AY1720" s="128"/>
      <c r="AZ1720" s="128"/>
      <c r="BA1720" s="128"/>
      <c r="BB1720" s="128"/>
      <c r="BC1720" s="128"/>
      <c r="BD1720" s="128"/>
      <c r="BE1720" s="128"/>
      <c r="BF1720" s="128"/>
      <c r="BG1720" s="128"/>
      <c r="BH1720" s="128"/>
      <c r="BI1720" s="128"/>
      <c r="BJ1720" s="128"/>
      <c r="BK1720" s="128"/>
      <c r="BL1720" s="128"/>
      <c r="BM1720" s="151"/>
      <c r="BN1720" s="128"/>
      <c r="BO1720" s="128"/>
      <c r="BP1720" s="128"/>
      <c r="BQ1720" s="128"/>
      <c r="BR1720" s="128"/>
      <c r="BS1720" s="128"/>
      <c r="BT1720" s="128"/>
      <c r="BU1720" s="128"/>
      <c r="BV1720" s="128"/>
      <c r="BW1720" s="128"/>
      <c r="BX1720" s="128"/>
      <c r="BY1720" s="128"/>
      <c r="BZ1720" s="128"/>
      <c r="CA1720" s="128"/>
      <c r="CB1720" s="128"/>
      <c r="CC1720" s="128"/>
      <c r="CD1720" s="128"/>
      <c r="CE1720" s="128"/>
      <c r="CF1720" s="128"/>
      <c r="CG1720" s="128"/>
      <c r="CI1720" s="128"/>
      <c r="CJ1720" s="128"/>
      <c r="CK1720" s="128"/>
      <c r="CL1720" s="128"/>
      <c r="CM1720" s="128"/>
      <c r="CN1720" s="128"/>
      <c r="CO1720" s="128"/>
      <c r="CP1720" s="128"/>
      <c r="CQ1720" s="128"/>
      <c r="CR1720" s="128"/>
      <c r="CS1720" s="128"/>
      <c r="CT1720" s="128"/>
      <c r="CU1720" s="128"/>
      <c r="CV1720" s="128"/>
      <c r="CW1720" s="128"/>
      <c r="CX1720" s="128"/>
      <c r="CY1720" s="128"/>
      <c r="CZ1720" s="165"/>
    </row>
    <row r="1721" spans="1:104">
      <c r="A1721" s="149"/>
      <c r="B1721" s="149"/>
      <c r="C1721" s="150"/>
      <c r="D1721" s="102"/>
      <c r="E1721" s="149"/>
      <c r="F1721" s="149"/>
      <c r="G1721" s="149"/>
      <c r="H1721" s="149"/>
      <c r="I1721" s="149"/>
      <c r="J1721" s="149"/>
      <c r="K1721" s="149"/>
      <c r="L1721" s="149"/>
      <c r="M1721" s="149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9"/>
      <c r="AA1721" s="149"/>
      <c r="AB1721" s="149"/>
      <c r="AC1721" s="149"/>
      <c r="AD1721" s="149"/>
      <c r="AE1721" s="149"/>
      <c r="AF1721" s="149"/>
      <c r="AG1721" s="149"/>
      <c r="AH1721" s="149"/>
      <c r="AI1721" s="149"/>
      <c r="AJ1721" s="149"/>
      <c r="AK1721" s="149"/>
      <c r="AL1721" s="149"/>
      <c r="AM1721" s="149"/>
      <c r="AN1721" s="149"/>
      <c r="AO1721" s="128"/>
      <c r="AP1721" s="128"/>
      <c r="AQ1721" s="128"/>
      <c r="AR1721" s="128"/>
      <c r="AS1721" s="128"/>
      <c r="AT1721" s="128"/>
      <c r="AU1721" s="128"/>
      <c r="AV1721" s="128"/>
      <c r="AW1721" s="128"/>
      <c r="AX1721" s="128"/>
      <c r="AY1721" s="128"/>
      <c r="AZ1721" s="128"/>
      <c r="BA1721" s="128"/>
      <c r="BB1721" s="128"/>
      <c r="BC1721" s="128"/>
      <c r="BD1721" s="128"/>
      <c r="BE1721" s="128"/>
      <c r="BF1721" s="128"/>
      <c r="BG1721" s="128"/>
      <c r="BH1721" s="128"/>
      <c r="BI1721" s="128"/>
      <c r="BJ1721" s="128"/>
      <c r="BK1721" s="128"/>
      <c r="BL1721" s="128"/>
      <c r="BM1721" s="151"/>
      <c r="BN1721" s="128"/>
      <c r="BO1721" s="128"/>
      <c r="BP1721" s="128"/>
      <c r="BQ1721" s="128"/>
      <c r="BR1721" s="128"/>
      <c r="BS1721" s="128"/>
      <c r="BT1721" s="128"/>
      <c r="BU1721" s="128"/>
      <c r="BV1721" s="128"/>
      <c r="BW1721" s="128"/>
      <c r="BX1721" s="128"/>
      <c r="BY1721" s="128"/>
      <c r="BZ1721" s="128"/>
      <c r="CA1721" s="128"/>
      <c r="CB1721" s="128"/>
      <c r="CC1721" s="128"/>
      <c r="CD1721" s="128"/>
      <c r="CE1721" s="128"/>
      <c r="CF1721" s="128"/>
      <c r="CG1721" s="128"/>
      <c r="CI1721" s="128"/>
      <c r="CJ1721" s="128"/>
      <c r="CK1721" s="128"/>
      <c r="CL1721" s="128"/>
      <c r="CM1721" s="128"/>
      <c r="CN1721" s="128"/>
      <c r="CO1721" s="128"/>
      <c r="CP1721" s="128"/>
      <c r="CQ1721" s="128"/>
      <c r="CR1721" s="128"/>
      <c r="CS1721" s="128"/>
      <c r="CT1721" s="128"/>
      <c r="CU1721" s="128"/>
      <c r="CV1721" s="128"/>
      <c r="CW1721" s="128"/>
      <c r="CX1721" s="128"/>
      <c r="CY1721" s="128"/>
      <c r="CZ1721" s="165"/>
    </row>
    <row r="1722" spans="1:104">
      <c r="A1722" s="149"/>
      <c r="B1722" s="149"/>
      <c r="C1722" s="150"/>
      <c r="D1722" s="102"/>
      <c r="E1722" s="149"/>
      <c r="F1722" s="149"/>
      <c r="G1722" s="149"/>
      <c r="H1722" s="149"/>
      <c r="I1722" s="149"/>
      <c r="J1722" s="149"/>
      <c r="K1722" s="149"/>
      <c r="L1722" s="149"/>
      <c r="M1722" s="149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9"/>
      <c r="AA1722" s="149"/>
      <c r="AB1722" s="149"/>
      <c r="AC1722" s="149"/>
      <c r="AD1722" s="149"/>
      <c r="AE1722" s="149"/>
      <c r="AF1722" s="149"/>
      <c r="AG1722" s="149"/>
      <c r="AH1722" s="149"/>
      <c r="AI1722" s="149"/>
      <c r="AJ1722" s="149"/>
      <c r="AK1722" s="149"/>
      <c r="AL1722" s="149"/>
      <c r="AM1722" s="149"/>
      <c r="AN1722" s="149"/>
      <c r="AO1722" s="128"/>
      <c r="AP1722" s="128"/>
      <c r="AQ1722" s="128"/>
      <c r="AR1722" s="128"/>
      <c r="AS1722" s="128"/>
      <c r="AT1722" s="128"/>
      <c r="AU1722" s="128"/>
      <c r="AV1722" s="128"/>
      <c r="AW1722" s="128"/>
      <c r="AX1722" s="128"/>
      <c r="AY1722" s="128"/>
      <c r="AZ1722" s="128"/>
      <c r="BA1722" s="128"/>
      <c r="BB1722" s="128"/>
      <c r="BC1722" s="128"/>
      <c r="BD1722" s="128"/>
      <c r="BE1722" s="128"/>
      <c r="BF1722" s="128"/>
      <c r="BG1722" s="128"/>
      <c r="BH1722" s="128"/>
      <c r="BI1722" s="128"/>
      <c r="BJ1722" s="128"/>
      <c r="BK1722" s="128"/>
      <c r="BL1722" s="128"/>
      <c r="BM1722" s="151"/>
      <c r="BN1722" s="128"/>
      <c r="BO1722" s="128"/>
      <c r="BP1722" s="128"/>
      <c r="BQ1722" s="128"/>
      <c r="BR1722" s="128"/>
      <c r="BS1722" s="128"/>
      <c r="BT1722" s="128"/>
      <c r="BU1722" s="128"/>
      <c r="BV1722" s="128"/>
      <c r="BW1722" s="128"/>
      <c r="BX1722" s="128"/>
      <c r="BY1722" s="128"/>
      <c r="BZ1722" s="128"/>
      <c r="CA1722" s="128"/>
      <c r="CB1722" s="128"/>
      <c r="CC1722" s="128"/>
      <c r="CD1722" s="128"/>
      <c r="CE1722" s="128"/>
      <c r="CF1722" s="128"/>
      <c r="CG1722" s="128"/>
      <c r="CI1722" s="128"/>
      <c r="CJ1722" s="128"/>
      <c r="CK1722" s="128"/>
      <c r="CL1722" s="128"/>
      <c r="CM1722" s="128"/>
      <c r="CN1722" s="128"/>
      <c r="CO1722" s="128"/>
      <c r="CP1722" s="128"/>
      <c r="CQ1722" s="128"/>
      <c r="CR1722" s="128"/>
      <c r="CS1722" s="128"/>
      <c r="CT1722" s="128"/>
      <c r="CU1722" s="128"/>
      <c r="CV1722" s="128"/>
      <c r="CW1722" s="128"/>
      <c r="CX1722" s="128"/>
      <c r="CY1722" s="128"/>
      <c r="CZ1722" s="165"/>
    </row>
    <row r="1723" spans="1:104">
      <c r="A1723" s="149"/>
      <c r="B1723" s="149"/>
      <c r="C1723" s="150"/>
      <c r="D1723" s="102"/>
      <c r="E1723" s="149"/>
      <c r="F1723" s="149"/>
      <c r="G1723" s="149"/>
      <c r="H1723" s="149"/>
      <c r="I1723" s="149"/>
      <c r="J1723" s="149"/>
      <c r="K1723" s="149"/>
      <c r="L1723" s="149"/>
      <c r="M1723" s="149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9"/>
      <c r="AA1723" s="149"/>
      <c r="AB1723" s="149"/>
      <c r="AC1723" s="149"/>
      <c r="AD1723" s="149"/>
      <c r="AE1723" s="149"/>
      <c r="AF1723" s="149"/>
      <c r="AG1723" s="149"/>
      <c r="AH1723" s="149"/>
      <c r="AI1723" s="149"/>
      <c r="AJ1723" s="149"/>
      <c r="AK1723" s="149"/>
      <c r="AL1723" s="149"/>
      <c r="AM1723" s="149"/>
      <c r="AN1723" s="149"/>
      <c r="AO1723" s="128"/>
      <c r="AP1723" s="128"/>
      <c r="AQ1723" s="128"/>
      <c r="AR1723" s="128"/>
      <c r="AS1723" s="128"/>
      <c r="AT1723" s="128"/>
      <c r="AU1723" s="128"/>
      <c r="AV1723" s="128"/>
      <c r="AW1723" s="128"/>
      <c r="AX1723" s="128"/>
      <c r="AY1723" s="128"/>
      <c r="AZ1723" s="128"/>
      <c r="BA1723" s="128"/>
      <c r="BB1723" s="128"/>
      <c r="BC1723" s="128"/>
      <c r="BD1723" s="128"/>
      <c r="BE1723" s="128"/>
      <c r="BF1723" s="128"/>
      <c r="BG1723" s="128"/>
      <c r="BH1723" s="128"/>
      <c r="BI1723" s="128"/>
      <c r="BJ1723" s="128"/>
      <c r="BK1723" s="128"/>
      <c r="BL1723" s="128"/>
      <c r="BM1723" s="151"/>
      <c r="BN1723" s="128"/>
      <c r="BO1723" s="128"/>
      <c r="BP1723" s="128"/>
      <c r="BQ1723" s="128"/>
      <c r="BR1723" s="128"/>
      <c r="BS1723" s="128"/>
      <c r="BT1723" s="128"/>
      <c r="BU1723" s="128"/>
      <c r="BV1723" s="128"/>
      <c r="BW1723" s="128"/>
      <c r="BX1723" s="128"/>
      <c r="BY1723" s="128"/>
      <c r="BZ1723" s="128"/>
      <c r="CA1723" s="128"/>
      <c r="CB1723" s="128"/>
      <c r="CC1723" s="128"/>
      <c r="CD1723" s="128"/>
      <c r="CE1723" s="128"/>
      <c r="CF1723" s="128"/>
      <c r="CG1723" s="128"/>
      <c r="CI1723" s="128"/>
      <c r="CJ1723" s="128"/>
      <c r="CK1723" s="128"/>
      <c r="CL1723" s="128"/>
      <c r="CM1723" s="128"/>
      <c r="CN1723" s="128"/>
      <c r="CO1723" s="128"/>
      <c r="CP1723" s="128"/>
      <c r="CQ1723" s="128"/>
      <c r="CR1723" s="128"/>
      <c r="CS1723" s="128"/>
      <c r="CT1723" s="128"/>
      <c r="CU1723" s="128"/>
      <c r="CV1723" s="128"/>
      <c r="CW1723" s="128"/>
      <c r="CX1723" s="128"/>
      <c r="CY1723" s="128"/>
      <c r="CZ1723" s="165"/>
    </row>
    <row r="1724" spans="1:104">
      <c r="A1724" s="149"/>
      <c r="B1724" s="149"/>
      <c r="C1724" s="150"/>
      <c r="D1724" s="102"/>
      <c r="E1724" s="149"/>
      <c r="F1724" s="149"/>
      <c r="G1724" s="149"/>
      <c r="H1724" s="149"/>
      <c r="I1724" s="149"/>
      <c r="J1724" s="149"/>
      <c r="K1724" s="149"/>
      <c r="L1724" s="149"/>
      <c r="M1724" s="149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9"/>
      <c r="AA1724" s="149"/>
      <c r="AB1724" s="149"/>
      <c r="AC1724" s="149"/>
      <c r="AD1724" s="149"/>
      <c r="AE1724" s="149"/>
      <c r="AF1724" s="149"/>
      <c r="AG1724" s="149"/>
      <c r="AH1724" s="149"/>
      <c r="AI1724" s="149"/>
      <c r="AJ1724" s="149"/>
      <c r="AK1724" s="149"/>
      <c r="AL1724" s="149"/>
      <c r="AM1724" s="149"/>
      <c r="AN1724" s="149"/>
      <c r="AO1724" s="128"/>
      <c r="AP1724" s="128"/>
      <c r="AQ1724" s="128"/>
      <c r="AR1724" s="128"/>
      <c r="AS1724" s="128"/>
      <c r="AT1724" s="128"/>
      <c r="AU1724" s="128"/>
      <c r="AV1724" s="128"/>
      <c r="AW1724" s="128"/>
      <c r="AX1724" s="128"/>
      <c r="AY1724" s="128"/>
      <c r="AZ1724" s="128"/>
      <c r="BA1724" s="128"/>
      <c r="BB1724" s="128"/>
      <c r="BC1724" s="128"/>
      <c r="BD1724" s="128"/>
      <c r="BE1724" s="128"/>
      <c r="BF1724" s="128"/>
      <c r="BG1724" s="128"/>
      <c r="BH1724" s="128"/>
      <c r="BI1724" s="128"/>
      <c r="BJ1724" s="128"/>
      <c r="BK1724" s="128"/>
      <c r="BL1724" s="128"/>
      <c r="BM1724" s="151"/>
      <c r="BN1724" s="128"/>
      <c r="BO1724" s="128"/>
      <c r="BP1724" s="128"/>
      <c r="BQ1724" s="128"/>
      <c r="BR1724" s="128"/>
      <c r="BS1724" s="128"/>
      <c r="BT1724" s="128"/>
      <c r="BU1724" s="128"/>
      <c r="BV1724" s="128"/>
      <c r="BW1724" s="128"/>
      <c r="BX1724" s="128"/>
      <c r="BY1724" s="128"/>
      <c r="BZ1724" s="128"/>
      <c r="CA1724" s="128"/>
      <c r="CB1724" s="128"/>
      <c r="CC1724" s="128"/>
      <c r="CD1724" s="128"/>
      <c r="CE1724" s="128"/>
      <c r="CF1724" s="128"/>
      <c r="CG1724" s="128"/>
      <c r="CI1724" s="128"/>
      <c r="CJ1724" s="128"/>
      <c r="CK1724" s="128"/>
      <c r="CL1724" s="128"/>
      <c r="CM1724" s="128"/>
      <c r="CN1724" s="128"/>
      <c r="CO1724" s="128"/>
      <c r="CP1724" s="128"/>
      <c r="CQ1724" s="128"/>
      <c r="CR1724" s="128"/>
      <c r="CS1724" s="128"/>
      <c r="CT1724" s="128"/>
      <c r="CU1724" s="128"/>
      <c r="CV1724" s="128"/>
      <c r="CW1724" s="128"/>
      <c r="CX1724" s="128"/>
      <c r="CY1724" s="128"/>
      <c r="CZ1724" s="165"/>
    </row>
    <row r="1725" spans="1:104">
      <c r="A1725" s="149"/>
      <c r="B1725" s="149"/>
      <c r="C1725" s="150"/>
      <c r="D1725" s="102"/>
      <c r="E1725" s="149"/>
      <c r="F1725" s="149"/>
      <c r="G1725" s="149"/>
      <c r="H1725" s="149"/>
      <c r="I1725" s="149"/>
      <c r="J1725" s="149"/>
      <c r="K1725" s="149"/>
      <c r="L1725" s="149"/>
      <c r="M1725" s="149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9"/>
      <c r="AA1725" s="149"/>
      <c r="AB1725" s="149"/>
      <c r="AC1725" s="149"/>
      <c r="AD1725" s="149"/>
      <c r="AE1725" s="149"/>
      <c r="AF1725" s="149"/>
      <c r="AG1725" s="149"/>
      <c r="AH1725" s="149"/>
      <c r="AI1725" s="149"/>
      <c r="AJ1725" s="149"/>
      <c r="AK1725" s="149"/>
      <c r="AL1725" s="149"/>
      <c r="AM1725" s="149"/>
      <c r="AN1725" s="149"/>
      <c r="AO1725" s="128"/>
      <c r="AP1725" s="128"/>
      <c r="AQ1725" s="128"/>
      <c r="AR1725" s="128"/>
      <c r="AS1725" s="128"/>
      <c r="AT1725" s="128"/>
      <c r="AU1725" s="128"/>
      <c r="AV1725" s="128"/>
      <c r="AW1725" s="128"/>
      <c r="AX1725" s="128"/>
      <c r="AY1725" s="128"/>
      <c r="AZ1725" s="128"/>
      <c r="BA1725" s="128"/>
      <c r="BB1725" s="128"/>
      <c r="BC1725" s="128"/>
      <c r="BD1725" s="128"/>
      <c r="BE1725" s="128"/>
      <c r="BF1725" s="128"/>
      <c r="BG1725" s="128"/>
      <c r="BH1725" s="128"/>
      <c r="BI1725" s="128"/>
      <c r="BJ1725" s="128"/>
      <c r="BK1725" s="128"/>
      <c r="BL1725" s="128"/>
      <c r="BM1725" s="151"/>
      <c r="BN1725" s="128"/>
      <c r="BO1725" s="128"/>
      <c r="BP1725" s="128"/>
      <c r="BQ1725" s="128"/>
      <c r="BR1725" s="128"/>
      <c r="BS1725" s="128"/>
      <c r="BT1725" s="128"/>
      <c r="BU1725" s="128"/>
      <c r="BV1725" s="128"/>
      <c r="BW1725" s="128"/>
      <c r="BX1725" s="128"/>
      <c r="BY1725" s="128"/>
      <c r="BZ1725" s="128"/>
      <c r="CA1725" s="128"/>
      <c r="CB1725" s="128"/>
      <c r="CC1725" s="128"/>
      <c r="CD1725" s="128"/>
      <c r="CE1725" s="128"/>
      <c r="CF1725" s="128"/>
      <c r="CG1725" s="128"/>
      <c r="CI1725" s="128"/>
      <c r="CJ1725" s="128"/>
      <c r="CK1725" s="128"/>
      <c r="CL1725" s="128"/>
      <c r="CM1725" s="128"/>
      <c r="CN1725" s="128"/>
      <c r="CO1725" s="128"/>
      <c r="CP1725" s="128"/>
      <c r="CQ1725" s="128"/>
      <c r="CR1725" s="128"/>
      <c r="CS1725" s="128"/>
      <c r="CT1725" s="128"/>
      <c r="CU1725" s="128"/>
      <c r="CV1725" s="128"/>
      <c r="CW1725" s="128"/>
      <c r="CX1725" s="128"/>
      <c r="CY1725" s="128"/>
      <c r="CZ1725" s="165"/>
    </row>
    <row r="1726" spans="1:104">
      <c r="A1726" s="149"/>
      <c r="B1726" s="149"/>
      <c r="C1726" s="150"/>
      <c r="D1726" s="102"/>
      <c r="E1726" s="149"/>
      <c r="F1726" s="149"/>
      <c r="G1726" s="149"/>
      <c r="H1726" s="149"/>
      <c r="I1726" s="149"/>
      <c r="J1726" s="149"/>
      <c r="K1726" s="149"/>
      <c r="L1726" s="149"/>
      <c r="M1726" s="149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9"/>
      <c r="AA1726" s="149"/>
      <c r="AB1726" s="149"/>
      <c r="AC1726" s="149"/>
      <c r="AD1726" s="149"/>
      <c r="AE1726" s="149"/>
      <c r="AF1726" s="149"/>
      <c r="AG1726" s="149"/>
      <c r="AH1726" s="149"/>
      <c r="AI1726" s="149"/>
      <c r="AJ1726" s="149"/>
      <c r="AK1726" s="149"/>
      <c r="AL1726" s="149"/>
      <c r="AM1726" s="149"/>
      <c r="AN1726" s="149"/>
      <c r="AO1726" s="128"/>
      <c r="AP1726" s="128"/>
      <c r="AQ1726" s="128"/>
      <c r="AR1726" s="128"/>
      <c r="AS1726" s="128"/>
      <c r="AT1726" s="128"/>
      <c r="AU1726" s="128"/>
      <c r="AV1726" s="128"/>
      <c r="AW1726" s="128"/>
      <c r="AX1726" s="128"/>
      <c r="AY1726" s="128"/>
      <c r="AZ1726" s="128"/>
      <c r="BA1726" s="128"/>
      <c r="BB1726" s="128"/>
      <c r="BC1726" s="128"/>
      <c r="BD1726" s="128"/>
      <c r="BE1726" s="128"/>
      <c r="BF1726" s="128"/>
      <c r="BG1726" s="128"/>
      <c r="BH1726" s="128"/>
      <c r="BI1726" s="128"/>
      <c r="BJ1726" s="128"/>
      <c r="BK1726" s="128"/>
      <c r="BL1726" s="128"/>
      <c r="BM1726" s="151"/>
      <c r="BN1726" s="128"/>
      <c r="BO1726" s="128"/>
      <c r="BP1726" s="128"/>
      <c r="BQ1726" s="128"/>
      <c r="BR1726" s="128"/>
      <c r="BS1726" s="128"/>
      <c r="BT1726" s="128"/>
      <c r="BU1726" s="128"/>
      <c r="BV1726" s="128"/>
      <c r="BW1726" s="128"/>
      <c r="BX1726" s="128"/>
      <c r="BY1726" s="128"/>
      <c r="BZ1726" s="128"/>
      <c r="CA1726" s="128"/>
      <c r="CB1726" s="128"/>
      <c r="CC1726" s="128"/>
      <c r="CD1726" s="128"/>
      <c r="CE1726" s="128"/>
      <c r="CF1726" s="128"/>
      <c r="CG1726" s="128"/>
      <c r="CI1726" s="128"/>
      <c r="CJ1726" s="128"/>
      <c r="CK1726" s="128"/>
      <c r="CL1726" s="128"/>
      <c r="CM1726" s="128"/>
      <c r="CN1726" s="128"/>
      <c r="CO1726" s="128"/>
      <c r="CP1726" s="128"/>
      <c r="CQ1726" s="128"/>
      <c r="CR1726" s="128"/>
      <c r="CS1726" s="128"/>
      <c r="CT1726" s="128"/>
      <c r="CU1726" s="128"/>
      <c r="CV1726" s="128"/>
      <c r="CW1726" s="128"/>
      <c r="CX1726" s="128"/>
      <c r="CY1726" s="128"/>
      <c r="CZ1726" s="165"/>
    </row>
    <row r="1727" spans="1:104">
      <c r="A1727" s="149"/>
      <c r="B1727" s="149"/>
      <c r="C1727" s="150"/>
      <c r="D1727" s="102"/>
      <c r="E1727" s="149"/>
      <c r="F1727" s="149"/>
      <c r="G1727" s="149"/>
      <c r="H1727" s="149"/>
      <c r="I1727" s="149"/>
      <c r="J1727" s="149"/>
      <c r="K1727" s="149"/>
      <c r="L1727" s="149"/>
      <c r="M1727" s="149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9"/>
      <c r="AA1727" s="149"/>
      <c r="AB1727" s="149"/>
      <c r="AC1727" s="149"/>
      <c r="AD1727" s="149"/>
      <c r="AE1727" s="149"/>
      <c r="AF1727" s="149"/>
      <c r="AG1727" s="149"/>
      <c r="AH1727" s="149"/>
      <c r="AI1727" s="149"/>
      <c r="AJ1727" s="149"/>
      <c r="AK1727" s="149"/>
      <c r="AL1727" s="149"/>
      <c r="AM1727" s="149"/>
      <c r="AN1727" s="149"/>
      <c r="AO1727" s="128"/>
      <c r="AP1727" s="128"/>
      <c r="AQ1727" s="128"/>
      <c r="AR1727" s="128"/>
      <c r="AS1727" s="128"/>
      <c r="AT1727" s="128"/>
      <c r="AU1727" s="128"/>
      <c r="AV1727" s="128"/>
      <c r="AW1727" s="128"/>
      <c r="AX1727" s="128"/>
      <c r="AY1727" s="128"/>
      <c r="AZ1727" s="128"/>
      <c r="BA1727" s="128"/>
      <c r="BB1727" s="128"/>
      <c r="BC1727" s="128"/>
      <c r="BD1727" s="128"/>
      <c r="BE1727" s="128"/>
      <c r="BF1727" s="128"/>
      <c r="BG1727" s="128"/>
      <c r="BH1727" s="128"/>
      <c r="BI1727" s="128"/>
      <c r="BJ1727" s="128"/>
      <c r="BK1727" s="128"/>
      <c r="BL1727" s="128"/>
      <c r="BM1727" s="151"/>
      <c r="BN1727" s="128"/>
      <c r="BO1727" s="128"/>
      <c r="BP1727" s="128"/>
      <c r="BQ1727" s="128"/>
      <c r="BR1727" s="128"/>
      <c r="BS1727" s="128"/>
      <c r="BT1727" s="128"/>
      <c r="BU1727" s="128"/>
      <c r="BV1727" s="128"/>
      <c r="BW1727" s="128"/>
      <c r="BX1727" s="128"/>
      <c r="BY1727" s="128"/>
      <c r="BZ1727" s="128"/>
      <c r="CA1727" s="128"/>
      <c r="CB1727" s="128"/>
      <c r="CC1727" s="128"/>
      <c r="CD1727" s="128"/>
      <c r="CE1727" s="128"/>
      <c r="CF1727" s="128"/>
      <c r="CG1727" s="128"/>
      <c r="CI1727" s="128"/>
      <c r="CJ1727" s="128"/>
      <c r="CK1727" s="128"/>
      <c r="CL1727" s="128"/>
      <c r="CM1727" s="128"/>
      <c r="CN1727" s="128"/>
      <c r="CO1727" s="128"/>
      <c r="CP1727" s="128"/>
      <c r="CQ1727" s="128"/>
      <c r="CR1727" s="128"/>
      <c r="CS1727" s="128"/>
      <c r="CT1727" s="128"/>
      <c r="CU1727" s="128"/>
      <c r="CV1727" s="128"/>
      <c r="CW1727" s="128"/>
      <c r="CX1727" s="128"/>
      <c r="CY1727" s="128"/>
      <c r="CZ1727" s="165"/>
    </row>
    <row r="1728" spans="1:104">
      <c r="A1728" s="149"/>
      <c r="B1728" s="149"/>
      <c r="C1728" s="150"/>
      <c r="D1728" s="102"/>
      <c r="E1728" s="149"/>
      <c r="F1728" s="149"/>
      <c r="G1728" s="149"/>
      <c r="H1728" s="149"/>
      <c r="I1728" s="149"/>
      <c r="J1728" s="149"/>
      <c r="K1728" s="149"/>
      <c r="L1728" s="149"/>
      <c r="M1728" s="149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9"/>
      <c r="AA1728" s="149"/>
      <c r="AB1728" s="149"/>
      <c r="AC1728" s="149"/>
      <c r="AD1728" s="149"/>
      <c r="AE1728" s="149"/>
      <c r="AF1728" s="149"/>
      <c r="AG1728" s="149"/>
      <c r="AH1728" s="149"/>
      <c r="AI1728" s="149"/>
      <c r="AJ1728" s="149"/>
      <c r="AK1728" s="149"/>
      <c r="AL1728" s="149"/>
      <c r="AM1728" s="149"/>
      <c r="AN1728" s="149"/>
      <c r="AO1728" s="128"/>
      <c r="AP1728" s="128"/>
      <c r="AQ1728" s="128"/>
      <c r="AR1728" s="128"/>
      <c r="AS1728" s="128"/>
      <c r="AT1728" s="128"/>
      <c r="AU1728" s="128"/>
      <c r="AV1728" s="128"/>
      <c r="AW1728" s="128"/>
      <c r="AX1728" s="128"/>
      <c r="AY1728" s="128"/>
      <c r="AZ1728" s="128"/>
      <c r="BA1728" s="128"/>
      <c r="BB1728" s="128"/>
      <c r="BC1728" s="128"/>
      <c r="BD1728" s="128"/>
      <c r="BE1728" s="128"/>
      <c r="BF1728" s="128"/>
      <c r="BG1728" s="128"/>
      <c r="BH1728" s="128"/>
      <c r="BI1728" s="128"/>
      <c r="BJ1728" s="128"/>
      <c r="BK1728" s="128"/>
      <c r="BL1728" s="128"/>
      <c r="BM1728" s="151"/>
      <c r="BN1728" s="128"/>
      <c r="BO1728" s="128"/>
      <c r="BP1728" s="128"/>
      <c r="BQ1728" s="128"/>
      <c r="BR1728" s="128"/>
      <c r="BS1728" s="128"/>
      <c r="BT1728" s="128"/>
      <c r="BU1728" s="128"/>
      <c r="BV1728" s="128"/>
      <c r="BW1728" s="128"/>
      <c r="BX1728" s="128"/>
      <c r="BY1728" s="128"/>
      <c r="BZ1728" s="128"/>
      <c r="CA1728" s="128"/>
      <c r="CB1728" s="128"/>
      <c r="CC1728" s="128"/>
      <c r="CD1728" s="128"/>
      <c r="CE1728" s="128"/>
      <c r="CF1728" s="128"/>
      <c r="CG1728" s="128"/>
      <c r="CI1728" s="128"/>
      <c r="CJ1728" s="128"/>
      <c r="CK1728" s="128"/>
      <c r="CL1728" s="128"/>
      <c r="CM1728" s="128"/>
      <c r="CN1728" s="128"/>
      <c r="CO1728" s="128"/>
      <c r="CP1728" s="128"/>
      <c r="CQ1728" s="128"/>
      <c r="CR1728" s="128"/>
      <c r="CS1728" s="128"/>
      <c r="CT1728" s="128"/>
      <c r="CU1728" s="128"/>
      <c r="CV1728" s="128"/>
      <c r="CW1728" s="128"/>
      <c r="CX1728" s="128"/>
      <c r="CY1728" s="128"/>
      <c r="CZ1728" s="165"/>
    </row>
    <row r="1729" spans="1:104">
      <c r="A1729" s="149"/>
      <c r="B1729" s="149"/>
      <c r="C1729" s="150"/>
      <c r="D1729" s="102"/>
      <c r="E1729" s="149"/>
      <c r="F1729" s="149"/>
      <c r="G1729" s="149"/>
      <c r="H1729" s="149"/>
      <c r="I1729" s="149"/>
      <c r="J1729" s="149"/>
      <c r="K1729" s="149"/>
      <c r="L1729" s="149"/>
      <c r="M1729" s="149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9"/>
      <c r="AA1729" s="149"/>
      <c r="AB1729" s="149"/>
      <c r="AC1729" s="149"/>
      <c r="AD1729" s="149"/>
      <c r="AE1729" s="149"/>
      <c r="AF1729" s="149"/>
      <c r="AG1729" s="149"/>
      <c r="AH1729" s="149"/>
      <c r="AI1729" s="149"/>
      <c r="AJ1729" s="149"/>
      <c r="AK1729" s="149"/>
      <c r="AL1729" s="149"/>
      <c r="AM1729" s="149"/>
      <c r="AN1729" s="149"/>
      <c r="AO1729" s="128"/>
      <c r="AP1729" s="128"/>
      <c r="AQ1729" s="128"/>
      <c r="AR1729" s="128"/>
      <c r="AS1729" s="128"/>
      <c r="AT1729" s="128"/>
      <c r="AU1729" s="128"/>
      <c r="AV1729" s="128"/>
      <c r="AW1729" s="128"/>
      <c r="AX1729" s="128"/>
      <c r="AY1729" s="128"/>
      <c r="AZ1729" s="128"/>
      <c r="BA1729" s="128"/>
      <c r="BB1729" s="128"/>
      <c r="BC1729" s="128"/>
      <c r="BD1729" s="128"/>
      <c r="BE1729" s="128"/>
      <c r="BF1729" s="128"/>
      <c r="BG1729" s="128"/>
      <c r="BH1729" s="128"/>
      <c r="BI1729" s="128"/>
      <c r="BJ1729" s="128"/>
      <c r="BK1729" s="128"/>
      <c r="BL1729" s="128"/>
      <c r="BM1729" s="151"/>
      <c r="BN1729" s="128"/>
      <c r="BO1729" s="128"/>
      <c r="BP1729" s="128"/>
      <c r="BQ1729" s="128"/>
      <c r="BR1729" s="128"/>
      <c r="BS1729" s="128"/>
      <c r="BT1729" s="128"/>
      <c r="BU1729" s="128"/>
      <c r="BV1729" s="128"/>
      <c r="BW1729" s="128"/>
      <c r="BX1729" s="128"/>
      <c r="BY1729" s="128"/>
      <c r="BZ1729" s="128"/>
      <c r="CA1729" s="128"/>
      <c r="CB1729" s="128"/>
      <c r="CC1729" s="128"/>
      <c r="CD1729" s="128"/>
      <c r="CE1729" s="128"/>
      <c r="CF1729" s="128"/>
      <c r="CG1729" s="128"/>
      <c r="CI1729" s="128"/>
      <c r="CJ1729" s="128"/>
      <c r="CK1729" s="128"/>
      <c r="CL1729" s="128"/>
      <c r="CM1729" s="128"/>
      <c r="CN1729" s="128"/>
      <c r="CO1729" s="128"/>
      <c r="CP1729" s="128"/>
      <c r="CQ1729" s="128"/>
      <c r="CR1729" s="128"/>
      <c r="CS1729" s="128"/>
      <c r="CT1729" s="128"/>
      <c r="CU1729" s="128"/>
      <c r="CV1729" s="128"/>
      <c r="CW1729" s="128"/>
      <c r="CX1729" s="128"/>
      <c r="CY1729" s="128"/>
      <c r="CZ1729" s="165"/>
    </row>
    <row r="1730" spans="1:104">
      <c r="A1730" s="149"/>
      <c r="B1730" s="149"/>
      <c r="C1730" s="150"/>
      <c r="D1730" s="102"/>
      <c r="E1730" s="149"/>
      <c r="F1730" s="149"/>
      <c r="G1730" s="149"/>
      <c r="H1730" s="149"/>
      <c r="I1730" s="149"/>
      <c r="J1730" s="149"/>
      <c r="K1730" s="149"/>
      <c r="L1730" s="149"/>
      <c r="M1730" s="149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9"/>
      <c r="AA1730" s="149"/>
      <c r="AB1730" s="149"/>
      <c r="AC1730" s="149"/>
      <c r="AD1730" s="149"/>
      <c r="AE1730" s="149"/>
      <c r="AF1730" s="149"/>
      <c r="AG1730" s="149"/>
      <c r="AH1730" s="149"/>
      <c r="AI1730" s="149"/>
      <c r="AJ1730" s="149"/>
      <c r="AK1730" s="149"/>
      <c r="AL1730" s="149"/>
      <c r="AM1730" s="149"/>
      <c r="AN1730" s="149"/>
      <c r="AO1730" s="128"/>
      <c r="AP1730" s="128"/>
      <c r="AQ1730" s="128"/>
      <c r="AR1730" s="128"/>
      <c r="AS1730" s="128"/>
      <c r="AT1730" s="128"/>
      <c r="AU1730" s="128"/>
      <c r="AV1730" s="128"/>
      <c r="AW1730" s="128"/>
      <c r="AX1730" s="128"/>
      <c r="AY1730" s="128"/>
      <c r="AZ1730" s="128"/>
      <c r="BA1730" s="128"/>
      <c r="BB1730" s="128"/>
      <c r="BC1730" s="128"/>
      <c r="BD1730" s="128"/>
      <c r="BE1730" s="128"/>
      <c r="BF1730" s="128"/>
      <c r="BG1730" s="128"/>
      <c r="BH1730" s="128"/>
      <c r="BI1730" s="128"/>
      <c r="BJ1730" s="128"/>
      <c r="BK1730" s="128"/>
      <c r="BL1730" s="128"/>
      <c r="BM1730" s="151"/>
      <c r="BN1730" s="128"/>
      <c r="BO1730" s="128"/>
      <c r="BP1730" s="128"/>
      <c r="BQ1730" s="128"/>
      <c r="BR1730" s="128"/>
      <c r="BS1730" s="128"/>
      <c r="BT1730" s="128"/>
      <c r="BU1730" s="128"/>
      <c r="BV1730" s="128"/>
      <c r="BW1730" s="128"/>
      <c r="BX1730" s="128"/>
      <c r="BY1730" s="128"/>
      <c r="BZ1730" s="128"/>
      <c r="CA1730" s="128"/>
      <c r="CB1730" s="128"/>
      <c r="CC1730" s="128"/>
      <c r="CD1730" s="128"/>
      <c r="CE1730" s="128"/>
      <c r="CF1730" s="128"/>
      <c r="CG1730" s="128"/>
      <c r="CI1730" s="128"/>
      <c r="CJ1730" s="128"/>
      <c r="CK1730" s="128"/>
      <c r="CL1730" s="128"/>
      <c r="CM1730" s="128"/>
      <c r="CN1730" s="128"/>
      <c r="CO1730" s="128"/>
      <c r="CP1730" s="128"/>
      <c r="CQ1730" s="128"/>
      <c r="CR1730" s="128"/>
      <c r="CS1730" s="128"/>
      <c r="CT1730" s="128"/>
      <c r="CU1730" s="128"/>
      <c r="CV1730" s="128"/>
      <c r="CW1730" s="128"/>
      <c r="CX1730" s="128"/>
      <c r="CY1730" s="128"/>
      <c r="CZ1730" s="165"/>
    </row>
    <row r="1731" spans="1:104">
      <c r="A1731" s="149"/>
      <c r="B1731" s="149"/>
      <c r="C1731" s="150"/>
      <c r="D1731" s="102"/>
      <c r="E1731" s="149"/>
      <c r="F1731" s="149"/>
      <c r="G1731" s="149"/>
      <c r="H1731" s="149"/>
      <c r="I1731" s="149"/>
      <c r="J1731" s="149"/>
      <c r="K1731" s="149"/>
      <c r="L1731" s="149"/>
      <c r="M1731" s="149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9"/>
      <c r="AA1731" s="149"/>
      <c r="AB1731" s="149"/>
      <c r="AC1731" s="149"/>
      <c r="AD1731" s="149"/>
      <c r="AE1731" s="149"/>
      <c r="AF1731" s="149"/>
      <c r="AG1731" s="149"/>
      <c r="AH1731" s="149"/>
      <c r="AI1731" s="149"/>
      <c r="AJ1731" s="149"/>
      <c r="AK1731" s="149"/>
      <c r="AL1731" s="149"/>
      <c r="AM1731" s="149"/>
      <c r="AN1731" s="149"/>
      <c r="AO1731" s="128"/>
      <c r="AP1731" s="128"/>
      <c r="AQ1731" s="128"/>
      <c r="AR1731" s="128"/>
      <c r="AS1731" s="128"/>
      <c r="AT1731" s="128"/>
      <c r="AU1731" s="128"/>
      <c r="AV1731" s="128"/>
      <c r="AW1731" s="128"/>
      <c r="AX1731" s="128"/>
      <c r="AY1731" s="128"/>
      <c r="AZ1731" s="128"/>
      <c r="BA1731" s="128"/>
      <c r="BB1731" s="128"/>
      <c r="BC1731" s="128"/>
      <c r="BD1731" s="128"/>
      <c r="BE1731" s="128"/>
      <c r="BF1731" s="128"/>
      <c r="BG1731" s="128"/>
      <c r="BH1731" s="128"/>
      <c r="BI1731" s="128"/>
      <c r="BJ1731" s="128"/>
      <c r="BK1731" s="128"/>
      <c r="BL1731" s="128"/>
      <c r="BM1731" s="151"/>
      <c r="BN1731" s="128"/>
      <c r="BO1731" s="128"/>
      <c r="BP1731" s="128"/>
      <c r="BQ1731" s="128"/>
      <c r="BR1731" s="128"/>
      <c r="BS1731" s="128"/>
      <c r="BT1731" s="128"/>
      <c r="BU1731" s="128"/>
      <c r="BV1731" s="128"/>
      <c r="BW1731" s="128"/>
      <c r="BX1731" s="128"/>
      <c r="BY1731" s="128"/>
      <c r="BZ1731" s="128"/>
      <c r="CA1731" s="128"/>
      <c r="CB1731" s="128"/>
      <c r="CC1731" s="128"/>
      <c r="CD1731" s="128"/>
      <c r="CE1731" s="128"/>
      <c r="CF1731" s="128"/>
      <c r="CG1731" s="128"/>
      <c r="CI1731" s="128"/>
      <c r="CJ1731" s="128"/>
      <c r="CK1731" s="128"/>
      <c r="CL1731" s="128"/>
      <c r="CM1731" s="128"/>
      <c r="CN1731" s="128"/>
      <c r="CO1731" s="128"/>
      <c r="CP1731" s="128"/>
      <c r="CQ1731" s="128"/>
      <c r="CR1731" s="128"/>
      <c r="CS1731" s="128"/>
      <c r="CT1731" s="128"/>
      <c r="CU1731" s="128"/>
      <c r="CV1731" s="128"/>
      <c r="CW1731" s="128"/>
      <c r="CX1731" s="128"/>
      <c r="CY1731" s="128"/>
      <c r="CZ1731" s="165"/>
    </row>
    <row r="1732" spans="1:104">
      <c r="A1732" s="149"/>
      <c r="B1732" s="149"/>
      <c r="C1732" s="150"/>
      <c r="D1732" s="102"/>
      <c r="E1732" s="149"/>
      <c r="F1732" s="149"/>
      <c r="G1732" s="149"/>
      <c r="H1732" s="149"/>
      <c r="I1732" s="149"/>
      <c r="J1732" s="149"/>
      <c r="K1732" s="149"/>
      <c r="L1732" s="149"/>
      <c r="M1732" s="149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9"/>
      <c r="AA1732" s="149"/>
      <c r="AB1732" s="149"/>
      <c r="AC1732" s="149"/>
      <c r="AD1732" s="149"/>
      <c r="AE1732" s="149"/>
      <c r="AF1732" s="149"/>
      <c r="AG1732" s="149"/>
      <c r="AH1732" s="149"/>
      <c r="AI1732" s="149"/>
      <c r="AJ1732" s="149"/>
      <c r="AK1732" s="149"/>
      <c r="AL1732" s="149"/>
      <c r="AM1732" s="149"/>
      <c r="AN1732" s="149"/>
      <c r="AO1732" s="128"/>
      <c r="AP1732" s="128"/>
      <c r="AQ1732" s="128"/>
      <c r="AR1732" s="128"/>
      <c r="AS1732" s="128"/>
      <c r="AT1732" s="128"/>
      <c r="AU1732" s="128"/>
      <c r="AV1732" s="128"/>
      <c r="AW1732" s="128"/>
      <c r="AX1732" s="128"/>
      <c r="AY1732" s="128"/>
      <c r="AZ1732" s="128"/>
      <c r="BA1732" s="128"/>
      <c r="BB1732" s="128"/>
      <c r="BC1732" s="128"/>
      <c r="BD1732" s="128"/>
      <c r="BE1732" s="128"/>
      <c r="BF1732" s="128"/>
      <c r="BG1732" s="128"/>
      <c r="BH1732" s="128"/>
      <c r="BI1732" s="128"/>
      <c r="BJ1732" s="128"/>
      <c r="BK1732" s="128"/>
      <c r="BL1732" s="128"/>
      <c r="BM1732" s="151"/>
      <c r="BN1732" s="128"/>
      <c r="BO1732" s="128"/>
      <c r="BP1732" s="128"/>
      <c r="BQ1732" s="128"/>
      <c r="BR1732" s="128"/>
      <c r="BS1732" s="128"/>
      <c r="BT1732" s="128"/>
      <c r="BU1732" s="128"/>
      <c r="BV1732" s="128"/>
      <c r="BW1732" s="128"/>
      <c r="BX1732" s="128"/>
      <c r="BY1732" s="128"/>
      <c r="BZ1732" s="128"/>
      <c r="CA1732" s="128"/>
      <c r="CB1732" s="128"/>
      <c r="CC1732" s="128"/>
      <c r="CD1732" s="128"/>
      <c r="CE1732" s="128"/>
      <c r="CF1732" s="128"/>
      <c r="CG1732" s="128"/>
      <c r="CI1732" s="128"/>
      <c r="CJ1732" s="128"/>
      <c r="CK1732" s="128"/>
      <c r="CL1732" s="128"/>
      <c r="CM1732" s="128"/>
      <c r="CN1732" s="128"/>
      <c r="CO1732" s="128"/>
      <c r="CP1732" s="128"/>
      <c r="CQ1732" s="128"/>
      <c r="CR1732" s="128"/>
      <c r="CS1732" s="128"/>
      <c r="CT1732" s="128"/>
      <c r="CU1732" s="128"/>
      <c r="CV1732" s="128"/>
      <c r="CW1732" s="128"/>
      <c r="CX1732" s="128"/>
      <c r="CY1732" s="128"/>
      <c r="CZ1732" s="165"/>
    </row>
    <row r="1733" spans="1:104">
      <c r="A1733" s="149"/>
      <c r="B1733" s="149"/>
      <c r="C1733" s="150"/>
      <c r="D1733" s="102"/>
      <c r="E1733" s="149"/>
      <c r="F1733" s="149"/>
      <c r="G1733" s="149"/>
      <c r="H1733" s="149"/>
      <c r="I1733" s="149"/>
      <c r="J1733" s="149"/>
      <c r="K1733" s="149"/>
      <c r="L1733" s="149"/>
      <c r="M1733" s="149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9"/>
      <c r="AA1733" s="149"/>
      <c r="AB1733" s="149"/>
      <c r="AC1733" s="149"/>
      <c r="AD1733" s="149"/>
      <c r="AE1733" s="149"/>
      <c r="AF1733" s="149"/>
      <c r="AG1733" s="149"/>
      <c r="AH1733" s="149"/>
      <c r="AI1733" s="149"/>
      <c r="AJ1733" s="149"/>
      <c r="AK1733" s="149"/>
      <c r="AL1733" s="149"/>
      <c r="AM1733" s="149"/>
      <c r="AN1733" s="149"/>
      <c r="AO1733" s="128"/>
      <c r="AP1733" s="128"/>
      <c r="AQ1733" s="128"/>
      <c r="AR1733" s="128"/>
      <c r="AS1733" s="128"/>
      <c r="AT1733" s="128"/>
      <c r="AU1733" s="128"/>
      <c r="AV1733" s="128"/>
      <c r="AW1733" s="128"/>
      <c r="AX1733" s="128"/>
      <c r="AY1733" s="128"/>
      <c r="AZ1733" s="128"/>
      <c r="BA1733" s="128"/>
      <c r="BB1733" s="128"/>
      <c r="BC1733" s="128"/>
      <c r="BD1733" s="128"/>
      <c r="BE1733" s="128"/>
      <c r="BF1733" s="128"/>
      <c r="BG1733" s="128"/>
      <c r="BH1733" s="128"/>
      <c r="BI1733" s="128"/>
      <c r="BJ1733" s="128"/>
      <c r="BK1733" s="128"/>
      <c r="BL1733" s="128"/>
      <c r="BM1733" s="151"/>
      <c r="BN1733" s="128"/>
      <c r="BO1733" s="128"/>
      <c r="BP1733" s="128"/>
      <c r="BQ1733" s="128"/>
      <c r="BR1733" s="128"/>
      <c r="BS1733" s="128"/>
      <c r="BT1733" s="128"/>
      <c r="BU1733" s="128"/>
      <c r="BV1733" s="128"/>
      <c r="BW1733" s="128"/>
      <c r="BX1733" s="128"/>
      <c r="BY1733" s="128"/>
      <c r="BZ1733" s="128"/>
      <c r="CA1733" s="128"/>
      <c r="CB1733" s="128"/>
      <c r="CC1733" s="128"/>
      <c r="CD1733" s="128"/>
      <c r="CE1733" s="128"/>
      <c r="CF1733" s="128"/>
      <c r="CG1733" s="128"/>
      <c r="CI1733" s="128"/>
      <c r="CJ1733" s="128"/>
      <c r="CK1733" s="128"/>
      <c r="CL1733" s="128"/>
      <c r="CM1733" s="128"/>
      <c r="CN1733" s="128"/>
      <c r="CO1733" s="128"/>
      <c r="CP1733" s="128"/>
      <c r="CQ1733" s="128"/>
      <c r="CR1733" s="128"/>
      <c r="CS1733" s="128"/>
      <c r="CT1733" s="128"/>
      <c r="CU1733" s="128"/>
      <c r="CV1733" s="128"/>
      <c r="CW1733" s="128"/>
      <c r="CX1733" s="128"/>
      <c r="CY1733" s="128"/>
      <c r="CZ1733" s="165"/>
    </row>
    <row r="1734" spans="1:104">
      <c r="A1734" s="149"/>
      <c r="B1734" s="149"/>
      <c r="C1734" s="150"/>
      <c r="D1734" s="102"/>
      <c r="E1734" s="149"/>
      <c r="F1734" s="149"/>
      <c r="G1734" s="149"/>
      <c r="H1734" s="149"/>
      <c r="I1734" s="149"/>
      <c r="J1734" s="149"/>
      <c r="K1734" s="149"/>
      <c r="L1734" s="149"/>
      <c r="M1734" s="149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9"/>
      <c r="AA1734" s="149"/>
      <c r="AB1734" s="149"/>
      <c r="AC1734" s="149"/>
      <c r="AD1734" s="149"/>
      <c r="AE1734" s="149"/>
      <c r="AF1734" s="149"/>
      <c r="AG1734" s="149"/>
      <c r="AH1734" s="149"/>
      <c r="AI1734" s="149"/>
      <c r="AJ1734" s="149"/>
      <c r="AK1734" s="149"/>
      <c r="AL1734" s="149"/>
      <c r="AM1734" s="149"/>
      <c r="AN1734" s="149"/>
      <c r="AO1734" s="128"/>
      <c r="AP1734" s="128"/>
      <c r="AQ1734" s="128"/>
      <c r="AR1734" s="128"/>
      <c r="AS1734" s="128"/>
      <c r="AT1734" s="128"/>
      <c r="AU1734" s="128"/>
      <c r="AV1734" s="128"/>
      <c r="AW1734" s="128"/>
      <c r="AX1734" s="128"/>
      <c r="AY1734" s="128"/>
      <c r="AZ1734" s="128"/>
      <c r="BA1734" s="128"/>
      <c r="BB1734" s="128"/>
      <c r="BC1734" s="128"/>
      <c r="BD1734" s="128"/>
      <c r="BE1734" s="128"/>
      <c r="BF1734" s="128"/>
      <c r="BG1734" s="128"/>
      <c r="BH1734" s="128"/>
      <c r="BI1734" s="128"/>
      <c r="BJ1734" s="128"/>
      <c r="BK1734" s="128"/>
      <c r="BL1734" s="128"/>
      <c r="BM1734" s="151"/>
      <c r="BN1734" s="128"/>
      <c r="BO1734" s="128"/>
      <c r="BP1734" s="128"/>
      <c r="BQ1734" s="128"/>
      <c r="BR1734" s="128"/>
      <c r="BS1734" s="128"/>
      <c r="BT1734" s="128"/>
      <c r="BU1734" s="128"/>
      <c r="BV1734" s="128"/>
      <c r="BW1734" s="128"/>
      <c r="BX1734" s="128"/>
      <c r="BY1734" s="128"/>
      <c r="BZ1734" s="128"/>
      <c r="CA1734" s="128"/>
      <c r="CB1734" s="128"/>
      <c r="CC1734" s="128"/>
      <c r="CD1734" s="128"/>
      <c r="CE1734" s="128"/>
      <c r="CF1734" s="128"/>
      <c r="CG1734" s="128"/>
      <c r="CI1734" s="128"/>
      <c r="CJ1734" s="128"/>
      <c r="CK1734" s="128"/>
      <c r="CL1734" s="128"/>
      <c r="CM1734" s="128"/>
      <c r="CN1734" s="128"/>
      <c r="CO1734" s="128"/>
      <c r="CP1734" s="128"/>
      <c r="CQ1734" s="128"/>
      <c r="CR1734" s="128"/>
      <c r="CS1734" s="128"/>
      <c r="CT1734" s="128"/>
      <c r="CU1734" s="128"/>
      <c r="CV1734" s="128"/>
      <c r="CW1734" s="128"/>
      <c r="CX1734" s="128"/>
      <c r="CY1734" s="128"/>
      <c r="CZ1734" s="165"/>
    </row>
    <row r="1735" spans="1:104">
      <c r="A1735" s="149"/>
      <c r="B1735" s="149"/>
      <c r="C1735" s="150"/>
      <c r="D1735" s="102"/>
      <c r="E1735" s="149"/>
      <c r="F1735" s="149"/>
      <c r="G1735" s="149"/>
      <c r="H1735" s="149"/>
      <c r="I1735" s="149"/>
      <c r="J1735" s="149"/>
      <c r="K1735" s="149"/>
      <c r="L1735" s="149"/>
      <c r="M1735" s="149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9"/>
      <c r="AA1735" s="149"/>
      <c r="AB1735" s="149"/>
      <c r="AC1735" s="149"/>
      <c r="AD1735" s="149"/>
      <c r="AE1735" s="149"/>
      <c r="AF1735" s="149"/>
      <c r="AG1735" s="149"/>
      <c r="AH1735" s="149"/>
      <c r="AI1735" s="149"/>
      <c r="AJ1735" s="149"/>
      <c r="AK1735" s="149"/>
      <c r="AL1735" s="149"/>
      <c r="AM1735" s="149"/>
      <c r="AN1735" s="149"/>
      <c r="AO1735" s="128"/>
      <c r="AP1735" s="128"/>
      <c r="AQ1735" s="128"/>
      <c r="AR1735" s="128"/>
      <c r="AS1735" s="128"/>
      <c r="AT1735" s="128"/>
      <c r="AU1735" s="128"/>
      <c r="AV1735" s="128"/>
      <c r="AW1735" s="128"/>
      <c r="AX1735" s="128"/>
      <c r="AY1735" s="128"/>
      <c r="AZ1735" s="128"/>
      <c r="BA1735" s="128"/>
      <c r="BB1735" s="128"/>
      <c r="BC1735" s="128"/>
      <c r="BD1735" s="128"/>
      <c r="BE1735" s="128"/>
      <c r="BF1735" s="128"/>
      <c r="BG1735" s="128"/>
      <c r="BH1735" s="128"/>
      <c r="BI1735" s="128"/>
      <c r="BJ1735" s="128"/>
      <c r="BK1735" s="128"/>
      <c r="BL1735" s="128"/>
      <c r="BM1735" s="151"/>
      <c r="BN1735" s="128"/>
      <c r="BO1735" s="128"/>
      <c r="BP1735" s="128"/>
      <c r="BQ1735" s="128"/>
      <c r="BR1735" s="128"/>
      <c r="BS1735" s="128"/>
      <c r="BT1735" s="128"/>
      <c r="BU1735" s="128"/>
      <c r="BV1735" s="128"/>
      <c r="BW1735" s="128"/>
      <c r="BX1735" s="128"/>
      <c r="BY1735" s="128"/>
      <c r="BZ1735" s="128"/>
      <c r="CA1735" s="128"/>
      <c r="CB1735" s="128"/>
      <c r="CC1735" s="128"/>
      <c r="CD1735" s="128"/>
      <c r="CE1735" s="128"/>
      <c r="CF1735" s="128"/>
      <c r="CG1735" s="128"/>
      <c r="CI1735" s="128"/>
      <c r="CJ1735" s="128"/>
      <c r="CK1735" s="128"/>
      <c r="CL1735" s="128"/>
      <c r="CM1735" s="128"/>
      <c r="CN1735" s="128"/>
      <c r="CO1735" s="128"/>
      <c r="CP1735" s="128"/>
      <c r="CQ1735" s="128"/>
      <c r="CR1735" s="128"/>
      <c r="CS1735" s="128"/>
      <c r="CT1735" s="128"/>
      <c r="CU1735" s="128"/>
      <c r="CV1735" s="128"/>
      <c r="CW1735" s="128"/>
      <c r="CX1735" s="128"/>
      <c r="CY1735" s="128"/>
      <c r="CZ1735" s="165"/>
    </row>
    <row r="1736" spans="1:104">
      <c r="A1736" s="149"/>
      <c r="B1736" s="149"/>
      <c r="C1736" s="150"/>
      <c r="D1736" s="102"/>
      <c r="E1736" s="149"/>
      <c r="F1736" s="149"/>
      <c r="G1736" s="149"/>
      <c r="H1736" s="149"/>
      <c r="I1736" s="149"/>
      <c r="J1736" s="149"/>
      <c r="K1736" s="149"/>
      <c r="L1736" s="149"/>
      <c r="M1736" s="149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9"/>
      <c r="AA1736" s="149"/>
      <c r="AB1736" s="149"/>
      <c r="AC1736" s="149"/>
      <c r="AD1736" s="149"/>
      <c r="AE1736" s="149"/>
      <c r="AF1736" s="149"/>
      <c r="AG1736" s="149"/>
      <c r="AH1736" s="149"/>
      <c r="AI1736" s="149"/>
      <c r="AJ1736" s="149"/>
      <c r="AK1736" s="149"/>
      <c r="AL1736" s="149"/>
      <c r="AM1736" s="149"/>
      <c r="AN1736" s="149"/>
      <c r="AO1736" s="128"/>
      <c r="AP1736" s="128"/>
      <c r="AQ1736" s="128"/>
      <c r="AR1736" s="128"/>
      <c r="AS1736" s="128"/>
      <c r="AT1736" s="128"/>
      <c r="AU1736" s="128"/>
      <c r="AV1736" s="128"/>
      <c r="AW1736" s="128"/>
      <c r="AX1736" s="128"/>
      <c r="AY1736" s="128"/>
      <c r="AZ1736" s="128"/>
      <c r="BA1736" s="128"/>
      <c r="BB1736" s="128"/>
      <c r="BC1736" s="128"/>
      <c r="BD1736" s="128"/>
      <c r="BE1736" s="128"/>
      <c r="BF1736" s="128"/>
      <c r="BG1736" s="128"/>
      <c r="BH1736" s="128"/>
      <c r="BI1736" s="128"/>
      <c r="BJ1736" s="128"/>
      <c r="BK1736" s="128"/>
      <c r="BL1736" s="128"/>
      <c r="BM1736" s="151"/>
      <c r="BN1736" s="128"/>
      <c r="BO1736" s="128"/>
      <c r="BP1736" s="128"/>
      <c r="BQ1736" s="128"/>
      <c r="BR1736" s="128"/>
      <c r="BS1736" s="128"/>
      <c r="BT1736" s="128"/>
      <c r="BU1736" s="128"/>
      <c r="BV1736" s="128"/>
      <c r="BW1736" s="128"/>
      <c r="BX1736" s="128"/>
      <c r="BY1736" s="128"/>
      <c r="BZ1736" s="128"/>
      <c r="CA1736" s="128"/>
      <c r="CB1736" s="128"/>
      <c r="CC1736" s="128"/>
      <c r="CD1736" s="128"/>
      <c r="CE1736" s="128"/>
      <c r="CF1736" s="128"/>
      <c r="CG1736" s="128"/>
      <c r="CI1736" s="128"/>
      <c r="CJ1736" s="128"/>
      <c r="CK1736" s="128"/>
      <c r="CL1736" s="128"/>
      <c r="CM1736" s="128"/>
      <c r="CN1736" s="128"/>
      <c r="CO1736" s="128"/>
      <c r="CP1736" s="128"/>
      <c r="CQ1736" s="128"/>
      <c r="CR1736" s="128"/>
      <c r="CS1736" s="128"/>
      <c r="CT1736" s="128"/>
      <c r="CU1736" s="128"/>
      <c r="CV1736" s="128"/>
      <c r="CW1736" s="128"/>
      <c r="CX1736" s="128"/>
      <c r="CY1736" s="128"/>
      <c r="CZ1736" s="165"/>
    </row>
    <row r="1737" spans="1:104">
      <c r="A1737" s="149"/>
      <c r="B1737" s="149"/>
      <c r="C1737" s="150"/>
      <c r="D1737" s="102"/>
      <c r="E1737" s="149"/>
      <c r="F1737" s="149"/>
      <c r="G1737" s="149"/>
      <c r="H1737" s="149"/>
      <c r="I1737" s="149"/>
      <c r="J1737" s="149"/>
      <c r="K1737" s="149"/>
      <c r="L1737" s="149"/>
      <c r="M1737" s="149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9"/>
      <c r="AA1737" s="149"/>
      <c r="AB1737" s="149"/>
      <c r="AC1737" s="149"/>
      <c r="AD1737" s="149"/>
      <c r="AE1737" s="149"/>
      <c r="AF1737" s="149"/>
      <c r="AG1737" s="149"/>
      <c r="AH1737" s="149"/>
      <c r="AI1737" s="149"/>
      <c r="AJ1737" s="149"/>
      <c r="AK1737" s="149"/>
      <c r="AL1737" s="149"/>
      <c r="AM1737" s="149"/>
      <c r="AN1737" s="149"/>
      <c r="AO1737" s="128"/>
      <c r="AP1737" s="128"/>
      <c r="AQ1737" s="128"/>
      <c r="AR1737" s="128"/>
      <c r="AS1737" s="128"/>
      <c r="AT1737" s="128"/>
      <c r="AU1737" s="128"/>
      <c r="AV1737" s="128"/>
      <c r="AW1737" s="128"/>
      <c r="AX1737" s="128"/>
      <c r="AY1737" s="128"/>
      <c r="AZ1737" s="128"/>
      <c r="BA1737" s="128"/>
      <c r="BB1737" s="128"/>
      <c r="BC1737" s="128"/>
      <c r="BD1737" s="128"/>
      <c r="BE1737" s="128"/>
      <c r="BF1737" s="128"/>
      <c r="BG1737" s="128"/>
      <c r="BH1737" s="128"/>
      <c r="BI1737" s="128"/>
      <c r="BJ1737" s="128"/>
      <c r="BK1737" s="128"/>
      <c r="BL1737" s="128"/>
      <c r="BM1737" s="151"/>
      <c r="BN1737" s="128"/>
      <c r="BO1737" s="128"/>
      <c r="BP1737" s="128"/>
      <c r="BQ1737" s="128"/>
      <c r="BR1737" s="128"/>
      <c r="BS1737" s="128"/>
      <c r="BT1737" s="128"/>
      <c r="BU1737" s="128"/>
      <c r="BV1737" s="128"/>
      <c r="BW1737" s="128"/>
      <c r="BX1737" s="128"/>
      <c r="BY1737" s="128"/>
      <c r="BZ1737" s="128"/>
      <c r="CA1737" s="128"/>
      <c r="CB1737" s="128"/>
      <c r="CC1737" s="128"/>
      <c r="CD1737" s="128"/>
      <c r="CE1737" s="128"/>
      <c r="CF1737" s="128"/>
      <c r="CG1737" s="128"/>
      <c r="CI1737" s="128"/>
      <c r="CJ1737" s="128"/>
      <c r="CK1737" s="128"/>
      <c r="CL1737" s="128"/>
      <c r="CM1737" s="128"/>
      <c r="CN1737" s="128"/>
      <c r="CO1737" s="128"/>
      <c r="CP1737" s="128"/>
      <c r="CQ1737" s="128"/>
      <c r="CR1737" s="128"/>
      <c r="CS1737" s="128"/>
      <c r="CT1737" s="128"/>
      <c r="CU1737" s="128"/>
      <c r="CV1737" s="128"/>
      <c r="CW1737" s="128"/>
      <c r="CX1737" s="128"/>
      <c r="CY1737" s="128"/>
      <c r="CZ1737" s="165"/>
    </row>
    <row r="1738" spans="1:104">
      <c r="A1738" s="149"/>
      <c r="B1738" s="149"/>
      <c r="C1738" s="150"/>
      <c r="D1738" s="102"/>
      <c r="E1738" s="149"/>
      <c r="F1738" s="149"/>
      <c r="G1738" s="149"/>
      <c r="H1738" s="149"/>
      <c r="I1738" s="149"/>
      <c r="J1738" s="149"/>
      <c r="K1738" s="149"/>
      <c r="L1738" s="149"/>
      <c r="M1738" s="149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9"/>
      <c r="AA1738" s="149"/>
      <c r="AB1738" s="149"/>
      <c r="AC1738" s="149"/>
      <c r="AD1738" s="149"/>
      <c r="AE1738" s="149"/>
      <c r="AF1738" s="149"/>
      <c r="AG1738" s="149"/>
      <c r="AH1738" s="149"/>
      <c r="AI1738" s="149"/>
      <c r="AJ1738" s="149"/>
      <c r="AK1738" s="149"/>
      <c r="AL1738" s="149"/>
      <c r="AM1738" s="149"/>
      <c r="AN1738" s="149"/>
      <c r="AO1738" s="128"/>
      <c r="AP1738" s="128"/>
      <c r="AQ1738" s="128"/>
      <c r="AR1738" s="128"/>
      <c r="AS1738" s="128"/>
      <c r="AT1738" s="128"/>
      <c r="AU1738" s="128"/>
      <c r="AV1738" s="128"/>
      <c r="AW1738" s="128"/>
      <c r="AX1738" s="128"/>
      <c r="AY1738" s="128"/>
      <c r="AZ1738" s="128"/>
      <c r="BA1738" s="128"/>
      <c r="BB1738" s="128"/>
      <c r="BC1738" s="128"/>
      <c r="BD1738" s="128"/>
      <c r="BE1738" s="128"/>
      <c r="BF1738" s="128"/>
      <c r="BG1738" s="128"/>
      <c r="BH1738" s="128"/>
      <c r="BI1738" s="128"/>
      <c r="BJ1738" s="128"/>
      <c r="BK1738" s="128"/>
      <c r="BL1738" s="128"/>
      <c r="BM1738" s="151"/>
      <c r="BN1738" s="128"/>
      <c r="BO1738" s="128"/>
      <c r="BP1738" s="128"/>
      <c r="BQ1738" s="128"/>
      <c r="BR1738" s="128"/>
      <c r="BS1738" s="128"/>
      <c r="BT1738" s="128"/>
      <c r="BU1738" s="128"/>
      <c r="BV1738" s="128"/>
      <c r="BW1738" s="128"/>
      <c r="BX1738" s="128"/>
      <c r="BY1738" s="128"/>
      <c r="BZ1738" s="128"/>
      <c r="CA1738" s="128"/>
      <c r="CB1738" s="128"/>
      <c r="CC1738" s="128"/>
      <c r="CD1738" s="128"/>
      <c r="CE1738" s="128"/>
      <c r="CF1738" s="128"/>
      <c r="CG1738" s="128"/>
      <c r="CI1738" s="128"/>
      <c r="CJ1738" s="128"/>
      <c r="CK1738" s="128"/>
      <c r="CL1738" s="128"/>
      <c r="CM1738" s="128"/>
      <c r="CN1738" s="128"/>
      <c r="CO1738" s="128"/>
      <c r="CP1738" s="128"/>
      <c r="CQ1738" s="128"/>
      <c r="CR1738" s="128"/>
      <c r="CS1738" s="128"/>
      <c r="CT1738" s="128"/>
      <c r="CU1738" s="128"/>
      <c r="CV1738" s="128"/>
      <c r="CW1738" s="128"/>
      <c r="CX1738" s="128"/>
      <c r="CY1738" s="128"/>
      <c r="CZ1738" s="165"/>
    </row>
    <row r="1739" spans="1:104">
      <c r="A1739" s="149"/>
      <c r="B1739" s="149"/>
      <c r="C1739" s="150"/>
      <c r="D1739" s="102"/>
      <c r="E1739" s="149"/>
      <c r="F1739" s="149"/>
      <c r="G1739" s="149"/>
      <c r="H1739" s="149"/>
      <c r="I1739" s="149"/>
      <c r="J1739" s="149"/>
      <c r="K1739" s="149"/>
      <c r="L1739" s="149"/>
      <c r="M1739" s="149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9"/>
      <c r="AA1739" s="149"/>
      <c r="AB1739" s="149"/>
      <c r="AC1739" s="149"/>
      <c r="AD1739" s="149"/>
      <c r="AE1739" s="149"/>
      <c r="AF1739" s="149"/>
      <c r="AG1739" s="149"/>
      <c r="AH1739" s="149"/>
      <c r="AI1739" s="149"/>
      <c r="AJ1739" s="149"/>
      <c r="AK1739" s="149"/>
      <c r="AL1739" s="149"/>
      <c r="AM1739" s="149"/>
      <c r="AN1739" s="149"/>
      <c r="AO1739" s="128"/>
      <c r="AP1739" s="128"/>
      <c r="AQ1739" s="128"/>
      <c r="AR1739" s="128"/>
      <c r="AS1739" s="128"/>
      <c r="AT1739" s="128"/>
      <c r="AU1739" s="128"/>
      <c r="AV1739" s="128"/>
      <c r="AW1739" s="128"/>
      <c r="AX1739" s="128"/>
      <c r="AY1739" s="128"/>
      <c r="AZ1739" s="128"/>
      <c r="BA1739" s="128"/>
      <c r="BB1739" s="128"/>
      <c r="BC1739" s="128"/>
      <c r="BD1739" s="128"/>
      <c r="BE1739" s="128"/>
      <c r="BF1739" s="128"/>
      <c r="BG1739" s="128"/>
      <c r="BH1739" s="128"/>
      <c r="BI1739" s="128"/>
      <c r="BJ1739" s="128"/>
      <c r="BK1739" s="128"/>
      <c r="BL1739" s="128"/>
      <c r="BM1739" s="151"/>
      <c r="BN1739" s="128"/>
      <c r="BO1739" s="128"/>
      <c r="BP1739" s="128"/>
      <c r="BQ1739" s="128"/>
      <c r="BR1739" s="128"/>
      <c r="BS1739" s="128"/>
      <c r="BT1739" s="128"/>
      <c r="BU1739" s="128"/>
      <c r="BV1739" s="128"/>
      <c r="BW1739" s="128"/>
      <c r="BX1739" s="128"/>
      <c r="BY1739" s="128"/>
      <c r="BZ1739" s="128"/>
      <c r="CA1739" s="128"/>
      <c r="CB1739" s="128"/>
      <c r="CC1739" s="128"/>
      <c r="CD1739" s="128"/>
      <c r="CE1739" s="128"/>
      <c r="CF1739" s="128"/>
      <c r="CG1739" s="128"/>
      <c r="CI1739" s="128"/>
      <c r="CJ1739" s="128"/>
      <c r="CK1739" s="128"/>
      <c r="CL1739" s="128"/>
      <c r="CM1739" s="128"/>
      <c r="CN1739" s="128"/>
      <c r="CO1739" s="128"/>
      <c r="CP1739" s="128"/>
      <c r="CQ1739" s="128"/>
      <c r="CR1739" s="128"/>
      <c r="CS1739" s="128"/>
      <c r="CT1739" s="128"/>
      <c r="CU1739" s="128"/>
      <c r="CV1739" s="128"/>
      <c r="CW1739" s="128"/>
      <c r="CX1739" s="128"/>
      <c r="CY1739" s="128"/>
      <c r="CZ1739" s="165"/>
    </row>
    <row r="1740" spans="1:104">
      <c r="A1740" s="149"/>
      <c r="B1740" s="149"/>
      <c r="C1740" s="150"/>
      <c r="D1740" s="102"/>
      <c r="E1740" s="149"/>
      <c r="F1740" s="149"/>
      <c r="G1740" s="149"/>
      <c r="H1740" s="149"/>
      <c r="I1740" s="149"/>
      <c r="J1740" s="149"/>
      <c r="K1740" s="149"/>
      <c r="L1740" s="149"/>
      <c r="M1740" s="149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9"/>
      <c r="AA1740" s="149"/>
      <c r="AB1740" s="149"/>
      <c r="AC1740" s="149"/>
      <c r="AD1740" s="149"/>
      <c r="AE1740" s="149"/>
      <c r="AF1740" s="149"/>
      <c r="AG1740" s="149"/>
      <c r="AH1740" s="149"/>
      <c r="AI1740" s="149"/>
      <c r="AJ1740" s="149"/>
      <c r="AK1740" s="149"/>
      <c r="AL1740" s="149"/>
      <c r="AM1740" s="149"/>
      <c r="AN1740" s="149"/>
      <c r="AO1740" s="128"/>
      <c r="AP1740" s="128"/>
      <c r="AQ1740" s="128"/>
      <c r="AR1740" s="128"/>
      <c r="AS1740" s="128"/>
      <c r="AT1740" s="128"/>
      <c r="AU1740" s="128"/>
      <c r="AV1740" s="128"/>
      <c r="AW1740" s="128"/>
      <c r="AX1740" s="128"/>
      <c r="AY1740" s="128"/>
      <c r="AZ1740" s="128"/>
      <c r="BA1740" s="128"/>
      <c r="BB1740" s="128"/>
      <c r="BC1740" s="128"/>
      <c r="BD1740" s="128"/>
      <c r="BE1740" s="128"/>
      <c r="BF1740" s="128"/>
      <c r="BG1740" s="128"/>
      <c r="BH1740" s="128"/>
      <c r="BI1740" s="128"/>
      <c r="BJ1740" s="128"/>
      <c r="BK1740" s="128"/>
      <c r="BL1740" s="128"/>
      <c r="BM1740" s="151"/>
      <c r="BN1740" s="128"/>
      <c r="BO1740" s="128"/>
      <c r="BP1740" s="128"/>
      <c r="BQ1740" s="128"/>
      <c r="BR1740" s="128"/>
      <c r="BS1740" s="128"/>
      <c r="BT1740" s="128"/>
      <c r="BU1740" s="128"/>
      <c r="BV1740" s="128"/>
      <c r="BW1740" s="128"/>
      <c r="BX1740" s="128"/>
      <c r="BY1740" s="128"/>
      <c r="BZ1740" s="128"/>
      <c r="CA1740" s="128"/>
      <c r="CB1740" s="128"/>
      <c r="CC1740" s="128"/>
      <c r="CD1740" s="128"/>
      <c r="CE1740" s="128"/>
      <c r="CF1740" s="128"/>
      <c r="CG1740" s="128"/>
      <c r="CI1740" s="128"/>
      <c r="CJ1740" s="128"/>
      <c r="CK1740" s="128"/>
      <c r="CL1740" s="128"/>
      <c r="CM1740" s="128"/>
      <c r="CN1740" s="128"/>
      <c r="CO1740" s="128"/>
      <c r="CP1740" s="128"/>
      <c r="CQ1740" s="128"/>
      <c r="CR1740" s="128"/>
      <c r="CS1740" s="128"/>
      <c r="CT1740" s="128"/>
      <c r="CU1740" s="128"/>
      <c r="CV1740" s="128"/>
      <c r="CW1740" s="128"/>
      <c r="CX1740" s="128"/>
      <c r="CY1740" s="128"/>
      <c r="CZ1740" s="165"/>
    </row>
    <row r="1741" spans="1:104">
      <c r="A1741" s="149"/>
      <c r="B1741" s="149"/>
      <c r="C1741" s="150"/>
      <c r="D1741" s="102"/>
      <c r="E1741" s="149"/>
      <c r="F1741" s="149"/>
      <c r="G1741" s="149"/>
      <c r="H1741" s="149"/>
      <c r="I1741" s="149"/>
      <c r="J1741" s="149"/>
      <c r="K1741" s="149"/>
      <c r="L1741" s="149"/>
      <c r="M1741" s="149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9"/>
      <c r="AA1741" s="149"/>
      <c r="AB1741" s="149"/>
      <c r="AC1741" s="149"/>
      <c r="AD1741" s="149"/>
      <c r="AE1741" s="149"/>
      <c r="AF1741" s="149"/>
      <c r="AG1741" s="149"/>
      <c r="AH1741" s="149"/>
      <c r="AI1741" s="149"/>
      <c r="AJ1741" s="149"/>
      <c r="AK1741" s="149"/>
      <c r="AL1741" s="149"/>
      <c r="AM1741" s="149"/>
      <c r="AN1741" s="149"/>
      <c r="AO1741" s="128"/>
      <c r="AP1741" s="128"/>
      <c r="AQ1741" s="128"/>
      <c r="AR1741" s="128"/>
      <c r="AS1741" s="128"/>
      <c r="AT1741" s="128"/>
      <c r="AU1741" s="128"/>
      <c r="AV1741" s="128"/>
      <c r="AW1741" s="128"/>
      <c r="AX1741" s="128"/>
      <c r="AY1741" s="128"/>
      <c r="AZ1741" s="128"/>
      <c r="BA1741" s="128"/>
      <c r="BB1741" s="128"/>
      <c r="BC1741" s="128"/>
      <c r="BD1741" s="128"/>
      <c r="BE1741" s="128"/>
      <c r="BF1741" s="128"/>
      <c r="BG1741" s="128"/>
      <c r="BH1741" s="128"/>
      <c r="BI1741" s="128"/>
      <c r="BJ1741" s="128"/>
      <c r="BK1741" s="128"/>
      <c r="BL1741" s="128"/>
      <c r="BM1741" s="151"/>
      <c r="BN1741" s="128"/>
      <c r="BO1741" s="128"/>
      <c r="BP1741" s="128"/>
      <c r="BQ1741" s="128"/>
      <c r="BR1741" s="128"/>
      <c r="BS1741" s="128"/>
      <c r="BT1741" s="128"/>
      <c r="BU1741" s="128"/>
      <c r="BV1741" s="128"/>
      <c r="BW1741" s="128"/>
      <c r="BX1741" s="128"/>
      <c r="BY1741" s="128"/>
      <c r="BZ1741" s="128"/>
      <c r="CA1741" s="128"/>
      <c r="CB1741" s="128"/>
      <c r="CC1741" s="128"/>
      <c r="CD1741" s="128"/>
      <c r="CE1741" s="128"/>
      <c r="CF1741" s="128"/>
      <c r="CG1741" s="128"/>
      <c r="CI1741" s="128"/>
      <c r="CJ1741" s="128"/>
      <c r="CK1741" s="128"/>
      <c r="CL1741" s="128"/>
      <c r="CM1741" s="128"/>
      <c r="CN1741" s="128"/>
      <c r="CO1741" s="128"/>
      <c r="CP1741" s="128"/>
      <c r="CQ1741" s="128"/>
      <c r="CR1741" s="128"/>
      <c r="CS1741" s="128"/>
      <c r="CT1741" s="128"/>
      <c r="CU1741" s="128"/>
      <c r="CV1741" s="128"/>
      <c r="CW1741" s="128"/>
      <c r="CX1741" s="128"/>
      <c r="CY1741" s="128"/>
      <c r="CZ1741" s="165"/>
    </row>
    <row r="1742" spans="1:104">
      <c r="A1742" s="149"/>
      <c r="B1742" s="149"/>
      <c r="C1742" s="150"/>
      <c r="D1742" s="102"/>
      <c r="E1742" s="149"/>
      <c r="F1742" s="149"/>
      <c r="G1742" s="149"/>
      <c r="H1742" s="149"/>
      <c r="I1742" s="149"/>
      <c r="J1742" s="149"/>
      <c r="K1742" s="149"/>
      <c r="L1742" s="149"/>
      <c r="M1742" s="149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9"/>
      <c r="AA1742" s="149"/>
      <c r="AB1742" s="149"/>
      <c r="AC1742" s="149"/>
      <c r="AD1742" s="149"/>
      <c r="AE1742" s="149"/>
      <c r="AF1742" s="149"/>
      <c r="AG1742" s="149"/>
      <c r="AH1742" s="149"/>
      <c r="AI1742" s="149"/>
      <c r="AJ1742" s="149"/>
      <c r="AK1742" s="149"/>
      <c r="AL1742" s="149"/>
      <c r="AM1742" s="149"/>
      <c r="AN1742" s="149"/>
      <c r="AO1742" s="128"/>
      <c r="AP1742" s="128"/>
      <c r="AQ1742" s="128"/>
      <c r="AR1742" s="128"/>
      <c r="AS1742" s="128"/>
      <c r="AT1742" s="128"/>
      <c r="AU1742" s="128"/>
      <c r="AV1742" s="128"/>
      <c r="AW1742" s="128"/>
      <c r="AX1742" s="128"/>
      <c r="AY1742" s="128"/>
      <c r="AZ1742" s="128"/>
      <c r="BA1742" s="128"/>
      <c r="BB1742" s="128"/>
      <c r="BC1742" s="128"/>
      <c r="BD1742" s="128"/>
      <c r="BE1742" s="128"/>
      <c r="BF1742" s="128"/>
      <c r="BG1742" s="128"/>
      <c r="BH1742" s="128"/>
      <c r="BI1742" s="128"/>
      <c r="BJ1742" s="128"/>
      <c r="BK1742" s="128"/>
      <c r="BL1742" s="128"/>
      <c r="BM1742" s="151"/>
      <c r="BN1742" s="128"/>
      <c r="BO1742" s="128"/>
      <c r="BP1742" s="128"/>
      <c r="BQ1742" s="128"/>
      <c r="BR1742" s="128"/>
      <c r="BS1742" s="128"/>
      <c r="BT1742" s="128"/>
      <c r="BU1742" s="128"/>
      <c r="BV1742" s="128"/>
      <c r="BW1742" s="128"/>
      <c r="BX1742" s="128"/>
      <c r="BY1742" s="128"/>
      <c r="BZ1742" s="128"/>
      <c r="CA1742" s="128"/>
      <c r="CB1742" s="128"/>
      <c r="CC1742" s="128"/>
      <c r="CD1742" s="128"/>
      <c r="CE1742" s="128"/>
      <c r="CF1742" s="128"/>
      <c r="CG1742" s="128"/>
      <c r="CI1742" s="128"/>
      <c r="CJ1742" s="128"/>
      <c r="CK1742" s="128"/>
      <c r="CL1742" s="128"/>
      <c r="CM1742" s="128"/>
      <c r="CN1742" s="128"/>
      <c r="CO1742" s="128"/>
      <c r="CP1742" s="128"/>
      <c r="CQ1742" s="128"/>
      <c r="CR1742" s="128"/>
      <c r="CS1742" s="128"/>
      <c r="CT1742" s="128"/>
      <c r="CU1742" s="128"/>
      <c r="CV1742" s="128"/>
      <c r="CW1742" s="128"/>
      <c r="CX1742" s="128"/>
      <c r="CY1742" s="128"/>
      <c r="CZ1742" s="165"/>
    </row>
    <row r="1743" spans="1:104">
      <c r="A1743" s="149"/>
      <c r="B1743" s="149"/>
      <c r="C1743" s="150"/>
      <c r="D1743" s="102"/>
      <c r="E1743" s="149"/>
      <c r="F1743" s="149"/>
      <c r="G1743" s="149"/>
      <c r="H1743" s="149"/>
      <c r="I1743" s="149"/>
      <c r="J1743" s="149"/>
      <c r="K1743" s="149"/>
      <c r="L1743" s="149"/>
      <c r="M1743" s="149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9"/>
      <c r="AA1743" s="149"/>
      <c r="AB1743" s="149"/>
      <c r="AC1743" s="149"/>
      <c r="AD1743" s="149"/>
      <c r="AE1743" s="149"/>
      <c r="AF1743" s="149"/>
      <c r="AG1743" s="149"/>
      <c r="AH1743" s="149"/>
      <c r="AI1743" s="149"/>
      <c r="AJ1743" s="149"/>
      <c r="AK1743" s="149"/>
      <c r="AL1743" s="149"/>
      <c r="AM1743" s="149"/>
      <c r="AN1743" s="149"/>
      <c r="AO1743" s="128"/>
      <c r="AP1743" s="128"/>
      <c r="AQ1743" s="128"/>
      <c r="AR1743" s="128"/>
      <c r="AS1743" s="128"/>
      <c r="AT1743" s="128"/>
      <c r="AU1743" s="128"/>
      <c r="AV1743" s="128"/>
      <c r="AW1743" s="128"/>
      <c r="AX1743" s="128"/>
      <c r="AY1743" s="128"/>
      <c r="AZ1743" s="128"/>
      <c r="BA1743" s="128"/>
      <c r="BB1743" s="128"/>
      <c r="BC1743" s="128"/>
      <c r="BD1743" s="128"/>
      <c r="BE1743" s="128"/>
      <c r="BF1743" s="128"/>
      <c r="BG1743" s="128"/>
      <c r="BH1743" s="128"/>
      <c r="BI1743" s="128"/>
      <c r="BJ1743" s="128"/>
      <c r="BK1743" s="128"/>
      <c r="BL1743" s="128"/>
      <c r="BM1743" s="151"/>
      <c r="BN1743" s="128"/>
      <c r="BO1743" s="128"/>
      <c r="BP1743" s="128"/>
      <c r="BQ1743" s="128"/>
      <c r="BR1743" s="128"/>
      <c r="BS1743" s="128"/>
      <c r="BT1743" s="128"/>
      <c r="BU1743" s="128"/>
      <c r="BV1743" s="128"/>
      <c r="BW1743" s="128"/>
      <c r="BX1743" s="128"/>
      <c r="BY1743" s="128"/>
      <c r="BZ1743" s="128"/>
      <c r="CA1743" s="128"/>
      <c r="CB1743" s="128"/>
      <c r="CC1743" s="128"/>
      <c r="CD1743" s="128"/>
      <c r="CE1743" s="128"/>
      <c r="CF1743" s="128"/>
      <c r="CG1743" s="128"/>
      <c r="CI1743" s="128"/>
      <c r="CJ1743" s="128"/>
      <c r="CK1743" s="128"/>
      <c r="CL1743" s="128"/>
      <c r="CM1743" s="128"/>
      <c r="CN1743" s="128"/>
      <c r="CO1743" s="128"/>
      <c r="CP1743" s="128"/>
      <c r="CQ1743" s="128"/>
      <c r="CR1743" s="128"/>
      <c r="CS1743" s="128"/>
      <c r="CT1743" s="128"/>
      <c r="CU1743" s="128"/>
      <c r="CV1743" s="128"/>
      <c r="CW1743" s="128"/>
      <c r="CX1743" s="128"/>
      <c r="CY1743" s="128"/>
      <c r="CZ1743" s="165"/>
    </row>
    <row r="1744" spans="1:104">
      <c r="A1744" s="149"/>
      <c r="B1744" s="149"/>
      <c r="C1744" s="150"/>
      <c r="D1744" s="102"/>
      <c r="E1744" s="149"/>
      <c r="F1744" s="149"/>
      <c r="G1744" s="149"/>
      <c r="H1744" s="149"/>
      <c r="I1744" s="149"/>
      <c r="J1744" s="149"/>
      <c r="K1744" s="149"/>
      <c r="L1744" s="149"/>
      <c r="M1744" s="149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9"/>
      <c r="AA1744" s="149"/>
      <c r="AB1744" s="149"/>
      <c r="AC1744" s="149"/>
      <c r="AD1744" s="149"/>
      <c r="AE1744" s="149"/>
      <c r="AF1744" s="149"/>
      <c r="AG1744" s="149"/>
      <c r="AH1744" s="149"/>
      <c r="AI1744" s="149"/>
      <c r="AJ1744" s="149"/>
      <c r="AK1744" s="149"/>
      <c r="AL1744" s="149"/>
      <c r="AM1744" s="149"/>
      <c r="AN1744" s="149"/>
      <c r="AO1744" s="128"/>
      <c r="AP1744" s="128"/>
      <c r="AQ1744" s="128"/>
      <c r="AR1744" s="128"/>
      <c r="AS1744" s="128"/>
      <c r="AT1744" s="128"/>
      <c r="AU1744" s="128"/>
      <c r="AV1744" s="128"/>
      <c r="AW1744" s="128"/>
      <c r="AX1744" s="128"/>
      <c r="AY1744" s="128"/>
      <c r="AZ1744" s="128"/>
      <c r="BA1744" s="128"/>
      <c r="BB1744" s="128"/>
      <c r="BC1744" s="128"/>
      <c r="BD1744" s="128"/>
      <c r="BE1744" s="128"/>
      <c r="BF1744" s="128"/>
      <c r="BG1744" s="128"/>
      <c r="BH1744" s="128"/>
      <c r="BI1744" s="128"/>
      <c r="BJ1744" s="128"/>
      <c r="BK1744" s="128"/>
      <c r="BL1744" s="128"/>
      <c r="BM1744" s="151"/>
      <c r="BN1744" s="128"/>
      <c r="BO1744" s="128"/>
      <c r="BP1744" s="128"/>
      <c r="BQ1744" s="128"/>
      <c r="BR1744" s="128"/>
      <c r="BS1744" s="128"/>
      <c r="BT1744" s="128"/>
      <c r="BU1744" s="128"/>
      <c r="BV1744" s="128"/>
      <c r="BW1744" s="128"/>
      <c r="BX1744" s="128"/>
      <c r="BY1744" s="128"/>
      <c r="BZ1744" s="128"/>
      <c r="CA1744" s="128"/>
      <c r="CB1744" s="128"/>
      <c r="CC1744" s="128"/>
      <c r="CD1744" s="128"/>
      <c r="CE1744" s="128"/>
      <c r="CF1744" s="128"/>
      <c r="CG1744" s="128"/>
      <c r="CI1744" s="128"/>
      <c r="CJ1744" s="128"/>
      <c r="CK1744" s="128"/>
      <c r="CL1744" s="128"/>
      <c r="CM1744" s="128"/>
      <c r="CN1744" s="128"/>
      <c r="CO1744" s="128"/>
      <c r="CP1744" s="128"/>
      <c r="CQ1744" s="128"/>
      <c r="CR1744" s="128"/>
      <c r="CS1744" s="128"/>
      <c r="CT1744" s="128"/>
      <c r="CU1744" s="128"/>
      <c r="CV1744" s="128"/>
      <c r="CW1744" s="128"/>
      <c r="CX1744" s="128"/>
      <c r="CY1744" s="128"/>
      <c r="CZ1744" s="165"/>
    </row>
    <row r="1745" spans="1:104">
      <c r="A1745" s="149"/>
      <c r="B1745" s="149"/>
      <c r="C1745" s="150"/>
      <c r="D1745" s="102"/>
      <c r="E1745" s="149"/>
      <c r="F1745" s="149"/>
      <c r="G1745" s="149"/>
      <c r="H1745" s="149"/>
      <c r="I1745" s="149"/>
      <c r="J1745" s="149"/>
      <c r="K1745" s="149"/>
      <c r="L1745" s="149"/>
      <c r="M1745" s="149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9"/>
      <c r="AA1745" s="149"/>
      <c r="AB1745" s="149"/>
      <c r="AC1745" s="149"/>
      <c r="AD1745" s="149"/>
      <c r="AE1745" s="149"/>
      <c r="AF1745" s="149"/>
      <c r="AG1745" s="149"/>
      <c r="AH1745" s="149"/>
      <c r="AI1745" s="149"/>
      <c r="AJ1745" s="149"/>
      <c r="AK1745" s="149"/>
      <c r="AL1745" s="149"/>
      <c r="AM1745" s="149"/>
      <c r="AN1745" s="149"/>
      <c r="AO1745" s="128"/>
      <c r="AP1745" s="128"/>
      <c r="AQ1745" s="128"/>
      <c r="AR1745" s="128"/>
      <c r="AS1745" s="128"/>
      <c r="AT1745" s="128"/>
      <c r="AU1745" s="128"/>
      <c r="AV1745" s="128"/>
      <c r="AW1745" s="128"/>
      <c r="AX1745" s="128"/>
      <c r="AY1745" s="128"/>
      <c r="AZ1745" s="128"/>
      <c r="BA1745" s="128"/>
      <c r="BB1745" s="128"/>
      <c r="BC1745" s="128"/>
      <c r="BD1745" s="128"/>
      <c r="BE1745" s="128"/>
      <c r="BF1745" s="128"/>
      <c r="BG1745" s="128"/>
      <c r="BH1745" s="128"/>
      <c r="BI1745" s="128"/>
      <c r="BJ1745" s="128"/>
      <c r="BK1745" s="128"/>
      <c r="BL1745" s="128"/>
      <c r="BM1745" s="151"/>
      <c r="BN1745" s="128"/>
      <c r="BO1745" s="128"/>
      <c r="BP1745" s="128"/>
      <c r="BQ1745" s="128"/>
      <c r="BR1745" s="128"/>
      <c r="BS1745" s="128"/>
      <c r="BT1745" s="128"/>
      <c r="BU1745" s="128"/>
      <c r="BV1745" s="128"/>
      <c r="BW1745" s="128"/>
      <c r="BX1745" s="128"/>
      <c r="BY1745" s="128"/>
      <c r="BZ1745" s="128"/>
      <c r="CA1745" s="128"/>
      <c r="CB1745" s="128"/>
      <c r="CC1745" s="128"/>
      <c r="CD1745" s="128"/>
      <c r="CE1745" s="128"/>
      <c r="CF1745" s="128"/>
      <c r="CG1745" s="128"/>
      <c r="CI1745" s="128"/>
      <c r="CJ1745" s="128"/>
      <c r="CK1745" s="128"/>
      <c r="CL1745" s="128"/>
      <c r="CM1745" s="128"/>
      <c r="CN1745" s="128"/>
      <c r="CO1745" s="128"/>
      <c r="CP1745" s="128"/>
      <c r="CQ1745" s="128"/>
      <c r="CR1745" s="128"/>
      <c r="CS1745" s="128"/>
      <c r="CT1745" s="128"/>
      <c r="CU1745" s="128"/>
      <c r="CV1745" s="128"/>
      <c r="CW1745" s="128"/>
      <c r="CX1745" s="128"/>
      <c r="CY1745" s="128"/>
      <c r="CZ1745" s="165"/>
    </row>
    <row r="1746" spans="1:104">
      <c r="A1746" s="149"/>
      <c r="B1746" s="149"/>
      <c r="C1746" s="150"/>
      <c r="D1746" s="102"/>
      <c r="E1746" s="149"/>
      <c r="F1746" s="149"/>
      <c r="G1746" s="149"/>
      <c r="H1746" s="149"/>
      <c r="I1746" s="149"/>
      <c r="J1746" s="149"/>
      <c r="K1746" s="149"/>
      <c r="L1746" s="149"/>
      <c r="M1746" s="149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9"/>
      <c r="AA1746" s="149"/>
      <c r="AB1746" s="149"/>
      <c r="AC1746" s="149"/>
      <c r="AD1746" s="149"/>
      <c r="AE1746" s="149"/>
      <c r="AF1746" s="149"/>
      <c r="AG1746" s="149"/>
      <c r="AH1746" s="149"/>
      <c r="AI1746" s="149"/>
      <c r="AJ1746" s="149"/>
      <c r="AK1746" s="149"/>
      <c r="AL1746" s="149"/>
      <c r="AM1746" s="149"/>
      <c r="AN1746" s="149"/>
      <c r="AO1746" s="128"/>
      <c r="AP1746" s="128"/>
      <c r="AQ1746" s="128"/>
      <c r="AR1746" s="128"/>
      <c r="AS1746" s="128"/>
      <c r="AT1746" s="128"/>
      <c r="AU1746" s="128"/>
      <c r="AV1746" s="128"/>
      <c r="AW1746" s="128"/>
      <c r="AX1746" s="128"/>
      <c r="AY1746" s="128"/>
      <c r="AZ1746" s="128"/>
      <c r="BA1746" s="128"/>
      <c r="BB1746" s="128"/>
      <c r="BC1746" s="128"/>
      <c r="BD1746" s="128"/>
      <c r="BE1746" s="128"/>
      <c r="BF1746" s="128"/>
      <c r="BG1746" s="128"/>
      <c r="BH1746" s="128"/>
      <c r="BI1746" s="128"/>
      <c r="BJ1746" s="128"/>
      <c r="BK1746" s="128"/>
      <c r="BL1746" s="128"/>
      <c r="BM1746" s="151"/>
      <c r="BN1746" s="128"/>
      <c r="BO1746" s="128"/>
      <c r="BP1746" s="128"/>
      <c r="BQ1746" s="128"/>
      <c r="BR1746" s="128"/>
      <c r="BS1746" s="128"/>
      <c r="BT1746" s="128"/>
      <c r="BU1746" s="128"/>
      <c r="BV1746" s="128"/>
      <c r="BW1746" s="128"/>
      <c r="BX1746" s="128"/>
      <c r="BY1746" s="128"/>
      <c r="BZ1746" s="128"/>
      <c r="CA1746" s="128"/>
      <c r="CB1746" s="128"/>
      <c r="CC1746" s="128"/>
      <c r="CD1746" s="128"/>
      <c r="CE1746" s="128"/>
      <c r="CF1746" s="128"/>
      <c r="CG1746" s="128"/>
      <c r="CI1746" s="128"/>
      <c r="CJ1746" s="128"/>
      <c r="CK1746" s="128"/>
      <c r="CL1746" s="128"/>
      <c r="CM1746" s="128"/>
      <c r="CN1746" s="128"/>
      <c r="CO1746" s="128"/>
      <c r="CP1746" s="128"/>
      <c r="CQ1746" s="128"/>
      <c r="CR1746" s="128"/>
      <c r="CS1746" s="128"/>
      <c r="CT1746" s="128"/>
      <c r="CU1746" s="128"/>
      <c r="CV1746" s="128"/>
      <c r="CW1746" s="128"/>
      <c r="CX1746" s="128"/>
      <c r="CY1746" s="128"/>
      <c r="CZ1746" s="165"/>
    </row>
    <row r="1747" spans="1:104">
      <c r="A1747" s="149"/>
      <c r="B1747" s="149"/>
      <c r="C1747" s="150"/>
      <c r="D1747" s="102"/>
      <c r="E1747" s="149"/>
      <c r="F1747" s="149"/>
      <c r="G1747" s="149"/>
      <c r="H1747" s="149"/>
      <c r="I1747" s="149"/>
      <c r="J1747" s="149"/>
      <c r="K1747" s="149"/>
      <c r="L1747" s="149"/>
      <c r="M1747" s="149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9"/>
      <c r="AA1747" s="149"/>
      <c r="AB1747" s="149"/>
      <c r="AC1747" s="149"/>
      <c r="AD1747" s="149"/>
      <c r="AE1747" s="149"/>
      <c r="AF1747" s="149"/>
      <c r="AG1747" s="149"/>
      <c r="AH1747" s="149"/>
      <c r="AI1747" s="149"/>
      <c r="AJ1747" s="149"/>
      <c r="AK1747" s="149"/>
      <c r="AL1747" s="149"/>
      <c r="AM1747" s="149"/>
      <c r="AN1747" s="149"/>
      <c r="AO1747" s="128"/>
      <c r="AP1747" s="128"/>
      <c r="AQ1747" s="128"/>
      <c r="AR1747" s="128"/>
      <c r="AS1747" s="128"/>
      <c r="AT1747" s="128"/>
      <c r="AU1747" s="128"/>
      <c r="AV1747" s="128"/>
      <c r="AW1747" s="128"/>
      <c r="AX1747" s="128"/>
      <c r="AY1747" s="128"/>
      <c r="AZ1747" s="128"/>
      <c r="BA1747" s="128"/>
      <c r="BB1747" s="128"/>
      <c r="BC1747" s="128"/>
      <c r="BD1747" s="128"/>
      <c r="BE1747" s="128"/>
      <c r="BF1747" s="128"/>
      <c r="BG1747" s="128"/>
      <c r="BH1747" s="128"/>
      <c r="BI1747" s="128"/>
      <c r="BJ1747" s="128"/>
      <c r="BK1747" s="128"/>
      <c r="BL1747" s="128"/>
      <c r="BM1747" s="151"/>
      <c r="BN1747" s="128"/>
      <c r="BO1747" s="128"/>
      <c r="BP1747" s="128"/>
      <c r="BQ1747" s="128"/>
      <c r="BR1747" s="128"/>
      <c r="BS1747" s="128"/>
      <c r="BT1747" s="128"/>
      <c r="BU1747" s="128"/>
      <c r="BV1747" s="128"/>
      <c r="BW1747" s="128"/>
      <c r="BX1747" s="128"/>
      <c r="BY1747" s="128"/>
      <c r="BZ1747" s="128"/>
      <c r="CA1747" s="128"/>
      <c r="CB1747" s="128"/>
      <c r="CC1747" s="128"/>
      <c r="CD1747" s="128"/>
      <c r="CE1747" s="128"/>
      <c r="CF1747" s="128"/>
      <c r="CG1747" s="128"/>
      <c r="CI1747" s="128"/>
      <c r="CJ1747" s="128"/>
      <c r="CK1747" s="128"/>
      <c r="CL1747" s="128"/>
      <c r="CM1747" s="128"/>
      <c r="CN1747" s="128"/>
      <c r="CO1747" s="128"/>
      <c r="CP1747" s="128"/>
      <c r="CQ1747" s="128"/>
      <c r="CR1747" s="128"/>
      <c r="CS1747" s="128"/>
      <c r="CT1747" s="128"/>
      <c r="CU1747" s="128"/>
      <c r="CV1747" s="128"/>
      <c r="CW1747" s="128"/>
      <c r="CX1747" s="128"/>
      <c r="CY1747" s="128"/>
      <c r="CZ1747" s="165"/>
    </row>
    <row r="1748" spans="1:104">
      <c r="A1748" s="149"/>
      <c r="B1748" s="149"/>
      <c r="C1748" s="150"/>
      <c r="D1748" s="102"/>
      <c r="E1748" s="149"/>
      <c r="F1748" s="149"/>
      <c r="G1748" s="149"/>
      <c r="H1748" s="149"/>
      <c r="I1748" s="149"/>
      <c r="J1748" s="149"/>
      <c r="K1748" s="149"/>
      <c r="L1748" s="149"/>
      <c r="M1748" s="149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9"/>
      <c r="AA1748" s="149"/>
      <c r="AB1748" s="149"/>
      <c r="AC1748" s="149"/>
      <c r="AD1748" s="149"/>
      <c r="AE1748" s="149"/>
      <c r="AF1748" s="149"/>
      <c r="AG1748" s="149"/>
      <c r="AH1748" s="149"/>
      <c r="AI1748" s="149"/>
      <c r="AJ1748" s="149"/>
      <c r="AK1748" s="149"/>
      <c r="AL1748" s="149"/>
      <c r="AM1748" s="149"/>
      <c r="AN1748" s="149"/>
      <c r="AO1748" s="128"/>
      <c r="AP1748" s="128"/>
      <c r="AQ1748" s="128"/>
      <c r="AR1748" s="128"/>
      <c r="AS1748" s="128"/>
      <c r="AT1748" s="128"/>
      <c r="AU1748" s="128"/>
      <c r="AV1748" s="128"/>
      <c r="AW1748" s="128"/>
      <c r="AX1748" s="128"/>
      <c r="AY1748" s="128"/>
      <c r="AZ1748" s="128"/>
      <c r="BA1748" s="128"/>
      <c r="BB1748" s="128"/>
      <c r="BC1748" s="128"/>
      <c r="BD1748" s="128"/>
      <c r="BE1748" s="128"/>
      <c r="BF1748" s="128"/>
      <c r="BG1748" s="128"/>
      <c r="BH1748" s="128"/>
      <c r="BI1748" s="128"/>
      <c r="BJ1748" s="128"/>
      <c r="BK1748" s="128"/>
      <c r="BL1748" s="128"/>
      <c r="BM1748" s="151"/>
      <c r="BN1748" s="128"/>
      <c r="BO1748" s="128"/>
      <c r="BP1748" s="128"/>
      <c r="BQ1748" s="128"/>
      <c r="BR1748" s="128"/>
      <c r="BS1748" s="128"/>
      <c r="BT1748" s="128"/>
      <c r="BU1748" s="128"/>
      <c r="BV1748" s="128"/>
      <c r="BW1748" s="128"/>
      <c r="BX1748" s="128"/>
      <c r="BY1748" s="128"/>
      <c r="BZ1748" s="128"/>
      <c r="CA1748" s="128"/>
      <c r="CB1748" s="128"/>
      <c r="CC1748" s="128"/>
      <c r="CD1748" s="128"/>
      <c r="CE1748" s="128"/>
      <c r="CF1748" s="128"/>
      <c r="CG1748" s="128"/>
      <c r="CI1748" s="128"/>
      <c r="CJ1748" s="128"/>
      <c r="CK1748" s="128"/>
      <c r="CL1748" s="128"/>
      <c r="CM1748" s="128"/>
      <c r="CN1748" s="128"/>
      <c r="CO1748" s="128"/>
      <c r="CP1748" s="128"/>
      <c r="CQ1748" s="128"/>
      <c r="CR1748" s="128"/>
      <c r="CS1748" s="128"/>
      <c r="CT1748" s="128"/>
      <c r="CU1748" s="128"/>
      <c r="CV1748" s="128"/>
      <c r="CW1748" s="128"/>
      <c r="CX1748" s="128"/>
      <c r="CY1748" s="128"/>
      <c r="CZ1748" s="165"/>
    </row>
    <row r="1749" spans="1:104">
      <c r="A1749" s="149"/>
      <c r="B1749" s="149"/>
      <c r="C1749" s="150"/>
      <c r="D1749" s="102"/>
      <c r="E1749" s="149"/>
      <c r="F1749" s="149"/>
      <c r="G1749" s="149"/>
      <c r="H1749" s="149"/>
      <c r="I1749" s="149"/>
      <c r="J1749" s="149"/>
      <c r="K1749" s="149"/>
      <c r="L1749" s="149"/>
      <c r="M1749" s="149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9"/>
      <c r="AA1749" s="149"/>
      <c r="AB1749" s="149"/>
      <c r="AC1749" s="149"/>
      <c r="AD1749" s="149"/>
      <c r="AE1749" s="149"/>
      <c r="AF1749" s="149"/>
      <c r="AG1749" s="149"/>
      <c r="AH1749" s="149"/>
      <c r="AI1749" s="149"/>
      <c r="AJ1749" s="149"/>
      <c r="AK1749" s="149"/>
      <c r="AL1749" s="149"/>
      <c r="AM1749" s="149"/>
      <c r="AN1749" s="149"/>
      <c r="AO1749" s="128"/>
      <c r="AP1749" s="128"/>
      <c r="AQ1749" s="128"/>
      <c r="AR1749" s="128"/>
      <c r="AS1749" s="128"/>
      <c r="AT1749" s="128"/>
      <c r="AU1749" s="128"/>
      <c r="AV1749" s="128"/>
      <c r="AW1749" s="128"/>
      <c r="AX1749" s="128"/>
      <c r="AY1749" s="128"/>
      <c r="AZ1749" s="128"/>
      <c r="BA1749" s="128"/>
      <c r="BB1749" s="128"/>
      <c r="BC1749" s="128"/>
      <c r="BD1749" s="128"/>
      <c r="BE1749" s="128"/>
      <c r="BF1749" s="128"/>
      <c r="BG1749" s="128"/>
      <c r="BH1749" s="128"/>
      <c r="BI1749" s="128"/>
      <c r="BJ1749" s="128"/>
      <c r="BK1749" s="128"/>
      <c r="BL1749" s="128"/>
      <c r="BM1749" s="151"/>
      <c r="BN1749" s="128"/>
      <c r="BO1749" s="128"/>
      <c r="BP1749" s="128"/>
      <c r="BQ1749" s="128"/>
      <c r="BR1749" s="128"/>
      <c r="BS1749" s="128"/>
      <c r="BT1749" s="128"/>
      <c r="BU1749" s="128"/>
      <c r="BV1749" s="128"/>
      <c r="BW1749" s="128"/>
      <c r="BX1749" s="128"/>
      <c r="BY1749" s="128"/>
      <c r="BZ1749" s="128"/>
      <c r="CA1749" s="128"/>
      <c r="CB1749" s="128"/>
      <c r="CC1749" s="128"/>
      <c r="CD1749" s="128"/>
      <c r="CE1749" s="128"/>
      <c r="CF1749" s="128"/>
      <c r="CG1749" s="128"/>
      <c r="CI1749" s="128"/>
      <c r="CJ1749" s="128"/>
      <c r="CK1749" s="128"/>
      <c r="CL1749" s="128"/>
      <c r="CM1749" s="128"/>
      <c r="CN1749" s="128"/>
      <c r="CO1749" s="128"/>
      <c r="CP1749" s="128"/>
      <c r="CQ1749" s="128"/>
      <c r="CR1749" s="128"/>
      <c r="CS1749" s="128"/>
      <c r="CT1749" s="128"/>
      <c r="CU1749" s="128"/>
      <c r="CV1749" s="128"/>
      <c r="CW1749" s="128"/>
      <c r="CX1749" s="128"/>
      <c r="CY1749" s="128"/>
      <c r="CZ1749" s="165"/>
    </row>
    <row r="1750" spans="1:104">
      <c r="A1750" s="149"/>
      <c r="B1750" s="149"/>
      <c r="C1750" s="150"/>
      <c r="D1750" s="102"/>
      <c r="E1750" s="149"/>
      <c r="F1750" s="149"/>
      <c r="G1750" s="149"/>
      <c r="H1750" s="149"/>
      <c r="I1750" s="149"/>
      <c r="J1750" s="149"/>
      <c r="K1750" s="149"/>
      <c r="L1750" s="149"/>
      <c r="M1750" s="149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9"/>
      <c r="AA1750" s="149"/>
      <c r="AB1750" s="149"/>
      <c r="AC1750" s="149"/>
      <c r="AD1750" s="149"/>
      <c r="AE1750" s="149"/>
      <c r="AF1750" s="149"/>
      <c r="AG1750" s="149"/>
      <c r="AH1750" s="149"/>
      <c r="AI1750" s="149"/>
      <c r="AJ1750" s="149"/>
      <c r="AK1750" s="149"/>
      <c r="AL1750" s="149"/>
      <c r="AM1750" s="149"/>
      <c r="AN1750" s="149"/>
      <c r="AO1750" s="128"/>
      <c r="AP1750" s="128"/>
      <c r="AQ1750" s="128"/>
      <c r="AR1750" s="128"/>
      <c r="AS1750" s="128"/>
      <c r="AT1750" s="128"/>
      <c r="AU1750" s="128"/>
      <c r="AV1750" s="128"/>
      <c r="AW1750" s="128"/>
      <c r="AX1750" s="128"/>
      <c r="AY1750" s="128"/>
      <c r="AZ1750" s="128"/>
      <c r="BA1750" s="128"/>
      <c r="BB1750" s="128"/>
      <c r="BC1750" s="128"/>
      <c r="BD1750" s="128"/>
      <c r="BE1750" s="128"/>
      <c r="BF1750" s="128"/>
      <c r="BG1750" s="128"/>
      <c r="BH1750" s="128"/>
      <c r="BI1750" s="128"/>
      <c r="BJ1750" s="128"/>
      <c r="BK1750" s="128"/>
      <c r="BL1750" s="128"/>
      <c r="BM1750" s="151"/>
      <c r="BN1750" s="128"/>
      <c r="BO1750" s="128"/>
      <c r="BP1750" s="128"/>
      <c r="BQ1750" s="128"/>
      <c r="BR1750" s="128"/>
      <c r="BS1750" s="128"/>
      <c r="BT1750" s="128"/>
      <c r="BU1750" s="128"/>
      <c r="BV1750" s="128"/>
      <c r="BW1750" s="128"/>
      <c r="BX1750" s="128"/>
      <c r="BY1750" s="128"/>
      <c r="BZ1750" s="128"/>
      <c r="CA1750" s="128"/>
      <c r="CB1750" s="128"/>
      <c r="CC1750" s="128"/>
      <c r="CD1750" s="128"/>
      <c r="CE1750" s="128"/>
      <c r="CF1750" s="128"/>
      <c r="CG1750" s="128"/>
      <c r="CI1750" s="128"/>
      <c r="CJ1750" s="128"/>
      <c r="CK1750" s="128"/>
      <c r="CL1750" s="128"/>
      <c r="CM1750" s="128"/>
      <c r="CN1750" s="128"/>
      <c r="CO1750" s="128"/>
      <c r="CP1750" s="128"/>
      <c r="CQ1750" s="128"/>
      <c r="CR1750" s="128"/>
      <c r="CS1750" s="128"/>
      <c r="CT1750" s="128"/>
      <c r="CU1750" s="128"/>
      <c r="CV1750" s="128"/>
      <c r="CW1750" s="128"/>
      <c r="CX1750" s="128"/>
      <c r="CY1750" s="128"/>
      <c r="CZ1750" s="165"/>
    </row>
    <row r="1751" spans="1:104">
      <c r="A1751" s="149"/>
      <c r="B1751" s="149"/>
      <c r="C1751" s="150"/>
      <c r="D1751" s="102"/>
      <c r="E1751" s="149"/>
      <c r="F1751" s="149"/>
      <c r="G1751" s="149"/>
      <c r="H1751" s="149"/>
      <c r="I1751" s="149"/>
      <c r="J1751" s="149"/>
      <c r="K1751" s="149"/>
      <c r="L1751" s="149"/>
      <c r="M1751" s="149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9"/>
      <c r="AA1751" s="149"/>
      <c r="AB1751" s="149"/>
      <c r="AC1751" s="149"/>
      <c r="AD1751" s="149"/>
      <c r="AE1751" s="149"/>
      <c r="AF1751" s="149"/>
      <c r="AG1751" s="149"/>
      <c r="AH1751" s="149"/>
      <c r="AI1751" s="149"/>
      <c r="AJ1751" s="149"/>
      <c r="AK1751" s="149"/>
      <c r="AL1751" s="149"/>
      <c r="AM1751" s="149"/>
      <c r="AN1751" s="149"/>
      <c r="AO1751" s="128"/>
      <c r="AP1751" s="128"/>
      <c r="AQ1751" s="128"/>
      <c r="AR1751" s="128"/>
      <c r="AS1751" s="128"/>
      <c r="AT1751" s="128"/>
      <c r="AU1751" s="128"/>
      <c r="AV1751" s="128"/>
      <c r="AW1751" s="128"/>
      <c r="AX1751" s="128"/>
      <c r="AY1751" s="128"/>
      <c r="AZ1751" s="128"/>
      <c r="BA1751" s="128"/>
      <c r="BB1751" s="128"/>
      <c r="BC1751" s="128"/>
      <c r="BD1751" s="128"/>
      <c r="BE1751" s="128"/>
      <c r="BF1751" s="128"/>
      <c r="BG1751" s="128"/>
      <c r="BH1751" s="128"/>
      <c r="BI1751" s="128"/>
      <c r="BJ1751" s="128"/>
      <c r="BK1751" s="128"/>
      <c r="BL1751" s="128"/>
      <c r="BM1751" s="151"/>
      <c r="BN1751" s="128"/>
      <c r="BO1751" s="128"/>
      <c r="BP1751" s="128"/>
      <c r="BQ1751" s="128"/>
      <c r="BR1751" s="128"/>
      <c r="BS1751" s="128"/>
      <c r="BT1751" s="128"/>
      <c r="BU1751" s="128"/>
      <c r="BV1751" s="128"/>
      <c r="BW1751" s="128"/>
      <c r="BX1751" s="128"/>
      <c r="BY1751" s="128"/>
      <c r="BZ1751" s="128"/>
      <c r="CA1751" s="128"/>
      <c r="CB1751" s="128"/>
      <c r="CC1751" s="128"/>
      <c r="CD1751" s="128"/>
      <c r="CE1751" s="128"/>
      <c r="CF1751" s="128"/>
      <c r="CG1751" s="128"/>
      <c r="CI1751" s="128"/>
      <c r="CJ1751" s="128"/>
      <c r="CK1751" s="128"/>
      <c r="CL1751" s="128"/>
      <c r="CM1751" s="128"/>
      <c r="CN1751" s="128"/>
      <c r="CO1751" s="128"/>
      <c r="CP1751" s="128"/>
      <c r="CQ1751" s="128"/>
      <c r="CR1751" s="128"/>
      <c r="CS1751" s="128"/>
      <c r="CT1751" s="128"/>
      <c r="CU1751" s="128"/>
      <c r="CV1751" s="128"/>
      <c r="CW1751" s="128"/>
      <c r="CX1751" s="128"/>
      <c r="CY1751" s="128"/>
      <c r="CZ1751" s="165"/>
    </row>
    <row r="1752" spans="1:104">
      <c r="A1752" s="149"/>
      <c r="B1752" s="149"/>
      <c r="C1752" s="150"/>
      <c r="D1752" s="102"/>
      <c r="E1752" s="149"/>
      <c r="F1752" s="149"/>
      <c r="G1752" s="149"/>
      <c r="H1752" s="149"/>
      <c r="I1752" s="149"/>
      <c r="J1752" s="149"/>
      <c r="K1752" s="149"/>
      <c r="L1752" s="149"/>
      <c r="M1752" s="149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9"/>
      <c r="AA1752" s="149"/>
      <c r="AB1752" s="149"/>
      <c r="AC1752" s="149"/>
      <c r="AD1752" s="149"/>
      <c r="AE1752" s="149"/>
      <c r="AF1752" s="149"/>
      <c r="AG1752" s="149"/>
      <c r="AH1752" s="149"/>
      <c r="AI1752" s="149"/>
      <c r="AJ1752" s="149"/>
      <c r="AK1752" s="149"/>
      <c r="AL1752" s="149"/>
      <c r="AM1752" s="149"/>
      <c r="AN1752" s="149"/>
      <c r="AO1752" s="128"/>
      <c r="AP1752" s="128"/>
      <c r="AQ1752" s="128"/>
      <c r="AR1752" s="128"/>
      <c r="AS1752" s="128"/>
      <c r="AT1752" s="128"/>
      <c r="AU1752" s="128"/>
      <c r="AV1752" s="128"/>
      <c r="AW1752" s="128"/>
      <c r="AX1752" s="128"/>
      <c r="AY1752" s="128"/>
      <c r="AZ1752" s="128"/>
      <c r="BA1752" s="128"/>
      <c r="BB1752" s="128"/>
      <c r="BC1752" s="128"/>
      <c r="BD1752" s="128"/>
      <c r="BE1752" s="128"/>
      <c r="BF1752" s="128"/>
      <c r="BG1752" s="128"/>
      <c r="BH1752" s="128"/>
      <c r="BI1752" s="128"/>
      <c r="BJ1752" s="128"/>
      <c r="BK1752" s="128"/>
      <c r="BL1752" s="128"/>
      <c r="BM1752" s="151"/>
      <c r="BN1752" s="128"/>
      <c r="BO1752" s="128"/>
      <c r="BP1752" s="128"/>
      <c r="BQ1752" s="128"/>
      <c r="BR1752" s="128"/>
      <c r="BS1752" s="128"/>
      <c r="BT1752" s="128"/>
      <c r="BU1752" s="128"/>
      <c r="BV1752" s="128"/>
      <c r="BW1752" s="128"/>
      <c r="BX1752" s="128"/>
      <c r="BY1752" s="128"/>
      <c r="BZ1752" s="128"/>
      <c r="CA1752" s="128"/>
      <c r="CB1752" s="128"/>
      <c r="CC1752" s="128"/>
      <c r="CD1752" s="128"/>
      <c r="CE1752" s="128"/>
      <c r="CF1752" s="128"/>
      <c r="CG1752" s="128"/>
      <c r="CI1752" s="128"/>
      <c r="CJ1752" s="128"/>
      <c r="CK1752" s="128"/>
      <c r="CL1752" s="128"/>
      <c r="CM1752" s="128"/>
      <c r="CN1752" s="128"/>
      <c r="CO1752" s="128"/>
      <c r="CP1752" s="128"/>
      <c r="CQ1752" s="128"/>
      <c r="CR1752" s="128"/>
      <c r="CS1752" s="128"/>
      <c r="CT1752" s="128"/>
      <c r="CU1752" s="128"/>
      <c r="CV1752" s="128"/>
      <c r="CW1752" s="128"/>
      <c r="CX1752" s="128"/>
      <c r="CY1752" s="128"/>
      <c r="CZ1752" s="165"/>
    </row>
    <row r="1753" spans="1:104">
      <c r="A1753" s="149"/>
      <c r="B1753" s="149"/>
      <c r="C1753" s="150"/>
      <c r="D1753" s="102"/>
      <c r="E1753" s="149"/>
      <c r="F1753" s="149"/>
      <c r="G1753" s="149"/>
      <c r="H1753" s="149"/>
      <c r="I1753" s="149"/>
      <c r="J1753" s="149"/>
      <c r="K1753" s="149"/>
      <c r="L1753" s="149"/>
      <c r="M1753" s="149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9"/>
      <c r="AA1753" s="149"/>
      <c r="AB1753" s="149"/>
      <c r="AC1753" s="149"/>
      <c r="AD1753" s="149"/>
      <c r="AE1753" s="149"/>
      <c r="AF1753" s="149"/>
      <c r="AG1753" s="149"/>
      <c r="AH1753" s="149"/>
      <c r="AI1753" s="149"/>
      <c r="AJ1753" s="149"/>
      <c r="AK1753" s="149"/>
      <c r="AL1753" s="149"/>
      <c r="AM1753" s="149"/>
      <c r="AN1753" s="149"/>
      <c r="AO1753" s="128"/>
      <c r="AP1753" s="128"/>
      <c r="AQ1753" s="128"/>
      <c r="AR1753" s="128"/>
      <c r="AS1753" s="128"/>
      <c r="AT1753" s="128"/>
      <c r="AU1753" s="128"/>
      <c r="AV1753" s="128"/>
      <c r="AW1753" s="128"/>
      <c r="AX1753" s="128"/>
      <c r="AY1753" s="128"/>
      <c r="AZ1753" s="128"/>
      <c r="BA1753" s="128"/>
      <c r="BB1753" s="128"/>
      <c r="BC1753" s="128"/>
      <c r="BD1753" s="128"/>
      <c r="BE1753" s="128"/>
      <c r="BF1753" s="128"/>
      <c r="BG1753" s="128"/>
      <c r="BH1753" s="128"/>
      <c r="BI1753" s="128"/>
      <c r="BJ1753" s="128"/>
      <c r="BK1753" s="128"/>
      <c r="BL1753" s="128"/>
      <c r="BM1753" s="151"/>
      <c r="BN1753" s="128"/>
      <c r="BO1753" s="128"/>
      <c r="BP1753" s="128"/>
      <c r="BQ1753" s="128"/>
      <c r="BR1753" s="128"/>
      <c r="BS1753" s="128"/>
      <c r="BT1753" s="128"/>
      <c r="BU1753" s="128"/>
      <c r="BV1753" s="128"/>
      <c r="BW1753" s="128"/>
      <c r="BX1753" s="128"/>
      <c r="BY1753" s="128"/>
      <c r="BZ1753" s="128"/>
      <c r="CA1753" s="128"/>
      <c r="CB1753" s="128"/>
      <c r="CC1753" s="128"/>
      <c r="CD1753" s="128"/>
      <c r="CE1753" s="128"/>
      <c r="CF1753" s="128"/>
      <c r="CG1753" s="128"/>
      <c r="CI1753" s="128"/>
      <c r="CJ1753" s="128"/>
      <c r="CK1753" s="128"/>
      <c r="CL1753" s="128"/>
      <c r="CM1753" s="128"/>
      <c r="CN1753" s="128"/>
      <c r="CO1753" s="128"/>
      <c r="CP1753" s="128"/>
      <c r="CQ1753" s="128"/>
      <c r="CR1753" s="128"/>
      <c r="CS1753" s="128"/>
      <c r="CT1753" s="128"/>
      <c r="CU1753" s="128"/>
      <c r="CV1753" s="128"/>
      <c r="CW1753" s="128"/>
      <c r="CX1753" s="128"/>
      <c r="CY1753" s="128"/>
      <c r="CZ1753" s="165"/>
    </row>
    <row r="1754" spans="1:104">
      <c r="A1754" s="149"/>
      <c r="B1754" s="149"/>
      <c r="C1754" s="150"/>
      <c r="D1754" s="102"/>
      <c r="E1754" s="149"/>
      <c r="F1754" s="149"/>
      <c r="G1754" s="149"/>
      <c r="H1754" s="149"/>
      <c r="I1754" s="149"/>
      <c r="J1754" s="149"/>
      <c r="K1754" s="149"/>
      <c r="L1754" s="149"/>
      <c r="M1754" s="149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9"/>
      <c r="AA1754" s="149"/>
      <c r="AB1754" s="149"/>
      <c r="AC1754" s="149"/>
      <c r="AD1754" s="149"/>
      <c r="AE1754" s="149"/>
      <c r="AF1754" s="149"/>
      <c r="AG1754" s="149"/>
      <c r="AH1754" s="149"/>
      <c r="AI1754" s="149"/>
      <c r="AJ1754" s="149"/>
      <c r="AK1754" s="149"/>
      <c r="AL1754" s="149"/>
      <c r="AM1754" s="149"/>
      <c r="AN1754" s="149"/>
      <c r="AO1754" s="128"/>
      <c r="AP1754" s="128"/>
      <c r="AQ1754" s="128"/>
      <c r="AR1754" s="128"/>
      <c r="AS1754" s="128"/>
      <c r="AT1754" s="128"/>
      <c r="AU1754" s="128"/>
      <c r="AV1754" s="128"/>
      <c r="AW1754" s="128"/>
      <c r="AX1754" s="128"/>
      <c r="AY1754" s="128"/>
      <c r="AZ1754" s="128"/>
      <c r="BA1754" s="128"/>
      <c r="BB1754" s="128"/>
      <c r="BC1754" s="128"/>
      <c r="BD1754" s="128"/>
      <c r="BE1754" s="128"/>
      <c r="BF1754" s="128"/>
      <c r="BG1754" s="128"/>
      <c r="BH1754" s="128"/>
      <c r="BI1754" s="128"/>
      <c r="BJ1754" s="128"/>
      <c r="BK1754" s="128"/>
      <c r="BL1754" s="128"/>
      <c r="BM1754" s="151"/>
      <c r="BN1754" s="128"/>
      <c r="BO1754" s="128"/>
      <c r="BP1754" s="128"/>
      <c r="BQ1754" s="128"/>
      <c r="BR1754" s="128"/>
      <c r="BS1754" s="128"/>
      <c r="BT1754" s="128"/>
      <c r="BU1754" s="128"/>
      <c r="BV1754" s="128"/>
      <c r="BW1754" s="128"/>
      <c r="BX1754" s="128"/>
      <c r="BY1754" s="128"/>
      <c r="BZ1754" s="128"/>
      <c r="CA1754" s="128"/>
      <c r="CB1754" s="128"/>
      <c r="CC1754" s="128"/>
      <c r="CD1754" s="128"/>
      <c r="CE1754" s="128"/>
      <c r="CF1754" s="128"/>
      <c r="CG1754" s="128"/>
      <c r="CI1754" s="128"/>
      <c r="CJ1754" s="128"/>
      <c r="CK1754" s="128"/>
      <c r="CL1754" s="128"/>
      <c r="CM1754" s="128"/>
      <c r="CN1754" s="128"/>
      <c r="CO1754" s="128"/>
      <c r="CP1754" s="128"/>
      <c r="CQ1754" s="128"/>
      <c r="CR1754" s="128"/>
      <c r="CS1754" s="128"/>
      <c r="CT1754" s="128"/>
      <c r="CU1754" s="128"/>
      <c r="CV1754" s="128"/>
      <c r="CW1754" s="128"/>
      <c r="CX1754" s="128"/>
      <c r="CY1754" s="128"/>
      <c r="CZ1754" s="165"/>
    </row>
    <row r="1755" spans="1:104">
      <c r="A1755" s="149"/>
      <c r="B1755" s="149"/>
      <c r="C1755" s="150"/>
      <c r="D1755" s="102"/>
      <c r="E1755" s="149"/>
      <c r="F1755" s="149"/>
      <c r="G1755" s="149"/>
      <c r="H1755" s="149"/>
      <c r="I1755" s="149"/>
      <c r="J1755" s="149"/>
      <c r="K1755" s="149"/>
      <c r="L1755" s="149"/>
      <c r="M1755" s="149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9"/>
      <c r="AA1755" s="149"/>
      <c r="AB1755" s="149"/>
      <c r="AC1755" s="149"/>
      <c r="AD1755" s="149"/>
      <c r="AE1755" s="149"/>
      <c r="AF1755" s="149"/>
      <c r="AG1755" s="149"/>
      <c r="AH1755" s="149"/>
      <c r="AI1755" s="149"/>
      <c r="AJ1755" s="149"/>
      <c r="AK1755" s="149"/>
      <c r="AL1755" s="149"/>
      <c r="AM1755" s="149"/>
      <c r="AN1755" s="149"/>
      <c r="AO1755" s="128"/>
      <c r="AP1755" s="128"/>
      <c r="AQ1755" s="128"/>
      <c r="AR1755" s="128"/>
      <c r="AS1755" s="128"/>
      <c r="AT1755" s="128"/>
      <c r="AU1755" s="128"/>
      <c r="AV1755" s="128"/>
      <c r="AW1755" s="128"/>
      <c r="AX1755" s="128"/>
      <c r="AY1755" s="128"/>
      <c r="AZ1755" s="128"/>
      <c r="BA1755" s="128"/>
      <c r="BB1755" s="128"/>
      <c r="BC1755" s="128"/>
      <c r="BD1755" s="128"/>
      <c r="BE1755" s="128"/>
      <c r="BF1755" s="128"/>
      <c r="BG1755" s="128"/>
      <c r="BH1755" s="128"/>
      <c r="BI1755" s="128"/>
      <c r="BJ1755" s="128"/>
      <c r="BK1755" s="128"/>
      <c r="BL1755" s="128"/>
      <c r="BM1755" s="151"/>
      <c r="BN1755" s="128"/>
      <c r="BO1755" s="128"/>
      <c r="BP1755" s="128"/>
      <c r="BQ1755" s="128"/>
      <c r="BR1755" s="128"/>
      <c r="BS1755" s="128"/>
      <c r="BT1755" s="128"/>
      <c r="BU1755" s="128"/>
      <c r="BV1755" s="128"/>
      <c r="BW1755" s="128"/>
      <c r="BX1755" s="128"/>
      <c r="BY1755" s="128"/>
      <c r="BZ1755" s="128"/>
      <c r="CA1755" s="128"/>
      <c r="CB1755" s="128"/>
      <c r="CC1755" s="128"/>
      <c r="CD1755" s="128"/>
      <c r="CE1755" s="128"/>
      <c r="CF1755" s="128"/>
      <c r="CG1755" s="128"/>
      <c r="CI1755" s="128"/>
      <c r="CJ1755" s="128"/>
      <c r="CK1755" s="128"/>
      <c r="CL1755" s="128"/>
      <c r="CM1755" s="128"/>
      <c r="CN1755" s="128"/>
      <c r="CO1755" s="128"/>
      <c r="CP1755" s="128"/>
      <c r="CQ1755" s="128"/>
      <c r="CR1755" s="128"/>
      <c r="CS1755" s="128"/>
      <c r="CT1755" s="128"/>
      <c r="CU1755" s="128"/>
      <c r="CV1755" s="128"/>
      <c r="CW1755" s="128"/>
      <c r="CX1755" s="128"/>
      <c r="CY1755" s="128"/>
      <c r="CZ1755" s="165"/>
    </row>
    <row r="1756" spans="1:104">
      <c r="A1756" s="149"/>
      <c r="B1756" s="149"/>
      <c r="C1756" s="150"/>
      <c r="D1756" s="102"/>
      <c r="E1756" s="149"/>
      <c r="F1756" s="149"/>
      <c r="G1756" s="149"/>
      <c r="H1756" s="149"/>
      <c r="I1756" s="149"/>
      <c r="J1756" s="149"/>
      <c r="K1756" s="149"/>
      <c r="L1756" s="149"/>
      <c r="M1756" s="149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9"/>
      <c r="AA1756" s="149"/>
      <c r="AB1756" s="149"/>
      <c r="AC1756" s="149"/>
      <c r="AD1756" s="149"/>
      <c r="AE1756" s="149"/>
      <c r="AF1756" s="149"/>
      <c r="AG1756" s="149"/>
      <c r="AH1756" s="149"/>
      <c r="AI1756" s="149"/>
      <c r="AJ1756" s="149"/>
      <c r="AK1756" s="149"/>
      <c r="AL1756" s="149"/>
      <c r="AM1756" s="149"/>
      <c r="AN1756" s="149"/>
      <c r="AO1756" s="128"/>
      <c r="AP1756" s="128"/>
      <c r="AQ1756" s="128"/>
      <c r="AR1756" s="128"/>
      <c r="AS1756" s="128"/>
      <c r="AT1756" s="128"/>
      <c r="AU1756" s="128"/>
      <c r="AV1756" s="128"/>
      <c r="AW1756" s="128"/>
      <c r="AX1756" s="128"/>
      <c r="AY1756" s="128"/>
      <c r="AZ1756" s="128"/>
      <c r="BA1756" s="128"/>
      <c r="BB1756" s="128"/>
      <c r="BC1756" s="128"/>
      <c r="BD1756" s="128"/>
      <c r="BE1756" s="128"/>
      <c r="BF1756" s="128"/>
      <c r="BG1756" s="128"/>
      <c r="BH1756" s="128"/>
      <c r="BI1756" s="128"/>
      <c r="BJ1756" s="128"/>
      <c r="BK1756" s="128"/>
      <c r="BL1756" s="128"/>
      <c r="BM1756" s="151"/>
      <c r="BN1756" s="128"/>
      <c r="BO1756" s="128"/>
      <c r="BP1756" s="128"/>
      <c r="BQ1756" s="128"/>
      <c r="BR1756" s="128"/>
      <c r="BS1756" s="128"/>
      <c r="BT1756" s="128"/>
      <c r="BU1756" s="128"/>
      <c r="BV1756" s="128"/>
      <c r="BW1756" s="128"/>
      <c r="BX1756" s="128"/>
      <c r="BY1756" s="128"/>
      <c r="BZ1756" s="128"/>
      <c r="CA1756" s="128"/>
      <c r="CB1756" s="128"/>
      <c r="CC1756" s="128"/>
      <c r="CD1756" s="128"/>
      <c r="CE1756" s="128"/>
      <c r="CF1756" s="128"/>
      <c r="CG1756" s="128"/>
      <c r="CI1756" s="128"/>
      <c r="CJ1756" s="128"/>
      <c r="CK1756" s="128"/>
      <c r="CL1756" s="128"/>
      <c r="CM1756" s="128"/>
      <c r="CN1756" s="128"/>
      <c r="CO1756" s="128"/>
      <c r="CP1756" s="128"/>
      <c r="CQ1756" s="128"/>
      <c r="CR1756" s="128"/>
      <c r="CS1756" s="128"/>
      <c r="CT1756" s="128"/>
      <c r="CU1756" s="128"/>
      <c r="CV1756" s="128"/>
      <c r="CW1756" s="128"/>
      <c r="CX1756" s="128"/>
      <c r="CY1756" s="128"/>
      <c r="CZ1756" s="165"/>
    </row>
    <row r="1757" spans="1:104">
      <c r="A1757" s="149"/>
      <c r="B1757" s="149"/>
      <c r="C1757" s="150"/>
      <c r="D1757" s="102"/>
      <c r="E1757" s="149"/>
      <c r="F1757" s="149"/>
      <c r="G1757" s="149"/>
      <c r="H1757" s="149"/>
      <c r="I1757" s="149"/>
      <c r="J1757" s="149"/>
      <c r="K1757" s="149"/>
      <c r="L1757" s="149"/>
      <c r="M1757" s="149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9"/>
      <c r="AA1757" s="149"/>
      <c r="AB1757" s="149"/>
      <c r="AC1757" s="149"/>
      <c r="AD1757" s="149"/>
      <c r="AE1757" s="149"/>
      <c r="AF1757" s="149"/>
      <c r="AG1757" s="149"/>
      <c r="AH1757" s="149"/>
      <c r="AI1757" s="149"/>
      <c r="AJ1757" s="149"/>
      <c r="AK1757" s="149"/>
      <c r="AL1757" s="149"/>
      <c r="AM1757" s="149"/>
      <c r="AN1757" s="149"/>
      <c r="AO1757" s="128"/>
      <c r="AP1757" s="128"/>
      <c r="AQ1757" s="128"/>
      <c r="AR1757" s="128"/>
      <c r="AS1757" s="128"/>
      <c r="AT1757" s="128"/>
      <c r="AU1757" s="128"/>
      <c r="AV1757" s="128"/>
      <c r="AW1757" s="128"/>
      <c r="AX1757" s="128"/>
      <c r="AY1757" s="128"/>
      <c r="AZ1757" s="128"/>
      <c r="BA1757" s="128"/>
      <c r="BB1757" s="128"/>
      <c r="BC1757" s="128"/>
      <c r="BD1757" s="128"/>
      <c r="BE1757" s="128"/>
      <c r="BF1757" s="128"/>
      <c r="BG1757" s="128"/>
      <c r="BH1757" s="128"/>
      <c r="BI1757" s="128"/>
      <c r="BJ1757" s="128"/>
      <c r="BK1757" s="128"/>
      <c r="BL1757" s="128"/>
      <c r="BM1757" s="151"/>
      <c r="BN1757" s="128"/>
      <c r="BO1757" s="128"/>
      <c r="BP1757" s="128"/>
      <c r="BQ1757" s="128"/>
      <c r="BR1757" s="128"/>
      <c r="BS1757" s="128"/>
      <c r="BT1757" s="128"/>
      <c r="BU1757" s="128"/>
      <c r="BV1757" s="128"/>
      <c r="BW1757" s="128"/>
      <c r="BX1757" s="128"/>
      <c r="BY1757" s="128"/>
      <c r="BZ1757" s="128"/>
      <c r="CA1757" s="128"/>
      <c r="CB1757" s="128"/>
      <c r="CC1757" s="128"/>
      <c r="CD1757" s="128"/>
      <c r="CE1757" s="128"/>
      <c r="CF1757" s="128"/>
      <c r="CG1757" s="128"/>
      <c r="CI1757" s="128"/>
      <c r="CJ1757" s="128"/>
      <c r="CK1757" s="128"/>
      <c r="CL1757" s="128"/>
      <c r="CM1757" s="128"/>
      <c r="CN1757" s="128"/>
      <c r="CO1757" s="128"/>
      <c r="CP1757" s="128"/>
      <c r="CQ1757" s="128"/>
      <c r="CR1757" s="128"/>
      <c r="CS1757" s="128"/>
      <c r="CT1757" s="128"/>
      <c r="CU1757" s="128"/>
      <c r="CV1757" s="128"/>
      <c r="CW1757" s="128"/>
      <c r="CX1757" s="128"/>
      <c r="CY1757" s="128"/>
      <c r="CZ1757" s="165"/>
    </row>
    <row r="1758" spans="1:104">
      <c r="A1758" s="149"/>
      <c r="B1758" s="149"/>
      <c r="C1758" s="150"/>
      <c r="D1758" s="102"/>
      <c r="E1758" s="149"/>
      <c r="F1758" s="149"/>
      <c r="G1758" s="149"/>
      <c r="H1758" s="149"/>
      <c r="I1758" s="149"/>
      <c r="J1758" s="149"/>
      <c r="K1758" s="149"/>
      <c r="L1758" s="149"/>
      <c r="M1758" s="149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9"/>
      <c r="AA1758" s="149"/>
      <c r="AB1758" s="149"/>
      <c r="AC1758" s="149"/>
      <c r="AD1758" s="149"/>
      <c r="AE1758" s="149"/>
      <c r="AF1758" s="149"/>
      <c r="AG1758" s="149"/>
      <c r="AH1758" s="149"/>
      <c r="AI1758" s="149"/>
      <c r="AJ1758" s="149"/>
      <c r="AK1758" s="149"/>
      <c r="AL1758" s="149"/>
      <c r="AM1758" s="149"/>
      <c r="AN1758" s="149"/>
      <c r="AO1758" s="128"/>
      <c r="AP1758" s="128"/>
      <c r="AQ1758" s="128"/>
      <c r="AR1758" s="128"/>
      <c r="AS1758" s="128"/>
      <c r="AT1758" s="128"/>
      <c r="AU1758" s="128"/>
      <c r="AV1758" s="128"/>
      <c r="AW1758" s="128"/>
      <c r="AX1758" s="128"/>
      <c r="AY1758" s="128"/>
      <c r="AZ1758" s="128"/>
      <c r="BA1758" s="128"/>
      <c r="BB1758" s="128"/>
      <c r="BC1758" s="128"/>
      <c r="BD1758" s="128"/>
      <c r="BE1758" s="128"/>
      <c r="BF1758" s="128"/>
      <c r="BG1758" s="128"/>
      <c r="BH1758" s="128"/>
      <c r="BI1758" s="128"/>
      <c r="BJ1758" s="128"/>
      <c r="BK1758" s="128"/>
      <c r="BL1758" s="128"/>
      <c r="BM1758" s="151"/>
      <c r="BN1758" s="128"/>
      <c r="BO1758" s="128"/>
      <c r="BP1758" s="128"/>
      <c r="BQ1758" s="128"/>
      <c r="BR1758" s="128"/>
      <c r="BS1758" s="128"/>
      <c r="BT1758" s="128"/>
      <c r="BU1758" s="128"/>
      <c r="BV1758" s="128"/>
      <c r="BW1758" s="128"/>
      <c r="BX1758" s="128"/>
      <c r="BY1758" s="128"/>
      <c r="BZ1758" s="128"/>
      <c r="CA1758" s="128"/>
      <c r="CB1758" s="128"/>
      <c r="CC1758" s="128"/>
      <c r="CD1758" s="128"/>
      <c r="CE1758" s="128"/>
      <c r="CF1758" s="128"/>
      <c r="CG1758" s="128"/>
      <c r="CI1758" s="128"/>
      <c r="CJ1758" s="128"/>
      <c r="CK1758" s="128"/>
      <c r="CL1758" s="128"/>
      <c r="CM1758" s="128"/>
      <c r="CN1758" s="128"/>
      <c r="CO1758" s="128"/>
      <c r="CP1758" s="128"/>
      <c r="CQ1758" s="128"/>
      <c r="CR1758" s="128"/>
      <c r="CS1758" s="128"/>
      <c r="CT1758" s="128"/>
      <c r="CU1758" s="128"/>
      <c r="CV1758" s="128"/>
      <c r="CW1758" s="128"/>
      <c r="CX1758" s="128"/>
      <c r="CY1758" s="128"/>
      <c r="CZ1758" s="165"/>
    </row>
    <row r="1759" spans="1:104">
      <c r="A1759" s="149"/>
      <c r="B1759" s="149"/>
      <c r="C1759" s="150"/>
      <c r="D1759" s="102"/>
      <c r="E1759" s="149"/>
      <c r="F1759" s="149"/>
      <c r="G1759" s="149"/>
      <c r="H1759" s="149"/>
      <c r="I1759" s="149"/>
      <c r="J1759" s="149"/>
      <c r="K1759" s="149"/>
      <c r="L1759" s="149"/>
      <c r="M1759" s="149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9"/>
      <c r="AA1759" s="149"/>
      <c r="AB1759" s="149"/>
      <c r="AC1759" s="149"/>
      <c r="AD1759" s="149"/>
      <c r="AE1759" s="149"/>
      <c r="AF1759" s="149"/>
      <c r="AG1759" s="149"/>
      <c r="AH1759" s="149"/>
      <c r="AI1759" s="149"/>
      <c r="AJ1759" s="149"/>
      <c r="AK1759" s="149"/>
      <c r="AL1759" s="149"/>
      <c r="AM1759" s="149"/>
      <c r="AN1759" s="149"/>
      <c r="AO1759" s="128"/>
      <c r="AP1759" s="128"/>
      <c r="AQ1759" s="128"/>
      <c r="AR1759" s="128"/>
      <c r="AS1759" s="128"/>
      <c r="AT1759" s="128"/>
      <c r="AU1759" s="128"/>
      <c r="AV1759" s="128"/>
      <c r="AW1759" s="128"/>
      <c r="AX1759" s="128"/>
      <c r="AY1759" s="128"/>
      <c r="AZ1759" s="128"/>
      <c r="BA1759" s="128"/>
      <c r="BB1759" s="128"/>
      <c r="BC1759" s="128"/>
      <c r="BD1759" s="128"/>
      <c r="BE1759" s="128"/>
      <c r="BF1759" s="128"/>
      <c r="BG1759" s="128"/>
      <c r="BH1759" s="128"/>
      <c r="BI1759" s="128"/>
      <c r="BJ1759" s="128"/>
      <c r="BK1759" s="128"/>
      <c r="BL1759" s="128"/>
      <c r="BM1759" s="151"/>
      <c r="BN1759" s="128"/>
      <c r="BO1759" s="128"/>
      <c r="BP1759" s="128"/>
      <c r="BQ1759" s="128"/>
      <c r="BR1759" s="128"/>
      <c r="BS1759" s="128"/>
      <c r="BT1759" s="128"/>
      <c r="BU1759" s="128"/>
      <c r="BV1759" s="128"/>
      <c r="BW1759" s="128"/>
      <c r="BX1759" s="128"/>
      <c r="BY1759" s="128"/>
      <c r="BZ1759" s="128"/>
      <c r="CA1759" s="128"/>
      <c r="CB1759" s="128"/>
      <c r="CC1759" s="128"/>
      <c r="CD1759" s="128"/>
      <c r="CE1759" s="128"/>
      <c r="CF1759" s="128"/>
      <c r="CG1759" s="128"/>
      <c r="CI1759" s="128"/>
      <c r="CJ1759" s="128"/>
      <c r="CK1759" s="128"/>
      <c r="CL1759" s="128"/>
      <c r="CM1759" s="128"/>
      <c r="CN1759" s="128"/>
      <c r="CO1759" s="128"/>
      <c r="CP1759" s="128"/>
      <c r="CQ1759" s="128"/>
      <c r="CR1759" s="128"/>
      <c r="CS1759" s="128"/>
      <c r="CT1759" s="128"/>
      <c r="CU1759" s="128"/>
      <c r="CV1759" s="128"/>
      <c r="CW1759" s="128"/>
      <c r="CX1759" s="128"/>
      <c r="CY1759" s="128"/>
      <c r="CZ1759" s="165"/>
    </row>
    <row r="1760" spans="1:104">
      <c r="A1760" s="149"/>
      <c r="B1760" s="149"/>
      <c r="C1760" s="150"/>
      <c r="D1760" s="102"/>
      <c r="E1760" s="149"/>
      <c r="F1760" s="149"/>
      <c r="G1760" s="149"/>
      <c r="H1760" s="149"/>
      <c r="I1760" s="149"/>
      <c r="J1760" s="149"/>
      <c r="K1760" s="149"/>
      <c r="L1760" s="149"/>
      <c r="M1760" s="149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9"/>
      <c r="AA1760" s="149"/>
      <c r="AB1760" s="149"/>
      <c r="AC1760" s="149"/>
      <c r="AD1760" s="149"/>
      <c r="AE1760" s="149"/>
      <c r="AF1760" s="149"/>
      <c r="AG1760" s="149"/>
      <c r="AH1760" s="149"/>
      <c r="AI1760" s="149"/>
      <c r="AJ1760" s="149"/>
      <c r="AK1760" s="149"/>
      <c r="AL1760" s="149"/>
      <c r="AM1760" s="149"/>
      <c r="AN1760" s="149"/>
      <c r="AO1760" s="128"/>
      <c r="AP1760" s="128"/>
      <c r="AQ1760" s="128"/>
      <c r="AR1760" s="128"/>
      <c r="AS1760" s="128"/>
      <c r="AT1760" s="128"/>
      <c r="AU1760" s="128"/>
      <c r="AV1760" s="128"/>
      <c r="AW1760" s="128"/>
      <c r="AX1760" s="128"/>
      <c r="AY1760" s="128"/>
      <c r="AZ1760" s="128"/>
      <c r="BA1760" s="128"/>
      <c r="BB1760" s="128"/>
      <c r="BC1760" s="128"/>
      <c r="BD1760" s="128"/>
      <c r="BE1760" s="128"/>
      <c r="BF1760" s="128"/>
      <c r="BG1760" s="128"/>
      <c r="BH1760" s="128"/>
      <c r="BI1760" s="128"/>
      <c r="BJ1760" s="128"/>
      <c r="BK1760" s="128"/>
      <c r="BL1760" s="128"/>
      <c r="BM1760" s="151"/>
      <c r="BN1760" s="128"/>
      <c r="BO1760" s="128"/>
      <c r="BP1760" s="128"/>
      <c r="BQ1760" s="128"/>
      <c r="BR1760" s="128"/>
      <c r="BS1760" s="128"/>
      <c r="BT1760" s="128"/>
      <c r="BU1760" s="128"/>
      <c r="BV1760" s="128"/>
      <c r="BW1760" s="128"/>
      <c r="BX1760" s="128"/>
      <c r="BY1760" s="128"/>
      <c r="BZ1760" s="128"/>
      <c r="CA1760" s="128"/>
      <c r="CB1760" s="128"/>
      <c r="CC1760" s="128"/>
      <c r="CD1760" s="128"/>
      <c r="CE1760" s="128"/>
      <c r="CF1760" s="128"/>
      <c r="CG1760" s="128"/>
      <c r="CI1760" s="128"/>
      <c r="CJ1760" s="128"/>
      <c r="CK1760" s="128"/>
      <c r="CL1760" s="128"/>
      <c r="CM1760" s="128"/>
      <c r="CN1760" s="128"/>
      <c r="CO1760" s="128"/>
      <c r="CP1760" s="128"/>
      <c r="CQ1760" s="128"/>
      <c r="CR1760" s="128"/>
      <c r="CS1760" s="128"/>
      <c r="CT1760" s="128"/>
      <c r="CU1760" s="128"/>
      <c r="CV1760" s="128"/>
      <c r="CW1760" s="128"/>
      <c r="CX1760" s="128"/>
      <c r="CY1760" s="128"/>
      <c r="CZ1760" s="165"/>
    </row>
    <row r="1761" spans="1:104">
      <c r="A1761" s="149"/>
      <c r="B1761" s="149"/>
      <c r="C1761" s="150"/>
      <c r="D1761" s="102"/>
      <c r="E1761" s="149"/>
      <c r="F1761" s="149"/>
      <c r="G1761" s="149"/>
      <c r="H1761" s="149"/>
      <c r="I1761" s="149"/>
      <c r="J1761" s="149"/>
      <c r="K1761" s="149"/>
      <c r="L1761" s="149"/>
      <c r="M1761" s="149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9"/>
      <c r="AA1761" s="149"/>
      <c r="AB1761" s="149"/>
      <c r="AC1761" s="149"/>
      <c r="AD1761" s="149"/>
      <c r="AE1761" s="149"/>
      <c r="AF1761" s="149"/>
      <c r="AG1761" s="149"/>
      <c r="AH1761" s="149"/>
      <c r="AI1761" s="149"/>
      <c r="AJ1761" s="149"/>
      <c r="AK1761" s="149"/>
      <c r="AL1761" s="149"/>
      <c r="AM1761" s="149"/>
      <c r="AN1761" s="149"/>
      <c r="AO1761" s="128"/>
      <c r="AP1761" s="128"/>
      <c r="AQ1761" s="128"/>
      <c r="AR1761" s="128"/>
      <c r="AS1761" s="128"/>
      <c r="AT1761" s="128"/>
      <c r="AU1761" s="128"/>
      <c r="AV1761" s="128"/>
      <c r="AW1761" s="128"/>
      <c r="AX1761" s="128"/>
      <c r="AY1761" s="128"/>
      <c r="AZ1761" s="128"/>
      <c r="BA1761" s="128"/>
      <c r="BB1761" s="128"/>
      <c r="BC1761" s="128"/>
      <c r="BD1761" s="128"/>
      <c r="BE1761" s="128"/>
      <c r="BF1761" s="128"/>
      <c r="BG1761" s="128"/>
      <c r="BH1761" s="128"/>
      <c r="BI1761" s="128"/>
      <c r="BJ1761" s="128"/>
      <c r="BK1761" s="128"/>
      <c r="BL1761" s="128"/>
      <c r="BM1761" s="151"/>
      <c r="BN1761" s="128"/>
      <c r="BO1761" s="128"/>
      <c r="BP1761" s="128"/>
      <c r="BQ1761" s="128"/>
      <c r="BR1761" s="128"/>
      <c r="BS1761" s="128"/>
      <c r="BT1761" s="128"/>
      <c r="BU1761" s="128"/>
      <c r="BV1761" s="128"/>
      <c r="BW1761" s="128"/>
      <c r="BX1761" s="128"/>
      <c r="BY1761" s="128"/>
      <c r="BZ1761" s="128"/>
      <c r="CA1761" s="128"/>
      <c r="CB1761" s="128"/>
      <c r="CC1761" s="128"/>
      <c r="CD1761" s="128"/>
      <c r="CE1761" s="128"/>
      <c r="CF1761" s="128"/>
      <c r="CG1761" s="128"/>
      <c r="CI1761" s="128"/>
      <c r="CJ1761" s="128"/>
      <c r="CK1761" s="128"/>
      <c r="CL1761" s="128"/>
      <c r="CM1761" s="128"/>
      <c r="CN1761" s="128"/>
      <c r="CO1761" s="128"/>
      <c r="CP1761" s="128"/>
      <c r="CQ1761" s="128"/>
      <c r="CR1761" s="128"/>
      <c r="CS1761" s="128"/>
      <c r="CT1761" s="128"/>
      <c r="CU1761" s="128"/>
      <c r="CV1761" s="128"/>
      <c r="CW1761" s="128"/>
      <c r="CX1761" s="128"/>
      <c r="CY1761" s="128"/>
      <c r="CZ1761" s="165"/>
    </row>
    <row r="1762" spans="1:104">
      <c r="A1762" s="149"/>
      <c r="B1762" s="149"/>
      <c r="C1762" s="150"/>
      <c r="D1762" s="102"/>
      <c r="E1762" s="149"/>
      <c r="F1762" s="149"/>
      <c r="G1762" s="149"/>
      <c r="H1762" s="149"/>
      <c r="I1762" s="149"/>
      <c r="J1762" s="149"/>
      <c r="K1762" s="149"/>
      <c r="L1762" s="149"/>
      <c r="M1762" s="149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9"/>
      <c r="AA1762" s="149"/>
      <c r="AB1762" s="149"/>
      <c r="AC1762" s="149"/>
      <c r="AD1762" s="149"/>
      <c r="AE1762" s="149"/>
      <c r="AF1762" s="149"/>
      <c r="AG1762" s="149"/>
      <c r="AH1762" s="149"/>
      <c r="AI1762" s="149"/>
      <c r="AJ1762" s="149"/>
      <c r="AK1762" s="149"/>
      <c r="AL1762" s="149"/>
      <c r="AM1762" s="149"/>
      <c r="AN1762" s="149"/>
      <c r="AO1762" s="128"/>
      <c r="AP1762" s="128"/>
      <c r="AQ1762" s="128"/>
      <c r="AR1762" s="128"/>
      <c r="AS1762" s="128"/>
      <c r="AT1762" s="128"/>
      <c r="AU1762" s="128"/>
      <c r="AV1762" s="128"/>
      <c r="AW1762" s="128"/>
      <c r="AX1762" s="128"/>
      <c r="AY1762" s="128"/>
      <c r="AZ1762" s="128"/>
      <c r="BA1762" s="128"/>
      <c r="BB1762" s="128"/>
      <c r="BC1762" s="128"/>
      <c r="BD1762" s="128"/>
      <c r="BE1762" s="128"/>
      <c r="BF1762" s="128"/>
      <c r="BG1762" s="128"/>
      <c r="BH1762" s="128"/>
      <c r="BI1762" s="128"/>
      <c r="BJ1762" s="128"/>
      <c r="BK1762" s="128"/>
      <c r="BL1762" s="128"/>
      <c r="BM1762" s="151"/>
      <c r="BN1762" s="128"/>
      <c r="BO1762" s="128"/>
      <c r="BP1762" s="128"/>
      <c r="BQ1762" s="128"/>
      <c r="BR1762" s="128"/>
      <c r="BS1762" s="128"/>
      <c r="BT1762" s="128"/>
      <c r="BU1762" s="128"/>
      <c r="BV1762" s="128"/>
      <c r="BW1762" s="128"/>
      <c r="BX1762" s="128"/>
      <c r="BY1762" s="128"/>
      <c r="BZ1762" s="128"/>
      <c r="CA1762" s="128"/>
      <c r="CB1762" s="128"/>
      <c r="CC1762" s="128"/>
      <c r="CD1762" s="128"/>
      <c r="CE1762" s="128"/>
      <c r="CF1762" s="128"/>
      <c r="CG1762" s="128"/>
      <c r="CI1762" s="128"/>
      <c r="CJ1762" s="128"/>
      <c r="CK1762" s="128"/>
      <c r="CL1762" s="128"/>
      <c r="CM1762" s="128"/>
      <c r="CN1762" s="128"/>
      <c r="CO1762" s="128"/>
      <c r="CP1762" s="128"/>
      <c r="CQ1762" s="128"/>
      <c r="CR1762" s="128"/>
      <c r="CS1762" s="128"/>
      <c r="CT1762" s="128"/>
      <c r="CU1762" s="128"/>
      <c r="CV1762" s="128"/>
      <c r="CW1762" s="128"/>
      <c r="CX1762" s="128"/>
      <c r="CY1762" s="128"/>
      <c r="CZ1762" s="165"/>
    </row>
    <row r="1763" spans="1:104">
      <c r="A1763" s="149"/>
      <c r="B1763" s="149"/>
      <c r="C1763" s="150"/>
      <c r="D1763" s="102"/>
      <c r="E1763" s="149"/>
      <c r="F1763" s="149"/>
      <c r="G1763" s="149"/>
      <c r="H1763" s="149"/>
      <c r="I1763" s="149"/>
      <c r="J1763" s="149"/>
      <c r="K1763" s="149"/>
      <c r="L1763" s="149"/>
      <c r="M1763" s="149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9"/>
      <c r="AA1763" s="149"/>
      <c r="AB1763" s="149"/>
      <c r="AC1763" s="149"/>
      <c r="AD1763" s="149"/>
      <c r="AE1763" s="149"/>
      <c r="AF1763" s="149"/>
      <c r="AG1763" s="149"/>
      <c r="AH1763" s="149"/>
      <c r="AI1763" s="149"/>
      <c r="AJ1763" s="149"/>
      <c r="AK1763" s="149"/>
      <c r="AL1763" s="149"/>
      <c r="AM1763" s="149"/>
      <c r="AN1763" s="149"/>
      <c r="AO1763" s="128"/>
      <c r="AP1763" s="128"/>
      <c r="AQ1763" s="128"/>
      <c r="AR1763" s="128"/>
      <c r="AS1763" s="128"/>
      <c r="AT1763" s="128"/>
      <c r="AU1763" s="128"/>
      <c r="AV1763" s="128"/>
      <c r="AW1763" s="128"/>
      <c r="AX1763" s="128"/>
      <c r="AY1763" s="128"/>
      <c r="AZ1763" s="128"/>
      <c r="BA1763" s="128"/>
      <c r="BB1763" s="128"/>
      <c r="BC1763" s="128"/>
      <c r="BD1763" s="128"/>
      <c r="BE1763" s="128"/>
      <c r="BF1763" s="128"/>
      <c r="BG1763" s="128"/>
      <c r="BH1763" s="128"/>
      <c r="BI1763" s="128"/>
      <c r="BJ1763" s="128"/>
      <c r="BK1763" s="128"/>
      <c r="BL1763" s="128"/>
      <c r="BM1763" s="151"/>
      <c r="BN1763" s="128"/>
      <c r="BO1763" s="128"/>
      <c r="BP1763" s="128"/>
      <c r="BQ1763" s="128"/>
      <c r="BR1763" s="128"/>
      <c r="BS1763" s="128"/>
      <c r="BT1763" s="128"/>
      <c r="BU1763" s="128"/>
      <c r="BV1763" s="128"/>
      <c r="BW1763" s="128"/>
      <c r="BX1763" s="128"/>
      <c r="BY1763" s="128"/>
      <c r="BZ1763" s="128"/>
      <c r="CA1763" s="128"/>
      <c r="CB1763" s="128"/>
      <c r="CC1763" s="128"/>
      <c r="CD1763" s="128"/>
      <c r="CE1763" s="128"/>
      <c r="CF1763" s="128"/>
      <c r="CG1763" s="128"/>
      <c r="CI1763" s="128"/>
      <c r="CJ1763" s="128"/>
      <c r="CK1763" s="128"/>
      <c r="CL1763" s="128"/>
      <c r="CM1763" s="128"/>
      <c r="CN1763" s="128"/>
      <c r="CO1763" s="128"/>
      <c r="CP1763" s="128"/>
      <c r="CQ1763" s="128"/>
      <c r="CR1763" s="128"/>
      <c r="CS1763" s="128"/>
      <c r="CT1763" s="128"/>
      <c r="CU1763" s="128"/>
      <c r="CV1763" s="128"/>
      <c r="CW1763" s="128"/>
      <c r="CX1763" s="128"/>
      <c r="CY1763" s="128"/>
      <c r="CZ1763" s="165"/>
    </row>
    <row r="1764" spans="1:104">
      <c r="A1764" s="149"/>
      <c r="B1764" s="149"/>
      <c r="C1764" s="150"/>
      <c r="D1764" s="102"/>
      <c r="E1764" s="149"/>
      <c r="F1764" s="149"/>
      <c r="G1764" s="149"/>
      <c r="H1764" s="149"/>
      <c r="I1764" s="149"/>
      <c r="J1764" s="149"/>
      <c r="K1764" s="149"/>
      <c r="L1764" s="149"/>
      <c r="M1764" s="149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9"/>
      <c r="AA1764" s="149"/>
      <c r="AB1764" s="149"/>
      <c r="AC1764" s="149"/>
      <c r="AD1764" s="149"/>
      <c r="AE1764" s="149"/>
      <c r="AF1764" s="149"/>
      <c r="AG1764" s="149"/>
      <c r="AH1764" s="149"/>
      <c r="AI1764" s="149"/>
      <c r="AJ1764" s="149"/>
      <c r="AK1764" s="149"/>
      <c r="AL1764" s="149"/>
      <c r="AM1764" s="149"/>
      <c r="AN1764" s="149"/>
      <c r="AO1764" s="128"/>
      <c r="AP1764" s="128"/>
      <c r="AQ1764" s="128"/>
      <c r="AR1764" s="128"/>
      <c r="AS1764" s="128"/>
      <c r="AT1764" s="128"/>
      <c r="AU1764" s="128"/>
      <c r="AV1764" s="128"/>
      <c r="AW1764" s="128"/>
      <c r="AX1764" s="128"/>
      <c r="AY1764" s="128"/>
      <c r="AZ1764" s="128"/>
      <c r="BA1764" s="128"/>
      <c r="BB1764" s="128"/>
      <c r="BC1764" s="128"/>
      <c r="BD1764" s="128"/>
      <c r="BE1764" s="128"/>
      <c r="BF1764" s="128"/>
      <c r="BG1764" s="128"/>
      <c r="BH1764" s="128"/>
      <c r="BI1764" s="128"/>
      <c r="BJ1764" s="128"/>
      <c r="BK1764" s="128"/>
      <c r="BL1764" s="128"/>
      <c r="BM1764" s="151"/>
      <c r="BN1764" s="128"/>
      <c r="BO1764" s="128"/>
      <c r="BP1764" s="128"/>
      <c r="BQ1764" s="128"/>
      <c r="BR1764" s="128"/>
      <c r="BS1764" s="128"/>
      <c r="BT1764" s="128"/>
      <c r="BU1764" s="128"/>
      <c r="BV1764" s="128"/>
      <c r="BW1764" s="128"/>
      <c r="BX1764" s="128"/>
      <c r="BY1764" s="128"/>
      <c r="BZ1764" s="128"/>
      <c r="CA1764" s="128"/>
      <c r="CB1764" s="128"/>
      <c r="CC1764" s="128"/>
      <c r="CD1764" s="128"/>
      <c r="CE1764" s="128"/>
      <c r="CF1764" s="128"/>
      <c r="CG1764" s="128"/>
      <c r="CI1764" s="128"/>
      <c r="CJ1764" s="128"/>
      <c r="CK1764" s="128"/>
      <c r="CL1764" s="128"/>
      <c r="CM1764" s="128"/>
      <c r="CN1764" s="128"/>
      <c r="CO1764" s="128"/>
      <c r="CP1764" s="128"/>
      <c r="CQ1764" s="128"/>
      <c r="CR1764" s="128"/>
      <c r="CS1764" s="128"/>
      <c r="CT1764" s="128"/>
      <c r="CU1764" s="128"/>
      <c r="CV1764" s="128"/>
      <c r="CW1764" s="128"/>
      <c r="CX1764" s="128"/>
      <c r="CY1764" s="128"/>
      <c r="CZ1764" s="165"/>
    </row>
    <row r="1765" spans="1:104">
      <c r="A1765" s="149"/>
      <c r="B1765" s="149"/>
      <c r="C1765" s="150"/>
      <c r="D1765" s="102"/>
      <c r="E1765" s="149"/>
      <c r="F1765" s="149"/>
      <c r="G1765" s="149"/>
      <c r="H1765" s="149"/>
      <c r="I1765" s="149"/>
      <c r="J1765" s="149"/>
      <c r="K1765" s="149"/>
      <c r="L1765" s="149"/>
      <c r="M1765" s="149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9"/>
      <c r="AA1765" s="149"/>
      <c r="AB1765" s="149"/>
      <c r="AC1765" s="149"/>
      <c r="AD1765" s="149"/>
      <c r="AE1765" s="149"/>
      <c r="AF1765" s="149"/>
      <c r="AG1765" s="149"/>
      <c r="AH1765" s="149"/>
      <c r="AI1765" s="149"/>
      <c r="AJ1765" s="149"/>
      <c r="AK1765" s="149"/>
      <c r="AL1765" s="149"/>
      <c r="AM1765" s="149"/>
      <c r="AN1765" s="149"/>
      <c r="AO1765" s="128"/>
      <c r="AP1765" s="128"/>
      <c r="AQ1765" s="128"/>
      <c r="AR1765" s="128"/>
      <c r="AS1765" s="128"/>
      <c r="AT1765" s="128"/>
      <c r="AU1765" s="128"/>
      <c r="AV1765" s="128"/>
      <c r="AW1765" s="128"/>
      <c r="AX1765" s="128"/>
      <c r="AY1765" s="128"/>
      <c r="AZ1765" s="128"/>
      <c r="BA1765" s="128"/>
      <c r="BB1765" s="128"/>
      <c r="BC1765" s="128"/>
      <c r="BD1765" s="128"/>
      <c r="BE1765" s="128"/>
      <c r="BF1765" s="128"/>
      <c r="BG1765" s="128"/>
      <c r="BH1765" s="128"/>
      <c r="BI1765" s="128"/>
      <c r="BJ1765" s="128"/>
      <c r="BK1765" s="128"/>
      <c r="BL1765" s="128"/>
      <c r="BM1765" s="151"/>
      <c r="BN1765" s="128"/>
      <c r="BO1765" s="128"/>
      <c r="BP1765" s="128"/>
      <c r="BQ1765" s="128"/>
      <c r="BR1765" s="128"/>
      <c r="BS1765" s="128"/>
      <c r="BT1765" s="128"/>
      <c r="BU1765" s="128"/>
      <c r="BV1765" s="128"/>
      <c r="BW1765" s="128"/>
      <c r="BX1765" s="128"/>
      <c r="BY1765" s="128"/>
      <c r="BZ1765" s="128"/>
      <c r="CA1765" s="128"/>
      <c r="CB1765" s="128"/>
      <c r="CC1765" s="128"/>
      <c r="CD1765" s="128"/>
      <c r="CE1765" s="128"/>
      <c r="CF1765" s="128"/>
      <c r="CG1765" s="128"/>
      <c r="CI1765" s="128"/>
      <c r="CJ1765" s="128"/>
      <c r="CK1765" s="128"/>
      <c r="CL1765" s="128"/>
      <c r="CM1765" s="128"/>
      <c r="CN1765" s="128"/>
      <c r="CO1765" s="128"/>
      <c r="CP1765" s="128"/>
      <c r="CQ1765" s="128"/>
      <c r="CR1765" s="128"/>
      <c r="CS1765" s="128"/>
      <c r="CT1765" s="128"/>
      <c r="CU1765" s="128"/>
      <c r="CV1765" s="128"/>
      <c r="CW1765" s="128"/>
      <c r="CX1765" s="128"/>
      <c r="CY1765" s="128"/>
      <c r="CZ1765" s="165"/>
    </row>
    <row r="1766" spans="1:104">
      <c r="A1766" s="149"/>
      <c r="B1766" s="149"/>
      <c r="C1766" s="150"/>
      <c r="D1766" s="102"/>
      <c r="E1766" s="149"/>
      <c r="F1766" s="149"/>
      <c r="G1766" s="149"/>
      <c r="H1766" s="149"/>
      <c r="I1766" s="149"/>
      <c r="J1766" s="149"/>
      <c r="K1766" s="149"/>
      <c r="L1766" s="149"/>
      <c r="M1766" s="149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9"/>
      <c r="AA1766" s="149"/>
      <c r="AB1766" s="149"/>
      <c r="AC1766" s="149"/>
      <c r="AD1766" s="149"/>
      <c r="AE1766" s="149"/>
      <c r="AF1766" s="149"/>
      <c r="AG1766" s="149"/>
      <c r="AH1766" s="149"/>
      <c r="AI1766" s="149"/>
      <c r="AJ1766" s="149"/>
      <c r="AK1766" s="149"/>
      <c r="AL1766" s="149"/>
      <c r="AM1766" s="149"/>
      <c r="AN1766" s="149"/>
      <c r="AO1766" s="128"/>
      <c r="AP1766" s="128"/>
      <c r="AQ1766" s="128"/>
      <c r="AR1766" s="128"/>
      <c r="AS1766" s="128"/>
      <c r="AT1766" s="128"/>
      <c r="AU1766" s="128"/>
      <c r="AV1766" s="128"/>
      <c r="AW1766" s="128"/>
      <c r="AX1766" s="128"/>
      <c r="AY1766" s="128"/>
      <c r="AZ1766" s="128"/>
      <c r="BA1766" s="128"/>
      <c r="BB1766" s="128"/>
      <c r="BC1766" s="128"/>
      <c r="BD1766" s="128"/>
      <c r="BE1766" s="128"/>
      <c r="BF1766" s="128"/>
      <c r="BG1766" s="128"/>
      <c r="BH1766" s="128"/>
      <c r="BI1766" s="128"/>
      <c r="BJ1766" s="128"/>
      <c r="BK1766" s="128"/>
      <c r="BL1766" s="128"/>
      <c r="BM1766" s="151"/>
      <c r="BN1766" s="128"/>
      <c r="BO1766" s="128"/>
      <c r="BP1766" s="128"/>
      <c r="BQ1766" s="128"/>
      <c r="BR1766" s="128"/>
      <c r="BS1766" s="128"/>
      <c r="BT1766" s="128"/>
      <c r="BU1766" s="128"/>
      <c r="BV1766" s="128"/>
      <c r="BW1766" s="128"/>
      <c r="BX1766" s="128"/>
      <c r="BY1766" s="128"/>
      <c r="BZ1766" s="128"/>
      <c r="CA1766" s="128"/>
      <c r="CB1766" s="128"/>
      <c r="CC1766" s="128"/>
      <c r="CD1766" s="128"/>
      <c r="CE1766" s="128"/>
      <c r="CF1766" s="128"/>
      <c r="CG1766" s="128"/>
      <c r="CI1766" s="128"/>
      <c r="CJ1766" s="128"/>
      <c r="CK1766" s="128"/>
      <c r="CL1766" s="128"/>
      <c r="CM1766" s="128"/>
      <c r="CN1766" s="128"/>
      <c r="CO1766" s="128"/>
      <c r="CP1766" s="128"/>
      <c r="CQ1766" s="128"/>
      <c r="CR1766" s="128"/>
      <c r="CS1766" s="128"/>
      <c r="CT1766" s="128"/>
      <c r="CU1766" s="128"/>
      <c r="CV1766" s="128"/>
      <c r="CW1766" s="128"/>
      <c r="CX1766" s="128"/>
      <c r="CY1766" s="128"/>
      <c r="CZ1766" s="165"/>
    </row>
    <row r="1767" spans="1:104">
      <c r="A1767" s="149"/>
      <c r="B1767" s="149"/>
      <c r="C1767" s="150"/>
      <c r="D1767" s="102"/>
      <c r="E1767" s="149"/>
      <c r="F1767" s="149"/>
      <c r="G1767" s="149"/>
      <c r="H1767" s="149"/>
      <c r="I1767" s="149"/>
      <c r="J1767" s="149"/>
      <c r="K1767" s="149"/>
      <c r="L1767" s="149"/>
      <c r="M1767" s="149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9"/>
      <c r="AA1767" s="149"/>
      <c r="AB1767" s="149"/>
      <c r="AC1767" s="149"/>
      <c r="AD1767" s="149"/>
      <c r="AE1767" s="149"/>
      <c r="AF1767" s="149"/>
      <c r="AG1767" s="149"/>
      <c r="AH1767" s="149"/>
      <c r="AI1767" s="149"/>
      <c r="AJ1767" s="149"/>
      <c r="AK1767" s="149"/>
      <c r="AL1767" s="149"/>
      <c r="AM1767" s="149"/>
      <c r="AN1767" s="149"/>
      <c r="AO1767" s="128"/>
      <c r="AP1767" s="128"/>
      <c r="AQ1767" s="128"/>
      <c r="AR1767" s="128"/>
      <c r="AS1767" s="128"/>
      <c r="AT1767" s="128"/>
      <c r="AU1767" s="128"/>
      <c r="AV1767" s="128"/>
      <c r="AW1767" s="128"/>
      <c r="AX1767" s="128"/>
      <c r="AY1767" s="128"/>
      <c r="AZ1767" s="128"/>
      <c r="BA1767" s="128"/>
      <c r="BB1767" s="128"/>
      <c r="BC1767" s="128"/>
      <c r="BD1767" s="128"/>
      <c r="BE1767" s="128"/>
      <c r="BF1767" s="128"/>
      <c r="BG1767" s="128"/>
      <c r="BH1767" s="128"/>
      <c r="BI1767" s="128"/>
      <c r="BJ1767" s="128"/>
      <c r="BK1767" s="128"/>
      <c r="BL1767" s="128"/>
      <c r="BM1767" s="151"/>
      <c r="BN1767" s="128"/>
      <c r="BO1767" s="128"/>
      <c r="BP1767" s="128"/>
      <c r="BQ1767" s="128"/>
      <c r="BR1767" s="128"/>
      <c r="BS1767" s="128"/>
      <c r="BT1767" s="128"/>
      <c r="BU1767" s="128"/>
      <c r="BV1767" s="128"/>
      <c r="BW1767" s="128"/>
      <c r="BX1767" s="128"/>
      <c r="BY1767" s="128"/>
      <c r="BZ1767" s="128"/>
      <c r="CA1767" s="128"/>
      <c r="CB1767" s="128"/>
      <c r="CC1767" s="128"/>
      <c r="CD1767" s="128"/>
      <c r="CE1767" s="128"/>
      <c r="CF1767" s="128"/>
      <c r="CG1767" s="128"/>
      <c r="CI1767" s="128"/>
      <c r="CJ1767" s="128"/>
      <c r="CK1767" s="128"/>
      <c r="CL1767" s="128"/>
      <c r="CM1767" s="128"/>
      <c r="CN1767" s="128"/>
      <c r="CO1767" s="128"/>
      <c r="CP1767" s="128"/>
      <c r="CQ1767" s="128"/>
      <c r="CR1767" s="128"/>
      <c r="CS1767" s="128"/>
      <c r="CT1767" s="128"/>
      <c r="CU1767" s="128"/>
      <c r="CV1767" s="128"/>
      <c r="CW1767" s="128"/>
      <c r="CX1767" s="128"/>
      <c r="CY1767" s="128"/>
      <c r="CZ1767" s="165"/>
    </row>
    <row r="1768" spans="1:104">
      <c r="A1768" s="149"/>
      <c r="B1768" s="149"/>
      <c r="C1768" s="150"/>
      <c r="D1768" s="102"/>
      <c r="E1768" s="149"/>
      <c r="F1768" s="149"/>
      <c r="G1768" s="149"/>
      <c r="H1768" s="149"/>
      <c r="I1768" s="149"/>
      <c r="J1768" s="149"/>
      <c r="K1768" s="149"/>
      <c r="L1768" s="149"/>
      <c r="M1768" s="149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9"/>
      <c r="AA1768" s="149"/>
      <c r="AB1768" s="149"/>
      <c r="AC1768" s="149"/>
      <c r="AD1768" s="149"/>
      <c r="AE1768" s="149"/>
      <c r="AF1768" s="149"/>
      <c r="AG1768" s="149"/>
      <c r="AH1768" s="149"/>
      <c r="AI1768" s="149"/>
      <c r="AJ1768" s="149"/>
      <c r="AK1768" s="149"/>
      <c r="AL1768" s="149"/>
      <c r="AM1768" s="149"/>
      <c r="AN1768" s="149"/>
      <c r="AO1768" s="128"/>
      <c r="AP1768" s="128"/>
      <c r="AQ1768" s="128"/>
      <c r="AR1768" s="128"/>
      <c r="AS1768" s="128"/>
      <c r="AT1768" s="128"/>
      <c r="AU1768" s="128"/>
      <c r="AV1768" s="128"/>
      <c r="AW1768" s="128"/>
      <c r="AX1768" s="128"/>
      <c r="AY1768" s="128"/>
      <c r="AZ1768" s="128"/>
      <c r="BA1768" s="128"/>
      <c r="BB1768" s="128"/>
      <c r="BC1768" s="128"/>
      <c r="BD1768" s="128"/>
      <c r="BE1768" s="128"/>
      <c r="BF1768" s="128"/>
      <c r="BG1768" s="128"/>
      <c r="BH1768" s="128"/>
      <c r="BI1768" s="128"/>
      <c r="BJ1768" s="128"/>
      <c r="BK1768" s="128"/>
      <c r="BL1768" s="128"/>
      <c r="BM1768" s="151"/>
      <c r="BN1768" s="128"/>
      <c r="BO1768" s="128"/>
      <c r="BP1768" s="128"/>
      <c r="BQ1768" s="128"/>
      <c r="BR1768" s="128"/>
      <c r="BS1768" s="128"/>
      <c r="BT1768" s="128"/>
      <c r="BU1768" s="128"/>
      <c r="BV1768" s="128"/>
      <c r="BW1768" s="128"/>
      <c r="BX1768" s="128"/>
      <c r="BY1768" s="128"/>
      <c r="BZ1768" s="128"/>
      <c r="CA1768" s="128"/>
      <c r="CB1768" s="128"/>
      <c r="CC1768" s="128"/>
      <c r="CD1768" s="128"/>
      <c r="CE1768" s="128"/>
      <c r="CF1768" s="128"/>
      <c r="CG1768" s="128"/>
      <c r="CI1768" s="128"/>
      <c r="CJ1768" s="128"/>
      <c r="CK1768" s="128"/>
      <c r="CL1768" s="128"/>
      <c r="CM1768" s="128"/>
      <c r="CN1768" s="128"/>
      <c r="CO1768" s="128"/>
      <c r="CP1768" s="128"/>
      <c r="CQ1768" s="128"/>
      <c r="CR1768" s="128"/>
      <c r="CS1768" s="128"/>
      <c r="CT1768" s="128"/>
      <c r="CU1768" s="128"/>
      <c r="CV1768" s="128"/>
      <c r="CW1768" s="128"/>
      <c r="CX1768" s="128"/>
      <c r="CY1768" s="128"/>
      <c r="CZ1768" s="165"/>
    </row>
    <row r="1769" spans="1:104">
      <c r="A1769" s="149"/>
      <c r="B1769" s="149"/>
      <c r="C1769" s="150"/>
      <c r="D1769" s="102"/>
      <c r="E1769" s="149"/>
      <c r="F1769" s="149"/>
      <c r="G1769" s="149"/>
      <c r="H1769" s="149"/>
      <c r="I1769" s="149"/>
      <c r="J1769" s="149"/>
      <c r="K1769" s="149"/>
      <c r="L1769" s="149"/>
      <c r="M1769" s="149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9"/>
      <c r="AA1769" s="149"/>
      <c r="AB1769" s="149"/>
      <c r="AC1769" s="149"/>
      <c r="AD1769" s="149"/>
      <c r="AE1769" s="149"/>
      <c r="AF1769" s="149"/>
      <c r="AG1769" s="149"/>
      <c r="AH1769" s="149"/>
      <c r="AI1769" s="149"/>
      <c r="AJ1769" s="149"/>
      <c r="AK1769" s="149"/>
      <c r="AL1769" s="149"/>
      <c r="AM1769" s="149"/>
      <c r="AN1769" s="149"/>
      <c r="AO1769" s="128"/>
      <c r="AP1769" s="128"/>
      <c r="AQ1769" s="128"/>
      <c r="AR1769" s="128"/>
      <c r="AS1769" s="128"/>
      <c r="AT1769" s="128"/>
      <c r="AU1769" s="128"/>
      <c r="AV1769" s="128"/>
      <c r="AW1769" s="128"/>
      <c r="AX1769" s="128"/>
      <c r="AY1769" s="128"/>
      <c r="AZ1769" s="128"/>
      <c r="BA1769" s="128"/>
      <c r="BB1769" s="128"/>
      <c r="BC1769" s="128"/>
      <c r="BD1769" s="128"/>
      <c r="BE1769" s="128"/>
      <c r="BF1769" s="128"/>
      <c r="BG1769" s="128"/>
      <c r="BH1769" s="128"/>
      <c r="BI1769" s="128"/>
      <c r="BJ1769" s="128"/>
      <c r="BK1769" s="128"/>
      <c r="BL1769" s="128"/>
      <c r="BM1769" s="151"/>
      <c r="BN1769" s="128"/>
      <c r="BO1769" s="128"/>
      <c r="BP1769" s="128"/>
      <c r="BQ1769" s="128"/>
      <c r="BR1769" s="128"/>
      <c r="BS1769" s="128"/>
      <c r="BT1769" s="128"/>
      <c r="BU1769" s="128"/>
      <c r="BV1769" s="128"/>
      <c r="BW1769" s="128"/>
      <c r="BX1769" s="128"/>
      <c r="BY1769" s="128"/>
      <c r="BZ1769" s="128"/>
      <c r="CA1769" s="128"/>
      <c r="CB1769" s="128"/>
      <c r="CC1769" s="128"/>
      <c r="CD1769" s="128"/>
      <c r="CE1769" s="128"/>
      <c r="CF1769" s="128"/>
      <c r="CG1769" s="128"/>
      <c r="CI1769" s="128"/>
      <c r="CJ1769" s="128"/>
      <c r="CK1769" s="128"/>
      <c r="CL1769" s="128"/>
      <c r="CM1769" s="128"/>
      <c r="CN1769" s="128"/>
      <c r="CO1769" s="128"/>
      <c r="CP1769" s="128"/>
      <c r="CQ1769" s="128"/>
      <c r="CR1769" s="128"/>
      <c r="CS1769" s="128"/>
      <c r="CT1769" s="128"/>
      <c r="CU1769" s="128"/>
      <c r="CV1769" s="128"/>
      <c r="CW1769" s="128"/>
      <c r="CX1769" s="128"/>
      <c r="CY1769" s="128"/>
      <c r="CZ1769" s="165"/>
    </row>
    <row r="1770" spans="1:104">
      <c r="A1770" s="149"/>
      <c r="B1770" s="149"/>
      <c r="C1770" s="150"/>
      <c r="D1770" s="102"/>
      <c r="E1770" s="149"/>
      <c r="F1770" s="149"/>
      <c r="G1770" s="149"/>
      <c r="H1770" s="149"/>
      <c r="I1770" s="149"/>
      <c r="J1770" s="149"/>
      <c r="K1770" s="149"/>
      <c r="L1770" s="149"/>
      <c r="M1770" s="149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9"/>
      <c r="AA1770" s="149"/>
      <c r="AB1770" s="149"/>
      <c r="AC1770" s="149"/>
      <c r="AD1770" s="149"/>
      <c r="AE1770" s="149"/>
      <c r="AF1770" s="149"/>
      <c r="AG1770" s="149"/>
      <c r="AH1770" s="149"/>
      <c r="AI1770" s="149"/>
      <c r="AJ1770" s="149"/>
      <c r="AK1770" s="149"/>
      <c r="AL1770" s="149"/>
      <c r="AM1770" s="149"/>
      <c r="AN1770" s="149"/>
      <c r="AO1770" s="128"/>
      <c r="AP1770" s="128"/>
      <c r="AQ1770" s="128"/>
      <c r="AR1770" s="128"/>
      <c r="AS1770" s="128"/>
      <c r="AT1770" s="128"/>
      <c r="AU1770" s="128"/>
      <c r="AV1770" s="128"/>
      <c r="AW1770" s="128"/>
      <c r="AX1770" s="128"/>
      <c r="AY1770" s="128"/>
      <c r="AZ1770" s="128"/>
      <c r="BA1770" s="128"/>
      <c r="BB1770" s="128"/>
      <c r="BC1770" s="128"/>
      <c r="BD1770" s="128"/>
      <c r="BE1770" s="128"/>
      <c r="BF1770" s="128"/>
      <c r="BG1770" s="128"/>
      <c r="BH1770" s="128"/>
      <c r="BI1770" s="128"/>
      <c r="BJ1770" s="128"/>
      <c r="BK1770" s="128"/>
      <c r="BL1770" s="128"/>
      <c r="BM1770" s="151"/>
      <c r="BN1770" s="128"/>
      <c r="BO1770" s="128"/>
      <c r="BP1770" s="128"/>
      <c r="BQ1770" s="128"/>
      <c r="BR1770" s="128"/>
      <c r="BS1770" s="128"/>
      <c r="BT1770" s="128"/>
      <c r="BU1770" s="128"/>
      <c r="BV1770" s="128"/>
      <c r="BW1770" s="128"/>
      <c r="BX1770" s="128"/>
      <c r="BY1770" s="128"/>
      <c r="BZ1770" s="128"/>
      <c r="CA1770" s="128"/>
      <c r="CB1770" s="128"/>
      <c r="CC1770" s="128"/>
      <c r="CD1770" s="128"/>
      <c r="CE1770" s="128"/>
      <c r="CF1770" s="128"/>
      <c r="CG1770" s="128"/>
      <c r="CI1770" s="128"/>
      <c r="CJ1770" s="128"/>
      <c r="CK1770" s="128"/>
      <c r="CL1770" s="128"/>
      <c r="CM1770" s="128"/>
      <c r="CN1770" s="128"/>
      <c r="CO1770" s="128"/>
      <c r="CP1770" s="128"/>
      <c r="CQ1770" s="128"/>
      <c r="CR1770" s="128"/>
      <c r="CS1770" s="128"/>
      <c r="CT1770" s="128"/>
      <c r="CU1770" s="128"/>
      <c r="CV1770" s="128"/>
      <c r="CW1770" s="128"/>
      <c r="CX1770" s="128"/>
      <c r="CY1770" s="128"/>
      <c r="CZ1770" s="165"/>
    </row>
    <row r="1771" spans="1:104">
      <c r="A1771" s="149"/>
      <c r="B1771" s="149"/>
      <c r="C1771" s="150"/>
      <c r="D1771" s="102"/>
      <c r="E1771" s="149"/>
      <c r="F1771" s="149"/>
      <c r="G1771" s="149"/>
      <c r="H1771" s="149"/>
      <c r="I1771" s="149"/>
      <c r="J1771" s="149"/>
      <c r="K1771" s="149"/>
      <c r="L1771" s="149"/>
      <c r="M1771" s="149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9"/>
      <c r="AA1771" s="149"/>
      <c r="AB1771" s="149"/>
      <c r="AC1771" s="149"/>
      <c r="AD1771" s="149"/>
      <c r="AE1771" s="149"/>
      <c r="AF1771" s="149"/>
      <c r="AG1771" s="149"/>
      <c r="AH1771" s="149"/>
      <c r="AI1771" s="149"/>
      <c r="AJ1771" s="149"/>
      <c r="AK1771" s="149"/>
      <c r="AL1771" s="149"/>
      <c r="AM1771" s="149"/>
      <c r="AN1771" s="149"/>
      <c r="AO1771" s="128"/>
      <c r="AP1771" s="128"/>
      <c r="AQ1771" s="128"/>
      <c r="AR1771" s="128"/>
      <c r="AS1771" s="128"/>
      <c r="AT1771" s="128"/>
      <c r="AU1771" s="128"/>
      <c r="AV1771" s="128"/>
      <c r="AW1771" s="128"/>
      <c r="AX1771" s="128"/>
      <c r="AY1771" s="128"/>
      <c r="AZ1771" s="128"/>
      <c r="BA1771" s="128"/>
      <c r="BB1771" s="128"/>
      <c r="BC1771" s="128"/>
      <c r="BD1771" s="128"/>
      <c r="BE1771" s="128"/>
      <c r="BF1771" s="128"/>
      <c r="BG1771" s="128"/>
      <c r="BH1771" s="128"/>
      <c r="BI1771" s="128"/>
      <c r="BJ1771" s="128"/>
      <c r="BK1771" s="128"/>
      <c r="BL1771" s="128"/>
      <c r="BM1771" s="151"/>
      <c r="BN1771" s="128"/>
      <c r="BO1771" s="128"/>
      <c r="BP1771" s="128"/>
      <c r="BQ1771" s="128"/>
      <c r="BR1771" s="128"/>
      <c r="BS1771" s="128"/>
      <c r="BT1771" s="128"/>
      <c r="BU1771" s="128"/>
      <c r="BV1771" s="128"/>
      <c r="BW1771" s="128"/>
      <c r="BX1771" s="128"/>
      <c r="BY1771" s="128"/>
      <c r="BZ1771" s="128"/>
      <c r="CA1771" s="128"/>
      <c r="CB1771" s="128"/>
      <c r="CC1771" s="128"/>
      <c r="CD1771" s="128"/>
      <c r="CE1771" s="128"/>
      <c r="CF1771" s="128"/>
      <c r="CG1771" s="128"/>
      <c r="CI1771" s="128"/>
      <c r="CJ1771" s="128"/>
      <c r="CK1771" s="128"/>
      <c r="CL1771" s="128"/>
      <c r="CM1771" s="128"/>
      <c r="CN1771" s="128"/>
      <c r="CO1771" s="128"/>
      <c r="CP1771" s="128"/>
      <c r="CQ1771" s="128"/>
      <c r="CR1771" s="128"/>
      <c r="CS1771" s="128"/>
      <c r="CT1771" s="128"/>
      <c r="CU1771" s="128"/>
      <c r="CV1771" s="128"/>
      <c r="CW1771" s="128"/>
      <c r="CX1771" s="128"/>
      <c r="CY1771" s="128"/>
      <c r="CZ1771" s="165"/>
    </row>
    <row r="1772" spans="1:104">
      <c r="A1772" s="149"/>
      <c r="B1772" s="149"/>
      <c r="C1772" s="150"/>
      <c r="D1772" s="102"/>
      <c r="E1772" s="149"/>
      <c r="F1772" s="149"/>
      <c r="G1772" s="149"/>
      <c r="H1772" s="149"/>
      <c r="I1772" s="149"/>
      <c r="J1772" s="149"/>
      <c r="K1772" s="149"/>
      <c r="L1772" s="149"/>
      <c r="M1772" s="149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9"/>
      <c r="AA1772" s="149"/>
      <c r="AB1772" s="149"/>
      <c r="AC1772" s="149"/>
      <c r="AD1772" s="149"/>
      <c r="AE1772" s="149"/>
      <c r="AF1772" s="149"/>
      <c r="AG1772" s="149"/>
      <c r="AH1772" s="149"/>
      <c r="AI1772" s="149"/>
      <c r="AJ1772" s="149"/>
      <c r="AK1772" s="149"/>
      <c r="AL1772" s="149"/>
      <c r="AM1772" s="149"/>
      <c r="AN1772" s="149"/>
      <c r="AO1772" s="128"/>
      <c r="AP1772" s="128"/>
      <c r="AQ1772" s="128"/>
      <c r="AR1772" s="128"/>
      <c r="AS1772" s="128"/>
      <c r="AT1772" s="128"/>
      <c r="AU1772" s="128"/>
      <c r="AV1772" s="128"/>
      <c r="AW1772" s="128"/>
      <c r="AX1772" s="128"/>
      <c r="AY1772" s="128"/>
      <c r="AZ1772" s="128"/>
      <c r="BA1772" s="128"/>
      <c r="BB1772" s="128"/>
      <c r="BC1772" s="128"/>
      <c r="BD1772" s="128"/>
      <c r="BE1772" s="128"/>
      <c r="BF1772" s="128"/>
      <c r="BG1772" s="128"/>
      <c r="BH1772" s="128"/>
      <c r="BI1772" s="128"/>
      <c r="BJ1772" s="128"/>
      <c r="BK1772" s="128"/>
      <c r="BL1772" s="128"/>
      <c r="BM1772" s="151"/>
      <c r="BN1772" s="128"/>
      <c r="BO1772" s="128"/>
      <c r="BP1772" s="128"/>
      <c r="BQ1772" s="128"/>
      <c r="BR1772" s="128"/>
      <c r="BS1772" s="128"/>
      <c r="BT1772" s="128"/>
      <c r="BU1772" s="128"/>
      <c r="BV1772" s="128"/>
      <c r="BW1772" s="128"/>
      <c r="BX1772" s="128"/>
      <c r="BY1772" s="128"/>
      <c r="BZ1772" s="128"/>
      <c r="CA1772" s="128"/>
      <c r="CB1772" s="128"/>
      <c r="CC1772" s="128"/>
      <c r="CD1772" s="128"/>
      <c r="CE1772" s="128"/>
      <c r="CF1772" s="128"/>
      <c r="CG1772" s="128"/>
      <c r="CI1772" s="128"/>
      <c r="CJ1772" s="128"/>
      <c r="CK1772" s="128"/>
      <c r="CL1772" s="128"/>
      <c r="CM1772" s="128"/>
      <c r="CN1772" s="128"/>
      <c r="CO1772" s="128"/>
      <c r="CP1772" s="128"/>
      <c r="CQ1772" s="128"/>
      <c r="CR1772" s="128"/>
      <c r="CS1772" s="128"/>
      <c r="CT1772" s="128"/>
      <c r="CU1772" s="128"/>
      <c r="CV1772" s="128"/>
      <c r="CW1772" s="128"/>
      <c r="CX1772" s="128"/>
      <c r="CY1772" s="128"/>
      <c r="CZ1772" s="165"/>
    </row>
    <row r="1773" spans="1:104">
      <c r="A1773" s="149"/>
      <c r="B1773" s="149"/>
      <c r="C1773" s="150"/>
      <c r="D1773" s="102"/>
      <c r="E1773" s="149"/>
      <c r="F1773" s="149"/>
      <c r="G1773" s="149"/>
      <c r="H1773" s="149"/>
      <c r="I1773" s="149"/>
      <c r="J1773" s="149"/>
      <c r="K1773" s="149"/>
      <c r="L1773" s="149"/>
      <c r="M1773" s="149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9"/>
      <c r="AA1773" s="149"/>
      <c r="AB1773" s="149"/>
      <c r="AC1773" s="149"/>
      <c r="AD1773" s="149"/>
      <c r="AE1773" s="149"/>
      <c r="AF1773" s="149"/>
      <c r="AG1773" s="149"/>
      <c r="AH1773" s="149"/>
      <c r="AI1773" s="149"/>
      <c r="AJ1773" s="149"/>
      <c r="AK1773" s="149"/>
      <c r="AL1773" s="149"/>
      <c r="AM1773" s="149"/>
      <c r="AN1773" s="149"/>
      <c r="AO1773" s="128"/>
      <c r="AP1773" s="128"/>
      <c r="AQ1773" s="128"/>
      <c r="AR1773" s="128"/>
      <c r="AS1773" s="128"/>
      <c r="AT1773" s="128"/>
      <c r="AU1773" s="128"/>
      <c r="AV1773" s="128"/>
      <c r="AW1773" s="128"/>
      <c r="AX1773" s="128"/>
      <c r="AY1773" s="128"/>
      <c r="AZ1773" s="128"/>
      <c r="BA1773" s="128"/>
      <c r="BB1773" s="128"/>
      <c r="BC1773" s="128"/>
      <c r="BD1773" s="128"/>
      <c r="BE1773" s="128"/>
      <c r="BF1773" s="128"/>
      <c r="BG1773" s="128"/>
      <c r="BH1773" s="128"/>
      <c r="BI1773" s="128"/>
      <c r="BJ1773" s="128"/>
      <c r="BK1773" s="128"/>
      <c r="BL1773" s="128"/>
      <c r="BM1773" s="151"/>
      <c r="BN1773" s="128"/>
      <c r="BO1773" s="128"/>
      <c r="BP1773" s="128"/>
      <c r="BQ1773" s="128"/>
      <c r="BR1773" s="128"/>
      <c r="BS1773" s="128"/>
      <c r="BT1773" s="128"/>
      <c r="BU1773" s="128"/>
      <c r="BV1773" s="128"/>
      <c r="BW1773" s="128"/>
      <c r="BX1773" s="128"/>
      <c r="BY1773" s="128"/>
      <c r="BZ1773" s="128"/>
      <c r="CA1773" s="128"/>
      <c r="CB1773" s="128"/>
      <c r="CC1773" s="128"/>
      <c r="CD1773" s="128"/>
      <c r="CE1773" s="128"/>
      <c r="CF1773" s="128"/>
      <c r="CG1773" s="128"/>
      <c r="CI1773" s="128"/>
      <c r="CJ1773" s="128"/>
      <c r="CK1773" s="128"/>
      <c r="CL1773" s="128"/>
      <c r="CM1773" s="128"/>
      <c r="CN1773" s="128"/>
      <c r="CO1773" s="128"/>
      <c r="CP1773" s="128"/>
      <c r="CQ1773" s="128"/>
      <c r="CR1773" s="128"/>
      <c r="CS1773" s="128"/>
      <c r="CT1773" s="128"/>
      <c r="CU1773" s="128"/>
      <c r="CV1773" s="128"/>
      <c r="CW1773" s="128"/>
      <c r="CX1773" s="128"/>
      <c r="CY1773" s="128"/>
      <c r="CZ1773" s="165"/>
    </row>
    <row r="1774" spans="1:104">
      <c r="A1774" s="149"/>
      <c r="B1774" s="149"/>
      <c r="C1774" s="150"/>
      <c r="D1774" s="102"/>
      <c r="E1774" s="149"/>
      <c r="F1774" s="149"/>
      <c r="G1774" s="149"/>
      <c r="H1774" s="149"/>
      <c r="I1774" s="149"/>
      <c r="J1774" s="149"/>
      <c r="K1774" s="149"/>
      <c r="L1774" s="149"/>
      <c r="M1774" s="149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9"/>
      <c r="AA1774" s="149"/>
      <c r="AB1774" s="149"/>
      <c r="AC1774" s="149"/>
      <c r="AD1774" s="149"/>
      <c r="AE1774" s="149"/>
      <c r="AF1774" s="149"/>
      <c r="AG1774" s="149"/>
      <c r="AH1774" s="149"/>
      <c r="AI1774" s="149"/>
      <c r="AJ1774" s="149"/>
      <c r="AK1774" s="149"/>
      <c r="AL1774" s="149"/>
      <c r="AM1774" s="149"/>
      <c r="AN1774" s="149"/>
      <c r="AO1774" s="128"/>
      <c r="AP1774" s="128"/>
      <c r="AQ1774" s="128"/>
      <c r="AR1774" s="128"/>
      <c r="AS1774" s="128"/>
      <c r="AT1774" s="128"/>
      <c r="AU1774" s="128"/>
      <c r="AV1774" s="128"/>
      <c r="AW1774" s="128"/>
      <c r="AX1774" s="128"/>
      <c r="AY1774" s="128"/>
      <c r="AZ1774" s="128"/>
      <c r="BA1774" s="128"/>
      <c r="BB1774" s="128"/>
      <c r="BC1774" s="128"/>
      <c r="BD1774" s="128"/>
      <c r="BE1774" s="128"/>
      <c r="BF1774" s="128"/>
      <c r="BG1774" s="128"/>
      <c r="BH1774" s="128"/>
      <c r="BI1774" s="128"/>
      <c r="BJ1774" s="128"/>
      <c r="BK1774" s="128"/>
      <c r="BL1774" s="128"/>
      <c r="BM1774" s="151"/>
      <c r="BN1774" s="128"/>
      <c r="BO1774" s="128"/>
      <c r="BP1774" s="128"/>
      <c r="BQ1774" s="128"/>
      <c r="BR1774" s="128"/>
      <c r="BS1774" s="128"/>
      <c r="BT1774" s="128"/>
      <c r="BU1774" s="128"/>
      <c r="BV1774" s="128"/>
      <c r="BW1774" s="128"/>
      <c r="BX1774" s="128"/>
      <c r="BY1774" s="128"/>
      <c r="BZ1774" s="128"/>
      <c r="CA1774" s="128"/>
      <c r="CB1774" s="128"/>
      <c r="CC1774" s="128"/>
      <c r="CD1774" s="128"/>
      <c r="CE1774" s="128"/>
      <c r="CF1774" s="128"/>
      <c r="CG1774" s="128"/>
      <c r="CI1774" s="128"/>
      <c r="CJ1774" s="128"/>
      <c r="CK1774" s="128"/>
      <c r="CL1774" s="128"/>
      <c r="CM1774" s="128"/>
      <c r="CN1774" s="128"/>
      <c r="CO1774" s="128"/>
      <c r="CP1774" s="128"/>
      <c r="CQ1774" s="128"/>
      <c r="CR1774" s="128"/>
      <c r="CS1774" s="128"/>
      <c r="CT1774" s="128"/>
      <c r="CU1774" s="128"/>
      <c r="CV1774" s="128"/>
      <c r="CW1774" s="128"/>
      <c r="CX1774" s="128"/>
      <c r="CY1774" s="128"/>
      <c r="CZ1774" s="165"/>
    </row>
    <row r="1775" spans="1:104">
      <c r="A1775" s="149"/>
      <c r="B1775" s="149"/>
      <c r="C1775" s="150"/>
      <c r="D1775" s="102"/>
      <c r="E1775" s="149"/>
      <c r="F1775" s="149"/>
      <c r="G1775" s="149"/>
      <c r="H1775" s="149"/>
      <c r="I1775" s="149"/>
      <c r="J1775" s="149"/>
      <c r="K1775" s="149"/>
      <c r="L1775" s="149"/>
      <c r="M1775" s="149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9"/>
      <c r="AA1775" s="149"/>
      <c r="AB1775" s="149"/>
      <c r="AC1775" s="149"/>
      <c r="AD1775" s="149"/>
      <c r="AE1775" s="149"/>
      <c r="AF1775" s="149"/>
      <c r="AG1775" s="149"/>
      <c r="AH1775" s="149"/>
      <c r="AI1775" s="149"/>
      <c r="AJ1775" s="149"/>
      <c r="AK1775" s="149"/>
      <c r="AL1775" s="149"/>
      <c r="AM1775" s="149"/>
      <c r="AN1775" s="149"/>
      <c r="AO1775" s="128"/>
      <c r="AP1775" s="128"/>
      <c r="AQ1775" s="128"/>
      <c r="AR1775" s="128"/>
      <c r="AS1775" s="128"/>
      <c r="AT1775" s="128"/>
      <c r="AU1775" s="128"/>
      <c r="AV1775" s="128"/>
      <c r="AW1775" s="128"/>
      <c r="AX1775" s="128"/>
      <c r="AY1775" s="128"/>
      <c r="AZ1775" s="128"/>
      <c r="BA1775" s="128"/>
      <c r="BB1775" s="128"/>
      <c r="BC1775" s="128"/>
      <c r="BD1775" s="128"/>
      <c r="BE1775" s="128"/>
      <c r="BF1775" s="128"/>
      <c r="BG1775" s="128"/>
      <c r="BH1775" s="128"/>
      <c r="BI1775" s="128"/>
      <c r="BJ1775" s="128"/>
      <c r="BK1775" s="128"/>
      <c r="BL1775" s="128"/>
      <c r="BM1775" s="151"/>
      <c r="BN1775" s="128"/>
      <c r="BO1775" s="128"/>
      <c r="BP1775" s="128"/>
      <c r="BQ1775" s="128"/>
      <c r="BR1775" s="128"/>
      <c r="BS1775" s="128"/>
      <c r="BT1775" s="128"/>
      <c r="BU1775" s="128"/>
      <c r="BV1775" s="128"/>
      <c r="BW1775" s="128"/>
      <c r="BX1775" s="128"/>
      <c r="BY1775" s="128"/>
      <c r="BZ1775" s="128"/>
      <c r="CA1775" s="128"/>
      <c r="CB1775" s="128"/>
      <c r="CC1775" s="128"/>
      <c r="CD1775" s="128"/>
      <c r="CE1775" s="128"/>
      <c r="CF1775" s="128"/>
      <c r="CG1775" s="128"/>
      <c r="CI1775" s="128"/>
      <c r="CJ1775" s="128"/>
      <c r="CK1775" s="128"/>
      <c r="CL1775" s="128"/>
      <c r="CM1775" s="128"/>
      <c r="CN1775" s="128"/>
      <c r="CO1775" s="128"/>
      <c r="CP1775" s="128"/>
      <c r="CQ1775" s="128"/>
      <c r="CR1775" s="128"/>
      <c r="CS1775" s="128"/>
      <c r="CT1775" s="128"/>
      <c r="CU1775" s="128"/>
      <c r="CV1775" s="128"/>
      <c r="CW1775" s="128"/>
      <c r="CX1775" s="128"/>
      <c r="CY1775" s="128"/>
      <c r="CZ1775" s="165"/>
    </row>
    <row r="1776" spans="1:104">
      <c r="A1776" s="149"/>
      <c r="B1776" s="149"/>
      <c r="C1776" s="150"/>
      <c r="D1776" s="102"/>
      <c r="E1776" s="149"/>
      <c r="F1776" s="149"/>
      <c r="G1776" s="149"/>
      <c r="H1776" s="149"/>
      <c r="I1776" s="149"/>
      <c r="J1776" s="149"/>
      <c r="K1776" s="149"/>
      <c r="L1776" s="149"/>
      <c r="M1776" s="149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9"/>
      <c r="AA1776" s="149"/>
      <c r="AB1776" s="149"/>
      <c r="AC1776" s="149"/>
      <c r="AD1776" s="149"/>
      <c r="AE1776" s="149"/>
      <c r="AF1776" s="149"/>
      <c r="AG1776" s="149"/>
      <c r="AH1776" s="149"/>
      <c r="AI1776" s="149"/>
      <c r="AJ1776" s="149"/>
      <c r="AK1776" s="149"/>
      <c r="AL1776" s="149"/>
      <c r="AM1776" s="149"/>
      <c r="AN1776" s="149"/>
      <c r="AO1776" s="128"/>
      <c r="AP1776" s="128"/>
      <c r="AQ1776" s="128"/>
      <c r="AR1776" s="128"/>
      <c r="AS1776" s="128"/>
      <c r="AT1776" s="128"/>
      <c r="AU1776" s="128"/>
      <c r="AV1776" s="128"/>
      <c r="AW1776" s="128"/>
      <c r="AX1776" s="128"/>
      <c r="AY1776" s="128"/>
      <c r="AZ1776" s="128"/>
      <c r="BA1776" s="128"/>
      <c r="BB1776" s="128"/>
      <c r="BC1776" s="128"/>
      <c r="BD1776" s="128"/>
      <c r="BE1776" s="128"/>
      <c r="BF1776" s="128"/>
      <c r="BG1776" s="128"/>
      <c r="BH1776" s="128"/>
      <c r="BI1776" s="128"/>
      <c r="BJ1776" s="128"/>
      <c r="BK1776" s="128"/>
      <c r="BL1776" s="128"/>
      <c r="BM1776" s="151"/>
      <c r="BN1776" s="128"/>
      <c r="BO1776" s="128"/>
      <c r="BP1776" s="128"/>
      <c r="BQ1776" s="128"/>
      <c r="BR1776" s="128"/>
      <c r="BS1776" s="128"/>
      <c r="BT1776" s="128"/>
      <c r="BU1776" s="128"/>
      <c r="BV1776" s="128"/>
      <c r="BW1776" s="128"/>
      <c r="BX1776" s="128"/>
      <c r="BY1776" s="128"/>
      <c r="BZ1776" s="128"/>
      <c r="CA1776" s="128"/>
      <c r="CB1776" s="128"/>
      <c r="CC1776" s="128"/>
      <c r="CD1776" s="128"/>
      <c r="CE1776" s="128"/>
      <c r="CF1776" s="128"/>
      <c r="CG1776" s="128"/>
      <c r="CI1776" s="128"/>
      <c r="CJ1776" s="128"/>
      <c r="CK1776" s="128"/>
      <c r="CL1776" s="128"/>
      <c r="CM1776" s="128"/>
      <c r="CN1776" s="128"/>
      <c r="CO1776" s="128"/>
      <c r="CP1776" s="128"/>
      <c r="CQ1776" s="128"/>
      <c r="CR1776" s="128"/>
      <c r="CS1776" s="128"/>
      <c r="CT1776" s="128"/>
      <c r="CU1776" s="128"/>
      <c r="CV1776" s="128"/>
      <c r="CW1776" s="128"/>
      <c r="CX1776" s="128"/>
      <c r="CY1776" s="128"/>
      <c r="CZ1776" s="165"/>
    </row>
    <row r="1777" spans="1:104">
      <c r="A1777" s="149"/>
      <c r="B1777" s="149"/>
      <c r="C1777" s="150"/>
      <c r="D1777" s="102"/>
      <c r="E1777" s="149"/>
      <c r="F1777" s="149"/>
      <c r="G1777" s="149"/>
      <c r="H1777" s="149"/>
      <c r="I1777" s="149"/>
      <c r="J1777" s="149"/>
      <c r="K1777" s="149"/>
      <c r="L1777" s="149"/>
      <c r="M1777" s="149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9"/>
      <c r="AA1777" s="149"/>
      <c r="AB1777" s="149"/>
      <c r="AC1777" s="149"/>
      <c r="AD1777" s="149"/>
      <c r="AE1777" s="149"/>
      <c r="AF1777" s="149"/>
      <c r="AG1777" s="149"/>
      <c r="AH1777" s="149"/>
      <c r="AI1777" s="149"/>
      <c r="AJ1777" s="149"/>
      <c r="AK1777" s="149"/>
      <c r="AL1777" s="149"/>
      <c r="AM1777" s="149"/>
      <c r="AN1777" s="149"/>
      <c r="AO1777" s="128"/>
      <c r="AP1777" s="128"/>
      <c r="AQ1777" s="128"/>
      <c r="AR1777" s="128"/>
      <c r="AS1777" s="128"/>
      <c r="AT1777" s="128"/>
      <c r="AU1777" s="128"/>
      <c r="AV1777" s="128"/>
      <c r="AW1777" s="128"/>
      <c r="AX1777" s="128"/>
      <c r="AY1777" s="128"/>
      <c r="AZ1777" s="128"/>
      <c r="BA1777" s="128"/>
      <c r="BB1777" s="128"/>
      <c r="BC1777" s="128"/>
      <c r="BD1777" s="128"/>
      <c r="BE1777" s="128"/>
      <c r="BF1777" s="128"/>
      <c r="BG1777" s="128"/>
      <c r="BH1777" s="128"/>
      <c r="BI1777" s="128"/>
      <c r="BJ1777" s="128"/>
      <c r="BK1777" s="128"/>
      <c r="BL1777" s="128"/>
      <c r="BM1777" s="151"/>
      <c r="BN1777" s="128"/>
      <c r="BO1777" s="128"/>
      <c r="BP1777" s="128"/>
      <c r="BQ1777" s="128"/>
      <c r="BR1777" s="128"/>
      <c r="BS1777" s="128"/>
      <c r="BT1777" s="128"/>
      <c r="BU1777" s="128"/>
      <c r="BV1777" s="128"/>
      <c r="BW1777" s="128"/>
      <c r="BX1777" s="128"/>
      <c r="BY1777" s="128"/>
      <c r="BZ1777" s="128"/>
      <c r="CA1777" s="128"/>
      <c r="CB1777" s="128"/>
      <c r="CC1777" s="128"/>
      <c r="CD1777" s="128"/>
      <c r="CE1777" s="128"/>
      <c r="CF1777" s="128"/>
      <c r="CG1777" s="128"/>
      <c r="CI1777" s="128"/>
      <c r="CJ1777" s="128"/>
      <c r="CK1777" s="128"/>
      <c r="CL1777" s="128"/>
      <c r="CM1777" s="128"/>
      <c r="CN1777" s="128"/>
      <c r="CO1777" s="128"/>
      <c r="CP1777" s="128"/>
      <c r="CQ1777" s="128"/>
      <c r="CR1777" s="128"/>
      <c r="CS1777" s="128"/>
      <c r="CT1777" s="128"/>
      <c r="CU1777" s="128"/>
      <c r="CV1777" s="128"/>
      <c r="CW1777" s="128"/>
      <c r="CX1777" s="128"/>
      <c r="CY1777" s="128"/>
      <c r="CZ1777" s="165"/>
    </row>
    <row r="1778" spans="1:104">
      <c r="A1778" s="149"/>
      <c r="B1778" s="149"/>
      <c r="C1778" s="150"/>
      <c r="D1778" s="102"/>
      <c r="E1778" s="149"/>
      <c r="F1778" s="149"/>
      <c r="G1778" s="149"/>
      <c r="H1778" s="149"/>
      <c r="I1778" s="149"/>
      <c r="J1778" s="149"/>
      <c r="K1778" s="149"/>
      <c r="L1778" s="149"/>
      <c r="M1778" s="149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9"/>
      <c r="AA1778" s="149"/>
      <c r="AB1778" s="149"/>
      <c r="AC1778" s="149"/>
      <c r="AD1778" s="149"/>
      <c r="AE1778" s="149"/>
      <c r="AF1778" s="149"/>
      <c r="AG1778" s="149"/>
      <c r="AH1778" s="149"/>
      <c r="AI1778" s="149"/>
      <c r="AJ1778" s="149"/>
      <c r="AK1778" s="149"/>
      <c r="AL1778" s="149"/>
      <c r="AM1778" s="149"/>
      <c r="AN1778" s="149"/>
      <c r="AO1778" s="128"/>
      <c r="AP1778" s="128"/>
      <c r="AQ1778" s="128"/>
      <c r="AR1778" s="128"/>
      <c r="AS1778" s="128"/>
      <c r="AT1778" s="128"/>
      <c r="AU1778" s="128"/>
      <c r="AV1778" s="128"/>
      <c r="AW1778" s="128"/>
      <c r="AX1778" s="128"/>
      <c r="AY1778" s="128"/>
      <c r="AZ1778" s="128"/>
      <c r="BA1778" s="128"/>
      <c r="BB1778" s="128"/>
      <c r="BC1778" s="128"/>
      <c r="BD1778" s="128"/>
      <c r="BE1778" s="128"/>
      <c r="BF1778" s="128"/>
      <c r="BG1778" s="128"/>
      <c r="BH1778" s="128"/>
      <c r="BI1778" s="128"/>
      <c r="BJ1778" s="128"/>
      <c r="BK1778" s="128"/>
      <c r="BL1778" s="128"/>
      <c r="BM1778" s="151"/>
      <c r="BN1778" s="128"/>
      <c r="BO1778" s="128"/>
      <c r="BP1778" s="128"/>
      <c r="BQ1778" s="128"/>
      <c r="BR1778" s="128"/>
      <c r="BS1778" s="128"/>
      <c r="BT1778" s="128"/>
      <c r="BU1778" s="128"/>
      <c r="BV1778" s="128"/>
      <c r="BW1778" s="128"/>
      <c r="BX1778" s="128"/>
      <c r="BY1778" s="128"/>
      <c r="BZ1778" s="128"/>
      <c r="CA1778" s="128"/>
      <c r="CB1778" s="128"/>
      <c r="CC1778" s="128"/>
      <c r="CD1778" s="128"/>
      <c r="CE1778" s="128"/>
      <c r="CF1778" s="128"/>
      <c r="CG1778" s="128"/>
      <c r="CI1778" s="128"/>
      <c r="CJ1778" s="128"/>
      <c r="CK1778" s="128"/>
      <c r="CL1778" s="128"/>
      <c r="CM1778" s="128"/>
      <c r="CN1778" s="128"/>
      <c r="CO1778" s="128"/>
      <c r="CP1778" s="128"/>
      <c r="CQ1778" s="128"/>
      <c r="CR1778" s="128"/>
      <c r="CS1778" s="128"/>
      <c r="CT1778" s="128"/>
      <c r="CU1778" s="128"/>
      <c r="CV1778" s="128"/>
      <c r="CW1778" s="128"/>
      <c r="CX1778" s="128"/>
      <c r="CY1778" s="128"/>
      <c r="CZ1778" s="165"/>
    </row>
    <row r="1779" spans="1:104">
      <c r="A1779" s="149"/>
      <c r="B1779" s="149"/>
      <c r="C1779" s="150"/>
      <c r="D1779" s="102"/>
      <c r="E1779" s="149"/>
      <c r="F1779" s="149"/>
      <c r="G1779" s="149"/>
      <c r="H1779" s="149"/>
      <c r="I1779" s="149"/>
      <c r="J1779" s="149"/>
      <c r="K1779" s="149"/>
      <c r="L1779" s="149"/>
      <c r="M1779" s="149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9"/>
      <c r="AA1779" s="149"/>
      <c r="AB1779" s="149"/>
      <c r="AC1779" s="149"/>
      <c r="AD1779" s="149"/>
      <c r="AE1779" s="149"/>
      <c r="AF1779" s="149"/>
      <c r="AG1779" s="149"/>
      <c r="AH1779" s="149"/>
      <c r="AI1779" s="149"/>
      <c r="AJ1779" s="149"/>
      <c r="AK1779" s="149"/>
      <c r="AL1779" s="149"/>
      <c r="AM1779" s="149"/>
      <c r="AN1779" s="149"/>
      <c r="AO1779" s="128"/>
      <c r="AP1779" s="128"/>
      <c r="AQ1779" s="128"/>
      <c r="AR1779" s="128"/>
      <c r="AS1779" s="128"/>
      <c r="AT1779" s="128"/>
      <c r="AU1779" s="128"/>
      <c r="AV1779" s="128"/>
      <c r="AW1779" s="128"/>
      <c r="AX1779" s="128"/>
      <c r="AY1779" s="128"/>
      <c r="AZ1779" s="128"/>
      <c r="BA1779" s="128"/>
      <c r="BB1779" s="128"/>
      <c r="BC1779" s="128"/>
      <c r="BD1779" s="128"/>
      <c r="BE1779" s="128"/>
      <c r="BF1779" s="128"/>
      <c r="BG1779" s="128"/>
      <c r="BH1779" s="128"/>
      <c r="BI1779" s="128"/>
      <c r="BJ1779" s="128"/>
      <c r="BK1779" s="128"/>
      <c r="BL1779" s="128"/>
      <c r="BM1779" s="151"/>
      <c r="BN1779" s="128"/>
      <c r="BO1779" s="128"/>
      <c r="BP1779" s="128"/>
      <c r="BQ1779" s="128"/>
      <c r="BR1779" s="128"/>
      <c r="BS1779" s="128"/>
      <c r="BT1779" s="128"/>
      <c r="BU1779" s="128"/>
      <c r="BV1779" s="128"/>
      <c r="BW1779" s="128"/>
      <c r="BX1779" s="128"/>
      <c r="BY1779" s="128"/>
      <c r="BZ1779" s="128"/>
      <c r="CA1779" s="128"/>
      <c r="CB1779" s="128"/>
      <c r="CC1779" s="128"/>
      <c r="CD1779" s="128"/>
      <c r="CE1779" s="128"/>
      <c r="CF1779" s="128"/>
      <c r="CG1779" s="128"/>
      <c r="CI1779" s="128"/>
      <c r="CJ1779" s="128"/>
      <c r="CK1779" s="128"/>
      <c r="CL1779" s="128"/>
      <c r="CM1779" s="128"/>
      <c r="CN1779" s="128"/>
      <c r="CO1779" s="128"/>
      <c r="CP1779" s="128"/>
      <c r="CQ1779" s="128"/>
      <c r="CR1779" s="128"/>
      <c r="CS1779" s="128"/>
      <c r="CT1779" s="128"/>
      <c r="CU1779" s="128"/>
      <c r="CV1779" s="128"/>
      <c r="CW1779" s="128"/>
      <c r="CX1779" s="128"/>
      <c r="CY1779" s="128"/>
      <c r="CZ1779" s="165"/>
    </row>
    <row r="1780" spans="1:104">
      <c r="A1780" s="149"/>
      <c r="B1780" s="149"/>
      <c r="C1780" s="150"/>
      <c r="D1780" s="102"/>
      <c r="E1780" s="149"/>
      <c r="F1780" s="149"/>
      <c r="G1780" s="149"/>
      <c r="H1780" s="149"/>
      <c r="I1780" s="149"/>
      <c r="J1780" s="149"/>
      <c r="K1780" s="149"/>
      <c r="L1780" s="149"/>
      <c r="M1780" s="149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9"/>
      <c r="AA1780" s="149"/>
      <c r="AB1780" s="149"/>
      <c r="AC1780" s="149"/>
      <c r="AD1780" s="149"/>
      <c r="AE1780" s="149"/>
      <c r="AF1780" s="149"/>
      <c r="AG1780" s="149"/>
      <c r="AH1780" s="149"/>
      <c r="AI1780" s="149"/>
      <c r="AJ1780" s="149"/>
      <c r="AK1780" s="149"/>
      <c r="AL1780" s="149"/>
      <c r="AM1780" s="149"/>
      <c r="AN1780" s="149"/>
      <c r="AO1780" s="128"/>
      <c r="AP1780" s="128"/>
      <c r="AQ1780" s="128"/>
      <c r="AR1780" s="128"/>
      <c r="AS1780" s="128"/>
      <c r="AT1780" s="128"/>
      <c r="AU1780" s="128"/>
      <c r="AV1780" s="128"/>
      <c r="AW1780" s="128"/>
      <c r="AX1780" s="128"/>
      <c r="AY1780" s="128"/>
      <c r="AZ1780" s="128"/>
      <c r="BA1780" s="128"/>
      <c r="BB1780" s="128"/>
      <c r="BC1780" s="128"/>
      <c r="BD1780" s="128"/>
      <c r="BE1780" s="128"/>
      <c r="BF1780" s="128"/>
      <c r="BG1780" s="128"/>
      <c r="BH1780" s="128"/>
      <c r="BI1780" s="128"/>
      <c r="BJ1780" s="128"/>
      <c r="BK1780" s="128"/>
      <c r="BL1780" s="128"/>
      <c r="BM1780" s="151"/>
      <c r="BN1780" s="128"/>
      <c r="BO1780" s="128"/>
      <c r="BP1780" s="128"/>
      <c r="BQ1780" s="128"/>
      <c r="BR1780" s="128"/>
      <c r="BS1780" s="128"/>
      <c r="BT1780" s="128"/>
      <c r="BU1780" s="128"/>
      <c r="BV1780" s="128"/>
      <c r="BW1780" s="128"/>
      <c r="BX1780" s="128"/>
      <c r="BY1780" s="128"/>
      <c r="BZ1780" s="128"/>
      <c r="CA1780" s="128"/>
      <c r="CB1780" s="128"/>
      <c r="CC1780" s="128"/>
      <c r="CD1780" s="128"/>
      <c r="CE1780" s="128"/>
      <c r="CF1780" s="128"/>
      <c r="CG1780" s="128"/>
      <c r="CI1780" s="128"/>
      <c r="CJ1780" s="128"/>
      <c r="CK1780" s="128"/>
      <c r="CL1780" s="128"/>
      <c r="CM1780" s="128"/>
      <c r="CN1780" s="128"/>
      <c r="CO1780" s="128"/>
      <c r="CP1780" s="128"/>
      <c r="CQ1780" s="128"/>
      <c r="CR1780" s="128"/>
      <c r="CS1780" s="128"/>
      <c r="CT1780" s="128"/>
      <c r="CU1780" s="128"/>
      <c r="CV1780" s="128"/>
      <c r="CW1780" s="128"/>
      <c r="CX1780" s="128"/>
      <c r="CY1780" s="128"/>
      <c r="CZ1780" s="165"/>
    </row>
    <row r="1781" spans="1:104">
      <c r="A1781" s="149"/>
      <c r="B1781" s="149"/>
      <c r="C1781" s="150"/>
      <c r="D1781" s="102"/>
      <c r="E1781" s="149"/>
      <c r="F1781" s="149"/>
      <c r="G1781" s="149"/>
      <c r="H1781" s="149"/>
      <c r="I1781" s="149"/>
      <c r="J1781" s="149"/>
      <c r="K1781" s="149"/>
      <c r="L1781" s="149"/>
      <c r="M1781" s="149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9"/>
      <c r="AA1781" s="149"/>
      <c r="AB1781" s="149"/>
      <c r="AC1781" s="149"/>
      <c r="AD1781" s="149"/>
      <c r="AE1781" s="149"/>
      <c r="AF1781" s="149"/>
      <c r="AG1781" s="149"/>
      <c r="AH1781" s="149"/>
      <c r="AI1781" s="149"/>
      <c r="AJ1781" s="149"/>
      <c r="AK1781" s="149"/>
      <c r="AL1781" s="149"/>
      <c r="AM1781" s="149"/>
      <c r="AN1781" s="149"/>
      <c r="AO1781" s="128"/>
      <c r="AP1781" s="128"/>
      <c r="AQ1781" s="128"/>
      <c r="AR1781" s="128"/>
      <c r="AS1781" s="128"/>
      <c r="AT1781" s="128"/>
      <c r="AU1781" s="128"/>
      <c r="AV1781" s="128"/>
      <c r="AW1781" s="128"/>
      <c r="AX1781" s="128"/>
      <c r="AY1781" s="128"/>
      <c r="AZ1781" s="128"/>
      <c r="BA1781" s="128"/>
      <c r="BB1781" s="128"/>
      <c r="BC1781" s="128"/>
      <c r="BD1781" s="128"/>
      <c r="BE1781" s="128"/>
      <c r="BF1781" s="128"/>
      <c r="BG1781" s="128"/>
      <c r="BH1781" s="128"/>
      <c r="BI1781" s="128"/>
      <c r="BJ1781" s="128"/>
      <c r="BK1781" s="128"/>
      <c r="BL1781" s="128"/>
      <c r="BM1781" s="151"/>
      <c r="BN1781" s="128"/>
      <c r="BO1781" s="128"/>
      <c r="BP1781" s="128"/>
      <c r="BQ1781" s="128"/>
      <c r="BR1781" s="128"/>
      <c r="BS1781" s="128"/>
      <c r="BT1781" s="128"/>
      <c r="BU1781" s="128"/>
      <c r="BV1781" s="128"/>
      <c r="BW1781" s="128"/>
      <c r="BX1781" s="128"/>
      <c r="BY1781" s="128"/>
      <c r="BZ1781" s="128"/>
      <c r="CA1781" s="128"/>
      <c r="CB1781" s="128"/>
      <c r="CC1781" s="128"/>
      <c r="CD1781" s="128"/>
      <c r="CE1781" s="128"/>
      <c r="CF1781" s="128"/>
      <c r="CG1781" s="128"/>
      <c r="CI1781" s="128"/>
      <c r="CJ1781" s="128"/>
      <c r="CK1781" s="128"/>
      <c r="CL1781" s="128"/>
      <c r="CM1781" s="128"/>
      <c r="CN1781" s="128"/>
      <c r="CO1781" s="128"/>
      <c r="CP1781" s="128"/>
      <c r="CQ1781" s="128"/>
      <c r="CR1781" s="128"/>
      <c r="CS1781" s="128"/>
      <c r="CT1781" s="128"/>
      <c r="CU1781" s="128"/>
      <c r="CV1781" s="128"/>
      <c r="CW1781" s="128"/>
      <c r="CX1781" s="128"/>
      <c r="CY1781" s="128"/>
      <c r="CZ1781" s="165"/>
    </row>
    <row r="1782" spans="1:104">
      <c r="A1782" s="149"/>
      <c r="B1782" s="149"/>
      <c r="C1782" s="150"/>
      <c r="D1782" s="102"/>
      <c r="E1782" s="149"/>
      <c r="F1782" s="149"/>
      <c r="G1782" s="149"/>
      <c r="H1782" s="149"/>
      <c r="I1782" s="149"/>
      <c r="J1782" s="149"/>
      <c r="K1782" s="149"/>
      <c r="L1782" s="149"/>
      <c r="M1782" s="149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9"/>
      <c r="AA1782" s="149"/>
      <c r="AB1782" s="149"/>
      <c r="AC1782" s="149"/>
      <c r="AD1782" s="149"/>
      <c r="AE1782" s="149"/>
      <c r="AF1782" s="149"/>
      <c r="AG1782" s="149"/>
      <c r="AH1782" s="149"/>
      <c r="AI1782" s="149"/>
      <c r="AJ1782" s="149"/>
      <c r="AK1782" s="149"/>
      <c r="AL1782" s="149"/>
      <c r="AM1782" s="149"/>
      <c r="AN1782" s="149"/>
      <c r="AO1782" s="128"/>
      <c r="AP1782" s="128"/>
      <c r="AQ1782" s="128"/>
      <c r="AR1782" s="128"/>
      <c r="AS1782" s="128"/>
      <c r="AT1782" s="128"/>
      <c r="AU1782" s="128"/>
      <c r="AV1782" s="128"/>
      <c r="AW1782" s="128"/>
      <c r="AX1782" s="128"/>
      <c r="AY1782" s="128"/>
      <c r="AZ1782" s="128"/>
      <c r="BA1782" s="128"/>
      <c r="BB1782" s="128"/>
      <c r="BC1782" s="128"/>
      <c r="BD1782" s="128"/>
      <c r="BE1782" s="128"/>
      <c r="BF1782" s="128"/>
      <c r="BG1782" s="128"/>
      <c r="BH1782" s="128"/>
      <c r="BI1782" s="128"/>
      <c r="BJ1782" s="128"/>
      <c r="BK1782" s="128"/>
      <c r="BL1782" s="128"/>
      <c r="BM1782" s="151"/>
      <c r="BN1782" s="128"/>
      <c r="BO1782" s="128"/>
      <c r="BP1782" s="128"/>
      <c r="BQ1782" s="128"/>
      <c r="BR1782" s="128"/>
      <c r="BS1782" s="128"/>
      <c r="BT1782" s="128"/>
      <c r="BU1782" s="128"/>
      <c r="BV1782" s="128"/>
      <c r="BW1782" s="128"/>
      <c r="BX1782" s="128"/>
      <c r="BY1782" s="128"/>
      <c r="BZ1782" s="128"/>
      <c r="CA1782" s="128"/>
      <c r="CB1782" s="128"/>
      <c r="CC1782" s="128"/>
      <c r="CD1782" s="128"/>
      <c r="CE1782" s="128"/>
      <c r="CF1782" s="128"/>
      <c r="CG1782" s="128"/>
      <c r="CI1782" s="128"/>
      <c r="CJ1782" s="128"/>
      <c r="CK1782" s="128"/>
      <c r="CL1782" s="128"/>
      <c r="CM1782" s="128"/>
      <c r="CN1782" s="128"/>
      <c r="CO1782" s="128"/>
      <c r="CP1782" s="128"/>
      <c r="CQ1782" s="128"/>
      <c r="CR1782" s="128"/>
      <c r="CS1782" s="128"/>
      <c r="CT1782" s="128"/>
      <c r="CU1782" s="128"/>
      <c r="CV1782" s="128"/>
      <c r="CW1782" s="128"/>
      <c r="CX1782" s="128"/>
      <c r="CY1782" s="128"/>
      <c r="CZ1782" s="165"/>
    </row>
    <row r="1783" spans="1:104">
      <c r="A1783" s="149"/>
      <c r="B1783" s="149"/>
      <c r="C1783" s="150"/>
      <c r="D1783" s="102"/>
      <c r="E1783" s="149"/>
      <c r="F1783" s="149"/>
      <c r="G1783" s="149"/>
      <c r="H1783" s="149"/>
      <c r="I1783" s="149"/>
      <c r="J1783" s="149"/>
      <c r="K1783" s="149"/>
      <c r="L1783" s="149"/>
      <c r="M1783" s="149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9"/>
      <c r="AA1783" s="149"/>
      <c r="AB1783" s="149"/>
      <c r="AC1783" s="149"/>
      <c r="AD1783" s="149"/>
      <c r="AE1783" s="149"/>
      <c r="AF1783" s="149"/>
      <c r="AG1783" s="149"/>
      <c r="AH1783" s="149"/>
      <c r="AI1783" s="149"/>
      <c r="AJ1783" s="149"/>
      <c r="AK1783" s="149"/>
      <c r="AL1783" s="149"/>
      <c r="AM1783" s="149"/>
      <c r="AN1783" s="149"/>
      <c r="AO1783" s="128"/>
      <c r="AP1783" s="128"/>
      <c r="AQ1783" s="128"/>
      <c r="AR1783" s="128"/>
      <c r="AS1783" s="128"/>
      <c r="AT1783" s="128"/>
      <c r="AU1783" s="128"/>
      <c r="AV1783" s="128"/>
      <c r="AW1783" s="128"/>
      <c r="AX1783" s="128"/>
      <c r="AY1783" s="128"/>
      <c r="AZ1783" s="128"/>
      <c r="BA1783" s="128"/>
      <c r="BB1783" s="128"/>
      <c r="BC1783" s="128"/>
      <c r="BD1783" s="128"/>
      <c r="BE1783" s="128"/>
      <c r="BF1783" s="128"/>
      <c r="BG1783" s="128"/>
      <c r="BH1783" s="128"/>
      <c r="BI1783" s="128"/>
      <c r="BJ1783" s="128"/>
      <c r="BK1783" s="128"/>
      <c r="BL1783" s="128"/>
      <c r="BM1783" s="151"/>
      <c r="BN1783" s="128"/>
      <c r="BO1783" s="128"/>
      <c r="BP1783" s="128"/>
      <c r="BQ1783" s="128"/>
      <c r="BR1783" s="128"/>
      <c r="BS1783" s="128"/>
      <c r="BT1783" s="128"/>
      <c r="BU1783" s="128"/>
      <c r="BV1783" s="128"/>
      <c r="BW1783" s="128"/>
      <c r="BX1783" s="128"/>
      <c r="BY1783" s="128"/>
      <c r="BZ1783" s="128"/>
      <c r="CA1783" s="128"/>
      <c r="CB1783" s="128"/>
      <c r="CC1783" s="128"/>
      <c r="CD1783" s="128"/>
      <c r="CE1783" s="128"/>
      <c r="CF1783" s="128"/>
      <c r="CG1783" s="128"/>
      <c r="CI1783" s="128"/>
      <c r="CJ1783" s="128"/>
      <c r="CK1783" s="128"/>
      <c r="CL1783" s="128"/>
      <c r="CM1783" s="128"/>
      <c r="CN1783" s="128"/>
      <c r="CO1783" s="128"/>
      <c r="CP1783" s="128"/>
      <c r="CQ1783" s="128"/>
      <c r="CR1783" s="128"/>
      <c r="CS1783" s="128"/>
      <c r="CT1783" s="128"/>
      <c r="CU1783" s="128"/>
      <c r="CV1783" s="128"/>
      <c r="CW1783" s="128"/>
      <c r="CX1783" s="128"/>
      <c r="CY1783" s="128"/>
      <c r="CZ1783" s="165"/>
    </row>
    <row r="1784" spans="1:104">
      <c r="A1784" s="149"/>
      <c r="B1784" s="149"/>
      <c r="C1784" s="150"/>
      <c r="D1784" s="102"/>
      <c r="E1784" s="149"/>
      <c r="F1784" s="149"/>
      <c r="G1784" s="149"/>
      <c r="H1784" s="149"/>
      <c r="I1784" s="149"/>
      <c r="J1784" s="149"/>
      <c r="K1784" s="149"/>
      <c r="L1784" s="149"/>
      <c r="M1784" s="149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9"/>
      <c r="AA1784" s="149"/>
      <c r="AB1784" s="149"/>
      <c r="AC1784" s="149"/>
      <c r="AD1784" s="149"/>
      <c r="AE1784" s="149"/>
      <c r="AF1784" s="149"/>
      <c r="AG1784" s="149"/>
      <c r="AH1784" s="149"/>
      <c r="AI1784" s="149"/>
      <c r="AJ1784" s="149"/>
      <c r="AK1784" s="149"/>
      <c r="AL1784" s="149"/>
      <c r="AM1784" s="149"/>
      <c r="AN1784" s="149"/>
      <c r="AO1784" s="128"/>
      <c r="AP1784" s="128"/>
      <c r="AQ1784" s="128"/>
      <c r="AR1784" s="128"/>
      <c r="AS1784" s="128"/>
      <c r="AT1784" s="128"/>
      <c r="AU1784" s="128"/>
      <c r="AV1784" s="128"/>
      <c r="AW1784" s="128"/>
      <c r="AX1784" s="128"/>
      <c r="AY1784" s="128"/>
      <c r="AZ1784" s="128"/>
      <c r="BA1784" s="128"/>
      <c r="BB1784" s="128"/>
      <c r="BC1784" s="128"/>
      <c r="BD1784" s="128"/>
      <c r="BE1784" s="128"/>
      <c r="BF1784" s="128"/>
      <c r="BG1784" s="128"/>
      <c r="BH1784" s="128"/>
      <c r="BI1784" s="128"/>
      <c r="BJ1784" s="128"/>
      <c r="BK1784" s="128"/>
      <c r="BL1784" s="128"/>
      <c r="BM1784" s="151"/>
      <c r="BN1784" s="128"/>
      <c r="BO1784" s="128"/>
      <c r="BP1784" s="128"/>
      <c r="BQ1784" s="128"/>
      <c r="BR1784" s="128"/>
      <c r="BS1784" s="128"/>
      <c r="BT1784" s="128"/>
      <c r="BU1784" s="128"/>
      <c r="BV1784" s="128"/>
      <c r="BW1784" s="128"/>
      <c r="BX1784" s="128"/>
      <c r="BY1784" s="128"/>
      <c r="BZ1784" s="128"/>
      <c r="CA1784" s="128"/>
      <c r="CB1784" s="128"/>
      <c r="CC1784" s="128"/>
      <c r="CD1784" s="128"/>
      <c r="CE1784" s="128"/>
      <c r="CF1784" s="128"/>
      <c r="CG1784" s="128"/>
      <c r="CI1784" s="128"/>
      <c r="CJ1784" s="128"/>
      <c r="CK1784" s="128"/>
      <c r="CL1784" s="128"/>
      <c r="CM1784" s="128"/>
      <c r="CN1784" s="128"/>
      <c r="CO1784" s="128"/>
      <c r="CP1784" s="128"/>
      <c r="CQ1784" s="128"/>
      <c r="CR1784" s="128"/>
      <c r="CS1784" s="128"/>
      <c r="CT1784" s="128"/>
      <c r="CU1784" s="128"/>
      <c r="CV1784" s="128"/>
      <c r="CW1784" s="128"/>
      <c r="CX1784" s="128"/>
      <c r="CY1784" s="128"/>
      <c r="CZ1784" s="165"/>
    </row>
    <row r="1785" spans="1:104">
      <c r="A1785" s="149"/>
      <c r="B1785" s="149"/>
      <c r="C1785" s="150"/>
      <c r="D1785" s="102"/>
      <c r="E1785" s="149"/>
      <c r="F1785" s="149"/>
      <c r="G1785" s="149"/>
      <c r="H1785" s="149"/>
      <c r="I1785" s="149"/>
      <c r="J1785" s="149"/>
      <c r="K1785" s="149"/>
      <c r="L1785" s="149"/>
      <c r="M1785" s="149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9"/>
      <c r="AA1785" s="149"/>
      <c r="AB1785" s="149"/>
      <c r="AC1785" s="149"/>
      <c r="AD1785" s="149"/>
      <c r="AE1785" s="149"/>
      <c r="AF1785" s="149"/>
      <c r="AG1785" s="149"/>
      <c r="AH1785" s="149"/>
      <c r="AI1785" s="149"/>
      <c r="AJ1785" s="149"/>
      <c r="AK1785" s="149"/>
      <c r="AL1785" s="149"/>
      <c r="AM1785" s="149"/>
      <c r="AN1785" s="149"/>
      <c r="AO1785" s="128"/>
      <c r="AP1785" s="128"/>
      <c r="AQ1785" s="128"/>
      <c r="AR1785" s="128"/>
      <c r="AS1785" s="128"/>
      <c r="AT1785" s="128"/>
      <c r="AU1785" s="128"/>
      <c r="AV1785" s="128"/>
      <c r="AW1785" s="128"/>
      <c r="AX1785" s="128"/>
      <c r="AY1785" s="128"/>
      <c r="AZ1785" s="128"/>
      <c r="BA1785" s="128"/>
      <c r="BB1785" s="128"/>
      <c r="BC1785" s="128"/>
      <c r="BD1785" s="128"/>
      <c r="BE1785" s="128"/>
      <c r="BF1785" s="128"/>
      <c r="BG1785" s="128"/>
      <c r="BH1785" s="128"/>
      <c r="BI1785" s="128"/>
      <c r="BJ1785" s="128"/>
      <c r="BK1785" s="128"/>
      <c r="BL1785" s="128"/>
      <c r="BM1785" s="151"/>
      <c r="BN1785" s="128"/>
      <c r="BO1785" s="128"/>
      <c r="BP1785" s="128"/>
      <c r="BQ1785" s="128"/>
      <c r="BR1785" s="128"/>
      <c r="BS1785" s="128"/>
      <c r="BT1785" s="128"/>
      <c r="BU1785" s="128"/>
      <c r="BV1785" s="128"/>
      <c r="BW1785" s="128"/>
      <c r="BX1785" s="128"/>
      <c r="BY1785" s="128"/>
      <c r="BZ1785" s="128"/>
      <c r="CA1785" s="128"/>
      <c r="CB1785" s="128"/>
      <c r="CC1785" s="128"/>
      <c r="CD1785" s="128"/>
      <c r="CE1785" s="128"/>
      <c r="CF1785" s="128"/>
      <c r="CG1785" s="128"/>
      <c r="CI1785" s="128"/>
      <c r="CJ1785" s="128"/>
      <c r="CK1785" s="128"/>
      <c r="CL1785" s="128"/>
      <c r="CM1785" s="128"/>
      <c r="CN1785" s="128"/>
      <c r="CO1785" s="128"/>
      <c r="CP1785" s="128"/>
      <c r="CQ1785" s="128"/>
      <c r="CR1785" s="128"/>
      <c r="CS1785" s="128"/>
      <c r="CT1785" s="128"/>
      <c r="CU1785" s="128"/>
      <c r="CV1785" s="128"/>
      <c r="CW1785" s="128"/>
      <c r="CX1785" s="128"/>
      <c r="CY1785" s="128"/>
      <c r="CZ1785" s="165"/>
    </row>
    <row r="1786" spans="1:104">
      <c r="A1786" s="149"/>
      <c r="B1786" s="149"/>
      <c r="C1786" s="150"/>
      <c r="D1786" s="102"/>
      <c r="E1786" s="149"/>
      <c r="F1786" s="149"/>
      <c r="G1786" s="149"/>
      <c r="H1786" s="149"/>
      <c r="I1786" s="149"/>
      <c r="J1786" s="149"/>
      <c r="K1786" s="149"/>
      <c r="L1786" s="149"/>
      <c r="M1786" s="149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9"/>
      <c r="AA1786" s="149"/>
      <c r="AB1786" s="149"/>
      <c r="AC1786" s="149"/>
      <c r="AD1786" s="149"/>
      <c r="AE1786" s="149"/>
      <c r="AF1786" s="149"/>
      <c r="AG1786" s="149"/>
      <c r="AH1786" s="149"/>
      <c r="AI1786" s="149"/>
      <c r="AJ1786" s="149"/>
      <c r="AK1786" s="149"/>
      <c r="AL1786" s="149"/>
      <c r="AM1786" s="149"/>
      <c r="AN1786" s="149"/>
      <c r="AO1786" s="128"/>
      <c r="AP1786" s="128"/>
      <c r="AQ1786" s="128"/>
      <c r="AR1786" s="128"/>
      <c r="AS1786" s="128"/>
      <c r="AT1786" s="128"/>
      <c r="AU1786" s="128"/>
      <c r="AV1786" s="128"/>
      <c r="AW1786" s="128"/>
      <c r="AX1786" s="128"/>
      <c r="AY1786" s="128"/>
      <c r="AZ1786" s="128"/>
      <c r="BA1786" s="128"/>
      <c r="BB1786" s="128"/>
      <c r="BC1786" s="128"/>
      <c r="BD1786" s="128"/>
      <c r="BE1786" s="128"/>
      <c r="BF1786" s="128"/>
      <c r="BG1786" s="128"/>
      <c r="BH1786" s="128"/>
      <c r="BI1786" s="128"/>
      <c r="BJ1786" s="128"/>
      <c r="BK1786" s="128"/>
      <c r="BL1786" s="128"/>
      <c r="BM1786" s="151"/>
      <c r="BN1786" s="128"/>
      <c r="BO1786" s="128"/>
      <c r="BP1786" s="128"/>
      <c r="BQ1786" s="128"/>
      <c r="BR1786" s="128"/>
      <c r="BS1786" s="128"/>
      <c r="BT1786" s="128"/>
      <c r="BU1786" s="128"/>
      <c r="BV1786" s="128"/>
      <c r="BW1786" s="128"/>
      <c r="BX1786" s="128"/>
      <c r="BY1786" s="128"/>
      <c r="BZ1786" s="128"/>
      <c r="CA1786" s="128"/>
      <c r="CB1786" s="128"/>
      <c r="CC1786" s="128"/>
      <c r="CD1786" s="128"/>
      <c r="CE1786" s="128"/>
      <c r="CF1786" s="128"/>
      <c r="CG1786" s="128"/>
      <c r="CI1786" s="128"/>
      <c r="CJ1786" s="128"/>
      <c r="CK1786" s="128"/>
      <c r="CL1786" s="128"/>
      <c r="CM1786" s="128"/>
      <c r="CN1786" s="128"/>
      <c r="CO1786" s="128"/>
      <c r="CP1786" s="128"/>
      <c r="CQ1786" s="128"/>
      <c r="CR1786" s="128"/>
      <c r="CS1786" s="128"/>
      <c r="CT1786" s="128"/>
      <c r="CU1786" s="128"/>
      <c r="CV1786" s="128"/>
      <c r="CW1786" s="128"/>
      <c r="CX1786" s="128"/>
      <c r="CY1786" s="128"/>
      <c r="CZ1786" s="165"/>
    </row>
    <row r="1787" spans="1:104">
      <c r="A1787" s="149"/>
      <c r="B1787" s="149"/>
      <c r="C1787" s="150"/>
      <c r="D1787" s="102"/>
      <c r="E1787" s="149"/>
      <c r="F1787" s="149"/>
      <c r="G1787" s="149"/>
      <c r="H1787" s="149"/>
      <c r="I1787" s="149"/>
      <c r="J1787" s="149"/>
      <c r="K1787" s="149"/>
      <c r="L1787" s="149"/>
      <c r="M1787" s="149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9"/>
      <c r="AA1787" s="149"/>
      <c r="AB1787" s="149"/>
      <c r="AC1787" s="149"/>
      <c r="AD1787" s="149"/>
      <c r="AE1787" s="149"/>
      <c r="AF1787" s="149"/>
      <c r="AG1787" s="149"/>
      <c r="AH1787" s="149"/>
      <c r="AI1787" s="149"/>
      <c r="AJ1787" s="149"/>
      <c r="AK1787" s="149"/>
      <c r="AL1787" s="149"/>
      <c r="AM1787" s="149"/>
      <c r="AN1787" s="149"/>
      <c r="AO1787" s="128"/>
      <c r="AP1787" s="128"/>
      <c r="AQ1787" s="128"/>
      <c r="AR1787" s="128"/>
      <c r="AS1787" s="128"/>
      <c r="AT1787" s="128"/>
      <c r="AU1787" s="128"/>
      <c r="AV1787" s="128"/>
      <c r="AW1787" s="128"/>
      <c r="AX1787" s="128"/>
      <c r="AY1787" s="128"/>
      <c r="AZ1787" s="128"/>
      <c r="BA1787" s="128"/>
      <c r="BB1787" s="128"/>
      <c r="BC1787" s="128"/>
      <c r="BD1787" s="128"/>
      <c r="BE1787" s="128"/>
      <c r="BF1787" s="128"/>
      <c r="BG1787" s="128"/>
      <c r="BH1787" s="128"/>
      <c r="BI1787" s="128"/>
      <c r="BJ1787" s="128"/>
      <c r="BK1787" s="128"/>
      <c r="BL1787" s="128"/>
      <c r="BM1787" s="151"/>
      <c r="BN1787" s="128"/>
      <c r="BO1787" s="128"/>
      <c r="BP1787" s="128"/>
      <c r="BQ1787" s="128"/>
      <c r="BR1787" s="128"/>
      <c r="BS1787" s="128"/>
      <c r="BT1787" s="128"/>
      <c r="BU1787" s="128"/>
      <c r="BV1787" s="128"/>
      <c r="BW1787" s="128"/>
      <c r="BX1787" s="128"/>
      <c r="BY1787" s="128"/>
      <c r="BZ1787" s="128"/>
      <c r="CA1787" s="128"/>
      <c r="CB1787" s="128"/>
      <c r="CC1787" s="128"/>
      <c r="CD1787" s="128"/>
      <c r="CE1787" s="128"/>
      <c r="CF1787" s="128"/>
      <c r="CG1787" s="128"/>
      <c r="CI1787" s="128"/>
      <c r="CJ1787" s="128"/>
      <c r="CK1787" s="128"/>
      <c r="CL1787" s="128"/>
      <c r="CM1787" s="128"/>
      <c r="CN1787" s="128"/>
      <c r="CO1787" s="128"/>
      <c r="CP1787" s="128"/>
      <c r="CQ1787" s="128"/>
      <c r="CR1787" s="128"/>
      <c r="CS1787" s="128"/>
      <c r="CT1787" s="128"/>
      <c r="CU1787" s="128"/>
      <c r="CV1787" s="128"/>
      <c r="CW1787" s="128"/>
      <c r="CX1787" s="128"/>
      <c r="CY1787" s="128"/>
      <c r="CZ1787" s="165"/>
    </row>
    <row r="1788" spans="1:104">
      <c r="A1788" s="149"/>
      <c r="B1788" s="149"/>
      <c r="C1788" s="150"/>
      <c r="D1788" s="102"/>
      <c r="E1788" s="149"/>
      <c r="F1788" s="149"/>
      <c r="G1788" s="149"/>
      <c r="H1788" s="149"/>
      <c r="I1788" s="149"/>
      <c r="J1788" s="149"/>
      <c r="K1788" s="149"/>
      <c r="L1788" s="149"/>
      <c r="M1788" s="149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9"/>
      <c r="AA1788" s="149"/>
      <c r="AB1788" s="149"/>
      <c r="AC1788" s="149"/>
      <c r="AD1788" s="149"/>
      <c r="AE1788" s="149"/>
      <c r="AF1788" s="149"/>
      <c r="AG1788" s="149"/>
      <c r="AH1788" s="149"/>
      <c r="AI1788" s="149"/>
      <c r="AJ1788" s="149"/>
      <c r="AK1788" s="149"/>
      <c r="AL1788" s="149"/>
      <c r="AM1788" s="149"/>
      <c r="AN1788" s="149"/>
      <c r="AO1788" s="128"/>
      <c r="AP1788" s="128"/>
      <c r="AQ1788" s="128"/>
      <c r="AR1788" s="128"/>
      <c r="AS1788" s="128"/>
      <c r="AT1788" s="128"/>
      <c r="AU1788" s="128"/>
      <c r="AV1788" s="128"/>
      <c r="AW1788" s="128"/>
      <c r="AX1788" s="128"/>
      <c r="AY1788" s="128"/>
      <c r="AZ1788" s="128"/>
      <c r="BA1788" s="128"/>
      <c r="BB1788" s="128"/>
      <c r="BC1788" s="128"/>
      <c r="BD1788" s="128"/>
      <c r="BE1788" s="128"/>
      <c r="BF1788" s="128"/>
      <c r="BG1788" s="128"/>
      <c r="BH1788" s="128"/>
      <c r="BI1788" s="128"/>
      <c r="BJ1788" s="128"/>
      <c r="BK1788" s="128"/>
      <c r="BL1788" s="128"/>
      <c r="BM1788" s="151"/>
      <c r="BN1788" s="128"/>
      <c r="BO1788" s="128"/>
      <c r="BP1788" s="128"/>
      <c r="BQ1788" s="128"/>
      <c r="BR1788" s="128"/>
      <c r="BS1788" s="128"/>
      <c r="BT1788" s="128"/>
      <c r="BU1788" s="128"/>
      <c r="BV1788" s="128"/>
      <c r="BW1788" s="128"/>
      <c r="BX1788" s="128"/>
      <c r="BY1788" s="128"/>
      <c r="BZ1788" s="128"/>
      <c r="CA1788" s="128"/>
      <c r="CB1788" s="128"/>
      <c r="CC1788" s="128"/>
      <c r="CD1788" s="128"/>
      <c r="CE1788" s="128"/>
      <c r="CF1788" s="128"/>
      <c r="CG1788" s="128"/>
      <c r="CI1788" s="128"/>
      <c r="CJ1788" s="128"/>
      <c r="CK1788" s="128"/>
      <c r="CL1788" s="128"/>
      <c r="CM1788" s="128"/>
      <c r="CN1788" s="128"/>
      <c r="CO1788" s="128"/>
      <c r="CP1788" s="128"/>
      <c r="CQ1788" s="128"/>
      <c r="CR1788" s="128"/>
      <c r="CS1788" s="128"/>
      <c r="CT1788" s="128"/>
      <c r="CU1788" s="128"/>
      <c r="CV1788" s="128"/>
      <c r="CW1788" s="128"/>
      <c r="CX1788" s="128"/>
      <c r="CY1788" s="128"/>
      <c r="CZ1788" s="165"/>
    </row>
    <row r="1789" spans="1:104">
      <c r="A1789" s="149"/>
      <c r="B1789" s="149"/>
      <c r="C1789" s="150"/>
      <c r="D1789" s="102"/>
      <c r="E1789" s="149"/>
      <c r="F1789" s="149"/>
      <c r="G1789" s="149"/>
      <c r="H1789" s="149"/>
      <c r="I1789" s="149"/>
      <c r="J1789" s="149"/>
      <c r="K1789" s="149"/>
      <c r="L1789" s="149"/>
      <c r="M1789" s="149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9"/>
      <c r="AA1789" s="149"/>
      <c r="AB1789" s="149"/>
      <c r="AC1789" s="149"/>
      <c r="AD1789" s="149"/>
      <c r="AE1789" s="149"/>
      <c r="AF1789" s="149"/>
      <c r="AG1789" s="149"/>
      <c r="AH1789" s="149"/>
      <c r="AI1789" s="149"/>
      <c r="AJ1789" s="149"/>
      <c r="AK1789" s="149"/>
      <c r="AL1789" s="149"/>
      <c r="AM1789" s="149"/>
      <c r="AN1789" s="149"/>
      <c r="AO1789" s="128"/>
      <c r="AP1789" s="128"/>
      <c r="AQ1789" s="128"/>
      <c r="AR1789" s="128"/>
      <c r="AS1789" s="128"/>
      <c r="AT1789" s="128"/>
      <c r="AU1789" s="128"/>
      <c r="AV1789" s="128"/>
      <c r="AW1789" s="128"/>
      <c r="AX1789" s="128"/>
      <c r="AY1789" s="128"/>
      <c r="AZ1789" s="128"/>
      <c r="BA1789" s="128"/>
      <c r="BB1789" s="128"/>
      <c r="BC1789" s="128"/>
      <c r="BD1789" s="128"/>
      <c r="BE1789" s="128"/>
      <c r="BF1789" s="128"/>
      <c r="BG1789" s="128"/>
      <c r="BH1789" s="128"/>
      <c r="BI1789" s="128"/>
      <c r="BJ1789" s="128"/>
      <c r="BK1789" s="128"/>
      <c r="BL1789" s="128"/>
      <c r="BM1789" s="151"/>
      <c r="BN1789" s="128"/>
      <c r="BO1789" s="128"/>
      <c r="BP1789" s="128"/>
      <c r="BQ1789" s="128"/>
      <c r="BR1789" s="128"/>
      <c r="BS1789" s="128"/>
      <c r="BT1789" s="128"/>
      <c r="BU1789" s="128"/>
      <c r="BV1789" s="128"/>
      <c r="BW1789" s="128"/>
      <c r="BX1789" s="128"/>
      <c r="BY1789" s="128"/>
      <c r="BZ1789" s="128"/>
      <c r="CA1789" s="128"/>
      <c r="CB1789" s="128"/>
      <c r="CC1789" s="128"/>
      <c r="CD1789" s="128"/>
      <c r="CE1789" s="128"/>
      <c r="CF1789" s="128"/>
      <c r="CG1789" s="128"/>
      <c r="CI1789" s="128"/>
      <c r="CJ1789" s="128"/>
      <c r="CK1789" s="128"/>
      <c r="CL1789" s="128"/>
      <c r="CM1789" s="128"/>
      <c r="CN1789" s="128"/>
      <c r="CO1789" s="128"/>
      <c r="CP1789" s="128"/>
      <c r="CQ1789" s="128"/>
      <c r="CR1789" s="128"/>
      <c r="CS1789" s="128"/>
      <c r="CT1789" s="128"/>
      <c r="CU1789" s="128"/>
      <c r="CV1789" s="128"/>
      <c r="CW1789" s="128"/>
      <c r="CX1789" s="128"/>
      <c r="CY1789" s="128"/>
      <c r="CZ1789" s="165"/>
    </row>
    <row r="1790" spans="1:104">
      <c r="A1790" s="149"/>
      <c r="B1790" s="149"/>
      <c r="C1790" s="150"/>
      <c r="D1790" s="102"/>
      <c r="E1790" s="149"/>
      <c r="F1790" s="149"/>
      <c r="G1790" s="149"/>
      <c r="H1790" s="149"/>
      <c r="I1790" s="149"/>
      <c r="J1790" s="149"/>
      <c r="K1790" s="149"/>
      <c r="L1790" s="149"/>
      <c r="M1790" s="149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9"/>
      <c r="AA1790" s="149"/>
      <c r="AB1790" s="149"/>
      <c r="AC1790" s="149"/>
      <c r="AD1790" s="149"/>
      <c r="AE1790" s="149"/>
      <c r="AF1790" s="149"/>
      <c r="AG1790" s="149"/>
      <c r="AH1790" s="149"/>
      <c r="AI1790" s="149"/>
      <c r="AJ1790" s="149"/>
      <c r="AK1790" s="149"/>
      <c r="AL1790" s="149"/>
      <c r="AM1790" s="149"/>
      <c r="AN1790" s="149"/>
      <c r="AO1790" s="128"/>
      <c r="AP1790" s="128"/>
      <c r="AQ1790" s="128"/>
      <c r="AR1790" s="128"/>
      <c r="AS1790" s="128"/>
      <c r="AT1790" s="128"/>
      <c r="AU1790" s="128"/>
      <c r="AV1790" s="128"/>
      <c r="AW1790" s="128"/>
      <c r="AX1790" s="128"/>
      <c r="AY1790" s="128"/>
      <c r="AZ1790" s="128"/>
      <c r="BA1790" s="128"/>
      <c r="BB1790" s="128"/>
      <c r="BC1790" s="128"/>
      <c r="BD1790" s="128"/>
      <c r="BE1790" s="128"/>
      <c r="BF1790" s="128"/>
      <c r="BG1790" s="128"/>
      <c r="BH1790" s="128"/>
      <c r="BI1790" s="128"/>
      <c r="BJ1790" s="128"/>
      <c r="BK1790" s="128"/>
      <c r="BL1790" s="128"/>
      <c r="BM1790" s="151"/>
      <c r="BN1790" s="128"/>
      <c r="BO1790" s="128"/>
      <c r="BP1790" s="128"/>
      <c r="BQ1790" s="128"/>
      <c r="BR1790" s="128"/>
      <c r="BS1790" s="128"/>
      <c r="BT1790" s="128"/>
      <c r="BU1790" s="128"/>
      <c r="BV1790" s="128"/>
      <c r="BW1790" s="128"/>
      <c r="BX1790" s="128"/>
      <c r="BY1790" s="128"/>
      <c r="BZ1790" s="128"/>
      <c r="CA1790" s="128"/>
      <c r="CB1790" s="128"/>
      <c r="CC1790" s="128"/>
      <c r="CD1790" s="128"/>
      <c r="CE1790" s="128"/>
      <c r="CF1790" s="128"/>
      <c r="CG1790" s="128"/>
      <c r="CI1790" s="128"/>
      <c r="CJ1790" s="128"/>
      <c r="CK1790" s="128"/>
      <c r="CL1790" s="128"/>
      <c r="CM1790" s="128"/>
      <c r="CN1790" s="128"/>
      <c r="CO1790" s="128"/>
      <c r="CP1790" s="128"/>
      <c r="CQ1790" s="128"/>
      <c r="CR1790" s="128"/>
      <c r="CS1790" s="128"/>
      <c r="CT1790" s="128"/>
      <c r="CU1790" s="128"/>
      <c r="CV1790" s="128"/>
      <c r="CW1790" s="128"/>
      <c r="CX1790" s="128"/>
      <c r="CY1790" s="128"/>
      <c r="CZ1790" s="165"/>
    </row>
    <row r="1791" spans="1:104">
      <c r="A1791" s="149"/>
      <c r="B1791" s="149"/>
      <c r="C1791" s="150"/>
      <c r="D1791" s="102"/>
      <c r="E1791" s="149"/>
      <c r="F1791" s="149"/>
      <c r="G1791" s="149"/>
      <c r="H1791" s="149"/>
      <c r="I1791" s="149"/>
      <c r="J1791" s="149"/>
      <c r="K1791" s="149"/>
      <c r="L1791" s="149"/>
      <c r="M1791" s="149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9"/>
      <c r="AA1791" s="149"/>
      <c r="AB1791" s="149"/>
      <c r="AC1791" s="149"/>
      <c r="AD1791" s="149"/>
      <c r="AE1791" s="149"/>
      <c r="AF1791" s="149"/>
      <c r="AG1791" s="149"/>
      <c r="AH1791" s="149"/>
      <c r="AI1791" s="149"/>
      <c r="AJ1791" s="149"/>
      <c r="AK1791" s="149"/>
      <c r="AL1791" s="149"/>
      <c r="AM1791" s="149"/>
      <c r="AN1791" s="149"/>
      <c r="AO1791" s="128"/>
      <c r="AP1791" s="128"/>
      <c r="AQ1791" s="128"/>
      <c r="AR1791" s="128"/>
      <c r="AS1791" s="128"/>
      <c r="AT1791" s="128"/>
      <c r="AU1791" s="128"/>
      <c r="AV1791" s="128"/>
      <c r="AW1791" s="128"/>
      <c r="AX1791" s="128"/>
      <c r="AY1791" s="128"/>
      <c r="AZ1791" s="128"/>
      <c r="BA1791" s="128"/>
      <c r="BB1791" s="128"/>
      <c r="BC1791" s="128"/>
      <c r="BD1791" s="128"/>
      <c r="BE1791" s="128"/>
      <c r="BF1791" s="128"/>
      <c r="BG1791" s="128"/>
      <c r="BH1791" s="128"/>
      <c r="BI1791" s="128"/>
      <c r="BJ1791" s="128"/>
      <c r="BK1791" s="128"/>
      <c r="BL1791" s="128"/>
      <c r="BM1791" s="151"/>
      <c r="BN1791" s="128"/>
      <c r="BO1791" s="128"/>
      <c r="BP1791" s="128"/>
      <c r="BQ1791" s="128"/>
      <c r="BR1791" s="128"/>
      <c r="BS1791" s="128"/>
      <c r="BT1791" s="128"/>
      <c r="BU1791" s="128"/>
      <c r="BV1791" s="128"/>
      <c r="BW1791" s="128"/>
      <c r="BX1791" s="128"/>
      <c r="BY1791" s="128"/>
      <c r="BZ1791" s="128"/>
      <c r="CA1791" s="128"/>
      <c r="CB1791" s="128"/>
      <c r="CC1791" s="128"/>
      <c r="CD1791" s="128"/>
      <c r="CE1791" s="128"/>
      <c r="CF1791" s="128"/>
      <c r="CG1791" s="128"/>
      <c r="CI1791" s="128"/>
      <c r="CJ1791" s="128"/>
      <c r="CK1791" s="128"/>
      <c r="CL1791" s="128"/>
      <c r="CM1791" s="128"/>
      <c r="CN1791" s="128"/>
      <c r="CO1791" s="128"/>
      <c r="CP1791" s="128"/>
      <c r="CQ1791" s="128"/>
      <c r="CR1791" s="128"/>
      <c r="CS1791" s="128"/>
      <c r="CT1791" s="128"/>
      <c r="CU1791" s="128"/>
      <c r="CV1791" s="128"/>
      <c r="CW1791" s="128"/>
      <c r="CX1791" s="128"/>
      <c r="CY1791" s="128"/>
      <c r="CZ1791" s="165"/>
    </row>
    <row r="1792" spans="1:104">
      <c r="A1792" s="149"/>
      <c r="B1792" s="149"/>
      <c r="C1792" s="150"/>
      <c r="D1792" s="102"/>
      <c r="E1792" s="149"/>
      <c r="F1792" s="149"/>
      <c r="G1792" s="149"/>
      <c r="H1792" s="149"/>
      <c r="I1792" s="149"/>
      <c r="J1792" s="149"/>
      <c r="K1792" s="149"/>
      <c r="L1792" s="149"/>
      <c r="M1792" s="149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9"/>
      <c r="AA1792" s="149"/>
      <c r="AB1792" s="149"/>
      <c r="AC1792" s="149"/>
      <c r="AD1792" s="149"/>
      <c r="AE1792" s="149"/>
      <c r="AF1792" s="149"/>
      <c r="AG1792" s="149"/>
      <c r="AH1792" s="149"/>
      <c r="AI1792" s="149"/>
      <c r="AJ1792" s="149"/>
      <c r="AK1792" s="149"/>
      <c r="AL1792" s="149"/>
      <c r="AM1792" s="149"/>
      <c r="AN1792" s="149"/>
      <c r="AO1792" s="128"/>
      <c r="AP1792" s="128"/>
      <c r="AQ1792" s="128"/>
      <c r="AR1792" s="128"/>
      <c r="AS1792" s="128"/>
      <c r="AT1792" s="128"/>
      <c r="AU1792" s="128"/>
      <c r="AV1792" s="128"/>
      <c r="AW1792" s="128"/>
      <c r="AX1792" s="128"/>
      <c r="AY1792" s="128"/>
      <c r="AZ1792" s="128"/>
      <c r="BA1792" s="128"/>
      <c r="BB1792" s="128"/>
      <c r="BC1792" s="128"/>
      <c r="BD1792" s="128"/>
      <c r="BE1792" s="128"/>
      <c r="BF1792" s="128"/>
      <c r="BG1792" s="128"/>
      <c r="BH1792" s="128"/>
      <c r="BI1792" s="128"/>
      <c r="BJ1792" s="128"/>
      <c r="BK1792" s="128"/>
      <c r="BL1792" s="128"/>
      <c r="BM1792" s="151"/>
      <c r="BN1792" s="128"/>
      <c r="BO1792" s="128"/>
      <c r="BP1792" s="128"/>
      <c r="BQ1792" s="128"/>
      <c r="BR1792" s="128"/>
      <c r="BS1792" s="128"/>
      <c r="BT1792" s="128"/>
      <c r="BU1792" s="128"/>
      <c r="BV1792" s="128"/>
      <c r="BW1792" s="128"/>
      <c r="BX1792" s="128"/>
      <c r="BY1792" s="128"/>
      <c r="BZ1792" s="128"/>
      <c r="CA1792" s="128"/>
      <c r="CB1792" s="128"/>
      <c r="CC1792" s="128"/>
      <c r="CD1792" s="128"/>
      <c r="CE1792" s="128"/>
      <c r="CF1792" s="128"/>
      <c r="CG1792" s="128"/>
      <c r="CI1792" s="128"/>
      <c r="CJ1792" s="128"/>
      <c r="CK1792" s="128"/>
      <c r="CL1792" s="128"/>
      <c r="CM1792" s="128"/>
      <c r="CN1792" s="128"/>
      <c r="CO1792" s="128"/>
      <c r="CP1792" s="128"/>
      <c r="CQ1792" s="128"/>
      <c r="CR1792" s="128"/>
      <c r="CS1792" s="128"/>
      <c r="CT1792" s="128"/>
      <c r="CU1792" s="128"/>
      <c r="CV1792" s="128"/>
      <c r="CW1792" s="128"/>
      <c r="CX1792" s="128"/>
      <c r="CY1792" s="128"/>
      <c r="CZ1792" s="165"/>
    </row>
    <row r="1793" spans="1:104">
      <c r="A1793" s="149"/>
      <c r="B1793" s="149"/>
      <c r="C1793" s="150"/>
      <c r="D1793" s="102"/>
      <c r="E1793" s="149"/>
      <c r="F1793" s="149"/>
      <c r="G1793" s="149"/>
      <c r="H1793" s="149"/>
      <c r="I1793" s="149"/>
      <c r="J1793" s="149"/>
      <c r="K1793" s="149"/>
      <c r="L1793" s="149"/>
      <c r="M1793" s="149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9"/>
      <c r="AA1793" s="149"/>
      <c r="AB1793" s="149"/>
      <c r="AC1793" s="149"/>
      <c r="AD1793" s="149"/>
      <c r="AE1793" s="149"/>
      <c r="AF1793" s="149"/>
      <c r="AG1793" s="149"/>
      <c r="AH1793" s="149"/>
      <c r="AI1793" s="149"/>
      <c r="AJ1793" s="149"/>
      <c r="AK1793" s="149"/>
      <c r="AL1793" s="149"/>
      <c r="AM1793" s="149"/>
      <c r="AN1793" s="149"/>
      <c r="AO1793" s="128"/>
      <c r="AP1793" s="128"/>
      <c r="AQ1793" s="128"/>
      <c r="AR1793" s="128"/>
      <c r="AS1793" s="128"/>
      <c r="AT1793" s="128"/>
      <c r="AU1793" s="128"/>
      <c r="AV1793" s="128"/>
      <c r="AW1793" s="128"/>
      <c r="AX1793" s="128"/>
      <c r="AY1793" s="128"/>
      <c r="AZ1793" s="128"/>
      <c r="BA1793" s="128"/>
      <c r="BB1793" s="128"/>
      <c r="BC1793" s="128"/>
      <c r="BD1793" s="128"/>
      <c r="BE1793" s="128"/>
      <c r="BF1793" s="128"/>
      <c r="BG1793" s="128"/>
      <c r="BH1793" s="128"/>
      <c r="BI1793" s="128"/>
      <c r="BJ1793" s="128"/>
      <c r="BK1793" s="128"/>
      <c r="BL1793" s="128"/>
      <c r="BM1793" s="151"/>
      <c r="BN1793" s="128"/>
      <c r="BO1793" s="128"/>
      <c r="BP1793" s="128"/>
      <c r="BQ1793" s="128"/>
      <c r="BR1793" s="128"/>
      <c r="BS1793" s="128"/>
      <c r="BT1793" s="128"/>
      <c r="BU1793" s="128"/>
      <c r="BV1793" s="128"/>
      <c r="BW1793" s="128"/>
      <c r="BX1793" s="128"/>
      <c r="BY1793" s="128"/>
      <c r="BZ1793" s="128"/>
      <c r="CA1793" s="128"/>
      <c r="CB1793" s="128"/>
      <c r="CC1793" s="128"/>
      <c r="CD1793" s="128"/>
      <c r="CE1793" s="128"/>
      <c r="CF1793" s="128"/>
      <c r="CG1793" s="128"/>
      <c r="CI1793" s="128"/>
      <c r="CJ1793" s="128"/>
      <c r="CK1793" s="128"/>
      <c r="CL1793" s="128"/>
      <c r="CM1793" s="128"/>
      <c r="CN1793" s="128"/>
      <c r="CO1793" s="128"/>
      <c r="CP1793" s="128"/>
      <c r="CQ1793" s="128"/>
      <c r="CR1793" s="128"/>
      <c r="CS1793" s="128"/>
      <c r="CT1793" s="128"/>
      <c r="CU1793" s="128"/>
      <c r="CV1793" s="128"/>
      <c r="CW1793" s="128"/>
      <c r="CX1793" s="128"/>
      <c r="CY1793" s="128"/>
      <c r="CZ1793" s="165"/>
    </row>
    <row r="1794" spans="1:104">
      <c r="A1794" s="149"/>
      <c r="B1794" s="149"/>
      <c r="C1794" s="150"/>
      <c r="D1794" s="102"/>
      <c r="E1794" s="149"/>
      <c r="F1794" s="149"/>
      <c r="G1794" s="149"/>
      <c r="H1794" s="149"/>
      <c r="I1794" s="149"/>
      <c r="J1794" s="149"/>
      <c r="K1794" s="149"/>
      <c r="L1794" s="149"/>
      <c r="M1794" s="149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9"/>
      <c r="AA1794" s="149"/>
      <c r="AB1794" s="149"/>
      <c r="AC1794" s="149"/>
      <c r="AD1794" s="149"/>
      <c r="AE1794" s="149"/>
      <c r="AF1794" s="149"/>
      <c r="AG1794" s="149"/>
      <c r="AH1794" s="149"/>
      <c r="AI1794" s="149"/>
      <c r="AJ1794" s="149"/>
      <c r="AK1794" s="149"/>
      <c r="AL1794" s="149"/>
      <c r="AM1794" s="149"/>
      <c r="AN1794" s="149"/>
      <c r="AO1794" s="128"/>
      <c r="AP1794" s="128"/>
      <c r="AQ1794" s="128"/>
      <c r="AR1794" s="128"/>
      <c r="AS1794" s="128"/>
      <c r="AT1794" s="128"/>
      <c r="AU1794" s="128"/>
      <c r="AV1794" s="128"/>
      <c r="AW1794" s="128"/>
      <c r="AX1794" s="128"/>
      <c r="AY1794" s="128"/>
      <c r="AZ1794" s="128"/>
      <c r="BA1794" s="128"/>
      <c r="BB1794" s="128"/>
      <c r="BC1794" s="128"/>
      <c r="BD1794" s="128"/>
      <c r="BE1794" s="128"/>
      <c r="BF1794" s="128"/>
      <c r="BG1794" s="128"/>
      <c r="BH1794" s="128"/>
      <c r="BI1794" s="128"/>
      <c r="BJ1794" s="128"/>
      <c r="BK1794" s="128"/>
      <c r="BL1794" s="128"/>
      <c r="BM1794" s="151"/>
      <c r="BN1794" s="128"/>
      <c r="BO1794" s="128"/>
      <c r="BP1794" s="128"/>
      <c r="BQ1794" s="128"/>
      <c r="BR1794" s="128"/>
      <c r="BS1794" s="128"/>
      <c r="BT1794" s="128"/>
      <c r="BU1794" s="128"/>
      <c r="BV1794" s="128"/>
      <c r="BW1794" s="128"/>
      <c r="BX1794" s="128"/>
      <c r="BY1794" s="128"/>
      <c r="BZ1794" s="128"/>
      <c r="CA1794" s="128"/>
      <c r="CB1794" s="128"/>
      <c r="CC1794" s="128"/>
      <c r="CD1794" s="128"/>
      <c r="CE1794" s="128"/>
      <c r="CF1794" s="128"/>
      <c r="CG1794" s="128"/>
      <c r="CI1794" s="128"/>
      <c r="CJ1794" s="128"/>
      <c r="CK1794" s="128"/>
      <c r="CL1794" s="128"/>
      <c r="CM1794" s="128"/>
      <c r="CN1794" s="128"/>
      <c r="CO1794" s="128"/>
      <c r="CP1794" s="128"/>
      <c r="CQ1794" s="128"/>
      <c r="CR1794" s="128"/>
      <c r="CS1794" s="128"/>
      <c r="CT1794" s="128"/>
      <c r="CU1794" s="128"/>
      <c r="CV1794" s="128"/>
      <c r="CW1794" s="128"/>
      <c r="CX1794" s="128"/>
      <c r="CY1794" s="128"/>
      <c r="CZ1794" s="165"/>
    </row>
    <row r="1795" spans="1:104">
      <c r="A1795" s="149"/>
      <c r="B1795" s="149"/>
      <c r="C1795" s="150"/>
      <c r="D1795" s="102"/>
      <c r="E1795" s="149"/>
      <c r="F1795" s="149"/>
      <c r="G1795" s="149"/>
      <c r="H1795" s="149"/>
      <c r="I1795" s="149"/>
      <c r="J1795" s="149"/>
      <c r="K1795" s="149"/>
      <c r="L1795" s="149"/>
      <c r="M1795" s="149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9"/>
      <c r="AA1795" s="149"/>
      <c r="AB1795" s="149"/>
      <c r="AC1795" s="149"/>
      <c r="AD1795" s="149"/>
      <c r="AE1795" s="149"/>
      <c r="AF1795" s="149"/>
      <c r="AG1795" s="149"/>
      <c r="AH1795" s="149"/>
      <c r="AI1795" s="149"/>
      <c r="AJ1795" s="149"/>
      <c r="AK1795" s="149"/>
      <c r="AL1795" s="149"/>
      <c r="AM1795" s="149"/>
      <c r="AN1795" s="149"/>
      <c r="AO1795" s="128"/>
      <c r="AP1795" s="128"/>
      <c r="AQ1795" s="128"/>
      <c r="AR1795" s="128"/>
      <c r="AS1795" s="128"/>
      <c r="AT1795" s="128"/>
      <c r="AU1795" s="128"/>
      <c r="AV1795" s="128"/>
      <c r="AW1795" s="128"/>
      <c r="AX1795" s="128"/>
      <c r="AY1795" s="128"/>
      <c r="AZ1795" s="128"/>
      <c r="BA1795" s="128"/>
      <c r="BB1795" s="128"/>
      <c r="BC1795" s="128"/>
      <c r="BD1795" s="128"/>
      <c r="BE1795" s="128"/>
      <c r="BF1795" s="128"/>
      <c r="BG1795" s="128"/>
      <c r="BH1795" s="128"/>
      <c r="BI1795" s="128"/>
      <c r="BJ1795" s="128"/>
      <c r="BK1795" s="128"/>
      <c r="BL1795" s="128"/>
      <c r="BM1795" s="151"/>
      <c r="BN1795" s="128"/>
      <c r="BO1795" s="128"/>
      <c r="BP1795" s="128"/>
      <c r="BQ1795" s="128"/>
      <c r="BR1795" s="128"/>
      <c r="BS1795" s="128"/>
      <c r="BT1795" s="128"/>
      <c r="BU1795" s="128"/>
      <c r="BV1795" s="128"/>
      <c r="BW1795" s="128"/>
      <c r="BX1795" s="128"/>
      <c r="BY1795" s="128"/>
      <c r="BZ1795" s="128"/>
      <c r="CA1795" s="128"/>
      <c r="CB1795" s="128"/>
      <c r="CC1795" s="128"/>
      <c r="CD1795" s="128"/>
      <c r="CE1795" s="128"/>
      <c r="CF1795" s="128"/>
      <c r="CG1795" s="128"/>
      <c r="CI1795" s="128"/>
      <c r="CJ1795" s="128"/>
      <c r="CK1795" s="128"/>
      <c r="CL1795" s="128"/>
      <c r="CM1795" s="128"/>
      <c r="CN1795" s="128"/>
      <c r="CO1795" s="128"/>
      <c r="CP1795" s="128"/>
      <c r="CQ1795" s="128"/>
      <c r="CR1795" s="128"/>
      <c r="CS1795" s="128"/>
      <c r="CT1795" s="128"/>
      <c r="CU1795" s="128"/>
      <c r="CV1795" s="128"/>
      <c r="CW1795" s="128"/>
      <c r="CX1795" s="128"/>
      <c r="CY1795" s="128"/>
      <c r="CZ1795" s="165"/>
    </row>
    <row r="1796" spans="1:104">
      <c r="A1796" s="149"/>
      <c r="B1796" s="149"/>
      <c r="C1796" s="150"/>
      <c r="D1796" s="102"/>
      <c r="E1796" s="149"/>
      <c r="F1796" s="149"/>
      <c r="G1796" s="149"/>
      <c r="H1796" s="149"/>
      <c r="I1796" s="149"/>
      <c r="J1796" s="149"/>
      <c r="K1796" s="149"/>
      <c r="L1796" s="149"/>
      <c r="M1796" s="149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9"/>
      <c r="AA1796" s="149"/>
      <c r="AB1796" s="149"/>
      <c r="AC1796" s="149"/>
      <c r="AD1796" s="149"/>
      <c r="AE1796" s="149"/>
      <c r="AF1796" s="149"/>
      <c r="AG1796" s="149"/>
      <c r="AH1796" s="149"/>
      <c r="AI1796" s="149"/>
      <c r="AJ1796" s="149"/>
      <c r="AK1796" s="149"/>
      <c r="AL1796" s="149"/>
      <c r="AM1796" s="149"/>
      <c r="AN1796" s="149"/>
      <c r="AO1796" s="128"/>
      <c r="AP1796" s="128"/>
      <c r="AQ1796" s="128"/>
      <c r="AR1796" s="128"/>
      <c r="AS1796" s="128"/>
      <c r="AT1796" s="128"/>
      <c r="AU1796" s="128"/>
      <c r="AV1796" s="128"/>
      <c r="AW1796" s="128"/>
      <c r="AX1796" s="128"/>
      <c r="AY1796" s="128"/>
      <c r="AZ1796" s="128"/>
      <c r="BA1796" s="128"/>
      <c r="BB1796" s="128"/>
      <c r="BC1796" s="128"/>
      <c r="BD1796" s="128"/>
      <c r="BE1796" s="128"/>
      <c r="BF1796" s="128"/>
      <c r="BG1796" s="128"/>
      <c r="BH1796" s="128"/>
      <c r="BI1796" s="128"/>
      <c r="BJ1796" s="128"/>
      <c r="BK1796" s="128"/>
      <c r="BL1796" s="128"/>
      <c r="BM1796" s="151"/>
      <c r="BN1796" s="128"/>
      <c r="BO1796" s="128"/>
      <c r="BP1796" s="128"/>
      <c r="BQ1796" s="128"/>
      <c r="BR1796" s="128"/>
      <c r="BS1796" s="128"/>
      <c r="BT1796" s="128"/>
      <c r="BU1796" s="128"/>
      <c r="BV1796" s="128"/>
      <c r="BW1796" s="128"/>
      <c r="BX1796" s="128"/>
      <c r="BY1796" s="128"/>
      <c r="BZ1796" s="128"/>
      <c r="CA1796" s="128"/>
      <c r="CB1796" s="128"/>
      <c r="CC1796" s="128"/>
      <c r="CD1796" s="128"/>
      <c r="CE1796" s="128"/>
      <c r="CF1796" s="128"/>
      <c r="CG1796" s="128"/>
      <c r="CI1796" s="128"/>
      <c r="CJ1796" s="128"/>
      <c r="CK1796" s="128"/>
      <c r="CL1796" s="128"/>
      <c r="CM1796" s="128"/>
      <c r="CN1796" s="128"/>
      <c r="CO1796" s="128"/>
      <c r="CP1796" s="128"/>
      <c r="CQ1796" s="128"/>
      <c r="CR1796" s="128"/>
      <c r="CS1796" s="128"/>
      <c r="CT1796" s="128"/>
      <c r="CU1796" s="128"/>
      <c r="CV1796" s="128"/>
      <c r="CW1796" s="128"/>
      <c r="CX1796" s="128"/>
      <c r="CY1796" s="128"/>
      <c r="CZ1796" s="165"/>
    </row>
    <row r="1797" spans="1:104">
      <c r="A1797" s="149"/>
      <c r="B1797" s="149"/>
      <c r="C1797" s="150"/>
      <c r="D1797" s="102"/>
      <c r="E1797" s="149"/>
      <c r="F1797" s="149"/>
      <c r="G1797" s="149"/>
      <c r="H1797" s="149"/>
      <c r="I1797" s="149"/>
      <c r="J1797" s="149"/>
      <c r="K1797" s="149"/>
      <c r="L1797" s="149"/>
      <c r="M1797" s="149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9"/>
      <c r="AA1797" s="149"/>
      <c r="AB1797" s="149"/>
      <c r="AC1797" s="149"/>
      <c r="AD1797" s="149"/>
      <c r="AE1797" s="149"/>
      <c r="AF1797" s="149"/>
      <c r="AG1797" s="149"/>
      <c r="AH1797" s="149"/>
      <c r="AI1797" s="149"/>
      <c r="AJ1797" s="149"/>
      <c r="AK1797" s="149"/>
      <c r="AL1797" s="149"/>
      <c r="AM1797" s="149"/>
      <c r="AN1797" s="149"/>
      <c r="AO1797" s="128"/>
      <c r="AP1797" s="128"/>
      <c r="AQ1797" s="128"/>
      <c r="AR1797" s="128"/>
      <c r="AS1797" s="128"/>
      <c r="AT1797" s="128"/>
      <c r="AU1797" s="128"/>
      <c r="AV1797" s="128"/>
      <c r="AW1797" s="128"/>
      <c r="AX1797" s="128"/>
      <c r="AY1797" s="128"/>
      <c r="AZ1797" s="128"/>
      <c r="BA1797" s="128"/>
      <c r="BB1797" s="128"/>
      <c r="BC1797" s="128"/>
      <c r="BD1797" s="128"/>
      <c r="BE1797" s="128"/>
      <c r="BF1797" s="128"/>
      <c r="BG1797" s="128"/>
      <c r="BH1797" s="128"/>
      <c r="BI1797" s="128"/>
      <c r="BJ1797" s="128"/>
      <c r="BK1797" s="128"/>
      <c r="BL1797" s="128"/>
      <c r="BM1797" s="151"/>
      <c r="BN1797" s="128"/>
      <c r="BO1797" s="128"/>
      <c r="BP1797" s="128"/>
      <c r="BQ1797" s="128"/>
      <c r="BR1797" s="128"/>
      <c r="BS1797" s="128"/>
      <c r="BT1797" s="128"/>
      <c r="BU1797" s="128"/>
      <c r="BV1797" s="128"/>
      <c r="BW1797" s="128"/>
      <c r="BX1797" s="128"/>
      <c r="BY1797" s="128"/>
      <c r="BZ1797" s="128"/>
      <c r="CA1797" s="128"/>
      <c r="CB1797" s="128"/>
      <c r="CC1797" s="128"/>
      <c r="CD1797" s="128"/>
      <c r="CE1797" s="128"/>
      <c r="CF1797" s="128"/>
      <c r="CG1797" s="128"/>
      <c r="CI1797" s="128"/>
      <c r="CJ1797" s="128"/>
      <c r="CK1797" s="128"/>
      <c r="CL1797" s="128"/>
      <c r="CM1797" s="128"/>
      <c r="CN1797" s="128"/>
      <c r="CO1797" s="128"/>
      <c r="CP1797" s="128"/>
      <c r="CQ1797" s="128"/>
      <c r="CR1797" s="128"/>
      <c r="CS1797" s="128"/>
      <c r="CT1797" s="128"/>
      <c r="CU1797" s="128"/>
      <c r="CV1797" s="128"/>
      <c r="CW1797" s="128"/>
      <c r="CX1797" s="128"/>
      <c r="CY1797" s="128"/>
      <c r="CZ1797" s="165"/>
    </row>
    <row r="1798" spans="1:104">
      <c r="A1798" s="149"/>
      <c r="B1798" s="149"/>
      <c r="C1798" s="150"/>
      <c r="D1798" s="102"/>
      <c r="E1798" s="149"/>
      <c r="F1798" s="149"/>
      <c r="G1798" s="149"/>
      <c r="H1798" s="149"/>
      <c r="I1798" s="149"/>
      <c r="J1798" s="149"/>
      <c r="K1798" s="149"/>
      <c r="L1798" s="149"/>
      <c r="M1798" s="149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9"/>
      <c r="AA1798" s="149"/>
      <c r="AB1798" s="149"/>
      <c r="AC1798" s="149"/>
      <c r="AD1798" s="149"/>
      <c r="AE1798" s="149"/>
      <c r="AF1798" s="149"/>
      <c r="AG1798" s="149"/>
      <c r="AH1798" s="149"/>
      <c r="AI1798" s="149"/>
      <c r="AJ1798" s="149"/>
      <c r="AK1798" s="149"/>
      <c r="AL1798" s="149"/>
      <c r="AM1798" s="149"/>
      <c r="AN1798" s="149"/>
      <c r="AO1798" s="128"/>
      <c r="AP1798" s="128"/>
      <c r="AQ1798" s="128"/>
      <c r="AR1798" s="128"/>
      <c r="AS1798" s="128"/>
      <c r="AT1798" s="128"/>
      <c r="AU1798" s="128"/>
      <c r="AV1798" s="128"/>
      <c r="AW1798" s="128"/>
      <c r="AX1798" s="128"/>
      <c r="AY1798" s="128"/>
      <c r="AZ1798" s="128"/>
      <c r="BA1798" s="128"/>
      <c r="BB1798" s="128"/>
      <c r="BC1798" s="128"/>
      <c r="BD1798" s="128"/>
      <c r="BE1798" s="128"/>
      <c r="BF1798" s="128"/>
      <c r="BG1798" s="128"/>
      <c r="BH1798" s="128"/>
      <c r="BI1798" s="128"/>
      <c r="BJ1798" s="128"/>
      <c r="BK1798" s="128"/>
      <c r="BL1798" s="128"/>
      <c r="BM1798" s="151"/>
      <c r="BN1798" s="128"/>
      <c r="BO1798" s="128"/>
      <c r="BP1798" s="128"/>
      <c r="BQ1798" s="128"/>
      <c r="BR1798" s="128"/>
      <c r="BS1798" s="128"/>
      <c r="BT1798" s="128"/>
      <c r="BU1798" s="128"/>
      <c r="BV1798" s="128"/>
      <c r="BW1798" s="128"/>
      <c r="BX1798" s="128"/>
      <c r="BY1798" s="128"/>
      <c r="BZ1798" s="128"/>
      <c r="CA1798" s="128"/>
      <c r="CB1798" s="128"/>
      <c r="CC1798" s="128"/>
      <c r="CD1798" s="128"/>
      <c r="CE1798" s="128"/>
      <c r="CF1798" s="128"/>
      <c r="CG1798" s="128"/>
      <c r="CI1798" s="128"/>
      <c r="CJ1798" s="128"/>
      <c r="CK1798" s="128"/>
      <c r="CL1798" s="128"/>
      <c r="CM1798" s="128"/>
      <c r="CN1798" s="128"/>
      <c r="CO1798" s="128"/>
      <c r="CP1798" s="128"/>
      <c r="CQ1798" s="128"/>
      <c r="CR1798" s="128"/>
      <c r="CS1798" s="128"/>
      <c r="CT1798" s="128"/>
      <c r="CU1798" s="128"/>
      <c r="CV1798" s="128"/>
      <c r="CW1798" s="128"/>
      <c r="CX1798" s="128"/>
      <c r="CY1798" s="128"/>
      <c r="CZ1798" s="165"/>
    </row>
    <row r="1799" spans="1:104">
      <c r="A1799" s="149"/>
      <c r="B1799" s="149"/>
      <c r="C1799" s="150"/>
      <c r="D1799" s="102"/>
      <c r="E1799" s="149"/>
      <c r="F1799" s="149"/>
      <c r="G1799" s="149"/>
      <c r="H1799" s="149"/>
      <c r="I1799" s="149"/>
      <c r="J1799" s="149"/>
      <c r="K1799" s="149"/>
      <c r="L1799" s="149"/>
      <c r="M1799" s="149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9"/>
      <c r="AA1799" s="149"/>
      <c r="AB1799" s="149"/>
      <c r="AC1799" s="149"/>
      <c r="AD1799" s="149"/>
      <c r="AE1799" s="149"/>
      <c r="AF1799" s="149"/>
      <c r="AG1799" s="149"/>
      <c r="AH1799" s="149"/>
      <c r="AI1799" s="149"/>
      <c r="AJ1799" s="149"/>
      <c r="AK1799" s="149"/>
      <c r="AL1799" s="149"/>
      <c r="AM1799" s="149"/>
      <c r="AN1799" s="149"/>
      <c r="AO1799" s="128"/>
      <c r="AP1799" s="128"/>
      <c r="AQ1799" s="128"/>
      <c r="AR1799" s="128"/>
      <c r="AS1799" s="128"/>
      <c r="AT1799" s="128"/>
      <c r="AU1799" s="128"/>
      <c r="AV1799" s="128"/>
      <c r="AW1799" s="128"/>
      <c r="AX1799" s="128"/>
      <c r="AY1799" s="128"/>
      <c r="AZ1799" s="128"/>
      <c r="BA1799" s="128"/>
      <c r="BB1799" s="128"/>
      <c r="BC1799" s="128"/>
      <c r="BD1799" s="128"/>
      <c r="BE1799" s="128"/>
      <c r="BF1799" s="128"/>
      <c r="BG1799" s="128"/>
      <c r="BH1799" s="128"/>
      <c r="BI1799" s="128"/>
      <c r="BJ1799" s="128"/>
      <c r="BK1799" s="128"/>
      <c r="BL1799" s="128"/>
      <c r="BM1799" s="151"/>
      <c r="BN1799" s="128"/>
      <c r="BO1799" s="128"/>
      <c r="BP1799" s="128"/>
      <c r="BQ1799" s="128"/>
      <c r="BR1799" s="128"/>
      <c r="BS1799" s="128"/>
      <c r="BT1799" s="128"/>
      <c r="BU1799" s="128"/>
      <c r="BV1799" s="128"/>
      <c r="BW1799" s="128"/>
      <c r="BX1799" s="128"/>
      <c r="BY1799" s="128"/>
      <c r="BZ1799" s="128"/>
      <c r="CA1799" s="128"/>
      <c r="CB1799" s="128"/>
      <c r="CC1799" s="128"/>
      <c r="CD1799" s="128"/>
      <c r="CE1799" s="128"/>
      <c r="CF1799" s="128"/>
      <c r="CG1799" s="128"/>
      <c r="CI1799" s="128"/>
      <c r="CJ1799" s="128"/>
      <c r="CK1799" s="128"/>
      <c r="CL1799" s="128"/>
      <c r="CM1799" s="128"/>
      <c r="CN1799" s="128"/>
      <c r="CO1799" s="128"/>
      <c r="CP1799" s="128"/>
      <c r="CQ1799" s="128"/>
      <c r="CR1799" s="128"/>
      <c r="CS1799" s="128"/>
      <c r="CT1799" s="128"/>
      <c r="CU1799" s="128"/>
      <c r="CV1799" s="128"/>
      <c r="CW1799" s="128"/>
      <c r="CX1799" s="128"/>
      <c r="CY1799" s="128"/>
      <c r="CZ1799" s="165"/>
    </row>
    <row r="1800" spans="1:104">
      <c r="A1800" s="149"/>
      <c r="B1800" s="149"/>
      <c r="C1800" s="150"/>
      <c r="D1800" s="102"/>
      <c r="E1800" s="149"/>
      <c r="F1800" s="149"/>
      <c r="G1800" s="149"/>
      <c r="H1800" s="149"/>
      <c r="I1800" s="149"/>
      <c r="J1800" s="149"/>
      <c r="K1800" s="149"/>
      <c r="L1800" s="149"/>
      <c r="M1800" s="149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9"/>
      <c r="AA1800" s="149"/>
      <c r="AB1800" s="149"/>
      <c r="AC1800" s="149"/>
      <c r="AD1800" s="149"/>
      <c r="AE1800" s="149"/>
      <c r="AF1800" s="149"/>
      <c r="AG1800" s="149"/>
      <c r="AH1800" s="149"/>
      <c r="AI1800" s="149"/>
      <c r="AJ1800" s="149"/>
      <c r="AK1800" s="149"/>
      <c r="AL1800" s="149"/>
      <c r="AM1800" s="149"/>
      <c r="AN1800" s="149"/>
      <c r="AO1800" s="128"/>
      <c r="AP1800" s="128"/>
      <c r="AQ1800" s="128"/>
      <c r="AR1800" s="128"/>
      <c r="AS1800" s="128"/>
      <c r="AT1800" s="128"/>
      <c r="AU1800" s="128"/>
      <c r="AV1800" s="128"/>
      <c r="AW1800" s="128"/>
      <c r="AX1800" s="128"/>
      <c r="AY1800" s="128"/>
      <c r="AZ1800" s="128"/>
      <c r="BA1800" s="128"/>
      <c r="BB1800" s="128"/>
      <c r="BC1800" s="128"/>
      <c r="BD1800" s="128"/>
      <c r="BE1800" s="128"/>
      <c r="BF1800" s="128"/>
      <c r="BG1800" s="128"/>
      <c r="BH1800" s="128"/>
      <c r="BI1800" s="128"/>
      <c r="BJ1800" s="128"/>
      <c r="BK1800" s="128"/>
      <c r="BL1800" s="128"/>
      <c r="BM1800" s="151"/>
      <c r="BN1800" s="128"/>
      <c r="BO1800" s="128"/>
      <c r="BP1800" s="128"/>
      <c r="BQ1800" s="128"/>
      <c r="BR1800" s="128"/>
      <c r="BS1800" s="128"/>
      <c r="BT1800" s="128"/>
      <c r="BU1800" s="128"/>
      <c r="BV1800" s="128"/>
      <c r="BW1800" s="128"/>
      <c r="BX1800" s="128"/>
      <c r="BY1800" s="128"/>
      <c r="BZ1800" s="128"/>
      <c r="CA1800" s="128"/>
      <c r="CB1800" s="128"/>
      <c r="CC1800" s="128"/>
      <c r="CD1800" s="128"/>
      <c r="CE1800" s="128"/>
      <c r="CF1800" s="128"/>
      <c r="CG1800" s="128"/>
      <c r="CI1800" s="128"/>
      <c r="CJ1800" s="128"/>
      <c r="CK1800" s="128"/>
      <c r="CL1800" s="128"/>
      <c r="CM1800" s="128"/>
      <c r="CN1800" s="128"/>
      <c r="CO1800" s="128"/>
      <c r="CP1800" s="128"/>
      <c r="CQ1800" s="128"/>
      <c r="CR1800" s="128"/>
      <c r="CS1800" s="128"/>
      <c r="CT1800" s="128"/>
      <c r="CU1800" s="128"/>
      <c r="CV1800" s="128"/>
      <c r="CW1800" s="128"/>
      <c r="CX1800" s="128"/>
      <c r="CY1800" s="128"/>
      <c r="CZ1800" s="165"/>
    </row>
    <row r="1801" spans="1:104">
      <c r="A1801" s="149"/>
      <c r="B1801" s="149"/>
      <c r="C1801" s="150"/>
      <c r="D1801" s="102"/>
      <c r="E1801" s="149"/>
      <c r="F1801" s="149"/>
      <c r="G1801" s="149"/>
      <c r="H1801" s="149"/>
      <c r="I1801" s="149"/>
      <c r="J1801" s="149"/>
      <c r="K1801" s="149"/>
      <c r="L1801" s="149"/>
      <c r="M1801" s="149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9"/>
      <c r="AA1801" s="149"/>
      <c r="AB1801" s="149"/>
      <c r="AC1801" s="149"/>
      <c r="AD1801" s="149"/>
      <c r="AE1801" s="149"/>
      <c r="AF1801" s="149"/>
      <c r="AG1801" s="149"/>
      <c r="AH1801" s="149"/>
      <c r="AI1801" s="149"/>
      <c r="AJ1801" s="149"/>
      <c r="AK1801" s="149"/>
      <c r="AL1801" s="149"/>
      <c r="AM1801" s="149"/>
      <c r="AN1801" s="149"/>
      <c r="AO1801" s="128"/>
      <c r="AP1801" s="128"/>
      <c r="AQ1801" s="128"/>
      <c r="AR1801" s="128"/>
      <c r="AS1801" s="128"/>
      <c r="AT1801" s="128"/>
      <c r="AU1801" s="128"/>
      <c r="AV1801" s="128"/>
      <c r="AW1801" s="128"/>
      <c r="AX1801" s="128"/>
      <c r="AY1801" s="128"/>
      <c r="AZ1801" s="128"/>
      <c r="BA1801" s="128"/>
      <c r="BB1801" s="128"/>
      <c r="BC1801" s="128"/>
      <c r="BD1801" s="128"/>
      <c r="BE1801" s="128"/>
      <c r="BF1801" s="128"/>
      <c r="BG1801" s="128"/>
      <c r="BH1801" s="128"/>
      <c r="BI1801" s="128"/>
      <c r="BJ1801" s="128"/>
      <c r="BK1801" s="128"/>
      <c r="BL1801" s="128"/>
      <c r="BM1801" s="151"/>
      <c r="BN1801" s="128"/>
      <c r="BO1801" s="128"/>
      <c r="BP1801" s="128"/>
      <c r="BQ1801" s="128"/>
      <c r="BR1801" s="128"/>
      <c r="BS1801" s="128"/>
      <c r="BT1801" s="128"/>
      <c r="BU1801" s="128"/>
      <c r="BV1801" s="128"/>
      <c r="BW1801" s="128"/>
      <c r="BX1801" s="128"/>
      <c r="BY1801" s="128"/>
      <c r="BZ1801" s="128"/>
      <c r="CA1801" s="128"/>
      <c r="CB1801" s="128"/>
      <c r="CC1801" s="128"/>
      <c r="CD1801" s="128"/>
      <c r="CE1801" s="128"/>
      <c r="CF1801" s="128"/>
      <c r="CG1801" s="128"/>
      <c r="CI1801" s="128"/>
      <c r="CJ1801" s="128"/>
      <c r="CK1801" s="128"/>
      <c r="CL1801" s="128"/>
      <c r="CM1801" s="128"/>
      <c r="CN1801" s="128"/>
      <c r="CO1801" s="128"/>
      <c r="CP1801" s="128"/>
      <c r="CQ1801" s="128"/>
      <c r="CR1801" s="128"/>
      <c r="CS1801" s="128"/>
      <c r="CT1801" s="128"/>
      <c r="CU1801" s="128"/>
      <c r="CV1801" s="128"/>
      <c r="CW1801" s="128"/>
      <c r="CX1801" s="128"/>
      <c r="CY1801" s="128"/>
      <c r="CZ1801" s="165"/>
    </row>
    <row r="1802" spans="1:104">
      <c r="A1802" s="149"/>
      <c r="B1802" s="149"/>
      <c r="C1802" s="150"/>
      <c r="D1802" s="102"/>
      <c r="E1802" s="149"/>
      <c r="F1802" s="149"/>
      <c r="G1802" s="149"/>
      <c r="H1802" s="149"/>
      <c r="I1802" s="149"/>
      <c r="J1802" s="149"/>
      <c r="K1802" s="149"/>
      <c r="L1802" s="149"/>
      <c r="M1802" s="149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9"/>
      <c r="AA1802" s="149"/>
      <c r="AB1802" s="149"/>
      <c r="AC1802" s="149"/>
      <c r="AD1802" s="149"/>
      <c r="AE1802" s="149"/>
      <c r="AF1802" s="149"/>
      <c r="AG1802" s="149"/>
      <c r="AH1802" s="149"/>
      <c r="AI1802" s="149"/>
      <c r="AJ1802" s="149"/>
      <c r="AK1802" s="149"/>
      <c r="AL1802" s="149"/>
      <c r="AM1802" s="149"/>
      <c r="AN1802" s="149"/>
      <c r="AO1802" s="128"/>
      <c r="AP1802" s="128"/>
      <c r="AQ1802" s="128"/>
      <c r="AR1802" s="128"/>
      <c r="AS1802" s="128"/>
      <c r="AT1802" s="128"/>
      <c r="AU1802" s="128"/>
      <c r="AV1802" s="128"/>
      <c r="AW1802" s="128"/>
      <c r="AX1802" s="128"/>
      <c r="AY1802" s="128"/>
      <c r="AZ1802" s="128"/>
      <c r="BA1802" s="128"/>
      <c r="BB1802" s="128"/>
      <c r="BC1802" s="128"/>
      <c r="BD1802" s="128"/>
      <c r="BE1802" s="128"/>
      <c r="BF1802" s="128"/>
      <c r="BG1802" s="128"/>
      <c r="BH1802" s="128"/>
      <c r="BI1802" s="128"/>
      <c r="BJ1802" s="128"/>
      <c r="BK1802" s="128"/>
      <c r="BL1802" s="128"/>
      <c r="BM1802" s="151"/>
      <c r="BN1802" s="128"/>
      <c r="BO1802" s="128"/>
      <c r="BP1802" s="128"/>
      <c r="BQ1802" s="128"/>
      <c r="BR1802" s="128"/>
      <c r="BS1802" s="128"/>
      <c r="BT1802" s="128"/>
      <c r="BU1802" s="128"/>
      <c r="BV1802" s="128"/>
      <c r="BW1802" s="128"/>
      <c r="BX1802" s="128"/>
      <c r="BY1802" s="128"/>
      <c r="BZ1802" s="128"/>
      <c r="CA1802" s="128"/>
      <c r="CB1802" s="128"/>
      <c r="CC1802" s="128"/>
      <c r="CD1802" s="128"/>
      <c r="CE1802" s="128"/>
      <c r="CF1802" s="128"/>
      <c r="CG1802" s="128"/>
      <c r="CI1802" s="128"/>
      <c r="CJ1802" s="128"/>
      <c r="CK1802" s="128"/>
      <c r="CL1802" s="128"/>
      <c r="CM1802" s="128"/>
      <c r="CN1802" s="128"/>
      <c r="CO1802" s="128"/>
      <c r="CP1802" s="128"/>
      <c r="CQ1802" s="128"/>
      <c r="CR1802" s="128"/>
      <c r="CS1802" s="128"/>
      <c r="CT1802" s="128"/>
      <c r="CU1802" s="128"/>
      <c r="CV1802" s="128"/>
      <c r="CW1802" s="128"/>
      <c r="CX1802" s="128"/>
      <c r="CY1802" s="128"/>
      <c r="CZ1802" s="165"/>
    </row>
    <row r="1803" spans="1:104">
      <c r="A1803" s="149"/>
      <c r="B1803" s="149"/>
      <c r="C1803" s="150"/>
      <c r="D1803" s="102"/>
      <c r="E1803" s="149"/>
      <c r="F1803" s="149"/>
      <c r="G1803" s="149"/>
      <c r="H1803" s="149"/>
      <c r="I1803" s="149"/>
      <c r="J1803" s="149"/>
      <c r="K1803" s="149"/>
      <c r="L1803" s="149"/>
      <c r="M1803" s="149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9"/>
      <c r="AA1803" s="149"/>
      <c r="AB1803" s="149"/>
      <c r="AC1803" s="149"/>
      <c r="AD1803" s="149"/>
      <c r="AE1803" s="149"/>
      <c r="AF1803" s="149"/>
      <c r="AG1803" s="149"/>
      <c r="AH1803" s="149"/>
      <c r="AI1803" s="149"/>
      <c r="AJ1803" s="149"/>
      <c r="AK1803" s="149"/>
      <c r="AL1803" s="149"/>
      <c r="AM1803" s="149"/>
      <c r="AN1803" s="149"/>
      <c r="AO1803" s="128"/>
      <c r="AP1803" s="128"/>
      <c r="AQ1803" s="128"/>
      <c r="AR1803" s="128"/>
      <c r="AS1803" s="128"/>
      <c r="AT1803" s="128"/>
      <c r="AU1803" s="128"/>
      <c r="AV1803" s="128"/>
      <c r="AW1803" s="128"/>
      <c r="AX1803" s="128"/>
      <c r="AY1803" s="128"/>
      <c r="AZ1803" s="128"/>
      <c r="BA1803" s="128"/>
      <c r="BB1803" s="128"/>
      <c r="BC1803" s="128"/>
      <c r="BD1803" s="128"/>
      <c r="BE1803" s="128"/>
      <c r="BF1803" s="128"/>
      <c r="BG1803" s="128"/>
      <c r="BH1803" s="128"/>
      <c r="BI1803" s="128"/>
      <c r="BJ1803" s="128"/>
      <c r="BK1803" s="128"/>
      <c r="BL1803" s="128"/>
      <c r="BM1803" s="151"/>
      <c r="BN1803" s="128"/>
      <c r="BO1803" s="128"/>
      <c r="BP1803" s="128"/>
      <c r="BQ1803" s="128"/>
      <c r="BR1803" s="128"/>
      <c r="BS1803" s="128"/>
      <c r="BT1803" s="128"/>
      <c r="BU1803" s="128"/>
      <c r="BV1803" s="128"/>
      <c r="BW1803" s="128"/>
      <c r="BX1803" s="128"/>
      <c r="BY1803" s="128"/>
      <c r="BZ1803" s="128"/>
      <c r="CA1803" s="128"/>
      <c r="CB1803" s="128"/>
      <c r="CC1803" s="128"/>
      <c r="CD1803" s="128"/>
      <c r="CE1803" s="128"/>
      <c r="CF1803" s="128"/>
      <c r="CG1803" s="128"/>
      <c r="CI1803" s="128"/>
      <c r="CJ1803" s="128"/>
      <c r="CK1803" s="128"/>
      <c r="CL1803" s="128"/>
      <c r="CM1803" s="128"/>
      <c r="CN1803" s="128"/>
      <c r="CO1803" s="128"/>
      <c r="CP1803" s="128"/>
      <c r="CQ1803" s="128"/>
      <c r="CR1803" s="128"/>
      <c r="CS1803" s="128"/>
      <c r="CT1803" s="128"/>
      <c r="CU1803" s="128"/>
      <c r="CV1803" s="128"/>
      <c r="CW1803" s="128"/>
      <c r="CX1803" s="128"/>
      <c r="CY1803" s="128"/>
      <c r="CZ1803" s="165"/>
    </row>
    <row r="1804" spans="1:104">
      <c r="A1804" s="149"/>
      <c r="B1804" s="149"/>
      <c r="C1804" s="150"/>
      <c r="D1804" s="102"/>
      <c r="E1804" s="149"/>
      <c r="F1804" s="149"/>
      <c r="G1804" s="149"/>
      <c r="H1804" s="149"/>
      <c r="I1804" s="149"/>
      <c r="J1804" s="149"/>
      <c r="K1804" s="149"/>
      <c r="L1804" s="149"/>
      <c r="M1804" s="149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9"/>
      <c r="AA1804" s="149"/>
      <c r="AB1804" s="149"/>
      <c r="AC1804" s="149"/>
      <c r="AD1804" s="149"/>
      <c r="AE1804" s="149"/>
      <c r="AF1804" s="149"/>
      <c r="AG1804" s="149"/>
      <c r="AH1804" s="149"/>
      <c r="AI1804" s="149"/>
      <c r="AJ1804" s="149"/>
      <c r="AK1804" s="149"/>
      <c r="AL1804" s="149"/>
      <c r="AM1804" s="149"/>
      <c r="AN1804" s="149"/>
      <c r="AO1804" s="128"/>
      <c r="AP1804" s="128"/>
      <c r="AQ1804" s="128"/>
      <c r="AR1804" s="128"/>
      <c r="AS1804" s="128"/>
      <c r="AT1804" s="128"/>
      <c r="AU1804" s="128"/>
      <c r="AV1804" s="128"/>
      <c r="AW1804" s="128"/>
      <c r="AX1804" s="128"/>
      <c r="AY1804" s="128"/>
      <c r="AZ1804" s="128"/>
      <c r="BA1804" s="128"/>
      <c r="BB1804" s="128"/>
      <c r="BC1804" s="128"/>
      <c r="BD1804" s="128"/>
      <c r="BE1804" s="128"/>
      <c r="BF1804" s="128"/>
      <c r="BG1804" s="128"/>
      <c r="BH1804" s="128"/>
      <c r="BI1804" s="128"/>
      <c r="BJ1804" s="128"/>
      <c r="BK1804" s="128"/>
      <c r="BL1804" s="128"/>
      <c r="BM1804" s="151"/>
      <c r="BN1804" s="128"/>
      <c r="BO1804" s="128"/>
      <c r="BP1804" s="128"/>
      <c r="BQ1804" s="128"/>
      <c r="BR1804" s="128"/>
      <c r="BS1804" s="128"/>
      <c r="BT1804" s="128"/>
      <c r="BU1804" s="128"/>
      <c r="BV1804" s="128"/>
      <c r="BW1804" s="128"/>
      <c r="BX1804" s="128"/>
      <c r="BY1804" s="128"/>
      <c r="BZ1804" s="128"/>
      <c r="CA1804" s="128"/>
      <c r="CB1804" s="128"/>
      <c r="CC1804" s="128"/>
      <c r="CD1804" s="128"/>
      <c r="CE1804" s="128"/>
      <c r="CF1804" s="128"/>
      <c r="CG1804" s="128"/>
      <c r="CI1804" s="128"/>
      <c r="CJ1804" s="128"/>
      <c r="CK1804" s="128"/>
      <c r="CL1804" s="128"/>
      <c r="CM1804" s="128"/>
      <c r="CN1804" s="128"/>
      <c r="CO1804" s="128"/>
      <c r="CP1804" s="128"/>
      <c r="CQ1804" s="128"/>
      <c r="CR1804" s="128"/>
      <c r="CS1804" s="128"/>
      <c r="CT1804" s="128"/>
      <c r="CU1804" s="128"/>
      <c r="CV1804" s="128"/>
      <c r="CW1804" s="128"/>
      <c r="CX1804" s="128"/>
      <c r="CY1804" s="128"/>
      <c r="CZ1804" s="165"/>
    </row>
    <row r="1805" spans="1:104">
      <c r="A1805" s="149"/>
      <c r="B1805" s="149"/>
      <c r="C1805" s="150"/>
      <c r="D1805" s="102"/>
      <c r="E1805" s="149"/>
      <c r="F1805" s="149"/>
      <c r="G1805" s="149"/>
      <c r="H1805" s="149"/>
      <c r="I1805" s="149"/>
      <c r="J1805" s="149"/>
      <c r="K1805" s="149"/>
      <c r="L1805" s="149"/>
      <c r="M1805" s="149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9"/>
      <c r="AA1805" s="149"/>
      <c r="AB1805" s="149"/>
      <c r="AC1805" s="149"/>
      <c r="AD1805" s="149"/>
      <c r="AE1805" s="149"/>
      <c r="AF1805" s="149"/>
      <c r="AG1805" s="149"/>
      <c r="AH1805" s="149"/>
      <c r="AI1805" s="149"/>
      <c r="AJ1805" s="149"/>
      <c r="AK1805" s="149"/>
      <c r="AL1805" s="149"/>
      <c r="AM1805" s="149"/>
      <c r="AN1805" s="149"/>
      <c r="AO1805" s="128"/>
      <c r="AP1805" s="128"/>
      <c r="AQ1805" s="128"/>
      <c r="AR1805" s="128"/>
      <c r="AS1805" s="128"/>
      <c r="AT1805" s="128"/>
      <c r="AU1805" s="128"/>
      <c r="AV1805" s="128"/>
      <c r="AW1805" s="128"/>
      <c r="AX1805" s="128"/>
      <c r="AY1805" s="128"/>
      <c r="AZ1805" s="128"/>
      <c r="BA1805" s="128"/>
      <c r="BB1805" s="128"/>
      <c r="BC1805" s="128"/>
      <c r="BD1805" s="128"/>
      <c r="BE1805" s="128"/>
      <c r="BF1805" s="128"/>
      <c r="BG1805" s="128"/>
      <c r="BH1805" s="128"/>
      <c r="BI1805" s="128"/>
      <c r="BJ1805" s="128"/>
      <c r="BK1805" s="128"/>
      <c r="BL1805" s="128"/>
      <c r="BM1805" s="151"/>
      <c r="BN1805" s="128"/>
      <c r="BO1805" s="128"/>
      <c r="BP1805" s="128"/>
      <c r="BQ1805" s="128"/>
      <c r="BR1805" s="128"/>
      <c r="BS1805" s="128"/>
      <c r="BT1805" s="128"/>
      <c r="BU1805" s="128"/>
      <c r="BV1805" s="128"/>
      <c r="BW1805" s="128"/>
      <c r="BX1805" s="128"/>
      <c r="BY1805" s="128"/>
      <c r="BZ1805" s="128"/>
      <c r="CA1805" s="128"/>
      <c r="CB1805" s="128"/>
      <c r="CC1805" s="128"/>
      <c r="CD1805" s="128"/>
      <c r="CE1805" s="128"/>
      <c r="CF1805" s="128"/>
      <c r="CG1805" s="128"/>
      <c r="CI1805" s="128"/>
      <c r="CJ1805" s="128"/>
      <c r="CK1805" s="128"/>
      <c r="CL1805" s="128"/>
      <c r="CM1805" s="128"/>
      <c r="CN1805" s="128"/>
      <c r="CO1805" s="128"/>
      <c r="CP1805" s="128"/>
      <c r="CQ1805" s="128"/>
      <c r="CR1805" s="128"/>
      <c r="CS1805" s="128"/>
      <c r="CT1805" s="128"/>
      <c r="CU1805" s="128"/>
      <c r="CV1805" s="128"/>
      <c r="CW1805" s="128"/>
      <c r="CX1805" s="128"/>
      <c r="CY1805" s="128"/>
      <c r="CZ1805" s="165"/>
    </row>
    <row r="1806" spans="1:104">
      <c r="A1806" s="149"/>
      <c r="B1806" s="149"/>
      <c r="C1806" s="150"/>
      <c r="D1806" s="102"/>
      <c r="E1806" s="149"/>
      <c r="F1806" s="149"/>
      <c r="G1806" s="149"/>
      <c r="H1806" s="149"/>
      <c r="I1806" s="149"/>
      <c r="J1806" s="149"/>
      <c r="K1806" s="149"/>
      <c r="L1806" s="149"/>
      <c r="M1806" s="149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9"/>
      <c r="AA1806" s="149"/>
      <c r="AB1806" s="149"/>
      <c r="AC1806" s="149"/>
      <c r="AD1806" s="149"/>
      <c r="AE1806" s="149"/>
      <c r="AF1806" s="149"/>
      <c r="AG1806" s="149"/>
      <c r="AH1806" s="149"/>
      <c r="AI1806" s="149"/>
      <c r="AJ1806" s="149"/>
      <c r="AK1806" s="149"/>
      <c r="AL1806" s="149"/>
      <c r="AM1806" s="149"/>
      <c r="AN1806" s="149"/>
      <c r="AO1806" s="128"/>
      <c r="AP1806" s="128"/>
      <c r="AQ1806" s="128"/>
      <c r="AR1806" s="128"/>
      <c r="AS1806" s="128"/>
      <c r="AT1806" s="128"/>
      <c r="AU1806" s="128"/>
      <c r="AV1806" s="128"/>
      <c r="AW1806" s="128"/>
      <c r="AX1806" s="128"/>
      <c r="AY1806" s="128"/>
      <c r="AZ1806" s="128"/>
      <c r="BA1806" s="128"/>
      <c r="BB1806" s="128"/>
      <c r="BC1806" s="128"/>
      <c r="BD1806" s="128"/>
      <c r="BE1806" s="128"/>
      <c r="BF1806" s="128"/>
      <c r="BG1806" s="128"/>
      <c r="BH1806" s="128"/>
      <c r="BI1806" s="128"/>
      <c r="BJ1806" s="128"/>
      <c r="BK1806" s="128"/>
      <c r="BL1806" s="128"/>
      <c r="BM1806" s="151"/>
      <c r="BN1806" s="128"/>
      <c r="BO1806" s="128"/>
      <c r="BP1806" s="128"/>
      <c r="BQ1806" s="128"/>
      <c r="BR1806" s="128"/>
      <c r="BS1806" s="128"/>
      <c r="BT1806" s="128"/>
      <c r="BU1806" s="128"/>
      <c r="BV1806" s="128"/>
      <c r="BW1806" s="128"/>
      <c r="BX1806" s="128"/>
      <c r="BY1806" s="128"/>
      <c r="BZ1806" s="128"/>
      <c r="CA1806" s="128"/>
      <c r="CB1806" s="128"/>
      <c r="CC1806" s="128"/>
      <c r="CD1806" s="128"/>
      <c r="CE1806" s="128"/>
      <c r="CF1806" s="128"/>
      <c r="CG1806" s="128"/>
      <c r="CI1806" s="128"/>
      <c r="CJ1806" s="128"/>
      <c r="CK1806" s="128"/>
      <c r="CL1806" s="128"/>
      <c r="CM1806" s="128"/>
      <c r="CN1806" s="128"/>
      <c r="CO1806" s="128"/>
      <c r="CP1806" s="128"/>
      <c r="CQ1806" s="128"/>
      <c r="CR1806" s="128"/>
      <c r="CS1806" s="128"/>
      <c r="CT1806" s="128"/>
      <c r="CU1806" s="128"/>
      <c r="CV1806" s="128"/>
      <c r="CW1806" s="128"/>
      <c r="CX1806" s="128"/>
      <c r="CY1806" s="128"/>
      <c r="CZ1806" s="165"/>
    </row>
    <row r="1807" spans="1:104">
      <c r="A1807" s="149"/>
      <c r="B1807" s="149"/>
      <c r="C1807" s="150"/>
      <c r="D1807" s="102"/>
      <c r="E1807" s="149"/>
      <c r="F1807" s="149"/>
      <c r="G1807" s="149"/>
      <c r="H1807" s="149"/>
      <c r="I1807" s="149"/>
      <c r="J1807" s="149"/>
      <c r="K1807" s="149"/>
      <c r="L1807" s="149"/>
      <c r="M1807" s="149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9"/>
      <c r="AA1807" s="149"/>
      <c r="AB1807" s="149"/>
      <c r="AC1807" s="149"/>
      <c r="AD1807" s="149"/>
      <c r="AE1807" s="149"/>
      <c r="AF1807" s="149"/>
      <c r="AG1807" s="149"/>
      <c r="AH1807" s="149"/>
      <c r="AI1807" s="149"/>
      <c r="AJ1807" s="149"/>
      <c r="AK1807" s="149"/>
      <c r="AL1807" s="149"/>
      <c r="AM1807" s="149"/>
      <c r="AN1807" s="149"/>
      <c r="AO1807" s="128"/>
      <c r="AP1807" s="128"/>
      <c r="AQ1807" s="128"/>
      <c r="AR1807" s="128"/>
      <c r="AS1807" s="128"/>
      <c r="AT1807" s="128"/>
      <c r="AU1807" s="128"/>
      <c r="AV1807" s="128"/>
      <c r="AW1807" s="128"/>
      <c r="AX1807" s="128"/>
      <c r="AY1807" s="128"/>
      <c r="AZ1807" s="128"/>
      <c r="BA1807" s="128"/>
      <c r="BB1807" s="128"/>
      <c r="BC1807" s="128"/>
      <c r="BD1807" s="128"/>
      <c r="BE1807" s="128"/>
      <c r="BF1807" s="128"/>
      <c r="BG1807" s="128"/>
      <c r="BH1807" s="128"/>
      <c r="BI1807" s="128"/>
      <c r="BJ1807" s="128"/>
      <c r="BK1807" s="128"/>
      <c r="BL1807" s="128"/>
      <c r="BM1807" s="151"/>
      <c r="BN1807" s="128"/>
      <c r="BO1807" s="128"/>
      <c r="BP1807" s="128"/>
      <c r="BQ1807" s="128"/>
      <c r="BR1807" s="128"/>
      <c r="BS1807" s="128"/>
      <c r="BT1807" s="128"/>
      <c r="BU1807" s="128"/>
      <c r="BV1807" s="128"/>
      <c r="BW1807" s="128"/>
      <c r="BX1807" s="128"/>
      <c r="BY1807" s="128"/>
      <c r="BZ1807" s="128"/>
      <c r="CA1807" s="128"/>
      <c r="CB1807" s="128"/>
      <c r="CC1807" s="128"/>
      <c r="CD1807" s="128"/>
      <c r="CE1807" s="128"/>
      <c r="CF1807" s="128"/>
      <c r="CG1807" s="128"/>
      <c r="CI1807" s="128"/>
      <c r="CJ1807" s="128"/>
      <c r="CK1807" s="128"/>
      <c r="CL1807" s="128"/>
      <c r="CM1807" s="128"/>
      <c r="CN1807" s="128"/>
      <c r="CO1807" s="128"/>
      <c r="CP1807" s="128"/>
      <c r="CQ1807" s="128"/>
      <c r="CR1807" s="128"/>
      <c r="CS1807" s="128"/>
      <c r="CT1807" s="128"/>
      <c r="CU1807" s="128"/>
      <c r="CV1807" s="128"/>
      <c r="CW1807" s="128"/>
      <c r="CX1807" s="128"/>
      <c r="CY1807" s="128"/>
      <c r="CZ1807" s="165"/>
    </row>
    <row r="1808" spans="1:104">
      <c r="A1808" s="149"/>
      <c r="B1808" s="149"/>
      <c r="C1808" s="150"/>
      <c r="D1808" s="102"/>
      <c r="E1808" s="149"/>
      <c r="F1808" s="149"/>
      <c r="G1808" s="149"/>
      <c r="H1808" s="149"/>
      <c r="I1808" s="149"/>
      <c r="J1808" s="149"/>
      <c r="K1808" s="149"/>
      <c r="L1808" s="149"/>
      <c r="M1808" s="149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9"/>
      <c r="AA1808" s="149"/>
      <c r="AB1808" s="149"/>
      <c r="AC1808" s="149"/>
      <c r="AD1808" s="149"/>
      <c r="AE1808" s="149"/>
      <c r="AF1808" s="149"/>
      <c r="AG1808" s="149"/>
      <c r="AH1808" s="149"/>
      <c r="AI1808" s="149"/>
      <c r="AJ1808" s="149"/>
      <c r="AK1808" s="149"/>
      <c r="AL1808" s="149"/>
      <c r="AM1808" s="149"/>
      <c r="AN1808" s="149"/>
      <c r="AO1808" s="128"/>
      <c r="AP1808" s="128"/>
      <c r="AQ1808" s="128"/>
      <c r="AR1808" s="128"/>
      <c r="AS1808" s="128"/>
      <c r="AT1808" s="128"/>
      <c r="AU1808" s="128"/>
      <c r="AV1808" s="128"/>
      <c r="AW1808" s="128"/>
      <c r="AX1808" s="128"/>
      <c r="AY1808" s="128"/>
      <c r="AZ1808" s="128"/>
      <c r="BA1808" s="128"/>
      <c r="BB1808" s="128"/>
      <c r="BC1808" s="128"/>
      <c r="BD1808" s="128"/>
      <c r="BE1808" s="128"/>
      <c r="BF1808" s="128"/>
      <c r="BG1808" s="128"/>
      <c r="BH1808" s="128"/>
      <c r="BI1808" s="128"/>
      <c r="BJ1808" s="128"/>
      <c r="BK1808" s="128"/>
      <c r="BL1808" s="128"/>
      <c r="BM1808" s="151"/>
      <c r="BN1808" s="128"/>
      <c r="BO1808" s="128"/>
      <c r="BP1808" s="128"/>
      <c r="BQ1808" s="128"/>
      <c r="BR1808" s="128"/>
      <c r="BS1808" s="128"/>
      <c r="BT1808" s="128"/>
      <c r="BU1808" s="128"/>
      <c r="BV1808" s="128"/>
      <c r="BW1808" s="128"/>
      <c r="BX1808" s="128"/>
      <c r="BY1808" s="128"/>
      <c r="BZ1808" s="128"/>
      <c r="CA1808" s="128"/>
      <c r="CB1808" s="128"/>
      <c r="CC1808" s="128"/>
      <c r="CD1808" s="128"/>
      <c r="CE1808" s="128"/>
      <c r="CF1808" s="128"/>
      <c r="CG1808" s="128"/>
      <c r="CI1808" s="128"/>
      <c r="CJ1808" s="128"/>
      <c r="CK1808" s="128"/>
      <c r="CL1808" s="128"/>
      <c r="CM1808" s="128"/>
      <c r="CN1808" s="128"/>
      <c r="CO1808" s="128"/>
      <c r="CP1808" s="128"/>
      <c r="CQ1808" s="128"/>
      <c r="CR1808" s="128"/>
      <c r="CS1808" s="128"/>
      <c r="CT1808" s="128"/>
      <c r="CU1808" s="128"/>
      <c r="CV1808" s="128"/>
      <c r="CW1808" s="128"/>
      <c r="CX1808" s="128"/>
      <c r="CY1808" s="128"/>
      <c r="CZ1808" s="165"/>
    </row>
    <row r="1809" spans="1:104">
      <c r="A1809" s="149"/>
      <c r="B1809" s="149"/>
      <c r="C1809" s="150"/>
      <c r="D1809" s="102"/>
      <c r="E1809" s="149"/>
      <c r="F1809" s="149"/>
      <c r="G1809" s="149"/>
      <c r="H1809" s="149"/>
      <c r="I1809" s="149"/>
      <c r="J1809" s="149"/>
      <c r="K1809" s="149"/>
      <c r="L1809" s="149"/>
      <c r="M1809" s="149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9"/>
      <c r="AA1809" s="149"/>
      <c r="AB1809" s="149"/>
      <c r="AC1809" s="149"/>
      <c r="AD1809" s="149"/>
      <c r="AE1809" s="149"/>
      <c r="AF1809" s="149"/>
      <c r="AG1809" s="149"/>
      <c r="AH1809" s="149"/>
      <c r="AI1809" s="149"/>
      <c r="AJ1809" s="149"/>
      <c r="AK1809" s="149"/>
      <c r="AL1809" s="149"/>
      <c r="AM1809" s="149"/>
      <c r="AN1809" s="149"/>
      <c r="AO1809" s="128"/>
      <c r="AP1809" s="128"/>
      <c r="AQ1809" s="128"/>
      <c r="AR1809" s="128"/>
      <c r="AS1809" s="128"/>
      <c r="AT1809" s="128"/>
      <c r="AU1809" s="128"/>
      <c r="AV1809" s="128"/>
      <c r="AW1809" s="128"/>
      <c r="AX1809" s="128"/>
      <c r="AY1809" s="128"/>
      <c r="AZ1809" s="128"/>
      <c r="BA1809" s="128"/>
      <c r="BB1809" s="128"/>
      <c r="BC1809" s="128"/>
      <c r="BD1809" s="128"/>
      <c r="BE1809" s="128"/>
      <c r="BF1809" s="128"/>
      <c r="BG1809" s="128"/>
      <c r="BH1809" s="128"/>
      <c r="BI1809" s="128"/>
      <c r="BJ1809" s="128"/>
      <c r="BK1809" s="128"/>
      <c r="BL1809" s="128"/>
      <c r="BM1809" s="151"/>
      <c r="BN1809" s="128"/>
      <c r="BO1809" s="128"/>
      <c r="BP1809" s="128"/>
      <c r="BQ1809" s="128"/>
      <c r="BR1809" s="128"/>
      <c r="BS1809" s="128"/>
      <c r="BT1809" s="128"/>
      <c r="BU1809" s="128"/>
      <c r="BV1809" s="128"/>
      <c r="BW1809" s="128"/>
      <c r="BX1809" s="128"/>
      <c r="BY1809" s="128"/>
      <c r="BZ1809" s="128"/>
      <c r="CA1809" s="128"/>
      <c r="CB1809" s="128"/>
      <c r="CC1809" s="128"/>
      <c r="CD1809" s="128"/>
      <c r="CE1809" s="128"/>
      <c r="CF1809" s="128"/>
      <c r="CG1809" s="128"/>
      <c r="CI1809" s="128"/>
      <c r="CJ1809" s="128"/>
      <c r="CK1809" s="128"/>
      <c r="CL1809" s="128"/>
      <c r="CM1809" s="128"/>
      <c r="CN1809" s="128"/>
      <c r="CO1809" s="128"/>
      <c r="CP1809" s="128"/>
      <c r="CQ1809" s="128"/>
      <c r="CR1809" s="128"/>
      <c r="CS1809" s="128"/>
      <c r="CT1809" s="128"/>
      <c r="CU1809" s="128"/>
      <c r="CV1809" s="128"/>
      <c r="CW1809" s="128"/>
      <c r="CX1809" s="128"/>
      <c r="CY1809" s="128"/>
      <c r="CZ1809" s="165"/>
    </row>
    <row r="1810" spans="1:104">
      <c r="A1810" s="149"/>
      <c r="B1810" s="149"/>
      <c r="C1810" s="150"/>
      <c r="D1810" s="102"/>
      <c r="E1810" s="149"/>
      <c r="F1810" s="149"/>
      <c r="G1810" s="149"/>
      <c r="H1810" s="149"/>
      <c r="I1810" s="149"/>
      <c r="J1810" s="149"/>
      <c r="K1810" s="149"/>
      <c r="L1810" s="149"/>
      <c r="M1810" s="149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9"/>
      <c r="AA1810" s="149"/>
      <c r="AB1810" s="149"/>
      <c r="AC1810" s="149"/>
      <c r="AD1810" s="149"/>
      <c r="AE1810" s="149"/>
      <c r="AF1810" s="149"/>
      <c r="AG1810" s="149"/>
      <c r="AH1810" s="149"/>
      <c r="AI1810" s="149"/>
      <c r="AJ1810" s="149"/>
      <c r="AK1810" s="149"/>
      <c r="AL1810" s="149"/>
      <c r="AM1810" s="149"/>
      <c r="AN1810" s="149"/>
      <c r="AO1810" s="128"/>
      <c r="AP1810" s="128"/>
      <c r="AQ1810" s="128"/>
      <c r="AR1810" s="128"/>
      <c r="AS1810" s="128"/>
      <c r="AT1810" s="128"/>
      <c r="AU1810" s="128"/>
      <c r="AV1810" s="128"/>
      <c r="AW1810" s="128"/>
      <c r="AX1810" s="128"/>
      <c r="AY1810" s="128"/>
      <c r="AZ1810" s="128"/>
      <c r="BA1810" s="128"/>
      <c r="BB1810" s="128"/>
      <c r="BC1810" s="128"/>
      <c r="BD1810" s="128"/>
      <c r="BE1810" s="128"/>
      <c r="BF1810" s="128"/>
      <c r="BG1810" s="128"/>
      <c r="BH1810" s="128"/>
      <c r="BI1810" s="128"/>
      <c r="BJ1810" s="128"/>
      <c r="BK1810" s="128"/>
      <c r="BL1810" s="128"/>
      <c r="BM1810" s="151"/>
      <c r="BN1810" s="128"/>
      <c r="BO1810" s="128"/>
      <c r="BP1810" s="128"/>
      <c r="BQ1810" s="128"/>
      <c r="BR1810" s="128"/>
      <c r="BS1810" s="128"/>
      <c r="BT1810" s="128"/>
      <c r="BU1810" s="128"/>
      <c r="BV1810" s="128"/>
      <c r="BW1810" s="128"/>
      <c r="BX1810" s="128"/>
      <c r="BY1810" s="128"/>
      <c r="BZ1810" s="128"/>
      <c r="CA1810" s="128"/>
      <c r="CB1810" s="128"/>
      <c r="CC1810" s="128"/>
      <c r="CD1810" s="128"/>
      <c r="CE1810" s="128"/>
      <c r="CF1810" s="128"/>
      <c r="CG1810" s="128"/>
      <c r="CI1810" s="128"/>
      <c r="CJ1810" s="128"/>
      <c r="CK1810" s="128"/>
      <c r="CL1810" s="128"/>
      <c r="CM1810" s="128"/>
      <c r="CN1810" s="128"/>
      <c r="CO1810" s="128"/>
      <c r="CP1810" s="128"/>
      <c r="CQ1810" s="128"/>
      <c r="CR1810" s="128"/>
      <c r="CS1810" s="128"/>
      <c r="CT1810" s="128"/>
      <c r="CU1810" s="128"/>
      <c r="CV1810" s="128"/>
      <c r="CW1810" s="128"/>
      <c r="CX1810" s="128"/>
      <c r="CY1810" s="128"/>
      <c r="CZ1810" s="165"/>
    </row>
    <row r="1811" spans="1:104">
      <c r="A1811" s="149"/>
      <c r="B1811" s="149"/>
      <c r="C1811" s="150"/>
      <c r="D1811" s="102"/>
      <c r="E1811" s="149"/>
      <c r="F1811" s="149"/>
      <c r="G1811" s="149"/>
      <c r="H1811" s="149"/>
      <c r="I1811" s="149"/>
      <c r="J1811" s="149"/>
      <c r="K1811" s="149"/>
      <c r="L1811" s="149"/>
      <c r="M1811" s="149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9"/>
      <c r="AA1811" s="149"/>
      <c r="AB1811" s="149"/>
      <c r="AC1811" s="149"/>
      <c r="AD1811" s="149"/>
      <c r="AE1811" s="149"/>
      <c r="AF1811" s="149"/>
      <c r="AG1811" s="149"/>
      <c r="AH1811" s="149"/>
      <c r="AI1811" s="149"/>
      <c r="AJ1811" s="149"/>
      <c r="AK1811" s="149"/>
      <c r="AL1811" s="149"/>
      <c r="AM1811" s="149"/>
      <c r="AN1811" s="149"/>
      <c r="AO1811" s="128"/>
      <c r="AP1811" s="128"/>
      <c r="AQ1811" s="128"/>
      <c r="AR1811" s="128"/>
      <c r="AS1811" s="128"/>
      <c r="AT1811" s="128"/>
      <c r="AU1811" s="128"/>
      <c r="AV1811" s="128"/>
      <c r="AW1811" s="128"/>
      <c r="AX1811" s="128"/>
      <c r="AY1811" s="128"/>
      <c r="AZ1811" s="128"/>
      <c r="BA1811" s="128"/>
      <c r="BB1811" s="128"/>
      <c r="BC1811" s="128"/>
      <c r="BD1811" s="128"/>
      <c r="BE1811" s="128"/>
      <c r="BF1811" s="128"/>
      <c r="BG1811" s="128"/>
      <c r="BH1811" s="128"/>
      <c r="BI1811" s="128"/>
      <c r="BJ1811" s="128"/>
      <c r="BK1811" s="128"/>
      <c r="BL1811" s="128"/>
      <c r="BM1811" s="151"/>
      <c r="BN1811" s="128"/>
      <c r="BO1811" s="128"/>
      <c r="BP1811" s="128"/>
      <c r="BQ1811" s="128"/>
      <c r="BR1811" s="128"/>
      <c r="BS1811" s="128"/>
      <c r="BT1811" s="128"/>
      <c r="BU1811" s="128"/>
      <c r="BV1811" s="128"/>
      <c r="BW1811" s="128"/>
      <c r="BX1811" s="128"/>
      <c r="BY1811" s="128"/>
      <c r="BZ1811" s="128"/>
      <c r="CA1811" s="128"/>
      <c r="CB1811" s="128"/>
      <c r="CC1811" s="128"/>
      <c r="CD1811" s="128"/>
      <c r="CE1811" s="128"/>
      <c r="CF1811" s="128"/>
      <c r="CG1811" s="128"/>
      <c r="CI1811" s="128"/>
      <c r="CJ1811" s="128"/>
      <c r="CK1811" s="128"/>
      <c r="CL1811" s="128"/>
      <c r="CM1811" s="128"/>
      <c r="CN1811" s="128"/>
      <c r="CO1811" s="128"/>
      <c r="CP1811" s="128"/>
      <c r="CQ1811" s="128"/>
      <c r="CR1811" s="128"/>
      <c r="CS1811" s="128"/>
      <c r="CT1811" s="128"/>
      <c r="CU1811" s="128"/>
      <c r="CV1811" s="128"/>
      <c r="CW1811" s="128"/>
      <c r="CX1811" s="128"/>
      <c r="CY1811" s="128"/>
      <c r="CZ1811" s="165"/>
    </row>
    <row r="1812" spans="1:104">
      <c r="A1812" s="149"/>
      <c r="B1812" s="149"/>
      <c r="C1812" s="150"/>
      <c r="D1812" s="102"/>
      <c r="E1812" s="149"/>
      <c r="F1812" s="149"/>
      <c r="G1812" s="149"/>
      <c r="H1812" s="149"/>
      <c r="I1812" s="149"/>
      <c r="J1812" s="149"/>
      <c r="K1812" s="149"/>
      <c r="L1812" s="149"/>
      <c r="M1812" s="149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9"/>
      <c r="AA1812" s="149"/>
      <c r="AB1812" s="149"/>
      <c r="AC1812" s="149"/>
      <c r="AD1812" s="149"/>
      <c r="AE1812" s="149"/>
      <c r="AF1812" s="149"/>
      <c r="AG1812" s="149"/>
      <c r="AH1812" s="149"/>
      <c r="AI1812" s="149"/>
      <c r="AJ1812" s="149"/>
      <c r="AK1812" s="149"/>
      <c r="AL1812" s="149"/>
      <c r="AM1812" s="149"/>
      <c r="AN1812" s="149"/>
      <c r="AO1812" s="128"/>
      <c r="AP1812" s="128"/>
      <c r="AQ1812" s="128"/>
      <c r="AR1812" s="128"/>
      <c r="AS1812" s="128"/>
      <c r="AT1812" s="128"/>
      <c r="AU1812" s="128"/>
      <c r="AV1812" s="128"/>
      <c r="AW1812" s="128"/>
      <c r="AX1812" s="128"/>
      <c r="AY1812" s="128"/>
      <c r="AZ1812" s="128"/>
      <c r="BA1812" s="128"/>
      <c r="BB1812" s="128"/>
      <c r="BC1812" s="128"/>
      <c r="BD1812" s="128"/>
      <c r="BE1812" s="128"/>
      <c r="BF1812" s="128"/>
      <c r="BG1812" s="128"/>
      <c r="BH1812" s="128"/>
      <c r="BI1812" s="128"/>
      <c r="BJ1812" s="128"/>
      <c r="BK1812" s="128"/>
      <c r="BL1812" s="128"/>
      <c r="BM1812" s="151"/>
      <c r="BN1812" s="128"/>
      <c r="BO1812" s="128"/>
      <c r="BP1812" s="128"/>
      <c r="BQ1812" s="128"/>
      <c r="BR1812" s="128"/>
      <c r="BS1812" s="128"/>
      <c r="BT1812" s="128"/>
      <c r="BU1812" s="128"/>
      <c r="BV1812" s="128"/>
      <c r="BW1812" s="128"/>
      <c r="BX1812" s="128"/>
      <c r="BY1812" s="128"/>
      <c r="BZ1812" s="128"/>
      <c r="CA1812" s="128"/>
      <c r="CB1812" s="128"/>
      <c r="CC1812" s="128"/>
      <c r="CD1812" s="128"/>
      <c r="CE1812" s="128"/>
      <c r="CF1812" s="128"/>
      <c r="CG1812" s="128"/>
      <c r="CI1812" s="128"/>
      <c r="CJ1812" s="128"/>
      <c r="CK1812" s="128"/>
      <c r="CL1812" s="128"/>
      <c r="CM1812" s="128"/>
      <c r="CN1812" s="128"/>
      <c r="CO1812" s="128"/>
      <c r="CP1812" s="128"/>
      <c r="CQ1812" s="128"/>
      <c r="CR1812" s="128"/>
      <c r="CS1812" s="128"/>
      <c r="CT1812" s="128"/>
      <c r="CU1812" s="128"/>
      <c r="CV1812" s="128"/>
      <c r="CW1812" s="128"/>
      <c r="CX1812" s="128"/>
      <c r="CY1812" s="128"/>
      <c r="CZ1812" s="165"/>
    </row>
    <row r="1813" spans="1:104">
      <c r="A1813" s="149"/>
      <c r="B1813" s="149"/>
      <c r="C1813" s="150"/>
      <c r="D1813" s="102"/>
      <c r="E1813" s="149"/>
      <c r="F1813" s="149"/>
      <c r="G1813" s="149"/>
      <c r="H1813" s="149"/>
      <c r="I1813" s="149"/>
      <c r="J1813" s="149"/>
      <c r="K1813" s="149"/>
      <c r="L1813" s="149"/>
      <c r="M1813" s="149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9"/>
      <c r="AA1813" s="149"/>
      <c r="AB1813" s="149"/>
      <c r="AC1813" s="149"/>
      <c r="AD1813" s="149"/>
      <c r="AE1813" s="149"/>
      <c r="AF1813" s="149"/>
      <c r="AG1813" s="149"/>
      <c r="AH1813" s="149"/>
      <c r="AI1813" s="149"/>
      <c r="AJ1813" s="149"/>
      <c r="AK1813" s="149"/>
      <c r="AL1813" s="149"/>
      <c r="AM1813" s="149"/>
      <c r="AN1813" s="149"/>
      <c r="AO1813" s="128"/>
      <c r="AP1813" s="128"/>
      <c r="AQ1813" s="128"/>
      <c r="AR1813" s="128"/>
      <c r="AS1813" s="128"/>
      <c r="AT1813" s="128"/>
      <c r="AU1813" s="128"/>
      <c r="AV1813" s="128"/>
      <c r="AW1813" s="128"/>
      <c r="AX1813" s="128"/>
      <c r="AY1813" s="128"/>
      <c r="AZ1813" s="128"/>
      <c r="BA1813" s="128"/>
      <c r="BB1813" s="128"/>
      <c r="BC1813" s="128"/>
      <c r="BD1813" s="128"/>
      <c r="BE1813" s="128"/>
      <c r="BF1813" s="128"/>
      <c r="BG1813" s="128"/>
      <c r="BH1813" s="128"/>
      <c r="BI1813" s="128"/>
      <c r="BJ1813" s="128"/>
      <c r="BK1813" s="128"/>
      <c r="BL1813" s="128"/>
      <c r="BM1813" s="151"/>
      <c r="BN1813" s="128"/>
      <c r="BO1813" s="128"/>
      <c r="BP1813" s="128"/>
      <c r="BQ1813" s="128"/>
      <c r="BR1813" s="128"/>
      <c r="BS1813" s="128"/>
      <c r="BT1813" s="128"/>
      <c r="BU1813" s="128"/>
      <c r="BV1813" s="128"/>
      <c r="BW1813" s="128"/>
      <c r="BX1813" s="128"/>
      <c r="BY1813" s="128"/>
      <c r="BZ1813" s="128"/>
      <c r="CA1813" s="128"/>
      <c r="CB1813" s="128"/>
      <c r="CC1813" s="128"/>
      <c r="CD1813" s="128"/>
      <c r="CE1813" s="128"/>
      <c r="CF1813" s="128"/>
      <c r="CG1813" s="128"/>
      <c r="CI1813" s="128"/>
      <c r="CJ1813" s="128"/>
      <c r="CK1813" s="128"/>
      <c r="CL1813" s="128"/>
      <c r="CM1813" s="128"/>
      <c r="CN1813" s="128"/>
      <c r="CO1813" s="128"/>
      <c r="CP1813" s="128"/>
      <c r="CQ1813" s="128"/>
      <c r="CR1813" s="128"/>
      <c r="CS1813" s="128"/>
      <c r="CT1813" s="128"/>
      <c r="CU1813" s="128"/>
      <c r="CV1813" s="128"/>
      <c r="CW1813" s="128"/>
      <c r="CX1813" s="128"/>
      <c r="CY1813" s="128"/>
      <c r="CZ1813" s="165"/>
    </row>
    <row r="1814" spans="1:104">
      <c r="A1814" s="149"/>
      <c r="B1814" s="149"/>
      <c r="C1814" s="150"/>
      <c r="D1814" s="102"/>
      <c r="E1814" s="149"/>
      <c r="F1814" s="149"/>
      <c r="G1814" s="149"/>
      <c r="H1814" s="149"/>
      <c r="I1814" s="149"/>
      <c r="J1814" s="149"/>
      <c r="K1814" s="149"/>
      <c r="L1814" s="149"/>
      <c r="M1814" s="149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9"/>
      <c r="AA1814" s="149"/>
      <c r="AB1814" s="149"/>
      <c r="AC1814" s="149"/>
      <c r="AD1814" s="149"/>
      <c r="AE1814" s="149"/>
      <c r="AF1814" s="149"/>
      <c r="AG1814" s="149"/>
      <c r="AH1814" s="149"/>
      <c r="AI1814" s="149"/>
      <c r="AJ1814" s="149"/>
      <c r="AK1814" s="149"/>
      <c r="AL1814" s="149"/>
      <c r="AM1814" s="149"/>
      <c r="AN1814" s="149"/>
      <c r="AO1814" s="128"/>
      <c r="AP1814" s="128"/>
      <c r="AQ1814" s="128"/>
      <c r="AR1814" s="128"/>
      <c r="AS1814" s="128"/>
      <c r="AT1814" s="128"/>
      <c r="AU1814" s="128"/>
      <c r="AV1814" s="128"/>
      <c r="AW1814" s="128"/>
      <c r="AX1814" s="128"/>
      <c r="AY1814" s="128"/>
      <c r="AZ1814" s="128"/>
      <c r="BA1814" s="128"/>
      <c r="BB1814" s="128"/>
      <c r="BC1814" s="128"/>
      <c r="BD1814" s="128"/>
      <c r="BE1814" s="128"/>
      <c r="BF1814" s="128"/>
      <c r="BG1814" s="128"/>
      <c r="BH1814" s="128"/>
      <c r="BI1814" s="128"/>
      <c r="BJ1814" s="128"/>
      <c r="BK1814" s="128"/>
      <c r="BL1814" s="128"/>
      <c r="BM1814" s="151"/>
      <c r="BN1814" s="128"/>
      <c r="BO1814" s="128"/>
      <c r="BP1814" s="128"/>
      <c r="BQ1814" s="128"/>
      <c r="BR1814" s="128"/>
      <c r="BS1814" s="128"/>
      <c r="BT1814" s="128"/>
      <c r="BU1814" s="128"/>
      <c r="BV1814" s="128"/>
      <c r="BW1814" s="128"/>
      <c r="BX1814" s="128"/>
      <c r="BY1814" s="128"/>
      <c r="BZ1814" s="128"/>
      <c r="CA1814" s="128"/>
      <c r="CB1814" s="128"/>
      <c r="CC1814" s="128"/>
      <c r="CD1814" s="128"/>
      <c r="CE1814" s="128"/>
      <c r="CF1814" s="128"/>
      <c r="CG1814" s="128"/>
      <c r="CI1814" s="128"/>
      <c r="CJ1814" s="128"/>
      <c r="CK1814" s="128"/>
      <c r="CL1814" s="128"/>
      <c r="CM1814" s="128"/>
      <c r="CN1814" s="128"/>
      <c r="CO1814" s="128"/>
      <c r="CP1814" s="128"/>
      <c r="CQ1814" s="128"/>
      <c r="CR1814" s="128"/>
      <c r="CS1814" s="128"/>
      <c r="CT1814" s="128"/>
      <c r="CU1814" s="128"/>
      <c r="CV1814" s="128"/>
      <c r="CW1814" s="128"/>
      <c r="CX1814" s="128"/>
      <c r="CY1814" s="128"/>
      <c r="CZ1814" s="165"/>
    </row>
    <row r="1815" spans="1:104">
      <c r="A1815" s="149"/>
      <c r="B1815" s="149"/>
      <c r="C1815" s="150"/>
      <c r="D1815" s="102"/>
      <c r="E1815" s="149"/>
      <c r="F1815" s="149"/>
      <c r="G1815" s="149"/>
      <c r="H1815" s="149"/>
      <c r="I1815" s="149"/>
      <c r="J1815" s="149"/>
      <c r="K1815" s="149"/>
      <c r="L1815" s="149"/>
      <c r="M1815" s="149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9"/>
      <c r="AA1815" s="149"/>
      <c r="AB1815" s="149"/>
      <c r="AC1815" s="149"/>
      <c r="AD1815" s="149"/>
      <c r="AE1815" s="149"/>
      <c r="AF1815" s="149"/>
      <c r="AG1815" s="149"/>
      <c r="AH1815" s="149"/>
      <c r="AI1815" s="149"/>
      <c r="AJ1815" s="149"/>
      <c r="AK1815" s="149"/>
      <c r="AL1815" s="149"/>
      <c r="AM1815" s="149"/>
      <c r="AN1815" s="149"/>
      <c r="AO1815" s="128"/>
      <c r="AP1815" s="128"/>
      <c r="AQ1815" s="128"/>
      <c r="AR1815" s="128"/>
      <c r="AS1815" s="128"/>
      <c r="AT1815" s="128"/>
      <c r="AU1815" s="128"/>
      <c r="AV1815" s="128"/>
      <c r="AW1815" s="128"/>
      <c r="AX1815" s="128"/>
      <c r="AY1815" s="128"/>
      <c r="AZ1815" s="128"/>
      <c r="BA1815" s="128"/>
      <c r="BB1815" s="128"/>
      <c r="BC1815" s="128"/>
      <c r="BD1815" s="128"/>
      <c r="BE1815" s="128"/>
      <c r="BF1815" s="128"/>
      <c r="BG1815" s="128"/>
      <c r="BH1815" s="128"/>
      <c r="BI1815" s="128"/>
      <c r="BJ1815" s="128"/>
      <c r="BK1815" s="128"/>
      <c r="BL1815" s="128"/>
      <c r="BM1815" s="151"/>
      <c r="BN1815" s="128"/>
      <c r="BO1815" s="128"/>
      <c r="BP1815" s="128"/>
      <c r="BQ1815" s="128"/>
      <c r="BR1815" s="128"/>
      <c r="BS1815" s="128"/>
      <c r="BT1815" s="128"/>
      <c r="BU1815" s="128"/>
      <c r="BV1815" s="128"/>
      <c r="BW1815" s="128"/>
      <c r="BX1815" s="128"/>
      <c r="BY1815" s="128"/>
      <c r="BZ1815" s="128"/>
      <c r="CA1815" s="128"/>
      <c r="CB1815" s="128"/>
      <c r="CC1815" s="128"/>
      <c r="CD1815" s="128"/>
      <c r="CE1815" s="128"/>
      <c r="CF1815" s="128"/>
      <c r="CG1815" s="128"/>
      <c r="CI1815" s="128"/>
      <c r="CJ1815" s="128"/>
      <c r="CK1815" s="128"/>
      <c r="CL1815" s="128"/>
      <c r="CM1815" s="128"/>
      <c r="CN1815" s="128"/>
      <c r="CO1815" s="128"/>
      <c r="CP1815" s="128"/>
      <c r="CQ1815" s="128"/>
      <c r="CR1815" s="128"/>
      <c r="CS1815" s="128"/>
      <c r="CT1815" s="128"/>
      <c r="CU1815" s="128"/>
      <c r="CV1815" s="128"/>
      <c r="CW1815" s="128"/>
      <c r="CX1815" s="128"/>
      <c r="CY1815" s="128"/>
      <c r="CZ1815" s="165"/>
    </row>
    <row r="1816" spans="1:104">
      <c r="A1816" s="149"/>
      <c r="B1816" s="149"/>
      <c r="C1816" s="150"/>
      <c r="D1816" s="102"/>
      <c r="E1816" s="149"/>
      <c r="F1816" s="149"/>
      <c r="G1816" s="149"/>
      <c r="H1816" s="149"/>
      <c r="I1816" s="149"/>
      <c r="J1816" s="149"/>
      <c r="K1816" s="149"/>
      <c r="L1816" s="149"/>
      <c r="M1816" s="149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9"/>
      <c r="AA1816" s="149"/>
      <c r="AB1816" s="149"/>
      <c r="AC1816" s="149"/>
      <c r="AD1816" s="149"/>
      <c r="AE1816" s="149"/>
      <c r="AF1816" s="149"/>
      <c r="AG1816" s="149"/>
      <c r="AH1816" s="149"/>
      <c r="AI1816" s="149"/>
      <c r="AJ1816" s="149"/>
      <c r="AK1816" s="149"/>
      <c r="AL1816" s="149"/>
      <c r="AM1816" s="149"/>
      <c r="AN1816" s="149"/>
      <c r="AO1816" s="128"/>
      <c r="AP1816" s="128"/>
      <c r="AQ1816" s="128"/>
      <c r="AR1816" s="128"/>
      <c r="AS1816" s="128"/>
      <c r="AT1816" s="128"/>
      <c r="AU1816" s="128"/>
      <c r="AV1816" s="128"/>
      <c r="AW1816" s="128"/>
      <c r="AX1816" s="128"/>
      <c r="AY1816" s="128"/>
      <c r="AZ1816" s="128"/>
      <c r="BA1816" s="128"/>
      <c r="BB1816" s="128"/>
      <c r="BC1816" s="128"/>
      <c r="BD1816" s="128"/>
      <c r="BE1816" s="128"/>
      <c r="BF1816" s="128"/>
      <c r="BG1816" s="128"/>
      <c r="BH1816" s="128"/>
      <c r="BI1816" s="128"/>
      <c r="BJ1816" s="128"/>
      <c r="BK1816" s="128"/>
      <c r="BL1816" s="128"/>
      <c r="BM1816" s="151"/>
      <c r="BN1816" s="128"/>
      <c r="BO1816" s="128"/>
      <c r="BP1816" s="128"/>
      <c r="BQ1816" s="128"/>
      <c r="BR1816" s="128"/>
      <c r="BS1816" s="128"/>
      <c r="BT1816" s="128"/>
      <c r="BU1816" s="128"/>
      <c r="BV1816" s="128"/>
      <c r="BW1816" s="128"/>
      <c r="BX1816" s="128"/>
      <c r="BY1816" s="128"/>
      <c r="BZ1816" s="128"/>
      <c r="CA1816" s="128"/>
      <c r="CB1816" s="128"/>
      <c r="CC1816" s="128"/>
      <c r="CD1816" s="128"/>
      <c r="CE1816" s="128"/>
      <c r="CF1816" s="128"/>
      <c r="CG1816" s="128"/>
      <c r="CI1816" s="128"/>
      <c r="CJ1816" s="128"/>
      <c r="CK1816" s="128"/>
      <c r="CL1816" s="128"/>
      <c r="CM1816" s="128"/>
      <c r="CN1816" s="128"/>
      <c r="CO1816" s="128"/>
      <c r="CP1816" s="128"/>
      <c r="CQ1816" s="128"/>
      <c r="CR1816" s="128"/>
      <c r="CS1816" s="128"/>
      <c r="CT1816" s="128"/>
      <c r="CU1816" s="128"/>
      <c r="CV1816" s="128"/>
      <c r="CW1816" s="128"/>
      <c r="CX1816" s="128"/>
      <c r="CY1816" s="128"/>
      <c r="CZ1816" s="165"/>
    </row>
    <row r="1817" spans="1:104">
      <c r="A1817" s="149"/>
      <c r="B1817" s="149"/>
      <c r="C1817" s="150"/>
      <c r="D1817" s="102"/>
      <c r="E1817" s="149"/>
      <c r="F1817" s="149"/>
      <c r="G1817" s="149"/>
      <c r="H1817" s="149"/>
      <c r="I1817" s="149"/>
      <c r="J1817" s="149"/>
      <c r="K1817" s="149"/>
      <c r="L1817" s="149"/>
      <c r="M1817" s="149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9"/>
      <c r="AA1817" s="149"/>
      <c r="AB1817" s="149"/>
      <c r="AC1817" s="149"/>
      <c r="AD1817" s="149"/>
      <c r="AE1817" s="149"/>
      <c r="AF1817" s="149"/>
      <c r="AG1817" s="149"/>
      <c r="AH1817" s="149"/>
      <c r="AI1817" s="149"/>
      <c r="AJ1817" s="149"/>
      <c r="AK1817" s="149"/>
      <c r="AL1817" s="149"/>
      <c r="AM1817" s="149"/>
      <c r="AN1817" s="149"/>
      <c r="AO1817" s="128"/>
      <c r="AP1817" s="128"/>
      <c r="AQ1817" s="128"/>
      <c r="AR1817" s="128"/>
      <c r="AS1817" s="128"/>
      <c r="AT1817" s="128"/>
      <c r="AU1817" s="128"/>
      <c r="AV1817" s="128"/>
      <c r="AW1817" s="128"/>
      <c r="AX1817" s="128"/>
      <c r="AY1817" s="128"/>
      <c r="AZ1817" s="128"/>
      <c r="BA1817" s="128"/>
      <c r="BB1817" s="128"/>
      <c r="BC1817" s="128"/>
      <c r="BD1817" s="128"/>
      <c r="BE1817" s="128"/>
      <c r="BF1817" s="128"/>
      <c r="BG1817" s="128"/>
      <c r="BH1817" s="128"/>
      <c r="BI1817" s="128"/>
      <c r="BJ1817" s="128"/>
      <c r="BK1817" s="128"/>
      <c r="BL1817" s="128"/>
      <c r="BM1817" s="151"/>
      <c r="BN1817" s="128"/>
      <c r="BO1817" s="128"/>
      <c r="BP1817" s="128"/>
      <c r="BQ1817" s="128"/>
      <c r="BR1817" s="128"/>
      <c r="BS1817" s="128"/>
      <c r="BT1817" s="128"/>
      <c r="BU1817" s="128"/>
      <c r="BV1817" s="128"/>
      <c r="BW1817" s="128"/>
      <c r="BX1817" s="128"/>
      <c r="BY1817" s="128"/>
      <c r="BZ1817" s="128"/>
      <c r="CA1817" s="128"/>
      <c r="CB1817" s="128"/>
      <c r="CC1817" s="128"/>
      <c r="CD1817" s="128"/>
      <c r="CE1817" s="128"/>
      <c r="CF1817" s="128"/>
      <c r="CG1817" s="128"/>
      <c r="CI1817" s="128"/>
      <c r="CJ1817" s="128"/>
      <c r="CK1817" s="128"/>
      <c r="CL1817" s="128"/>
      <c r="CM1817" s="128"/>
      <c r="CN1817" s="128"/>
      <c r="CO1817" s="128"/>
      <c r="CP1817" s="128"/>
      <c r="CQ1817" s="128"/>
      <c r="CR1817" s="128"/>
      <c r="CS1817" s="128"/>
      <c r="CT1817" s="128"/>
      <c r="CU1817" s="128"/>
      <c r="CV1817" s="128"/>
      <c r="CW1817" s="128"/>
      <c r="CX1817" s="128"/>
      <c r="CY1817" s="128"/>
      <c r="CZ1817" s="165"/>
    </row>
    <row r="1818" spans="1:104">
      <c r="A1818" s="149"/>
      <c r="B1818" s="149"/>
      <c r="C1818" s="150"/>
      <c r="D1818" s="102"/>
      <c r="E1818" s="149"/>
      <c r="F1818" s="149"/>
      <c r="G1818" s="149"/>
      <c r="H1818" s="149"/>
      <c r="I1818" s="149"/>
      <c r="J1818" s="149"/>
      <c r="K1818" s="149"/>
      <c r="L1818" s="149"/>
      <c r="M1818" s="149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9"/>
      <c r="AA1818" s="149"/>
      <c r="AB1818" s="149"/>
      <c r="AC1818" s="149"/>
      <c r="AD1818" s="149"/>
      <c r="AE1818" s="149"/>
      <c r="AF1818" s="149"/>
      <c r="AG1818" s="149"/>
      <c r="AH1818" s="149"/>
      <c r="AI1818" s="149"/>
      <c r="AJ1818" s="149"/>
      <c r="AK1818" s="149"/>
      <c r="AL1818" s="149"/>
      <c r="AM1818" s="149"/>
      <c r="AN1818" s="149"/>
      <c r="AO1818" s="128"/>
      <c r="AP1818" s="128"/>
      <c r="AQ1818" s="128"/>
      <c r="AR1818" s="128"/>
      <c r="AS1818" s="128"/>
      <c r="AT1818" s="128"/>
      <c r="AU1818" s="128"/>
      <c r="AV1818" s="128"/>
      <c r="AW1818" s="128"/>
      <c r="AX1818" s="128"/>
      <c r="AY1818" s="128"/>
      <c r="AZ1818" s="128"/>
      <c r="BA1818" s="128"/>
      <c r="BB1818" s="128"/>
      <c r="BC1818" s="128"/>
      <c r="BD1818" s="128"/>
      <c r="BE1818" s="128"/>
      <c r="BF1818" s="128"/>
      <c r="BG1818" s="128"/>
      <c r="BH1818" s="128"/>
      <c r="BI1818" s="128"/>
      <c r="BJ1818" s="128"/>
      <c r="BK1818" s="128"/>
      <c r="BL1818" s="128"/>
      <c r="BM1818" s="151"/>
      <c r="BN1818" s="128"/>
      <c r="BO1818" s="128"/>
      <c r="BP1818" s="128"/>
      <c r="BQ1818" s="128"/>
      <c r="BR1818" s="128"/>
      <c r="BS1818" s="128"/>
      <c r="BT1818" s="128"/>
      <c r="BU1818" s="128"/>
      <c r="BV1818" s="128"/>
      <c r="BW1818" s="128"/>
      <c r="BX1818" s="128"/>
      <c r="BY1818" s="128"/>
      <c r="BZ1818" s="128"/>
      <c r="CA1818" s="128"/>
      <c r="CB1818" s="128"/>
      <c r="CC1818" s="128"/>
      <c r="CD1818" s="128"/>
      <c r="CE1818" s="128"/>
      <c r="CF1818" s="128"/>
      <c r="CG1818" s="128"/>
      <c r="CI1818" s="128"/>
      <c r="CJ1818" s="128"/>
      <c r="CK1818" s="128"/>
      <c r="CL1818" s="128"/>
      <c r="CM1818" s="128"/>
      <c r="CN1818" s="128"/>
      <c r="CO1818" s="128"/>
      <c r="CP1818" s="128"/>
      <c r="CQ1818" s="128"/>
      <c r="CR1818" s="128"/>
      <c r="CS1818" s="128"/>
      <c r="CT1818" s="128"/>
      <c r="CU1818" s="128"/>
      <c r="CV1818" s="128"/>
      <c r="CW1818" s="128"/>
      <c r="CX1818" s="128"/>
      <c r="CY1818" s="128"/>
      <c r="CZ1818" s="165"/>
    </row>
    <row r="1819" spans="1:104">
      <c r="A1819" s="149"/>
      <c r="B1819" s="149"/>
      <c r="C1819" s="150"/>
      <c r="D1819" s="102"/>
      <c r="E1819" s="149"/>
      <c r="F1819" s="149"/>
      <c r="G1819" s="149"/>
      <c r="H1819" s="149"/>
      <c r="I1819" s="149"/>
      <c r="J1819" s="149"/>
      <c r="K1819" s="149"/>
      <c r="L1819" s="149"/>
      <c r="M1819" s="149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9"/>
      <c r="AA1819" s="149"/>
      <c r="AB1819" s="149"/>
      <c r="AC1819" s="149"/>
      <c r="AD1819" s="149"/>
      <c r="AE1819" s="149"/>
      <c r="AF1819" s="149"/>
      <c r="AG1819" s="149"/>
      <c r="AH1819" s="149"/>
      <c r="AI1819" s="149"/>
      <c r="AJ1819" s="149"/>
      <c r="AK1819" s="149"/>
      <c r="AL1819" s="149"/>
      <c r="AM1819" s="149"/>
      <c r="AN1819" s="149"/>
      <c r="AO1819" s="128"/>
      <c r="AP1819" s="128"/>
      <c r="AQ1819" s="128"/>
      <c r="AR1819" s="128"/>
      <c r="AS1819" s="128"/>
      <c r="AT1819" s="128"/>
      <c r="AU1819" s="128"/>
      <c r="AV1819" s="128"/>
      <c r="AW1819" s="128"/>
      <c r="AX1819" s="128"/>
      <c r="AY1819" s="128"/>
      <c r="AZ1819" s="128"/>
      <c r="BA1819" s="128"/>
      <c r="BB1819" s="128"/>
      <c r="BC1819" s="128"/>
      <c r="BD1819" s="128"/>
      <c r="BE1819" s="128"/>
      <c r="BF1819" s="128"/>
      <c r="BG1819" s="128"/>
      <c r="BH1819" s="128"/>
      <c r="BI1819" s="128"/>
      <c r="BJ1819" s="128"/>
      <c r="BK1819" s="128"/>
      <c r="BL1819" s="128"/>
      <c r="BM1819" s="151"/>
      <c r="BN1819" s="128"/>
      <c r="BO1819" s="128"/>
      <c r="BP1819" s="128"/>
      <c r="BQ1819" s="128"/>
      <c r="BR1819" s="128"/>
      <c r="BS1819" s="128"/>
      <c r="BT1819" s="128"/>
      <c r="BU1819" s="128"/>
      <c r="BV1819" s="128"/>
      <c r="BW1819" s="128"/>
      <c r="BX1819" s="128"/>
      <c r="BY1819" s="128"/>
      <c r="BZ1819" s="128"/>
      <c r="CA1819" s="128"/>
      <c r="CB1819" s="128"/>
      <c r="CC1819" s="128"/>
      <c r="CD1819" s="128"/>
      <c r="CE1819" s="128"/>
      <c r="CF1819" s="128"/>
      <c r="CG1819" s="128"/>
      <c r="CI1819" s="128"/>
      <c r="CJ1819" s="128"/>
      <c r="CK1819" s="128"/>
      <c r="CL1819" s="128"/>
      <c r="CM1819" s="128"/>
      <c r="CN1819" s="128"/>
      <c r="CO1819" s="128"/>
      <c r="CP1819" s="128"/>
      <c r="CQ1819" s="128"/>
      <c r="CR1819" s="128"/>
      <c r="CS1819" s="128"/>
      <c r="CT1819" s="128"/>
      <c r="CU1819" s="128"/>
      <c r="CV1819" s="128"/>
      <c r="CW1819" s="128"/>
      <c r="CX1819" s="128"/>
      <c r="CY1819" s="128"/>
      <c r="CZ1819" s="165"/>
    </row>
    <row r="1820" spans="1:104">
      <c r="A1820" s="149"/>
      <c r="B1820" s="149"/>
      <c r="C1820" s="150"/>
      <c r="D1820" s="102"/>
      <c r="E1820" s="149"/>
      <c r="F1820" s="149"/>
      <c r="G1820" s="149"/>
      <c r="H1820" s="149"/>
      <c r="I1820" s="149"/>
      <c r="J1820" s="149"/>
      <c r="K1820" s="149"/>
      <c r="L1820" s="149"/>
      <c r="M1820" s="149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9"/>
      <c r="AA1820" s="149"/>
      <c r="AB1820" s="149"/>
      <c r="AC1820" s="149"/>
      <c r="AD1820" s="149"/>
      <c r="AE1820" s="149"/>
      <c r="AF1820" s="149"/>
      <c r="AG1820" s="149"/>
      <c r="AH1820" s="149"/>
      <c r="AI1820" s="149"/>
      <c r="AJ1820" s="149"/>
      <c r="AK1820" s="149"/>
      <c r="AL1820" s="149"/>
      <c r="AM1820" s="149"/>
      <c r="AN1820" s="149"/>
      <c r="AO1820" s="128"/>
      <c r="AP1820" s="128"/>
      <c r="AQ1820" s="128"/>
      <c r="AR1820" s="128"/>
      <c r="AS1820" s="128"/>
      <c r="AT1820" s="128"/>
      <c r="AU1820" s="128"/>
      <c r="AV1820" s="128"/>
      <c r="AW1820" s="128"/>
      <c r="AX1820" s="128"/>
      <c r="AY1820" s="128"/>
      <c r="AZ1820" s="128"/>
      <c r="BA1820" s="128"/>
      <c r="BB1820" s="128"/>
      <c r="BC1820" s="128"/>
      <c r="BD1820" s="128"/>
      <c r="BE1820" s="128"/>
      <c r="BF1820" s="128"/>
      <c r="BG1820" s="128"/>
      <c r="BH1820" s="128"/>
      <c r="BI1820" s="128"/>
      <c r="BJ1820" s="128"/>
      <c r="BK1820" s="128"/>
      <c r="BL1820" s="128"/>
      <c r="BM1820" s="151"/>
      <c r="BN1820" s="128"/>
      <c r="BO1820" s="128"/>
      <c r="BP1820" s="128"/>
      <c r="BQ1820" s="128"/>
      <c r="BR1820" s="128"/>
      <c r="BS1820" s="128"/>
      <c r="BT1820" s="128"/>
      <c r="BU1820" s="128"/>
      <c r="BV1820" s="128"/>
      <c r="BW1820" s="128"/>
      <c r="BX1820" s="128"/>
      <c r="BY1820" s="128"/>
      <c r="BZ1820" s="128"/>
      <c r="CA1820" s="128"/>
      <c r="CB1820" s="128"/>
      <c r="CC1820" s="128"/>
      <c r="CD1820" s="128"/>
      <c r="CE1820" s="128"/>
      <c r="CF1820" s="128"/>
      <c r="CG1820" s="128"/>
      <c r="CI1820" s="128"/>
      <c r="CJ1820" s="128"/>
      <c r="CK1820" s="128"/>
      <c r="CL1820" s="128"/>
      <c r="CM1820" s="128"/>
      <c r="CN1820" s="128"/>
      <c r="CO1820" s="128"/>
      <c r="CP1820" s="128"/>
      <c r="CQ1820" s="128"/>
      <c r="CR1820" s="128"/>
      <c r="CS1820" s="128"/>
      <c r="CT1820" s="128"/>
      <c r="CU1820" s="128"/>
      <c r="CV1820" s="128"/>
      <c r="CW1820" s="128"/>
      <c r="CX1820" s="128"/>
      <c r="CY1820" s="128"/>
      <c r="CZ1820" s="165"/>
    </row>
    <row r="1821" spans="1:104">
      <c r="A1821" s="149"/>
      <c r="B1821" s="149"/>
      <c r="C1821" s="150"/>
      <c r="D1821" s="102"/>
      <c r="E1821" s="149"/>
      <c r="F1821" s="149"/>
      <c r="G1821" s="149"/>
      <c r="H1821" s="149"/>
      <c r="I1821" s="149"/>
      <c r="J1821" s="149"/>
      <c r="K1821" s="149"/>
      <c r="L1821" s="149"/>
      <c r="M1821" s="149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9"/>
      <c r="AA1821" s="149"/>
      <c r="AB1821" s="149"/>
      <c r="AC1821" s="149"/>
      <c r="AD1821" s="149"/>
      <c r="AE1821" s="149"/>
      <c r="AF1821" s="149"/>
      <c r="AG1821" s="149"/>
      <c r="AH1821" s="149"/>
      <c r="AI1821" s="149"/>
      <c r="AJ1821" s="149"/>
      <c r="AK1821" s="149"/>
      <c r="AL1821" s="149"/>
      <c r="AM1821" s="149"/>
      <c r="AN1821" s="149"/>
      <c r="AO1821" s="128"/>
      <c r="AP1821" s="128"/>
      <c r="AQ1821" s="128"/>
      <c r="AR1821" s="128"/>
      <c r="AS1821" s="128"/>
      <c r="AT1821" s="128"/>
      <c r="AU1821" s="128"/>
      <c r="AV1821" s="128"/>
      <c r="AW1821" s="128"/>
      <c r="AX1821" s="128"/>
      <c r="AY1821" s="128"/>
      <c r="AZ1821" s="128"/>
      <c r="BA1821" s="128"/>
      <c r="BB1821" s="128"/>
      <c r="BC1821" s="128"/>
      <c r="BD1821" s="128"/>
      <c r="BE1821" s="128"/>
      <c r="BF1821" s="128"/>
      <c r="BG1821" s="128"/>
      <c r="BH1821" s="128"/>
      <c r="BI1821" s="128"/>
      <c r="BJ1821" s="128"/>
      <c r="BK1821" s="128"/>
      <c r="BL1821" s="128"/>
      <c r="BM1821" s="151"/>
      <c r="BN1821" s="128"/>
      <c r="BO1821" s="128"/>
      <c r="BP1821" s="128"/>
      <c r="BQ1821" s="128"/>
      <c r="BR1821" s="128"/>
      <c r="BS1821" s="128"/>
      <c r="BT1821" s="128"/>
      <c r="BU1821" s="128"/>
      <c r="BV1821" s="128"/>
      <c r="BW1821" s="128"/>
      <c r="BX1821" s="128"/>
      <c r="BY1821" s="128"/>
      <c r="BZ1821" s="128"/>
      <c r="CA1821" s="128"/>
      <c r="CB1821" s="128"/>
      <c r="CC1821" s="128"/>
      <c r="CD1821" s="128"/>
      <c r="CE1821" s="128"/>
      <c r="CF1821" s="128"/>
      <c r="CG1821" s="128"/>
      <c r="CI1821" s="128"/>
      <c r="CJ1821" s="128"/>
      <c r="CK1821" s="128"/>
      <c r="CL1821" s="128"/>
      <c r="CM1821" s="128"/>
      <c r="CN1821" s="128"/>
      <c r="CO1821" s="128"/>
      <c r="CP1821" s="128"/>
      <c r="CQ1821" s="128"/>
      <c r="CR1821" s="128"/>
      <c r="CS1821" s="128"/>
      <c r="CT1821" s="128"/>
      <c r="CU1821" s="128"/>
      <c r="CV1821" s="128"/>
      <c r="CW1821" s="128"/>
      <c r="CX1821" s="128"/>
      <c r="CY1821" s="128"/>
      <c r="CZ1821" s="165"/>
    </row>
    <row r="1822" spans="1:104">
      <c r="A1822" s="149"/>
      <c r="B1822" s="149"/>
      <c r="C1822" s="150"/>
      <c r="D1822" s="102"/>
      <c r="E1822" s="149"/>
      <c r="F1822" s="149"/>
      <c r="G1822" s="149"/>
      <c r="H1822" s="149"/>
      <c r="I1822" s="149"/>
      <c r="J1822" s="149"/>
      <c r="K1822" s="149"/>
      <c r="L1822" s="149"/>
      <c r="M1822" s="149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9"/>
      <c r="AA1822" s="149"/>
      <c r="AB1822" s="149"/>
      <c r="AC1822" s="149"/>
      <c r="AD1822" s="149"/>
      <c r="AE1822" s="149"/>
      <c r="AF1822" s="149"/>
      <c r="AG1822" s="149"/>
      <c r="AH1822" s="149"/>
      <c r="AI1822" s="149"/>
      <c r="AJ1822" s="149"/>
      <c r="AK1822" s="149"/>
      <c r="AL1822" s="149"/>
      <c r="AM1822" s="149"/>
      <c r="AN1822" s="149"/>
      <c r="AO1822" s="128"/>
      <c r="AP1822" s="128"/>
      <c r="AQ1822" s="128"/>
      <c r="AR1822" s="128"/>
      <c r="AS1822" s="128"/>
      <c r="AT1822" s="128"/>
      <c r="AU1822" s="128"/>
      <c r="AV1822" s="128"/>
      <c r="AW1822" s="128"/>
      <c r="AX1822" s="128"/>
      <c r="AY1822" s="128"/>
      <c r="AZ1822" s="128"/>
      <c r="BA1822" s="128"/>
      <c r="BB1822" s="128"/>
      <c r="BC1822" s="128"/>
      <c r="BD1822" s="128"/>
      <c r="BE1822" s="128"/>
      <c r="BF1822" s="128"/>
      <c r="BG1822" s="128"/>
      <c r="BH1822" s="128"/>
      <c r="BI1822" s="128"/>
      <c r="BJ1822" s="128"/>
      <c r="BK1822" s="128"/>
      <c r="BL1822" s="128"/>
      <c r="BM1822" s="151"/>
      <c r="BN1822" s="128"/>
      <c r="BO1822" s="128"/>
      <c r="BP1822" s="128"/>
      <c r="BQ1822" s="128"/>
      <c r="BR1822" s="128"/>
      <c r="BS1822" s="128"/>
      <c r="BT1822" s="128"/>
      <c r="BU1822" s="128"/>
      <c r="BV1822" s="128"/>
      <c r="BW1822" s="128"/>
      <c r="BX1822" s="128"/>
      <c r="BY1822" s="128"/>
      <c r="BZ1822" s="128"/>
      <c r="CA1822" s="128"/>
      <c r="CB1822" s="128"/>
      <c r="CC1822" s="128"/>
      <c r="CD1822" s="128"/>
      <c r="CE1822" s="128"/>
      <c r="CF1822" s="128"/>
      <c r="CG1822" s="128"/>
      <c r="CI1822" s="128"/>
      <c r="CJ1822" s="128"/>
      <c r="CK1822" s="128"/>
      <c r="CL1822" s="128"/>
      <c r="CM1822" s="128"/>
      <c r="CN1822" s="128"/>
      <c r="CO1822" s="128"/>
      <c r="CP1822" s="128"/>
      <c r="CQ1822" s="128"/>
      <c r="CR1822" s="128"/>
      <c r="CS1822" s="128"/>
      <c r="CT1822" s="128"/>
      <c r="CU1822" s="128"/>
      <c r="CV1822" s="128"/>
      <c r="CW1822" s="128"/>
      <c r="CX1822" s="128"/>
      <c r="CY1822" s="128"/>
      <c r="CZ1822" s="165"/>
    </row>
    <row r="1823" spans="1:104">
      <c r="A1823" s="149"/>
      <c r="B1823" s="149"/>
      <c r="C1823" s="150"/>
      <c r="D1823" s="102"/>
      <c r="E1823" s="149"/>
      <c r="F1823" s="149"/>
      <c r="G1823" s="149"/>
      <c r="H1823" s="149"/>
      <c r="I1823" s="149"/>
      <c r="J1823" s="149"/>
      <c r="K1823" s="149"/>
      <c r="L1823" s="149"/>
      <c r="M1823" s="149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9"/>
      <c r="AA1823" s="149"/>
      <c r="AB1823" s="149"/>
      <c r="AC1823" s="149"/>
      <c r="AD1823" s="149"/>
      <c r="AE1823" s="149"/>
      <c r="AF1823" s="149"/>
      <c r="AG1823" s="149"/>
      <c r="AH1823" s="149"/>
      <c r="AI1823" s="149"/>
      <c r="AJ1823" s="149"/>
      <c r="AK1823" s="149"/>
      <c r="AL1823" s="149"/>
      <c r="AM1823" s="149"/>
      <c r="AN1823" s="149"/>
      <c r="AO1823" s="128"/>
      <c r="AP1823" s="128"/>
      <c r="AQ1823" s="128"/>
      <c r="AR1823" s="128"/>
      <c r="AS1823" s="128"/>
      <c r="AT1823" s="128"/>
      <c r="AU1823" s="128"/>
      <c r="AV1823" s="128"/>
      <c r="AW1823" s="128"/>
      <c r="AX1823" s="128"/>
      <c r="AY1823" s="128"/>
      <c r="AZ1823" s="128"/>
      <c r="BA1823" s="128"/>
      <c r="BB1823" s="128"/>
      <c r="BC1823" s="128"/>
      <c r="BD1823" s="128"/>
      <c r="BE1823" s="128"/>
      <c r="BF1823" s="128"/>
      <c r="BG1823" s="128"/>
      <c r="BH1823" s="128"/>
      <c r="BI1823" s="128"/>
      <c r="BJ1823" s="128"/>
      <c r="BK1823" s="128"/>
      <c r="BL1823" s="128"/>
      <c r="BM1823" s="151"/>
      <c r="BN1823" s="128"/>
      <c r="BO1823" s="128"/>
      <c r="BP1823" s="128"/>
      <c r="BQ1823" s="128"/>
      <c r="BR1823" s="128"/>
      <c r="BS1823" s="128"/>
      <c r="BT1823" s="128"/>
      <c r="BU1823" s="128"/>
      <c r="BV1823" s="128"/>
      <c r="BW1823" s="128"/>
      <c r="BX1823" s="128"/>
      <c r="BY1823" s="128"/>
      <c r="BZ1823" s="128"/>
      <c r="CA1823" s="128"/>
      <c r="CB1823" s="128"/>
      <c r="CC1823" s="128"/>
      <c r="CD1823" s="128"/>
      <c r="CE1823" s="128"/>
      <c r="CF1823" s="128"/>
      <c r="CG1823" s="128"/>
      <c r="CI1823" s="128"/>
      <c r="CJ1823" s="128"/>
      <c r="CK1823" s="128"/>
      <c r="CL1823" s="128"/>
      <c r="CM1823" s="128"/>
      <c r="CN1823" s="128"/>
      <c r="CO1823" s="128"/>
      <c r="CP1823" s="128"/>
      <c r="CQ1823" s="128"/>
      <c r="CR1823" s="128"/>
      <c r="CS1823" s="128"/>
      <c r="CT1823" s="128"/>
      <c r="CU1823" s="128"/>
      <c r="CV1823" s="128"/>
      <c r="CW1823" s="128"/>
      <c r="CX1823" s="128"/>
      <c r="CY1823" s="128"/>
      <c r="CZ1823" s="165"/>
    </row>
    <row r="1824" spans="1:104">
      <c r="A1824" s="149"/>
      <c r="B1824" s="149"/>
      <c r="C1824" s="150"/>
      <c r="D1824" s="102"/>
      <c r="E1824" s="149"/>
      <c r="F1824" s="149"/>
      <c r="G1824" s="149"/>
      <c r="H1824" s="149"/>
      <c r="I1824" s="149"/>
      <c r="J1824" s="149"/>
      <c r="K1824" s="149"/>
      <c r="L1824" s="149"/>
      <c r="M1824" s="149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9"/>
      <c r="AA1824" s="149"/>
      <c r="AB1824" s="149"/>
      <c r="AC1824" s="149"/>
      <c r="AD1824" s="149"/>
      <c r="AE1824" s="149"/>
      <c r="AF1824" s="149"/>
      <c r="AG1824" s="149"/>
      <c r="AH1824" s="149"/>
      <c r="AI1824" s="149"/>
      <c r="AJ1824" s="149"/>
      <c r="AK1824" s="149"/>
      <c r="AL1824" s="149"/>
      <c r="AM1824" s="149"/>
      <c r="AN1824" s="149"/>
      <c r="AO1824" s="128"/>
      <c r="AP1824" s="128"/>
      <c r="AQ1824" s="128"/>
      <c r="AR1824" s="128"/>
      <c r="AS1824" s="128"/>
      <c r="AT1824" s="128"/>
      <c r="AU1824" s="128"/>
      <c r="AV1824" s="128"/>
      <c r="AW1824" s="128"/>
      <c r="AX1824" s="128"/>
      <c r="AY1824" s="128"/>
      <c r="AZ1824" s="128"/>
      <c r="BA1824" s="128"/>
      <c r="BB1824" s="128"/>
      <c r="BC1824" s="128"/>
      <c r="BD1824" s="128"/>
      <c r="BE1824" s="128"/>
      <c r="BF1824" s="128"/>
      <c r="BG1824" s="128"/>
      <c r="BH1824" s="128"/>
      <c r="BI1824" s="128"/>
      <c r="BJ1824" s="128"/>
      <c r="BK1824" s="128"/>
      <c r="BL1824" s="128"/>
      <c r="BM1824" s="151"/>
      <c r="BN1824" s="128"/>
      <c r="BO1824" s="128"/>
      <c r="BP1824" s="128"/>
      <c r="BQ1824" s="128"/>
      <c r="BR1824" s="128"/>
      <c r="BS1824" s="128"/>
      <c r="BT1824" s="128"/>
      <c r="BU1824" s="128"/>
      <c r="BV1824" s="128"/>
      <c r="BW1824" s="128"/>
      <c r="BX1824" s="128"/>
      <c r="BY1824" s="128"/>
      <c r="BZ1824" s="128"/>
      <c r="CA1824" s="128"/>
      <c r="CB1824" s="128"/>
      <c r="CC1824" s="128"/>
      <c r="CD1824" s="128"/>
      <c r="CE1824" s="128"/>
      <c r="CF1824" s="128"/>
      <c r="CG1824" s="128"/>
      <c r="CI1824" s="128"/>
      <c r="CJ1824" s="128"/>
      <c r="CK1824" s="128"/>
      <c r="CL1824" s="128"/>
      <c r="CM1824" s="128"/>
      <c r="CN1824" s="128"/>
      <c r="CO1824" s="128"/>
      <c r="CP1824" s="128"/>
      <c r="CQ1824" s="128"/>
      <c r="CR1824" s="128"/>
      <c r="CS1824" s="128"/>
      <c r="CT1824" s="128"/>
      <c r="CU1824" s="128"/>
      <c r="CV1824" s="128"/>
      <c r="CW1824" s="128"/>
      <c r="CX1824" s="128"/>
      <c r="CY1824" s="128"/>
      <c r="CZ1824" s="165"/>
    </row>
    <row r="1825" spans="1:104">
      <c r="A1825" s="149"/>
      <c r="B1825" s="149"/>
      <c r="C1825" s="150"/>
      <c r="D1825" s="102"/>
      <c r="E1825" s="149"/>
      <c r="F1825" s="149"/>
      <c r="G1825" s="149"/>
      <c r="H1825" s="149"/>
      <c r="I1825" s="149"/>
      <c r="J1825" s="149"/>
      <c r="K1825" s="149"/>
      <c r="L1825" s="149"/>
      <c r="M1825" s="149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9"/>
      <c r="AA1825" s="149"/>
      <c r="AB1825" s="149"/>
      <c r="AC1825" s="149"/>
      <c r="AD1825" s="149"/>
      <c r="AE1825" s="149"/>
      <c r="AF1825" s="149"/>
      <c r="AG1825" s="149"/>
      <c r="AH1825" s="149"/>
      <c r="AI1825" s="149"/>
      <c r="AJ1825" s="149"/>
      <c r="AK1825" s="149"/>
      <c r="AL1825" s="149"/>
      <c r="AM1825" s="149"/>
      <c r="AN1825" s="149"/>
      <c r="AO1825" s="128"/>
      <c r="AP1825" s="128"/>
      <c r="AQ1825" s="128"/>
      <c r="AR1825" s="128"/>
      <c r="AS1825" s="128"/>
      <c r="AT1825" s="128"/>
      <c r="AU1825" s="128"/>
      <c r="AV1825" s="128"/>
      <c r="AW1825" s="128"/>
      <c r="AX1825" s="128"/>
      <c r="AY1825" s="128"/>
      <c r="AZ1825" s="128"/>
      <c r="BA1825" s="128"/>
      <c r="BB1825" s="128"/>
      <c r="BC1825" s="128"/>
      <c r="BD1825" s="128"/>
      <c r="BE1825" s="128"/>
      <c r="BF1825" s="128"/>
      <c r="BG1825" s="128"/>
      <c r="BH1825" s="128"/>
      <c r="BI1825" s="128"/>
      <c r="BJ1825" s="128"/>
      <c r="BK1825" s="128"/>
      <c r="BL1825" s="128"/>
      <c r="BM1825" s="151"/>
      <c r="BN1825" s="128"/>
      <c r="BO1825" s="128"/>
      <c r="BP1825" s="128"/>
      <c r="BQ1825" s="128"/>
      <c r="BR1825" s="128"/>
      <c r="BS1825" s="128"/>
      <c r="BT1825" s="128"/>
      <c r="BU1825" s="128"/>
      <c r="BV1825" s="128"/>
      <c r="BW1825" s="128"/>
      <c r="BX1825" s="128"/>
      <c r="BY1825" s="128"/>
      <c r="BZ1825" s="128"/>
      <c r="CA1825" s="128"/>
      <c r="CB1825" s="128"/>
      <c r="CC1825" s="128"/>
      <c r="CD1825" s="128"/>
      <c r="CE1825" s="128"/>
      <c r="CF1825" s="128"/>
      <c r="CG1825" s="128"/>
      <c r="CI1825" s="128"/>
      <c r="CJ1825" s="128"/>
      <c r="CK1825" s="128"/>
      <c r="CL1825" s="128"/>
      <c r="CM1825" s="128"/>
      <c r="CN1825" s="128"/>
      <c r="CO1825" s="128"/>
      <c r="CP1825" s="128"/>
      <c r="CQ1825" s="128"/>
      <c r="CR1825" s="128"/>
      <c r="CS1825" s="128"/>
      <c r="CT1825" s="128"/>
      <c r="CU1825" s="128"/>
      <c r="CV1825" s="128"/>
      <c r="CW1825" s="128"/>
      <c r="CX1825" s="128"/>
      <c r="CY1825" s="128"/>
      <c r="CZ1825" s="165"/>
    </row>
    <row r="1826" spans="1:104">
      <c r="A1826" s="149"/>
      <c r="B1826" s="149"/>
      <c r="C1826" s="150"/>
      <c r="D1826" s="102"/>
      <c r="E1826" s="149"/>
      <c r="F1826" s="149"/>
      <c r="G1826" s="149"/>
      <c r="H1826" s="149"/>
      <c r="I1826" s="149"/>
      <c r="J1826" s="149"/>
      <c r="K1826" s="149"/>
      <c r="L1826" s="149"/>
      <c r="M1826" s="149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9"/>
      <c r="AA1826" s="149"/>
      <c r="AB1826" s="149"/>
      <c r="AC1826" s="149"/>
      <c r="AD1826" s="149"/>
      <c r="AE1826" s="149"/>
      <c r="AF1826" s="149"/>
      <c r="AG1826" s="149"/>
      <c r="AH1826" s="149"/>
      <c r="AI1826" s="149"/>
      <c r="AJ1826" s="149"/>
      <c r="AK1826" s="149"/>
      <c r="AL1826" s="149"/>
      <c r="AM1826" s="149"/>
      <c r="AN1826" s="149"/>
      <c r="AO1826" s="128"/>
      <c r="AP1826" s="128"/>
      <c r="AQ1826" s="128"/>
      <c r="AR1826" s="128"/>
      <c r="AS1826" s="128"/>
      <c r="AT1826" s="128"/>
      <c r="AU1826" s="128"/>
      <c r="AV1826" s="128"/>
      <c r="AW1826" s="128"/>
      <c r="AX1826" s="128"/>
      <c r="AY1826" s="128"/>
      <c r="AZ1826" s="128"/>
      <c r="BA1826" s="128"/>
      <c r="BB1826" s="128"/>
      <c r="BC1826" s="128"/>
      <c r="BD1826" s="128"/>
      <c r="BE1826" s="128"/>
      <c r="BF1826" s="128"/>
      <c r="BG1826" s="128"/>
      <c r="BH1826" s="128"/>
      <c r="BI1826" s="128"/>
      <c r="BJ1826" s="128"/>
      <c r="BK1826" s="128"/>
      <c r="BL1826" s="128"/>
      <c r="BM1826" s="151"/>
      <c r="BN1826" s="128"/>
      <c r="BO1826" s="128"/>
      <c r="BP1826" s="128"/>
      <c r="BQ1826" s="128"/>
      <c r="BR1826" s="128"/>
      <c r="BS1826" s="128"/>
      <c r="BT1826" s="128"/>
      <c r="BU1826" s="128"/>
      <c r="BV1826" s="128"/>
      <c r="BW1826" s="128"/>
      <c r="BX1826" s="128"/>
      <c r="BY1826" s="128"/>
      <c r="BZ1826" s="128"/>
      <c r="CA1826" s="128"/>
      <c r="CB1826" s="128"/>
      <c r="CC1826" s="128"/>
      <c r="CD1826" s="128"/>
      <c r="CE1826" s="128"/>
      <c r="CF1826" s="128"/>
      <c r="CG1826" s="128"/>
      <c r="CI1826" s="128"/>
      <c r="CJ1826" s="128"/>
      <c r="CK1826" s="128"/>
      <c r="CL1826" s="128"/>
      <c r="CM1826" s="128"/>
      <c r="CN1826" s="128"/>
      <c r="CO1826" s="128"/>
      <c r="CP1826" s="128"/>
      <c r="CQ1826" s="128"/>
      <c r="CR1826" s="128"/>
      <c r="CS1826" s="128"/>
      <c r="CT1826" s="128"/>
      <c r="CU1826" s="128"/>
      <c r="CV1826" s="128"/>
      <c r="CW1826" s="128"/>
      <c r="CX1826" s="128"/>
      <c r="CY1826" s="128"/>
      <c r="CZ1826" s="165"/>
    </row>
    <row r="1827" spans="1:104">
      <c r="A1827" s="149"/>
      <c r="B1827" s="149"/>
      <c r="C1827" s="150"/>
      <c r="D1827" s="102"/>
      <c r="E1827" s="149"/>
      <c r="F1827" s="149"/>
      <c r="G1827" s="149"/>
      <c r="H1827" s="149"/>
      <c r="I1827" s="149"/>
      <c r="J1827" s="149"/>
      <c r="K1827" s="149"/>
      <c r="L1827" s="149"/>
      <c r="M1827" s="149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9"/>
      <c r="AA1827" s="149"/>
      <c r="AB1827" s="149"/>
      <c r="AC1827" s="149"/>
      <c r="AD1827" s="149"/>
      <c r="AE1827" s="149"/>
      <c r="AF1827" s="149"/>
      <c r="AG1827" s="149"/>
      <c r="AH1827" s="149"/>
      <c r="AI1827" s="149"/>
      <c r="AJ1827" s="149"/>
      <c r="AK1827" s="149"/>
      <c r="AL1827" s="149"/>
      <c r="AM1827" s="149"/>
      <c r="AN1827" s="149"/>
      <c r="AO1827" s="128"/>
      <c r="AP1827" s="128"/>
      <c r="AQ1827" s="128"/>
      <c r="AR1827" s="128"/>
      <c r="AS1827" s="128"/>
      <c r="AT1827" s="128"/>
      <c r="AU1827" s="128"/>
      <c r="AV1827" s="128"/>
      <c r="AW1827" s="128"/>
      <c r="AX1827" s="128"/>
      <c r="AY1827" s="128"/>
      <c r="AZ1827" s="128"/>
      <c r="BA1827" s="128"/>
      <c r="BB1827" s="128"/>
      <c r="BC1827" s="128"/>
      <c r="BD1827" s="128"/>
      <c r="BE1827" s="128"/>
      <c r="BF1827" s="128"/>
      <c r="BG1827" s="128"/>
      <c r="BH1827" s="128"/>
      <c r="BI1827" s="128"/>
      <c r="BJ1827" s="128"/>
      <c r="BK1827" s="128"/>
      <c r="BL1827" s="128"/>
      <c r="BM1827" s="151"/>
      <c r="BN1827" s="128"/>
      <c r="BO1827" s="128"/>
      <c r="BP1827" s="128"/>
      <c r="BQ1827" s="128"/>
      <c r="BR1827" s="128"/>
      <c r="BS1827" s="128"/>
      <c r="BT1827" s="128"/>
      <c r="BU1827" s="128"/>
      <c r="BV1827" s="128"/>
      <c r="BW1827" s="128"/>
      <c r="BX1827" s="128"/>
      <c r="BY1827" s="128"/>
      <c r="BZ1827" s="128"/>
      <c r="CA1827" s="128"/>
      <c r="CB1827" s="128"/>
      <c r="CC1827" s="128"/>
      <c r="CD1827" s="128"/>
      <c r="CE1827" s="128"/>
      <c r="CF1827" s="128"/>
      <c r="CG1827" s="128"/>
      <c r="CI1827" s="128"/>
      <c r="CJ1827" s="128"/>
      <c r="CK1827" s="128"/>
      <c r="CL1827" s="128"/>
      <c r="CM1827" s="128"/>
      <c r="CN1827" s="128"/>
      <c r="CO1827" s="128"/>
      <c r="CP1827" s="128"/>
      <c r="CQ1827" s="128"/>
      <c r="CR1827" s="128"/>
      <c r="CS1827" s="128"/>
      <c r="CT1827" s="128"/>
      <c r="CU1827" s="128"/>
      <c r="CV1827" s="128"/>
      <c r="CW1827" s="128"/>
      <c r="CX1827" s="128"/>
      <c r="CY1827" s="128"/>
      <c r="CZ1827" s="165"/>
    </row>
    <row r="1828" spans="1:104">
      <c r="A1828" s="149"/>
      <c r="B1828" s="149"/>
      <c r="C1828" s="150"/>
      <c r="D1828" s="102"/>
      <c r="E1828" s="149"/>
      <c r="F1828" s="149"/>
      <c r="G1828" s="149"/>
      <c r="H1828" s="149"/>
      <c r="I1828" s="149"/>
      <c r="J1828" s="149"/>
      <c r="K1828" s="149"/>
      <c r="L1828" s="149"/>
      <c r="M1828" s="149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9"/>
      <c r="AA1828" s="149"/>
      <c r="AB1828" s="149"/>
      <c r="AC1828" s="149"/>
      <c r="AD1828" s="149"/>
      <c r="AE1828" s="149"/>
      <c r="AF1828" s="149"/>
      <c r="AG1828" s="149"/>
      <c r="AH1828" s="149"/>
      <c r="AI1828" s="149"/>
      <c r="AJ1828" s="149"/>
      <c r="AK1828" s="149"/>
      <c r="AL1828" s="149"/>
      <c r="AM1828" s="149"/>
      <c r="AN1828" s="149"/>
      <c r="AO1828" s="128"/>
      <c r="AP1828" s="128"/>
      <c r="AQ1828" s="128"/>
      <c r="AR1828" s="128"/>
      <c r="AS1828" s="128"/>
      <c r="AT1828" s="128"/>
      <c r="AU1828" s="128"/>
      <c r="AV1828" s="128"/>
      <c r="AW1828" s="128"/>
      <c r="AX1828" s="128"/>
      <c r="AY1828" s="128"/>
      <c r="AZ1828" s="128"/>
      <c r="BA1828" s="128"/>
      <c r="BB1828" s="128"/>
      <c r="BC1828" s="128"/>
      <c r="BD1828" s="128"/>
      <c r="BE1828" s="128"/>
      <c r="BF1828" s="128"/>
      <c r="BG1828" s="128"/>
      <c r="BH1828" s="128"/>
      <c r="BI1828" s="128"/>
      <c r="BJ1828" s="128"/>
      <c r="BK1828" s="128"/>
      <c r="BL1828" s="128"/>
      <c r="BM1828" s="151"/>
      <c r="BN1828" s="128"/>
      <c r="BO1828" s="128"/>
      <c r="BP1828" s="128"/>
      <c r="BQ1828" s="128"/>
      <c r="BR1828" s="128"/>
      <c r="BS1828" s="128"/>
      <c r="BT1828" s="128"/>
      <c r="BU1828" s="128"/>
      <c r="BV1828" s="128"/>
      <c r="BW1828" s="128"/>
      <c r="BX1828" s="128"/>
      <c r="BY1828" s="128"/>
      <c r="BZ1828" s="128"/>
      <c r="CA1828" s="128"/>
      <c r="CB1828" s="128"/>
      <c r="CC1828" s="128"/>
      <c r="CD1828" s="128"/>
      <c r="CE1828" s="128"/>
      <c r="CF1828" s="128"/>
      <c r="CG1828" s="128"/>
      <c r="CI1828" s="128"/>
      <c r="CJ1828" s="128"/>
      <c r="CK1828" s="128"/>
      <c r="CL1828" s="128"/>
      <c r="CM1828" s="128"/>
      <c r="CN1828" s="128"/>
      <c r="CO1828" s="128"/>
      <c r="CP1828" s="128"/>
      <c r="CQ1828" s="128"/>
      <c r="CR1828" s="128"/>
      <c r="CS1828" s="128"/>
      <c r="CT1828" s="128"/>
      <c r="CU1828" s="128"/>
      <c r="CV1828" s="128"/>
      <c r="CW1828" s="128"/>
      <c r="CX1828" s="128"/>
      <c r="CY1828" s="128"/>
      <c r="CZ1828" s="165"/>
    </row>
    <row r="1829" spans="1:104">
      <c r="A1829" s="149"/>
      <c r="B1829" s="149"/>
      <c r="C1829" s="150"/>
      <c r="D1829" s="102"/>
      <c r="E1829" s="149"/>
      <c r="F1829" s="149"/>
      <c r="G1829" s="149"/>
      <c r="H1829" s="149"/>
      <c r="I1829" s="149"/>
      <c r="J1829" s="149"/>
      <c r="K1829" s="149"/>
      <c r="L1829" s="149"/>
      <c r="M1829" s="149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9"/>
      <c r="AA1829" s="149"/>
      <c r="AB1829" s="149"/>
      <c r="AC1829" s="149"/>
      <c r="AD1829" s="149"/>
      <c r="AE1829" s="149"/>
      <c r="AF1829" s="149"/>
      <c r="AG1829" s="149"/>
      <c r="AH1829" s="149"/>
      <c r="AI1829" s="149"/>
      <c r="AJ1829" s="149"/>
      <c r="AK1829" s="149"/>
      <c r="AL1829" s="149"/>
      <c r="AM1829" s="149"/>
      <c r="AN1829" s="149"/>
      <c r="AO1829" s="128"/>
      <c r="AP1829" s="128"/>
      <c r="AQ1829" s="128"/>
      <c r="AR1829" s="128"/>
      <c r="AS1829" s="128"/>
      <c r="AT1829" s="128"/>
      <c r="AU1829" s="128"/>
      <c r="AV1829" s="128"/>
      <c r="AW1829" s="128"/>
      <c r="AX1829" s="128"/>
      <c r="AY1829" s="128"/>
      <c r="AZ1829" s="128"/>
      <c r="BA1829" s="128"/>
      <c r="BB1829" s="128"/>
      <c r="BC1829" s="128"/>
      <c r="BD1829" s="128"/>
      <c r="BE1829" s="128"/>
      <c r="BF1829" s="128"/>
      <c r="BG1829" s="128"/>
      <c r="BH1829" s="128"/>
      <c r="BI1829" s="128"/>
      <c r="BJ1829" s="128"/>
      <c r="BK1829" s="128"/>
      <c r="BL1829" s="128"/>
      <c r="BM1829" s="151"/>
      <c r="BN1829" s="128"/>
      <c r="BO1829" s="128"/>
      <c r="BP1829" s="128"/>
      <c r="BQ1829" s="128"/>
      <c r="BR1829" s="128"/>
      <c r="BS1829" s="128"/>
      <c r="BT1829" s="128"/>
      <c r="BU1829" s="128"/>
      <c r="BV1829" s="128"/>
      <c r="BW1829" s="128"/>
      <c r="BX1829" s="128"/>
      <c r="BY1829" s="128"/>
      <c r="BZ1829" s="128"/>
      <c r="CA1829" s="128"/>
      <c r="CB1829" s="128"/>
      <c r="CC1829" s="128"/>
      <c r="CD1829" s="128"/>
      <c r="CE1829" s="128"/>
      <c r="CF1829" s="128"/>
      <c r="CG1829" s="128"/>
      <c r="CI1829" s="128"/>
      <c r="CJ1829" s="128"/>
      <c r="CK1829" s="128"/>
      <c r="CL1829" s="128"/>
      <c r="CM1829" s="128"/>
      <c r="CN1829" s="128"/>
      <c r="CO1829" s="128"/>
      <c r="CP1829" s="128"/>
      <c r="CQ1829" s="128"/>
      <c r="CR1829" s="128"/>
      <c r="CS1829" s="128"/>
      <c r="CT1829" s="128"/>
      <c r="CU1829" s="128"/>
      <c r="CV1829" s="128"/>
      <c r="CW1829" s="128"/>
      <c r="CX1829" s="128"/>
      <c r="CY1829" s="128"/>
      <c r="CZ1829" s="165"/>
    </row>
    <row r="1830" spans="1:104">
      <c r="A1830" s="149"/>
      <c r="B1830" s="149"/>
      <c r="C1830" s="150"/>
      <c r="D1830" s="102"/>
      <c r="E1830" s="149"/>
      <c r="F1830" s="149"/>
      <c r="G1830" s="149"/>
      <c r="H1830" s="149"/>
      <c r="I1830" s="149"/>
      <c r="J1830" s="149"/>
      <c r="K1830" s="149"/>
      <c r="L1830" s="149"/>
      <c r="M1830" s="149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9"/>
      <c r="AA1830" s="149"/>
      <c r="AB1830" s="149"/>
      <c r="AC1830" s="149"/>
      <c r="AD1830" s="149"/>
      <c r="AE1830" s="149"/>
      <c r="AF1830" s="149"/>
      <c r="AG1830" s="149"/>
      <c r="AH1830" s="149"/>
      <c r="AI1830" s="149"/>
      <c r="AJ1830" s="149"/>
      <c r="AK1830" s="149"/>
      <c r="AL1830" s="149"/>
      <c r="AM1830" s="149"/>
      <c r="AN1830" s="149"/>
      <c r="AO1830" s="128"/>
      <c r="AP1830" s="128"/>
      <c r="AQ1830" s="128"/>
      <c r="AR1830" s="128"/>
      <c r="AS1830" s="128"/>
      <c r="AT1830" s="128"/>
      <c r="AU1830" s="128"/>
      <c r="AV1830" s="128"/>
      <c r="AW1830" s="128"/>
      <c r="AX1830" s="128"/>
      <c r="AY1830" s="128"/>
      <c r="AZ1830" s="128"/>
      <c r="BA1830" s="128"/>
      <c r="BB1830" s="128"/>
      <c r="BC1830" s="128"/>
      <c r="BD1830" s="128"/>
      <c r="BE1830" s="128"/>
      <c r="BF1830" s="128"/>
      <c r="BG1830" s="128"/>
      <c r="BH1830" s="128"/>
      <c r="BI1830" s="128"/>
      <c r="BJ1830" s="128"/>
      <c r="BK1830" s="128"/>
      <c r="BL1830" s="128"/>
      <c r="BM1830" s="151"/>
      <c r="BN1830" s="128"/>
      <c r="BO1830" s="128"/>
      <c r="BP1830" s="128"/>
      <c r="BQ1830" s="128"/>
      <c r="BR1830" s="128"/>
      <c r="BS1830" s="128"/>
      <c r="BT1830" s="128"/>
      <c r="BU1830" s="128"/>
      <c r="BV1830" s="128"/>
      <c r="BW1830" s="128"/>
      <c r="BX1830" s="128"/>
      <c r="BY1830" s="128"/>
      <c r="BZ1830" s="128"/>
      <c r="CA1830" s="128"/>
      <c r="CB1830" s="128"/>
      <c r="CC1830" s="128"/>
      <c r="CD1830" s="128"/>
      <c r="CE1830" s="128"/>
      <c r="CF1830" s="128"/>
      <c r="CG1830" s="128"/>
      <c r="CI1830" s="128"/>
      <c r="CJ1830" s="128"/>
      <c r="CK1830" s="128"/>
      <c r="CL1830" s="128"/>
      <c r="CM1830" s="128"/>
      <c r="CN1830" s="128"/>
      <c r="CO1830" s="128"/>
      <c r="CP1830" s="128"/>
      <c r="CQ1830" s="128"/>
      <c r="CR1830" s="128"/>
      <c r="CS1830" s="128"/>
      <c r="CT1830" s="128"/>
      <c r="CU1830" s="128"/>
      <c r="CV1830" s="128"/>
      <c r="CW1830" s="128"/>
      <c r="CX1830" s="128"/>
      <c r="CY1830" s="128"/>
      <c r="CZ1830" s="165"/>
    </row>
    <row r="1831" spans="1:104">
      <c r="A1831" s="149"/>
      <c r="B1831" s="149"/>
      <c r="C1831" s="150"/>
      <c r="D1831" s="102"/>
      <c r="E1831" s="149"/>
      <c r="F1831" s="149"/>
      <c r="G1831" s="149"/>
      <c r="H1831" s="149"/>
      <c r="I1831" s="149"/>
      <c r="J1831" s="149"/>
      <c r="K1831" s="149"/>
      <c r="L1831" s="149"/>
      <c r="M1831" s="149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9"/>
      <c r="AA1831" s="149"/>
      <c r="AB1831" s="149"/>
      <c r="AC1831" s="149"/>
      <c r="AD1831" s="149"/>
      <c r="AE1831" s="149"/>
      <c r="AF1831" s="149"/>
      <c r="AG1831" s="149"/>
      <c r="AH1831" s="149"/>
      <c r="AI1831" s="149"/>
      <c r="AJ1831" s="149"/>
      <c r="AK1831" s="149"/>
      <c r="AL1831" s="149"/>
      <c r="AM1831" s="149"/>
      <c r="AN1831" s="149"/>
      <c r="AO1831" s="128"/>
      <c r="AP1831" s="128"/>
      <c r="AQ1831" s="128"/>
      <c r="AR1831" s="128"/>
      <c r="AS1831" s="128"/>
      <c r="AT1831" s="128"/>
      <c r="AU1831" s="128"/>
      <c r="AV1831" s="128"/>
      <c r="AW1831" s="128"/>
      <c r="AX1831" s="128"/>
      <c r="AY1831" s="128"/>
      <c r="AZ1831" s="128"/>
      <c r="BA1831" s="128"/>
      <c r="BB1831" s="128"/>
      <c r="BC1831" s="128"/>
      <c r="BD1831" s="128"/>
      <c r="BE1831" s="128"/>
      <c r="BF1831" s="128"/>
      <c r="BG1831" s="128"/>
      <c r="BH1831" s="128"/>
      <c r="BI1831" s="128"/>
      <c r="BJ1831" s="128"/>
      <c r="BK1831" s="128"/>
      <c r="BL1831" s="128"/>
      <c r="BM1831" s="151"/>
      <c r="BN1831" s="128"/>
      <c r="BO1831" s="128"/>
      <c r="BP1831" s="128"/>
      <c r="BQ1831" s="128"/>
      <c r="BR1831" s="128"/>
      <c r="BS1831" s="128"/>
      <c r="BT1831" s="128"/>
      <c r="BU1831" s="128"/>
      <c r="BV1831" s="128"/>
      <c r="BW1831" s="128"/>
      <c r="BX1831" s="128"/>
      <c r="BY1831" s="128"/>
      <c r="BZ1831" s="128"/>
      <c r="CA1831" s="128"/>
      <c r="CB1831" s="128"/>
      <c r="CC1831" s="128"/>
      <c r="CD1831" s="128"/>
      <c r="CE1831" s="128"/>
      <c r="CF1831" s="128"/>
      <c r="CG1831" s="128"/>
      <c r="CI1831" s="128"/>
      <c r="CJ1831" s="128"/>
      <c r="CK1831" s="128"/>
      <c r="CL1831" s="128"/>
      <c r="CM1831" s="128"/>
      <c r="CN1831" s="128"/>
      <c r="CO1831" s="128"/>
      <c r="CP1831" s="128"/>
      <c r="CQ1831" s="128"/>
      <c r="CR1831" s="128"/>
      <c r="CS1831" s="128"/>
      <c r="CT1831" s="128"/>
      <c r="CU1831" s="128"/>
      <c r="CV1831" s="128"/>
      <c r="CW1831" s="128"/>
      <c r="CX1831" s="128"/>
      <c r="CY1831" s="128"/>
      <c r="CZ1831" s="165"/>
    </row>
    <row r="1832" spans="1:104">
      <c r="A1832" s="149"/>
      <c r="B1832" s="149"/>
      <c r="C1832" s="150"/>
      <c r="D1832" s="102"/>
      <c r="E1832" s="149"/>
      <c r="F1832" s="149"/>
      <c r="G1832" s="149"/>
      <c r="H1832" s="149"/>
      <c r="I1832" s="149"/>
      <c r="J1832" s="149"/>
      <c r="K1832" s="149"/>
      <c r="L1832" s="149"/>
      <c r="M1832" s="149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9"/>
      <c r="AA1832" s="149"/>
      <c r="AB1832" s="149"/>
      <c r="AC1832" s="149"/>
      <c r="AD1832" s="149"/>
      <c r="AE1832" s="149"/>
      <c r="AF1832" s="149"/>
      <c r="AG1832" s="149"/>
      <c r="AH1832" s="149"/>
      <c r="AI1832" s="149"/>
      <c r="AJ1832" s="149"/>
      <c r="AK1832" s="149"/>
      <c r="AL1832" s="149"/>
      <c r="AM1832" s="149"/>
      <c r="AN1832" s="149"/>
      <c r="AO1832" s="128"/>
      <c r="AP1832" s="128"/>
      <c r="AQ1832" s="128"/>
      <c r="AR1832" s="128"/>
      <c r="AS1832" s="128"/>
      <c r="AT1832" s="128"/>
      <c r="AU1832" s="128"/>
      <c r="AV1832" s="128"/>
      <c r="AW1832" s="128"/>
      <c r="AX1832" s="128"/>
      <c r="AY1832" s="128"/>
      <c r="AZ1832" s="128"/>
      <c r="BA1832" s="128"/>
      <c r="BB1832" s="128"/>
      <c r="BC1832" s="128"/>
      <c r="BD1832" s="128"/>
      <c r="BE1832" s="128"/>
      <c r="BF1832" s="128"/>
      <c r="BG1832" s="128"/>
      <c r="BH1832" s="128"/>
      <c r="BI1832" s="128"/>
      <c r="BJ1832" s="128"/>
      <c r="BK1832" s="128"/>
      <c r="BL1832" s="128"/>
      <c r="BM1832" s="151"/>
      <c r="BN1832" s="128"/>
      <c r="BO1832" s="128"/>
      <c r="BP1832" s="128"/>
      <c r="BQ1832" s="128"/>
      <c r="BR1832" s="128"/>
      <c r="BS1832" s="128"/>
      <c r="BT1832" s="128"/>
      <c r="BU1832" s="128"/>
      <c r="BV1832" s="128"/>
      <c r="BW1832" s="128"/>
      <c r="BX1832" s="128"/>
      <c r="BY1832" s="128"/>
      <c r="BZ1832" s="128"/>
      <c r="CA1832" s="128"/>
      <c r="CB1832" s="128"/>
      <c r="CC1832" s="128"/>
      <c r="CD1832" s="128"/>
      <c r="CE1832" s="128"/>
      <c r="CF1832" s="128"/>
      <c r="CG1832" s="128"/>
      <c r="CI1832" s="128"/>
      <c r="CJ1832" s="128"/>
      <c r="CK1832" s="128"/>
      <c r="CL1832" s="128"/>
      <c r="CM1832" s="128"/>
      <c r="CN1832" s="128"/>
      <c r="CO1832" s="128"/>
      <c r="CP1832" s="128"/>
      <c r="CQ1832" s="128"/>
      <c r="CR1832" s="128"/>
      <c r="CS1832" s="128"/>
      <c r="CT1832" s="128"/>
      <c r="CU1832" s="128"/>
      <c r="CV1832" s="128"/>
      <c r="CW1832" s="128"/>
      <c r="CX1832" s="128"/>
      <c r="CY1832" s="128"/>
      <c r="CZ1832" s="165"/>
    </row>
    <row r="1833" spans="1:104">
      <c r="A1833" s="149"/>
      <c r="B1833" s="149"/>
      <c r="C1833" s="150"/>
      <c r="D1833" s="102"/>
      <c r="E1833" s="149"/>
      <c r="F1833" s="149"/>
      <c r="G1833" s="149"/>
      <c r="H1833" s="149"/>
      <c r="I1833" s="149"/>
      <c r="J1833" s="149"/>
      <c r="K1833" s="149"/>
      <c r="L1833" s="149"/>
      <c r="M1833" s="149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9"/>
      <c r="AA1833" s="149"/>
      <c r="AB1833" s="149"/>
      <c r="AC1833" s="149"/>
      <c r="AD1833" s="149"/>
      <c r="AE1833" s="149"/>
      <c r="AF1833" s="149"/>
      <c r="AG1833" s="149"/>
      <c r="AH1833" s="149"/>
      <c r="AI1833" s="149"/>
      <c r="AJ1833" s="149"/>
      <c r="AK1833" s="149"/>
      <c r="AL1833" s="149"/>
      <c r="AM1833" s="149"/>
      <c r="AN1833" s="149"/>
      <c r="AO1833" s="128"/>
      <c r="AP1833" s="128"/>
      <c r="AQ1833" s="128"/>
      <c r="AR1833" s="128"/>
      <c r="AS1833" s="128"/>
      <c r="AT1833" s="128"/>
      <c r="AU1833" s="128"/>
      <c r="AV1833" s="128"/>
      <c r="AW1833" s="128"/>
      <c r="AX1833" s="128"/>
      <c r="AY1833" s="128"/>
      <c r="AZ1833" s="128"/>
      <c r="BA1833" s="128"/>
      <c r="BB1833" s="128"/>
      <c r="BC1833" s="128"/>
      <c r="BD1833" s="128"/>
      <c r="BE1833" s="128"/>
      <c r="BF1833" s="128"/>
      <c r="BG1833" s="128"/>
      <c r="BH1833" s="128"/>
      <c r="BI1833" s="128"/>
      <c r="BJ1833" s="128"/>
      <c r="BK1833" s="128"/>
      <c r="BL1833" s="128"/>
      <c r="BM1833" s="151"/>
      <c r="BN1833" s="128"/>
      <c r="BO1833" s="128"/>
      <c r="BP1833" s="128"/>
      <c r="BQ1833" s="128"/>
      <c r="BR1833" s="128"/>
      <c r="BS1833" s="128"/>
      <c r="BT1833" s="128"/>
      <c r="BU1833" s="128"/>
      <c r="BV1833" s="128"/>
      <c r="BW1833" s="128"/>
      <c r="BX1833" s="128"/>
      <c r="BY1833" s="128"/>
      <c r="BZ1833" s="128"/>
      <c r="CA1833" s="128"/>
      <c r="CB1833" s="128"/>
      <c r="CC1833" s="128"/>
      <c r="CD1833" s="128"/>
      <c r="CE1833" s="128"/>
      <c r="CF1833" s="128"/>
      <c r="CG1833" s="128"/>
      <c r="CI1833" s="128"/>
      <c r="CJ1833" s="128"/>
      <c r="CK1833" s="128"/>
      <c r="CL1833" s="128"/>
      <c r="CM1833" s="128"/>
      <c r="CN1833" s="128"/>
      <c r="CO1833" s="128"/>
      <c r="CP1833" s="128"/>
      <c r="CQ1833" s="128"/>
      <c r="CR1833" s="128"/>
      <c r="CS1833" s="128"/>
      <c r="CT1833" s="128"/>
      <c r="CU1833" s="128"/>
      <c r="CV1833" s="128"/>
      <c r="CW1833" s="128"/>
      <c r="CX1833" s="128"/>
      <c r="CY1833" s="128"/>
      <c r="CZ1833" s="165"/>
    </row>
    <row r="1834" spans="1:104">
      <c r="A1834" s="149"/>
      <c r="B1834" s="149"/>
      <c r="C1834" s="150"/>
      <c r="D1834" s="102"/>
      <c r="E1834" s="149"/>
      <c r="F1834" s="149"/>
      <c r="G1834" s="149"/>
      <c r="H1834" s="149"/>
      <c r="I1834" s="149"/>
      <c r="J1834" s="149"/>
      <c r="K1834" s="149"/>
      <c r="L1834" s="149"/>
      <c r="M1834" s="149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9"/>
      <c r="AA1834" s="149"/>
      <c r="AB1834" s="149"/>
      <c r="AC1834" s="149"/>
      <c r="AD1834" s="149"/>
      <c r="AE1834" s="149"/>
      <c r="AF1834" s="149"/>
      <c r="AG1834" s="149"/>
      <c r="AH1834" s="149"/>
      <c r="AI1834" s="149"/>
      <c r="AJ1834" s="149"/>
      <c r="AK1834" s="149"/>
      <c r="AL1834" s="149"/>
      <c r="AM1834" s="149"/>
      <c r="AN1834" s="149"/>
      <c r="AO1834" s="128"/>
      <c r="AP1834" s="128"/>
      <c r="AQ1834" s="128"/>
      <c r="AR1834" s="128"/>
      <c r="AS1834" s="128"/>
      <c r="AT1834" s="128"/>
      <c r="AU1834" s="128"/>
      <c r="AV1834" s="128"/>
      <c r="AW1834" s="128"/>
      <c r="AX1834" s="128"/>
      <c r="AY1834" s="128"/>
      <c r="AZ1834" s="128"/>
      <c r="BA1834" s="128"/>
      <c r="BB1834" s="128"/>
      <c r="BC1834" s="128"/>
      <c r="BD1834" s="128"/>
      <c r="BE1834" s="128"/>
      <c r="BF1834" s="128"/>
      <c r="BG1834" s="128"/>
      <c r="BH1834" s="128"/>
      <c r="BI1834" s="128"/>
      <c r="BJ1834" s="128"/>
      <c r="BK1834" s="128"/>
      <c r="BL1834" s="128"/>
      <c r="BM1834" s="151"/>
      <c r="BN1834" s="128"/>
      <c r="BO1834" s="128"/>
      <c r="BP1834" s="128"/>
      <c r="BQ1834" s="128"/>
      <c r="BR1834" s="128"/>
      <c r="BS1834" s="128"/>
      <c r="BT1834" s="128"/>
      <c r="BU1834" s="128"/>
      <c r="BV1834" s="128"/>
      <c r="BW1834" s="128"/>
      <c r="BX1834" s="128"/>
      <c r="BY1834" s="128"/>
      <c r="BZ1834" s="128"/>
      <c r="CA1834" s="128"/>
      <c r="CB1834" s="128"/>
      <c r="CC1834" s="128"/>
      <c r="CD1834" s="128"/>
      <c r="CE1834" s="128"/>
      <c r="CF1834" s="128"/>
      <c r="CG1834" s="128"/>
      <c r="CI1834" s="128"/>
      <c r="CJ1834" s="128"/>
      <c r="CK1834" s="128"/>
      <c r="CL1834" s="128"/>
      <c r="CM1834" s="128"/>
      <c r="CN1834" s="128"/>
      <c r="CO1834" s="128"/>
      <c r="CP1834" s="128"/>
      <c r="CQ1834" s="128"/>
      <c r="CR1834" s="128"/>
      <c r="CS1834" s="128"/>
      <c r="CT1834" s="128"/>
      <c r="CU1834" s="128"/>
      <c r="CV1834" s="128"/>
      <c r="CW1834" s="128"/>
      <c r="CX1834" s="128"/>
      <c r="CY1834" s="128"/>
      <c r="CZ1834" s="165"/>
    </row>
    <row r="1835" spans="1:104">
      <c r="A1835" s="149"/>
      <c r="B1835" s="149"/>
      <c r="C1835" s="150"/>
      <c r="D1835" s="102"/>
      <c r="E1835" s="149"/>
      <c r="F1835" s="149"/>
      <c r="G1835" s="149"/>
      <c r="H1835" s="149"/>
      <c r="I1835" s="149"/>
      <c r="J1835" s="149"/>
      <c r="K1835" s="149"/>
      <c r="L1835" s="149"/>
      <c r="M1835" s="149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9"/>
      <c r="AA1835" s="149"/>
      <c r="AB1835" s="149"/>
      <c r="AC1835" s="149"/>
      <c r="AD1835" s="149"/>
      <c r="AE1835" s="149"/>
      <c r="AF1835" s="149"/>
      <c r="AG1835" s="149"/>
      <c r="AH1835" s="149"/>
      <c r="AI1835" s="149"/>
      <c r="AJ1835" s="149"/>
      <c r="AK1835" s="149"/>
      <c r="AL1835" s="149"/>
      <c r="AM1835" s="149"/>
      <c r="AN1835" s="149"/>
      <c r="AO1835" s="128"/>
      <c r="AP1835" s="128"/>
      <c r="AQ1835" s="128"/>
      <c r="AR1835" s="128"/>
      <c r="AS1835" s="128"/>
      <c r="AT1835" s="128"/>
      <c r="AU1835" s="128"/>
      <c r="AV1835" s="128"/>
      <c r="AW1835" s="128"/>
      <c r="AX1835" s="128"/>
      <c r="AY1835" s="128"/>
      <c r="AZ1835" s="128"/>
      <c r="BA1835" s="128"/>
      <c r="BB1835" s="128"/>
      <c r="BC1835" s="128"/>
      <c r="BD1835" s="128"/>
      <c r="BE1835" s="128"/>
      <c r="BF1835" s="128"/>
      <c r="BG1835" s="128"/>
      <c r="BH1835" s="128"/>
      <c r="BI1835" s="128"/>
      <c r="BJ1835" s="128"/>
      <c r="BK1835" s="128"/>
      <c r="BL1835" s="128"/>
      <c r="BM1835" s="151"/>
      <c r="BN1835" s="128"/>
      <c r="BO1835" s="128"/>
      <c r="BP1835" s="128"/>
      <c r="BQ1835" s="128"/>
      <c r="BR1835" s="128"/>
      <c r="BS1835" s="128"/>
      <c r="BT1835" s="128"/>
      <c r="BU1835" s="128"/>
      <c r="BV1835" s="128"/>
      <c r="BW1835" s="128"/>
      <c r="BX1835" s="128"/>
      <c r="BY1835" s="128"/>
      <c r="BZ1835" s="128"/>
      <c r="CA1835" s="128"/>
      <c r="CB1835" s="128"/>
      <c r="CC1835" s="128"/>
      <c r="CD1835" s="128"/>
      <c r="CE1835" s="128"/>
      <c r="CF1835" s="128"/>
      <c r="CG1835" s="128"/>
      <c r="CI1835" s="128"/>
      <c r="CJ1835" s="128"/>
      <c r="CK1835" s="128"/>
      <c r="CL1835" s="128"/>
      <c r="CM1835" s="128"/>
      <c r="CN1835" s="128"/>
      <c r="CO1835" s="128"/>
      <c r="CP1835" s="128"/>
      <c r="CQ1835" s="128"/>
      <c r="CR1835" s="128"/>
      <c r="CS1835" s="128"/>
      <c r="CT1835" s="128"/>
      <c r="CU1835" s="128"/>
      <c r="CV1835" s="128"/>
      <c r="CW1835" s="128"/>
      <c r="CX1835" s="128"/>
      <c r="CY1835" s="128"/>
      <c r="CZ1835" s="165"/>
    </row>
    <row r="1836" spans="1:104">
      <c r="A1836" s="149"/>
      <c r="B1836" s="149"/>
      <c r="C1836" s="150"/>
      <c r="D1836" s="102"/>
      <c r="E1836" s="149"/>
      <c r="F1836" s="149"/>
      <c r="G1836" s="149"/>
      <c r="H1836" s="149"/>
      <c r="I1836" s="149"/>
      <c r="J1836" s="149"/>
      <c r="K1836" s="149"/>
      <c r="L1836" s="149"/>
      <c r="M1836" s="149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9"/>
      <c r="AA1836" s="149"/>
      <c r="AB1836" s="149"/>
      <c r="AC1836" s="149"/>
      <c r="AD1836" s="149"/>
      <c r="AE1836" s="149"/>
      <c r="AF1836" s="149"/>
      <c r="AG1836" s="149"/>
      <c r="AH1836" s="149"/>
      <c r="AI1836" s="149"/>
      <c r="AJ1836" s="149"/>
      <c r="AK1836" s="149"/>
      <c r="AL1836" s="149"/>
      <c r="AM1836" s="149"/>
      <c r="AN1836" s="149"/>
      <c r="AO1836" s="128"/>
      <c r="AP1836" s="128"/>
      <c r="AQ1836" s="128"/>
      <c r="AR1836" s="128"/>
      <c r="AS1836" s="128"/>
      <c r="AT1836" s="128"/>
      <c r="AU1836" s="128"/>
      <c r="AV1836" s="128"/>
      <c r="AW1836" s="128"/>
      <c r="AX1836" s="128"/>
      <c r="AY1836" s="128"/>
      <c r="AZ1836" s="128"/>
      <c r="BA1836" s="128"/>
      <c r="BB1836" s="128"/>
      <c r="BC1836" s="128"/>
      <c r="BD1836" s="128"/>
      <c r="BE1836" s="128"/>
      <c r="BF1836" s="128"/>
      <c r="BG1836" s="128"/>
      <c r="BH1836" s="128"/>
      <c r="BI1836" s="128"/>
      <c r="BJ1836" s="128"/>
      <c r="BK1836" s="128"/>
      <c r="BL1836" s="128"/>
      <c r="BM1836" s="151"/>
      <c r="BN1836" s="128"/>
      <c r="BO1836" s="128"/>
      <c r="BP1836" s="128"/>
      <c r="BQ1836" s="128"/>
      <c r="BR1836" s="128"/>
      <c r="BS1836" s="128"/>
      <c r="BT1836" s="128"/>
      <c r="BU1836" s="128"/>
      <c r="BV1836" s="128"/>
      <c r="BW1836" s="128"/>
      <c r="BX1836" s="128"/>
      <c r="BY1836" s="128"/>
      <c r="BZ1836" s="128"/>
      <c r="CA1836" s="128"/>
      <c r="CB1836" s="128"/>
      <c r="CC1836" s="128"/>
      <c r="CD1836" s="128"/>
      <c r="CE1836" s="128"/>
      <c r="CF1836" s="128"/>
      <c r="CG1836" s="128"/>
      <c r="CI1836" s="128"/>
      <c r="CJ1836" s="128"/>
      <c r="CK1836" s="128"/>
      <c r="CL1836" s="128"/>
      <c r="CM1836" s="128"/>
      <c r="CN1836" s="128"/>
      <c r="CO1836" s="128"/>
      <c r="CP1836" s="128"/>
      <c r="CQ1836" s="128"/>
      <c r="CR1836" s="128"/>
      <c r="CS1836" s="128"/>
      <c r="CT1836" s="128"/>
      <c r="CU1836" s="128"/>
      <c r="CV1836" s="128"/>
      <c r="CW1836" s="128"/>
      <c r="CX1836" s="128"/>
      <c r="CY1836" s="128"/>
      <c r="CZ1836" s="165"/>
    </row>
    <row r="1837" spans="1:104">
      <c r="A1837" s="149"/>
      <c r="B1837" s="149"/>
      <c r="C1837" s="150"/>
      <c r="D1837" s="102"/>
      <c r="E1837" s="149"/>
      <c r="F1837" s="149"/>
      <c r="G1837" s="149"/>
      <c r="H1837" s="149"/>
      <c r="I1837" s="149"/>
      <c r="J1837" s="149"/>
      <c r="K1837" s="149"/>
      <c r="L1837" s="149"/>
      <c r="M1837" s="149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9"/>
      <c r="AA1837" s="149"/>
      <c r="AB1837" s="149"/>
      <c r="AC1837" s="149"/>
      <c r="AD1837" s="149"/>
      <c r="AE1837" s="149"/>
      <c r="AF1837" s="149"/>
      <c r="AG1837" s="149"/>
      <c r="AH1837" s="149"/>
      <c r="AI1837" s="149"/>
      <c r="AJ1837" s="149"/>
      <c r="AK1837" s="149"/>
      <c r="AL1837" s="149"/>
      <c r="AM1837" s="149"/>
      <c r="AN1837" s="149"/>
      <c r="AO1837" s="128"/>
      <c r="AP1837" s="128"/>
      <c r="AQ1837" s="128"/>
      <c r="AR1837" s="128"/>
      <c r="AS1837" s="128"/>
      <c r="AT1837" s="128"/>
      <c r="AU1837" s="128"/>
      <c r="AV1837" s="128"/>
      <c r="AW1837" s="128"/>
      <c r="AX1837" s="128"/>
      <c r="AY1837" s="128"/>
      <c r="AZ1837" s="128"/>
      <c r="BA1837" s="128"/>
      <c r="BB1837" s="128"/>
      <c r="BC1837" s="128"/>
      <c r="BD1837" s="128"/>
      <c r="BE1837" s="128"/>
      <c r="BF1837" s="128"/>
      <c r="BG1837" s="128"/>
      <c r="BH1837" s="128"/>
      <c r="BI1837" s="128"/>
      <c r="BJ1837" s="128"/>
      <c r="BK1837" s="128"/>
      <c r="BL1837" s="128"/>
      <c r="BM1837" s="151"/>
      <c r="BN1837" s="128"/>
      <c r="BO1837" s="128"/>
      <c r="BP1837" s="128"/>
      <c r="BQ1837" s="128"/>
      <c r="BR1837" s="128"/>
      <c r="BS1837" s="128"/>
      <c r="BT1837" s="128"/>
      <c r="BU1837" s="128"/>
      <c r="BV1837" s="128"/>
      <c r="BW1837" s="128"/>
      <c r="BX1837" s="128"/>
      <c r="BY1837" s="128"/>
      <c r="BZ1837" s="128"/>
      <c r="CA1837" s="128"/>
      <c r="CB1837" s="128"/>
      <c r="CC1837" s="128"/>
      <c r="CD1837" s="128"/>
      <c r="CE1837" s="128"/>
      <c r="CF1837" s="128"/>
      <c r="CG1837" s="128"/>
      <c r="CI1837" s="128"/>
      <c r="CJ1837" s="128"/>
      <c r="CK1837" s="128"/>
      <c r="CL1837" s="128"/>
      <c r="CM1837" s="128"/>
      <c r="CN1837" s="128"/>
      <c r="CO1837" s="128"/>
      <c r="CP1837" s="128"/>
      <c r="CQ1837" s="128"/>
      <c r="CR1837" s="128"/>
      <c r="CS1837" s="128"/>
      <c r="CT1837" s="128"/>
      <c r="CU1837" s="128"/>
      <c r="CV1837" s="128"/>
      <c r="CW1837" s="128"/>
      <c r="CX1837" s="128"/>
      <c r="CY1837" s="128"/>
      <c r="CZ1837" s="165"/>
    </row>
    <row r="1838" spans="1:104">
      <c r="A1838" s="149"/>
      <c r="B1838" s="149"/>
      <c r="C1838" s="150"/>
      <c r="D1838" s="102"/>
      <c r="E1838" s="149"/>
      <c r="F1838" s="149"/>
      <c r="G1838" s="149"/>
      <c r="H1838" s="149"/>
      <c r="I1838" s="149"/>
      <c r="J1838" s="149"/>
      <c r="K1838" s="149"/>
      <c r="L1838" s="149"/>
      <c r="M1838" s="149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9"/>
      <c r="AA1838" s="149"/>
      <c r="AB1838" s="149"/>
      <c r="AC1838" s="149"/>
      <c r="AD1838" s="149"/>
      <c r="AE1838" s="149"/>
      <c r="AF1838" s="149"/>
      <c r="AG1838" s="149"/>
      <c r="AH1838" s="149"/>
      <c r="AI1838" s="149"/>
      <c r="AJ1838" s="149"/>
      <c r="AK1838" s="149"/>
      <c r="AL1838" s="149"/>
      <c r="AM1838" s="149"/>
      <c r="AN1838" s="149"/>
      <c r="AO1838" s="128"/>
      <c r="AP1838" s="128"/>
      <c r="AQ1838" s="128"/>
      <c r="AR1838" s="128"/>
      <c r="AS1838" s="128"/>
      <c r="AT1838" s="128"/>
      <c r="AU1838" s="128"/>
      <c r="AV1838" s="128"/>
      <c r="AW1838" s="128"/>
      <c r="AX1838" s="128"/>
      <c r="AY1838" s="128"/>
      <c r="AZ1838" s="128"/>
      <c r="BA1838" s="128"/>
      <c r="BB1838" s="128"/>
      <c r="BC1838" s="128"/>
      <c r="BD1838" s="128"/>
      <c r="BE1838" s="128"/>
      <c r="BF1838" s="128"/>
      <c r="BG1838" s="128"/>
      <c r="BH1838" s="128"/>
      <c r="BI1838" s="128"/>
      <c r="BJ1838" s="128"/>
      <c r="BK1838" s="128"/>
      <c r="BL1838" s="128"/>
      <c r="BM1838" s="151"/>
      <c r="BN1838" s="128"/>
      <c r="BO1838" s="128"/>
      <c r="BP1838" s="128"/>
      <c r="BQ1838" s="128"/>
      <c r="BR1838" s="128"/>
      <c r="BS1838" s="128"/>
      <c r="BT1838" s="128"/>
      <c r="BU1838" s="128"/>
      <c r="BV1838" s="128"/>
      <c r="BW1838" s="128"/>
      <c r="BX1838" s="128"/>
      <c r="BY1838" s="128"/>
      <c r="BZ1838" s="128"/>
      <c r="CA1838" s="128"/>
      <c r="CB1838" s="128"/>
      <c r="CC1838" s="128"/>
      <c r="CD1838" s="128"/>
      <c r="CE1838" s="128"/>
      <c r="CF1838" s="128"/>
      <c r="CG1838" s="128"/>
      <c r="CI1838" s="128"/>
      <c r="CJ1838" s="128"/>
      <c r="CK1838" s="128"/>
      <c r="CL1838" s="128"/>
      <c r="CM1838" s="128"/>
      <c r="CN1838" s="128"/>
      <c r="CO1838" s="128"/>
      <c r="CP1838" s="128"/>
      <c r="CQ1838" s="128"/>
      <c r="CR1838" s="128"/>
      <c r="CS1838" s="128"/>
      <c r="CT1838" s="128"/>
      <c r="CU1838" s="128"/>
      <c r="CV1838" s="128"/>
      <c r="CW1838" s="128"/>
      <c r="CX1838" s="128"/>
      <c r="CY1838" s="128"/>
      <c r="CZ1838" s="165"/>
    </row>
    <row r="1839" spans="1:104">
      <c r="A1839" s="149"/>
      <c r="B1839" s="149"/>
      <c r="C1839" s="150"/>
      <c r="D1839" s="102"/>
      <c r="E1839" s="149"/>
      <c r="F1839" s="149"/>
      <c r="G1839" s="149"/>
      <c r="H1839" s="149"/>
      <c r="I1839" s="149"/>
      <c r="J1839" s="149"/>
      <c r="K1839" s="149"/>
      <c r="L1839" s="149"/>
      <c r="M1839" s="149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9"/>
      <c r="AA1839" s="149"/>
      <c r="AB1839" s="149"/>
      <c r="AC1839" s="149"/>
      <c r="AD1839" s="149"/>
      <c r="AE1839" s="149"/>
      <c r="AF1839" s="149"/>
      <c r="AG1839" s="149"/>
      <c r="AH1839" s="149"/>
      <c r="AI1839" s="149"/>
      <c r="AJ1839" s="149"/>
      <c r="AK1839" s="149"/>
      <c r="AL1839" s="149"/>
      <c r="AM1839" s="149"/>
      <c r="AN1839" s="149"/>
      <c r="AO1839" s="128"/>
      <c r="AP1839" s="128"/>
      <c r="AQ1839" s="128"/>
      <c r="AR1839" s="128"/>
      <c r="AS1839" s="128"/>
      <c r="AT1839" s="128"/>
      <c r="AU1839" s="128"/>
      <c r="AV1839" s="128"/>
      <c r="AW1839" s="128"/>
      <c r="AX1839" s="128"/>
      <c r="AY1839" s="128"/>
      <c r="AZ1839" s="128"/>
      <c r="BA1839" s="128"/>
      <c r="BB1839" s="128"/>
      <c r="BC1839" s="128"/>
      <c r="BD1839" s="128"/>
      <c r="BE1839" s="128"/>
      <c r="BF1839" s="128"/>
      <c r="BG1839" s="128"/>
      <c r="BH1839" s="128"/>
      <c r="BI1839" s="128"/>
      <c r="BJ1839" s="128"/>
      <c r="BK1839" s="128"/>
      <c r="BL1839" s="128"/>
      <c r="BM1839" s="151"/>
      <c r="BN1839" s="128"/>
      <c r="BO1839" s="128"/>
      <c r="BP1839" s="128"/>
      <c r="BQ1839" s="128"/>
      <c r="BR1839" s="128"/>
      <c r="BS1839" s="128"/>
      <c r="BT1839" s="128"/>
      <c r="BU1839" s="128"/>
      <c r="BV1839" s="128"/>
      <c r="BW1839" s="128"/>
      <c r="BX1839" s="128"/>
      <c r="BY1839" s="128"/>
      <c r="BZ1839" s="128"/>
      <c r="CA1839" s="128"/>
      <c r="CB1839" s="128"/>
      <c r="CC1839" s="128"/>
      <c r="CD1839" s="128"/>
      <c r="CE1839" s="128"/>
      <c r="CF1839" s="128"/>
      <c r="CG1839" s="128"/>
      <c r="CI1839" s="128"/>
      <c r="CJ1839" s="128"/>
      <c r="CK1839" s="128"/>
      <c r="CL1839" s="128"/>
      <c r="CM1839" s="128"/>
      <c r="CN1839" s="128"/>
      <c r="CO1839" s="128"/>
      <c r="CP1839" s="128"/>
      <c r="CQ1839" s="128"/>
      <c r="CR1839" s="128"/>
      <c r="CS1839" s="128"/>
      <c r="CT1839" s="128"/>
      <c r="CU1839" s="128"/>
      <c r="CV1839" s="128"/>
      <c r="CW1839" s="128"/>
      <c r="CX1839" s="128"/>
      <c r="CY1839" s="128"/>
      <c r="CZ1839" s="165"/>
    </row>
    <row r="1840" spans="1:104">
      <c r="A1840" s="149"/>
      <c r="B1840" s="149"/>
      <c r="C1840" s="150"/>
      <c r="D1840" s="102"/>
      <c r="E1840" s="149"/>
      <c r="F1840" s="149"/>
      <c r="G1840" s="149"/>
      <c r="H1840" s="149"/>
      <c r="I1840" s="149"/>
      <c r="J1840" s="149"/>
      <c r="K1840" s="149"/>
      <c r="L1840" s="149"/>
      <c r="M1840" s="149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9"/>
      <c r="AA1840" s="149"/>
      <c r="AB1840" s="149"/>
      <c r="AC1840" s="149"/>
      <c r="AD1840" s="149"/>
      <c r="AE1840" s="149"/>
      <c r="AF1840" s="149"/>
      <c r="AG1840" s="149"/>
      <c r="AH1840" s="149"/>
      <c r="AI1840" s="149"/>
      <c r="AJ1840" s="149"/>
      <c r="AK1840" s="149"/>
      <c r="AL1840" s="149"/>
      <c r="AM1840" s="149"/>
      <c r="AN1840" s="149"/>
      <c r="AO1840" s="128"/>
      <c r="AP1840" s="128"/>
      <c r="AQ1840" s="128"/>
      <c r="AR1840" s="128"/>
      <c r="AS1840" s="128"/>
      <c r="AT1840" s="128"/>
      <c r="AU1840" s="128"/>
      <c r="AV1840" s="128"/>
      <c r="AW1840" s="128"/>
      <c r="AX1840" s="128"/>
      <c r="AY1840" s="128"/>
      <c r="AZ1840" s="128"/>
      <c r="BA1840" s="128"/>
      <c r="BB1840" s="128"/>
      <c r="BC1840" s="128"/>
      <c r="BD1840" s="128"/>
      <c r="BE1840" s="128"/>
      <c r="BF1840" s="128"/>
      <c r="BG1840" s="128"/>
      <c r="BH1840" s="128"/>
      <c r="BI1840" s="128"/>
      <c r="BJ1840" s="128"/>
      <c r="BK1840" s="128"/>
      <c r="BL1840" s="128"/>
      <c r="BM1840" s="151"/>
      <c r="BN1840" s="128"/>
      <c r="BO1840" s="128"/>
      <c r="BP1840" s="128"/>
      <c r="BQ1840" s="128"/>
      <c r="BR1840" s="128"/>
      <c r="BS1840" s="128"/>
      <c r="BT1840" s="128"/>
      <c r="BU1840" s="128"/>
      <c r="BV1840" s="128"/>
      <c r="BW1840" s="128"/>
      <c r="BX1840" s="128"/>
      <c r="BY1840" s="128"/>
      <c r="BZ1840" s="128"/>
      <c r="CA1840" s="128"/>
      <c r="CB1840" s="128"/>
      <c r="CC1840" s="128"/>
      <c r="CD1840" s="128"/>
      <c r="CE1840" s="128"/>
      <c r="CF1840" s="128"/>
      <c r="CG1840" s="128"/>
      <c r="CI1840" s="128"/>
      <c r="CJ1840" s="128"/>
      <c r="CK1840" s="128"/>
      <c r="CL1840" s="128"/>
      <c r="CM1840" s="128"/>
      <c r="CN1840" s="128"/>
      <c r="CO1840" s="128"/>
      <c r="CP1840" s="128"/>
      <c r="CQ1840" s="128"/>
      <c r="CR1840" s="128"/>
      <c r="CS1840" s="128"/>
      <c r="CT1840" s="128"/>
      <c r="CU1840" s="128"/>
      <c r="CV1840" s="128"/>
      <c r="CW1840" s="128"/>
      <c r="CX1840" s="128"/>
      <c r="CY1840" s="128"/>
      <c r="CZ1840" s="165"/>
    </row>
    <row r="1841" spans="1:104">
      <c r="A1841" s="149"/>
      <c r="B1841" s="149"/>
      <c r="C1841" s="150"/>
      <c r="D1841" s="102"/>
      <c r="E1841" s="149"/>
      <c r="F1841" s="149"/>
      <c r="G1841" s="149"/>
      <c r="H1841" s="149"/>
      <c r="I1841" s="149"/>
      <c r="J1841" s="149"/>
      <c r="K1841" s="149"/>
      <c r="L1841" s="149"/>
      <c r="M1841" s="149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9"/>
      <c r="AA1841" s="149"/>
      <c r="AB1841" s="149"/>
      <c r="AC1841" s="149"/>
      <c r="AD1841" s="149"/>
      <c r="AE1841" s="149"/>
      <c r="AF1841" s="149"/>
      <c r="AG1841" s="149"/>
      <c r="AH1841" s="149"/>
      <c r="AI1841" s="149"/>
      <c r="AJ1841" s="149"/>
      <c r="AK1841" s="149"/>
      <c r="AL1841" s="149"/>
      <c r="AM1841" s="149"/>
      <c r="AN1841" s="149"/>
      <c r="AO1841" s="128"/>
      <c r="AP1841" s="128"/>
      <c r="AQ1841" s="128"/>
      <c r="AR1841" s="128"/>
      <c r="AS1841" s="128"/>
      <c r="AT1841" s="128"/>
      <c r="AU1841" s="128"/>
      <c r="AV1841" s="128"/>
      <c r="AW1841" s="128"/>
      <c r="AX1841" s="128"/>
      <c r="AY1841" s="128"/>
      <c r="AZ1841" s="128"/>
      <c r="BA1841" s="128"/>
      <c r="BB1841" s="128"/>
      <c r="BC1841" s="128"/>
      <c r="BD1841" s="128"/>
      <c r="BE1841" s="128"/>
      <c r="BF1841" s="128"/>
      <c r="BG1841" s="128"/>
      <c r="BH1841" s="128"/>
      <c r="BI1841" s="128"/>
      <c r="BJ1841" s="128"/>
      <c r="BK1841" s="128"/>
      <c r="BL1841" s="128"/>
      <c r="BM1841" s="151"/>
      <c r="BN1841" s="128"/>
      <c r="BO1841" s="128"/>
      <c r="BP1841" s="128"/>
      <c r="BQ1841" s="128"/>
      <c r="BR1841" s="128"/>
      <c r="BS1841" s="128"/>
      <c r="BT1841" s="128"/>
      <c r="BU1841" s="128"/>
      <c r="BV1841" s="128"/>
      <c r="BW1841" s="128"/>
      <c r="BX1841" s="128"/>
      <c r="BY1841" s="128"/>
      <c r="BZ1841" s="128"/>
      <c r="CA1841" s="128"/>
      <c r="CB1841" s="128"/>
      <c r="CC1841" s="128"/>
      <c r="CD1841" s="128"/>
      <c r="CE1841" s="128"/>
      <c r="CF1841" s="128"/>
      <c r="CG1841" s="128"/>
      <c r="CI1841" s="128"/>
      <c r="CJ1841" s="128"/>
      <c r="CK1841" s="128"/>
      <c r="CL1841" s="128"/>
      <c r="CM1841" s="128"/>
      <c r="CN1841" s="128"/>
      <c r="CO1841" s="128"/>
      <c r="CP1841" s="128"/>
      <c r="CQ1841" s="128"/>
      <c r="CR1841" s="128"/>
      <c r="CS1841" s="128"/>
      <c r="CT1841" s="128"/>
      <c r="CU1841" s="128"/>
      <c r="CV1841" s="128"/>
      <c r="CW1841" s="128"/>
      <c r="CX1841" s="128"/>
      <c r="CY1841" s="128"/>
      <c r="CZ1841" s="165"/>
    </row>
    <row r="1842" spans="1:104">
      <c r="A1842" s="149"/>
      <c r="B1842" s="149"/>
      <c r="C1842" s="150"/>
      <c r="D1842" s="102"/>
      <c r="E1842" s="149"/>
      <c r="F1842" s="149"/>
      <c r="G1842" s="149"/>
      <c r="H1842" s="149"/>
      <c r="I1842" s="149"/>
      <c r="J1842" s="149"/>
      <c r="K1842" s="149"/>
      <c r="L1842" s="149"/>
      <c r="M1842" s="149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9"/>
      <c r="AA1842" s="149"/>
      <c r="AB1842" s="149"/>
      <c r="AC1842" s="149"/>
      <c r="AD1842" s="149"/>
      <c r="AE1842" s="149"/>
      <c r="AF1842" s="149"/>
      <c r="AG1842" s="149"/>
      <c r="AH1842" s="149"/>
      <c r="AI1842" s="149"/>
      <c r="AJ1842" s="149"/>
      <c r="AK1842" s="149"/>
      <c r="AL1842" s="149"/>
      <c r="AM1842" s="149"/>
      <c r="AN1842" s="149"/>
      <c r="AO1842" s="128"/>
      <c r="AP1842" s="128"/>
      <c r="AQ1842" s="128"/>
      <c r="AR1842" s="128"/>
      <c r="AS1842" s="128"/>
      <c r="AT1842" s="128"/>
      <c r="AU1842" s="128"/>
      <c r="AV1842" s="128"/>
      <c r="AW1842" s="128"/>
      <c r="AX1842" s="128"/>
      <c r="AY1842" s="128"/>
      <c r="AZ1842" s="128"/>
      <c r="BA1842" s="128"/>
      <c r="BB1842" s="128"/>
      <c r="BC1842" s="128"/>
      <c r="BD1842" s="128"/>
      <c r="BE1842" s="128"/>
      <c r="BF1842" s="128"/>
      <c r="BG1842" s="128"/>
      <c r="BH1842" s="128"/>
      <c r="BI1842" s="128"/>
      <c r="BJ1842" s="128"/>
      <c r="BK1842" s="128"/>
      <c r="BL1842" s="128"/>
      <c r="BM1842" s="151"/>
      <c r="BN1842" s="128"/>
      <c r="BO1842" s="128"/>
      <c r="BP1842" s="128"/>
      <c r="BQ1842" s="128"/>
      <c r="BR1842" s="128"/>
      <c r="BS1842" s="128"/>
      <c r="BT1842" s="128"/>
      <c r="BU1842" s="128"/>
      <c r="BV1842" s="128"/>
      <c r="BW1842" s="128"/>
      <c r="BX1842" s="128"/>
      <c r="BY1842" s="128"/>
      <c r="BZ1842" s="128"/>
      <c r="CA1842" s="128"/>
      <c r="CB1842" s="128"/>
      <c r="CC1842" s="128"/>
      <c r="CD1842" s="128"/>
      <c r="CE1842" s="128"/>
      <c r="CF1842" s="128"/>
      <c r="CG1842" s="128"/>
      <c r="CI1842" s="128"/>
      <c r="CJ1842" s="128"/>
      <c r="CK1842" s="128"/>
      <c r="CL1842" s="128"/>
      <c r="CM1842" s="128"/>
      <c r="CN1842" s="128"/>
      <c r="CO1842" s="128"/>
      <c r="CP1842" s="128"/>
      <c r="CQ1842" s="128"/>
      <c r="CR1842" s="128"/>
      <c r="CS1842" s="128"/>
      <c r="CT1842" s="128"/>
      <c r="CU1842" s="128"/>
      <c r="CV1842" s="128"/>
      <c r="CW1842" s="128"/>
      <c r="CX1842" s="128"/>
      <c r="CY1842" s="128"/>
      <c r="CZ1842" s="165"/>
    </row>
    <row r="1843" spans="1:104">
      <c r="A1843" s="149"/>
      <c r="B1843" s="149"/>
      <c r="C1843" s="150"/>
      <c r="D1843" s="102"/>
      <c r="E1843" s="149"/>
      <c r="F1843" s="149"/>
      <c r="G1843" s="149"/>
      <c r="H1843" s="149"/>
      <c r="I1843" s="149"/>
      <c r="J1843" s="149"/>
      <c r="K1843" s="149"/>
      <c r="L1843" s="149"/>
      <c r="M1843" s="149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9"/>
      <c r="AA1843" s="149"/>
      <c r="AB1843" s="149"/>
      <c r="AC1843" s="149"/>
      <c r="AD1843" s="149"/>
      <c r="AE1843" s="149"/>
      <c r="AF1843" s="149"/>
      <c r="AG1843" s="149"/>
      <c r="AH1843" s="149"/>
      <c r="AI1843" s="149"/>
      <c r="AJ1843" s="149"/>
      <c r="AK1843" s="149"/>
      <c r="AL1843" s="149"/>
      <c r="AM1843" s="149"/>
      <c r="AN1843" s="149"/>
      <c r="AO1843" s="128"/>
      <c r="AP1843" s="128"/>
      <c r="AQ1843" s="128"/>
      <c r="AR1843" s="128"/>
      <c r="AS1843" s="128"/>
      <c r="AT1843" s="128"/>
      <c r="AU1843" s="128"/>
      <c r="AV1843" s="128"/>
      <c r="AW1843" s="128"/>
      <c r="AX1843" s="128"/>
      <c r="AY1843" s="128"/>
      <c r="AZ1843" s="128"/>
      <c r="BA1843" s="128"/>
      <c r="BB1843" s="128"/>
      <c r="BC1843" s="128"/>
      <c r="BD1843" s="128"/>
      <c r="BE1843" s="128"/>
      <c r="BF1843" s="128"/>
      <c r="BG1843" s="128"/>
      <c r="BH1843" s="128"/>
      <c r="BI1843" s="128"/>
      <c r="BJ1843" s="128"/>
      <c r="BK1843" s="128"/>
      <c r="BL1843" s="128"/>
      <c r="BM1843" s="151"/>
      <c r="BN1843" s="128"/>
      <c r="BO1843" s="128"/>
      <c r="BP1843" s="128"/>
      <c r="BQ1843" s="128"/>
      <c r="BR1843" s="128"/>
      <c r="BS1843" s="128"/>
      <c r="BT1843" s="128"/>
      <c r="BU1843" s="128"/>
      <c r="BV1843" s="128"/>
      <c r="BW1843" s="128"/>
      <c r="BX1843" s="128"/>
      <c r="BY1843" s="128"/>
      <c r="BZ1843" s="128"/>
      <c r="CA1843" s="128"/>
      <c r="CB1843" s="128"/>
      <c r="CC1843" s="128"/>
      <c r="CD1843" s="128"/>
      <c r="CE1843" s="128"/>
      <c r="CF1843" s="128"/>
      <c r="CG1843" s="128"/>
      <c r="CI1843" s="128"/>
      <c r="CJ1843" s="128"/>
      <c r="CK1843" s="128"/>
      <c r="CL1843" s="128"/>
      <c r="CM1843" s="128"/>
      <c r="CN1843" s="128"/>
      <c r="CO1843" s="128"/>
      <c r="CP1843" s="128"/>
      <c r="CQ1843" s="128"/>
      <c r="CR1843" s="128"/>
      <c r="CS1843" s="128"/>
      <c r="CT1843" s="128"/>
      <c r="CU1843" s="128"/>
      <c r="CV1843" s="128"/>
      <c r="CW1843" s="128"/>
      <c r="CX1843" s="128"/>
      <c r="CY1843" s="128"/>
      <c r="CZ1843" s="165"/>
    </row>
    <row r="1844" spans="1:104">
      <c r="A1844" s="149"/>
      <c r="B1844" s="149"/>
      <c r="C1844" s="150"/>
      <c r="D1844" s="102"/>
      <c r="E1844" s="149"/>
      <c r="F1844" s="149"/>
      <c r="G1844" s="149"/>
      <c r="H1844" s="149"/>
      <c r="I1844" s="149"/>
      <c r="J1844" s="149"/>
      <c r="K1844" s="149"/>
      <c r="L1844" s="149"/>
      <c r="M1844" s="149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9"/>
      <c r="AA1844" s="149"/>
      <c r="AB1844" s="149"/>
      <c r="AC1844" s="149"/>
      <c r="AD1844" s="149"/>
      <c r="AE1844" s="149"/>
      <c r="AF1844" s="149"/>
      <c r="AG1844" s="149"/>
      <c r="AH1844" s="149"/>
      <c r="AI1844" s="149"/>
      <c r="AJ1844" s="149"/>
      <c r="AK1844" s="149"/>
      <c r="AL1844" s="149"/>
      <c r="AM1844" s="149"/>
      <c r="AN1844" s="149"/>
      <c r="AO1844" s="128"/>
      <c r="AP1844" s="128"/>
      <c r="AQ1844" s="128"/>
      <c r="AR1844" s="128"/>
      <c r="AS1844" s="128"/>
      <c r="AT1844" s="128"/>
      <c r="AU1844" s="128"/>
      <c r="AV1844" s="128"/>
      <c r="AW1844" s="128"/>
      <c r="AX1844" s="128"/>
      <c r="AY1844" s="128"/>
      <c r="AZ1844" s="128"/>
      <c r="BA1844" s="128"/>
      <c r="BB1844" s="128"/>
      <c r="BC1844" s="128"/>
      <c r="BD1844" s="128"/>
      <c r="BE1844" s="128"/>
      <c r="BF1844" s="128"/>
      <c r="BG1844" s="128"/>
      <c r="BH1844" s="128"/>
      <c r="BI1844" s="128"/>
      <c r="BJ1844" s="128"/>
      <c r="BK1844" s="128"/>
      <c r="BL1844" s="128"/>
      <c r="BM1844" s="151"/>
      <c r="BN1844" s="128"/>
      <c r="BO1844" s="128"/>
      <c r="BP1844" s="128"/>
      <c r="BQ1844" s="128"/>
      <c r="BR1844" s="128"/>
      <c r="BS1844" s="128"/>
      <c r="BT1844" s="128"/>
      <c r="BU1844" s="128"/>
      <c r="BV1844" s="128"/>
      <c r="BW1844" s="128"/>
      <c r="BX1844" s="128"/>
      <c r="BY1844" s="128"/>
      <c r="BZ1844" s="128"/>
      <c r="CA1844" s="128"/>
      <c r="CB1844" s="128"/>
      <c r="CC1844" s="128"/>
      <c r="CD1844" s="128"/>
      <c r="CE1844" s="128"/>
      <c r="CF1844" s="128"/>
      <c r="CG1844" s="128"/>
      <c r="CI1844" s="128"/>
      <c r="CJ1844" s="128"/>
      <c r="CK1844" s="128"/>
      <c r="CL1844" s="128"/>
      <c r="CM1844" s="128"/>
      <c r="CN1844" s="128"/>
      <c r="CO1844" s="128"/>
      <c r="CP1844" s="128"/>
      <c r="CQ1844" s="128"/>
      <c r="CR1844" s="128"/>
      <c r="CS1844" s="128"/>
      <c r="CT1844" s="128"/>
      <c r="CU1844" s="128"/>
      <c r="CV1844" s="128"/>
      <c r="CW1844" s="128"/>
      <c r="CX1844" s="128"/>
      <c r="CY1844" s="128"/>
      <c r="CZ1844" s="165"/>
    </row>
    <row r="1845" spans="1:104">
      <c r="A1845" s="149"/>
      <c r="B1845" s="149"/>
      <c r="C1845" s="150"/>
      <c r="D1845" s="102"/>
      <c r="E1845" s="149"/>
      <c r="F1845" s="149"/>
      <c r="G1845" s="149"/>
      <c r="H1845" s="149"/>
      <c r="I1845" s="149"/>
      <c r="J1845" s="149"/>
      <c r="K1845" s="149"/>
      <c r="L1845" s="149"/>
      <c r="M1845" s="149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9"/>
      <c r="AA1845" s="149"/>
      <c r="AB1845" s="149"/>
      <c r="AC1845" s="149"/>
      <c r="AD1845" s="149"/>
      <c r="AE1845" s="149"/>
      <c r="AF1845" s="149"/>
      <c r="AG1845" s="149"/>
      <c r="AH1845" s="149"/>
      <c r="AI1845" s="149"/>
      <c r="AJ1845" s="149"/>
      <c r="AK1845" s="149"/>
      <c r="AL1845" s="149"/>
      <c r="AM1845" s="149"/>
      <c r="AN1845" s="149"/>
      <c r="AO1845" s="128"/>
      <c r="AP1845" s="128"/>
      <c r="AQ1845" s="128"/>
      <c r="AR1845" s="128"/>
      <c r="AS1845" s="128"/>
      <c r="AT1845" s="128"/>
      <c r="AU1845" s="128"/>
      <c r="AV1845" s="128"/>
      <c r="AW1845" s="128"/>
      <c r="AX1845" s="128"/>
      <c r="AY1845" s="128"/>
      <c r="AZ1845" s="128"/>
      <c r="BA1845" s="128"/>
      <c r="BB1845" s="128"/>
      <c r="BC1845" s="128"/>
      <c r="BD1845" s="128"/>
      <c r="BE1845" s="128"/>
      <c r="BF1845" s="128"/>
      <c r="BG1845" s="128"/>
      <c r="BH1845" s="128"/>
      <c r="BI1845" s="128"/>
      <c r="BJ1845" s="128"/>
      <c r="BK1845" s="128"/>
      <c r="BL1845" s="128"/>
      <c r="BM1845" s="151"/>
      <c r="BN1845" s="128"/>
      <c r="BO1845" s="128"/>
      <c r="BP1845" s="128"/>
      <c r="BQ1845" s="128"/>
      <c r="BR1845" s="128"/>
      <c r="BS1845" s="128"/>
      <c r="BT1845" s="128"/>
      <c r="BU1845" s="128"/>
      <c r="BV1845" s="128"/>
      <c r="BW1845" s="128"/>
      <c r="BX1845" s="128"/>
      <c r="BY1845" s="128"/>
      <c r="BZ1845" s="128"/>
      <c r="CA1845" s="128"/>
      <c r="CB1845" s="128"/>
      <c r="CC1845" s="128"/>
      <c r="CD1845" s="128"/>
      <c r="CE1845" s="128"/>
      <c r="CF1845" s="128"/>
      <c r="CG1845" s="128"/>
      <c r="CI1845" s="128"/>
      <c r="CJ1845" s="128"/>
      <c r="CK1845" s="128"/>
      <c r="CL1845" s="128"/>
      <c r="CM1845" s="128"/>
      <c r="CN1845" s="128"/>
      <c r="CO1845" s="128"/>
      <c r="CP1845" s="128"/>
      <c r="CQ1845" s="128"/>
      <c r="CR1845" s="128"/>
      <c r="CS1845" s="128"/>
      <c r="CT1845" s="128"/>
      <c r="CU1845" s="128"/>
      <c r="CV1845" s="128"/>
      <c r="CW1845" s="128"/>
      <c r="CX1845" s="128"/>
      <c r="CY1845" s="128"/>
      <c r="CZ1845" s="165"/>
    </row>
    <row r="1846" spans="1:104">
      <c r="A1846" s="149"/>
      <c r="B1846" s="149"/>
      <c r="C1846" s="150"/>
      <c r="D1846" s="102"/>
      <c r="E1846" s="149"/>
      <c r="F1846" s="149"/>
      <c r="G1846" s="149"/>
      <c r="H1846" s="149"/>
      <c r="I1846" s="149"/>
      <c r="J1846" s="149"/>
      <c r="K1846" s="149"/>
      <c r="L1846" s="149"/>
      <c r="M1846" s="149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9"/>
      <c r="AA1846" s="149"/>
      <c r="AB1846" s="149"/>
      <c r="AC1846" s="149"/>
      <c r="AD1846" s="149"/>
      <c r="AE1846" s="149"/>
      <c r="AF1846" s="149"/>
      <c r="AG1846" s="149"/>
      <c r="AH1846" s="149"/>
      <c r="AI1846" s="149"/>
      <c r="AJ1846" s="149"/>
      <c r="AK1846" s="149"/>
      <c r="AL1846" s="149"/>
      <c r="AM1846" s="149"/>
      <c r="AN1846" s="149"/>
      <c r="AO1846" s="128"/>
      <c r="AP1846" s="128"/>
      <c r="AQ1846" s="128"/>
      <c r="AR1846" s="128"/>
      <c r="AS1846" s="128"/>
      <c r="AT1846" s="128"/>
      <c r="AU1846" s="128"/>
      <c r="AV1846" s="128"/>
      <c r="AW1846" s="128"/>
      <c r="AX1846" s="128"/>
      <c r="AY1846" s="128"/>
      <c r="AZ1846" s="128"/>
      <c r="BA1846" s="128"/>
      <c r="BB1846" s="128"/>
      <c r="BC1846" s="128"/>
      <c r="BD1846" s="128"/>
      <c r="BE1846" s="128"/>
      <c r="BF1846" s="128"/>
      <c r="BG1846" s="128"/>
      <c r="BH1846" s="128"/>
      <c r="BI1846" s="128"/>
      <c r="BJ1846" s="128"/>
      <c r="BK1846" s="128"/>
      <c r="BL1846" s="128"/>
      <c r="BM1846" s="151"/>
      <c r="BN1846" s="128"/>
      <c r="BO1846" s="128"/>
      <c r="BP1846" s="128"/>
      <c r="BQ1846" s="128"/>
      <c r="BR1846" s="128"/>
      <c r="BS1846" s="128"/>
      <c r="BT1846" s="128"/>
      <c r="BU1846" s="128"/>
      <c r="BV1846" s="128"/>
      <c r="BW1846" s="128"/>
      <c r="BX1846" s="128"/>
      <c r="BY1846" s="128"/>
      <c r="BZ1846" s="128"/>
      <c r="CA1846" s="128"/>
      <c r="CB1846" s="128"/>
      <c r="CC1846" s="128"/>
      <c r="CD1846" s="128"/>
      <c r="CE1846" s="128"/>
      <c r="CF1846" s="128"/>
      <c r="CG1846" s="128"/>
      <c r="CI1846" s="128"/>
      <c r="CJ1846" s="128"/>
      <c r="CK1846" s="128"/>
      <c r="CL1846" s="128"/>
      <c r="CM1846" s="128"/>
      <c r="CN1846" s="128"/>
      <c r="CO1846" s="128"/>
      <c r="CP1846" s="128"/>
      <c r="CQ1846" s="128"/>
      <c r="CR1846" s="128"/>
      <c r="CS1846" s="128"/>
      <c r="CT1846" s="128"/>
      <c r="CU1846" s="128"/>
      <c r="CV1846" s="128"/>
      <c r="CW1846" s="128"/>
      <c r="CX1846" s="128"/>
      <c r="CY1846" s="128"/>
      <c r="CZ1846" s="165"/>
    </row>
    <row r="1847" spans="1:104">
      <c r="A1847" s="149"/>
      <c r="B1847" s="149"/>
      <c r="C1847" s="150"/>
      <c r="D1847" s="102"/>
      <c r="E1847" s="149"/>
      <c r="F1847" s="149"/>
      <c r="G1847" s="149"/>
      <c r="H1847" s="149"/>
      <c r="I1847" s="149"/>
      <c r="J1847" s="149"/>
      <c r="K1847" s="149"/>
      <c r="L1847" s="149"/>
      <c r="M1847" s="149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9"/>
      <c r="AA1847" s="149"/>
      <c r="AB1847" s="149"/>
      <c r="AC1847" s="149"/>
      <c r="AD1847" s="149"/>
      <c r="AE1847" s="149"/>
      <c r="AF1847" s="149"/>
      <c r="AG1847" s="149"/>
      <c r="AH1847" s="149"/>
      <c r="AI1847" s="149"/>
      <c r="AJ1847" s="149"/>
      <c r="AK1847" s="149"/>
      <c r="AL1847" s="149"/>
      <c r="AM1847" s="149"/>
      <c r="AN1847" s="149"/>
      <c r="AO1847" s="128"/>
      <c r="AP1847" s="128"/>
      <c r="AQ1847" s="128"/>
      <c r="AR1847" s="128"/>
      <c r="AS1847" s="128"/>
      <c r="AT1847" s="128"/>
      <c r="AU1847" s="128"/>
      <c r="AV1847" s="128"/>
      <c r="AW1847" s="128"/>
      <c r="AX1847" s="128"/>
      <c r="AY1847" s="128"/>
      <c r="AZ1847" s="128"/>
      <c r="BA1847" s="128"/>
      <c r="BB1847" s="128"/>
      <c r="BC1847" s="128"/>
      <c r="BD1847" s="128"/>
      <c r="BE1847" s="128"/>
      <c r="BF1847" s="128"/>
      <c r="BG1847" s="128"/>
      <c r="BH1847" s="128"/>
      <c r="BI1847" s="128"/>
      <c r="BJ1847" s="128"/>
      <c r="BK1847" s="128"/>
      <c r="BL1847" s="128"/>
      <c r="BM1847" s="151"/>
      <c r="BN1847" s="128"/>
      <c r="BO1847" s="128"/>
      <c r="BP1847" s="128"/>
      <c r="BQ1847" s="128"/>
      <c r="BR1847" s="128"/>
      <c r="BS1847" s="128"/>
      <c r="BT1847" s="128"/>
      <c r="BU1847" s="128"/>
      <c r="BV1847" s="128"/>
      <c r="BW1847" s="128"/>
      <c r="BX1847" s="128"/>
      <c r="BY1847" s="128"/>
      <c r="BZ1847" s="128"/>
      <c r="CA1847" s="128"/>
      <c r="CB1847" s="128"/>
      <c r="CC1847" s="128"/>
      <c r="CD1847" s="128"/>
      <c r="CE1847" s="128"/>
      <c r="CF1847" s="128"/>
      <c r="CG1847" s="128"/>
      <c r="CI1847" s="128"/>
      <c r="CJ1847" s="128"/>
      <c r="CK1847" s="128"/>
      <c r="CL1847" s="128"/>
      <c r="CM1847" s="128"/>
      <c r="CN1847" s="128"/>
      <c r="CO1847" s="128"/>
      <c r="CP1847" s="128"/>
      <c r="CQ1847" s="128"/>
      <c r="CR1847" s="128"/>
      <c r="CS1847" s="128"/>
      <c r="CT1847" s="128"/>
      <c r="CU1847" s="128"/>
      <c r="CV1847" s="128"/>
      <c r="CW1847" s="128"/>
      <c r="CX1847" s="128"/>
      <c r="CY1847" s="128"/>
      <c r="CZ1847" s="165"/>
    </row>
    <row r="1848" spans="1:104">
      <c r="A1848" s="149"/>
      <c r="B1848" s="149"/>
      <c r="C1848" s="150"/>
      <c r="D1848" s="102"/>
      <c r="E1848" s="149"/>
      <c r="F1848" s="149"/>
      <c r="G1848" s="149"/>
      <c r="H1848" s="149"/>
      <c r="I1848" s="149"/>
      <c r="J1848" s="149"/>
      <c r="K1848" s="149"/>
      <c r="L1848" s="149"/>
      <c r="M1848" s="149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9"/>
      <c r="AA1848" s="149"/>
      <c r="AB1848" s="149"/>
      <c r="AC1848" s="149"/>
      <c r="AD1848" s="149"/>
      <c r="AE1848" s="149"/>
      <c r="AF1848" s="149"/>
      <c r="AG1848" s="149"/>
      <c r="AH1848" s="149"/>
      <c r="AI1848" s="149"/>
      <c r="AJ1848" s="149"/>
      <c r="AK1848" s="149"/>
      <c r="AL1848" s="149"/>
      <c r="AM1848" s="149"/>
      <c r="AN1848" s="149"/>
      <c r="AO1848" s="128"/>
      <c r="AP1848" s="128"/>
      <c r="AQ1848" s="128"/>
      <c r="AR1848" s="128"/>
      <c r="AS1848" s="128"/>
      <c r="AT1848" s="128"/>
      <c r="AU1848" s="128"/>
      <c r="AV1848" s="128"/>
      <c r="AW1848" s="128"/>
      <c r="AX1848" s="128"/>
      <c r="AY1848" s="128"/>
      <c r="AZ1848" s="128"/>
      <c r="BA1848" s="128"/>
      <c r="BB1848" s="128"/>
      <c r="BC1848" s="128"/>
      <c r="BD1848" s="128"/>
      <c r="BE1848" s="128"/>
      <c r="BF1848" s="128"/>
      <c r="BG1848" s="128"/>
      <c r="BH1848" s="128"/>
      <c r="BI1848" s="128"/>
      <c r="BJ1848" s="128"/>
      <c r="BK1848" s="128"/>
      <c r="BL1848" s="128"/>
      <c r="BM1848" s="151"/>
      <c r="BN1848" s="128"/>
      <c r="BO1848" s="128"/>
      <c r="BP1848" s="128"/>
      <c r="BQ1848" s="128"/>
      <c r="BR1848" s="128"/>
      <c r="BS1848" s="128"/>
      <c r="BT1848" s="128"/>
      <c r="BU1848" s="128"/>
      <c r="BV1848" s="128"/>
      <c r="BW1848" s="128"/>
      <c r="BX1848" s="128"/>
      <c r="BY1848" s="128"/>
      <c r="BZ1848" s="128"/>
      <c r="CA1848" s="128"/>
      <c r="CB1848" s="128"/>
      <c r="CC1848" s="128"/>
      <c r="CD1848" s="128"/>
      <c r="CE1848" s="128"/>
      <c r="CF1848" s="128"/>
      <c r="CG1848" s="128"/>
      <c r="CI1848" s="128"/>
      <c r="CJ1848" s="128"/>
      <c r="CK1848" s="128"/>
      <c r="CL1848" s="128"/>
      <c r="CM1848" s="128"/>
      <c r="CN1848" s="128"/>
      <c r="CO1848" s="128"/>
      <c r="CP1848" s="128"/>
      <c r="CQ1848" s="128"/>
      <c r="CR1848" s="128"/>
      <c r="CS1848" s="128"/>
      <c r="CT1848" s="128"/>
      <c r="CU1848" s="128"/>
      <c r="CV1848" s="128"/>
      <c r="CW1848" s="128"/>
      <c r="CX1848" s="128"/>
      <c r="CY1848" s="128"/>
      <c r="CZ1848" s="165"/>
    </row>
    <row r="1849" spans="1:104">
      <c r="A1849" s="149"/>
      <c r="B1849" s="149"/>
      <c r="C1849" s="150"/>
      <c r="D1849" s="102"/>
      <c r="E1849" s="149"/>
      <c r="F1849" s="149"/>
      <c r="G1849" s="149"/>
      <c r="H1849" s="149"/>
      <c r="I1849" s="149"/>
      <c r="J1849" s="149"/>
      <c r="K1849" s="149"/>
      <c r="L1849" s="149"/>
      <c r="M1849" s="149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9"/>
      <c r="AA1849" s="149"/>
      <c r="AB1849" s="149"/>
      <c r="AC1849" s="149"/>
      <c r="AD1849" s="149"/>
      <c r="AE1849" s="149"/>
      <c r="AF1849" s="149"/>
      <c r="AG1849" s="149"/>
      <c r="AH1849" s="149"/>
      <c r="AI1849" s="149"/>
      <c r="AJ1849" s="149"/>
      <c r="AK1849" s="149"/>
      <c r="AL1849" s="149"/>
      <c r="AM1849" s="149"/>
      <c r="AN1849" s="149"/>
      <c r="AO1849" s="128"/>
      <c r="AP1849" s="128"/>
      <c r="AQ1849" s="128"/>
      <c r="AR1849" s="128"/>
      <c r="AS1849" s="128"/>
      <c r="AT1849" s="128"/>
      <c r="AU1849" s="128"/>
      <c r="AV1849" s="128"/>
      <c r="AW1849" s="128"/>
      <c r="AX1849" s="128"/>
      <c r="AY1849" s="128"/>
      <c r="AZ1849" s="128"/>
      <c r="BA1849" s="128"/>
      <c r="BB1849" s="128"/>
      <c r="BC1849" s="128"/>
      <c r="BD1849" s="128"/>
      <c r="BE1849" s="128"/>
      <c r="BF1849" s="128"/>
      <c r="BG1849" s="128"/>
      <c r="BH1849" s="128"/>
      <c r="BI1849" s="128"/>
      <c r="BJ1849" s="128"/>
      <c r="BK1849" s="128"/>
      <c r="BL1849" s="128"/>
      <c r="BM1849" s="151"/>
      <c r="BN1849" s="128"/>
      <c r="BO1849" s="128"/>
      <c r="BP1849" s="128"/>
      <c r="BQ1849" s="128"/>
      <c r="BR1849" s="128"/>
      <c r="BS1849" s="128"/>
      <c r="BT1849" s="128"/>
      <c r="BU1849" s="128"/>
      <c r="BV1849" s="128"/>
      <c r="BW1849" s="128"/>
      <c r="BX1849" s="128"/>
      <c r="BY1849" s="128"/>
      <c r="BZ1849" s="128"/>
      <c r="CA1849" s="128"/>
      <c r="CB1849" s="128"/>
      <c r="CC1849" s="128"/>
      <c r="CD1849" s="128"/>
      <c r="CE1849" s="128"/>
      <c r="CF1849" s="128"/>
      <c r="CG1849" s="128"/>
      <c r="CI1849" s="128"/>
      <c r="CJ1849" s="128"/>
      <c r="CK1849" s="128"/>
      <c r="CL1849" s="128"/>
      <c r="CM1849" s="128"/>
      <c r="CN1849" s="128"/>
      <c r="CO1849" s="128"/>
      <c r="CP1849" s="128"/>
      <c r="CQ1849" s="128"/>
      <c r="CR1849" s="128"/>
      <c r="CS1849" s="128"/>
      <c r="CT1849" s="128"/>
      <c r="CU1849" s="128"/>
      <c r="CV1849" s="128"/>
      <c r="CW1849" s="128"/>
      <c r="CX1849" s="128"/>
      <c r="CY1849" s="128"/>
      <c r="CZ1849" s="165"/>
    </row>
    <row r="1850" spans="1:104">
      <c r="A1850" s="149"/>
      <c r="B1850" s="149"/>
      <c r="C1850" s="150"/>
      <c r="D1850" s="102"/>
      <c r="E1850" s="149"/>
      <c r="F1850" s="149"/>
      <c r="G1850" s="149"/>
      <c r="H1850" s="149"/>
      <c r="I1850" s="149"/>
      <c r="J1850" s="149"/>
      <c r="K1850" s="149"/>
      <c r="L1850" s="149"/>
      <c r="M1850" s="149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9"/>
      <c r="AA1850" s="149"/>
      <c r="AB1850" s="149"/>
      <c r="AC1850" s="149"/>
      <c r="AD1850" s="149"/>
      <c r="AE1850" s="149"/>
      <c r="AF1850" s="149"/>
      <c r="AG1850" s="149"/>
      <c r="AH1850" s="149"/>
      <c r="AI1850" s="149"/>
      <c r="AJ1850" s="149"/>
      <c r="AK1850" s="149"/>
      <c r="AL1850" s="149"/>
      <c r="AM1850" s="149"/>
      <c r="AN1850" s="149"/>
      <c r="AO1850" s="128"/>
      <c r="AP1850" s="128"/>
      <c r="AQ1850" s="128"/>
      <c r="AR1850" s="128"/>
      <c r="AS1850" s="128"/>
      <c r="AT1850" s="128"/>
      <c r="AU1850" s="128"/>
      <c r="AV1850" s="128"/>
      <c r="AW1850" s="128"/>
      <c r="AX1850" s="128"/>
      <c r="AY1850" s="128"/>
      <c r="AZ1850" s="128"/>
      <c r="BA1850" s="128"/>
      <c r="BB1850" s="128"/>
      <c r="BC1850" s="128"/>
      <c r="BD1850" s="128"/>
      <c r="BE1850" s="128"/>
      <c r="BF1850" s="128"/>
      <c r="BG1850" s="128"/>
      <c r="BH1850" s="128"/>
      <c r="BI1850" s="128"/>
      <c r="BJ1850" s="128"/>
      <c r="BK1850" s="128"/>
      <c r="BL1850" s="128"/>
      <c r="BM1850" s="151"/>
      <c r="BN1850" s="128"/>
      <c r="BO1850" s="128"/>
      <c r="BP1850" s="128"/>
      <c r="BQ1850" s="128"/>
      <c r="BR1850" s="128"/>
      <c r="BS1850" s="128"/>
      <c r="BT1850" s="128"/>
      <c r="BU1850" s="128"/>
      <c r="BV1850" s="128"/>
      <c r="BW1850" s="128"/>
      <c r="BX1850" s="128"/>
      <c r="BY1850" s="128"/>
      <c r="BZ1850" s="128"/>
      <c r="CA1850" s="128"/>
      <c r="CB1850" s="128"/>
      <c r="CC1850" s="128"/>
      <c r="CD1850" s="128"/>
      <c r="CE1850" s="128"/>
      <c r="CF1850" s="128"/>
      <c r="CG1850" s="128"/>
      <c r="CI1850" s="128"/>
      <c r="CJ1850" s="128"/>
      <c r="CK1850" s="128"/>
      <c r="CL1850" s="128"/>
      <c r="CM1850" s="128"/>
      <c r="CN1850" s="128"/>
      <c r="CO1850" s="128"/>
      <c r="CP1850" s="128"/>
      <c r="CQ1850" s="128"/>
      <c r="CR1850" s="128"/>
      <c r="CS1850" s="128"/>
      <c r="CT1850" s="128"/>
      <c r="CU1850" s="128"/>
      <c r="CV1850" s="128"/>
      <c r="CW1850" s="128"/>
      <c r="CX1850" s="128"/>
      <c r="CY1850" s="128"/>
      <c r="CZ1850" s="165"/>
    </row>
    <row r="1851" spans="1:104">
      <c r="A1851" s="149"/>
      <c r="B1851" s="149"/>
      <c r="C1851" s="150"/>
      <c r="D1851" s="102"/>
      <c r="E1851" s="149"/>
      <c r="F1851" s="149"/>
      <c r="G1851" s="149"/>
      <c r="H1851" s="149"/>
      <c r="I1851" s="149"/>
      <c r="J1851" s="149"/>
      <c r="K1851" s="149"/>
      <c r="L1851" s="149"/>
      <c r="M1851" s="149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9"/>
      <c r="AA1851" s="149"/>
      <c r="AB1851" s="149"/>
      <c r="AC1851" s="149"/>
      <c r="AD1851" s="149"/>
      <c r="AE1851" s="149"/>
      <c r="AF1851" s="149"/>
      <c r="AG1851" s="149"/>
      <c r="AH1851" s="149"/>
      <c r="AI1851" s="149"/>
      <c r="AJ1851" s="149"/>
      <c r="AK1851" s="149"/>
      <c r="AL1851" s="149"/>
      <c r="AM1851" s="149"/>
      <c r="AN1851" s="149"/>
      <c r="AO1851" s="128"/>
      <c r="AP1851" s="128"/>
      <c r="AQ1851" s="128"/>
      <c r="AR1851" s="128"/>
      <c r="AS1851" s="128"/>
      <c r="AT1851" s="128"/>
      <c r="AU1851" s="128"/>
      <c r="AV1851" s="128"/>
      <c r="AW1851" s="128"/>
      <c r="AX1851" s="128"/>
      <c r="AY1851" s="128"/>
      <c r="AZ1851" s="128"/>
      <c r="BA1851" s="128"/>
      <c r="BB1851" s="128"/>
      <c r="BC1851" s="128"/>
      <c r="BD1851" s="128"/>
      <c r="BE1851" s="128"/>
      <c r="BF1851" s="128"/>
      <c r="BG1851" s="128"/>
      <c r="BH1851" s="128"/>
      <c r="BI1851" s="128"/>
      <c r="BJ1851" s="128"/>
      <c r="BK1851" s="128"/>
      <c r="BL1851" s="128"/>
      <c r="BM1851" s="151"/>
      <c r="BN1851" s="128"/>
      <c r="BO1851" s="128"/>
      <c r="BP1851" s="128"/>
      <c r="BQ1851" s="128"/>
      <c r="BR1851" s="128"/>
      <c r="BS1851" s="128"/>
      <c r="BT1851" s="128"/>
      <c r="BU1851" s="128"/>
      <c r="BV1851" s="128"/>
      <c r="BW1851" s="128"/>
      <c r="BX1851" s="128"/>
      <c r="BY1851" s="128"/>
      <c r="BZ1851" s="128"/>
      <c r="CA1851" s="128"/>
      <c r="CB1851" s="128"/>
      <c r="CC1851" s="128"/>
      <c r="CD1851" s="128"/>
      <c r="CE1851" s="128"/>
      <c r="CF1851" s="128"/>
      <c r="CG1851" s="128"/>
      <c r="CI1851" s="128"/>
      <c r="CJ1851" s="128"/>
      <c r="CK1851" s="128"/>
      <c r="CL1851" s="128"/>
      <c r="CM1851" s="128"/>
      <c r="CN1851" s="128"/>
      <c r="CO1851" s="128"/>
      <c r="CP1851" s="128"/>
      <c r="CQ1851" s="128"/>
      <c r="CR1851" s="128"/>
      <c r="CS1851" s="128"/>
      <c r="CT1851" s="128"/>
      <c r="CU1851" s="128"/>
      <c r="CV1851" s="128"/>
      <c r="CW1851" s="128"/>
      <c r="CX1851" s="128"/>
      <c r="CY1851" s="128"/>
      <c r="CZ1851" s="165"/>
    </row>
    <row r="1852" spans="1:104">
      <c r="A1852" s="149"/>
      <c r="B1852" s="149"/>
      <c r="C1852" s="150"/>
      <c r="D1852" s="102"/>
      <c r="E1852" s="149"/>
      <c r="F1852" s="149"/>
      <c r="G1852" s="149"/>
      <c r="H1852" s="149"/>
      <c r="I1852" s="149"/>
      <c r="J1852" s="149"/>
      <c r="K1852" s="149"/>
      <c r="L1852" s="149"/>
      <c r="M1852" s="149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9"/>
      <c r="AA1852" s="149"/>
      <c r="AB1852" s="149"/>
      <c r="AC1852" s="149"/>
      <c r="AD1852" s="149"/>
      <c r="AE1852" s="149"/>
      <c r="AF1852" s="149"/>
      <c r="AG1852" s="149"/>
      <c r="AH1852" s="149"/>
      <c r="AI1852" s="149"/>
      <c r="AJ1852" s="149"/>
      <c r="AK1852" s="149"/>
      <c r="AL1852" s="149"/>
      <c r="AM1852" s="149"/>
      <c r="AN1852" s="149"/>
      <c r="AO1852" s="128"/>
      <c r="AP1852" s="128"/>
      <c r="AQ1852" s="128"/>
      <c r="AR1852" s="128"/>
      <c r="AS1852" s="128"/>
      <c r="AT1852" s="128"/>
      <c r="AU1852" s="128"/>
      <c r="AV1852" s="128"/>
      <c r="AW1852" s="128"/>
      <c r="AX1852" s="128"/>
      <c r="AY1852" s="128"/>
      <c r="AZ1852" s="128"/>
      <c r="BA1852" s="128"/>
      <c r="BB1852" s="128"/>
      <c r="BC1852" s="128"/>
      <c r="BD1852" s="128"/>
      <c r="BE1852" s="128"/>
      <c r="BF1852" s="128"/>
      <c r="BG1852" s="128"/>
      <c r="BH1852" s="128"/>
      <c r="BI1852" s="128"/>
      <c r="BJ1852" s="128"/>
      <c r="BK1852" s="128"/>
      <c r="BL1852" s="128"/>
      <c r="BM1852" s="151"/>
      <c r="BN1852" s="128"/>
      <c r="BO1852" s="128"/>
      <c r="BP1852" s="128"/>
      <c r="BQ1852" s="128"/>
      <c r="BR1852" s="128"/>
      <c r="BS1852" s="128"/>
      <c r="BT1852" s="128"/>
      <c r="BU1852" s="128"/>
      <c r="BV1852" s="128"/>
      <c r="BW1852" s="128"/>
      <c r="BX1852" s="128"/>
      <c r="BY1852" s="128"/>
      <c r="BZ1852" s="128"/>
      <c r="CA1852" s="128"/>
      <c r="CB1852" s="128"/>
      <c r="CC1852" s="128"/>
      <c r="CD1852" s="128"/>
      <c r="CE1852" s="128"/>
      <c r="CF1852" s="128"/>
      <c r="CG1852" s="128"/>
      <c r="CI1852" s="128"/>
      <c r="CJ1852" s="128"/>
      <c r="CK1852" s="128"/>
      <c r="CL1852" s="128"/>
      <c r="CM1852" s="128"/>
      <c r="CN1852" s="128"/>
      <c r="CO1852" s="128"/>
      <c r="CP1852" s="128"/>
      <c r="CQ1852" s="128"/>
      <c r="CR1852" s="128"/>
      <c r="CS1852" s="128"/>
      <c r="CT1852" s="128"/>
      <c r="CU1852" s="128"/>
      <c r="CV1852" s="128"/>
      <c r="CW1852" s="128"/>
      <c r="CX1852" s="128"/>
      <c r="CY1852" s="128"/>
      <c r="CZ1852" s="165"/>
    </row>
    <row r="1853" spans="1:104">
      <c r="A1853" s="149"/>
      <c r="B1853" s="149"/>
      <c r="C1853" s="150"/>
      <c r="D1853" s="102"/>
      <c r="E1853" s="149"/>
      <c r="F1853" s="149"/>
      <c r="G1853" s="149"/>
      <c r="H1853" s="149"/>
      <c r="I1853" s="149"/>
      <c r="J1853" s="149"/>
      <c r="K1853" s="149"/>
      <c r="L1853" s="149"/>
      <c r="M1853" s="149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9"/>
      <c r="AA1853" s="149"/>
      <c r="AB1853" s="149"/>
      <c r="AC1853" s="149"/>
      <c r="AD1853" s="149"/>
      <c r="AE1853" s="149"/>
      <c r="AF1853" s="149"/>
      <c r="AG1853" s="149"/>
      <c r="AH1853" s="149"/>
      <c r="AI1853" s="149"/>
      <c r="AJ1853" s="149"/>
      <c r="AK1853" s="149"/>
      <c r="AL1853" s="149"/>
      <c r="AM1853" s="149"/>
      <c r="AN1853" s="149"/>
      <c r="AO1853" s="128"/>
      <c r="AP1853" s="128"/>
      <c r="AQ1853" s="128"/>
      <c r="AR1853" s="128"/>
      <c r="AS1853" s="128"/>
      <c r="AT1853" s="128"/>
      <c r="AU1853" s="128"/>
      <c r="AV1853" s="128"/>
      <c r="AW1853" s="128"/>
      <c r="AX1853" s="128"/>
      <c r="AY1853" s="128"/>
      <c r="AZ1853" s="128"/>
      <c r="BA1853" s="128"/>
      <c r="BB1853" s="128"/>
      <c r="BC1853" s="128"/>
      <c r="BD1853" s="128"/>
      <c r="BE1853" s="128"/>
      <c r="BF1853" s="128"/>
      <c r="BG1853" s="128"/>
      <c r="BH1853" s="128"/>
      <c r="BI1853" s="128"/>
      <c r="BJ1853" s="128"/>
      <c r="BK1853" s="128"/>
      <c r="BL1853" s="128"/>
      <c r="BM1853" s="151"/>
      <c r="BN1853" s="128"/>
      <c r="BO1853" s="128"/>
      <c r="BP1853" s="128"/>
      <c r="BQ1853" s="128"/>
      <c r="BR1853" s="128"/>
      <c r="BS1853" s="128"/>
      <c r="BT1853" s="128"/>
      <c r="BU1853" s="128"/>
      <c r="BV1853" s="128"/>
      <c r="BW1853" s="128"/>
      <c r="BX1853" s="128"/>
      <c r="BY1853" s="128"/>
      <c r="BZ1853" s="128"/>
      <c r="CA1853" s="128"/>
      <c r="CB1853" s="128"/>
      <c r="CC1853" s="128"/>
      <c r="CD1853" s="128"/>
      <c r="CE1853" s="128"/>
      <c r="CF1853" s="128"/>
      <c r="CG1853" s="128"/>
      <c r="CI1853" s="128"/>
      <c r="CJ1853" s="128"/>
      <c r="CK1853" s="128"/>
      <c r="CL1853" s="128"/>
      <c r="CM1853" s="128"/>
      <c r="CN1853" s="128"/>
      <c r="CO1853" s="128"/>
      <c r="CP1853" s="128"/>
      <c r="CQ1853" s="128"/>
      <c r="CR1853" s="128"/>
      <c r="CS1853" s="128"/>
      <c r="CT1853" s="128"/>
      <c r="CU1853" s="128"/>
      <c r="CV1853" s="128"/>
      <c r="CW1853" s="128"/>
      <c r="CX1853" s="128"/>
      <c r="CY1853" s="128"/>
      <c r="CZ1853" s="165"/>
    </row>
    <row r="1854" spans="1:104">
      <c r="A1854" s="149"/>
      <c r="B1854" s="149"/>
      <c r="C1854" s="150"/>
      <c r="D1854" s="102"/>
      <c r="E1854" s="149"/>
      <c r="F1854" s="149"/>
      <c r="G1854" s="149"/>
      <c r="H1854" s="149"/>
      <c r="I1854" s="149"/>
      <c r="J1854" s="149"/>
      <c r="K1854" s="149"/>
      <c r="L1854" s="149"/>
      <c r="M1854" s="149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9"/>
      <c r="AA1854" s="149"/>
      <c r="AB1854" s="149"/>
      <c r="AC1854" s="149"/>
      <c r="AD1854" s="149"/>
      <c r="AE1854" s="149"/>
      <c r="AF1854" s="149"/>
      <c r="AG1854" s="149"/>
      <c r="AH1854" s="149"/>
      <c r="AI1854" s="149"/>
      <c r="AJ1854" s="149"/>
      <c r="AK1854" s="149"/>
      <c r="AL1854" s="149"/>
      <c r="AM1854" s="149"/>
      <c r="AN1854" s="149"/>
      <c r="AO1854" s="128"/>
      <c r="AP1854" s="128"/>
      <c r="AQ1854" s="128"/>
      <c r="AR1854" s="128"/>
      <c r="AS1854" s="128"/>
      <c r="AT1854" s="128"/>
      <c r="AU1854" s="128"/>
      <c r="AV1854" s="128"/>
      <c r="AW1854" s="128"/>
      <c r="AX1854" s="128"/>
      <c r="AY1854" s="128"/>
      <c r="AZ1854" s="128"/>
      <c r="BA1854" s="128"/>
      <c r="BB1854" s="128"/>
      <c r="BC1854" s="128"/>
      <c r="BD1854" s="128"/>
      <c r="BE1854" s="128"/>
      <c r="BF1854" s="128"/>
      <c r="BG1854" s="128"/>
      <c r="BH1854" s="128"/>
      <c r="BI1854" s="128"/>
      <c r="BJ1854" s="128"/>
      <c r="BK1854" s="128"/>
      <c r="BL1854" s="128"/>
      <c r="BM1854" s="151"/>
      <c r="BN1854" s="128"/>
      <c r="BO1854" s="128"/>
      <c r="BP1854" s="128"/>
      <c r="BQ1854" s="128"/>
      <c r="BR1854" s="128"/>
      <c r="BS1854" s="128"/>
      <c r="BT1854" s="128"/>
      <c r="BU1854" s="128"/>
      <c r="BV1854" s="128"/>
      <c r="BW1854" s="128"/>
      <c r="BX1854" s="128"/>
      <c r="BY1854" s="128"/>
      <c r="BZ1854" s="128"/>
      <c r="CA1854" s="128"/>
      <c r="CB1854" s="128"/>
      <c r="CC1854" s="128"/>
      <c r="CD1854" s="128"/>
      <c r="CE1854" s="128"/>
      <c r="CF1854" s="128"/>
      <c r="CG1854" s="128"/>
      <c r="CI1854" s="128"/>
      <c r="CJ1854" s="128"/>
      <c r="CK1854" s="128"/>
      <c r="CL1854" s="128"/>
      <c r="CM1854" s="128"/>
      <c r="CN1854" s="128"/>
      <c r="CO1854" s="128"/>
      <c r="CP1854" s="128"/>
      <c r="CQ1854" s="128"/>
      <c r="CR1854" s="128"/>
      <c r="CS1854" s="128"/>
      <c r="CT1854" s="128"/>
      <c r="CU1854" s="128"/>
      <c r="CV1854" s="128"/>
      <c r="CW1854" s="128"/>
      <c r="CX1854" s="128"/>
      <c r="CY1854" s="128"/>
      <c r="CZ1854" s="165"/>
    </row>
    <row r="1855" spans="1:104">
      <c r="A1855" s="149"/>
      <c r="B1855" s="149"/>
      <c r="C1855" s="150"/>
      <c r="D1855" s="102"/>
      <c r="E1855" s="149"/>
      <c r="F1855" s="149"/>
      <c r="G1855" s="149"/>
      <c r="H1855" s="149"/>
      <c r="I1855" s="149"/>
      <c r="J1855" s="149"/>
      <c r="K1855" s="149"/>
      <c r="L1855" s="149"/>
      <c r="M1855" s="149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9"/>
      <c r="AA1855" s="149"/>
      <c r="AB1855" s="149"/>
      <c r="AC1855" s="149"/>
      <c r="AD1855" s="149"/>
      <c r="AE1855" s="149"/>
      <c r="AF1855" s="149"/>
      <c r="AG1855" s="149"/>
      <c r="AH1855" s="149"/>
      <c r="AI1855" s="149"/>
      <c r="AJ1855" s="149"/>
      <c r="AK1855" s="149"/>
      <c r="AL1855" s="149"/>
      <c r="AM1855" s="149"/>
      <c r="AN1855" s="149"/>
      <c r="AO1855" s="128"/>
      <c r="AP1855" s="128"/>
      <c r="AQ1855" s="128"/>
      <c r="AR1855" s="128"/>
      <c r="AS1855" s="128"/>
      <c r="AT1855" s="128"/>
      <c r="AU1855" s="128"/>
      <c r="AV1855" s="128"/>
      <c r="AW1855" s="128"/>
      <c r="AX1855" s="128"/>
      <c r="AY1855" s="128"/>
      <c r="AZ1855" s="128"/>
      <c r="BA1855" s="128"/>
      <c r="BB1855" s="128"/>
      <c r="BC1855" s="128"/>
      <c r="BD1855" s="128"/>
      <c r="BE1855" s="128"/>
      <c r="BF1855" s="128"/>
      <c r="BG1855" s="128"/>
      <c r="BH1855" s="128"/>
      <c r="BI1855" s="128"/>
      <c r="BJ1855" s="128"/>
      <c r="BK1855" s="128"/>
      <c r="BL1855" s="128"/>
      <c r="BM1855" s="151"/>
      <c r="BN1855" s="128"/>
      <c r="BO1855" s="128"/>
      <c r="BP1855" s="128"/>
      <c r="BQ1855" s="128"/>
      <c r="BR1855" s="128"/>
      <c r="BS1855" s="128"/>
      <c r="BT1855" s="128"/>
      <c r="BU1855" s="128"/>
      <c r="BV1855" s="128"/>
      <c r="BW1855" s="128"/>
      <c r="BX1855" s="128"/>
      <c r="BY1855" s="128"/>
      <c r="BZ1855" s="128"/>
      <c r="CA1855" s="128"/>
      <c r="CB1855" s="128"/>
      <c r="CC1855" s="128"/>
      <c r="CD1855" s="128"/>
      <c r="CE1855" s="128"/>
      <c r="CF1855" s="128"/>
      <c r="CG1855" s="128"/>
      <c r="CI1855" s="128"/>
      <c r="CJ1855" s="128"/>
      <c r="CK1855" s="128"/>
      <c r="CL1855" s="128"/>
      <c r="CM1855" s="128"/>
      <c r="CN1855" s="128"/>
      <c r="CO1855" s="128"/>
      <c r="CP1855" s="128"/>
      <c r="CQ1855" s="128"/>
      <c r="CR1855" s="128"/>
      <c r="CS1855" s="128"/>
      <c r="CT1855" s="128"/>
      <c r="CU1855" s="128"/>
      <c r="CV1855" s="128"/>
      <c r="CW1855" s="128"/>
      <c r="CX1855" s="128"/>
      <c r="CY1855" s="128"/>
      <c r="CZ1855" s="165"/>
    </row>
    <row r="1856" spans="1:104">
      <c r="A1856" s="149"/>
      <c r="B1856" s="149"/>
      <c r="C1856" s="150"/>
      <c r="D1856" s="102"/>
      <c r="E1856" s="149"/>
      <c r="F1856" s="149"/>
      <c r="G1856" s="149"/>
      <c r="H1856" s="149"/>
      <c r="I1856" s="149"/>
      <c r="J1856" s="149"/>
      <c r="K1856" s="149"/>
      <c r="L1856" s="149"/>
      <c r="M1856" s="149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9"/>
      <c r="AA1856" s="149"/>
      <c r="AB1856" s="149"/>
      <c r="AC1856" s="149"/>
      <c r="AD1856" s="149"/>
      <c r="AE1856" s="149"/>
      <c r="AF1856" s="149"/>
      <c r="AG1856" s="149"/>
      <c r="AH1856" s="149"/>
      <c r="AI1856" s="149"/>
      <c r="AJ1856" s="149"/>
      <c r="AK1856" s="149"/>
      <c r="AL1856" s="149"/>
      <c r="AM1856" s="149"/>
      <c r="AN1856" s="149"/>
      <c r="AO1856" s="128"/>
      <c r="AP1856" s="128"/>
      <c r="AQ1856" s="128"/>
      <c r="AR1856" s="128"/>
      <c r="AS1856" s="128"/>
      <c r="AT1856" s="128"/>
      <c r="AU1856" s="128"/>
      <c r="AV1856" s="128"/>
      <c r="AW1856" s="128"/>
      <c r="AX1856" s="128"/>
      <c r="AY1856" s="128"/>
      <c r="AZ1856" s="128"/>
      <c r="BA1856" s="128"/>
      <c r="BB1856" s="128"/>
      <c r="BC1856" s="128"/>
      <c r="BD1856" s="128"/>
      <c r="BE1856" s="128"/>
      <c r="BF1856" s="128"/>
      <c r="BG1856" s="128"/>
      <c r="BH1856" s="128"/>
      <c r="BI1856" s="128"/>
      <c r="BJ1856" s="128"/>
      <c r="BK1856" s="128"/>
      <c r="BL1856" s="128"/>
      <c r="BM1856" s="151"/>
      <c r="BN1856" s="128"/>
      <c r="BO1856" s="128"/>
      <c r="BP1856" s="128"/>
      <c r="BQ1856" s="128"/>
      <c r="BR1856" s="128"/>
      <c r="BS1856" s="128"/>
      <c r="BT1856" s="128"/>
      <c r="BU1856" s="128"/>
      <c r="BV1856" s="128"/>
      <c r="BW1856" s="128"/>
      <c r="BX1856" s="128"/>
      <c r="BY1856" s="128"/>
      <c r="BZ1856" s="128"/>
      <c r="CA1856" s="128"/>
      <c r="CB1856" s="128"/>
      <c r="CC1856" s="128"/>
      <c r="CD1856" s="128"/>
      <c r="CE1856" s="128"/>
      <c r="CF1856" s="128"/>
      <c r="CG1856" s="128"/>
      <c r="CI1856" s="128"/>
      <c r="CJ1856" s="128"/>
      <c r="CK1856" s="128"/>
      <c r="CL1856" s="128"/>
      <c r="CM1856" s="128"/>
      <c r="CN1856" s="128"/>
      <c r="CO1856" s="128"/>
      <c r="CP1856" s="128"/>
      <c r="CQ1856" s="128"/>
      <c r="CR1856" s="128"/>
      <c r="CS1856" s="128"/>
      <c r="CT1856" s="128"/>
      <c r="CU1856" s="128"/>
      <c r="CV1856" s="128"/>
      <c r="CW1856" s="128"/>
      <c r="CX1856" s="128"/>
      <c r="CY1856" s="128"/>
      <c r="CZ1856" s="165"/>
    </row>
    <row r="1857" spans="1:104">
      <c r="A1857" s="149"/>
      <c r="B1857" s="149"/>
      <c r="C1857" s="150"/>
      <c r="D1857" s="102"/>
      <c r="E1857" s="149"/>
      <c r="F1857" s="149"/>
      <c r="G1857" s="149"/>
      <c r="H1857" s="149"/>
      <c r="I1857" s="149"/>
      <c r="J1857" s="149"/>
      <c r="K1857" s="149"/>
      <c r="L1857" s="149"/>
      <c r="M1857" s="149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9"/>
      <c r="AA1857" s="149"/>
      <c r="AB1857" s="149"/>
      <c r="AC1857" s="149"/>
      <c r="AD1857" s="149"/>
      <c r="AE1857" s="149"/>
      <c r="AF1857" s="149"/>
      <c r="AG1857" s="149"/>
      <c r="AH1857" s="149"/>
      <c r="AI1857" s="149"/>
      <c r="AJ1857" s="149"/>
      <c r="AK1857" s="149"/>
      <c r="AL1857" s="149"/>
      <c r="AM1857" s="149"/>
      <c r="AN1857" s="149"/>
      <c r="AO1857" s="128"/>
      <c r="AP1857" s="128"/>
      <c r="AQ1857" s="128"/>
      <c r="AR1857" s="128"/>
      <c r="AS1857" s="128"/>
      <c r="AT1857" s="128"/>
      <c r="AU1857" s="128"/>
      <c r="AV1857" s="128"/>
      <c r="AW1857" s="128"/>
      <c r="AX1857" s="128"/>
      <c r="AY1857" s="128"/>
      <c r="AZ1857" s="128"/>
      <c r="BA1857" s="128"/>
      <c r="BB1857" s="128"/>
      <c r="BC1857" s="128"/>
      <c r="BD1857" s="128"/>
      <c r="BE1857" s="128"/>
      <c r="BF1857" s="128"/>
      <c r="BG1857" s="128"/>
      <c r="BH1857" s="128"/>
      <c r="BI1857" s="128"/>
      <c r="BJ1857" s="128"/>
      <c r="BK1857" s="128"/>
      <c r="BL1857" s="128"/>
      <c r="BM1857" s="151"/>
      <c r="BN1857" s="128"/>
      <c r="BO1857" s="128"/>
      <c r="BP1857" s="128"/>
      <c r="BQ1857" s="128"/>
      <c r="BR1857" s="128"/>
      <c r="BS1857" s="128"/>
      <c r="BT1857" s="128"/>
      <c r="BU1857" s="128"/>
      <c r="BV1857" s="128"/>
      <c r="BW1857" s="128"/>
      <c r="BX1857" s="128"/>
      <c r="BY1857" s="128"/>
      <c r="BZ1857" s="128"/>
      <c r="CA1857" s="128"/>
      <c r="CB1857" s="128"/>
      <c r="CC1857" s="128"/>
      <c r="CD1857" s="128"/>
      <c r="CE1857" s="128"/>
      <c r="CF1857" s="128"/>
      <c r="CG1857" s="128"/>
      <c r="CI1857" s="128"/>
      <c r="CJ1857" s="128"/>
      <c r="CK1857" s="128"/>
      <c r="CL1857" s="128"/>
      <c r="CM1857" s="128"/>
      <c r="CN1857" s="128"/>
      <c r="CO1857" s="128"/>
      <c r="CP1857" s="128"/>
      <c r="CQ1857" s="128"/>
      <c r="CR1857" s="128"/>
      <c r="CS1857" s="128"/>
      <c r="CT1857" s="128"/>
      <c r="CU1857" s="128"/>
      <c r="CV1857" s="128"/>
      <c r="CW1857" s="128"/>
      <c r="CX1857" s="128"/>
      <c r="CY1857" s="128"/>
      <c r="CZ1857" s="165"/>
    </row>
    <row r="1858" spans="1:104">
      <c r="A1858" s="149"/>
      <c r="B1858" s="149"/>
      <c r="C1858" s="150"/>
      <c r="D1858" s="102"/>
      <c r="E1858" s="149"/>
      <c r="F1858" s="149"/>
      <c r="G1858" s="149"/>
      <c r="H1858" s="149"/>
      <c r="I1858" s="149"/>
      <c r="J1858" s="149"/>
      <c r="K1858" s="149"/>
      <c r="L1858" s="149"/>
      <c r="M1858" s="149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9"/>
      <c r="AA1858" s="149"/>
      <c r="AB1858" s="149"/>
      <c r="AC1858" s="149"/>
      <c r="AD1858" s="149"/>
      <c r="AE1858" s="149"/>
      <c r="AF1858" s="149"/>
      <c r="AG1858" s="149"/>
      <c r="AH1858" s="149"/>
      <c r="AI1858" s="149"/>
      <c r="AJ1858" s="149"/>
      <c r="AK1858" s="149"/>
      <c r="AL1858" s="149"/>
      <c r="AM1858" s="149"/>
      <c r="AN1858" s="149"/>
      <c r="AO1858" s="128"/>
      <c r="AP1858" s="128"/>
      <c r="AQ1858" s="128"/>
      <c r="AR1858" s="128"/>
      <c r="AS1858" s="128"/>
      <c r="AT1858" s="128"/>
      <c r="AU1858" s="128"/>
      <c r="AV1858" s="128"/>
      <c r="AW1858" s="128"/>
      <c r="AX1858" s="128"/>
      <c r="AY1858" s="128"/>
      <c r="AZ1858" s="128"/>
      <c r="BA1858" s="128"/>
      <c r="BB1858" s="128"/>
      <c r="BC1858" s="128"/>
      <c r="BD1858" s="128"/>
      <c r="BE1858" s="128"/>
      <c r="BF1858" s="128"/>
      <c r="BG1858" s="128"/>
      <c r="BH1858" s="128"/>
      <c r="BI1858" s="128"/>
      <c r="BJ1858" s="128"/>
      <c r="BK1858" s="128"/>
      <c r="BL1858" s="128"/>
      <c r="BM1858" s="151"/>
      <c r="BN1858" s="128"/>
      <c r="BO1858" s="128"/>
      <c r="BP1858" s="128"/>
      <c r="BQ1858" s="128"/>
      <c r="BR1858" s="128"/>
      <c r="BS1858" s="128"/>
      <c r="BT1858" s="128"/>
      <c r="BU1858" s="128"/>
      <c r="BV1858" s="128"/>
      <c r="BW1858" s="128"/>
      <c r="BX1858" s="128"/>
      <c r="BY1858" s="128"/>
      <c r="BZ1858" s="128"/>
      <c r="CA1858" s="128"/>
      <c r="CB1858" s="128"/>
      <c r="CC1858" s="128"/>
      <c r="CD1858" s="128"/>
      <c r="CE1858" s="128"/>
      <c r="CF1858" s="128"/>
      <c r="CG1858" s="128"/>
      <c r="CI1858" s="128"/>
      <c r="CJ1858" s="128"/>
      <c r="CK1858" s="128"/>
      <c r="CL1858" s="128"/>
      <c r="CM1858" s="128"/>
      <c r="CN1858" s="128"/>
      <c r="CO1858" s="128"/>
      <c r="CP1858" s="128"/>
      <c r="CQ1858" s="128"/>
      <c r="CR1858" s="128"/>
      <c r="CS1858" s="128"/>
      <c r="CT1858" s="128"/>
      <c r="CU1858" s="128"/>
      <c r="CV1858" s="128"/>
      <c r="CW1858" s="128"/>
      <c r="CX1858" s="128"/>
      <c r="CY1858" s="128"/>
      <c r="CZ1858" s="165"/>
    </row>
    <row r="1859" spans="1:104">
      <c r="A1859" s="149"/>
      <c r="B1859" s="149"/>
      <c r="C1859" s="150"/>
      <c r="D1859" s="102"/>
      <c r="E1859" s="149"/>
      <c r="F1859" s="149"/>
      <c r="G1859" s="149"/>
      <c r="H1859" s="149"/>
      <c r="I1859" s="149"/>
      <c r="J1859" s="149"/>
      <c r="K1859" s="149"/>
      <c r="L1859" s="149"/>
      <c r="M1859" s="149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9"/>
      <c r="AA1859" s="149"/>
      <c r="AB1859" s="149"/>
      <c r="AC1859" s="149"/>
      <c r="AD1859" s="149"/>
      <c r="AE1859" s="149"/>
      <c r="AF1859" s="149"/>
      <c r="AG1859" s="149"/>
      <c r="AH1859" s="149"/>
      <c r="AI1859" s="149"/>
      <c r="AJ1859" s="149"/>
      <c r="AK1859" s="149"/>
      <c r="AL1859" s="149"/>
      <c r="AM1859" s="149"/>
      <c r="AN1859" s="149"/>
      <c r="AO1859" s="128"/>
      <c r="AP1859" s="128"/>
      <c r="AQ1859" s="128"/>
      <c r="AR1859" s="128"/>
      <c r="AS1859" s="128"/>
      <c r="AT1859" s="128"/>
      <c r="AU1859" s="128"/>
      <c r="AV1859" s="128"/>
      <c r="AW1859" s="128"/>
      <c r="AX1859" s="128"/>
      <c r="AY1859" s="128"/>
      <c r="AZ1859" s="128"/>
      <c r="BA1859" s="128"/>
      <c r="BB1859" s="128"/>
      <c r="BC1859" s="128"/>
      <c r="BD1859" s="128"/>
      <c r="BE1859" s="128"/>
      <c r="BF1859" s="128"/>
      <c r="BG1859" s="128"/>
      <c r="BH1859" s="128"/>
      <c r="BI1859" s="128"/>
      <c r="BJ1859" s="128"/>
      <c r="BK1859" s="128"/>
      <c r="BL1859" s="128"/>
      <c r="BM1859" s="151"/>
      <c r="BN1859" s="128"/>
      <c r="BO1859" s="128"/>
      <c r="BP1859" s="128"/>
      <c r="BQ1859" s="128"/>
      <c r="BR1859" s="128"/>
      <c r="BS1859" s="128"/>
      <c r="BT1859" s="128"/>
      <c r="BU1859" s="128"/>
      <c r="BV1859" s="128"/>
      <c r="BW1859" s="128"/>
      <c r="BX1859" s="128"/>
      <c r="BY1859" s="128"/>
      <c r="BZ1859" s="128"/>
      <c r="CA1859" s="128"/>
      <c r="CB1859" s="128"/>
      <c r="CC1859" s="128"/>
      <c r="CD1859" s="128"/>
      <c r="CE1859" s="128"/>
      <c r="CF1859" s="128"/>
      <c r="CG1859" s="128"/>
      <c r="CI1859" s="128"/>
      <c r="CJ1859" s="128"/>
      <c r="CK1859" s="128"/>
      <c r="CL1859" s="128"/>
      <c r="CM1859" s="128"/>
      <c r="CN1859" s="128"/>
      <c r="CO1859" s="128"/>
      <c r="CP1859" s="128"/>
      <c r="CQ1859" s="128"/>
      <c r="CR1859" s="128"/>
      <c r="CS1859" s="128"/>
      <c r="CT1859" s="128"/>
      <c r="CU1859" s="128"/>
      <c r="CV1859" s="128"/>
      <c r="CW1859" s="128"/>
      <c r="CX1859" s="128"/>
      <c r="CY1859" s="128"/>
      <c r="CZ1859" s="165"/>
    </row>
    <row r="1860" spans="1:104">
      <c r="A1860" s="149"/>
      <c r="B1860" s="149"/>
      <c r="C1860" s="150"/>
      <c r="D1860" s="102"/>
      <c r="E1860" s="149"/>
      <c r="F1860" s="149"/>
      <c r="G1860" s="149"/>
      <c r="H1860" s="149"/>
      <c r="I1860" s="149"/>
      <c r="J1860" s="149"/>
      <c r="K1860" s="149"/>
      <c r="L1860" s="149"/>
      <c r="M1860" s="149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9"/>
      <c r="AA1860" s="149"/>
      <c r="AB1860" s="149"/>
      <c r="AC1860" s="149"/>
      <c r="AD1860" s="149"/>
      <c r="AE1860" s="149"/>
      <c r="AF1860" s="149"/>
      <c r="AG1860" s="149"/>
      <c r="AH1860" s="149"/>
      <c r="AI1860" s="149"/>
      <c r="AJ1860" s="149"/>
      <c r="AK1860" s="149"/>
      <c r="AL1860" s="149"/>
      <c r="AM1860" s="149"/>
      <c r="AN1860" s="149"/>
      <c r="AO1860" s="128"/>
      <c r="AP1860" s="128"/>
      <c r="AQ1860" s="128"/>
      <c r="AR1860" s="128"/>
      <c r="AS1860" s="128"/>
      <c r="AT1860" s="128"/>
      <c r="AU1860" s="128"/>
      <c r="AV1860" s="128"/>
      <c r="AW1860" s="128"/>
      <c r="AX1860" s="128"/>
      <c r="AY1860" s="128"/>
      <c r="AZ1860" s="128"/>
      <c r="BA1860" s="128"/>
      <c r="BB1860" s="128"/>
      <c r="BC1860" s="128"/>
      <c r="BD1860" s="128"/>
      <c r="BE1860" s="128"/>
      <c r="BF1860" s="128"/>
      <c r="BG1860" s="128"/>
      <c r="BH1860" s="128"/>
      <c r="BI1860" s="128"/>
      <c r="BJ1860" s="128"/>
      <c r="BK1860" s="128"/>
      <c r="BL1860" s="128"/>
      <c r="BM1860" s="151"/>
      <c r="BN1860" s="128"/>
      <c r="BO1860" s="128"/>
      <c r="BP1860" s="128"/>
      <c r="BQ1860" s="128"/>
      <c r="BR1860" s="128"/>
      <c r="BS1860" s="128"/>
      <c r="BT1860" s="128"/>
      <c r="BU1860" s="128"/>
      <c r="BV1860" s="128"/>
      <c r="BW1860" s="128"/>
      <c r="BX1860" s="128"/>
      <c r="BY1860" s="128"/>
      <c r="BZ1860" s="128"/>
      <c r="CA1860" s="128"/>
      <c r="CB1860" s="128"/>
      <c r="CC1860" s="128"/>
      <c r="CD1860" s="128"/>
      <c r="CE1860" s="128"/>
      <c r="CF1860" s="128"/>
      <c r="CG1860" s="128"/>
      <c r="CI1860" s="128"/>
      <c r="CJ1860" s="128"/>
      <c r="CK1860" s="128"/>
      <c r="CL1860" s="128"/>
      <c r="CM1860" s="128"/>
      <c r="CN1860" s="128"/>
      <c r="CO1860" s="128"/>
      <c r="CP1860" s="128"/>
      <c r="CQ1860" s="128"/>
      <c r="CR1860" s="128"/>
      <c r="CS1860" s="128"/>
      <c r="CT1860" s="128"/>
      <c r="CU1860" s="128"/>
      <c r="CV1860" s="128"/>
      <c r="CW1860" s="128"/>
      <c r="CX1860" s="128"/>
      <c r="CY1860" s="128"/>
      <c r="CZ1860" s="165"/>
    </row>
    <row r="1861" spans="1:104">
      <c r="A1861" s="149"/>
      <c r="B1861" s="149"/>
      <c r="C1861" s="150"/>
      <c r="D1861" s="102"/>
      <c r="E1861" s="149"/>
      <c r="F1861" s="149"/>
      <c r="G1861" s="149"/>
      <c r="H1861" s="149"/>
      <c r="I1861" s="149"/>
      <c r="J1861" s="149"/>
      <c r="K1861" s="149"/>
      <c r="L1861" s="149"/>
      <c r="M1861" s="149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9"/>
      <c r="AA1861" s="149"/>
      <c r="AB1861" s="149"/>
      <c r="AC1861" s="149"/>
      <c r="AD1861" s="149"/>
      <c r="AE1861" s="149"/>
      <c r="AF1861" s="149"/>
      <c r="AG1861" s="149"/>
      <c r="AH1861" s="149"/>
      <c r="AI1861" s="149"/>
      <c r="AJ1861" s="149"/>
      <c r="AK1861" s="149"/>
      <c r="AL1861" s="149"/>
      <c r="AM1861" s="149"/>
      <c r="AN1861" s="149"/>
      <c r="AO1861" s="128"/>
      <c r="AP1861" s="128"/>
      <c r="AQ1861" s="128"/>
      <c r="AR1861" s="128"/>
      <c r="AS1861" s="128"/>
      <c r="AT1861" s="128"/>
      <c r="AU1861" s="128"/>
      <c r="AV1861" s="128"/>
      <c r="AW1861" s="128"/>
      <c r="AX1861" s="128"/>
      <c r="AY1861" s="128"/>
      <c r="AZ1861" s="128"/>
      <c r="BA1861" s="128"/>
      <c r="BB1861" s="128"/>
      <c r="BC1861" s="128"/>
      <c r="BD1861" s="128"/>
      <c r="BE1861" s="128"/>
      <c r="BF1861" s="128"/>
      <c r="BG1861" s="128"/>
      <c r="BH1861" s="128"/>
      <c r="BI1861" s="128"/>
      <c r="BJ1861" s="128"/>
      <c r="BK1861" s="128"/>
      <c r="BL1861" s="128"/>
      <c r="BM1861" s="151"/>
      <c r="BN1861" s="128"/>
      <c r="BO1861" s="128"/>
      <c r="BP1861" s="128"/>
      <c r="BQ1861" s="128"/>
      <c r="BR1861" s="128"/>
      <c r="BS1861" s="128"/>
      <c r="BT1861" s="128"/>
      <c r="BU1861" s="128"/>
      <c r="BV1861" s="128"/>
      <c r="BW1861" s="128"/>
      <c r="BX1861" s="128"/>
      <c r="BY1861" s="128"/>
      <c r="BZ1861" s="128"/>
      <c r="CA1861" s="128"/>
      <c r="CB1861" s="128"/>
      <c r="CC1861" s="128"/>
      <c r="CD1861" s="128"/>
      <c r="CE1861" s="128"/>
      <c r="CF1861" s="128"/>
      <c r="CG1861" s="128"/>
      <c r="CI1861" s="128"/>
      <c r="CJ1861" s="128"/>
      <c r="CK1861" s="128"/>
      <c r="CL1861" s="128"/>
      <c r="CM1861" s="128"/>
      <c r="CN1861" s="128"/>
      <c r="CO1861" s="128"/>
      <c r="CP1861" s="128"/>
      <c r="CQ1861" s="128"/>
      <c r="CR1861" s="128"/>
      <c r="CS1861" s="128"/>
      <c r="CT1861" s="128"/>
      <c r="CU1861" s="128"/>
      <c r="CV1861" s="128"/>
      <c r="CW1861" s="128"/>
      <c r="CX1861" s="128"/>
      <c r="CY1861" s="128"/>
      <c r="CZ1861" s="165"/>
    </row>
    <row r="1862" spans="1:104">
      <c r="A1862" s="149"/>
      <c r="B1862" s="149"/>
      <c r="C1862" s="150"/>
      <c r="D1862" s="102"/>
      <c r="E1862" s="149"/>
      <c r="F1862" s="149"/>
      <c r="G1862" s="149"/>
      <c r="H1862" s="149"/>
      <c r="I1862" s="149"/>
      <c r="J1862" s="149"/>
      <c r="K1862" s="149"/>
      <c r="L1862" s="149"/>
      <c r="M1862" s="149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9"/>
      <c r="AA1862" s="149"/>
      <c r="AB1862" s="149"/>
      <c r="AC1862" s="149"/>
      <c r="AD1862" s="149"/>
      <c r="AE1862" s="149"/>
      <c r="AF1862" s="149"/>
      <c r="AG1862" s="149"/>
      <c r="AH1862" s="149"/>
      <c r="AI1862" s="149"/>
      <c r="AJ1862" s="149"/>
      <c r="AK1862" s="149"/>
      <c r="AL1862" s="149"/>
      <c r="AM1862" s="149"/>
      <c r="AN1862" s="149"/>
      <c r="AO1862" s="128"/>
      <c r="AP1862" s="128"/>
      <c r="AQ1862" s="128"/>
      <c r="AR1862" s="128"/>
      <c r="AS1862" s="128"/>
      <c r="AT1862" s="128"/>
      <c r="AU1862" s="128"/>
      <c r="AV1862" s="128"/>
      <c r="AW1862" s="128"/>
      <c r="AX1862" s="128"/>
      <c r="AY1862" s="128"/>
      <c r="AZ1862" s="128"/>
      <c r="BA1862" s="128"/>
      <c r="BB1862" s="128"/>
      <c r="BC1862" s="128"/>
      <c r="BD1862" s="128"/>
      <c r="BE1862" s="128"/>
      <c r="BF1862" s="128"/>
      <c r="BG1862" s="128"/>
      <c r="BH1862" s="128"/>
      <c r="BI1862" s="128"/>
      <c r="BJ1862" s="128"/>
      <c r="BK1862" s="128"/>
      <c r="BL1862" s="128"/>
      <c r="BM1862" s="151"/>
      <c r="BN1862" s="128"/>
      <c r="BO1862" s="128"/>
      <c r="BP1862" s="128"/>
      <c r="BQ1862" s="128"/>
      <c r="BR1862" s="128"/>
      <c r="BS1862" s="128"/>
      <c r="BT1862" s="128"/>
      <c r="BU1862" s="128"/>
      <c r="BV1862" s="128"/>
      <c r="BW1862" s="128"/>
      <c r="BX1862" s="128"/>
      <c r="BY1862" s="128"/>
      <c r="BZ1862" s="128"/>
      <c r="CA1862" s="128"/>
      <c r="CB1862" s="128"/>
      <c r="CC1862" s="128"/>
      <c r="CD1862" s="128"/>
      <c r="CE1862" s="128"/>
      <c r="CF1862" s="128"/>
      <c r="CG1862" s="128"/>
      <c r="CI1862" s="128"/>
      <c r="CJ1862" s="128"/>
      <c r="CK1862" s="128"/>
      <c r="CL1862" s="128"/>
      <c r="CM1862" s="128"/>
      <c r="CN1862" s="128"/>
      <c r="CO1862" s="128"/>
      <c r="CP1862" s="128"/>
      <c r="CQ1862" s="128"/>
      <c r="CR1862" s="128"/>
      <c r="CS1862" s="128"/>
      <c r="CT1862" s="128"/>
      <c r="CU1862" s="128"/>
      <c r="CV1862" s="128"/>
      <c r="CW1862" s="128"/>
      <c r="CX1862" s="128"/>
      <c r="CY1862" s="128"/>
      <c r="CZ1862" s="165"/>
    </row>
    <row r="1863" spans="1:104">
      <c r="A1863" s="149"/>
      <c r="B1863" s="149"/>
      <c r="C1863" s="150"/>
      <c r="D1863" s="102"/>
      <c r="E1863" s="149"/>
      <c r="F1863" s="149"/>
      <c r="G1863" s="149"/>
      <c r="H1863" s="149"/>
      <c r="I1863" s="149"/>
      <c r="J1863" s="149"/>
      <c r="K1863" s="149"/>
      <c r="L1863" s="149"/>
      <c r="M1863" s="149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9"/>
      <c r="AA1863" s="149"/>
      <c r="AB1863" s="149"/>
      <c r="AC1863" s="149"/>
      <c r="AD1863" s="149"/>
      <c r="AE1863" s="149"/>
      <c r="AF1863" s="149"/>
      <c r="AG1863" s="149"/>
      <c r="AH1863" s="149"/>
      <c r="AI1863" s="149"/>
      <c r="AJ1863" s="149"/>
      <c r="AK1863" s="149"/>
      <c r="AL1863" s="149"/>
      <c r="AM1863" s="149"/>
      <c r="AN1863" s="149"/>
      <c r="AO1863" s="128"/>
      <c r="AP1863" s="128"/>
      <c r="AQ1863" s="128"/>
      <c r="AR1863" s="128"/>
      <c r="AS1863" s="128"/>
      <c r="AT1863" s="128"/>
      <c r="AU1863" s="128"/>
      <c r="AV1863" s="128"/>
      <c r="AW1863" s="128"/>
      <c r="AX1863" s="128"/>
      <c r="AY1863" s="128"/>
      <c r="AZ1863" s="128"/>
      <c r="BA1863" s="128"/>
      <c r="BB1863" s="128"/>
      <c r="BC1863" s="128"/>
      <c r="BD1863" s="128"/>
      <c r="BE1863" s="128"/>
      <c r="BF1863" s="128"/>
      <c r="BG1863" s="128"/>
      <c r="BH1863" s="128"/>
      <c r="BI1863" s="128"/>
      <c r="BJ1863" s="128"/>
      <c r="BK1863" s="128"/>
      <c r="BL1863" s="128"/>
      <c r="BM1863" s="151"/>
      <c r="BN1863" s="128"/>
      <c r="BO1863" s="128"/>
      <c r="BP1863" s="128"/>
      <c r="BQ1863" s="128"/>
      <c r="BR1863" s="128"/>
      <c r="BS1863" s="128"/>
      <c r="BT1863" s="128"/>
      <c r="BU1863" s="128"/>
      <c r="BV1863" s="128"/>
      <c r="BW1863" s="128"/>
      <c r="BX1863" s="128"/>
      <c r="BY1863" s="128"/>
      <c r="BZ1863" s="128"/>
      <c r="CA1863" s="128"/>
      <c r="CB1863" s="128"/>
      <c r="CC1863" s="128"/>
      <c r="CD1863" s="128"/>
      <c r="CE1863" s="128"/>
      <c r="CF1863" s="128"/>
      <c r="CG1863" s="128"/>
      <c r="CI1863" s="128"/>
      <c r="CJ1863" s="128"/>
      <c r="CK1863" s="128"/>
      <c r="CL1863" s="128"/>
      <c r="CM1863" s="128"/>
      <c r="CN1863" s="128"/>
      <c r="CO1863" s="128"/>
      <c r="CP1863" s="128"/>
      <c r="CQ1863" s="128"/>
      <c r="CR1863" s="128"/>
      <c r="CS1863" s="128"/>
      <c r="CT1863" s="128"/>
      <c r="CU1863" s="128"/>
      <c r="CV1863" s="128"/>
      <c r="CW1863" s="128"/>
      <c r="CX1863" s="128"/>
      <c r="CY1863" s="128"/>
      <c r="CZ1863" s="165"/>
    </row>
    <row r="1864" spans="1:104">
      <c r="A1864" s="149"/>
      <c r="B1864" s="149"/>
      <c r="C1864" s="150"/>
      <c r="D1864" s="102"/>
      <c r="E1864" s="149"/>
      <c r="F1864" s="149"/>
      <c r="G1864" s="149"/>
      <c r="H1864" s="149"/>
      <c r="I1864" s="149"/>
      <c r="J1864" s="149"/>
      <c r="K1864" s="149"/>
      <c r="L1864" s="149"/>
      <c r="M1864" s="149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9"/>
      <c r="AA1864" s="149"/>
      <c r="AB1864" s="149"/>
      <c r="AC1864" s="149"/>
      <c r="AD1864" s="149"/>
      <c r="AE1864" s="149"/>
      <c r="AF1864" s="149"/>
      <c r="AG1864" s="149"/>
      <c r="AH1864" s="149"/>
      <c r="AI1864" s="149"/>
      <c r="AJ1864" s="149"/>
      <c r="AK1864" s="149"/>
      <c r="AL1864" s="149"/>
      <c r="AM1864" s="149"/>
      <c r="AN1864" s="149"/>
      <c r="AO1864" s="128"/>
      <c r="AP1864" s="128"/>
      <c r="AQ1864" s="128"/>
      <c r="AR1864" s="128"/>
      <c r="AS1864" s="128"/>
      <c r="AT1864" s="128"/>
      <c r="AU1864" s="128"/>
      <c r="AV1864" s="128"/>
      <c r="AW1864" s="128"/>
      <c r="AX1864" s="128"/>
      <c r="AY1864" s="128"/>
      <c r="AZ1864" s="128"/>
      <c r="BA1864" s="128"/>
      <c r="BB1864" s="128"/>
      <c r="BC1864" s="128"/>
      <c r="BD1864" s="128"/>
      <c r="BE1864" s="128"/>
      <c r="BF1864" s="128"/>
      <c r="BG1864" s="128"/>
      <c r="BH1864" s="128"/>
      <c r="BI1864" s="128"/>
      <c r="BJ1864" s="128"/>
      <c r="BK1864" s="128"/>
      <c r="BL1864" s="128"/>
      <c r="BM1864" s="151"/>
      <c r="BN1864" s="128"/>
      <c r="BO1864" s="128"/>
      <c r="BP1864" s="128"/>
      <c r="BQ1864" s="128"/>
      <c r="BR1864" s="128"/>
      <c r="BS1864" s="128"/>
      <c r="BT1864" s="128"/>
      <c r="BU1864" s="128"/>
      <c r="BV1864" s="128"/>
      <c r="BW1864" s="128"/>
      <c r="BX1864" s="128"/>
      <c r="BY1864" s="128"/>
      <c r="BZ1864" s="128"/>
      <c r="CA1864" s="128"/>
      <c r="CB1864" s="128"/>
      <c r="CC1864" s="128"/>
      <c r="CD1864" s="128"/>
      <c r="CE1864" s="128"/>
      <c r="CF1864" s="128"/>
      <c r="CG1864" s="128"/>
      <c r="CI1864" s="128"/>
      <c r="CJ1864" s="128"/>
      <c r="CK1864" s="128"/>
      <c r="CL1864" s="128"/>
      <c r="CM1864" s="128"/>
      <c r="CN1864" s="128"/>
      <c r="CO1864" s="128"/>
      <c r="CP1864" s="128"/>
      <c r="CQ1864" s="128"/>
      <c r="CR1864" s="128"/>
      <c r="CS1864" s="128"/>
      <c r="CT1864" s="128"/>
      <c r="CU1864" s="128"/>
      <c r="CV1864" s="128"/>
      <c r="CW1864" s="128"/>
      <c r="CX1864" s="128"/>
      <c r="CY1864" s="128"/>
      <c r="CZ1864" s="165"/>
    </row>
    <row r="1865" spans="1:104">
      <c r="A1865" s="149"/>
      <c r="B1865" s="149"/>
      <c r="C1865" s="150"/>
      <c r="D1865" s="102"/>
      <c r="E1865" s="149"/>
      <c r="F1865" s="149"/>
      <c r="G1865" s="149"/>
      <c r="H1865" s="149"/>
      <c r="I1865" s="149"/>
      <c r="J1865" s="149"/>
      <c r="K1865" s="149"/>
      <c r="L1865" s="149"/>
      <c r="M1865" s="149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9"/>
      <c r="AA1865" s="149"/>
      <c r="AB1865" s="149"/>
      <c r="AC1865" s="149"/>
      <c r="AD1865" s="149"/>
      <c r="AE1865" s="149"/>
      <c r="AF1865" s="149"/>
      <c r="AG1865" s="149"/>
      <c r="AH1865" s="149"/>
      <c r="AI1865" s="149"/>
      <c r="AJ1865" s="149"/>
      <c r="AK1865" s="149"/>
      <c r="AL1865" s="149"/>
      <c r="AM1865" s="149"/>
      <c r="AN1865" s="149"/>
      <c r="AO1865" s="128"/>
      <c r="AP1865" s="128"/>
      <c r="AQ1865" s="128"/>
      <c r="AR1865" s="128"/>
      <c r="AS1865" s="128"/>
      <c r="AT1865" s="128"/>
      <c r="AU1865" s="128"/>
      <c r="AV1865" s="128"/>
      <c r="AW1865" s="128"/>
      <c r="AX1865" s="128"/>
      <c r="AY1865" s="128"/>
      <c r="AZ1865" s="128"/>
      <c r="BA1865" s="128"/>
      <c r="BB1865" s="128"/>
      <c r="BC1865" s="128"/>
      <c r="BD1865" s="128"/>
      <c r="BE1865" s="128"/>
      <c r="BF1865" s="128"/>
      <c r="BG1865" s="128"/>
      <c r="BH1865" s="128"/>
      <c r="BI1865" s="128"/>
      <c r="BJ1865" s="128"/>
      <c r="BK1865" s="128"/>
      <c r="BL1865" s="128"/>
      <c r="BM1865" s="151"/>
      <c r="BN1865" s="128"/>
      <c r="BO1865" s="128"/>
      <c r="BP1865" s="128"/>
      <c r="BQ1865" s="128"/>
      <c r="BR1865" s="128"/>
      <c r="BS1865" s="128"/>
      <c r="BT1865" s="128"/>
      <c r="BU1865" s="128"/>
      <c r="BV1865" s="128"/>
      <c r="BW1865" s="128"/>
      <c r="BX1865" s="128"/>
      <c r="BY1865" s="128"/>
      <c r="BZ1865" s="128"/>
      <c r="CA1865" s="128"/>
      <c r="CB1865" s="128"/>
      <c r="CC1865" s="128"/>
      <c r="CD1865" s="128"/>
      <c r="CE1865" s="128"/>
      <c r="CF1865" s="128"/>
      <c r="CG1865" s="128"/>
      <c r="CI1865" s="128"/>
      <c r="CJ1865" s="128"/>
      <c r="CK1865" s="128"/>
      <c r="CL1865" s="128"/>
      <c r="CM1865" s="128"/>
      <c r="CN1865" s="128"/>
      <c r="CO1865" s="128"/>
      <c r="CP1865" s="128"/>
      <c r="CQ1865" s="128"/>
      <c r="CR1865" s="128"/>
      <c r="CS1865" s="128"/>
      <c r="CT1865" s="128"/>
      <c r="CU1865" s="128"/>
      <c r="CV1865" s="128"/>
      <c r="CW1865" s="128"/>
      <c r="CX1865" s="128"/>
      <c r="CY1865" s="128"/>
      <c r="CZ1865" s="165"/>
    </row>
    <row r="1866" spans="1:104">
      <c r="A1866" s="149"/>
      <c r="B1866" s="149"/>
      <c r="C1866" s="150"/>
      <c r="D1866" s="102"/>
      <c r="E1866" s="149"/>
      <c r="F1866" s="149"/>
      <c r="G1866" s="149"/>
      <c r="H1866" s="149"/>
      <c r="I1866" s="149"/>
      <c r="J1866" s="149"/>
      <c r="K1866" s="149"/>
      <c r="L1866" s="149"/>
      <c r="M1866" s="149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9"/>
      <c r="AA1866" s="149"/>
      <c r="AB1866" s="149"/>
      <c r="AC1866" s="149"/>
      <c r="AD1866" s="149"/>
      <c r="AE1866" s="149"/>
      <c r="AF1866" s="149"/>
      <c r="AG1866" s="149"/>
      <c r="AH1866" s="149"/>
      <c r="AI1866" s="149"/>
      <c r="AJ1866" s="149"/>
      <c r="AK1866" s="149"/>
      <c r="AL1866" s="149"/>
      <c r="AM1866" s="149"/>
      <c r="AN1866" s="149"/>
      <c r="AO1866" s="128"/>
      <c r="AP1866" s="128"/>
      <c r="AQ1866" s="128"/>
      <c r="AR1866" s="128"/>
      <c r="AS1866" s="128"/>
      <c r="AT1866" s="128"/>
      <c r="AU1866" s="128"/>
      <c r="AV1866" s="128"/>
      <c r="AW1866" s="128"/>
      <c r="AX1866" s="128"/>
      <c r="AY1866" s="128"/>
      <c r="AZ1866" s="128"/>
      <c r="BA1866" s="128"/>
      <c r="BB1866" s="128"/>
      <c r="BC1866" s="128"/>
      <c r="BD1866" s="128"/>
      <c r="BE1866" s="128"/>
      <c r="BF1866" s="128"/>
      <c r="BG1866" s="128"/>
      <c r="BH1866" s="128"/>
      <c r="BI1866" s="128"/>
      <c r="BJ1866" s="128"/>
      <c r="BK1866" s="128"/>
      <c r="BL1866" s="128"/>
      <c r="BM1866" s="151"/>
      <c r="BN1866" s="128"/>
      <c r="BO1866" s="128"/>
      <c r="BP1866" s="128"/>
      <c r="BQ1866" s="128"/>
      <c r="BR1866" s="128"/>
      <c r="BS1866" s="128"/>
      <c r="BT1866" s="128"/>
      <c r="BU1866" s="128"/>
      <c r="BV1866" s="128"/>
      <c r="BW1866" s="128"/>
      <c r="BX1866" s="128"/>
      <c r="BY1866" s="128"/>
      <c r="BZ1866" s="128"/>
      <c r="CA1866" s="128"/>
      <c r="CB1866" s="128"/>
      <c r="CC1866" s="128"/>
      <c r="CD1866" s="128"/>
      <c r="CE1866" s="128"/>
      <c r="CF1866" s="128"/>
      <c r="CG1866" s="128"/>
      <c r="CI1866" s="128"/>
      <c r="CJ1866" s="128"/>
      <c r="CK1866" s="128"/>
      <c r="CL1866" s="128"/>
      <c r="CM1866" s="128"/>
      <c r="CN1866" s="128"/>
      <c r="CO1866" s="128"/>
      <c r="CP1866" s="128"/>
      <c r="CQ1866" s="128"/>
      <c r="CR1866" s="128"/>
      <c r="CS1866" s="128"/>
      <c r="CT1866" s="128"/>
      <c r="CU1866" s="128"/>
      <c r="CV1866" s="128"/>
      <c r="CW1866" s="128"/>
      <c r="CX1866" s="128"/>
      <c r="CY1866" s="128"/>
      <c r="CZ1866" s="165"/>
    </row>
    <row r="1867" spans="1:104">
      <c r="A1867" s="149"/>
      <c r="B1867" s="149"/>
      <c r="C1867" s="150"/>
      <c r="D1867" s="102"/>
      <c r="E1867" s="149"/>
      <c r="F1867" s="149"/>
      <c r="G1867" s="149"/>
      <c r="H1867" s="149"/>
      <c r="I1867" s="149"/>
      <c r="J1867" s="149"/>
      <c r="K1867" s="149"/>
      <c r="L1867" s="149"/>
      <c r="M1867" s="149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9"/>
      <c r="AA1867" s="149"/>
      <c r="AB1867" s="149"/>
      <c r="AC1867" s="149"/>
      <c r="AD1867" s="149"/>
      <c r="AE1867" s="149"/>
      <c r="AF1867" s="149"/>
      <c r="AG1867" s="149"/>
      <c r="AH1867" s="149"/>
      <c r="AI1867" s="149"/>
      <c r="AJ1867" s="149"/>
      <c r="AK1867" s="149"/>
      <c r="AL1867" s="149"/>
      <c r="AM1867" s="149"/>
      <c r="AN1867" s="149"/>
      <c r="AO1867" s="128"/>
      <c r="AP1867" s="128"/>
      <c r="AQ1867" s="128"/>
      <c r="AR1867" s="128"/>
      <c r="AS1867" s="128"/>
      <c r="AT1867" s="128"/>
      <c r="AU1867" s="128"/>
      <c r="AV1867" s="128"/>
      <c r="AW1867" s="128"/>
      <c r="AX1867" s="128"/>
      <c r="AY1867" s="128"/>
      <c r="AZ1867" s="128"/>
      <c r="BA1867" s="128"/>
      <c r="BB1867" s="128"/>
      <c r="BC1867" s="128"/>
      <c r="BD1867" s="128"/>
      <c r="BE1867" s="128"/>
      <c r="BF1867" s="128"/>
      <c r="BG1867" s="128"/>
      <c r="BH1867" s="128"/>
      <c r="BI1867" s="128"/>
      <c r="BJ1867" s="128"/>
      <c r="BK1867" s="128"/>
      <c r="BL1867" s="128"/>
      <c r="BM1867" s="151"/>
      <c r="BN1867" s="128"/>
      <c r="BO1867" s="128"/>
      <c r="BP1867" s="128"/>
      <c r="BQ1867" s="128"/>
      <c r="BR1867" s="128"/>
      <c r="BS1867" s="128"/>
      <c r="BT1867" s="128"/>
      <c r="BU1867" s="128"/>
      <c r="BV1867" s="128"/>
      <c r="BW1867" s="128"/>
      <c r="BX1867" s="128"/>
      <c r="BY1867" s="128"/>
      <c r="BZ1867" s="128"/>
      <c r="CA1867" s="128"/>
      <c r="CB1867" s="128"/>
      <c r="CC1867" s="128"/>
      <c r="CD1867" s="128"/>
      <c r="CE1867" s="128"/>
      <c r="CF1867" s="128"/>
      <c r="CG1867" s="128"/>
      <c r="CI1867" s="128"/>
      <c r="CJ1867" s="128"/>
      <c r="CK1867" s="128"/>
      <c r="CL1867" s="128"/>
      <c r="CM1867" s="128"/>
      <c r="CN1867" s="128"/>
      <c r="CO1867" s="128"/>
      <c r="CP1867" s="128"/>
      <c r="CQ1867" s="128"/>
      <c r="CR1867" s="128"/>
      <c r="CS1867" s="128"/>
      <c r="CT1867" s="128"/>
      <c r="CU1867" s="128"/>
      <c r="CV1867" s="128"/>
      <c r="CW1867" s="128"/>
      <c r="CX1867" s="128"/>
      <c r="CY1867" s="128"/>
      <c r="CZ1867" s="165"/>
    </row>
    <row r="1868" spans="1:104">
      <c r="A1868" s="149"/>
      <c r="B1868" s="149"/>
      <c r="C1868" s="150"/>
      <c r="D1868" s="102"/>
      <c r="E1868" s="149"/>
      <c r="F1868" s="149"/>
      <c r="G1868" s="149"/>
      <c r="H1868" s="149"/>
      <c r="I1868" s="149"/>
      <c r="J1868" s="149"/>
      <c r="K1868" s="149"/>
      <c r="L1868" s="149"/>
      <c r="M1868" s="149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9"/>
      <c r="AA1868" s="149"/>
      <c r="AB1868" s="149"/>
      <c r="AC1868" s="149"/>
      <c r="AD1868" s="149"/>
      <c r="AE1868" s="149"/>
      <c r="AF1868" s="149"/>
      <c r="AG1868" s="149"/>
      <c r="AH1868" s="149"/>
      <c r="AI1868" s="149"/>
      <c r="AJ1868" s="149"/>
      <c r="AK1868" s="149"/>
      <c r="AL1868" s="149"/>
      <c r="AM1868" s="149"/>
      <c r="AN1868" s="149"/>
      <c r="AO1868" s="128"/>
      <c r="AP1868" s="128"/>
      <c r="AQ1868" s="128"/>
      <c r="AR1868" s="128"/>
      <c r="AS1868" s="128"/>
      <c r="AT1868" s="128"/>
      <c r="AU1868" s="128"/>
      <c r="AV1868" s="128"/>
      <c r="AW1868" s="128"/>
      <c r="AX1868" s="128"/>
      <c r="AY1868" s="128"/>
      <c r="AZ1868" s="128"/>
      <c r="BA1868" s="128"/>
      <c r="BB1868" s="128"/>
      <c r="BC1868" s="128"/>
      <c r="BD1868" s="128"/>
      <c r="BE1868" s="128"/>
      <c r="BF1868" s="128"/>
      <c r="BG1868" s="128"/>
      <c r="BH1868" s="128"/>
      <c r="BI1868" s="128"/>
      <c r="BJ1868" s="128"/>
      <c r="BK1868" s="128"/>
      <c r="BL1868" s="128"/>
      <c r="BM1868" s="151"/>
      <c r="BN1868" s="128"/>
      <c r="BO1868" s="128"/>
      <c r="BP1868" s="128"/>
      <c r="BQ1868" s="128"/>
      <c r="BR1868" s="128"/>
      <c r="BS1868" s="128"/>
      <c r="BT1868" s="128"/>
      <c r="BU1868" s="128"/>
      <c r="BV1868" s="128"/>
      <c r="BW1868" s="128"/>
      <c r="BX1868" s="128"/>
      <c r="BY1868" s="128"/>
      <c r="BZ1868" s="128"/>
      <c r="CA1868" s="128"/>
      <c r="CB1868" s="128"/>
      <c r="CC1868" s="128"/>
      <c r="CD1868" s="128"/>
      <c r="CE1868" s="128"/>
      <c r="CF1868" s="128"/>
      <c r="CG1868" s="128"/>
      <c r="CI1868" s="128"/>
      <c r="CJ1868" s="128"/>
      <c r="CK1868" s="128"/>
      <c r="CL1868" s="128"/>
      <c r="CM1868" s="128"/>
      <c r="CN1868" s="128"/>
      <c r="CO1868" s="128"/>
      <c r="CP1868" s="128"/>
      <c r="CQ1868" s="128"/>
      <c r="CR1868" s="128"/>
      <c r="CS1868" s="128"/>
      <c r="CT1868" s="128"/>
      <c r="CU1868" s="128"/>
      <c r="CV1868" s="128"/>
      <c r="CW1868" s="128"/>
      <c r="CX1868" s="128"/>
      <c r="CY1868" s="128"/>
      <c r="CZ1868" s="165"/>
    </row>
    <row r="1869" spans="1:104">
      <c r="A1869" s="149"/>
      <c r="B1869" s="149"/>
      <c r="C1869" s="150"/>
      <c r="D1869" s="102"/>
      <c r="E1869" s="149"/>
      <c r="F1869" s="149"/>
      <c r="G1869" s="149"/>
      <c r="H1869" s="149"/>
      <c r="I1869" s="149"/>
      <c r="J1869" s="149"/>
      <c r="K1869" s="149"/>
      <c r="L1869" s="149"/>
      <c r="M1869" s="149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9"/>
      <c r="AA1869" s="149"/>
      <c r="AB1869" s="149"/>
      <c r="AC1869" s="149"/>
      <c r="AD1869" s="149"/>
      <c r="AE1869" s="149"/>
      <c r="AF1869" s="149"/>
      <c r="AG1869" s="149"/>
      <c r="AH1869" s="149"/>
      <c r="AI1869" s="149"/>
      <c r="AJ1869" s="149"/>
      <c r="AK1869" s="149"/>
      <c r="AL1869" s="149"/>
      <c r="AM1869" s="149"/>
      <c r="AN1869" s="149"/>
      <c r="AO1869" s="128"/>
      <c r="AP1869" s="128"/>
      <c r="AQ1869" s="128"/>
      <c r="AR1869" s="128"/>
      <c r="AS1869" s="128"/>
      <c r="AT1869" s="128"/>
      <c r="AU1869" s="128"/>
      <c r="AV1869" s="128"/>
      <c r="AW1869" s="128"/>
      <c r="AX1869" s="128"/>
      <c r="AY1869" s="128"/>
      <c r="AZ1869" s="128"/>
      <c r="BA1869" s="128"/>
      <c r="BB1869" s="128"/>
      <c r="BC1869" s="128"/>
      <c r="BD1869" s="128"/>
      <c r="BE1869" s="128"/>
      <c r="BF1869" s="128"/>
      <c r="BG1869" s="128"/>
      <c r="BH1869" s="128"/>
      <c r="BI1869" s="128"/>
      <c r="BJ1869" s="128"/>
      <c r="BK1869" s="128"/>
      <c r="BL1869" s="128"/>
      <c r="BM1869" s="151"/>
      <c r="BN1869" s="128"/>
      <c r="BO1869" s="128"/>
      <c r="BP1869" s="128"/>
      <c r="BQ1869" s="128"/>
      <c r="BR1869" s="128"/>
      <c r="BS1869" s="128"/>
      <c r="BT1869" s="128"/>
      <c r="BU1869" s="128"/>
      <c r="BV1869" s="128"/>
      <c r="BW1869" s="128"/>
      <c r="BX1869" s="128"/>
      <c r="BY1869" s="128"/>
      <c r="BZ1869" s="128"/>
      <c r="CA1869" s="128"/>
      <c r="CB1869" s="128"/>
      <c r="CC1869" s="128"/>
      <c r="CD1869" s="128"/>
      <c r="CE1869" s="128"/>
      <c r="CF1869" s="128"/>
      <c r="CG1869" s="128"/>
      <c r="CI1869" s="128"/>
      <c r="CJ1869" s="128"/>
      <c r="CK1869" s="128"/>
      <c r="CL1869" s="128"/>
      <c r="CM1869" s="128"/>
      <c r="CN1869" s="128"/>
      <c r="CO1869" s="128"/>
      <c r="CP1869" s="128"/>
      <c r="CQ1869" s="128"/>
      <c r="CR1869" s="128"/>
      <c r="CS1869" s="128"/>
      <c r="CT1869" s="128"/>
      <c r="CU1869" s="128"/>
      <c r="CV1869" s="128"/>
      <c r="CW1869" s="128"/>
      <c r="CX1869" s="128"/>
      <c r="CY1869" s="128"/>
      <c r="CZ1869" s="165"/>
    </row>
    <row r="1870" spans="1:104">
      <c r="A1870" s="149"/>
      <c r="B1870" s="149"/>
      <c r="C1870" s="150"/>
      <c r="D1870" s="102"/>
      <c r="E1870" s="149"/>
      <c r="F1870" s="149"/>
      <c r="G1870" s="149"/>
      <c r="H1870" s="149"/>
      <c r="I1870" s="149"/>
      <c r="J1870" s="149"/>
      <c r="K1870" s="149"/>
      <c r="L1870" s="149"/>
      <c r="M1870" s="149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9"/>
      <c r="AA1870" s="149"/>
      <c r="AB1870" s="149"/>
      <c r="AC1870" s="149"/>
      <c r="AD1870" s="149"/>
      <c r="AE1870" s="149"/>
      <c r="AF1870" s="149"/>
      <c r="AG1870" s="149"/>
      <c r="AH1870" s="149"/>
      <c r="AI1870" s="149"/>
      <c r="AJ1870" s="149"/>
      <c r="AK1870" s="149"/>
      <c r="AL1870" s="149"/>
      <c r="AM1870" s="149"/>
      <c r="AN1870" s="149"/>
      <c r="AO1870" s="128"/>
      <c r="AP1870" s="128"/>
      <c r="AQ1870" s="128"/>
      <c r="AR1870" s="128"/>
      <c r="AS1870" s="128"/>
      <c r="AT1870" s="128"/>
      <c r="AU1870" s="128"/>
      <c r="AV1870" s="128"/>
      <c r="AW1870" s="128"/>
      <c r="AX1870" s="128"/>
      <c r="AY1870" s="128"/>
      <c r="AZ1870" s="128"/>
      <c r="BA1870" s="128"/>
      <c r="BB1870" s="128"/>
      <c r="BC1870" s="128"/>
      <c r="BD1870" s="128"/>
      <c r="BE1870" s="128"/>
      <c r="BF1870" s="128"/>
      <c r="BG1870" s="128"/>
      <c r="BH1870" s="128"/>
      <c r="BI1870" s="128"/>
      <c r="BJ1870" s="128"/>
      <c r="BK1870" s="128"/>
      <c r="BL1870" s="128"/>
      <c r="BM1870" s="151"/>
      <c r="BN1870" s="128"/>
      <c r="BO1870" s="128"/>
      <c r="BP1870" s="128"/>
      <c r="BQ1870" s="128"/>
      <c r="BR1870" s="128"/>
      <c r="BS1870" s="128"/>
      <c r="BT1870" s="128"/>
      <c r="BU1870" s="128"/>
      <c r="BV1870" s="128"/>
      <c r="BW1870" s="128"/>
      <c r="BX1870" s="128"/>
      <c r="BY1870" s="128"/>
      <c r="BZ1870" s="128"/>
      <c r="CA1870" s="128"/>
      <c r="CB1870" s="128"/>
      <c r="CC1870" s="128"/>
      <c r="CD1870" s="128"/>
      <c r="CE1870" s="128"/>
      <c r="CF1870" s="128"/>
      <c r="CG1870" s="128"/>
      <c r="CI1870" s="128"/>
      <c r="CJ1870" s="128"/>
      <c r="CK1870" s="128"/>
      <c r="CL1870" s="128"/>
      <c r="CM1870" s="128"/>
      <c r="CN1870" s="128"/>
      <c r="CO1870" s="128"/>
      <c r="CP1870" s="128"/>
      <c r="CQ1870" s="128"/>
      <c r="CR1870" s="128"/>
      <c r="CS1870" s="128"/>
      <c r="CT1870" s="128"/>
      <c r="CU1870" s="128"/>
      <c r="CV1870" s="128"/>
      <c r="CW1870" s="128"/>
      <c r="CX1870" s="128"/>
      <c r="CY1870" s="128"/>
      <c r="CZ1870" s="165"/>
    </row>
    <row r="1871" spans="1:104">
      <c r="A1871" s="149"/>
      <c r="B1871" s="149"/>
      <c r="C1871" s="150"/>
      <c r="D1871" s="102"/>
      <c r="E1871" s="149"/>
      <c r="F1871" s="149"/>
      <c r="G1871" s="149"/>
      <c r="H1871" s="149"/>
      <c r="I1871" s="149"/>
      <c r="J1871" s="149"/>
      <c r="K1871" s="149"/>
      <c r="L1871" s="149"/>
      <c r="M1871" s="149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9"/>
      <c r="AA1871" s="149"/>
      <c r="AB1871" s="149"/>
      <c r="AC1871" s="149"/>
      <c r="AD1871" s="149"/>
      <c r="AE1871" s="149"/>
      <c r="AF1871" s="149"/>
      <c r="AG1871" s="149"/>
      <c r="AH1871" s="149"/>
      <c r="AI1871" s="149"/>
      <c r="AJ1871" s="149"/>
      <c r="AK1871" s="149"/>
      <c r="AL1871" s="149"/>
      <c r="AM1871" s="149"/>
      <c r="AN1871" s="149"/>
      <c r="AO1871" s="128"/>
      <c r="AP1871" s="128"/>
      <c r="AQ1871" s="128"/>
      <c r="AR1871" s="128"/>
      <c r="AS1871" s="128"/>
      <c r="AT1871" s="128"/>
      <c r="AU1871" s="128"/>
      <c r="AV1871" s="128"/>
      <c r="AW1871" s="128"/>
      <c r="AX1871" s="128"/>
      <c r="AY1871" s="128"/>
      <c r="AZ1871" s="128"/>
      <c r="BA1871" s="128"/>
      <c r="BB1871" s="128"/>
      <c r="BC1871" s="128"/>
      <c r="BD1871" s="128"/>
      <c r="BE1871" s="128"/>
      <c r="BF1871" s="128"/>
      <c r="BG1871" s="128"/>
      <c r="BH1871" s="128"/>
      <c r="BI1871" s="128"/>
      <c r="BJ1871" s="128"/>
      <c r="BK1871" s="128"/>
      <c r="BL1871" s="128"/>
      <c r="BM1871" s="151"/>
      <c r="BN1871" s="128"/>
      <c r="BO1871" s="128"/>
      <c r="BP1871" s="128"/>
      <c r="BQ1871" s="128"/>
      <c r="BR1871" s="128"/>
      <c r="BS1871" s="128"/>
      <c r="BT1871" s="128"/>
      <c r="BU1871" s="128"/>
      <c r="BV1871" s="128"/>
      <c r="BW1871" s="128"/>
      <c r="BX1871" s="128"/>
      <c r="BY1871" s="128"/>
      <c r="BZ1871" s="128"/>
      <c r="CA1871" s="128"/>
      <c r="CB1871" s="128"/>
      <c r="CC1871" s="128"/>
      <c r="CD1871" s="128"/>
      <c r="CE1871" s="128"/>
      <c r="CF1871" s="128"/>
      <c r="CG1871" s="128"/>
      <c r="CI1871" s="128"/>
      <c r="CJ1871" s="128"/>
      <c r="CK1871" s="128"/>
      <c r="CL1871" s="128"/>
      <c r="CM1871" s="128"/>
      <c r="CN1871" s="128"/>
      <c r="CO1871" s="128"/>
      <c r="CP1871" s="128"/>
      <c r="CQ1871" s="128"/>
      <c r="CR1871" s="128"/>
      <c r="CS1871" s="128"/>
      <c r="CT1871" s="128"/>
      <c r="CU1871" s="128"/>
      <c r="CV1871" s="128"/>
      <c r="CW1871" s="128"/>
      <c r="CX1871" s="128"/>
      <c r="CY1871" s="128"/>
      <c r="CZ1871" s="165"/>
    </row>
    <row r="1872" spans="1:104">
      <c r="A1872" s="149"/>
      <c r="B1872" s="149"/>
      <c r="C1872" s="150"/>
      <c r="D1872" s="102"/>
      <c r="E1872" s="149"/>
      <c r="F1872" s="149"/>
      <c r="G1872" s="149"/>
      <c r="H1872" s="149"/>
      <c r="I1872" s="149"/>
      <c r="J1872" s="149"/>
      <c r="K1872" s="149"/>
      <c r="L1872" s="149"/>
      <c r="M1872" s="149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9"/>
      <c r="AA1872" s="149"/>
      <c r="AB1872" s="149"/>
      <c r="AC1872" s="149"/>
      <c r="AD1872" s="149"/>
      <c r="AE1872" s="149"/>
      <c r="AF1872" s="149"/>
      <c r="AG1872" s="149"/>
      <c r="AH1872" s="149"/>
      <c r="AI1872" s="149"/>
      <c r="AJ1872" s="149"/>
      <c r="AK1872" s="149"/>
      <c r="AL1872" s="149"/>
      <c r="AM1872" s="149"/>
      <c r="AN1872" s="149"/>
      <c r="AO1872" s="128"/>
      <c r="AP1872" s="128"/>
      <c r="AQ1872" s="128"/>
      <c r="AR1872" s="128"/>
      <c r="AS1872" s="128"/>
      <c r="AT1872" s="128"/>
      <c r="AU1872" s="128"/>
      <c r="AV1872" s="128"/>
      <c r="AW1872" s="128"/>
      <c r="AX1872" s="128"/>
      <c r="AY1872" s="128"/>
      <c r="AZ1872" s="128"/>
      <c r="BA1872" s="128"/>
      <c r="BB1872" s="128"/>
      <c r="BC1872" s="128"/>
      <c r="BD1872" s="128"/>
      <c r="BE1872" s="128"/>
      <c r="BF1872" s="128"/>
      <c r="BG1872" s="128"/>
      <c r="BH1872" s="128"/>
      <c r="BI1872" s="128"/>
      <c r="BJ1872" s="128"/>
      <c r="BK1872" s="128"/>
      <c r="BL1872" s="128"/>
      <c r="BM1872" s="151"/>
      <c r="BN1872" s="128"/>
      <c r="BO1872" s="128"/>
      <c r="BP1872" s="128"/>
      <c r="BQ1872" s="128"/>
      <c r="BR1872" s="128"/>
      <c r="BS1872" s="128"/>
      <c r="BT1872" s="128"/>
      <c r="BU1872" s="128"/>
      <c r="BV1872" s="128"/>
      <c r="BW1872" s="128"/>
      <c r="BX1872" s="128"/>
      <c r="BY1872" s="128"/>
      <c r="BZ1872" s="128"/>
      <c r="CA1872" s="128"/>
      <c r="CB1872" s="128"/>
      <c r="CC1872" s="128"/>
      <c r="CD1872" s="128"/>
      <c r="CE1872" s="128"/>
      <c r="CF1872" s="128"/>
      <c r="CG1872" s="128"/>
      <c r="CI1872" s="128"/>
      <c r="CJ1872" s="128"/>
      <c r="CK1872" s="128"/>
      <c r="CL1872" s="128"/>
      <c r="CM1872" s="128"/>
      <c r="CN1872" s="128"/>
      <c r="CO1872" s="128"/>
      <c r="CP1872" s="128"/>
      <c r="CQ1872" s="128"/>
      <c r="CR1872" s="128"/>
      <c r="CS1872" s="128"/>
      <c r="CT1872" s="128"/>
      <c r="CU1872" s="128"/>
      <c r="CV1872" s="128"/>
      <c r="CW1872" s="128"/>
      <c r="CX1872" s="128"/>
      <c r="CY1872" s="128"/>
      <c r="CZ1872" s="165"/>
    </row>
    <row r="1873" spans="1:104">
      <c r="A1873" s="149"/>
      <c r="B1873" s="149"/>
      <c r="C1873" s="150"/>
      <c r="D1873" s="102"/>
      <c r="E1873" s="149"/>
      <c r="F1873" s="149"/>
      <c r="G1873" s="149"/>
      <c r="H1873" s="149"/>
      <c r="I1873" s="149"/>
      <c r="J1873" s="149"/>
      <c r="K1873" s="149"/>
      <c r="L1873" s="149"/>
      <c r="M1873" s="149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9"/>
      <c r="AA1873" s="149"/>
      <c r="AB1873" s="149"/>
      <c r="AC1873" s="149"/>
      <c r="AD1873" s="149"/>
      <c r="AE1873" s="149"/>
      <c r="AF1873" s="149"/>
      <c r="AG1873" s="149"/>
      <c r="AH1873" s="149"/>
      <c r="AI1873" s="149"/>
      <c r="AJ1873" s="149"/>
      <c r="AK1873" s="149"/>
      <c r="AL1873" s="149"/>
      <c r="AM1873" s="149"/>
      <c r="AN1873" s="149"/>
      <c r="AO1873" s="128"/>
      <c r="AP1873" s="128"/>
      <c r="AQ1873" s="128"/>
      <c r="AR1873" s="128"/>
      <c r="AS1873" s="128"/>
      <c r="AT1873" s="128"/>
      <c r="AU1873" s="128"/>
      <c r="AV1873" s="128"/>
      <c r="AW1873" s="128"/>
      <c r="AX1873" s="128"/>
      <c r="AY1873" s="128"/>
      <c r="AZ1873" s="128"/>
      <c r="BA1873" s="128"/>
      <c r="BB1873" s="128"/>
      <c r="BC1873" s="128"/>
      <c r="BD1873" s="128"/>
      <c r="BE1873" s="128"/>
      <c r="BF1873" s="128"/>
      <c r="BG1873" s="128"/>
      <c r="BH1873" s="128"/>
      <c r="BI1873" s="128"/>
      <c r="BJ1873" s="128"/>
      <c r="BK1873" s="128"/>
      <c r="BL1873" s="128"/>
      <c r="BM1873" s="151"/>
      <c r="BN1873" s="128"/>
      <c r="BO1873" s="128"/>
      <c r="BP1873" s="128"/>
      <c r="BQ1873" s="128"/>
      <c r="BR1873" s="128"/>
      <c r="BS1873" s="128"/>
      <c r="BT1873" s="128"/>
      <c r="BU1873" s="128"/>
      <c r="BV1873" s="128"/>
      <c r="BW1873" s="128"/>
      <c r="BX1873" s="128"/>
      <c r="BY1873" s="128"/>
      <c r="BZ1873" s="128"/>
      <c r="CA1873" s="128"/>
      <c r="CB1873" s="128"/>
      <c r="CC1873" s="128"/>
      <c r="CD1873" s="128"/>
      <c r="CE1873" s="128"/>
      <c r="CF1873" s="128"/>
      <c r="CG1873" s="128"/>
      <c r="CI1873" s="128"/>
      <c r="CJ1873" s="128"/>
      <c r="CK1873" s="128"/>
      <c r="CL1873" s="128"/>
      <c r="CM1873" s="128"/>
      <c r="CN1873" s="128"/>
      <c r="CO1873" s="128"/>
      <c r="CP1873" s="128"/>
      <c r="CQ1873" s="128"/>
      <c r="CR1873" s="128"/>
      <c r="CS1873" s="128"/>
      <c r="CT1873" s="128"/>
      <c r="CU1873" s="128"/>
      <c r="CV1873" s="128"/>
      <c r="CW1873" s="128"/>
      <c r="CX1873" s="128"/>
      <c r="CY1873" s="128"/>
      <c r="CZ1873" s="165"/>
    </row>
    <row r="1874" spans="1:104">
      <c r="A1874" s="149"/>
      <c r="B1874" s="149"/>
      <c r="C1874" s="150"/>
      <c r="D1874" s="102"/>
      <c r="E1874" s="149"/>
      <c r="F1874" s="149"/>
      <c r="G1874" s="149"/>
      <c r="H1874" s="149"/>
      <c r="I1874" s="149"/>
      <c r="J1874" s="149"/>
      <c r="K1874" s="149"/>
      <c r="L1874" s="149"/>
      <c r="M1874" s="149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9"/>
      <c r="AA1874" s="149"/>
      <c r="AB1874" s="149"/>
      <c r="AC1874" s="149"/>
      <c r="AD1874" s="149"/>
      <c r="AE1874" s="149"/>
      <c r="AF1874" s="149"/>
      <c r="AG1874" s="149"/>
      <c r="AH1874" s="149"/>
      <c r="AI1874" s="149"/>
      <c r="AJ1874" s="149"/>
      <c r="AK1874" s="149"/>
      <c r="AL1874" s="149"/>
      <c r="AM1874" s="149"/>
      <c r="AN1874" s="149"/>
      <c r="AO1874" s="128"/>
      <c r="AP1874" s="128"/>
      <c r="AQ1874" s="128"/>
      <c r="AR1874" s="128"/>
      <c r="AS1874" s="128"/>
      <c r="AT1874" s="128"/>
      <c r="AU1874" s="128"/>
      <c r="AV1874" s="128"/>
      <c r="AW1874" s="128"/>
      <c r="AX1874" s="128"/>
      <c r="AY1874" s="128"/>
      <c r="AZ1874" s="128"/>
      <c r="BA1874" s="128"/>
      <c r="BB1874" s="128"/>
      <c r="BC1874" s="128"/>
      <c r="BD1874" s="128"/>
      <c r="BE1874" s="128"/>
      <c r="BF1874" s="128"/>
      <c r="BG1874" s="128"/>
      <c r="BH1874" s="128"/>
      <c r="BI1874" s="128"/>
      <c r="BJ1874" s="128"/>
      <c r="BK1874" s="128"/>
      <c r="BL1874" s="128"/>
      <c r="BM1874" s="151"/>
      <c r="BN1874" s="128"/>
      <c r="BO1874" s="128"/>
      <c r="BP1874" s="128"/>
      <c r="BQ1874" s="128"/>
      <c r="BR1874" s="128"/>
      <c r="BS1874" s="128"/>
      <c r="BT1874" s="128"/>
      <c r="BU1874" s="128"/>
      <c r="BV1874" s="128"/>
      <c r="BW1874" s="128"/>
      <c r="BX1874" s="128"/>
      <c r="BY1874" s="128"/>
      <c r="BZ1874" s="128"/>
      <c r="CA1874" s="128"/>
      <c r="CB1874" s="128"/>
      <c r="CC1874" s="128"/>
      <c r="CD1874" s="128"/>
      <c r="CE1874" s="128"/>
      <c r="CF1874" s="128"/>
      <c r="CG1874" s="128"/>
      <c r="CI1874" s="128"/>
      <c r="CJ1874" s="128"/>
      <c r="CK1874" s="128"/>
      <c r="CL1874" s="128"/>
      <c r="CM1874" s="128"/>
      <c r="CN1874" s="128"/>
      <c r="CO1874" s="128"/>
      <c r="CP1874" s="128"/>
      <c r="CQ1874" s="128"/>
      <c r="CR1874" s="128"/>
      <c r="CS1874" s="128"/>
      <c r="CT1874" s="128"/>
      <c r="CU1874" s="128"/>
      <c r="CV1874" s="128"/>
      <c r="CW1874" s="128"/>
      <c r="CX1874" s="128"/>
      <c r="CY1874" s="128"/>
      <c r="CZ1874" s="165"/>
    </row>
    <row r="1875" spans="1:104">
      <c r="A1875" s="149"/>
      <c r="B1875" s="149"/>
      <c r="C1875" s="150"/>
      <c r="D1875" s="102"/>
      <c r="E1875" s="149"/>
      <c r="F1875" s="149"/>
      <c r="G1875" s="149"/>
      <c r="H1875" s="149"/>
      <c r="I1875" s="149"/>
      <c r="J1875" s="149"/>
      <c r="K1875" s="149"/>
      <c r="L1875" s="149"/>
      <c r="M1875" s="149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9"/>
      <c r="AA1875" s="149"/>
      <c r="AB1875" s="149"/>
      <c r="AC1875" s="149"/>
      <c r="AD1875" s="149"/>
      <c r="AE1875" s="149"/>
      <c r="AF1875" s="149"/>
      <c r="AG1875" s="149"/>
      <c r="AH1875" s="149"/>
      <c r="AI1875" s="149"/>
      <c r="AJ1875" s="149"/>
      <c r="AK1875" s="149"/>
      <c r="AL1875" s="149"/>
      <c r="AM1875" s="149"/>
      <c r="AN1875" s="149"/>
      <c r="AO1875" s="128"/>
      <c r="AP1875" s="128"/>
      <c r="AQ1875" s="128"/>
      <c r="AR1875" s="128"/>
      <c r="AS1875" s="128"/>
      <c r="AT1875" s="128"/>
      <c r="AU1875" s="128"/>
      <c r="AV1875" s="128"/>
      <c r="AW1875" s="128"/>
      <c r="AX1875" s="128"/>
      <c r="AY1875" s="128"/>
      <c r="AZ1875" s="128"/>
      <c r="BA1875" s="128"/>
      <c r="BB1875" s="128"/>
      <c r="BC1875" s="128"/>
      <c r="BD1875" s="128"/>
      <c r="BE1875" s="128"/>
      <c r="BF1875" s="128"/>
      <c r="BG1875" s="128"/>
      <c r="BH1875" s="128"/>
      <c r="BI1875" s="128"/>
      <c r="BJ1875" s="128"/>
      <c r="BK1875" s="128"/>
      <c r="BL1875" s="128"/>
      <c r="BM1875" s="151"/>
      <c r="BN1875" s="128"/>
      <c r="BO1875" s="128"/>
      <c r="BP1875" s="128"/>
      <c r="BQ1875" s="128"/>
      <c r="BR1875" s="128"/>
      <c r="BS1875" s="128"/>
      <c r="BT1875" s="128"/>
      <c r="BU1875" s="128"/>
      <c r="BV1875" s="128"/>
      <c r="BW1875" s="128"/>
      <c r="BX1875" s="128"/>
      <c r="BY1875" s="128"/>
      <c r="BZ1875" s="128"/>
      <c r="CA1875" s="128"/>
      <c r="CB1875" s="128"/>
      <c r="CC1875" s="128"/>
      <c r="CD1875" s="128"/>
      <c r="CE1875" s="128"/>
      <c r="CF1875" s="128"/>
      <c r="CG1875" s="128"/>
      <c r="CI1875" s="128"/>
      <c r="CJ1875" s="128"/>
      <c r="CK1875" s="128"/>
      <c r="CL1875" s="128"/>
      <c r="CM1875" s="128"/>
      <c r="CN1875" s="128"/>
      <c r="CO1875" s="128"/>
      <c r="CP1875" s="128"/>
      <c r="CQ1875" s="128"/>
      <c r="CR1875" s="128"/>
      <c r="CS1875" s="128"/>
      <c r="CT1875" s="128"/>
      <c r="CU1875" s="128"/>
      <c r="CV1875" s="128"/>
      <c r="CW1875" s="128"/>
      <c r="CX1875" s="128"/>
      <c r="CY1875" s="128"/>
      <c r="CZ1875" s="165"/>
    </row>
    <row r="1876" spans="1:104">
      <c r="A1876" s="149"/>
      <c r="B1876" s="149"/>
      <c r="C1876" s="150"/>
      <c r="D1876" s="102"/>
      <c r="E1876" s="149"/>
      <c r="F1876" s="149"/>
      <c r="G1876" s="149"/>
      <c r="H1876" s="149"/>
      <c r="I1876" s="149"/>
      <c r="J1876" s="149"/>
      <c r="K1876" s="149"/>
      <c r="L1876" s="149"/>
      <c r="M1876" s="149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9"/>
      <c r="AA1876" s="149"/>
      <c r="AB1876" s="149"/>
      <c r="AC1876" s="149"/>
      <c r="AD1876" s="149"/>
      <c r="AE1876" s="149"/>
      <c r="AF1876" s="149"/>
      <c r="AG1876" s="149"/>
      <c r="AH1876" s="149"/>
      <c r="AI1876" s="149"/>
      <c r="AJ1876" s="149"/>
      <c r="AK1876" s="149"/>
      <c r="AL1876" s="149"/>
      <c r="AM1876" s="149"/>
      <c r="AN1876" s="149"/>
      <c r="AO1876" s="128"/>
      <c r="AP1876" s="128"/>
      <c r="AQ1876" s="128"/>
      <c r="AR1876" s="128"/>
      <c r="AS1876" s="128"/>
      <c r="AT1876" s="128"/>
      <c r="AU1876" s="128"/>
      <c r="AV1876" s="128"/>
      <c r="AW1876" s="128"/>
      <c r="AX1876" s="128"/>
      <c r="AY1876" s="128"/>
      <c r="AZ1876" s="128"/>
      <c r="BA1876" s="128"/>
      <c r="BB1876" s="128"/>
      <c r="BC1876" s="128"/>
      <c r="BD1876" s="128"/>
      <c r="BE1876" s="128"/>
      <c r="BF1876" s="128"/>
      <c r="BG1876" s="128"/>
      <c r="BH1876" s="128"/>
      <c r="BI1876" s="128"/>
      <c r="BJ1876" s="128"/>
      <c r="BK1876" s="128"/>
      <c r="BL1876" s="128"/>
      <c r="BM1876" s="151"/>
      <c r="BN1876" s="128"/>
      <c r="BO1876" s="128"/>
      <c r="BP1876" s="128"/>
      <c r="BQ1876" s="128"/>
      <c r="BR1876" s="128"/>
      <c r="BS1876" s="128"/>
      <c r="BT1876" s="128"/>
      <c r="BU1876" s="128"/>
      <c r="BV1876" s="128"/>
      <c r="BW1876" s="128"/>
      <c r="BX1876" s="128"/>
      <c r="BY1876" s="128"/>
      <c r="BZ1876" s="128"/>
      <c r="CA1876" s="128"/>
      <c r="CB1876" s="128"/>
      <c r="CC1876" s="128"/>
      <c r="CD1876" s="128"/>
      <c r="CE1876" s="128"/>
      <c r="CF1876" s="128"/>
      <c r="CG1876" s="128"/>
      <c r="CI1876" s="128"/>
      <c r="CJ1876" s="128"/>
      <c r="CK1876" s="128"/>
      <c r="CL1876" s="128"/>
      <c r="CM1876" s="128"/>
      <c r="CN1876" s="128"/>
      <c r="CO1876" s="128"/>
      <c r="CP1876" s="128"/>
      <c r="CQ1876" s="128"/>
      <c r="CR1876" s="128"/>
      <c r="CS1876" s="128"/>
      <c r="CT1876" s="128"/>
      <c r="CU1876" s="128"/>
      <c r="CV1876" s="128"/>
      <c r="CW1876" s="128"/>
      <c r="CX1876" s="128"/>
      <c r="CY1876" s="128"/>
      <c r="CZ1876" s="165"/>
    </row>
    <row r="1877" spans="1:104">
      <c r="A1877" s="149"/>
      <c r="B1877" s="149"/>
      <c r="C1877" s="150"/>
      <c r="D1877" s="102"/>
      <c r="E1877" s="149"/>
      <c r="F1877" s="149"/>
      <c r="G1877" s="149"/>
      <c r="H1877" s="149"/>
      <c r="I1877" s="149"/>
      <c r="J1877" s="149"/>
      <c r="K1877" s="149"/>
      <c r="L1877" s="149"/>
      <c r="M1877" s="149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9"/>
      <c r="AA1877" s="149"/>
      <c r="AB1877" s="149"/>
      <c r="AC1877" s="149"/>
      <c r="AD1877" s="149"/>
      <c r="AE1877" s="149"/>
      <c r="AF1877" s="149"/>
      <c r="AG1877" s="149"/>
      <c r="AH1877" s="149"/>
      <c r="AI1877" s="149"/>
      <c r="AJ1877" s="149"/>
      <c r="AK1877" s="149"/>
      <c r="AL1877" s="149"/>
      <c r="AM1877" s="149"/>
      <c r="AN1877" s="149"/>
      <c r="AO1877" s="128"/>
      <c r="AP1877" s="128"/>
      <c r="AQ1877" s="128"/>
      <c r="AR1877" s="128"/>
      <c r="AS1877" s="128"/>
      <c r="AT1877" s="128"/>
      <c r="AU1877" s="128"/>
      <c r="AV1877" s="128"/>
      <c r="AW1877" s="128"/>
      <c r="AX1877" s="128"/>
      <c r="AY1877" s="128"/>
      <c r="AZ1877" s="128"/>
      <c r="BA1877" s="128"/>
      <c r="BB1877" s="128"/>
      <c r="BC1877" s="128"/>
      <c r="BD1877" s="128"/>
      <c r="BE1877" s="128"/>
      <c r="BF1877" s="128"/>
      <c r="BG1877" s="128"/>
      <c r="BH1877" s="128"/>
      <c r="BI1877" s="128"/>
      <c r="BJ1877" s="128"/>
      <c r="BK1877" s="128"/>
      <c r="BL1877" s="128"/>
      <c r="BM1877" s="151"/>
      <c r="BN1877" s="128"/>
      <c r="BO1877" s="128"/>
      <c r="BP1877" s="128"/>
      <c r="BQ1877" s="128"/>
      <c r="BR1877" s="128"/>
      <c r="BS1877" s="128"/>
      <c r="BT1877" s="128"/>
      <c r="BU1877" s="128"/>
      <c r="BV1877" s="128"/>
      <c r="BW1877" s="128"/>
      <c r="BX1877" s="128"/>
      <c r="BY1877" s="128"/>
      <c r="BZ1877" s="128"/>
      <c r="CA1877" s="128"/>
      <c r="CB1877" s="128"/>
      <c r="CC1877" s="128"/>
      <c r="CD1877" s="128"/>
      <c r="CE1877" s="128"/>
      <c r="CF1877" s="128"/>
      <c r="CG1877" s="128"/>
      <c r="CI1877" s="128"/>
      <c r="CJ1877" s="128"/>
      <c r="CK1877" s="128"/>
      <c r="CL1877" s="128"/>
      <c r="CM1877" s="128"/>
      <c r="CN1877" s="128"/>
      <c r="CO1877" s="128"/>
      <c r="CP1877" s="128"/>
      <c r="CQ1877" s="128"/>
      <c r="CR1877" s="128"/>
      <c r="CS1877" s="128"/>
      <c r="CT1877" s="128"/>
      <c r="CU1877" s="128"/>
      <c r="CV1877" s="128"/>
      <c r="CW1877" s="128"/>
      <c r="CX1877" s="128"/>
      <c r="CY1877" s="128"/>
      <c r="CZ1877" s="165"/>
    </row>
    <row r="1878" spans="1:104">
      <c r="A1878" s="149"/>
      <c r="B1878" s="149"/>
      <c r="C1878" s="150"/>
      <c r="D1878" s="102"/>
      <c r="E1878" s="149"/>
      <c r="F1878" s="149"/>
      <c r="G1878" s="149"/>
      <c r="H1878" s="149"/>
      <c r="I1878" s="149"/>
      <c r="J1878" s="149"/>
      <c r="K1878" s="149"/>
      <c r="L1878" s="149"/>
      <c r="M1878" s="149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9"/>
      <c r="AA1878" s="149"/>
      <c r="AB1878" s="149"/>
      <c r="AC1878" s="149"/>
      <c r="AD1878" s="149"/>
      <c r="AE1878" s="149"/>
      <c r="AF1878" s="149"/>
      <c r="AG1878" s="149"/>
      <c r="AH1878" s="149"/>
      <c r="AI1878" s="149"/>
      <c r="AJ1878" s="149"/>
      <c r="AK1878" s="149"/>
      <c r="AL1878" s="149"/>
      <c r="AM1878" s="149"/>
      <c r="AN1878" s="149"/>
      <c r="AO1878" s="128"/>
      <c r="AP1878" s="128"/>
      <c r="AQ1878" s="128"/>
      <c r="AR1878" s="128"/>
      <c r="AS1878" s="128"/>
      <c r="AT1878" s="128"/>
      <c r="AU1878" s="128"/>
      <c r="AV1878" s="128"/>
      <c r="AW1878" s="128"/>
      <c r="AX1878" s="128"/>
      <c r="AY1878" s="128"/>
      <c r="AZ1878" s="128"/>
      <c r="BA1878" s="128"/>
      <c r="BB1878" s="128"/>
      <c r="BC1878" s="128"/>
      <c r="BD1878" s="128"/>
      <c r="BE1878" s="128"/>
      <c r="BF1878" s="128"/>
      <c r="BG1878" s="128"/>
      <c r="BH1878" s="128"/>
      <c r="BI1878" s="128"/>
      <c r="BJ1878" s="128"/>
      <c r="BK1878" s="128"/>
      <c r="BL1878" s="128"/>
      <c r="BM1878" s="151"/>
      <c r="BN1878" s="128"/>
      <c r="BO1878" s="128"/>
      <c r="BP1878" s="128"/>
      <c r="BQ1878" s="128"/>
      <c r="BR1878" s="128"/>
      <c r="BS1878" s="128"/>
      <c r="BT1878" s="128"/>
      <c r="BU1878" s="128"/>
      <c r="BV1878" s="128"/>
      <c r="BW1878" s="128"/>
      <c r="BX1878" s="128"/>
      <c r="BY1878" s="128"/>
      <c r="BZ1878" s="128"/>
      <c r="CA1878" s="128"/>
      <c r="CB1878" s="128"/>
      <c r="CC1878" s="128"/>
      <c r="CD1878" s="128"/>
      <c r="CE1878" s="128"/>
      <c r="CF1878" s="128"/>
      <c r="CG1878" s="128"/>
      <c r="CI1878" s="128"/>
      <c r="CJ1878" s="128"/>
      <c r="CK1878" s="128"/>
      <c r="CL1878" s="128"/>
      <c r="CM1878" s="128"/>
      <c r="CN1878" s="128"/>
      <c r="CO1878" s="128"/>
      <c r="CP1878" s="128"/>
      <c r="CQ1878" s="128"/>
      <c r="CR1878" s="128"/>
      <c r="CS1878" s="128"/>
      <c r="CT1878" s="128"/>
      <c r="CU1878" s="128"/>
      <c r="CV1878" s="128"/>
      <c r="CW1878" s="128"/>
      <c r="CX1878" s="128"/>
      <c r="CY1878" s="128"/>
      <c r="CZ1878" s="165"/>
    </row>
    <row r="1879" spans="1:104">
      <c r="A1879" s="149"/>
      <c r="B1879" s="149"/>
      <c r="C1879" s="150"/>
      <c r="D1879" s="102"/>
      <c r="E1879" s="149"/>
      <c r="F1879" s="149"/>
      <c r="G1879" s="149"/>
      <c r="H1879" s="149"/>
      <c r="I1879" s="149"/>
      <c r="J1879" s="149"/>
      <c r="K1879" s="149"/>
      <c r="L1879" s="149"/>
      <c r="M1879" s="149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9"/>
      <c r="AA1879" s="149"/>
      <c r="AB1879" s="149"/>
      <c r="AC1879" s="149"/>
      <c r="AD1879" s="149"/>
      <c r="AE1879" s="149"/>
      <c r="AF1879" s="149"/>
      <c r="AG1879" s="149"/>
      <c r="AH1879" s="149"/>
      <c r="AI1879" s="149"/>
      <c r="AJ1879" s="149"/>
      <c r="AK1879" s="149"/>
      <c r="AL1879" s="149"/>
      <c r="AM1879" s="149"/>
      <c r="AN1879" s="149"/>
      <c r="AO1879" s="128"/>
      <c r="AP1879" s="128"/>
      <c r="AQ1879" s="128"/>
      <c r="AR1879" s="128"/>
      <c r="AS1879" s="128"/>
      <c r="AT1879" s="128"/>
      <c r="AU1879" s="128"/>
      <c r="AV1879" s="128"/>
      <c r="AW1879" s="128"/>
      <c r="AX1879" s="128"/>
      <c r="AY1879" s="128"/>
      <c r="AZ1879" s="128"/>
      <c r="BA1879" s="128"/>
      <c r="BB1879" s="128"/>
      <c r="BC1879" s="128"/>
      <c r="BD1879" s="128"/>
      <c r="BE1879" s="128"/>
      <c r="BF1879" s="128"/>
      <c r="BG1879" s="128"/>
      <c r="BH1879" s="128"/>
      <c r="BI1879" s="128"/>
      <c r="BJ1879" s="128"/>
      <c r="BK1879" s="128"/>
      <c r="BL1879" s="128"/>
      <c r="BM1879" s="151"/>
      <c r="BN1879" s="128"/>
      <c r="BO1879" s="128"/>
      <c r="BP1879" s="128"/>
      <c r="BQ1879" s="128"/>
      <c r="BR1879" s="128"/>
      <c r="BS1879" s="128"/>
      <c r="BT1879" s="128"/>
      <c r="BU1879" s="128"/>
      <c r="BV1879" s="128"/>
      <c r="BW1879" s="128"/>
      <c r="BX1879" s="128"/>
      <c r="BY1879" s="128"/>
      <c r="BZ1879" s="128"/>
      <c r="CA1879" s="128"/>
      <c r="CB1879" s="128"/>
      <c r="CC1879" s="128"/>
      <c r="CD1879" s="128"/>
      <c r="CE1879" s="128"/>
      <c r="CF1879" s="128"/>
      <c r="CG1879" s="128"/>
      <c r="CI1879" s="128"/>
      <c r="CJ1879" s="128"/>
      <c r="CK1879" s="128"/>
      <c r="CL1879" s="128"/>
      <c r="CM1879" s="128"/>
      <c r="CN1879" s="128"/>
      <c r="CO1879" s="128"/>
      <c r="CP1879" s="128"/>
      <c r="CQ1879" s="128"/>
      <c r="CR1879" s="128"/>
      <c r="CS1879" s="128"/>
      <c r="CT1879" s="128"/>
      <c r="CU1879" s="128"/>
      <c r="CV1879" s="128"/>
      <c r="CW1879" s="128"/>
      <c r="CX1879" s="128"/>
      <c r="CY1879" s="128"/>
      <c r="CZ1879" s="165"/>
    </row>
    <row r="1880" spans="1:104">
      <c r="A1880" s="149"/>
      <c r="B1880" s="149"/>
      <c r="C1880" s="150"/>
      <c r="D1880" s="102"/>
      <c r="E1880" s="149"/>
      <c r="F1880" s="149"/>
      <c r="G1880" s="149"/>
      <c r="H1880" s="149"/>
      <c r="I1880" s="149"/>
      <c r="J1880" s="149"/>
      <c r="K1880" s="149"/>
      <c r="L1880" s="149"/>
      <c r="M1880" s="149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9"/>
      <c r="AA1880" s="149"/>
      <c r="AB1880" s="149"/>
      <c r="AC1880" s="149"/>
      <c r="AD1880" s="149"/>
      <c r="AE1880" s="149"/>
      <c r="AF1880" s="149"/>
      <c r="AG1880" s="149"/>
      <c r="AH1880" s="149"/>
      <c r="AI1880" s="149"/>
      <c r="AJ1880" s="149"/>
      <c r="AK1880" s="149"/>
      <c r="AL1880" s="149"/>
      <c r="AM1880" s="149"/>
      <c r="AN1880" s="149"/>
      <c r="AO1880" s="128"/>
      <c r="AP1880" s="128"/>
      <c r="AQ1880" s="128"/>
      <c r="AR1880" s="128"/>
      <c r="AS1880" s="128"/>
      <c r="AT1880" s="128"/>
      <c r="AU1880" s="128"/>
      <c r="AV1880" s="128"/>
      <c r="AW1880" s="128"/>
      <c r="AX1880" s="128"/>
      <c r="AY1880" s="128"/>
      <c r="AZ1880" s="128"/>
      <c r="BA1880" s="128"/>
      <c r="BB1880" s="128"/>
      <c r="BC1880" s="128"/>
      <c r="BD1880" s="128"/>
      <c r="BE1880" s="128"/>
      <c r="BF1880" s="128"/>
      <c r="BG1880" s="128"/>
      <c r="BH1880" s="128"/>
      <c r="BI1880" s="128"/>
      <c r="BJ1880" s="128"/>
      <c r="BK1880" s="128"/>
      <c r="BL1880" s="128"/>
      <c r="BM1880" s="151"/>
      <c r="BN1880" s="128"/>
      <c r="BO1880" s="128"/>
      <c r="BP1880" s="128"/>
      <c r="BQ1880" s="128"/>
      <c r="BR1880" s="128"/>
      <c r="BS1880" s="128"/>
      <c r="BT1880" s="128"/>
      <c r="BU1880" s="128"/>
      <c r="BV1880" s="128"/>
      <c r="BW1880" s="128"/>
      <c r="BX1880" s="128"/>
      <c r="BY1880" s="128"/>
      <c r="BZ1880" s="128"/>
      <c r="CA1880" s="128"/>
      <c r="CB1880" s="128"/>
      <c r="CC1880" s="128"/>
      <c r="CD1880" s="128"/>
      <c r="CE1880" s="128"/>
      <c r="CF1880" s="128"/>
      <c r="CG1880" s="128"/>
      <c r="CI1880" s="128"/>
      <c r="CJ1880" s="128"/>
      <c r="CK1880" s="128"/>
      <c r="CL1880" s="128"/>
      <c r="CM1880" s="128"/>
      <c r="CN1880" s="128"/>
      <c r="CO1880" s="128"/>
      <c r="CP1880" s="128"/>
      <c r="CQ1880" s="128"/>
      <c r="CR1880" s="128"/>
      <c r="CS1880" s="128"/>
      <c r="CT1880" s="128"/>
      <c r="CU1880" s="128"/>
      <c r="CV1880" s="128"/>
      <c r="CW1880" s="128"/>
      <c r="CX1880" s="128"/>
      <c r="CY1880" s="128"/>
      <c r="CZ1880" s="165"/>
    </row>
    <row r="1881" spans="1:104">
      <c r="A1881" s="149"/>
      <c r="B1881" s="149"/>
      <c r="C1881" s="150"/>
      <c r="D1881" s="102"/>
      <c r="E1881" s="149"/>
      <c r="F1881" s="149"/>
      <c r="G1881" s="149"/>
      <c r="H1881" s="149"/>
      <c r="I1881" s="149"/>
      <c r="J1881" s="149"/>
      <c r="K1881" s="149"/>
      <c r="L1881" s="149"/>
      <c r="M1881" s="149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9"/>
      <c r="AA1881" s="149"/>
      <c r="AB1881" s="149"/>
      <c r="AC1881" s="149"/>
      <c r="AD1881" s="149"/>
      <c r="AE1881" s="149"/>
      <c r="AF1881" s="149"/>
      <c r="AG1881" s="149"/>
      <c r="AH1881" s="149"/>
      <c r="AI1881" s="149"/>
      <c r="AJ1881" s="149"/>
      <c r="AK1881" s="149"/>
      <c r="AL1881" s="149"/>
      <c r="AM1881" s="149"/>
      <c r="AN1881" s="149"/>
      <c r="AO1881" s="128"/>
      <c r="AP1881" s="128"/>
      <c r="AQ1881" s="128"/>
      <c r="AR1881" s="128"/>
      <c r="AS1881" s="128"/>
      <c r="AT1881" s="128"/>
      <c r="AU1881" s="128"/>
      <c r="AV1881" s="128"/>
      <c r="AW1881" s="128"/>
      <c r="AX1881" s="128"/>
      <c r="AY1881" s="128"/>
      <c r="AZ1881" s="128"/>
      <c r="BA1881" s="128"/>
      <c r="BB1881" s="128"/>
      <c r="BC1881" s="128"/>
      <c r="BD1881" s="128"/>
      <c r="BE1881" s="128"/>
      <c r="BF1881" s="128"/>
      <c r="BG1881" s="128"/>
      <c r="BH1881" s="128"/>
      <c r="BI1881" s="128"/>
      <c r="BJ1881" s="128"/>
      <c r="BK1881" s="128"/>
      <c r="BL1881" s="128"/>
      <c r="BM1881" s="151"/>
      <c r="BN1881" s="128"/>
      <c r="BO1881" s="128"/>
      <c r="BP1881" s="128"/>
      <c r="BQ1881" s="128"/>
      <c r="BR1881" s="128"/>
      <c r="BS1881" s="128"/>
      <c r="BT1881" s="128"/>
      <c r="BU1881" s="128"/>
      <c r="BV1881" s="128"/>
      <c r="BW1881" s="128"/>
      <c r="BX1881" s="128"/>
      <c r="BY1881" s="128"/>
      <c r="BZ1881" s="128"/>
      <c r="CA1881" s="128"/>
      <c r="CB1881" s="128"/>
      <c r="CC1881" s="128"/>
      <c r="CD1881" s="128"/>
      <c r="CE1881" s="128"/>
      <c r="CF1881" s="128"/>
      <c r="CG1881" s="128"/>
      <c r="CI1881" s="128"/>
      <c r="CJ1881" s="128"/>
      <c r="CK1881" s="128"/>
      <c r="CL1881" s="128"/>
      <c r="CM1881" s="128"/>
      <c r="CN1881" s="128"/>
      <c r="CO1881" s="128"/>
      <c r="CP1881" s="128"/>
      <c r="CQ1881" s="128"/>
      <c r="CR1881" s="128"/>
      <c r="CS1881" s="128"/>
      <c r="CT1881" s="128"/>
      <c r="CU1881" s="128"/>
      <c r="CV1881" s="128"/>
      <c r="CW1881" s="128"/>
      <c r="CX1881" s="128"/>
      <c r="CY1881" s="128"/>
      <c r="CZ1881" s="165"/>
    </row>
    <row r="1882" spans="1:104">
      <c r="A1882" s="149"/>
      <c r="B1882" s="149"/>
      <c r="C1882" s="150"/>
      <c r="D1882" s="102"/>
      <c r="E1882" s="149"/>
      <c r="F1882" s="149"/>
      <c r="G1882" s="149"/>
      <c r="H1882" s="149"/>
      <c r="I1882" s="149"/>
      <c r="J1882" s="149"/>
      <c r="K1882" s="149"/>
      <c r="L1882" s="149"/>
      <c r="M1882" s="149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9"/>
      <c r="AA1882" s="149"/>
      <c r="AB1882" s="149"/>
      <c r="AC1882" s="149"/>
      <c r="AD1882" s="149"/>
      <c r="AE1882" s="149"/>
      <c r="AF1882" s="149"/>
      <c r="AG1882" s="149"/>
      <c r="AH1882" s="149"/>
      <c r="AI1882" s="149"/>
      <c r="AJ1882" s="149"/>
      <c r="AK1882" s="149"/>
      <c r="AL1882" s="149"/>
      <c r="AM1882" s="149"/>
      <c r="AN1882" s="149"/>
      <c r="AO1882" s="128"/>
      <c r="AP1882" s="128"/>
      <c r="AQ1882" s="128"/>
      <c r="AR1882" s="128"/>
      <c r="AS1882" s="128"/>
      <c r="AT1882" s="128"/>
      <c r="AU1882" s="128"/>
      <c r="AV1882" s="128"/>
      <c r="AW1882" s="128"/>
      <c r="AX1882" s="128"/>
      <c r="AY1882" s="128"/>
      <c r="AZ1882" s="128"/>
      <c r="BA1882" s="128"/>
      <c r="BB1882" s="128"/>
      <c r="BC1882" s="128"/>
      <c r="BD1882" s="128"/>
      <c r="BE1882" s="128"/>
      <c r="BF1882" s="128"/>
      <c r="BG1882" s="128"/>
      <c r="BH1882" s="128"/>
      <c r="BI1882" s="128"/>
      <c r="BJ1882" s="128"/>
      <c r="BK1882" s="128"/>
      <c r="BL1882" s="128"/>
      <c r="BM1882" s="151"/>
      <c r="BN1882" s="128"/>
      <c r="BO1882" s="128"/>
      <c r="BP1882" s="128"/>
      <c r="BQ1882" s="128"/>
      <c r="BR1882" s="128"/>
      <c r="BS1882" s="128"/>
      <c r="BT1882" s="128"/>
      <c r="BU1882" s="128"/>
      <c r="BV1882" s="128"/>
      <c r="BW1882" s="128"/>
      <c r="BX1882" s="128"/>
      <c r="BY1882" s="128"/>
      <c r="BZ1882" s="128"/>
      <c r="CA1882" s="128"/>
      <c r="CB1882" s="128"/>
      <c r="CC1882" s="128"/>
      <c r="CD1882" s="128"/>
      <c r="CE1882" s="128"/>
      <c r="CF1882" s="128"/>
      <c r="CG1882" s="128"/>
      <c r="CI1882" s="128"/>
      <c r="CJ1882" s="128"/>
      <c r="CK1882" s="128"/>
      <c r="CL1882" s="128"/>
      <c r="CM1882" s="128"/>
      <c r="CN1882" s="128"/>
      <c r="CO1882" s="128"/>
      <c r="CP1882" s="128"/>
      <c r="CQ1882" s="128"/>
      <c r="CR1882" s="128"/>
      <c r="CS1882" s="128"/>
      <c r="CT1882" s="128"/>
      <c r="CU1882" s="128"/>
      <c r="CV1882" s="128"/>
      <c r="CW1882" s="128"/>
      <c r="CX1882" s="128"/>
      <c r="CY1882" s="128"/>
      <c r="CZ1882" s="165"/>
    </row>
    <row r="1883" spans="1:104">
      <c r="A1883" s="149"/>
      <c r="B1883" s="149"/>
      <c r="C1883" s="150"/>
      <c r="D1883" s="102"/>
      <c r="E1883" s="149"/>
      <c r="F1883" s="149"/>
      <c r="G1883" s="149"/>
      <c r="H1883" s="149"/>
      <c r="I1883" s="149"/>
      <c r="J1883" s="149"/>
      <c r="K1883" s="149"/>
      <c r="L1883" s="149"/>
      <c r="M1883" s="149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9"/>
      <c r="AA1883" s="149"/>
      <c r="AB1883" s="149"/>
      <c r="AC1883" s="149"/>
      <c r="AD1883" s="149"/>
      <c r="AE1883" s="149"/>
      <c r="AF1883" s="149"/>
      <c r="AG1883" s="149"/>
      <c r="AH1883" s="149"/>
      <c r="AI1883" s="149"/>
      <c r="AJ1883" s="149"/>
      <c r="AK1883" s="149"/>
      <c r="AL1883" s="149"/>
      <c r="AM1883" s="149"/>
      <c r="AN1883" s="149"/>
      <c r="AO1883" s="128"/>
      <c r="AP1883" s="128"/>
      <c r="AQ1883" s="128"/>
      <c r="AR1883" s="128"/>
      <c r="AS1883" s="128"/>
      <c r="AT1883" s="128"/>
      <c r="AU1883" s="128"/>
      <c r="AV1883" s="128"/>
      <c r="AW1883" s="128"/>
      <c r="AX1883" s="128"/>
      <c r="AY1883" s="128"/>
      <c r="AZ1883" s="128"/>
      <c r="BA1883" s="128"/>
      <c r="BB1883" s="128"/>
      <c r="BC1883" s="128"/>
      <c r="BD1883" s="128"/>
      <c r="BE1883" s="128"/>
      <c r="BF1883" s="128"/>
      <c r="BG1883" s="128"/>
      <c r="BH1883" s="128"/>
      <c r="BI1883" s="128"/>
      <c r="BJ1883" s="128"/>
      <c r="BK1883" s="128"/>
      <c r="BL1883" s="128"/>
      <c r="BM1883" s="151"/>
      <c r="BN1883" s="128"/>
      <c r="BO1883" s="128"/>
      <c r="BP1883" s="128"/>
      <c r="BQ1883" s="128"/>
      <c r="BR1883" s="128"/>
      <c r="BS1883" s="128"/>
      <c r="BT1883" s="128"/>
      <c r="BU1883" s="128"/>
      <c r="BV1883" s="128"/>
      <c r="BW1883" s="128"/>
      <c r="BX1883" s="128"/>
      <c r="BY1883" s="128"/>
      <c r="BZ1883" s="128"/>
      <c r="CA1883" s="128"/>
      <c r="CB1883" s="128"/>
      <c r="CC1883" s="128"/>
      <c r="CD1883" s="128"/>
      <c r="CE1883" s="128"/>
      <c r="CF1883" s="128"/>
      <c r="CG1883" s="128"/>
      <c r="CI1883" s="128"/>
      <c r="CJ1883" s="128"/>
      <c r="CK1883" s="128"/>
      <c r="CL1883" s="128"/>
      <c r="CM1883" s="128"/>
      <c r="CN1883" s="128"/>
      <c r="CO1883" s="128"/>
      <c r="CP1883" s="128"/>
      <c r="CQ1883" s="128"/>
      <c r="CR1883" s="128"/>
      <c r="CS1883" s="128"/>
      <c r="CT1883" s="128"/>
      <c r="CU1883" s="128"/>
      <c r="CV1883" s="128"/>
      <c r="CW1883" s="128"/>
      <c r="CX1883" s="128"/>
      <c r="CY1883" s="128"/>
      <c r="CZ1883" s="165"/>
    </row>
    <row r="1884" spans="1:104">
      <c r="A1884" s="149"/>
      <c r="B1884" s="149"/>
      <c r="C1884" s="150"/>
      <c r="D1884" s="102"/>
      <c r="E1884" s="149"/>
      <c r="F1884" s="149"/>
      <c r="G1884" s="149"/>
      <c r="H1884" s="149"/>
      <c r="I1884" s="149"/>
      <c r="J1884" s="149"/>
      <c r="K1884" s="149"/>
      <c r="L1884" s="149"/>
      <c r="M1884" s="149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9"/>
      <c r="AA1884" s="149"/>
      <c r="AB1884" s="149"/>
      <c r="AC1884" s="149"/>
      <c r="AD1884" s="149"/>
      <c r="AE1884" s="149"/>
      <c r="AF1884" s="149"/>
      <c r="AG1884" s="149"/>
      <c r="AH1884" s="149"/>
      <c r="AI1884" s="149"/>
      <c r="AJ1884" s="149"/>
      <c r="AK1884" s="149"/>
      <c r="AL1884" s="149"/>
      <c r="AM1884" s="149"/>
      <c r="AN1884" s="149"/>
      <c r="AO1884" s="128"/>
      <c r="AP1884" s="128"/>
      <c r="AQ1884" s="128"/>
      <c r="AR1884" s="128"/>
      <c r="AS1884" s="128"/>
      <c r="AT1884" s="128"/>
      <c r="AU1884" s="128"/>
      <c r="AV1884" s="128"/>
      <c r="AW1884" s="128"/>
      <c r="AX1884" s="128"/>
      <c r="AY1884" s="128"/>
      <c r="AZ1884" s="128"/>
      <c r="BA1884" s="128"/>
      <c r="BB1884" s="128"/>
      <c r="BC1884" s="128"/>
      <c r="BD1884" s="128"/>
      <c r="BE1884" s="128"/>
      <c r="BF1884" s="128"/>
      <c r="BG1884" s="128"/>
      <c r="BH1884" s="128"/>
      <c r="BI1884" s="128"/>
      <c r="BJ1884" s="128"/>
      <c r="BK1884" s="128"/>
      <c r="BL1884" s="128"/>
      <c r="BM1884" s="151"/>
      <c r="BN1884" s="128"/>
      <c r="BO1884" s="128"/>
      <c r="BP1884" s="128"/>
      <c r="BQ1884" s="128"/>
      <c r="BR1884" s="128"/>
      <c r="BS1884" s="128"/>
      <c r="BT1884" s="128"/>
      <c r="BU1884" s="128"/>
      <c r="BV1884" s="128"/>
      <c r="BW1884" s="128"/>
      <c r="BX1884" s="128"/>
      <c r="BY1884" s="128"/>
      <c r="BZ1884" s="128"/>
      <c r="CA1884" s="128"/>
      <c r="CB1884" s="128"/>
      <c r="CC1884" s="128"/>
      <c r="CD1884" s="128"/>
      <c r="CE1884" s="128"/>
      <c r="CF1884" s="128"/>
      <c r="CG1884" s="128"/>
      <c r="CI1884" s="128"/>
      <c r="CJ1884" s="128"/>
      <c r="CK1884" s="128"/>
      <c r="CL1884" s="128"/>
      <c r="CM1884" s="128"/>
      <c r="CN1884" s="128"/>
      <c r="CO1884" s="128"/>
      <c r="CP1884" s="128"/>
      <c r="CQ1884" s="128"/>
      <c r="CR1884" s="128"/>
      <c r="CS1884" s="128"/>
      <c r="CT1884" s="128"/>
      <c r="CU1884" s="128"/>
      <c r="CV1884" s="128"/>
      <c r="CW1884" s="128"/>
      <c r="CX1884" s="128"/>
      <c r="CY1884" s="128"/>
      <c r="CZ1884" s="165"/>
    </row>
    <row r="1885" spans="1:104">
      <c r="A1885" s="149"/>
      <c r="B1885" s="149"/>
      <c r="C1885" s="150"/>
      <c r="D1885" s="102"/>
      <c r="E1885" s="149"/>
      <c r="F1885" s="149"/>
      <c r="G1885" s="149"/>
      <c r="H1885" s="149"/>
      <c r="I1885" s="149"/>
      <c r="J1885" s="149"/>
      <c r="K1885" s="149"/>
      <c r="L1885" s="149"/>
      <c r="M1885" s="149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9"/>
      <c r="AA1885" s="149"/>
      <c r="AB1885" s="149"/>
      <c r="AC1885" s="149"/>
      <c r="AD1885" s="149"/>
      <c r="AE1885" s="149"/>
      <c r="AF1885" s="149"/>
      <c r="AG1885" s="149"/>
      <c r="AH1885" s="149"/>
      <c r="AI1885" s="149"/>
      <c r="AJ1885" s="149"/>
      <c r="AK1885" s="149"/>
      <c r="AL1885" s="149"/>
      <c r="AM1885" s="149"/>
      <c r="AN1885" s="149"/>
      <c r="AO1885" s="128"/>
      <c r="AP1885" s="128"/>
      <c r="AQ1885" s="128"/>
      <c r="AR1885" s="128"/>
      <c r="AS1885" s="128"/>
      <c r="AT1885" s="128"/>
      <c r="AU1885" s="128"/>
      <c r="AV1885" s="128"/>
      <c r="AW1885" s="128"/>
      <c r="AX1885" s="128"/>
      <c r="AY1885" s="128"/>
      <c r="AZ1885" s="128"/>
      <c r="BA1885" s="128"/>
      <c r="BB1885" s="128"/>
      <c r="BC1885" s="128"/>
      <c r="BD1885" s="128"/>
      <c r="BE1885" s="128"/>
      <c r="BF1885" s="128"/>
      <c r="BG1885" s="128"/>
      <c r="BH1885" s="128"/>
      <c r="BI1885" s="128"/>
      <c r="BJ1885" s="128"/>
      <c r="BK1885" s="128"/>
      <c r="BL1885" s="128"/>
      <c r="BM1885" s="151"/>
      <c r="BN1885" s="128"/>
      <c r="BO1885" s="128"/>
      <c r="BP1885" s="128"/>
      <c r="BQ1885" s="128"/>
      <c r="BR1885" s="128"/>
      <c r="BS1885" s="128"/>
      <c r="BT1885" s="128"/>
      <c r="BU1885" s="128"/>
      <c r="BV1885" s="128"/>
      <c r="BW1885" s="128"/>
      <c r="BX1885" s="128"/>
      <c r="BY1885" s="128"/>
      <c r="BZ1885" s="128"/>
      <c r="CA1885" s="128"/>
      <c r="CB1885" s="128"/>
      <c r="CC1885" s="128"/>
      <c r="CD1885" s="128"/>
      <c r="CE1885" s="128"/>
      <c r="CF1885" s="128"/>
      <c r="CG1885" s="128"/>
      <c r="CI1885" s="128"/>
      <c r="CJ1885" s="128"/>
      <c r="CK1885" s="128"/>
      <c r="CL1885" s="128"/>
      <c r="CM1885" s="128"/>
      <c r="CN1885" s="128"/>
      <c r="CO1885" s="128"/>
      <c r="CP1885" s="128"/>
      <c r="CQ1885" s="128"/>
      <c r="CR1885" s="128"/>
      <c r="CS1885" s="128"/>
      <c r="CT1885" s="128"/>
      <c r="CU1885" s="128"/>
      <c r="CV1885" s="128"/>
      <c r="CW1885" s="128"/>
      <c r="CX1885" s="128"/>
      <c r="CY1885" s="128"/>
      <c r="CZ1885" s="165"/>
    </row>
    <row r="1886" spans="1:104">
      <c r="A1886" s="149"/>
      <c r="B1886" s="149"/>
      <c r="C1886" s="150"/>
      <c r="D1886" s="102"/>
      <c r="E1886" s="149"/>
      <c r="F1886" s="149"/>
      <c r="G1886" s="149"/>
      <c r="H1886" s="149"/>
      <c r="I1886" s="149"/>
      <c r="J1886" s="149"/>
      <c r="K1886" s="149"/>
      <c r="L1886" s="149"/>
      <c r="M1886" s="149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9"/>
      <c r="AA1886" s="149"/>
      <c r="AB1886" s="149"/>
      <c r="AC1886" s="149"/>
      <c r="AD1886" s="149"/>
      <c r="AE1886" s="149"/>
      <c r="AF1886" s="149"/>
      <c r="AG1886" s="149"/>
      <c r="AH1886" s="149"/>
      <c r="AI1886" s="149"/>
      <c r="AJ1886" s="149"/>
      <c r="AK1886" s="149"/>
      <c r="AL1886" s="149"/>
      <c r="AM1886" s="149"/>
      <c r="AN1886" s="149"/>
      <c r="AO1886" s="128"/>
      <c r="AP1886" s="128"/>
      <c r="AQ1886" s="128"/>
      <c r="AR1886" s="128"/>
      <c r="AS1886" s="128"/>
      <c r="AT1886" s="128"/>
      <c r="AU1886" s="128"/>
      <c r="AV1886" s="128"/>
      <c r="AW1886" s="128"/>
      <c r="AX1886" s="128"/>
      <c r="AY1886" s="128"/>
      <c r="AZ1886" s="128"/>
      <c r="BA1886" s="128"/>
      <c r="BB1886" s="128"/>
      <c r="BC1886" s="128"/>
      <c r="BD1886" s="128"/>
      <c r="BE1886" s="128"/>
      <c r="BF1886" s="128"/>
      <c r="BG1886" s="128"/>
      <c r="BH1886" s="128"/>
      <c r="BI1886" s="128"/>
      <c r="BJ1886" s="128"/>
      <c r="BK1886" s="128"/>
      <c r="BL1886" s="128"/>
      <c r="BM1886" s="151"/>
      <c r="BN1886" s="128"/>
      <c r="BO1886" s="128"/>
      <c r="BP1886" s="128"/>
      <c r="BQ1886" s="128"/>
      <c r="BR1886" s="128"/>
      <c r="BS1886" s="128"/>
      <c r="BT1886" s="128"/>
      <c r="BU1886" s="128"/>
      <c r="BV1886" s="128"/>
      <c r="BW1886" s="128"/>
      <c r="BX1886" s="128"/>
      <c r="BY1886" s="128"/>
      <c r="BZ1886" s="128"/>
      <c r="CA1886" s="128"/>
      <c r="CB1886" s="128"/>
      <c r="CC1886" s="128"/>
      <c r="CD1886" s="128"/>
      <c r="CE1886" s="128"/>
      <c r="CF1886" s="128"/>
      <c r="CG1886" s="128"/>
      <c r="CI1886" s="128"/>
      <c r="CJ1886" s="128"/>
      <c r="CK1886" s="128"/>
      <c r="CL1886" s="128"/>
      <c r="CM1886" s="128"/>
      <c r="CN1886" s="128"/>
      <c r="CO1886" s="128"/>
      <c r="CP1886" s="128"/>
      <c r="CQ1886" s="128"/>
      <c r="CR1886" s="128"/>
      <c r="CS1886" s="128"/>
      <c r="CT1886" s="128"/>
      <c r="CU1886" s="128"/>
      <c r="CV1886" s="128"/>
      <c r="CW1886" s="128"/>
      <c r="CX1886" s="128"/>
      <c r="CY1886" s="128"/>
      <c r="CZ1886" s="165"/>
    </row>
    <row r="1887" spans="1:104">
      <c r="A1887" s="149"/>
      <c r="B1887" s="149"/>
      <c r="C1887" s="150"/>
      <c r="D1887" s="102"/>
      <c r="E1887" s="149"/>
      <c r="F1887" s="149"/>
      <c r="G1887" s="149"/>
      <c r="H1887" s="149"/>
      <c r="I1887" s="149"/>
      <c r="J1887" s="149"/>
      <c r="K1887" s="149"/>
      <c r="L1887" s="149"/>
      <c r="M1887" s="149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9"/>
      <c r="AA1887" s="149"/>
      <c r="AB1887" s="149"/>
      <c r="AC1887" s="149"/>
      <c r="AD1887" s="149"/>
      <c r="AE1887" s="149"/>
      <c r="AF1887" s="149"/>
      <c r="AG1887" s="149"/>
      <c r="AH1887" s="149"/>
      <c r="AI1887" s="149"/>
      <c r="AJ1887" s="149"/>
      <c r="AK1887" s="149"/>
      <c r="AL1887" s="149"/>
      <c r="AM1887" s="149"/>
      <c r="AN1887" s="149"/>
      <c r="AO1887" s="128"/>
      <c r="AP1887" s="128"/>
      <c r="AQ1887" s="128"/>
      <c r="AR1887" s="128"/>
      <c r="AS1887" s="128"/>
      <c r="AT1887" s="128"/>
      <c r="AU1887" s="128"/>
      <c r="AV1887" s="128"/>
      <c r="AW1887" s="128"/>
      <c r="AX1887" s="128"/>
      <c r="AY1887" s="128"/>
      <c r="AZ1887" s="128"/>
      <c r="BA1887" s="128"/>
      <c r="BB1887" s="128"/>
      <c r="BC1887" s="128"/>
      <c r="BD1887" s="128"/>
      <c r="BE1887" s="128"/>
      <c r="BF1887" s="128"/>
      <c r="BG1887" s="128"/>
      <c r="BH1887" s="128"/>
      <c r="BI1887" s="128"/>
      <c r="BJ1887" s="128"/>
      <c r="BK1887" s="128"/>
      <c r="BL1887" s="128"/>
      <c r="BM1887" s="151"/>
      <c r="BN1887" s="128"/>
      <c r="BO1887" s="128"/>
      <c r="BP1887" s="128"/>
      <c r="BQ1887" s="128"/>
      <c r="BR1887" s="128"/>
      <c r="BS1887" s="128"/>
      <c r="BT1887" s="128"/>
      <c r="BU1887" s="128"/>
      <c r="BV1887" s="128"/>
      <c r="BW1887" s="128"/>
      <c r="BX1887" s="128"/>
      <c r="BY1887" s="128"/>
      <c r="BZ1887" s="128"/>
      <c r="CA1887" s="128"/>
      <c r="CB1887" s="128"/>
      <c r="CC1887" s="128"/>
      <c r="CD1887" s="128"/>
      <c r="CE1887" s="128"/>
      <c r="CF1887" s="128"/>
      <c r="CG1887" s="128"/>
      <c r="CI1887" s="128"/>
      <c r="CJ1887" s="128"/>
      <c r="CK1887" s="128"/>
      <c r="CL1887" s="128"/>
      <c r="CM1887" s="128"/>
      <c r="CN1887" s="128"/>
      <c r="CO1887" s="128"/>
      <c r="CP1887" s="128"/>
      <c r="CQ1887" s="128"/>
      <c r="CR1887" s="128"/>
      <c r="CS1887" s="128"/>
      <c r="CT1887" s="128"/>
      <c r="CU1887" s="128"/>
      <c r="CV1887" s="128"/>
      <c r="CW1887" s="128"/>
      <c r="CX1887" s="128"/>
      <c r="CY1887" s="128"/>
      <c r="CZ1887" s="165"/>
    </row>
    <row r="1888" spans="1:104">
      <c r="A1888" s="149"/>
      <c r="B1888" s="149"/>
      <c r="C1888" s="150"/>
      <c r="D1888" s="102"/>
      <c r="E1888" s="149"/>
      <c r="F1888" s="149"/>
      <c r="G1888" s="149"/>
      <c r="H1888" s="149"/>
      <c r="I1888" s="149"/>
      <c r="J1888" s="149"/>
      <c r="K1888" s="149"/>
      <c r="L1888" s="149"/>
      <c r="M1888" s="149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9"/>
      <c r="AA1888" s="149"/>
      <c r="AB1888" s="149"/>
      <c r="AC1888" s="149"/>
      <c r="AD1888" s="149"/>
      <c r="AE1888" s="149"/>
      <c r="AF1888" s="149"/>
      <c r="AG1888" s="149"/>
      <c r="AH1888" s="149"/>
      <c r="AI1888" s="149"/>
      <c r="AJ1888" s="149"/>
      <c r="AK1888" s="149"/>
      <c r="AL1888" s="149"/>
      <c r="AM1888" s="149"/>
      <c r="AN1888" s="149"/>
      <c r="AO1888" s="128"/>
      <c r="AP1888" s="128"/>
      <c r="AQ1888" s="128"/>
      <c r="AR1888" s="128"/>
      <c r="AS1888" s="128"/>
      <c r="AT1888" s="128"/>
      <c r="AU1888" s="128"/>
      <c r="AV1888" s="128"/>
      <c r="AW1888" s="128"/>
      <c r="AX1888" s="128"/>
      <c r="AY1888" s="128"/>
      <c r="AZ1888" s="128"/>
      <c r="BA1888" s="128"/>
      <c r="BB1888" s="128"/>
      <c r="BC1888" s="128"/>
      <c r="BD1888" s="128"/>
      <c r="BE1888" s="128"/>
      <c r="BF1888" s="128"/>
      <c r="BG1888" s="128"/>
      <c r="BH1888" s="128"/>
      <c r="BI1888" s="128"/>
      <c r="BJ1888" s="128"/>
      <c r="BK1888" s="128"/>
      <c r="BL1888" s="128"/>
      <c r="BM1888" s="151"/>
      <c r="BN1888" s="128"/>
      <c r="BO1888" s="128"/>
      <c r="BP1888" s="128"/>
      <c r="BQ1888" s="128"/>
      <c r="BR1888" s="128"/>
      <c r="BS1888" s="128"/>
      <c r="BT1888" s="128"/>
      <c r="BU1888" s="128"/>
      <c r="BV1888" s="128"/>
      <c r="BW1888" s="128"/>
      <c r="BX1888" s="128"/>
      <c r="BY1888" s="128"/>
      <c r="BZ1888" s="128"/>
      <c r="CA1888" s="128"/>
      <c r="CB1888" s="128"/>
      <c r="CC1888" s="128"/>
      <c r="CD1888" s="128"/>
      <c r="CE1888" s="128"/>
      <c r="CF1888" s="128"/>
      <c r="CG1888" s="128"/>
      <c r="CI1888" s="128"/>
      <c r="CJ1888" s="128"/>
      <c r="CK1888" s="128"/>
      <c r="CL1888" s="128"/>
      <c r="CM1888" s="128"/>
      <c r="CN1888" s="128"/>
      <c r="CO1888" s="128"/>
      <c r="CP1888" s="128"/>
      <c r="CQ1888" s="128"/>
      <c r="CR1888" s="128"/>
      <c r="CS1888" s="128"/>
      <c r="CT1888" s="128"/>
      <c r="CU1888" s="128"/>
      <c r="CV1888" s="128"/>
      <c r="CW1888" s="128"/>
      <c r="CX1888" s="128"/>
      <c r="CY1888" s="128"/>
      <c r="CZ1888" s="165"/>
    </row>
    <row r="1889" spans="1:104">
      <c r="A1889" s="149"/>
      <c r="B1889" s="149"/>
      <c r="C1889" s="150"/>
      <c r="D1889" s="102"/>
      <c r="E1889" s="149"/>
      <c r="F1889" s="149"/>
      <c r="G1889" s="149"/>
      <c r="H1889" s="149"/>
      <c r="I1889" s="149"/>
      <c r="J1889" s="149"/>
      <c r="K1889" s="149"/>
      <c r="L1889" s="149"/>
      <c r="M1889" s="149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9"/>
      <c r="AA1889" s="149"/>
      <c r="AB1889" s="149"/>
      <c r="AC1889" s="149"/>
      <c r="AD1889" s="149"/>
      <c r="AE1889" s="149"/>
      <c r="AF1889" s="149"/>
      <c r="AG1889" s="149"/>
      <c r="AH1889" s="149"/>
      <c r="AI1889" s="149"/>
      <c r="AJ1889" s="149"/>
      <c r="AK1889" s="149"/>
      <c r="AL1889" s="149"/>
      <c r="AM1889" s="149"/>
      <c r="AN1889" s="149"/>
      <c r="AO1889" s="128"/>
      <c r="AP1889" s="128"/>
      <c r="AQ1889" s="128"/>
      <c r="AR1889" s="128"/>
      <c r="AS1889" s="128"/>
      <c r="AT1889" s="128"/>
      <c r="AU1889" s="128"/>
      <c r="AV1889" s="128"/>
      <c r="AW1889" s="128"/>
      <c r="AX1889" s="128"/>
      <c r="AY1889" s="128"/>
      <c r="AZ1889" s="128"/>
      <c r="BA1889" s="128"/>
      <c r="BB1889" s="128"/>
      <c r="BC1889" s="128"/>
      <c r="BD1889" s="128"/>
      <c r="BE1889" s="128"/>
      <c r="BF1889" s="128"/>
      <c r="BG1889" s="128"/>
      <c r="BH1889" s="128"/>
      <c r="BI1889" s="128"/>
      <c r="BJ1889" s="128"/>
      <c r="BK1889" s="128"/>
      <c r="BL1889" s="128"/>
      <c r="BM1889" s="151"/>
      <c r="BN1889" s="128"/>
      <c r="BO1889" s="128"/>
      <c r="BP1889" s="128"/>
      <c r="BQ1889" s="128"/>
      <c r="BR1889" s="128"/>
      <c r="BS1889" s="128"/>
      <c r="BT1889" s="128"/>
      <c r="BU1889" s="128"/>
      <c r="BV1889" s="128"/>
      <c r="BW1889" s="128"/>
      <c r="BX1889" s="128"/>
      <c r="BY1889" s="128"/>
      <c r="BZ1889" s="128"/>
      <c r="CA1889" s="128"/>
      <c r="CB1889" s="128"/>
      <c r="CC1889" s="128"/>
      <c r="CD1889" s="128"/>
      <c r="CE1889" s="128"/>
      <c r="CF1889" s="128"/>
      <c r="CG1889" s="128"/>
      <c r="CI1889" s="128"/>
      <c r="CJ1889" s="128"/>
      <c r="CK1889" s="128"/>
      <c r="CL1889" s="128"/>
      <c r="CM1889" s="128"/>
      <c r="CN1889" s="128"/>
      <c r="CO1889" s="128"/>
      <c r="CP1889" s="128"/>
      <c r="CQ1889" s="128"/>
      <c r="CR1889" s="128"/>
      <c r="CS1889" s="128"/>
      <c r="CT1889" s="128"/>
      <c r="CU1889" s="128"/>
      <c r="CV1889" s="128"/>
      <c r="CW1889" s="128"/>
      <c r="CX1889" s="128"/>
      <c r="CY1889" s="128"/>
      <c r="CZ1889" s="165"/>
    </row>
    <row r="1890" spans="1:104">
      <c r="A1890" s="149"/>
      <c r="B1890" s="149"/>
      <c r="C1890" s="150"/>
      <c r="D1890" s="102"/>
      <c r="E1890" s="149"/>
      <c r="F1890" s="149"/>
      <c r="G1890" s="149"/>
      <c r="H1890" s="149"/>
      <c r="I1890" s="149"/>
      <c r="J1890" s="149"/>
      <c r="K1890" s="149"/>
      <c r="L1890" s="149"/>
      <c r="M1890" s="149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9"/>
      <c r="AA1890" s="149"/>
      <c r="AB1890" s="149"/>
      <c r="AC1890" s="149"/>
      <c r="AD1890" s="149"/>
      <c r="AE1890" s="149"/>
      <c r="AF1890" s="149"/>
      <c r="AG1890" s="149"/>
      <c r="AH1890" s="149"/>
      <c r="AI1890" s="149"/>
      <c r="AJ1890" s="149"/>
      <c r="AK1890" s="149"/>
      <c r="AL1890" s="149"/>
      <c r="AM1890" s="149"/>
      <c r="AN1890" s="149"/>
      <c r="AO1890" s="128"/>
      <c r="AP1890" s="128"/>
      <c r="AQ1890" s="128"/>
      <c r="AR1890" s="128"/>
      <c r="AS1890" s="128"/>
      <c r="AT1890" s="128"/>
      <c r="AU1890" s="128"/>
      <c r="AV1890" s="128"/>
      <c r="AW1890" s="128"/>
      <c r="AX1890" s="128"/>
      <c r="AY1890" s="128"/>
      <c r="AZ1890" s="128"/>
      <c r="BA1890" s="128"/>
      <c r="BB1890" s="128"/>
      <c r="BC1890" s="128"/>
      <c r="BD1890" s="128"/>
      <c r="BE1890" s="128"/>
      <c r="BF1890" s="128"/>
      <c r="BG1890" s="128"/>
      <c r="BH1890" s="128"/>
      <c r="BI1890" s="128"/>
      <c r="BJ1890" s="128"/>
      <c r="BK1890" s="128"/>
      <c r="BL1890" s="128"/>
      <c r="BM1890" s="151"/>
      <c r="BN1890" s="128"/>
      <c r="BO1890" s="128"/>
      <c r="BP1890" s="128"/>
      <c r="BQ1890" s="128"/>
      <c r="BR1890" s="128"/>
      <c r="BS1890" s="128"/>
      <c r="BT1890" s="128"/>
      <c r="BU1890" s="128"/>
      <c r="BV1890" s="128"/>
      <c r="BW1890" s="128"/>
      <c r="BX1890" s="128"/>
      <c r="BY1890" s="128"/>
      <c r="BZ1890" s="128"/>
      <c r="CA1890" s="128"/>
      <c r="CB1890" s="128"/>
      <c r="CC1890" s="128"/>
      <c r="CD1890" s="128"/>
      <c r="CE1890" s="128"/>
      <c r="CF1890" s="128"/>
      <c r="CG1890" s="128"/>
      <c r="CI1890" s="128"/>
      <c r="CJ1890" s="128"/>
      <c r="CK1890" s="128"/>
      <c r="CL1890" s="128"/>
      <c r="CM1890" s="128"/>
      <c r="CN1890" s="128"/>
      <c r="CO1890" s="128"/>
      <c r="CP1890" s="128"/>
      <c r="CQ1890" s="128"/>
      <c r="CR1890" s="128"/>
      <c r="CS1890" s="128"/>
      <c r="CT1890" s="128"/>
      <c r="CU1890" s="128"/>
      <c r="CV1890" s="128"/>
      <c r="CW1890" s="128"/>
      <c r="CX1890" s="128"/>
      <c r="CY1890" s="128"/>
      <c r="CZ1890" s="165"/>
    </row>
    <row r="1891" spans="1:104">
      <c r="A1891" s="149"/>
      <c r="B1891" s="149"/>
      <c r="C1891" s="150"/>
      <c r="D1891" s="102"/>
      <c r="E1891" s="149"/>
      <c r="F1891" s="149"/>
      <c r="G1891" s="149"/>
      <c r="H1891" s="149"/>
      <c r="I1891" s="149"/>
      <c r="J1891" s="149"/>
      <c r="K1891" s="149"/>
      <c r="L1891" s="149"/>
      <c r="M1891" s="149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9"/>
      <c r="AA1891" s="149"/>
      <c r="AB1891" s="149"/>
      <c r="AC1891" s="149"/>
      <c r="AD1891" s="149"/>
      <c r="AE1891" s="149"/>
      <c r="AF1891" s="149"/>
      <c r="AG1891" s="149"/>
      <c r="AH1891" s="149"/>
      <c r="AI1891" s="149"/>
      <c r="AJ1891" s="149"/>
      <c r="AK1891" s="149"/>
      <c r="AL1891" s="149"/>
      <c r="AM1891" s="149"/>
      <c r="AN1891" s="149"/>
      <c r="AO1891" s="128"/>
      <c r="AP1891" s="128"/>
      <c r="AQ1891" s="128"/>
      <c r="AR1891" s="128"/>
      <c r="AS1891" s="128"/>
      <c r="AT1891" s="128"/>
      <c r="AU1891" s="128"/>
      <c r="AV1891" s="128"/>
      <c r="AW1891" s="128"/>
      <c r="AX1891" s="128"/>
      <c r="AY1891" s="128"/>
      <c r="AZ1891" s="128"/>
      <c r="BA1891" s="128"/>
      <c r="BB1891" s="128"/>
      <c r="BC1891" s="128"/>
      <c r="BD1891" s="128"/>
      <c r="BE1891" s="128"/>
      <c r="BF1891" s="128"/>
      <c r="BG1891" s="128"/>
      <c r="BH1891" s="128"/>
      <c r="BI1891" s="128"/>
      <c r="BJ1891" s="128"/>
      <c r="BK1891" s="128"/>
      <c r="BL1891" s="128"/>
      <c r="BM1891" s="151"/>
      <c r="BN1891" s="128"/>
      <c r="BO1891" s="128"/>
      <c r="BP1891" s="128"/>
      <c r="BQ1891" s="128"/>
      <c r="BR1891" s="128"/>
      <c r="BS1891" s="128"/>
      <c r="BT1891" s="128"/>
      <c r="BU1891" s="128"/>
      <c r="BV1891" s="128"/>
      <c r="BW1891" s="128"/>
      <c r="BX1891" s="128"/>
      <c r="BY1891" s="128"/>
      <c r="BZ1891" s="128"/>
      <c r="CA1891" s="128"/>
      <c r="CB1891" s="128"/>
      <c r="CC1891" s="128"/>
      <c r="CD1891" s="128"/>
      <c r="CE1891" s="128"/>
      <c r="CF1891" s="128"/>
      <c r="CG1891" s="128"/>
      <c r="CI1891" s="128"/>
      <c r="CJ1891" s="128"/>
      <c r="CK1891" s="128"/>
      <c r="CL1891" s="128"/>
      <c r="CM1891" s="128"/>
      <c r="CN1891" s="128"/>
      <c r="CO1891" s="128"/>
      <c r="CP1891" s="128"/>
      <c r="CQ1891" s="128"/>
      <c r="CR1891" s="128"/>
      <c r="CS1891" s="128"/>
      <c r="CT1891" s="128"/>
      <c r="CU1891" s="128"/>
      <c r="CV1891" s="128"/>
      <c r="CW1891" s="128"/>
      <c r="CX1891" s="128"/>
      <c r="CY1891" s="128"/>
      <c r="CZ1891" s="165"/>
    </row>
    <row r="1892" spans="1:104">
      <c r="A1892" s="149"/>
      <c r="B1892" s="149"/>
      <c r="C1892" s="150"/>
      <c r="D1892" s="102"/>
      <c r="E1892" s="149"/>
      <c r="F1892" s="149"/>
      <c r="G1892" s="149"/>
      <c r="H1892" s="149"/>
      <c r="I1892" s="149"/>
      <c r="J1892" s="149"/>
      <c r="K1892" s="149"/>
      <c r="L1892" s="149"/>
      <c r="M1892" s="149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9"/>
      <c r="AA1892" s="149"/>
      <c r="AB1892" s="149"/>
      <c r="AC1892" s="149"/>
      <c r="AD1892" s="149"/>
      <c r="AE1892" s="149"/>
      <c r="AF1892" s="149"/>
      <c r="AG1892" s="149"/>
      <c r="AH1892" s="149"/>
      <c r="AI1892" s="149"/>
      <c r="AJ1892" s="149"/>
      <c r="AK1892" s="149"/>
      <c r="AL1892" s="149"/>
      <c r="AM1892" s="149"/>
      <c r="AN1892" s="149"/>
      <c r="AO1892" s="128"/>
      <c r="AP1892" s="128"/>
      <c r="AQ1892" s="128"/>
      <c r="AR1892" s="128"/>
      <c r="AS1892" s="128"/>
      <c r="AT1892" s="128"/>
      <c r="AU1892" s="128"/>
      <c r="AV1892" s="128"/>
      <c r="AW1892" s="128"/>
      <c r="AX1892" s="128"/>
      <c r="AY1892" s="128"/>
      <c r="AZ1892" s="128"/>
      <c r="BA1892" s="128"/>
      <c r="BB1892" s="128"/>
      <c r="BC1892" s="128"/>
      <c r="BD1892" s="128"/>
      <c r="BE1892" s="128"/>
      <c r="BF1892" s="128"/>
      <c r="BG1892" s="128"/>
      <c r="BH1892" s="128"/>
      <c r="BI1892" s="128"/>
      <c r="BJ1892" s="128"/>
      <c r="BK1892" s="128"/>
      <c r="BL1892" s="128"/>
      <c r="BM1892" s="151"/>
      <c r="BN1892" s="128"/>
      <c r="BO1892" s="128"/>
      <c r="BP1892" s="128"/>
      <c r="BQ1892" s="128"/>
      <c r="BR1892" s="128"/>
      <c r="BS1892" s="128"/>
      <c r="BT1892" s="128"/>
      <c r="BU1892" s="128"/>
      <c r="BV1892" s="128"/>
      <c r="BW1892" s="128"/>
      <c r="BX1892" s="128"/>
      <c r="BY1892" s="128"/>
      <c r="BZ1892" s="128"/>
      <c r="CA1892" s="128"/>
      <c r="CB1892" s="128"/>
      <c r="CC1892" s="128"/>
      <c r="CD1892" s="128"/>
      <c r="CE1892" s="128"/>
      <c r="CF1892" s="128"/>
      <c r="CG1892" s="128"/>
      <c r="CI1892" s="128"/>
      <c r="CJ1892" s="128"/>
      <c r="CK1892" s="128"/>
      <c r="CL1892" s="128"/>
      <c r="CM1892" s="128"/>
      <c r="CN1892" s="128"/>
      <c r="CO1892" s="128"/>
      <c r="CP1892" s="128"/>
      <c r="CQ1892" s="128"/>
      <c r="CR1892" s="128"/>
      <c r="CS1892" s="128"/>
      <c r="CT1892" s="128"/>
      <c r="CU1892" s="128"/>
      <c r="CV1892" s="128"/>
      <c r="CW1892" s="128"/>
      <c r="CX1892" s="128"/>
      <c r="CY1892" s="128"/>
      <c r="CZ1892" s="165"/>
    </row>
    <row r="1893" spans="1:104">
      <c r="A1893" s="149"/>
      <c r="B1893" s="149"/>
      <c r="C1893" s="150"/>
      <c r="D1893" s="102"/>
      <c r="E1893" s="149"/>
      <c r="F1893" s="149"/>
      <c r="G1893" s="149"/>
      <c r="H1893" s="149"/>
      <c r="I1893" s="149"/>
      <c r="J1893" s="149"/>
      <c r="K1893" s="149"/>
      <c r="L1893" s="149"/>
      <c r="M1893" s="149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9"/>
      <c r="AA1893" s="149"/>
      <c r="AB1893" s="149"/>
      <c r="AC1893" s="149"/>
      <c r="AD1893" s="149"/>
      <c r="AE1893" s="149"/>
      <c r="AF1893" s="149"/>
      <c r="AG1893" s="149"/>
      <c r="AH1893" s="149"/>
      <c r="AI1893" s="149"/>
      <c r="AJ1893" s="149"/>
      <c r="AK1893" s="149"/>
      <c r="AL1893" s="149"/>
      <c r="AM1893" s="149"/>
      <c r="AN1893" s="149"/>
      <c r="AO1893" s="128"/>
      <c r="AP1893" s="128"/>
      <c r="AQ1893" s="128"/>
      <c r="AR1893" s="128"/>
      <c r="AS1893" s="128"/>
      <c r="AT1893" s="128"/>
      <c r="AU1893" s="128"/>
      <c r="AV1893" s="128"/>
      <c r="AW1893" s="128"/>
      <c r="AX1893" s="128"/>
      <c r="AY1893" s="128"/>
      <c r="AZ1893" s="128"/>
      <c r="BA1893" s="128"/>
      <c r="BB1893" s="128"/>
      <c r="BC1893" s="128"/>
      <c r="BD1893" s="128"/>
      <c r="BE1893" s="128"/>
      <c r="BF1893" s="128"/>
      <c r="BG1893" s="128"/>
      <c r="BH1893" s="128"/>
      <c r="BI1893" s="128"/>
      <c r="BJ1893" s="128"/>
      <c r="BK1893" s="128"/>
      <c r="BL1893" s="128"/>
      <c r="BM1893" s="151"/>
      <c r="BN1893" s="128"/>
      <c r="BO1893" s="128"/>
      <c r="BP1893" s="128"/>
      <c r="BQ1893" s="128"/>
      <c r="BR1893" s="128"/>
      <c r="BS1893" s="128"/>
      <c r="BT1893" s="128"/>
      <c r="BU1893" s="128"/>
      <c r="BV1893" s="128"/>
      <c r="BW1893" s="128"/>
      <c r="BX1893" s="128"/>
      <c r="BY1893" s="128"/>
      <c r="BZ1893" s="128"/>
      <c r="CA1893" s="128"/>
      <c r="CB1893" s="128"/>
      <c r="CC1893" s="128"/>
      <c r="CD1893" s="128"/>
      <c r="CE1893" s="128"/>
      <c r="CF1893" s="128"/>
      <c r="CG1893" s="128"/>
      <c r="CI1893" s="128"/>
      <c r="CJ1893" s="128"/>
      <c r="CK1893" s="128"/>
      <c r="CL1893" s="128"/>
      <c r="CM1893" s="128"/>
      <c r="CN1893" s="128"/>
      <c r="CO1893" s="128"/>
      <c r="CP1893" s="128"/>
      <c r="CQ1893" s="128"/>
      <c r="CR1893" s="128"/>
      <c r="CS1893" s="128"/>
      <c r="CT1893" s="128"/>
      <c r="CU1893" s="128"/>
      <c r="CV1893" s="128"/>
      <c r="CW1893" s="128"/>
      <c r="CX1893" s="128"/>
      <c r="CY1893" s="128"/>
      <c r="CZ1893" s="165"/>
    </row>
    <row r="1894" spans="1:104">
      <c r="A1894" s="149"/>
      <c r="B1894" s="149"/>
      <c r="C1894" s="150"/>
      <c r="D1894" s="102"/>
      <c r="E1894" s="149"/>
      <c r="F1894" s="149"/>
      <c r="G1894" s="149"/>
      <c r="H1894" s="149"/>
      <c r="I1894" s="149"/>
      <c r="J1894" s="149"/>
      <c r="K1894" s="149"/>
      <c r="L1894" s="149"/>
      <c r="M1894" s="149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9"/>
      <c r="AA1894" s="149"/>
      <c r="AB1894" s="149"/>
      <c r="AC1894" s="149"/>
      <c r="AD1894" s="149"/>
      <c r="AE1894" s="149"/>
      <c r="AF1894" s="149"/>
      <c r="AG1894" s="149"/>
      <c r="AH1894" s="149"/>
      <c r="AI1894" s="149"/>
      <c r="AJ1894" s="149"/>
      <c r="AK1894" s="149"/>
      <c r="AL1894" s="149"/>
      <c r="AM1894" s="149"/>
      <c r="AN1894" s="149"/>
      <c r="AO1894" s="128"/>
      <c r="AP1894" s="128"/>
      <c r="AQ1894" s="128"/>
      <c r="AR1894" s="128"/>
      <c r="AS1894" s="128"/>
      <c r="AT1894" s="128"/>
      <c r="AU1894" s="128"/>
      <c r="AV1894" s="128"/>
      <c r="AW1894" s="128"/>
      <c r="AX1894" s="128"/>
      <c r="AY1894" s="128"/>
      <c r="AZ1894" s="128"/>
      <c r="BA1894" s="128"/>
      <c r="BB1894" s="128"/>
      <c r="BC1894" s="128"/>
      <c r="BD1894" s="128"/>
      <c r="BE1894" s="128"/>
      <c r="BF1894" s="128"/>
      <c r="BG1894" s="128"/>
      <c r="BH1894" s="128"/>
      <c r="BI1894" s="128"/>
      <c r="BJ1894" s="128"/>
      <c r="BK1894" s="128"/>
      <c r="BL1894" s="128"/>
      <c r="BM1894" s="151"/>
      <c r="BN1894" s="128"/>
      <c r="BO1894" s="128"/>
      <c r="BP1894" s="128"/>
      <c r="BQ1894" s="128"/>
      <c r="BR1894" s="128"/>
      <c r="BS1894" s="128"/>
      <c r="BT1894" s="128"/>
      <c r="BU1894" s="128"/>
      <c r="BV1894" s="128"/>
      <c r="BW1894" s="128"/>
      <c r="BX1894" s="128"/>
      <c r="BY1894" s="128"/>
      <c r="BZ1894" s="128"/>
      <c r="CA1894" s="128"/>
      <c r="CB1894" s="128"/>
      <c r="CC1894" s="128"/>
      <c r="CD1894" s="128"/>
      <c r="CE1894" s="128"/>
      <c r="CF1894" s="128"/>
      <c r="CG1894" s="128"/>
      <c r="CI1894" s="128"/>
      <c r="CJ1894" s="128"/>
      <c r="CK1894" s="128"/>
      <c r="CL1894" s="128"/>
      <c r="CM1894" s="128"/>
      <c r="CN1894" s="128"/>
      <c r="CO1894" s="128"/>
      <c r="CP1894" s="128"/>
      <c r="CQ1894" s="128"/>
      <c r="CR1894" s="128"/>
      <c r="CS1894" s="128"/>
      <c r="CT1894" s="128"/>
      <c r="CU1894" s="128"/>
      <c r="CV1894" s="128"/>
      <c r="CW1894" s="128"/>
      <c r="CX1894" s="128"/>
      <c r="CY1894" s="128"/>
      <c r="CZ1894" s="165"/>
    </row>
    <row r="1895" spans="1:104">
      <c r="A1895" s="149"/>
      <c r="B1895" s="149"/>
      <c r="C1895" s="150"/>
      <c r="D1895" s="102"/>
      <c r="E1895" s="149"/>
      <c r="F1895" s="149"/>
      <c r="G1895" s="149"/>
      <c r="H1895" s="149"/>
      <c r="I1895" s="149"/>
      <c r="J1895" s="149"/>
      <c r="K1895" s="149"/>
      <c r="L1895" s="149"/>
      <c r="M1895" s="149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9"/>
      <c r="AA1895" s="149"/>
      <c r="AB1895" s="149"/>
      <c r="AC1895" s="149"/>
      <c r="AD1895" s="149"/>
      <c r="AE1895" s="149"/>
      <c r="AF1895" s="149"/>
      <c r="AG1895" s="149"/>
      <c r="AH1895" s="149"/>
      <c r="AI1895" s="149"/>
      <c r="AJ1895" s="149"/>
      <c r="AK1895" s="149"/>
      <c r="AL1895" s="149"/>
      <c r="AM1895" s="149"/>
      <c r="AN1895" s="149"/>
      <c r="AO1895" s="128"/>
      <c r="AP1895" s="128"/>
      <c r="AQ1895" s="128"/>
      <c r="AR1895" s="128"/>
      <c r="AS1895" s="128"/>
      <c r="AT1895" s="128"/>
      <c r="AU1895" s="128"/>
      <c r="AV1895" s="128"/>
      <c r="AW1895" s="128"/>
      <c r="AX1895" s="128"/>
      <c r="AY1895" s="128"/>
      <c r="AZ1895" s="128"/>
      <c r="BA1895" s="128"/>
      <c r="BB1895" s="128"/>
      <c r="BC1895" s="128"/>
      <c r="BD1895" s="128"/>
      <c r="BE1895" s="128"/>
      <c r="BF1895" s="128"/>
      <c r="BG1895" s="128"/>
      <c r="BH1895" s="128"/>
      <c r="BI1895" s="128"/>
      <c r="BJ1895" s="128"/>
      <c r="BK1895" s="128"/>
      <c r="BL1895" s="128"/>
      <c r="BM1895" s="151"/>
      <c r="BN1895" s="128"/>
      <c r="BO1895" s="128"/>
      <c r="BP1895" s="128"/>
      <c r="BQ1895" s="128"/>
      <c r="BR1895" s="128"/>
      <c r="BS1895" s="128"/>
      <c r="BT1895" s="128"/>
      <c r="BU1895" s="128"/>
      <c r="BV1895" s="128"/>
      <c r="BW1895" s="128"/>
      <c r="BX1895" s="128"/>
      <c r="BY1895" s="128"/>
      <c r="BZ1895" s="128"/>
      <c r="CA1895" s="128"/>
      <c r="CB1895" s="128"/>
      <c r="CC1895" s="128"/>
      <c r="CD1895" s="128"/>
      <c r="CE1895" s="128"/>
      <c r="CF1895" s="128"/>
      <c r="CG1895" s="128"/>
      <c r="CI1895" s="128"/>
      <c r="CJ1895" s="128"/>
      <c r="CK1895" s="128"/>
      <c r="CL1895" s="128"/>
      <c r="CM1895" s="128"/>
      <c r="CN1895" s="128"/>
      <c r="CO1895" s="128"/>
      <c r="CP1895" s="128"/>
      <c r="CQ1895" s="128"/>
      <c r="CR1895" s="128"/>
      <c r="CS1895" s="128"/>
      <c r="CT1895" s="128"/>
      <c r="CU1895" s="128"/>
      <c r="CV1895" s="128"/>
      <c r="CW1895" s="128"/>
      <c r="CX1895" s="128"/>
      <c r="CY1895" s="128"/>
      <c r="CZ1895" s="165"/>
    </row>
    <row r="1896" spans="1:104">
      <c r="A1896" s="149"/>
      <c r="B1896" s="149"/>
      <c r="C1896" s="150"/>
      <c r="D1896" s="102"/>
      <c r="E1896" s="149"/>
      <c r="F1896" s="149"/>
      <c r="G1896" s="149"/>
      <c r="H1896" s="149"/>
      <c r="I1896" s="149"/>
      <c r="J1896" s="149"/>
      <c r="K1896" s="149"/>
      <c r="L1896" s="149"/>
      <c r="M1896" s="149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9"/>
      <c r="AA1896" s="149"/>
      <c r="AB1896" s="149"/>
      <c r="AC1896" s="149"/>
      <c r="AD1896" s="149"/>
      <c r="AE1896" s="149"/>
      <c r="AF1896" s="149"/>
      <c r="AG1896" s="149"/>
      <c r="AH1896" s="149"/>
      <c r="AI1896" s="149"/>
      <c r="AJ1896" s="149"/>
      <c r="AK1896" s="149"/>
      <c r="AL1896" s="149"/>
      <c r="AM1896" s="149"/>
      <c r="AN1896" s="149"/>
      <c r="AO1896" s="128"/>
      <c r="AP1896" s="128"/>
      <c r="AQ1896" s="128"/>
      <c r="AR1896" s="128"/>
      <c r="AS1896" s="128"/>
      <c r="AT1896" s="128"/>
      <c r="AU1896" s="128"/>
      <c r="AV1896" s="128"/>
      <c r="AW1896" s="128"/>
      <c r="AX1896" s="128"/>
      <c r="AY1896" s="128"/>
      <c r="AZ1896" s="128"/>
      <c r="BA1896" s="128"/>
      <c r="BB1896" s="128"/>
      <c r="BC1896" s="128"/>
      <c r="BD1896" s="128"/>
      <c r="BE1896" s="128"/>
      <c r="BF1896" s="128"/>
      <c r="BG1896" s="128"/>
      <c r="BH1896" s="128"/>
      <c r="BI1896" s="128"/>
      <c r="BJ1896" s="128"/>
      <c r="BK1896" s="128"/>
      <c r="BL1896" s="128"/>
      <c r="BM1896" s="151"/>
      <c r="BN1896" s="128"/>
      <c r="BO1896" s="128"/>
      <c r="BP1896" s="128"/>
      <c r="BQ1896" s="128"/>
      <c r="BR1896" s="128"/>
      <c r="BS1896" s="128"/>
      <c r="BT1896" s="128"/>
      <c r="BU1896" s="128"/>
      <c r="BV1896" s="128"/>
      <c r="BW1896" s="128"/>
      <c r="BX1896" s="128"/>
      <c r="BY1896" s="128"/>
      <c r="BZ1896" s="128"/>
      <c r="CA1896" s="128"/>
      <c r="CB1896" s="128"/>
      <c r="CC1896" s="128"/>
      <c r="CD1896" s="128"/>
      <c r="CE1896" s="128"/>
      <c r="CF1896" s="128"/>
      <c r="CG1896" s="128"/>
      <c r="CI1896" s="128"/>
      <c r="CJ1896" s="128"/>
      <c r="CK1896" s="128"/>
      <c r="CL1896" s="128"/>
      <c r="CM1896" s="128"/>
      <c r="CN1896" s="128"/>
      <c r="CO1896" s="128"/>
      <c r="CP1896" s="128"/>
      <c r="CQ1896" s="128"/>
      <c r="CR1896" s="128"/>
      <c r="CS1896" s="128"/>
      <c r="CT1896" s="128"/>
      <c r="CU1896" s="128"/>
      <c r="CV1896" s="128"/>
      <c r="CW1896" s="128"/>
      <c r="CX1896" s="128"/>
      <c r="CY1896" s="128"/>
      <c r="CZ1896" s="165"/>
    </row>
    <row r="1897" spans="1:104">
      <c r="A1897" s="149"/>
      <c r="B1897" s="149"/>
      <c r="C1897" s="150"/>
      <c r="D1897" s="102"/>
      <c r="E1897" s="149"/>
      <c r="F1897" s="149"/>
      <c r="G1897" s="149"/>
      <c r="H1897" s="149"/>
      <c r="I1897" s="149"/>
      <c r="J1897" s="149"/>
      <c r="K1897" s="149"/>
      <c r="L1897" s="149"/>
      <c r="M1897" s="149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9"/>
      <c r="AA1897" s="149"/>
      <c r="AB1897" s="149"/>
      <c r="AC1897" s="149"/>
      <c r="AD1897" s="149"/>
      <c r="AE1897" s="149"/>
      <c r="AF1897" s="149"/>
      <c r="AG1897" s="149"/>
      <c r="AH1897" s="149"/>
      <c r="AI1897" s="149"/>
      <c r="AJ1897" s="149"/>
      <c r="AK1897" s="149"/>
      <c r="AL1897" s="149"/>
      <c r="AM1897" s="149"/>
      <c r="AN1897" s="149"/>
      <c r="AO1897" s="128"/>
      <c r="AP1897" s="128"/>
      <c r="AQ1897" s="128"/>
      <c r="AR1897" s="128"/>
      <c r="AS1897" s="128"/>
      <c r="AT1897" s="128"/>
      <c r="AU1897" s="128"/>
      <c r="AV1897" s="128"/>
      <c r="AW1897" s="128"/>
      <c r="AX1897" s="128"/>
      <c r="AY1897" s="128"/>
      <c r="AZ1897" s="128"/>
      <c r="BA1897" s="128"/>
      <c r="BB1897" s="128"/>
      <c r="BC1897" s="128"/>
      <c r="BD1897" s="128"/>
      <c r="BE1897" s="128"/>
      <c r="BF1897" s="128"/>
      <c r="BG1897" s="128"/>
      <c r="BH1897" s="128"/>
      <c r="BI1897" s="128"/>
      <c r="BJ1897" s="128"/>
      <c r="BK1897" s="128"/>
      <c r="BL1897" s="128"/>
      <c r="BM1897" s="151"/>
      <c r="BN1897" s="128"/>
      <c r="BO1897" s="128"/>
      <c r="BP1897" s="128"/>
      <c r="BQ1897" s="128"/>
      <c r="BR1897" s="128"/>
      <c r="BS1897" s="128"/>
      <c r="BT1897" s="128"/>
      <c r="BU1897" s="128"/>
      <c r="BV1897" s="128"/>
      <c r="BW1897" s="128"/>
      <c r="BX1897" s="128"/>
      <c r="BY1897" s="128"/>
      <c r="BZ1897" s="128"/>
      <c r="CA1897" s="128"/>
      <c r="CB1897" s="128"/>
      <c r="CC1897" s="128"/>
      <c r="CD1897" s="128"/>
      <c r="CE1897" s="128"/>
      <c r="CF1897" s="128"/>
      <c r="CG1897" s="128"/>
      <c r="CI1897" s="128"/>
      <c r="CJ1897" s="128"/>
      <c r="CK1897" s="128"/>
      <c r="CL1897" s="128"/>
      <c r="CM1897" s="128"/>
      <c r="CN1897" s="128"/>
      <c r="CO1897" s="128"/>
      <c r="CP1897" s="128"/>
      <c r="CQ1897" s="128"/>
      <c r="CR1897" s="128"/>
      <c r="CS1897" s="128"/>
      <c r="CT1897" s="128"/>
      <c r="CU1897" s="128"/>
      <c r="CV1897" s="128"/>
      <c r="CW1897" s="128"/>
      <c r="CX1897" s="128"/>
      <c r="CY1897" s="128"/>
      <c r="CZ1897" s="165"/>
    </row>
    <row r="1898" spans="1:104">
      <c r="A1898" s="149"/>
      <c r="B1898" s="149"/>
      <c r="C1898" s="150"/>
      <c r="D1898" s="102"/>
      <c r="E1898" s="149"/>
      <c r="F1898" s="149"/>
      <c r="G1898" s="149"/>
      <c r="H1898" s="149"/>
      <c r="I1898" s="149"/>
      <c r="J1898" s="149"/>
      <c r="K1898" s="149"/>
      <c r="L1898" s="149"/>
      <c r="M1898" s="149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9"/>
      <c r="AA1898" s="149"/>
      <c r="AB1898" s="149"/>
      <c r="AC1898" s="149"/>
      <c r="AD1898" s="149"/>
      <c r="AE1898" s="149"/>
      <c r="AF1898" s="149"/>
      <c r="AG1898" s="149"/>
      <c r="AH1898" s="149"/>
      <c r="AI1898" s="149"/>
      <c r="AJ1898" s="149"/>
      <c r="AK1898" s="149"/>
      <c r="AL1898" s="149"/>
      <c r="AM1898" s="149"/>
      <c r="AN1898" s="149"/>
      <c r="AO1898" s="128"/>
      <c r="AP1898" s="128"/>
      <c r="AQ1898" s="128"/>
      <c r="AR1898" s="128"/>
      <c r="AS1898" s="128"/>
      <c r="AT1898" s="128"/>
      <c r="AU1898" s="128"/>
      <c r="AV1898" s="128"/>
      <c r="AW1898" s="128"/>
      <c r="AX1898" s="128"/>
      <c r="AY1898" s="128"/>
      <c r="AZ1898" s="128"/>
      <c r="BA1898" s="128"/>
      <c r="BB1898" s="128"/>
      <c r="BC1898" s="128"/>
      <c r="BD1898" s="128"/>
      <c r="BE1898" s="128"/>
      <c r="BF1898" s="128"/>
      <c r="BG1898" s="128"/>
      <c r="BH1898" s="128"/>
      <c r="BI1898" s="128"/>
      <c r="BJ1898" s="128"/>
      <c r="BK1898" s="128"/>
      <c r="BL1898" s="128"/>
      <c r="BM1898" s="151"/>
      <c r="BN1898" s="128"/>
      <c r="BO1898" s="128"/>
      <c r="BP1898" s="128"/>
      <c r="BQ1898" s="128"/>
      <c r="BR1898" s="128"/>
      <c r="BS1898" s="128"/>
      <c r="BT1898" s="128"/>
      <c r="BU1898" s="128"/>
      <c r="BV1898" s="128"/>
      <c r="BW1898" s="128"/>
      <c r="BX1898" s="128"/>
      <c r="BY1898" s="128"/>
      <c r="BZ1898" s="128"/>
      <c r="CA1898" s="128"/>
      <c r="CB1898" s="128"/>
      <c r="CC1898" s="128"/>
      <c r="CD1898" s="128"/>
      <c r="CE1898" s="128"/>
      <c r="CF1898" s="128"/>
      <c r="CG1898" s="128"/>
      <c r="CI1898" s="128"/>
      <c r="CJ1898" s="128"/>
      <c r="CK1898" s="128"/>
      <c r="CL1898" s="128"/>
      <c r="CM1898" s="128"/>
      <c r="CN1898" s="128"/>
      <c r="CO1898" s="128"/>
      <c r="CP1898" s="128"/>
      <c r="CQ1898" s="128"/>
      <c r="CR1898" s="128"/>
      <c r="CS1898" s="128"/>
      <c r="CT1898" s="128"/>
      <c r="CU1898" s="128"/>
      <c r="CV1898" s="128"/>
      <c r="CW1898" s="128"/>
      <c r="CX1898" s="128"/>
      <c r="CY1898" s="128"/>
      <c r="CZ1898" s="165"/>
    </row>
    <row r="1899" spans="1:104">
      <c r="A1899" s="149"/>
      <c r="B1899" s="149"/>
      <c r="C1899" s="150"/>
      <c r="D1899" s="102"/>
      <c r="E1899" s="149"/>
      <c r="F1899" s="149"/>
      <c r="G1899" s="149"/>
      <c r="H1899" s="149"/>
      <c r="I1899" s="149"/>
      <c r="J1899" s="149"/>
      <c r="K1899" s="149"/>
      <c r="L1899" s="149"/>
      <c r="M1899" s="149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9"/>
      <c r="AA1899" s="149"/>
      <c r="AB1899" s="149"/>
      <c r="AC1899" s="149"/>
      <c r="AD1899" s="149"/>
      <c r="AE1899" s="149"/>
      <c r="AF1899" s="149"/>
      <c r="AG1899" s="149"/>
      <c r="AH1899" s="149"/>
      <c r="AI1899" s="149"/>
      <c r="AJ1899" s="149"/>
      <c r="AK1899" s="149"/>
      <c r="AL1899" s="149"/>
      <c r="AM1899" s="149"/>
      <c r="AN1899" s="149"/>
      <c r="AO1899" s="128"/>
      <c r="AP1899" s="128"/>
      <c r="AQ1899" s="128"/>
      <c r="AR1899" s="128"/>
      <c r="AS1899" s="128"/>
      <c r="AT1899" s="128"/>
      <c r="AU1899" s="128"/>
      <c r="AV1899" s="128"/>
      <c r="AW1899" s="128"/>
      <c r="AX1899" s="128"/>
      <c r="AY1899" s="128"/>
      <c r="AZ1899" s="128"/>
      <c r="BA1899" s="128"/>
      <c r="BB1899" s="128"/>
      <c r="BC1899" s="128"/>
      <c r="BD1899" s="128"/>
      <c r="BE1899" s="128"/>
      <c r="BF1899" s="128"/>
      <c r="BG1899" s="128"/>
      <c r="BH1899" s="128"/>
      <c r="BI1899" s="128"/>
      <c r="BJ1899" s="128"/>
      <c r="BK1899" s="128"/>
      <c r="BL1899" s="128"/>
      <c r="BM1899" s="151"/>
      <c r="BN1899" s="128"/>
      <c r="BO1899" s="128"/>
      <c r="BP1899" s="128"/>
      <c r="BQ1899" s="128"/>
      <c r="BR1899" s="128"/>
      <c r="BS1899" s="128"/>
      <c r="BT1899" s="128"/>
      <c r="BU1899" s="128"/>
      <c r="BV1899" s="128"/>
      <c r="BW1899" s="128"/>
      <c r="BX1899" s="128"/>
      <c r="BY1899" s="128"/>
      <c r="BZ1899" s="128"/>
      <c r="CA1899" s="128"/>
      <c r="CB1899" s="128"/>
      <c r="CC1899" s="128"/>
      <c r="CD1899" s="128"/>
      <c r="CE1899" s="128"/>
      <c r="CF1899" s="128"/>
      <c r="CG1899" s="128"/>
      <c r="CI1899" s="128"/>
      <c r="CJ1899" s="128"/>
      <c r="CK1899" s="128"/>
      <c r="CL1899" s="128"/>
      <c r="CM1899" s="128"/>
      <c r="CN1899" s="128"/>
      <c r="CO1899" s="128"/>
      <c r="CP1899" s="128"/>
      <c r="CQ1899" s="128"/>
      <c r="CR1899" s="128"/>
      <c r="CS1899" s="128"/>
      <c r="CT1899" s="128"/>
      <c r="CU1899" s="128"/>
      <c r="CV1899" s="128"/>
      <c r="CW1899" s="128"/>
      <c r="CX1899" s="128"/>
      <c r="CY1899" s="128"/>
      <c r="CZ1899" s="165"/>
    </row>
    <row r="1900" spans="1:104">
      <c r="A1900" s="149"/>
      <c r="B1900" s="149"/>
      <c r="C1900" s="150"/>
      <c r="D1900" s="102"/>
      <c r="E1900" s="149"/>
      <c r="F1900" s="149"/>
      <c r="G1900" s="149"/>
      <c r="H1900" s="149"/>
      <c r="I1900" s="149"/>
      <c r="J1900" s="149"/>
      <c r="K1900" s="149"/>
      <c r="L1900" s="149"/>
      <c r="M1900" s="149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9"/>
      <c r="AA1900" s="149"/>
      <c r="AB1900" s="149"/>
      <c r="AC1900" s="149"/>
      <c r="AD1900" s="149"/>
      <c r="AE1900" s="149"/>
      <c r="AF1900" s="149"/>
      <c r="AG1900" s="149"/>
      <c r="AH1900" s="149"/>
      <c r="AI1900" s="149"/>
      <c r="AJ1900" s="149"/>
      <c r="AK1900" s="149"/>
      <c r="AL1900" s="149"/>
      <c r="AM1900" s="149"/>
      <c r="AN1900" s="149"/>
      <c r="AO1900" s="128"/>
      <c r="AP1900" s="128"/>
      <c r="AQ1900" s="128"/>
      <c r="AR1900" s="128"/>
      <c r="AS1900" s="128"/>
      <c r="AT1900" s="128"/>
      <c r="AU1900" s="128"/>
      <c r="AV1900" s="128"/>
      <c r="AW1900" s="128"/>
      <c r="AX1900" s="128"/>
      <c r="AY1900" s="128"/>
      <c r="AZ1900" s="128"/>
      <c r="BA1900" s="128"/>
      <c r="BB1900" s="128"/>
      <c r="BC1900" s="128"/>
      <c r="BD1900" s="128"/>
      <c r="BE1900" s="128"/>
      <c r="BF1900" s="128"/>
      <c r="BG1900" s="128"/>
      <c r="BH1900" s="128"/>
      <c r="BI1900" s="128"/>
      <c r="BJ1900" s="128"/>
      <c r="BK1900" s="128"/>
      <c r="BL1900" s="128"/>
      <c r="BM1900" s="151"/>
      <c r="BN1900" s="128"/>
      <c r="BO1900" s="128"/>
      <c r="BP1900" s="128"/>
      <c r="BQ1900" s="128"/>
      <c r="BR1900" s="128"/>
      <c r="BS1900" s="128"/>
      <c r="BT1900" s="128"/>
      <c r="BU1900" s="128"/>
      <c r="BV1900" s="128"/>
      <c r="BW1900" s="128"/>
      <c r="BX1900" s="128"/>
      <c r="BY1900" s="128"/>
      <c r="BZ1900" s="128"/>
      <c r="CA1900" s="128"/>
      <c r="CB1900" s="128"/>
      <c r="CC1900" s="128"/>
      <c r="CD1900" s="128"/>
      <c r="CE1900" s="128"/>
      <c r="CF1900" s="128"/>
      <c r="CG1900" s="128"/>
      <c r="CI1900" s="128"/>
      <c r="CJ1900" s="128"/>
      <c r="CK1900" s="128"/>
      <c r="CL1900" s="128"/>
      <c r="CM1900" s="128"/>
      <c r="CN1900" s="128"/>
      <c r="CO1900" s="128"/>
      <c r="CP1900" s="128"/>
      <c r="CQ1900" s="128"/>
      <c r="CR1900" s="128"/>
      <c r="CS1900" s="128"/>
      <c r="CT1900" s="128"/>
      <c r="CU1900" s="128"/>
      <c r="CV1900" s="128"/>
      <c r="CW1900" s="128"/>
      <c r="CX1900" s="128"/>
      <c r="CY1900" s="128"/>
      <c r="CZ1900" s="165"/>
    </row>
    <row r="1901" spans="1:104">
      <c r="A1901" s="149"/>
      <c r="B1901" s="149"/>
      <c r="C1901" s="150"/>
      <c r="D1901" s="102"/>
      <c r="E1901" s="149"/>
      <c r="F1901" s="149"/>
      <c r="G1901" s="149"/>
      <c r="H1901" s="149"/>
      <c r="I1901" s="149"/>
      <c r="J1901" s="149"/>
      <c r="K1901" s="149"/>
      <c r="L1901" s="149"/>
      <c r="M1901" s="149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9"/>
      <c r="AA1901" s="149"/>
      <c r="AB1901" s="149"/>
      <c r="AC1901" s="149"/>
      <c r="AD1901" s="149"/>
      <c r="AE1901" s="149"/>
      <c r="AF1901" s="149"/>
      <c r="AG1901" s="149"/>
      <c r="AH1901" s="149"/>
      <c r="AI1901" s="149"/>
      <c r="AJ1901" s="149"/>
      <c r="AK1901" s="149"/>
      <c r="AL1901" s="149"/>
      <c r="AM1901" s="149"/>
      <c r="AN1901" s="149"/>
      <c r="AO1901" s="128"/>
      <c r="AP1901" s="128"/>
      <c r="AQ1901" s="128"/>
      <c r="AR1901" s="128"/>
      <c r="AS1901" s="128"/>
      <c r="AT1901" s="128"/>
      <c r="AU1901" s="128"/>
      <c r="AV1901" s="128"/>
      <c r="AW1901" s="128"/>
      <c r="AX1901" s="128"/>
      <c r="AY1901" s="128"/>
      <c r="AZ1901" s="128"/>
      <c r="BA1901" s="128"/>
      <c r="BB1901" s="128"/>
      <c r="BC1901" s="128"/>
      <c r="BD1901" s="128"/>
      <c r="BE1901" s="128"/>
      <c r="BF1901" s="128"/>
      <c r="BG1901" s="128"/>
      <c r="BH1901" s="128"/>
      <c r="BI1901" s="128"/>
      <c r="BJ1901" s="128"/>
      <c r="BK1901" s="128"/>
      <c r="BL1901" s="128"/>
      <c r="BM1901" s="151"/>
      <c r="BN1901" s="128"/>
      <c r="BO1901" s="128"/>
      <c r="BP1901" s="128"/>
      <c r="BQ1901" s="128"/>
      <c r="BR1901" s="128"/>
      <c r="BS1901" s="128"/>
      <c r="BT1901" s="128"/>
      <c r="BU1901" s="128"/>
      <c r="BV1901" s="128"/>
      <c r="BW1901" s="128"/>
      <c r="BX1901" s="128"/>
      <c r="BY1901" s="128"/>
      <c r="BZ1901" s="128"/>
      <c r="CA1901" s="128"/>
      <c r="CB1901" s="128"/>
      <c r="CC1901" s="128"/>
      <c r="CD1901" s="128"/>
      <c r="CE1901" s="128"/>
      <c r="CF1901" s="128"/>
      <c r="CG1901" s="128"/>
      <c r="CI1901" s="128"/>
      <c r="CJ1901" s="128"/>
      <c r="CK1901" s="128"/>
      <c r="CL1901" s="128"/>
      <c r="CM1901" s="128"/>
      <c r="CN1901" s="128"/>
      <c r="CO1901" s="128"/>
      <c r="CP1901" s="128"/>
      <c r="CQ1901" s="128"/>
      <c r="CR1901" s="128"/>
      <c r="CS1901" s="128"/>
      <c r="CT1901" s="128"/>
      <c r="CU1901" s="128"/>
      <c r="CV1901" s="128"/>
      <c r="CW1901" s="128"/>
      <c r="CX1901" s="128"/>
      <c r="CY1901" s="128"/>
      <c r="CZ1901" s="165"/>
    </row>
    <row r="1902" spans="1:104">
      <c r="A1902" s="149"/>
      <c r="B1902" s="149"/>
      <c r="C1902" s="150"/>
      <c r="D1902" s="102"/>
      <c r="E1902" s="149"/>
      <c r="F1902" s="149"/>
      <c r="G1902" s="149"/>
      <c r="H1902" s="149"/>
      <c r="I1902" s="149"/>
      <c r="J1902" s="149"/>
      <c r="K1902" s="149"/>
      <c r="L1902" s="149"/>
      <c r="M1902" s="149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9"/>
      <c r="AA1902" s="149"/>
      <c r="AB1902" s="149"/>
      <c r="AC1902" s="149"/>
      <c r="AD1902" s="149"/>
      <c r="AE1902" s="149"/>
      <c r="AF1902" s="149"/>
      <c r="AG1902" s="149"/>
      <c r="AH1902" s="149"/>
      <c r="AI1902" s="149"/>
      <c r="AJ1902" s="149"/>
      <c r="AK1902" s="149"/>
      <c r="AL1902" s="149"/>
      <c r="AM1902" s="149"/>
      <c r="AN1902" s="149"/>
      <c r="AO1902" s="128"/>
      <c r="AP1902" s="128"/>
      <c r="AQ1902" s="128"/>
      <c r="AR1902" s="128"/>
      <c r="AS1902" s="128"/>
      <c r="AT1902" s="128"/>
      <c r="AU1902" s="128"/>
      <c r="AV1902" s="128"/>
      <c r="AW1902" s="128"/>
      <c r="AX1902" s="128"/>
      <c r="AY1902" s="128"/>
      <c r="AZ1902" s="128"/>
      <c r="BA1902" s="128"/>
      <c r="BB1902" s="128"/>
      <c r="BC1902" s="128"/>
      <c r="BD1902" s="128"/>
      <c r="BE1902" s="128"/>
      <c r="BF1902" s="128"/>
      <c r="BG1902" s="128"/>
      <c r="BH1902" s="128"/>
      <c r="BI1902" s="128"/>
      <c r="BJ1902" s="128"/>
      <c r="BK1902" s="128"/>
      <c r="BL1902" s="128"/>
      <c r="BM1902" s="151"/>
      <c r="BN1902" s="128"/>
      <c r="BO1902" s="128"/>
      <c r="BP1902" s="128"/>
      <c r="BQ1902" s="128"/>
      <c r="BR1902" s="128"/>
      <c r="BS1902" s="128"/>
      <c r="BT1902" s="128"/>
      <c r="BU1902" s="128"/>
      <c r="BV1902" s="128"/>
      <c r="BW1902" s="128"/>
      <c r="BX1902" s="128"/>
      <c r="BY1902" s="128"/>
      <c r="BZ1902" s="128"/>
      <c r="CA1902" s="128"/>
      <c r="CB1902" s="128"/>
      <c r="CC1902" s="128"/>
      <c r="CD1902" s="128"/>
      <c r="CE1902" s="128"/>
      <c r="CF1902" s="128"/>
      <c r="CG1902" s="128"/>
      <c r="CI1902" s="128"/>
      <c r="CJ1902" s="128"/>
      <c r="CK1902" s="128"/>
      <c r="CL1902" s="128"/>
      <c r="CM1902" s="128"/>
      <c r="CN1902" s="128"/>
      <c r="CO1902" s="128"/>
      <c r="CP1902" s="128"/>
      <c r="CQ1902" s="128"/>
      <c r="CR1902" s="128"/>
      <c r="CS1902" s="128"/>
      <c r="CT1902" s="128"/>
      <c r="CU1902" s="128"/>
      <c r="CV1902" s="128"/>
      <c r="CW1902" s="128"/>
      <c r="CX1902" s="128"/>
      <c r="CY1902" s="128"/>
      <c r="CZ1902" s="165"/>
    </row>
    <row r="1903" spans="1:104">
      <c r="A1903" s="149"/>
      <c r="B1903" s="149"/>
      <c r="C1903" s="150"/>
      <c r="D1903" s="102"/>
      <c r="E1903" s="149"/>
      <c r="F1903" s="149"/>
      <c r="G1903" s="149"/>
      <c r="H1903" s="149"/>
      <c r="I1903" s="149"/>
      <c r="J1903" s="149"/>
      <c r="K1903" s="149"/>
      <c r="L1903" s="149"/>
      <c r="M1903" s="149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9"/>
      <c r="AA1903" s="149"/>
      <c r="AB1903" s="149"/>
      <c r="AC1903" s="149"/>
      <c r="AD1903" s="149"/>
      <c r="AE1903" s="149"/>
      <c r="AF1903" s="149"/>
      <c r="AG1903" s="149"/>
      <c r="AH1903" s="149"/>
      <c r="AI1903" s="149"/>
      <c r="AJ1903" s="149"/>
      <c r="AK1903" s="149"/>
      <c r="AL1903" s="149"/>
      <c r="AM1903" s="149"/>
      <c r="AN1903" s="149"/>
      <c r="AO1903" s="128"/>
      <c r="AP1903" s="128"/>
      <c r="AQ1903" s="128"/>
      <c r="AR1903" s="128"/>
      <c r="AS1903" s="128"/>
      <c r="AT1903" s="128"/>
      <c r="AU1903" s="128"/>
      <c r="AV1903" s="128"/>
      <c r="AW1903" s="128"/>
      <c r="AX1903" s="128"/>
      <c r="AY1903" s="128"/>
      <c r="AZ1903" s="128"/>
      <c r="BA1903" s="128"/>
      <c r="BB1903" s="128"/>
      <c r="BC1903" s="128"/>
      <c r="BD1903" s="128"/>
      <c r="BE1903" s="128"/>
      <c r="BF1903" s="128"/>
      <c r="BG1903" s="128"/>
      <c r="BH1903" s="128"/>
      <c r="BI1903" s="128"/>
      <c r="BJ1903" s="128"/>
      <c r="BK1903" s="128"/>
      <c r="BL1903" s="128"/>
      <c r="BM1903" s="151"/>
      <c r="BN1903" s="128"/>
      <c r="BO1903" s="128"/>
      <c r="BP1903" s="128"/>
      <c r="BQ1903" s="128"/>
      <c r="BR1903" s="128"/>
      <c r="BS1903" s="128"/>
      <c r="BT1903" s="128"/>
      <c r="BU1903" s="128"/>
      <c r="BV1903" s="128"/>
      <c r="BW1903" s="128"/>
      <c r="BX1903" s="128"/>
      <c r="BY1903" s="128"/>
      <c r="BZ1903" s="128"/>
      <c r="CA1903" s="128"/>
      <c r="CB1903" s="128"/>
      <c r="CC1903" s="128"/>
      <c r="CD1903" s="128"/>
      <c r="CE1903" s="128"/>
      <c r="CF1903" s="128"/>
      <c r="CG1903" s="128"/>
      <c r="CI1903" s="128"/>
      <c r="CJ1903" s="128"/>
      <c r="CK1903" s="128"/>
      <c r="CL1903" s="128"/>
      <c r="CM1903" s="128"/>
      <c r="CN1903" s="128"/>
      <c r="CO1903" s="128"/>
      <c r="CP1903" s="128"/>
      <c r="CQ1903" s="128"/>
      <c r="CR1903" s="128"/>
      <c r="CS1903" s="128"/>
      <c r="CT1903" s="128"/>
      <c r="CU1903" s="128"/>
      <c r="CV1903" s="128"/>
      <c r="CW1903" s="128"/>
      <c r="CX1903" s="128"/>
      <c r="CY1903" s="128"/>
      <c r="CZ1903" s="165"/>
    </row>
    <row r="1904" spans="1:104">
      <c r="A1904" s="149"/>
      <c r="B1904" s="149"/>
      <c r="C1904" s="150"/>
      <c r="D1904" s="102"/>
      <c r="E1904" s="149"/>
      <c r="F1904" s="149"/>
      <c r="G1904" s="149"/>
      <c r="H1904" s="149"/>
      <c r="I1904" s="149"/>
      <c r="J1904" s="149"/>
      <c r="K1904" s="149"/>
      <c r="L1904" s="149"/>
      <c r="M1904" s="149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9"/>
      <c r="AA1904" s="149"/>
      <c r="AB1904" s="149"/>
      <c r="AC1904" s="149"/>
      <c r="AD1904" s="149"/>
      <c r="AE1904" s="149"/>
      <c r="AF1904" s="149"/>
      <c r="AG1904" s="149"/>
      <c r="AH1904" s="149"/>
      <c r="AI1904" s="149"/>
      <c r="AJ1904" s="149"/>
      <c r="AK1904" s="149"/>
      <c r="AL1904" s="149"/>
      <c r="AM1904" s="149"/>
      <c r="AN1904" s="149"/>
      <c r="AO1904" s="128"/>
      <c r="AP1904" s="128"/>
      <c r="AQ1904" s="128"/>
      <c r="AR1904" s="128"/>
      <c r="AS1904" s="128"/>
      <c r="AT1904" s="128"/>
      <c r="AU1904" s="128"/>
      <c r="AV1904" s="128"/>
      <c r="AW1904" s="128"/>
      <c r="AX1904" s="128"/>
      <c r="AY1904" s="128"/>
      <c r="AZ1904" s="128"/>
      <c r="BA1904" s="128"/>
      <c r="BB1904" s="128"/>
      <c r="BC1904" s="128"/>
      <c r="BD1904" s="128"/>
      <c r="BE1904" s="128"/>
      <c r="BF1904" s="128"/>
      <c r="BG1904" s="128"/>
      <c r="BH1904" s="128"/>
      <c r="BI1904" s="128"/>
      <c r="BJ1904" s="128"/>
      <c r="BK1904" s="128"/>
      <c r="BL1904" s="128"/>
      <c r="BM1904" s="151"/>
      <c r="BN1904" s="128"/>
      <c r="BO1904" s="128"/>
      <c r="BP1904" s="128"/>
      <c r="BQ1904" s="128"/>
      <c r="BR1904" s="128"/>
      <c r="BS1904" s="128"/>
      <c r="BT1904" s="128"/>
      <c r="BU1904" s="128"/>
      <c r="BV1904" s="128"/>
      <c r="BW1904" s="128"/>
      <c r="BX1904" s="128"/>
      <c r="BY1904" s="128"/>
      <c r="BZ1904" s="128"/>
      <c r="CA1904" s="128"/>
      <c r="CB1904" s="128"/>
      <c r="CC1904" s="128"/>
      <c r="CD1904" s="128"/>
      <c r="CE1904" s="128"/>
      <c r="CF1904" s="128"/>
      <c r="CG1904" s="128"/>
      <c r="CI1904" s="128"/>
      <c r="CJ1904" s="128"/>
      <c r="CK1904" s="128"/>
      <c r="CL1904" s="128"/>
      <c r="CM1904" s="128"/>
      <c r="CN1904" s="128"/>
      <c r="CO1904" s="128"/>
      <c r="CP1904" s="128"/>
      <c r="CQ1904" s="128"/>
      <c r="CR1904" s="128"/>
      <c r="CS1904" s="128"/>
      <c r="CT1904" s="128"/>
      <c r="CU1904" s="128"/>
      <c r="CV1904" s="128"/>
      <c r="CW1904" s="128"/>
      <c r="CX1904" s="128"/>
      <c r="CY1904" s="128"/>
      <c r="CZ1904" s="165"/>
    </row>
    <row r="1905" spans="1:104">
      <c r="A1905" s="149"/>
      <c r="B1905" s="149"/>
      <c r="C1905" s="150"/>
      <c r="D1905" s="102"/>
      <c r="E1905" s="149"/>
      <c r="F1905" s="149"/>
      <c r="G1905" s="149"/>
      <c r="H1905" s="149"/>
      <c r="I1905" s="149"/>
      <c r="J1905" s="149"/>
      <c r="K1905" s="149"/>
      <c r="L1905" s="149"/>
      <c r="M1905" s="149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9"/>
      <c r="AA1905" s="149"/>
      <c r="AB1905" s="149"/>
      <c r="AC1905" s="149"/>
      <c r="AD1905" s="149"/>
      <c r="AE1905" s="149"/>
      <c r="AF1905" s="149"/>
      <c r="AG1905" s="149"/>
      <c r="AH1905" s="149"/>
      <c r="AI1905" s="149"/>
      <c r="AJ1905" s="149"/>
      <c r="AK1905" s="149"/>
      <c r="AL1905" s="149"/>
      <c r="AM1905" s="149"/>
      <c r="AN1905" s="149"/>
      <c r="AO1905" s="128"/>
      <c r="AP1905" s="128"/>
      <c r="AQ1905" s="128"/>
      <c r="AR1905" s="128"/>
      <c r="AS1905" s="128"/>
      <c r="AT1905" s="128"/>
      <c r="AU1905" s="128"/>
      <c r="AV1905" s="128"/>
      <c r="AW1905" s="128"/>
      <c r="AX1905" s="128"/>
      <c r="AY1905" s="128"/>
      <c r="AZ1905" s="128"/>
      <c r="BA1905" s="128"/>
      <c r="BB1905" s="128"/>
      <c r="BC1905" s="128"/>
      <c r="BD1905" s="128"/>
      <c r="BE1905" s="128"/>
      <c r="BF1905" s="128"/>
      <c r="BG1905" s="128"/>
      <c r="BH1905" s="128"/>
      <c r="BI1905" s="128"/>
      <c r="BJ1905" s="128"/>
      <c r="BK1905" s="128"/>
      <c r="BL1905" s="128"/>
      <c r="BM1905" s="151"/>
      <c r="BN1905" s="128"/>
      <c r="BO1905" s="128"/>
      <c r="BP1905" s="128"/>
      <c r="BQ1905" s="128"/>
      <c r="BR1905" s="128"/>
      <c r="BS1905" s="128"/>
      <c r="BT1905" s="128"/>
      <c r="BU1905" s="128"/>
      <c r="BV1905" s="128"/>
      <c r="BW1905" s="128"/>
      <c r="BX1905" s="128"/>
      <c r="BY1905" s="128"/>
      <c r="BZ1905" s="128"/>
      <c r="CA1905" s="128"/>
      <c r="CB1905" s="128"/>
      <c r="CC1905" s="128"/>
      <c r="CD1905" s="128"/>
      <c r="CE1905" s="128"/>
      <c r="CF1905" s="128"/>
      <c r="CG1905" s="128"/>
      <c r="CI1905" s="128"/>
      <c r="CJ1905" s="128"/>
      <c r="CK1905" s="128"/>
      <c r="CL1905" s="128"/>
      <c r="CM1905" s="128"/>
      <c r="CN1905" s="128"/>
      <c r="CO1905" s="128"/>
      <c r="CP1905" s="128"/>
      <c r="CQ1905" s="128"/>
      <c r="CR1905" s="128"/>
      <c r="CS1905" s="128"/>
      <c r="CT1905" s="128"/>
      <c r="CU1905" s="128"/>
      <c r="CV1905" s="128"/>
      <c r="CW1905" s="128"/>
      <c r="CX1905" s="128"/>
      <c r="CY1905" s="128"/>
      <c r="CZ1905" s="165"/>
    </row>
    <row r="1906" spans="1:104">
      <c r="A1906" s="149"/>
      <c r="B1906" s="149"/>
      <c r="C1906" s="150"/>
      <c r="D1906" s="102"/>
      <c r="E1906" s="149"/>
      <c r="F1906" s="149"/>
      <c r="G1906" s="149"/>
      <c r="H1906" s="149"/>
      <c r="I1906" s="149"/>
      <c r="J1906" s="149"/>
      <c r="K1906" s="149"/>
      <c r="L1906" s="149"/>
      <c r="M1906" s="149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9"/>
      <c r="AA1906" s="149"/>
      <c r="AB1906" s="149"/>
      <c r="AC1906" s="149"/>
      <c r="AD1906" s="149"/>
      <c r="AE1906" s="149"/>
      <c r="AF1906" s="149"/>
      <c r="AG1906" s="149"/>
      <c r="AH1906" s="149"/>
      <c r="AI1906" s="149"/>
      <c r="AJ1906" s="149"/>
      <c r="AK1906" s="149"/>
      <c r="AL1906" s="149"/>
      <c r="AM1906" s="149"/>
      <c r="AN1906" s="149"/>
      <c r="AO1906" s="128"/>
      <c r="AP1906" s="128"/>
      <c r="AQ1906" s="128"/>
      <c r="AR1906" s="128"/>
      <c r="AS1906" s="128"/>
      <c r="AT1906" s="128"/>
      <c r="AU1906" s="128"/>
      <c r="AV1906" s="128"/>
      <c r="AW1906" s="128"/>
      <c r="AX1906" s="128"/>
      <c r="AY1906" s="128"/>
      <c r="AZ1906" s="128"/>
      <c r="BA1906" s="128"/>
      <c r="BB1906" s="128"/>
      <c r="BC1906" s="128"/>
      <c r="BD1906" s="128"/>
      <c r="BE1906" s="128"/>
      <c r="BF1906" s="128"/>
      <c r="BG1906" s="128"/>
      <c r="BH1906" s="128"/>
      <c r="BI1906" s="128"/>
      <c r="BJ1906" s="128"/>
      <c r="BK1906" s="128"/>
      <c r="BL1906" s="128"/>
      <c r="BM1906" s="151"/>
      <c r="BN1906" s="128"/>
      <c r="BO1906" s="128"/>
      <c r="BP1906" s="128"/>
      <c r="BQ1906" s="128"/>
      <c r="BR1906" s="128"/>
      <c r="BS1906" s="128"/>
      <c r="BT1906" s="128"/>
      <c r="BU1906" s="128"/>
      <c r="BV1906" s="128"/>
      <c r="BW1906" s="128"/>
      <c r="BX1906" s="128"/>
      <c r="BY1906" s="128"/>
      <c r="BZ1906" s="128"/>
      <c r="CA1906" s="128"/>
      <c r="CB1906" s="128"/>
      <c r="CC1906" s="128"/>
      <c r="CD1906" s="128"/>
      <c r="CE1906" s="128"/>
      <c r="CF1906" s="128"/>
      <c r="CG1906" s="128"/>
      <c r="CI1906" s="128"/>
      <c r="CJ1906" s="128"/>
      <c r="CK1906" s="128"/>
      <c r="CL1906" s="128"/>
      <c r="CM1906" s="128"/>
      <c r="CN1906" s="128"/>
      <c r="CO1906" s="128"/>
      <c r="CP1906" s="128"/>
      <c r="CQ1906" s="128"/>
      <c r="CR1906" s="128"/>
      <c r="CS1906" s="128"/>
      <c r="CT1906" s="128"/>
      <c r="CU1906" s="128"/>
      <c r="CV1906" s="128"/>
      <c r="CW1906" s="128"/>
      <c r="CX1906" s="128"/>
      <c r="CY1906" s="128"/>
      <c r="CZ1906" s="165"/>
    </row>
    <row r="1907" spans="1:104">
      <c r="A1907" s="149"/>
      <c r="B1907" s="149"/>
      <c r="C1907" s="150"/>
      <c r="D1907" s="102"/>
      <c r="E1907" s="149"/>
      <c r="F1907" s="149"/>
      <c r="G1907" s="149"/>
      <c r="H1907" s="149"/>
      <c r="I1907" s="149"/>
      <c r="J1907" s="149"/>
      <c r="K1907" s="149"/>
      <c r="L1907" s="149"/>
      <c r="M1907" s="149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9"/>
      <c r="AA1907" s="149"/>
      <c r="AB1907" s="149"/>
      <c r="AC1907" s="149"/>
      <c r="AD1907" s="149"/>
      <c r="AE1907" s="149"/>
      <c r="AF1907" s="149"/>
      <c r="AG1907" s="149"/>
      <c r="AH1907" s="149"/>
      <c r="AI1907" s="149"/>
      <c r="AJ1907" s="149"/>
      <c r="AK1907" s="149"/>
      <c r="AL1907" s="149"/>
      <c r="AM1907" s="149"/>
      <c r="AN1907" s="149"/>
      <c r="AO1907" s="128"/>
      <c r="AP1907" s="128"/>
      <c r="AQ1907" s="128"/>
      <c r="AR1907" s="128"/>
      <c r="AS1907" s="128"/>
      <c r="AT1907" s="128"/>
      <c r="AU1907" s="128"/>
      <c r="AV1907" s="128"/>
      <c r="AW1907" s="128"/>
      <c r="AX1907" s="128"/>
      <c r="AY1907" s="128"/>
      <c r="AZ1907" s="128"/>
      <c r="BA1907" s="128"/>
      <c r="BB1907" s="128"/>
      <c r="BC1907" s="128"/>
      <c r="BD1907" s="128"/>
      <c r="BE1907" s="128"/>
      <c r="BF1907" s="128"/>
      <c r="BG1907" s="128"/>
      <c r="BH1907" s="128"/>
      <c r="BI1907" s="128"/>
      <c r="BJ1907" s="128"/>
      <c r="BK1907" s="128"/>
      <c r="BL1907" s="128"/>
      <c r="BM1907" s="151"/>
      <c r="BN1907" s="128"/>
      <c r="BO1907" s="128"/>
      <c r="BP1907" s="128"/>
      <c r="BQ1907" s="128"/>
      <c r="BR1907" s="128"/>
      <c r="BS1907" s="128"/>
      <c r="BT1907" s="128"/>
      <c r="BU1907" s="128"/>
      <c r="BV1907" s="128"/>
      <c r="BW1907" s="128"/>
      <c r="BX1907" s="128"/>
      <c r="BY1907" s="128"/>
      <c r="BZ1907" s="128"/>
      <c r="CA1907" s="128"/>
      <c r="CB1907" s="128"/>
      <c r="CC1907" s="128"/>
      <c r="CD1907" s="128"/>
      <c r="CE1907" s="128"/>
      <c r="CF1907" s="128"/>
      <c r="CG1907" s="128"/>
      <c r="CI1907" s="128"/>
      <c r="CJ1907" s="128"/>
      <c r="CK1907" s="128"/>
      <c r="CL1907" s="128"/>
      <c r="CM1907" s="128"/>
      <c r="CN1907" s="128"/>
      <c r="CO1907" s="128"/>
      <c r="CP1907" s="128"/>
      <c r="CQ1907" s="128"/>
      <c r="CR1907" s="128"/>
      <c r="CS1907" s="128"/>
      <c r="CT1907" s="128"/>
      <c r="CU1907" s="128"/>
      <c r="CV1907" s="128"/>
      <c r="CW1907" s="128"/>
      <c r="CX1907" s="128"/>
      <c r="CY1907" s="128"/>
      <c r="CZ1907" s="165"/>
    </row>
    <row r="1908" spans="1:104">
      <c r="A1908" s="149"/>
      <c r="B1908" s="149"/>
      <c r="C1908" s="150"/>
      <c r="D1908" s="102"/>
      <c r="E1908" s="149"/>
      <c r="F1908" s="149"/>
      <c r="G1908" s="149"/>
      <c r="H1908" s="149"/>
      <c r="I1908" s="149"/>
      <c r="J1908" s="149"/>
      <c r="K1908" s="149"/>
      <c r="L1908" s="149"/>
      <c r="M1908" s="149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9"/>
      <c r="AA1908" s="149"/>
      <c r="AB1908" s="149"/>
      <c r="AC1908" s="149"/>
      <c r="AD1908" s="149"/>
      <c r="AE1908" s="149"/>
      <c r="AF1908" s="149"/>
      <c r="AG1908" s="149"/>
      <c r="AH1908" s="149"/>
      <c r="AI1908" s="149"/>
      <c r="AJ1908" s="149"/>
      <c r="AK1908" s="149"/>
      <c r="AL1908" s="149"/>
      <c r="AM1908" s="149"/>
      <c r="AN1908" s="149"/>
      <c r="AO1908" s="128"/>
      <c r="AP1908" s="128"/>
      <c r="AQ1908" s="128"/>
      <c r="AR1908" s="128"/>
      <c r="AS1908" s="128"/>
      <c r="AT1908" s="128"/>
      <c r="AU1908" s="128"/>
      <c r="AV1908" s="128"/>
      <c r="AW1908" s="128"/>
      <c r="AX1908" s="128"/>
      <c r="AY1908" s="128"/>
      <c r="AZ1908" s="128"/>
      <c r="BA1908" s="128"/>
      <c r="BB1908" s="128"/>
      <c r="BC1908" s="128"/>
      <c r="BD1908" s="128"/>
      <c r="BE1908" s="128"/>
      <c r="BF1908" s="128"/>
      <c r="BG1908" s="128"/>
      <c r="BH1908" s="128"/>
      <c r="BI1908" s="128"/>
      <c r="BJ1908" s="128"/>
      <c r="BK1908" s="128"/>
      <c r="BL1908" s="128"/>
      <c r="BM1908" s="151"/>
      <c r="BN1908" s="128"/>
      <c r="BO1908" s="128"/>
      <c r="BP1908" s="128"/>
      <c r="BQ1908" s="128"/>
      <c r="BR1908" s="128"/>
      <c r="BS1908" s="128"/>
      <c r="BT1908" s="128"/>
      <c r="BU1908" s="128"/>
      <c r="BV1908" s="128"/>
      <c r="BW1908" s="128"/>
      <c r="BX1908" s="128"/>
      <c r="BY1908" s="128"/>
      <c r="BZ1908" s="128"/>
      <c r="CA1908" s="128"/>
      <c r="CB1908" s="128"/>
      <c r="CC1908" s="128"/>
      <c r="CD1908" s="128"/>
      <c r="CE1908" s="128"/>
      <c r="CF1908" s="128"/>
      <c r="CG1908" s="128"/>
      <c r="CI1908" s="128"/>
      <c r="CJ1908" s="128"/>
      <c r="CK1908" s="128"/>
      <c r="CL1908" s="128"/>
      <c r="CM1908" s="128"/>
      <c r="CN1908" s="128"/>
      <c r="CO1908" s="128"/>
      <c r="CP1908" s="128"/>
      <c r="CQ1908" s="128"/>
      <c r="CR1908" s="128"/>
      <c r="CS1908" s="128"/>
      <c r="CT1908" s="128"/>
      <c r="CU1908" s="128"/>
      <c r="CV1908" s="128"/>
      <c r="CW1908" s="128"/>
      <c r="CX1908" s="128"/>
      <c r="CY1908" s="128"/>
      <c r="CZ1908" s="165"/>
    </row>
    <row r="1909" spans="1:104">
      <c r="A1909" s="149"/>
      <c r="B1909" s="149"/>
      <c r="C1909" s="150"/>
      <c r="D1909" s="102"/>
      <c r="E1909" s="149"/>
      <c r="F1909" s="149"/>
      <c r="G1909" s="149"/>
      <c r="H1909" s="149"/>
      <c r="I1909" s="149"/>
      <c r="J1909" s="149"/>
      <c r="K1909" s="149"/>
      <c r="L1909" s="149"/>
      <c r="M1909" s="149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9"/>
      <c r="AA1909" s="149"/>
      <c r="AB1909" s="149"/>
      <c r="AC1909" s="149"/>
      <c r="AD1909" s="149"/>
      <c r="AE1909" s="149"/>
      <c r="AF1909" s="149"/>
      <c r="AG1909" s="149"/>
      <c r="AH1909" s="149"/>
      <c r="AI1909" s="149"/>
      <c r="AJ1909" s="149"/>
      <c r="AK1909" s="149"/>
      <c r="AL1909" s="149"/>
      <c r="AM1909" s="149"/>
      <c r="AN1909" s="149"/>
      <c r="AO1909" s="128"/>
      <c r="AP1909" s="128"/>
      <c r="AQ1909" s="128"/>
      <c r="AR1909" s="128"/>
      <c r="AS1909" s="128"/>
      <c r="AT1909" s="128"/>
      <c r="AU1909" s="128"/>
      <c r="AV1909" s="128"/>
      <c r="AW1909" s="128"/>
      <c r="AX1909" s="128"/>
      <c r="AY1909" s="128"/>
      <c r="AZ1909" s="128"/>
      <c r="BA1909" s="128"/>
      <c r="BB1909" s="128"/>
      <c r="BC1909" s="128"/>
      <c r="BD1909" s="128"/>
      <c r="BE1909" s="128"/>
      <c r="BF1909" s="128"/>
      <c r="BG1909" s="128"/>
      <c r="BH1909" s="128"/>
      <c r="BI1909" s="128"/>
      <c r="BJ1909" s="128"/>
      <c r="BK1909" s="128"/>
      <c r="BL1909" s="128"/>
      <c r="BM1909" s="151"/>
      <c r="BN1909" s="128"/>
      <c r="BO1909" s="128"/>
      <c r="BP1909" s="128"/>
      <c r="BQ1909" s="128"/>
      <c r="BR1909" s="128"/>
      <c r="BS1909" s="128"/>
      <c r="BT1909" s="128"/>
      <c r="BU1909" s="128"/>
      <c r="BV1909" s="128"/>
      <c r="BW1909" s="128"/>
      <c r="BX1909" s="128"/>
      <c r="BY1909" s="128"/>
      <c r="BZ1909" s="128"/>
      <c r="CA1909" s="128"/>
      <c r="CB1909" s="128"/>
      <c r="CC1909" s="128"/>
      <c r="CD1909" s="128"/>
      <c r="CE1909" s="128"/>
      <c r="CF1909" s="128"/>
      <c r="CG1909" s="128"/>
      <c r="CI1909" s="128"/>
      <c r="CJ1909" s="128"/>
      <c r="CK1909" s="128"/>
      <c r="CL1909" s="128"/>
      <c r="CM1909" s="128"/>
      <c r="CN1909" s="128"/>
      <c r="CO1909" s="128"/>
      <c r="CP1909" s="128"/>
      <c r="CQ1909" s="128"/>
      <c r="CR1909" s="128"/>
      <c r="CS1909" s="128"/>
      <c r="CT1909" s="128"/>
      <c r="CU1909" s="128"/>
      <c r="CV1909" s="128"/>
      <c r="CW1909" s="128"/>
      <c r="CX1909" s="128"/>
      <c r="CY1909" s="128"/>
      <c r="CZ1909" s="165"/>
    </row>
    <row r="1910" spans="1:104">
      <c r="A1910" s="149"/>
      <c r="B1910" s="149"/>
      <c r="C1910" s="150"/>
      <c r="D1910" s="102"/>
      <c r="E1910" s="149"/>
      <c r="F1910" s="149"/>
      <c r="G1910" s="149"/>
      <c r="H1910" s="149"/>
      <c r="I1910" s="149"/>
      <c r="J1910" s="149"/>
      <c r="K1910" s="149"/>
      <c r="L1910" s="149"/>
      <c r="M1910" s="149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9"/>
      <c r="AA1910" s="149"/>
      <c r="AB1910" s="149"/>
      <c r="AC1910" s="149"/>
      <c r="AD1910" s="149"/>
      <c r="AE1910" s="149"/>
      <c r="AF1910" s="149"/>
      <c r="AG1910" s="149"/>
      <c r="AH1910" s="149"/>
      <c r="AI1910" s="149"/>
      <c r="AJ1910" s="149"/>
      <c r="AK1910" s="149"/>
      <c r="AL1910" s="149"/>
      <c r="AM1910" s="149"/>
      <c r="AN1910" s="149"/>
      <c r="AO1910" s="128"/>
      <c r="AP1910" s="128"/>
      <c r="AQ1910" s="128"/>
      <c r="AR1910" s="128"/>
      <c r="AS1910" s="128"/>
      <c r="AT1910" s="128"/>
      <c r="AU1910" s="128"/>
      <c r="AV1910" s="128"/>
      <c r="AW1910" s="128"/>
      <c r="AX1910" s="128"/>
      <c r="AY1910" s="128"/>
      <c r="AZ1910" s="128"/>
      <c r="BA1910" s="128"/>
      <c r="BB1910" s="128"/>
      <c r="BC1910" s="128"/>
      <c r="BD1910" s="128"/>
      <c r="BE1910" s="128"/>
      <c r="BF1910" s="128"/>
      <c r="BG1910" s="128"/>
      <c r="BH1910" s="128"/>
      <c r="BI1910" s="128"/>
      <c r="BJ1910" s="128"/>
      <c r="BK1910" s="128"/>
      <c r="BL1910" s="128"/>
      <c r="BM1910" s="151"/>
      <c r="BN1910" s="128"/>
      <c r="BO1910" s="128"/>
      <c r="BP1910" s="128"/>
      <c r="BQ1910" s="128"/>
      <c r="BR1910" s="128"/>
      <c r="BS1910" s="128"/>
      <c r="BT1910" s="128"/>
      <c r="BU1910" s="128"/>
      <c r="BV1910" s="128"/>
      <c r="BW1910" s="128"/>
      <c r="BX1910" s="128"/>
      <c r="BY1910" s="128"/>
      <c r="BZ1910" s="128"/>
      <c r="CA1910" s="128"/>
      <c r="CB1910" s="128"/>
      <c r="CC1910" s="128"/>
      <c r="CD1910" s="128"/>
      <c r="CE1910" s="128"/>
      <c r="CF1910" s="128"/>
      <c r="CG1910" s="128"/>
      <c r="CI1910" s="128"/>
      <c r="CJ1910" s="128"/>
      <c r="CK1910" s="128"/>
      <c r="CL1910" s="128"/>
      <c r="CM1910" s="128"/>
      <c r="CN1910" s="128"/>
      <c r="CO1910" s="128"/>
      <c r="CP1910" s="128"/>
      <c r="CQ1910" s="128"/>
      <c r="CR1910" s="128"/>
      <c r="CS1910" s="128"/>
      <c r="CT1910" s="128"/>
      <c r="CU1910" s="128"/>
      <c r="CV1910" s="128"/>
      <c r="CW1910" s="128"/>
      <c r="CX1910" s="128"/>
      <c r="CY1910" s="128"/>
      <c r="CZ1910" s="165"/>
    </row>
    <row r="1911" spans="1:104">
      <c r="A1911" s="149"/>
      <c r="B1911" s="149"/>
      <c r="C1911" s="150"/>
      <c r="D1911" s="102"/>
      <c r="E1911" s="149"/>
      <c r="F1911" s="149"/>
      <c r="G1911" s="149"/>
      <c r="H1911" s="149"/>
      <c r="I1911" s="149"/>
      <c r="J1911" s="149"/>
      <c r="K1911" s="149"/>
      <c r="L1911" s="149"/>
      <c r="M1911" s="149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9"/>
      <c r="AA1911" s="149"/>
      <c r="AB1911" s="149"/>
      <c r="AC1911" s="149"/>
      <c r="AD1911" s="149"/>
      <c r="AE1911" s="149"/>
      <c r="AF1911" s="149"/>
      <c r="AG1911" s="149"/>
      <c r="AH1911" s="149"/>
      <c r="AI1911" s="149"/>
      <c r="AJ1911" s="149"/>
      <c r="AK1911" s="149"/>
      <c r="AL1911" s="149"/>
      <c r="AM1911" s="149"/>
      <c r="AN1911" s="149"/>
      <c r="AO1911" s="128"/>
      <c r="AP1911" s="128"/>
      <c r="AQ1911" s="128"/>
      <c r="AR1911" s="128"/>
      <c r="AS1911" s="128"/>
      <c r="AT1911" s="128"/>
      <c r="AU1911" s="128"/>
      <c r="AV1911" s="128"/>
      <c r="AW1911" s="128"/>
      <c r="AX1911" s="128"/>
      <c r="AY1911" s="128"/>
      <c r="AZ1911" s="128"/>
      <c r="BA1911" s="128"/>
      <c r="BB1911" s="128"/>
      <c r="BC1911" s="128"/>
      <c r="BD1911" s="128"/>
      <c r="BE1911" s="128"/>
      <c r="BF1911" s="128"/>
      <c r="BG1911" s="128"/>
      <c r="BH1911" s="128"/>
      <c r="BI1911" s="128"/>
      <c r="BJ1911" s="128"/>
      <c r="BK1911" s="128"/>
      <c r="BL1911" s="128"/>
      <c r="BM1911" s="151"/>
      <c r="BN1911" s="128"/>
      <c r="BO1911" s="128"/>
      <c r="BP1911" s="128"/>
      <c r="BQ1911" s="128"/>
      <c r="BR1911" s="128"/>
      <c r="BS1911" s="128"/>
      <c r="BT1911" s="128"/>
      <c r="BU1911" s="128"/>
      <c r="BV1911" s="128"/>
      <c r="BW1911" s="128"/>
      <c r="BX1911" s="128"/>
      <c r="BY1911" s="128"/>
      <c r="BZ1911" s="128"/>
      <c r="CA1911" s="128"/>
      <c r="CB1911" s="128"/>
      <c r="CC1911" s="128"/>
      <c r="CD1911" s="128"/>
      <c r="CE1911" s="128"/>
      <c r="CF1911" s="128"/>
      <c r="CG1911" s="128"/>
      <c r="CI1911" s="128"/>
      <c r="CJ1911" s="128"/>
      <c r="CK1911" s="128"/>
      <c r="CL1911" s="128"/>
      <c r="CM1911" s="128"/>
      <c r="CN1911" s="128"/>
      <c r="CO1911" s="128"/>
      <c r="CP1911" s="128"/>
      <c r="CQ1911" s="128"/>
      <c r="CR1911" s="128"/>
      <c r="CS1911" s="128"/>
      <c r="CT1911" s="128"/>
      <c r="CU1911" s="128"/>
      <c r="CV1911" s="128"/>
      <c r="CW1911" s="128"/>
      <c r="CX1911" s="128"/>
      <c r="CY1911" s="128"/>
      <c r="CZ1911" s="165"/>
    </row>
    <row r="1912" spans="1:104">
      <c r="A1912" s="149"/>
      <c r="B1912" s="149"/>
      <c r="C1912" s="150"/>
      <c r="D1912" s="102"/>
      <c r="E1912" s="149"/>
      <c r="F1912" s="149"/>
      <c r="G1912" s="149"/>
      <c r="H1912" s="149"/>
      <c r="I1912" s="149"/>
      <c r="J1912" s="149"/>
      <c r="K1912" s="149"/>
      <c r="L1912" s="149"/>
      <c r="M1912" s="149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9"/>
      <c r="AA1912" s="149"/>
      <c r="AB1912" s="149"/>
      <c r="AC1912" s="149"/>
      <c r="AD1912" s="149"/>
      <c r="AE1912" s="149"/>
      <c r="AF1912" s="149"/>
      <c r="AG1912" s="149"/>
      <c r="AH1912" s="149"/>
      <c r="AI1912" s="149"/>
      <c r="AJ1912" s="149"/>
      <c r="AK1912" s="149"/>
      <c r="AL1912" s="149"/>
      <c r="AM1912" s="149"/>
      <c r="AN1912" s="149"/>
      <c r="AO1912" s="128"/>
      <c r="AP1912" s="128"/>
      <c r="AQ1912" s="128"/>
      <c r="AR1912" s="128"/>
      <c r="AS1912" s="128"/>
      <c r="AT1912" s="128"/>
      <c r="AU1912" s="128"/>
      <c r="AV1912" s="128"/>
      <c r="AW1912" s="128"/>
      <c r="AX1912" s="128"/>
      <c r="AY1912" s="128"/>
      <c r="AZ1912" s="128"/>
      <c r="BA1912" s="128"/>
      <c r="BB1912" s="128"/>
      <c r="BC1912" s="128"/>
      <c r="BD1912" s="128"/>
      <c r="BE1912" s="128"/>
      <c r="BF1912" s="128"/>
      <c r="BG1912" s="128"/>
      <c r="BH1912" s="128"/>
      <c r="BI1912" s="128"/>
      <c r="BJ1912" s="128"/>
      <c r="BK1912" s="128"/>
      <c r="BL1912" s="128"/>
      <c r="BM1912" s="151"/>
      <c r="BN1912" s="128"/>
      <c r="BO1912" s="128"/>
      <c r="BP1912" s="128"/>
      <c r="BQ1912" s="128"/>
      <c r="BR1912" s="128"/>
      <c r="BS1912" s="128"/>
      <c r="BT1912" s="128"/>
      <c r="BU1912" s="128"/>
      <c r="BV1912" s="128"/>
      <c r="BW1912" s="128"/>
      <c r="BX1912" s="128"/>
      <c r="BY1912" s="128"/>
      <c r="BZ1912" s="128"/>
      <c r="CA1912" s="128"/>
      <c r="CB1912" s="128"/>
      <c r="CC1912" s="128"/>
      <c r="CD1912" s="128"/>
      <c r="CE1912" s="128"/>
      <c r="CF1912" s="128"/>
      <c r="CG1912" s="128"/>
      <c r="CI1912" s="128"/>
      <c r="CJ1912" s="128"/>
      <c r="CK1912" s="128"/>
      <c r="CL1912" s="128"/>
      <c r="CM1912" s="128"/>
      <c r="CN1912" s="128"/>
      <c r="CO1912" s="128"/>
      <c r="CP1912" s="128"/>
      <c r="CQ1912" s="128"/>
      <c r="CR1912" s="128"/>
      <c r="CS1912" s="128"/>
      <c r="CT1912" s="128"/>
      <c r="CU1912" s="128"/>
      <c r="CV1912" s="128"/>
      <c r="CW1912" s="128"/>
      <c r="CX1912" s="128"/>
      <c r="CY1912" s="128"/>
      <c r="CZ1912" s="165"/>
    </row>
    <row r="1913" spans="1:104">
      <c r="A1913" s="149"/>
      <c r="B1913" s="149"/>
      <c r="C1913" s="150"/>
      <c r="D1913" s="102"/>
      <c r="E1913" s="149"/>
      <c r="F1913" s="149"/>
      <c r="G1913" s="149"/>
      <c r="H1913" s="149"/>
      <c r="I1913" s="149"/>
      <c r="J1913" s="149"/>
      <c r="K1913" s="149"/>
      <c r="L1913" s="149"/>
      <c r="M1913" s="149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9"/>
      <c r="AA1913" s="149"/>
      <c r="AB1913" s="149"/>
      <c r="AC1913" s="149"/>
      <c r="AD1913" s="149"/>
      <c r="AE1913" s="149"/>
      <c r="AF1913" s="149"/>
      <c r="AG1913" s="149"/>
      <c r="AH1913" s="149"/>
      <c r="AI1913" s="149"/>
      <c r="AJ1913" s="149"/>
      <c r="AK1913" s="149"/>
      <c r="AL1913" s="149"/>
      <c r="AM1913" s="149"/>
      <c r="AN1913" s="149"/>
      <c r="AO1913" s="128"/>
      <c r="AP1913" s="128"/>
      <c r="AQ1913" s="128"/>
      <c r="AR1913" s="128"/>
      <c r="AS1913" s="128"/>
      <c r="AT1913" s="128"/>
      <c r="AU1913" s="128"/>
      <c r="AV1913" s="128"/>
      <c r="AW1913" s="128"/>
      <c r="AX1913" s="128"/>
      <c r="AY1913" s="128"/>
      <c r="AZ1913" s="128"/>
      <c r="BA1913" s="128"/>
      <c r="BB1913" s="128"/>
      <c r="BC1913" s="128"/>
      <c r="BD1913" s="128"/>
      <c r="BE1913" s="128"/>
      <c r="BF1913" s="128"/>
      <c r="BG1913" s="128"/>
      <c r="BH1913" s="128"/>
      <c r="BI1913" s="128"/>
      <c r="BJ1913" s="128"/>
      <c r="BK1913" s="128"/>
      <c r="BL1913" s="128"/>
      <c r="BM1913" s="151"/>
      <c r="BN1913" s="128"/>
      <c r="BO1913" s="128"/>
      <c r="BP1913" s="128"/>
      <c r="BQ1913" s="128"/>
      <c r="BR1913" s="128"/>
      <c r="BS1913" s="128"/>
      <c r="BT1913" s="128"/>
      <c r="BU1913" s="128"/>
      <c r="BV1913" s="128"/>
      <c r="BW1913" s="128"/>
      <c r="BX1913" s="128"/>
      <c r="BY1913" s="128"/>
      <c r="BZ1913" s="128"/>
      <c r="CA1913" s="128"/>
      <c r="CB1913" s="128"/>
      <c r="CC1913" s="128"/>
      <c r="CD1913" s="128"/>
      <c r="CE1913" s="128"/>
      <c r="CF1913" s="128"/>
      <c r="CG1913" s="128"/>
      <c r="CI1913" s="128"/>
      <c r="CJ1913" s="128"/>
      <c r="CK1913" s="128"/>
      <c r="CL1913" s="128"/>
      <c r="CM1913" s="128"/>
      <c r="CN1913" s="128"/>
      <c r="CO1913" s="128"/>
      <c r="CP1913" s="128"/>
      <c r="CQ1913" s="128"/>
      <c r="CR1913" s="128"/>
      <c r="CS1913" s="128"/>
      <c r="CT1913" s="128"/>
      <c r="CU1913" s="128"/>
      <c r="CV1913" s="128"/>
      <c r="CW1913" s="128"/>
      <c r="CX1913" s="128"/>
      <c r="CY1913" s="128"/>
      <c r="CZ1913" s="165"/>
    </row>
    <row r="1914" spans="1:104">
      <c r="A1914" s="149"/>
      <c r="B1914" s="149"/>
      <c r="C1914" s="150"/>
      <c r="D1914" s="102"/>
      <c r="E1914" s="149"/>
      <c r="F1914" s="149"/>
      <c r="G1914" s="149"/>
      <c r="H1914" s="149"/>
      <c r="I1914" s="149"/>
      <c r="J1914" s="149"/>
      <c r="K1914" s="149"/>
      <c r="L1914" s="149"/>
      <c r="M1914" s="149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9"/>
      <c r="AA1914" s="149"/>
      <c r="AB1914" s="149"/>
      <c r="AC1914" s="149"/>
      <c r="AD1914" s="149"/>
      <c r="AE1914" s="149"/>
      <c r="AF1914" s="149"/>
      <c r="AG1914" s="149"/>
      <c r="AH1914" s="149"/>
      <c r="AI1914" s="149"/>
      <c r="AJ1914" s="149"/>
      <c r="AK1914" s="149"/>
      <c r="AL1914" s="149"/>
      <c r="AM1914" s="149"/>
      <c r="AN1914" s="149"/>
      <c r="AO1914" s="128"/>
      <c r="AP1914" s="128"/>
      <c r="AQ1914" s="128"/>
      <c r="AR1914" s="128"/>
      <c r="AS1914" s="128"/>
      <c r="AT1914" s="128"/>
      <c r="AU1914" s="128"/>
      <c r="AV1914" s="128"/>
      <c r="AW1914" s="128"/>
      <c r="AX1914" s="128"/>
      <c r="AY1914" s="128"/>
      <c r="AZ1914" s="128"/>
      <c r="BA1914" s="128"/>
      <c r="BB1914" s="128"/>
      <c r="BC1914" s="128"/>
      <c r="BD1914" s="128"/>
      <c r="BE1914" s="128"/>
      <c r="BF1914" s="128"/>
      <c r="BG1914" s="128"/>
      <c r="BH1914" s="128"/>
      <c r="BI1914" s="128"/>
      <c r="BJ1914" s="128"/>
      <c r="BK1914" s="128"/>
      <c r="BL1914" s="128"/>
      <c r="BM1914" s="151"/>
      <c r="BN1914" s="128"/>
      <c r="BO1914" s="128"/>
      <c r="BP1914" s="128"/>
      <c r="BQ1914" s="128"/>
      <c r="BR1914" s="128"/>
      <c r="BS1914" s="128"/>
      <c r="BT1914" s="128"/>
      <c r="BU1914" s="128"/>
      <c r="BV1914" s="128"/>
      <c r="BW1914" s="128"/>
      <c r="BX1914" s="128"/>
      <c r="BY1914" s="128"/>
      <c r="BZ1914" s="128"/>
      <c r="CA1914" s="128"/>
      <c r="CB1914" s="128"/>
      <c r="CC1914" s="128"/>
      <c r="CD1914" s="128"/>
      <c r="CE1914" s="128"/>
      <c r="CF1914" s="128"/>
      <c r="CG1914" s="128"/>
      <c r="CI1914" s="128"/>
      <c r="CJ1914" s="128"/>
      <c r="CK1914" s="128"/>
      <c r="CL1914" s="128"/>
      <c r="CM1914" s="128"/>
      <c r="CN1914" s="128"/>
      <c r="CO1914" s="128"/>
      <c r="CP1914" s="128"/>
      <c r="CQ1914" s="128"/>
      <c r="CR1914" s="128"/>
      <c r="CS1914" s="128"/>
      <c r="CT1914" s="128"/>
      <c r="CU1914" s="128"/>
      <c r="CV1914" s="128"/>
      <c r="CW1914" s="128"/>
      <c r="CX1914" s="128"/>
      <c r="CY1914" s="128"/>
      <c r="CZ1914" s="165"/>
    </row>
    <row r="1915" spans="1:104">
      <c r="A1915" s="149"/>
      <c r="B1915" s="149"/>
      <c r="C1915" s="150"/>
      <c r="D1915" s="102"/>
      <c r="E1915" s="149"/>
      <c r="F1915" s="149"/>
      <c r="G1915" s="149"/>
      <c r="H1915" s="149"/>
      <c r="I1915" s="149"/>
      <c r="J1915" s="149"/>
      <c r="K1915" s="149"/>
      <c r="L1915" s="149"/>
      <c r="M1915" s="149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9"/>
      <c r="AA1915" s="149"/>
      <c r="AB1915" s="149"/>
      <c r="AC1915" s="149"/>
      <c r="AD1915" s="149"/>
      <c r="AE1915" s="149"/>
      <c r="AF1915" s="149"/>
      <c r="AG1915" s="149"/>
      <c r="AH1915" s="149"/>
      <c r="AI1915" s="149"/>
      <c r="AJ1915" s="149"/>
      <c r="AK1915" s="149"/>
      <c r="AL1915" s="149"/>
      <c r="AM1915" s="149"/>
      <c r="AN1915" s="149"/>
      <c r="AO1915" s="128"/>
      <c r="AP1915" s="128"/>
      <c r="AQ1915" s="128"/>
      <c r="AR1915" s="128"/>
      <c r="AS1915" s="128"/>
      <c r="AT1915" s="128"/>
      <c r="AU1915" s="128"/>
      <c r="AV1915" s="128"/>
      <c r="AW1915" s="128"/>
      <c r="AX1915" s="128"/>
      <c r="AY1915" s="128"/>
      <c r="AZ1915" s="128"/>
      <c r="BA1915" s="128"/>
      <c r="BB1915" s="128"/>
      <c r="BC1915" s="128"/>
      <c r="BD1915" s="128"/>
      <c r="BE1915" s="128"/>
      <c r="BF1915" s="128"/>
      <c r="BG1915" s="128"/>
      <c r="BH1915" s="128"/>
      <c r="BI1915" s="128"/>
      <c r="BJ1915" s="128"/>
      <c r="BK1915" s="128"/>
      <c r="BL1915" s="128"/>
      <c r="BM1915" s="151"/>
      <c r="BN1915" s="128"/>
      <c r="BO1915" s="128"/>
      <c r="BP1915" s="128"/>
      <c r="BQ1915" s="128"/>
      <c r="BR1915" s="128"/>
      <c r="BS1915" s="128"/>
      <c r="BT1915" s="128"/>
      <c r="BU1915" s="128"/>
      <c r="BV1915" s="128"/>
      <c r="BW1915" s="128"/>
      <c r="BX1915" s="128"/>
      <c r="BY1915" s="128"/>
      <c r="BZ1915" s="128"/>
      <c r="CA1915" s="128"/>
      <c r="CB1915" s="128"/>
      <c r="CC1915" s="128"/>
      <c r="CD1915" s="128"/>
      <c r="CE1915" s="128"/>
      <c r="CF1915" s="128"/>
      <c r="CG1915" s="128"/>
      <c r="CI1915" s="128"/>
      <c r="CJ1915" s="128"/>
      <c r="CK1915" s="128"/>
      <c r="CL1915" s="128"/>
      <c r="CM1915" s="128"/>
      <c r="CN1915" s="128"/>
      <c r="CO1915" s="128"/>
      <c r="CP1915" s="128"/>
      <c r="CQ1915" s="128"/>
      <c r="CR1915" s="128"/>
      <c r="CS1915" s="128"/>
      <c r="CT1915" s="128"/>
      <c r="CU1915" s="128"/>
      <c r="CV1915" s="128"/>
      <c r="CW1915" s="128"/>
      <c r="CX1915" s="128"/>
      <c r="CY1915" s="128"/>
      <c r="CZ1915" s="165"/>
    </row>
    <row r="1916" spans="1:104">
      <c r="A1916" s="149"/>
      <c r="B1916" s="149"/>
      <c r="C1916" s="150"/>
      <c r="D1916" s="102"/>
      <c r="E1916" s="149"/>
      <c r="F1916" s="149"/>
      <c r="G1916" s="149"/>
      <c r="H1916" s="149"/>
      <c r="I1916" s="149"/>
      <c r="J1916" s="149"/>
      <c r="K1916" s="149"/>
      <c r="L1916" s="149"/>
      <c r="M1916" s="149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9"/>
      <c r="AA1916" s="149"/>
      <c r="AB1916" s="149"/>
      <c r="AC1916" s="149"/>
      <c r="AD1916" s="149"/>
      <c r="AE1916" s="149"/>
      <c r="AF1916" s="149"/>
      <c r="AG1916" s="149"/>
      <c r="AH1916" s="149"/>
      <c r="AI1916" s="149"/>
      <c r="AJ1916" s="149"/>
      <c r="AK1916" s="149"/>
      <c r="AL1916" s="149"/>
      <c r="AM1916" s="149"/>
      <c r="AN1916" s="149"/>
      <c r="AO1916" s="128"/>
      <c r="AP1916" s="128"/>
      <c r="AQ1916" s="128"/>
      <c r="AR1916" s="128"/>
      <c r="AS1916" s="128"/>
      <c r="AT1916" s="128"/>
      <c r="AU1916" s="128"/>
      <c r="AV1916" s="128"/>
      <c r="AW1916" s="128"/>
      <c r="AX1916" s="128"/>
      <c r="AY1916" s="128"/>
      <c r="AZ1916" s="128"/>
      <c r="BA1916" s="128"/>
      <c r="BB1916" s="128"/>
      <c r="BC1916" s="128"/>
      <c r="BD1916" s="128"/>
      <c r="BE1916" s="128"/>
      <c r="BF1916" s="128"/>
      <c r="BG1916" s="128"/>
      <c r="BH1916" s="128"/>
      <c r="BI1916" s="128"/>
      <c r="BJ1916" s="128"/>
      <c r="BK1916" s="128"/>
      <c r="BL1916" s="128"/>
      <c r="BM1916" s="151"/>
      <c r="BN1916" s="128"/>
      <c r="BO1916" s="128"/>
      <c r="BP1916" s="128"/>
      <c r="BQ1916" s="128"/>
      <c r="BR1916" s="128"/>
      <c r="BS1916" s="128"/>
      <c r="BT1916" s="128"/>
      <c r="BU1916" s="128"/>
      <c r="BV1916" s="128"/>
      <c r="BW1916" s="128"/>
      <c r="BX1916" s="128"/>
      <c r="BY1916" s="128"/>
      <c r="BZ1916" s="128"/>
      <c r="CA1916" s="128"/>
      <c r="CB1916" s="128"/>
      <c r="CC1916" s="128"/>
      <c r="CD1916" s="128"/>
      <c r="CE1916" s="128"/>
      <c r="CF1916" s="128"/>
      <c r="CG1916" s="128"/>
      <c r="CI1916" s="128"/>
      <c r="CJ1916" s="128"/>
      <c r="CK1916" s="128"/>
      <c r="CL1916" s="128"/>
      <c r="CM1916" s="128"/>
      <c r="CN1916" s="128"/>
      <c r="CO1916" s="128"/>
      <c r="CP1916" s="128"/>
      <c r="CQ1916" s="128"/>
      <c r="CR1916" s="128"/>
      <c r="CS1916" s="128"/>
      <c r="CT1916" s="128"/>
      <c r="CU1916" s="128"/>
      <c r="CV1916" s="128"/>
      <c r="CW1916" s="128"/>
      <c r="CX1916" s="128"/>
      <c r="CY1916" s="128"/>
      <c r="CZ1916" s="165"/>
    </row>
    <row r="1917" spans="1:104">
      <c r="A1917" s="149"/>
      <c r="B1917" s="149"/>
      <c r="C1917" s="150"/>
      <c r="D1917" s="102"/>
      <c r="E1917" s="149"/>
      <c r="F1917" s="149"/>
      <c r="G1917" s="149"/>
      <c r="H1917" s="149"/>
      <c r="I1917" s="149"/>
      <c r="J1917" s="149"/>
      <c r="K1917" s="149"/>
      <c r="L1917" s="149"/>
      <c r="M1917" s="149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9"/>
      <c r="AA1917" s="149"/>
      <c r="AB1917" s="149"/>
      <c r="AC1917" s="149"/>
      <c r="AD1917" s="149"/>
      <c r="AE1917" s="149"/>
      <c r="AF1917" s="149"/>
      <c r="AG1917" s="149"/>
      <c r="AH1917" s="149"/>
      <c r="AI1917" s="149"/>
      <c r="AJ1917" s="149"/>
      <c r="AK1917" s="149"/>
      <c r="AL1917" s="149"/>
      <c r="AM1917" s="149"/>
      <c r="AN1917" s="149"/>
      <c r="AO1917" s="128"/>
      <c r="AP1917" s="128"/>
      <c r="AQ1917" s="128"/>
      <c r="AR1917" s="128"/>
      <c r="AS1917" s="128"/>
      <c r="AT1917" s="128"/>
      <c r="AU1917" s="128"/>
      <c r="AV1917" s="128"/>
      <c r="AW1917" s="128"/>
      <c r="AX1917" s="128"/>
      <c r="AY1917" s="128"/>
      <c r="AZ1917" s="128"/>
      <c r="BA1917" s="128"/>
      <c r="BB1917" s="128"/>
      <c r="BC1917" s="128"/>
      <c r="BD1917" s="128"/>
      <c r="BE1917" s="128"/>
      <c r="BF1917" s="128"/>
      <c r="BG1917" s="128"/>
      <c r="BH1917" s="128"/>
      <c r="BI1917" s="128"/>
      <c r="BJ1917" s="128"/>
      <c r="BK1917" s="128"/>
      <c r="BL1917" s="128"/>
      <c r="BM1917" s="151"/>
      <c r="BN1917" s="128"/>
      <c r="BO1917" s="128"/>
      <c r="BP1917" s="128"/>
      <c r="BQ1917" s="128"/>
      <c r="BR1917" s="128"/>
      <c r="BS1917" s="128"/>
      <c r="BT1917" s="128"/>
      <c r="BU1917" s="128"/>
      <c r="BV1917" s="128"/>
      <c r="BW1917" s="128"/>
      <c r="BX1917" s="128"/>
      <c r="BY1917" s="128"/>
      <c r="BZ1917" s="128"/>
      <c r="CA1917" s="128"/>
      <c r="CB1917" s="128"/>
      <c r="CC1917" s="128"/>
      <c r="CD1917" s="128"/>
      <c r="CE1917" s="128"/>
      <c r="CF1917" s="128"/>
      <c r="CG1917" s="128"/>
      <c r="CI1917" s="128"/>
      <c r="CJ1917" s="128"/>
      <c r="CK1917" s="128"/>
      <c r="CL1917" s="128"/>
      <c r="CM1917" s="128"/>
      <c r="CN1917" s="128"/>
      <c r="CO1917" s="128"/>
      <c r="CP1917" s="128"/>
      <c r="CQ1917" s="128"/>
      <c r="CR1917" s="128"/>
      <c r="CS1917" s="128"/>
      <c r="CT1917" s="128"/>
      <c r="CU1917" s="128"/>
      <c r="CV1917" s="128"/>
      <c r="CW1917" s="128"/>
      <c r="CX1917" s="128"/>
      <c r="CY1917" s="128"/>
      <c r="CZ1917" s="165"/>
    </row>
    <row r="1918" spans="1:104">
      <c r="A1918" s="149"/>
      <c r="B1918" s="149"/>
      <c r="C1918" s="150"/>
      <c r="D1918" s="102"/>
      <c r="E1918" s="149"/>
      <c r="F1918" s="149"/>
      <c r="G1918" s="149"/>
      <c r="H1918" s="149"/>
      <c r="I1918" s="149"/>
      <c r="J1918" s="149"/>
      <c r="K1918" s="149"/>
      <c r="L1918" s="149"/>
      <c r="M1918" s="149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9"/>
      <c r="AA1918" s="149"/>
      <c r="AB1918" s="149"/>
      <c r="AC1918" s="149"/>
      <c r="AD1918" s="149"/>
      <c r="AE1918" s="149"/>
      <c r="AF1918" s="149"/>
      <c r="AG1918" s="149"/>
      <c r="AH1918" s="149"/>
      <c r="AI1918" s="149"/>
      <c r="AJ1918" s="149"/>
      <c r="AK1918" s="149"/>
      <c r="AL1918" s="149"/>
      <c r="AM1918" s="149"/>
      <c r="AN1918" s="149"/>
      <c r="AO1918" s="128"/>
      <c r="AP1918" s="128"/>
      <c r="AQ1918" s="128"/>
      <c r="AR1918" s="128"/>
      <c r="AS1918" s="128"/>
      <c r="AT1918" s="128"/>
      <c r="AU1918" s="128"/>
      <c r="AV1918" s="128"/>
      <c r="AW1918" s="128"/>
      <c r="AX1918" s="128"/>
      <c r="AY1918" s="128"/>
      <c r="AZ1918" s="128"/>
      <c r="BA1918" s="128"/>
      <c r="BB1918" s="128"/>
      <c r="BC1918" s="128"/>
      <c r="BD1918" s="128"/>
      <c r="BE1918" s="128"/>
      <c r="BF1918" s="128"/>
      <c r="BG1918" s="128"/>
      <c r="BH1918" s="128"/>
      <c r="BI1918" s="128"/>
      <c r="BJ1918" s="128"/>
      <c r="BK1918" s="128"/>
      <c r="BL1918" s="128"/>
      <c r="BM1918" s="151"/>
      <c r="BN1918" s="128"/>
      <c r="BO1918" s="128"/>
      <c r="BP1918" s="128"/>
      <c r="BQ1918" s="128"/>
      <c r="BR1918" s="128"/>
      <c r="BS1918" s="128"/>
      <c r="BT1918" s="128"/>
      <c r="BU1918" s="128"/>
      <c r="BV1918" s="128"/>
      <c r="BW1918" s="128"/>
      <c r="BX1918" s="128"/>
      <c r="BY1918" s="128"/>
      <c r="BZ1918" s="128"/>
      <c r="CA1918" s="128"/>
      <c r="CB1918" s="128"/>
      <c r="CC1918" s="128"/>
      <c r="CD1918" s="128"/>
      <c r="CE1918" s="128"/>
      <c r="CF1918" s="128"/>
      <c r="CG1918" s="128"/>
      <c r="CI1918" s="128"/>
      <c r="CJ1918" s="128"/>
      <c r="CK1918" s="128"/>
      <c r="CL1918" s="128"/>
      <c r="CM1918" s="128"/>
      <c r="CN1918" s="128"/>
      <c r="CO1918" s="128"/>
      <c r="CP1918" s="128"/>
      <c r="CQ1918" s="128"/>
      <c r="CR1918" s="128"/>
      <c r="CS1918" s="128"/>
      <c r="CT1918" s="128"/>
      <c r="CU1918" s="128"/>
      <c r="CV1918" s="128"/>
      <c r="CW1918" s="128"/>
      <c r="CX1918" s="128"/>
      <c r="CY1918" s="128"/>
      <c r="CZ1918" s="165"/>
    </row>
    <row r="1919" spans="1:104">
      <c r="A1919" s="149"/>
      <c r="B1919" s="149"/>
      <c r="C1919" s="150"/>
      <c r="D1919" s="102"/>
      <c r="E1919" s="149"/>
      <c r="F1919" s="149"/>
      <c r="G1919" s="149"/>
      <c r="H1919" s="149"/>
      <c r="I1919" s="149"/>
      <c r="J1919" s="149"/>
      <c r="K1919" s="149"/>
      <c r="L1919" s="149"/>
      <c r="M1919" s="149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9"/>
      <c r="AA1919" s="149"/>
      <c r="AB1919" s="149"/>
      <c r="AC1919" s="149"/>
      <c r="AD1919" s="149"/>
      <c r="AE1919" s="149"/>
      <c r="AF1919" s="149"/>
      <c r="AG1919" s="149"/>
      <c r="AH1919" s="149"/>
      <c r="AI1919" s="149"/>
      <c r="AJ1919" s="149"/>
      <c r="AK1919" s="149"/>
      <c r="AL1919" s="149"/>
      <c r="AM1919" s="149"/>
      <c r="AN1919" s="149"/>
      <c r="AO1919" s="128"/>
      <c r="AP1919" s="128"/>
      <c r="AQ1919" s="128"/>
      <c r="AR1919" s="128"/>
      <c r="AS1919" s="128"/>
      <c r="AT1919" s="128"/>
      <c r="AU1919" s="128"/>
      <c r="AV1919" s="128"/>
      <c r="AW1919" s="128"/>
      <c r="AX1919" s="128"/>
      <c r="AY1919" s="128"/>
      <c r="AZ1919" s="128"/>
      <c r="BA1919" s="128"/>
      <c r="BB1919" s="128"/>
      <c r="BC1919" s="128"/>
      <c r="BD1919" s="128"/>
      <c r="BE1919" s="128"/>
      <c r="BF1919" s="128"/>
      <c r="BG1919" s="128"/>
      <c r="BH1919" s="128"/>
      <c r="BI1919" s="128"/>
      <c r="BJ1919" s="128"/>
      <c r="BK1919" s="128"/>
      <c r="BL1919" s="128"/>
      <c r="BM1919" s="151"/>
      <c r="BN1919" s="128"/>
      <c r="BO1919" s="128"/>
      <c r="BP1919" s="128"/>
      <c r="BQ1919" s="128"/>
      <c r="BR1919" s="128"/>
      <c r="BS1919" s="128"/>
      <c r="BT1919" s="128"/>
      <c r="BU1919" s="128"/>
      <c r="BV1919" s="128"/>
      <c r="BW1919" s="128"/>
      <c r="BX1919" s="128"/>
      <c r="BY1919" s="128"/>
      <c r="BZ1919" s="128"/>
      <c r="CA1919" s="128"/>
      <c r="CB1919" s="128"/>
      <c r="CC1919" s="128"/>
      <c r="CD1919" s="128"/>
      <c r="CE1919" s="128"/>
      <c r="CF1919" s="128"/>
      <c r="CG1919" s="128"/>
      <c r="CI1919" s="128"/>
      <c r="CJ1919" s="128"/>
      <c r="CK1919" s="128"/>
      <c r="CL1919" s="128"/>
      <c r="CM1919" s="128"/>
      <c r="CN1919" s="128"/>
      <c r="CO1919" s="128"/>
      <c r="CP1919" s="128"/>
      <c r="CQ1919" s="128"/>
      <c r="CR1919" s="128"/>
      <c r="CS1919" s="128"/>
      <c r="CT1919" s="128"/>
      <c r="CU1919" s="128"/>
      <c r="CV1919" s="128"/>
      <c r="CW1919" s="128"/>
      <c r="CX1919" s="128"/>
      <c r="CY1919" s="128"/>
      <c r="CZ1919" s="165"/>
    </row>
    <row r="1920" spans="1:104">
      <c r="A1920" s="149"/>
      <c r="B1920" s="149"/>
      <c r="C1920" s="150"/>
      <c r="D1920" s="102"/>
      <c r="E1920" s="149"/>
      <c r="F1920" s="149"/>
      <c r="G1920" s="149"/>
      <c r="H1920" s="149"/>
      <c r="I1920" s="149"/>
      <c r="J1920" s="149"/>
      <c r="K1920" s="149"/>
      <c r="L1920" s="149"/>
      <c r="M1920" s="149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9"/>
      <c r="AA1920" s="149"/>
      <c r="AB1920" s="149"/>
      <c r="AC1920" s="149"/>
      <c r="AD1920" s="149"/>
      <c r="AE1920" s="149"/>
      <c r="AF1920" s="149"/>
      <c r="AG1920" s="149"/>
      <c r="AH1920" s="149"/>
      <c r="AI1920" s="149"/>
      <c r="AJ1920" s="149"/>
      <c r="AK1920" s="149"/>
      <c r="AL1920" s="149"/>
      <c r="AM1920" s="149"/>
      <c r="AN1920" s="149"/>
      <c r="AO1920" s="128"/>
      <c r="AP1920" s="128"/>
      <c r="AQ1920" s="128"/>
      <c r="AR1920" s="128"/>
      <c r="AS1920" s="128"/>
      <c r="AT1920" s="128"/>
      <c r="AU1920" s="128"/>
      <c r="AV1920" s="128"/>
      <c r="AW1920" s="128"/>
      <c r="AX1920" s="128"/>
      <c r="AY1920" s="128"/>
      <c r="AZ1920" s="128"/>
      <c r="BA1920" s="128"/>
      <c r="BB1920" s="128"/>
      <c r="BC1920" s="128"/>
      <c r="BD1920" s="128"/>
      <c r="BE1920" s="128"/>
      <c r="BF1920" s="128"/>
      <c r="BG1920" s="128"/>
      <c r="BH1920" s="128"/>
      <c r="BI1920" s="128"/>
      <c r="BJ1920" s="128"/>
      <c r="BK1920" s="128"/>
      <c r="BL1920" s="128"/>
      <c r="BM1920" s="151"/>
      <c r="BN1920" s="128"/>
      <c r="BO1920" s="128"/>
      <c r="BP1920" s="128"/>
      <c r="BQ1920" s="128"/>
      <c r="BR1920" s="128"/>
      <c r="BS1920" s="128"/>
      <c r="BT1920" s="128"/>
      <c r="BU1920" s="128"/>
      <c r="BV1920" s="128"/>
      <c r="BW1920" s="128"/>
      <c r="BX1920" s="128"/>
      <c r="BY1920" s="128"/>
      <c r="BZ1920" s="128"/>
      <c r="CA1920" s="128"/>
      <c r="CB1920" s="128"/>
      <c r="CC1920" s="128"/>
      <c r="CD1920" s="128"/>
      <c r="CE1920" s="128"/>
      <c r="CF1920" s="128"/>
      <c r="CG1920" s="128"/>
      <c r="CI1920" s="128"/>
      <c r="CJ1920" s="128"/>
      <c r="CK1920" s="128"/>
      <c r="CL1920" s="128"/>
      <c r="CM1920" s="128"/>
      <c r="CN1920" s="128"/>
      <c r="CO1920" s="128"/>
      <c r="CP1920" s="128"/>
      <c r="CQ1920" s="128"/>
      <c r="CR1920" s="128"/>
      <c r="CS1920" s="128"/>
      <c r="CT1920" s="128"/>
      <c r="CU1920" s="128"/>
      <c r="CV1920" s="128"/>
      <c r="CW1920" s="128"/>
      <c r="CX1920" s="128"/>
      <c r="CY1920" s="128"/>
      <c r="CZ1920" s="165"/>
    </row>
    <row r="1921" spans="1:104">
      <c r="A1921" s="149"/>
      <c r="B1921" s="149"/>
      <c r="C1921" s="150"/>
      <c r="D1921" s="102"/>
      <c r="E1921" s="149"/>
      <c r="F1921" s="149"/>
      <c r="G1921" s="149"/>
      <c r="H1921" s="149"/>
      <c r="I1921" s="149"/>
      <c r="J1921" s="149"/>
      <c r="K1921" s="149"/>
      <c r="L1921" s="149"/>
      <c r="M1921" s="149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9"/>
      <c r="AA1921" s="149"/>
      <c r="AB1921" s="149"/>
      <c r="AC1921" s="149"/>
      <c r="AD1921" s="149"/>
      <c r="AE1921" s="149"/>
      <c r="AF1921" s="149"/>
      <c r="AG1921" s="149"/>
      <c r="AH1921" s="149"/>
      <c r="AI1921" s="149"/>
      <c r="AJ1921" s="149"/>
      <c r="AK1921" s="149"/>
      <c r="AL1921" s="149"/>
      <c r="AM1921" s="149"/>
      <c r="AN1921" s="149"/>
      <c r="AO1921" s="128"/>
      <c r="AP1921" s="128"/>
      <c r="AQ1921" s="128"/>
      <c r="AR1921" s="128"/>
      <c r="AS1921" s="128"/>
      <c r="AT1921" s="128"/>
      <c r="AU1921" s="128"/>
      <c r="AV1921" s="128"/>
      <c r="AW1921" s="128"/>
      <c r="AX1921" s="128"/>
      <c r="AY1921" s="128"/>
      <c r="AZ1921" s="128"/>
      <c r="BA1921" s="128"/>
      <c r="BB1921" s="128"/>
      <c r="BC1921" s="128"/>
      <c r="BD1921" s="128"/>
      <c r="BE1921" s="128"/>
      <c r="BF1921" s="128"/>
      <c r="BG1921" s="128"/>
      <c r="BH1921" s="128"/>
      <c r="BI1921" s="128"/>
      <c r="BJ1921" s="128"/>
      <c r="BK1921" s="128"/>
      <c r="BL1921" s="128"/>
      <c r="BM1921" s="151"/>
      <c r="BN1921" s="128"/>
      <c r="BO1921" s="128"/>
      <c r="BP1921" s="128"/>
      <c r="BQ1921" s="128"/>
      <c r="BR1921" s="128"/>
      <c r="BS1921" s="128"/>
      <c r="BT1921" s="128"/>
      <c r="BU1921" s="128"/>
      <c r="BV1921" s="128"/>
      <c r="BW1921" s="128"/>
      <c r="BX1921" s="128"/>
      <c r="BY1921" s="128"/>
      <c r="BZ1921" s="128"/>
      <c r="CA1921" s="128"/>
      <c r="CB1921" s="128"/>
      <c r="CC1921" s="128"/>
      <c r="CD1921" s="128"/>
      <c r="CE1921" s="128"/>
      <c r="CF1921" s="128"/>
      <c r="CG1921" s="128"/>
      <c r="CI1921" s="128"/>
      <c r="CJ1921" s="128"/>
      <c r="CK1921" s="128"/>
      <c r="CL1921" s="128"/>
      <c r="CM1921" s="128"/>
      <c r="CN1921" s="128"/>
      <c r="CO1921" s="128"/>
      <c r="CP1921" s="128"/>
      <c r="CQ1921" s="128"/>
      <c r="CR1921" s="128"/>
      <c r="CS1921" s="128"/>
      <c r="CT1921" s="128"/>
      <c r="CU1921" s="128"/>
      <c r="CV1921" s="128"/>
      <c r="CW1921" s="128"/>
      <c r="CX1921" s="128"/>
      <c r="CY1921" s="128"/>
      <c r="CZ1921" s="165"/>
    </row>
    <row r="1922" spans="1:104">
      <c r="A1922" s="149"/>
      <c r="B1922" s="149"/>
      <c r="C1922" s="150"/>
      <c r="D1922" s="102"/>
      <c r="E1922" s="149"/>
      <c r="F1922" s="149"/>
      <c r="G1922" s="149"/>
      <c r="H1922" s="149"/>
      <c r="I1922" s="149"/>
      <c r="J1922" s="149"/>
      <c r="K1922" s="149"/>
      <c r="L1922" s="149"/>
      <c r="M1922" s="149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9"/>
      <c r="AA1922" s="149"/>
      <c r="AB1922" s="149"/>
      <c r="AC1922" s="149"/>
      <c r="AD1922" s="149"/>
      <c r="AE1922" s="149"/>
      <c r="AF1922" s="149"/>
      <c r="AG1922" s="149"/>
      <c r="AH1922" s="149"/>
      <c r="AI1922" s="149"/>
      <c r="AJ1922" s="149"/>
      <c r="AK1922" s="149"/>
      <c r="AL1922" s="149"/>
      <c r="AM1922" s="149"/>
      <c r="AN1922" s="149"/>
      <c r="AO1922" s="128"/>
      <c r="AP1922" s="128"/>
      <c r="AQ1922" s="128"/>
      <c r="AR1922" s="128"/>
      <c r="AS1922" s="128"/>
      <c r="AT1922" s="128"/>
      <c r="AU1922" s="128"/>
      <c r="AV1922" s="128"/>
      <c r="AW1922" s="128"/>
      <c r="AX1922" s="128"/>
      <c r="AY1922" s="128"/>
      <c r="AZ1922" s="128"/>
      <c r="BA1922" s="128"/>
      <c r="BB1922" s="128"/>
      <c r="BC1922" s="128"/>
      <c r="BD1922" s="128"/>
      <c r="BE1922" s="128"/>
      <c r="BF1922" s="128"/>
      <c r="BG1922" s="128"/>
      <c r="BH1922" s="128"/>
      <c r="BI1922" s="128"/>
      <c r="BJ1922" s="128"/>
      <c r="BK1922" s="128"/>
      <c r="BL1922" s="128"/>
      <c r="BM1922" s="151"/>
      <c r="BN1922" s="128"/>
      <c r="BO1922" s="128"/>
      <c r="BP1922" s="128"/>
      <c r="BQ1922" s="128"/>
      <c r="BR1922" s="128"/>
      <c r="BS1922" s="128"/>
      <c r="BT1922" s="128"/>
      <c r="BU1922" s="128"/>
      <c r="BV1922" s="128"/>
      <c r="BW1922" s="128"/>
      <c r="BX1922" s="128"/>
      <c r="BY1922" s="128"/>
      <c r="BZ1922" s="128"/>
      <c r="CA1922" s="128"/>
      <c r="CB1922" s="128"/>
      <c r="CC1922" s="128"/>
      <c r="CD1922" s="128"/>
      <c r="CE1922" s="128"/>
      <c r="CF1922" s="128"/>
      <c r="CG1922" s="128"/>
      <c r="CI1922" s="128"/>
      <c r="CJ1922" s="128"/>
      <c r="CK1922" s="128"/>
      <c r="CL1922" s="128"/>
      <c r="CM1922" s="128"/>
      <c r="CN1922" s="128"/>
      <c r="CO1922" s="128"/>
      <c r="CP1922" s="128"/>
      <c r="CQ1922" s="128"/>
      <c r="CR1922" s="128"/>
      <c r="CS1922" s="128"/>
      <c r="CT1922" s="128"/>
      <c r="CU1922" s="128"/>
      <c r="CV1922" s="128"/>
      <c r="CW1922" s="128"/>
      <c r="CX1922" s="128"/>
      <c r="CY1922" s="128"/>
      <c r="CZ1922" s="165"/>
    </row>
    <row r="1923" spans="1:104">
      <c r="A1923" s="149"/>
      <c r="B1923" s="149"/>
      <c r="C1923" s="150"/>
      <c r="D1923" s="102"/>
      <c r="E1923" s="149"/>
      <c r="F1923" s="149"/>
      <c r="G1923" s="149"/>
      <c r="H1923" s="149"/>
      <c r="I1923" s="149"/>
      <c r="J1923" s="149"/>
      <c r="K1923" s="149"/>
      <c r="L1923" s="149"/>
      <c r="M1923" s="149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9"/>
      <c r="AA1923" s="149"/>
      <c r="AB1923" s="149"/>
      <c r="AC1923" s="149"/>
      <c r="AD1923" s="149"/>
      <c r="AE1923" s="149"/>
      <c r="AF1923" s="149"/>
      <c r="AG1923" s="149"/>
      <c r="AH1923" s="149"/>
      <c r="AI1923" s="149"/>
      <c r="AJ1923" s="149"/>
      <c r="AK1923" s="149"/>
      <c r="AL1923" s="149"/>
      <c r="AM1923" s="149"/>
      <c r="AN1923" s="149"/>
      <c r="AO1923" s="128"/>
      <c r="AP1923" s="128"/>
      <c r="AQ1923" s="128"/>
      <c r="AR1923" s="128"/>
      <c r="AS1923" s="128"/>
      <c r="AT1923" s="128"/>
      <c r="AU1923" s="128"/>
      <c r="AV1923" s="128"/>
      <c r="AW1923" s="128"/>
      <c r="AX1923" s="128"/>
      <c r="AY1923" s="128"/>
      <c r="AZ1923" s="128"/>
      <c r="BA1923" s="128"/>
      <c r="BB1923" s="128"/>
      <c r="BC1923" s="128"/>
      <c r="BD1923" s="128"/>
      <c r="BE1923" s="128"/>
      <c r="BF1923" s="128"/>
      <c r="BG1923" s="128"/>
      <c r="BH1923" s="128"/>
      <c r="BI1923" s="128"/>
      <c r="BJ1923" s="128"/>
      <c r="BK1923" s="128"/>
      <c r="BL1923" s="128"/>
      <c r="BM1923" s="151"/>
      <c r="BN1923" s="128"/>
      <c r="BO1923" s="128"/>
      <c r="BP1923" s="128"/>
      <c r="BQ1923" s="128"/>
      <c r="BR1923" s="128"/>
      <c r="BS1923" s="128"/>
      <c r="BT1923" s="128"/>
      <c r="BU1923" s="128"/>
      <c r="BV1923" s="128"/>
      <c r="BW1923" s="128"/>
      <c r="BX1923" s="128"/>
      <c r="BY1923" s="128"/>
      <c r="BZ1923" s="128"/>
      <c r="CA1923" s="128"/>
      <c r="CB1923" s="128"/>
      <c r="CC1923" s="128"/>
      <c r="CD1923" s="128"/>
      <c r="CE1923" s="128"/>
      <c r="CF1923" s="128"/>
      <c r="CG1923" s="128"/>
      <c r="CI1923" s="128"/>
      <c r="CJ1923" s="128"/>
      <c r="CK1923" s="128"/>
      <c r="CL1923" s="128"/>
      <c r="CM1923" s="128"/>
      <c r="CN1923" s="128"/>
      <c r="CO1923" s="128"/>
      <c r="CP1923" s="128"/>
      <c r="CQ1923" s="128"/>
      <c r="CR1923" s="128"/>
      <c r="CS1923" s="128"/>
      <c r="CT1923" s="128"/>
      <c r="CU1923" s="128"/>
      <c r="CV1923" s="128"/>
      <c r="CW1923" s="128"/>
      <c r="CX1923" s="128"/>
      <c r="CY1923" s="128"/>
      <c r="CZ1923" s="165"/>
    </row>
    <row r="1924" spans="1:104">
      <c r="A1924" s="149"/>
      <c r="B1924" s="149"/>
      <c r="C1924" s="150"/>
      <c r="D1924" s="102"/>
      <c r="E1924" s="149"/>
      <c r="F1924" s="149"/>
      <c r="G1924" s="149"/>
      <c r="H1924" s="149"/>
      <c r="I1924" s="149"/>
      <c r="J1924" s="149"/>
      <c r="K1924" s="149"/>
      <c r="L1924" s="149"/>
      <c r="M1924" s="149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9"/>
      <c r="AA1924" s="149"/>
      <c r="AB1924" s="149"/>
      <c r="AC1924" s="149"/>
      <c r="AD1924" s="149"/>
      <c r="AE1924" s="149"/>
      <c r="AF1924" s="149"/>
      <c r="AG1924" s="149"/>
      <c r="AH1924" s="149"/>
      <c r="AI1924" s="149"/>
      <c r="AJ1924" s="149"/>
      <c r="AK1924" s="149"/>
      <c r="AL1924" s="149"/>
      <c r="AM1924" s="149"/>
      <c r="AN1924" s="149"/>
      <c r="AO1924" s="128"/>
      <c r="AP1924" s="128"/>
      <c r="AQ1924" s="128"/>
      <c r="AR1924" s="128"/>
      <c r="AS1924" s="128"/>
      <c r="AT1924" s="128"/>
      <c r="AU1924" s="128"/>
      <c r="AV1924" s="128"/>
      <c r="AW1924" s="128"/>
      <c r="AX1924" s="128"/>
      <c r="AY1924" s="128"/>
      <c r="AZ1924" s="128"/>
      <c r="BA1924" s="128"/>
      <c r="BB1924" s="128"/>
      <c r="BC1924" s="128"/>
      <c r="BD1924" s="128"/>
      <c r="BE1924" s="128"/>
      <c r="BF1924" s="128"/>
      <c r="BG1924" s="128"/>
      <c r="BH1924" s="128"/>
      <c r="BI1924" s="128"/>
      <c r="BJ1924" s="128"/>
      <c r="BK1924" s="128"/>
      <c r="BL1924" s="128"/>
      <c r="BM1924" s="151"/>
      <c r="BN1924" s="128"/>
      <c r="BO1924" s="128"/>
      <c r="BP1924" s="128"/>
      <c r="BQ1924" s="128"/>
      <c r="BR1924" s="128"/>
      <c r="BS1924" s="128"/>
      <c r="BT1924" s="128"/>
      <c r="BU1924" s="128"/>
      <c r="BV1924" s="128"/>
      <c r="BW1924" s="128"/>
      <c r="BX1924" s="128"/>
      <c r="BY1924" s="128"/>
      <c r="BZ1924" s="128"/>
      <c r="CA1924" s="128"/>
      <c r="CB1924" s="128"/>
      <c r="CC1924" s="128"/>
      <c r="CD1924" s="128"/>
      <c r="CE1924" s="128"/>
      <c r="CF1924" s="128"/>
      <c r="CG1924" s="128"/>
      <c r="CI1924" s="128"/>
      <c r="CJ1924" s="128"/>
      <c r="CK1924" s="128"/>
      <c r="CL1924" s="128"/>
      <c r="CM1924" s="128"/>
      <c r="CN1924" s="128"/>
      <c r="CO1924" s="128"/>
      <c r="CP1924" s="128"/>
      <c r="CQ1924" s="128"/>
      <c r="CR1924" s="128"/>
      <c r="CS1924" s="128"/>
      <c r="CT1924" s="128"/>
      <c r="CU1924" s="128"/>
      <c r="CV1924" s="128"/>
      <c r="CW1924" s="128"/>
      <c r="CX1924" s="128"/>
      <c r="CY1924" s="128"/>
      <c r="CZ1924" s="165"/>
    </row>
    <row r="1925" spans="1:104">
      <c r="A1925" s="149"/>
      <c r="B1925" s="149"/>
      <c r="C1925" s="150"/>
      <c r="D1925" s="102"/>
      <c r="E1925" s="149"/>
      <c r="F1925" s="149"/>
      <c r="G1925" s="149"/>
      <c r="H1925" s="149"/>
      <c r="I1925" s="149"/>
      <c r="J1925" s="149"/>
      <c r="K1925" s="149"/>
      <c r="L1925" s="149"/>
      <c r="M1925" s="149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9"/>
      <c r="AA1925" s="149"/>
      <c r="AB1925" s="149"/>
      <c r="AC1925" s="149"/>
      <c r="AD1925" s="149"/>
      <c r="AE1925" s="149"/>
      <c r="AF1925" s="149"/>
      <c r="AG1925" s="149"/>
      <c r="AH1925" s="149"/>
      <c r="AI1925" s="149"/>
      <c r="AJ1925" s="149"/>
      <c r="AK1925" s="149"/>
      <c r="AL1925" s="149"/>
      <c r="AM1925" s="149"/>
      <c r="AN1925" s="149"/>
      <c r="AO1925" s="128"/>
      <c r="AP1925" s="128"/>
      <c r="AQ1925" s="128"/>
      <c r="AR1925" s="128"/>
      <c r="AS1925" s="128"/>
      <c r="AT1925" s="128"/>
      <c r="AU1925" s="128"/>
      <c r="AV1925" s="128"/>
      <c r="AW1925" s="128"/>
      <c r="AX1925" s="128"/>
      <c r="AY1925" s="128"/>
      <c r="AZ1925" s="128"/>
      <c r="BA1925" s="128"/>
      <c r="BB1925" s="128"/>
      <c r="BC1925" s="128"/>
      <c r="BD1925" s="128"/>
      <c r="BE1925" s="128"/>
      <c r="BF1925" s="128"/>
      <c r="BG1925" s="128"/>
      <c r="BH1925" s="128"/>
      <c r="BI1925" s="128"/>
      <c r="BJ1925" s="128"/>
      <c r="BK1925" s="128"/>
      <c r="BL1925" s="128"/>
      <c r="BM1925" s="151"/>
      <c r="BN1925" s="128"/>
      <c r="BO1925" s="128"/>
      <c r="BP1925" s="128"/>
      <c r="BQ1925" s="128"/>
      <c r="BR1925" s="128"/>
      <c r="BS1925" s="128"/>
      <c r="BT1925" s="128"/>
      <c r="BU1925" s="128"/>
      <c r="BV1925" s="128"/>
      <c r="BW1925" s="128"/>
      <c r="BX1925" s="128"/>
      <c r="BY1925" s="128"/>
      <c r="BZ1925" s="128"/>
      <c r="CA1925" s="128"/>
      <c r="CB1925" s="128"/>
      <c r="CC1925" s="128"/>
      <c r="CD1925" s="128"/>
      <c r="CE1925" s="128"/>
      <c r="CF1925" s="128"/>
      <c r="CG1925" s="128"/>
      <c r="CI1925" s="128"/>
      <c r="CJ1925" s="128"/>
      <c r="CK1925" s="128"/>
      <c r="CL1925" s="128"/>
      <c r="CM1925" s="128"/>
      <c r="CN1925" s="128"/>
      <c r="CO1925" s="128"/>
      <c r="CP1925" s="128"/>
      <c r="CQ1925" s="128"/>
      <c r="CR1925" s="128"/>
      <c r="CS1925" s="128"/>
      <c r="CT1925" s="128"/>
      <c r="CU1925" s="128"/>
      <c r="CV1925" s="128"/>
      <c r="CW1925" s="128"/>
      <c r="CX1925" s="128"/>
      <c r="CY1925" s="128"/>
      <c r="CZ1925" s="165"/>
    </row>
    <row r="1926" spans="1:104">
      <c r="A1926" s="149"/>
      <c r="B1926" s="149"/>
      <c r="C1926" s="150"/>
      <c r="D1926" s="102"/>
      <c r="E1926" s="149"/>
      <c r="F1926" s="149"/>
      <c r="G1926" s="149"/>
      <c r="H1926" s="149"/>
      <c r="I1926" s="149"/>
      <c r="J1926" s="149"/>
      <c r="K1926" s="149"/>
      <c r="L1926" s="149"/>
      <c r="M1926" s="149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9"/>
      <c r="AA1926" s="149"/>
      <c r="AB1926" s="149"/>
      <c r="AC1926" s="149"/>
      <c r="AD1926" s="149"/>
      <c r="AE1926" s="149"/>
      <c r="AF1926" s="149"/>
      <c r="AG1926" s="149"/>
      <c r="AH1926" s="149"/>
      <c r="AI1926" s="149"/>
      <c r="AJ1926" s="149"/>
      <c r="AK1926" s="149"/>
      <c r="AL1926" s="149"/>
      <c r="AM1926" s="149"/>
      <c r="AN1926" s="149"/>
      <c r="AO1926" s="128"/>
      <c r="AP1926" s="128"/>
      <c r="AQ1926" s="128"/>
      <c r="AR1926" s="128"/>
      <c r="AS1926" s="128"/>
      <c r="AT1926" s="128"/>
      <c r="AU1926" s="128"/>
      <c r="AV1926" s="128"/>
      <c r="AW1926" s="128"/>
      <c r="AX1926" s="128"/>
      <c r="AY1926" s="128"/>
      <c r="AZ1926" s="128"/>
      <c r="BA1926" s="128"/>
      <c r="BB1926" s="128"/>
      <c r="BC1926" s="128"/>
      <c r="BD1926" s="128"/>
      <c r="BE1926" s="128"/>
      <c r="BF1926" s="128"/>
      <c r="BG1926" s="128"/>
      <c r="BH1926" s="128"/>
      <c r="BI1926" s="128"/>
      <c r="BJ1926" s="128"/>
      <c r="BK1926" s="128"/>
      <c r="BL1926" s="128"/>
      <c r="BM1926" s="151"/>
      <c r="BN1926" s="128"/>
      <c r="BO1926" s="128"/>
      <c r="BP1926" s="128"/>
      <c r="BQ1926" s="128"/>
      <c r="BR1926" s="128"/>
      <c r="BS1926" s="128"/>
      <c r="BT1926" s="128"/>
      <c r="BU1926" s="128"/>
      <c r="BV1926" s="128"/>
      <c r="BW1926" s="128"/>
      <c r="BX1926" s="128"/>
      <c r="BY1926" s="128"/>
      <c r="BZ1926" s="128"/>
      <c r="CA1926" s="128"/>
      <c r="CB1926" s="128"/>
      <c r="CC1926" s="128"/>
      <c r="CD1926" s="128"/>
      <c r="CE1926" s="128"/>
      <c r="CF1926" s="128"/>
      <c r="CG1926" s="128"/>
      <c r="CI1926" s="128"/>
      <c r="CJ1926" s="128"/>
      <c r="CK1926" s="128"/>
      <c r="CL1926" s="128"/>
      <c r="CM1926" s="128"/>
      <c r="CN1926" s="128"/>
      <c r="CO1926" s="128"/>
      <c r="CP1926" s="128"/>
      <c r="CQ1926" s="128"/>
      <c r="CR1926" s="128"/>
      <c r="CS1926" s="128"/>
      <c r="CT1926" s="128"/>
      <c r="CU1926" s="128"/>
      <c r="CV1926" s="128"/>
      <c r="CW1926" s="128"/>
      <c r="CX1926" s="128"/>
      <c r="CY1926" s="128"/>
      <c r="CZ1926" s="165"/>
    </row>
    <row r="1927" spans="1:104">
      <c r="A1927" s="149"/>
      <c r="B1927" s="149"/>
      <c r="C1927" s="150"/>
      <c r="D1927" s="102"/>
      <c r="E1927" s="149"/>
      <c r="F1927" s="149"/>
      <c r="G1927" s="149"/>
      <c r="H1927" s="149"/>
      <c r="I1927" s="149"/>
      <c r="J1927" s="149"/>
      <c r="K1927" s="149"/>
      <c r="L1927" s="149"/>
      <c r="M1927" s="149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9"/>
      <c r="AA1927" s="149"/>
      <c r="AB1927" s="149"/>
      <c r="AC1927" s="149"/>
      <c r="AD1927" s="149"/>
      <c r="AE1927" s="149"/>
      <c r="AF1927" s="149"/>
      <c r="AG1927" s="149"/>
      <c r="AH1927" s="149"/>
      <c r="AI1927" s="149"/>
      <c r="AJ1927" s="149"/>
      <c r="AK1927" s="149"/>
      <c r="AL1927" s="149"/>
      <c r="AM1927" s="149"/>
      <c r="AN1927" s="149"/>
      <c r="AO1927" s="128"/>
      <c r="AP1927" s="128"/>
      <c r="AQ1927" s="128"/>
      <c r="AR1927" s="128"/>
      <c r="AS1927" s="128"/>
      <c r="AT1927" s="128"/>
      <c r="AU1927" s="128"/>
      <c r="AV1927" s="128"/>
      <c r="AW1927" s="128"/>
      <c r="AX1927" s="128"/>
      <c r="AY1927" s="128"/>
      <c r="AZ1927" s="128"/>
      <c r="BA1927" s="128"/>
      <c r="BB1927" s="128"/>
      <c r="BC1927" s="128"/>
      <c r="BD1927" s="128"/>
      <c r="BE1927" s="128"/>
      <c r="BF1927" s="128"/>
      <c r="BG1927" s="128"/>
      <c r="BH1927" s="128"/>
      <c r="BI1927" s="128"/>
      <c r="BJ1927" s="128"/>
      <c r="BK1927" s="128"/>
      <c r="BL1927" s="128"/>
      <c r="BM1927" s="151"/>
      <c r="BN1927" s="128"/>
      <c r="BO1927" s="128"/>
      <c r="BP1927" s="128"/>
      <c r="BQ1927" s="128"/>
      <c r="BR1927" s="128"/>
      <c r="BS1927" s="128"/>
      <c r="BT1927" s="128"/>
      <c r="BU1927" s="128"/>
      <c r="BV1927" s="128"/>
      <c r="BW1927" s="128"/>
      <c r="BX1927" s="128"/>
      <c r="BY1927" s="128"/>
      <c r="BZ1927" s="128"/>
      <c r="CA1927" s="128"/>
      <c r="CB1927" s="128"/>
      <c r="CC1927" s="128"/>
      <c r="CD1927" s="128"/>
      <c r="CE1927" s="128"/>
      <c r="CF1927" s="128"/>
      <c r="CG1927" s="128"/>
      <c r="CI1927" s="128"/>
      <c r="CJ1927" s="128"/>
      <c r="CK1927" s="128"/>
      <c r="CL1927" s="128"/>
      <c r="CM1927" s="128"/>
      <c r="CN1927" s="128"/>
      <c r="CO1927" s="128"/>
      <c r="CP1927" s="128"/>
      <c r="CQ1927" s="128"/>
      <c r="CR1927" s="128"/>
      <c r="CS1927" s="128"/>
      <c r="CT1927" s="128"/>
      <c r="CU1927" s="128"/>
      <c r="CV1927" s="128"/>
      <c r="CW1927" s="128"/>
      <c r="CX1927" s="128"/>
      <c r="CY1927" s="128"/>
      <c r="CZ1927" s="165"/>
    </row>
    <row r="1928" spans="1:104">
      <c r="A1928" s="149"/>
      <c r="B1928" s="149"/>
      <c r="C1928" s="150"/>
      <c r="D1928" s="102"/>
      <c r="E1928" s="149"/>
      <c r="F1928" s="149"/>
      <c r="G1928" s="149"/>
      <c r="H1928" s="149"/>
      <c r="I1928" s="149"/>
      <c r="J1928" s="149"/>
      <c r="K1928" s="149"/>
      <c r="L1928" s="149"/>
      <c r="M1928" s="149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9"/>
      <c r="AA1928" s="149"/>
      <c r="AB1928" s="149"/>
      <c r="AC1928" s="149"/>
      <c r="AD1928" s="149"/>
      <c r="AE1928" s="149"/>
      <c r="AF1928" s="149"/>
      <c r="AG1928" s="149"/>
      <c r="AH1928" s="149"/>
      <c r="AI1928" s="149"/>
      <c r="AJ1928" s="149"/>
      <c r="AK1928" s="149"/>
      <c r="AL1928" s="149"/>
      <c r="AM1928" s="149"/>
      <c r="AN1928" s="149"/>
      <c r="AO1928" s="128"/>
      <c r="AP1928" s="128"/>
      <c r="AQ1928" s="128"/>
      <c r="AR1928" s="128"/>
      <c r="AS1928" s="128"/>
      <c r="AT1928" s="128"/>
      <c r="AU1928" s="128"/>
      <c r="AV1928" s="128"/>
      <c r="AW1928" s="128"/>
      <c r="AX1928" s="128"/>
      <c r="AY1928" s="128"/>
      <c r="AZ1928" s="128"/>
      <c r="BA1928" s="128"/>
      <c r="BB1928" s="128"/>
      <c r="BC1928" s="128"/>
      <c r="BD1928" s="128"/>
      <c r="BE1928" s="128"/>
      <c r="BF1928" s="128"/>
      <c r="BG1928" s="128"/>
      <c r="BH1928" s="128"/>
      <c r="BI1928" s="128"/>
      <c r="BJ1928" s="128"/>
      <c r="BK1928" s="128"/>
      <c r="BL1928" s="128"/>
      <c r="BM1928" s="151"/>
      <c r="BN1928" s="128"/>
      <c r="BO1928" s="128"/>
      <c r="BP1928" s="128"/>
      <c r="BQ1928" s="128"/>
      <c r="BR1928" s="128"/>
      <c r="BS1928" s="128"/>
      <c r="BT1928" s="128"/>
      <c r="BU1928" s="128"/>
      <c r="BV1928" s="128"/>
      <c r="BW1928" s="128"/>
      <c r="BX1928" s="128"/>
      <c r="BY1928" s="128"/>
      <c r="BZ1928" s="128"/>
      <c r="CA1928" s="128"/>
      <c r="CB1928" s="128"/>
      <c r="CC1928" s="128"/>
      <c r="CD1928" s="128"/>
      <c r="CE1928" s="128"/>
      <c r="CF1928" s="128"/>
      <c r="CG1928" s="128"/>
      <c r="CI1928" s="128"/>
      <c r="CJ1928" s="128"/>
      <c r="CK1928" s="128"/>
      <c r="CL1928" s="128"/>
      <c r="CM1928" s="128"/>
      <c r="CN1928" s="128"/>
      <c r="CO1928" s="128"/>
      <c r="CP1928" s="128"/>
      <c r="CQ1928" s="128"/>
      <c r="CR1928" s="128"/>
      <c r="CS1928" s="128"/>
      <c r="CT1928" s="128"/>
      <c r="CU1928" s="128"/>
      <c r="CV1928" s="128"/>
      <c r="CW1928" s="128"/>
      <c r="CX1928" s="128"/>
      <c r="CY1928" s="128"/>
      <c r="CZ1928" s="165"/>
    </row>
    <row r="1929" spans="1:104">
      <c r="A1929" s="149"/>
      <c r="B1929" s="149"/>
      <c r="C1929" s="150"/>
      <c r="D1929" s="102"/>
      <c r="E1929" s="149"/>
      <c r="F1929" s="149"/>
      <c r="G1929" s="149"/>
      <c r="H1929" s="149"/>
      <c r="I1929" s="149"/>
      <c r="J1929" s="149"/>
      <c r="K1929" s="149"/>
      <c r="L1929" s="149"/>
      <c r="M1929" s="149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9"/>
      <c r="AA1929" s="149"/>
      <c r="AB1929" s="149"/>
      <c r="AC1929" s="149"/>
      <c r="AD1929" s="149"/>
      <c r="AE1929" s="149"/>
      <c r="AF1929" s="149"/>
      <c r="AG1929" s="149"/>
      <c r="AH1929" s="149"/>
      <c r="AI1929" s="149"/>
      <c r="AJ1929" s="149"/>
      <c r="AK1929" s="149"/>
      <c r="AL1929" s="149"/>
      <c r="AM1929" s="149"/>
      <c r="AN1929" s="149"/>
      <c r="AO1929" s="128"/>
      <c r="AP1929" s="128"/>
      <c r="AQ1929" s="128"/>
      <c r="AR1929" s="128"/>
      <c r="AS1929" s="128"/>
      <c r="AT1929" s="128"/>
      <c r="AU1929" s="128"/>
      <c r="AV1929" s="128"/>
      <c r="AW1929" s="128"/>
      <c r="AX1929" s="128"/>
      <c r="AY1929" s="128"/>
      <c r="AZ1929" s="128"/>
      <c r="BA1929" s="128"/>
      <c r="BB1929" s="128"/>
      <c r="BC1929" s="128"/>
      <c r="BD1929" s="128"/>
      <c r="BE1929" s="128"/>
      <c r="BF1929" s="128"/>
      <c r="BG1929" s="128"/>
      <c r="BH1929" s="128"/>
      <c r="BI1929" s="128"/>
      <c r="BJ1929" s="128"/>
      <c r="BK1929" s="128"/>
      <c r="BL1929" s="128"/>
      <c r="BM1929" s="151"/>
      <c r="BN1929" s="128"/>
      <c r="BO1929" s="128"/>
      <c r="BP1929" s="128"/>
      <c r="BQ1929" s="128"/>
      <c r="BR1929" s="128"/>
      <c r="BS1929" s="128"/>
      <c r="BT1929" s="128"/>
      <c r="BU1929" s="128"/>
      <c r="BV1929" s="128"/>
      <c r="BW1929" s="128"/>
      <c r="BX1929" s="128"/>
      <c r="BY1929" s="128"/>
      <c r="BZ1929" s="128"/>
      <c r="CA1929" s="128"/>
      <c r="CB1929" s="128"/>
      <c r="CC1929" s="128"/>
      <c r="CD1929" s="128"/>
      <c r="CE1929" s="128"/>
      <c r="CF1929" s="128"/>
      <c r="CG1929" s="128"/>
      <c r="CI1929" s="128"/>
      <c r="CJ1929" s="128"/>
      <c r="CK1929" s="128"/>
      <c r="CL1929" s="128"/>
      <c r="CM1929" s="128"/>
      <c r="CN1929" s="128"/>
      <c r="CO1929" s="128"/>
      <c r="CP1929" s="128"/>
      <c r="CQ1929" s="128"/>
      <c r="CR1929" s="128"/>
      <c r="CS1929" s="128"/>
      <c r="CT1929" s="128"/>
      <c r="CU1929" s="128"/>
      <c r="CV1929" s="128"/>
      <c r="CW1929" s="128"/>
      <c r="CX1929" s="128"/>
      <c r="CY1929" s="128"/>
      <c r="CZ1929" s="165"/>
    </row>
    <row r="1930" spans="1:104">
      <c r="A1930" s="149"/>
      <c r="B1930" s="149"/>
      <c r="C1930" s="150"/>
      <c r="D1930" s="102"/>
      <c r="E1930" s="149"/>
      <c r="F1930" s="149"/>
      <c r="G1930" s="149"/>
      <c r="H1930" s="149"/>
      <c r="I1930" s="149"/>
      <c r="J1930" s="149"/>
      <c r="K1930" s="149"/>
      <c r="L1930" s="149"/>
      <c r="M1930" s="149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9"/>
      <c r="AA1930" s="149"/>
      <c r="AB1930" s="149"/>
      <c r="AC1930" s="149"/>
      <c r="AD1930" s="149"/>
      <c r="AE1930" s="149"/>
      <c r="AF1930" s="149"/>
      <c r="AG1930" s="149"/>
      <c r="AH1930" s="149"/>
      <c r="AI1930" s="149"/>
      <c r="AJ1930" s="149"/>
      <c r="AK1930" s="149"/>
      <c r="AL1930" s="149"/>
      <c r="AM1930" s="149"/>
      <c r="AN1930" s="149"/>
      <c r="AO1930" s="128"/>
      <c r="AP1930" s="128"/>
      <c r="AQ1930" s="128"/>
      <c r="AR1930" s="128"/>
      <c r="AS1930" s="128"/>
      <c r="AT1930" s="128"/>
      <c r="AU1930" s="128"/>
      <c r="AV1930" s="128"/>
      <c r="AW1930" s="128"/>
      <c r="AX1930" s="128"/>
      <c r="AY1930" s="128"/>
      <c r="AZ1930" s="128"/>
      <c r="BA1930" s="128"/>
      <c r="BB1930" s="128"/>
      <c r="BC1930" s="128"/>
      <c r="BD1930" s="128"/>
      <c r="BE1930" s="128"/>
      <c r="BF1930" s="128"/>
      <c r="BG1930" s="128"/>
      <c r="BH1930" s="128"/>
      <c r="BI1930" s="128"/>
      <c r="BJ1930" s="128"/>
      <c r="BK1930" s="128"/>
      <c r="BL1930" s="128"/>
      <c r="BM1930" s="151"/>
      <c r="BN1930" s="128"/>
      <c r="BO1930" s="128"/>
      <c r="BP1930" s="128"/>
      <c r="BQ1930" s="128"/>
      <c r="BR1930" s="128"/>
      <c r="BS1930" s="128"/>
      <c r="BT1930" s="128"/>
      <c r="BU1930" s="128"/>
      <c r="BV1930" s="128"/>
      <c r="BW1930" s="128"/>
      <c r="BX1930" s="128"/>
      <c r="BY1930" s="128"/>
      <c r="BZ1930" s="128"/>
      <c r="CA1930" s="128"/>
      <c r="CB1930" s="128"/>
      <c r="CC1930" s="128"/>
      <c r="CD1930" s="128"/>
      <c r="CE1930" s="128"/>
      <c r="CF1930" s="128"/>
      <c r="CG1930" s="128"/>
      <c r="CI1930" s="128"/>
      <c r="CJ1930" s="128"/>
      <c r="CK1930" s="128"/>
      <c r="CL1930" s="128"/>
      <c r="CM1930" s="128"/>
      <c r="CN1930" s="128"/>
      <c r="CO1930" s="128"/>
      <c r="CP1930" s="128"/>
      <c r="CQ1930" s="128"/>
      <c r="CR1930" s="128"/>
      <c r="CS1930" s="128"/>
      <c r="CT1930" s="128"/>
      <c r="CU1930" s="128"/>
      <c r="CV1930" s="128"/>
      <c r="CW1930" s="128"/>
      <c r="CX1930" s="128"/>
      <c r="CY1930" s="128"/>
      <c r="CZ1930" s="165"/>
    </row>
    <row r="1931" spans="1:104">
      <c r="A1931" s="149"/>
      <c r="B1931" s="149"/>
      <c r="C1931" s="150"/>
      <c r="D1931" s="102"/>
      <c r="E1931" s="149"/>
      <c r="F1931" s="149"/>
      <c r="G1931" s="149"/>
      <c r="H1931" s="149"/>
      <c r="I1931" s="149"/>
      <c r="J1931" s="149"/>
      <c r="K1931" s="149"/>
      <c r="L1931" s="149"/>
      <c r="M1931" s="149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9"/>
      <c r="AA1931" s="149"/>
      <c r="AB1931" s="149"/>
      <c r="AC1931" s="149"/>
      <c r="AD1931" s="149"/>
      <c r="AE1931" s="149"/>
      <c r="AF1931" s="149"/>
      <c r="AG1931" s="149"/>
      <c r="AH1931" s="149"/>
      <c r="AI1931" s="149"/>
      <c r="AJ1931" s="149"/>
      <c r="AK1931" s="149"/>
      <c r="AL1931" s="149"/>
      <c r="AM1931" s="149"/>
      <c r="AN1931" s="149"/>
      <c r="AO1931" s="128"/>
      <c r="AP1931" s="128"/>
      <c r="AQ1931" s="128"/>
      <c r="AR1931" s="128"/>
      <c r="AS1931" s="128"/>
      <c r="AT1931" s="128"/>
      <c r="AU1931" s="128"/>
      <c r="AV1931" s="128"/>
      <c r="AW1931" s="128"/>
      <c r="AX1931" s="128"/>
      <c r="AY1931" s="128"/>
      <c r="AZ1931" s="128"/>
      <c r="BA1931" s="128"/>
      <c r="BB1931" s="128"/>
      <c r="BC1931" s="128"/>
      <c r="BD1931" s="128"/>
      <c r="BE1931" s="128"/>
      <c r="BF1931" s="128"/>
      <c r="BG1931" s="128"/>
      <c r="BH1931" s="128"/>
      <c r="BI1931" s="128"/>
      <c r="BJ1931" s="128"/>
      <c r="BK1931" s="128"/>
      <c r="BL1931" s="128"/>
      <c r="BM1931" s="151"/>
      <c r="BN1931" s="128"/>
      <c r="BO1931" s="128"/>
      <c r="BP1931" s="128"/>
      <c r="BQ1931" s="128"/>
      <c r="BR1931" s="128"/>
      <c r="BS1931" s="128"/>
      <c r="BT1931" s="128"/>
      <c r="BU1931" s="128"/>
      <c r="BV1931" s="128"/>
      <c r="BW1931" s="128"/>
      <c r="BX1931" s="128"/>
      <c r="BY1931" s="128"/>
      <c r="BZ1931" s="128"/>
      <c r="CA1931" s="128"/>
      <c r="CB1931" s="128"/>
      <c r="CC1931" s="128"/>
      <c r="CD1931" s="128"/>
      <c r="CE1931" s="128"/>
      <c r="CF1931" s="128"/>
      <c r="CG1931" s="128"/>
      <c r="CI1931" s="128"/>
      <c r="CJ1931" s="128"/>
      <c r="CK1931" s="128"/>
      <c r="CL1931" s="128"/>
      <c r="CM1931" s="128"/>
      <c r="CN1931" s="128"/>
      <c r="CO1931" s="128"/>
      <c r="CP1931" s="128"/>
      <c r="CQ1931" s="128"/>
      <c r="CR1931" s="128"/>
      <c r="CS1931" s="128"/>
      <c r="CT1931" s="128"/>
      <c r="CU1931" s="128"/>
      <c r="CV1931" s="128"/>
      <c r="CW1931" s="128"/>
      <c r="CX1931" s="128"/>
      <c r="CY1931" s="128"/>
      <c r="CZ1931" s="165"/>
    </row>
    <row r="1932" spans="1:104">
      <c r="A1932" s="149"/>
      <c r="B1932" s="149"/>
      <c r="C1932" s="150"/>
      <c r="D1932" s="102"/>
      <c r="E1932" s="149"/>
      <c r="F1932" s="149"/>
      <c r="G1932" s="149"/>
      <c r="H1932" s="149"/>
      <c r="I1932" s="149"/>
      <c r="J1932" s="149"/>
      <c r="K1932" s="149"/>
      <c r="L1932" s="149"/>
      <c r="M1932" s="149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9"/>
      <c r="AA1932" s="149"/>
      <c r="AB1932" s="149"/>
      <c r="AC1932" s="149"/>
      <c r="AD1932" s="149"/>
      <c r="AE1932" s="149"/>
      <c r="AF1932" s="149"/>
      <c r="AG1932" s="149"/>
      <c r="AH1932" s="149"/>
      <c r="AI1932" s="149"/>
      <c r="AJ1932" s="149"/>
      <c r="AK1932" s="149"/>
      <c r="AL1932" s="149"/>
      <c r="AM1932" s="149"/>
      <c r="AN1932" s="149"/>
      <c r="AO1932" s="128"/>
      <c r="AP1932" s="128"/>
      <c r="AQ1932" s="128"/>
      <c r="AR1932" s="128"/>
      <c r="AS1932" s="128"/>
      <c r="AT1932" s="128"/>
      <c r="AU1932" s="128"/>
      <c r="AV1932" s="128"/>
      <c r="AW1932" s="128"/>
      <c r="AX1932" s="128"/>
      <c r="AY1932" s="128"/>
      <c r="AZ1932" s="128"/>
      <c r="BA1932" s="128"/>
      <c r="BB1932" s="128"/>
      <c r="BC1932" s="128"/>
      <c r="BD1932" s="128"/>
      <c r="BE1932" s="128"/>
      <c r="BF1932" s="128"/>
      <c r="BG1932" s="128"/>
      <c r="BH1932" s="128"/>
      <c r="BI1932" s="128"/>
      <c r="BJ1932" s="128"/>
      <c r="BK1932" s="128"/>
      <c r="BL1932" s="128"/>
      <c r="BM1932" s="151"/>
      <c r="BN1932" s="128"/>
      <c r="BO1932" s="128"/>
      <c r="BP1932" s="128"/>
      <c r="BQ1932" s="128"/>
      <c r="BR1932" s="128"/>
      <c r="BS1932" s="128"/>
      <c r="BT1932" s="128"/>
      <c r="BU1932" s="128"/>
      <c r="BV1932" s="128"/>
      <c r="BW1932" s="128"/>
      <c r="BX1932" s="128"/>
      <c r="BY1932" s="128"/>
      <c r="BZ1932" s="128"/>
      <c r="CA1932" s="128"/>
      <c r="CB1932" s="128"/>
      <c r="CC1932" s="128"/>
      <c r="CD1932" s="128"/>
      <c r="CE1932" s="128"/>
      <c r="CF1932" s="128"/>
      <c r="CG1932" s="128"/>
      <c r="CI1932" s="128"/>
      <c r="CJ1932" s="128"/>
      <c r="CK1932" s="128"/>
      <c r="CL1932" s="128"/>
      <c r="CM1932" s="128"/>
      <c r="CN1932" s="128"/>
      <c r="CO1932" s="128"/>
      <c r="CP1932" s="128"/>
      <c r="CQ1932" s="128"/>
      <c r="CR1932" s="128"/>
      <c r="CS1932" s="128"/>
      <c r="CT1932" s="128"/>
      <c r="CU1932" s="128"/>
      <c r="CV1932" s="128"/>
      <c r="CW1932" s="128"/>
      <c r="CX1932" s="128"/>
      <c r="CY1932" s="128"/>
      <c r="CZ1932" s="165"/>
    </row>
    <row r="1933" spans="1:104">
      <c r="A1933" s="149"/>
      <c r="B1933" s="149"/>
      <c r="C1933" s="150"/>
      <c r="D1933" s="102"/>
      <c r="E1933" s="149"/>
      <c r="F1933" s="149"/>
      <c r="G1933" s="149"/>
      <c r="H1933" s="149"/>
      <c r="I1933" s="149"/>
      <c r="J1933" s="149"/>
      <c r="K1933" s="149"/>
      <c r="L1933" s="149"/>
      <c r="M1933" s="149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9"/>
      <c r="AA1933" s="149"/>
      <c r="AB1933" s="149"/>
      <c r="AC1933" s="149"/>
      <c r="AD1933" s="149"/>
      <c r="AE1933" s="149"/>
      <c r="AF1933" s="149"/>
      <c r="AG1933" s="149"/>
      <c r="AH1933" s="149"/>
      <c r="AI1933" s="149"/>
      <c r="AJ1933" s="149"/>
      <c r="AK1933" s="149"/>
      <c r="AL1933" s="149"/>
      <c r="AM1933" s="149"/>
      <c r="AN1933" s="149"/>
      <c r="AO1933" s="128"/>
      <c r="AP1933" s="128"/>
      <c r="AQ1933" s="128"/>
      <c r="AR1933" s="128"/>
      <c r="AS1933" s="128"/>
      <c r="AT1933" s="128"/>
      <c r="AU1933" s="128"/>
      <c r="AV1933" s="128"/>
      <c r="AW1933" s="128"/>
      <c r="AX1933" s="128"/>
      <c r="AY1933" s="128"/>
      <c r="AZ1933" s="128"/>
      <c r="BA1933" s="128"/>
      <c r="BB1933" s="128"/>
      <c r="BC1933" s="128"/>
      <c r="BD1933" s="128"/>
      <c r="BE1933" s="128"/>
      <c r="BF1933" s="128"/>
      <c r="BG1933" s="128"/>
      <c r="BH1933" s="128"/>
      <c r="BI1933" s="128"/>
      <c r="BJ1933" s="128"/>
      <c r="BK1933" s="128"/>
      <c r="BL1933" s="128"/>
      <c r="BM1933" s="151"/>
      <c r="BN1933" s="128"/>
      <c r="BO1933" s="128"/>
      <c r="BP1933" s="128"/>
      <c r="BQ1933" s="128"/>
      <c r="BR1933" s="128"/>
      <c r="BS1933" s="128"/>
      <c r="BT1933" s="128"/>
      <c r="BU1933" s="128"/>
      <c r="BV1933" s="128"/>
      <c r="BW1933" s="128"/>
      <c r="BX1933" s="128"/>
      <c r="BY1933" s="128"/>
      <c r="BZ1933" s="128"/>
      <c r="CA1933" s="128"/>
      <c r="CB1933" s="128"/>
      <c r="CC1933" s="128"/>
      <c r="CD1933" s="128"/>
      <c r="CE1933" s="128"/>
      <c r="CF1933" s="128"/>
      <c r="CG1933" s="128"/>
      <c r="CI1933" s="128"/>
      <c r="CJ1933" s="128"/>
      <c r="CK1933" s="128"/>
      <c r="CL1933" s="128"/>
      <c r="CM1933" s="128"/>
      <c r="CN1933" s="128"/>
      <c r="CO1933" s="128"/>
      <c r="CP1933" s="128"/>
      <c r="CQ1933" s="128"/>
      <c r="CR1933" s="128"/>
      <c r="CS1933" s="128"/>
      <c r="CT1933" s="128"/>
      <c r="CU1933" s="128"/>
      <c r="CV1933" s="128"/>
      <c r="CW1933" s="128"/>
      <c r="CX1933" s="128"/>
      <c r="CY1933" s="128"/>
      <c r="CZ1933" s="165"/>
    </row>
    <row r="1934" spans="1:104">
      <c r="A1934" s="149"/>
      <c r="B1934" s="149"/>
      <c r="C1934" s="150"/>
      <c r="D1934" s="102"/>
      <c r="E1934" s="149"/>
      <c r="F1934" s="149"/>
      <c r="G1934" s="149"/>
      <c r="H1934" s="149"/>
      <c r="I1934" s="149"/>
      <c r="J1934" s="149"/>
      <c r="K1934" s="149"/>
      <c r="L1934" s="149"/>
      <c r="M1934" s="149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9"/>
      <c r="AA1934" s="149"/>
      <c r="AB1934" s="149"/>
      <c r="AC1934" s="149"/>
      <c r="AD1934" s="149"/>
      <c r="AE1934" s="149"/>
      <c r="AF1934" s="149"/>
      <c r="AG1934" s="149"/>
      <c r="AH1934" s="149"/>
      <c r="AI1934" s="149"/>
      <c r="AJ1934" s="149"/>
      <c r="AK1934" s="149"/>
      <c r="AL1934" s="149"/>
      <c r="AM1934" s="149"/>
      <c r="AN1934" s="149"/>
      <c r="AO1934" s="128"/>
      <c r="AP1934" s="128"/>
      <c r="AQ1934" s="128"/>
      <c r="AR1934" s="128"/>
      <c r="AS1934" s="128"/>
      <c r="AT1934" s="128"/>
      <c r="AU1934" s="128"/>
      <c r="AV1934" s="128"/>
      <c r="AW1934" s="128"/>
      <c r="AX1934" s="128"/>
      <c r="AY1934" s="128"/>
      <c r="AZ1934" s="128"/>
      <c r="BA1934" s="128"/>
      <c r="BB1934" s="128"/>
      <c r="BC1934" s="128"/>
      <c r="BD1934" s="128"/>
      <c r="BE1934" s="128"/>
      <c r="BF1934" s="128"/>
      <c r="BG1934" s="128"/>
      <c r="BH1934" s="128"/>
      <c r="BI1934" s="128"/>
      <c r="BJ1934" s="128"/>
      <c r="BK1934" s="128"/>
      <c r="BL1934" s="128"/>
      <c r="BM1934" s="151"/>
      <c r="BN1934" s="128"/>
      <c r="BO1934" s="128"/>
      <c r="BP1934" s="128"/>
      <c r="BQ1934" s="128"/>
      <c r="BR1934" s="128"/>
      <c r="BS1934" s="128"/>
      <c r="BT1934" s="128"/>
      <c r="BU1934" s="128"/>
      <c r="BV1934" s="128"/>
      <c r="BW1934" s="128"/>
      <c r="BX1934" s="128"/>
      <c r="BY1934" s="128"/>
      <c r="BZ1934" s="128"/>
      <c r="CA1934" s="128"/>
      <c r="CB1934" s="128"/>
      <c r="CC1934" s="128"/>
      <c r="CD1934" s="128"/>
      <c r="CE1934" s="128"/>
      <c r="CF1934" s="128"/>
      <c r="CG1934" s="128"/>
      <c r="CI1934" s="128"/>
      <c r="CJ1934" s="128"/>
      <c r="CK1934" s="128"/>
      <c r="CL1934" s="128"/>
      <c r="CM1934" s="128"/>
      <c r="CN1934" s="128"/>
      <c r="CO1934" s="128"/>
      <c r="CP1934" s="128"/>
      <c r="CQ1934" s="128"/>
      <c r="CR1934" s="128"/>
      <c r="CS1934" s="128"/>
      <c r="CT1934" s="128"/>
      <c r="CU1934" s="128"/>
      <c r="CV1934" s="128"/>
      <c r="CW1934" s="128"/>
      <c r="CX1934" s="128"/>
      <c r="CY1934" s="128"/>
      <c r="CZ1934" s="165"/>
    </row>
    <row r="1935" spans="1:104">
      <c r="A1935" s="149"/>
      <c r="B1935" s="149"/>
      <c r="C1935" s="150"/>
      <c r="D1935" s="102"/>
      <c r="E1935" s="149"/>
      <c r="F1935" s="149"/>
      <c r="G1935" s="149"/>
      <c r="H1935" s="149"/>
      <c r="I1935" s="149"/>
      <c r="J1935" s="149"/>
      <c r="K1935" s="149"/>
      <c r="L1935" s="149"/>
      <c r="M1935" s="149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9"/>
      <c r="AA1935" s="149"/>
      <c r="AB1935" s="149"/>
      <c r="AC1935" s="149"/>
      <c r="AD1935" s="149"/>
      <c r="AE1935" s="149"/>
      <c r="AF1935" s="149"/>
      <c r="AG1935" s="149"/>
      <c r="AH1935" s="149"/>
      <c r="AI1935" s="149"/>
      <c r="AJ1935" s="149"/>
      <c r="AK1935" s="149"/>
      <c r="AL1935" s="149"/>
      <c r="AM1935" s="149"/>
      <c r="AN1935" s="149"/>
      <c r="AO1935" s="128"/>
      <c r="AP1935" s="128"/>
      <c r="AQ1935" s="128"/>
      <c r="AR1935" s="128"/>
      <c r="AS1935" s="128"/>
      <c r="AT1935" s="128"/>
      <c r="AU1935" s="128"/>
      <c r="AV1935" s="128"/>
      <c r="AW1935" s="128"/>
      <c r="AX1935" s="128"/>
      <c r="AY1935" s="128"/>
      <c r="AZ1935" s="128"/>
      <c r="BA1935" s="128"/>
      <c r="BB1935" s="128"/>
      <c r="BC1935" s="128"/>
      <c r="BD1935" s="128"/>
      <c r="BE1935" s="128"/>
      <c r="BF1935" s="128"/>
      <c r="BG1935" s="128"/>
      <c r="BH1935" s="128"/>
      <c r="BI1935" s="128"/>
      <c r="BJ1935" s="128"/>
      <c r="BK1935" s="128"/>
      <c r="BL1935" s="128"/>
      <c r="BM1935" s="151"/>
      <c r="BN1935" s="128"/>
      <c r="BO1935" s="128"/>
      <c r="BP1935" s="128"/>
      <c r="BQ1935" s="128"/>
      <c r="BR1935" s="128"/>
      <c r="BS1935" s="128"/>
      <c r="BT1935" s="128"/>
      <c r="BU1935" s="128"/>
      <c r="BV1935" s="128"/>
      <c r="BW1935" s="128"/>
      <c r="BX1935" s="128"/>
      <c r="BY1935" s="128"/>
      <c r="BZ1935" s="128"/>
      <c r="CA1935" s="128"/>
      <c r="CB1935" s="128"/>
      <c r="CC1935" s="128"/>
      <c r="CD1935" s="128"/>
      <c r="CE1935" s="128"/>
      <c r="CF1935" s="128"/>
      <c r="CG1935" s="128"/>
      <c r="CI1935" s="128"/>
      <c r="CJ1935" s="128"/>
      <c r="CK1935" s="128"/>
      <c r="CL1935" s="128"/>
      <c r="CM1935" s="128"/>
      <c r="CN1935" s="128"/>
      <c r="CO1935" s="128"/>
      <c r="CP1935" s="128"/>
      <c r="CQ1935" s="128"/>
      <c r="CR1935" s="128"/>
      <c r="CS1935" s="128"/>
      <c r="CT1935" s="128"/>
      <c r="CU1935" s="128"/>
      <c r="CV1935" s="128"/>
      <c r="CW1935" s="128"/>
      <c r="CX1935" s="128"/>
      <c r="CY1935" s="128"/>
      <c r="CZ1935" s="165"/>
    </row>
    <row r="1936" spans="1:104">
      <c r="A1936" s="149"/>
      <c r="B1936" s="149"/>
      <c r="C1936" s="150"/>
      <c r="D1936" s="102"/>
      <c r="E1936" s="149"/>
      <c r="F1936" s="149"/>
      <c r="G1936" s="149"/>
      <c r="H1936" s="149"/>
      <c r="I1936" s="149"/>
      <c r="J1936" s="149"/>
      <c r="K1936" s="149"/>
      <c r="L1936" s="149"/>
      <c r="M1936" s="149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9"/>
      <c r="AA1936" s="149"/>
      <c r="AB1936" s="149"/>
      <c r="AC1936" s="149"/>
      <c r="AD1936" s="149"/>
      <c r="AE1936" s="149"/>
      <c r="AF1936" s="149"/>
      <c r="AG1936" s="149"/>
      <c r="AH1936" s="149"/>
      <c r="AI1936" s="149"/>
      <c r="AJ1936" s="149"/>
      <c r="AK1936" s="149"/>
      <c r="AL1936" s="149"/>
      <c r="AM1936" s="149"/>
      <c r="AN1936" s="149"/>
      <c r="AO1936" s="128"/>
      <c r="AP1936" s="128"/>
      <c r="AQ1936" s="128"/>
      <c r="AR1936" s="128"/>
      <c r="AS1936" s="128"/>
      <c r="AT1936" s="128"/>
      <c r="AU1936" s="128"/>
      <c r="AV1936" s="128"/>
      <c r="AW1936" s="128"/>
      <c r="AX1936" s="128"/>
      <c r="AY1936" s="128"/>
      <c r="AZ1936" s="128"/>
      <c r="BA1936" s="128"/>
      <c r="BB1936" s="128"/>
      <c r="BC1936" s="128"/>
      <c r="BD1936" s="128"/>
      <c r="BE1936" s="128"/>
      <c r="BF1936" s="128"/>
      <c r="BG1936" s="128"/>
      <c r="BH1936" s="128"/>
      <c r="BI1936" s="128"/>
      <c r="BJ1936" s="128"/>
      <c r="BK1936" s="128"/>
      <c r="BL1936" s="128"/>
      <c r="BM1936" s="151"/>
      <c r="BN1936" s="128"/>
      <c r="BO1936" s="128"/>
      <c r="BP1936" s="128"/>
      <c r="BQ1936" s="128"/>
      <c r="BR1936" s="128"/>
      <c r="BS1936" s="128"/>
      <c r="BT1936" s="128"/>
      <c r="BU1936" s="128"/>
      <c r="BV1936" s="128"/>
      <c r="BW1936" s="128"/>
      <c r="BX1936" s="128"/>
      <c r="BY1936" s="128"/>
      <c r="BZ1936" s="128"/>
      <c r="CA1936" s="128"/>
      <c r="CB1936" s="128"/>
      <c r="CC1936" s="128"/>
      <c r="CD1936" s="128"/>
      <c r="CE1936" s="128"/>
      <c r="CF1936" s="128"/>
      <c r="CG1936" s="128"/>
      <c r="CI1936" s="128"/>
      <c r="CJ1936" s="128"/>
      <c r="CK1936" s="128"/>
      <c r="CL1936" s="128"/>
      <c r="CM1936" s="128"/>
      <c r="CN1936" s="128"/>
      <c r="CO1936" s="128"/>
      <c r="CP1936" s="128"/>
      <c r="CQ1936" s="128"/>
      <c r="CR1936" s="128"/>
      <c r="CS1936" s="128"/>
      <c r="CT1936" s="128"/>
      <c r="CU1936" s="128"/>
      <c r="CV1936" s="128"/>
      <c r="CW1936" s="128"/>
      <c r="CX1936" s="128"/>
      <c r="CY1936" s="128"/>
      <c r="CZ1936" s="165"/>
    </row>
    <row r="1937" spans="1:104">
      <c r="A1937" s="149"/>
      <c r="B1937" s="149"/>
      <c r="C1937" s="150"/>
      <c r="D1937" s="102"/>
      <c r="E1937" s="149"/>
      <c r="F1937" s="149"/>
      <c r="G1937" s="149"/>
      <c r="H1937" s="149"/>
      <c r="I1937" s="149"/>
      <c r="J1937" s="149"/>
      <c r="K1937" s="149"/>
      <c r="L1937" s="149"/>
      <c r="M1937" s="149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9"/>
      <c r="AA1937" s="149"/>
      <c r="AB1937" s="149"/>
      <c r="AC1937" s="149"/>
      <c r="AD1937" s="149"/>
      <c r="AE1937" s="149"/>
      <c r="AF1937" s="149"/>
      <c r="AG1937" s="149"/>
      <c r="AH1937" s="149"/>
      <c r="AI1937" s="149"/>
      <c r="AJ1937" s="149"/>
      <c r="AK1937" s="149"/>
      <c r="AL1937" s="149"/>
      <c r="AM1937" s="149"/>
      <c r="AN1937" s="149"/>
      <c r="AO1937" s="128"/>
      <c r="AP1937" s="128"/>
      <c r="AQ1937" s="128"/>
      <c r="AR1937" s="128"/>
      <c r="AS1937" s="128"/>
      <c r="AT1937" s="128"/>
      <c r="AU1937" s="128"/>
      <c r="AV1937" s="128"/>
      <c r="AW1937" s="128"/>
      <c r="AX1937" s="128"/>
      <c r="AY1937" s="128"/>
      <c r="AZ1937" s="128"/>
      <c r="BA1937" s="128"/>
      <c r="BB1937" s="128"/>
      <c r="BC1937" s="128"/>
      <c r="BD1937" s="128"/>
      <c r="BE1937" s="128"/>
      <c r="BF1937" s="128"/>
      <c r="BG1937" s="128"/>
      <c r="BH1937" s="128"/>
      <c r="BI1937" s="128"/>
      <c r="BJ1937" s="128"/>
      <c r="BK1937" s="128"/>
      <c r="BL1937" s="128"/>
      <c r="BM1937" s="151"/>
      <c r="BN1937" s="128"/>
      <c r="BO1937" s="128"/>
      <c r="BP1937" s="128"/>
      <c r="BQ1937" s="128"/>
      <c r="BR1937" s="128"/>
      <c r="BS1937" s="128"/>
      <c r="BT1937" s="128"/>
      <c r="BU1937" s="128"/>
      <c r="BV1937" s="128"/>
      <c r="BW1937" s="128"/>
      <c r="BX1937" s="128"/>
      <c r="BY1937" s="128"/>
      <c r="BZ1937" s="128"/>
      <c r="CA1937" s="128"/>
      <c r="CB1937" s="128"/>
      <c r="CC1937" s="128"/>
      <c r="CD1937" s="128"/>
      <c r="CE1937" s="128"/>
      <c r="CF1937" s="128"/>
      <c r="CG1937" s="128"/>
      <c r="CI1937" s="128"/>
      <c r="CJ1937" s="128"/>
      <c r="CK1937" s="128"/>
      <c r="CL1937" s="128"/>
      <c r="CM1937" s="128"/>
      <c r="CN1937" s="128"/>
      <c r="CO1937" s="128"/>
      <c r="CP1937" s="128"/>
      <c r="CQ1937" s="128"/>
      <c r="CR1937" s="128"/>
      <c r="CS1937" s="128"/>
      <c r="CT1937" s="128"/>
      <c r="CU1937" s="128"/>
      <c r="CV1937" s="128"/>
      <c r="CW1937" s="128"/>
      <c r="CX1937" s="128"/>
      <c r="CY1937" s="128"/>
      <c r="CZ1937" s="165"/>
    </row>
    <row r="1938" spans="1:104">
      <c r="A1938" s="149"/>
      <c r="B1938" s="149"/>
      <c r="C1938" s="150"/>
      <c r="D1938" s="102"/>
      <c r="E1938" s="149"/>
      <c r="F1938" s="149"/>
      <c r="G1938" s="149"/>
      <c r="H1938" s="149"/>
      <c r="I1938" s="149"/>
      <c r="J1938" s="149"/>
      <c r="K1938" s="149"/>
      <c r="L1938" s="149"/>
      <c r="M1938" s="149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9"/>
      <c r="AA1938" s="149"/>
      <c r="AB1938" s="149"/>
      <c r="AC1938" s="149"/>
      <c r="AD1938" s="149"/>
      <c r="AE1938" s="149"/>
      <c r="AF1938" s="149"/>
      <c r="AG1938" s="149"/>
      <c r="AH1938" s="149"/>
      <c r="AI1938" s="149"/>
      <c r="AJ1938" s="149"/>
      <c r="AK1938" s="149"/>
      <c r="AL1938" s="149"/>
      <c r="AM1938" s="149"/>
      <c r="AN1938" s="149"/>
      <c r="AO1938" s="128"/>
      <c r="AP1938" s="128"/>
      <c r="AQ1938" s="128"/>
      <c r="AR1938" s="128"/>
      <c r="AS1938" s="128"/>
      <c r="AT1938" s="128"/>
      <c r="AU1938" s="128"/>
      <c r="AV1938" s="128"/>
      <c r="AW1938" s="128"/>
      <c r="AX1938" s="128"/>
      <c r="AY1938" s="128"/>
      <c r="AZ1938" s="128"/>
      <c r="BA1938" s="128"/>
      <c r="BB1938" s="128"/>
      <c r="BC1938" s="128"/>
      <c r="BD1938" s="128"/>
      <c r="BE1938" s="128"/>
      <c r="BF1938" s="128"/>
      <c r="BG1938" s="128"/>
      <c r="BH1938" s="128"/>
      <c r="BI1938" s="128"/>
      <c r="BJ1938" s="128"/>
      <c r="BK1938" s="128"/>
      <c r="BL1938" s="128"/>
      <c r="BM1938" s="151"/>
      <c r="BN1938" s="128"/>
      <c r="BO1938" s="128"/>
      <c r="BP1938" s="128"/>
      <c r="BQ1938" s="128"/>
      <c r="BR1938" s="128"/>
      <c r="BS1938" s="128"/>
      <c r="BT1938" s="128"/>
      <c r="BU1938" s="128"/>
      <c r="BV1938" s="128"/>
      <c r="BW1938" s="128"/>
      <c r="BX1938" s="128"/>
      <c r="BY1938" s="128"/>
      <c r="BZ1938" s="128"/>
      <c r="CA1938" s="128"/>
      <c r="CB1938" s="128"/>
      <c r="CC1938" s="128"/>
      <c r="CD1938" s="128"/>
      <c r="CE1938" s="128"/>
      <c r="CF1938" s="128"/>
      <c r="CG1938" s="128"/>
      <c r="CI1938" s="128"/>
      <c r="CJ1938" s="128"/>
      <c r="CK1938" s="128"/>
      <c r="CL1938" s="128"/>
      <c r="CM1938" s="128"/>
      <c r="CN1938" s="128"/>
      <c r="CO1938" s="128"/>
      <c r="CP1938" s="128"/>
      <c r="CQ1938" s="128"/>
      <c r="CR1938" s="128"/>
      <c r="CS1938" s="128"/>
      <c r="CT1938" s="128"/>
      <c r="CU1938" s="128"/>
      <c r="CV1938" s="128"/>
      <c r="CW1938" s="128"/>
      <c r="CX1938" s="128"/>
      <c r="CY1938" s="128"/>
      <c r="CZ1938" s="165"/>
    </row>
    <row r="1939" spans="1:104">
      <c r="A1939" s="149"/>
      <c r="B1939" s="149"/>
      <c r="C1939" s="150"/>
      <c r="D1939" s="102"/>
      <c r="E1939" s="149"/>
      <c r="F1939" s="149"/>
      <c r="G1939" s="149"/>
      <c r="H1939" s="149"/>
      <c r="I1939" s="149"/>
      <c r="J1939" s="149"/>
      <c r="K1939" s="149"/>
      <c r="L1939" s="149"/>
      <c r="M1939" s="149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9"/>
      <c r="AA1939" s="149"/>
      <c r="AB1939" s="149"/>
      <c r="AC1939" s="149"/>
      <c r="AD1939" s="149"/>
      <c r="AE1939" s="149"/>
      <c r="AF1939" s="149"/>
      <c r="AG1939" s="149"/>
      <c r="AH1939" s="149"/>
      <c r="AI1939" s="149"/>
      <c r="AJ1939" s="149"/>
      <c r="AK1939" s="149"/>
      <c r="AL1939" s="149"/>
      <c r="AM1939" s="149"/>
      <c r="AN1939" s="149"/>
      <c r="AO1939" s="128"/>
      <c r="AP1939" s="128"/>
      <c r="AQ1939" s="128"/>
      <c r="AR1939" s="128"/>
      <c r="AS1939" s="128"/>
      <c r="AT1939" s="128"/>
      <c r="AU1939" s="128"/>
      <c r="AV1939" s="128"/>
      <c r="AW1939" s="128"/>
      <c r="AX1939" s="128"/>
      <c r="AY1939" s="128"/>
      <c r="AZ1939" s="128"/>
      <c r="BA1939" s="128"/>
      <c r="BB1939" s="128"/>
      <c r="BC1939" s="128"/>
      <c r="BD1939" s="128"/>
      <c r="BE1939" s="128"/>
      <c r="BF1939" s="128"/>
      <c r="BG1939" s="128"/>
      <c r="BH1939" s="128"/>
      <c r="BI1939" s="128"/>
      <c r="BJ1939" s="128"/>
      <c r="BK1939" s="128"/>
      <c r="BL1939" s="128"/>
      <c r="BM1939" s="151"/>
      <c r="BN1939" s="128"/>
      <c r="BO1939" s="128"/>
      <c r="BP1939" s="128"/>
      <c r="BQ1939" s="128"/>
      <c r="BR1939" s="128"/>
      <c r="BS1939" s="128"/>
      <c r="BT1939" s="128"/>
      <c r="BU1939" s="128"/>
      <c r="BV1939" s="128"/>
      <c r="BW1939" s="128"/>
      <c r="BX1939" s="128"/>
      <c r="BY1939" s="128"/>
      <c r="BZ1939" s="128"/>
      <c r="CA1939" s="128"/>
      <c r="CB1939" s="128"/>
      <c r="CC1939" s="128"/>
      <c r="CD1939" s="128"/>
      <c r="CE1939" s="128"/>
      <c r="CF1939" s="128"/>
      <c r="CG1939" s="128"/>
      <c r="CI1939" s="128"/>
      <c r="CJ1939" s="128"/>
      <c r="CK1939" s="128"/>
      <c r="CL1939" s="128"/>
      <c r="CM1939" s="128"/>
      <c r="CN1939" s="128"/>
      <c r="CO1939" s="128"/>
      <c r="CP1939" s="128"/>
      <c r="CQ1939" s="128"/>
      <c r="CR1939" s="128"/>
      <c r="CS1939" s="128"/>
      <c r="CT1939" s="128"/>
      <c r="CU1939" s="128"/>
      <c r="CV1939" s="128"/>
      <c r="CW1939" s="128"/>
      <c r="CX1939" s="128"/>
      <c r="CY1939" s="128"/>
      <c r="CZ1939" s="165"/>
    </row>
    <row r="1940" spans="1:104">
      <c r="A1940" s="149"/>
      <c r="B1940" s="149"/>
      <c r="C1940" s="150"/>
      <c r="D1940" s="102"/>
      <c r="E1940" s="149"/>
      <c r="F1940" s="149"/>
      <c r="G1940" s="149"/>
      <c r="H1940" s="149"/>
      <c r="I1940" s="149"/>
      <c r="J1940" s="149"/>
      <c r="K1940" s="149"/>
      <c r="L1940" s="149"/>
      <c r="M1940" s="149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9"/>
      <c r="AA1940" s="149"/>
      <c r="AB1940" s="149"/>
      <c r="AC1940" s="149"/>
      <c r="AD1940" s="149"/>
      <c r="AE1940" s="149"/>
      <c r="AF1940" s="149"/>
      <c r="AG1940" s="149"/>
      <c r="AH1940" s="149"/>
      <c r="AI1940" s="149"/>
      <c r="AJ1940" s="149"/>
      <c r="AK1940" s="149"/>
      <c r="AL1940" s="149"/>
      <c r="AM1940" s="149"/>
      <c r="AN1940" s="149"/>
      <c r="AO1940" s="128"/>
      <c r="AP1940" s="128"/>
      <c r="AQ1940" s="128"/>
      <c r="AR1940" s="128"/>
      <c r="AS1940" s="128"/>
      <c r="AT1940" s="128"/>
      <c r="AU1940" s="128"/>
      <c r="AV1940" s="128"/>
      <c r="AW1940" s="128"/>
      <c r="AX1940" s="128"/>
      <c r="AY1940" s="128"/>
      <c r="AZ1940" s="128"/>
      <c r="BA1940" s="128"/>
      <c r="BB1940" s="128"/>
      <c r="BC1940" s="128"/>
      <c r="BD1940" s="128"/>
      <c r="BE1940" s="128"/>
      <c r="BF1940" s="128"/>
      <c r="BG1940" s="128"/>
      <c r="BH1940" s="128"/>
      <c r="BI1940" s="128"/>
      <c r="BJ1940" s="128"/>
      <c r="BK1940" s="128"/>
      <c r="BL1940" s="128"/>
      <c r="BM1940" s="151"/>
      <c r="BN1940" s="128"/>
      <c r="BO1940" s="128"/>
      <c r="BP1940" s="128"/>
      <c r="BQ1940" s="128"/>
      <c r="BR1940" s="128"/>
      <c r="BS1940" s="128"/>
      <c r="BT1940" s="128"/>
      <c r="BU1940" s="128"/>
      <c r="BV1940" s="128"/>
      <c r="BW1940" s="128"/>
      <c r="BX1940" s="128"/>
      <c r="BY1940" s="128"/>
      <c r="BZ1940" s="128"/>
      <c r="CA1940" s="128"/>
      <c r="CB1940" s="128"/>
      <c r="CC1940" s="128"/>
      <c r="CD1940" s="128"/>
      <c r="CE1940" s="128"/>
      <c r="CF1940" s="128"/>
      <c r="CG1940" s="128"/>
      <c r="CI1940" s="128"/>
      <c r="CJ1940" s="128"/>
      <c r="CK1940" s="128"/>
      <c r="CL1940" s="128"/>
      <c r="CM1940" s="128"/>
      <c r="CN1940" s="128"/>
      <c r="CO1940" s="128"/>
      <c r="CP1940" s="128"/>
      <c r="CQ1940" s="128"/>
      <c r="CR1940" s="128"/>
      <c r="CS1940" s="128"/>
      <c r="CT1940" s="128"/>
      <c r="CU1940" s="128"/>
      <c r="CV1940" s="128"/>
      <c r="CW1940" s="128"/>
      <c r="CX1940" s="128"/>
      <c r="CY1940" s="128"/>
      <c r="CZ1940" s="165"/>
    </row>
    <row r="1941" spans="1:104">
      <c r="A1941" s="149"/>
      <c r="B1941" s="149"/>
      <c r="C1941" s="150"/>
      <c r="D1941" s="102"/>
      <c r="E1941" s="149"/>
      <c r="F1941" s="149"/>
      <c r="G1941" s="149"/>
      <c r="H1941" s="149"/>
      <c r="I1941" s="149"/>
      <c r="J1941" s="149"/>
      <c r="K1941" s="149"/>
      <c r="L1941" s="149"/>
      <c r="M1941" s="149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9"/>
      <c r="AA1941" s="149"/>
      <c r="AB1941" s="149"/>
      <c r="AC1941" s="149"/>
      <c r="AD1941" s="149"/>
      <c r="AE1941" s="149"/>
      <c r="AF1941" s="149"/>
      <c r="AG1941" s="149"/>
      <c r="AH1941" s="149"/>
      <c r="AI1941" s="149"/>
      <c r="AJ1941" s="149"/>
      <c r="AK1941" s="149"/>
      <c r="AL1941" s="149"/>
      <c r="AM1941" s="149"/>
      <c r="AN1941" s="149"/>
      <c r="AO1941" s="128"/>
      <c r="AP1941" s="128"/>
      <c r="AQ1941" s="128"/>
      <c r="AR1941" s="128"/>
      <c r="AS1941" s="128"/>
      <c r="AT1941" s="128"/>
      <c r="AU1941" s="128"/>
      <c r="AV1941" s="128"/>
      <c r="AW1941" s="128"/>
      <c r="AX1941" s="128"/>
      <c r="AY1941" s="128"/>
      <c r="AZ1941" s="128"/>
      <c r="BA1941" s="128"/>
      <c r="BB1941" s="128"/>
      <c r="BC1941" s="128"/>
      <c r="BD1941" s="128"/>
      <c r="BE1941" s="128"/>
      <c r="BF1941" s="128"/>
      <c r="BG1941" s="128"/>
      <c r="BH1941" s="128"/>
      <c r="BI1941" s="128"/>
      <c r="BJ1941" s="128"/>
      <c r="BK1941" s="128"/>
      <c r="BL1941" s="128"/>
      <c r="BM1941" s="151"/>
      <c r="BN1941" s="128"/>
      <c r="BO1941" s="128"/>
      <c r="BP1941" s="128"/>
      <c r="BQ1941" s="128"/>
      <c r="BR1941" s="128"/>
      <c r="BS1941" s="128"/>
      <c r="BT1941" s="128"/>
      <c r="BU1941" s="128"/>
      <c r="BV1941" s="128"/>
      <c r="BW1941" s="128"/>
      <c r="BX1941" s="128"/>
      <c r="BY1941" s="128"/>
      <c r="BZ1941" s="128"/>
      <c r="CA1941" s="128"/>
      <c r="CB1941" s="128"/>
      <c r="CC1941" s="128"/>
      <c r="CD1941" s="128"/>
      <c r="CE1941" s="128"/>
      <c r="CF1941" s="128"/>
      <c r="CG1941" s="128"/>
      <c r="CI1941" s="128"/>
      <c r="CJ1941" s="128"/>
      <c r="CK1941" s="128"/>
      <c r="CL1941" s="128"/>
      <c r="CM1941" s="128"/>
      <c r="CN1941" s="128"/>
      <c r="CO1941" s="128"/>
      <c r="CP1941" s="128"/>
      <c r="CQ1941" s="128"/>
      <c r="CR1941" s="128"/>
      <c r="CS1941" s="128"/>
      <c r="CT1941" s="128"/>
      <c r="CU1941" s="128"/>
      <c r="CV1941" s="128"/>
      <c r="CW1941" s="128"/>
      <c r="CX1941" s="128"/>
      <c r="CY1941" s="128"/>
      <c r="CZ1941" s="165"/>
    </row>
    <row r="1942" spans="1:104">
      <c r="A1942" s="149"/>
      <c r="B1942" s="149"/>
      <c r="C1942" s="150"/>
      <c r="D1942" s="102"/>
      <c r="E1942" s="149"/>
      <c r="F1942" s="149"/>
      <c r="G1942" s="149"/>
      <c r="H1942" s="149"/>
      <c r="I1942" s="149"/>
      <c r="J1942" s="149"/>
      <c r="K1942" s="149"/>
      <c r="L1942" s="149"/>
      <c r="M1942" s="149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9"/>
      <c r="AA1942" s="149"/>
      <c r="AB1942" s="149"/>
      <c r="AC1942" s="149"/>
      <c r="AD1942" s="149"/>
      <c r="AE1942" s="149"/>
      <c r="AF1942" s="149"/>
      <c r="AG1942" s="149"/>
      <c r="AH1942" s="149"/>
      <c r="AI1942" s="149"/>
      <c r="AJ1942" s="149"/>
      <c r="AK1942" s="149"/>
      <c r="AL1942" s="149"/>
      <c r="AM1942" s="149"/>
      <c r="AN1942" s="149"/>
      <c r="AO1942" s="128"/>
      <c r="AP1942" s="128"/>
      <c r="AQ1942" s="128"/>
      <c r="AR1942" s="128"/>
      <c r="AS1942" s="128"/>
      <c r="AT1942" s="128"/>
      <c r="AU1942" s="128"/>
      <c r="AV1942" s="128"/>
      <c r="AW1942" s="128"/>
      <c r="AX1942" s="128"/>
      <c r="AY1942" s="128"/>
      <c r="AZ1942" s="128"/>
      <c r="BA1942" s="128"/>
      <c r="BB1942" s="128"/>
      <c r="BC1942" s="128"/>
      <c r="BD1942" s="128"/>
      <c r="BE1942" s="128"/>
      <c r="BF1942" s="128"/>
      <c r="BG1942" s="128"/>
      <c r="BH1942" s="128"/>
      <c r="BI1942" s="128"/>
      <c r="BJ1942" s="128"/>
      <c r="BK1942" s="128"/>
      <c r="BL1942" s="128"/>
      <c r="BM1942" s="151"/>
      <c r="BN1942" s="128"/>
      <c r="BO1942" s="128"/>
      <c r="BP1942" s="128"/>
      <c r="BQ1942" s="128"/>
      <c r="BR1942" s="128"/>
      <c r="BS1942" s="128"/>
      <c r="BT1942" s="128"/>
      <c r="BU1942" s="128"/>
      <c r="BV1942" s="128"/>
      <c r="BW1942" s="128"/>
      <c r="BX1942" s="128"/>
      <c r="BY1942" s="128"/>
      <c r="BZ1942" s="128"/>
      <c r="CA1942" s="128"/>
      <c r="CB1942" s="128"/>
      <c r="CC1942" s="128"/>
      <c r="CD1942" s="128"/>
      <c r="CE1942" s="128"/>
      <c r="CF1942" s="128"/>
      <c r="CG1942" s="128"/>
      <c r="CI1942" s="128"/>
      <c r="CJ1942" s="128"/>
      <c r="CK1942" s="128"/>
      <c r="CL1942" s="128"/>
      <c r="CM1942" s="128"/>
      <c r="CN1942" s="128"/>
      <c r="CO1942" s="128"/>
      <c r="CP1942" s="128"/>
      <c r="CQ1942" s="128"/>
      <c r="CR1942" s="128"/>
      <c r="CS1942" s="128"/>
      <c r="CT1942" s="128"/>
      <c r="CU1942" s="128"/>
      <c r="CV1942" s="128"/>
      <c r="CW1942" s="128"/>
      <c r="CX1942" s="128"/>
      <c r="CY1942" s="128"/>
      <c r="CZ1942" s="165"/>
    </row>
    <row r="1943" spans="1:104">
      <c r="A1943" s="149"/>
      <c r="B1943" s="149"/>
      <c r="C1943" s="150"/>
      <c r="D1943" s="102"/>
      <c r="E1943" s="149"/>
      <c r="F1943" s="149"/>
      <c r="G1943" s="149"/>
      <c r="H1943" s="149"/>
      <c r="I1943" s="149"/>
      <c r="J1943" s="149"/>
      <c r="K1943" s="149"/>
      <c r="L1943" s="149"/>
      <c r="M1943" s="149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9"/>
      <c r="AA1943" s="149"/>
      <c r="AB1943" s="149"/>
      <c r="AC1943" s="149"/>
      <c r="AD1943" s="149"/>
      <c r="AE1943" s="149"/>
      <c r="AF1943" s="149"/>
      <c r="AG1943" s="149"/>
      <c r="AH1943" s="149"/>
      <c r="AI1943" s="149"/>
      <c r="AJ1943" s="149"/>
      <c r="AK1943" s="149"/>
      <c r="AL1943" s="149"/>
      <c r="AM1943" s="149"/>
      <c r="AN1943" s="149"/>
      <c r="AO1943" s="128"/>
      <c r="AP1943" s="128"/>
      <c r="AQ1943" s="128"/>
      <c r="AR1943" s="128"/>
      <c r="AS1943" s="128"/>
      <c r="AT1943" s="128"/>
      <c r="AU1943" s="128"/>
      <c r="AV1943" s="128"/>
      <c r="AW1943" s="128"/>
      <c r="AX1943" s="128"/>
      <c r="AY1943" s="128"/>
      <c r="AZ1943" s="128"/>
      <c r="BA1943" s="128"/>
      <c r="BB1943" s="128"/>
      <c r="BC1943" s="128"/>
      <c r="BD1943" s="128"/>
      <c r="BE1943" s="128"/>
      <c r="BF1943" s="128"/>
      <c r="BG1943" s="128"/>
      <c r="BH1943" s="128"/>
      <c r="BI1943" s="128"/>
      <c r="BJ1943" s="128"/>
      <c r="BK1943" s="128"/>
      <c r="BL1943" s="128"/>
      <c r="BM1943" s="151"/>
      <c r="BN1943" s="128"/>
      <c r="BO1943" s="128"/>
      <c r="BP1943" s="128"/>
      <c r="BQ1943" s="128"/>
      <c r="BR1943" s="128"/>
      <c r="BS1943" s="128"/>
      <c r="BT1943" s="128"/>
      <c r="BU1943" s="128"/>
      <c r="BV1943" s="128"/>
      <c r="BW1943" s="128"/>
      <c r="BX1943" s="128"/>
      <c r="BY1943" s="128"/>
      <c r="BZ1943" s="128"/>
      <c r="CA1943" s="128"/>
      <c r="CB1943" s="128"/>
      <c r="CC1943" s="128"/>
      <c r="CD1943" s="128"/>
      <c r="CE1943" s="128"/>
      <c r="CF1943" s="128"/>
      <c r="CG1943" s="128"/>
      <c r="CI1943" s="128"/>
      <c r="CJ1943" s="128"/>
      <c r="CK1943" s="128"/>
      <c r="CL1943" s="128"/>
      <c r="CM1943" s="128"/>
      <c r="CN1943" s="128"/>
      <c r="CO1943" s="128"/>
      <c r="CP1943" s="128"/>
      <c r="CQ1943" s="128"/>
      <c r="CR1943" s="128"/>
      <c r="CS1943" s="128"/>
      <c r="CT1943" s="128"/>
      <c r="CU1943" s="128"/>
      <c r="CV1943" s="128"/>
      <c r="CW1943" s="128"/>
      <c r="CX1943" s="128"/>
      <c r="CY1943" s="128"/>
      <c r="CZ1943" s="165"/>
    </row>
    <row r="1944" spans="1:104">
      <c r="A1944" s="149"/>
      <c r="B1944" s="149"/>
      <c r="C1944" s="150"/>
      <c r="D1944" s="102"/>
      <c r="E1944" s="149"/>
      <c r="F1944" s="149"/>
      <c r="G1944" s="149"/>
      <c r="H1944" s="149"/>
      <c r="I1944" s="149"/>
      <c r="J1944" s="149"/>
      <c r="K1944" s="149"/>
      <c r="L1944" s="149"/>
      <c r="M1944" s="149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9"/>
      <c r="AA1944" s="149"/>
      <c r="AB1944" s="149"/>
      <c r="AC1944" s="149"/>
      <c r="AD1944" s="149"/>
      <c r="AE1944" s="149"/>
      <c r="AF1944" s="149"/>
      <c r="AG1944" s="149"/>
      <c r="AH1944" s="149"/>
      <c r="AI1944" s="149"/>
      <c r="AJ1944" s="149"/>
      <c r="AK1944" s="149"/>
      <c r="AL1944" s="149"/>
      <c r="AM1944" s="149"/>
      <c r="AN1944" s="149"/>
      <c r="AO1944" s="128"/>
      <c r="AP1944" s="128"/>
      <c r="AQ1944" s="128"/>
      <c r="AR1944" s="128"/>
      <c r="AS1944" s="128"/>
      <c r="AT1944" s="128"/>
      <c r="AU1944" s="128"/>
      <c r="AV1944" s="128"/>
      <c r="AW1944" s="128"/>
      <c r="AX1944" s="128"/>
      <c r="AY1944" s="128"/>
      <c r="AZ1944" s="128"/>
      <c r="BA1944" s="128"/>
      <c r="BB1944" s="128"/>
      <c r="BC1944" s="128"/>
      <c r="BD1944" s="128"/>
      <c r="BE1944" s="128"/>
      <c r="BF1944" s="128"/>
      <c r="BG1944" s="128"/>
      <c r="BH1944" s="128"/>
      <c r="BI1944" s="128"/>
      <c r="BJ1944" s="128"/>
      <c r="BK1944" s="128"/>
      <c r="BL1944" s="128"/>
      <c r="BM1944" s="151"/>
      <c r="BN1944" s="128"/>
      <c r="BO1944" s="128"/>
      <c r="BP1944" s="128"/>
      <c r="BQ1944" s="128"/>
      <c r="BR1944" s="128"/>
      <c r="BS1944" s="128"/>
      <c r="BT1944" s="128"/>
      <c r="BU1944" s="128"/>
      <c r="BV1944" s="128"/>
      <c r="BW1944" s="128"/>
      <c r="BX1944" s="128"/>
      <c r="BY1944" s="128"/>
      <c r="BZ1944" s="128"/>
      <c r="CA1944" s="128"/>
      <c r="CB1944" s="128"/>
      <c r="CC1944" s="128"/>
      <c r="CD1944" s="128"/>
      <c r="CE1944" s="128"/>
      <c r="CF1944" s="128"/>
      <c r="CG1944" s="128"/>
      <c r="CI1944" s="128"/>
      <c r="CJ1944" s="128"/>
      <c r="CK1944" s="128"/>
      <c r="CL1944" s="128"/>
      <c r="CM1944" s="128"/>
      <c r="CN1944" s="128"/>
      <c r="CO1944" s="128"/>
      <c r="CP1944" s="128"/>
      <c r="CQ1944" s="128"/>
      <c r="CR1944" s="128"/>
      <c r="CS1944" s="128"/>
      <c r="CT1944" s="128"/>
      <c r="CU1944" s="128"/>
      <c r="CV1944" s="128"/>
      <c r="CW1944" s="128"/>
      <c r="CX1944" s="128"/>
      <c r="CY1944" s="128"/>
      <c r="CZ1944" s="165"/>
    </row>
    <row r="1945" spans="1:104">
      <c r="A1945" s="149"/>
      <c r="B1945" s="149"/>
      <c r="C1945" s="150"/>
      <c r="D1945" s="102"/>
      <c r="E1945" s="149"/>
      <c r="F1945" s="149"/>
      <c r="G1945" s="149"/>
      <c r="H1945" s="149"/>
      <c r="I1945" s="149"/>
      <c r="J1945" s="149"/>
      <c r="K1945" s="149"/>
      <c r="L1945" s="149"/>
      <c r="M1945" s="149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9"/>
      <c r="AA1945" s="149"/>
      <c r="AB1945" s="149"/>
      <c r="AC1945" s="149"/>
      <c r="AD1945" s="149"/>
      <c r="AE1945" s="149"/>
      <c r="AF1945" s="149"/>
      <c r="AG1945" s="149"/>
      <c r="AH1945" s="149"/>
      <c r="AI1945" s="149"/>
      <c r="AJ1945" s="149"/>
      <c r="AK1945" s="149"/>
      <c r="AL1945" s="149"/>
      <c r="AM1945" s="149"/>
      <c r="AN1945" s="149"/>
      <c r="AO1945" s="128"/>
      <c r="AP1945" s="128"/>
      <c r="AQ1945" s="128"/>
      <c r="AR1945" s="128"/>
      <c r="AS1945" s="128"/>
      <c r="AT1945" s="128"/>
      <c r="AU1945" s="128"/>
      <c r="AV1945" s="128"/>
      <c r="AW1945" s="128"/>
      <c r="AX1945" s="128"/>
      <c r="AY1945" s="128"/>
      <c r="AZ1945" s="128"/>
      <c r="BA1945" s="128"/>
      <c r="BB1945" s="128"/>
      <c r="BC1945" s="128"/>
      <c r="BD1945" s="128"/>
      <c r="BE1945" s="128"/>
      <c r="BF1945" s="128"/>
      <c r="BG1945" s="128"/>
      <c r="BH1945" s="128"/>
      <c r="BI1945" s="128"/>
      <c r="BJ1945" s="128"/>
      <c r="BK1945" s="128"/>
      <c r="BL1945" s="128"/>
      <c r="BM1945" s="151"/>
      <c r="BN1945" s="128"/>
      <c r="BO1945" s="128"/>
      <c r="BP1945" s="128"/>
      <c r="BQ1945" s="128"/>
      <c r="BR1945" s="128"/>
      <c r="BS1945" s="128"/>
      <c r="BT1945" s="128"/>
      <c r="BU1945" s="128"/>
      <c r="BV1945" s="128"/>
      <c r="BW1945" s="128"/>
      <c r="BX1945" s="128"/>
      <c r="BY1945" s="128"/>
      <c r="BZ1945" s="128"/>
      <c r="CA1945" s="128"/>
      <c r="CB1945" s="128"/>
      <c r="CC1945" s="128"/>
      <c r="CD1945" s="128"/>
      <c r="CE1945" s="128"/>
      <c r="CF1945" s="128"/>
      <c r="CG1945" s="128"/>
      <c r="CI1945" s="128"/>
      <c r="CJ1945" s="128"/>
      <c r="CK1945" s="128"/>
      <c r="CL1945" s="128"/>
      <c r="CM1945" s="128"/>
      <c r="CN1945" s="128"/>
      <c r="CO1945" s="128"/>
      <c r="CP1945" s="128"/>
      <c r="CQ1945" s="128"/>
      <c r="CR1945" s="128"/>
      <c r="CS1945" s="128"/>
      <c r="CT1945" s="128"/>
      <c r="CU1945" s="128"/>
      <c r="CV1945" s="128"/>
      <c r="CW1945" s="128"/>
      <c r="CX1945" s="128"/>
      <c r="CY1945" s="128"/>
      <c r="CZ1945" s="165"/>
    </row>
    <row r="1946" spans="1:104">
      <c r="A1946" s="149"/>
      <c r="B1946" s="149"/>
      <c r="C1946" s="150"/>
      <c r="D1946" s="102"/>
      <c r="E1946" s="149"/>
      <c r="F1946" s="149"/>
      <c r="G1946" s="149"/>
      <c r="H1946" s="149"/>
      <c r="I1946" s="149"/>
      <c r="J1946" s="149"/>
      <c r="K1946" s="149"/>
      <c r="L1946" s="149"/>
      <c r="M1946" s="149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9"/>
      <c r="AA1946" s="149"/>
      <c r="AB1946" s="149"/>
      <c r="AC1946" s="149"/>
      <c r="AD1946" s="149"/>
      <c r="AE1946" s="149"/>
      <c r="AF1946" s="149"/>
      <c r="AG1946" s="149"/>
      <c r="AH1946" s="149"/>
      <c r="AI1946" s="149"/>
      <c r="AJ1946" s="149"/>
      <c r="AK1946" s="149"/>
      <c r="AL1946" s="149"/>
      <c r="AM1946" s="149"/>
      <c r="AN1946" s="149"/>
      <c r="AO1946" s="128"/>
      <c r="AP1946" s="128"/>
      <c r="AQ1946" s="128"/>
      <c r="AR1946" s="128"/>
      <c r="AS1946" s="128"/>
      <c r="AT1946" s="128"/>
      <c r="AU1946" s="128"/>
      <c r="AV1946" s="128"/>
      <c r="AW1946" s="128"/>
      <c r="AX1946" s="128"/>
      <c r="AY1946" s="128"/>
      <c r="AZ1946" s="128"/>
      <c r="BA1946" s="128"/>
      <c r="BB1946" s="128"/>
      <c r="BC1946" s="128"/>
      <c r="BD1946" s="128"/>
      <c r="BE1946" s="128"/>
      <c r="BF1946" s="128"/>
      <c r="BG1946" s="128"/>
      <c r="BH1946" s="128"/>
      <c r="BI1946" s="128"/>
      <c r="BJ1946" s="128"/>
      <c r="BK1946" s="128"/>
      <c r="BL1946" s="128"/>
      <c r="BM1946" s="151"/>
      <c r="BN1946" s="128"/>
      <c r="BO1946" s="128"/>
      <c r="BP1946" s="128"/>
      <c r="BQ1946" s="128"/>
      <c r="BR1946" s="128"/>
      <c r="BS1946" s="128"/>
      <c r="BT1946" s="128"/>
      <c r="BU1946" s="128"/>
      <c r="BV1946" s="128"/>
      <c r="BW1946" s="128"/>
      <c r="BX1946" s="128"/>
      <c r="BY1946" s="128"/>
      <c r="BZ1946" s="128"/>
      <c r="CA1946" s="128"/>
      <c r="CB1946" s="128"/>
      <c r="CC1946" s="128"/>
      <c r="CD1946" s="128"/>
      <c r="CE1946" s="128"/>
      <c r="CF1946" s="128"/>
      <c r="CG1946" s="128"/>
      <c r="CI1946" s="128"/>
      <c r="CJ1946" s="128"/>
      <c r="CK1946" s="128"/>
      <c r="CL1946" s="128"/>
      <c r="CM1946" s="128"/>
      <c r="CN1946" s="128"/>
      <c r="CO1946" s="128"/>
      <c r="CP1946" s="128"/>
      <c r="CQ1946" s="128"/>
      <c r="CR1946" s="128"/>
      <c r="CS1946" s="128"/>
      <c r="CT1946" s="128"/>
      <c r="CU1946" s="128"/>
      <c r="CV1946" s="128"/>
      <c r="CW1946" s="128"/>
      <c r="CX1946" s="128"/>
      <c r="CY1946" s="128"/>
      <c r="CZ1946" s="165"/>
    </row>
    <row r="1947" spans="1:104">
      <c r="A1947" s="149"/>
      <c r="B1947" s="149"/>
      <c r="C1947" s="150"/>
      <c r="D1947" s="102"/>
      <c r="E1947" s="149"/>
      <c r="F1947" s="149"/>
      <c r="G1947" s="149"/>
      <c r="H1947" s="149"/>
      <c r="I1947" s="149"/>
      <c r="J1947" s="149"/>
      <c r="K1947" s="149"/>
      <c r="L1947" s="149"/>
      <c r="M1947" s="149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9"/>
      <c r="AA1947" s="149"/>
      <c r="AB1947" s="149"/>
      <c r="AC1947" s="149"/>
      <c r="AD1947" s="149"/>
      <c r="AE1947" s="149"/>
      <c r="AF1947" s="149"/>
      <c r="AG1947" s="149"/>
      <c r="AH1947" s="149"/>
      <c r="AI1947" s="149"/>
      <c r="AJ1947" s="149"/>
      <c r="AK1947" s="149"/>
      <c r="AL1947" s="149"/>
      <c r="AM1947" s="149"/>
      <c r="AN1947" s="149"/>
      <c r="AO1947" s="128"/>
      <c r="AP1947" s="128"/>
      <c r="AQ1947" s="128"/>
      <c r="AR1947" s="128"/>
      <c r="AS1947" s="128"/>
      <c r="AT1947" s="128"/>
      <c r="AU1947" s="128"/>
      <c r="AV1947" s="128"/>
      <c r="AW1947" s="128"/>
      <c r="AX1947" s="128"/>
      <c r="AY1947" s="128"/>
      <c r="AZ1947" s="128"/>
      <c r="BA1947" s="128"/>
      <c r="BB1947" s="128"/>
      <c r="BC1947" s="128"/>
      <c r="BD1947" s="128"/>
      <c r="BE1947" s="128"/>
      <c r="BF1947" s="128"/>
      <c r="BG1947" s="128"/>
      <c r="BH1947" s="128"/>
      <c r="BI1947" s="128"/>
      <c r="BJ1947" s="128"/>
      <c r="BK1947" s="128"/>
      <c r="BL1947" s="128"/>
      <c r="BM1947" s="151"/>
      <c r="BN1947" s="128"/>
      <c r="BO1947" s="128"/>
      <c r="BP1947" s="128"/>
      <c r="BQ1947" s="128"/>
      <c r="BR1947" s="128"/>
      <c r="BS1947" s="128"/>
      <c r="BT1947" s="128"/>
      <c r="BU1947" s="128"/>
      <c r="BV1947" s="128"/>
      <c r="BW1947" s="128"/>
      <c r="BX1947" s="128"/>
      <c r="BY1947" s="128"/>
      <c r="BZ1947" s="128"/>
      <c r="CA1947" s="128"/>
      <c r="CB1947" s="128"/>
      <c r="CC1947" s="128"/>
      <c r="CD1947" s="128"/>
      <c r="CE1947" s="128"/>
      <c r="CF1947" s="128"/>
      <c r="CG1947" s="128"/>
      <c r="CI1947" s="128"/>
      <c r="CJ1947" s="128"/>
      <c r="CK1947" s="128"/>
      <c r="CL1947" s="128"/>
      <c r="CM1947" s="128"/>
      <c r="CN1947" s="128"/>
      <c r="CO1947" s="128"/>
      <c r="CP1947" s="128"/>
      <c r="CQ1947" s="128"/>
      <c r="CR1947" s="128"/>
      <c r="CS1947" s="128"/>
      <c r="CT1947" s="128"/>
      <c r="CU1947" s="128"/>
      <c r="CV1947" s="128"/>
      <c r="CW1947" s="128"/>
      <c r="CX1947" s="128"/>
      <c r="CY1947" s="128"/>
      <c r="CZ1947" s="165"/>
    </row>
    <row r="1948" spans="1:104">
      <c r="A1948" s="149"/>
      <c r="B1948" s="149"/>
      <c r="C1948" s="150"/>
      <c r="D1948" s="102"/>
      <c r="E1948" s="149"/>
      <c r="F1948" s="149"/>
      <c r="G1948" s="149"/>
      <c r="H1948" s="149"/>
      <c r="I1948" s="149"/>
      <c r="J1948" s="149"/>
      <c r="K1948" s="149"/>
      <c r="L1948" s="149"/>
      <c r="M1948" s="149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9"/>
      <c r="AA1948" s="149"/>
      <c r="AB1948" s="149"/>
      <c r="AC1948" s="149"/>
      <c r="AD1948" s="149"/>
      <c r="AE1948" s="149"/>
      <c r="AF1948" s="149"/>
      <c r="AG1948" s="149"/>
      <c r="AH1948" s="149"/>
      <c r="AI1948" s="149"/>
      <c r="AJ1948" s="149"/>
      <c r="AK1948" s="149"/>
      <c r="AL1948" s="149"/>
      <c r="AM1948" s="149"/>
      <c r="AN1948" s="149"/>
      <c r="AO1948" s="128"/>
      <c r="AP1948" s="128"/>
      <c r="AQ1948" s="128"/>
      <c r="AR1948" s="128"/>
      <c r="AS1948" s="128"/>
      <c r="AT1948" s="128"/>
      <c r="AU1948" s="128"/>
      <c r="AV1948" s="128"/>
      <c r="AW1948" s="128"/>
      <c r="AX1948" s="128"/>
      <c r="AY1948" s="128"/>
      <c r="AZ1948" s="128"/>
      <c r="BA1948" s="128"/>
      <c r="BB1948" s="128"/>
      <c r="BC1948" s="128"/>
      <c r="BD1948" s="128"/>
      <c r="BE1948" s="128"/>
      <c r="BF1948" s="128"/>
      <c r="BG1948" s="128"/>
      <c r="BH1948" s="128"/>
      <c r="BI1948" s="128"/>
      <c r="BJ1948" s="128"/>
      <c r="BK1948" s="128"/>
      <c r="BL1948" s="128"/>
      <c r="BM1948" s="151"/>
      <c r="BN1948" s="128"/>
      <c r="BO1948" s="128"/>
      <c r="BP1948" s="128"/>
      <c r="BQ1948" s="128"/>
      <c r="BR1948" s="128"/>
      <c r="BS1948" s="128"/>
      <c r="BT1948" s="128"/>
      <c r="BU1948" s="128"/>
      <c r="BV1948" s="128"/>
      <c r="BW1948" s="128"/>
      <c r="BX1948" s="128"/>
      <c r="BY1948" s="128"/>
      <c r="BZ1948" s="128"/>
      <c r="CA1948" s="128"/>
      <c r="CB1948" s="128"/>
      <c r="CC1948" s="128"/>
      <c r="CD1948" s="128"/>
      <c r="CE1948" s="128"/>
      <c r="CF1948" s="128"/>
      <c r="CG1948" s="128"/>
      <c r="CI1948" s="128"/>
      <c r="CJ1948" s="128"/>
      <c r="CK1948" s="128"/>
      <c r="CL1948" s="128"/>
      <c r="CM1948" s="128"/>
      <c r="CN1948" s="128"/>
      <c r="CO1948" s="128"/>
      <c r="CP1948" s="128"/>
      <c r="CQ1948" s="128"/>
      <c r="CR1948" s="128"/>
      <c r="CS1948" s="128"/>
      <c r="CT1948" s="128"/>
      <c r="CU1948" s="128"/>
      <c r="CV1948" s="128"/>
      <c r="CW1948" s="128"/>
      <c r="CX1948" s="128"/>
      <c r="CY1948" s="128"/>
      <c r="CZ1948" s="165"/>
    </row>
    <row r="1949" spans="1:104">
      <c r="A1949" s="149"/>
      <c r="B1949" s="149"/>
      <c r="C1949" s="150"/>
      <c r="D1949" s="102"/>
      <c r="E1949" s="149"/>
      <c r="F1949" s="149"/>
      <c r="G1949" s="149"/>
      <c r="H1949" s="149"/>
      <c r="I1949" s="149"/>
      <c r="J1949" s="149"/>
      <c r="K1949" s="149"/>
      <c r="L1949" s="149"/>
      <c r="M1949" s="149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9"/>
      <c r="AA1949" s="149"/>
      <c r="AB1949" s="149"/>
      <c r="AC1949" s="149"/>
      <c r="AD1949" s="149"/>
      <c r="AE1949" s="149"/>
      <c r="AF1949" s="149"/>
      <c r="AG1949" s="149"/>
      <c r="AH1949" s="149"/>
      <c r="AI1949" s="149"/>
      <c r="AJ1949" s="149"/>
      <c r="AK1949" s="149"/>
      <c r="AL1949" s="149"/>
      <c r="AM1949" s="149"/>
      <c r="AN1949" s="149"/>
      <c r="AO1949" s="128"/>
      <c r="AP1949" s="128"/>
      <c r="AQ1949" s="128"/>
      <c r="AR1949" s="128"/>
      <c r="AS1949" s="128"/>
      <c r="AT1949" s="128"/>
      <c r="AU1949" s="128"/>
      <c r="AV1949" s="128"/>
      <c r="AW1949" s="128"/>
      <c r="AX1949" s="128"/>
      <c r="AY1949" s="128"/>
      <c r="AZ1949" s="128"/>
      <c r="BA1949" s="128"/>
      <c r="BB1949" s="128"/>
      <c r="BC1949" s="128"/>
      <c r="BD1949" s="128"/>
      <c r="BE1949" s="128"/>
      <c r="BF1949" s="128"/>
      <c r="BG1949" s="128"/>
      <c r="BH1949" s="128"/>
      <c r="BI1949" s="128"/>
      <c r="BJ1949" s="128"/>
      <c r="BK1949" s="128"/>
      <c r="BL1949" s="128"/>
      <c r="BM1949" s="151"/>
      <c r="BN1949" s="128"/>
      <c r="BO1949" s="128"/>
      <c r="BP1949" s="128"/>
      <c r="BQ1949" s="128"/>
      <c r="BR1949" s="128"/>
      <c r="BS1949" s="128"/>
      <c r="BT1949" s="128"/>
      <c r="BU1949" s="128"/>
      <c r="BV1949" s="128"/>
      <c r="BW1949" s="128"/>
      <c r="BX1949" s="128"/>
      <c r="BY1949" s="128"/>
      <c r="BZ1949" s="128"/>
      <c r="CA1949" s="128"/>
      <c r="CB1949" s="128"/>
      <c r="CC1949" s="128"/>
      <c r="CD1949" s="128"/>
      <c r="CE1949" s="128"/>
      <c r="CF1949" s="128"/>
      <c r="CG1949" s="128"/>
      <c r="CI1949" s="128"/>
      <c r="CJ1949" s="128"/>
      <c r="CK1949" s="128"/>
      <c r="CL1949" s="128"/>
      <c r="CM1949" s="128"/>
      <c r="CN1949" s="128"/>
      <c r="CO1949" s="128"/>
      <c r="CP1949" s="128"/>
      <c r="CQ1949" s="128"/>
      <c r="CR1949" s="128"/>
      <c r="CS1949" s="128"/>
      <c r="CT1949" s="128"/>
      <c r="CU1949" s="128"/>
      <c r="CV1949" s="128"/>
      <c r="CW1949" s="128"/>
      <c r="CX1949" s="128"/>
      <c r="CY1949" s="128"/>
      <c r="CZ1949" s="165"/>
    </row>
    <row r="1950" spans="1:104">
      <c r="A1950" s="149"/>
      <c r="B1950" s="149"/>
      <c r="C1950" s="150"/>
      <c r="D1950" s="102"/>
      <c r="E1950" s="149"/>
      <c r="F1950" s="149"/>
      <c r="G1950" s="149"/>
      <c r="H1950" s="149"/>
      <c r="I1950" s="149"/>
      <c r="J1950" s="149"/>
      <c r="K1950" s="149"/>
      <c r="L1950" s="149"/>
      <c r="M1950" s="149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9"/>
      <c r="AA1950" s="149"/>
      <c r="AB1950" s="149"/>
      <c r="AC1950" s="149"/>
      <c r="AD1950" s="149"/>
      <c r="AE1950" s="149"/>
      <c r="AF1950" s="149"/>
      <c r="AG1950" s="149"/>
      <c r="AH1950" s="149"/>
      <c r="AI1950" s="149"/>
      <c r="AJ1950" s="149"/>
      <c r="AK1950" s="149"/>
      <c r="AL1950" s="149"/>
      <c r="AM1950" s="149"/>
      <c r="AN1950" s="149"/>
      <c r="AO1950" s="128"/>
      <c r="AP1950" s="128"/>
      <c r="AQ1950" s="128"/>
      <c r="AR1950" s="128"/>
      <c r="AS1950" s="128"/>
      <c r="AT1950" s="128"/>
      <c r="AU1950" s="128"/>
      <c r="AV1950" s="128"/>
      <c r="AW1950" s="128"/>
      <c r="AX1950" s="128"/>
      <c r="AY1950" s="128"/>
      <c r="AZ1950" s="128"/>
      <c r="BA1950" s="128"/>
      <c r="BB1950" s="128"/>
      <c r="BC1950" s="128"/>
      <c r="BD1950" s="128"/>
      <c r="BE1950" s="128"/>
      <c r="BF1950" s="128"/>
      <c r="BG1950" s="128"/>
      <c r="BH1950" s="128"/>
      <c r="BI1950" s="128"/>
      <c r="BJ1950" s="128"/>
      <c r="BK1950" s="128"/>
      <c r="BL1950" s="128"/>
      <c r="BM1950" s="151"/>
      <c r="BN1950" s="128"/>
      <c r="BO1950" s="128"/>
      <c r="BP1950" s="128"/>
      <c r="BQ1950" s="128"/>
      <c r="BR1950" s="128"/>
      <c r="BS1950" s="128"/>
      <c r="BT1950" s="128"/>
      <c r="BU1950" s="128"/>
      <c r="BV1950" s="128"/>
      <c r="BW1950" s="128"/>
      <c r="BX1950" s="128"/>
      <c r="BY1950" s="128"/>
      <c r="BZ1950" s="128"/>
      <c r="CA1950" s="128"/>
      <c r="CB1950" s="128"/>
      <c r="CC1950" s="128"/>
      <c r="CD1950" s="128"/>
      <c r="CE1950" s="128"/>
      <c r="CF1950" s="128"/>
      <c r="CG1950" s="128"/>
      <c r="CI1950" s="128"/>
      <c r="CJ1950" s="128"/>
      <c r="CK1950" s="128"/>
      <c r="CL1950" s="128"/>
      <c r="CM1950" s="128"/>
      <c r="CN1950" s="128"/>
      <c r="CO1950" s="128"/>
      <c r="CP1950" s="128"/>
      <c r="CQ1950" s="128"/>
      <c r="CR1950" s="128"/>
      <c r="CS1950" s="128"/>
      <c r="CT1950" s="128"/>
      <c r="CU1950" s="128"/>
      <c r="CV1950" s="128"/>
      <c r="CW1950" s="128"/>
      <c r="CX1950" s="128"/>
      <c r="CY1950" s="128"/>
      <c r="CZ1950" s="165"/>
    </row>
    <row r="1951" spans="1:104">
      <c r="A1951" s="149"/>
      <c r="B1951" s="149"/>
      <c r="C1951" s="150"/>
      <c r="D1951" s="102"/>
      <c r="E1951" s="149"/>
      <c r="F1951" s="149"/>
      <c r="G1951" s="149"/>
      <c r="H1951" s="149"/>
      <c r="I1951" s="149"/>
      <c r="J1951" s="149"/>
      <c r="K1951" s="149"/>
      <c r="L1951" s="149"/>
      <c r="M1951" s="149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9"/>
      <c r="AA1951" s="149"/>
      <c r="AB1951" s="149"/>
      <c r="AC1951" s="149"/>
      <c r="AD1951" s="149"/>
      <c r="AE1951" s="149"/>
      <c r="AF1951" s="149"/>
      <c r="AG1951" s="149"/>
      <c r="AH1951" s="149"/>
      <c r="AI1951" s="149"/>
      <c r="AJ1951" s="149"/>
      <c r="AK1951" s="149"/>
      <c r="AL1951" s="149"/>
      <c r="AM1951" s="149"/>
      <c r="AN1951" s="149"/>
      <c r="AO1951" s="128"/>
      <c r="AP1951" s="128"/>
      <c r="AQ1951" s="128"/>
      <c r="AR1951" s="128"/>
      <c r="AS1951" s="128"/>
      <c r="AT1951" s="128"/>
      <c r="AU1951" s="128"/>
      <c r="AV1951" s="128"/>
      <c r="AW1951" s="128"/>
      <c r="AX1951" s="128"/>
      <c r="AY1951" s="128"/>
      <c r="AZ1951" s="128"/>
      <c r="BA1951" s="128"/>
      <c r="BB1951" s="128"/>
      <c r="BC1951" s="128"/>
      <c r="BD1951" s="128"/>
      <c r="BE1951" s="128"/>
      <c r="BF1951" s="128"/>
      <c r="BG1951" s="128"/>
      <c r="BH1951" s="128"/>
      <c r="BI1951" s="128"/>
      <c r="BJ1951" s="128"/>
      <c r="BK1951" s="128"/>
      <c r="BL1951" s="128"/>
      <c r="BM1951" s="151"/>
      <c r="BN1951" s="128"/>
      <c r="BO1951" s="128"/>
      <c r="BP1951" s="128"/>
      <c r="BQ1951" s="128"/>
      <c r="BR1951" s="128"/>
      <c r="BS1951" s="128"/>
      <c r="BT1951" s="128"/>
      <c r="BU1951" s="128"/>
      <c r="BV1951" s="128"/>
      <c r="BW1951" s="128"/>
      <c r="BX1951" s="128"/>
      <c r="BY1951" s="128"/>
      <c r="BZ1951" s="128"/>
      <c r="CA1951" s="128"/>
      <c r="CB1951" s="128"/>
      <c r="CC1951" s="128"/>
      <c r="CD1951" s="128"/>
      <c r="CE1951" s="128"/>
      <c r="CF1951" s="128"/>
      <c r="CG1951" s="128"/>
      <c r="CI1951" s="128"/>
      <c r="CJ1951" s="128"/>
      <c r="CK1951" s="128"/>
      <c r="CL1951" s="128"/>
      <c r="CM1951" s="128"/>
      <c r="CN1951" s="128"/>
      <c r="CO1951" s="128"/>
      <c r="CP1951" s="128"/>
      <c r="CQ1951" s="128"/>
      <c r="CR1951" s="128"/>
      <c r="CS1951" s="128"/>
      <c r="CT1951" s="128"/>
      <c r="CU1951" s="128"/>
      <c r="CV1951" s="128"/>
      <c r="CW1951" s="128"/>
      <c r="CX1951" s="128"/>
      <c r="CY1951" s="128"/>
      <c r="CZ1951" s="165"/>
    </row>
    <row r="1952" spans="1:104">
      <c r="A1952" s="149"/>
      <c r="B1952" s="149"/>
      <c r="C1952" s="150"/>
      <c r="D1952" s="102"/>
      <c r="E1952" s="149"/>
      <c r="F1952" s="149"/>
      <c r="G1952" s="149"/>
      <c r="H1952" s="149"/>
      <c r="I1952" s="149"/>
      <c r="J1952" s="149"/>
      <c r="K1952" s="149"/>
      <c r="L1952" s="149"/>
      <c r="M1952" s="149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9"/>
      <c r="AA1952" s="149"/>
      <c r="AB1952" s="149"/>
      <c r="AC1952" s="149"/>
      <c r="AD1952" s="149"/>
      <c r="AE1952" s="149"/>
      <c r="AF1952" s="149"/>
      <c r="AG1952" s="149"/>
      <c r="AH1952" s="149"/>
      <c r="AI1952" s="149"/>
      <c r="AJ1952" s="149"/>
      <c r="AK1952" s="149"/>
      <c r="AL1952" s="149"/>
      <c r="AM1952" s="149"/>
      <c r="AN1952" s="149"/>
      <c r="AO1952" s="128"/>
      <c r="AP1952" s="128"/>
      <c r="AQ1952" s="128"/>
      <c r="AR1952" s="128"/>
      <c r="AS1952" s="128"/>
      <c r="AT1952" s="128"/>
      <c r="AU1952" s="128"/>
      <c r="AV1952" s="128"/>
      <c r="AW1952" s="128"/>
      <c r="AX1952" s="128"/>
      <c r="AY1952" s="128"/>
      <c r="AZ1952" s="128"/>
      <c r="BA1952" s="128"/>
      <c r="BB1952" s="128"/>
      <c r="BC1952" s="128"/>
      <c r="BD1952" s="128"/>
      <c r="BE1952" s="128"/>
      <c r="BF1952" s="128"/>
      <c r="BG1952" s="128"/>
      <c r="BH1952" s="128"/>
      <c r="BI1952" s="128"/>
      <c r="BJ1952" s="128"/>
      <c r="BK1952" s="128"/>
      <c r="BL1952" s="128"/>
      <c r="BM1952" s="151"/>
      <c r="BN1952" s="128"/>
      <c r="BO1952" s="128"/>
      <c r="BP1952" s="128"/>
      <c r="BQ1952" s="128"/>
      <c r="BR1952" s="128"/>
      <c r="BS1952" s="128"/>
      <c r="BT1952" s="128"/>
      <c r="BU1952" s="128"/>
      <c r="BV1952" s="128"/>
      <c r="BW1952" s="128"/>
      <c r="BX1952" s="128"/>
      <c r="BY1952" s="128"/>
      <c r="BZ1952" s="128"/>
      <c r="CA1952" s="128"/>
      <c r="CB1952" s="128"/>
      <c r="CC1952" s="128"/>
      <c r="CD1952" s="128"/>
      <c r="CE1952" s="128"/>
      <c r="CF1952" s="128"/>
      <c r="CG1952" s="128"/>
      <c r="CI1952" s="128"/>
      <c r="CJ1952" s="128"/>
      <c r="CK1952" s="128"/>
      <c r="CL1952" s="128"/>
      <c r="CM1952" s="128"/>
      <c r="CN1952" s="128"/>
      <c r="CO1952" s="128"/>
      <c r="CP1952" s="128"/>
      <c r="CQ1952" s="128"/>
      <c r="CR1952" s="128"/>
      <c r="CS1952" s="128"/>
      <c r="CT1952" s="128"/>
      <c r="CU1952" s="128"/>
      <c r="CV1952" s="128"/>
      <c r="CW1952" s="128"/>
      <c r="CX1952" s="128"/>
      <c r="CY1952" s="128"/>
      <c r="CZ1952" s="165"/>
    </row>
    <row r="1953" spans="1:104">
      <c r="A1953" s="149"/>
      <c r="B1953" s="149"/>
      <c r="C1953" s="150"/>
      <c r="D1953" s="102"/>
      <c r="E1953" s="149"/>
      <c r="F1953" s="149"/>
      <c r="G1953" s="149"/>
      <c r="H1953" s="149"/>
      <c r="I1953" s="149"/>
      <c r="J1953" s="149"/>
      <c r="K1953" s="149"/>
      <c r="L1953" s="149"/>
      <c r="M1953" s="149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9"/>
      <c r="AA1953" s="149"/>
      <c r="AB1953" s="149"/>
      <c r="AC1953" s="149"/>
      <c r="AD1953" s="149"/>
      <c r="AE1953" s="149"/>
      <c r="AF1953" s="149"/>
      <c r="AG1953" s="149"/>
      <c r="AH1953" s="149"/>
      <c r="AI1953" s="149"/>
      <c r="AJ1953" s="149"/>
      <c r="AK1953" s="149"/>
      <c r="AL1953" s="149"/>
      <c r="AM1953" s="149"/>
      <c r="AN1953" s="149"/>
      <c r="AO1953" s="128"/>
      <c r="AP1953" s="128"/>
      <c r="AQ1953" s="128"/>
      <c r="AR1953" s="128"/>
      <c r="AS1953" s="128"/>
      <c r="AT1953" s="128"/>
      <c r="AU1953" s="128"/>
      <c r="AV1953" s="128"/>
      <c r="AW1953" s="128"/>
      <c r="AX1953" s="128"/>
      <c r="AY1953" s="128"/>
      <c r="AZ1953" s="128"/>
      <c r="BA1953" s="128"/>
      <c r="BB1953" s="128"/>
      <c r="BC1953" s="128"/>
      <c r="BD1953" s="128"/>
      <c r="BE1953" s="128"/>
      <c r="BF1953" s="128"/>
      <c r="BG1953" s="128"/>
      <c r="BH1953" s="128"/>
      <c r="BI1953" s="128"/>
      <c r="BJ1953" s="128"/>
      <c r="BK1953" s="128"/>
      <c r="BL1953" s="128"/>
      <c r="BM1953" s="151"/>
      <c r="BN1953" s="128"/>
      <c r="BO1953" s="128"/>
      <c r="BP1953" s="128"/>
      <c r="BQ1953" s="128"/>
      <c r="BR1953" s="128"/>
      <c r="BS1953" s="128"/>
      <c r="BT1953" s="128"/>
      <c r="BU1953" s="128"/>
      <c r="BV1953" s="128"/>
      <c r="BW1953" s="128"/>
      <c r="BX1953" s="128"/>
      <c r="BY1953" s="128"/>
      <c r="BZ1953" s="128"/>
      <c r="CA1953" s="128"/>
      <c r="CB1953" s="128"/>
      <c r="CC1953" s="128"/>
      <c r="CD1953" s="128"/>
      <c r="CE1953" s="128"/>
      <c r="CF1953" s="128"/>
      <c r="CG1953" s="128"/>
      <c r="CI1953" s="128"/>
      <c r="CJ1953" s="128"/>
      <c r="CK1953" s="128"/>
      <c r="CL1953" s="128"/>
      <c r="CM1953" s="128"/>
      <c r="CN1953" s="128"/>
      <c r="CO1953" s="128"/>
      <c r="CP1953" s="128"/>
      <c r="CQ1953" s="128"/>
      <c r="CR1953" s="128"/>
      <c r="CS1953" s="128"/>
      <c r="CT1953" s="128"/>
      <c r="CU1953" s="128"/>
      <c r="CV1953" s="128"/>
      <c r="CW1953" s="128"/>
      <c r="CX1953" s="128"/>
      <c r="CY1953" s="128"/>
      <c r="CZ1953" s="165"/>
    </row>
    <row r="1954" spans="1:104">
      <c r="A1954" s="149"/>
      <c r="B1954" s="149"/>
      <c r="C1954" s="150"/>
      <c r="D1954" s="102"/>
      <c r="E1954" s="149"/>
      <c r="F1954" s="149"/>
      <c r="G1954" s="149"/>
      <c r="H1954" s="149"/>
      <c r="I1954" s="149"/>
      <c r="J1954" s="149"/>
      <c r="K1954" s="149"/>
      <c r="L1954" s="149"/>
      <c r="M1954" s="149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9"/>
      <c r="AA1954" s="149"/>
      <c r="AB1954" s="149"/>
      <c r="AC1954" s="149"/>
      <c r="AD1954" s="149"/>
      <c r="AE1954" s="149"/>
      <c r="AF1954" s="149"/>
      <c r="AG1954" s="149"/>
      <c r="AH1954" s="149"/>
      <c r="AI1954" s="149"/>
      <c r="AJ1954" s="149"/>
      <c r="AK1954" s="149"/>
      <c r="AL1954" s="149"/>
      <c r="AM1954" s="149"/>
      <c r="AN1954" s="149"/>
      <c r="AO1954" s="128"/>
      <c r="AP1954" s="128"/>
      <c r="AQ1954" s="128"/>
      <c r="AR1954" s="128"/>
      <c r="AS1954" s="128"/>
      <c r="AT1954" s="128"/>
      <c r="AU1954" s="128"/>
      <c r="AV1954" s="128"/>
      <c r="AW1954" s="128"/>
      <c r="AX1954" s="128"/>
      <c r="AY1954" s="128"/>
      <c r="AZ1954" s="128"/>
      <c r="BA1954" s="128"/>
      <c r="BB1954" s="128"/>
      <c r="BC1954" s="128"/>
      <c r="BD1954" s="128"/>
      <c r="BE1954" s="128"/>
      <c r="BF1954" s="128"/>
      <c r="BG1954" s="128"/>
      <c r="BH1954" s="128"/>
      <c r="BI1954" s="128"/>
      <c r="BJ1954" s="128"/>
      <c r="BK1954" s="128"/>
      <c r="BL1954" s="128"/>
      <c r="BM1954" s="151"/>
      <c r="BN1954" s="128"/>
      <c r="BO1954" s="128"/>
      <c r="BP1954" s="128"/>
      <c r="BQ1954" s="128"/>
      <c r="BR1954" s="128"/>
      <c r="BS1954" s="128"/>
      <c r="BT1954" s="128"/>
      <c r="BU1954" s="128"/>
      <c r="BV1954" s="128"/>
      <c r="BW1954" s="128"/>
      <c r="BX1954" s="128"/>
      <c r="BY1954" s="128"/>
      <c r="BZ1954" s="128"/>
      <c r="CA1954" s="128"/>
      <c r="CB1954" s="128"/>
      <c r="CC1954" s="128"/>
      <c r="CD1954" s="128"/>
      <c r="CE1954" s="128"/>
      <c r="CF1954" s="128"/>
      <c r="CG1954" s="128"/>
      <c r="CI1954" s="128"/>
      <c r="CJ1954" s="128"/>
      <c r="CK1954" s="128"/>
      <c r="CL1954" s="128"/>
      <c r="CM1954" s="128"/>
      <c r="CN1954" s="128"/>
      <c r="CO1954" s="128"/>
      <c r="CP1954" s="128"/>
      <c r="CQ1954" s="128"/>
      <c r="CR1954" s="128"/>
      <c r="CS1954" s="128"/>
      <c r="CT1954" s="128"/>
      <c r="CU1954" s="128"/>
      <c r="CV1954" s="128"/>
      <c r="CW1954" s="128"/>
      <c r="CX1954" s="128"/>
      <c r="CY1954" s="128"/>
      <c r="CZ1954" s="165"/>
    </row>
    <row r="1955" spans="1:104">
      <c r="A1955" s="149"/>
      <c r="B1955" s="149"/>
      <c r="C1955" s="150"/>
      <c r="D1955" s="102"/>
      <c r="E1955" s="149"/>
      <c r="F1955" s="149"/>
      <c r="G1955" s="149"/>
      <c r="H1955" s="149"/>
      <c r="I1955" s="149"/>
      <c r="J1955" s="149"/>
      <c r="K1955" s="149"/>
      <c r="L1955" s="149"/>
      <c r="M1955" s="149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9"/>
      <c r="AA1955" s="149"/>
      <c r="AB1955" s="149"/>
      <c r="AC1955" s="149"/>
      <c r="AD1955" s="149"/>
      <c r="AE1955" s="149"/>
      <c r="AF1955" s="149"/>
      <c r="AG1955" s="149"/>
      <c r="AH1955" s="149"/>
      <c r="AI1955" s="149"/>
      <c r="AJ1955" s="149"/>
      <c r="AK1955" s="149"/>
      <c r="AL1955" s="149"/>
      <c r="AM1955" s="149"/>
      <c r="AN1955" s="149"/>
      <c r="AO1955" s="128"/>
      <c r="AP1955" s="128"/>
      <c r="AQ1955" s="128"/>
      <c r="AR1955" s="128"/>
      <c r="AS1955" s="128"/>
      <c r="AT1955" s="128"/>
      <c r="AU1955" s="128"/>
      <c r="AV1955" s="128"/>
      <c r="AW1955" s="128"/>
      <c r="AX1955" s="128"/>
      <c r="AY1955" s="128"/>
      <c r="AZ1955" s="128"/>
      <c r="BA1955" s="128"/>
      <c r="BB1955" s="128"/>
      <c r="BC1955" s="128"/>
      <c r="BD1955" s="128"/>
      <c r="BE1955" s="128"/>
      <c r="BF1955" s="128"/>
      <c r="BG1955" s="128"/>
      <c r="BH1955" s="128"/>
      <c r="BI1955" s="128"/>
      <c r="BJ1955" s="128"/>
      <c r="BK1955" s="128"/>
      <c r="BL1955" s="128"/>
      <c r="BM1955" s="151"/>
      <c r="BN1955" s="128"/>
      <c r="BO1955" s="128"/>
      <c r="BP1955" s="128"/>
      <c r="BQ1955" s="128"/>
      <c r="BR1955" s="128"/>
      <c r="BS1955" s="128"/>
      <c r="BT1955" s="128"/>
      <c r="BU1955" s="128"/>
      <c r="BV1955" s="128"/>
      <c r="BW1955" s="128"/>
      <c r="BX1955" s="128"/>
      <c r="BY1955" s="128"/>
      <c r="BZ1955" s="128"/>
      <c r="CA1955" s="128"/>
      <c r="CB1955" s="128"/>
      <c r="CC1955" s="128"/>
      <c r="CD1955" s="128"/>
      <c r="CE1955" s="128"/>
      <c r="CF1955" s="128"/>
      <c r="CG1955" s="128"/>
      <c r="CI1955" s="128"/>
      <c r="CJ1955" s="128"/>
      <c r="CK1955" s="128"/>
      <c r="CL1955" s="128"/>
      <c r="CM1955" s="128"/>
      <c r="CN1955" s="128"/>
      <c r="CO1955" s="128"/>
      <c r="CP1955" s="128"/>
      <c r="CQ1955" s="128"/>
      <c r="CR1955" s="128"/>
      <c r="CS1955" s="128"/>
      <c r="CT1955" s="128"/>
      <c r="CU1955" s="128"/>
      <c r="CV1955" s="128"/>
      <c r="CW1955" s="128"/>
      <c r="CX1955" s="128"/>
      <c r="CY1955" s="128"/>
      <c r="CZ1955" s="165"/>
    </row>
    <row r="1956" spans="1:104">
      <c r="A1956" s="149"/>
      <c r="B1956" s="149"/>
      <c r="C1956" s="150"/>
      <c r="D1956" s="102"/>
      <c r="E1956" s="149"/>
      <c r="F1956" s="149"/>
      <c r="G1956" s="149"/>
      <c r="H1956" s="149"/>
      <c r="I1956" s="149"/>
      <c r="J1956" s="149"/>
      <c r="K1956" s="149"/>
      <c r="L1956" s="149"/>
      <c r="M1956" s="149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9"/>
      <c r="AA1956" s="149"/>
      <c r="AB1956" s="149"/>
      <c r="AC1956" s="149"/>
      <c r="AD1956" s="149"/>
      <c r="AE1956" s="149"/>
      <c r="AF1956" s="149"/>
      <c r="AG1956" s="149"/>
      <c r="AH1956" s="149"/>
      <c r="AI1956" s="149"/>
      <c r="AJ1956" s="149"/>
      <c r="AK1956" s="149"/>
      <c r="AL1956" s="149"/>
      <c r="AM1956" s="149"/>
      <c r="AN1956" s="149"/>
      <c r="AO1956" s="128"/>
      <c r="AP1956" s="128"/>
      <c r="AQ1956" s="128"/>
      <c r="AR1956" s="128"/>
      <c r="AS1956" s="128"/>
      <c r="AT1956" s="128"/>
      <c r="AU1956" s="128"/>
      <c r="AV1956" s="128"/>
      <c r="AW1956" s="128"/>
      <c r="AX1956" s="128"/>
      <c r="AY1956" s="128"/>
      <c r="AZ1956" s="128"/>
      <c r="BA1956" s="128"/>
      <c r="BB1956" s="128"/>
      <c r="BC1956" s="128"/>
      <c r="BD1956" s="128"/>
      <c r="BE1956" s="128"/>
      <c r="BF1956" s="128"/>
      <c r="BG1956" s="128"/>
      <c r="BH1956" s="128"/>
      <c r="BI1956" s="128"/>
      <c r="BJ1956" s="128"/>
      <c r="BK1956" s="128"/>
      <c r="BL1956" s="128"/>
      <c r="BM1956" s="151"/>
      <c r="BN1956" s="128"/>
      <c r="BO1956" s="128"/>
      <c r="BP1956" s="128"/>
      <c r="BQ1956" s="128"/>
      <c r="BR1956" s="128"/>
      <c r="BS1956" s="128"/>
      <c r="BT1956" s="128"/>
      <c r="BU1956" s="128"/>
      <c r="BV1956" s="128"/>
      <c r="BW1956" s="128"/>
      <c r="BX1956" s="128"/>
      <c r="BY1956" s="128"/>
      <c r="BZ1956" s="128"/>
      <c r="CA1956" s="128"/>
      <c r="CB1956" s="128"/>
      <c r="CC1956" s="128"/>
      <c r="CD1956" s="128"/>
      <c r="CE1956" s="128"/>
      <c r="CF1956" s="128"/>
      <c r="CG1956" s="128"/>
      <c r="CI1956" s="128"/>
      <c r="CJ1956" s="128"/>
      <c r="CK1956" s="128"/>
      <c r="CL1956" s="128"/>
      <c r="CM1956" s="128"/>
      <c r="CN1956" s="128"/>
      <c r="CO1956" s="128"/>
      <c r="CP1956" s="128"/>
      <c r="CQ1956" s="128"/>
      <c r="CR1956" s="128"/>
      <c r="CS1956" s="128"/>
      <c r="CT1956" s="128"/>
      <c r="CU1956" s="128"/>
      <c r="CV1956" s="128"/>
      <c r="CW1956" s="128"/>
      <c r="CX1956" s="128"/>
      <c r="CY1956" s="128"/>
      <c r="CZ1956" s="165"/>
    </row>
    <row r="1957" spans="1:104">
      <c r="A1957" s="149"/>
      <c r="B1957" s="149"/>
      <c r="C1957" s="150"/>
      <c r="D1957" s="102"/>
      <c r="E1957" s="149"/>
      <c r="F1957" s="149"/>
      <c r="G1957" s="149"/>
      <c r="H1957" s="149"/>
      <c r="I1957" s="149"/>
      <c r="J1957" s="149"/>
      <c r="K1957" s="149"/>
      <c r="L1957" s="149"/>
      <c r="M1957" s="149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9"/>
      <c r="AA1957" s="149"/>
      <c r="AB1957" s="149"/>
      <c r="AC1957" s="149"/>
      <c r="AD1957" s="149"/>
      <c r="AE1957" s="149"/>
      <c r="AF1957" s="149"/>
      <c r="AG1957" s="149"/>
      <c r="AH1957" s="149"/>
      <c r="AI1957" s="149"/>
      <c r="AJ1957" s="149"/>
      <c r="AK1957" s="149"/>
      <c r="AL1957" s="149"/>
      <c r="AM1957" s="149"/>
      <c r="AN1957" s="149"/>
      <c r="AO1957" s="128"/>
      <c r="AP1957" s="128"/>
      <c r="AQ1957" s="128"/>
      <c r="AR1957" s="128"/>
      <c r="AS1957" s="128"/>
      <c r="AT1957" s="128"/>
      <c r="AU1957" s="128"/>
      <c r="AV1957" s="128"/>
      <c r="AW1957" s="128"/>
      <c r="AX1957" s="128"/>
      <c r="AY1957" s="128"/>
      <c r="AZ1957" s="128"/>
      <c r="BA1957" s="128"/>
      <c r="BB1957" s="128"/>
      <c r="BC1957" s="128"/>
      <c r="BD1957" s="128"/>
      <c r="BE1957" s="128"/>
      <c r="BF1957" s="128"/>
      <c r="BG1957" s="128"/>
      <c r="BH1957" s="128"/>
      <c r="BI1957" s="128"/>
      <c r="BJ1957" s="128"/>
      <c r="BK1957" s="128"/>
      <c r="BL1957" s="128"/>
      <c r="BM1957" s="151"/>
      <c r="BN1957" s="128"/>
      <c r="BO1957" s="128"/>
      <c r="BP1957" s="128"/>
      <c r="BQ1957" s="128"/>
      <c r="BR1957" s="128"/>
      <c r="BS1957" s="128"/>
      <c r="BT1957" s="128"/>
      <c r="BU1957" s="128"/>
      <c r="BV1957" s="128"/>
      <c r="BW1957" s="128"/>
      <c r="BX1957" s="128"/>
      <c r="BY1957" s="128"/>
      <c r="BZ1957" s="128"/>
      <c r="CA1957" s="128"/>
      <c r="CB1957" s="128"/>
      <c r="CC1957" s="128"/>
      <c r="CD1957" s="128"/>
      <c r="CE1957" s="128"/>
      <c r="CF1957" s="128"/>
      <c r="CG1957" s="128"/>
      <c r="CI1957" s="128"/>
      <c r="CJ1957" s="128"/>
      <c r="CK1957" s="128"/>
      <c r="CL1957" s="128"/>
      <c r="CM1957" s="128"/>
      <c r="CN1957" s="128"/>
      <c r="CO1957" s="128"/>
      <c r="CP1957" s="128"/>
      <c r="CQ1957" s="128"/>
      <c r="CR1957" s="128"/>
      <c r="CS1957" s="128"/>
      <c r="CT1957" s="128"/>
      <c r="CU1957" s="128"/>
      <c r="CV1957" s="128"/>
      <c r="CW1957" s="128"/>
      <c r="CX1957" s="128"/>
      <c r="CY1957" s="128"/>
      <c r="CZ1957" s="165"/>
    </row>
    <row r="1958" spans="1:104">
      <c r="A1958" s="149"/>
      <c r="B1958" s="149"/>
      <c r="C1958" s="150"/>
      <c r="D1958" s="102"/>
      <c r="E1958" s="149"/>
      <c r="F1958" s="149"/>
      <c r="G1958" s="149"/>
      <c r="H1958" s="149"/>
      <c r="I1958" s="149"/>
      <c r="J1958" s="149"/>
      <c r="K1958" s="149"/>
      <c r="L1958" s="149"/>
      <c r="M1958" s="149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9"/>
      <c r="AA1958" s="149"/>
      <c r="AB1958" s="149"/>
      <c r="AC1958" s="149"/>
      <c r="AD1958" s="149"/>
      <c r="AE1958" s="149"/>
      <c r="AF1958" s="149"/>
      <c r="AG1958" s="149"/>
      <c r="AH1958" s="149"/>
      <c r="AI1958" s="149"/>
      <c r="AJ1958" s="149"/>
      <c r="AK1958" s="149"/>
      <c r="AL1958" s="149"/>
      <c r="AM1958" s="149"/>
      <c r="AN1958" s="149"/>
      <c r="AO1958" s="128"/>
      <c r="AP1958" s="128"/>
      <c r="AQ1958" s="128"/>
      <c r="AR1958" s="128"/>
      <c r="AS1958" s="128"/>
      <c r="AT1958" s="128"/>
      <c r="AU1958" s="128"/>
      <c r="AV1958" s="128"/>
      <c r="AW1958" s="128"/>
      <c r="AX1958" s="128"/>
      <c r="AY1958" s="128"/>
      <c r="AZ1958" s="128"/>
      <c r="BA1958" s="128"/>
      <c r="BB1958" s="128"/>
      <c r="BC1958" s="128"/>
      <c r="BD1958" s="128"/>
      <c r="BE1958" s="128"/>
      <c r="BF1958" s="128"/>
      <c r="BG1958" s="128"/>
      <c r="BH1958" s="128"/>
      <c r="BI1958" s="128"/>
      <c r="BJ1958" s="128"/>
      <c r="BK1958" s="128"/>
      <c r="BL1958" s="128"/>
      <c r="BM1958" s="151"/>
      <c r="BN1958" s="128"/>
      <c r="BO1958" s="128"/>
      <c r="BP1958" s="128"/>
      <c r="BQ1958" s="128"/>
      <c r="BR1958" s="128"/>
      <c r="BS1958" s="128"/>
      <c r="BT1958" s="128"/>
      <c r="BU1958" s="128"/>
      <c r="BV1958" s="128"/>
      <c r="BW1958" s="128"/>
      <c r="BX1958" s="128"/>
      <c r="BY1958" s="128"/>
      <c r="BZ1958" s="128"/>
      <c r="CA1958" s="128"/>
      <c r="CB1958" s="128"/>
      <c r="CC1958" s="128"/>
      <c r="CD1958" s="128"/>
      <c r="CE1958" s="128"/>
      <c r="CF1958" s="128"/>
      <c r="CG1958" s="128"/>
      <c r="CI1958" s="128"/>
      <c r="CJ1958" s="128"/>
      <c r="CK1958" s="128"/>
      <c r="CL1958" s="128"/>
      <c r="CM1958" s="128"/>
      <c r="CN1958" s="128"/>
      <c r="CO1958" s="128"/>
      <c r="CP1958" s="128"/>
      <c r="CQ1958" s="128"/>
      <c r="CR1958" s="128"/>
      <c r="CS1958" s="128"/>
      <c r="CT1958" s="128"/>
      <c r="CU1958" s="128"/>
      <c r="CV1958" s="128"/>
      <c r="CW1958" s="128"/>
      <c r="CX1958" s="128"/>
      <c r="CY1958" s="128"/>
      <c r="CZ1958" s="165"/>
    </row>
    <row r="1959" spans="1:104">
      <c r="A1959" s="149"/>
      <c r="B1959" s="149"/>
      <c r="C1959" s="150"/>
      <c r="D1959" s="102"/>
      <c r="E1959" s="149"/>
      <c r="F1959" s="149"/>
      <c r="G1959" s="149"/>
      <c r="H1959" s="149"/>
      <c r="I1959" s="149"/>
      <c r="J1959" s="149"/>
      <c r="K1959" s="149"/>
      <c r="L1959" s="149"/>
      <c r="M1959" s="149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9"/>
      <c r="AA1959" s="149"/>
      <c r="AB1959" s="149"/>
      <c r="AC1959" s="149"/>
      <c r="AD1959" s="149"/>
      <c r="AE1959" s="149"/>
      <c r="AF1959" s="149"/>
      <c r="AG1959" s="149"/>
      <c r="AH1959" s="149"/>
      <c r="AI1959" s="149"/>
      <c r="AJ1959" s="149"/>
      <c r="AK1959" s="149"/>
      <c r="AL1959" s="149"/>
      <c r="AM1959" s="149"/>
      <c r="AN1959" s="149"/>
      <c r="AO1959" s="128"/>
      <c r="AP1959" s="128"/>
      <c r="AQ1959" s="128"/>
      <c r="AR1959" s="128"/>
      <c r="AS1959" s="128"/>
      <c r="AT1959" s="128"/>
      <c r="AU1959" s="128"/>
      <c r="AV1959" s="128"/>
      <c r="AW1959" s="128"/>
      <c r="AX1959" s="128"/>
      <c r="AY1959" s="128"/>
      <c r="AZ1959" s="128"/>
      <c r="BA1959" s="128"/>
      <c r="BB1959" s="128"/>
      <c r="BC1959" s="128"/>
      <c r="BD1959" s="128"/>
      <c r="BE1959" s="128"/>
      <c r="BF1959" s="128"/>
      <c r="BG1959" s="128"/>
      <c r="BH1959" s="128"/>
      <c r="BI1959" s="128"/>
      <c r="BJ1959" s="128"/>
      <c r="BK1959" s="128"/>
      <c r="BL1959" s="128"/>
      <c r="BM1959" s="151"/>
      <c r="BN1959" s="128"/>
      <c r="BO1959" s="128"/>
      <c r="BP1959" s="128"/>
      <c r="BQ1959" s="128"/>
      <c r="BR1959" s="128"/>
      <c r="BS1959" s="128"/>
      <c r="BT1959" s="128"/>
      <c r="BU1959" s="128"/>
      <c r="BV1959" s="128"/>
      <c r="BW1959" s="128"/>
      <c r="BX1959" s="128"/>
      <c r="BY1959" s="128"/>
      <c r="BZ1959" s="128"/>
      <c r="CA1959" s="128"/>
      <c r="CB1959" s="128"/>
      <c r="CC1959" s="128"/>
      <c r="CD1959" s="128"/>
      <c r="CE1959" s="128"/>
      <c r="CF1959" s="128"/>
      <c r="CG1959" s="128"/>
      <c r="CI1959" s="128"/>
      <c r="CJ1959" s="128"/>
      <c r="CK1959" s="128"/>
      <c r="CL1959" s="128"/>
      <c r="CM1959" s="128"/>
      <c r="CN1959" s="128"/>
      <c r="CO1959" s="128"/>
      <c r="CP1959" s="128"/>
      <c r="CQ1959" s="128"/>
      <c r="CR1959" s="128"/>
      <c r="CS1959" s="128"/>
      <c r="CT1959" s="128"/>
      <c r="CU1959" s="128"/>
      <c r="CV1959" s="128"/>
      <c r="CW1959" s="128"/>
      <c r="CX1959" s="128"/>
      <c r="CY1959" s="128"/>
      <c r="CZ1959" s="165"/>
    </row>
    <row r="1960" spans="1:104">
      <c r="A1960" s="149"/>
      <c r="B1960" s="149"/>
      <c r="C1960" s="150"/>
      <c r="D1960" s="102"/>
      <c r="E1960" s="149"/>
      <c r="F1960" s="149"/>
      <c r="G1960" s="149"/>
      <c r="H1960" s="149"/>
      <c r="I1960" s="149"/>
      <c r="J1960" s="149"/>
      <c r="K1960" s="149"/>
      <c r="L1960" s="149"/>
      <c r="M1960" s="149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9"/>
      <c r="AA1960" s="149"/>
      <c r="AB1960" s="149"/>
      <c r="AC1960" s="149"/>
      <c r="AD1960" s="149"/>
      <c r="AE1960" s="149"/>
      <c r="AF1960" s="149"/>
      <c r="AG1960" s="149"/>
      <c r="AH1960" s="149"/>
      <c r="AI1960" s="149"/>
      <c r="AJ1960" s="149"/>
      <c r="AK1960" s="149"/>
      <c r="AL1960" s="149"/>
      <c r="AM1960" s="149"/>
      <c r="AN1960" s="149"/>
      <c r="AO1960" s="128"/>
      <c r="AP1960" s="128"/>
      <c r="AQ1960" s="128"/>
      <c r="AR1960" s="128"/>
      <c r="AS1960" s="128"/>
      <c r="AT1960" s="128"/>
      <c r="AU1960" s="128"/>
      <c r="AV1960" s="128"/>
      <c r="AW1960" s="128"/>
      <c r="AX1960" s="128"/>
      <c r="AY1960" s="128"/>
      <c r="AZ1960" s="128"/>
      <c r="BA1960" s="128"/>
      <c r="BB1960" s="128"/>
      <c r="BC1960" s="128"/>
      <c r="BD1960" s="128"/>
      <c r="BE1960" s="128"/>
      <c r="BF1960" s="128"/>
      <c r="BG1960" s="128"/>
      <c r="BH1960" s="128"/>
      <c r="BI1960" s="128"/>
      <c r="BJ1960" s="128"/>
      <c r="BK1960" s="128"/>
      <c r="BL1960" s="128"/>
      <c r="BM1960" s="151"/>
      <c r="BN1960" s="128"/>
      <c r="BO1960" s="128"/>
      <c r="BP1960" s="128"/>
      <c r="BQ1960" s="128"/>
      <c r="BR1960" s="128"/>
      <c r="BS1960" s="128"/>
      <c r="BT1960" s="128"/>
      <c r="BU1960" s="128"/>
      <c r="BV1960" s="128"/>
      <c r="BW1960" s="128"/>
      <c r="BX1960" s="128"/>
      <c r="BY1960" s="128"/>
      <c r="BZ1960" s="128"/>
      <c r="CA1960" s="128"/>
      <c r="CB1960" s="128"/>
      <c r="CC1960" s="128"/>
      <c r="CD1960" s="128"/>
      <c r="CE1960" s="128"/>
      <c r="CF1960" s="128"/>
      <c r="CG1960" s="128"/>
      <c r="CI1960" s="128"/>
      <c r="CJ1960" s="128"/>
      <c r="CK1960" s="128"/>
      <c r="CL1960" s="128"/>
      <c r="CM1960" s="128"/>
      <c r="CN1960" s="128"/>
      <c r="CO1960" s="128"/>
      <c r="CP1960" s="128"/>
      <c r="CQ1960" s="128"/>
      <c r="CR1960" s="128"/>
      <c r="CS1960" s="128"/>
      <c r="CT1960" s="128"/>
      <c r="CU1960" s="128"/>
      <c r="CV1960" s="128"/>
      <c r="CW1960" s="128"/>
      <c r="CX1960" s="128"/>
      <c r="CY1960" s="128"/>
      <c r="CZ1960" s="165"/>
    </row>
    <row r="1961" spans="1:104">
      <c r="A1961" s="149"/>
      <c r="B1961" s="149"/>
      <c r="C1961" s="150"/>
      <c r="D1961" s="102"/>
      <c r="E1961" s="149"/>
      <c r="F1961" s="149"/>
      <c r="G1961" s="149"/>
      <c r="H1961" s="149"/>
      <c r="I1961" s="149"/>
      <c r="J1961" s="149"/>
      <c r="K1961" s="149"/>
      <c r="L1961" s="149"/>
      <c r="M1961" s="149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9"/>
      <c r="AA1961" s="149"/>
      <c r="AB1961" s="149"/>
      <c r="AC1961" s="149"/>
      <c r="AD1961" s="149"/>
      <c r="AE1961" s="149"/>
      <c r="AF1961" s="149"/>
      <c r="AG1961" s="149"/>
      <c r="AH1961" s="149"/>
      <c r="AI1961" s="149"/>
      <c r="AJ1961" s="149"/>
      <c r="AK1961" s="149"/>
      <c r="AL1961" s="149"/>
      <c r="AM1961" s="149"/>
      <c r="AN1961" s="149"/>
      <c r="AO1961" s="128"/>
      <c r="AP1961" s="128"/>
      <c r="AQ1961" s="128"/>
      <c r="AR1961" s="128"/>
      <c r="AS1961" s="128"/>
      <c r="AT1961" s="128"/>
      <c r="AU1961" s="128"/>
      <c r="AV1961" s="128"/>
      <c r="AW1961" s="128"/>
      <c r="AX1961" s="128"/>
      <c r="AY1961" s="128"/>
      <c r="AZ1961" s="128"/>
      <c r="BA1961" s="128"/>
      <c r="BB1961" s="128"/>
      <c r="BC1961" s="128"/>
      <c r="BD1961" s="128"/>
      <c r="BE1961" s="128"/>
      <c r="BF1961" s="128"/>
      <c r="BG1961" s="128"/>
      <c r="BH1961" s="128"/>
      <c r="BI1961" s="128"/>
      <c r="BJ1961" s="128"/>
      <c r="BK1961" s="128"/>
      <c r="BL1961" s="128"/>
      <c r="BM1961" s="151"/>
      <c r="BN1961" s="128"/>
      <c r="BO1961" s="128"/>
      <c r="BP1961" s="128"/>
      <c r="BQ1961" s="128"/>
      <c r="BR1961" s="128"/>
      <c r="BS1961" s="128"/>
      <c r="BT1961" s="128"/>
      <c r="BU1961" s="128"/>
      <c r="BV1961" s="128"/>
      <c r="BW1961" s="128"/>
      <c r="BX1961" s="128"/>
      <c r="BY1961" s="128"/>
      <c r="BZ1961" s="128"/>
      <c r="CA1961" s="128"/>
      <c r="CB1961" s="128"/>
      <c r="CC1961" s="128"/>
      <c r="CD1961" s="128"/>
      <c r="CE1961" s="128"/>
      <c r="CF1961" s="128"/>
      <c r="CG1961" s="128"/>
      <c r="CI1961" s="128"/>
      <c r="CJ1961" s="128"/>
      <c r="CK1961" s="128"/>
      <c r="CL1961" s="128"/>
      <c r="CM1961" s="128"/>
      <c r="CN1961" s="128"/>
      <c r="CO1961" s="128"/>
      <c r="CP1961" s="128"/>
      <c r="CQ1961" s="128"/>
      <c r="CR1961" s="128"/>
      <c r="CS1961" s="128"/>
      <c r="CT1961" s="128"/>
      <c r="CU1961" s="128"/>
      <c r="CV1961" s="128"/>
      <c r="CW1961" s="128"/>
      <c r="CX1961" s="128"/>
      <c r="CY1961" s="128"/>
      <c r="CZ1961" s="165"/>
    </row>
    <row r="1962" spans="1:104">
      <c r="A1962" s="149"/>
      <c r="B1962" s="149"/>
      <c r="C1962" s="150"/>
      <c r="D1962" s="102"/>
      <c r="E1962" s="149"/>
      <c r="F1962" s="149"/>
      <c r="G1962" s="149"/>
      <c r="H1962" s="149"/>
      <c r="I1962" s="149"/>
      <c r="J1962" s="149"/>
      <c r="K1962" s="149"/>
      <c r="L1962" s="149"/>
      <c r="M1962" s="149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9"/>
      <c r="AA1962" s="149"/>
      <c r="AB1962" s="149"/>
      <c r="AC1962" s="149"/>
      <c r="AD1962" s="149"/>
      <c r="AE1962" s="149"/>
      <c r="AF1962" s="149"/>
      <c r="AG1962" s="149"/>
      <c r="AH1962" s="149"/>
      <c r="AI1962" s="149"/>
      <c r="AJ1962" s="149"/>
      <c r="AK1962" s="149"/>
      <c r="AL1962" s="149"/>
      <c r="AM1962" s="149"/>
      <c r="AN1962" s="149"/>
      <c r="AO1962" s="128"/>
      <c r="AP1962" s="128"/>
      <c r="AQ1962" s="128"/>
      <c r="AR1962" s="128"/>
      <c r="AS1962" s="128"/>
      <c r="AT1962" s="128"/>
      <c r="AU1962" s="128"/>
      <c r="AV1962" s="128"/>
      <c r="AW1962" s="128"/>
      <c r="AX1962" s="128"/>
      <c r="AY1962" s="128"/>
      <c r="AZ1962" s="128"/>
      <c r="BA1962" s="128"/>
      <c r="BB1962" s="128"/>
      <c r="BC1962" s="128"/>
      <c r="BD1962" s="128"/>
      <c r="BE1962" s="128"/>
      <c r="BF1962" s="128"/>
      <c r="BG1962" s="128"/>
      <c r="BH1962" s="128"/>
      <c r="BI1962" s="128"/>
      <c r="BJ1962" s="128"/>
      <c r="BK1962" s="128"/>
      <c r="BL1962" s="128"/>
      <c r="BM1962" s="151"/>
      <c r="BN1962" s="128"/>
      <c r="BO1962" s="128"/>
      <c r="BP1962" s="128"/>
      <c r="BQ1962" s="128"/>
      <c r="BR1962" s="128"/>
      <c r="BS1962" s="128"/>
      <c r="BT1962" s="128"/>
      <c r="BU1962" s="128"/>
      <c r="BV1962" s="128"/>
      <c r="BW1962" s="128"/>
      <c r="BX1962" s="128"/>
      <c r="BY1962" s="128"/>
      <c r="BZ1962" s="128"/>
      <c r="CA1962" s="128"/>
      <c r="CB1962" s="128"/>
      <c r="CC1962" s="128"/>
      <c r="CD1962" s="128"/>
      <c r="CE1962" s="128"/>
      <c r="CF1962" s="128"/>
      <c r="CG1962" s="128"/>
      <c r="CI1962" s="128"/>
      <c r="CJ1962" s="128"/>
      <c r="CK1962" s="128"/>
      <c r="CL1962" s="128"/>
      <c r="CM1962" s="128"/>
      <c r="CN1962" s="128"/>
      <c r="CO1962" s="128"/>
      <c r="CP1962" s="128"/>
      <c r="CQ1962" s="128"/>
      <c r="CR1962" s="128"/>
      <c r="CS1962" s="128"/>
      <c r="CT1962" s="128"/>
      <c r="CU1962" s="128"/>
      <c r="CV1962" s="128"/>
      <c r="CW1962" s="128"/>
      <c r="CX1962" s="128"/>
      <c r="CY1962" s="128"/>
      <c r="CZ1962" s="165"/>
    </row>
    <row r="1963" spans="1:104">
      <c r="A1963" s="149"/>
      <c r="B1963" s="149"/>
      <c r="C1963" s="150"/>
      <c r="D1963" s="102"/>
      <c r="E1963" s="149"/>
      <c r="F1963" s="149"/>
      <c r="G1963" s="149"/>
      <c r="H1963" s="149"/>
      <c r="I1963" s="149"/>
      <c r="J1963" s="149"/>
      <c r="K1963" s="149"/>
      <c r="L1963" s="149"/>
      <c r="M1963" s="149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9"/>
      <c r="AA1963" s="149"/>
      <c r="AB1963" s="149"/>
      <c r="AC1963" s="149"/>
      <c r="AD1963" s="149"/>
      <c r="AE1963" s="149"/>
      <c r="AF1963" s="149"/>
      <c r="AG1963" s="149"/>
      <c r="AH1963" s="149"/>
      <c r="AI1963" s="149"/>
      <c r="AJ1963" s="149"/>
      <c r="AK1963" s="149"/>
      <c r="AL1963" s="149"/>
      <c r="AM1963" s="149"/>
      <c r="AN1963" s="149"/>
      <c r="AO1963" s="128"/>
      <c r="AP1963" s="128"/>
      <c r="AQ1963" s="128"/>
      <c r="AR1963" s="128"/>
      <c r="AS1963" s="128"/>
      <c r="AT1963" s="128"/>
      <c r="AU1963" s="128"/>
      <c r="AV1963" s="128"/>
      <c r="AW1963" s="128"/>
      <c r="AX1963" s="128"/>
      <c r="AY1963" s="128"/>
      <c r="AZ1963" s="128"/>
      <c r="BA1963" s="128"/>
      <c r="BB1963" s="128"/>
      <c r="BC1963" s="128"/>
      <c r="BD1963" s="128"/>
      <c r="BE1963" s="128"/>
      <c r="BF1963" s="128"/>
      <c r="BG1963" s="128"/>
      <c r="BH1963" s="128"/>
      <c r="BI1963" s="128"/>
      <c r="BJ1963" s="128"/>
      <c r="BK1963" s="128"/>
      <c r="BL1963" s="128"/>
      <c r="BM1963" s="151"/>
      <c r="BN1963" s="128"/>
      <c r="BO1963" s="128"/>
      <c r="BP1963" s="128"/>
      <c r="BQ1963" s="128"/>
      <c r="BR1963" s="128"/>
      <c r="BS1963" s="128"/>
      <c r="BT1963" s="128"/>
      <c r="BU1963" s="128"/>
      <c r="BV1963" s="128"/>
      <c r="BW1963" s="128"/>
      <c r="BX1963" s="128"/>
      <c r="BY1963" s="128"/>
      <c r="BZ1963" s="128"/>
      <c r="CA1963" s="128"/>
      <c r="CB1963" s="128"/>
      <c r="CC1963" s="128"/>
      <c r="CD1963" s="128"/>
      <c r="CE1963" s="128"/>
      <c r="CF1963" s="128"/>
      <c r="CG1963" s="128"/>
      <c r="CI1963" s="128"/>
      <c r="CJ1963" s="128"/>
      <c r="CK1963" s="128"/>
      <c r="CL1963" s="128"/>
      <c r="CM1963" s="128"/>
      <c r="CN1963" s="128"/>
      <c r="CO1963" s="128"/>
      <c r="CP1963" s="128"/>
      <c r="CQ1963" s="128"/>
      <c r="CR1963" s="128"/>
      <c r="CS1963" s="128"/>
      <c r="CT1963" s="128"/>
      <c r="CU1963" s="128"/>
      <c r="CV1963" s="128"/>
      <c r="CW1963" s="128"/>
      <c r="CX1963" s="128"/>
      <c r="CY1963" s="128"/>
      <c r="CZ1963" s="165"/>
    </row>
    <row r="1964" spans="1:104">
      <c r="A1964" s="149"/>
      <c r="B1964" s="149"/>
      <c r="C1964" s="150"/>
      <c r="D1964" s="102"/>
      <c r="E1964" s="149"/>
      <c r="F1964" s="149"/>
      <c r="G1964" s="149"/>
      <c r="H1964" s="149"/>
      <c r="I1964" s="149"/>
      <c r="J1964" s="149"/>
      <c r="K1964" s="149"/>
      <c r="L1964" s="149"/>
      <c r="M1964" s="149"/>
      <c r="N1964" s="149"/>
      <c r="O1964" s="149"/>
      <c r="P1964" s="149"/>
      <c r="Q1964" s="149"/>
      <c r="R1964" s="149"/>
      <c r="S1964" s="149"/>
      <c r="T1964" s="149"/>
      <c r="U1964" s="149"/>
      <c r="V1964" s="149"/>
      <c r="W1964" s="149"/>
      <c r="X1964" s="149"/>
      <c r="Y1964" s="149"/>
      <c r="Z1964" s="149"/>
      <c r="AA1964" s="149"/>
      <c r="AB1964" s="149"/>
      <c r="AC1964" s="149"/>
      <c r="AD1964" s="149"/>
      <c r="AE1964" s="149"/>
      <c r="AF1964" s="149"/>
      <c r="AG1964" s="149"/>
      <c r="AH1964" s="149"/>
      <c r="AI1964" s="149"/>
      <c r="AJ1964" s="149"/>
      <c r="AK1964" s="149"/>
      <c r="AL1964" s="149"/>
      <c r="AM1964" s="149"/>
      <c r="AN1964" s="149"/>
      <c r="AO1964" s="128"/>
      <c r="AP1964" s="128"/>
      <c r="AQ1964" s="128"/>
      <c r="AR1964" s="128"/>
      <c r="AS1964" s="128"/>
      <c r="AT1964" s="128"/>
      <c r="AU1964" s="128"/>
      <c r="AV1964" s="128"/>
      <c r="AW1964" s="128"/>
      <c r="AX1964" s="128"/>
      <c r="AY1964" s="128"/>
      <c r="AZ1964" s="128"/>
      <c r="BA1964" s="128"/>
      <c r="BB1964" s="128"/>
      <c r="BC1964" s="128"/>
      <c r="BD1964" s="128"/>
      <c r="BE1964" s="128"/>
      <c r="BF1964" s="128"/>
      <c r="BG1964" s="128"/>
      <c r="BH1964" s="128"/>
      <c r="BI1964" s="128"/>
      <c r="BJ1964" s="128"/>
      <c r="BK1964" s="128"/>
      <c r="BL1964" s="128"/>
      <c r="BM1964" s="151"/>
      <c r="BN1964" s="128"/>
      <c r="BO1964" s="128"/>
      <c r="BP1964" s="128"/>
      <c r="BQ1964" s="128"/>
      <c r="BR1964" s="128"/>
      <c r="BS1964" s="128"/>
      <c r="BT1964" s="128"/>
      <c r="BU1964" s="128"/>
      <c r="BV1964" s="128"/>
      <c r="BW1964" s="128"/>
      <c r="BX1964" s="128"/>
      <c r="BY1964" s="128"/>
      <c r="BZ1964" s="128"/>
      <c r="CA1964" s="128"/>
      <c r="CB1964" s="128"/>
      <c r="CC1964" s="128"/>
      <c r="CD1964" s="128"/>
      <c r="CE1964" s="128"/>
      <c r="CF1964" s="128"/>
      <c r="CG1964" s="128"/>
      <c r="CI1964" s="128"/>
      <c r="CJ1964" s="128"/>
      <c r="CK1964" s="128"/>
      <c r="CL1964" s="128"/>
      <c r="CM1964" s="128"/>
      <c r="CN1964" s="128"/>
      <c r="CO1964" s="128"/>
      <c r="CP1964" s="128"/>
      <c r="CQ1964" s="128"/>
      <c r="CR1964" s="128"/>
      <c r="CS1964" s="128"/>
      <c r="CT1964" s="128"/>
      <c r="CU1964" s="128"/>
      <c r="CV1964" s="128"/>
      <c r="CW1964" s="128"/>
      <c r="CX1964" s="128"/>
      <c r="CY1964" s="128"/>
      <c r="CZ1964" s="165"/>
    </row>
    <row r="1965" spans="1:104">
      <c r="A1965" s="149"/>
      <c r="B1965" s="149"/>
      <c r="C1965" s="150"/>
      <c r="D1965" s="102"/>
      <c r="E1965" s="149"/>
      <c r="F1965" s="149"/>
      <c r="G1965" s="149"/>
      <c r="H1965" s="149"/>
      <c r="I1965" s="149"/>
      <c r="J1965" s="149"/>
      <c r="K1965" s="149"/>
      <c r="L1965" s="149"/>
      <c r="M1965" s="149"/>
      <c r="N1965" s="149"/>
      <c r="O1965" s="149"/>
      <c r="P1965" s="149"/>
      <c r="Q1965" s="149"/>
      <c r="R1965" s="149"/>
      <c r="S1965" s="149"/>
      <c r="T1965" s="149"/>
      <c r="U1965" s="149"/>
      <c r="V1965" s="149"/>
      <c r="W1965" s="149"/>
      <c r="X1965" s="149"/>
      <c r="Y1965" s="149"/>
      <c r="Z1965" s="149"/>
      <c r="AA1965" s="149"/>
      <c r="AB1965" s="149"/>
      <c r="AC1965" s="149"/>
      <c r="AD1965" s="149"/>
      <c r="AE1965" s="149"/>
      <c r="AF1965" s="149"/>
      <c r="AG1965" s="149"/>
      <c r="AH1965" s="149"/>
      <c r="AI1965" s="149"/>
      <c r="AJ1965" s="149"/>
      <c r="AK1965" s="149"/>
      <c r="AL1965" s="149"/>
      <c r="AM1965" s="149"/>
      <c r="AN1965" s="149"/>
      <c r="AO1965" s="128"/>
      <c r="AP1965" s="128"/>
      <c r="AQ1965" s="128"/>
      <c r="AR1965" s="128"/>
      <c r="AS1965" s="128"/>
      <c r="AT1965" s="128"/>
      <c r="AU1965" s="128"/>
      <c r="AV1965" s="128"/>
      <c r="AW1965" s="128"/>
      <c r="AX1965" s="128"/>
      <c r="AY1965" s="128"/>
      <c r="AZ1965" s="128"/>
      <c r="BA1965" s="128"/>
      <c r="BB1965" s="128"/>
      <c r="BC1965" s="128"/>
      <c r="BD1965" s="128"/>
      <c r="BE1965" s="128"/>
      <c r="BF1965" s="128"/>
      <c r="BG1965" s="128"/>
      <c r="BH1965" s="128"/>
      <c r="BI1965" s="128"/>
      <c r="BJ1965" s="128"/>
      <c r="BK1965" s="128"/>
      <c r="BL1965" s="128"/>
      <c r="BM1965" s="151"/>
      <c r="BN1965" s="128"/>
      <c r="BO1965" s="128"/>
      <c r="BP1965" s="128"/>
      <c r="BQ1965" s="128"/>
      <c r="BR1965" s="128"/>
      <c r="BS1965" s="128"/>
      <c r="BT1965" s="128"/>
      <c r="BU1965" s="128"/>
      <c r="BV1965" s="128"/>
      <c r="BW1965" s="128"/>
      <c r="BX1965" s="128"/>
      <c r="BY1965" s="128"/>
      <c r="BZ1965" s="128"/>
      <c r="CA1965" s="128"/>
      <c r="CB1965" s="128"/>
      <c r="CC1965" s="128"/>
      <c r="CD1965" s="128"/>
      <c r="CE1965" s="128"/>
      <c r="CF1965" s="128"/>
      <c r="CG1965" s="128"/>
      <c r="CI1965" s="128"/>
      <c r="CJ1965" s="128"/>
      <c r="CK1965" s="128"/>
      <c r="CL1965" s="128"/>
      <c r="CM1965" s="128"/>
      <c r="CN1965" s="128"/>
      <c r="CO1965" s="128"/>
      <c r="CP1965" s="128"/>
      <c r="CQ1965" s="128"/>
      <c r="CR1965" s="128"/>
      <c r="CS1965" s="128"/>
      <c r="CT1965" s="128"/>
      <c r="CU1965" s="128"/>
      <c r="CV1965" s="128"/>
      <c r="CW1965" s="128"/>
      <c r="CX1965" s="128"/>
      <c r="CY1965" s="128"/>
      <c r="CZ1965" s="165"/>
    </row>
    <row r="1966" spans="1:104">
      <c r="A1966" s="149"/>
      <c r="B1966" s="149"/>
      <c r="C1966" s="150"/>
      <c r="D1966" s="102"/>
      <c r="E1966" s="149"/>
      <c r="F1966" s="149"/>
      <c r="G1966" s="149"/>
      <c r="H1966" s="149"/>
      <c r="I1966" s="149"/>
      <c r="J1966" s="149"/>
      <c r="K1966" s="149"/>
      <c r="L1966" s="149"/>
      <c r="M1966" s="149"/>
      <c r="N1966" s="149"/>
      <c r="O1966" s="149"/>
      <c r="P1966" s="149"/>
      <c r="Q1966" s="149"/>
      <c r="R1966" s="149"/>
      <c r="S1966" s="149"/>
      <c r="T1966" s="149"/>
      <c r="U1966" s="149"/>
      <c r="V1966" s="149"/>
      <c r="W1966" s="149"/>
      <c r="X1966" s="149"/>
      <c r="Y1966" s="149"/>
      <c r="Z1966" s="149"/>
      <c r="AA1966" s="149"/>
      <c r="AB1966" s="149"/>
      <c r="AC1966" s="149"/>
      <c r="AD1966" s="149"/>
      <c r="AE1966" s="149"/>
      <c r="AF1966" s="149"/>
      <c r="AG1966" s="149"/>
      <c r="AH1966" s="149"/>
      <c r="AI1966" s="149"/>
      <c r="AJ1966" s="149"/>
      <c r="AK1966" s="149"/>
      <c r="AL1966" s="149"/>
      <c r="AM1966" s="149"/>
      <c r="AN1966" s="149"/>
      <c r="AO1966" s="128"/>
      <c r="AP1966" s="128"/>
      <c r="AQ1966" s="128"/>
      <c r="AR1966" s="128"/>
      <c r="AS1966" s="128"/>
      <c r="AT1966" s="128"/>
      <c r="AU1966" s="128"/>
      <c r="AV1966" s="128"/>
      <c r="AW1966" s="128"/>
      <c r="AX1966" s="128"/>
      <c r="AY1966" s="128"/>
      <c r="AZ1966" s="128"/>
      <c r="BA1966" s="128"/>
      <c r="BB1966" s="128"/>
      <c r="BC1966" s="128"/>
      <c r="BD1966" s="128"/>
      <c r="BE1966" s="128"/>
      <c r="BF1966" s="128"/>
      <c r="BG1966" s="128"/>
      <c r="BH1966" s="128"/>
      <c r="BI1966" s="128"/>
      <c r="BJ1966" s="128"/>
      <c r="BK1966" s="128"/>
      <c r="BL1966" s="128"/>
      <c r="BM1966" s="151"/>
      <c r="BN1966" s="128"/>
      <c r="BO1966" s="128"/>
      <c r="BP1966" s="128"/>
      <c r="BQ1966" s="128"/>
      <c r="BR1966" s="128"/>
      <c r="BS1966" s="128"/>
      <c r="BT1966" s="128"/>
      <c r="BU1966" s="128"/>
      <c r="BV1966" s="128"/>
      <c r="BW1966" s="128"/>
      <c r="BX1966" s="128"/>
      <c r="BY1966" s="128"/>
      <c r="BZ1966" s="128"/>
      <c r="CA1966" s="128"/>
      <c r="CB1966" s="128"/>
      <c r="CC1966" s="128"/>
      <c r="CD1966" s="128"/>
      <c r="CE1966" s="128"/>
      <c r="CF1966" s="128"/>
      <c r="CG1966" s="128"/>
      <c r="CI1966" s="128"/>
      <c r="CJ1966" s="128"/>
      <c r="CK1966" s="128"/>
      <c r="CL1966" s="128"/>
      <c r="CM1966" s="128"/>
      <c r="CN1966" s="128"/>
      <c r="CO1966" s="128"/>
      <c r="CP1966" s="128"/>
      <c r="CQ1966" s="128"/>
      <c r="CR1966" s="128"/>
      <c r="CS1966" s="128"/>
      <c r="CT1966" s="128"/>
      <c r="CU1966" s="128"/>
      <c r="CV1966" s="128"/>
      <c r="CW1966" s="128"/>
      <c r="CX1966" s="128"/>
      <c r="CY1966" s="128"/>
      <c r="CZ1966" s="165"/>
    </row>
    <row r="1967" spans="1:104">
      <c r="A1967" s="149"/>
      <c r="B1967" s="149"/>
      <c r="C1967" s="150"/>
      <c r="D1967" s="102"/>
      <c r="E1967" s="149"/>
      <c r="F1967" s="149"/>
      <c r="G1967" s="149"/>
      <c r="H1967" s="149"/>
      <c r="I1967" s="149"/>
      <c r="J1967" s="149"/>
      <c r="K1967" s="149"/>
      <c r="L1967" s="149"/>
      <c r="M1967" s="149"/>
      <c r="N1967" s="149"/>
      <c r="O1967" s="149"/>
      <c r="P1967" s="149"/>
      <c r="Q1967" s="149"/>
      <c r="R1967" s="149"/>
      <c r="S1967" s="149"/>
      <c r="T1967" s="149"/>
      <c r="U1967" s="149"/>
      <c r="V1967" s="149"/>
      <c r="W1967" s="149"/>
      <c r="X1967" s="149"/>
      <c r="Y1967" s="149"/>
      <c r="Z1967" s="149"/>
      <c r="AA1967" s="149"/>
      <c r="AB1967" s="149"/>
      <c r="AC1967" s="149"/>
      <c r="AD1967" s="149"/>
      <c r="AE1967" s="149"/>
      <c r="AF1967" s="149"/>
      <c r="AG1967" s="149"/>
      <c r="AH1967" s="149"/>
      <c r="AI1967" s="149"/>
      <c r="AJ1967" s="149"/>
      <c r="AK1967" s="149"/>
      <c r="AL1967" s="149"/>
      <c r="AM1967" s="149"/>
      <c r="AN1967" s="149"/>
      <c r="AO1967" s="128"/>
      <c r="AP1967" s="128"/>
      <c r="AQ1967" s="128"/>
      <c r="AR1967" s="128"/>
      <c r="AS1967" s="128"/>
      <c r="AT1967" s="128"/>
      <c r="AU1967" s="128"/>
      <c r="AV1967" s="128"/>
      <c r="AW1967" s="128"/>
      <c r="AX1967" s="128"/>
      <c r="AY1967" s="128"/>
      <c r="AZ1967" s="128"/>
      <c r="BA1967" s="128"/>
      <c r="BB1967" s="128"/>
      <c r="BC1967" s="128"/>
      <c r="BD1967" s="128"/>
      <c r="BE1967" s="128"/>
      <c r="BF1967" s="128"/>
      <c r="BG1967" s="128"/>
      <c r="BH1967" s="128"/>
      <c r="BI1967" s="128"/>
      <c r="BJ1967" s="128"/>
      <c r="BK1967" s="128"/>
      <c r="BL1967" s="128"/>
      <c r="BM1967" s="151"/>
      <c r="BN1967" s="128"/>
      <c r="BO1967" s="128"/>
      <c r="BP1967" s="128"/>
      <c r="BQ1967" s="128"/>
      <c r="BR1967" s="128"/>
      <c r="BS1967" s="128"/>
      <c r="BT1967" s="128"/>
      <c r="BU1967" s="128"/>
      <c r="BV1967" s="128"/>
      <c r="BW1967" s="128"/>
      <c r="BX1967" s="128"/>
      <c r="BY1967" s="128"/>
      <c r="BZ1967" s="128"/>
      <c r="CA1967" s="128"/>
      <c r="CB1967" s="128"/>
      <c r="CC1967" s="128"/>
      <c r="CD1967" s="128"/>
      <c r="CE1967" s="128"/>
      <c r="CF1967" s="128"/>
      <c r="CG1967" s="128"/>
      <c r="CI1967" s="128"/>
      <c r="CJ1967" s="128"/>
      <c r="CK1967" s="128"/>
      <c r="CL1967" s="128"/>
      <c r="CM1967" s="128"/>
      <c r="CN1967" s="128"/>
      <c r="CO1967" s="128"/>
      <c r="CP1967" s="128"/>
      <c r="CQ1967" s="128"/>
      <c r="CR1967" s="128"/>
      <c r="CS1967" s="128"/>
      <c r="CT1967" s="128"/>
      <c r="CU1967" s="128"/>
      <c r="CV1967" s="128"/>
      <c r="CW1967" s="128"/>
      <c r="CX1967" s="128"/>
      <c r="CY1967" s="128"/>
      <c r="CZ1967" s="165"/>
    </row>
    <row r="1968" spans="1:104">
      <c r="A1968" s="149"/>
      <c r="B1968" s="149"/>
      <c r="C1968" s="150"/>
      <c r="D1968" s="102"/>
      <c r="E1968" s="149"/>
      <c r="F1968" s="149"/>
      <c r="G1968" s="149"/>
      <c r="H1968" s="149"/>
      <c r="I1968" s="149"/>
      <c r="J1968" s="149"/>
      <c r="K1968" s="149"/>
      <c r="L1968" s="149"/>
      <c r="M1968" s="149"/>
      <c r="N1968" s="149"/>
      <c r="O1968" s="149"/>
      <c r="P1968" s="149"/>
      <c r="Q1968" s="149"/>
      <c r="R1968" s="149"/>
      <c r="S1968" s="149"/>
      <c r="T1968" s="149"/>
      <c r="U1968" s="149"/>
      <c r="V1968" s="149"/>
      <c r="W1968" s="149"/>
      <c r="X1968" s="149"/>
      <c r="Y1968" s="149"/>
      <c r="Z1968" s="149"/>
      <c r="AA1968" s="149"/>
      <c r="AB1968" s="149"/>
      <c r="AC1968" s="149"/>
      <c r="AD1968" s="149"/>
      <c r="AE1968" s="149"/>
      <c r="AF1968" s="149"/>
      <c r="AG1968" s="149"/>
      <c r="AH1968" s="149"/>
      <c r="AI1968" s="149"/>
      <c r="AJ1968" s="149"/>
      <c r="AK1968" s="149"/>
      <c r="AL1968" s="149"/>
      <c r="AM1968" s="149"/>
      <c r="AN1968" s="149"/>
      <c r="AO1968" s="128"/>
      <c r="AP1968" s="128"/>
      <c r="AQ1968" s="128"/>
      <c r="AR1968" s="128"/>
      <c r="AS1968" s="128"/>
      <c r="AT1968" s="128"/>
      <c r="AU1968" s="128"/>
      <c r="AV1968" s="128"/>
      <c r="AW1968" s="128"/>
      <c r="AX1968" s="128"/>
      <c r="AY1968" s="128"/>
      <c r="AZ1968" s="128"/>
      <c r="BA1968" s="128"/>
      <c r="BB1968" s="128"/>
      <c r="BC1968" s="128"/>
      <c r="BD1968" s="128"/>
      <c r="BE1968" s="128"/>
      <c r="BF1968" s="128"/>
      <c r="BG1968" s="128"/>
      <c r="BH1968" s="128"/>
      <c r="BI1968" s="128"/>
      <c r="BJ1968" s="128"/>
      <c r="BK1968" s="128"/>
      <c r="BL1968" s="128"/>
      <c r="BM1968" s="151"/>
      <c r="BN1968" s="128"/>
      <c r="BO1968" s="128"/>
      <c r="BP1968" s="128"/>
      <c r="BQ1968" s="128"/>
      <c r="BR1968" s="128"/>
      <c r="BS1968" s="128"/>
      <c r="BT1968" s="128"/>
      <c r="BU1968" s="128"/>
      <c r="BV1968" s="128"/>
      <c r="BW1968" s="128"/>
      <c r="BX1968" s="128"/>
      <c r="BY1968" s="128"/>
      <c r="BZ1968" s="128"/>
      <c r="CA1968" s="128"/>
      <c r="CB1968" s="128"/>
      <c r="CC1968" s="128"/>
      <c r="CD1968" s="128"/>
      <c r="CE1968" s="128"/>
      <c r="CF1968" s="128"/>
      <c r="CG1968" s="128"/>
      <c r="CI1968" s="128"/>
      <c r="CJ1968" s="128"/>
      <c r="CK1968" s="128"/>
      <c r="CL1968" s="128"/>
      <c r="CM1968" s="128"/>
      <c r="CN1968" s="128"/>
      <c r="CO1968" s="128"/>
      <c r="CP1968" s="128"/>
      <c r="CQ1968" s="128"/>
      <c r="CR1968" s="128"/>
      <c r="CS1968" s="128"/>
      <c r="CT1968" s="128"/>
      <c r="CU1968" s="128"/>
      <c r="CV1968" s="128"/>
      <c r="CW1968" s="128"/>
      <c r="CX1968" s="128"/>
      <c r="CY1968" s="128"/>
      <c r="CZ1968" s="165"/>
    </row>
    <row r="1969" spans="1:104">
      <c r="A1969" s="149"/>
      <c r="B1969" s="149"/>
      <c r="C1969" s="150"/>
      <c r="D1969" s="102"/>
      <c r="E1969" s="149"/>
      <c r="F1969" s="149"/>
      <c r="G1969" s="149"/>
      <c r="H1969" s="149"/>
      <c r="I1969" s="149"/>
      <c r="J1969" s="149"/>
      <c r="K1969" s="149"/>
      <c r="L1969" s="149"/>
      <c r="M1969" s="149"/>
      <c r="N1969" s="149"/>
      <c r="O1969" s="149"/>
      <c r="P1969" s="149"/>
      <c r="Q1969" s="149"/>
      <c r="R1969" s="149"/>
      <c r="S1969" s="149"/>
      <c r="T1969" s="149"/>
      <c r="U1969" s="149"/>
      <c r="V1969" s="149"/>
      <c r="W1969" s="149"/>
      <c r="X1969" s="149"/>
      <c r="Y1969" s="149"/>
      <c r="Z1969" s="149"/>
      <c r="AA1969" s="149"/>
      <c r="AB1969" s="149"/>
      <c r="AC1969" s="149"/>
      <c r="AD1969" s="149"/>
      <c r="AE1969" s="149"/>
      <c r="AF1969" s="149"/>
      <c r="AG1969" s="149"/>
      <c r="AH1969" s="149"/>
      <c r="AI1969" s="149"/>
      <c r="AJ1969" s="149"/>
      <c r="AK1969" s="149"/>
      <c r="AL1969" s="149"/>
      <c r="AM1969" s="149"/>
      <c r="AN1969" s="149"/>
      <c r="AO1969" s="128"/>
      <c r="AP1969" s="128"/>
      <c r="AQ1969" s="128"/>
      <c r="AR1969" s="128"/>
      <c r="AS1969" s="128"/>
      <c r="AT1969" s="128"/>
      <c r="AU1969" s="128"/>
      <c r="AV1969" s="128"/>
      <c r="AW1969" s="128"/>
      <c r="AX1969" s="128"/>
      <c r="AY1969" s="128"/>
      <c r="AZ1969" s="128"/>
      <c r="BA1969" s="128"/>
      <c r="BB1969" s="128"/>
      <c r="BC1969" s="128"/>
      <c r="BD1969" s="128"/>
      <c r="BE1969" s="128"/>
      <c r="BF1969" s="128"/>
      <c r="BG1969" s="128"/>
      <c r="BH1969" s="128"/>
      <c r="BI1969" s="128"/>
      <c r="BJ1969" s="128"/>
      <c r="BK1969" s="128"/>
      <c r="BL1969" s="128"/>
      <c r="BM1969" s="151"/>
      <c r="BN1969" s="128"/>
      <c r="BO1969" s="128"/>
      <c r="BP1969" s="128"/>
      <c r="BQ1969" s="128"/>
      <c r="BR1969" s="128"/>
      <c r="BS1969" s="128"/>
      <c r="BT1969" s="128"/>
      <c r="BU1969" s="128"/>
      <c r="BV1969" s="128"/>
      <c r="BW1969" s="128"/>
      <c r="BX1969" s="128"/>
      <c r="BY1969" s="128"/>
      <c r="BZ1969" s="128"/>
      <c r="CA1969" s="128"/>
      <c r="CB1969" s="128"/>
      <c r="CC1969" s="128"/>
      <c r="CD1969" s="128"/>
      <c r="CE1969" s="128"/>
      <c r="CF1969" s="128"/>
      <c r="CG1969" s="128"/>
      <c r="CI1969" s="128"/>
      <c r="CJ1969" s="128"/>
      <c r="CK1969" s="128"/>
      <c r="CL1969" s="128"/>
      <c r="CM1969" s="128"/>
      <c r="CN1969" s="128"/>
      <c r="CO1969" s="128"/>
      <c r="CP1969" s="128"/>
      <c r="CQ1969" s="128"/>
      <c r="CR1969" s="128"/>
      <c r="CS1969" s="128"/>
      <c r="CT1969" s="128"/>
      <c r="CU1969" s="128"/>
      <c r="CV1969" s="128"/>
      <c r="CW1969" s="128"/>
      <c r="CX1969" s="128"/>
      <c r="CY1969" s="128"/>
      <c r="CZ1969" s="165"/>
    </row>
    <row r="1970" spans="1:104">
      <c r="A1970" s="149"/>
      <c r="B1970" s="149"/>
      <c r="C1970" s="150"/>
      <c r="D1970" s="102"/>
      <c r="E1970" s="149"/>
      <c r="F1970" s="149"/>
      <c r="G1970" s="149"/>
      <c r="H1970" s="149"/>
      <c r="I1970" s="149"/>
      <c r="J1970" s="149"/>
      <c r="K1970" s="149"/>
      <c r="L1970" s="149"/>
      <c r="M1970" s="149"/>
      <c r="N1970" s="149"/>
      <c r="O1970" s="149"/>
      <c r="P1970" s="149"/>
      <c r="Q1970" s="149"/>
      <c r="R1970" s="149"/>
      <c r="S1970" s="149"/>
      <c r="T1970" s="149"/>
      <c r="U1970" s="149"/>
      <c r="V1970" s="149"/>
      <c r="W1970" s="149"/>
      <c r="X1970" s="149"/>
      <c r="Y1970" s="149"/>
      <c r="Z1970" s="149"/>
      <c r="AA1970" s="149"/>
      <c r="AB1970" s="149"/>
      <c r="AC1970" s="149"/>
      <c r="AD1970" s="149"/>
      <c r="AE1970" s="149"/>
      <c r="AF1970" s="149"/>
      <c r="AG1970" s="149"/>
      <c r="AH1970" s="149"/>
      <c r="AI1970" s="149"/>
      <c r="AJ1970" s="149"/>
      <c r="AK1970" s="149"/>
      <c r="AL1970" s="149"/>
      <c r="AM1970" s="149"/>
      <c r="AN1970" s="149"/>
      <c r="AO1970" s="128"/>
      <c r="AP1970" s="128"/>
      <c r="AQ1970" s="128"/>
      <c r="AR1970" s="128"/>
      <c r="AS1970" s="128"/>
      <c r="AT1970" s="128"/>
      <c r="AU1970" s="128"/>
      <c r="AV1970" s="128"/>
      <c r="AW1970" s="128"/>
      <c r="AX1970" s="128"/>
      <c r="AY1970" s="128"/>
      <c r="AZ1970" s="128"/>
      <c r="BA1970" s="128"/>
      <c r="BB1970" s="128"/>
      <c r="BC1970" s="128"/>
      <c r="BD1970" s="128"/>
      <c r="BE1970" s="128"/>
      <c r="BF1970" s="128"/>
      <c r="BG1970" s="128"/>
      <c r="BH1970" s="128"/>
      <c r="BI1970" s="128"/>
      <c r="BJ1970" s="128"/>
      <c r="BK1970" s="128"/>
      <c r="BL1970" s="128"/>
      <c r="BM1970" s="151"/>
      <c r="BN1970" s="128"/>
      <c r="BO1970" s="128"/>
      <c r="BP1970" s="128"/>
      <c r="BQ1970" s="128"/>
      <c r="BR1970" s="128"/>
      <c r="BS1970" s="128"/>
      <c r="BT1970" s="128"/>
      <c r="BU1970" s="128"/>
      <c r="BV1970" s="128"/>
      <c r="BW1970" s="128"/>
      <c r="BX1970" s="128"/>
      <c r="BY1970" s="128"/>
      <c r="BZ1970" s="128"/>
      <c r="CA1970" s="128"/>
      <c r="CB1970" s="128"/>
      <c r="CC1970" s="128"/>
      <c r="CD1970" s="128"/>
      <c r="CE1970" s="128"/>
      <c r="CF1970" s="128"/>
      <c r="CG1970" s="128"/>
      <c r="CI1970" s="128"/>
      <c r="CJ1970" s="128"/>
      <c r="CK1970" s="128"/>
      <c r="CL1970" s="128"/>
      <c r="CM1970" s="128"/>
      <c r="CN1970" s="128"/>
      <c r="CO1970" s="128"/>
      <c r="CP1970" s="128"/>
      <c r="CQ1970" s="128"/>
      <c r="CR1970" s="128"/>
      <c r="CS1970" s="128"/>
      <c r="CT1970" s="128"/>
      <c r="CU1970" s="128"/>
      <c r="CV1970" s="128"/>
      <c r="CW1970" s="128"/>
      <c r="CX1970" s="128"/>
      <c r="CY1970" s="128"/>
      <c r="CZ1970" s="165"/>
    </row>
    <row r="1971" spans="1:104">
      <c r="A1971" s="149"/>
      <c r="B1971" s="149"/>
      <c r="C1971" s="150"/>
      <c r="D1971" s="102"/>
      <c r="E1971" s="149"/>
      <c r="F1971" s="149"/>
      <c r="G1971" s="149"/>
      <c r="H1971" s="149"/>
      <c r="I1971" s="149"/>
      <c r="J1971" s="149"/>
      <c r="K1971" s="149"/>
      <c r="L1971" s="149"/>
      <c r="M1971" s="149"/>
      <c r="N1971" s="149"/>
      <c r="O1971" s="149"/>
      <c r="P1971" s="149"/>
      <c r="Q1971" s="149"/>
      <c r="R1971" s="149"/>
      <c r="S1971" s="149"/>
      <c r="T1971" s="149"/>
      <c r="U1971" s="149"/>
      <c r="V1971" s="149"/>
      <c r="W1971" s="149"/>
      <c r="X1971" s="149"/>
      <c r="Y1971" s="149"/>
      <c r="Z1971" s="149"/>
      <c r="AA1971" s="149"/>
      <c r="AB1971" s="149"/>
      <c r="AC1971" s="149"/>
      <c r="AD1971" s="149"/>
      <c r="AE1971" s="149"/>
      <c r="AF1971" s="149"/>
      <c r="AG1971" s="149"/>
      <c r="AH1971" s="149"/>
      <c r="AI1971" s="149"/>
      <c r="AJ1971" s="149"/>
      <c r="AK1971" s="149"/>
      <c r="AL1971" s="149"/>
      <c r="AM1971" s="149"/>
      <c r="AN1971" s="149"/>
      <c r="AO1971" s="128"/>
      <c r="AP1971" s="128"/>
      <c r="AQ1971" s="128"/>
      <c r="AR1971" s="128"/>
      <c r="AS1971" s="128"/>
      <c r="AT1971" s="128"/>
      <c r="AU1971" s="128"/>
      <c r="AV1971" s="128"/>
      <c r="AW1971" s="128"/>
      <c r="AX1971" s="128"/>
      <c r="AY1971" s="128"/>
      <c r="AZ1971" s="128"/>
      <c r="BA1971" s="128"/>
      <c r="BB1971" s="128"/>
      <c r="BC1971" s="128"/>
      <c r="BD1971" s="128"/>
      <c r="BE1971" s="128"/>
      <c r="BF1971" s="128"/>
      <c r="BG1971" s="128"/>
      <c r="BH1971" s="128"/>
      <c r="BI1971" s="128"/>
      <c r="BJ1971" s="128"/>
      <c r="BK1971" s="128"/>
      <c r="BL1971" s="128"/>
      <c r="BM1971" s="151"/>
      <c r="BN1971" s="128"/>
      <c r="BO1971" s="128"/>
      <c r="BP1971" s="128"/>
      <c r="BQ1971" s="128"/>
      <c r="BR1971" s="128"/>
      <c r="BS1971" s="128"/>
      <c r="BT1971" s="128"/>
      <c r="BU1971" s="128"/>
      <c r="BV1971" s="128"/>
      <c r="BW1971" s="128"/>
      <c r="BX1971" s="128"/>
      <c r="BY1971" s="128"/>
      <c r="BZ1971" s="128"/>
      <c r="CA1971" s="128"/>
      <c r="CB1971" s="128"/>
      <c r="CC1971" s="128"/>
      <c r="CD1971" s="128"/>
      <c r="CE1971" s="128"/>
      <c r="CF1971" s="128"/>
      <c r="CG1971" s="128"/>
      <c r="CI1971" s="128"/>
      <c r="CJ1971" s="128"/>
      <c r="CK1971" s="128"/>
      <c r="CL1971" s="128"/>
      <c r="CM1971" s="128"/>
      <c r="CN1971" s="128"/>
      <c r="CO1971" s="128"/>
      <c r="CP1971" s="128"/>
      <c r="CQ1971" s="128"/>
      <c r="CR1971" s="128"/>
      <c r="CS1971" s="128"/>
      <c r="CT1971" s="128"/>
      <c r="CU1971" s="128"/>
      <c r="CV1971" s="128"/>
      <c r="CW1971" s="128"/>
      <c r="CX1971" s="128"/>
      <c r="CY1971" s="128"/>
      <c r="CZ1971" s="165"/>
    </row>
    <row r="1972" spans="1:104">
      <c r="A1972" s="149"/>
      <c r="B1972" s="149"/>
      <c r="C1972" s="150"/>
      <c r="D1972" s="102"/>
      <c r="E1972" s="149"/>
      <c r="F1972" s="149"/>
      <c r="G1972" s="149"/>
      <c r="H1972" s="149"/>
      <c r="I1972" s="149"/>
      <c r="J1972" s="149"/>
      <c r="K1972" s="149"/>
      <c r="L1972" s="149"/>
      <c r="M1972" s="149"/>
      <c r="N1972" s="149"/>
      <c r="O1972" s="149"/>
      <c r="P1972" s="149"/>
      <c r="Q1972" s="149"/>
      <c r="R1972" s="149"/>
      <c r="S1972" s="149"/>
      <c r="T1972" s="149"/>
      <c r="U1972" s="149"/>
      <c r="V1972" s="149"/>
      <c r="W1972" s="149"/>
      <c r="X1972" s="149"/>
      <c r="Y1972" s="149"/>
      <c r="Z1972" s="149"/>
      <c r="AA1972" s="149"/>
      <c r="AB1972" s="149"/>
      <c r="AC1972" s="149"/>
      <c r="AD1972" s="149"/>
      <c r="AE1972" s="149"/>
      <c r="AF1972" s="149"/>
      <c r="AG1972" s="149"/>
      <c r="AH1972" s="149"/>
      <c r="AI1972" s="149"/>
      <c r="AJ1972" s="149"/>
      <c r="AK1972" s="149"/>
      <c r="AL1972" s="149"/>
      <c r="AM1972" s="149"/>
      <c r="AN1972" s="149"/>
      <c r="AO1972" s="128"/>
      <c r="AP1972" s="128"/>
      <c r="AQ1972" s="128"/>
      <c r="AR1972" s="128"/>
      <c r="AS1972" s="128"/>
      <c r="AT1972" s="128"/>
      <c r="AU1972" s="128"/>
      <c r="AV1972" s="128"/>
      <c r="AW1972" s="128"/>
      <c r="AX1972" s="128"/>
      <c r="AY1972" s="128"/>
      <c r="AZ1972" s="128"/>
      <c r="BA1972" s="128"/>
      <c r="BB1972" s="128"/>
      <c r="BC1972" s="128"/>
      <c r="BD1972" s="128"/>
      <c r="BE1972" s="128"/>
      <c r="BF1972" s="128"/>
      <c r="BG1972" s="128"/>
      <c r="BH1972" s="128"/>
      <c r="BI1972" s="128"/>
      <c r="BJ1972" s="128"/>
      <c r="BK1972" s="128"/>
      <c r="BL1972" s="128"/>
      <c r="BM1972" s="151"/>
      <c r="BN1972" s="128"/>
      <c r="BO1972" s="128"/>
      <c r="BP1972" s="128"/>
      <c r="BQ1972" s="128"/>
      <c r="BR1972" s="128"/>
      <c r="BS1972" s="128"/>
      <c r="BT1972" s="128"/>
      <c r="BU1972" s="128"/>
      <c r="BV1972" s="128"/>
      <c r="BW1972" s="128"/>
      <c r="BX1972" s="128"/>
      <c r="BY1972" s="128"/>
      <c r="BZ1972" s="128"/>
      <c r="CA1972" s="128"/>
      <c r="CB1972" s="128"/>
      <c r="CC1972" s="128"/>
      <c r="CD1972" s="128"/>
      <c r="CE1972" s="128"/>
      <c r="CF1972" s="128"/>
      <c r="CG1972" s="128"/>
      <c r="CI1972" s="128"/>
      <c r="CJ1972" s="128"/>
      <c r="CK1972" s="128"/>
      <c r="CL1972" s="128"/>
      <c r="CM1972" s="128"/>
      <c r="CN1972" s="128"/>
      <c r="CO1972" s="128"/>
      <c r="CP1972" s="128"/>
      <c r="CQ1972" s="128"/>
      <c r="CR1972" s="128"/>
      <c r="CS1972" s="128"/>
      <c r="CT1972" s="128"/>
      <c r="CU1972" s="128"/>
      <c r="CV1972" s="128"/>
      <c r="CW1972" s="128"/>
      <c r="CX1972" s="128"/>
      <c r="CY1972" s="128"/>
      <c r="CZ1972" s="165"/>
    </row>
    <row r="1973" spans="1:104">
      <c r="A1973" s="149"/>
      <c r="B1973" s="149"/>
      <c r="C1973" s="150"/>
      <c r="D1973" s="102"/>
      <c r="E1973" s="149"/>
      <c r="F1973" s="149"/>
      <c r="G1973" s="149"/>
      <c r="H1973" s="149"/>
      <c r="I1973" s="149"/>
      <c r="J1973" s="149"/>
      <c r="K1973" s="149"/>
      <c r="L1973" s="149"/>
      <c r="M1973" s="149"/>
      <c r="N1973" s="149"/>
      <c r="O1973" s="149"/>
      <c r="P1973" s="149"/>
      <c r="Q1973" s="149"/>
      <c r="R1973" s="149"/>
      <c r="S1973" s="149"/>
      <c r="T1973" s="149"/>
      <c r="U1973" s="149"/>
      <c r="V1973" s="149"/>
      <c r="W1973" s="149"/>
      <c r="X1973" s="149"/>
      <c r="Y1973" s="149"/>
      <c r="Z1973" s="149"/>
      <c r="AA1973" s="149"/>
      <c r="AB1973" s="149"/>
      <c r="AC1973" s="149"/>
      <c r="AD1973" s="149"/>
      <c r="AE1973" s="149"/>
      <c r="AF1973" s="149"/>
      <c r="AG1973" s="149"/>
      <c r="AH1973" s="149"/>
      <c r="AI1973" s="149"/>
      <c r="AJ1973" s="149"/>
      <c r="AK1973" s="149"/>
      <c r="AL1973" s="149"/>
      <c r="AM1973" s="149"/>
      <c r="AN1973" s="149"/>
      <c r="AO1973" s="128"/>
      <c r="AP1973" s="128"/>
      <c r="AQ1973" s="128"/>
      <c r="AR1973" s="128"/>
      <c r="AS1973" s="128"/>
      <c r="AT1973" s="128"/>
      <c r="AU1973" s="128"/>
      <c r="AV1973" s="128"/>
      <c r="AW1973" s="128"/>
      <c r="AX1973" s="128"/>
      <c r="AY1973" s="128"/>
      <c r="AZ1973" s="128"/>
      <c r="BA1973" s="128"/>
      <c r="BB1973" s="128"/>
      <c r="BC1973" s="128"/>
      <c r="BD1973" s="128"/>
      <c r="BE1973" s="128"/>
      <c r="BF1973" s="128"/>
      <c r="BG1973" s="128"/>
      <c r="BH1973" s="128"/>
      <c r="BI1973" s="128"/>
      <c r="BJ1973" s="128"/>
      <c r="BK1973" s="128"/>
      <c r="BL1973" s="128"/>
      <c r="BM1973" s="151"/>
      <c r="BN1973" s="128"/>
      <c r="BO1973" s="128"/>
      <c r="BP1973" s="128"/>
      <c r="BQ1973" s="128"/>
      <c r="BR1973" s="128"/>
      <c r="BS1973" s="128"/>
      <c r="BT1973" s="128"/>
      <c r="BU1973" s="128"/>
      <c r="BV1973" s="128"/>
      <c r="BW1973" s="128"/>
      <c r="BX1973" s="128"/>
      <c r="BY1973" s="128"/>
      <c r="BZ1973" s="128"/>
      <c r="CA1973" s="128"/>
      <c r="CB1973" s="128"/>
      <c r="CC1973" s="128"/>
      <c r="CD1973" s="128"/>
      <c r="CE1973" s="128"/>
      <c r="CF1973" s="128"/>
      <c r="CG1973" s="128"/>
      <c r="CI1973" s="128"/>
      <c r="CJ1973" s="128"/>
      <c r="CK1973" s="128"/>
      <c r="CL1973" s="128"/>
      <c r="CM1973" s="128"/>
      <c r="CN1973" s="128"/>
      <c r="CO1973" s="128"/>
      <c r="CP1973" s="128"/>
      <c r="CQ1973" s="128"/>
      <c r="CR1973" s="128"/>
      <c r="CS1973" s="128"/>
      <c r="CT1973" s="128"/>
      <c r="CU1973" s="128"/>
      <c r="CV1973" s="128"/>
      <c r="CW1973" s="128"/>
      <c r="CX1973" s="128"/>
      <c r="CY1973" s="128"/>
      <c r="CZ1973" s="165"/>
    </row>
    <row r="1974" spans="1:104">
      <c r="A1974" s="149"/>
      <c r="B1974" s="149"/>
      <c r="C1974" s="150"/>
      <c r="D1974" s="102"/>
      <c r="E1974" s="149"/>
      <c r="F1974" s="149"/>
      <c r="G1974" s="149"/>
      <c r="H1974" s="149"/>
      <c r="I1974" s="149"/>
      <c r="J1974" s="149"/>
      <c r="K1974" s="149"/>
      <c r="L1974" s="149"/>
      <c r="M1974" s="149"/>
      <c r="N1974" s="149"/>
      <c r="O1974" s="149"/>
      <c r="P1974" s="149"/>
      <c r="Q1974" s="149"/>
      <c r="R1974" s="149"/>
      <c r="S1974" s="149"/>
      <c r="T1974" s="149"/>
      <c r="U1974" s="149"/>
      <c r="V1974" s="149"/>
      <c r="W1974" s="149"/>
      <c r="X1974" s="149"/>
      <c r="Y1974" s="149"/>
      <c r="Z1974" s="149"/>
      <c r="AA1974" s="149"/>
      <c r="AB1974" s="149"/>
      <c r="AC1974" s="149"/>
      <c r="AD1974" s="149"/>
      <c r="AE1974" s="149"/>
      <c r="AF1974" s="149"/>
      <c r="AG1974" s="149"/>
      <c r="AH1974" s="149"/>
      <c r="AI1974" s="149"/>
      <c r="AJ1974" s="149"/>
      <c r="AK1974" s="149"/>
      <c r="AL1974" s="149"/>
      <c r="AM1974" s="149"/>
      <c r="AN1974" s="149"/>
      <c r="AO1974" s="128"/>
      <c r="AP1974" s="128"/>
      <c r="AQ1974" s="128"/>
      <c r="AR1974" s="128"/>
      <c r="AS1974" s="128"/>
      <c r="AT1974" s="128"/>
      <c r="AU1974" s="128"/>
      <c r="AV1974" s="128"/>
      <c r="AW1974" s="128"/>
      <c r="AX1974" s="128"/>
      <c r="AY1974" s="128"/>
      <c r="AZ1974" s="128"/>
      <c r="BA1974" s="128"/>
      <c r="BB1974" s="128"/>
      <c r="BC1974" s="128"/>
      <c r="BD1974" s="128"/>
      <c r="BE1974" s="128"/>
      <c r="BF1974" s="128"/>
      <c r="BG1974" s="128"/>
      <c r="BH1974" s="128"/>
      <c r="BI1974" s="128"/>
      <c r="BJ1974" s="128"/>
      <c r="BK1974" s="128"/>
      <c r="BL1974" s="128"/>
      <c r="BM1974" s="151"/>
      <c r="BN1974" s="128"/>
      <c r="BO1974" s="128"/>
      <c r="BP1974" s="128"/>
      <c r="BQ1974" s="128"/>
      <c r="BR1974" s="128"/>
      <c r="BS1974" s="128"/>
      <c r="BT1974" s="128"/>
      <c r="BU1974" s="128"/>
      <c r="BV1974" s="128"/>
      <c r="BW1974" s="128"/>
      <c r="BX1974" s="128"/>
      <c r="BY1974" s="128"/>
      <c r="BZ1974" s="128"/>
      <c r="CA1974" s="128"/>
      <c r="CB1974" s="128"/>
      <c r="CC1974" s="128"/>
      <c r="CD1974" s="128"/>
      <c r="CE1974" s="128"/>
      <c r="CF1974" s="128"/>
      <c r="CG1974" s="128"/>
      <c r="CI1974" s="128"/>
      <c r="CJ1974" s="128"/>
      <c r="CK1974" s="128"/>
      <c r="CL1974" s="128"/>
      <c r="CM1974" s="128"/>
      <c r="CN1974" s="128"/>
      <c r="CO1974" s="128"/>
      <c r="CP1974" s="128"/>
      <c r="CQ1974" s="128"/>
      <c r="CR1974" s="128"/>
      <c r="CS1974" s="128"/>
      <c r="CT1974" s="128"/>
      <c r="CU1974" s="128"/>
      <c r="CV1974" s="128"/>
      <c r="CW1974" s="128"/>
      <c r="CX1974" s="128"/>
      <c r="CY1974" s="128"/>
      <c r="CZ1974" s="165"/>
    </row>
    <row r="1975" spans="1:104">
      <c r="A1975" s="149"/>
      <c r="B1975" s="149"/>
      <c r="C1975" s="150"/>
      <c r="D1975" s="102"/>
      <c r="E1975" s="149"/>
      <c r="F1975" s="149"/>
      <c r="G1975" s="149"/>
      <c r="H1975" s="149"/>
      <c r="I1975" s="149"/>
      <c r="J1975" s="149"/>
      <c r="K1975" s="149"/>
      <c r="L1975" s="149"/>
      <c r="M1975" s="149"/>
      <c r="N1975" s="149"/>
      <c r="O1975" s="149"/>
      <c r="P1975" s="149"/>
      <c r="Q1975" s="149"/>
      <c r="R1975" s="149"/>
      <c r="S1975" s="149"/>
      <c r="T1975" s="149"/>
      <c r="U1975" s="149"/>
      <c r="V1975" s="149"/>
      <c r="W1975" s="149"/>
      <c r="X1975" s="149"/>
      <c r="Y1975" s="149"/>
      <c r="Z1975" s="149"/>
      <c r="AA1975" s="149"/>
      <c r="AB1975" s="149"/>
      <c r="AC1975" s="149"/>
      <c r="AD1975" s="149"/>
      <c r="AE1975" s="149"/>
      <c r="AF1975" s="149"/>
      <c r="AG1975" s="149"/>
      <c r="AH1975" s="149"/>
      <c r="AI1975" s="149"/>
      <c r="AJ1975" s="149"/>
      <c r="AK1975" s="149"/>
      <c r="AL1975" s="149"/>
      <c r="AM1975" s="149"/>
      <c r="AN1975" s="149"/>
      <c r="AO1975" s="128"/>
      <c r="AP1975" s="128"/>
      <c r="AQ1975" s="128"/>
      <c r="AR1975" s="128"/>
      <c r="AS1975" s="128"/>
      <c r="AT1975" s="128"/>
      <c r="AU1975" s="128"/>
      <c r="AV1975" s="128"/>
      <c r="AW1975" s="128"/>
      <c r="AX1975" s="128"/>
      <c r="AY1975" s="128"/>
      <c r="AZ1975" s="128"/>
      <c r="BA1975" s="128"/>
      <c r="BB1975" s="128"/>
      <c r="BC1975" s="128"/>
      <c r="BD1975" s="128"/>
      <c r="BE1975" s="128"/>
      <c r="BF1975" s="128"/>
      <c r="BG1975" s="128"/>
      <c r="BH1975" s="128"/>
      <c r="BI1975" s="128"/>
      <c r="BJ1975" s="128"/>
      <c r="BK1975" s="128"/>
      <c r="BL1975" s="128"/>
      <c r="BM1975" s="151"/>
      <c r="BN1975" s="128"/>
      <c r="BO1975" s="128"/>
      <c r="BP1975" s="128"/>
      <c r="BQ1975" s="128"/>
      <c r="BR1975" s="128"/>
      <c r="BS1975" s="128"/>
      <c r="BT1975" s="128"/>
      <c r="BU1975" s="128"/>
      <c r="BV1975" s="128"/>
      <c r="BW1975" s="128"/>
      <c r="BX1975" s="128"/>
      <c r="BY1975" s="128"/>
      <c r="BZ1975" s="128"/>
      <c r="CA1975" s="128"/>
      <c r="CB1975" s="128"/>
      <c r="CC1975" s="128"/>
      <c r="CD1975" s="128"/>
      <c r="CE1975" s="128"/>
      <c r="CF1975" s="128"/>
      <c r="CG1975" s="128"/>
      <c r="CI1975" s="128"/>
      <c r="CJ1975" s="128"/>
      <c r="CK1975" s="128"/>
      <c r="CL1975" s="128"/>
      <c r="CM1975" s="128"/>
      <c r="CN1975" s="128"/>
      <c r="CO1975" s="128"/>
      <c r="CP1975" s="128"/>
      <c r="CQ1975" s="128"/>
      <c r="CR1975" s="128"/>
      <c r="CS1975" s="128"/>
      <c r="CT1975" s="128"/>
      <c r="CU1975" s="128"/>
      <c r="CV1975" s="128"/>
      <c r="CW1975" s="128"/>
      <c r="CX1975" s="128"/>
      <c r="CY1975" s="128"/>
      <c r="CZ1975" s="165"/>
    </row>
    <row r="1976" spans="1:104">
      <c r="A1976" s="149"/>
      <c r="B1976" s="149"/>
      <c r="C1976" s="150"/>
      <c r="D1976" s="102"/>
      <c r="E1976" s="149"/>
      <c r="F1976" s="149"/>
      <c r="G1976" s="149"/>
      <c r="H1976" s="149"/>
      <c r="I1976" s="149"/>
      <c r="J1976" s="149"/>
      <c r="K1976" s="149"/>
      <c r="L1976" s="149"/>
      <c r="M1976" s="149"/>
      <c r="N1976" s="149"/>
      <c r="O1976" s="149"/>
      <c r="P1976" s="149"/>
      <c r="Q1976" s="149"/>
      <c r="R1976" s="149"/>
      <c r="S1976" s="149"/>
      <c r="T1976" s="149"/>
      <c r="U1976" s="149"/>
      <c r="V1976" s="149"/>
      <c r="W1976" s="149"/>
      <c r="X1976" s="149"/>
      <c r="Y1976" s="149"/>
      <c r="Z1976" s="149"/>
      <c r="AA1976" s="149"/>
      <c r="AB1976" s="149"/>
      <c r="AC1976" s="149"/>
      <c r="AD1976" s="149"/>
      <c r="AE1976" s="149"/>
      <c r="AF1976" s="149"/>
      <c r="AG1976" s="149"/>
      <c r="AH1976" s="149"/>
      <c r="AI1976" s="149"/>
      <c r="AJ1976" s="149"/>
      <c r="AK1976" s="149"/>
      <c r="AL1976" s="149"/>
      <c r="AM1976" s="149"/>
      <c r="AN1976" s="149"/>
      <c r="AO1976" s="128"/>
      <c r="AP1976" s="128"/>
      <c r="AQ1976" s="128"/>
      <c r="AR1976" s="128"/>
      <c r="AS1976" s="128"/>
      <c r="AT1976" s="128"/>
      <c r="AU1976" s="128"/>
      <c r="AV1976" s="128"/>
      <c r="AW1976" s="128"/>
      <c r="AX1976" s="128"/>
      <c r="AY1976" s="128"/>
      <c r="AZ1976" s="128"/>
      <c r="BA1976" s="128"/>
      <c r="BB1976" s="128"/>
      <c r="BC1976" s="128"/>
      <c r="BD1976" s="128"/>
      <c r="BE1976" s="128"/>
      <c r="BF1976" s="128"/>
      <c r="BG1976" s="128"/>
      <c r="BH1976" s="128"/>
      <c r="BI1976" s="128"/>
      <c r="BJ1976" s="128"/>
      <c r="BK1976" s="128"/>
      <c r="BL1976" s="128"/>
      <c r="BM1976" s="151"/>
      <c r="BN1976" s="128"/>
      <c r="BO1976" s="128"/>
      <c r="BP1976" s="128"/>
      <c r="BQ1976" s="128"/>
      <c r="BR1976" s="128"/>
      <c r="BS1976" s="128"/>
      <c r="BT1976" s="128"/>
      <c r="BU1976" s="128"/>
      <c r="BV1976" s="128"/>
      <c r="BW1976" s="128"/>
      <c r="BX1976" s="128"/>
      <c r="BY1976" s="128"/>
      <c r="BZ1976" s="128"/>
      <c r="CA1976" s="128"/>
      <c r="CB1976" s="128"/>
      <c r="CC1976" s="128"/>
      <c r="CD1976" s="128"/>
      <c r="CE1976" s="128"/>
      <c r="CF1976" s="128"/>
      <c r="CG1976" s="128"/>
      <c r="CI1976" s="128"/>
      <c r="CJ1976" s="128"/>
      <c r="CK1976" s="128"/>
      <c r="CL1976" s="128"/>
      <c r="CM1976" s="128"/>
      <c r="CN1976" s="128"/>
      <c r="CO1976" s="128"/>
      <c r="CP1976" s="128"/>
      <c r="CQ1976" s="128"/>
      <c r="CR1976" s="128"/>
      <c r="CS1976" s="128"/>
      <c r="CT1976" s="128"/>
      <c r="CU1976" s="128"/>
      <c r="CV1976" s="128"/>
      <c r="CW1976" s="128"/>
      <c r="CX1976" s="128"/>
      <c r="CY1976" s="128"/>
      <c r="CZ1976" s="165"/>
    </row>
    <row r="1977" spans="1:104">
      <c r="A1977" s="149"/>
      <c r="B1977" s="149"/>
      <c r="C1977" s="150"/>
      <c r="D1977" s="102"/>
      <c r="E1977" s="149"/>
      <c r="F1977" s="149"/>
      <c r="G1977" s="149"/>
      <c r="H1977" s="149"/>
      <c r="I1977" s="149"/>
      <c r="J1977" s="149"/>
      <c r="K1977" s="149"/>
      <c r="L1977" s="149"/>
      <c r="M1977" s="149"/>
      <c r="N1977" s="149"/>
      <c r="O1977" s="149"/>
      <c r="P1977" s="149"/>
      <c r="Q1977" s="149"/>
      <c r="R1977" s="149"/>
      <c r="S1977" s="149"/>
      <c r="T1977" s="149"/>
      <c r="U1977" s="149"/>
      <c r="V1977" s="149"/>
      <c r="W1977" s="149"/>
      <c r="X1977" s="149"/>
      <c r="Y1977" s="149"/>
      <c r="Z1977" s="149"/>
      <c r="AA1977" s="149"/>
      <c r="AB1977" s="149"/>
      <c r="AC1977" s="149"/>
      <c r="AD1977" s="149"/>
      <c r="AE1977" s="149"/>
      <c r="AF1977" s="149"/>
      <c r="AG1977" s="149"/>
      <c r="AH1977" s="149"/>
      <c r="AI1977" s="149"/>
      <c r="AJ1977" s="149"/>
      <c r="AK1977" s="149"/>
      <c r="AL1977" s="149"/>
      <c r="AM1977" s="149"/>
      <c r="AN1977" s="149"/>
      <c r="AO1977" s="128"/>
      <c r="AP1977" s="128"/>
      <c r="AQ1977" s="128"/>
      <c r="AR1977" s="128"/>
      <c r="AS1977" s="128"/>
      <c r="AT1977" s="128"/>
      <c r="AU1977" s="128"/>
      <c r="AV1977" s="128"/>
      <c r="AW1977" s="128"/>
      <c r="AX1977" s="128"/>
      <c r="AY1977" s="128"/>
      <c r="AZ1977" s="128"/>
      <c r="BA1977" s="128"/>
      <c r="BB1977" s="128"/>
      <c r="BC1977" s="128"/>
      <c r="BD1977" s="128"/>
      <c r="BE1977" s="128"/>
      <c r="BF1977" s="128"/>
      <c r="BG1977" s="128"/>
      <c r="BH1977" s="128"/>
      <c r="BI1977" s="128"/>
      <c r="BJ1977" s="128"/>
      <c r="BK1977" s="128"/>
      <c r="BL1977" s="128"/>
      <c r="BM1977" s="151"/>
      <c r="BN1977" s="128"/>
      <c r="BO1977" s="128"/>
      <c r="BP1977" s="128"/>
      <c r="BQ1977" s="128"/>
      <c r="BR1977" s="128"/>
      <c r="BS1977" s="128"/>
      <c r="BT1977" s="128"/>
      <c r="BU1977" s="128"/>
      <c r="BV1977" s="128"/>
      <c r="BW1977" s="128"/>
      <c r="BX1977" s="128"/>
      <c r="BY1977" s="128"/>
      <c r="BZ1977" s="128"/>
      <c r="CA1977" s="128"/>
      <c r="CB1977" s="128"/>
      <c r="CC1977" s="128"/>
      <c r="CD1977" s="128"/>
      <c r="CE1977" s="128"/>
      <c r="CF1977" s="128"/>
      <c r="CG1977" s="128"/>
      <c r="CI1977" s="128"/>
      <c r="CJ1977" s="128"/>
      <c r="CK1977" s="128"/>
      <c r="CL1977" s="128"/>
      <c r="CM1977" s="128"/>
      <c r="CN1977" s="128"/>
      <c r="CO1977" s="128"/>
      <c r="CP1977" s="128"/>
      <c r="CQ1977" s="128"/>
      <c r="CR1977" s="128"/>
      <c r="CS1977" s="128"/>
      <c r="CT1977" s="128"/>
      <c r="CU1977" s="128"/>
      <c r="CV1977" s="128"/>
      <c r="CW1977" s="128"/>
      <c r="CX1977" s="128"/>
      <c r="CY1977" s="128"/>
      <c r="CZ1977" s="165"/>
    </row>
    <row r="1978" spans="1:104">
      <c r="A1978" s="149"/>
      <c r="B1978" s="149"/>
      <c r="C1978" s="150"/>
      <c r="D1978" s="102"/>
      <c r="E1978" s="149"/>
      <c r="F1978" s="149"/>
      <c r="G1978" s="149"/>
      <c r="H1978" s="149"/>
      <c r="I1978" s="149"/>
      <c r="J1978" s="149"/>
      <c r="K1978" s="149"/>
      <c r="L1978" s="149"/>
      <c r="M1978" s="149"/>
      <c r="N1978" s="149"/>
      <c r="O1978" s="149"/>
      <c r="P1978" s="149"/>
      <c r="Q1978" s="149"/>
      <c r="R1978" s="149"/>
      <c r="S1978" s="149"/>
      <c r="T1978" s="149"/>
      <c r="U1978" s="149"/>
      <c r="V1978" s="149"/>
      <c r="W1978" s="149"/>
      <c r="X1978" s="149"/>
      <c r="Y1978" s="149"/>
      <c r="Z1978" s="149"/>
      <c r="AA1978" s="149"/>
      <c r="AB1978" s="149"/>
      <c r="AC1978" s="149"/>
      <c r="AD1978" s="149"/>
      <c r="AE1978" s="149"/>
      <c r="AF1978" s="149"/>
      <c r="AG1978" s="149"/>
      <c r="AH1978" s="149"/>
      <c r="AI1978" s="149"/>
      <c r="AJ1978" s="149"/>
      <c r="AK1978" s="149"/>
      <c r="AL1978" s="149"/>
      <c r="AM1978" s="149"/>
      <c r="AN1978" s="149"/>
      <c r="AO1978" s="128"/>
      <c r="AP1978" s="128"/>
      <c r="AQ1978" s="128"/>
      <c r="AR1978" s="128"/>
      <c r="AS1978" s="128"/>
      <c r="AT1978" s="128"/>
      <c r="AU1978" s="128"/>
      <c r="AV1978" s="128"/>
      <c r="AW1978" s="128"/>
      <c r="AX1978" s="128"/>
      <c r="AY1978" s="128"/>
      <c r="AZ1978" s="128"/>
      <c r="BA1978" s="128"/>
      <c r="BB1978" s="128"/>
      <c r="BC1978" s="128"/>
      <c r="BD1978" s="128"/>
      <c r="BE1978" s="128"/>
      <c r="BF1978" s="128"/>
      <c r="BG1978" s="128"/>
      <c r="BH1978" s="128"/>
      <c r="BI1978" s="128"/>
      <c r="BJ1978" s="128"/>
      <c r="BK1978" s="128"/>
      <c r="BL1978" s="128"/>
      <c r="BM1978" s="151"/>
      <c r="BN1978" s="128"/>
      <c r="BO1978" s="128"/>
      <c r="BP1978" s="128"/>
      <c r="BQ1978" s="128"/>
      <c r="BR1978" s="128"/>
      <c r="BS1978" s="128"/>
      <c r="BT1978" s="128"/>
      <c r="BU1978" s="128"/>
      <c r="BV1978" s="128"/>
      <c r="BW1978" s="128"/>
      <c r="BX1978" s="128"/>
      <c r="BY1978" s="128"/>
      <c r="BZ1978" s="128"/>
      <c r="CA1978" s="128"/>
      <c r="CB1978" s="128"/>
      <c r="CC1978" s="128"/>
      <c r="CD1978" s="128"/>
      <c r="CE1978" s="128"/>
      <c r="CF1978" s="128"/>
      <c r="CG1978" s="128"/>
      <c r="CI1978" s="128"/>
      <c r="CJ1978" s="128"/>
      <c r="CK1978" s="128"/>
      <c r="CL1978" s="128"/>
      <c r="CM1978" s="128"/>
      <c r="CN1978" s="128"/>
      <c r="CO1978" s="128"/>
      <c r="CP1978" s="128"/>
      <c r="CQ1978" s="128"/>
      <c r="CR1978" s="128"/>
      <c r="CS1978" s="128"/>
      <c r="CT1978" s="128"/>
      <c r="CU1978" s="128"/>
      <c r="CV1978" s="128"/>
      <c r="CW1978" s="128"/>
      <c r="CX1978" s="128"/>
      <c r="CY1978" s="128"/>
      <c r="CZ1978" s="165"/>
    </row>
    <row r="1979" spans="1:104">
      <c r="A1979" s="149"/>
      <c r="B1979" s="149"/>
      <c r="C1979" s="150"/>
      <c r="D1979" s="102"/>
      <c r="E1979" s="149"/>
      <c r="F1979" s="149"/>
      <c r="G1979" s="149"/>
      <c r="H1979" s="149"/>
      <c r="I1979" s="149"/>
      <c r="J1979" s="149"/>
      <c r="K1979" s="149"/>
      <c r="L1979" s="149"/>
      <c r="M1979" s="149"/>
      <c r="N1979" s="149"/>
      <c r="O1979" s="149"/>
      <c r="P1979" s="149"/>
      <c r="Q1979" s="149"/>
      <c r="R1979" s="149"/>
      <c r="S1979" s="149"/>
      <c r="T1979" s="149"/>
      <c r="U1979" s="149"/>
      <c r="V1979" s="149"/>
      <c r="W1979" s="149"/>
      <c r="X1979" s="149"/>
      <c r="Y1979" s="149"/>
      <c r="Z1979" s="149"/>
      <c r="AA1979" s="149"/>
      <c r="AB1979" s="149"/>
      <c r="AC1979" s="149"/>
      <c r="AD1979" s="149"/>
      <c r="AE1979" s="149"/>
      <c r="AF1979" s="149"/>
      <c r="AG1979" s="149"/>
      <c r="AH1979" s="149"/>
      <c r="AI1979" s="149"/>
      <c r="AJ1979" s="149"/>
      <c r="AK1979" s="149"/>
      <c r="AL1979" s="149"/>
      <c r="AM1979" s="149"/>
      <c r="AN1979" s="149"/>
      <c r="AO1979" s="128"/>
      <c r="AP1979" s="128"/>
      <c r="AQ1979" s="128"/>
      <c r="AR1979" s="128"/>
      <c r="AS1979" s="128"/>
      <c r="AT1979" s="128"/>
      <c r="AU1979" s="128"/>
      <c r="AV1979" s="128"/>
      <c r="AW1979" s="128"/>
      <c r="AX1979" s="128"/>
      <c r="AY1979" s="128"/>
      <c r="AZ1979" s="128"/>
      <c r="BA1979" s="128"/>
      <c r="BB1979" s="128"/>
      <c r="BC1979" s="128"/>
      <c r="BD1979" s="128"/>
      <c r="BE1979" s="128"/>
      <c r="BF1979" s="128"/>
      <c r="BG1979" s="128"/>
      <c r="BH1979" s="128"/>
      <c r="BI1979" s="128"/>
      <c r="BJ1979" s="128"/>
      <c r="BK1979" s="128"/>
      <c r="BL1979" s="128"/>
      <c r="BM1979" s="151"/>
      <c r="BN1979" s="128"/>
      <c r="BO1979" s="128"/>
      <c r="BP1979" s="128"/>
      <c r="BQ1979" s="128"/>
      <c r="BR1979" s="128"/>
      <c r="BS1979" s="128"/>
      <c r="BT1979" s="128"/>
      <c r="BU1979" s="128"/>
      <c r="BV1979" s="128"/>
      <c r="BW1979" s="128"/>
      <c r="BX1979" s="128"/>
      <c r="BY1979" s="128"/>
      <c r="BZ1979" s="128"/>
      <c r="CA1979" s="128"/>
      <c r="CB1979" s="128"/>
      <c r="CC1979" s="128"/>
      <c r="CD1979" s="128"/>
      <c r="CE1979" s="128"/>
      <c r="CF1979" s="128"/>
      <c r="CG1979" s="128"/>
      <c r="CI1979" s="128"/>
      <c r="CJ1979" s="128"/>
      <c r="CK1979" s="128"/>
      <c r="CL1979" s="128"/>
      <c r="CM1979" s="128"/>
      <c r="CN1979" s="128"/>
      <c r="CO1979" s="128"/>
      <c r="CP1979" s="128"/>
      <c r="CQ1979" s="128"/>
      <c r="CR1979" s="128"/>
      <c r="CS1979" s="128"/>
      <c r="CT1979" s="128"/>
      <c r="CU1979" s="128"/>
      <c r="CV1979" s="128"/>
      <c r="CW1979" s="128"/>
      <c r="CX1979" s="128"/>
      <c r="CY1979" s="128"/>
      <c r="CZ1979" s="165"/>
    </row>
    <row r="1980" spans="1:104">
      <c r="A1980" s="149"/>
      <c r="B1980" s="149"/>
      <c r="C1980" s="150"/>
      <c r="D1980" s="102"/>
      <c r="E1980" s="149"/>
      <c r="F1980" s="149"/>
      <c r="G1980" s="149"/>
      <c r="H1980" s="149"/>
      <c r="I1980" s="149"/>
      <c r="J1980" s="149"/>
      <c r="K1980" s="149"/>
      <c r="L1980" s="149"/>
      <c r="M1980" s="149"/>
      <c r="N1980" s="149"/>
      <c r="O1980" s="149"/>
      <c r="P1980" s="149"/>
      <c r="Q1980" s="149"/>
      <c r="R1980" s="149"/>
      <c r="S1980" s="149"/>
      <c r="T1980" s="149"/>
      <c r="U1980" s="149"/>
      <c r="V1980" s="149"/>
      <c r="W1980" s="149"/>
      <c r="X1980" s="149"/>
      <c r="Y1980" s="149"/>
      <c r="Z1980" s="149"/>
      <c r="AA1980" s="149"/>
      <c r="AB1980" s="149"/>
      <c r="AC1980" s="149"/>
      <c r="AD1980" s="149"/>
      <c r="AE1980" s="149"/>
      <c r="AF1980" s="149"/>
      <c r="AG1980" s="149"/>
      <c r="AH1980" s="149"/>
      <c r="AI1980" s="149"/>
      <c r="AJ1980" s="149"/>
      <c r="AK1980" s="149"/>
      <c r="AL1980" s="149"/>
      <c r="AM1980" s="149"/>
      <c r="AN1980" s="149"/>
      <c r="AO1980" s="128"/>
      <c r="AP1980" s="128"/>
      <c r="AQ1980" s="128"/>
      <c r="AR1980" s="128"/>
      <c r="AS1980" s="128"/>
      <c r="AT1980" s="128"/>
      <c r="AU1980" s="128"/>
      <c r="AV1980" s="128"/>
      <c r="AW1980" s="128"/>
      <c r="AX1980" s="128"/>
      <c r="AY1980" s="128"/>
      <c r="AZ1980" s="128"/>
      <c r="BA1980" s="128"/>
      <c r="BB1980" s="128"/>
      <c r="BC1980" s="128"/>
      <c r="BD1980" s="128"/>
      <c r="BE1980" s="128"/>
      <c r="BF1980" s="128"/>
      <c r="BG1980" s="128"/>
      <c r="BH1980" s="128"/>
      <c r="BI1980" s="128"/>
      <c r="BJ1980" s="128"/>
      <c r="BK1980" s="128"/>
      <c r="BL1980" s="128"/>
      <c r="BM1980" s="151"/>
      <c r="BN1980" s="128"/>
      <c r="BO1980" s="128"/>
      <c r="BP1980" s="128"/>
      <c r="BQ1980" s="128"/>
      <c r="BR1980" s="128"/>
      <c r="BS1980" s="128"/>
      <c r="BT1980" s="128"/>
      <c r="BU1980" s="128"/>
      <c r="BV1980" s="128"/>
      <c r="BW1980" s="128"/>
      <c r="BX1980" s="128"/>
      <c r="BY1980" s="128"/>
      <c r="BZ1980" s="128"/>
      <c r="CA1980" s="128"/>
      <c r="CB1980" s="128"/>
      <c r="CC1980" s="128"/>
      <c r="CD1980" s="128"/>
      <c r="CE1980" s="128"/>
      <c r="CF1980" s="128"/>
      <c r="CG1980" s="128"/>
      <c r="CI1980" s="128"/>
      <c r="CJ1980" s="128"/>
      <c r="CK1980" s="128"/>
      <c r="CL1980" s="128"/>
      <c r="CM1980" s="128"/>
      <c r="CN1980" s="128"/>
      <c r="CO1980" s="128"/>
      <c r="CP1980" s="128"/>
      <c r="CQ1980" s="128"/>
      <c r="CR1980" s="128"/>
      <c r="CS1980" s="128"/>
      <c r="CT1980" s="128"/>
      <c r="CU1980" s="128"/>
      <c r="CV1980" s="128"/>
      <c r="CW1980" s="128"/>
      <c r="CX1980" s="128"/>
      <c r="CY1980" s="128"/>
      <c r="CZ1980" s="165"/>
    </row>
    <row r="1981" spans="1:104">
      <c r="A1981" s="149"/>
      <c r="B1981" s="149"/>
      <c r="C1981" s="150"/>
      <c r="D1981" s="102"/>
      <c r="E1981" s="149"/>
      <c r="F1981" s="149"/>
      <c r="G1981" s="149"/>
      <c r="H1981" s="149"/>
      <c r="I1981" s="149"/>
      <c r="J1981" s="149"/>
      <c r="K1981" s="149"/>
      <c r="L1981" s="149"/>
      <c r="M1981" s="149"/>
      <c r="N1981" s="149"/>
      <c r="O1981" s="149"/>
      <c r="P1981" s="149"/>
      <c r="Q1981" s="149"/>
      <c r="R1981" s="149"/>
      <c r="S1981" s="149"/>
      <c r="T1981" s="149"/>
      <c r="U1981" s="149"/>
      <c r="V1981" s="149"/>
      <c r="W1981" s="149"/>
      <c r="X1981" s="149"/>
      <c r="Y1981" s="149"/>
      <c r="Z1981" s="149"/>
      <c r="AA1981" s="149"/>
      <c r="AB1981" s="149"/>
      <c r="AC1981" s="149"/>
      <c r="AD1981" s="149"/>
      <c r="AE1981" s="149"/>
      <c r="AF1981" s="149"/>
      <c r="AG1981" s="149"/>
      <c r="AH1981" s="149"/>
      <c r="AI1981" s="149"/>
      <c r="AJ1981" s="149"/>
      <c r="AK1981" s="149"/>
      <c r="AL1981" s="149"/>
      <c r="AM1981" s="149"/>
      <c r="AN1981" s="149"/>
      <c r="AO1981" s="128"/>
      <c r="AP1981" s="128"/>
      <c r="AQ1981" s="128"/>
      <c r="AR1981" s="128"/>
      <c r="AS1981" s="128"/>
      <c r="AT1981" s="128"/>
      <c r="AU1981" s="128"/>
      <c r="AV1981" s="128"/>
      <c r="AW1981" s="128"/>
      <c r="AX1981" s="128"/>
      <c r="AY1981" s="128"/>
      <c r="AZ1981" s="128"/>
      <c r="BA1981" s="128"/>
      <c r="BB1981" s="128"/>
      <c r="BC1981" s="128"/>
      <c r="BD1981" s="128"/>
      <c r="BE1981" s="128"/>
      <c r="BF1981" s="128"/>
      <c r="BG1981" s="128"/>
      <c r="BH1981" s="128"/>
      <c r="BI1981" s="128"/>
      <c r="BJ1981" s="128"/>
      <c r="BK1981" s="128"/>
      <c r="BL1981" s="128"/>
      <c r="BM1981" s="151"/>
      <c r="BN1981" s="128"/>
      <c r="BO1981" s="128"/>
      <c r="BP1981" s="128"/>
      <c r="BQ1981" s="128"/>
      <c r="BR1981" s="128"/>
      <c r="BS1981" s="128"/>
      <c r="BT1981" s="128"/>
      <c r="BU1981" s="128"/>
      <c r="BV1981" s="128"/>
      <c r="BW1981" s="128"/>
      <c r="BX1981" s="128"/>
      <c r="BY1981" s="128"/>
      <c r="BZ1981" s="128"/>
      <c r="CA1981" s="128"/>
      <c r="CB1981" s="128"/>
      <c r="CC1981" s="128"/>
      <c r="CD1981" s="128"/>
      <c r="CE1981" s="128"/>
      <c r="CF1981" s="128"/>
      <c r="CG1981" s="128"/>
      <c r="CI1981" s="128"/>
      <c r="CJ1981" s="128"/>
      <c r="CK1981" s="128"/>
      <c r="CL1981" s="128"/>
      <c r="CM1981" s="128"/>
      <c r="CN1981" s="128"/>
      <c r="CO1981" s="128"/>
      <c r="CP1981" s="128"/>
      <c r="CQ1981" s="128"/>
      <c r="CR1981" s="128"/>
      <c r="CS1981" s="128"/>
      <c r="CT1981" s="128"/>
      <c r="CU1981" s="128"/>
      <c r="CV1981" s="128"/>
      <c r="CW1981" s="128"/>
      <c r="CX1981" s="128"/>
      <c r="CY1981" s="128"/>
      <c r="CZ1981" s="165"/>
    </row>
    <row r="1982" spans="1:104">
      <c r="A1982" s="149"/>
      <c r="B1982" s="149"/>
      <c r="C1982" s="150"/>
      <c r="D1982" s="102"/>
      <c r="E1982" s="149"/>
      <c r="F1982" s="149"/>
      <c r="G1982" s="149"/>
      <c r="H1982" s="149"/>
      <c r="I1982" s="149"/>
      <c r="J1982" s="149"/>
      <c r="K1982" s="149"/>
      <c r="L1982" s="149"/>
      <c r="M1982" s="149"/>
      <c r="N1982" s="149"/>
      <c r="O1982" s="149"/>
      <c r="P1982" s="149"/>
      <c r="Q1982" s="149"/>
      <c r="R1982" s="149"/>
      <c r="S1982" s="149"/>
      <c r="T1982" s="149"/>
      <c r="U1982" s="149"/>
      <c r="V1982" s="149"/>
      <c r="W1982" s="149"/>
      <c r="X1982" s="149"/>
      <c r="Y1982" s="149"/>
      <c r="Z1982" s="149"/>
      <c r="AA1982" s="149"/>
      <c r="AB1982" s="149"/>
      <c r="AC1982" s="149"/>
      <c r="AD1982" s="149"/>
      <c r="AE1982" s="149"/>
      <c r="AF1982" s="149"/>
      <c r="AG1982" s="149"/>
      <c r="AH1982" s="149"/>
      <c r="AI1982" s="149"/>
      <c r="AJ1982" s="149"/>
      <c r="AK1982" s="149"/>
      <c r="AL1982" s="149"/>
      <c r="AM1982" s="149"/>
      <c r="AN1982" s="149"/>
      <c r="AO1982" s="128"/>
      <c r="AP1982" s="128"/>
      <c r="AQ1982" s="128"/>
      <c r="AR1982" s="128"/>
      <c r="AS1982" s="128"/>
      <c r="AT1982" s="128"/>
      <c r="AU1982" s="128"/>
      <c r="AV1982" s="128"/>
      <c r="AW1982" s="128"/>
      <c r="AX1982" s="128"/>
      <c r="AY1982" s="128"/>
      <c r="AZ1982" s="128"/>
      <c r="BA1982" s="128"/>
      <c r="BB1982" s="128"/>
      <c r="BC1982" s="128"/>
      <c r="BD1982" s="128"/>
      <c r="BE1982" s="128"/>
      <c r="BF1982" s="128"/>
      <c r="BG1982" s="128"/>
      <c r="BH1982" s="128"/>
      <c r="BI1982" s="128"/>
      <c r="BJ1982" s="128"/>
      <c r="BK1982" s="128"/>
      <c r="BL1982" s="128"/>
      <c r="BM1982" s="151"/>
      <c r="BN1982" s="128"/>
      <c r="BO1982" s="128"/>
      <c r="BP1982" s="128"/>
      <c r="BQ1982" s="128"/>
      <c r="BR1982" s="128"/>
      <c r="BS1982" s="128"/>
      <c r="BT1982" s="128"/>
      <c r="BU1982" s="128"/>
      <c r="BV1982" s="128"/>
      <c r="BW1982" s="128"/>
      <c r="BX1982" s="128"/>
      <c r="BY1982" s="128"/>
      <c r="BZ1982" s="128"/>
      <c r="CA1982" s="128"/>
      <c r="CB1982" s="128"/>
      <c r="CC1982" s="128"/>
      <c r="CD1982" s="128"/>
      <c r="CE1982" s="128"/>
      <c r="CF1982" s="128"/>
      <c r="CG1982" s="128"/>
      <c r="CI1982" s="128"/>
      <c r="CJ1982" s="128"/>
      <c r="CK1982" s="128"/>
      <c r="CL1982" s="128"/>
      <c r="CM1982" s="128"/>
      <c r="CN1982" s="128"/>
      <c r="CO1982" s="128"/>
      <c r="CP1982" s="128"/>
      <c r="CQ1982" s="128"/>
      <c r="CR1982" s="128"/>
      <c r="CS1982" s="128"/>
      <c r="CT1982" s="128"/>
      <c r="CU1982" s="128"/>
      <c r="CV1982" s="128"/>
      <c r="CW1982" s="128"/>
      <c r="CX1982" s="128"/>
      <c r="CY1982" s="128"/>
      <c r="CZ1982" s="165"/>
    </row>
    <row r="1983" spans="1:104">
      <c r="A1983" s="149"/>
      <c r="B1983" s="149"/>
      <c r="C1983" s="150"/>
      <c r="D1983" s="102"/>
      <c r="E1983" s="149"/>
      <c r="F1983" s="149"/>
      <c r="G1983" s="149"/>
      <c r="H1983" s="149"/>
      <c r="I1983" s="149"/>
      <c r="J1983" s="149"/>
      <c r="K1983" s="149"/>
      <c r="L1983" s="149"/>
      <c r="M1983" s="149"/>
      <c r="N1983" s="149"/>
      <c r="O1983" s="149"/>
      <c r="P1983" s="149"/>
      <c r="Q1983" s="149"/>
      <c r="R1983" s="149"/>
      <c r="S1983" s="149"/>
      <c r="T1983" s="149"/>
      <c r="U1983" s="149"/>
      <c r="V1983" s="149"/>
      <c r="W1983" s="149"/>
      <c r="X1983" s="149"/>
      <c r="Y1983" s="149"/>
      <c r="Z1983" s="149"/>
      <c r="AA1983" s="149"/>
      <c r="AB1983" s="149"/>
      <c r="AC1983" s="149"/>
      <c r="AD1983" s="149"/>
      <c r="AE1983" s="149"/>
      <c r="AF1983" s="149"/>
      <c r="AG1983" s="149"/>
      <c r="AH1983" s="149"/>
      <c r="AI1983" s="149"/>
      <c r="AJ1983" s="149"/>
      <c r="AK1983" s="149"/>
      <c r="AL1983" s="149"/>
      <c r="AM1983" s="149"/>
      <c r="AN1983" s="149"/>
      <c r="AO1983" s="128"/>
      <c r="AP1983" s="128"/>
      <c r="AQ1983" s="128"/>
      <c r="AR1983" s="128"/>
      <c r="AS1983" s="128"/>
      <c r="AT1983" s="128"/>
      <c r="AU1983" s="128"/>
      <c r="AV1983" s="128"/>
      <c r="AW1983" s="128"/>
      <c r="AX1983" s="128"/>
      <c r="AY1983" s="128"/>
      <c r="AZ1983" s="128"/>
      <c r="BA1983" s="128"/>
      <c r="BB1983" s="128"/>
      <c r="BC1983" s="128"/>
      <c r="BD1983" s="128"/>
      <c r="BE1983" s="128"/>
      <c r="BF1983" s="128"/>
      <c r="BG1983" s="128"/>
      <c r="BH1983" s="128"/>
      <c r="BI1983" s="128"/>
      <c r="BJ1983" s="128"/>
      <c r="BK1983" s="128"/>
      <c r="BL1983" s="128"/>
      <c r="BM1983" s="151"/>
      <c r="BN1983" s="128"/>
      <c r="BO1983" s="128"/>
      <c r="BP1983" s="128"/>
      <c r="BQ1983" s="128"/>
      <c r="BR1983" s="128"/>
      <c r="BS1983" s="128"/>
      <c r="BT1983" s="128"/>
      <c r="BU1983" s="128"/>
      <c r="BV1983" s="128"/>
      <c r="BW1983" s="128"/>
      <c r="BX1983" s="128"/>
      <c r="BY1983" s="128"/>
      <c r="BZ1983" s="128"/>
      <c r="CA1983" s="128"/>
      <c r="CB1983" s="128"/>
      <c r="CC1983" s="128"/>
      <c r="CD1983" s="128"/>
      <c r="CE1983" s="128"/>
      <c r="CF1983" s="128"/>
      <c r="CG1983" s="128"/>
      <c r="CI1983" s="128"/>
      <c r="CJ1983" s="128"/>
      <c r="CK1983" s="128"/>
      <c r="CL1983" s="128"/>
      <c r="CM1983" s="128"/>
      <c r="CN1983" s="128"/>
      <c r="CO1983" s="128"/>
      <c r="CP1983" s="128"/>
      <c r="CQ1983" s="128"/>
      <c r="CR1983" s="128"/>
      <c r="CS1983" s="128"/>
      <c r="CT1983" s="128"/>
      <c r="CU1983" s="128"/>
      <c r="CV1983" s="128"/>
      <c r="CW1983" s="128"/>
      <c r="CX1983" s="128"/>
      <c r="CY1983" s="128"/>
      <c r="CZ1983" s="165"/>
    </row>
    <row r="1984" spans="1:104">
      <c r="A1984" s="149"/>
      <c r="B1984" s="149"/>
      <c r="C1984" s="150"/>
      <c r="D1984" s="102"/>
      <c r="E1984" s="149"/>
      <c r="F1984" s="149"/>
      <c r="G1984" s="149"/>
      <c r="H1984" s="149"/>
      <c r="I1984" s="149"/>
      <c r="J1984" s="149"/>
      <c r="K1984" s="149"/>
      <c r="L1984" s="149"/>
      <c r="M1984" s="149"/>
      <c r="N1984" s="149"/>
      <c r="O1984" s="149"/>
      <c r="P1984" s="149"/>
      <c r="Q1984" s="149"/>
      <c r="R1984" s="149"/>
      <c r="S1984" s="149"/>
      <c r="T1984" s="149"/>
      <c r="U1984" s="149"/>
      <c r="V1984" s="149"/>
      <c r="W1984" s="149"/>
      <c r="X1984" s="149"/>
      <c r="Y1984" s="149"/>
      <c r="Z1984" s="149"/>
      <c r="AA1984" s="149"/>
      <c r="AB1984" s="149"/>
      <c r="AC1984" s="149"/>
      <c r="AD1984" s="149"/>
      <c r="AE1984" s="149"/>
      <c r="AF1984" s="149"/>
      <c r="AG1984" s="149"/>
      <c r="AH1984" s="149"/>
      <c r="AI1984" s="149"/>
      <c r="AJ1984" s="149"/>
      <c r="AK1984" s="149"/>
      <c r="AL1984" s="149"/>
      <c r="AM1984" s="149"/>
      <c r="AN1984" s="149"/>
      <c r="AO1984" s="128"/>
      <c r="AP1984" s="128"/>
      <c r="AQ1984" s="128"/>
      <c r="AR1984" s="128"/>
      <c r="AS1984" s="128"/>
      <c r="AT1984" s="128"/>
      <c r="AU1984" s="128"/>
      <c r="AV1984" s="128"/>
      <c r="AW1984" s="128"/>
      <c r="AX1984" s="128"/>
      <c r="AY1984" s="128"/>
      <c r="AZ1984" s="128"/>
      <c r="BA1984" s="128"/>
      <c r="BB1984" s="128"/>
      <c r="BC1984" s="128"/>
      <c r="BD1984" s="128"/>
      <c r="BE1984" s="128"/>
      <c r="BF1984" s="128"/>
      <c r="BG1984" s="128"/>
      <c r="BH1984" s="128"/>
      <c r="BI1984" s="128"/>
      <c r="BJ1984" s="128"/>
      <c r="BK1984" s="128"/>
      <c r="BL1984" s="128"/>
      <c r="BM1984" s="151"/>
      <c r="BN1984" s="128"/>
      <c r="BO1984" s="128"/>
      <c r="BP1984" s="128"/>
      <c r="BQ1984" s="128"/>
      <c r="BR1984" s="128"/>
      <c r="BS1984" s="128"/>
      <c r="BT1984" s="128"/>
      <c r="BU1984" s="128"/>
      <c r="BV1984" s="128"/>
      <c r="BW1984" s="128"/>
      <c r="BX1984" s="128"/>
      <c r="BY1984" s="128"/>
      <c r="BZ1984" s="128"/>
      <c r="CA1984" s="128"/>
      <c r="CB1984" s="128"/>
      <c r="CC1984" s="128"/>
      <c r="CD1984" s="128"/>
      <c r="CE1984" s="128"/>
      <c r="CF1984" s="128"/>
      <c r="CG1984" s="128"/>
      <c r="CI1984" s="128"/>
      <c r="CJ1984" s="128"/>
      <c r="CK1984" s="128"/>
      <c r="CL1984" s="128"/>
      <c r="CM1984" s="128"/>
      <c r="CN1984" s="128"/>
      <c r="CO1984" s="128"/>
      <c r="CP1984" s="128"/>
      <c r="CQ1984" s="128"/>
      <c r="CR1984" s="128"/>
      <c r="CS1984" s="128"/>
      <c r="CT1984" s="128"/>
      <c r="CU1984" s="128"/>
      <c r="CV1984" s="128"/>
      <c r="CW1984" s="128"/>
      <c r="CX1984" s="128"/>
      <c r="CY1984" s="128"/>
      <c r="CZ1984" s="165"/>
    </row>
    <row r="1985" spans="1:104">
      <c r="A1985" s="149"/>
      <c r="B1985" s="149"/>
      <c r="C1985" s="150"/>
      <c r="D1985" s="102"/>
      <c r="E1985" s="149"/>
      <c r="F1985" s="149"/>
      <c r="G1985" s="149"/>
      <c r="H1985" s="149"/>
      <c r="I1985" s="149"/>
      <c r="J1985" s="149"/>
      <c r="K1985" s="149"/>
      <c r="L1985" s="149"/>
      <c r="M1985" s="149"/>
      <c r="N1985" s="149"/>
      <c r="O1985" s="149"/>
      <c r="P1985" s="149"/>
      <c r="Q1985" s="149"/>
      <c r="R1985" s="149"/>
      <c r="S1985" s="149"/>
      <c r="T1985" s="149"/>
      <c r="U1985" s="149"/>
      <c r="V1985" s="149"/>
      <c r="W1985" s="149"/>
      <c r="X1985" s="149"/>
      <c r="Y1985" s="149"/>
      <c r="Z1985" s="149"/>
      <c r="AA1985" s="149"/>
      <c r="AB1985" s="149"/>
      <c r="AC1985" s="149"/>
      <c r="AD1985" s="149"/>
      <c r="AE1985" s="149"/>
      <c r="AF1985" s="149"/>
      <c r="AG1985" s="149"/>
      <c r="AH1985" s="149"/>
      <c r="AI1985" s="149"/>
      <c r="AJ1985" s="149"/>
      <c r="AK1985" s="149"/>
      <c r="AL1985" s="149"/>
      <c r="AM1985" s="149"/>
      <c r="AN1985" s="149"/>
      <c r="AO1985" s="128"/>
      <c r="AP1985" s="128"/>
      <c r="AQ1985" s="128"/>
      <c r="AR1985" s="128"/>
      <c r="AS1985" s="128"/>
      <c r="AT1985" s="128"/>
      <c r="AU1985" s="128"/>
      <c r="AV1985" s="128"/>
      <c r="AW1985" s="128"/>
      <c r="AX1985" s="128"/>
      <c r="AY1985" s="128"/>
      <c r="AZ1985" s="128"/>
      <c r="BA1985" s="128"/>
      <c r="BB1985" s="128"/>
      <c r="BC1985" s="128"/>
      <c r="BD1985" s="128"/>
      <c r="BE1985" s="128"/>
      <c r="BF1985" s="128"/>
      <c r="BG1985" s="128"/>
      <c r="BH1985" s="128"/>
      <c r="BI1985" s="128"/>
      <c r="BJ1985" s="128"/>
      <c r="BK1985" s="128"/>
      <c r="BL1985" s="128"/>
      <c r="BM1985" s="151"/>
      <c r="BN1985" s="128"/>
      <c r="BO1985" s="128"/>
      <c r="BP1985" s="128"/>
      <c r="BQ1985" s="128"/>
      <c r="BR1985" s="128"/>
      <c r="BS1985" s="128"/>
      <c r="BT1985" s="128"/>
      <c r="BU1985" s="128"/>
      <c r="BV1985" s="128"/>
      <c r="BW1985" s="128"/>
      <c r="BX1985" s="128"/>
      <c r="BY1985" s="128"/>
      <c r="BZ1985" s="128"/>
      <c r="CA1985" s="128"/>
      <c r="CB1985" s="128"/>
      <c r="CC1985" s="128"/>
      <c r="CD1985" s="128"/>
      <c r="CE1985" s="128"/>
      <c r="CF1985" s="128"/>
      <c r="CG1985" s="128"/>
      <c r="CI1985" s="128"/>
      <c r="CJ1985" s="128"/>
      <c r="CK1985" s="128"/>
      <c r="CL1985" s="128"/>
      <c r="CM1985" s="128"/>
      <c r="CN1985" s="128"/>
      <c r="CO1985" s="128"/>
      <c r="CP1985" s="128"/>
      <c r="CQ1985" s="128"/>
      <c r="CR1985" s="128"/>
      <c r="CS1985" s="128"/>
      <c r="CT1985" s="128"/>
      <c r="CU1985" s="128"/>
      <c r="CV1985" s="128"/>
      <c r="CW1985" s="128"/>
      <c r="CX1985" s="128"/>
      <c r="CY1985" s="128"/>
      <c r="CZ1985" s="165"/>
    </row>
    <row r="1986" spans="1:104">
      <c r="A1986" s="149"/>
      <c r="B1986" s="149"/>
      <c r="C1986" s="150"/>
      <c r="D1986" s="102"/>
      <c r="E1986" s="149"/>
      <c r="F1986" s="149"/>
      <c r="G1986" s="149"/>
      <c r="H1986" s="149"/>
      <c r="I1986" s="149"/>
      <c r="J1986" s="149"/>
      <c r="K1986" s="149"/>
      <c r="L1986" s="149"/>
      <c r="M1986" s="149"/>
      <c r="N1986" s="149"/>
      <c r="O1986" s="149"/>
      <c r="P1986" s="149"/>
      <c r="Q1986" s="149"/>
      <c r="R1986" s="149"/>
      <c r="S1986" s="149"/>
      <c r="T1986" s="149"/>
      <c r="U1986" s="149"/>
      <c r="V1986" s="149"/>
      <c r="W1986" s="149"/>
      <c r="X1986" s="149"/>
      <c r="Y1986" s="149"/>
      <c r="Z1986" s="149"/>
      <c r="AA1986" s="149"/>
      <c r="AB1986" s="149"/>
      <c r="AC1986" s="149"/>
      <c r="AD1986" s="149"/>
      <c r="AE1986" s="149"/>
      <c r="AF1986" s="149"/>
      <c r="AG1986" s="149"/>
      <c r="AH1986" s="149"/>
      <c r="AI1986" s="149"/>
      <c r="AJ1986" s="149"/>
      <c r="AK1986" s="149"/>
      <c r="AL1986" s="149"/>
      <c r="AM1986" s="149"/>
      <c r="AN1986" s="149"/>
      <c r="AO1986" s="128"/>
      <c r="AP1986" s="128"/>
      <c r="AQ1986" s="128"/>
      <c r="AR1986" s="128"/>
      <c r="AS1986" s="128"/>
      <c r="AT1986" s="128"/>
      <c r="AU1986" s="128"/>
      <c r="AV1986" s="128"/>
      <c r="AW1986" s="128"/>
      <c r="AX1986" s="128"/>
      <c r="AY1986" s="128"/>
      <c r="AZ1986" s="128"/>
      <c r="BA1986" s="128"/>
      <c r="BB1986" s="128"/>
      <c r="BC1986" s="128"/>
      <c r="BD1986" s="128"/>
      <c r="BE1986" s="128"/>
      <c r="BF1986" s="128"/>
      <c r="BG1986" s="128"/>
      <c r="BH1986" s="128"/>
      <c r="BI1986" s="128"/>
      <c r="BJ1986" s="128"/>
      <c r="BK1986" s="128"/>
      <c r="BL1986" s="128"/>
      <c r="BM1986" s="151"/>
      <c r="BN1986" s="128"/>
      <c r="BO1986" s="128"/>
      <c r="BP1986" s="128"/>
      <c r="BQ1986" s="128"/>
      <c r="BR1986" s="128"/>
      <c r="BS1986" s="128"/>
      <c r="BT1986" s="128"/>
      <c r="BU1986" s="128"/>
      <c r="BV1986" s="128"/>
      <c r="BW1986" s="128"/>
      <c r="BX1986" s="128"/>
      <c r="BY1986" s="128"/>
      <c r="BZ1986" s="128"/>
      <c r="CA1986" s="128"/>
      <c r="CB1986" s="128"/>
      <c r="CC1986" s="128"/>
      <c r="CD1986" s="128"/>
      <c r="CE1986" s="128"/>
      <c r="CF1986" s="128"/>
      <c r="CG1986" s="128"/>
      <c r="CI1986" s="128"/>
      <c r="CJ1986" s="128"/>
      <c r="CK1986" s="128"/>
      <c r="CL1986" s="128"/>
      <c r="CM1986" s="128"/>
      <c r="CN1986" s="128"/>
      <c r="CO1986" s="128"/>
      <c r="CP1986" s="128"/>
      <c r="CQ1986" s="128"/>
      <c r="CR1986" s="128"/>
      <c r="CS1986" s="128"/>
      <c r="CT1986" s="128"/>
      <c r="CU1986" s="128"/>
      <c r="CV1986" s="128"/>
      <c r="CW1986" s="128"/>
      <c r="CX1986" s="128"/>
      <c r="CY1986" s="128"/>
      <c r="CZ1986" s="165"/>
    </row>
    <row r="1987" spans="1:104">
      <c r="A1987" s="149"/>
      <c r="B1987" s="149"/>
      <c r="C1987" s="150"/>
      <c r="D1987" s="102"/>
      <c r="E1987" s="149"/>
      <c r="F1987" s="149"/>
      <c r="G1987" s="149"/>
      <c r="H1987" s="149"/>
      <c r="I1987" s="149"/>
      <c r="J1987" s="149"/>
      <c r="K1987" s="149"/>
      <c r="L1987" s="149"/>
      <c r="M1987" s="149"/>
      <c r="N1987" s="149"/>
      <c r="O1987" s="149"/>
      <c r="P1987" s="149"/>
      <c r="Q1987" s="149"/>
      <c r="R1987" s="149"/>
      <c r="S1987" s="149"/>
      <c r="T1987" s="149"/>
      <c r="U1987" s="149"/>
      <c r="V1987" s="149"/>
      <c r="W1987" s="149"/>
      <c r="X1987" s="149"/>
      <c r="Y1987" s="149"/>
      <c r="Z1987" s="149"/>
      <c r="AA1987" s="149"/>
      <c r="AB1987" s="149"/>
      <c r="AC1987" s="149"/>
      <c r="AD1987" s="149"/>
      <c r="AE1987" s="149"/>
      <c r="AF1987" s="149"/>
      <c r="AG1987" s="149"/>
      <c r="AH1987" s="149"/>
      <c r="AI1987" s="149"/>
      <c r="AJ1987" s="149"/>
      <c r="AK1987" s="149"/>
      <c r="AL1987" s="149"/>
      <c r="AM1987" s="149"/>
      <c r="AN1987" s="149"/>
      <c r="AO1987" s="128"/>
      <c r="AP1987" s="128"/>
      <c r="AQ1987" s="128"/>
      <c r="AR1987" s="128"/>
      <c r="AS1987" s="128"/>
      <c r="AT1987" s="128"/>
      <c r="AU1987" s="128"/>
      <c r="AV1987" s="128"/>
      <c r="AW1987" s="128"/>
      <c r="AX1987" s="128"/>
      <c r="AY1987" s="128"/>
      <c r="AZ1987" s="128"/>
      <c r="BA1987" s="128"/>
      <c r="BB1987" s="128"/>
      <c r="BC1987" s="128"/>
      <c r="BD1987" s="128"/>
      <c r="BE1987" s="128"/>
      <c r="BF1987" s="128"/>
      <c r="BG1987" s="128"/>
      <c r="BH1987" s="128"/>
      <c r="BI1987" s="128"/>
      <c r="BJ1987" s="128"/>
      <c r="BK1987" s="128"/>
      <c r="BL1987" s="128"/>
      <c r="BM1987" s="151"/>
      <c r="BN1987" s="128"/>
      <c r="BO1987" s="128"/>
      <c r="BP1987" s="128"/>
      <c r="BQ1987" s="128"/>
      <c r="BR1987" s="128"/>
      <c r="BS1987" s="128"/>
      <c r="BT1987" s="128"/>
      <c r="BU1987" s="128"/>
      <c r="BV1987" s="128"/>
      <c r="BW1987" s="128"/>
      <c r="BX1987" s="128"/>
      <c r="BY1987" s="128"/>
      <c r="BZ1987" s="128"/>
      <c r="CA1987" s="128"/>
      <c r="CB1987" s="128"/>
      <c r="CC1987" s="128"/>
      <c r="CD1987" s="128"/>
      <c r="CE1987" s="128"/>
      <c r="CF1987" s="128"/>
      <c r="CG1987" s="128"/>
      <c r="CI1987" s="128"/>
      <c r="CJ1987" s="128"/>
      <c r="CK1987" s="128"/>
      <c r="CL1987" s="128"/>
      <c r="CM1987" s="128"/>
      <c r="CN1987" s="128"/>
      <c r="CO1987" s="128"/>
      <c r="CP1987" s="128"/>
      <c r="CQ1987" s="128"/>
      <c r="CR1987" s="128"/>
      <c r="CS1987" s="128"/>
      <c r="CT1987" s="128"/>
      <c r="CU1987" s="128"/>
      <c r="CV1987" s="128"/>
      <c r="CW1987" s="128"/>
      <c r="CX1987" s="128"/>
      <c r="CY1987" s="128"/>
      <c r="CZ1987" s="165"/>
    </row>
    <row r="1988" spans="1:104">
      <c r="A1988" s="149"/>
      <c r="B1988" s="149"/>
      <c r="C1988" s="150"/>
      <c r="D1988" s="102"/>
      <c r="E1988" s="149"/>
      <c r="F1988" s="149"/>
      <c r="G1988" s="149"/>
      <c r="H1988" s="149"/>
      <c r="I1988" s="149"/>
      <c r="J1988" s="149"/>
      <c r="K1988" s="149"/>
      <c r="L1988" s="149"/>
      <c r="M1988" s="149"/>
      <c r="N1988" s="149"/>
      <c r="O1988" s="149"/>
      <c r="P1988" s="149"/>
      <c r="Q1988" s="149"/>
      <c r="R1988" s="149"/>
      <c r="S1988" s="149"/>
      <c r="T1988" s="149"/>
      <c r="U1988" s="149"/>
      <c r="V1988" s="149"/>
      <c r="W1988" s="149"/>
      <c r="X1988" s="149"/>
      <c r="Y1988" s="149"/>
      <c r="Z1988" s="149"/>
      <c r="AA1988" s="149"/>
      <c r="AB1988" s="149"/>
      <c r="AC1988" s="149"/>
      <c r="AD1988" s="149"/>
      <c r="AE1988" s="149"/>
      <c r="AF1988" s="149"/>
      <c r="AG1988" s="149"/>
      <c r="AH1988" s="149"/>
      <c r="AI1988" s="149"/>
      <c r="AJ1988" s="149"/>
      <c r="AK1988" s="149"/>
      <c r="AL1988" s="149"/>
      <c r="AM1988" s="149"/>
      <c r="AN1988" s="149"/>
      <c r="AO1988" s="128"/>
      <c r="AP1988" s="128"/>
      <c r="AQ1988" s="128"/>
      <c r="AR1988" s="128"/>
      <c r="AS1988" s="128"/>
      <c r="AT1988" s="128"/>
      <c r="AU1988" s="128"/>
      <c r="AV1988" s="128"/>
      <c r="AW1988" s="128"/>
      <c r="AX1988" s="128"/>
      <c r="AY1988" s="128"/>
      <c r="AZ1988" s="128"/>
      <c r="BA1988" s="128"/>
      <c r="BB1988" s="128"/>
      <c r="BC1988" s="128"/>
      <c r="BD1988" s="128"/>
      <c r="BE1988" s="128"/>
      <c r="BF1988" s="128"/>
      <c r="BG1988" s="128"/>
      <c r="BH1988" s="128"/>
      <c r="BI1988" s="128"/>
      <c r="BJ1988" s="128"/>
      <c r="BK1988" s="128"/>
      <c r="BL1988" s="128"/>
      <c r="BM1988" s="151"/>
      <c r="BN1988" s="128"/>
      <c r="BO1988" s="128"/>
      <c r="BP1988" s="128"/>
      <c r="BQ1988" s="128"/>
      <c r="BR1988" s="128"/>
      <c r="BS1988" s="128"/>
      <c r="BT1988" s="128"/>
      <c r="BU1988" s="128"/>
      <c r="BV1988" s="128"/>
      <c r="BW1988" s="128"/>
      <c r="BX1988" s="128"/>
      <c r="BY1988" s="128"/>
      <c r="BZ1988" s="128"/>
      <c r="CA1988" s="128"/>
      <c r="CB1988" s="128"/>
      <c r="CC1988" s="128"/>
      <c r="CD1988" s="128"/>
      <c r="CE1988" s="128"/>
      <c r="CF1988" s="128"/>
      <c r="CG1988" s="128"/>
      <c r="CI1988" s="128"/>
      <c r="CJ1988" s="128"/>
      <c r="CK1988" s="128"/>
      <c r="CL1988" s="128"/>
      <c r="CM1988" s="128"/>
      <c r="CN1988" s="128"/>
      <c r="CO1988" s="128"/>
      <c r="CP1988" s="128"/>
      <c r="CQ1988" s="128"/>
      <c r="CR1988" s="128"/>
      <c r="CS1988" s="128"/>
      <c r="CT1988" s="128"/>
      <c r="CU1988" s="128"/>
      <c r="CV1988" s="128"/>
      <c r="CW1988" s="128"/>
      <c r="CX1988" s="128"/>
      <c r="CY1988" s="128"/>
      <c r="CZ1988" s="165"/>
    </row>
    <row r="1989" spans="1:104">
      <c r="A1989" s="149"/>
      <c r="B1989" s="149"/>
      <c r="C1989" s="150"/>
      <c r="D1989" s="102"/>
      <c r="E1989" s="149"/>
      <c r="F1989" s="149"/>
      <c r="G1989" s="149"/>
      <c r="H1989" s="149"/>
      <c r="I1989" s="149"/>
      <c r="J1989" s="149"/>
      <c r="K1989" s="149"/>
      <c r="L1989" s="149"/>
      <c r="M1989" s="149"/>
      <c r="N1989" s="149"/>
      <c r="O1989" s="149"/>
      <c r="P1989" s="149"/>
      <c r="Q1989" s="149"/>
      <c r="R1989" s="149"/>
      <c r="S1989" s="149"/>
      <c r="T1989" s="149"/>
      <c r="U1989" s="149"/>
      <c r="V1989" s="149"/>
      <c r="W1989" s="149"/>
      <c r="X1989" s="149"/>
      <c r="Y1989" s="149"/>
      <c r="Z1989" s="149"/>
      <c r="AA1989" s="149"/>
      <c r="AB1989" s="149"/>
      <c r="AC1989" s="149"/>
      <c r="AD1989" s="149"/>
      <c r="AE1989" s="149"/>
      <c r="AF1989" s="149"/>
      <c r="AG1989" s="149"/>
      <c r="AH1989" s="149"/>
      <c r="AI1989" s="149"/>
      <c r="AJ1989" s="149"/>
      <c r="AK1989" s="149"/>
      <c r="AL1989" s="149"/>
      <c r="AM1989" s="149"/>
      <c r="AN1989" s="149"/>
      <c r="AO1989" s="128"/>
      <c r="AP1989" s="128"/>
      <c r="AQ1989" s="128"/>
      <c r="AR1989" s="128"/>
      <c r="AS1989" s="128"/>
      <c r="AT1989" s="128"/>
      <c r="AU1989" s="128"/>
      <c r="AV1989" s="128"/>
      <c r="AW1989" s="128"/>
      <c r="AX1989" s="128"/>
      <c r="AY1989" s="128"/>
      <c r="AZ1989" s="128"/>
      <c r="BA1989" s="128"/>
      <c r="BB1989" s="128"/>
      <c r="BC1989" s="128"/>
      <c r="BD1989" s="128"/>
      <c r="BE1989" s="128"/>
      <c r="BF1989" s="128"/>
      <c r="BG1989" s="128"/>
      <c r="BH1989" s="128"/>
      <c r="BI1989" s="128"/>
      <c r="BJ1989" s="128"/>
      <c r="BK1989" s="128"/>
      <c r="BL1989" s="128"/>
      <c r="BM1989" s="151"/>
      <c r="BN1989" s="128"/>
      <c r="BO1989" s="128"/>
      <c r="BP1989" s="128"/>
      <c r="BQ1989" s="128"/>
      <c r="BR1989" s="128"/>
      <c r="BS1989" s="128"/>
      <c r="BT1989" s="128"/>
      <c r="BU1989" s="128"/>
      <c r="BV1989" s="128"/>
      <c r="BW1989" s="128"/>
      <c r="BX1989" s="128"/>
      <c r="BY1989" s="128"/>
      <c r="BZ1989" s="128"/>
      <c r="CA1989" s="128"/>
      <c r="CB1989" s="128"/>
      <c r="CC1989" s="128"/>
      <c r="CD1989" s="128"/>
      <c r="CE1989" s="128"/>
      <c r="CF1989" s="128"/>
      <c r="CG1989" s="128"/>
      <c r="CI1989" s="128"/>
      <c r="CJ1989" s="128"/>
      <c r="CK1989" s="128"/>
      <c r="CL1989" s="128"/>
      <c r="CM1989" s="128"/>
      <c r="CN1989" s="128"/>
      <c r="CO1989" s="128"/>
      <c r="CP1989" s="128"/>
      <c r="CQ1989" s="128"/>
      <c r="CR1989" s="128"/>
      <c r="CS1989" s="128"/>
      <c r="CT1989" s="128"/>
      <c r="CU1989" s="128"/>
      <c r="CV1989" s="128"/>
      <c r="CW1989" s="128"/>
      <c r="CX1989" s="128"/>
      <c r="CY1989" s="128"/>
      <c r="CZ1989" s="165"/>
    </row>
    <row r="1990" spans="1:104">
      <c r="A1990" s="149"/>
      <c r="B1990" s="149"/>
      <c r="C1990" s="150"/>
      <c r="D1990" s="102"/>
      <c r="E1990" s="149"/>
      <c r="F1990" s="149"/>
      <c r="G1990" s="149"/>
      <c r="H1990" s="149"/>
      <c r="I1990" s="149"/>
      <c r="J1990" s="149"/>
      <c r="K1990" s="149"/>
      <c r="L1990" s="149"/>
      <c r="M1990" s="149"/>
      <c r="N1990" s="149"/>
      <c r="O1990" s="149"/>
      <c r="P1990" s="149"/>
      <c r="Q1990" s="149"/>
      <c r="R1990" s="149"/>
      <c r="S1990" s="149"/>
      <c r="T1990" s="149"/>
      <c r="U1990" s="149"/>
      <c r="V1990" s="149"/>
      <c r="W1990" s="149"/>
      <c r="X1990" s="149"/>
      <c r="Y1990" s="149"/>
      <c r="Z1990" s="149"/>
      <c r="AA1990" s="149"/>
      <c r="AB1990" s="149"/>
      <c r="AC1990" s="149"/>
      <c r="AD1990" s="149"/>
      <c r="AE1990" s="149"/>
      <c r="AF1990" s="149"/>
      <c r="AG1990" s="149"/>
      <c r="AH1990" s="149"/>
      <c r="AI1990" s="149"/>
      <c r="AJ1990" s="149"/>
      <c r="AK1990" s="149"/>
      <c r="AL1990" s="149"/>
      <c r="AM1990" s="149"/>
      <c r="AN1990" s="149"/>
      <c r="AO1990" s="128"/>
      <c r="AP1990" s="128"/>
      <c r="AQ1990" s="128"/>
      <c r="AR1990" s="128"/>
      <c r="AS1990" s="128"/>
      <c r="AT1990" s="128"/>
      <c r="AU1990" s="128"/>
      <c r="AV1990" s="128"/>
      <c r="AW1990" s="128"/>
      <c r="AX1990" s="128"/>
      <c r="AY1990" s="128"/>
      <c r="AZ1990" s="128"/>
      <c r="BA1990" s="128"/>
      <c r="BB1990" s="128"/>
      <c r="BC1990" s="128"/>
      <c r="BD1990" s="128"/>
      <c r="BE1990" s="128"/>
      <c r="BF1990" s="128"/>
      <c r="BG1990" s="128"/>
      <c r="BH1990" s="128"/>
      <c r="BI1990" s="128"/>
      <c r="BJ1990" s="128"/>
      <c r="BK1990" s="128"/>
      <c r="BL1990" s="128"/>
      <c r="BM1990" s="151"/>
      <c r="BN1990" s="128"/>
      <c r="BO1990" s="128"/>
      <c r="BP1990" s="128"/>
      <c r="BQ1990" s="128"/>
      <c r="BR1990" s="128"/>
      <c r="BS1990" s="128"/>
      <c r="BT1990" s="128"/>
      <c r="BU1990" s="128"/>
      <c r="BV1990" s="128"/>
      <c r="BW1990" s="128"/>
      <c r="BX1990" s="128"/>
      <c r="BY1990" s="128"/>
      <c r="BZ1990" s="128"/>
      <c r="CA1990" s="128"/>
      <c r="CB1990" s="128"/>
      <c r="CC1990" s="128"/>
      <c r="CD1990" s="128"/>
      <c r="CE1990" s="128"/>
      <c r="CF1990" s="128"/>
      <c r="CG1990" s="128"/>
      <c r="CI1990" s="128"/>
      <c r="CJ1990" s="128"/>
      <c r="CK1990" s="128"/>
      <c r="CL1990" s="128"/>
      <c r="CM1990" s="128"/>
      <c r="CN1990" s="128"/>
      <c r="CO1990" s="128"/>
      <c r="CP1990" s="128"/>
      <c r="CQ1990" s="128"/>
      <c r="CR1990" s="128"/>
      <c r="CS1990" s="128"/>
      <c r="CT1990" s="128"/>
      <c r="CU1990" s="128"/>
      <c r="CV1990" s="128"/>
      <c r="CW1990" s="128"/>
      <c r="CX1990" s="128"/>
      <c r="CY1990" s="128"/>
      <c r="CZ1990" s="165"/>
    </row>
    <row r="1991" spans="1:104">
      <c r="A1991" s="149"/>
      <c r="B1991" s="149"/>
      <c r="C1991" s="150"/>
      <c r="D1991" s="102"/>
      <c r="E1991" s="149"/>
      <c r="F1991" s="149"/>
      <c r="G1991" s="149"/>
      <c r="H1991" s="149"/>
      <c r="I1991" s="149"/>
      <c r="J1991" s="149"/>
      <c r="K1991" s="149"/>
      <c r="L1991" s="149"/>
      <c r="M1991" s="149"/>
      <c r="N1991" s="149"/>
      <c r="O1991" s="149"/>
      <c r="P1991" s="149"/>
      <c r="Q1991" s="149"/>
      <c r="R1991" s="149"/>
      <c r="S1991" s="149"/>
      <c r="T1991" s="149"/>
      <c r="U1991" s="149"/>
      <c r="V1991" s="149"/>
      <c r="W1991" s="149"/>
      <c r="X1991" s="149"/>
      <c r="Y1991" s="149"/>
      <c r="Z1991" s="149"/>
      <c r="AA1991" s="149"/>
      <c r="AB1991" s="149"/>
      <c r="AC1991" s="149"/>
      <c r="AD1991" s="149"/>
      <c r="AE1991" s="149"/>
      <c r="AF1991" s="149"/>
      <c r="AG1991" s="149"/>
      <c r="AH1991" s="149"/>
      <c r="AI1991" s="149"/>
      <c r="AJ1991" s="149"/>
      <c r="AK1991" s="149"/>
      <c r="AL1991" s="149"/>
      <c r="AM1991" s="149"/>
      <c r="AN1991" s="149"/>
      <c r="AO1991" s="128"/>
      <c r="AP1991" s="128"/>
      <c r="AQ1991" s="128"/>
      <c r="AR1991" s="128"/>
      <c r="AS1991" s="128"/>
      <c r="AT1991" s="128"/>
      <c r="AU1991" s="128"/>
      <c r="AV1991" s="128"/>
      <c r="AW1991" s="128"/>
      <c r="AX1991" s="128"/>
      <c r="AY1991" s="128"/>
      <c r="AZ1991" s="128"/>
      <c r="BA1991" s="128"/>
      <c r="BB1991" s="128"/>
      <c r="BC1991" s="128"/>
      <c r="BD1991" s="128"/>
      <c r="BE1991" s="128"/>
      <c r="BF1991" s="128"/>
      <c r="BG1991" s="128"/>
      <c r="BH1991" s="128"/>
      <c r="BI1991" s="128"/>
      <c r="BJ1991" s="128"/>
      <c r="BK1991" s="128"/>
      <c r="BL1991" s="128"/>
      <c r="BM1991" s="151"/>
      <c r="BN1991" s="128"/>
      <c r="BO1991" s="128"/>
      <c r="BP1991" s="128"/>
      <c r="BQ1991" s="128"/>
      <c r="BR1991" s="128"/>
      <c r="BS1991" s="128"/>
      <c r="BT1991" s="128"/>
      <c r="BU1991" s="128"/>
      <c r="BV1991" s="128"/>
      <c r="BW1991" s="128"/>
      <c r="BX1991" s="128"/>
      <c r="BY1991" s="128"/>
      <c r="BZ1991" s="128"/>
      <c r="CA1991" s="128"/>
      <c r="CB1991" s="128"/>
      <c r="CC1991" s="128"/>
      <c r="CD1991" s="128"/>
      <c r="CE1991" s="128"/>
      <c r="CF1991" s="128"/>
      <c r="CG1991" s="128"/>
      <c r="CI1991" s="128"/>
      <c r="CJ1991" s="128"/>
      <c r="CK1991" s="128"/>
      <c r="CL1991" s="128"/>
      <c r="CM1991" s="128"/>
      <c r="CN1991" s="128"/>
      <c r="CO1991" s="128"/>
      <c r="CP1991" s="128"/>
      <c r="CQ1991" s="128"/>
      <c r="CR1991" s="128"/>
      <c r="CS1991" s="128"/>
      <c r="CT1991" s="128"/>
      <c r="CU1991" s="128"/>
      <c r="CV1991" s="128"/>
      <c r="CW1991" s="128"/>
      <c r="CX1991" s="128"/>
      <c r="CY1991" s="128"/>
      <c r="CZ1991" s="165"/>
    </row>
    <row r="1992" spans="1:104">
      <c r="A1992" s="149"/>
      <c r="B1992" s="149"/>
      <c r="C1992" s="150"/>
      <c r="D1992" s="102"/>
      <c r="E1992" s="149"/>
      <c r="F1992" s="149"/>
      <c r="G1992" s="149"/>
      <c r="H1992" s="149"/>
      <c r="I1992" s="149"/>
      <c r="J1992" s="149"/>
      <c r="K1992" s="149"/>
      <c r="L1992" s="149"/>
      <c r="M1992" s="149"/>
      <c r="N1992" s="149"/>
      <c r="O1992" s="149"/>
      <c r="P1992" s="149"/>
      <c r="Q1992" s="149"/>
      <c r="R1992" s="149"/>
      <c r="S1992" s="149"/>
      <c r="T1992" s="149"/>
      <c r="U1992" s="149"/>
      <c r="V1992" s="149"/>
      <c r="W1992" s="149"/>
      <c r="X1992" s="149"/>
      <c r="Y1992" s="149"/>
      <c r="Z1992" s="149"/>
      <c r="AA1992" s="149"/>
      <c r="AB1992" s="149"/>
      <c r="AC1992" s="149"/>
      <c r="AD1992" s="149"/>
      <c r="AE1992" s="149"/>
      <c r="AF1992" s="149"/>
      <c r="AG1992" s="149"/>
      <c r="AH1992" s="149"/>
      <c r="AI1992" s="149"/>
      <c r="AJ1992" s="149"/>
      <c r="AK1992" s="149"/>
      <c r="AL1992" s="149"/>
      <c r="AM1992" s="149"/>
      <c r="AN1992" s="149"/>
      <c r="AO1992" s="128"/>
      <c r="AP1992" s="128"/>
      <c r="AQ1992" s="128"/>
      <c r="AR1992" s="128"/>
      <c r="AS1992" s="128"/>
      <c r="AT1992" s="128"/>
      <c r="AU1992" s="128"/>
      <c r="AV1992" s="128"/>
      <c r="AW1992" s="128"/>
      <c r="AX1992" s="128"/>
      <c r="AY1992" s="128"/>
      <c r="AZ1992" s="128"/>
      <c r="BA1992" s="128"/>
      <c r="BB1992" s="128"/>
      <c r="BC1992" s="128"/>
      <c r="BD1992" s="128"/>
      <c r="BE1992" s="128"/>
      <c r="BF1992" s="128"/>
      <c r="BG1992" s="128"/>
      <c r="BH1992" s="128"/>
      <c r="BI1992" s="128"/>
      <c r="BJ1992" s="128"/>
      <c r="BK1992" s="128"/>
      <c r="BL1992" s="128"/>
      <c r="BM1992" s="151"/>
      <c r="BN1992" s="128"/>
      <c r="BO1992" s="128"/>
      <c r="BP1992" s="128"/>
      <c r="BQ1992" s="128"/>
      <c r="BR1992" s="128"/>
      <c r="BS1992" s="128"/>
      <c r="BT1992" s="128"/>
      <c r="BU1992" s="128"/>
      <c r="BV1992" s="128"/>
      <c r="BW1992" s="128"/>
      <c r="BX1992" s="128"/>
      <c r="BY1992" s="128"/>
      <c r="BZ1992" s="128"/>
      <c r="CA1992" s="128"/>
      <c r="CB1992" s="128"/>
      <c r="CC1992" s="128"/>
      <c r="CD1992" s="128"/>
      <c r="CE1992" s="128"/>
      <c r="CF1992" s="128"/>
      <c r="CG1992" s="128"/>
      <c r="CI1992" s="128"/>
      <c r="CJ1992" s="128"/>
      <c r="CK1992" s="128"/>
      <c r="CL1992" s="128"/>
      <c r="CM1992" s="128"/>
      <c r="CN1992" s="128"/>
      <c r="CO1992" s="128"/>
      <c r="CP1992" s="128"/>
      <c r="CQ1992" s="128"/>
      <c r="CR1992" s="128"/>
      <c r="CS1992" s="128"/>
      <c r="CT1992" s="128"/>
      <c r="CU1992" s="128"/>
      <c r="CV1992" s="128"/>
      <c r="CW1992" s="128"/>
      <c r="CX1992" s="128"/>
      <c r="CY1992" s="128"/>
      <c r="CZ1992" s="165"/>
    </row>
    <row r="1993" spans="1:104">
      <c r="A1993" s="149"/>
      <c r="B1993" s="149"/>
      <c r="C1993" s="150"/>
      <c r="D1993" s="102"/>
      <c r="E1993" s="149"/>
      <c r="F1993" s="149"/>
      <c r="G1993" s="149"/>
      <c r="H1993" s="149"/>
      <c r="I1993" s="149"/>
      <c r="J1993" s="149"/>
      <c r="K1993" s="149"/>
      <c r="L1993" s="149"/>
      <c r="M1993" s="149"/>
      <c r="N1993" s="149"/>
      <c r="O1993" s="149"/>
      <c r="P1993" s="149"/>
      <c r="Q1993" s="149"/>
      <c r="R1993" s="149"/>
      <c r="S1993" s="149"/>
      <c r="T1993" s="149"/>
      <c r="U1993" s="149"/>
      <c r="V1993" s="149"/>
      <c r="W1993" s="149"/>
      <c r="X1993" s="149"/>
      <c r="Y1993" s="149"/>
      <c r="Z1993" s="149"/>
      <c r="AA1993" s="149"/>
      <c r="AB1993" s="149"/>
      <c r="AC1993" s="149"/>
      <c r="AD1993" s="149"/>
      <c r="AE1993" s="149"/>
      <c r="AF1993" s="149"/>
      <c r="AG1993" s="149"/>
      <c r="AH1993" s="149"/>
      <c r="AI1993" s="149"/>
      <c r="AJ1993" s="149"/>
      <c r="AK1993" s="149"/>
      <c r="AL1993" s="149"/>
      <c r="AM1993" s="149"/>
      <c r="AN1993" s="149"/>
      <c r="AO1993" s="128"/>
      <c r="AP1993" s="128"/>
      <c r="AQ1993" s="128"/>
      <c r="AR1993" s="128"/>
      <c r="AS1993" s="128"/>
      <c r="AT1993" s="128"/>
      <c r="AU1993" s="128"/>
      <c r="AV1993" s="128"/>
      <c r="AW1993" s="128"/>
      <c r="AX1993" s="128"/>
      <c r="AY1993" s="128"/>
      <c r="AZ1993" s="128"/>
      <c r="BA1993" s="128"/>
      <c r="BB1993" s="128"/>
      <c r="BC1993" s="128"/>
      <c r="BD1993" s="128"/>
      <c r="BE1993" s="128"/>
      <c r="BF1993" s="128"/>
      <c r="BG1993" s="128"/>
      <c r="BH1993" s="128"/>
      <c r="BI1993" s="128"/>
      <c r="BJ1993" s="128"/>
      <c r="BK1993" s="128"/>
      <c r="BL1993" s="128"/>
      <c r="BM1993" s="151"/>
      <c r="BN1993" s="128"/>
      <c r="BO1993" s="128"/>
      <c r="BP1993" s="128"/>
      <c r="BQ1993" s="128"/>
      <c r="BR1993" s="128"/>
      <c r="BS1993" s="128"/>
      <c r="BT1993" s="128"/>
      <c r="BU1993" s="128"/>
      <c r="BV1993" s="128"/>
      <c r="BW1993" s="128"/>
      <c r="BX1993" s="128"/>
      <c r="BY1993" s="128"/>
      <c r="BZ1993" s="128"/>
      <c r="CA1993" s="128"/>
      <c r="CB1993" s="128"/>
      <c r="CC1993" s="128"/>
      <c r="CD1993" s="128"/>
      <c r="CE1993" s="128"/>
      <c r="CF1993" s="128"/>
      <c r="CG1993" s="128"/>
      <c r="CI1993" s="128"/>
      <c r="CJ1993" s="128"/>
      <c r="CK1993" s="128"/>
      <c r="CL1993" s="128"/>
      <c r="CM1993" s="128"/>
      <c r="CN1993" s="128"/>
      <c r="CO1993" s="128"/>
      <c r="CP1993" s="128"/>
      <c r="CQ1993" s="128"/>
      <c r="CR1993" s="128"/>
      <c r="CS1993" s="128"/>
      <c r="CT1993" s="128"/>
      <c r="CU1993" s="128"/>
      <c r="CV1993" s="128"/>
      <c r="CW1993" s="128"/>
      <c r="CX1993" s="128"/>
      <c r="CY1993" s="128"/>
      <c r="CZ1993" s="165"/>
    </row>
    <row r="1994" spans="1:104">
      <c r="A1994" s="149"/>
      <c r="B1994" s="149"/>
      <c r="C1994" s="150"/>
      <c r="D1994" s="102"/>
      <c r="E1994" s="149"/>
      <c r="F1994" s="149"/>
      <c r="G1994" s="149"/>
      <c r="H1994" s="149"/>
      <c r="I1994" s="149"/>
      <c r="J1994" s="149"/>
      <c r="K1994" s="149"/>
      <c r="L1994" s="149"/>
      <c r="M1994" s="149"/>
      <c r="N1994" s="149"/>
      <c r="O1994" s="149"/>
      <c r="P1994" s="149"/>
      <c r="Q1994" s="149"/>
      <c r="R1994" s="149"/>
      <c r="S1994" s="149"/>
      <c r="T1994" s="149"/>
      <c r="U1994" s="149"/>
      <c r="V1994" s="149"/>
      <c r="W1994" s="149"/>
      <c r="X1994" s="149"/>
      <c r="Y1994" s="149"/>
      <c r="Z1994" s="149"/>
      <c r="AA1994" s="149"/>
      <c r="AB1994" s="149"/>
      <c r="AC1994" s="149"/>
      <c r="AD1994" s="149"/>
      <c r="AE1994" s="149"/>
      <c r="AF1994" s="149"/>
      <c r="AG1994" s="149"/>
      <c r="AH1994" s="149"/>
      <c r="AI1994" s="149"/>
      <c r="AJ1994" s="149"/>
      <c r="AK1994" s="149"/>
      <c r="AL1994" s="149"/>
      <c r="AM1994" s="149"/>
      <c r="AN1994" s="149"/>
      <c r="AO1994" s="128"/>
      <c r="AP1994" s="128"/>
      <c r="AQ1994" s="128"/>
      <c r="AR1994" s="128"/>
      <c r="AS1994" s="128"/>
      <c r="AT1994" s="128"/>
      <c r="AU1994" s="128"/>
      <c r="AV1994" s="128"/>
      <c r="AW1994" s="128"/>
      <c r="AX1994" s="128"/>
      <c r="AY1994" s="128"/>
      <c r="AZ1994" s="128"/>
      <c r="BA1994" s="128"/>
      <c r="BB1994" s="128"/>
      <c r="BC1994" s="128"/>
      <c r="BD1994" s="128"/>
      <c r="BE1994" s="128"/>
      <c r="BF1994" s="128"/>
      <c r="BG1994" s="128"/>
      <c r="BH1994" s="128"/>
      <c r="BI1994" s="128"/>
      <c r="BJ1994" s="128"/>
      <c r="BK1994" s="128"/>
      <c r="BL1994" s="128"/>
      <c r="BM1994" s="151"/>
      <c r="BN1994" s="128"/>
      <c r="BO1994" s="128"/>
      <c r="BP1994" s="128"/>
      <c r="BQ1994" s="128"/>
      <c r="BR1994" s="128"/>
      <c r="BS1994" s="128"/>
      <c r="BT1994" s="128"/>
      <c r="BU1994" s="128"/>
      <c r="BV1994" s="128"/>
      <c r="BW1994" s="128"/>
      <c r="BX1994" s="128"/>
      <c r="BY1994" s="128"/>
      <c r="BZ1994" s="128"/>
      <c r="CA1994" s="128"/>
      <c r="CB1994" s="128"/>
      <c r="CC1994" s="128"/>
      <c r="CD1994" s="128"/>
      <c r="CE1994" s="128"/>
      <c r="CF1994" s="128"/>
      <c r="CG1994" s="128"/>
      <c r="CI1994" s="128"/>
      <c r="CJ1994" s="128"/>
      <c r="CK1994" s="128"/>
      <c r="CL1994" s="128"/>
      <c r="CM1994" s="128"/>
      <c r="CN1994" s="128"/>
      <c r="CO1994" s="128"/>
      <c r="CP1994" s="128"/>
      <c r="CQ1994" s="128"/>
      <c r="CR1994" s="128"/>
      <c r="CS1994" s="128"/>
      <c r="CT1994" s="128"/>
      <c r="CU1994" s="128"/>
      <c r="CV1994" s="128"/>
      <c r="CW1994" s="128"/>
      <c r="CX1994" s="128"/>
      <c r="CY1994" s="128"/>
      <c r="CZ1994" s="165"/>
    </row>
    <row r="1995" spans="1:104">
      <c r="A1995" s="149"/>
      <c r="B1995" s="149"/>
      <c r="C1995" s="150"/>
      <c r="D1995" s="102"/>
      <c r="E1995" s="149"/>
      <c r="F1995" s="149"/>
      <c r="G1995" s="149"/>
      <c r="H1995" s="149"/>
      <c r="I1995" s="149"/>
      <c r="J1995" s="149"/>
      <c r="K1995" s="149"/>
      <c r="L1995" s="149"/>
      <c r="M1995" s="149"/>
      <c r="N1995" s="149"/>
      <c r="O1995" s="149"/>
      <c r="P1995" s="149"/>
      <c r="Q1995" s="149"/>
      <c r="R1995" s="149"/>
      <c r="S1995" s="149"/>
      <c r="T1995" s="149"/>
      <c r="U1995" s="149"/>
      <c r="V1995" s="149"/>
      <c r="W1995" s="149"/>
      <c r="X1995" s="149"/>
      <c r="Y1995" s="149"/>
      <c r="Z1995" s="149"/>
      <c r="AA1995" s="149"/>
      <c r="AB1995" s="149"/>
      <c r="AC1995" s="149"/>
      <c r="AD1995" s="149"/>
      <c r="AE1995" s="149"/>
      <c r="AF1995" s="149"/>
      <c r="AG1995" s="149"/>
      <c r="AH1995" s="149"/>
      <c r="AI1995" s="149"/>
      <c r="AJ1995" s="149"/>
      <c r="AK1995" s="149"/>
      <c r="AL1995" s="149"/>
      <c r="AM1995" s="149"/>
      <c r="AN1995" s="149"/>
      <c r="AO1995" s="128"/>
      <c r="AP1995" s="128"/>
      <c r="AQ1995" s="128"/>
      <c r="AR1995" s="128"/>
      <c r="AS1995" s="128"/>
      <c r="AT1995" s="128"/>
      <c r="AU1995" s="128"/>
      <c r="AV1995" s="128"/>
      <c r="AW1995" s="128"/>
      <c r="AX1995" s="128"/>
      <c r="AY1995" s="128"/>
      <c r="AZ1995" s="128"/>
      <c r="BA1995" s="128"/>
      <c r="BB1995" s="128"/>
      <c r="BC1995" s="128"/>
      <c r="BD1995" s="128"/>
      <c r="BE1995" s="128"/>
      <c r="BF1995" s="128"/>
      <c r="BG1995" s="128"/>
      <c r="BH1995" s="128"/>
      <c r="BI1995" s="128"/>
      <c r="BJ1995" s="128"/>
      <c r="BK1995" s="128"/>
      <c r="BL1995" s="128"/>
      <c r="BM1995" s="151"/>
      <c r="BN1995" s="128"/>
      <c r="BO1995" s="128"/>
      <c r="BP1995" s="128"/>
      <c r="BQ1995" s="128"/>
      <c r="BR1995" s="128"/>
      <c r="BS1995" s="128"/>
      <c r="BT1995" s="128"/>
      <c r="BU1995" s="128"/>
      <c r="BV1995" s="128"/>
      <c r="BW1995" s="128"/>
      <c r="BX1995" s="128"/>
      <c r="BY1995" s="128"/>
      <c r="BZ1995" s="128"/>
      <c r="CA1995" s="128"/>
      <c r="CB1995" s="128"/>
      <c r="CC1995" s="128"/>
      <c r="CD1995" s="128"/>
      <c r="CE1995" s="128"/>
      <c r="CF1995" s="128"/>
      <c r="CG1995" s="128"/>
      <c r="CI1995" s="128"/>
      <c r="CJ1995" s="128"/>
      <c r="CK1995" s="128"/>
      <c r="CL1995" s="128"/>
      <c r="CM1995" s="128"/>
      <c r="CN1995" s="128"/>
      <c r="CO1995" s="128"/>
      <c r="CP1995" s="128"/>
      <c r="CQ1995" s="128"/>
      <c r="CR1995" s="128"/>
      <c r="CS1995" s="128"/>
      <c r="CT1995" s="128"/>
      <c r="CU1995" s="128"/>
      <c r="CV1995" s="128"/>
      <c r="CW1995" s="128"/>
      <c r="CX1995" s="128"/>
      <c r="CY1995" s="128"/>
      <c r="CZ1995" s="165"/>
    </row>
    <row r="1996" spans="1:104">
      <c r="A1996" s="149"/>
      <c r="B1996" s="149"/>
      <c r="C1996" s="150"/>
      <c r="D1996" s="102"/>
      <c r="E1996" s="149"/>
      <c r="F1996" s="149"/>
      <c r="G1996" s="149"/>
      <c r="H1996" s="149"/>
      <c r="I1996" s="149"/>
      <c r="J1996" s="149"/>
      <c r="K1996" s="149"/>
      <c r="L1996" s="149"/>
      <c r="M1996" s="149"/>
      <c r="N1996" s="149"/>
      <c r="O1996" s="149"/>
      <c r="P1996" s="149"/>
      <c r="Q1996" s="149"/>
      <c r="R1996" s="149"/>
      <c r="S1996" s="149"/>
      <c r="T1996" s="149"/>
      <c r="U1996" s="149"/>
      <c r="V1996" s="149"/>
      <c r="W1996" s="149"/>
      <c r="X1996" s="149"/>
      <c r="Y1996" s="149"/>
      <c r="Z1996" s="149"/>
      <c r="AA1996" s="149"/>
      <c r="AB1996" s="149"/>
      <c r="AC1996" s="149"/>
      <c r="AD1996" s="149"/>
      <c r="AE1996" s="149"/>
      <c r="AF1996" s="149"/>
      <c r="AG1996" s="149"/>
      <c r="AH1996" s="149"/>
      <c r="AI1996" s="149"/>
      <c r="AJ1996" s="149"/>
      <c r="AK1996" s="149"/>
      <c r="AL1996" s="149"/>
      <c r="AM1996" s="149"/>
      <c r="AN1996" s="149"/>
      <c r="AO1996" s="128"/>
      <c r="AP1996" s="128"/>
      <c r="AQ1996" s="128"/>
      <c r="AR1996" s="128"/>
      <c r="AS1996" s="128"/>
      <c r="AT1996" s="128"/>
      <c r="AU1996" s="128"/>
      <c r="AV1996" s="128"/>
      <c r="AW1996" s="128"/>
      <c r="AX1996" s="128"/>
      <c r="AY1996" s="128"/>
      <c r="AZ1996" s="128"/>
      <c r="BA1996" s="128"/>
      <c r="BB1996" s="128"/>
      <c r="BC1996" s="128"/>
      <c r="BD1996" s="128"/>
      <c r="BE1996" s="128"/>
      <c r="BF1996" s="128"/>
      <c r="BG1996" s="128"/>
      <c r="BH1996" s="128"/>
      <c r="BI1996" s="128"/>
      <c r="BJ1996" s="128"/>
      <c r="BK1996" s="128"/>
      <c r="BL1996" s="128"/>
      <c r="BM1996" s="151"/>
      <c r="BN1996" s="128"/>
      <c r="BO1996" s="128"/>
      <c r="BP1996" s="128"/>
      <c r="BQ1996" s="128"/>
      <c r="BR1996" s="128"/>
      <c r="BS1996" s="128"/>
      <c r="BT1996" s="128"/>
      <c r="BU1996" s="128"/>
      <c r="BV1996" s="128"/>
      <c r="BW1996" s="128"/>
      <c r="BX1996" s="128"/>
      <c r="BY1996" s="128"/>
      <c r="BZ1996" s="128"/>
      <c r="CA1996" s="128"/>
      <c r="CB1996" s="128"/>
      <c r="CC1996" s="128"/>
      <c r="CD1996" s="128"/>
      <c r="CE1996" s="128"/>
      <c r="CF1996" s="128"/>
      <c r="CG1996" s="128"/>
      <c r="CI1996" s="128"/>
      <c r="CJ1996" s="128"/>
      <c r="CK1996" s="128"/>
      <c r="CL1996" s="128"/>
      <c r="CM1996" s="128"/>
      <c r="CN1996" s="128"/>
      <c r="CO1996" s="128"/>
      <c r="CP1996" s="128"/>
      <c r="CQ1996" s="128"/>
      <c r="CR1996" s="128"/>
      <c r="CS1996" s="128"/>
      <c r="CT1996" s="128"/>
      <c r="CU1996" s="128"/>
      <c r="CV1996" s="128"/>
      <c r="CW1996" s="128"/>
      <c r="CX1996" s="128"/>
      <c r="CY1996" s="128"/>
      <c r="CZ1996" s="165"/>
    </row>
    <row r="1997" spans="1:104">
      <c r="A1997" s="149"/>
      <c r="B1997" s="149"/>
      <c r="C1997" s="150"/>
      <c r="D1997" s="102"/>
      <c r="E1997" s="149"/>
      <c r="F1997" s="149"/>
      <c r="G1997" s="149"/>
      <c r="H1997" s="149"/>
      <c r="I1997" s="149"/>
      <c r="J1997" s="149"/>
      <c r="K1997" s="149"/>
      <c r="L1997" s="149"/>
      <c r="M1997" s="149"/>
      <c r="N1997" s="149"/>
      <c r="O1997" s="149"/>
      <c r="P1997" s="149"/>
      <c r="Q1997" s="149"/>
      <c r="R1997" s="149"/>
      <c r="S1997" s="149"/>
      <c r="T1997" s="149"/>
      <c r="U1997" s="149"/>
      <c r="V1997" s="149"/>
      <c r="W1997" s="149"/>
      <c r="X1997" s="149"/>
      <c r="Y1997" s="149"/>
      <c r="Z1997" s="149"/>
      <c r="AA1997" s="149"/>
      <c r="AB1997" s="149"/>
      <c r="AC1997" s="149"/>
      <c r="AD1997" s="149"/>
      <c r="AE1997" s="149"/>
      <c r="AF1997" s="149"/>
      <c r="AG1997" s="149"/>
      <c r="AH1997" s="149"/>
      <c r="AI1997" s="149"/>
      <c r="AJ1997" s="149"/>
      <c r="AK1997" s="149"/>
      <c r="AL1997" s="149"/>
      <c r="AM1997" s="149"/>
      <c r="AN1997" s="149"/>
      <c r="AO1997" s="128"/>
      <c r="AP1997" s="128"/>
      <c r="AQ1997" s="128"/>
      <c r="AR1997" s="128"/>
      <c r="AS1997" s="128"/>
      <c r="AT1997" s="128"/>
      <c r="AU1997" s="128"/>
      <c r="AV1997" s="128"/>
      <c r="AW1997" s="128"/>
      <c r="AX1997" s="128"/>
      <c r="AY1997" s="128"/>
      <c r="AZ1997" s="128"/>
      <c r="BA1997" s="128"/>
      <c r="BB1997" s="128"/>
      <c r="BC1997" s="128"/>
      <c r="BD1997" s="128"/>
      <c r="BE1997" s="128"/>
      <c r="BF1997" s="128"/>
      <c r="BG1997" s="128"/>
      <c r="BH1997" s="128"/>
      <c r="BI1997" s="128"/>
      <c r="BJ1997" s="128"/>
      <c r="BK1997" s="128"/>
      <c r="BL1997" s="128"/>
      <c r="BM1997" s="151"/>
      <c r="BN1997" s="128"/>
      <c r="BO1997" s="128"/>
      <c r="BP1997" s="128"/>
      <c r="BQ1997" s="128"/>
      <c r="BR1997" s="128"/>
      <c r="BS1997" s="128"/>
      <c r="BT1997" s="128"/>
      <c r="BU1997" s="128"/>
      <c r="BV1997" s="128"/>
      <c r="BW1997" s="128"/>
      <c r="BX1997" s="128"/>
      <c r="BY1997" s="128"/>
      <c r="BZ1997" s="128"/>
      <c r="CA1997" s="128"/>
      <c r="CB1997" s="128"/>
      <c r="CC1997" s="128"/>
      <c r="CD1997" s="128"/>
      <c r="CE1997" s="128"/>
      <c r="CF1997" s="128"/>
      <c r="CG1997" s="128"/>
      <c r="CI1997" s="128"/>
      <c r="CJ1997" s="128"/>
      <c r="CK1997" s="128"/>
      <c r="CL1997" s="128"/>
      <c r="CM1997" s="128"/>
      <c r="CN1997" s="128"/>
      <c r="CO1997" s="128"/>
      <c r="CP1997" s="128"/>
      <c r="CQ1997" s="128"/>
      <c r="CR1997" s="128"/>
      <c r="CS1997" s="128"/>
      <c r="CT1997" s="128"/>
      <c r="CU1997" s="128"/>
      <c r="CV1997" s="128"/>
      <c r="CW1997" s="128"/>
      <c r="CX1997" s="128"/>
      <c r="CY1997" s="128"/>
      <c r="CZ1997" s="165"/>
    </row>
    <row r="1998" spans="1:104">
      <c r="A1998" s="149"/>
      <c r="B1998" s="149"/>
      <c r="C1998" s="150"/>
      <c r="D1998" s="102"/>
      <c r="E1998" s="149"/>
      <c r="F1998" s="149"/>
      <c r="G1998" s="149"/>
      <c r="H1998" s="149"/>
      <c r="I1998" s="149"/>
      <c r="J1998" s="149"/>
      <c r="K1998" s="149"/>
      <c r="L1998" s="149"/>
      <c r="M1998" s="149"/>
      <c r="N1998" s="149"/>
      <c r="O1998" s="149"/>
      <c r="P1998" s="149"/>
      <c r="Q1998" s="149"/>
      <c r="R1998" s="149"/>
      <c r="S1998" s="149"/>
      <c r="T1998" s="149"/>
      <c r="U1998" s="149"/>
      <c r="V1998" s="149"/>
      <c r="W1998" s="149"/>
      <c r="X1998" s="149"/>
      <c r="Y1998" s="149"/>
      <c r="Z1998" s="149"/>
      <c r="AA1998" s="149"/>
      <c r="AB1998" s="149"/>
      <c r="AC1998" s="149"/>
      <c r="AD1998" s="149"/>
      <c r="AE1998" s="149"/>
      <c r="AF1998" s="149"/>
      <c r="AG1998" s="149"/>
      <c r="AH1998" s="149"/>
      <c r="AI1998" s="149"/>
      <c r="AJ1998" s="149"/>
      <c r="AK1998" s="149"/>
      <c r="AL1998" s="149"/>
      <c r="AM1998" s="149"/>
      <c r="AN1998" s="149"/>
      <c r="AO1998" s="128"/>
      <c r="AP1998" s="128"/>
      <c r="AQ1998" s="128"/>
      <c r="AR1998" s="128"/>
      <c r="AS1998" s="128"/>
      <c r="AT1998" s="128"/>
      <c r="AU1998" s="128"/>
      <c r="AV1998" s="128"/>
      <c r="AW1998" s="128"/>
      <c r="AX1998" s="128"/>
      <c r="AY1998" s="128"/>
      <c r="AZ1998" s="128"/>
      <c r="BA1998" s="128"/>
      <c r="BB1998" s="128"/>
      <c r="BC1998" s="128"/>
      <c r="BD1998" s="128"/>
      <c r="BE1998" s="128"/>
      <c r="BF1998" s="128"/>
      <c r="BG1998" s="128"/>
      <c r="BH1998" s="128"/>
      <c r="BI1998" s="128"/>
      <c r="BJ1998" s="128"/>
      <c r="BK1998" s="128"/>
      <c r="BL1998" s="128"/>
      <c r="BM1998" s="151"/>
      <c r="BN1998" s="128"/>
      <c r="BO1998" s="128"/>
      <c r="BP1998" s="128"/>
      <c r="BQ1998" s="128"/>
      <c r="BR1998" s="128"/>
      <c r="BS1998" s="128"/>
      <c r="BT1998" s="128"/>
      <c r="BU1998" s="128"/>
      <c r="BV1998" s="128"/>
      <c r="BW1998" s="128"/>
      <c r="BX1998" s="128"/>
      <c r="BY1998" s="128"/>
      <c r="BZ1998" s="128"/>
      <c r="CA1998" s="128"/>
      <c r="CB1998" s="128"/>
      <c r="CC1998" s="128"/>
      <c r="CD1998" s="128"/>
      <c r="CE1998" s="128"/>
      <c r="CF1998" s="128"/>
      <c r="CG1998" s="128"/>
      <c r="CI1998" s="128"/>
      <c r="CJ1998" s="128"/>
      <c r="CK1998" s="128"/>
      <c r="CL1998" s="128"/>
      <c r="CM1998" s="128"/>
      <c r="CN1998" s="128"/>
      <c r="CO1998" s="128"/>
      <c r="CP1998" s="128"/>
      <c r="CQ1998" s="128"/>
      <c r="CR1998" s="128"/>
      <c r="CS1998" s="128"/>
      <c r="CT1998" s="128"/>
      <c r="CU1998" s="128"/>
      <c r="CV1998" s="128"/>
      <c r="CW1998" s="128"/>
      <c r="CX1998" s="128"/>
      <c r="CY1998" s="128"/>
      <c r="CZ1998" s="165"/>
    </row>
    <row r="1999" spans="1:104">
      <c r="A1999" s="149"/>
      <c r="B1999" s="149"/>
      <c r="C1999" s="150"/>
      <c r="D1999" s="102"/>
      <c r="E1999" s="149"/>
      <c r="F1999" s="149"/>
      <c r="G1999" s="149"/>
      <c r="H1999" s="149"/>
      <c r="I1999" s="149"/>
      <c r="J1999" s="149"/>
      <c r="K1999" s="149"/>
      <c r="L1999" s="149"/>
      <c r="M1999" s="149"/>
      <c r="N1999" s="149"/>
      <c r="O1999" s="149"/>
      <c r="P1999" s="149"/>
      <c r="Q1999" s="149"/>
      <c r="R1999" s="149"/>
      <c r="S1999" s="149"/>
      <c r="T1999" s="149"/>
      <c r="U1999" s="149"/>
      <c r="V1999" s="149"/>
      <c r="W1999" s="149"/>
      <c r="X1999" s="149"/>
      <c r="Y1999" s="149"/>
      <c r="Z1999" s="149"/>
      <c r="AA1999" s="149"/>
      <c r="AB1999" s="149"/>
      <c r="AC1999" s="149"/>
      <c r="AD1999" s="149"/>
      <c r="AE1999" s="149"/>
      <c r="AF1999" s="149"/>
      <c r="AG1999" s="149"/>
      <c r="AH1999" s="149"/>
      <c r="AI1999" s="149"/>
      <c r="AJ1999" s="149"/>
      <c r="AK1999" s="149"/>
      <c r="AL1999" s="149"/>
      <c r="AM1999" s="149"/>
      <c r="AN1999" s="149"/>
      <c r="AO1999" s="128"/>
      <c r="AP1999" s="128"/>
      <c r="AQ1999" s="128"/>
      <c r="AR1999" s="128"/>
      <c r="AS1999" s="128"/>
      <c r="AT1999" s="128"/>
      <c r="AU1999" s="128"/>
      <c r="AV1999" s="128"/>
      <c r="AW1999" s="128"/>
      <c r="AX1999" s="128"/>
      <c r="AY1999" s="128"/>
      <c r="AZ1999" s="128"/>
      <c r="BA1999" s="128"/>
      <c r="BB1999" s="128"/>
      <c r="BC1999" s="128"/>
      <c r="BD1999" s="128"/>
      <c r="BE1999" s="128"/>
      <c r="BF1999" s="128"/>
      <c r="BG1999" s="128"/>
      <c r="BH1999" s="128"/>
      <c r="BI1999" s="128"/>
      <c r="BJ1999" s="128"/>
      <c r="BK1999" s="128"/>
      <c r="BL1999" s="128"/>
      <c r="BM1999" s="151"/>
      <c r="BN1999" s="128"/>
      <c r="BO1999" s="128"/>
      <c r="BP1999" s="128"/>
      <c r="BQ1999" s="128"/>
      <c r="BR1999" s="128"/>
      <c r="BS1999" s="128"/>
      <c r="BT1999" s="128"/>
      <c r="BU1999" s="128"/>
      <c r="BV1999" s="128"/>
      <c r="BW1999" s="128"/>
      <c r="BX1999" s="128"/>
      <c r="BY1999" s="128"/>
      <c r="BZ1999" s="128"/>
      <c r="CA1999" s="128"/>
      <c r="CB1999" s="128"/>
      <c r="CC1999" s="128"/>
      <c r="CD1999" s="128"/>
      <c r="CE1999" s="128"/>
      <c r="CF1999" s="128"/>
      <c r="CG1999" s="128"/>
      <c r="CI1999" s="128"/>
      <c r="CJ1999" s="128"/>
      <c r="CK1999" s="128"/>
      <c r="CL1999" s="128"/>
      <c r="CM1999" s="128"/>
      <c r="CN1999" s="128"/>
      <c r="CO1999" s="128"/>
      <c r="CP1999" s="128"/>
      <c r="CQ1999" s="128"/>
      <c r="CR1999" s="128"/>
      <c r="CS1999" s="128"/>
      <c r="CT1999" s="128"/>
      <c r="CU1999" s="128"/>
      <c r="CV1999" s="128"/>
      <c r="CW1999" s="128"/>
      <c r="CX1999" s="128"/>
      <c r="CY1999" s="128"/>
      <c r="CZ1999" s="165"/>
    </row>
    <row r="2000" spans="1:104">
      <c r="A2000" s="149"/>
      <c r="B2000" s="149"/>
      <c r="C2000" s="150"/>
      <c r="D2000" s="102"/>
      <c r="E2000" s="149"/>
      <c r="F2000" s="149"/>
      <c r="G2000" s="149"/>
      <c r="H2000" s="149"/>
      <c r="I2000" s="149"/>
      <c r="J2000" s="149"/>
      <c r="K2000" s="149"/>
      <c r="L2000" s="149"/>
      <c r="M2000" s="149"/>
      <c r="N2000" s="149"/>
      <c r="O2000" s="149"/>
      <c r="P2000" s="149"/>
      <c r="Q2000" s="149"/>
      <c r="R2000" s="149"/>
      <c r="S2000" s="149"/>
      <c r="T2000" s="149"/>
      <c r="U2000" s="149"/>
      <c r="V2000" s="149"/>
      <c r="W2000" s="149"/>
      <c r="X2000" s="149"/>
      <c r="Y2000" s="149"/>
      <c r="Z2000" s="149"/>
      <c r="AA2000" s="149"/>
      <c r="AB2000" s="149"/>
      <c r="AC2000" s="149"/>
      <c r="AD2000" s="149"/>
      <c r="AE2000" s="149"/>
      <c r="AF2000" s="149"/>
      <c r="AG2000" s="149"/>
      <c r="AH2000" s="149"/>
      <c r="AI2000" s="149"/>
      <c r="AJ2000" s="149"/>
      <c r="AK2000" s="149"/>
      <c r="AL2000" s="149"/>
      <c r="AM2000" s="149"/>
      <c r="AN2000" s="149"/>
      <c r="AO2000" s="128"/>
      <c r="AP2000" s="128"/>
      <c r="AQ2000" s="128"/>
      <c r="AR2000" s="128"/>
      <c r="AS2000" s="128"/>
      <c r="AT2000" s="128"/>
      <c r="AU2000" s="128"/>
      <c r="AV2000" s="128"/>
      <c r="AW2000" s="128"/>
      <c r="AX2000" s="128"/>
      <c r="AY2000" s="128"/>
      <c r="AZ2000" s="128"/>
      <c r="BA2000" s="128"/>
      <c r="BB2000" s="128"/>
      <c r="BC2000" s="128"/>
      <c r="BD2000" s="128"/>
      <c r="BE2000" s="128"/>
      <c r="BF2000" s="128"/>
      <c r="BG2000" s="128"/>
      <c r="BH2000" s="128"/>
      <c r="BI2000" s="128"/>
      <c r="BJ2000" s="128"/>
      <c r="BK2000" s="128"/>
      <c r="BL2000" s="128"/>
      <c r="BM2000" s="151"/>
      <c r="BN2000" s="128"/>
      <c r="BO2000" s="128"/>
      <c r="BP2000" s="128"/>
      <c r="BQ2000" s="128"/>
      <c r="BR2000" s="128"/>
      <c r="BS2000" s="128"/>
      <c r="BT2000" s="128"/>
      <c r="BU2000" s="128"/>
      <c r="BV2000" s="128"/>
      <c r="BW2000" s="128"/>
      <c r="BX2000" s="128"/>
      <c r="BY2000" s="128"/>
      <c r="BZ2000" s="128"/>
      <c r="CA2000" s="128"/>
      <c r="CB2000" s="128"/>
      <c r="CC2000" s="128"/>
      <c r="CD2000" s="128"/>
      <c r="CE2000" s="128"/>
      <c r="CF2000" s="128"/>
      <c r="CG2000" s="128"/>
      <c r="CI2000" s="128"/>
      <c r="CJ2000" s="128"/>
      <c r="CK2000" s="128"/>
      <c r="CL2000" s="128"/>
      <c r="CM2000" s="128"/>
      <c r="CN2000" s="128"/>
      <c r="CO2000" s="128"/>
      <c r="CP2000" s="128"/>
      <c r="CQ2000" s="128"/>
      <c r="CR2000" s="128"/>
      <c r="CS2000" s="128"/>
      <c r="CT2000" s="128"/>
      <c r="CU2000" s="128"/>
      <c r="CV2000" s="128"/>
      <c r="CW2000" s="128"/>
      <c r="CX2000" s="128"/>
      <c r="CY2000" s="128"/>
      <c r="CZ2000" s="165"/>
    </row>
    <row r="2001" spans="1:104">
      <c r="A2001" s="149"/>
      <c r="B2001" s="149"/>
      <c r="C2001" s="150"/>
      <c r="D2001" s="102"/>
      <c r="E2001" s="149"/>
      <c r="F2001" s="149"/>
      <c r="G2001" s="149"/>
      <c r="H2001" s="149"/>
      <c r="I2001" s="149"/>
      <c r="J2001" s="149"/>
      <c r="K2001" s="149"/>
      <c r="L2001" s="149"/>
      <c r="M2001" s="149"/>
      <c r="N2001" s="149"/>
      <c r="O2001" s="149"/>
      <c r="P2001" s="149"/>
      <c r="Q2001" s="149"/>
      <c r="R2001" s="149"/>
      <c r="S2001" s="149"/>
      <c r="T2001" s="149"/>
      <c r="U2001" s="149"/>
      <c r="V2001" s="149"/>
      <c r="W2001" s="149"/>
      <c r="X2001" s="149"/>
      <c r="Y2001" s="149"/>
      <c r="Z2001" s="149"/>
      <c r="AA2001" s="149"/>
      <c r="AB2001" s="149"/>
      <c r="AC2001" s="149"/>
      <c r="AD2001" s="149"/>
      <c r="AE2001" s="149"/>
      <c r="AF2001" s="149"/>
      <c r="AG2001" s="149"/>
      <c r="AH2001" s="149"/>
      <c r="AI2001" s="149"/>
      <c r="AJ2001" s="149"/>
      <c r="AK2001" s="149"/>
      <c r="AL2001" s="149"/>
      <c r="AM2001" s="149"/>
      <c r="AN2001" s="149"/>
      <c r="AO2001" s="128"/>
      <c r="AP2001" s="128"/>
      <c r="AQ2001" s="128"/>
      <c r="AR2001" s="128"/>
      <c r="AS2001" s="128"/>
      <c r="AT2001" s="128"/>
      <c r="AU2001" s="128"/>
      <c r="AV2001" s="128"/>
      <c r="AW2001" s="128"/>
      <c r="AX2001" s="128"/>
      <c r="AY2001" s="128"/>
      <c r="AZ2001" s="128"/>
      <c r="BA2001" s="128"/>
      <c r="BB2001" s="128"/>
      <c r="BC2001" s="128"/>
      <c r="BD2001" s="128"/>
      <c r="BE2001" s="128"/>
      <c r="BF2001" s="128"/>
      <c r="BG2001" s="128"/>
      <c r="BH2001" s="128"/>
      <c r="BI2001" s="128"/>
      <c r="BJ2001" s="128"/>
      <c r="BK2001" s="128"/>
      <c r="BL2001" s="128"/>
      <c r="BM2001" s="151"/>
      <c r="BN2001" s="128"/>
      <c r="BO2001" s="128"/>
      <c r="BP2001" s="128"/>
      <c r="BQ2001" s="128"/>
      <c r="BR2001" s="128"/>
      <c r="BS2001" s="128"/>
      <c r="BT2001" s="128"/>
      <c r="BU2001" s="128"/>
      <c r="BV2001" s="128"/>
      <c r="BW2001" s="128"/>
      <c r="BX2001" s="128"/>
      <c r="BY2001" s="128"/>
      <c r="BZ2001" s="128"/>
      <c r="CA2001" s="128"/>
      <c r="CB2001" s="128"/>
      <c r="CC2001" s="128"/>
      <c r="CD2001" s="128"/>
      <c r="CE2001" s="128"/>
      <c r="CF2001" s="128"/>
      <c r="CG2001" s="128"/>
      <c r="CI2001" s="128"/>
      <c r="CJ2001" s="128"/>
      <c r="CK2001" s="128"/>
      <c r="CL2001" s="128"/>
      <c r="CM2001" s="128"/>
      <c r="CN2001" s="128"/>
      <c r="CO2001" s="128"/>
      <c r="CP2001" s="128"/>
      <c r="CQ2001" s="128"/>
      <c r="CR2001" s="128"/>
      <c r="CS2001" s="128"/>
      <c r="CT2001" s="128"/>
      <c r="CU2001" s="128"/>
      <c r="CV2001" s="128"/>
      <c r="CW2001" s="128"/>
      <c r="CX2001" s="128"/>
      <c r="CY2001" s="128"/>
      <c r="CZ2001" s="165"/>
    </row>
    <row r="2002" spans="1:104">
      <c r="A2002" s="149"/>
      <c r="B2002" s="149"/>
      <c r="C2002" s="150"/>
      <c r="D2002" s="102"/>
      <c r="E2002" s="149"/>
      <c r="F2002" s="149"/>
      <c r="G2002" s="149"/>
      <c r="H2002" s="149"/>
      <c r="I2002" s="149"/>
      <c r="J2002" s="149"/>
      <c r="K2002" s="149"/>
      <c r="L2002" s="149"/>
      <c r="M2002" s="149"/>
      <c r="N2002" s="149"/>
      <c r="O2002" s="149"/>
      <c r="P2002" s="149"/>
      <c r="Q2002" s="149"/>
      <c r="R2002" s="149"/>
      <c r="S2002" s="149"/>
      <c r="T2002" s="149"/>
      <c r="U2002" s="149"/>
      <c r="V2002" s="149"/>
      <c r="W2002" s="149"/>
      <c r="X2002" s="149"/>
      <c r="Y2002" s="149"/>
      <c r="Z2002" s="149"/>
      <c r="AA2002" s="149"/>
      <c r="AB2002" s="149"/>
      <c r="AC2002" s="149"/>
      <c r="AD2002" s="149"/>
      <c r="AE2002" s="149"/>
      <c r="AF2002" s="149"/>
      <c r="AG2002" s="149"/>
      <c r="AH2002" s="149"/>
      <c r="AI2002" s="149"/>
      <c r="AJ2002" s="149"/>
      <c r="AK2002" s="149"/>
      <c r="AL2002" s="149"/>
      <c r="AM2002" s="149"/>
      <c r="AN2002" s="149"/>
      <c r="AO2002" s="128"/>
      <c r="AP2002" s="128"/>
      <c r="AQ2002" s="128"/>
      <c r="AR2002" s="128"/>
      <c r="AS2002" s="128"/>
      <c r="AT2002" s="128"/>
      <c r="AU2002" s="128"/>
      <c r="AV2002" s="128"/>
      <c r="AW2002" s="128"/>
      <c r="AX2002" s="128"/>
      <c r="AY2002" s="128"/>
      <c r="AZ2002" s="128"/>
      <c r="BA2002" s="128"/>
      <c r="BB2002" s="128"/>
      <c r="BC2002" s="128"/>
      <c r="BD2002" s="128"/>
      <c r="BE2002" s="128"/>
      <c r="BF2002" s="128"/>
      <c r="BG2002" s="128"/>
      <c r="BH2002" s="128"/>
      <c r="BI2002" s="128"/>
      <c r="BJ2002" s="128"/>
      <c r="BK2002" s="128"/>
      <c r="BL2002" s="128"/>
      <c r="BM2002" s="151"/>
      <c r="BN2002" s="128"/>
      <c r="BO2002" s="128"/>
      <c r="BP2002" s="128"/>
      <c r="BQ2002" s="128"/>
      <c r="BR2002" s="128"/>
      <c r="BS2002" s="128"/>
      <c r="BT2002" s="128"/>
      <c r="BU2002" s="128"/>
      <c r="BV2002" s="128"/>
      <c r="BW2002" s="128"/>
      <c r="BX2002" s="128"/>
      <c r="BY2002" s="128"/>
      <c r="BZ2002" s="128"/>
      <c r="CA2002" s="128"/>
      <c r="CB2002" s="128"/>
      <c r="CC2002" s="128"/>
      <c r="CD2002" s="128"/>
      <c r="CE2002" s="128"/>
      <c r="CF2002" s="128"/>
      <c r="CG2002" s="128"/>
      <c r="CI2002" s="128"/>
      <c r="CJ2002" s="128"/>
      <c r="CK2002" s="128"/>
      <c r="CL2002" s="128"/>
      <c r="CM2002" s="128"/>
      <c r="CN2002" s="128"/>
      <c r="CO2002" s="128"/>
      <c r="CP2002" s="128"/>
      <c r="CQ2002" s="128"/>
      <c r="CR2002" s="128"/>
      <c r="CS2002" s="128"/>
      <c r="CT2002" s="128"/>
      <c r="CU2002" s="128"/>
      <c r="CV2002" s="128"/>
      <c r="CW2002" s="128"/>
      <c r="CX2002" s="128"/>
      <c r="CY2002" s="128"/>
      <c r="CZ2002" s="165"/>
    </row>
    <row r="2003" spans="1:104">
      <c r="A2003" s="149"/>
      <c r="B2003" s="149"/>
      <c r="C2003" s="150"/>
      <c r="D2003" s="102"/>
      <c r="E2003" s="149"/>
      <c r="F2003" s="149"/>
      <c r="G2003" s="149"/>
      <c r="H2003" s="149"/>
      <c r="I2003" s="149"/>
      <c r="J2003" s="149"/>
      <c r="K2003" s="149"/>
      <c r="L2003" s="149"/>
      <c r="M2003" s="149"/>
      <c r="N2003" s="149"/>
      <c r="O2003" s="149"/>
      <c r="P2003" s="149"/>
      <c r="Q2003" s="149"/>
      <c r="R2003" s="149"/>
      <c r="S2003" s="149"/>
      <c r="T2003" s="149"/>
      <c r="U2003" s="149"/>
      <c r="V2003" s="149"/>
      <c r="W2003" s="149"/>
      <c r="X2003" s="149"/>
      <c r="Y2003" s="149"/>
      <c r="Z2003" s="149"/>
      <c r="AA2003" s="149"/>
      <c r="AB2003" s="149"/>
      <c r="AC2003" s="149"/>
      <c r="AD2003" s="149"/>
      <c r="AE2003" s="149"/>
      <c r="AF2003" s="149"/>
      <c r="AG2003" s="149"/>
      <c r="AH2003" s="149"/>
      <c r="AI2003" s="149"/>
      <c r="AJ2003" s="149"/>
      <c r="AK2003" s="149"/>
      <c r="AL2003" s="149"/>
      <c r="AM2003" s="149"/>
      <c r="AN2003" s="149"/>
      <c r="AO2003" s="128"/>
      <c r="AP2003" s="128"/>
      <c r="AQ2003" s="128"/>
      <c r="AR2003" s="128"/>
      <c r="AS2003" s="128"/>
      <c r="AT2003" s="128"/>
      <c r="AU2003" s="128"/>
      <c r="AV2003" s="128"/>
      <c r="AW2003" s="128"/>
      <c r="AX2003" s="128"/>
      <c r="AY2003" s="128"/>
      <c r="AZ2003" s="128"/>
      <c r="BA2003" s="128"/>
      <c r="BB2003" s="128"/>
      <c r="BC2003" s="128"/>
      <c r="BD2003" s="128"/>
      <c r="BE2003" s="128"/>
      <c r="BF2003" s="128"/>
      <c r="BG2003" s="128"/>
      <c r="BH2003" s="128"/>
      <c r="BI2003" s="128"/>
      <c r="BJ2003" s="128"/>
      <c r="BK2003" s="128"/>
      <c r="BL2003" s="128"/>
      <c r="BM2003" s="151"/>
      <c r="BN2003" s="128"/>
      <c r="BO2003" s="128"/>
      <c r="BP2003" s="128"/>
      <c r="BQ2003" s="128"/>
      <c r="BR2003" s="128"/>
      <c r="BS2003" s="128"/>
      <c r="BT2003" s="128"/>
      <c r="BU2003" s="128"/>
      <c r="BV2003" s="128"/>
      <c r="BW2003" s="128"/>
      <c r="BX2003" s="128"/>
      <c r="BY2003" s="128"/>
      <c r="BZ2003" s="128"/>
      <c r="CA2003" s="128"/>
      <c r="CB2003" s="128"/>
      <c r="CC2003" s="128"/>
      <c r="CD2003" s="128"/>
      <c r="CE2003" s="128"/>
      <c r="CF2003" s="128"/>
      <c r="CG2003" s="128"/>
      <c r="CI2003" s="128"/>
      <c r="CJ2003" s="128"/>
      <c r="CK2003" s="128"/>
      <c r="CL2003" s="128"/>
      <c r="CM2003" s="128"/>
      <c r="CN2003" s="128"/>
      <c r="CO2003" s="128"/>
      <c r="CP2003" s="128"/>
      <c r="CQ2003" s="128"/>
      <c r="CR2003" s="128"/>
      <c r="CS2003" s="128"/>
      <c r="CT2003" s="128"/>
      <c r="CU2003" s="128"/>
      <c r="CV2003" s="128"/>
      <c r="CW2003" s="128"/>
      <c r="CX2003" s="128"/>
      <c r="CY2003" s="128"/>
      <c r="CZ2003" s="165"/>
    </row>
    <row r="2004" spans="1:104">
      <c r="A2004" s="149"/>
      <c r="B2004" s="149"/>
      <c r="C2004" s="150"/>
      <c r="D2004" s="102"/>
      <c r="E2004" s="149"/>
      <c r="F2004" s="149"/>
      <c r="G2004" s="149"/>
      <c r="H2004" s="149"/>
      <c r="I2004" s="149"/>
      <c r="J2004" s="149"/>
      <c r="K2004" s="149"/>
      <c r="L2004" s="149"/>
      <c r="M2004" s="149"/>
      <c r="N2004" s="149"/>
      <c r="O2004" s="149"/>
      <c r="P2004" s="149"/>
      <c r="Q2004" s="149"/>
      <c r="R2004" s="149"/>
      <c r="S2004" s="149"/>
      <c r="T2004" s="149"/>
      <c r="U2004" s="149"/>
      <c r="V2004" s="149"/>
      <c r="W2004" s="149"/>
      <c r="X2004" s="149"/>
      <c r="Y2004" s="149"/>
      <c r="Z2004" s="149"/>
      <c r="AA2004" s="149"/>
      <c r="AB2004" s="149"/>
      <c r="AC2004" s="149"/>
      <c r="AD2004" s="149"/>
      <c r="AE2004" s="149"/>
      <c r="AF2004" s="149"/>
      <c r="AG2004" s="149"/>
      <c r="AH2004" s="149"/>
      <c r="AI2004" s="149"/>
      <c r="AJ2004" s="149"/>
      <c r="AK2004" s="149"/>
      <c r="AL2004" s="149"/>
      <c r="AM2004" s="149"/>
      <c r="AN2004" s="149"/>
      <c r="AO2004" s="128"/>
      <c r="AP2004" s="128"/>
      <c r="AQ2004" s="128"/>
      <c r="AR2004" s="128"/>
      <c r="AS2004" s="128"/>
      <c r="AT2004" s="128"/>
      <c r="AU2004" s="128"/>
      <c r="AV2004" s="128"/>
      <c r="AW2004" s="128"/>
      <c r="AX2004" s="128"/>
      <c r="AY2004" s="128"/>
      <c r="AZ2004" s="128"/>
      <c r="BA2004" s="128"/>
      <c r="BB2004" s="128"/>
      <c r="BC2004" s="128"/>
      <c r="BD2004" s="128"/>
      <c r="BE2004" s="128"/>
      <c r="BF2004" s="128"/>
      <c r="BG2004" s="128"/>
      <c r="BH2004" s="128"/>
      <c r="BI2004" s="128"/>
      <c r="BJ2004" s="128"/>
      <c r="BK2004" s="128"/>
      <c r="BL2004" s="128"/>
      <c r="BM2004" s="151"/>
      <c r="BN2004" s="128"/>
      <c r="BO2004" s="128"/>
      <c r="BP2004" s="128"/>
      <c r="BQ2004" s="128"/>
      <c r="BR2004" s="128"/>
      <c r="BS2004" s="128"/>
      <c r="BT2004" s="128"/>
      <c r="BU2004" s="128"/>
      <c r="BV2004" s="128"/>
      <c r="BW2004" s="128"/>
      <c r="BX2004" s="128"/>
      <c r="BY2004" s="128"/>
      <c r="BZ2004" s="128"/>
      <c r="CA2004" s="128"/>
      <c r="CB2004" s="128"/>
      <c r="CC2004" s="128"/>
      <c r="CD2004" s="128"/>
      <c r="CE2004" s="128"/>
      <c r="CF2004" s="128"/>
      <c r="CG2004" s="128"/>
      <c r="CI2004" s="128"/>
      <c r="CJ2004" s="128"/>
      <c r="CK2004" s="128"/>
      <c r="CL2004" s="128"/>
      <c r="CM2004" s="128"/>
      <c r="CN2004" s="128"/>
      <c r="CO2004" s="128"/>
      <c r="CP2004" s="128"/>
      <c r="CQ2004" s="128"/>
      <c r="CR2004" s="128"/>
      <c r="CS2004" s="128"/>
      <c r="CT2004" s="128"/>
      <c r="CU2004" s="128"/>
      <c r="CV2004" s="128"/>
      <c r="CW2004" s="128"/>
      <c r="CX2004" s="128"/>
      <c r="CY2004" s="128"/>
      <c r="CZ2004" s="165"/>
    </row>
    <row r="2005" spans="1:104">
      <c r="A2005" s="149"/>
      <c r="B2005" s="149"/>
      <c r="C2005" s="150"/>
      <c r="D2005" s="102"/>
      <c r="E2005" s="149"/>
      <c r="F2005" s="149"/>
      <c r="G2005" s="149"/>
      <c r="H2005" s="149"/>
      <c r="I2005" s="149"/>
      <c r="J2005" s="149"/>
      <c r="K2005" s="149"/>
      <c r="L2005" s="149"/>
      <c r="M2005" s="149"/>
      <c r="N2005" s="149"/>
      <c r="O2005" s="149"/>
      <c r="P2005" s="149"/>
      <c r="Q2005" s="149"/>
      <c r="R2005" s="149"/>
      <c r="S2005" s="149"/>
      <c r="T2005" s="149"/>
      <c r="U2005" s="149"/>
      <c r="V2005" s="149"/>
      <c r="W2005" s="149"/>
      <c r="X2005" s="149"/>
      <c r="Y2005" s="149"/>
      <c r="Z2005" s="149"/>
      <c r="AA2005" s="149"/>
      <c r="AB2005" s="149"/>
      <c r="AC2005" s="149"/>
      <c r="AD2005" s="149"/>
      <c r="AE2005" s="149"/>
      <c r="AF2005" s="149"/>
      <c r="AG2005" s="149"/>
      <c r="AH2005" s="149"/>
      <c r="AI2005" s="149"/>
      <c r="AJ2005" s="149"/>
      <c r="AK2005" s="149"/>
      <c r="AL2005" s="149"/>
      <c r="AM2005" s="149"/>
      <c r="AN2005" s="149"/>
      <c r="AO2005" s="128"/>
      <c r="AP2005" s="128"/>
      <c r="AQ2005" s="128"/>
      <c r="AR2005" s="128"/>
      <c r="AS2005" s="128"/>
      <c r="AT2005" s="128"/>
      <c r="AU2005" s="128"/>
      <c r="AV2005" s="128"/>
      <c r="AW2005" s="128"/>
      <c r="AX2005" s="128"/>
      <c r="AY2005" s="128"/>
      <c r="AZ2005" s="128"/>
      <c r="BA2005" s="128"/>
      <c r="BB2005" s="128"/>
      <c r="BC2005" s="128"/>
      <c r="BD2005" s="128"/>
      <c r="BE2005" s="128"/>
      <c r="BF2005" s="128"/>
      <c r="BG2005" s="128"/>
      <c r="BH2005" s="128"/>
      <c r="BI2005" s="128"/>
      <c r="BJ2005" s="128"/>
      <c r="BK2005" s="128"/>
      <c r="BL2005" s="128"/>
      <c r="BM2005" s="151"/>
      <c r="BN2005" s="128"/>
      <c r="BO2005" s="128"/>
      <c r="BP2005" s="128"/>
      <c r="BQ2005" s="128"/>
      <c r="BR2005" s="128"/>
      <c r="BS2005" s="128"/>
      <c r="BT2005" s="128"/>
      <c r="BU2005" s="128"/>
      <c r="BV2005" s="128"/>
      <c r="BW2005" s="128"/>
      <c r="BX2005" s="128"/>
      <c r="BY2005" s="128"/>
      <c r="BZ2005" s="128"/>
      <c r="CA2005" s="128"/>
      <c r="CB2005" s="128"/>
      <c r="CC2005" s="128"/>
      <c r="CD2005" s="128"/>
      <c r="CE2005" s="128"/>
      <c r="CF2005" s="128"/>
      <c r="CG2005" s="128"/>
      <c r="CI2005" s="128"/>
      <c r="CJ2005" s="128"/>
      <c r="CK2005" s="128"/>
      <c r="CL2005" s="128"/>
      <c r="CM2005" s="128"/>
      <c r="CN2005" s="128"/>
      <c r="CO2005" s="128"/>
      <c r="CP2005" s="128"/>
      <c r="CQ2005" s="128"/>
      <c r="CR2005" s="128"/>
      <c r="CS2005" s="128"/>
      <c r="CT2005" s="128"/>
      <c r="CU2005" s="128"/>
      <c r="CV2005" s="128"/>
      <c r="CW2005" s="128"/>
      <c r="CX2005" s="128"/>
      <c r="CY2005" s="128"/>
      <c r="CZ2005" s="165"/>
    </row>
    <row r="2006" spans="1:104">
      <c r="A2006" s="149"/>
      <c r="B2006" s="149"/>
      <c r="C2006" s="150"/>
      <c r="D2006" s="102"/>
      <c r="E2006" s="149"/>
      <c r="F2006" s="149"/>
      <c r="G2006" s="149"/>
      <c r="H2006" s="149"/>
      <c r="I2006" s="149"/>
      <c r="J2006" s="149"/>
      <c r="K2006" s="149"/>
      <c r="L2006" s="149"/>
      <c r="M2006" s="149"/>
      <c r="N2006" s="149"/>
      <c r="O2006" s="149"/>
      <c r="P2006" s="149"/>
      <c r="Q2006" s="149"/>
      <c r="R2006" s="149"/>
      <c r="S2006" s="149"/>
      <c r="T2006" s="149"/>
      <c r="U2006" s="149"/>
      <c r="V2006" s="149"/>
      <c r="W2006" s="149"/>
      <c r="X2006" s="149"/>
      <c r="Y2006" s="149"/>
      <c r="Z2006" s="149"/>
      <c r="AA2006" s="149"/>
      <c r="AB2006" s="149"/>
      <c r="AC2006" s="149"/>
      <c r="AD2006" s="149"/>
      <c r="AE2006" s="149"/>
      <c r="AF2006" s="149"/>
      <c r="AG2006" s="149"/>
      <c r="AH2006" s="149"/>
      <c r="AI2006" s="149"/>
      <c r="AJ2006" s="149"/>
      <c r="AK2006" s="149"/>
      <c r="AL2006" s="149"/>
      <c r="AM2006" s="149"/>
      <c r="AN2006" s="149"/>
      <c r="AO2006" s="128"/>
      <c r="AP2006" s="128"/>
      <c r="AQ2006" s="128"/>
      <c r="AR2006" s="128"/>
      <c r="AS2006" s="128"/>
      <c r="AT2006" s="128"/>
      <c r="AU2006" s="128"/>
      <c r="AV2006" s="128"/>
      <c r="AW2006" s="128"/>
      <c r="AX2006" s="128"/>
      <c r="AY2006" s="128"/>
      <c r="AZ2006" s="128"/>
      <c r="BA2006" s="128"/>
      <c r="BB2006" s="128"/>
      <c r="BC2006" s="128"/>
      <c r="BD2006" s="128"/>
      <c r="BE2006" s="128"/>
      <c r="BF2006" s="128"/>
      <c r="BG2006" s="128"/>
      <c r="BH2006" s="128"/>
      <c r="BI2006" s="128"/>
      <c r="BJ2006" s="128"/>
      <c r="BK2006" s="128"/>
      <c r="BL2006" s="128"/>
      <c r="BM2006" s="151"/>
      <c r="BN2006" s="128"/>
      <c r="BO2006" s="128"/>
      <c r="BP2006" s="128"/>
      <c r="BQ2006" s="128"/>
      <c r="BR2006" s="128"/>
      <c r="BS2006" s="128"/>
      <c r="BT2006" s="128"/>
      <c r="BU2006" s="128"/>
      <c r="BV2006" s="128"/>
      <c r="BW2006" s="128"/>
      <c r="BX2006" s="128"/>
      <c r="BY2006" s="128"/>
      <c r="BZ2006" s="128"/>
      <c r="CA2006" s="128"/>
      <c r="CB2006" s="128"/>
      <c r="CC2006" s="128"/>
      <c r="CD2006" s="128"/>
      <c r="CE2006" s="128"/>
      <c r="CF2006" s="128"/>
      <c r="CG2006" s="128"/>
      <c r="CI2006" s="128"/>
      <c r="CJ2006" s="128"/>
      <c r="CK2006" s="128"/>
      <c r="CL2006" s="128"/>
      <c r="CM2006" s="128"/>
      <c r="CN2006" s="128"/>
      <c r="CO2006" s="128"/>
      <c r="CP2006" s="128"/>
      <c r="CQ2006" s="128"/>
      <c r="CR2006" s="128"/>
      <c r="CS2006" s="128"/>
      <c r="CT2006" s="128"/>
      <c r="CU2006" s="128"/>
      <c r="CV2006" s="128"/>
      <c r="CW2006" s="128"/>
      <c r="CX2006" s="128"/>
      <c r="CY2006" s="128"/>
      <c r="CZ2006" s="165"/>
    </row>
    <row r="2007" spans="1:104">
      <c r="A2007" s="149"/>
      <c r="B2007" s="149"/>
      <c r="C2007" s="150"/>
      <c r="D2007" s="102"/>
      <c r="E2007" s="149"/>
      <c r="F2007" s="149"/>
      <c r="G2007" s="149"/>
      <c r="H2007" s="149"/>
      <c r="I2007" s="149"/>
      <c r="J2007" s="149"/>
      <c r="K2007" s="149"/>
      <c r="L2007" s="149"/>
      <c r="M2007" s="149"/>
      <c r="N2007" s="149"/>
      <c r="O2007" s="149"/>
      <c r="P2007" s="149"/>
      <c r="Q2007" s="149"/>
      <c r="R2007" s="149"/>
      <c r="S2007" s="149"/>
      <c r="T2007" s="149"/>
      <c r="U2007" s="149"/>
      <c r="V2007" s="149"/>
      <c r="W2007" s="149"/>
      <c r="X2007" s="149"/>
      <c r="Y2007" s="149"/>
      <c r="Z2007" s="149"/>
      <c r="AA2007" s="149"/>
      <c r="AB2007" s="149"/>
      <c r="AC2007" s="149"/>
      <c r="AD2007" s="149"/>
      <c r="AE2007" s="149"/>
      <c r="AF2007" s="149"/>
      <c r="AG2007" s="149"/>
      <c r="AH2007" s="149"/>
      <c r="AI2007" s="149"/>
      <c r="AJ2007" s="149"/>
      <c r="AK2007" s="149"/>
      <c r="AL2007" s="149"/>
      <c r="AM2007" s="149"/>
      <c r="AN2007" s="149"/>
      <c r="AO2007" s="128"/>
      <c r="AP2007" s="128"/>
      <c r="AQ2007" s="128"/>
      <c r="AR2007" s="128"/>
      <c r="AS2007" s="128"/>
      <c r="AT2007" s="128"/>
      <c r="AU2007" s="128"/>
      <c r="AV2007" s="128"/>
      <c r="AW2007" s="128"/>
      <c r="AX2007" s="128"/>
      <c r="AY2007" s="128"/>
      <c r="AZ2007" s="128"/>
      <c r="BA2007" s="128"/>
      <c r="BB2007" s="128"/>
      <c r="BC2007" s="128"/>
      <c r="BD2007" s="128"/>
      <c r="BE2007" s="128"/>
      <c r="BF2007" s="128"/>
      <c r="BG2007" s="128"/>
      <c r="BH2007" s="128"/>
      <c r="BI2007" s="128"/>
      <c r="BJ2007" s="128"/>
      <c r="BK2007" s="128"/>
      <c r="BL2007" s="128"/>
      <c r="BM2007" s="151"/>
      <c r="BN2007" s="128"/>
      <c r="BO2007" s="128"/>
      <c r="BP2007" s="128"/>
      <c r="BQ2007" s="128"/>
      <c r="BR2007" s="128"/>
      <c r="BS2007" s="128"/>
      <c r="BT2007" s="128"/>
      <c r="BU2007" s="128"/>
      <c r="BV2007" s="128"/>
      <c r="BW2007" s="128"/>
      <c r="BX2007" s="128"/>
      <c r="BY2007" s="128"/>
      <c r="BZ2007" s="128"/>
      <c r="CA2007" s="128"/>
      <c r="CB2007" s="128"/>
      <c r="CC2007" s="128"/>
      <c r="CD2007" s="128"/>
      <c r="CE2007" s="128"/>
      <c r="CF2007" s="128"/>
      <c r="CG2007" s="128"/>
      <c r="CI2007" s="128"/>
      <c r="CJ2007" s="128"/>
      <c r="CK2007" s="128"/>
      <c r="CL2007" s="128"/>
      <c r="CM2007" s="128"/>
      <c r="CN2007" s="128"/>
      <c r="CO2007" s="128"/>
      <c r="CP2007" s="128"/>
      <c r="CQ2007" s="128"/>
      <c r="CR2007" s="128"/>
      <c r="CS2007" s="128"/>
      <c r="CT2007" s="128"/>
      <c r="CU2007" s="128"/>
      <c r="CV2007" s="128"/>
      <c r="CW2007" s="128"/>
      <c r="CX2007" s="128"/>
      <c r="CY2007" s="128"/>
      <c r="CZ2007" s="165"/>
    </row>
    <row r="2008" spans="1:104">
      <c r="A2008" s="149"/>
      <c r="B2008" s="149"/>
      <c r="C2008" s="150"/>
      <c r="D2008" s="102"/>
      <c r="E2008" s="149"/>
      <c r="F2008" s="149"/>
      <c r="G2008" s="149"/>
      <c r="H2008" s="149"/>
      <c r="I2008" s="149"/>
      <c r="J2008" s="149"/>
      <c r="K2008" s="149"/>
      <c r="L2008" s="149"/>
      <c r="M2008" s="149"/>
      <c r="N2008" s="149"/>
      <c r="O2008" s="149"/>
      <c r="P2008" s="149"/>
      <c r="Q2008" s="149"/>
      <c r="R2008" s="149"/>
      <c r="S2008" s="149"/>
      <c r="T2008" s="149"/>
      <c r="U2008" s="149"/>
      <c r="V2008" s="149"/>
      <c r="W2008" s="149"/>
      <c r="X2008" s="149"/>
      <c r="Y2008" s="149"/>
      <c r="Z2008" s="149"/>
      <c r="AA2008" s="149"/>
      <c r="AB2008" s="149"/>
      <c r="AC2008" s="149"/>
      <c r="AD2008" s="149"/>
      <c r="AE2008" s="149"/>
      <c r="AF2008" s="149"/>
      <c r="AG2008" s="149"/>
      <c r="AH2008" s="149"/>
      <c r="AI2008" s="149"/>
      <c r="AJ2008" s="149"/>
      <c r="AK2008" s="149"/>
      <c r="AL2008" s="149"/>
      <c r="AM2008" s="149"/>
      <c r="AN2008" s="149"/>
      <c r="AO2008" s="128"/>
      <c r="AP2008" s="128"/>
      <c r="AQ2008" s="128"/>
      <c r="AR2008" s="128"/>
      <c r="AS2008" s="128"/>
      <c r="AT2008" s="128"/>
      <c r="AU2008" s="128"/>
      <c r="AV2008" s="128"/>
      <c r="AW2008" s="128"/>
      <c r="AX2008" s="128"/>
      <c r="AY2008" s="128"/>
      <c r="AZ2008" s="128"/>
      <c r="BA2008" s="128"/>
      <c r="BB2008" s="128"/>
      <c r="BC2008" s="128"/>
      <c r="BD2008" s="128"/>
      <c r="BE2008" s="128"/>
      <c r="BF2008" s="128"/>
      <c r="BG2008" s="128"/>
      <c r="BH2008" s="128"/>
      <c r="BI2008" s="128"/>
      <c r="BJ2008" s="128"/>
      <c r="BK2008" s="128"/>
      <c r="BL2008" s="128"/>
      <c r="BM2008" s="151"/>
      <c r="BN2008" s="128"/>
      <c r="BO2008" s="128"/>
      <c r="BP2008" s="128"/>
      <c r="BQ2008" s="128"/>
      <c r="BR2008" s="128"/>
      <c r="BS2008" s="128"/>
      <c r="BT2008" s="128"/>
      <c r="BU2008" s="128"/>
      <c r="BV2008" s="128"/>
      <c r="BW2008" s="128"/>
      <c r="BX2008" s="128"/>
      <c r="BY2008" s="128"/>
      <c r="BZ2008" s="128"/>
      <c r="CA2008" s="128"/>
      <c r="CB2008" s="128"/>
      <c r="CC2008" s="128"/>
      <c r="CD2008" s="128"/>
      <c r="CE2008" s="128"/>
      <c r="CF2008" s="128"/>
      <c r="CG2008" s="128"/>
      <c r="CI2008" s="128"/>
      <c r="CJ2008" s="128"/>
      <c r="CK2008" s="128"/>
      <c r="CL2008" s="128"/>
      <c r="CM2008" s="128"/>
      <c r="CN2008" s="128"/>
      <c r="CO2008" s="128"/>
      <c r="CP2008" s="128"/>
      <c r="CQ2008" s="128"/>
      <c r="CR2008" s="128"/>
      <c r="CS2008" s="128"/>
      <c r="CT2008" s="128"/>
      <c r="CU2008" s="128"/>
      <c r="CV2008" s="128"/>
      <c r="CW2008" s="128"/>
      <c r="CX2008" s="128"/>
      <c r="CY2008" s="128"/>
      <c r="CZ2008" s="165"/>
    </row>
    <row r="2009" spans="1:104">
      <c r="A2009" s="149"/>
      <c r="B2009" s="149"/>
      <c r="C2009" s="150"/>
      <c r="D2009" s="102"/>
      <c r="E2009" s="149"/>
      <c r="F2009" s="149"/>
      <c r="G2009" s="149"/>
      <c r="H2009" s="149"/>
      <c r="I2009" s="149"/>
      <c r="J2009" s="149"/>
      <c r="K2009" s="149"/>
      <c r="L2009" s="149"/>
      <c r="M2009" s="149"/>
      <c r="N2009" s="149"/>
      <c r="O2009" s="149"/>
      <c r="P2009" s="149"/>
      <c r="Q2009" s="149"/>
      <c r="R2009" s="149"/>
      <c r="S2009" s="149"/>
      <c r="T2009" s="149"/>
      <c r="U2009" s="149"/>
      <c r="V2009" s="149"/>
      <c r="W2009" s="149"/>
      <c r="X2009" s="149"/>
      <c r="Y2009" s="149"/>
      <c r="Z2009" s="149"/>
      <c r="AA2009" s="149"/>
      <c r="AB2009" s="149"/>
      <c r="AC2009" s="149"/>
      <c r="AD2009" s="149"/>
      <c r="AE2009" s="149"/>
      <c r="AF2009" s="149"/>
      <c r="AG2009" s="149"/>
      <c r="AH2009" s="149"/>
      <c r="AI2009" s="149"/>
      <c r="AJ2009" s="149"/>
      <c r="AK2009" s="149"/>
      <c r="AL2009" s="149"/>
      <c r="AM2009" s="149"/>
      <c r="AN2009" s="149"/>
      <c r="AO2009" s="128"/>
      <c r="AP2009" s="128"/>
      <c r="AQ2009" s="128"/>
      <c r="AR2009" s="128"/>
      <c r="AS2009" s="128"/>
      <c r="AT2009" s="128"/>
      <c r="AU2009" s="128"/>
      <c r="AV2009" s="128"/>
      <c r="AW2009" s="128"/>
      <c r="AX2009" s="128"/>
      <c r="AY2009" s="128"/>
      <c r="AZ2009" s="128"/>
      <c r="BA2009" s="128"/>
      <c r="BB2009" s="128"/>
      <c r="BC2009" s="128"/>
      <c r="BD2009" s="128"/>
      <c r="BE2009" s="128"/>
      <c r="BF2009" s="128"/>
      <c r="BG2009" s="128"/>
      <c r="BH2009" s="128"/>
      <c r="BI2009" s="128"/>
      <c r="BJ2009" s="128"/>
      <c r="BK2009" s="128"/>
      <c r="BL2009" s="128"/>
      <c r="BM2009" s="151"/>
      <c r="BN2009" s="128"/>
      <c r="BO2009" s="128"/>
      <c r="BP2009" s="128"/>
      <c r="BQ2009" s="128"/>
      <c r="BR2009" s="128"/>
      <c r="BS2009" s="128"/>
      <c r="BT2009" s="128"/>
      <c r="BU2009" s="128"/>
      <c r="BV2009" s="128"/>
      <c r="BW2009" s="128"/>
      <c r="BX2009" s="128"/>
      <c r="BY2009" s="128"/>
      <c r="BZ2009" s="128"/>
      <c r="CA2009" s="128"/>
      <c r="CB2009" s="128"/>
      <c r="CC2009" s="128"/>
      <c r="CD2009" s="128"/>
      <c r="CE2009" s="128"/>
      <c r="CF2009" s="128"/>
      <c r="CG2009" s="128"/>
      <c r="CI2009" s="128"/>
      <c r="CJ2009" s="128"/>
      <c r="CK2009" s="128"/>
      <c r="CL2009" s="128"/>
      <c r="CM2009" s="128"/>
      <c r="CN2009" s="128"/>
      <c r="CO2009" s="128"/>
      <c r="CP2009" s="128"/>
      <c r="CQ2009" s="128"/>
      <c r="CR2009" s="128"/>
      <c r="CS2009" s="128"/>
      <c r="CT2009" s="128"/>
      <c r="CU2009" s="128"/>
      <c r="CV2009" s="128"/>
      <c r="CW2009" s="128"/>
      <c r="CX2009" s="128"/>
      <c r="CY2009" s="128"/>
      <c r="CZ2009" s="165"/>
    </row>
    <row r="2010" spans="1:104">
      <c r="A2010" s="149"/>
      <c r="B2010" s="149"/>
      <c r="C2010" s="150"/>
      <c r="D2010" s="102"/>
      <c r="E2010" s="149"/>
      <c r="F2010" s="149"/>
      <c r="G2010" s="149"/>
      <c r="H2010" s="149"/>
      <c r="I2010" s="149"/>
      <c r="J2010" s="149"/>
      <c r="K2010" s="149"/>
      <c r="L2010" s="149"/>
      <c r="M2010" s="149"/>
      <c r="N2010" s="149"/>
      <c r="O2010" s="149"/>
      <c r="P2010" s="149"/>
      <c r="Q2010" s="149"/>
      <c r="R2010" s="149"/>
      <c r="S2010" s="149"/>
      <c r="T2010" s="149"/>
      <c r="U2010" s="149"/>
      <c r="V2010" s="149"/>
      <c r="W2010" s="149"/>
      <c r="X2010" s="149"/>
      <c r="Y2010" s="149"/>
      <c r="Z2010" s="149"/>
      <c r="AA2010" s="149"/>
      <c r="AB2010" s="149"/>
      <c r="AC2010" s="149"/>
      <c r="AD2010" s="149"/>
      <c r="AE2010" s="149"/>
      <c r="AF2010" s="149"/>
      <c r="AG2010" s="149"/>
      <c r="AH2010" s="149"/>
      <c r="AI2010" s="149"/>
      <c r="AJ2010" s="149"/>
      <c r="AK2010" s="149"/>
      <c r="AL2010" s="149"/>
      <c r="AM2010" s="149"/>
      <c r="AN2010" s="149"/>
      <c r="AO2010" s="128"/>
      <c r="AP2010" s="128"/>
      <c r="AQ2010" s="128"/>
      <c r="AR2010" s="128"/>
      <c r="AS2010" s="128"/>
      <c r="AT2010" s="128"/>
      <c r="AU2010" s="128"/>
      <c r="AV2010" s="128"/>
      <c r="AW2010" s="128"/>
      <c r="AX2010" s="128"/>
      <c r="AY2010" s="128"/>
      <c r="AZ2010" s="128"/>
      <c r="BA2010" s="128"/>
      <c r="BB2010" s="128"/>
      <c r="BC2010" s="128"/>
      <c r="BD2010" s="128"/>
      <c r="BE2010" s="128"/>
      <c r="BF2010" s="128"/>
      <c r="BG2010" s="128"/>
      <c r="BH2010" s="128"/>
      <c r="BI2010" s="128"/>
      <c r="BJ2010" s="128"/>
      <c r="BK2010" s="128"/>
      <c r="BL2010" s="128"/>
      <c r="BM2010" s="151"/>
      <c r="BN2010" s="128"/>
      <c r="BO2010" s="128"/>
      <c r="BP2010" s="128"/>
      <c r="BQ2010" s="128"/>
      <c r="BR2010" s="128"/>
      <c r="BS2010" s="128"/>
      <c r="BT2010" s="128"/>
      <c r="BU2010" s="128"/>
      <c r="BV2010" s="128"/>
      <c r="BW2010" s="128"/>
      <c r="BX2010" s="128"/>
      <c r="BY2010" s="128"/>
      <c r="BZ2010" s="128"/>
      <c r="CA2010" s="128"/>
      <c r="CB2010" s="128"/>
      <c r="CC2010" s="128"/>
      <c r="CD2010" s="128"/>
      <c r="CE2010" s="128"/>
      <c r="CF2010" s="128"/>
      <c r="CG2010" s="128"/>
      <c r="CI2010" s="128"/>
      <c r="CJ2010" s="128"/>
      <c r="CK2010" s="128"/>
      <c r="CL2010" s="128"/>
      <c r="CM2010" s="128"/>
      <c r="CN2010" s="128"/>
      <c r="CO2010" s="128"/>
      <c r="CP2010" s="128"/>
      <c r="CQ2010" s="128"/>
      <c r="CR2010" s="128"/>
      <c r="CS2010" s="128"/>
      <c r="CT2010" s="128"/>
      <c r="CU2010" s="128"/>
      <c r="CV2010" s="128"/>
      <c r="CW2010" s="128"/>
      <c r="CX2010" s="128"/>
      <c r="CY2010" s="128"/>
      <c r="CZ2010" s="165"/>
    </row>
    <row r="2011" spans="1:104">
      <c r="A2011" s="149"/>
      <c r="B2011" s="149"/>
      <c r="C2011" s="150"/>
      <c r="D2011" s="102"/>
      <c r="E2011" s="149"/>
      <c r="F2011" s="149"/>
      <c r="G2011" s="149"/>
      <c r="H2011" s="149"/>
      <c r="I2011" s="149"/>
      <c r="J2011" s="149"/>
      <c r="K2011" s="149"/>
      <c r="L2011" s="149"/>
      <c r="M2011" s="149"/>
      <c r="N2011" s="149"/>
      <c r="O2011" s="149"/>
      <c r="P2011" s="149"/>
      <c r="Q2011" s="149"/>
      <c r="R2011" s="149"/>
      <c r="S2011" s="149"/>
      <c r="T2011" s="149"/>
      <c r="U2011" s="149"/>
      <c r="V2011" s="149"/>
      <c r="W2011" s="149"/>
      <c r="X2011" s="149"/>
      <c r="Y2011" s="149"/>
      <c r="Z2011" s="149"/>
      <c r="AA2011" s="149"/>
      <c r="AB2011" s="149"/>
      <c r="AC2011" s="149"/>
      <c r="AD2011" s="149"/>
      <c r="AE2011" s="149"/>
      <c r="AF2011" s="149"/>
      <c r="AG2011" s="149"/>
      <c r="AH2011" s="149"/>
      <c r="AI2011" s="149"/>
      <c r="AJ2011" s="149"/>
      <c r="AK2011" s="149"/>
      <c r="AL2011" s="149"/>
      <c r="AM2011" s="149"/>
      <c r="AN2011" s="149"/>
      <c r="AO2011" s="128"/>
      <c r="AP2011" s="128"/>
      <c r="AQ2011" s="128"/>
      <c r="AR2011" s="128"/>
      <c r="AS2011" s="128"/>
      <c r="AT2011" s="128"/>
      <c r="AU2011" s="128"/>
      <c r="AV2011" s="128"/>
      <c r="AW2011" s="128"/>
      <c r="AX2011" s="128"/>
      <c r="AY2011" s="128"/>
      <c r="AZ2011" s="128"/>
      <c r="BA2011" s="128"/>
      <c r="BB2011" s="128"/>
      <c r="BC2011" s="128"/>
      <c r="BD2011" s="128"/>
      <c r="BE2011" s="128"/>
      <c r="BF2011" s="128"/>
      <c r="BG2011" s="128"/>
      <c r="BH2011" s="128"/>
      <c r="BI2011" s="128"/>
      <c r="BJ2011" s="128"/>
      <c r="BK2011" s="128"/>
      <c r="BL2011" s="128"/>
      <c r="BM2011" s="151"/>
      <c r="BN2011" s="128"/>
      <c r="BO2011" s="128"/>
      <c r="BP2011" s="128"/>
      <c r="BQ2011" s="128"/>
      <c r="BR2011" s="128"/>
      <c r="BS2011" s="128"/>
      <c r="BT2011" s="128"/>
      <c r="BU2011" s="128"/>
      <c r="BV2011" s="128"/>
      <c r="BW2011" s="128"/>
      <c r="BX2011" s="128"/>
      <c r="BY2011" s="128"/>
      <c r="BZ2011" s="128"/>
      <c r="CA2011" s="128"/>
      <c r="CB2011" s="128"/>
      <c r="CC2011" s="128"/>
      <c r="CD2011" s="128"/>
      <c r="CE2011" s="128"/>
      <c r="CF2011" s="128"/>
      <c r="CG2011" s="128"/>
      <c r="CI2011" s="128"/>
      <c r="CJ2011" s="128"/>
      <c r="CK2011" s="128"/>
      <c r="CL2011" s="128"/>
      <c r="CM2011" s="128"/>
      <c r="CN2011" s="128"/>
      <c r="CO2011" s="128"/>
      <c r="CP2011" s="128"/>
      <c r="CQ2011" s="128"/>
      <c r="CR2011" s="128"/>
      <c r="CS2011" s="128"/>
      <c r="CT2011" s="128"/>
      <c r="CU2011" s="128"/>
      <c r="CV2011" s="128"/>
      <c r="CW2011" s="128"/>
      <c r="CX2011" s="128"/>
      <c r="CY2011" s="128"/>
      <c r="CZ2011" s="165"/>
    </row>
    <row r="2012" spans="1:104">
      <c r="A2012" s="149"/>
      <c r="B2012" s="149"/>
      <c r="C2012" s="150"/>
      <c r="D2012" s="102"/>
      <c r="E2012" s="149"/>
      <c r="F2012" s="149"/>
      <c r="G2012" s="149"/>
      <c r="H2012" s="149"/>
      <c r="I2012" s="149"/>
      <c r="J2012" s="149"/>
      <c r="K2012" s="149"/>
      <c r="L2012" s="149"/>
      <c r="M2012" s="149"/>
      <c r="N2012" s="149"/>
      <c r="O2012" s="149"/>
      <c r="P2012" s="149"/>
      <c r="Q2012" s="149"/>
      <c r="R2012" s="149"/>
      <c r="S2012" s="149"/>
      <c r="T2012" s="149"/>
      <c r="U2012" s="149"/>
      <c r="V2012" s="149"/>
      <c r="W2012" s="149"/>
      <c r="X2012" s="149"/>
      <c r="Y2012" s="149"/>
      <c r="Z2012" s="149"/>
      <c r="AA2012" s="149"/>
      <c r="AB2012" s="149"/>
      <c r="AC2012" s="149"/>
      <c r="AD2012" s="149"/>
      <c r="AE2012" s="149"/>
      <c r="AF2012" s="149"/>
      <c r="AG2012" s="149"/>
      <c r="AH2012" s="149"/>
      <c r="AI2012" s="149"/>
      <c r="AJ2012" s="149"/>
      <c r="AK2012" s="149"/>
      <c r="AL2012" s="149"/>
      <c r="AM2012" s="149"/>
      <c r="AN2012" s="149"/>
      <c r="AO2012" s="128"/>
      <c r="AP2012" s="128"/>
      <c r="AQ2012" s="128"/>
      <c r="AR2012" s="128"/>
      <c r="AS2012" s="128"/>
      <c r="AT2012" s="128"/>
      <c r="AU2012" s="128"/>
      <c r="AV2012" s="128"/>
      <c r="AW2012" s="128"/>
      <c r="AX2012" s="128"/>
      <c r="AY2012" s="128"/>
      <c r="AZ2012" s="128"/>
      <c r="BA2012" s="128"/>
      <c r="BB2012" s="128"/>
      <c r="BC2012" s="128"/>
      <c r="BD2012" s="128"/>
      <c r="BE2012" s="128"/>
      <c r="BF2012" s="128"/>
      <c r="BG2012" s="128"/>
      <c r="BH2012" s="128"/>
      <c r="BI2012" s="128"/>
      <c r="BJ2012" s="128"/>
      <c r="BK2012" s="128"/>
      <c r="BL2012" s="128"/>
      <c r="BM2012" s="151"/>
      <c r="BN2012" s="128"/>
      <c r="BO2012" s="128"/>
      <c r="BP2012" s="128"/>
      <c r="BQ2012" s="128"/>
      <c r="BR2012" s="128"/>
      <c r="BS2012" s="128"/>
      <c r="BT2012" s="128"/>
      <c r="BU2012" s="128"/>
      <c r="BV2012" s="128"/>
      <c r="BW2012" s="128"/>
      <c r="BX2012" s="128"/>
      <c r="BY2012" s="128"/>
      <c r="BZ2012" s="128"/>
      <c r="CA2012" s="128"/>
      <c r="CB2012" s="128"/>
      <c r="CC2012" s="128"/>
      <c r="CD2012" s="128"/>
      <c r="CE2012" s="128"/>
      <c r="CF2012" s="128"/>
      <c r="CG2012" s="128"/>
      <c r="CI2012" s="128"/>
      <c r="CJ2012" s="128"/>
      <c r="CK2012" s="128"/>
      <c r="CL2012" s="128"/>
      <c r="CM2012" s="128"/>
      <c r="CN2012" s="128"/>
      <c r="CO2012" s="128"/>
      <c r="CP2012" s="128"/>
      <c r="CQ2012" s="128"/>
      <c r="CR2012" s="128"/>
      <c r="CS2012" s="128"/>
      <c r="CT2012" s="128"/>
      <c r="CU2012" s="128"/>
      <c r="CV2012" s="128"/>
      <c r="CW2012" s="128"/>
      <c r="CX2012" s="128"/>
      <c r="CY2012" s="128"/>
      <c r="CZ2012" s="165"/>
    </row>
    <row r="2013" spans="1:104">
      <c r="A2013" s="149"/>
      <c r="B2013" s="149"/>
      <c r="C2013" s="150"/>
      <c r="D2013" s="102"/>
      <c r="E2013" s="149"/>
      <c r="F2013" s="149"/>
      <c r="G2013" s="149"/>
      <c r="H2013" s="149"/>
      <c r="I2013" s="149"/>
      <c r="J2013" s="149"/>
      <c r="K2013" s="149"/>
      <c r="L2013" s="149"/>
      <c r="M2013" s="149"/>
      <c r="N2013" s="149"/>
      <c r="O2013" s="149"/>
      <c r="P2013" s="149"/>
      <c r="Q2013" s="149"/>
      <c r="R2013" s="149"/>
      <c r="S2013" s="149"/>
      <c r="T2013" s="149"/>
      <c r="U2013" s="149"/>
      <c r="V2013" s="149"/>
      <c r="W2013" s="149"/>
      <c r="X2013" s="149"/>
      <c r="Y2013" s="149"/>
      <c r="Z2013" s="149"/>
      <c r="AA2013" s="149"/>
      <c r="AB2013" s="149"/>
      <c r="AC2013" s="149"/>
      <c r="AD2013" s="149"/>
      <c r="AE2013" s="149"/>
      <c r="AF2013" s="149"/>
      <c r="AG2013" s="149"/>
      <c r="AH2013" s="149"/>
      <c r="AI2013" s="149"/>
      <c r="AJ2013" s="149"/>
      <c r="AK2013" s="149"/>
      <c r="AL2013" s="149"/>
      <c r="AM2013" s="149"/>
      <c r="AN2013" s="149"/>
      <c r="AO2013" s="128"/>
      <c r="AP2013" s="128"/>
      <c r="AQ2013" s="128"/>
      <c r="AR2013" s="128"/>
      <c r="AS2013" s="128"/>
      <c r="AT2013" s="128"/>
      <c r="AU2013" s="128"/>
      <c r="AV2013" s="128"/>
      <c r="AW2013" s="128"/>
      <c r="AX2013" s="128"/>
      <c r="AY2013" s="128"/>
      <c r="AZ2013" s="128"/>
      <c r="BA2013" s="128"/>
      <c r="BB2013" s="128"/>
      <c r="BC2013" s="128"/>
      <c r="BD2013" s="128"/>
      <c r="BE2013" s="128"/>
      <c r="BF2013" s="128"/>
      <c r="BG2013" s="128"/>
      <c r="BH2013" s="128"/>
      <c r="BI2013" s="128"/>
      <c r="BJ2013" s="128"/>
      <c r="BK2013" s="128"/>
      <c r="BL2013" s="128"/>
      <c r="BM2013" s="151"/>
      <c r="BN2013" s="128"/>
      <c r="BO2013" s="128"/>
      <c r="BP2013" s="128"/>
      <c r="BQ2013" s="128"/>
      <c r="BR2013" s="128"/>
      <c r="BS2013" s="128"/>
      <c r="BT2013" s="128"/>
      <c r="BU2013" s="128"/>
      <c r="BV2013" s="128"/>
      <c r="BW2013" s="128"/>
      <c r="BX2013" s="128"/>
      <c r="BY2013" s="128"/>
      <c r="BZ2013" s="128"/>
      <c r="CA2013" s="128"/>
      <c r="CB2013" s="128"/>
      <c r="CC2013" s="128"/>
      <c r="CD2013" s="128"/>
      <c r="CE2013" s="128"/>
      <c r="CF2013" s="128"/>
      <c r="CG2013" s="128"/>
      <c r="CI2013" s="128"/>
      <c r="CJ2013" s="128"/>
      <c r="CK2013" s="128"/>
      <c r="CL2013" s="128"/>
      <c r="CM2013" s="128"/>
      <c r="CN2013" s="128"/>
      <c r="CO2013" s="128"/>
      <c r="CP2013" s="128"/>
      <c r="CQ2013" s="128"/>
      <c r="CR2013" s="128"/>
      <c r="CS2013" s="128"/>
      <c r="CT2013" s="128"/>
      <c r="CU2013" s="128"/>
      <c r="CV2013" s="128"/>
      <c r="CW2013" s="128"/>
      <c r="CX2013" s="128"/>
      <c r="CY2013" s="128"/>
      <c r="CZ2013" s="165"/>
    </row>
    <row r="2014" spans="1:104">
      <c r="A2014" s="149"/>
      <c r="B2014" s="149"/>
      <c r="C2014" s="150"/>
      <c r="D2014" s="102"/>
      <c r="E2014" s="149"/>
      <c r="F2014" s="149"/>
      <c r="G2014" s="149"/>
      <c r="H2014" s="149"/>
      <c r="I2014" s="149"/>
      <c r="J2014" s="149"/>
      <c r="K2014" s="149"/>
      <c r="L2014" s="149"/>
      <c r="M2014" s="149"/>
      <c r="N2014" s="149"/>
      <c r="O2014" s="149"/>
      <c r="P2014" s="149"/>
      <c r="Q2014" s="149"/>
      <c r="R2014" s="149"/>
      <c r="S2014" s="149"/>
      <c r="T2014" s="149"/>
      <c r="U2014" s="149"/>
      <c r="V2014" s="149"/>
      <c r="W2014" s="149"/>
      <c r="X2014" s="149"/>
      <c r="Y2014" s="149"/>
      <c r="Z2014" s="149"/>
      <c r="AA2014" s="149"/>
      <c r="AB2014" s="149"/>
      <c r="AC2014" s="149"/>
      <c r="AD2014" s="149"/>
      <c r="AE2014" s="149"/>
      <c r="AF2014" s="149"/>
      <c r="AG2014" s="149"/>
      <c r="AH2014" s="149"/>
      <c r="AI2014" s="149"/>
      <c r="AJ2014" s="149"/>
      <c r="AK2014" s="149"/>
      <c r="AL2014" s="149"/>
      <c r="AM2014" s="149"/>
      <c r="AN2014" s="149"/>
      <c r="AO2014" s="128"/>
      <c r="AP2014" s="128"/>
      <c r="AQ2014" s="128"/>
      <c r="AR2014" s="128"/>
      <c r="AS2014" s="128"/>
      <c r="AT2014" s="128"/>
      <c r="AU2014" s="128"/>
      <c r="AV2014" s="128"/>
      <c r="AW2014" s="128"/>
      <c r="AX2014" s="128"/>
      <c r="AY2014" s="128"/>
      <c r="AZ2014" s="128"/>
      <c r="BA2014" s="128"/>
      <c r="BB2014" s="128"/>
      <c r="BC2014" s="128"/>
      <c r="BD2014" s="128"/>
      <c r="BE2014" s="128"/>
      <c r="BF2014" s="128"/>
      <c r="BG2014" s="128"/>
      <c r="BH2014" s="128"/>
      <c r="BI2014" s="128"/>
      <c r="BJ2014" s="128"/>
      <c r="BK2014" s="128"/>
      <c r="BL2014" s="128"/>
      <c r="BM2014" s="151"/>
      <c r="BN2014" s="128"/>
      <c r="BO2014" s="128"/>
      <c r="BP2014" s="128"/>
      <c r="BQ2014" s="128"/>
      <c r="BR2014" s="128"/>
      <c r="BS2014" s="128"/>
      <c r="BT2014" s="128"/>
      <c r="BU2014" s="128"/>
      <c r="BV2014" s="128"/>
      <c r="BW2014" s="128"/>
      <c r="BX2014" s="128"/>
      <c r="BY2014" s="128"/>
      <c r="BZ2014" s="128"/>
      <c r="CA2014" s="128"/>
      <c r="CB2014" s="128"/>
      <c r="CC2014" s="128"/>
      <c r="CD2014" s="128"/>
      <c r="CE2014" s="128"/>
      <c r="CF2014" s="128"/>
      <c r="CG2014" s="128"/>
      <c r="CI2014" s="128"/>
      <c r="CJ2014" s="128"/>
      <c r="CK2014" s="128"/>
      <c r="CL2014" s="128"/>
      <c r="CM2014" s="128"/>
      <c r="CN2014" s="128"/>
      <c r="CO2014" s="128"/>
      <c r="CP2014" s="128"/>
      <c r="CQ2014" s="128"/>
      <c r="CR2014" s="128"/>
      <c r="CS2014" s="128"/>
      <c r="CT2014" s="128"/>
      <c r="CU2014" s="128"/>
      <c r="CV2014" s="128"/>
      <c r="CW2014" s="128"/>
      <c r="CX2014" s="128"/>
      <c r="CY2014" s="128"/>
      <c r="CZ2014" s="165"/>
    </row>
    <row r="2015" spans="1:104">
      <c r="A2015" s="149"/>
      <c r="B2015" s="149"/>
      <c r="C2015" s="150"/>
      <c r="D2015" s="102"/>
      <c r="E2015" s="149"/>
      <c r="F2015" s="149"/>
      <c r="G2015" s="149"/>
      <c r="H2015" s="149"/>
      <c r="I2015" s="149"/>
      <c r="J2015" s="149"/>
      <c r="K2015" s="149"/>
      <c r="L2015" s="149"/>
      <c r="M2015" s="149"/>
      <c r="N2015" s="149"/>
      <c r="O2015" s="149"/>
      <c r="P2015" s="149"/>
      <c r="Q2015" s="149"/>
      <c r="R2015" s="149"/>
      <c r="S2015" s="149"/>
      <c r="T2015" s="149"/>
      <c r="U2015" s="149"/>
      <c r="V2015" s="149"/>
      <c r="W2015" s="149"/>
      <c r="X2015" s="149"/>
      <c r="Y2015" s="149"/>
      <c r="Z2015" s="149"/>
      <c r="AA2015" s="149"/>
      <c r="AB2015" s="149"/>
      <c r="AC2015" s="149"/>
      <c r="AD2015" s="149"/>
      <c r="AE2015" s="149"/>
      <c r="AF2015" s="149"/>
      <c r="AG2015" s="149"/>
      <c r="AH2015" s="149"/>
      <c r="AI2015" s="149"/>
      <c r="AJ2015" s="149"/>
      <c r="AK2015" s="149"/>
      <c r="AL2015" s="149"/>
      <c r="AM2015" s="149"/>
      <c r="AN2015" s="149"/>
      <c r="AO2015" s="128"/>
      <c r="AP2015" s="128"/>
      <c r="AQ2015" s="128"/>
      <c r="AR2015" s="128"/>
      <c r="AS2015" s="128"/>
      <c r="AT2015" s="128"/>
      <c r="AU2015" s="128"/>
      <c r="AV2015" s="128"/>
      <c r="AW2015" s="128"/>
      <c r="AX2015" s="128"/>
      <c r="AY2015" s="128"/>
      <c r="AZ2015" s="128"/>
      <c r="BA2015" s="128"/>
      <c r="BB2015" s="128"/>
      <c r="BC2015" s="128"/>
      <c r="BD2015" s="128"/>
      <c r="BE2015" s="128"/>
      <c r="BF2015" s="128"/>
      <c r="BG2015" s="128"/>
      <c r="BH2015" s="128"/>
      <c r="BI2015" s="128"/>
      <c r="BJ2015" s="128"/>
      <c r="BK2015" s="128"/>
      <c r="BL2015" s="128"/>
      <c r="BM2015" s="151"/>
      <c r="BN2015" s="128"/>
      <c r="BO2015" s="128"/>
      <c r="BP2015" s="128"/>
      <c r="BQ2015" s="128"/>
      <c r="BR2015" s="128"/>
      <c r="BS2015" s="128"/>
      <c r="BT2015" s="128"/>
      <c r="BU2015" s="128"/>
      <c r="BV2015" s="128"/>
      <c r="BW2015" s="128"/>
      <c r="BX2015" s="128"/>
      <c r="BY2015" s="128"/>
      <c r="BZ2015" s="128"/>
      <c r="CA2015" s="128"/>
      <c r="CB2015" s="128"/>
      <c r="CC2015" s="128"/>
      <c r="CD2015" s="128"/>
      <c r="CE2015" s="128"/>
      <c r="CF2015" s="128"/>
      <c r="CG2015" s="128"/>
      <c r="CI2015" s="128"/>
      <c r="CJ2015" s="128"/>
      <c r="CK2015" s="128"/>
      <c r="CL2015" s="128"/>
      <c r="CM2015" s="128"/>
      <c r="CN2015" s="128"/>
      <c r="CO2015" s="128"/>
      <c r="CP2015" s="128"/>
      <c r="CQ2015" s="128"/>
      <c r="CR2015" s="128"/>
      <c r="CS2015" s="128"/>
      <c r="CT2015" s="128"/>
      <c r="CU2015" s="128"/>
      <c r="CV2015" s="128"/>
      <c r="CW2015" s="128"/>
      <c r="CX2015" s="128"/>
      <c r="CY2015" s="128"/>
      <c r="CZ2015" s="165"/>
    </row>
    <row r="2016" spans="1:104">
      <c r="A2016" s="149"/>
      <c r="B2016" s="149"/>
      <c r="C2016" s="150"/>
      <c r="D2016" s="102"/>
      <c r="E2016" s="149"/>
      <c r="F2016" s="149"/>
      <c r="G2016" s="149"/>
      <c r="H2016" s="149"/>
      <c r="I2016" s="149"/>
      <c r="J2016" s="149"/>
      <c r="K2016" s="149"/>
      <c r="L2016" s="149"/>
      <c r="M2016" s="149"/>
      <c r="N2016" s="149"/>
      <c r="O2016" s="149"/>
      <c r="P2016" s="149"/>
      <c r="Q2016" s="149"/>
      <c r="R2016" s="149"/>
      <c r="S2016" s="149"/>
      <c r="T2016" s="149"/>
      <c r="U2016" s="149"/>
      <c r="V2016" s="149"/>
      <c r="W2016" s="149"/>
      <c r="X2016" s="149"/>
      <c r="Y2016" s="149"/>
      <c r="Z2016" s="149"/>
      <c r="AA2016" s="149"/>
      <c r="AB2016" s="149"/>
      <c r="AC2016" s="149"/>
      <c r="AD2016" s="149"/>
      <c r="AE2016" s="149"/>
      <c r="AF2016" s="149"/>
      <c r="AG2016" s="149"/>
      <c r="AH2016" s="149"/>
      <c r="AI2016" s="149"/>
      <c r="AJ2016" s="149"/>
      <c r="AK2016" s="149"/>
      <c r="AL2016" s="149"/>
      <c r="AM2016" s="149"/>
      <c r="AN2016" s="149"/>
      <c r="AO2016" s="128"/>
      <c r="AP2016" s="128"/>
      <c r="AQ2016" s="128"/>
      <c r="AR2016" s="128"/>
      <c r="AS2016" s="128"/>
      <c r="AT2016" s="128"/>
      <c r="AU2016" s="128"/>
      <c r="AV2016" s="128"/>
      <c r="AW2016" s="128"/>
      <c r="AX2016" s="128"/>
      <c r="AY2016" s="128"/>
      <c r="AZ2016" s="128"/>
      <c r="BA2016" s="128"/>
      <c r="BB2016" s="128"/>
      <c r="BC2016" s="128"/>
      <c r="BD2016" s="128"/>
      <c r="BE2016" s="128"/>
      <c r="BF2016" s="128"/>
      <c r="BG2016" s="128"/>
      <c r="BH2016" s="128"/>
      <c r="BI2016" s="128"/>
      <c r="BJ2016" s="128"/>
      <c r="BK2016" s="128"/>
      <c r="BL2016" s="128"/>
      <c r="BM2016" s="151"/>
      <c r="BN2016" s="128"/>
      <c r="BO2016" s="128"/>
      <c r="BP2016" s="128"/>
      <c r="BQ2016" s="128"/>
      <c r="BR2016" s="128"/>
      <c r="BS2016" s="128"/>
      <c r="BT2016" s="128"/>
      <c r="BU2016" s="128"/>
      <c r="BV2016" s="128"/>
      <c r="BW2016" s="128"/>
      <c r="BX2016" s="128"/>
      <c r="BY2016" s="128"/>
      <c r="BZ2016" s="128"/>
      <c r="CA2016" s="128"/>
      <c r="CB2016" s="128"/>
      <c r="CC2016" s="128"/>
      <c r="CD2016" s="128"/>
      <c r="CE2016" s="128"/>
      <c r="CF2016" s="128"/>
      <c r="CG2016" s="128"/>
      <c r="CI2016" s="128"/>
      <c r="CJ2016" s="128"/>
      <c r="CK2016" s="128"/>
      <c r="CL2016" s="128"/>
      <c r="CM2016" s="128"/>
      <c r="CN2016" s="128"/>
      <c r="CO2016" s="128"/>
      <c r="CP2016" s="128"/>
      <c r="CQ2016" s="128"/>
      <c r="CR2016" s="128"/>
      <c r="CS2016" s="128"/>
      <c r="CT2016" s="128"/>
      <c r="CU2016" s="128"/>
      <c r="CV2016" s="128"/>
      <c r="CW2016" s="128"/>
      <c r="CX2016" s="128"/>
      <c r="CY2016" s="128"/>
      <c r="CZ2016" s="165"/>
    </row>
    <row r="2017" spans="1:104">
      <c r="A2017" s="149"/>
      <c r="B2017" s="149"/>
      <c r="C2017" s="150"/>
      <c r="D2017" s="102"/>
      <c r="E2017" s="149"/>
      <c r="F2017" s="149"/>
      <c r="G2017" s="149"/>
      <c r="H2017" s="149"/>
      <c r="I2017" s="149"/>
      <c r="J2017" s="149"/>
      <c r="K2017" s="149"/>
      <c r="L2017" s="149"/>
      <c r="M2017" s="149"/>
      <c r="N2017" s="149"/>
      <c r="O2017" s="149"/>
      <c r="P2017" s="149"/>
      <c r="Q2017" s="149"/>
      <c r="R2017" s="149"/>
      <c r="S2017" s="149"/>
      <c r="T2017" s="149"/>
      <c r="U2017" s="149"/>
      <c r="V2017" s="149"/>
      <c r="W2017" s="149"/>
      <c r="X2017" s="149"/>
      <c r="Y2017" s="149"/>
      <c r="Z2017" s="149"/>
      <c r="AA2017" s="149"/>
      <c r="AB2017" s="149"/>
      <c r="AC2017" s="149"/>
      <c r="AD2017" s="149"/>
      <c r="AE2017" s="149"/>
      <c r="AF2017" s="149"/>
      <c r="AG2017" s="149"/>
      <c r="AH2017" s="149"/>
      <c r="AI2017" s="149"/>
      <c r="AJ2017" s="149"/>
      <c r="AK2017" s="149"/>
      <c r="AL2017" s="149"/>
      <c r="AM2017" s="149"/>
      <c r="AN2017" s="149"/>
      <c r="AO2017" s="128"/>
      <c r="AP2017" s="128"/>
      <c r="AQ2017" s="128"/>
      <c r="AR2017" s="128"/>
      <c r="AS2017" s="128"/>
      <c r="AT2017" s="128"/>
      <c r="AU2017" s="128"/>
      <c r="AV2017" s="128"/>
      <c r="AW2017" s="128"/>
      <c r="AX2017" s="128"/>
      <c r="AY2017" s="128"/>
      <c r="AZ2017" s="128"/>
      <c r="BA2017" s="128"/>
      <c r="BB2017" s="128"/>
      <c r="BC2017" s="128"/>
      <c r="BD2017" s="128"/>
      <c r="BE2017" s="128"/>
      <c r="BF2017" s="128"/>
      <c r="BG2017" s="128"/>
      <c r="BH2017" s="128"/>
      <c r="BI2017" s="128"/>
      <c r="BJ2017" s="128"/>
      <c r="BK2017" s="128"/>
      <c r="BL2017" s="128"/>
      <c r="BM2017" s="151"/>
      <c r="BN2017" s="128"/>
      <c r="BO2017" s="128"/>
      <c r="BP2017" s="128"/>
      <c r="BQ2017" s="128"/>
      <c r="BR2017" s="128"/>
      <c r="BS2017" s="128"/>
      <c r="BT2017" s="128"/>
      <c r="BU2017" s="128"/>
      <c r="BV2017" s="128"/>
      <c r="BW2017" s="128"/>
      <c r="BX2017" s="128"/>
      <c r="BY2017" s="128"/>
      <c r="BZ2017" s="128"/>
      <c r="CA2017" s="128"/>
      <c r="CB2017" s="128"/>
      <c r="CC2017" s="128"/>
      <c r="CD2017" s="128"/>
      <c r="CE2017" s="128"/>
      <c r="CF2017" s="128"/>
      <c r="CG2017" s="128"/>
      <c r="CI2017" s="128"/>
      <c r="CJ2017" s="128"/>
      <c r="CK2017" s="128"/>
      <c r="CL2017" s="128"/>
      <c r="CM2017" s="128"/>
      <c r="CN2017" s="128"/>
      <c r="CO2017" s="128"/>
      <c r="CP2017" s="128"/>
      <c r="CQ2017" s="128"/>
      <c r="CR2017" s="128"/>
      <c r="CS2017" s="128"/>
      <c r="CT2017" s="128"/>
      <c r="CU2017" s="128"/>
      <c r="CV2017" s="128"/>
      <c r="CW2017" s="128"/>
      <c r="CX2017" s="128"/>
      <c r="CY2017" s="128"/>
      <c r="CZ2017" s="165"/>
    </row>
    <row r="2018" spans="1:104">
      <c r="A2018" s="149"/>
      <c r="B2018" s="149"/>
      <c r="C2018" s="150"/>
      <c r="D2018" s="102"/>
      <c r="E2018" s="149"/>
      <c r="F2018" s="149"/>
      <c r="G2018" s="149"/>
      <c r="H2018" s="149"/>
      <c r="I2018" s="149"/>
      <c r="J2018" s="149"/>
      <c r="K2018" s="149"/>
      <c r="L2018" s="149"/>
      <c r="M2018" s="149"/>
      <c r="N2018" s="149"/>
      <c r="O2018" s="149"/>
      <c r="P2018" s="149"/>
      <c r="Q2018" s="149"/>
      <c r="R2018" s="149"/>
      <c r="S2018" s="149"/>
      <c r="T2018" s="149"/>
      <c r="U2018" s="149"/>
      <c r="V2018" s="149"/>
      <c r="W2018" s="149"/>
      <c r="X2018" s="149"/>
      <c r="Y2018" s="149"/>
      <c r="Z2018" s="149"/>
      <c r="AA2018" s="149"/>
      <c r="AB2018" s="149"/>
      <c r="AC2018" s="149"/>
      <c r="AD2018" s="149"/>
      <c r="AE2018" s="149"/>
      <c r="AF2018" s="149"/>
      <c r="AG2018" s="149"/>
      <c r="AH2018" s="149"/>
      <c r="AI2018" s="149"/>
      <c r="AJ2018" s="149"/>
      <c r="AK2018" s="149"/>
      <c r="AL2018" s="149"/>
      <c r="AM2018" s="149"/>
      <c r="AN2018" s="149"/>
      <c r="AO2018" s="128"/>
      <c r="AP2018" s="128"/>
      <c r="AQ2018" s="128"/>
      <c r="AR2018" s="128"/>
      <c r="AS2018" s="128"/>
      <c r="AT2018" s="128"/>
      <c r="AU2018" s="128"/>
      <c r="AV2018" s="128"/>
      <c r="AW2018" s="128"/>
      <c r="AX2018" s="128"/>
      <c r="AY2018" s="128"/>
      <c r="AZ2018" s="128"/>
      <c r="BA2018" s="128"/>
      <c r="BB2018" s="128"/>
      <c r="BC2018" s="128"/>
      <c r="BD2018" s="128"/>
      <c r="BE2018" s="128"/>
      <c r="BF2018" s="128"/>
      <c r="BG2018" s="128"/>
      <c r="BH2018" s="128"/>
      <c r="BI2018" s="128"/>
      <c r="BJ2018" s="128"/>
      <c r="BK2018" s="128"/>
      <c r="BL2018" s="128"/>
      <c r="BM2018" s="151"/>
      <c r="BN2018" s="128"/>
      <c r="BO2018" s="128"/>
      <c r="BP2018" s="128"/>
      <c r="BQ2018" s="128"/>
      <c r="BR2018" s="128"/>
      <c r="BS2018" s="128"/>
      <c r="BT2018" s="128"/>
      <c r="BU2018" s="128"/>
      <c r="BV2018" s="128"/>
      <c r="BW2018" s="128"/>
      <c r="BX2018" s="128"/>
      <c r="BY2018" s="128"/>
      <c r="BZ2018" s="128"/>
      <c r="CA2018" s="128"/>
      <c r="CB2018" s="128"/>
      <c r="CC2018" s="128"/>
      <c r="CD2018" s="128"/>
      <c r="CE2018" s="128"/>
      <c r="CF2018" s="128"/>
      <c r="CG2018" s="128"/>
      <c r="CI2018" s="128"/>
      <c r="CJ2018" s="128"/>
      <c r="CK2018" s="128"/>
      <c r="CL2018" s="128"/>
      <c r="CM2018" s="128"/>
      <c r="CN2018" s="128"/>
      <c r="CO2018" s="128"/>
      <c r="CP2018" s="128"/>
      <c r="CQ2018" s="128"/>
      <c r="CR2018" s="128"/>
      <c r="CS2018" s="128"/>
      <c r="CT2018" s="128"/>
      <c r="CU2018" s="128"/>
      <c r="CV2018" s="128"/>
      <c r="CW2018" s="128"/>
      <c r="CX2018" s="128"/>
      <c r="CY2018" s="128"/>
      <c r="CZ2018" s="165"/>
    </row>
    <row r="2019" spans="1:104">
      <c r="A2019" s="149"/>
      <c r="B2019" s="149"/>
      <c r="C2019" s="150"/>
      <c r="D2019" s="102"/>
      <c r="E2019" s="149"/>
      <c r="F2019" s="149"/>
      <c r="G2019" s="149"/>
      <c r="H2019" s="149"/>
      <c r="I2019" s="149"/>
      <c r="J2019" s="149"/>
      <c r="K2019" s="149"/>
      <c r="L2019" s="149"/>
      <c r="M2019" s="149"/>
      <c r="N2019" s="149"/>
      <c r="O2019" s="149"/>
      <c r="P2019" s="149"/>
      <c r="Q2019" s="149"/>
      <c r="R2019" s="149"/>
      <c r="S2019" s="149"/>
      <c r="T2019" s="149"/>
      <c r="U2019" s="149"/>
      <c r="V2019" s="149"/>
      <c r="W2019" s="149"/>
      <c r="X2019" s="149"/>
      <c r="Y2019" s="149"/>
      <c r="Z2019" s="149"/>
      <c r="AA2019" s="149"/>
      <c r="AB2019" s="149"/>
      <c r="AC2019" s="149"/>
      <c r="AD2019" s="149"/>
      <c r="AE2019" s="149"/>
      <c r="AF2019" s="149"/>
      <c r="AG2019" s="149"/>
      <c r="AH2019" s="149"/>
      <c r="AI2019" s="149"/>
      <c r="AJ2019" s="149"/>
      <c r="AK2019" s="149"/>
      <c r="AL2019" s="149"/>
      <c r="AM2019" s="149"/>
      <c r="AN2019" s="149"/>
      <c r="AO2019" s="128"/>
      <c r="AP2019" s="128"/>
      <c r="AQ2019" s="128"/>
      <c r="AR2019" s="128"/>
      <c r="AS2019" s="128"/>
      <c r="AT2019" s="128"/>
      <c r="AU2019" s="128"/>
      <c r="AV2019" s="128"/>
      <c r="AW2019" s="128"/>
      <c r="AX2019" s="128"/>
      <c r="AY2019" s="128"/>
      <c r="AZ2019" s="128"/>
      <c r="BA2019" s="128"/>
      <c r="BB2019" s="128"/>
      <c r="BC2019" s="128"/>
      <c r="BD2019" s="128"/>
      <c r="BE2019" s="128"/>
      <c r="BF2019" s="128"/>
      <c r="BG2019" s="128"/>
      <c r="BH2019" s="128"/>
      <c r="BI2019" s="128"/>
      <c r="BJ2019" s="128"/>
      <c r="BK2019" s="128"/>
      <c r="BL2019" s="128"/>
      <c r="BM2019" s="151"/>
      <c r="BN2019" s="128"/>
      <c r="BO2019" s="128"/>
      <c r="BP2019" s="128"/>
      <c r="BQ2019" s="128"/>
      <c r="BR2019" s="128"/>
      <c r="BS2019" s="128"/>
      <c r="BT2019" s="128"/>
      <c r="BU2019" s="128"/>
      <c r="BV2019" s="128"/>
      <c r="BW2019" s="128"/>
      <c r="BX2019" s="128"/>
      <c r="BY2019" s="128"/>
      <c r="BZ2019" s="128"/>
      <c r="CA2019" s="128"/>
      <c r="CB2019" s="128"/>
      <c r="CC2019" s="128"/>
      <c r="CD2019" s="128"/>
      <c r="CE2019" s="128"/>
      <c r="CF2019" s="128"/>
      <c r="CG2019" s="128"/>
      <c r="CI2019" s="128"/>
      <c r="CJ2019" s="128"/>
      <c r="CK2019" s="128"/>
      <c r="CL2019" s="128"/>
      <c r="CM2019" s="128"/>
      <c r="CN2019" s="128"/>
      <c r="CO2019" s="128"/>
      <c r="CP2019" s="128"/>
      <c r="CQ2019" s="128"/>
      <c r="CR2019" s="128"/>
      <c r="CS2019" s="128"/>
      <c r="CT2019" s="128"/>
      <c r="CU2019" s="128"/>
      <c r="CV2019" s="128"/>
      <c r="CW2019" s="128"/>
      <c r="CX2019" s="128"/>
      <c r="CY2019" s="128"/>
      <c r="CZ2019" s="165"/>
    </row>
    <row r="2020" spans="1:104">
      <c r="A2020" s="149"/>
      <c r="B2020" s="149"/>
      <c r="C2020" s="150"/>
      <c r="D2020" s="102"/>
      <c r="E2020" s="149"/>
      <c r="F2020" s="149"/>
      <c r="G2020" s="149"/>
      <c r="H2020" s="149"/>
      <c r="I2020" s="149"/>
      <c r="J2020" s="149"/>
      <c r="K2020" s="149"/>
      <c r="L2020" s="149"/>
      <c r="M2020" s="149"/>
      <c r="N2020" s="149"/>
      <c r="O2020" s="149"/>
      <c r="P2020" s="149"/>
      <c r="Q2020" s="149"/>
      <c r="R2020" s="149"/>
      <c r="S2020" s="149"/>
      <c r="T2020" s="149"/>
      <c r="U2020" s="149"/>
      <c r="V2020" s="149"/>
      <c r="W2020" s="149"/>
      <c r="X2020" s="149"/>
      <c r="Y2020" s="149"/>
      <c r="Z2020" s="149"/>
      <c r="AA2020" s="149"/>
      <c r="AB2020" s="149"/>
      <c r="AC2020" s="149"/>
      <c r="AD2020" s="149"/>
      <c r="AE2020" s="149"/>
      <c r="AF2020" s="149"/>
      <c r="AG2020" s="149"/>
      <c r="AH2020" s="149"/>
      <c r="AI2020" s="149"/>
      <c r="AJ2020" s="149"/>
      <c r="AK2020" s="149"/>
      <c r="AL2020" s="149"/>
      <c r="AM2020" s="149"/>
      <c r="AN2020" s="149"/>
      <c r="AO2020" s="128"/>
      <c r="AP2020" s="128"/>
      <c r="AQ2020" s="128"/>
      <c r="AR2020" s="128"/>
      <c r="AS2020" s="128"/>
      <c r="AT2020" s="128"/>
      <c r="AU2020" s="128"/>
      <c r="AV2020" s="128"/>
      <c r="AW2020" s="128"/>
      <c r="AX2020" s="128"/>
      <c r="AY2020" s="128"/>
      <c r="AZ2020" s="128"/>
      <c r="BA2020" s="128"/>
      <c r="BB2020" s="128"/>
      <c r="BC2020" s="128"/>
      <c r="BD2020" s="128"/>
      <c r="BE2020" s="128"/>
      <c r="BF2020" s="128"/>
      <c r="BG2020" s="128"/>
      <c r="BH2020" s="128"/>
      <c r="BI2020" s="128"/>
      <c r="BJ2020" s="128"/>
      <c r="BK2020" s="128"/>
      <c r="BL2020" s="128"/>
      <c r="BM2020" s="151"/>
      <c r="BN2020" s="128"/>
      <c r="BO2020" s="128"/>
      <c r="BP2020" s="128"/>
      <c r="BQ2020" s="128"/>
      <c r="BR2020" s="128"/>
      <c r="BS2020" s="128"/>
      <c r="BT2020" s="128"/>
      <c r="BU2020" s="128"/>
      <c r="BV2020" s="128"/>
      <c r="BW2020" s="128"/>
      <c r="BX2020" s="128"/>
      <c r="BY2020" s="128"/>
      <c r="BZ2020" s="128"/>
      <c r="CA2020" s="128"/>
      <c r="CB2020" s="128"/>
      <c r="CC2020" s="128"/>
      <c r="CD2020" s="128"/>
      <c r="CE2020" s="128"/>
      <c r="CF2020" s="128"/>
      <c r="CG2020" s="128"/>
      <c r="CI2020" s="128"/>
      <c r="CJ2020" s="128"/>
      <c r="CK2020" s="128"/>
      <c r="CL2020" s="128"/>
      <c r="CM2020" s="128"/>
      <c r="CN2020" s="128"/>
      <c r="CO2020" s="128"/>
      <c r="CP2020" s="128"/>
      <c r="CQ2020" s="128"/>
      <c r="CR2020" s="128"/>
      <c r="CS2020" s="128"/>
      <c r="CT2020" s="128"/>
      <c r="CU2020" s="128"/>
      <c r="CV2020" s="128"/>
      <c r="CW2020" s="128"/>
      <c r="CX2020" s="128"/>
      <c r="CY2020" s="128"/>
      <c r="CZ2020" s="165"/>
    </row>
    <row r="2021" spans="1:104">
      <c r="A2021" s="149"/>
      <c r="B2021" s="149"/>
      <c r="C2021" s="150"/>
      <c r="D2021" s="102"/>
      <c r="E2021" s="149"/>
      <c r="F2021" s="149"/>
      <c r="G2021" s="149"/>
      <c r="H2021" s="149"/>
      <c r="I2021" s="149"/>
      <c r="J2021" s="149"/>
      <c r="K2021" s="149"/>
      <c r="L2021" s="149"/>
      <c r="M2021" s="149"/>
      <c r="N2021" s="149"/>
      <c r="O2021" s="149"/>
      <c r="P2021" s="149"/>
      <c r="Q2021" s="149"/>
      <c r="R2021" s="149"/>
      <c r="S2021" s="149"/>
      <c r="T2021" s="149"/>
      <c r="U2021" s="149"/>
      <c r="V2021" s="149"/>
      <c r="W2021" s="149"/>
      <c r="X2021" s="149"/>
      <c r="Y2021" s="149"/>
      <c r="Z2021" s="149"/>
      <c r="AA2021" s="149"/>
      <c r="AB2021" s="149"/>
      <c r="AC2021" s="149"/>
      <c r="AD2021" s="149"/>
      <c r="AE2021" s="149"/>
      <c r="AF2021" s="149"/>
      <c r="AG2021" s="149"/>
      <c r="AH2021" s="149"/>
      <c r="AI2021" s="149"/>
      <c r="AJ2021" s="149"/>
      <c r="AK2021" s="149"/>
      <c r="AL2021" s="149"/>
      <c r="AM2021" s="149"/>
      <c r="AN2021" s="149"/>
      <c r="AO2021" s="128"/>
      <c r="AP2021" s="128"/>
      <c r="AQ2021" s="128"/>
      <c r="AR2021" s="128"/>
      <c r="AS2021" s="128"/>
      <c r="AT2021" s="128"/>
      <c r="AU2021" s="128"/>
      <c r="AV2021" s="128"/>
      <c r="AW2021" s="128"/>
      <c r="AX2021" s="128"/>
      <c r="AY2021" s="128"/>
      <c r="AZ2021" s="128"/>
      <c r="BA2021" s="128"/>
      <c r="BB2021" s="128"/>
      <c r="BC2021" s="128"/>
      <c r="BD2021" s="128"/>
      <c r="BE2021" s="128"/>
      <c r="BF2021" s="128"/>
      <c r="BG2021" s="128"/>
      <c r="BH2021" s="128"/>
      <c r="BI2021" s="128"/>
      <c r="BJ2021" s="128"/>
      <c r="BK2021" s="128"/>
      <c r="BL2021" s="128"/>
      <c r="BM2021" s="151"/>
      <c r="BN2021" s="128"/>
      <c r="BO2021" s="128"/>
      <c r="BP2021" s="128"/>
      <c r="BQ2021" s="128"/>
      <c r="BR2021" s="128"/>
      <c r="BS2021" s="128"/>
      <c r="BT2021" s="128"/>
      <c r="BU2021" s="128"/>
      <c r="BV2021" s="128"/>
      <c r="BW2021" s="128"/>
      <c r="BX2021" s="128"/>
      <c r="BY2021" s="128"/>
      <c r="BZ2021" s="128"/>
      <c r="CA2021" s="128"/>
      <c r="CB2021" s="128"/>
      <c r="CC2021" s="128"/>
      <c r="CD2021" s="128"/>
      <c r="CE2021" s="128"/>
      <c r="CF2021" s="128"/>
      <c r="CG2021" s="128"/>
      <c r="CI2021" s="128"/>
      <c r="CJ2021" s="128"/>
      <c r="CK2021" s="128"/>
      <c r="CL2021" s="128"/>
      <c r="CM2021" s="128"/>
      <c r="CN2021" s="128"/>
      <c r="CO2021" s="128"/>
      <c r="CP2021" s="128"/>
      <c r="CQ2021" s="128"/>
      <c r="CR2021" s="128"/>
      <c r="CS2021" s="128"/>
      <c r="CT2021" s="128"/>
      <c r="CU2021" s="128"/>
      <c r="CV2021" s="128"/>
      <c r="CW2021" s="128"/>
      <c r="CX2021" s="128"/>
      <c r="CY2021" s="128"/>
      <c r="CZ2021" s="165"/>
    </row>
    <row r="2022" spans="1:104">
      <c r="A2022" s="149"/>
      <c r="B2022" s="149"/>
      <c r="C2022" s="150"/>
      <c r="D2022" s="102"/>
      <c r="E2022" s="149"/>
      <c r="F2022" s="149"/>
      <c r="G2022" s="149"/>
      <c r="H2022" s="149"/>
      <c r="I2022" s="149"/>
      <c r="J2022" s="149"/>
      <c r="K2022" s="149"/>
      <c r="L2022" s="149"/>
      <c r="M2022" s="149"/>
      <c r="N2022" s="149"/>
      <c r="O2022" s="149"/>
      <c r="P2022" s="149"/>
      <c r="Q2022" s="149"/>
      <c r="R2022" s="149"/>
      <c r="S2022" s="149"/>
      <c r="T2022" s="149"/>
      <c r="U2022" s="149"/>
      <c r="V2022" s="149"/>
      <c r="W2022" s="149"/>
      <c r="X2022" s="149"/>
      <c r="Y2022" s="149"/>
      <c r="Z2022" s="149"/>
      <c r="AA2022" s="149"/>
      <c r="AB2022" s="149"/>
      <c r="AC2022" s="149"/>
      <c r="AD2022" s="149"/>
      <c r="AE2022" s="149"/>
      <c r="AF2022" s="149"/>
      <c r="AG2022" s="149"/>
      <c r="AH2022" s="149"/>
      <c r="AI2022" s="149"/>
      <c r="AJ2022" s="149"/>
      <c r="AK2022" s="149"/>
      <c r="AL2022" s="149"/>
      <c r="AM2022" s="149"/>
      <c r="AN2022" s="149"/>
      <c r="AO2022" s="128"/>
      <c r="AP2022" s="128"/>
      <c r="AQ2022" s="128"/>
      <c r="AR2022" s="128"/>
      <c r="AS2022" s="128"/>
      <c r="AT2022" s="128"/>
      <c r="AU2022" s="128"/>
      <c r="AV2022" s="128"/>
      <c r="AW2022" s="128"/>
      <c r="AX2022" s="128"/>
      <c r="AY2022" s="128"/>
      <c r="AZ2022" s="128"/>
      <c r="BA2022" s="128"/>
      <c r="BB2022" s="128"/>
      <c r="BC2022" s="128"/>
      <c r="BD2022" s="128"/>
      <c r="BE2022" s="128"/>
      <c r="BF2022" s="128"/>
      <c r="BG2022" s="128"/>
      <c r="BH2022" s="128"/>
      <c r="BI2022" s="128"/>
      <c r="BJ2022" s="128"/>
      <c r="BK2022" s="128"/>
      <c r="BL2022" s="128"/>
      <c r="BM2022" s="151"/>
      <c r="BN2022" s="128"/>
      <c r="BO2022" s="128"/>
      <c r="BP2022" s="128"/>
      <c r="BQ2022" s="128"/>
      <c r="BR2022" s="128"/>
      <c r="BS2022" s="128"/>
      <c r="BT2022" s="128"/>
      <c r="BU2022" s="128"/>
      <c r="BV2022" s="128"/>
      <c r="BW2022" s="128"/>
      <c r="BX2022" s="128"/>
      <c r="BY2022" s="128"/>
      <c r="BZ2022" s="128"/>
      <c r="CA2022" s="128"/>
      <c r="CB2022" s="128"/>
      <c r="CC2022" s="128"/>
      <c r="CD2022" s="128"/>
      <c r="CE2022" s="128"/>
      <c r="CF2022" s="128"/>
      <c r="CG2022" s="128"/>
      <c r="CI2022" s="128"/>
      <c r="CJ2022" s="128"/>
      <c r="CK2022" s="128"/>
      <c r="CL2022" s="128"/>
      <c r="CM2022" s="128"/>
      <c r="CN2022" s="128"/>
      <c r="CO2022" s="128"/>
      <c r="CP2022" s="128"/>
      <c r="CQ2022" s="128"/>
      <c r="CR2022" s="128"/>
      <c r="CS2022" s="128"/>
      <c r="CT2022" s="128"/>
      <c r="CU2022" s="128"/>
      <c r="CV2022" s="128"/>
      <c r="CW2022" s="128"/>
      <c r="CX2022" s="128"/>
      <c r="CY2022" s="128"/>
      <c r="CZ2022" s="165"/>
    </row>
    <row r="2023" spans="1:104">
      <c r="A2023" s="149"/>
      <c r="B2023" s="149"/>
      <c r="C2023" s="150"/>
      <c r="D2023" s="102"/>
      <c r="E2023" s="149"/>
      <c r="F2023" s="149"/>
      <c r="G2023" s="149"/>
      <c r="H2023" s="149"/>
      <c r="I2023" s="149"/>
      <c r="J2023" s="149"/>
      <c r="K2023" s="149"/>
      <c r="L2023" s="149"/>
      <c r="M2023" s="149"/>
      <c r="N2023" s="149"/>
      <c r="O2023" s="149"/>
      <c r="P2023" s="149"/>
      <c r="Q2023" s="149"/>
      <c r="R2023" s="149"/>
      <c r="S2023" s="149"/>
      <c r="T2023" s="149"/>
      <c r="U2023" s="149"/>
      <c r="V2023" s="149"/>
      <c r="W2023" s="149"/>
      <c r="X2023" s="149"/>
      <c r="Y2023" s="149"/>
      <c r="Z2023" s="149"/>
      <c r="AA2023" s="149"/>
      <c r="AB2023" s="149"/>
      <c r="AC2023" s="149"/>
      <c r="AD2023" s="149"/>
      <c r="AE2023" s="149"/>
      <c r="AF2023" s="149"/>
      <c r="AG2023" s="149"/>
      <c r="AH2023" s="149"/>
      <c r="AI2023" s="149"/>
      <c r="AJ2023" s="149"/>
      <c r="AK2023" s="149"/>
      <c r="AL2023" s="149"/>
      <c r="AM2023" s="149"/>
      <c r="AN2023" s="149"/>
      <c r="AO2023" s="128"/>
      <c r="AP2023" s="128"/>
      <c r="AQ2023" s="128"/>
      <c r="AR2023" s="128"/>
      <c r="AS2023" s="128"/>
      <c r="AT2023" s="128"/>
      <c r="AU2023" s="128"/>
      <c r="AV2023" s="128"/>
      <c r="AW2023" s="128"/>
      <c r="AX2023" s="128"/>
      <c r="AY2023" s="128"/>
      <c r="AZ2023" s="128"/>
      <c r="BA2023" s="128"/>
      <c r="BB2023" s="128"/>
      <c r="BC2023" s="128"/>
      <c r="BD2023" s="128"/>
      <c r="BE2023" s="128"/>
      <c r="BF2023" s="128"/>
      <c r="BG2023" s="128"/>
      <c r="BH2023" s="128"/>
      <c r="BI2023" s="128"/>
      <c r="BJ2023" s="128"/>
      <c r="BK2023" s="128"/>
      <c r="BL2023" s="128"/>
      <c r="BM2023" s="151"/>
      <c r="BN2023" s="128"/>
      <c r="BO2023" s="128"/>
      <c r="BP2023" s="128"/>
      <c r="BQ2023" s="128"/>
      <c r="BR2023" s="128"/>
      <c r="BS2023" s="128"/>
      <c r="BT2023" s="128"/>
      <c r="BU2023" s="128"/>
      <c r="BV2023" s="128"/>
      <c r="BW2023" s="128"/>
      <c r="BX2023" s="128"/>
      <c r="BY2023" s="128"/>
      <c r="BZ2023" s="128"/>
      <c r="CA2023" s="128"/>
      <c r="CB2023" s="128"/>
      <c r="CC2023" s="128"/>
      <c r="CD2023" s="128"/>
      <c r="CE2023" s="128"/>
      <c r="CF2023" s="128"/>
      <c r="CG2023" s="128"/>
      <c r="CI2023" s="128"/>
      <c r="CJ2023" s="128"/>
      <c r="CK2023" s="128"/>
      <c r="CL2023" s="128"/>
      <c r="CM2023" s="128"/>
      <c r="CN2023" s="128"/>
      <c r="CO2023" s="128"/>
      <c r="CP2023" s="128"/>
      <c r="CQ2023" s="128"/>
      <c r="CR2023" s="128"/>
      <c r="CS2023" s="128"/>
      <c r="CT2023" s="128"/>
      <c r="CU2023" s="128"/>
      <c r="CV2023" s="128"/>
      <c r="CW2023" s="128"/>
      <c r="CX2023" s="128"/>
      <c r="CY2023" s="128"/>
      <c r="CZ2023" s="165"/>
    </row>
    <row r="2024" spans="1:104">
      <c r="A2024" s="149"/>
      <c r="B2024" s="149"/>
      <c r="C2024" s="150"/>
      <c r="D2024" s="102"/>
      <c r="E2024" s="149"/>
      <c r="F2024" s="149"/>
      <c r="G2024" s="149"/>
      <c r="H2024" s="149"/>
      <c r="I2024" s="149"/>
      <c r="J2024" s="149"/>
      <c r="K2024" s="149"/>
      <c r="L2024" s="149"/>
      <c r="M2024" s="149"/>
      <c r="N2024" s="149"/>
      <c r="O2024" s="149"/>
      <c r="P2024" s="149"/>
      <c r="Q2024" s="149"/>
      <c r="R2024" s="149"/>
      <c r="S2024" s="149"/>
      <c r="T2024" s="149"/>
      <c r="U2024" s="149"/>
      <c r="V2024" s="149"/>
      <c r="W2024" s="149"/>
      <c r="X2024" s="149"/>
      <c r="Y2024" s="149"/>
      <c r="Z2024" s="149"/>
      <c r="AA2024" s="149"/>
      <c r="AB2024" s="149"/>
      <c r="AC2024" s="149"/>
      <c r="AD2024" s="149"/>
      <c r="AE2024" s="149"/>
      <c r="AF2024" s="149"/>
      <c r="AG2024" s="149"/>
      <c r="AH2024" s="149"/>
      <c r="AI2024" s="149"/>
      <c r="AJ2024" s="149"/>
      <c r="AK2024" s="149"/>
      <c r="AL2024" s="149"/>
      <c r="AM2024" s="149"/>
      <c r="AN2024" s="149"/>
      <c r="AO2024" s="128"/>
      <c r="AP2024" s="128"/>
      <c r="AQ2024" s="128"/>
      <c r="AR2024" s="128"/>
      <c r="AS2024" s="128"/>
      <c r="AT2024" s="128"/>
      <c r="AU2024" s="128"/>
      <c r="AV2024" s="128"/>
      <c r="AW2024" s="128"/>
      <c r="AX2024" s="128"/>
      <c r="AY2024" s="128"/>
      <c r="AZ2024" s="128"/>
      <c r="BA2024" s="128"/>
      <c r="BB2024" s="128"/>
      <c r="BC2024" s="128"/>
      <c r="BD2024" s="128"/>
      <c r="BE2024" s="128"/>
      <c r="BF2024" s="128"/>
      <c r="BG2024" s="128"/>
      <c r="BH2024" s="128"/>
      <c r="BI2024" s="128"/>
      <c r="BJ2024" s="128"/>
      <c r="BK2024" s="128"/>
      <c r="BL2024" s="128"/>
      <c r="BM2024" s="151"/>
      <c r="BN2024" s="128"/>
      <c r="BO2024" s="128"/>
      <c r="BP2024" s="128"/>
      <c r="BQ2024" s="128"/>
      <c r="BR2024" s="128"/>
      <c r="BS2024" s="128"/>
      <c r="BT2024" s="128"/>
      <c r="BU2024" s="128"/>
      <c r="BV2024" s="128"/>
      <c r="BW2024" s="128"/>
      <c r="BX2024" s="128"/>
      <c r="BY2024" s="128"/>
      <c r="BZ2024" s="128"/>
      <c r="CA2024" s="128"/>
      <c r="CB2024" s="128"/>
      <c r="CC2024" s="128"/>
      <c r="CD2024" s="128"/>
      <c r="CE2024" s="128"/>
      <c r="CF2024" s="128"/>
      <c r="CG2024" s="128"/>
      <c r="CI2024" s="128"/>
      <c r="CJ2024" s="128"/>
      <c r="CK2024" s="128"/>
      <c r="CL2024" s="128"/>
      <c r="CM2024" s="128"/>
      <c r="CN2024" s="128"/>
      <c r="CO2024" s="128"/>
      <c r="CP2024" s="128"/>
      <c r="CQ2024" s="128"/>
      <c r="CR2024" s="128"/>
      <c r="CS2024" s="128"/>
      <c r="CT2024" s="128"/>
      <c r="CU2024" s="128"/>
      <c r="CV2024" s="128"/>
      <c r="CW2024" s="128"/>
      <c r="CX2024" s="128"/>
      <c r="CY2024" s="128"/>
      <c r="CZ2024" s="165"/>
    </row>
    <row r="2025" spans="1:104">
      <c r="A2025" s="149"/>
      <c r="B2025" s="149"/>
      <c r="C2025" s="150"/>
      <c r="D2025" s="102"/>
      <c r="E2025" s="149"/>
      <c r="F2025" s="149"/>
      <c r="G2025" s="149"/>
      <c r="H2025" s="149"/>
      <c r="I2025" s="149"/>
      <c r="J2025" s="149"/>
      <c r="K2025" s="149"/>
      <c r="L2025" s="149"/>
      <c r="M2025" s="149"/>
      <c r="N2025" s="149"/>
      <c r="O2025" s="149"/>
      <c r="P2025" s="149"/>
      <c r="Q2025" s="149"/>
      <c r="R2025" s="149"/>
      <c r="S2025" s="149"/>
      <c r="T2025" s="149"/>
      <c r="U2025" s="149"/>
      <c r="V2025" s="149"/>
      <c r="W2025" s="149"/>
      <c r="X2025" s="149"/>
      <c r="Y2025" s="149"/>
      <c r="Z2025" s="149"/>
      <c r="AA2025" s="149"/>
      <c r="AB2025" s="149"/>
      <c r="AC2025" s="149"/>
      <c r="AD2025" s="149"/>
      <c r="AE2025" s="149"/>
      <c r="AF2025" s="149"/>
      <c r="AG2025" s="149"/>
      <c r="AH2025" s="149"/>
      <c r="AI2025" s="149"/>
      <c r="AJ2025" s="149"/>
      <c r="AK2025" s="149"/>
      <c r="AL2025" s="149"/>
      <c r="AM2025" s="149"/>
      <c r="AN2025" s="149"/>
      <c r="AO2025" s="128"/>
      <c r="AP2025" s="128"/>
      <c r="AQ2025" s="128"/>
      <c r="AR2025" s="128"/>
      <c r="AS2025" s="128"/>
      <c r="AT2025" s="128"/>
      <c r="AU2025" s="128"/>
      <c r="AV2025" s="128"/>
      <c r="AW2025" s="128"/>
      <c r="AX2025" s="128"/>
      <c r="AY2025" s="128"/>
      <c r="AZ2025" s="128"/>
      <c r="BA2025" s="128"/>
      <c r="BB2025" s="128"/>
      <c r="BC2025" s="128"/>
      <c r="BD2025" s="128"/>
      <c r="BE2025" s="128"/>
      <c r="BF2025" s="128"/>
      <c r="BG2025" s="128"/>
      <c r="BH2025" s="128"/>
      <c r="BI2025" s="128"/>
      <c r="BJ2025" s="128"/>
      <c r="BK2025" s="128"/>
      <c r="BL2025" s="128"/>
      <c r="BM2025" s="151"/>
      <c r="BN2025" s="128"/>
      <c r="BO2025" s="128"/>
      <c r="BP2025" s="128"/>
      <c r="BQ2025" s="128"/>
      <c r="BR2025" s="128"/>
      <c r="BS2025" s="128"/>
      <c r="BT2025" s="128"/>
      <c r="BU2025" s="128"/>
      <c r="BV2025" s="128"/>
      <c r="BW2025" s="128"/>
      <c r="BX2025" s="128"/>
      <c r="BY2025" s="128"/>
      <c r="BZ2025" s="128"/>
      <c r="CA2025" s="128"/>
      <c r="CB2025" s="128"/>
      <c r="CC2025" s="128"/>
      <c r="CD2025" s="128"/>
      <c r="CE2025" s="128"/>
      <c r="CF2025" s="128"/>
      <c r="CG2025" s="128"/>
      <c r="CI2025" s="128"/>
      <c r="CJ2025" s="128"/>
      <c r="CK2025" s="128"/>
      <c r="CL2025" s="128"/>
      <c r="CM2025" s="128"/>
      <c r="CN2025" s="128"/>
      <c r="CO2025" s="128"/>
      <c r="CP2025" s="128"/>
      <c r="CQ2025" s="128"/>
      <c r="CR2025" s="128"/>
      <c r="CS2025" s="128"/>
      <c r="CT2025" s="128"/>
      <c r="CU2025" s="128"/>
      <c r="CV2025" s="128"/>
      <c r="CW2025" s="128"/>
      <c r="CX2025" s="128"/>
      <c r="CY2025" s="128"/>
      <c r="CZ2025" s="165"/>
    </row>
    <row r="2026" spans="1:104">
      <c r="A2026" s="149"/>
      <c r="B2026" s="149"/>
      <c r="C2026" s="150"/>
      <c r="D2026" s="102"/>
      <c r="E2026" s="149"/>
      <c r="F2026" s="149"/>
      <c r="G2026" s="149"/>
      <c r="H2026" s="149"/>
      <c r="I2026" s="149"/>
      <c r="J2026" s="149"/>
      <c r="K2026" s="149"/>
      <c r="L2026" s="149"/>
      <c r="M2026" s="149"/>
      <c r="N2026" s="149"/>
      <c r="O2026" s="149"/>
      <c r="P2026" s="149"/>
      <c r="Q2026" s="149"/>
      <c r="R2026" s="149"/>
      <c r="S2026" s="149"/>
      <c r="T2026" s="149"/>
      <c r="U2026" s="149"/>
      <c r="V2026" s="149"/>
      <c r="W2026" s="149"/>
      <c r="X2026" s="149"/>
      <c r="Y2026" s="149"/>
      <c r="Z2026" s="149"/>
      <c r="AA2026" s="149"/>
      <c r="AB2026" s="149"/>
      <c r="AC2026" s="149"/>
      <c r="AD2026" s="149"/>
      <c r="AE2026" s="149"/>
      <c r="AF2026" s="149"/>
      <c r="AG2026" s="149"/>
      <c r="AH2026" s="149"/>
      <c r="AI2026" s="149"/>
      <c r="AJ2026" s="149"/>
      <c r="AK2026" s="149"/>
      <c r="AL2026" s="149"/>
      <c r="AM2026" s="149"/>
      <c r="AN2026" s="149"/>
      <c r="AO2026" s="128"/>
      <c r="AP2026" s="128"/>
      <c r="AQ2026" s="128"/>
      <c r="AR2026" s="128"/>
      <c r="AS2026" s="128"/>
      <c r="AT2026" s="128"/>
      <c r="AU2026" s="128"/>
      <c r="AV2026" s="128"/>
      <c r="AW2026" s="128"/>
      <c r="AX2026" s="128"/>
      <c r="AY2026" s="128"/>
      <c r="AZ2026" s="128"/>
      <c r="BA2026" s="128"/>
      <c r="BB2026" s="128"/>
      <c r="BC2026" s="128"/>
      <c r="BD2026" s="128"/>
      <c r="BE2026" s="128"/>
      <c r="BF2026" s="128"/>
      <c r="BG2026" s="128"/>
      <c r="BH2026" s="128"/>
      <c r="BI2026" s="128"/>
      <c r="BJ2026" s="128"/>
      <c r="BK2026" s="128"/>
      <c r="BL2026" s="128"/>
      <c r="BM2026" s="151"/>
      <c r="BN2026" s="128"/>
      <c r="BO2026" s="128"/>
      <c r="BP2026" s="128"/>
      <c r="BQ2026" s="128"/>
      <c r="BR2026" s="128"/>
      <c r="BS2026" s="128"/>
      <c r="BT2026" s="128"/>
      <c r="BU2026" s="128"/>
      <c r="BV2026" s="128"/>
      <c r="BW2026" s="128"/>
      <c r="BX2026" s="128"/>
      <c r="BY2026" s="128"/>
      <c r="BZ2026" s="128"/>
      <c r="CA2026" s="128"/>
      <c r="CB2026" s="128"/>
      <c r="CC2026" s="128"/>
      <c r="CD2026" s="128"/>
      <c r="CE2026" s="128"/>
      <c r="CF2026" s="128"/>
      <c r="CG2026" s="128"/>
      <c r="CI2026" s="128"/>
      <c r="CJ2026" s="128"/>
      <c r="CK2026" s="128"/>
      <c r="CL2026" s="128"/>
      <c r="CM2026" s="128"/>
      <c r="CN2026" s="128"/>
      <c r="CO2026" s="128"/>
      <c r="CP2026" s="128"/>
      <c r="CQ2026" s="128"/>
      <c r="CR2026" s="128"/>
      <c r="CS2026" s="128"/>
      <c r="CT2026" s="128"/>
      <c r="CU2026" s="128"/>
      <c r="CV2026" s="128"/>
      <c r="CW2026" s="128"/>
      <c r="CX2026" s="128"/>
      <c r="CY2026" s="128"/>
      <c r="CZ2026" s="165"/>
    </row>
    <row r="2027" spans="1:104">
      <c r="A2027" s="149"/>
      <c r="B2027" s="149"/>
      <c r="C2027" s="150"/>
      <c r="D2027" s="102"/>
      <c r="E2027" s="149"/>
      <c r="F2027" s="149"/>
      <c r="G2027" s="149"/>
      <c r="H2027" s="149"/>
      <c r="I2027" s="149"/>
      <c r="J2027" s="149"/>
      <c r="K2027" s="149"/>
      <c r="L2027" s="149"/>
      <c r="M2027" s="149"/>
      <c r="N2027" s="149"/>
      <c r="O2027" s="149"/>
      <c r="P2027" s="149"/>
      <c r="Q2027" s="149"/>
      <c r="R2027" s="149"/>
      <c r="S2027" s="149"/>
      <c r="T2027" s="149"/>
      <c r="U2027" s="149"/>
      <c r="V2027" s="149"/>
      <c r="W2027" s="149"/>
      <c r="X2027" s="149"/>
      <c r="Y2027" s="149"/>
      <c r="Z2027" s="149"/>
      <c r="AA2027" s="149"/>
      <c r="AB2027" s="149"/>
      <c r="AC2027" s="149"/>
      <c r="AD2027" s="149"/>
      <c r="AE2027" s="149"/>
      <c r="AF2027" s="149"/>
      <c r="AG2027" s="149"/>
      <c r="AH2027" s="149"/>
      <c r="AI2027" s="149"/>
      <c r="AJ2027" s="149"/>
      <c r="AK2027" s="149"/>
      <c r="AL2027" s="149"/>
      <c r="AM2027" s="149"/>
      <c r="AN2027" s="149"/>
      <c r="AO2027" s="128"/>
      <c r="AP2027" s="128"/>
      <c r="AQ2027" s="128"/>
      <c r="AR2027" s="128"/>
      <c r="AS2027" s="128"/>
      <c r="AT2027" s="128"/>
      <c r="AU2027" s="128"/>
      <c r="AV2027" s="128"/>
      <c r="AW2027" s="128"/>
      <c r="AX2027" s="128"/>
      <c r="AY2027" s="128"/>
      <c r="AZ2027" s="128"/>
      <c r="BA2027" s="128"/>
      <c r="BB2027" s="128"/>
      <c r="BC2027" s="128"/>
      <c r="BD2027" s="128"/>
      <c r="BE2027" s="128"/>
      <c r="BF2027" s="128"/>
      <c r="BG2027" s="128"/>
      <c r="BH2027" s="128"/>
      <c r="BI2027" s="128"/>
      <c r="BJ2027" s="128"/>
      <c r="BK2027" s="128"/>
      <c r="BL2027" s="128"/>
      <c r="BM2027" s="151"/>
      <c r="BN2027" s="128"/>
      <c r="BO2027" s="128"/>
      <c r="BP2027" s="128"/>
      <c r="BQ2027" s="128"/>
      <c r="BR2027" s="128"/>
      <c r="BS2027" s="128"/>
      <c r="BT2027" s="128"/>
      <c r="BU2027" s="128"/>
      <c r="BV2027" s="128"/>
      <c r="BW2027" s="128"/>
      <c r="BX2027" s="128"/>
      <c r="BY2027" s="128"/>
      <c r="BZ2027" s="128"/>
      <c r="CA2027" s="128"/>
      <c r="CB2027" s="128"/>
      <c r="CC2027" s="128"/>
      <c r="CD2027" s="128"/>
      <c r="CE2027" s="128"/>
      <c r="CF2027" s="128"/>
      <c r="CG2027" s="128"/>
      <c r="CI2027" s="128"/>
      <c r="CJ2027" s="128"/>
      <c r="CK2027" s="128"/>
      <c r="CL2027" s="128"/>
      <c r="CM2027" s="128"/>
      <c r="CN2027" s="128"/>
      <c r="CO2027" s="128"/>
      <c r="CP2027" s="128"/>
      <c r="CQ2027" s="128"/>
      <c r="CR2027" s="128"/>
      <c r="CS2027" s="128"/>
      <c r="CT2027" s="128"/>
      <c r="CU2027" s="128"/>
      <c r="CV2027" s="128"/>
      <c r="CW2027" s="128"/>
      <c r="CX2027" s="128"/>
      <c r="CY2027" s="128"/>
      <c r="CZ2027" s="165"/>
    </row>
    <row r="2028" spans="1:104">
      <c r="A2028" s="149"/>
      <c r="B2028" s="149"/>
      <c r="C2028" s="150"/>
      <c r="D2028" s="102"/>
      <c r="E2028" s="149"/>
      <c r="F2028" s="149"/>
      <c r="G2028" s="149"/>
      <c r="H2028" s="149"/>
      <c r="I2028" s="149"/>
      <c r="J2028" s="149"/>
      <c r="K2028" s="149"/>
      <c r="L2028" s="149"/>
      <c r="M2028" s="149"/>
      <c r="N2028" s="149"/>
      <c r="O2028" s="149"/>
      <c r="P2028" s="149"/>
      <c r="Q2028" s="149"/>
      <c r="R2028" s="149"/>
      <c r="S2028" s="149"/>
      <c r="T2028" s="149"/>
      <c r="U2028" s="149"/>
      <c r="V2028" s="149"/>
      <c r="W2028" s="149"/>
      <c r="X2028" s="149"/>
      <c r="Y2028" s="149"/>
      <c r="Z2028" s="149"/>
      <c r="AA2028" s="149"/>
      <c r="AB2028" s="149"/>
      <c r="AC2028" s="149"/>
      <c r="AD2028" s="149"/>
      <c r="AE2028" s="149"/>
      <c r="AF2028" s="149"/>
      <c r="AG2028" s="149"/>
      <c r="AH2028" s="149"/>
      <c r="AI2028" s="149"/>
      <c r="AJ2028" s="149"/>
      <c r="AK2028" s="149"/>
      <c r="AL2028" s="149"/>
      <c r="AM2028" s="149"/>
      <c r="AN2028" s="149"/>
      <c r="AO2028" s="128"/>
      <c r="AP2028" s="128"/>
      <c r="AQ2028" s="128"/>
      <c r="AR2028" s="128"/>
      <c r="AS2028" s="128"/>
      <c r="AT2028" s="128"/>
      <c r="AU2028" s="128"/>
      <c r="AV2028" s="128"/>
      <c r="AW2028" s="128"/>
      <c r="AX2028" s="128"/>
      <c r="AY2028" s="128"/>
      <c r="AZ2028" s="128"/>
      <c r="BA2028" s="128"/>
      <c r="BB2028" s="128"/>
      <c r="BC2028" s="128"/>
      <c r="BD2028" s="128"/>
      <c r="BE2028" s="128"/>
      <c r="BF2028" s="128"/>
      <c r="BG2028" s="128"/>
      <c r="BH2028" s="128"/>
      <c r="BI2028" s="128"/>
      <c r="BJ2028" s="128"/>
      <c r="BK2028" s="128"/>
      <c r="BL2028" s="128"/>
      <c r="BM2028" s="151"/>
      <c r="BN2028" s="128"/>
      <c r="BO2028" s="128"/>
      <c r="BP2028" s="128"/>
      <c r="BQ2028" s="128"/>
      <c r="BR2028" s="128"/>
      <c r="BS2028" s="128"/>
      <c r="BT2028" s="128"/>
      <c r="BU2028" s="128"/>
      <c r="BV2028" s="128"/>
      <c r="BW2028" s="128"/>
      <c r="BX2028" s="128"/>
      <c r="BY2028" s="128"/>
      <c r="BZ2028" s="128"/>
      <c r="CA2028" s="128"/>
      <c r="CB2028" s="128"/>
      <c r="CC2028" s="128"/>
      <c r="CD2028" s="128"/>
      <c r="CE2028" s="128"/>
      <c r="CF2028" s="128"/>
      <c r="CG2028" s="128"/>
      <c r="CI2028" s="128"/>
      <c r="CJ2028" s="128"/>
      <c r="CK2028" s="128"/>
      <c r="CL2028" s="128"/>
      <c r="CM2028" s="128"/>
      <c r="CN2028" s="128"/>
      <c r="CO2028" s="128"/>
      <c r="CP2028" s="128"/>
      <c r="CQ2028" s="128"/>
      <c r="CR2028" s="128"/>
      <c r="CS2028" s="128"/>
      <c r="CT2028" s="128"/>
      <c r="CU2028" s="128"/>
      <c r="CV2028" s="128"/>
      <c r="CW2028" s="128"/>
      <c r="CX2028" s="128"/>
      <c r="CY2028" s="128"/>
      <c r="CZ2028" s="165"/>
    </row>
    <row r="2029" spans="1:104">
      <c r="A2029" s="149"/>
      <c r="B2029" s="149"/>
      <c r="C2029" s="150"/>
      <c r="D2029" s="102"/>
      <c r="E2029" s="149"/>
      <c r="F2029" s="149"/>
      <c r="G2029" s="149"/>
      <c r="H2029" s="149"/>
      <c r="I2029" s="149"/>
      <c r="J2029" s="149"/>
      <c r="K2029" s="149"/>
      <c r="L2029" s="149"/>
      <c r="M2029" s="149"/>
      <c r="N2029" s="149"/>
      <c r="O2029" s="149"/>
      <c r="P2029" s="149"/>
      <c r="Q2029" s="149"/>
      <c r="R2029" s="149"/>
      <c r="S2029" s="149"/>
      <c r="T2029" s="149"/>
      <c r="U2029" s="149"/>
      <c r="V2029" s="149"/>
      <c r="W2029" s="149"/>
      <c r="X2029" s="149"/>
      <c r="Y2029" s="149"/>
      <c r="Z2029" s="149"/>
      <c r="AA2029" s="149"/>
      <c r="AB2029" s="149"/>
      <c r="AC2029" s="149"/>
      <c r="AD2029" s="149"/>
      <c r="AE2029" s="149"/>
      <c r="AF2029" s="149"/>
      <c r="AG2029" s="149"/>
      <c r="AH2029" s="149"/>
      <c r="AI2029" s="149"/>
      <c r="AJ2029" s="149"/>
      <c r="AK2029" s="149"/>
      <c r="AL2029" s="149"/>
      <c r="AM2029" s="149"/>
      <c r="AN2029" s="149"/>
      <c r="AO2029" s="128"/>
      <c r="AP2029" s="128"/>
      <c r="AQ2029" s="128"/>
      <c r="AR2029" s="128"/>
      <c r="AS2029" s="128"/>
      <c r="AT2029" s="128"/>
      <c r="AU2029" s="128"/>
      <c r="AV2029" s="128"/>
      <c r="AW2029" s="128"/>
      <c r="AX2029" s="128"/>
      <c r="AY2029" s="128"/>
      <c r="AZ2029" s="128"/>
      <c r="BA2029" s="128"/>
      <c r="BB2029" s="128"/>
      <c r="BC2029" s="128"/>
      <c r="BD2029" s="128"/>
      <c r="BE2029" s="128"/>
      <c r="BF2029" s="128"/>
      <c r="BG2029" s="128"/>
      <c r="BH2029" s="128"/>
      <c r="BI2029" s="128"/>
      <c r="BJ2029" s="128"/>
      <c r="BK2029" s="128"/>
      <c r="BL2029" s="128"/>
      <c r="BM2029" s="151"/>
      <c r="BN2029" s="128"/>
      <c r="BO2029" s="128"/>
      <c r="BP2029" s="128"/>
      <c r="BQ2029" s="128"/>
      <c r="BR2029" s="128"/>
      <c r="BS2029" s="128"/>
      <c r="BT2029" s="128"/>
      <c r="BU2029" s="128"/>
      <c r="BV2029" s="128"/>
      <c r="BW2029" s="128"/>
      <c r="BX2029" s="128"/>
      <c r="BY2029" s="128"/>
      <c r="BZ2029" s="128"/>
      <c r="CA2029" s="128"/>
      <c r="CB2029" s="128"/>
      <c r="CC2029" s="128"/>
      <c r="CD2029" s="128"/>
      <c r="CE2029" s="128"/>
      <c r="CF2029" s="128"/>
      <c r="CG2029" s="128"/>
      <c r="CI2029" s="128"/>
      <c r="CJ2029" s="128"/>
      <c r="CK2029" s="128"/>
      <c r="CL2029" s="128"/>
      <c r="CM2029" s="128"/>
      <c r="CN2029" s="128"/>
      <c r="CO2029" s="128"/>
      <c r="CP2029" s="128"/>
      <c r="CQ2029" s="128"/>
      <c r="CR2029" s="128"/>
      <c r="CS2029" s="128"/>
      <c r="CT2029" s="128"/>
      <c r="CU2029" s="128"/>
      <c r="CV2029" s="128"/>
      <c r="CW2029" s="128"/>
      <c r="CX2029" s="128"/>
      <c r="CY2029" s="128"/>
      <c r="CZ2029" s="165"/>
    </row>
    <row r="2030" spans="1:104">
      <c r="A2030" s="149"/>
      <c r="B2030" s="149"/>
      <c r="C2030" s="150"/>
      <c r="D2030" s="102"/>
      <c r="E2030" s="149"/>
      <c r="F2030" s="149"/>
      <c r="G2030" s="149"/>
      <c r="H2030" s="149"/>
      <c r="I2030" s="149"/>
      <c r="J2030" s="149"/>
      <c r="K2030" s="149"/>
      <c r="L2030" s="149"/>
      <c r="M2030" s="149"/>
      <c r="N2030" s="149"/>
      <c r="O2030" s="149"/>
      <c r="P2030" s="149"/>
      <c r="Q2030" s="149"/>
      <c r="R2030" s="149"/>
      <c r="S2030" s="149"/>
      <c r="T2030" s="149"/>
      <c r="U2030" s="149"/>
      <c r="V2030" s="149"/>
      <c r="W2030" s="149"/>
      <c r="X2030" s="149"/>
      <c r="Y2030" s="149"/>
      <c r="Z2030" s="149"/>
      <c r="AA2030" s="149"/>
      <c r="AB2030" s="149"/>
      <c r="AC2030" s="149"/>
      <c r="AD2030" s="149"/>
      <c r="AE2030" s="149"/>
      <c r="AF2030" s="149"/>
      <c r="AG2030" s="149"/>
      <c r="AH2030" s="149"/>
      <c r="AI2030" s="149"/>
      <c r="AJ2030" s="149"/>
      <c r="AK2030" s="149"/>
      <c r="AL2030" s="149"/>
      <c r="AM2030" s="149"/>
      <c r="AN2030" s="149"/>
      <c r="AO2030" s="128"/>
      <c r="AP2030" s="128"/>
      <c r="AQ2030" s="128"/>
      <c r="AR2030" s="128"/>
      <c r="AS2030" s="128"/>
      <c r="AT2030" s="128"/>
      <c r="AU2030" s="128"/>
      <c r="AV2030" s="128"/>
      <c r="AW2030" s="128"/>
      <c r="AX2030" s="128"/>
      <c r="AY2030" s="128"/>
      <c r="AZ2030" s="128"/>
      <c r="BA2030" s="128"/>
      <c r="BB2030" s="128"/>
      <c r="BC2030" s="128"/>
      <c r="BD2030" s="128"/>
      <c r="BE2030" s="128"/>
      <c r="BF2030" s="128"/>
      <c r="BG2030" s="128"/>
      <c r="BH2030" s="128"/>
      <c r="BI2030" s="128"/>
      <c r="BJ2030" s="128"/>
      <c r="BK2030" s="128"/>
      <c r="BL2030" s="128"/>
      <c r="BM2030" s="151"/>
      <c r="BN2030" s="128"/>
      <c r="BO2030" s="128"/>
      <c r="BP2030" s="128"/>
      <c r="BQ2030" s="128"/>
      <c r="BR2030" s="128"/>
      <c r="BS2030" s="128"/>
      <c r="BT2030" s="128"/>
      <c r="BU2030" s="128"/>
      <c r="BV2030" s="128"/>
      <c r="BW2030" s="128"/>
      <c r="BX2030" s="128"/>
      <c r="BY2030" s="128"/>
      <c r="BZ2030" s="128"/>
      <c r="CA2030" s="128"/>
      <c r="CB2030" s="128"/>
      <c r="CC2030" s="128"/>
      <c r="CD2030" s="128"/>
      <c r="CE2030" s="128"/>
      <c r="CF2030" s="128"/>
      <c r="CG2030" s="128"/>
      <c r="CI2030" s="128"/>
      <c r="CJ2030" s="128"/>
      <c r="CK2030" s="128"/>
      <c r="CL2030" s="128"/>
      <c r="CM2030" s="128"/>
      <c r="CN2030" s="128"/>
      <c r="CO2030" s="128"/>
      <c r="CP2030" s="128"/>
      <c r="CQ2030" s="128"/>
      <c r="CR2030" s="128"/>
      <c r="CS2030" s="128"/>
      <c r="CT2030" s="128"/>
      <c r="CU2030" s="128"/>
      <c r="CV2030" s="128"/>
      <c r="CW2030" s="128"/>
      <c r="CX2030" s="128"/>
      <c r="CY2030" s="128"/>
      <c r="CZ2030" s="165"/>
    </row>
    <row r="2031" spans="1:104">
      <c r="A2031" s="149"/>
      <c r="B2031" s="149"/>
      <c r="C2031" s="150"/>
      <c r="D2031" s="102"/>
      <c r="E2031" s="149"/>
      <c r="F2031" s="149"/>
      <c r="G2031" s="149"/>
      <c r="H2031" s="149"/>
      <c r="I2031" s="149"/>
      <c r="J2031" s="149"/>
      <c r="K2031" s="149"/>
      <c r="L2031" s="149"/>
      <c r="M2031" s="149"/>
      <c r="N2031" s="149"/>
      <c r="O2031" s="149"/>
      <c r="P2031" s="149"/>
      <c r="Q2031" s="149"/>
      <c r="R2031" s="149"/>
      <c r="S2031" s="149"/>
      <c r="T2031" s="149"/>
      <c r="U2031" s="149"/>
      <c r="V2031" s="149"/>
      <c r="W2031" s="149"/>
      <c r="X2031" s="149"/>
      <c r="Y2031" s="149"/>
      <c r="Z2031" s="149"/>
      <c r="AA2031" s="149"/>
      <c r="AB2031" s="149"/>
      <c r="AC2031" s="149"/>
      <c r="AD2031" s="149"/>
      <c r="AE2031" s="149"/>
      <c r="AF2031" s="149"/>
      <c r="AG2031" s="149"/>
      <c r="AH2031" s="149"/>
      <c r="AI2031" s="149"/>
      <c r="AJ2031" s="149"/>
      <c r="AK2031" s="149"/>
      <c r="AL2031" s="149"/>
      <c r="AM2031" s="149"/>
      <c r="AN2031" s="149"/>
      <c r="AO2031" s="128"/>
      <c r="AP2031" s="128"/>
      <c r="AQ2031" s="128"/>
      <c r="AR2031" s="128"/>
      <c r="AS2031" s="128"/>
      <c r="AT2031" s="128"/>
      <c r="AU2031" s="128"/>
      <c r="AV2031" s="128"/>
      <c r="AW2031" s="128"/>
      <c r="AX2031" s="128"/>
      <c r="AY2031" s="128"/>
      <c r="AZ2031" s="128"/>
      <c r="BA2031" s="128"/>
      <c r="BB2031" s="128"/>
      <c r="BC2031" s="128"/>
      <c r="BD2031" s="128"/>
      <c r="BE2031" s="128"/>
      <c r="BF2031" s="128"/>
      <c r="BG2031" s="128"/>
      <c r="BH2031" s="128"/>
      <c r="BI2031" s="128"/>
      <c r="BJ2031" s="128"/>
      <c r="BK2031" s="128"/>
      <c r="BL2031" s="128"/>
      <c r="BM2031" s="151"/>
      <c r="BN2031" s="128"/>
      <c r="BO2031" s="128"/>
      <c r="BP2031" s="128"/>
      <c r="BQ2031" s="128"/>
      <c r="BR2031" s="128"/>
      <c r="BS2031" s="128"/>
      <c r="BT2031" s="128"/>
      <c r="BU2031" s="128"/>
      <c r="BV2031" s="128"/>
      <c r="BW2031" s="128"/>
      <c r="BX2031" s="128"/>
      <c r="BY2031" s="128"/>
      <c r="BZ2031" s="128"/>
      <c r="CA2031" s="128"/>
      <c r="CB2031" s="128"/>
      <c r="CC2031" s="128"/>
      <c r="CD2031" s="128"/>
      <c r="CE2031" s="128"/>
      <c r="CF2031" s="128"/>
      <c r="CG2031" s="128"/>
      <c r="CI2031" s="128"/>
      <c r="CJ2031" s="128"/>
      <c r="CK2031" s="128"/>
      <c r="CL2031" s="128"/>
      <c r="CM2031" s="128"/>
      <c r="CN2031" s="128"/>
      <c r="CO2031" s="128"/>
      <c r="CP2031" s="128"/>
      <c r="CQ2031" s="128"/>
      <c r="CR2031" s="128"/>
      <c r="CS2031" s="128"/>
      <c r="CT2031" s="128"/>
      <c r="CU2031" s="128"/>
      <c r="CV2031" s="128"/>
      <c r="CW2031" s="128"/>
      <c r="CX2031" s="128"/>
      <c r="CY2031" s="128"/>
      <c r="CZ2031" s="165"/>
    </row>
    <row r="2032" spans="1:104">
      <c r="A2032" s="149"/>
      <c r="B2032" s="149"/>
      <c r="C2032" s="150"/>
      <c r="D2032" s="102"/>
      <c r="E2032" s="149"/>
      <c r="F2032" s="149"/>
      <c r="G2032" s="149"/>
      <c r="H2032" s="149"/>
      <c r="I2032" s="149"/>
      <c r="J2032" s="149"/>
      <c r="K2032" s="149"/>
      <c r="L2032" s="149"/>
      <c r="M2032" s="149"/>
      <c r="N2032" s="149"/>
      <c r="O2032" s="149"/>
      <c r="P2032" s="149"/>
      <c r="Q2032" s="149"/>
      <c r="R2032" s="149"/>
      <c r="S2032" s="149"/>
      <c r="T2032" s="149"/>
      <c r="U2032" s="149"/>
      <c r="V2032" s="149"/>
      <c r="W2032" s="149"/>
      <c r="X2032" s="149"/>
      <c r="Y2032" s="149"/>
      <c r="Z2032" s="149"/>
      <c r="AA2032" s="149"/>
      <c r="AB2032" s="149"/>
      <c r="AC2032" s="149"/>
      <c r="AD2032" s="149"/>
      <c r="AE2032" s="149"/>
      <c r="AF2032" s="149"/>
      <c r="AG2032" s="149"/>
      <c r="AH2032" s="149"/>
      <c r="AI2032" s="149"/>
      <c r="AJ2032" s="149"/>
      <c r="AK2032" s="149"/>
      <c r="AL2032" s="149"/>
      <c r="AM2032" s="149"/>
      <c r="AN2032" s="149"/>
      <c r="AO2032" s="128"/>
      <c r="AP2032" s="128"/>
      <c r="AQ2032" s="128"/>
      <c r="AR2032" s="128"/>
      <c r="AS2032" s="128"/>
      <c r="AT2032" s="128"/>
      <c r="AU2032" s="128"/>
      <c r="AV2032" s="128"/>
      <c r="AW2032" s="128"/>
      <c r="AX2032" s="128"/>
      <c r="AY2032" s="128"/>
      <c r="AZ2032" s="128"/>
      <c r="BA2032" s="128"/>
      <c r="BB2032" s="128"/>
      <c r="BC2032" s="128"/>
      <c r="BD2032" s="128"/>
      <c r="BE2032" s="128"/>
      <c r="BF2032" s="128"/>
      <c r="BG2032" s="128"/>
      <c r="BH2032" s="128"/>
      <c r="BI2032" s="128"/>
      <c r="BJ2032" s="128"/>
      <c r="BK2032" s="128"/>
      <c r="BL2032" s="128"/>
      <c r="BM2032" s="151"/>
      <c r="BN2032" s="128"/>
      <c r="BO2032" s="128"/>
      <c r="BP2032" s="128"/>
      <c r="BQ2032" s="128"/>
      <c r="BR2032" s="128"/>
      <c r="BS2032" s="128"/>
      <c r="BT2032" s="128"/>
      <c r="BU2032" s="128"/>
      <c r="BV2032" s="128"/>
      <c r="BW2032" s="128"/>
      <c r="BX2032" s="128"/>
      <c r="BY2032" s="128"/>
      <c r="BZ2032" s="128"/>
      <c r="CA2032" s="128"/>
      <c r="CB2032" s="128"/>
      <c r="CC2032" s="128"/>
      <c r="CD2032" s="128"/>
      <c r="CE2032" s="128"/>
      <c r="CF2032" s="128"/>
      <c r="CG2032" s="128"/>
      <c r="CI2032" s="128"/>
      <c r="CJ2032" s="128"/>
      <c r="CK2032" s="128"/>
      <c r="CL2032" s="128"/>
      <c r="CM2032" s="128"/>
      <c r="CN2032" s="128"/>
      <c r="CO2032" s="128"/>
      <c r="CP2032" s="128"/>
      <c r="CQ2032" s="128"/>
      <c r="CR2032" s="128"/>
      <c r="CS2032" s="128"/>
      <c r="CT2032" s="128"/>
      <c r="CU2032" s="128"/>
      <c r="CV2032" s="128"/>
      <c r="CW2032" s="128"/>
      <c r="CX2032" s="128"/>
      <c r="CY2032" s="128"/>
      <c r="CZ2032" s="165"/>
    </row>
    <row r="2033" spans="1:104">
      <c r="A2033" s="149"/>
      <c r="B2033" s="149"/>
      <c r="C2033" s="150"/>
      <c r="D2033" s="102"/>
      <c r="E2033" s="149"/>
      <c r="F2033" s="149"/>
      <c r="G2033" s="149"/>
      <c r="H2033" s="149"/>
      <c r="I2033" s="149"/>
      <c r="J2033" s="149"/>
      <c r="K2033" s="149"/>
      <c r="L2033" s="149"/>
      <c r="M2033" s="149"/>
      <c r="N2033" s="149"/>
      <c r="O2033" s="149"/>
      <c r="P2033" s="149"/>
      <c r="Q2033" s="149"/>
      <c r="R2033" s="149"/>
      <c r="S2033" s="149"/>
      <c r="T2033" s="149"/>
      <c r="U2033" s="149"/>
      <c r="V2033" s="149"/>
      <c r="W2033" s="149"/>
      <c r="X2033" s="149"/>
      <c r="Y2033" s="149"/>
      <c r="Z2033" s="149"/>
      <c r="AA2033" s="149"/>
      <c r="AB2033" s="149"/>
      <c r="AC2033" s="149"/>
      <c r="AD2033" s="149"/>
      <c r="AE2033" s="149"/>
      <c r="AF2033" s="149"/>
      <c r="AG2033" s="149"/>
      <c r="AH2033" s="149"/>
      <c r="AI2033" s="149"/>
      <c r="AJ2033" s="149"/>
      <c r="AK2033" s="149"/>
      <c r="AL2033" s="149"/>
      <c r="AM2033" s="149"/>
      <c r="AN2033" s="149"/>
      <c r="AO2033" s="128"/>
      <c r="AP2033" s="128"/>
      <c r="AQ2033" s="128"/>
      <c r="AR2033" s="128"/>
      <c r="AS2033" s="128"/>
      <c r="AT2033" s="128"/>
      <c r="AU2033" s="128"/>
      <c r="AV2033" s="128"/>
      <c r="AW2033" s="128"/>
      <c r="AX2033" s="128"/>
      <c r="AY2033" s="128"/>
      <c r="AZ2033" s="128"/>
      <c r="BA2033" s="128"/>
      <c r="BB2033" s="128"/>
      <c r="BC2033" s="128"/>
      <c r="BD2033" s="128"/>
      <c r="BE2033" s="128"/>
      <c r="BF2033" s="128"/>
      <c r="BG2033" s="128"/>
      <c r="BH2033" s="128"/>
      <c r="BI2033" s="128"/>
      <c r="BJ2033" s="128"/>
      <c r="BK2033" s="128"/>
      <c r="BL2033" s="128"/>
      <c r="BM2033" s="151"/>
      <c r="BN2033" s="128"/>
      <c r="BO2033" s="128"/>
      <c r="BP2033" s="128"/>
      <c r="BQ2033" s="128"/>
      <c r="BR2033" s="128"/>
      <c r="BS2033" s="128"/>
      <c r="BT2033" s="128"/>
      <c r="BU2033" s="128"/>
      <c r="BV2033" s="128"/>
      <c r="BW2033" s="128"/>
      <c r="BX2033" s="128"/>
      <c r="BY2033" s="128"/>
      <c r="BZ2033" s="128"/>
      <c r="CA2033" s="128"/>
      <c r="CB2033" s="128"/>
      <c r="CC2033" s="128"/>
      <c r="CD2033" s="128"/>
      <c r="CE2033" s="128"/>
      <c r="CF2033" s="128"/>
      <c r="CG2033" s="128"/>
      <c r="CI2033" s="128"/>
      <c r="CJ2033" s="128"/>
      <c r="CK2033" s="128"/>
      <c r="CL2033" s="128"/>
      <c r="CM2033" s="128"/>
      <c r="CN2033" s="128"/>
      <c r="CO2033" s="128"/>
      <c r="CP2033" s="128"/>
      <c r="CQ2033" s="128"/>
      <c r="CR2033" s="128"/>
      <c r="CS2033" s="128"/>
      <c r="CT2033" s="128"/>
      <c r="CU2033" s="128"/>
      <c r="CV2033" s="128"/>
      <c r="CW2033" s="128"/>
      <c r="CX2033" s="128"/>
      <c r="CY2033" s="128"/>
      <c r="CZ2033" s="165"/>
    </row>
    <row r="2034" spans="1:104">
      <c r="A2034" s="149"/>
      <c r="B2034" s="149"/>
      <c r="C2034" s="150"/>
      <c r="D2034" s="102"/>
      <c r="E2034" s="149"/>
      <c r="F2034" s="149"/>
      <c r="G2034" s="149"/>
      <c r="H2034" s="149"/>
      <c r="I2034" s="149"/>
      <c r="J2034" s="149"/>
      <c r="K2034" s="149"/>
      <c r="L2034" s="149"/>
      <c r="M2034" s="149"/>
      <c r="N2034" s="149"/>
      <c r="O2034" s="149"/>
      <c r="P2034" s="149"/>
      <c r="Q2034" s="149"/>
      <c r="R2034" s="149"/>
      <c r="S2034" s="149"/>
      <c r="T2034" s="149"/>
      <c r="U2034" s="149"/>
      <c r="V2034" s="149"/>
      <c r="W2034" s="149"/>
      <c r="X2034" s="149"/>
      <c r="Y2034" s="149"/>
      <c r="Z2034" s="149"/>
      <c r="AA2034" s="149"/>
      <c r="AB2034" s="149"/>
      <c r="AC2034" s="149"/>
      <c r="AD2034" s="149"/>
      <c r="AE2034" s="149"/>
      <c r="AF2034" s="149"/>
      <c r="AG2034" s="149"/>
      <c r="AH2034" s="149"/>
      <c r="AI2034" s="149"/>
      <c r="AJ2034" s="149"/>
      <c r="AK2034" s="149"/>
      <c r="AL2034" s="149"/>
      <c r="AM2034" s="149"/>
      <c r="AN2034" s="149"/>
      <c r="AO2034" s="128"/>
      <c r="AP2034" s="128"/>
      <c r="AQ2034" s="128"/>
      <c r="AR2034" s="128"/>
      <c r="AS2034" s="128"/>
      <c r="AT2034" s="128"/>
      <c r="AU2034" s="128"/>
      <c r="AV2034" s="128"/>
      <c r="AW2034" s="128"/>
      <c r="AX2034" s="128"/>
      <c r="AY2034" s="128"/>
      <c r="AZ2034" s="128"/>
      <c r="BA2034" s="128"/>
      <c r="BB2034" s="128"/>
      <c r="BC2034" s="128"/>
      <c r="BD2034" s="128"/>
      <c r="BE2034" s="128"/>
      <c r="BF2034" s="128"/>
      <c r="BG2034" s="128"/>
      <c r="BH2034" s="128"/>
      <c r="BI2034" s="128"/>
      <c r="BJ2034" s="128"/>
      <c r="BK2034" s="128"/>
      <c r="BL2034" s="128"/>
      <c r="BM2034" s="151"/>
      <c r="BN2034" s="128"/>
      <c r="BO2034" s="128"/>
      <c r="BP2034" s="128"/>
      <c r="BQ2034" s="128"/>
      <c r="BR2034" s="128"/>
      <c r="BS2034" s="128"/>
      <c r="BT2034" s="128"/>
      <c r="BU2034" s="128"/>
      <c r="BV2034" s="128"/>
      <c r="BW2034" s="128"/>
      <c r="BX2034" s="128"/>
      <c r="BY2034" s="128"/>
      <c r="BZ2034" s="128"/>
      <c r="CA2034" s="128"/>
      <c r="CB2034" s="128"/>
      <c r="CC2034" s="128"/>
      <c r="CD2034" s="128"/>
      <c r="CE2034" s="128"/>
      <c r="CF2034" s="128"/>
      <c r="CG2034" s="128"/>
      <c r="CI2034" s="128"/>
      <c r="CJ2034" s="128"/>
      <c r="CK2034" s="128"/>
      <c r="CL2034" s="128"/>
      <c r="CM2034" s="128"/>
      <c r="CN2034" s="128"/>
      <c r="CO2034" s="128"/>
      <c r="CP2034" s="128"/>
      <c r="CQ2034" s="128"/>
      <c r="CR2034" s="128"/>
      <c r="CS2034" s="128"/>
      <c r="CT2034" s="128"/>
      <c r="CU2034" s="128"/>
      <c r="CV2034" s="128"/>
      <c r="CW2034" s="128"/>
      <c r="CX2034" s="128"/>
      <c r="CY2034" s="128"/>
      <c r="CZ2034" s="165"/>
    </row>
    <row r="2035" spans="1:104">
      <c r="A2035" s="149"/>
      <c r="B2035" s="149"/>
      <c r="C2035" s="150"/>
      <c r="D2035" s="102"/>
      <c r="E2035" s="149"/>
      <c r="F2035" s="149"/>
      <c r="G2035" s="149"/>
      <c r="H2035" s="149"/>
      <c r="I2035" s="149"/>
      <c r="J2035" s="149"/>
      <c r="K2035" s="149"/>
      <c r="L2035" s="149"/>
      <c r="M2035" s="149"/>
      <c r="N2035" s="149"/>
      <c r="O2035" s="149"/>
      <c r="P2035" s="149"/>
      <c r="Q2035" s="149"/>
      <c r="R2035" s="149"/>
      <c r="S2035" s="149"/>
      <c r="T2035" s="149"/>
      <c r="U2035" s="149"/>
      <c r="V2035" s="149"/>
      <c r="W2035" s="149"/>
      <c r="X2035" s="149"/>
      <c r="Y2035" s="149"/>
      <c r="Z2035" s="149"/>
      <c r="AA2035" s="149"/>
      <c r="AB2035" s="149"/>
      <c r="AC2035" s="149"/>
      <c r="AD2035" s="149"/>
      <c r="AE2035" s="149"/>
      <c r="AF2035" s="149"/>
      <c r="AG2035" s="149"/>
      <c r="AH2035" s="149"/>
      <c r="AI2035" s="149"/>
      <c r="AJ2035" s="149"/>
      <c r="AK2035" s="149"/>
      <c r="AL2035" s="149"/>
      <c r="AM2035" s="149"/>
      <c r="AN2035" s="149"/>
      <c r="AO2035" s="128"/>
      <c r="AP2035" s="128"/>
      <c r="AQ2035" s="128"/>
      <c r="AR2035" s="128"/>
      <c r="AS2035" s="128"/>
      <c r="AT2035" s="128"/>
      <c r="AU2035" s="128"/>
      <c r="AV2035" s="128"/>
      <c r="AW2035" s="128"/>
      <c r="AX2035" s="128"/>
      <c r="AY2035" s="128"/>
      <c r="AZ2035" s="128"/>
      <c r="BA2035" s="128"/>
      <c r="BB2035" s="128"/>
      <c r="BC2035" s="128"/>
      <c r="BD2035" s="128"/>
      <c r="BE2035" s="128"/>
      <c r="BF2035" s="128"/>
      <c r="BG2035" s="128"/>
      <c r="BH2035" s="128"/>
      <c r="BI2035" s="128"/>
      <c r="BJ2035" s="128"/>
      <c r="BK2035" s="128"/>
      <c r="BL2035" s="128"/>
      <c r="BM2035" s="151"/>
      <c r="BN2035" s="128"/>
      <c r="BO2035" s="128"/>
      <c r="BP2035" s="128"/>
      <c r="BQ2035" s="128"/>
      <c r="BR2035" s="128"/>
      <c r="BS2035" s="128"/>
      <c r="BT2035" s="128"/>
      <c r="BU2035" s="128"/>
      <c r="BV2035" s="128"/>
      <c r="BW2035" s="128"/>
      <c r="BX2035" s="128"/>
      <c r="BY2035" s="128"/>
      <c r="BZ2035" s="128"/>
      <c r="CA2035" s="128"/>
      <c r="CB2035" s="128"/>
      <c r="CC2035" s="128"/>
      <c r="CD2035" s="128"/>
      <c r="CE2035" s="128"/>
      <c r="CF2035" s="128"/>
      <c r="CG2035" s="128"/>
      <c r="CI2035" s="128"/>
      <c r="CJ2035" s="128"/>
      <c r="CK2035" s="128"/>
      <c r="CL2035" s="128"/>
      <c r="CM2035" s="128"/>
      <c r="CN2035" s="128"/>
      <c r="CO2035" s="128"/>
      <c r="CP2035" s="128"/>
      <c r="CQ2035" s="128"/>
      <c r="CR2035" s="128"/>
      <c r="CS2035" s="128"/>
      <c r="CT2035" s="128"/>
      <c r="CU2035" s="128"/>
      <c r="CV2035" s="128"/>
      <c r="CW2035" s="128"/>
      <c r="CX2035" s="128"/>
      <c r="CY2035" s="128"/>
      <c r="CZ2035" s="165"/>
    </row>
    <row r="2036" spans="1:104">
      <c r="A2036" s="149"/>
      <c r="B2036" s="149"/>
      <c r="C2036" s="150"/>
      <c r="D2036" s="102"/>
      <c r="E2036" s="149"/>
      <c r="F2036" s="149"/>
      <c r="G2036" s="149"/>
      <c r="H2036" s="149"/>
      <c r="I2036" s="149"/>
      <c r="J2036" s="149"/>
      <c r="K2036" s="149"/>
      <c r="L2036" s="149"/>
      <c r="M2036" s="149"/>
      <c r="N2036" s="149"/>
      <c r="O2036" s="149"/>
      <c r="P2036" s="149"/>
      <c r="Q2036" s="149"/>
      <c r="R2036" s="149"/>
      <c r="S2036" s="149"/>
      <c r="T2036" s="149"/>
      <c r="U2036" s="149"/>
      <c r="V2036" s="149"/>
      <c r="W2036" s="149"/>
      <c r="X2036" s="149"/>
      <c r="Y2036" s="149"/>
      <c r="Z2036" s="149"/>
      <c r="AA2036" s="149"/>
      <c r="AB2036" s="149"/>
      <c r="AC2036" s="149"/>
      <c r="AD2036" s="149"/>
      <c r="AE2036" s="149"/>
      <c r="AF2036" s="149"/>
      <c r="AG2036" s="149"/>
      <c r="AH2036" s="149"/>
      <c r="AI2036" s="149"/>
      <c r="AJ2036" s="149"/>
      <c r="AK2036" s="149"/>
      <c r="AL2036" s="149"/>
      <c r="AM2036" s="149"/>
      <c r="AN2036" s="149"/>
      <c r="AO2036" s="128"/>
      <c r="AP2036" s="128"/>
      <c r="AQ2036" s="128"/>
      <c r="AR2036" s="128"/>
      <c r="AS2036" s="128"/>
      <c r="AT2036" s="128"/>
      <c r="AU2036" s="128"/>
      <c r="AV2036" s="128"/>
      <c r="AW2036" s="128"/>
      <c r="AX2036" s="128"/>
      <c r="AY2036" s="128"/>
      <c r="AZ2036" s="128"/>
      <c r="BA2036" s="128"/>
      <c r="BB2036" s="128"/>
      <c r="BC2036" s="128"/>
      <c r="BD2036" s="128"/>
      <c r="BE2036" s="128"/>
      <c r="BF2036" s="128"/>
      <c r="BG2036" s="128"/>
      <c r="BH2036" s="128"/>
      <c r="BI2036" s="128"/>
      <c r="BJ2036" s="128"/>
      <c r="BK2036" s="128"/>
      <c r="BL2036" s="128"/>
      <c r="BM2036" s="151"/>
      <c r="BN2036" s="128"/>
      <c r="BO2036" s="128"/>
      <c r="BP2036" s="128"/>
      <c r="BQ2036" s="128"/>
      <c r="BR2036" s="128"/>
      <c r="BS2036" s="128"/>
      <c r="BT2036" s="128"/>
      <c r="BU2036" s="128"/>
      <c r="BV2036" s="128"/>
      <c r="BW2036" s="128"/>
      <c r="BX2036" s="128"/>
      <c r="BY2036" s="128"/>
      <c r="BZ2036" s="128"/>
      <c r="CA2036" s="128"/>
      <c r="CB2036" s="128"/>
      <c r="CC2036" s="128"/>
      <c r="CD2036" s="128"/>
      <c r="CE2036" s="128"/>
      <c r="CF2036" s="128"/>
      <c r="CG2036" s="128"/>
      <c r="CI2036" s="128"/>
      <c r="CJ2036" s="128"/>
      <c r="CK2036" s="128"/>
      <c r="CL2036" s="128"/>
      <c r="CM2036" s="128"/>
      <c r="CN2036" s="128"/>
      <c r="CO2036" s="128"/>
      <c r="CP2036" s="128"/>
      <c r="CQ2036" s="128"/>
      <c r="CR2036" s="128"/>
      <c r="CS2036" s="128"/>
      <c r="CT2036" s="128"/>
      <c r="CU2036" s="128"/>
      <c r="CV2036" s="128"/>
      <c r="CW2036" s="128"/>
      <c r="CX2036" s="128"/>
      <c r="CY2036" s="128"/>
      <c r="CZ2036" s="165"/>
    </row>
    <row r="2037" spans="1:104">
      <c r="A2037" s="149"/>
      <c r="B2037" s="149"/>
      <c r="C2037" s="150"/>
      <c r="D2037" s="102"/>
      <c r="E2037" s="149"/>
      <c r="F2037" s="149"/>
      <c r="G2037" s="149"/>
      <c r="H2037" s="149"/>
      <c r="I2037" s="149"/>
      <c r="J2037" s="149"/>
      <c r="K2037" s="149"/>
      <c r="L2037" s="149"/>
      <c r="M2037" s="149"/>
      <c r="N2037" s="149"/>
      <c r="O2037" s="149"/>
      <c r="P2037" s="149"/>
      <c r="Q2037" s="149"/>
      <c r="R2037" s="149"/>
      <c r="S2037" s="149"/>
      <c r="T2037" s="149"/>
      <c r="U2037" s="149"/>
      <c r="V2037" s="149"/>
      <c r="W2037" s="149"/>
      <c r="X2037" s="149"/>
      <c r="Y2037" s="149"/>
      <c r="Z2037" s="149"/>
      <c r="AA2037" s="149"/>
      <c r="AB2037" s="149"/>
      <c r="AC2037" s="149"/>
      <c r="AD2037" s="149"/>
      <c r="AE2037" s="149"/>
      <c r="AF2037" s="149"/>
      <c r="AG2037" s="149"/>
      <c r="AH2037" s="149"/>
      <c r="AI2037" s="149"/>
      <c r="AJ2037" s="149"/>
      <c r="AK2037" s="149"/>
      <c r="AL2037" s="149"/>
      <c r="AM2037" s="149"/>
      <c r="AN2037" s="149"/>
      <c r="AO2037" s="128"/>
      <c r="AP2037" s="128"/>
      <c r="AQ2037" s="128"/>
      <c r="AR2037" s="128"/>
      <c r="AS2037" s="128"/>
      <c r="AT2037" s="128"/>
      <c r="AU2037" s="128"/>
      <c r="AV2037" s="128"/>
      <c r="AW2037" s="128"/>
      <c r="AX2037" s="128"/>
      <c r="AY2037" s="128"/>
      <c r="AZ2037" s="128"/>
      <c r="BA2037" s="128"/>
      <c r="BB2037" s="128"/>
      <c r="BC2037" s="128"/>
      <c r="BD2037" s="128"/>
      <c r="BE2037" s="128"/>
      <c r="BF2037" s="128"/>
      <c r="BG2037" s="128"/>
      <c r="BH2037" s="128"/>
      <c r="BI2037" s="128"/>
      <c r="BJ2037" s="128"/>
      <c r="BK2037" s="128"/>
      <c r="BL2037" s="128"/>
      <c r="BM2037" s="151"/>
      <c r="BN2037" s="128"/>
      <c r="BO2037" s="128"/>
      <c r="BP2037" s="128"/>
      <c r="BQ2037" s="128"/>
      <c r="BR2037" s="128"/>
      <c r="BS2037" s="128"/>
      <c r="BT2037" s="128"/>
      <c r="BU2037" s="128"/>
      <c r="BV2037" s="128"/>
      <c r="BW2037" s="128"/>
      <c r="BX2037" s="128"/>
      <c r="BY2037" s="128"/>
      <c r="BZ2037" s="128"/>
      <c r="CA2037" s="128"/>
      <c r="CB2037" s="128"/>
      <c r="CC2037" s="128"/>
      <c r="CD2037" s="128"/>
      <c r="CE2037" s="128"/>
      <c r="CF2037" s="128"/>
      <c r="CG2037" s="128"/>
      <c r="CI2037" s="128"/>
      <c r="CJ2037" s="128"/>
      <c r="CK2037" s="128"/>
      <c r="CL2037" s="128"/>
      <c r="CM2037" s="128"/>
      <c r="CN2037" s="128"/>
      <c r="CO2037" s="128"/>
      <c r="CP2037" s="128"/>
      <c r="CQ2037" s="128"/>
      <c r="CR2037" s="128"/>
      <c r="CS2037" s="128"/>
      <c r="CT2037" s="128"/>
      <c r="CU2037" s="128"/>
      <c r="CV2037" s="128"/>
      <c r="CW2037" s="128"/>
      <c r="CX2037" s="128"/>
      <c r="CY2037" s="128"/>
      <c r="CZ2037" s="165"/>
    </row>
    <row r="2038" spans="1:104">
      <c r="A2038" s="149"/>
      <c r="B2038" s="149"/>
      <c r="C2038" s="150"/>
      <c r="D2038" s="102"/>
      <c r="E2038" s="149"/>
      <c r="F2038" s="149"/>
      <c r="G2038" s="149"/>
      <c r="H2038" s="149"/>
      <c r="I2038" s="149"/>
      <c r="J2038" s="149"/>
      <c r="K2038" s="149"/>
      <c r="L2038" s="149"/>
      <c r="M2038" s="149"/>
      <c r="N2038" s="149"/>
      <c r="O2038" s="149"/>
      <c r="P2038" s="149"/>
      <c r="Q2038" s="149"/>
      <c r="R2038" s="149"/>
      <c r="S2038" s="149"/>
      <c r="T2038" s="149"/>
      <c r="U2038" s="149"/>
      <c r="V2038" s="149"/>
      <c r="W2038" s="149"/>
      <c r="X2038" s="149"/>
      <c r="Y2038" s="149"/>
      <c r="Z2038" s="149"/>
      <c r="AA2038" s="149"/>
      <c r="AB2038" s="149"/>
      <c r="AC2038" s="149"/>
      <c r="AD2038" s="149"/>
      <c r="AE2038" s="149"/>
      <c r="AF2038" s="149"/>
      <c r="AG2038" s="149"/>
      <c r="AH2038" s="149"/>
      <c r="AI2038" s="149"/>
      <c r="AJ2038" s="149"/>
      <c r="AK2038" s="149"/>
      <c r="AL2038" s="149"/>
      <c r="AM2038" s="149"/>
      <c r="AN2038" s="149"/>
      <c r="AO2038" s="128"/>
      <c r="AP2038" s="128"/>
      <c r="AQ2038" s="128"/>
      <c r="AR2038" s="128"/>
      <c r="AS2038" s="128"/>
      <c r="AT2038" s="128"/>
      <c r="AU2038" s="128"/>
      <c r="AV2038" s="128"/>
      <c r="AW2038" s="128"/>
      <c r="AX2038" s="128"/>
      <c r="AY2038" s="128"/>
      <c r="AZ2038" s="128"/>
      <c r="BA2038" s="128"/>
      <c r="BB2038" s="128"/>
      <c r="BC2038" s="128"/>
      <c r="BD2038" s="128"/>
      <c r="BE2038" s="128"/>
      <c r="BF2038" s="128"/>
      <c r="BG2038" s="128"/>
      <c r="BH2038" s="128"/>
      <c r="BI2038" s="128"/>
      <c r="BJ2038" s="128"/>
      <c r="BK2038" s="128"/>
      <c r="BL2038" s="128"/>
      <c r="BM2038" s="151"/>
      <c r="BN2038" s="128"/>
      <c r="BO2038" s="128"/>
      <c r="BP2038" s="128"/>
      <c r="BQ2038" s="128"/>
      <c r="BR2038" s="128"/>
      <c r="BS2038" s="128"/>
      <c r="BT2038" s="128"/>
      <c r="BU2038" s="128"/>
      <c r="BV2038" s="128"/>
      <c r="BW2038" s="128"/>
      <c r="BX2038" s="128"/>
      <c r="BY2038" s="128"/>
      <c r="BZ2038" s="128"/>
      <c r="CA2038" s="128"/>
      <c r="CB2038" s="128"/>
      <c r="CC2038" s="128"/>
      <c r="CD2038" s="128"/>
      <c r="CE2038" s="128"/>
      <c r="CF2038" s="128"/>
      <c r="CG2038" s="128"/>
      <c r="CI2038" s="128"/>
      <c r="CJ2038" s="128"/>
      <c r="CK2038" s="128"/>
      <c r="CL2038" s="128"/>
      <c r="CM2038" s="128"/>
      <c r="CN2038" s="128"/>
      <c r="CO2038" s="128"/>
      <c r="CP2038" s="128"/>
      <c r="CQ2038" s="128"/>
      <c r="CR2038" s="128"/>
      <c r="CS2038" s="128"/>
      <c r="CT2038" s="128"/>
      <c r="CU2038" s="128"/>
      <c r="CV2038" s="128"/>
      <c r="CW2038" s="128"/>
      <c r="CX2038" s="128"/>
      <c r="CY2038" s="128"/>
      <c r="CZ2038" s="165"/>
    </row>
    <row r="2039" spans="1:104">
      <c r="A2039" s="149"/>
      <c r="B2039" s="149"/>
      <c r="C2039" s="150"/>
      <c r="D2039" s="102"/>
      <c r="E2039" s="149"/>
      <c r="F2039" s="149"/>
      <c r="G2039" s="149"/>
      <c r="H2039" s="149"/>
      <c r="I2039" s="149"/>
      <c r="J2039" s="149"/>
      <c r="K2039" s="149"/>
      <c r="L2039" s="149"/>
      <c r="M2039" s="149"/>
      <c r="N2039" s="149"/>
      <c r="O2039" s="149"/>
      <c r="P2039" s="149"/>
      <c r="Q2039" s="149"/>
      <c r="R2039" s="149"/>
      <c r="S2039" s="149"/>
      <c r="T2039" s="149"/>
      <c r="U2039" s="149"/>
      <c r="V2039" s="149"/>
      <c r="W2039" s="149"/>
      <c r="X2039" s="149"/>
      <c r="Y2039" s="149"/>
      <c r="Z2039" s="149"/>
      <c r="AA2039" s="149"/>
      <c r="AB2039" s="149"/>
      <c r="AC2039" s="149"/>
      <c r="AD2039" s="149"/>
      <c r="AE2039" s="149"/>
      <c r="AF2039" s="149"/>
      <c r="AG2039" s="149"/>
      <c r="AH2039" s="149"/>
      <c r="AI2039" s="149"/>
      <c r="AJ2039" s="149"/>
      <c r="AK2039" s="149"/>
      <c r="AL2039" s="149"/>
      <c r="AM2039" s="149"/>
      <c r="AN2039" s="149"/>
      <c r="AO2039" s="128"/>
      <c r="AP2039" s="128"/>
      <c r="AQ2039" s="128"/>
      <c r="AR2039" s="128"/>
      <c r="AS2039" s="128"/>
      <c r="AT2039" s="128"/>
      <c r="AU2039" s="128"/>
      <c r="AV2039" s="128"/>
      <c r="AW2039" s="128"/>
      <c r="AX2039" s="128"/>
      <c r="AY2039" s="128"/>
      <c r="AZ2039" s="128"/>
      <c r="BA2039" s="128"/>
      <c r="BB2039" s="128"/>
      <c r="BC2039" s="128"/>
      <c r="BD2039" s="128"/>
      <c r="BE2039" s="128"/>
      <c r="BF2039" s="128"/>
      <c r="BG2039" s="128"/>
      <c r="BH2039" s="128"/>
      <c r="BI2039" s="128"/>
      <c r="BJ2039" s="128"/>
      <c r="BK2039" s="128"/>
      <c r="BL2039" s="128"/>
      <c r="BM2039" s="151"/>
      <c r="BN2039" s="128"/>
      <c r="BO2039" s="128"/>
      <c r="BP2039" s="128"/>
      <c r="BQ2039" s="128"/>
      <c r="BR2039" s="128"/>
      <c r="BS2039" s="128"/>
      <c r="BT2039" s="128"/>
      <c r="BU2039" s="128"/>
      <c r="BV2039" s="128"/>
      <c r="BW2039" s="128"/>
      <c r="BX2039" s="128"/>
      <c r="BY2039" s="128"/>
      <c r="BZ2039" s="128"/>
      <c r="CA2039" s="128"/>
      <c r="CB2039" s="128"/>
      <c r="CC2039" s="128"/>
      <c r="CD2039" s="128"/>
      <c r="CE2039" s="128"/>
      <c r="CF2039" s="128"/>
      <c r="CG2039" s="128"/>
      <c r="CI2039" s="128"/>
      <c r="CJ2039" s="128"/>
      <c r="CK2039" s="128"/>
      <c r="CL2039" s="128"/>
      <c r="CM2039" s="128"/>
      <c r="CN2039" s="128"/>
      <c r="CO2039" s="128"/>
      <c r="CP2039" s="128"/>
      <c r="CQ2039" s="128"/>
      <c r="CR2039" s="128"/>
      <c r="CS2039" s="128"/>
      <c r="CT2039" s="128"/>
      <c r="CU2039" s="128"/>
      <c r="CV2039" s="128"/>
      <c r="CW2039" s="128"/>
      <c r="CX2039" s="128"/>
      <c r="CY2039" s="128"/>
      <c r="CZ2039" s="165"/>
    </row>
    <row r="2040" spans="1:104">
      <c r="A2040" s="149"/>
      <c r="B2040" s="149"/>
      <c r="C2040" s="150"/>
      <c r="D2040" s="102"/>
      <c r="E2040" s="149"/>
      <c r="F2040" s="149"/>
      <c r="G2040" s="149"/>
      <c r="H2040" s="149"/>
      <c r="I2040" s="149"/>
      <c r="J2040" s="149"/>
      <c r="K2040" s="149"/>
      <c r="L2040" s="149"/>
      <c r="M2040" s="149"/>
      <c r="N2040" s="149"/>
      <c r="O2040" s="149"/>
      <c r="P2040" s="149"/>
      <c r="Q2040" s="149"/>
      <c r="R2040" s="149"/>
      <c r="S2040" s="149"/>
      <c r="T2040" s="149"/>
      <c r="U2040" s="149"/>
      <c r="V2040" s="149"/>
      <c r="W2040" s="149"/>
      <c r="X2040" s="149"/>
      <c r="Y2040" s="149"/>
      <c r="Z2040" s="149"/>
      <c r="AA2040" s="149"/>
      <c r="AB2040" s="149"/>
      <c r="AC2040" s="149"/>
      <c r="AD2040" s="149"/>
      <c r="AE2040" s="149"/>
      <c r="AF2040" s="149"/>
      <c r="AG2040" s="149"/>
      <c r="AH2040" s="149"/>
      <c r="AI2040" s="149"/>
      <c r="AJ2040" s="149"/>
      <c r="AK2040" s="149"/>
      <c r="AL2040" s="149"/>
      <c r="AM2040" s="149"/>
      <c r="AN2040" s="149"/>
      <c r="AO2040" s="128"/>
      <c r="AP2040" s="128"/>
      <c r="AQ2040" s="128"/>
      <c r="AR2040" s="128"/>
      <c r="AS2040" s="128"/>
      <c r="AT2040" s="128"/>
      <c r="AU2040" s="128"/>
      <c r="AV2040" s="128"/>
      <c r="AW2040" s="128"/>
      <c r="AX2040" s="128"/>
      <c r="AY2040" s="128"/>
      <c r="AZ2040" s="128"/>
      <c r="BA2040" s="128"/>
      <c r="BB2040" s="128"/>
      <c r="BC2040" s="128"/>
      <c r="BD2040" s="128"/>
      <c r="BE2040" s="128"/>
      <c r="BF2040" s="128"/>
      <c r="BG2040" s="128"/>
      <c r="BH2040" s="128"/>
      <c r="BI2040" s="128"/>
      <c r="BJ2040" s="128"/>
      <c r="BK2040" s="128"/>
      <c r="BL2040" s="128"/>
      <c r="BM2040" s="151"/>
      <c r="BN2040" s="128"/>
      <c r="BO2040" s="128"/>
      <c r="BP2040" s="128"/>
      <c r="BQ2040" s="128"/>
      <c r="BR2040" s="128"/>
      <c r="BS2040" s="128"/>
      <c r="BT2040" s="128"/>
      <c r="BU2040" s="128"/>
      <c r="BV2040" s="128"/>
      <c r="BW2040" s="128"/>
      <c r="BX2040" s="128"/>
      <c r="BY2040" s="128"/>
      <c r="BZ2040" s="128"/>
      <c r="CA2040" s="128"/>
      <c r="CB2040" s="128"/>
      <c r="CC2040" s="128"/>
      <c r="CD2040" s="128"/>
      <c r="CE2040" s="128"/>
      <c r="CF2040" s="128"/>
      <c r="CG2040" s="128"/>
      <c r="CI2040" s="128"/>
      <c r="CJ2040" s="128"/>
      <c r="CK2040" s="128"/>
      <c r="CL2040" s="128"/>
      <c r="CM2040" s="128"/>
      <c r="CN2040" s="128"/>
      <c r="CO2040" s="128"/>
      <c r="CP2040" s="128"/>
      <c r="CQ2040" s="128"/>
      <c r="CR2040" s="128"/>
      <c r="CS2040" s="128"/>
      <c r="CT2040" s="128"/>
      <c r="CU2040" s="128"/>
      <c r="CV2040" s="128"/>
      <c r="CW2040" s="128"/>
      <c r="CX2040" s="128"/>
      <c r="CY2040" s="128"/>
      <c r="CZ2040" s="165"/>
    </row>
    <row r="2041" spans="1:104">
      <c r="A2041" s="149"/>
      <c r="B2041" s="149"/>
      <c r="C2041" s="150"/>
      <c r="D2041" s="102"/>
      <c r="E2041" s="149"/>
      <c r="F2041" s="149"/>
      <c r="G2041" s="149"/>
      <c r="H2041" s="149"/>
      <c r="I2041" s="149"/>
      <c r="J2041" s="149"/>
      <c r="K2041" s="149"/>
      <c r="L2041" s="149"/>
      <c r="M2041" s="149"/>
      <c r="N2041" s="149"/>
      <c r="O2041" s="149"/>
      <c r="P2041" s="149"/>
      <c r="Q2041" s="149"/>
      <c r="R2041" s="149"/>
      <c r="S2041" s="149"/>
      <c r="T2041" s="149"/>
      <c r="U2041" s="149"/>
      <c r="V2041" s="149"/>
      <c r="W2041" s="149"/>
      <c r="X2041" s="149"/>
      <c r="Y2041" s="149"/>
      <c r="Z2041" s="149"/>
      <c r="AA2041" s="149"/>
      <c r="AB2041" s="149"/>
      <c r="AC2041" s="149"/>
      <c r="AD2041" s="149"/>
      <c r="AE2041" s="149"/>
      <c r="AF2041" s="149"/>
      <c r="AG2041" s="149"/>
      <c r="AH2041" s="149"/>
      <c r="AI2041" s="149"/>
      <c r="AJ2041" s="149"/>
      <c r="AK2041" s="149"/>
      <c r="AL2041" s="149"/>
      <c r="AM2041" s="149"/>
      <c r="AN2041" s="149"/>
      <c r="AO2041" s="128"/>
      <c r="AP2041" s="128"/>
      <c r="AQ2041" s="128"/>
      <c r="AR2041" s="128"/>
      <c r="AS2041" s="128"/>
      <c r="AT2041" s="128"/>
      <c r="AU2041" s="128"/>
      <c r="AV2041" s="128"/>
      <c r="AW2041" s="128"/>
      <c r="AX2041" s="128"/>
      <c r="AY2041" s="128"/>
      <c r="AZ2041" s="128"/>
      <c r="BA2041" s="128"/>
      <c r="BB2041" s="128"/>
      <c r="BC2041" s="128"/>
      <c r="BD2041" s="128"/>
      <c r="BE2041" s="128"/>
      <c r="BF2041" s="128"/>
      <c r="BG2041" s="128"/>
      <c r="BH2041" s="128"/>
      <c r="BI2041" s="128"/>
      <c r="BJ2041" s="128"/>
      <c r="BK2041" s="128"/>
      <c r="BL2041" s="128"/>
      <c r="BM2041" s="151"/>
      <c r="BN2041" s="128"/>
      <c r="BO2041" s="128"/>
      <c r="BP2041" s="128"/>
      <c r="BQ2041" s="128"/>
      <c r="BR2041" s="128"/>
      <c r="BS2041" s="128"/>
      <c r="BT2041" s="128"/>
      <c r="BU2041" s="128"/>
      <c r="BV2041" s="128"/>
      <c r="BW2041" s="128"/>
      <c r="BX2041" s="128"/>
      <c r="BY2041" s="128"/>
      <c r="BZ2041" s="128"/>
      <c r="CA2041" s="128"/>
      <c r="CB2041" s="128"/>
      <c r="CC2041" s="128"/>
      <c r="CD2041" s="128"/>
      <c r="CE2041" s="128"/>
      <c r="CF2041" s="128"/>
      <c r="CG2041" s="128"/>
      <c r="CI2041" s="128"/>
      <c r="CJ2041" s="128"/>
      <c r="CK2041" s="128"/>
      <c r="CL2041" s="128"/>
      <c r="CM2041" s="128"/>
      <c r="CN2041" s="128"/>
      <c r="CO2041" s="128"/>
      <c r="CP2041" s="128"/>
      <c r="CQ2041" s="128"/>
      <c r="CR2041" s="128"/>
      <c r="CS2041" s="128"/>
      <c r="CT2041" s="128"/>
      <c r="CU2041" s="128"/>
      <c r="CV2041" s="128"/>
      <c r="CW2041" s="128"/>
      <c r="CX2041" s="128"/>
      <c r="CY2041" s="128"/>
      <c r="CZ2041" s="165"/>
    </row>
    <row r="2042" spans="1:104">
      <c r="A2042" s="149"/>
      <c r="B2042" s="149"/>
      <c r="C2042" s="150"/>
      <c r="D2042" s="102"/>
      <c r="E2042" s="149"/>
      <c r="F2042" s="149"/>
      <c r="G2042" s="149"/>
      <c r="H2042" s="149"/>
      <c r="I2042" s="149"/>
      <c r="J2042" s="149"/>
      <c r="K2042" s="149"/>
      <c r="L2042" s="149"/>
      <c r="M2042" s="149"/>
      <c r="N2042" s="149"/>
      <c r="O2042" s="149"/>
      <c r="P2042" s="149"/>
      <c r="Q2042" s="149"/>
      <c r="R2042" s="149"/>
      <c r="S2042" s="149"/>
      <c r="T2042" s="149"/>
      <c r="U2042" s="149"/>
      <c r="V2042" s="149"/>
      <c r="W2042" s="149"/>
      <c r="X2042" s="149"/>
      <c r="Y2042" s="149"/>
      <c r="Z2042" s="149"/>
      <c r="AA2042" s="149"/>
      <c r="AB2042" s="149"/>
      <c r="AC2042" s="149"/>
      <c r="AD2042" s="149"/>
      <c r="AE2042" s="149"/>
      <c r="AF2042" s="149"/>
      <c r="AG2042" s="149"/>
      <c r="AH2042" s="149"/>
      <c r="AI2042" s="149"/>
      <c r="AJ2042" s="149"/>
      <c r="AK2042" s="149"/>
      <c r="AL2042" s="149"/>
      <c r="AM2042" s="149"/>
      <c r="AN2042" s="149"/>
      <c r="AO2042" s="128"/>
      <c r="AP2042" s="128"/>
      <c r="AQ2042" s="128"/>
      <c r="AR2042" s="128"/>
      <c r="AS2042" s="128"/>
      <c r="AT2042" s="128"/>
      <c r="AU2042" s="128"/>
      <c r="AV2042" s="128"/>
      <c r="AW2042" s="128"/>
      <c r="AX2042" s="128"/>
      <c r="AY2042" s="128"/>
      <c r="AZ2042" s="128"/>
      <c r="BA2042" s="128"/>
      <c r="BB2042" s="128"/>
      <c r="BC2042" s="128"/>
      <c r="BD2042" s="128"/>
      <c r="BE2042" s="128"/>
      <c r="BF2042" s="128"/>
      <c r="BG2042" s="128"/>
      <c r="BH2042" s="128"/>
      <c r="BI2042" s="128"/>
      <c r="BJ2042" s="128"/>
      <c r="BK2042" s="128"/>
      <c r="BL2042" s="128"/>
      <c r="BM2042" s="151"/>
      <c r="BN2042" s="128"/>
      <c r="BO2042" s="128"/>
      <c r="BP2042" s="128"/>
      <c r="BQ2042" s="128"/>
      <c r="BR2042" s="128"/>
      <c r="BS2042" s="128"/>
      <c r="BT2042" s="128"/>
      <c r="BU2042" s="128"/>
      <c r="BV2042" s="128"/>
      <c r="BW2042" s="128"/>
      <c r="BX2042" s="128"/>
      <c r="BY2042" s="128"/>
      <c r="BZ2042" s="128"/>
      <c r="CA2042" s="128"/>
      <c r="CB2042" s="128"/>
      <c r="CC2042" s="128"/>
      <c r="CD2042" s="128"/>
      <c r="CE2042" s="128"/>
      <c r="CF2042" s="128"/>
      <c r="CG2042" s="128"/>
      <c r="CI2042" s="128"/>
      <c r="CJ2042" s="128"/>
      <c r="CK2042" s="128"/>
      <c r="CL2042" s="128"/>
      <c r="CM2042" s="128"/>
      <c r="CN2042" s="128"/>
      <c r="CO2042" s="128"/>
      <c r="CP2042" s="128"/>
      <c r="CQ2042" s="128"/>
      <c r="CR2042" s="128"/>
      <c r="CS2042" s="128"/>
      <c r="CT2042" s="128"/>
      <c r="CU2042" s="128"/>
      <c r="CV2042" s="128"/>
      <c r="CW2042" s="128"/>
      <c r="CX2042" s="128"/>
      <c r="CY2042" s="128"/>
      <c r="CZ2042" s="165"/>
    </row>
    <row r="2043" spans="1:104">
      <c r="A2043" s="149"/>
      <c r="B2043" s="149"/>
      <c r="C2043" s="150"/>
      <c r="D2043" s="102"/>
      <c r="E2043" s="149"/>
      <c r="F2043" s="149"/>
      <c r="G2043" s="149"/>
      <c r="H2043" s="149"/>
      <c r="I2043" s="149"/>
      <c r="J2043" s="149"/>
      <c r="K2043" s="149"/>
      <c r="L2043" s="149"/>
      <c r="M2043" s="149"/>
      <c r="N2043" s="149"/>
      <c r="O2043" s="149"/>
      <c r="P2043" s="149"/>
      <c r="Q2043" s="149"/>
      <c r="R2043" s="149"/>
      <c r="S2043" s="149"/>
      <c r="T2043" s="149"/>
      <c r="U2043" s="149"/>
      <c r="V2043" s="149"/>
      <c r="W2043" s="149"/>
      <c r="X2043" s="149"/>
      <c r="Y2043" s="149"/>
      <c r="Z2043" s="149"/>
      <c r="AA2043" s="149"/>
      <c r="AB2043" s="149"/>
      <c r="AC2043" s="149"/>
      <c r="AD2043" s="149"/>
      <c r="AE2043" s="149"/>
      <c r="AF2043" s="149"/>
      <c r="AG2043" s="149"/>
      <c r="AH2043" s="149"/>
      <c r="AI2043" s="149"/>
      <c r="AJ2043" s="149"/>
      <c r="AK2043" s="149"/>
      <c r="AL2043" s="149"/>
      <c r="AM2043" s="149"/>
      <c r="AN2043" s="149"/>
      <c r="AO2043" s="128"/>
      <c r="AP2043" s="128"/>
      <c r="AQ2043" s="128"/>
      <c r="AR2043" s="128"/>
      <c r="AS2043" s="128"/>
      <c r="AT2043" s="128"/>
      <c r="AU2043" s="128"/>
      <c r="AV2043" s="128"/>
      <c r="AW2043" s="128"/>
      <c r="AX2043" s="128"/>
      <c r="AY2043" s="128"/>
      <c r="AZ2043" s="128"/>
      <c r="BA2043" s="128"/>
      <c r="BB2043" s="128"/>
      <c r="BC2043" s="128"/>
      <c r="BD2043" s="128"/>
      <c r="BE2043" s="128"/>
      <c r="BF2043" s="128"/>
      <c r="BG2043" s="128"/>
      <c r="BH2043" s="128"/>
      <c r="BI2043" s="128"/>
      <c r="BJ2043" s="128"/>
      <c r="BK2043" s="128"/>
      <c r="BL2043" s="128"/>
      <c r="BM2043" s="151"/>
      <c r="BN2043" s="128"/>
      <c r="BO2043" s="128"/>
      <c r="BP2043" s="128"/>
      <c r="BQ2043" s="128"/>
      <c r="BR2043" s="128"/>
      <c r="BS2043" s="128"/>
      <c r="BT2043" s="128"/>
      <c r="BU2043" s="128"/>
      <c r="BV2043" s="128"/>
      <c r="BW2043" s="128"/>
      <c r="BX2043" s="128"/>
      <c r="BY2043" s="128"/>
      <c r="BZ2043" s="128"/>
      <c r="CA2043" s="128"/>
      <c r="CB2043" s="128"/>
      <c r="CC2043" s="128"/>
      <c r="CD2043" s="128"/>
      <c r="CE2043" s="128"/>
      <c r="CF2043" s="128"/>
      <c r="CG2043" s="128"/>
      <c r="CI2043" s="128"/>
      <c r="CJ2043" s="128"/>
      <c r="CK2043" s="128"/>
      <c r="CL2043" s="128"/>
      <c r="CM2043" s="128"/>
      <c r="CN2043" s="128"/>
      <c r="CO2043" s="128"/>
      <c r="CP2043" s="128"/>
      <c r="CQ2043" s="128"/>
      <c r="CR2043" s="128"/>
      <c r="CS2043" s="128"/>
      <c r="CT2043" s="128"/>
      <c r="CU2043" s="128"/>
      <c r="CV2043" s="128"/>
      <c r="CW2043" s="128"/>
      <c r="CX2043" s="128"/>
      <c r="CY2043" s="128"/>
      <c r="CZ2043" s="165"/>
    </row>
    <row r="2044" spans="1:104">
      <c r="A2044" s="149"/>
      <c r="B2044" s="149"/>
      <c r="C2044" s="150"/>
      <c r="D2044" s="102"/>
      <c r="E2044" s="149"/>
      <c r="F2044" s="149"/>
      <c r="G2044" s="149"/>
      <c r="H2044" s="149"/>
      <c r="I2044" s="149"/>
      <c r="J2044" s="149"/>
      <c r="K2044" s="149"/>
      <c r="L2044" s="149"/>
      <c r="M2044" s="149"/>
      <c r="N2044" s="149"/>
      <c r="O2044" s="149"/>
      <c r="P2044" s="149"/>
      <c r="Q2044" s="149"/>
      <c r="R2044" s="149"/>
      <c r="S2044" s="149"/>
      <c r="T2044" s="149"/>
      <c r="U2044" s="149"/>
      <c r="V2044" s="149"/>
      <c r="W2044" s="149"/>
      <c r="X2044" s="149"/>
      <c r="Y2044" s="149"/>
      <c r="Z2044" s="149"/>
      <c r="AA2044" s="149"/>
      <c r="AB2044" s="149"/>
      <c r="AC2044" s="149"/>
      <c r="AD2044" s="149"/>
      <c r="AE2044" s="149"/>
      <c r="AF2044" s="149"/>
      <c r="AG2044" s="149"/>
      <c r="AH2044" s="149"/>
      <c r="AI2044" s="149"/>
      <c r="AJ2044" s="149"/>
      <c r="AK2044" s="149"/>
      <c r="AL2044" s="149"/>
      <c r="AM2044" s="149"/>
      <c r="AN2044" s="149"/>
      <c r="AO2044" s="128"/>
      <c r="AP2044" s="128"/>
      <c r="AQ2044" s="128"/>
      <c r="AR2044" s="128"/>
      <c r="AS2044" s="128"/>
      <c r="AT2044" s="128"/>
      <c r="AU2044" s="128"/>
      <c r="AV2044" s="128"/>
      <c r="AW2044" s="128"/>
      <c r="AX2044" s="128"/>
      <c r="AY2044" s="128"/>
      <c r="AZ2044" s="128"/>
      <c r="BA2044" s="128"/>
      <c r="BB2044" s="128"/>
      <c r="BC2044" s="128"/>
      <c r="BD2044" s="128"/>
      <c r="BE2044" s="128"/>
      <c r="BF2044" s="128"/>
      <c r="BG2044" s="128"/>
      <c r="BH2044" s="128"/>
      <c r="BI2044" s="128"/>
      <c r="BJ2044" s="128"/>
      <c r="BK2044" s="128"/>
      <c r="BL2044" s="128"/>
      <c r="BM2044" s="151"/>
      <c r="BN2044" s="128"/>
      <c r="BO2044" s="128"/>
      <c r="BP2044" s="128"/>
      <c r="BQ2044" s="128"/>
      <c r="BR2044" s="128"/>
      <c r="BS2044" s="128"/>
      <c r="BT2044" s="128"/>
      <c r="BU2044" s="128"/>
      <c r="BV2044" s="128"/>
      <c r="BW2044" s="128"/>
      <c r="BX2044" s="128"/>
      <c r="BY2044" s="128"/>
      <c r="BZ2044" s="128"/>
      <c r="CA2044" s="128"/>
      <c r="CB2044" s="128"/>
      <c r="CC2044" s="128"/>
      <c r="CD2044" s="128"/>
      <c r="CE2044" s="128"/>
      <c r="CF2044" s="128"/>
      <c r="CG2044" s="128"/>
      <c r="CI2044" s="128"/>
      <c r="CJ2044" s="128"/>
      <c r="CK2044" s="128"/>
      <c r="CL2044" s="128"/>
      <c r="CM2044" s="128"/>
      <c r="CN2044" s="128"/>
      <c r="CO2044" s="128"/>
      <c r="CP2044" s="128"/>
      <c r="CQ2044" s="128"/>
      <c r="CR2044" s="128"/>
      <c r="CS2044" s="128"/>
      <c r="CT2044" s="128"/>
      <c r="CU2044" s="128"/>
      <c r="CV2044" s="128"/>
      <c r="CW2044" s="128"/>
      <c r="CX2044" s="128"/>
      <c r="CY2044" s="128"/>
      <c r="CZ2044" s="165"/>
    </row>
    <row r="2045" spans="1:104">
      <c r="A2045" s="149"/>
      <c r="B2045" s="149"/>
      <c r="C2045" s="150"/>
      <c r="D2045" s="102"/>
      <c r="E2045" s="149"/>
      <c r="F2045" s="149"/>
      <c r="G2045" s="149"/>
      <c r="H2045" s="149"/>
      <c r="I2045" s="149"/>
      <c r="J2045" s="149"/>
      <c r="K2045" s="149"/>
      <c r="L2045" s="149"/>
      <c r="M2045" s="149"/>
      <c r="N2045" s="149"/>
      <c r="O2045" s="149"/>
      <c r="P2045" s="149"/>
      <c r="Q2045" s="149"/>
      <c r="R2045" s="149"/>
      <c r="S2045" s="149"/>
      <c r="T2045" s="149"/>
      <c r="U2045" s="149"/>
      <c r="V2045" s="149"/>
      <c r="W2045" s="149"/>
      <c r="X2045" s="149"/>
      <c r="Y2045" s="149"/>
      <c r="Z2045" s="149"/>
      <c r="AA2045" s="149"/>
      <c r="AB2045" s="149"/>
      <c r="AC2045" s="149"/>
      <c r="AD2045" s="149"/>
      <c r="AE2045" s="149"/>
      <c r="AF2045" s="149"/>
      <c r="AG2045" s="149"/>
      <c r="AH2045" s="149"/>
      <c r="AI2045" s="149"/>
      <c r="AJ2045" s="149"/>
      <c r="AK2045" s="149"/>
      <c r="AL2045" s="149"/>
      <c r="AM2045" s="149"/>
      <c r="AN2045" s="149"/>
      <c r="AO2045" s="128"/>
      <c r="AP2045" s="128"/>
      <c r="AQ2045" s="128"/>
      <c r="AR2045" s="128"/>
      <c r="AS2045" s="128"/>
      <c r="AT2045" s="128"/>
      <c r="AU2045" s="128"/>
      <c r="AV2045" s="128"/>
      <c r="AW2045" s="128"/>
      <c r="AX2045" s="128"/>
      <c r="AY2045" s="128"/>
      <c r="AZ2045" s="128"/>
      <c r="BA2045" s="128"/>
      <c r="BB2045" s="128"/>
      <c r="BC2045" s="128"/>
      <c r="BD2045" s="128"/>
      <c r="BE2045" s="128"/>
      <c r="BF2045" s="128"/>
      <c r="BG2045" s="128"/>
      <c r="BH2045" s="128"/>
      <c r="BI2045" s="128"/>
      <c r="BJ2045" s="128"/>
      <c r="BK2045" s="128"/>
      <c r="BL2045" s="128"/>
      <c r="BM2045" s="151"/>
      <c r="BN2045" s="128"/>
      <c r="BO2045" s="128"/>
      <c r="BP2045" s="128"/>
      <c r="BQ2045" s="128"/>
      <c r="BR2045" s="128"/>
      <c r="BS2045" s="128"/>
      <c r="BT2045" s="128"/>
      <c r="BU2045" s="128"/>
      <c r="BV2045" s="128"/>
      <c r="BW2045" s="128"/>
      <c r="BX2045" s="128"/>
      <c r="BY2045" s="128"/>
      <c r="BZ2045" s="128"/>
      <c r="CA2045" s="128"/>
      <c r="CB2045" s="128"/>
      <c r="CC2045" s="128"/>
      <c r="CD2045" s="128"/>
      <c r="CE2045" s="128"/>
      <c r="CF2045" s="128"/>
      <c r="CG2045" s="128"/>
      <c r="CI2045" s="128"/>
      <c r="CJ2045" s="128"/>
      <c r="CK2045" s="128"/>
      <c r="CL2045" s="128"/>
      <c r="CM2045" s="128"/>
      <c r="CN2045" s="128"/>
      <c r="CO2045" s="128"/>
      <c r="CP2045" s="128"/>
      <c r="CQ2045" s="128"/>
      <c r="CR2045" s="128"/>
      <c r="CS2045" s="128"/>
      <c r="CT2045" s="128"/>
      <c r="CU2045" s="128"/>
      <c r="CV2045" s="128"/>
      <c r="CW2045" s="128"/>
      <c r="CX2045" s="128"/>
      <c r="CY2045" s="128"/>
      <c r="CZ2045" s="165"/>
    </row>
    <row r="2046" spans="1:104">
      <c r="A2046" s="149"/>
      <c r="B2046" s="149"/>
      <c r="C2046" s="150"/>
      <c r="D2046" s="102"/>
      <c r="E2046" s="149"/>
      <c r="F2046" s="149"/>
      <c r="G2046" s="149"/>
      <c r="H2046" s="149"/>
      <c r="I2046" s="149"/>
      <c r="J2046" s="149"/>
      <c r="K2046" s="149"/>
      <c r="L2046" s="149"/>
      <c r="M2046" s="149"/>
      <c r="N2046" s="149"/>
      <c r="O2046" s="149"/>
      <c r="P2046" s="149"/>
      <c r="Q2046" s="149"/>
      <c r="R2046" s="149"/>
      <c r="S2046" s="149"/>
      <c r="T2046" s="149"/>
      <c r="U2046" s="149"/>
      <c r="V2046" s="149"/>
      <c r="W2046" s="149"/>
      <c r="X2046" s="149"/>
      <c r="Y2046" s="149"/>
      <c r="Z2046" s="149"/>
      <c r="AA2046" s="149"/>
      <c r="AB2046" s="149"/>
      <c r="AC2046" s="149"/>
      <c r="AD2046" s="149"/>
      <c r="AE2046" s="149"/>
      <c r="AF2046" s="149"/>
      <c r="AG2046" s="149"/>
      <c r="AH2046" s="149"/>
      <c r="AI2046" s="149"/>
      <c r="AJ2046" s="149"/>
      <c r="AK2046" s="149"/>
      <c r="AL2046" s="149"/>
      <c r="AM2046" s="149"/>
      <c r="AN2046" s="149"/>
      <c r="AO2046" s="128"/>
      <c r="AP2046" s="128"/>
      <c r="AQ2046" s="128"/>
      <c r="AR2046" s="128"/>
      <c r="AS2046" s="128"/>
      <c r="AT2046" s="128"/>
      <c r="AU2046" s="128"/>
      <c r="AV2046" s="128"/>
      <c r="AW2046" s="128"/>
      <c r="AX2046" s="128"/>
      <c r="AY2046" s="128"/>
      <c r="AZ2046" s="128"/>
      <c r="BA2046" s="128"/>
      <c r="BB2046" s="128"/>
      <c r="BC2046" s="128"/>
      <c r="BD2046" s="128"/>
      <c r="BE2046" s="128"/>
      <c r="BF2046" s="128"/>
      <c r="BG2046" s="128"/>
      <c r="BH2046" s="128"/>
      <c r="BI2046" s="128"/>
      <c r="BJ2046" s="128"/>
      <c r="BK2046" s="128"/>
      <c r="BL2046" s="128"/>
      <c r="BM2046" s="151"/>
      <c r="BN2046" s="128"/>
      <c r="BO2046" s="128"/>
      <c r="BP2046" s="128"/>
      <c r="BQ2046" s="128"/>
      <c r="BR2046" s="128"/>
      <c r="BS2046" s="128"/>
      <c r="BT2046" s="128"/>
      <c r="BU2046" s="128"/>
      <c r="BV2046" s="128"/>
      <c r="BW2046" s="128"/>
      <c r="BX2046" s="128"/>
      <c r="BY2046" s="128"/>
      <c r="BZ2046" s="128"/>
      <c r="CA2046" s="128"/>
      <c r="CB2046" s="128"/>
      <c r="CC2046" s="128"/>
      <c r="CD2046" s="128"/>
      <c r="CE2046" s="128"/>
      <c r="CF2046" s="128"/>
      <c r="CG2046" s="128"/>
      <c r="CI2046" s="128"/>
      <c r="CJ2046" s="128"/>
      <c r="CK2046" s="128"/>
      <c r="CL2046" s="128"/>
      <c r="CM2046" s="128"/>
      <c r="CN2046" s="128"/>
      <c r="CO2046" s="128"/>
      <c r="CP2046" s="128"/>
      <c r="CQ2046" s="128"/>
      <c r="CR2046" s="128"/>
      <c r="CS2046" s="128"/>
      <c r="CT2046" s="128"/>
      <c r="CU2046" s="128"/>
      <c r="CV2046" s="128"/>
      <c r="CW2046" s="128"/>
      <c r="CX2046" s="128"/>
      <c r="CY2046" s="128"/>
      <c r="CZ2046" s="165"/>
    </row>
    <row r="2047" spans="1:104">
      <c r="A2047" s="149"/>
      <c r="B2047" s="149"/>
      <c r="C2047" s="150"/>
      <c r="D2047" s="102"/>
      <c r="E2047" s="149"/>
      <c r="F2047" s="149"/>
      <c r="G2047" s="149"/>
      <c r="H2047" s="149"/>
      <c r="I2047" s="149"/>
      <c r="J2047" s="149"/>
      <c r="K2047" s="149"/>
      <c r="L2047" s="149"/>
      <c r="M2047" s="149"/>
      <c r="N2047" s="149"/>
      <c r="O2047" s="149"/>
      <c r="P2047" s="149"/>
      <c r="Q2047" s="149"/>
      <c r="R2047" s="149"/>
      <c r="S2047" s="149"/>
      <c r="T2047" s="149"/>
      <c r="U2047" s="149"/>
      <c r="V2047" s="149"/>
      <c r="W2047" s="149"/>
      <c r="X2047" s="149"/>
      <c r="Y2047" s="149"/>
      <c r="Z2047" s="149"/>
      <c r="AA2047" s="149"/>
      <c r="AB2047" s="149"/>
      <c r="AC2047" s="149"/>
      <c r="AD2047" s="149"/>
      <c r="AE2047" s="149"/>
      <c r="AF2047" s="149"/>
      <c r="AG2047" s="149"/>
      <c r="AH2047" s="149"/>
      <c r="AI2047" s="149"/>
      <c r="AJ2047" s="149"/>
      <c r="AK2047" s="149"/>
      <c r="AL2047" s="149"/>
      <c r="AM2047" s="149"/>
      <c r="AN2047" s="149"/>
      <c r="AO2047" s="128"/>
      <c r="AP2047" s="128"/>
      <c r="AQ2047" s="128"/>
      <c r="AR2047" s="128"/>
      <c r="AS2047" s="128"/>
      <c r="AT2047" s="128"/>
      <c r="AU2047" s="128"/>
      <c r="AV2047" s="128"/>
      <c r="AW2047" s="128"/>
      <c r="AX2047" s="128"/>
      <c r="AY2047" s="128"/>
      <c r="AZ2047" s="128"/>
      <c r="BA2047" s="128"/>
      <c r="BB2047" s="128"/>
      <c r="BC2047" s="128"/>
      <c r="BD2047" s="128"/>
      <c r="BE2047" s="128"/>
      <c r="BF2047" s="128"/>
      <c r="BG2047" s="128"/>
      <c r="BH2047" s="128"/>
      <c r="BI2047" s="128"/>
      <c r="BJ2047" s="128"/>
      <c r="BK2047" s="128"/>
      <c r="BL2047" s="128"/>
      <c r="BM2047" s="151"/>
      <c r="BN2047" s="128"/>
      <c r="BO2047" s="128"/>
      <c r="BP2047" s="128"/>
      <c r="BQ2047" s="128"/>
      <c r="BR2047" s="128"/>
      <c r="BS2047" s="128"/>
      <c r="BT2047" s="128"/>
      <c r="BU2047" s="128"/>
      <c r="BV2047" s="128"/>
      <c r="BW2047" s="128"/>
      <c r="BX2047" s="128"/>
      <c r="BY2047" s="128"/>
      <c r="BZ2047" s="128"/>
      <c r="CA2047" s="128"/>
      <c r="CB2047" s="128"/>
      <c r="CC2047" s="128"/>
      <c r="CD2047" s="128"/>
      <c r="CE2047" s="128"/>
      <c r="CF2047" s="128"/>
      <c r="CG2047" s="128"/>
      <c r="CI2047" s="128"/>
      <c r="CJ2047" s="128"/>
      <c r="CK2047" s="128"/>
      <c r="CL2047" s="128"/>
      <c r="CM2047" s="128"/>
      <c r="CN2047" s="128"/>
      <c r="CO2047" s="128"/>
      <c r="CP2047" s="128"/>
      <c r="CQ2047" s="128"/>
      <c r="CR2047" s="128"/>
      <c r="CS2047" s="128"/>
      <c r="CT2047" s="128"/>
      <c r="CU2047" s="128"/>
      <c r="CV2047" s="128"/>
      <c r="CW2047" s="128"/>
      <c r="CX2047" s="128"/>
      <c r="CY2047" s="128"/>
      <c r="CZ2047" s="165"/>
    </row>
    <row r="2048" spans="1:104">
      <c r="A2048" s="149"/>
      <c r="B2048" s="149"/>
      <c r="C2048" s="150"/>
      <c r="D2048" s="102"/>
      <c r="E2048" s="149"/>
      <c r="F2048" s="149"/>
      <c r="G2048" s="149"/>
      <c r="H2048" s="149"/>
      <c r="I2048" s="149"/>
      <c r="J2048" s="149"/>
      <c r="K2048" s="149"/>
      <c r="L2048" s="149"/>
      <c r="M2048" s="149"/>
      <c r="N2048" s="149"/>
      <c r="O2048" s="149"/>
      <c r="P2048" s="149"/>
      <c r="Q2048" s="149"/>
      <c r="R2048" s="149"/>
      <c r="S2048" s="149"/>
      <c r="T2048" s="149"/>
      <c r="U2048" s="149"/>
      <c r="V2048" s="149"/>
      <c r="W2048" s="149"/>
      <c r="X2048" s="149"/>
      <c r="Y2048" s="149"/>
      <c r="Z2048" s="149"/>
      <c r="AA2048" s="149"/>
      <c r="AB2048" s="149"/>
      <c r="AC2048" s="149"/>
      <c r="AD2048" s="149"/>
      <c r="AE2048" s="149"/>
      <c r="AF2048" s="149"/>
      <c r="AG2048" s="149"/>
      <c r="AH2048" s="149"/>
      <c r="AI2048" s="149"/>
      <c r="AJ2048" s="149"/>
      <c r="AK2048" s="149"/>
      <c r="AL2048" s="149"/>
      <c r="AM2048" s="149"/>
      <c r="AN2048" s="149"/>
      <c r="AO2048" s="128"/>
      <c r="AP2048" s="128"/>
      <c r="AQ2048" s="128"/>
      <c r="AR2048" s="128"/>
      <c r="AS2048" s="128"/>
      <c r="AT2048" s="128"/>
      <c r="AU2048" s="128"/>
      <c r="AV2048" s="128"/>
      <c r="AW2048" s="128"/>
      <c r="AX2048" s="128"/>
      <c r="AY2048" s="128"/>
      <c r="AZ2048" s="128"/>
      <c r="BA2048" s="128"/>
      <c r="BB2048" s="128"/>
      <c r="BC2048" s="128"/>
      <c r="BD2048" s="128"/>
      <c r="BE2048" s="128"/>
      <c r="BF2048" s="128"/>
      <c r="BG2048" s="128"/>
      <c r="BH2048" s="128"/>
      <c r="BI2048" s="128"/>
      <c r="BJ2048" s="128"/>
      <c r="BK2048" s="128"/>
      <c r="BL2048" s="128"/>
      <c r="BM2048" s="151"/>
      <c r="BN2048" s="128"/>
      <c r="BO2048" s="128"/>
      <c r="BP2048" s="128"/>
      <c r="BQ2048" s="128"/>
      <c r="BR2048" s="128"/>
      <c r="BS2048" s="128"/>
      <c r="BT2048" s="128"/>
      <c r="BU2048" s="128"/>
      <c r="BV2048" s="128"/>
      <c r="BW2048" s="128"/>
      <c r="BX2048" s="128"/>
      <c r="BY2048" s="128"/>
      <c r="BZ2048" s="128"/>
      <c r="CA2048" s="128"/>
      <c r="CB2048" s="128"/>
      <c r="CC2048" s="128"/>
      <c r="CD2048" s="128"/>
      <c r="CE2048" s="128"/>
      <c r="CF2048" s="128"/>
      <c r="CG2048" s="128"/>
      <c r="CI2048" s="128"/>
      <c r="CJ2048" s="128"/>
      <c r="CK2048" s="128"/>
      <c r="CL2048" s="128"/>
      <c r="CM2048" s="128"/>
      <c r="CN2048" s="128"/>
      <c r="CO2048" s="128"/>
      <c r="CP2048" s="128"/>
      <c r="CQ2048" s="128"/>
      <c r="CR2048" s="128"/>
      <c r="CS2048" s="128"/>
      <c r="CT2048" s="128"/>
      <c r="CU2048" s="128"/>
      <c r="CV2048" s="128"/>
      <c r="CW2048" s="128"/>
      <c r="CX2048" s="128"/>
      <c r="CY2048" s="128"/>
      <c r="CZ2048" s="165"/>
    </row>
    <row r="2049" spans="1:104">
      <c r="A2049" s="149"/>
      <c r="B2049" s="149"/>
      <c r="C2049" s="150"/>
      <c r="D2049" s="102"/>
      <c r="E2049" s="149"/>
      <c r="F2049" s="149"/>
      <c r="G2049" s="149"/>
      <c r="H2049" s="149"/>
      <c r="I2049" s="149"/>
      <c r="J2049" s="149"/>
      <c r="K2049" s="149"/>
      <c r="L2049" s="149"/>
      <c r="M2049" s="149"/>
      <c r="N2049" s="149"/>
      <c r="O2049" s="149"/>
      <c r="P2049" s="149"/>
      <c r="Q2049" s="149"/>
      <c r="R2049" s="149"/>
      <c r="S2049" s="149"/>
      <c r="T2049" s="149"/>
      <c r="U2049" s="149"/>
      <c r="V2049" s="149"/>
      <c r="W2049" s="149"/>
      <c r="X2049" s="149"/>
      <c r="Y2049" s="149"/>
      <c r="Z2049" s="149"/>
      <c r="AA2049" s="149"/>
      <c r="AB2049" s="149"/>
      <c r="AC2049" s="149"/>
      <c r="AD2049" s="149"/>
      <c r="AE2049" s="149"/>
      <c r="AF2049" s="149"/>
      <c r="AG2049" s="149"/>
      <c r="AH2049" s="149"/>
      <c r="AI2049" s="149"/>
      <c r="AJ2049" s="149"/>
      <c r="AK2049" s="149"/>
      <c r="AL2049" s="149"/>
      <c r="AM2049" s="149"/>
      <c r="AN2049" s="149"/>
      <c r="AO2049" s="128"/>
      <c r="AP2049" s="128"/>
      <c r="AQ2049" s="128"/>
      <c r="AR2049" s="128"/>
      <c r="AS2049" s="128"/>
      <c r="AT2049" s="128"/>
      <c r="AU2049" s="128"/>
      <c r="AV2049" s="128"/>
      <c r="AW2049" s="128"/>
      <c r="AX2049" s="128"/>
      <c r="AY2049" s="128"/>
      <c r="AZ2049" s="128"/>
      <c r="BA2049" s="128"/>
      <c r="BB2049" s="128"/>
      <c r="BC2049" s="128"/>
      <c r="BD2049" s="128"/>
      <c r="BE2049" s="128"/>
      <c r="BF2049" s="128"/>
      <c r="BG2049" s="128"/>
      <c r="BH2049" s="128"/>
      <c r="BI2049" s="128"/>
      <c r="BJ2049" s="128"/>
      <c r="BK2049" s="128"/>
      <c r="BL2049" s="128"/>
      <c r="BM2049" s="151"/>
      <c r="BN2049" s="128"/>
      <c r="BO2049" s="128"/>
      <c r="BP2049" s="128"/>
      <c r="BQ2049" s="128"/>
      <c r="BR2049" s="128"/>
      <c r="BS2049" s="128"/>
      <c r="BT2049" s="128"/>
      <c r="BU2049" s="128"/>
      <c r="BV2049" s="128"/>
      <c r="BW2049" s="128"/>
      <c r="BX2049" s="128"/>
      <c r="BY2049" s="128"/>
      <c r="BZ2049" s="128"/>
      <c r="CA2049" s="128"/>
      <c r="CB2049" s="128"/>
      <c r="CC2049" s="128"/>
      <c r="CD2049" s="128"/>
      <c r="CE2049" s="128"/>
      <c r="CF2049" s="128"/>
      <c r="CG2049" s="128"/>
      <c r="CI2049" s="128"/>
      <c r="CJ2049" s="128"/>
      <c r="CK2049" s="128"/>
      <c r="CL2049" s="128"/>
      <c r="CM2049" s="128"/>
      <c r="CN2049" s="128"/>
      <c r="CO2049" s="128"/>
      <c r="CP2049" s="128"/>
      <c r="CQ2049" s="128"/>
      <c r="CR2049" s="128"/>
      <c r="CS2049" s="128"/>
      <c r="CT2049" s="128"/>
      <c r="CU2049" s="128"/>
      <c r="CV2049" s="128"/>
      <c r="CW2049" s="128"/>
      <c r="CX2049" s="128"/>
      <c r="CY2049" s="128"/>
      <c r="CZ2049" s="165"/>
    </row>
    <row r="2050" spans="1:104">
      <c r="A2050" s="149"/>
      <c r="B2050" s="149"/>
      <c r="C2050" s="150"/>
      <c r="D2050" s="102"/>
      <c r="E2050" s="149"/>
      <c r="F2050" s="149"/>
      <c r="G2050" s="149"/>
      <c r="H2050" s="149"/>
      <c r="I2050" s="149"/>
      <c r="J2050" s="149"/>
      <c r="K2050" s="149"/>
      <c r="L2050" s="149"/>
      <c r="M2050" s="149"/>
      <c r="N2050" s="149"/>
      <c r="O2050" s="149"/>
      <c r="P2050" s="149"/>
      <c r="Q2050" s="149"/>
      <c r="R2050" s="149"/>
      <c r="S2050" s="149"/>
      <c r="T2050" s="149"/>
      <c r="U2050" s="149"/>
      <c r="V2050" s="149"/>
      <c r="W2050" s="149"/>
      <c r="X2050" s="149"/>
      <c r="Y2050" s="149"/>
      <c r="Z2050" s="149"/>
      <c r="AA2050" s="149"/>
      <c r="AB2050" s="149"/>
      <c r="AC2050" s="149"/>
      <c r="AD2050" s="149"/>
      <c r="AE2050" s="149"/>
      <c r="AF2050" s="149"/>
      <c r="AG2050" s="149"/>
      <c r="AH2050" s="149"/>
      <c r="AI2050" s="149"/>
      <c r="AJ2050" s="149"/>
      <c r="AK2050" s="149"/>
      <c r="AL2050" s="149"/>
      <c r="AM2050" s="149"/>
      <c r="AN2050" s="149"/>
      <c r="AO2050" s="128"/>
      <c r="AP2050" s="128"/>
      <c r="AQ2050" s="128"/>
      <c r="AR2050" s="128"/>
      <c r="AS2050" s="128"/>
      <c r="AT2050" s="128"/>
      <c r="AU2050" s="128"/>
      <c r="AV2050" s="128"/>
      <c r="AW2050" s="128"/>
      <c r="AX2050" s="128"/>
      <c r="AY2050" s="128"/>
      <c r="AZ2050" s="128"/>
      <c r="BA2050" s="128"/>
      <c r="BB2050" s="128"/>
      <c r="BC2050" s="128"/>
      <c r="BD2050" s="128"/>
      <c r="BE2050" s="128"/>
      <c r="BF2050" s="128"/>
      <c r="BG2050" s="128"/>
      <c r="BH2050" s="128"/>
      <c r="BI2050" s="128"/>
      <c r="BJ2050" s="128"/>
      <c r="BK2050" s="128"/>
      <c r="BL2050" s="128"/>
      <c r="BM2050" s="151"/>
      <c r="BN2050" s="128"/>
      <c r="BO2050" s="128"/>
      <c r="BP2050" s="128"/>
      <c r="BQ2050" s="128"/>
      <c r="BR2050" s="128"/>
      <c r="BS2050" s="128"/>
      <c r="BT2050" s="128"/>
      <c r="BU2050" s="128"/>
      <c r="BV2050" s="128"/>
      <c r="BW2050" s="128"/>
      <c r="BX2050" s="128"/>
      <c r="BY2050" s="128"/>
      <c r="BZ2050" s="128"/>
      <c r="CA2050" s="128"/>
      <c r="CB2050" s="128"/>
      <c r="CC2050" s="128"/>
      <c r="CD2050" s="128"/>
      <c r="CE2050" s="128"/>
      <c r="CF2050" s="128"/>
      <c r="CG2050" s="128"/>
      <c r="CI2050" s="128"/>
      <c r="CJ2050" s="128"/>
      <c r="CK2050" s="128"/>
      <c r="CL2050" s="128"/>
      <c r="CM2050" s="128"/>
      <c r="CN2050" s="128"/>
      <c r="CO2050" s="128"/>
      <c r="CP2050" s="128"/>
      <c r="CQ2050" s="128"/>
      <c r="CR2050" s="128"/>
      <c r="CS2050" s="128"/>
      <c r="CT2050" s="128"/>
      <c r="CU2050" s="128"/>
      <c r="CV2050" s="128"/>
      <c r="CW2050" s="128"/>
      <c r="CX2050" s="128"/>
      <c r="CY2050" s="128"/>
      <c r="CZ2050" s="165"/>
    </row>
    <row r="2051" spans="1:104">
      <c r="A2051" s="149"/>
      <c r="B2051" s="149"/>
      <c r="C2051" s="150"/>
      <c r="D2051" s="102"/>
      <c r="E2051" s="149"/>
      <c r="F2051" s="149"/>
      <c r="G2051" s="149"/>
      <c r="H2051" s="149"/>
      <c r="I2051" s="149"/>
      <c r="J2051" s="149"/>
      <c r="K2051" s="149"/>
      <c r="L2051" s="149"/>
      <c r="M2051" s="149"/>
      <c r="N2051" s="149"/>
      <c r="O2051" s="149"/>
      <c r="P2051" s="149"/>
      <c r="Q2051" s="149"/>
      <c r="R2051" s="149"/>
      <c r="S2051" s="149"/>
      <c r="T2051" s="149"/>
      <c r="U2051" s="149"/>
      <c r="V2051" s="149"/>
      <c r="W2051" s="149"/>
      <c r="X2051" s="149"/>
      <c r="Y2051" s="149"/>
      <c r="Z2051" s="149"/>
      <c r="AA2051" s="149"/>
      <c r="AB2051" s="149"/>
      <c r="AC2051" s="149"/>
      <c r="AD2051" s="149"/>
      <c r="AE2051" s="149"/>
      <c r="AF2051" s="149"/>
      <c r="AG2051" s="149"/>
      <c r="AH2051" s="149"/>
      <c r="AI2051" s="149"/>
      <c r="AJ2051" s="149"/>
      <c r="AK2051" s="149"/>
      <c r="AL2051" s="149"/>
      <c r="AM2051" s="149"/>
      <c r="AN2051" s="149"/>
      <c r="AO2051" s="128"/>
      <c r="AP2051" s="128"/>
      <c r="AQ2051" s="128"/>
      <c r="AR2051" s="128"/>
      <c r="AS2051" s="128"/>
      <c r="AT2051" s="128"/>
      <c r="AU2051" s="128"/>
      <c r="AV2051" s="128"/>
      <c r="AW2051" s="128"/>
      <c r="AX2051" s="128"/>
      <c r="AY2051" s="128"/>
      <c r="AZ2051" s="128"/>
      <c r="BA2051" s="128"/>
      <c r="BB2051" s="128"/>
      <c r="BC2051" s="128"/>
      <c r="BD2051" s="128"/>
      <c r="BE2051" s="128"/>
      <c r="BF2051" s="128"/>
      <c r="BG2051" s="128"/>
      <c r="BH2051" s="128"/>
      <c r="BI2051" s="128"/>
      <c r="BJ2051" s="128"/>
      <c r="BK2051" s="128"/>
      <c r="BL2051" s="128"/>
      <c r="BM2051" s="151"/>
      <c r="BN2051" s="128"/>
      <c r="BO2051" s="128"/>
      <c r="BP2051" s="128"/>
      <c r="BQ2051" s="128"/>
      <c r="BR2051" s="128"/>
      <c r="BS2051" s="128"/>
      <c r="BT2051" s="128"/>
      <c r="BU2051" s="128"/>
      <c r="BV2051" s="128"/>
      <c r="BW2051" s="128"/>
      <c r="BX2051" s="128"/>
      <c r="BY2051" s="128"/>
      <c r="BZ2051" s="128"/>
      <c r="CA2051" s="128"/>
      <c r="CB2051" s="128"/>
      <c r="CC2051" s="128"/>
      <c r="CD2051" s="128"/>
      <c r="CE2051" s="128"/>
      <c r="CF2051" s="128"/>
      <c r="CG2051" s="128"/>
      <c r="CI2051" s="128"/>
      <c r="CJ2051" s="128"/>
      <c r="CK2051" s="128"/>
      <c r="CL2051" s="128"/>
      <c r="CM2051" s="128"/>
      <c r="CN2051" s="128"/>
      <c r="CO2051" s="128"/>
      <c r="CP2051" s="128"/>
      <c r="CQ2051" s="128"/>
      <c r="CR2051" s="128"/>
      <c r="CS2051" s="128"/>
      <c r="CT2051" s="128"/>
      <c r="CU2051" s="128"/>
      <c r="CV2051" s="128"/>
      <c r="CW2051" s="128"/>
      <c r="CX2051" s="128"/>
      <c r="CY2051" s="128"/>
      <c r="CZ2051" s="165"/>
    </row>
    <row r="2052" spans="1:104">
      <c r="A2052" s="149"/>
      <c r="B2052" s="149"/>
      <c r="C2052" s="150"/>
      <c r="D2052" s="102"/>
      <c r="E2052" s="149"/>
      <c r="F2052" s="149"/>
      <c r="G2052" s="149"/>
      <c r="H2052" s="149"/>
      <c r="I2052" s="149"/>
      <c r="J2052" s="149"/>
      <c r="K2052" s="149"/>
      <c r="L2052" s="149"/>
      <c r="M2052" s="149"/>
      <c r="N2052" s="149"/>
      <c r="O2052" s="149"/>
      <c r="P2052" s="149"/>
      <c r="Q2052" s="149"/>
      <c r="R2052" s="149"/>
      <c r="S2052" s="149"/>
      <c r="T2052" s="149"/>
      <c r="U2052" s="149"/>
      <c r="V2052" s="149"/>
      <c r="W2052" s="149"/>
      <c r="X2052" s="149"/>
      <c r="Y2052" s="149"/>
      <c r="Z2052" s="149"/>
      <c r="AA2052" s="149"/>
      <c r="AB2052" s="149"/>
      <c r="AC2052" s="149"/>
      <c r="AD2052" s="149"/>
      <c r="AE2052" s="149"/>
      <c r="AF2052" s="149"/>
      <c r="AG2052" s="149"/>
      <c r="AH2052" s="149"/>
      <c r="AI2052" s="149"/>
      <c r="AJ2052" s="149"/>
      <c r="AK2052" s="149"/>
      <c r="AL2052" s="149"/>
      <c r="AM2052" s="149"/>
      <c r="AN2052" s="149"/>
      <c r="AO2052" s="128"/>
      <c r="AP2052" s="128"/>
      <c r="AQ2052" s="128"/>
      <c r="AR2052" s="128"/>
      <c r="AS2052" s="128"/>
      <c r="AT2052" s="128"/>
      <c r="AU2052" s="128"/>
      <c r="AV2052" s="128"/>
      <c r="AW2052" s="128"/>
      <c r="AX2052" s="128"/>
      <c r="AY2052" s="128"/>
      <c r="AZ2052" s="128"/>
      <c r="BA2052" s="128"/>
      <c r="BB2052" s="128"/>
      <c r="BC2052" s="128"/>
      <c r="BD2052" s="128"/>
      <c r="BE2052" s="128"/>
      <c r="BF2052" s="128"/>
      <c r="BG2052" s="128"/>
      <c r="BH2052" s="128"/>
      <c r="BI2052" s="128"/>
      <c r="BJ2052" s="128"/>
      <c r="BK2052" s="128"/>
      <c r="BL2052" s="128"/>
      <c r="BM2052" s="151"/>
      <c r="BN2052" s="128"/>
      <c r="BO2052" s="128"/>
      <c r="BP2052" s="128"/>
      <c r="BQ2052" s="128"/>
      <c r="BR2052" s="128"/>
      <c r="BS2052" s="128"/>
      <c r="BT2052" s="128"/>
      <c r="BU2052" s="128"/>
      <c r="BV2052" s="128"/>
      <c r="BW2052" s="128"/>
      <c r="BX2052" s="128"/>
      <c r="BY2052" s="128"/>
      <c r="BZ2052" s="128"/>
      <c r="CA2052" s="128"/>
      <c r="CB2052" s="128"/>
      <c r="CC2052" s="128"/>
      <c r="CD2052" s="128"/>
      <c r="CE2052" s="128"/>
      <c r="CF2052" s="128"/>
      <c r="CG2052" s="128"/>
      <c r="CI2052" s="128"/>
      <c r="CJ2052" s="128"/>
      <c r="CK2052" s="128"/>
      <c r="CL2052" s="128"/>
      <c r="CM2052" s="128"/>
      <c r="CN2052" s="128"/>
      <c r="CO2052" s="128"/>
      <c r="CP2052" s="128"/>
      <c r="CQ2052" s="128"/>
      <c r="CR2052" s="128"/>
      <c r="CS2052" s="128"/>
      <c r="CT2052" s="128"/>
      <c r="CU2052" s="128"/>
      <c r="CV2052" s="128"/>
      <c r="CW2052" s="128"/>
      <c r="CX2052" s="128"/>
      <c r="CY2052" s="128"/>
      <c r="CZ2052" s="165"/>
    </row>
    <row r="2053" spans="1:104">
      <c r="A2053" s="149"/>
      <c r="B2053" s="149"/>
      <c r="C2053" s="150"/>
      <c r="D2053" s="102"/>
      <c r="E2053" s="149"/>
      <c r="F2053" s="149"/>
      <c r="G2053" s="149"/>
      <c r="H2053" s="149"/>
      <c r="I2053" s="149"/>
      <c r="J2053" s="149"/>
      <c r="K2053" s="149"/>
      <c r="L2053" s="149"/>
      <c r="M2053" s="149"/>
      <c r="N2053" s="149"/>
      <c r="O2053" s="149"/>
      <c r="P2053" s="149"/>
      <c r="Q2053" s="149"/>
      <c r="R2053" s="149"/>
      <c r="S2053" s="149"/>
      <c r="T2053" s="149"/>
      <c r="U2053" s="149"/>
      <c r="V2053" s="149"/>
      <c r="W2053" s="149"/>
      <c r="X2053" s="149"/>
      <c r="Y2053" s="149"/>
      <c r="Z2053" s="149"/>
      <c r="AA2053" s="149"/>
      <c r="AB2053" s="149"/>
      <c r="AC2053" s="149"/>
      <c r="AD2053" s="149"/>
      <c r="AE2053" s="149"/>
      <c r="AF2053" s="149"/>
      <c r="AG2053" s="149"/>
      <c r="AH2053" s="149"/>
      <c r="AI2053" s="149"/>
      <c r="AJ2053" s="149"/>
      <c r="AK2053" s="149"/>
      <c r="AL2053" s="149"/>
      <c r="AM2053" s="149"/>
      <c r="AN2053" s="149"/>
      <c r="AO2053" s="128"/>
      <c r="AP2053" s="128"/>
      <c r="AQ2053" s="128"/>
      <c r="AR2053" s="128"/>
      <c r="AS2053" s="128"/>
      <c r="AT2053" s="128"/>
      <c r="AU2053" s="128"/>
      <c r="AV2053" s="128"/>
      <c r="AW2053" s="128"/>
      <c r="AX2053" s="128"/>
      <c r="AY2053" s="128"/>
      <c r="AZ2053" s="128"/>
      <c r="BA2053" s="128"/>
      <c r="BB2053" s="128"/>
      <c r="BC2053" s="128"/>
      <c r="BD2053" s="128"/>
      <c r="BE2053" s="128"/>
      <c r="BF2053" s="128"/>
      <c r="BG2053" s="128"/>
      <c r="BH2053" s="128"/>
      <c r="BI2053" s="128"/>
      <c r="BJ2053" s="128"/>
      <c r="BK2053" s="128"/>
      <c r="BL2053" s="128"/>
      <c r="BM2053" s="151"/>
      <c r="BN2053" s="128"/>
      <c r="BO2053" s="128"/>
      <c r="BP2053" s="128"/>
      <c r="BQ2053" s="128"/>
      <c r="BR2053" s="128"/>
      <c r="BS2053" s="128"/>
      <c r="BT2053" s="128"/>
      <c r="BU2053" s="128"/>
      <c r="BV2053" s="128"/>
      <c r="BW2053" s="128"/>
      <c r="BX2053" s="128"/>
      <c r="BY2053" s="128"/>
      <c r="BZ2053" s="128"/>
      <c r="CA2053" s="128"/>
      <c r="CB2053" s="128"/>
      <c r="CC2053" s="128"/>
      <c r="CD2053" s="128"/>
      <c r="CE2053" s="128"/>
      <c r="CF2053" s="128"/>
      <c r="CG2053" s="128"/>
      <c r="CI2053" s="128"/>
      <c r="CJ2053" s="128"/>
      <c r="CK2053" s="128"/>
      <c r="CL2053" s="128"/>
      <c r="CM2053" s="128"/>
      <c r="CN2053" s="128"/>
      <c r="CO2053" s="128"/>
      <c r="CP2053" s="128"/>
      <c r="CQ2053" s="128"/>
      <c r="CR2053" s="128"/>
      <c r="CS2053" s="128"/>
      <c r="CT2053" s="128"/>
      <c r="CU2053" s="128"/>
      <c r="CV2053" s="128"/>
      <c r="CW2053" s="128"/>
      <c r="CX2053" s="128"/>
      <c r="CY2053" s="128"/>
      <c r="CZ2053" s="165"/>
    </row>
    <row r="2054" spans="1:104">
      <c r="A2054" s="149"/>
      <c r="B2054" s="149"/>
      <c r="C2054" s="150"/>
      <c r="D2054" s="102"/>
      <c r="E2054" s="149"/>
      <c r="F2054" s="149"/>
      <c r="G2054" s="149"/>
      <c r="H2054" s="149"/>
      <c r="I2054" s="149"/>
      <c r="J2054" s="149"/>
      <c r="K2054" s="149"/>
      <c r="L2054" s="149"/>
      <c r="M2054" s="149"/>
      <c r="N2054" s="149"/>
      <c r="O2054" s="149"/>
      <c r="P2054" s="149"/>
      <c r="Q2054" s="149"/>
      <c r="R2054" s="149"/>
      <c r="S2054" s="149"/>
      <c r="T2054" s="149"/>
      <c r="U2054" s="149"/>
      <c r="V2054" s="149"/>
      <c r="W2054" s="149"/>
      <c r="X2054" s="149"/>
      <c r="Y2054" s="149"/>
      <c r="Z2054" s="149"/>
      <c r="AA2054" s="149"/>
      <c r="AB2054" s="149"/>
      <c r="AC2054" s="149"/>
      <c r="AD2054" s="149"/>
      <c r="AE2054" s="149"/>
      <c r="AF2054" s="149"/>
      <c r="AG2054" s="149"/>
      <c r="AH2054" s="149"/>
      <c r="AI2054" s="149"/>
      <c r="AJ2054" s="149"/>
      <c r="AK2054" s="149"/>
      <c r="AL2054" s="149"/>
      <c r="AM2054" s="149"/>
      <c r="AN2054" s="149"/>
      <c r="AO2054" s="128"/>
      <c r="AP2054" s="128"/>
      <c r="AQ2054" s="128"/>
      <c r="AR2054" s="128"/>
      <c r="AS2054" s="128"/>
      <c r="AT2054" s="128"/>
      <c r="AU2054" s="128"/>
      <c r="AV2054" s="128"/>
      <c r="AW2054" s="128"/>
      <c r="AX2054" s="128"/>
      <c r="AY2054" s="128"/>
      <c r="AZ2054" s="128"/>
      <c r="BA2054" s="128"/>
      <c r="BB2054" s="128"/>
      <c r="BC2054" s="128"/>
      <c r="BD2054" s="128"/>
      <c r="BE2054" s="128"/>
      <c r="BF2054" s="128"/>
      <c r="BG2054" s="128"/>
      <c r="BH2054" s="128"/>
      <c r="BI2054" s="128"/>
      <c r="BJ2054" s="128"/>
      <c r="BK2054" s="128"/>
      <c r="BL2054" s="128"/>
      <c r="BM2054" s="151"/>
      <c r="BN2054" s="128"/>
      <c r="BO2054" s="128"/>
      <c r="BP2054" s="128"/>
      <c r="BQ2054" s="128"/>
      <c r="BR2054" s="128"/>
      <c r="BS2054" s="128"/>
      <c r="BT2054" s="128"/>
      <c r="BU2054" s="128"/>
      <c r="BV2054" s="128"/>
      <c r="BW2054" s="128"/>
      <c r="BX2054" s="128"/>
      <c r="BY2054" s="128"/>
      <c r="BZ2054" s="128"/>
      <c r="CA2054" s="128"/>
      <c r="CB2054" s="128"/>
      <c r="CC2054" s="128"/>
      <c r="CD2054" s="128"/>
      <c r="CE2054" s="128"/>
      <c r="CF2054" s="128"/>
      <c r="CG2054" s="128"/>
      <c r="CI2054" s="128"/>
      <c r="CJ2054" s="128"/>
      <c r="CK2054" s="128"/>
      <c r="CL2054" s="128"/>
      <c r="CM2054" s="128"/>
      <c r="CN2054" s="128"/>
      <c r="CO2054" s="128"/>
      <c r="CP2054" s="128"/>
      <c r="CQ2054" s="128"/>
      <c r="CR2054" s="128"/>
      <c r="CS2054" s="128"/>
      <c r="CT2054" s="128"/>
      <c r="CU2054" s="128"/>
      <c r="CV2054" s="128"/>
      <c r="CW2054" s="128"/>
      <c r="CX2054" s="128"/>
      <c r="CY2054" s="128"/>
      <c r="CZ2054" s="165"/>
    </row>
    <row r="2055" spans="1:104">
      <c r="A2055" s="149"/>
      <c r="B2055" s="149"/>
      <c r="C2055" s="150"/>
      <c r="D2055" s="102"/>
      <c r="E2055" s="149"/>
      <c r="F2055" s="149"/>
      <c r="G2055" s="149"/>
      <c r="H2055" s="149"/>
      <c r="I2055" s="149"/>
      <c r="J2055" s="149"/>
      <c r="K2055" s="149"/>
      <c r="L2055" s="149"/>
      <c r="M2055" s="149"/>
      <c r="N2055" s="149"/>
      <c r="O2055" s="149"/>
      <c r="P2055" s="149"/>
      <c r="Q2055" s="149"/>
      <c r="R2055" s="149"/>
      <c r="S2055" s="149"/>
      <c r="T2055" s="149"/>
      <c r="U2055" s="149"/>
      <c r="V2055" s="149"/>
      <c r="W2055" s="149"/>
      <c r="X2055" s="149"/>
      <c r="Y2055" s="149"/>
      <c r="Z2055" s="149"/>
      <c r="AA2055" s="149"/>
      <c r="AB2055" s="149"/>
      <c r="AC2055" s="149"/>
      <c r="AD2055" s="149"/>
      <c r="AE2055" s="149"/>
      <c r="AF2055" s="149"/>
      <c r="AG2055" s="149"/>
      <c r="AH2055" s="149"/>
      <c r="AI2055" s="149"/>
      <c r="AJ2055" s="149"/>
      <c r="AK2055" s="149"/>
      <c r="AL2055" s="149"/>
      <c r="AM2055" s="149"/>
      <c r="AN2055" s="149"/>
      <c r="AO2055" s="128"/>
      <c r="AP2055" s="128"/>
      <c r="AQ2055" s="128"/>
      <c r="AR2055" s="128"/>
      <c r="AS2055" s="128"/>
      <c r="AT2055" s="128"/>
      <c r="AU2055" s="128"/>
      <c r="AV2055" s="128"/>
      <c r="AW2055" s="128"/>
      <c r="AX2055" s="128"/>
      <c r="AY2055" s="128"/>
      <c r="AZ2055" s="128"/>
      <c r="BA2055" s="128"/>
      <c r="BB2055" s="128"/>
      <c r="BC2055" s="128"/>
      <c r="BD2055" s="128"/>
      <c r="BE2055" s="128"/>
      <c r="BF2055" s="128"/>
      <c r="BG2055" s="128"/>
      <c r="BH2055" s="128"/>
      <c r="BI2055" s="128"/>
      <c r="BJ2055" s="128"/>
      <c r="BK2055" s="128"/>
      <c r="BL2055" s="128"/>
      <c r="BM2055" s="151"/>
      <c r="BN2055" s="128"/>
      <c r="BO2055" s="128"/>
      <c r="BP2055" s="128"/>
      <c r="BQ2055" s="128"/>
      <c r="BR2055" s="128"/>
      <c r="BS2055" s="128"/>
      <c r="BT2055" s="128"/>
      <c r="BU2055" s="128"/>
      <c r="BV2055" s="128"/>
      <c r="BW2055" s="128"/>
      <c r="BX2055" s="128"/>
      <c r="BY2055" s="128"/>
      <c r="BZ2055" s="128"/>
      <c r="CA2055" s="128"/>
      <c r="CB2055" s="128"/>
      <c r="CC2055" s="128"/>
      <c r="CD2055" s="128"/>
      <c r="CE2055" s="128"/>
      <c r="CF2055" s="128"/>
      <c r="CG2055" s="128"/>
      <c r="CI2055" s="128"/>
      <c r="CJ2055" s="128"/>
      <c r="CK2055" s="128"/>
      <c r="CL2055" s="128"/>
      <c r="CM2055" s="128"/>
      <c r="CN2055" s="128"/>
      <c r="CO2055" s="128"/>
      <c r="CP2055" s="128"/>
      <c r="CQ2055" s="128"/>
      <c r="CR2055" s="128"/>
      <c r="CS2055" s="128"/>
      <c r="CT2055" s="128"/>
      <c r="CU2055" s="128"/>
      <c r="CV2055" s="128"/>
      <c r="CW2055" s="128"/>
      <c r="CX2055" s="128"/>
      <c r="CY2055" s="128"/>
      <c r="CZ2055" s="165"/>
    </row>
    <row r="2056" spans="1:104">
      <c r="A2056" s="149"/>
      <c r="B2056" s="149"/>
      <c r="C2056" s="150"/>
      <c r="D2056" s="102"/>
      <c r="E2056" s="149"/>
      <c r="F2056" s="149"/>
      <c r="G2056" s="149"/>
      <c r="H2056" s="149"/>
      <c r="I2056" s="149"/>
      <c r="J2056" s="149"/>
      <c r="K2056" s="149"/>
      <c r="L2056" s="149"/>
      <c r="M2056" s="149"/>
      <c r="N2056" s="149"/>
      <c r="O2056" s="149"/>
      <c r="P2056" s="149"/>
      <c r="Q2056" s="149"/>
      <c r="R2056" s="149"/>
      <c r="S2056" s="149"/>
      <c r="T2056" s="149"/>
      <c r="U2056" s="149"/>
      <c r="V2056" s="149"/>
      <c r="W2056" s="149"/>
      <c r="X2056" s="149"/>
      <c r="Y2056" s="149"/>
      <c r="Z2056" s="149"/>
      <c r="AA2056" s="149"/>
      <c r="AB2056" s="149"/>
      <c r="AC2056" s="149"/>
      <c r="AD2056" s="149"/>
      <c r="AE2056" s="149"/>
      <c r="AF2056" s="149"/>
      <c r="AG2056" s="149"/>
      <c r="AH2056" s="149"/>
      <c r="AI2056" s="149"/>
      <c r="AJ2056" s="149"/>
      <c r="AK2056" s="149"/>
      <c r="AL2056" s="149"/>
      <c r="AM2056" s="149"/>
      <c r="AN2056" s="149"/>
      <c r="AO2056" s="128"/>
      <c r="AP2056" s="128"/>
      <c r="AQ2056" s="128"/>
      <c r="AR2056" s="128"/>
      <c r="AS2056" s="128"/>
      <c r="AT2056" s="128"/>
      <c r="AU2056" s="128"/>
      <c r="AV2056" s="128"/>
      <c r="AW2056" s="128"/>
      <c r="AX2056" s="128"/>
      <c r="AY2056" s="128"/>
      <c r="AZ2056" s="128"/>
      <c r="BA2056" s="128"/>
      <c r="BB2056" s="128"/>
      <c r="BC2056" s="128"/>
      <c r="BD2056" s="128"/>
      <c r="BE2056" s="128"/>
      <c r="BF2056" s="128"/>
      <c r="BG2056" s="128"/>
      <c r="BH2056" s="128"/>
      <c r="BI2056" s="128"/>
      <c r="BJ2056" s="128"/>
      <c r="BK2056" s="128"/>
      <c r="BL2056" s="128"/>
      <c r="BM2056" s="151"/>
      <c r="BN2056" s="128"/>
      <c r="BO2056" s="128"/>
      <c r="BP2056" s="128"/>
      <c r="BQ2056" s="128"/>
      <c r="BR2056" s="128"/>
      <c r="BS2056" s="128"/>
      <c r="BT2056" s="128"/>
      <c r="BU2056" s="128"/>
      <c r="BV2056" s="128"/>
      <c r="BW2056" s="128"/>
      <c r="BX2056" s="128"/>
      <c r="BY2056" s="128"/>
      <c r="BZ2056" s="128"/>
      <c r="CA2056" s="128"/>
      <c r="CB2056" s="128"/>
      <c r="CC2056" s="128"/>
      <c r="CD2056" s="128"/>
      <c r="CE2056" s="128"/>
      <c r="CF2056" s="128"/>
      <c r="CG2056" s="128"/>
      <c r="CI2056" s="128"/>
      <c r="CJ2056" s="128"/>
      <c r="CK2056" s="128"/>
      <c r="CL2056" s="128"/>
      <c r="CM2056" s="128"/>
      <c r="CN2056" s="128"/>
      <c r="CO2056" s="128"/>
      <c r="CP2056" s="128"/>
      <c r="CQ2056" s="128"/>
      <c r="CR2056" s="128"/>
      <c r="CS2056" s="128"/>
      <c r="CT2056" s="128"/>
      <c r="CU2056" s="128"/>
      <c r="CV2056" s="128"/>
      <c r="CW2056" s="128"/>
      <c r="CX2056" s="128"/>
      <c r="CY2056" s="128"/>
      <c r="CZ2056" s="165"/>
    </row>
    <row r="2057" spans="1:104">
      <c r="A2057" s="149"/>
      <c r="B2057" s="149"/>
      <c r="C2057" s="150"/>
      <c r="D2057" s="102"/>
      <c r="E2057" s="149"/>
      <c r="F2057" s="149"/>
      <c r="G2057" s="149"/>
      <c r="H2057" s="149"/>
      <c r="I2057" s="149"/>
      <c r="J2057" s="149"/>
      <c r="K2057" s="149"/>
      <c r="L2057" s="149"/>
      <c r="M2057" s="149"/>
      <c r="N2057" s="149"/>
      <c r="O2057" s="149"/>
      <c r="P2057" s="149"/>
      <c r="Q2057" s="149"/>
      <c r="R2057" s="149"/>
      <c r="S2057" s="149"/>
      <c r="T2057" s="149"/>
      <c r="U2057" s="149"/>
      <c r="V2057" s="149"/>
      <c r="W2057" s="149"/>
      <c r="X2057" s="149"/>
      <c r="Y2057" s="149"/>
      <c r="Z2057" s="149"/>
      <c r="AA2057" s="149"/>
      <c r="AB2057" s="149"/>
      <c r="AC2057" s="149"/>
      <c r="AD2057" s="149"/>
      <c r="AE2057" s="149"/>
      <c r="AF2057" s="149"/>
      <c r="AG2057" s="149"/>
      <c r="AH2057" s="149"/>
      <c r="AI2057" s="149"/>
      <c r="AJ2057" s="149"/>
      <c r="AK2057" s="149"/>
      <c r="AL2057" s="149"/>
      <c r="AM2057" s="149"/>
      <c r="AN2057" s="149"/>
      <c r="AO2057" s="128"/>
      <c r="AP2057" s="128"/>
      <c r="AQ2057" s="128"/>
      <c r="AR2057" s="128"/>
      <c r="AS2057" s="128"/>
      <c r="AT2057" s="128"/>
      <c r="AU2057" s="128"/>
      <c r="AV2057" s="128"/>
      <c r="AW2057" s="128"/>
      <c r="AX2057" s="128"/>
      <c r="AY2057" s="128"/>
      <c r="AZ2057" s="128"/>
      <c r="BA2057" s="128"/>
      <c r="BB2057" s="128"/>
      <c r="BC2057" s="128"/>
      <c r="BD2057" s="128"/>
      <c r="BE2057" s="128"/>
      <c r="BF2057" s="128"/>
      <c r="BG2057" s="128"/>
      <c r="BH2057" s="128"/>
      <c r="BI2057" s="128"/>
      <c r="BJ2057" s="128"/>
      <c r="BK2057" s="128"/>
      <c r="BL2057" s="128"/>
      <c r="BM2057" s="151"/>
      <c r="BN2057" s="128"/>
      <c r="BO2057" s="128"/>
      <c r="BP2057" s="128"/>
      <c r="BQ2057" s="128"/>
      <c r="BR2057" s="128"/>
      <c r="BS2057" s="128"/>
      <c r="BT2057" s="128"/>
      <c r="BU2057" s="128"/>
      <c r="BV2057" s="128"/>
      <c r="BW2057" s="128"/>
      <c r="BX2057" s="128"/>
      <c r="BY2057" s="128"/>
      <c r="BZ2057" s="128"/>
      <c r="CA2057" s="128"/>
      <c r="CB2057" s="128"/>
      <c r="CC2057" s="128"/>
      <c r="CD2057" s="128"/>
      <c r="CE2057" s="128"/>
      <c r="CF2057" s="128"/>
      <c r="CG2057" s="128"/>
      <c r="CI2057" s="128"/>
      <c r="CJ2057" s="128"/>
      <c r="CK2057" s="128"/>
      <c r="CL2057" s="128"/>
      <c r="CM2057" s="128"/>
      <c r="CN2057" s="128"/>
      <c r="CO2057" s="128"/>
      <c r="CP2057" s="128"/>
      <c r="CQ2057" s="128"/>
      <c r="CR2057" s="128"/>
      <c r="CS2057" s="128"/>
      <c r="CT2057" s="128"/>
      <c r="CU2057" s="128"/>
      <c r="CV2057" s="128"/>
      <c r="CW2057" s="128"/>
      <c r="CX2057" s="128"/>
      <c r="CY2057" s="128"/>
      <c r="CZ2057" s="165"/>
    </row>
    <row r="2058" spans="1:104">
      <c r="A2058" s="149"/>
      <c r="B2058" s="149"/>
      <c r="C2058" s="150"/>
      <c r="D2058" s="102"/>
      <c r="E2058" s="149"/>
      <c r="F2058" s="149"/>
      <c r="G2058" s="149"/>
      <c r="H2058" s="149"/>
      <c r="I2058" s="149"/>
      <c r="J2058" s="149"/>
      <c r="K2058" s="149"/>
      <c r="L2058" s="149"/>
      <c r="M2058" s="149"/>
      <c r="N2058" s="149"/>
      <c r="O2058" s="149"/>
      <c r="P2058" s="149"/>
      <c r="Q2058" s="149"/>
      <c r="R2058" s="149"/>
      <c r="S2058" s="149"/>
      <c r="T2058" s="149"/>
      <c r="U2058" s="149"/>
      <c r="V2058" s="149"/>
      <c r="W2058" s="149"/>
      <c r="X2058" s="149"/>
      <c r="Y2058" s="149"/>
      <c r="Z2058" s="149"/>
      <c r="AA2058" s="149"/>
      <c r="AB2058" s="149"/>
      <c r="AC2058" s="149"/>
      <c r="AD2058" s="149"/>
      <c r="AE2058" s="149"/>
      <c r="AF2058" s="149"/>
      <c r="AG2058" s="149"/>
      <c r="AH2058" s="149"/>
      <c r="AI2058" s="149"/>
      <c r="AJ2058" s="149"/>
      <c r="AK2058" s="149"/>
      <c r="AL2058" s="149"/>
      <c r="AM2058" s="149"/>
      <c r="AN2058" s="149"/>
      <c r="AO2058" s="128"/>
      <c r="AP2058" s="128"/>
      <c r="AQ2058" s="128"/>
      <c r="AR2058" s="128"/>
      <c r="AS2058" s="128"/>
      <c r="AT2058" s="128"/>
      <c r="AU2058" s="128"/>
      <c r="AV2058" s="128"/>
      <c r="AW2058" s="128"/>
      <c r="AX2058" s="128"/>
      <c r="AY2058" s="128"/>
      <c r="AZ2058" s="128"/>
      <c r="BA2058" s="128"/>
      <c r="BB2058" s="128"/>
      <c r="BC2058" s="128"/>
      <c r="BD2058" s="128"/>
      <c r="BE2058" s="128"/>
      <c r="BF2058" s="128"/>
      <c r="BG2058" s="128"/>
      <c r="BH2058" s="128"/>
      <c r="BI2058" s="128"/>
      <c r="BJ2058" s="128"/>
      <c r="BK2058" s="128"/>
      <c r="BL2058" s="128"/>
      <c r="BM2058" s="151"/>
      <c r="BN2058" s="128"/>
      <c r="BO2058" s="128"/>
      <c r="BP2058" s="128"/>
      <c r="BQ2058" s="128"/>
      <c r="BR2058" s="128"/>
      <c r="BS2058" s="128"/>
      <c r="BT2058" s="128"/>
      <c r="BU2058" s="128"/>
      <c r="BV2058" s="128"/>
      <c r="BW2058" s="128"/>
      <c r="BX2058" s="128"/>
      <c r="BY2058" s="128"/>
      <c r="BZ2058" s="128"/>
      <c r="CA2058" s="128"/>
      <c r="CB2058" s="128"/>
      <c r="CC2058" s="128"/>
      <c r="CD2058" s="128"/>
      <c r="CE2058" s="128"/>
      <c r="CF2058" s="128"/>
      <c r="CG2058" s="128"/>
      <c r="CI2058" s="128"/>
      <c r="CJ2058" s="128"/>
      <c r="CK2058" s="128"/>
      <c r="CL2058" s="128"/>
      <c r="CM2058" s="128"/>
      <c r="CN2058" s="128"/>
      <c r="CO2058" s="128"/>
      <c r="CP2058" s="128"/>
      <c r="CQ2058" s="128"/>
      <c r="CR2058" s="128"/>
      <c r="CS2058" s="128"/>
      <c r="CT2058" s="128"/>
      <c r="CU2058" s="128"/>
      <c r="CV2058" s="128"/>
      <c r="CW2058" s="128"/>
      <c r="CX2058" s="128"/>
      <c r="CY2058" s="128"/>
      <c r="CZ2058" s="165"/>
    </row>
    <row r="2059" spans="1:104">
      <c r="A2059" s="149"/>
      <c r="B2059" s="149"/>
      <c r="C2059" s="150"/>
      <c r="D2059" s="102"/>
      <c r="E2059" s="149"/>
      <c r="F2059" s="149"/>
      <c r="G2059" s="149"/>
      <c r="H2059" s="149"/>
      <c r="I2059" s="149"/>
      <c r="J2059" s="149"/>
      <c r="K2059" s="149"/>
      <c r="L2059" s="149"/>
      <c r="M2059" s="149"/>
      <c r="N2059" s="149"/>
      <c r="O2059" s="149"/>
      <c r="P2059" s="149"/>
      <c r="Q2059" s="149"/>
      <c r="R2059" s="149"/>
      <c r="S2059" s="149"/>
      <c r="T2059" s="149"/>
      <c r="U2059" s="149"/>
      <c r="V2059" s="149"/>
      <c r="W2059" s="149"/>
      <c r="X2059" s="149"/>
      <c r="Y2059" s="149"/>
      <c r="Z2059" s="149"/>
      <c r="AA2059" s="149"/>
      <c r="AB2059" s="149"/>
      <c r="AC2059" s="149"/>
      <c r="AD2059" s="149"/>
      <c r="AE2059" s="149"/>
      <c r="AF2059" s="149"/>
      <c r="AG2059" s="149"/>
      <c r="AH2059" s="149"/>
      <c r="AI2059" s="149"/>
      <c r="AJ2059" s="149"/>
      <c r="AK2059" s="149"/>
      <c r="AL2059" s="149"/>
      <c r="AM2059" s="149"/>
      <c r="AN2059" s="149"/>
      <c r="AO2059" s="128"/>
      <c r="AP2059" s="128"/>
      <c r="AQ2059" s="128"/>
      <c r="AR2059" s="128"/>
      <c r="AS2059" s="128"/>
      <c r="AT2059" s="128"/>
      <c r="AU2059" s="128"/>
      <c r="AV2059" s="128"/>
      <c r="AW2059" s="128"/>
      <c r="AX2059" s="128"/>
      <c r="AY2059" s="128"/>
      <c r="AZ2059" s="128"/>
      <c r="BA2059" s="128"/>
      <c r="BB2059" s="128"/>
      <c r="BC2059" s="128"/>
      <c r="BD2059" s="128"/>
      <c r="BE2059" s="128"/>
      <c r="BF2059" s="128"/>
      <c r="BG2059" s="128"/>
      <c r="BH2059" s="128"/>
      <c r="BI2059" s="128"/>
      <c r="BJ2059" s="128"/>
      <c r="BK2059" s="128"/>
      <c r="BL2059" s="128"/>
      <c r="BM2059" s="151"/>
      <c r="BN2059" s="128"/>
      <c r="BO2059" s="128"/>
      <c r="BP2059" s="128"/>
      <c r="BQ2059" s="128"/>
      <c r="BR2059" s="128"/>
      <c r="BS2059" s="128"/>
      <c r="BT2059" s="128"/>
      <c r="BU2059" s="128"/>
      <c r="BV2059" s="128"/>
      <c r="BW2059" s="128"/>
      <c r="BX2059" s="128"/>
      <c r="BY2059" s="128"/>
      <c r="BZ2059" s="128"/>
      <c r="CA2059" s="128"/>
      <c r="CB2059" s="128"/>
      <c r="CC2059" s="128"/>
      <c r="CD2059" s="128"/>
      <c r="CE2059" s="128"/>
      <c r="CF2059" s="128"/>
      <c r="CG2059" s="128"/>
      <c r="CI2059" s="128"/>
      <c r="CJ2059" s="128"/>
      <c r="CK2059" s="128"/>
      <c r="CL2059" s="128"/>
      <c r="CM2059" s="128"/>
      <c r="CN2059" s="128"/>
      <c r="CO2059" s="128"/>
      <c r="CP2059" s="128"/>
      <c r="CQ2059" s="128"/>
      <c r="CR2059" s="128"/>
      <c r="CS2059" s="128"/>
      <c r="CT2059" s="128"/>
      <c r="CU2059" s="128"/>
      <c r="CV2059" s="128"/>
      <c r="CW2059" s="128"/>
      <c r="CX2059" s="128"/>
      <c r="CY2059" s="128"/>
      <c r="CZ2059" s="165"/>
    </row>
    <row r="2060" spans="1:104">
      <c r="A2060" s="149"/>
      <c r="B2060" s="149"/>
      <c r="C2060" s="150"/>
      <c r="D2060" s="102"/>
      <c r="E2060" s="149"/>
      <c r="F2060" s="149"/>
      <c r="G2060" s="149"/>
      <c r="H2060" s="149"/>
      <c r="I2060" s="149"/>
      <c r="J2060" s="149"/>
      <c r="K2060" s="149"/>
      <c r="L2060" s="149"/>
      <c r="M2060" s="149"/>
      <c r="N2060" s="149"/>
      <c r="O2060" s="149"/>
      <c r="P2060" s="149"/>
      <c r="Q2060" s="149"/>
      <c r="R2060" s="149"/>
      <c r="S2060" s="149"/>
      <c r="T2060" s="149"/>
      <c r="U2060" s="149"/>
      <c r="V2060" s="149"/>
      <c r="W2060" s="149"/>
      <c r="X2060" s="149"/>
      <c r="Y2060" s="149"/>
      <c r="Z2060" s="149"/>
      <c r="AA2060" s="149"/>
      <c r="AB2060" s="149"/>
      <c r="AC2060" s="149"/>
      <c r="AD2060" s="149"/>
      <c r="AE2060" s="149"/>
      <c r="AF2060" s="149"/>
      <c r="AG2060" s="149"/>
      <c r="AH2060" s="149"/>
      <c r="AI2060" s="149"/>
      <c r="AJ2060" s="149"/>
      <c r="AK2060" s="149"/>
      <c r="AL2060" s="149"/>
      <c r="AM2060" s="149"/>
      <c r="AN2060" s="149"/>
      <c r="AO2060" s="128"/>
      <c r="AP2060" s="128"/>
      <c r="AQ2060" s="128"/>
      <c r="AR2060" s="128"/>
      <c r="AS2060" s="128"/>
      <c r="AT2060" s="128"/>
      <c r="AU2060" s="128"/>
      <c r="AV2060" s="128"/>
      <c r="AW2060" s="128"/>
      <c r="AX2060" s="128"/>
      <c r="AY2060" s="128"/>
      <c r="AZ2060" s="128"/>
      <c r="BA2060" s="128"/>
      <c r="BB2060" s="128"/>
      <c r="BC2060" s="128"/>
      <c r="BD2060" s="128"/>
      <c r="BE2060" s="128"/>
      <c r="BF2060" s="128"/>
      <c r="BG2060" s="128"/>
      <c r="BH2060" s="128"/>
      <c r="BI2060" s="128"/>
      <c r="BJ2060" s="128"/>
      <c r="BK2060" s="128"/>
      <c r="BL2060" s="128"/>
      <c r="BM2060" s="151"/>
      <c r="BN2060" s="128"/>
      <c r="BO2060" s="128"/>
      <c r="BP2060" s="128"/>
      <c r="BQ2060" s="128"/>
      <c r="BR2060" s="128"/>
      <c r="BS2060" s="128"/>
      <c r="BT2060" s="128"/>
      <c r="BU2060" s="128"/>
      <c r="BV2060" s="128"/>
      <c r="BW2060" s="128"/>
      <c r="BX2060" s="128"/>
      <c r="BY2060" s="128"/>
      <c r="BZ2060" s="128"/>
      <c r="CA2060" s="128"/>
      <c r="CB2060" s="128"/>
      <c r="CC2060" s="128"/>
      <c r="CD2060" s="128"/>
      <c r="CE2060" s="128"/>
      <c r="CF2060" s="128"/>
      <c r="CG2060" s="128"/>
      <c r="CI2060" s="128"/>
      <c r="CJ2060" s="128"/>
      <c r="CK2060" s="128"/>
      <c r="CL2060" s="128"/>
      <c r="CM2060" s="128"/>
      <c r="CN2060" s="128"/>
      <c r="CO2060" s="128"/>
      <c r="CP2060" s="128"/>
      <c r="CQ2060" s="128"/>
      <c r="CR2060" s="128"/>
      <c r="CS2060" s="128"/>
      <c r="CT2060" s="128"/>
      <c r="CU2060" s="128"/>
      <c r="CV2060" s="128"/>
      <c r="CW2060" s="128"/>
      <c r="CX2060" s="128"/>
      <c r="CY2060" s="128"/>
      <c r="CZ2060" s="165"/>
    </row>
    <row r="2061" spans="1:104">
      <c r="A2061" s="149"/>
      <c r="B2061" s="149"/>
      <c r="C2061" s="150"/>
      <c r="D2061" s="102"/>
      <c r="E2061" s="149"/>
      <c r="F2061" s="149"/>
      <c r="G2061" s="149"/>
      <c r="H2061" s="149"/>
      <c r="I2061" s="149"/>
      <c r="J2061" s="149"/>
      <c r="K2061" s="149"/>
      <c r="L2061" s="149"/>
      <c r="M2061" s="149"/>
      <c r="N2061" s="149"/>
      <c r="O2061" s="149"/>
      <c r="P2061" s="149"/>
      <c r="Q2061" s="149"/>
      <c r="R2061" s="149"/>
      <c r="S2061" s="149"/>
      <c r="T2061" s="149"/>
      <c r="U2061" s="149"/>
      <c r="V2061" s="149"/>
      <c r="W2061" s="149"/>
      <c r="X2061" s="149"/>
      <c r="Y2061" s="149"/>
      <c r="Z2061" s="149"/>
      <c r="AA2061" s="149"/>
      <c r="AB2061" s="149"/>
      <c r="AC2061" s="149"/>
      <c r="AD2061" s="149"/>
      <c r="AE2061" s="149"/>
      <c r="AF2061" s="149"/>
      <c r="AG2061" s="149"/>
      <c r="AH2061" s="149"/>
      <c r="AI2061" s="149"/>
      <c r="AJ2061" s="149"/>
      <c r="AK2061" s="149"/>
      <c r="AL2061" s="149"/>
      <c r="AM2061" s="149"/>
      <c r="AN2061" s="149"/>
      <c r="AO2061" s="128"/>
      <c r="AP2061" s="128"/>
      <c r="AQ2061" s="128"/>
      <c r="AR2061" s="128"/>
      <c r="AS2061" s="128"/>
      <c r="AT2061" s="128"/>
      <c r="AU2061" s="128"/>
      <c r="AV2061" s="128"/>
      <c r="AW2061" s="128"/>
      <c r="AX2061" s="128"/>
      <c r="AY2061" s="128"/>
      <c r="AZ2061" s="128"/>
      <c r="BA2061" s="128"/>
      <c r="BB2061" s="128"/>
      <c r="BC2061" s="128"/>
      <c r="BD2061" s="128"/>
      <c r="BE2061" s="128"/>
      <c r="BF2061" s="128"/>
      <c r="BG2061" s="128"/>
      <c r="BH2061" s="128"/>
      <c r="BI2061" s="128"/>
      <c r="BJ2061" s="128"/>
      <c r="BK2061" s="128"/>
      <c r="BL2061" s="128"/>
      <c r="BM2061" s="151"/>
      <c r="BN2061" s="128"/>
      <c r="BO2061" s="128"/>
      <c r="BP2061" s="128"/>
      <c r="BQ2061" s="128"/>
      <c r="BR2061" s="128"/>
      <c r="BS2061" s="128"/>
      <c r="BT2061" s="128"/>
      <c r="BU2061" s="128"/>
      <c r="BV2061" s="128"/>
      <c r="BW2061" s="128"/>
      <c r="BX2061" s="128"/>
      <c r="BY2061" s="128"/>
      <c r="BZ2061" s="128"/>
      <c r="CA2061" s="128"/>
      <c r="CB2061" s="128"/>
      <c r="CC2061" s="128"/>
      <c r="CD2061" s="128"/>
      <c r="CE2061" s="128"/>
      <c r="CF2061" s="128"/>
      <c r="CG2061" s="128"/>
      <c r="CI2061" s="128"/>
      <c r="CJ2061" s="128"/>
      <c r="CK2061" s="128"/>
      <c r="CL2061" s="128"/>
      <c r="CM2061" s="128"/>
      <c r="CN2061" s="128"/>
      <c r="CO2061" s="128"/>
      <c r="CP2061" s="128"/>
      <c r="CQ2061" s="128"/>
      <c r="CR2061" s="128"/>
      <c r="CS2061" s="128"/>
      <c r="CT2061" s="128"/>
      <c r="CU2061" s="128"/>
      <c r="CV2061" s="128"/>
      <c r="CW2061" s="128"/>
      <c r="CX2061" s="128"/>
      <c r="CY2061" s="128"/>
      <c r="CZ2061" s="165"/>
    </row>
    <row r="2062" spans="1:104">
      <c r="A2062" s="149"/>
      <c r="B2062" s="149"/>
      <c r="C2062" s="150"/>
      <c r="D2062" s="102"/>
      <c r="E2062" s="149"/>
      <c r="F2062" s="149"/>
      <c r="G2062" s="149"/>
      <c r="H2062" s="149"/>
      <c r="I2062" s="149"/>
      <c r="J2062" s="149"/>
      <c r="K2062" s="149"/>
      <c r="L2062" s="149"/>
      <c r="M2062" s="149"/>
      <c r="N2062" s="149"/>
      <c r="O2062" s="149"/>
      <c r="P2062" s="149"/>
      <c r="Q2062" s="149"/>
      <c r="R2062" s="149"/>
      <c r="S2062" s="149"/>
      <c r="T2062" s="149"/>
      <c r="U2062" s="149"/>
      <c r="V2062" s="149"/>
      <c r="W2062" s="149"/>
      <c r="X2062" s="149"/>
      <c r="Y2062" s="149"/>
      <c r="Z2062" s="149"/>
      <c r="AA2062" s="149"/>
      <c r="AB2062" s="149"/>
      <c r="AC2062" s="149"/>
      <c r="AD2062" s="149"/>
      <c r="AE2062" s="149"/>
      <c r="AF2062" s="149"/>
      <c r="AG2062" s="149"/>
      <c r="AH2062" s="149"/>
      <c r="AI2062" s="149"/>
      <c r="AJ2062" s="149"/>
      <c r="AK2062" s="149"/>
      <c r="AL2062" s="149"/>
      <c r="AM2062" s="149"/>
      <c r="AN2062" s="149"/>
      <c r="AO2062" s="128"/>
      <c r="AP2062" s="128"/>
      <c r="AQ2062" s="128"/>
      <c r="AR2062" s="128"/>
      <c r="AS2062" s="128"/>
      <c r="AT2062" s="128"/>
      <c r="AU2062" s="128"/>
      <c r="AV2062" s="128"/>
      <c r="AW2062" s="128"/>
      <c r="AX2062" s="128"/>
      <c r="AY2062" s="128"/>
      <c r="AZ2062" s="128"/>
      <c r="BA2062" s="128"/>
      <c r="BB2062" s="128"/>
      <c r="BC2062" s="128"/>
      <c r="BD2062" s="128"/>
      <c r="BE2062" s="128"/>
      <c r="BF2062" s="128"/>
      <c r="BG2062" s="128"/>
      <c r="BH2062" s="128"/>
      <c r="BI2062" s="128"/>
      <c r="BJ2062" s="128"/>
      <c r="BK2062" s="128"/>
      <c r="BL2062" s="128"/>
      <c r="BM2062" s="151"/>
      <c r="BN2062" s="128"/>
      <c r="BO2062" s="128"/>
      <c r="BP2062" s="128"/>
      <c r="BQ2062" s="128"/>
      <c r="BR2062" s="128"/>
      <c r="BS2062" s="128"/>
      <c r="BT2062" s="128"/>
      <c r="BU2062" s="128"/>
      <c r="BV2062" s="128"/>
      <c r="BW2062" s="128"/>
      <c r="BX2062" s="128"/>
      <c r="BY2062" s="128"/>
      <c r="BZ2062" s="128"/>
      <c r="CA2062" s="128"/>
      <c r="CB2062" s="128"/>
      <c r="CC2062" s="128"/>
      <c r="CD2062" s="128"/>
      <c r="CE2062" s="128"/>
      <c r="CF2062" s="128"/>
      <c r="CG2062" s="128"/>
      <c r="CI2062" s="128"/>
      <c r="CJ2062" s="128"/>
      <c r="CK2062" s="128"/>
      <c r="CL2062" s="128"/>
      <c r="CM2062" s="128"/>
      <c r="CN2062" s="128"/>
      <c r="CO2062" s="128"/>
      <c r="CP2062" s="128"/>
      <c r="CQ2062" s="128"/>
      <c r="CR2062" s="128"/>
      <c r="CS2062" s="128"/>
      <c r="CT2062" s="128"/>
      <c r="CU2062" s="128"/>
      <c r="CV2062" s="128"/>
      <c r="CW2062" s="128"/>
      <c r="CX2062" s="128"/>
      <c r="CY2062" s="128"/>
      <c r="CZ2062" s="165"/>
    </row>
    <row r="2063" spans="1:104">
      <c r="A2063" s="149"/>
      <c r="B2063" s="149"/>
      <c r="C2063" s="150"/>
      <c r="D2063" s="102"/>
      <c r="E2063" s="149"/>
      <c r="F2063" s="149"/>
      <c r="G2063" s="149"/>
      <c r="H2063" s="149"/>
      <c r="I2063" s="149"/>
      <c r="J2063" s="149"/>
      <c r="K2063" s="149"/>
      <c r="L2063" s="149"/>
      <c r="M2063" s="149"/>
      <c r="N2063" s="149"/>
      <c r="O2063" s="149"/>
      <c r="P2063" s="149"/>
      <c r="Q2063" s="149"/>
      <c r="R2063" s="149"/>
      <c r="S2063" s="149"/>
      <c r="T2063" s="149"/>
      <c r="U2063" s="149"/>
      <c r="V2063" s="149"/>
      <c r="W2063" s="149"/>
      <c r="X2063" s="149"/>
      <c r="Y2063" s="149"/>
      <c r="Z2063" s="149"/>
      <c r="AA2063" s="149"/>
      <c r="AB2063" s="149"/>
      <c r="AC2063" s="149"/>
      <c r="AD2063" s="149"/>
      <c r="AE2063" s="149"/>
      <c r="AF2063" s="149"/>
      <c r="AG2063" s="149"/>
      <c r="AH2063" s="149"/>
      <c r="AI2063" s="149"/>
      <c r="AJ2063" s="149"/>
      <c r="AK2063" s="149"/>
      <c r="AL2063" s="149"/>
      <c r="AM2063" s="149"/>
      <c r="AN2063" s="149"/>
      <c r="AO2063" s="128"/>
      <c r="AP2063" s="128"/>
      <c r="AQ2063" s="128"/>
      <c r="AR2063" s="128"/>
      <c r="AS2063" s="128"/>
      <c r="AT2063" s="128"/>
      <c r="AU2063" s="128"/>
      <c r="AV2063" s="128"/>
      <c r="AW2063" s="128"/>
      <c r="AX2063" s="128"/>
      <c r="AY2063" s="128"/>
      <c r="AZ2063" s="128"/>
      <c r="BA2063" s="128"/>
      <c r="BB2063" s="128"/>
      <c r="BC2063" s="128"/>
      <c r="BD2063" s="128"/>
      <c r="BE2063" s="128"/>
      <c r="BF2063" s="128"/>
      <c r="BG2063" s="128"/>
      <c r="BH2063" s="128"/>
      <c r="BI2063" s="128"/>
      <c r="BJ2063" s="128"/>
      <c r="BK2063" s="128"/>
      <c r="BL2063" s="128"/>
      <c r="BM2063" s="151"/>
      <c r="BN2063" s="128"/>
      <c r="BO2063" s="128"/>
      <c r="BP2063" s="128"/>
      <c r="BQ2063" s="128"/>
      <c r="BR2063" s="128"/>
      <c r="BS2063" s="128"/>
      <c r="BT2063" s="128"/>
      <c r="BU2063" s="128"/>
      <c r="BV2063" s="128"/>
      <c r="BW2063" s="128"/>
      <c r="BX2063" s="128"/>
      <c r="BY2063" s="128"/>
      <c r="BZ2063" s="128"/>
      <c r="CA2063" s="128"/>
      <c r="CB2063" s="128"/>
      <c r="CC2063" s="128"/>
      <c r="CD2063" s="128"/>
      <c r="CE2063" s="128"/>
      <c r="CF2063" s="128"/>
      <c r="CG2063" s="128"/>
      <c r="CI2063" s="128"/>
      <c r="CJ2063" s="128"/>
      <c r="CK2063" s="128"/>
      <c r="CL2063" s="128"/>
      <c r="CM2063" s="128"/>
      <c r="CN2063" s="128"/>
      <c r="CO2063" s="128"/>
      <c r="CP2063" s="128"/>
      <c r="CQ2063" s="128"/>
      <c r="CR2063" s="128"/>
      <c r="CS2063" s="128"/>
      <c r="CT2063" s="128"/>
      <c r="CU2063" s="128"/>
      <c r="CV2063" s="128"/>
      <c r="CW2063" s="128"/>
      <c r="CX2063" s="128"/>
      <c r="CY2063" s="128"/>
      <c r="CZ2063" s="165"/>
    </row>
    <row r="2064" spans="1:104">
      <c r="A2064" s="149"/>
      <c r="B2064" s="149"/>
      <c r="C2064" s="150"/>
      <c r="D2064" s="102"/>
      <c r="E2064" s="149"/>
      <c r="F2064" s="149"/>
      <c r="G2064" s="149"/>
      <c r="H2064" s="149"/>
      <c r="I2064" s="149"/>
      <c r="J2064" s="149"/>
      <c r="K2064" s="149"/>
      <c r="L2064" s="149"/>
      <c r="M2064" s="149"/>
      <c r="N2064" s="149"/>
      <c r="O2064" s="149"/>
      <c r="P2064" s="149"/>
      <c r="Q2064" s="149"/>
      <c r="R2064" s="149"/>
      <c r="S2064" s="149"/>
      <c r="T2064" s="149"/>
      <c r="U2064" s="149"/>
      <c r="V2064" s="149"/>
      <c r="W2064" s="149"/>
      <c r="X2064" s="149"/>
      <c r="Y2064" s="149"/>
      <c r="Z2064" s="149"/>
      <c r="AA2064" s="149"/>
      <c r="AB2064" s="149"/>
      <c r="AC2064" s="149"/>
      <c r="AD2064" s="149"/>
      <c r="AE2064" s="149"/>
      <c r="AF2064" s="149"/>
      <c r="AG2064" s="149"/>
      <c r="AH2064" s="149"/>
      <c r="AI2064" s="149"/>
      <c r="AJ2064" s="149"/>
      <c r="AK2064" s="149"/>
      <c r="AL2064" s="149"/>
      <c r="AM2064" s="149"/>
      <c r="AN2064" s="149"/>
      <c r="AO2064" s="128"/>
      <c r="AP2064" s="128"/>
      <c r="AQ2064" s="128"/>
      <c r="AR2064" s="128"/>
      <c r="AS2064" s="128"/>
      <c r="AT2064" s="128"/>
      <c r="AU2064" s="128"/>
      <c r="AV2064" s="128"/>
      <c r="AW2064" s="128"/>
      <c r="AX2064" s="128"/>
      <c r="AY2064" s="128"/>
      <c r="AZ2064" s="128"/>
      <c r="BA2064" s="128"/>
      <c r="BB2064" s="128"/>
      <c r="BC2064" s="128"/>
      <c r="BD2064" s="128"/>
      <c r="BE2064" s="128"/>
      <c r="BF2064" s="128"/>
      <c r="BG2064" s="128"/>
      <c r="BH2064" s="128"/>
      <c r="BI2064" s="128"/>
      <c r="BJ2064" s="128"/>
      <c r="BK2064" s="128"/>
      <c r="BL2064" s="128"/>
      <c r="BM2064" s="151"/>
      <c r="BN2064" s="128"/>
      <c r="BO2064" s="128"/>
      <c r="BP2064" s="128"/>
      <c r="BQ2064" s="128"/>
      <c r="BR2064" s="128"/>
      <c r="BS2064" s="128"/>
      <c r="BT2064" s="128"/>
      <c r="BU2064" s="128"/>
      <c r="BV2064" s="128"/>
      <c r="BW2064" s="128"/>
      <c r="BX2064" s="128"/>
      <c r="BY2064" s="128"/>
      <c r="BZ2064" s="128"/>
      <c r="CA2064" s="128"/>
      <c r="CB2064" s="128"/>
      <c r="CC2064" s="128"/>
      <c r="CD2064" s="128"/>
      <c r="CE2064" s="128"/>
      <c r="CF2064" s="128"/>
      <c r="CG2064" s="128"/>
      <c r="CI2064" s="128"/>
      <c r="CJ2064" s="128"/>
      <c r="CK2064" s="128"/>
      <c r="CL2064" s="128"/>
      <c r="CM2064" s="128"/>
      <c r="CN2064" s="128"/>
      <c r="CO2064" s="128"/>
      <c r="CP2064" s="128"/>
      <c r="CQ2064" s="128"/>
      <c r="CR2064" s="128"/>
      <c r="CS2064" s="128"/>
      <c r="CT2064" s="128"/>
      <c r="CU2064" s="128"/>
      <c r="CV2064" s="128"/>
      <c r="CW2064" s="128"/>
      <c r="CX2064" s="128"/>
      <c r="CY2064" s="128"/>
      <c r="CZ2064" s="165"/>
    </row>
    <row r="2065" spans="1:104">
      <c r="A2065" s="149"/>
      <c r="B2065" s="149"/>
      <c r="C2065" s="150"/>
      <c r="D2065" s="102"/>
      <c r="E2065" s="149"/>
      <c r="F2065" s="149"/>
      <c r="G2065" s="149"/>
      <c r="H2065" s="149"/>
      <c r="I2065" s="149"/>
      <c r="J2065" s="149"/>
      <c r="K2065" s="149"/>
      <c r="L2065" s="149"/>
      <c r="M2065" s="149"/>
      <c r="N2065" s="149"/>
      <c r="O2065" s="149"/>
      <c r="P2065" s="149"/>
      <c r="Q2065" s="149"/>
      <c r="R2065" s="149"/>
      <c r="S2065" s="149"/>
      <c r="T2065" s="149"/>
      <c r="U2065" s="149"/>
      <c r="V2065" s="149"/>
      <c r="W2065" s="149"/>
      <c r="X2065" s="149"/>
      <c r="Y2065" s="149"/>
      <c r="Z2065" s="149"/>
      <c r="AA2065" s="149"/>
      <c r="AB2065" s="149"/>
      <c r="AC2065" s="149"/>
      <c r="AD2065" s="149"/>
      <c r="AE2065" s="149"/>
      <c r="AF2065" s="149"/>
      <c r="AG2065" s="149"/>
      <c r="AH2065" s="149"/>
      <c r="AI2065" s="149"/>
      <c r="AJ2065" s="149"/>
      <c r="AK2065" s="149"/>
      <c r="AL2065" s="149"/>
      <c r="AM2065" s="149"/>
      <c r="AN2065" s="149"/>
      <c r="AO2065" s="128"/>
      <c r="AP2065" s="128"/>
      <c r="AQ2065" s="128"/>
      <c r="AR2065" s="128"/>
      <c r="AS2065" s="128"/>
      <c r="AT2065" s="128"/>
      <c r="AU2065" s="128"/>
      <c r="AV2065" s="128"/>
      <c r="AW2065" s="128"/>
      <c r="AX2065" s="128"/>
      <c r="AY2065" s="128"/>
      <c r="AZ2065" s="128"/>
      <c r="BA2065" s="128"/>
      <c r="BB2065" s="128"/>
      <c r="BC2065" s="128"/>
      <c r="BD2065" s="128"/>
      <c r="BE2065" s="128"/>
      <c r="BF2065" s="128"/>
      <c r="BG2065" s="128"/>
      <c r="BH2065" s="128"/>
      <c r="BI2065" s="128"/>
      <c r="BJ2065" s="128"/>
      <c r="BK2065" s="128"/>
      <c r="BL2065" s="128"/>
      <c r="BM2065" s="151"/>
      <c r="BN2065" s="128"/>
      <c r="BO2065" s="128"/>
      <c r="BP2065" s="128"/>
      <c r="BQ2065" s="128"/>
      <c r="BR2065" s="128"/>
      <c r="BS2065" s="128"/>
      <c r="BT2065" s="128"/>
      <c r="BU2065" s="128"/>
      <c r="BV2065" s="128"/>
      <c r="BW2065" s="128"/>
      <c r="BX2065" s="128"/>
      <c r="BY2065" s="128"/>
      <c r="BZ2065" s="128"/>
      <c r="CA2065" s="128"/>
      <c r="CB2065" s="128"/>
      <c r="CC2065" s="128"/>
      <c r="CD2065" s="128"/>
      <c r="CE2065" s="128"/>
      <c r="CF2065" s="128"/>
      <c r="CG2065" s="128"/>
      <c r="CI2065" s="128"/>
      <c r="CJ2065" s="128"/>
      <c r="CK2065" s="128"/>
      <c r="CL2065" s="128"/>
      <c r="CM2065" s="128"/>
      <c r="CN2065" s="128"/>
      <c r="CO2065" s="128"/>
      <c r="CP2065" s="128"/>
      <c r="CQ2065" s="128"/>
      <c r="CR2065" s="128"/>
      <c r="CS2065" s="128"/>
      <c r="CT2065" s="128"/>
      <c r="CU2065" s="128"/>
      <c r="CV2065" s="128"/>
      <c r="CW2065" s="128"/>
      <c r="CX2065" s="128"/>
      <c r="CY2065" s="128"/>
      <c r="CZ2065" s="165"/>
    </row>
    <row r="2066" spans="1:104">
      <c r="A2066" s="149"/>
      <c r="B2066" s="149"/>
      <c r="C2066" s="150"/>
      <c r="D2066" s="102"/>
      <c r="E2066" s="149"/>
      <c r="F2066" s="149"/>
      <c r="G2066" s="149"/>
      <c r="H2066" s="149"/>
      <c r="I2066" s="149"/>
      <c r="J2066" s="149"/>
      <c r="K2066" s="149"/>
      <c r="L2066" s="149"/>
      <c r="M2066" s="149"/>
      <c r="N2066" s="149"/>
      <c r="O2066" s="149"/>
      <c r="P2066" s="149"/>
      <c r="Q2066" s="149"/>
      <c r="R2066" s="149"/>
      <c r="S2066" s="149"/>
      <c r="T2066" s="149"/>
      <c r="U2066" s="149"/>
      <c r="V2066" s="149"/>
      <c r="W2066" s="149"/>
      <c r="X2066" s="149"/>
      <c r="Y2066" s="149"/>
      <c r="Z2066" s="149"/>
      <c r="AA2066" s="149"/>
      <c r="AB2066" s="149"/>
      <c r="AC2066" s="149"/>
      <c r="AD2066" s="149"/>
      <c r="AE2066" s="149"/>
      <c r="AF2066" s="149"/>
      <c r="AG2066" s="149"/>
      <c r="AH2066" s="149"/>
      <c r="AI2066" s="149"/>
      <c r="AJ2066" s="149"/>
      <c r="AK2066" s="149"/>
      <c r="AL2066" s="149"/>
      <c r="AM2066" s="149"/>
      <c r="AN2066" s="149"/>
      <c r="AO2066" s="128"/>
      <c r="AP2066" s="128"/>
      <c r="AQ2066" s="128"/>
      <c r="AR2066" s="128"/>
      <c r="AS2066" s="128"/>
      <c r="AT2066" s="128"/>
      <c r="AU2066" s="128"/>
      <c r="AV2066" s="128"/>
      <c r="AW2066" s="128"/>
      <c r="AX2066" s="128"/>
      <c r="AY2066" s="128"/>
      <c r="AZ2066" s="128"/>
      <c r="BA2066" s="128"/>
      <c r="BB2066" s="128"/>
      <c r="BC2066" s="128"/>
      <c r="BD2066" s="128"/>
      <c r="BE2066" s="128"/>
      <c r="BF2066" s="128"/>
      <c r="BG2066" s="128"/>
      <c r="BH2066" s="128"/>
      <c r="BI2066" s="128"/>
      <c r="BJ2066" s="128"/>
      <c r="BK2066" s="128"/>
      <c r="BL2066" s="128"/>
      <c r="BM2066" s="151"/>
      <c r="BN2066" s="128"/>
      <c r="BO2066" s="128"/>
      <c r="BP2066" s="128"/>
      <c r="BQ2066" s="128"/>
      <c r="BR2066" s="128"/>
      <c r="BS2066" s="128"/>
      <c r="BT2066" s="128"/>
      <c r="BU2066" s="128"/>
      <c r="BV2066" s="128"/>
      <c r="BW2066" s="128"/>
      <c r="BX2066" s="128"/>
      <c r="BY2066" s="128"/>
      <c r="BZ2066" s="128"/>
      <c r="CA2066" s="128"/>
      <c r="CB2066" s="128"/>
      <c r="CC2066" s="128"/>
      <c r="CD2066" s="128"/>
      <c r="CE2066" s="128"/>
      <c r="CF2066" s="128"/>
      <c r="CG2066" s="128"/>
      <c r="CI2066" s="128"/>
      <c r="CJ2066" s="128"/>
      <c r="CK2066" s="128"/>
      <c r="CL2066" s="128"/>
      <c r="CM2066" s="128"/>
      <c r="CN2066" s="128"/>
      <c r="CO2066" s="128"/>
      <c r="CP2066" s="128"/>
      <c r="CQ2066" s="128"/>
      <c r="CR2066" s="128"/>
      <c r="CS2066" s="128"/>
      <c r="CT2066" s="128"/>
      <c r="CU2066" s="128"/>
      <c r="CV2066" s="128"/>
      <c r="CW2066" s="128"/>
      <c r="CX2066" s="128"/>
      <c r="CY2066" s="128"/>
      <c r="CZ2066" s="165"/>
    </row>
    <row r="2067" spans="1:104">
      <c r="A2067" s="149"/>
      <c r="B2067" s="149"/>
      <c r="C2067" s="150"/>
      <c r="D2067" s="102"/>
      <c r="E2067" s="149"/>
      <c r="F2067" s="149"/>
      <c r="G2067" s="149"/>
      <c r="H2067" s="149"/>
      <c r="I2067" s="149"/>
      <c r="J2067" s="149"/>
      <c r="K2067" s="149"/>
      <c r="L2067" s="149"/>
      <c r="M2067" s="149"/>
      <c r="N2067" s="149"/>
      <c r="O2067" s="149"/>
      <c r="P2067" s="149"/>
      <c r="Q2067" s="149"/>
      <c r="R2067" s="149"/>
      <c r="S2067" s="149"/>
      <c r="T2067" s="149"/>
      <c r="U2067" s="149"/>
      <c r="V2067" s="149"/>
      <c r="W2067" s="149"/>
      <c r="X2067" s="149"/>
      <c r="Y2067" s="149"/>
      <c r="Z2067" s="149"/>
      <c r="AA2067" s="149"/>
      <c r="AB2067" s="149"/>
      <c r="AC2067" s="149"/>
      <c r="AD2067" s="149"/>
      <c r="AE2067" s="149"/>
      <c r="AF2067" s="149"/>
      <c r="AG2067" s="149"/>
      <c r="AH2067" s="149"/>
      <c r="AI2067" s="149"/>
      <c r="AJ2067" s="149"/>
      <c r="AK2067" s="149"/>
      <c r="AL2067" s="149"/>
      <c r="AM2067" s="149"/>
      <c r="AN2067" s="149"/>
      <c r="AO2067" s="128"/>
      <c r="AP2067" s="128"/>
      <c r="AQ2067" s="128"/>
      <c r="AR2067" s="128"/>
      <c r="AS2067" s="128"/>
      <c r="AT2067" s="128"/>
      <c r="AU2067" s="128"/>
      <c r="AV2067" s="128"/>
      <c r="AW2067" s="128"/>
      <c r="AX2067" s="128"/>
      <c r="AY2067" s="128"/>
      <c r="AZ2067" s="128"/>
      <c r="BA2067" s="128"/>
      <c r="BB2067" s="128"/>
      <c r="BC2067" s="128"/>
      <c r="BD2067" s="128"/>
      <c r="BE2067" s="128"/>
      <c r="BF2067" s="128"/>
      <c r="BG2067" s="128"/>
      <c r="BH2067" s="128"/>
      <c r="BI2067" s="128"/>
      <c r="BJ2067" s="128"/>
      <c r="BK2067" s="128"/>
      <c r="BL2067" s="128"/>
      <c r="BM2067" s="151"/>
      <c r="BN2067" s="128"/>
      <c r="BO2067" s="128"/>
      <c r="BP2067" s="128"/>
      <c r="BQ2067" s="128"/>
      <c r="BR2067" s="128"/>
      <c r="BS2067" s="128"/>
      <c r="BT2067" s="128"/>
      <c r="BU2067" s="128"/>
      <c r="BV2067" s="128"/>
      <c r="BW2067" s="128"/>
      <c r="BX2067" s="128"/>
      <c r="BY2067" s="128"/>
      <c r="BZ2067" s="128"/>
      <c r="CA2067" s="128"/>
      <c r="CB2067" s="128"/>
      <c r="CC2067" s="128"/>
      <c r="CD2067" s="128"/>
      <c r="CE2067" s="128"/>
      <c r="CF2067" s="128"/>
      <c r="CG2067" s="128"/>
      <c r="CI2067" s="128"/>
      <c r="CJ2067" s="128"/>
      <c r="CK2067" s="128"/>
      <c r="CL2067" s="128"/>
      <c r="CM2067" s="128"/>
      <c r="CN2067" s="128"/>
      <c r="CO2067" s="128"/>
      <c r="CP2067" s="128"/>
      <c r="CQ2067" s="128"/>
      <c r="CR2067" s="128"/>
      <c r="CS2067" s="128"/>
      <c r="CT2067" s="128"/>
      <c r="CU2067" s="128"/>
      <c r="CV2067" s="128"/>
      <c r="CW2067" s="128"/>
      <c r="CX2067" s="128"/>
      <c r="CY2067" s="128"/>
      <c r="CZ2067" s="165"/>
    </row>
    <row r="2068" spans="1:104">
      <c r="A2068" s="149"/>
      <c r="B2068" s="149"/>
      <c r="C2068" s="150"/>
      <c r="D2068" s="102"/>
      <c r="E2068" s="149"/>
      <c r="F2068" s="149"/>
      <c r="G2068" s="149"/>
      <c r="H2068" s="149"/>
      <c r="I2068" s="149"/>
      <c r="J2068" s="149"/>
      <c r="K2068" s="149"/>
      <c r="L2068" s="149"/>
      <c r="M2068" s="149"/>
      <c r="N2068" s="149"/>
      <c r="O2068" s="149"/>
      <c r="P2068" s="149"/>
      <c r="Q2068" s="149"/>
      <c r="R2068" s="149"/>
      <c r="S2068" s="149"/>
      <c r="T2068" s="149"/>
      <c r="U2068" s="149"/>
      <c r="V2068" s="149"/>
      <c r="W2068" s="149"/>
      <c r="X2068" s="149"/>
      <c r="Y2068" s="149"/>
      <c r="Z2068" s="149"/>
      <c r="AA2068" s="149"/>
      <c r="AB2068" s="149"/>
      <c r="AC2068" s="149"/>
      <c r="AD2068" s="149"/>
      <c r="AE2068" s="149"/>
      <c r="AF2068" s="149"/>
      <c r="AG2068" s="149"/>
      <c r="AH2068" s="149"/>
      <c r="AI2068" s="149"/>
      <c r="AJ2068" s="149"/>
      <c r="AK2068" s="149"/>
      <c r="AL2068" s="149"/>
      <c r="AM2068" s="149"/>
      <c r="AN2068" s="149"/>
      <c r="AO2068" s="128"/>
      <c r="AP2068" s="128"/>
      <c r="AQ2068" s="128"/>
      <c r="AR2068" s="128"/>
      <c r="AS2068" s="128"/>
      <c r="AT2068" s="128"/>
      <c r="AU2068" s="128"/>
      <c r="AV2068" s="128"/>
      <c r="AW2068" s="128"/>
      <c r="AX2068" s="128"/>
      <c r="AY2068" s="128"/>
      <c r="AZ2068" s="128"/>
      <c r="BA2068" s="128"/>
      <c r="BB2068" s="128"/>
      <c r="BC2068" s="128"/>
      <c r="BD2068" s="128"/>
      <c r="BE2068" s="128"/>
      <c r="BF2068" s="128"/>
      <c r="BG2068" s="128"/>
      <c r="BH2068" s="128"/>
      <c r="BI2068" s="128"/>
      <c r="BJ2068" s="128"/>
      <c r="BK2068" s="128"/>
      <c r="BL2068" s="128"/>
      <c r="BM2068" s="151"/>
      <c r="BN2068" s="128"/>
      <c r="BO2068" s="128"/>
      <c r="BP2068" s="128"/>
      <c r="BQ2068" s="128"/>
      <c r="BR2068" s="128"/>
      <c r="BS2068" s="128"/>
      <c r="BT2068" s="128"/>
      <c r="BU2068" s="128"/>
      <c r="BV2068" s="128"/>
      <c r="BW2068" s="128"/>
      <c r="BX2068" s="128"/>
      <c r="BY2068" s="128"/>
      <c r="BZ2068" s="128"/>
      <c r="CA2068" s="128"/>
      <c r="CB2068" s="128"/>
      <c r="CC2068" s="128"/>
      <c r="CD2068" s="128"/>
      <c r="CE2068" s="128"/>
      <c r="CF2068" s="128"/>
      <c r="CG2068" s="128"/>
      <c r="CI2068" s="128"/>
      <c r="CJ2068" s="128"/>
      <c r="CK2068" s="128"/>
      <c r="CL2068" s="128"/>
      <c r="CM2068" s="128"/>
      <c r="CN2068" s="128"/>
      <c r="CO2068" s="128"/>
      <c r="CP2068" s="128"/>
      <c r="CQ2068" s="128"/>
      <c r="CR2068" s="128"/>
      <c r="CS2068" s="128"/>
      <c r="CT2068" s="128"/>
      <c r="CU2068" s="128"/>
      <c r="CV2068" s="128"/>
      <c r="CW2068" s="128"/>
      <c r="CX2068" s="128"/>
      <c r="CY2068" s="128"/>
      <c r="CZ2068" s="165"/>
    </row>
    <row r="2069" spans="1:104">
      <c r="A2069" s="149"/>
      <c r="B2069" s="149"/>
      <c r="C2069" s="150"/>
      <c r="D2069" s="102"/>
      <c r="E2069" s="149"/>
      <c r="F2069" s="149"/>
      <c r="G2069" s="149"/>
      <c r="H2069" s="149"/>
      <c r="I2069" s="149"/>
      <c r="J2069" s="149"/>
      <c r="K2069" s="149"/>
      <c r="L2069" s="149"/>
      <c r="M2069" s="149"/>
      <c r="N2069" s="149"/>
      <c r="O2069" s="149"/>
      <c r="P2069" s="149"/>
      <c r="Q2069" s="149"/>
      <c r="R2069" s="149"/>
      <c r="S2069" s="149"/>
      <c r="T2069" s="149"/>
      <c r="U2069" s="149"/>
      <c r="V2069" s="149"/>
      <c r="W2069" s="149"/>
      <c r="X2069" s="149"/>
      <c r="Y2069" s="149"/>
      <c r="Z2069" s="149"/>
      <c r="AA2069" s="149"/>
      <c r="AB2069" s="149"/>
      <c r="AC2069" s="149"/>
      <c r="AD2069" s="149"/>
      <c r="AE2069" s="149"/>
      <c r="AF2069" s="149"/>
      <c r="AG2069" s="149"/>
      <c r="AH2069" s="149"/>
      <c r="AI2069" s="149"/>
      <c r="AJ2069" s="149"/>
      <c r="AK2069" s="149"/>
      <c r="AL2069" s="149"/>
      <c r="AM2069" s="149"/>
      <c r="AN2069" s="149"/>
      <c r="AO2069" s="128"/>
      <c r="AP2069" s="128"/>
      <c r="AQ2069" s="128"/>
      <c r="AR2069" s="128"/>
      <c r="AS2069" s="128"/>
      <c r="AT2069" s="128"/>
      <c r="AU2069" s="128"/>
      <c r="AV2069" s="128"/>
      <c r="AW2069" s="128"/>
      <c r="AX2069" s="128"/>
      <c r="AY2069" s="128"/>
      <c r="AZ2069" s="128"/>
      <c r="BA2069" s="128"/>
      <c r="BB2069" s="128"/>
      <c r="BC2069" s="128"/>
      <c r="BD2069" s="128"/>
      <c r="BE2069" s="128"/>
      <c r="BF2069" s="128"/>
      <c r="BG2069" s="128"/>
      <c r="BH2069" s="128"/>
      <c r="BI2069" s="128"/>
      <c r="BJ2069" s="128"/>
      <c r="BK2069" s="128"/>
      <c r="BL2069" s="128"/>
      <c r="BM2069" s="151"/>
      <c r="BN2069" s="128"/>
      <c r="BO2069" s="128"/>
      <c r="BP2069" s="128"/>
      <c r="BQ2069" s="128"/>
      <c r="BR2069" s="128"/>
      <c r="BS2069" s="128"/>
      <c r="BT2069" s="128"/>
      <c r="BU2069" s="128"/>
      <c r="BV2069" s="128"/>
      <c r="BW2069" s="128"/>
      <c r="BX2069" s="128"/>
      <c r="BY2069" s="128"/>
      <c r="BZ2069" s="128"/>
      <c r="CA2069" s="128"/>
      <c r="CB2069" s="128"/>
      <c r="CC2069" s="128"/>
      <c r="CD2069" s="128"/>
      <c r="CE2069" s="128"/>
      <c r="CF2069" s="128"/>
      <c r="CG2069" s="128"/>
      <c r="CI2069" s="128"/>
      <c r="CJ2069" s="128"/>
      <c r="CK2069" s="128"/>
      <c r="CL2069" s="128"/>
      <c r="CM2069" s="128"/>
      <c r="CN2069" s="128"/>
      <c r="CO2069" s="128"/>
      <c r="CP2069" s="128"/>
      <c r="CQ2069" s="128"/>
      <c r="CR2069" s="128"/>
      <c r="CS2069" s="128"/>
      <c r="CT2069" s="128"/>
      <c r="CU2069" s="128"/>
      <c r="CV2069" s="128"/>
      <c r="CW2069" s="128"/>
      <c r="CX2069" s="128"/>
      <c r="CY2069" s="128"/>
      <c r="CZ2069" s="165"/>
    </row>
    <row r="2070" spans="1:104">
      <c r="A2070" s="149"/>
      <c r="B2070" s="149"/>
      <c r="C2070" s="150"/>
      <c r="D2070" s="102"/>
      <c r="E2070" s="149"/>
      <c r="F2070" s="149"/>
      <c r="G2070" s="149"/>
      <c r="H2070" s="149"/>
      <c r="I2070" s="149"/>
      <c r="J2070" s="149"/>
      <c r="K2070" s="149"/>
      <c r="L2070" s="149"/>
      <c r="M2070" s="149"/>
      <c r="N2070" s="149"/>
      <c r="O2070" s="149"/>
      <c r="P2070" s="149"/>
      <c r="Q2070" s="149"/>
      <c r="R2070" s="149"/>
      <c r="S2070" s="149"/>
      <c r="T2070" s="149"/>
      <c r="U2070" s="149"/>
      <c r="V2070" s="149"/>
      <c r="W2070" s="149"/>
      <c r="X2070" s="149"/>
      <c r="Y2070" s="149"/>
      <c r="Z2070" s="149"/>
      <c r="AA2070" s="149"/>
      <c r="AB2070" s="149"/>
      <c r="AC2070" s="149"/>
      <c r="AD2070" s="149"/>
      <c r="AE2070" s="149"/>
      <c r="AF2070" s="149"/>
      <c r="AG2070" s="149"/>
      <c r="AH2070" s="149"/>
      <c r="AI2070" s="149"/>
      <c r="AJ2070" s="149"/>
      <c r="AK2070" s="149"/>
      <c r="AL2070" s="149"/>
      <c r="AM2070" s="149"/>
      <c r="AN2070" s="149"/>
      <c r="AO2070" s="128"/>
      <c r="AP2070" s="128"/>
      <c r="AQ2070" s="128"/>
      <c r="AR2070" s="128"/>
      <c r="AS2070" s="128"/>
      <c r="AT2070" s="128"/>
      <c r="AU2070" s="128"/>
      <c r="AV2070" s="128"/>
      <c r="AW2070" s="128"/>
      <c r="AX2070" s="128"/>
      <c r="AY2070" s="128"/>
      <c r="AZ2070" s="128"/>
      <c r="BA2070" s="128"/>
      <c r="BB2070" s="128"/>
      <c r="BC2070" s="128"/>
      <c r="BD2070" s="128"/>
      <c r="BE2070" s="128"/>
      <c r="BF2070" s="128"/>
      <c r="BG2070" s="128"/>
      <c r="BH2070" s="128"/>
      <c r="BI2070" s="128"/>
      <c r="BJ2070" s="128"/>
      <c r="BK2070" s="128"/>
      <c r="BL2070" s="128"/>
      <c r="BM2070" s="151"/>
      <c r="BN2070" s="128"/>
      <c r="BO2070" s="128"/>
      <c r="BP2070" s="128"/>
      <c r="BQ2070" s="128"/>
      <c r="BR2070" s="128"/>
      <c r="BS2070" s="128"/>
      <c r="BT2070" s="128"/>
      <c r="BU2070" s="128"/>
      <c r="BV2070" s="128"/>
      <c r="BW2070" s="128"/>
      <c r="BX2070" s="128"/>
      <c r="BY2070" s="128"/>
      <c r="BZ2070" s="128"/>
      <c r="CA2070" s="128"/>
      <c r="CB2070" s="128"/>
      <c r="CC2070" s="128"/>
      <c r="CD2070" s="128"/>
      <c r="CE2070" s="128"/>
      <c r="CF2070" s="128"/>
      <c r="CG2070" s="128"/>
      <c r="CI2070" s="128"/>
      <c r="CJ2070" s="128"/>
      <c r="CK2070" s="128"/>
      <c r="CL2070" s="128"/>
      <c r="CM2070" s="128"/>
      <c r="CN2070" s="128"/>
      <c r="CO2070" s="128"/>
      <c r="CP2070" s="128"/>
      <c r="CQ2070" s="128"/>
      <c r="CR2070" s="128"/>
      <c r="CS2070" s="128"/>
      <c r="CT2070" s="128"/>
      <c r="CU2070" s="128"/>
      <c r="CV2070" s="128"/>
      <c r="CW2070" s="128"/>
      <c r="CX2070" s="128"/>
      <c r="CY2070" s="128"/>
      <c r="CZ2070" s="165"/>
    </row>
    <row r="2071" spans="1:104">
      <c r="A2071" s="149"/>
      <c r="B2071" s="149"/>
      <c r="C2071" s="150"/>
      <c r="D2071" s="102"/>
      <c r="E2071" s="149"/>
      <c r="F2071" s="149"/>
      <c r="G2071" s="149"/>
      <c r="H2071" s="149"/>
      <c r="I2071" s="149"/>
      <c r="J2071" s="149"/>
      <c r="K2071" s="149"/>
      <c r="L2071" s="149"/>
      <c r="M2071" s="149"/>
      <c r="N2071" s="149"/>
      <c r="O2071" s="149"/>
      <c r="P2071" s="149"/>
      <c r="Q2071" s="149"/>
      <c r="R2071" s="149"/>
      <c r="S2071" s="149"/>
      <c r="T2071" s="149"/>
      <c r="U2071" s="149"/>
      <c r="V2071" s="149"/>
      <c r="W2071" s="149"/>
      <c r="X2071" s="149"/>
      <c r="Y2071" s="149"/>
      <c r="Z2071" s="149"/>
      <c r="AA2071" s="149"/>
      <c r="AB2071" s="149"/>
      <c r="AC2071" s="149"/>
      <c r="AD2071" s="149"/>
      <c r="AE2071" s="149"/>
      <c r="AF2071" s="149"/>
      <c r="AG2071" s="149"/>
      <c r="AH2071" s="149"/>
      <c r="AI2071" s="149"/>
      <c r="AJ2071" s="149"/>
      <c r="AK2071" s="149"/>
      <c r="AL2071" s="149"/>
      <c r="AM2071" s="149"/>
      <c r="AN2071" s="149"/>
      <c r="AO2071" s="128"/>
      <c r="AP2071" s="128"/>
      <c r="AQ2071" s="128"/>
      <c r="AR2071" s="128"/>
      <c r="AS2071" s="128"/>
      <c r="AT2071" s="128"/>
      <c r="AU2071" s="128"/>
      <c r="AV2071" s="128"/>
      <c r="AW2071" s="128"/>
      <c r="AX2071" s="128"/>
      <c r="AY2071" s="128"/>
      <c r="AZ2071" s="128"/>
      <c r="BA2071" s="128"/>
      <c r="BB2071" s="128"/>
      <c r="BC2071" s="128"/>
      <c r="BD2071" s="128"/>
      <c r="BE2071" s="128"/>
      <c r="BF2071" s="128"/>
      <c r="BG2071" s="128"/>
      <c r="BH2071" s="128"/>
      <c r="BI2071" s="128"/>
      <c r="BJ2071" s="128"/>
      <c r="BK2071" s="128"/>
      <c r="BL2071" s="128"/>
      <c r="BM2071" s="151"/>
      <c r="BN2071" s="128"/>
      <c r="BO2071" s="128"/>
      <c r="BP2071" s="128"/>
      <c r="BQ2071" s="128"/>
      <c r="BR2071" s="128"/>
      <c r="BS2071" s="128"/>
      <c r="BT2071" s="128"/>
      <c r="BU2071" s="128"/>
      <c r="BV2071" s="128"/>
      <c r="BW2071" s="128"/>
      <c r="BX2071" s="128"/>
      <c r="BY2071" s="128"/>
      <c r="BZ2071" s="128"/>
      <c r="CA2071" s="128"/>
      <c r="CB2071" s="128"/>
      <c r="CC2071" s="128"/>
      <c r="CD2071" s="128"/>
      <c r="CE2071" s="128"/>
      <c r="CF2071" s="128"/>
      <c r="CG2071" s="128"/>
      <c r="CI2071" s="128"/>
      <c r="CJ2071" s="128"/>
      <c r="CK2071" s="128"/>
      <c r="CL2071" s="128"/>
      <c r="CM2071" s="128"/>
      <c r="CN2071" s="128"/>
      <c r="CO2071" s="128"/>
      <c r="CP2071" s="128"/>
      <c r="CQ2071" s="128"/>
      <c r="CR2071" s="128"/>
      <c r="CS2071" s="128"/>
      <c r="CT2071" s="128"/>
      <c r="CU2071" s="128"/>
      <c r="CV2071" s="128"/>
      <c r="CW2071" s="128"/>
      <c r="CX2071" s="128"/>
      <c r="CY2071" s="128"/>
      <c r="CZ2071" s="165"/>
    </row>
    <row r="2072" spans="1:104">
      <c r="A2072" s="149"/>
      <c r="B2072" s="149"/>
      <c r="C2072" s="150"/>
      <c r="D2072" s="102"/>
      <c r="E2072" s="149"/>
      <c r="F2072" s="149"/>
      <c r="G2072" s="149"/>
      <c r="H2072" s="149"/>
      <c r="I2072" s="149"/>
      <c r="J2072" s="149"/>
      <c r="K2072" s="149"/>
      <c r="L2072" s="149"/>
      <c r="M2072" s="149"/>
      <c r="N2072" s="149"/>
      <c r="O2072" s="149"/>
      <c r="P2072" s="149"/>
      <c r="Q2072" s="149"/>
      <c r="R2072" s="149"/>
      <c r="S2072" s="149"/>
      <c r="T2072" s="149"/>
      <c r="U2072" s="149"/>
      <c r="V2072" s="149"/>
      <c r="W2072" s="149"/>
      <c r="X2072" s="149"/>
      <c r="Y2072" s="149"/>
      <c r="Z2072" s="149"/>
      <c r="AA2072" s="149"/>
      <c r="AB2072" s="149"/>
      <c r="AC2072" s="149"/>
      <c r="AD2072" s="149"/>
      <c r="AE2072" s="149"/>
      <c r="AF2072" s="149"/>
      <c r="AG2072" s="149"/>
      <c r="AH2072" s="149"/>
      <c r="AI2072" s="149"/>
      <c r="AJ2072" s="149"/>
      <c r="AK2072" s="149"/>
      <c r="AL2072" s="149"/>
      <c r="AM2072" s="149"/>
      <c r="AN2072" s="149"/>
      <c r="AO2072" s="128"/>
      <c r="AP2072" s="128"/>
      <c r="AQ2072" s="128"/>
      <c r="AR2072" s="128"/>
      <c r="AS2072" s="128"/>
      <c r="AT2072" s="128"/>
      <c r="AU2072" s="128"/>
      <c r="AV2072" s="128"/>
      <c r="AW2072" s="128"/>
      <c r="AX2072" s="128"/>
      <c r="AY2072" s="128"/>
      <c r="AZ2072" s="128"/>
      <c r="BA2072" s="128"/>
      <c r="BB2072" s="128"/>
      <c r="BC2072" s="128"/>
      <c r="BD2072" s="128"/>
      <c r="BE2072" s="128"/>
      <c r="BF2072" s="128"/>
      <c r="BG2072" s="128"/>
      <c r="BH2072" s="128"/>
      <c r="BI2072" s="128"/>
      <c r="BJ2072" s="128"/>
      <c r="BK2072" s="128"/>
      <c r="BL2072" s="128"/>
      <c r="BM2072" s="151"/>
      <c r="BN2072" s="128"/>
      <c r="BO2072" s="128"/>
      <c r="BP2072" s="128"/>
      <c r="BQ2072" s="128"/>
      <c r="BR2072" s="128"/>
      <c r="BS2072" s="128"/>
      <c r="BT2072" s="128"/>
      <c r="BU2072" s="128"/>
      <c r="BV2072" s="128"/>
      <c r="BW2072" s="128"/>
      <c r="BX2072" s="128"/>
      <c r="BY2072" s="128"/>
      <c r="BZ2072" s="128"/>
      <c r="CA2072" s="128"/>
      <c r="CB2072" s="128"/>
      <c r="CC2072" s="128"/>
      <c r="CD2072" s="128"/>
      <c r="CE2072" s="128"/>
      <c r="CF2072" s="128"/>
      <c r="CG2072" s="128"/>
      <c r="CI2072" s="128"/>
      <c r="CJ2072" s="128"/>
      <c r="CK2072" s="128"/>
      <c r="CL2072" s="128"/>
      <c r="CM2072" s="128"/>
      <c r="CN2072" s="128"/>
      <c r="CO2072" s="128"/>
      <c r="CP2072" s="128"/>
      <c r="CQ2072" s="128"/>
      <c r="CR2072" s="128"/>
      <c r="CS2072" s="128"/>
      <c r="CT2072" s="128"/>
      <c r="CU2072" s="128"/>
      <c r="CV2072" s="128"/>
      <c r="CW2072" s="128"/>
      <c r="CX2072" s="128"/>
      <c r="CY2072" s="128"/>
      <c r="CZ2072" s="165"/>
    </row>
    <row r="2073" spans="1:104">
      <c r="A2073" s="149"/>
      <c r="B2073" s="149"/>
      <c r="C2073" s="150"/>
      <c r="D2073" s="102"/>
      <c r="E2073" s="149"/>
      <c r="F2073" s="149"/>
      <c r="G2073" s="149"/>
      <c r="H2073" s="149"/>
      <c r="I2073" s="149"/>
      <c r="J2073" s="149"/>
      <c r="K2073" s="149"/>
      <c r="L2073" s="149"/>
      <c r="M2073" s="149"/>
      <c r="N2073" s="149"/>
      <c r="O2073" s="149"/>
      <c r="P2073" s="149"/>
      <c r="Q2073" s="149"/>
      <c r="R2073" s="149"/>
      <c r="S2073" s="149"/>
      <c r="T2073" s="149"/>
      <c r="U2073" s="149"/>
      <c r="V2073" s="149"/>
      <c r="W2073" s="149"/>
      <c r="X2073" s="149"/>
      <c r="Y2073" s="149"/>
      <c r="Z2073" s="149"/>
      <c r="AA2073" s="149"/>
      <c r="AB2073" s="149"/>
      <c r="AC2073" s="149"/>
      <c r="AD2073" s="149"/>
      <c r="AE2073" s="149"/>
      <c r="AF2073" s="149"/>
      <c r="AG2073" s="149"/>
      <c r="AH2073" s="149"/>
      <c r="AI2073" s="149"/>
      <c r="AJ2073" s="149"/>
      <c r="AK2073" s="149"/>
      <c r="AL2073" s="149"/>
      <c r="AM2073" s="149"/>
      <c r="AN2073" s="149"/>
      <c r="AO2073" s="128"/>
      <c r="AP2073" s="128"/>
      <c r="AQ2073" s="128"/>
      <c r="AR2073" s="128"/>
      <c r="AS2073" s="128"/>
      <c r="AT2073" s="128"/>
      <c r="AU2073" s="128"/>
      <c r="AV2073" s="128"/>
      <c r="AW2073" s="128"/>
      <c r="AX2073" s="128"/>
      <c r="AY2073" s="128"/>
      <c r="AZ2073" s="128"/>
      <c r="BA2073" s="128"/>
      <c r="BB2073" s="128"/>
      <c r="BC2073" s="128"/>
      <c r="BD2073" s="128"/>
      <c r="BE2073" s="128"/>
      <c r="BF2073" s="128"/>
      <c r="BG2073" s="128"/>
      <c r="BH2073" s="128"/>
      <c r="BI2073" s="128"/>
      <c r="BJ2073" s="128"/>
      <c r="BK2073" s="128"/>
      <c r="BL2073" s="128"/>
      <c r="BM2073" s="151"/>
      <c r="BN2073" s="128"/>
      <c r="BO2073" s="128"/>
      <c r="BP2073" s="128"/>
      <c r="BQ2073" s="128"/>
      <c r="BR2073" s="128"/>
      <c r="BS2073" s="128"/>
      <c r="BT2073" s="128"/>
      <c r="BU2073" s="128"/>
      <c r="BV2073" s="128"/>
      <c r="BW2073" s="128"/>
      <c r="BX2073" s="128"/>
      <c r="BY2073" s="128"/>
      <c r="BZ2073" s="128"/>
      <c r="CA2073" s="128"/>
      <c r="CB2073" s="128"/>
      <c r="CC2073" s="128"/>
      <c r="CD2073" s="128"/>
      <c r="CE2073" s="128"/>
      <c r="CF2073" s="128"/>
      <c r="CG2073" s="128"/>
      <c r="CI2073" s="128"/>
      <c r="CJ2073" s="128"/>
      <c r="CK2073" s="128"/>
      <c r="CL2073" s="128"/>
      <c r="CM2073" s="128"/>
      <c r="CN2073" s="128"/>
      <c r="CO2073" s="128"/>
      <c r="CP2073" s="128"/>
      <c r="CQ2073" s="128"/>
      <c r="CR2073" s="128"/>
      <c r="CS2073" s="128"/>
      <c r="CT2073" s="128"/>
      <c r="CU2073" s="128"/>
      <c r="CV2073" s="128"/>
      <c r="CW2073" s="128"/>
      <c r="CX2073" s="128"/>
      <c r="CY2073" s="128"/>
      <c r="CZ2073" s="165"/>
    </row>
    <row r="2074" spans="1:104">
      <c r="A2074" s="149"/>
      <c r="B2074" s="149"/>
      <c r="C2074" s="150"/>
      <c r="D2074" s="102"/>
      <c r="E2074" s="149"/>
      <c r="F2074" s="149"/>
      <c r="G2074" s="149"/>
      <c r="H2074" s="149"/>
      <c r="I2074" s="149"/>
      <c r="J2074" s="149"/>
      <c r="K2074" s="149"/>
      <c r="L2074" s="149"/>
      <c r="M2074" s="149"/>
      <c r="N2074" s="149"/>
      <c r="O2074" s="149"/>
      <c r="P2074" s="149"/>
      <c r="Q2074" s="149"/>
      <c r="R2074" s="149"/>
      <c r="S2074" s="149"/>
      <c r="T2074" s="149"/>
      <c r="U2074" s="149"/>
      <c r="V2074" s="149"/>
      <c r="W2074" s="149"/>
      <c r="X2074" s="149"/>
      <c r="Y2074" s="149"/>
      <c r="Z2074" s="149"/>
      <c r="AA2074" s="149"/>
      <c r="AB2074" s="149"/>
      <c r="AC2074" s="149"/>
      <c r="AD2074" s="149"/>
      <c r="AE2074" s="149"/>
      <c r="AF2074" s="149"/>
      <c r="AG2074" s="149"/>
      <c r="AH2074" s="149"/>
      <c r="AI2074" s="149"/>
      <c r="AJ2074" s="149"/>
      <c r="AK2074" s="149"/>
      <c r="AL2074" s="149"/>
      <c r="AM2074" s="149"/>
      <c r="AN2074" s="149"/>
      <c r="AO2074" s="128"/>
      <c r="AP2074" s="128"/>
      <c r="AQ2074" s="128"/>
      <c r="AR2074" s="128"/>
      <c r="AS2074" s="128"/>
      <c r="AT2074" s="128"/>
      <c r="AU2074" s="128"/>
      <c r="AV2074" s="128"/>
      <c r="AW2074" s="128"/>
      <c r="AX2074" s="128"/>
      <c r="AY2074" s="128"/>
      <c r="AZ2074" s="128"/>
      <c r="BA2074" s="128"/>
      <c r="BB2074" s="128"/>
      <c r="BC2074" s="128"/>
      <c r="BD2074" s="128"/>
      <c r="BE2074" s="128"/>
      <c r="BF2074" s="128"/>
      <c r="BG2074" s="128"/>
      <c r="BH2074" s="128"/>
      <c r="BI2074" s="128"/>
      <c r="BJ2074" s="128"/>
      <c r="BK2074" s="128"/>
      <c r="BL2074" s="128"/>
      <c r="BM2074" s="151"/>
      <c r="BN2074" s="128"/>
      <c r="BO2074" s="128"/>
      <c r="BP2074" s="128"/>
      <c r="BQ2074" s="128"/>
      <c r="BR2074" s="128"/>
      <c r="BS2074" s="128"/>
      <c r="BT2074" s="128"/>
      <c r="BU2074" s="128"/>
      <c r="BV2074" s="128"/>
      <c r="BW2074" s="128"/>
      <c r="BX2074" s="128"/>
      <c r="BY2074" s="128"/>
      <c r="BZ2074" s="128"/>
      <c r="CA2074" s="128"/>
      <c r="CB2074" s="128"/>
      <c r="CC2074" s="128"/>
      <c r="CD2074" s="128"/>
      <c r="CE2074" s="128"/>
      <c r="CF2074" s="128"/>
      <c r="CG2074" s="128"/>
      <c r="CI2074" s="128"/>
      <c r="CJ2074" s="128"/>
      <c r="CK2074" s="128"/>
      <c r="CL2074" s="128"/>
      <c r="CM2074" s="128"/>
      <c r="CN2074" s="128"/>
      <c r="CO2074" s="128"/>
      <c r="CP2074" s="128"/>
      <c r="CQ2074" s="128"/>
      <c r="CR2074" s="128"/>
      <c r="CS2074" s="128"/>
      <c r="CT2074" s="128"/>
      <c r="CU2074" s="128"/>
      <c r="CV2074" s="128"/>
      <c r="CW2074" s="128"/>
      <c r="CX2074" s="128"/>
      <c r="CY2074" s="128"/>
      <c r="CZ2074" s="165"/>
    </row>
    <row r="2075" spans="1:104">
      <c r="A2075" s="149"/>
      <c r="B2075" s="149"/>
      <c r="C2075" s="150"/>
      <c r="D2075" s="102"/>
      <c r="E2075" s="149"/>
      <c r="F2075" s="149"/>
      <c r="G2075" s="149"/>
      <c r="H2075" s="149"/>
      <c r="I2075" s="149"/>
      <c r="J2075" s="149"/>
      <c r="K2075" s="149"/>
      <c r="L2075" s="149"/>
      <c r="M2075" s="149"/>
      <c r="N2075" s="149"/>
      <c r="O2075" s="149"/>
      <c r="P2075" s="149"/>
      <c r="Q2075" s="149"/>
      <c r="R2075" s="149"/>
      <c r="S2075" s="149"/>
      <c r="T2075" s="149"/>
      <c r="U2075" s="149"/>
      <c r="V2075" s="149"/>
      <c r="W2075" s="149"/>
      <c r="X2075" s="149"/>
      <c r="Y2075" s="149"/>
      <c r="Z2075" s="149"/>
      <c r="AA2075" s="149"/>
      <c r="AB2075" s="149"/>
      <c r="AC2075" s="149"/>
      <c r="AD2075" s="149"/>
      <c r="AE2075" s="149"/>
      <c r="AF2075" s="149"/>
      <c r="AG2075" s="149"/>
      <c r="AH2075" s="149"/>
      <c r="AI2075" s="149"/>
      <c r="AJ2075" s="149"/>
      <c r="AK2075" s="149"/>
      <c r="AL2075" s="149"/>
      <c r="AM2075" s="149"/>
      <c r="AN2075" s="149"/>
      <c r="AO2075" s="128"/>
      <c r="AP2075" s="128"/>
      <c r="AQ2075" s="128"/>
      <c r="AR2075" s="128"/>
      <c r="AS2075" s="128"/>
      <c r="AT2075" s="128"/>
      <c r="AU2075" s="128"/>
      <c r="AV2075" s="128"/>
      <c r="AW2075" s="128"/>
      <c r="AX2075" s="128"/>
      <c r="AY2075" s="128"/>
      <c r="AZ2075" s="128"/>
      <c r="BA2075" s="128"/>
      <c r="BB2075" s="128"/>
      <c r="BC2075" s="128"/>
      <c r="BD2075" s="128"/>
      <c r="BE2075" s="128"/>
      <c r="BF2075" s="128"/>
      <c r="BG2075" s="128"/>
      <c r="BH2075" s="128"/>
      <c r="BI2075" s="128"/>
      <c r="BJ2075" s="128"/>
      <c r="BK2075" s="128"/>
      <c r="BL2075" s="128"/>
      <c r="BM2075" s="151"/>
      <c r="BN2075" s="128"/>
      <c r="BO2075" s="128"/>
      <c r="BP2075" s="128"/>
      <c r="BQ2075" s="128"/>
      <c r="BR2075" s="128"/>
      <c r="BS2075" s="128"/>
      <c r="BT2075" s="128"/>
      <c r="BU2075" s="128"/>
      <c r="BV2075" s="128"/>
      <c r="BW2075" s="128"/>
      <c r="BX2075" s="128"/>
      <c r="BY2075" s="128"/>
      <c r="BZ2075" s="128"/>
      <c r="CA2075" s="128"/>
      <c r="CB2075" s="128"/>
      <c r="CC2075" s="128"/>
      <c r="CD2075" s="128"/>
      <c r="CE2075" s="128"/>
      <c r="CF2075" s="128"/>
      <c r="CG2075" s="128"/>
      <c r="CI2075" s="128"/>
      <c r="CJ2075" s="128"/>
      <c r="CK2075" s="128"/>
      <c r="CL2075" s="128"/>
      <c r="CM2075" s="128"/>
      <c r="CN2075" s="128"/>
      <c r="CO2075" s="128"/>
      <c r="CP2075" s="128"/>
      <c r="CQ2075" s="128"/>
      <c r="CR2075" s="128"/>
      <c r="CS2075" s="128"/>
      <c r="CT2075" s="128"/>
      <c r="CU2075" s="128"/>
      <c r="CV2075" s="128"/>
      <c r="CW2075" s="128"/>
      <c r="CX2075" s="128"/>
      <c r="CY2075" s="128"/>
      <c r="CZ2075" s="165"/>
    </row>
    <row r="2076" spans="1:104">
      <c r="A2076" s="149"/>
      <c r="B2076" s="149"/>
      <c r="C2076" s="150"/>
      <c r="D2076" s="102"/>
      <c r="E2076" s="149"/>
      <c r="F2076" s="149"/>
      <c r="G2076" s="149"/>
      <c r="H2076" s="149"/>
      <c r="I2076" s="149"/>
      <c r="J2076" s="149"/>
      <c r="K2076" s="149"/>
      <c r="L2076" s="149"/>
      <c r="M2076" s="149"/>
      <c r="N2076" s="149"/>
      <c r="O2076" s="149"/>
      <c r="P2076" s="149"/>
      <c r="Q2076" s="149"/>
      <c r="R2076" s="149"/>
      <c r="S2076" s="149"/>
      <c r="T2076" s="149"/>
      <c r="U2076" s="149"/>
      <c r="V2076" s="149"/>
      <c r="W2076" s="149"/>
      <c r="X2076" s="149"/>
      <c r="Y2076" s="149"/>
      <c r="Z2076" s="149"/>
      <c r="AA2076" s="149"/>
      <c r="AB2076" s="149"/>
      <c r="AC2076" s="149"/>
      <c r="AD2076" s="149"/>
      <c r="AE2076" s="149"/>
      <c r="AF2076" s="149"/>
      <c r="AG2076" s="149"/>
      <c r="AH2076" s="149"/>
      <c r="AI2076" s="149"/>
      <c r="AJ2076" s="149"/>
      <c r="AK2076" s="149"/>
      <c r="AL2076" s="149"/>
      <c r="AM2076" s="149"/>
      <c r="AN2076" s="149"/>
      <c r="AO2076" s="128"/>
      <c r="AP2076" s="128"/>
      <c r="AQ2076" s="128"/>
      <c r="AR2076" s="128"/>
      <c r="AS2076" s="128"/>
      <c r="AT2076" s="128"/>
      <c r="AU2076" s="128"/>
      <c r="AV2076" s="128"/>
      <c r="AW2076" s="128"/>
      <c r="AX2076" s="128"/>
      <c r="AY2076" s="128"/>
      <c r="AZ2076" s="128"/>
      <c r="BA2076" s="128"/>
      <c r="BB2076" s="128"/>
      <c r="BC2076" s="128"/>
      <c r="BD2076" s="128"/>
      <c r="BE2076" s="128"/>
      <c r="BF2076" s="128"/>
      <c r="BG2076" s="128"/>
      <c r="BH2076" s="128"/>
      <c r="BI2076" s="128"/>
      <c r="BJ2076" s="128"/>
      <c r="BK2076" s="128"/>
      <c r="BL2076" s="128"/>
      <c r="BM2076" s="151"/>
      <c r="BN2076" s="128"/>
      <c r="BO2076" s="128"/>
      <c r="BP2076" s="128"/>
      <c r="BQ2076" s="128"/>
      <c r="BR2076" s="128"/>
      <c r="BS2076" s="128"/>
      <c r="BT2076" s="128"/>
      <c r="BU2076" s="128"/>
      <c r="BV2076" s="128"/>
      <c r="BW2076" s="128"/>
      <c r="BX2076" s="128"/>
      <c r="BY2076" s="128"/>
      <c r="BZ2076" s="128"/>
      <c r="CA2076" s="128"/>
      <c r="CB2076" s="128"/>
      <c r="CC2076" s="128"/>
      <c r="CD2076" s="128"/>
      <c r="CE2076" s="128"/>
      <c r="CF2076" s="128"/>
      <c r="CG2076" s="128"/>
      <c r="CI2076" s="128"/>
      <c r="CJ2076" s="128"/>
      <c r="CK2076" s="128"/>
      <c r="CL2076" s="128"/>
      <c r="CM2076" s="128"/>
      <c r="CN2076" s="128"/>
      <c r="CO2076" s="128"/>
      <c r="CP2076" s="128"/>
      <c r="CQ2076" s="128"/>
      <c r="CR2076" s="128"/>
      <c r="CS2076" s="128"/>
      <c r="CT2076" s="128"/>
      <c r="CU2076" s="128"/>
      <c r="CV2076" s="128"/>
      <c r="CW2076" s="128"/>
      <c r="CX2076" s="128"/>
      <c r="CY2076" s="128"/>
      <c r="CZ2076" s="165"/>
    </row>
    <row r="2077" spans="1:104">
      <c r="A2077" s="149"/>
      <c r="B2077" s="149"/>
      <c r="C2077" s="150"/>
      <c r="D2077" s="102"/>
      <c r="E2077" s="149"/>
      <c r="F2077" s="149"/>
      <c r="G2077" s="149"/>
      <c r="H2077" s="149"/>
      <c r="I2077" s="149"/>
      <c r="J2077" s="149"/>
      <c r="K2077" s="149"/>
      <c r="L2077" s="149"/>
      <c r="M2077" s="149"/>
      <c r="N2077" s="149"/>
      <c r="O2077" s="149"/>
      <c r="P2077" s="149"/>
      <c r="Q2077" s="149"/>
      <c r="R2077" s="149"/>
      <c r="S2077" s="149"/>
      <c r="T2077" s="149"/>
      <c r="U2077" s="149"/>
      <c r="V2077" s="149"/>
      <c r="W2077" s="149"/>
      <c r="X2077" s="149"/>
      <c r="Y2077" s="149"/>
      <c r="Z2077" s="149"/>
      <c r="AA2077" s="149"/>
      <c r="AB2077" s="149"/>
      <c r="AC2077" s="149"/>
      <c r="AD2077" s="149"/>
      <c r="AE2077" s="149"/>
      <c r="AF2077" s="149"/>
      <c r="AG2077" s="149"/>
      <c r="AH2077" s="149"/>
      <c r="AI2077" s="149"/>
      <c r="AJ2077" s="149"/>
      <c r="AK2077" s="149"/>
      <c r="AL2077" s="149"/>
      <c r="AM2077" s="149"/>
      <c r="AN2077" s="149"/>
      <c r="AO2077" s="128"/>
      <c r="AP2077" s="128"/>
      <c r="AQ2077" s="128"/>
      <c r="AR2077" s="128"/>
      <c r="AS2077" s="128"/>
      <c r="AT2077" s="128"/>
      <c r="AU2077" s="128"/>
      <c r="AV2077" s="128"/>
      <c r="AW2077" s="128"/>
      <c r="AX2077" s="128"/>
      <c r="AY2077" s="128"/>
      <c r="AZ2077" s="128"/>
      <c r="BA2077" s="128"/>
      <c r="BB2077" s="128"/>
      <c r="BC2077" s="128"/>
      <c r="BD2077" s="128"/>
      <c r="BE2077" s="128"/>
      <c r="BF2077" s="128"/>
      <c r="BG2077" s="128"/>
      <c r="BH2077" s="128"/>
      <c r="BI2077" s="128"/>
      <c r="BJ2077" s="128"/>
      <c r="BK2077" s="128"/>
      <c r="BL2077" s="128"/>
      <c r="BM2077" s="151"/>
      <c r="BN2077" s="128"/>
      <c r="BO2077" s="128"/>
      <c r="BP2077" s="128"/>
      <c r="BQ2077" s="128"/>
      <c r="BR2077" s="128"/>
      <c r="BS2077" s="128"/>
      <c r="BT2077" s="128"/>
      <c r="BU2077" s="128"/>
      <c r="BV2077" s="128"/>
      <c r="BW2077" s="128"/>
      <c r="BX2077" s="128"/>
      <c r="BY2077" s="128"/>
      <c r="BZ2077" s="128"/>
      <c r="CA2077" s="128"/>
      <c r="CB2077" s="128"/>
      <c r="CC2077" s="128"/>
      <c r="CD2077" s="128"/>
      <c r="CE2077" s="128"/>
      <c r="CF2077" s="128"/>
      <c r="CG2077" s="128"/>
      <c r="CI2077" s="128"/>
      <c r="CJ2077" s="128"/>
      <c r="CK2077" s="128"/>
      <c r="CL2077" s="128"/>
      <c r="CM2077" s="128"/>
      <c r="CN2077" s="128"/>
      <c r="CO2077" s="128"/>
      <c r="CP2077" s="128"/>
      <c r="CQ2077" s="128"/>
      <c r="CR2077" s="128"/>
      <c r="CS2077" s="128"/>
      <c r="CT2077" s="128"/>
      <c r="CU2077" s="128"/>
      <c r="CV2077" s="128"/>
      <c r="CW2077" s="128"/>
      <c r="CX2077" s="128"/>
      <c r="CY2077" s="128"/>
      <c r="CZ2077" s="165"/>
    </row>
    <row r="2078" spans="1:104">
      <c r="A2078" s="149"/>
      <c r="B2078" s="149"/>
      <c r="C2078" s="150"/>
      <c r="D2078" s="102"/>
      <c r="E2078" s="149"/>
      <c r="F2078" s="149"/>
      <c r="G2078" s="149"/>
      <c r="H2078" s="149"/>
      <c r="I2078" s="149"/>
      <c r="J2078" s="149"/>
      <c r="K2078" s="149"/>
      <c r="L2078" s="149"/>
      <c r="M2078" s="149"/>
      <c r="N2078" s="149"/>
      <c r="O2078" s="149"/>
      <c r="P2078" s="149"/>
      <c r="Q2078" s="149"/>
      <c r="R2078" s="149"/>
      <c r="S2078" s="149"/>
      <c r="T2078" s="149"/>
      <c r="U2078" s="149"/>
      <c r="V2078" s="149"/>
      <c r="W2078" s="149"/>
      <c r="X2078" s="149"/>
      <c r="Y2078" s="149"/>
      <c r="Z2078" s="149"/>
      <c r="AA2078" s="149"/>
      <c r="AB2078" s="149"/>
      <c r="AC2078" s="149"/>
      <c r="AD2078" s="149"/>
      <c r="AE2078" s="149"/>
      <c r="AF2078" s="149"/>
      <c r="AG2078" s="149"/>
      <c r="AH2078" s="149"/>
      <c r="AI2078" s="149"/>
      <c r="AJ2078" s="149"/>
      <c r="AK2078" s="149"/>
      <c r="AL2078" s="149"/>
      <c r="AM2078" s="149"/>
      <c r="AN2078" s="149"/>
      <c r="AO2078" s="128"/>
      <c r="AP2078" s="128"/>
      <c r="AQ2078" s="128"/>
      <c r="AR2078" s="128"/>
      <c r="AS2078" s="128"/>
      <c r="AT2078" s="128"/>
      <c r="AU2078" s="128"/>
      <c r="AV2078" s="128"/>
      <c r="AW2078" s="128"/>
      <c r="AX2078" s="128"/>
      <c r="AY2078" s="128"/>
      <c r="AZ2078" s="128"/>
      <c r="BA2078" s="128"/>
      <c r="BB2078" s="128"/>
      <c r="BC2078" s="128"/>
      <c r="BD2078" s="128"/>
      <c r="BE2078" s="128"/>
      <c r="BF2078" s="128"/>
      <c r="BG2078" s="128"/>
      <c r="BH2078" s="128"/>
      <c r="BI2078" s="128"/>
      <c r="BJ2078" s="128"/>
      <c r="BK2078" s="128"/>
      <c r="BL2078" s="128"/>
      <c r="BM2078" s="151"/>
      <c r="BN2078" s="128"/>
      <c r="BO2078" s="128"/>
      <c r="BP2078" s="128"/>
      <c r="BQ2078" s="128"/>
      <c r="BR2078" s="128"/>
      <c r="BS2078" s="128"/>
      <c r="BT2078" s="128"/>
      <c r="BU2078" s="128"/>
      <c r="BV2078" s="128"/>
      <c r="BW2078" s="128"/>
      <c r="BX2078" s="128"/>
      <c r="BY2078" s="128"/>
      <c r="BZ2078" s="128"/>
      <c r="CA2078" s="128"/>
      <c r="CB2078" s="128"/>
      <c r="CC2078" s="128"/>
      <c r="CD2078" s="128"/>
      <c r="CE2078" s="128"/>
      <c r="CF2078" s="128"/>
      <c r="CG2078" s="128"/>
      <c r="CI2078" s="128"/>
      <c r="CJ2078" s="128"/>
      <c r="CK2078" s="128"/>
      <c r="CL2078" s="128"/>
      <c r="CM2078" s="128"/>
      <c r="CN2078" s="128"/>
      <c r="CO2078" s="128"/>
      <c r="CP2078" s="128"/>
      <c r="CQ2078" s="128"/>
      <c r="CR2078" s="128"/>
      <c r="CS2078" s="128"/>
      <c r="CT2078" s="128"/>
      <c r="CU2078" s="128"/>
      <c r="CV2078" s="128"/>
      <c r="CW2078" s="128"/>
      <c r="CX2078" s="128"/>
      <c r="CY2078" s="128"/>
      <c r="CZ2078" s="165"/>
    </row>
    <row r="2079" spans="1:104">
      <c r="A2079" s="149"/>
      <c r="B2079" s="149"/>
      <c r="C2079" s="150"/>
      <c r="D2079" s="102"/>
      <c r="E2079" s="149"/>
      <c r="F2079" s="149"/>
      <c r="G2079" s="149"/>
      <c r="H2079" s="149"/>
      <c r="I2079" s="149"/>
      <c r="J2079" s="149"/>
      <c r="K2079" s="149"/>
      <c r="L2079" s="149"/>
      <c r="M2079" s="149"/>
      <c r="N2079" s="149"/>
      <c r="O2079" s="149"/>
      <c r="P2079" s="149"/>
      <c r="Q2079" s="149"/>
      <c r="R2079" s="149"/>
      <c r="S2079" s="149"/>
      <c r="T2079" s="149"/>
      <c r="U2079" s="149"/>
      <c r="V2079" s="149"/>
      <c r="W2079" s="149"/>
      <c r="X2079" s="149"/>
      <c r="Y2079" s="149"/>
      <c r="Z2079" s="149"/>
      <c r="AA2079" s="149"/>
      <c r="AB2079" s="149"/>
      <c r="AC2079" s="149"/>
      <c r="AD2079" s="149"/>
      <c r="AE2079" s="149"/>
      <c r="AF2079" s="149"/>
      <c r="AG2079" s="149"/>
      <c r="AH2079" s="149"/>
      <c r="AI2079" s="149"/>
      <c r="AJ2079" s="149"/>
      <c r="AK2079" s="149"/>
      <c r="AL2079" s="149"/>
      <c r="AM2079" s="149"/>
      <c r="AN2079" s="149"/>
      <c r="AO2079" s="128"/>
      <c r="AP2079" s="128"/>
      <c r="AQ2079" s="128"/>
      <c r="AR2079" s="128"/>
      <c r="AS2079" s="128"/>
      <c r="AT2079" s="128"/>
      <c r="AU2079" s="128"/>
      <c r="AV2079" s="128"/>
      <c r="AW2079" s="128"/>
      <c r="AX2079" s="128"/>
      <c r="AY2079" s="128"/>
      <c r="AZ2079" s="128"/>
      <c r="BA2079" s="128"/>
      <c r="BB2079" s="128"/>
      <c r="BC2079" s="128"/>
      <c r="BD2079" s="128"/>
      <c r="BE2079" s="128"/>
      <c r="BF2079" s="128"/>
      <c r="BG2079" s="128"/>
      <c r="BH2079" s="128"/>
      <c r="BI2079" s="128"/>
      <c r="BJ2079" s="128"/>
      <c r="BK2079" s="128"/>
      <c r="BL2079" s="128"/>
      <c r="BM2079" s="151"/>
      <c r="BN2079" s="128"/>
      <c r="BO2079" s="128"/>
      <c r="BP2079" s="128"/>
      <c r="BQ2079" s="128"/>
      <c r="BR2079" s="128"/>
      <c r="BS2079" s="128"/>
      <c r="BT2079" s="128"/>
      <c r="BU2079" s="128"/>
      <c r="BV2079" s="128"/>
      <c r="BW2079" s="128"/>
      <c r="BX2079" s="128"/>
      <c r="BY2079" s="128"/>
      <c r="BZ2079" s="128"/>
      <c r="CA2079" s="128"/>
      <c r="CB2079" s="128"/>
      <c r="CC2079" s="128"/>
      <c r="CD2079" s="128"/>
      <c r="CE2079" s="128"/>
      <c r="CF2079" s="128"/>
      <c r="CG2079" s="128"/>
      <c r="CI2079" s="128"/>
      <c r="CJ2079" s="128"/>
      <c r="CK2079" s="128"/>
      <c r="CL2079" s="128"/>
      <c r="CM2079" s="128"/>
      <c r="CN2079" s="128"/>
      <c r="CO2079" s="128"/>
      <c r="CP2079" s="128"/>
      <c r="CQ2079" s="128"/>
      <c r="CR2079" s="128"/>
      <c r="CS2079" s="128"/>
      <c r="CT2079" s="128"/>
      <c r="CU2079" s="128"/>
      <c r="CV2079" s="128"/>
      <c r="CW2079" s="128"/>
      <c r="CX2079" s="128"/>
      <c r="CY2079" s="128"/>
      <c r="CZ2079" s="165"/>
    </row>
    <row r="2080" spans="1:104">
      <c r="A2080" s="149"/>
      <c r="B2080" s="149"/>
      <c r="C2080" s="150"/>
      <c r="D2080" s="102"/>
      <c r="E2080" s="149"/>
      <c r="F2080" s="149"/>
      <c r="G2080" s="149"/>
      <c r="H2080" s="149"/>
      <c r="I2080" s="149"/>
      <c r="J2080" s="149"/>
      <c r="K2080" s="149"/>
      <c r="L2080" s="149"/>
      <c r="M2080" s="149"/>
      <c r="N2080" s="149"/>
      <c r="O2080" s="149"/>
      <c r="P2080" s="149"/>
      <c r="Q2080" s="149"/>
      <c r="R2080" s="149"/>
      <c r="S2080" s="149"/>
      <c r="T2080" s="149"/>
      <c r="U2080" s="149"/>
      <c r="V2080" s="149"/>
      <c r="W2080" s="149"/>
      <c r="X2080" s="149"/>
      <c r="Y2080" s="149"/>
      <c r="Z2080" s="149"/>
      <c r="AA2080" s="149"/>
      <c r="AB2080" s="149"/>
      <c r="AC2080" s="149"/>
      <c r="AD2080" s="149"/>
      <c r="AE2080" s="149"/>
      <c r="AF2080" s="149"/>
      <c r="AG2080" s="149"/>
      <c r="AH2080" s="149"/>
      <c r="AI2080" s="149"/>
      <c r="AJ2080" s="149"/>
      <c r="AK2080" s="149"/>
      <c r="AL2080" s="149"/>
      <c r="AM2080" s="149"/>
      <c r="AN2080" s="149"/>
      <c r="AO2080" s="128"/>
      <c r="AP2080" s="128"/>
      <c r="AQ2080" s="128"/>
      <c r="AR2080" s="128"/>
      <c r="AS2080" s="128"/>
      <c r="AT2080" s="128"/>
      <c r="AU2080" s="128"/>
      <c r="AV2080" s="128"/>
      <c r="AW2080" s="128"/>
      <c r="AX2080" s="128"/>
      <c r="AY2080" s="128"/>
      <c r="AZ2080" s="128"/>
      <c r="BA2080" s="128"/>
      <c r="BB2080" s="128"/>
      <c r="BC2080" s="128"/>
      <c r="BD2080" s="128"/>
      <c r="BE2080" s="128"/>
      <c r="BF2080" s="128"/>
      <c r="BG2080" s="128"/>
      <c r="BH2080" s="128"/>
      <c r="BI2080" s="128"/>
      <c r="BJ2080" s="128"/>
      <c r="BK2080" s="128"/>
      <c r="BL2080" s="128"/>
      <c r="BM2080" s="151"/>
      <c r="BN2080" s="128"/>
      <c r="BO2080" s="128"/>
      <c r="BP2080" s="128"/>
      <c r="BQ2080" s="128"/>
      <c r="BR2080" s="128"/>
      <c r="BS2080" s="128"/>
      <c r="BT2080" s="128"/>
      <c r="BU2080" s="128"/>
      <c r="BV2080" s="128"/>
      <c r="BW2080" s="128"/>
      <c r="BX2080" s="128"/>
      <c r="BY2080" s="128"/>
      <c r="BZ2080" s="128"/>
      <c r="CA2080" s="128"/>
      <c r="CB2080" s="128"/>
      <c r="CC2080" s="128"/>
      <c r="CD2080" s="128"/>
      <c r="CE2080" s="128"/>
      <c r="CF2080" s="128"/>
      <c r="CG2080" s="128"/>
      <c r="CI2080" s="128"/>
      <c r="CJ2080" s="128"/>
      <c r="CK2080" s="128"/>
      <c r="CL2080" s="128"/>
      <c r="CM2080" s="128"/>
      <c r="CN2080" s="128"/>
      <c r="CO2080" s="128"/>
      <c r="CP2080" s="128"/>
      <c r="CQ2080" s="128"/>
      <c r="CR2080" s="128"/>
      <c r="CS2080" s="128"/>
      <c r="CT2080" s="128"/>
      <c r="CU2080" s="128"/>
      <c r="CV2080" s="128"/>
      <c r="CW2080" s="128"/>
      <c r="CX2080" s="128"/>
      <c r="CY2080" s="128"/>
      <c r="CZ2080" s="165"/>
    </row>
    <row r="2081" spans="1:104">
      <c r="A2081" s="149"/>
      <c r="B2081" s="149"/>
      <c r="C2081" s="150"/>
      <c r="D2081" s="102"/>
      <c r="E2081" s="149"/>
      <c r="F2081" s="149"/>
      <c r="G2081" s="149"/>
      <c r="H2081" s="149"/>
      <c r="I2081" s="149"/>
      <c r="J2081" s="149"/>
      <c r="K2081" s="149"/>
      <c r="L2081" s="149"/>
      <c r="M2081" s="149"/>
      <c r="N2081" s="149"/>
      <c r="O2081" s="149"/>
      <c r="P2081" s="149"/>
      <c r="Q2081" s="149"/>
      <c r="R2081" s="149"/>
      <c r="S2081" s="149"/>
      <c r="T2081" s="149"/>
      <c r="U2081" s="149"/>
      <c r="V2081" s="149"/>
      <c r="W2081" s="149"/>
      <c r="X2081" s="149"/>
      <c r="Y2081" s="149"/>
      <c r="Z2081" s="149"/>
      <c r="AA2081" s="149"/>
      <c r="AB2081" s="149"/>
      <c r="AC2081" s="149"/>
      <c r="AD2081" s="149"/>
      <c r="AE2081" s="149"/>
      <c r="AF2081" s="149"/>
      <c r="AG2081" s="149"/>
      <c r="AH2081" s="149"/>
      <c r="AI2081" s="149"/>
      <c r="AJ2081" s="149"/>
      <c r="AK2081" s="149"/>
      <c r="AL2081" s="149"/>
      <c r="AM2081" s="149"/>
      <c r="AN2081" s="149"/>
      <c r="AO2081" s="128"/>
      <c r="AP2081" s="128"/>
      <c r="AQ2081" s="128"/>
      <c r="AR2081" s="128"/>
      <c r="AS2081" s="128"/>
      <c r="AT2081" s="128"/>
      <c r="AU2081" s="128"/>
      <c r="AV2081" s="128"/>
      <c r="AW2081" s="128"/>
      <c r="AX2081" s="128"/>
      <c r="AY2081" s="128"/>
      <c r="AZ2081" s="128"/>
      <c r="BA2081" s="128"/>
      <c r="BB2081" s="128"/>
      <c r="BC2081" s="128"/>
      <c r="BD2081" s="128"/>
      <c r="BE2081" s="128"/>
      <c r="BF2081" s="128"/>
      <c r="BG2081" s="128"/>
      <c r="BH2081" s="128"/>
      <c r="BI2081" s="128"/>
      <c r="BJ2081" s="128"/>
      <c r="BK2081" s="128"/>
      <c r="BL2081" s="128"/>
      <c r="BM2081" s="151"/>
      <c r="BN2081" s="128"/>
      <c r="BO2081" s="128"/>
      <c r="BP2081" s="128"/>
      <c r="BQ2081" s="128"/>
      <c r="BR2081" s="128"/>
      <c r="BS2081" s="128"/>
      <c r="BT2081" s="128"/>
      <c r="BU2081" s="128"/>
      <c r="BV2081" s="128"/>
      <c r="BW2081" s="128"/>
      <c r="BX2081" s="128"/>
      <c r="BY2081" s="128"/>
      <c r="BZ2081" s="128"/>
      <c r="CA2081" s="128"/>
      <c r="CB2081" s="128"/>
      <c r="CC2081" s="128"/>
      <c r="CD2081" s="128"/>
      <c r="CE2081" s="128"/>
      <c r="CF2081" s="128"/>
      <c r="CG2081" s="128"/>
      <c r="CI2081" s="128"/>
      <c r="CJ2081" s="128"/>
      <c r="CK2081" s="128"/>
      <c r="CL2081" s="128"/>
      <c r="CM2081" s="128"/>
      <c r="CN2081" s="128"/>
      <c r="CO2081" s="128"/>
      <c r="CP2081" s="128"/>
      <c r="CQ2081" s="128"/>
      <c r="CR2081" s="128"/>
      <c r="CS2081" s="128"/>
      <c r="CT2081" s="128"/>
      <c r="CU2081" s="128"/>
      <c r="CV2081" s="128"/>
      <c r="CW2081" s="128"/>
      <c r="CX2081" s="128"/>
      <c r="CY2081" s="128"/>
      <c r="CZ2081" s="165"/>
    </row>
    <row r="2082" spans="1:104">
      <c r="A2082" s="149"/>
      <c r="B2082" s="149"/>
      <c r="C2082" s="150"/>
      <c r="D2082" s="102"/>
      <c r="E2082" s="149"/>
      <c r="F2082" s="149"/>
      <c r="G2082" s="149"/>
      <c r="H2082" s="149"/>
      <c r="I2082" s="149"/>
      <c r="J2082" s="149"/>
      <c r="K2082" s="149"/>
      <c r="L2082" s="149"/>
      <c r="M2082" s="149"/>
      <c r="N2082" s="149"/>
      <c r="O2082" s="149"/>
      <c r="P2082" s="149"/>
      <c r="Q2082" s="149"/>
      <c r="R2082" s="149"/>
      <c r="S2082" s="149"/>
      <c r="T2082" s="149"/>
      <c r="U2082" s="149"/>
      <c r="V2082" s="149"/>
      <c r="W2082" s="149"/>
      <c r="X2082" s="149"/>
      <c r="Y2082" s="149"/>
      <c r="Z2082" s="149"/>
      <c r="AA2082" s="149"/>
      <c r="AB2082" s="149"/>
      <c r="AC2082" s="149"/>
      <c r="AD2082" s="149"/>
      <c r="AE2082" s="149"/>
      <c r="AF2082" s="149"/>
      <c r="AG2082" s="149"/>
      <c r="AH2082" s="149"/>
      <c r="AI2082" s="149"/>
      <c r="AJ2082" s="149"/>
      <c r="AK2082" s="149"/>
      <c r="AL2082" s="149"/>
      <c r="AM2082" s="149"/>
      <c r="AN2082" s="149"/>
      <c r="AO2082" s="128"/>
      <c r="AP2082" s="128"/>
      <c r="AQ2082" s="128"/>
      <c r="AR2082" s="128"/>
      <c r="AS2082" s="128"/>
      <c r="AT2082" s="128"/>
      <c r="AU2082" s="128"/>
      <c r="AV2082" s="128"/>
      <c r="AW2082" s="128"/>
      <c r="AX2082" s="128"/>
      <c r="AY2082" s="128"/>
      <c r="AZ2082" s="128"/>
      <c r="BA2082" s="128"/>
      <c r="BB2082" s="128"/>
      <c r="BC2082" s="128"/>
      <c r="BD2082" s="128"/>
      <c r="BE2082" s="128"/>
      <c r="BF2082" s="128"/>
      <c r="BG2082" s="128"/>
      <c r="BH2082" s="128"/>
      <c r="BI2082" s="128"/>
      <c r="BJ2082" s="128"/>
      <c r="BK2082" s="128"/>
      <c r="BL2082" s="128"/>
      <c r="BM2082" s="151"/>
      <c r="BN2082" s="128"/>
      <c r="BO2082" s="128"/>
      <c r="BP2082" s="128"/>
      <c r="BQ2082" s="128"/>
      <c r="BR2082" s="128"/>
      <c r="BS2082" s="128"/>
      <c r="BT2082" s="128"/>
      <c r="BU2082" s="128"/>
      <c r="BV2082" s="128"/>
      <c r="BW2082" s="128"/>
      <c r="BX2082" s="128"/>
      <c r="BY2082" s="128"/>
      <c r="BZ2082" s="128"/>
      <c r="CA2082" s="128"/>
      <c r="CB2082" s="128"/>
      <c r="CC2082" s="128"/>
      <c r="CD2082" s="128"/>
      <c r="CE2082" s="128"/>
      <c r="CF2082" s="128"/>
      <c r="CG2082" s="128"/>
      <c r="CI2082" s="128"/>
      <c r="CJ2082" s="128"/>
      <c r="CK2082" s="128"/>
      <c r="CL2082" s="128"/>
      <c r="CM2082" s="128"/>
      <c r="CN2082" s="128"/>
      <c r="CO2082" s="128"/>
      <c r="CP2082" s="128"/>
      <c r="CQ2082" s="128"/>
      <c r="CR2082" s="128"/>
      <c r="CS2082" s="128"/>
      <c r="CT2082" s="128"/>
      <c r="CU2082" s="128"/>
      <c r="CV2082" s="128"/>
      <c r="CW2082" s="128"/>
      <c r="CX2082" s="128"/>
      <c r="CY2082" s="128"/>
      <c r="CZ2082" s="165"/>
    </row>
    <row r="2083" spans="1:104">
      <c r="A2083" s="149"/>
      <c r="B2083" s="149"/>
      <c r="C2083" s="150"/>
      <c r="D2083" s="102"/>
      <c r="E2083" s="149"/>
      <c r="F2083" s="149"/>
      <c r="G2083" s="149"/>
      <c r="H2083" s="149"/>
      <c r="I2083" s="149"/>
      <c r="J2083" s="149"/>
      <c r="K2083" s="149"/>
      <c r="L2083" s="149"/>
      <c r="M2083" s="149"/>
      <c r="N2083" s="149"/>
      <c r="O2083" s="149"/>
      <c r="P2083" s="149"/>
      <c r="Q2083" s="149"/>
      <c r="R2083" s="149"/>
      <c r="S2083" s="149"/>
      <c r="T2083" s="149"/>
      <c r="U2083" s="149"/>
      <c r="V2083" s="149"/>
      <c r="W2083" s="149"/>
      <c r="X2083" s="149"/>
      <c r="Y2083" s="149"/>
      <c r="Z2083" s="149"/>
      <c r="AA2083" s="149"/>
      <c r="AB2083" s="149"/>
      <c r="AC2083" s="149"/>
      <c r="AD2083" s="149"/>
      <c r="AE2083" s="149"/>
      <c r="AF2083" s="149"/>
      <c r="AG2083" s="149"/>
      <c r="AH2083" s="149"/>
      <c r="AI2083" s="149"/>
      <c r="AJ2083" s="149"/>
      <c r="AK2083" s="149"/>
      <c r="AL2083" s="149"/>
      <c r="AM2083" s="149"/>
      <c r="AN2083" s="149"/>
      <c r="AO2083" s="128"/>
      <c r="AP2083" s="128"/>
      <c r="AQ2083" s="128"/>
      <c r="AR2083" s="128"/>
      <c r="AS2083" s="128"/>
      <c r="AT2083" s="128"/>
      <c r="AU2083" s="128"/>
      <c r="AV2083" s="128"/>
      <c r="AW2083" s="128"/>
      <c r="AX2083" s="128"/>
      <c r="AY2083" s="128"/>
      <c r="AZ2083" s="128"/>
      <c r="BA2083" s="128"/>
      <c r="BB2083" s="128"/>
      <c r="BC2083" s="128"/>
      <c r="BD2083" s="128"/>
      <c r="BE2083" s="128"/>
      <c r="BF2083" s="128"/>
      <c r="BG2083" s="128"/>
      <c r="BH2083" s="128"/>
      <c r="BI2083" s="128"/>
      <c r="BJ2083" s="128"/>
      <c r="BK2083" s="128"/>
      <c r="BL2083" s="128"/>
      <c r="BM2083" s="151"/>
      <c r="BN2083" s="128"/>
      <c r="BO2083" s="128"/>
      <c r="BP2083" s="128"/>
      <c r="BQ2083" s="128"/>
      <c r="BR2083" s="128"/>
      <c r="BS2083" s="128"/>
      <c r="BT2083" s="128"/>
      <c r="BU2083" s="128"/>
      <c r="BV2083" s="128"/>
      <c r="BW2083" s="128"/>
      <c r="BX2083" s="128"/>
      <c r="BY2083" s="128"/>
      <c r="BZ2083" s="128"/>
      <c r="CA2083" s="128"/>
      <c r="CB2083" s="128"/>
      <c r="CC2083" s="128"/>
      <c r="CD2083" s="128"/>
      <c r="CE2083" s="128"/>
      <c r="CF2083" s="128"/>
      <c r="CG2083" s="128"/>
      <c r="CI2083" s="128"/>
      <c r="CJ2083" s="128"/>
      <c r="CK2083" s="128"/>
      <c r="CL2083" s="128"/>
      <c r="CM2083" s="128"/>
      <c r="CN2083" s="128"/>
      <c r="CO2083" s="128"/>
      <c r="CP2083" s="128"/>
      <c r="CQ2083" s="128"/>
      <c r="CR2083" s="128"/>
      <c r="CS2083" s="128"/>
      <c r="CT2083" s="128"/>
      <c r="CU2083" s="128"/>
      <c r="CV2083" s="128"/>
      <c r="CW2083" s="128"/>
      <c r="CX2083" s="128"/>
      <c r="CY2083" s="128"/>
      <c r="CZ2083" s="165"/>
    </row>
    <row r="2084" spans="1:104">
      <c r="A2084" s="149"/>
      <c r="B2084" s="149"/>
      <c r="C2084" s="150"/>
      <c r="D2084" s="102"/>
      <c r="E2084" s="149"/>
      <c r="F2084" s="149"/>
      <c r="G2084" s="149"/>
      <c r="H2084" s="149"/>
      <c r="I2084" s="149"/>
      <c r="J2084" s="149"/>
      <c r="K2084" s="149"/>
      <c r="L2084" s="149"/>
      <c r="M2084" s="149"/>
      <c r="N2084" s="149"/>
      <c r="O2084" s="149"/>
      <c r="P2084" s="149"/>
      <c r="Q2084" s="149"/>
      <c r="R2084" s="149"/>
      <c r="S2084" s="149"/>
      <c r="T2084" s="149"/>
      <c r="U2084" s="149"/>
      <c r="V2084" s="149"/>
      <c r="W2084" s="149"/>
      <c r="X2084" s="149"/>
      <c r="Y2084" s="149"/>
      <c r="Z2084" s="149"/>
      <c r="AA2084" s="149"/>
      <c r="AB2084" s="149"/>
      <c r="AC2084" s="149"/>
      <c r="AD2084" s="149"/>
      <c r="AE2084" s="149"/>
      <c r="AF2084" s="149"/>
      <c r="AG2084" s="149"/>
      <c r="AH2084" s="149"/>
      <c r="AI2084" s="149"/>
      <c r="AJ2084" s="149"/>
      <c r="AK2084" s="149"/>
      <c r="AL2084" s="149"/>
      <c r="AM2084" s="149"/>
      <c r="AN2084" s="149"/>
      <c r="AO2084" s="128"/>
      <c r="AP2084" s="128"/>
      <c r="AQ2084" s="128"/>
      <c r="AR2084" s="128"/>
      <c r="AS2084" s="128"/>
      <c r="AT2084" s="128"/>
      <c r="AU2084" s="128"/>
      <c r="AV2084" s="128"/>
      <c r="AW2084" s="128"/>
      <c r="AX2084" s="128"/>
      <c r="AY2084" s="128"/>
      <c r="AZ2084" s="128"/>
      <c r="BA2084" s="128"/>
      <c r="BB2084" s="128"/>
      <c r="BC2084" s="128"/>
      <c r="BD2084" s="128"/>
      <c r="BE2084" s="128"/>
      <c r="BF2084" s="128"/>
      <c r="BG2084" s="128"/>
      <c r="BH2084" s="128"/>
      <c r="BI2084" s="128"/>
      <c r="BJ2084" s="128"/>
      <c r="BK2084" s="128"/>
      <c r="BL2084" s="128"/>
      <c r="BM2084" s="151"/>
      <c r="BN2084" s="128"/>
      <c r="BO2084" s="128"/>
      <c r="BP2084" s="128"/>
      <c r="BQ2084" s="128"/>
      <c r="BR2084" s="128"/>
      <c r="BS2084" s="128"/>
      <c r="BT2084" s="128"/>
      <c r="BU2084" s="128"/>
      <c r="BV2084" s="128"/>
      <c r="BW2084" s="128"/>
      <c r="BX2084" s="128"/>
      <c r="BY2084" s="128"/>
      <c r="BZ2084" s="128"/>
      <c r="CA2084" s="128"/>
      <c r="CB2084" s="128"/>
      <c r="CC2084" s="128"/>
      <c r="CD2084" s="128"/>
      <c r="CE2084" s="128"/>
      <c r="CF2084" s="128"/>
      <c r="CG2084" s="128"/>
      <c r="CI2084" s="128"/>
      <c r="CJ2084" s="128"/>
      <c r="CK2084" s="128"/>
      <c r="CL2084" s="128"/>
      <c r="CM2084" s="128"/>
      <c r="CN2084" s="128"/>
      <c r="CO2084" s="128"/>
      <c r="CP2084" s="128"/>
      <c r="CQ2084" s="128"/>
      <c r="CR2084" s="128"/>
      <c r="CS2084" s="128"/>
      <c r="CT2084" s="128"/>
      <c r="CU2084" s="128"/>
      <c r="CV2084" s="128"/>
      <c r="CW2084" s="128"/>
      <c r="CX2084" s="128"/>
      <c r="CY2084" s="128"/>
      <c r="CZ2084" s="165"/>
    </row>
    <row r="2085" spans="1:104">
      <c r="A2085" s="149"/>
      <c r="B2085" s="149"/>
      <c r="C2085" s="150"/>
      <c r="D2085" s="102"/>
      <c r="E2085" s="149"/>
      <c r="F2085" s="149"/>
      <c r="G2085" s="149"/>
      <c r="H2085" s="149"/>
      <c r="I2085" s="149"/>
      <c r="J2085" s="149"/>
      <c r="K2085" s="149"/>
      <c r="L2085" s="149"/>
      <c r="M2085" s="149"/>
      <c r="N2085" s="149"/>
      <c r="O2085" s="149"/>
      <c r="P2085" s="149"/>
      <c r="Q2085" s="149"/>
      <c r="R2085" s="149"/>
      <c r="S2085" s="149"/>
      <c r="T2085" s="149"/>
      <c r="U2085" s="149"/>
      <c r="V2085" s="149"/>
      <c r="W2085" s="149"/>
      <c r="X2085" s="149"/>
      <c r="Y2085" s="149"/>
      <c r="Z2085" s="149"/>
      <c r="AA2085" s="149"/>
      <c r="AB2085" s="149"/>
      <c r="AC2085" s="149"/>
      <c r="AD2085" s="149"/>
      <c r="AE2085" s="149"/>
      <c r="AF2085" s="149"/>
      <c r="AG2085" s="149"/>
      <c r="AH2085" s="149"/>
      <c r="AI2085" s="149"/>
      <c r="AJ2085" s="149"/>
      <c r="AK2085" s="149"/>
      <c r="AL2085" s="149"/>
      <c r="AM2085" s="149"/>
      <c r="AN2085" s="149"/>
      <c r="AO2085" s="128"/>
      <c r="AP2085" s="128"/>
      <c r="AQ2085" s="128"/>
      <c r="AR2085" s="128"/>
      <c r="AS2085" s="128"/>
      <c r="AT2085" s="128"/>
      <c r="AU2085" s="128"/>
      <c r="AV2085" s="128"/>
      <c r="AW2085" s="128"/>
      <c r="AX2085" s="128"/>
      <c r="AY2085" s="128"/>
      <c r="AZ2085" s="128"/>
      <c r="BA2085" s="128"/>
      <c r="BB2085" s="128"/>
      <c r="BC2085" s="128"/>
      <c r="BD2085" s="128"/>
      <c r="BE2085" s="128"/>
      <c r="BF2085" s="128"/>
      <c r="BG2085" s="128"/>
      <c r="BH2085" s="128"/>
      <c r="BI2085" s="128"/>
      <c r="BJ2085" s="128"/>
      <c r="BK2085" s="128"/>
      <c r="BL2085" s="128"/>
      <c r="BM2085" s="151"/>
      <c r="BN2085" s="128"/>
      <c r="BO2085" s="128"/>
      <c r="BP2085" s="128"/>
      <c r="BQ2085" s="128"/>
      <c r="BR2085" s="128"/>
      <c r="BS2085" s="128"/>
      <c r="BT2085" s="128"/>
      <c r="BU2085" s="128"/>
      <c r="BV2085" s="128"/>
      <c r="BW2085" s="128"/>
      <c r="BX2085" s="128"/>
      <c r="BY2085" s="128"/>
      <c r="BZ2085" s="128"/>
      <c r="CA2085" s="128"/>
      <c r="CB2085" s="128"/>
      <c r="CC2085" s="128"/>
      <c r="CD2085" s="128"/>
      <c r="CE2085" s="128"/>
      <c r="CF2085" s="128"/>
      <c r="CG2085" s="128"/>
      <c r="CI2085" s="128"/>
      <c r="CJ2085" s="128"/>
      <c r="CK2085" s="128"/>
      <c r="CL2085" s="128"/>
      <c r="CM2085" s="128"/>
      <c r="CN2085" s="128"/>
      <c r="CO2085" s="128"/>
      <c r="CP2085" s="128"/>
      <c r="CQ2085" s="128"/>
      <c r="CR2085" s="128"/>
      <c r="CS2085" s="128"/>
      <c r="CT2085" s="128"/>
      <c r="CU2085" s="128"/>
      <c r="CV2085" s="128"/>
      <c r="CW2085" s="128"/>
      <c r="CX2085" s="128"/>
      <c r="CY2085" s="128"/>
      <c r="CZ2085" s="165"/>
    </row>
    <row r="2086" spans="1:104">
      <c r="A2086" s="149"/>
      <c r="B2086" s="149"/>
      <c r="C2086" s="150"/>
      <c r="D2086" s="102"/>
      <c r="E2086" s="149"/>
      <c r="F2086" s="149"/>
      <c r="G2086" s="149"/>
      <c r="H2086" s="149"/>
      <c r="I2086" s="149"/>
      <c r="J2086" s="149"/>
      <c r="K2086" s="149"/>
      <c r="L2086" s="149"/>
      <c r="M2086" s="149"/>
      <c r="N2086" s="149"/>
      <c r="O2086" s="149"/>
      <c r="P2086" s="149"/>
      <c r="Q2086" s="149"/>
      <c r="R2086" s="149"/>
      <c r="S2086" s="149"/>
      <c r="T2086" s="149"/>
      <c r="U2086" s="149"/>
      <c r="V2086" s="149"/>
      <c r="W2086" s="149"/>
      <c r="X2086" s="149"/>
      <c r="Y2086" s="149"/>
      <c r="Z2086" s="149"/>
      <c r="AA2086" s="149"/>
      <c r="AB2086" s="149"/>
      <c r="AC2086" s="149"/>
      <c r="AD2086" s="149"/>
      <c r="AE2086" s="149"/>
      <c r="AF2086" s="149"/>
      <c r="AG2086" s="149"/>
      <c r="AH2086" s="149"/>
      <c r="AI2086" s="149"/>
      <c r="AJ2086" s="149"/>
      <c r="AK2086" s="149"/>
      <c r="AL2086" s="149"/>
      <c r="AM2086" s="149"/>
      <c r="AN2086" s="149"/>
      <c r="AO2086" s="128"/>
      <c r="AP2086" s="128"/>
      <c r="AQ2086" s="128"/>
      <c r="AR2086" s="128"/>
      <c r="AS2086" s="128"/>
      <c r="AT2086" s="128"/>
      <c r="AU2086" s="128"/>
      <c r="AV2086" s="128"/>
      <c r="AW2086" s="128"/>
      <c r="AX2086" s="128"/>
      <c r="AY2086" s="128"/>
      <c r="AZ2086" s="128"/>
      <c r="BA2086" s="128"/>
      <c r="BB2086" s="128"/>
      <c r="BC2086" s="128"/>
      <c r="BD2086" s="128"/>
      <c r="BE2086" s="128"/>
      <c r="BF2086" s="128"/>
      <c r="BG2086" s="128"/>
      <c r="BH2086" s="128"/>
      <c r="BI2086" s="128"/>
      <c r="BJ2086" s="128"/>
      <c r="BK2086" s="128"/>
      <c r="BL2086" s="128"/>
      <c r="BM2086" s="151"/>
      <c r="BN2086" s="128"/>
      <c r="BO2086" s="128"/>
      <c r="BP2086" s="128"/>
      <c r="BQ2086" s="128"/>
      <c r="BR2086" s="128"/>
      <c r="BS2086" s="128"/>
      <c r="BT2086" s="128"/>
      <c r="BU2086" s="128"/>
      <c r="BV2086" s="128"/>
      <c r="BW2086" s="128"/>
      <c r="BX2086" s="128"/>
      <c r="BY2086" s="128"/>
      <c r="BZ2086" s="128"/>
      <c r="CA2086" s="128"/>
      <c r="CB2086" s="128"/>
      <c r="CC2086" s="128"/>
      <c r="CD2086" s="128"/>
      <c r="CE2086" s="128"/>
      <c r="CF2086" s="128"/>
      <c r="CG2086" s="128"/>
      <c r="CI2086" s="128"/>
      <c r="CJ2086" s="128"/>
      <c r="CK2086" s="128"/>
      <c r="CL2086" s="128"/>
      <c r="CM2086" s="128"/>
      <c r="CN2086" s="128"/>
      <c r="CO2086" s="128"/>
      <c r="CP2086" s="128"/>
      <c r="CQ2086" s="128"/>
      <c r="CR2086" s="128"/>
      <c r="CS2086" s="128"/>
      <c r="CT2086" s="128"/>
      <c r="CU2086" s="128"/>
      <c r="CV2086" s="128"/>
      <c r="CW2086" s="128"/>
      <c r="CX2086" s="128"/>
      <c r="CY2086" s="128"/>
      <c r="CZ2086" s="165"/>
    </row>
    <row r="2087" spans="1:104">
      <c r="A2087" s="149"/>
      <c r="B2087" s="149"/>
      <c r="C2087" s="150"/>
      <c r="D2087" s="102"/>
      <c r="E2087" s="149"/>
      <c r="F2087" s="149"/>
      <c r="G2087" s="149"/>
      <c r="H2087" s="149"/>
      <c r="I2087" s="149"/>
      <c r="J2087" s="149"/>
      <c r="K2087" s="149"/>
      <c r="L2087" s="149"/>
      <c r="M2087" s="149"/>
      <c r="N2087" s="149"/>
      <c r="O2087" s="149"/>
      <c r="P2087" s="149"/>
      <c r="Q2087" s="149"/>
      <c r="R2087" s="149"/>
      <c r="S2087" s="149"/>
      <c r="T2087" s="149"/>
      <c r="U2087" s="149"/>
      <c r="V2087" s="149"/>
      <c r="W2087" s="149"/>
      <c r="X2087" s="149"/>
      <c r="Y2087" s="149"/>
      <c r="Z2087" s="149"/>
      <c r="AA2087" s="149"/>
      <c r="AB2087" s="149"/>
      <c r="AC2087" s="149"/>
      <c r="AD2087" s="149"/>
      <c r="AE2087" s="149"/>
      <c r="AF2087" s="149"/>
      <c r="AG2087" s="149"/>
      <c r="AH2087" s="149"/>
      <c r="AI2087" s="149"/>
      <c r="AJ2087" s="149"/>
      <c r="AK2087" s="149"/>
      <c r="AL2087" s="149"/>
      <c r="AM2087" s="149"/>
      <c r="AN2087" s="149"/>
      <c r="AO2087" s="128"/>
      <c r="AP2087" s="128"/>
      <c r="AQ2087" s="128"/>
      <c r="AR2087" s="128"/>
      <c r="AS2087" s="128"/>
      <c r="AT2087" s="128"/>
      <c r="AU2087" s="128"/>
      <c r="AV2087" s="128"/>
      <c r="AW2087" s="128"/>
      <c r="AX2087" s="128"/>
      <c r="AY2087" s="128"/>
      <c r="AZ2087" s="128"/>
      <c r="BA2087" s="128"/>
      <c r="BB2087" s="128"/>
      <c r="BC2087" s="128"/>
      <c r="BD2087" s="128"/>
      <c r="BE2087" s="128"/>
      <c r="BF2087" s="128"/>
      <c r="BG2087" s="128"/>
      <c r="BH2087" s="128"/>
      <c r="BI2087" s="128"/>
      <c r="BJ2087" s="128"/>
      <c r="BK2087" s="128"/>
      <c r="BL2087" s="128"/>
      <c r="BM2087" s="151"/>
      <c r="BN2087" s="128"/>
      <c r="BO2087" s="128"/>
      <c r="BP2087" s="128"/>
      <c r="BQ2087" s="128"/>
      <c r="BR2087" s="128"/>
      <c r="BS2087" s="128"/>
      <c r="BT2087" s="128"/>
      <c r="BU2087" s="128"/>
      <c r="BV2087" s="128"/>
      <c r="BW2087" s="128"/>
      <c r="BX2087" s="128"/>
      <c r="BY2087" s="128"/>
      <c r="BZ2087" s="128"/>
      <c r="CA2087" s="128"/>
      <c r="CB2087" s="128"/>
      <c r="CC2087" s="128"/>
      <c r="CD2087" s="128"/>
      <c r="CE2087" s="128"/>
      <c r="CF2087" s="128"/>
      <c r="CG2087" s="128"/>
      <c r="CI2087" s="128"/>
      <c r="CJ2087" s="128"/>
      <c r="CK2087" s="128"/>
      <c r="CL2087" s="128"/>
      <c r="CM2087" s="128"/>
      <c r="CN2087" s="128"/>
      <c r="CO2087" s="128"/>
      <c r="CP2087" s="128"/>
      <c r="CQ2087" s="128"/>
      <c r="CR2087" s="128"/>
      <c r="CS2087" s="128"/>
      <c r="CT2087" s="128"/>
      <c r="CU2087" s="128"/>
      <c r="CV2087" s="128"/>
      <c r="CW2087" s="128"/>
      <c r="CX2087" s="128"/>
      <c r="CY2087" s="128"/>
      <c r="CZ2087" s="165"/>
    </row>
    <row r="2088" spans="1:104">
      <c r="A2088" s="149"/>
      <c r="B2088" s="149"/>
      <c r="C2088" s="150"/>
      <c r="D2088" s="102"/>
      <c r="E2088" s="149"/>
      <c r="F2088" s="149"/>
      <c r="G2088" s="149"/>
      <c r="H2088" s="149"/>
      <c r="I2088" s="149"/>
      <c r="J2088" s="149"/>
      <c r="K2088" s="149"/>
      <c r="L2088" s="149"/>
      <c r="M2088" s="149"/>
      <c r="N2088" s="149"/>
      <c r="O2088" s="149"/>
      <c r="P2088" s="149"/>
      <c r="Q2088" s="149"/>
      <c r="R2088" s="149"/>
      <c r="S2088" s="149"/>
      <c r="T2088" s="149"/>
      <c r="U2088" s="149"/>
      <c r="V2088" s="149"/>
      <c r="W2088" s="149"/>
      <c r="X2088" s="149"/>
      <c r="Y2088" s="149"/>
      <c r="Z2088" s="149"/>
      <c r="AA2088" s="149"/>
      <c r="AB2088" s="149"/>
      <c r="AC2088" s="149"/>
      <c r="AD2088" s="149"/>
      <c r="AE2088" s="149"/>
      <c r="AF2088" s="149"/>
      <c r="AG2088" s="149"/>
      <c r="AH2088" s="149"/>
      <c r="AI2088" s="149"/>
      <c r="AJ2088" s="149"/>
      <c r="AK2088" s="149"/>
      <c r="AL2088" s="149"/>
      <c r="AM2088" s="149"/>
      <c r="AN2088" s="149"/>
      <c r="AO2088" s="128"/>
      <c r="AP2088" s="128"/>
      <c r="AQ2088" s="128"/>
      <c r="AR2088" s="128"/>
      <c r="AS2088" s="128"/>
      <c r="AT2088" s="128"/>
      <c r="AU2088" s="128"/>
      <c r="AV2088" s="128"/>
      <c r="AW2088" s="128"/>
      <c r="AX2088" s="128"/>
      <c r="AY2088" s="128"/>
      <c r="AZ2088" s="128"/>
      <c r="BA2088" s="128"/>
      <c r="BB2088" s="128"/>
      <c r="BC2088" s="128"/>
      <c r="BD2088" s="128"/>
      <c r="BE2088" s="128"/>
      <c r="BF2088" s="128"/>
      <c r="BG2088" s="128"/>
      <c r="BH2088" s="128"/>
      <c r="BI2088" s="128"/>
      <c r="BJ2088" s="128"/>
      <c r="BK2088" s="128"/>
      <c r="BL2088" s="128"/>
      <c r="BM2088" s="151"/>
      <c r="BN2088" s="128"/>
      <c r="BO2088" s="128"/>
      <c r="BP2088" s="128"/>
      <c r="BQ2088" s="128"/>
      <c r="BR2088" s="128"/>
      <c r="BS2088" s="128"/>
      <c r="BT2088" s="128"/>
      <c r="BU2088" s="128"/>
      <c r="BV2088" s="128"/>
      <c r="BW2088" s="128"/>
      <c r="BX2088" s="128"/>
      <c r="BY2088" s="128"/>
      <c r="BZ2088" s="128"/>
      <c r="CA2088" s="128"/>
      <c r="CB2088" s="128"/>
      <c r="CC2088" s="128"/>
      <c r="CD2088" s="128"/>
      <c r="CE2088" s="128"/>
      <c r="CF2088" s="128"/>
      <c r="CG2088" s="128"/>
      <c r="CI2088" s="128"/>
      <c r="CJ2088" s="128"/>
      <c r="CK2088" s="128"/>
      <c r="CL2088" s="128"/>
      <c r="CM2088" s="128"/>
      <c r="CN2088" s="128"/>
      <c r="CO2088" s="128"/>
      <c r="CP2088" s="128"/>
      <c r="CQ2088" s="128"/>
      <c r="CR2088" s="128"/>
      <c r="CS2088" s="128"/>
      <c r="CT2088" s="128"/>
      <c r="CU2088" s="128"/>
      <c r="CV2088" s="128"/>
      <c r="CW2088" s="128"/>
      <c r="CX2088" s="128"/>
      <c r="CY2088" s="128"/>
      <c r="CZ2088" s="165"/>
    </row>
    <row r="2089" spans="1:104">
      <c r="A2089" s="149"/>
      <c r="B2089" s="149"/>
      <c r="C2089" s="150"/>
      <c r="D2089" s="102"/>
      <c r="E2089" s="149"/>
      <c r="F2089" s="149"/>
      <c r="G2089" s="149"/>
      <c r="H2089" s="149"/>
      <c r="I2089" s="149"/>
      <c r="J2089" s="149"/>
      <c r="K2089" s="149"/>
      <c r="L2089" s="149"/>
      <c r="M2089" s="149"/>
      <c r="N2089" s="149"/>
      <c r="O2089" s="149"/>
      <c r="P2089" s="149"/>
      <c r="Q2089" s="149"/>
      <c r="R2089" s="149"/>
      <c r="S2089" s="149"/>
      <c r="T2089" s="149"/>
      <c r="U2089" s="149"/>
      <c r="V2089" s="149"/>
      <c r="W2089" s="149"/>
      <c r="X2089" s="149"/>
      <c r="Y2089" s="149"/>
      <c r="Z2089" s="149"/>
      <c r="AA2089" s="149"/>
      <c r="AB2089" s="149"/>
      <c r="AC2089" s="149"/>
      <c r="AD2089" s="149"/>
      <c r="AE2089" s="149"/>
      <c r="AF2089" s="149"/>
      <c r="AG2089" s="149"/>
      <c r="AH2089" s="149"/>
      <c r="AI2089" s="149"/>
      <c r="AJ2089" s="149"/>
      <c r="AK2089" s="149"/>
      <c r="AL2089" s="149"/>
      <c r="AM2089" s="149"/>
      <c r="AN2089" s="149"/>
      <c r="AO2089" s="128"/>
      <c r="AP2089" s="128"/>
      <c r="AQ2089" s="128"/>
      <c r="AR2089" s="128"/>
      <c r="AS2089" s="128"/>
      <c r="AT2089" s="128"/>
      <c r="AU2089" s="128"/>
      <c r="AV2089" s="128"/>
      <c r="AW2089" s="128"/>
      <c r="AX2089" s="128"/>
      <c r="AY2089" s="128"/>
      <c r="AZ2089" s="128"/>
      <c r="BA2089" s="128"/>
      <c r="BB2089" s="128"/>
      <c r="BC2089" s="128"/>
      <c r="BD2089" s="128"/>
      <c r="BE2089" s="128"/>
      <c r="BF2089" s="128"/>
      <c r="BG2089" s="128"/>
      <c r="BH2089" s="128"/>
      <c r="BI2089" s="128"/>
      <c r="BJ2089" s="128"/>
      <c r="BK2089" s="128"/>
      <c r="BL2089" s="128"/>
      <c r="BM2089" s="151"/>
      <c r="BN2089" s="128"/>
      <c r="BO2089" s="128"/>
      <c r="BP2089" s="128"/>
      <c r="BQ2089" s="128"/>
      <c r="BR2089" s="128"/>
      <c r="BS2089" s="128"/>
      <c r="BT2089" s="128"/>
      <c r="BU2089" s="128"/>
      <c r="BV2089" s="128"/>
      <c r="BW2089" s="128"/>
      <c r="BX2089" s="128"/>
      <c r="BY2089" s="128"/>
      <c r="BZ2089" s="128"/>
      <c r="CA2089" s="128"/>
      <c r="CB2089" s="128"/>
      <c r="CC2089" s="128"/>
      <c r="CD2089" s="128"/>
      <c r="CE2089" s="128"/>
      <c r="CF2089" s="128"/>
      <c r="CG2089" s="128"/>
      <c r="CI2089" s="128"/>
      <c r="CJ2089" s="128"/>
      <c r="CK2089" s="128"/>
      <c r="CL2089" s="128"/>
      <c r="CM2089" s="128"/>
      <c r="CN2089" s="128"/>
      <c r="CO2089" s="128"/>
      <c r="CP2089" s="128"/>
      <c r="CQ2089" s="128"/>
      <c r="CR2089" s="128"/>
      <c r="CS2089" s="128"/>
      <c r="CT2089" s="128"/>
      <c r="CU2089" s="128"/>
      <c r="CV2089" s="128"/>
      <c r="CW2089" s="128"/>
      <c r="CX2089" s="128"/>
      <c r="CY2089" s="128"/>
      <c r="CZ2089" s="165"/>
    </row>
    <row r="2090" spans="1:104">
      <c r="A2090" s="149"/>
      <c r="B2090" s="149"/>
      <c r="C2090" s="150"/>
      <c r="D2090" s="102"/>
      <c r="E2090" s="149"/>
      <c r="F2090" s="149"/>
      <c r="G2090" s="149"/>
      <c r="H2090" s="149"/>
      <c r="I2090" s="149"/>
      <c r="J2090" s="149"/>
      <c r="K2090" s="149"/>
      <c r="L2090" s="149"/>
      <c r="M2090" s="149"/>
      <c r="N2090" s="149"/>
      <c r="O2090" s="149"/>
      <c r="P2090" s="149"/>
      <c r="Q2090" s="149"/>
      <c r="R2090" s="149"/>
      <c r="S2090" s="149"/>
      <c r="T2090" s="149"/>
      <c r="U2090" s="149"/>
      <c r="V2090" s="149"/>
      <c r="W2090" s="149"/>
      <c r="X2090" s="149"/>
      <c r="Y2090" s="149"/>
      <c r="Z2090" s="149"/>
      <c r="AA2090" s="149"/>
      <c r="AB2090" s="149"/>
      <c r="AC2090" s="149"/>
      <c r="AD2090" s="149"/>
      <c r="AE2090" s="149"/>
      <c r="AF2090" s="149"/>
      <c r="AG2090" s="149"/>
      <c r="AH2090" s="149"/>
      <c r="AI2090" s="149"/>
      <c r="AJ2090" s="149"/>
      <c r="AK2090" s="149"/>
      <c r="AL2090" s="149"/>
      <c r="AM2090" s="149"/>
      <c r="AN2090" s="149"/>
      <c r="AO2090" s="128"/>
      <c r="AP2090" s="128"/>
      <c r="AQ2090" s="128"/>
      <c r="AR2090" s="128"/>
      <c r="AS2090" s="128"/>
      <c r="AT2090" s="128"/>
      <c r="AU2090" s="128"/>
      <c r="AV2090" s="128"/>
      <c r="AW2090" s="128"/>
      <c r="AX2090" s="128"/>
      <c r="AY2090" s="128"/>
      <c r="AZ2090" s="128"/>
      <c r="BA2090" s="128"/>
      <c r="BB2090" s="128"/>
      <c r="BC2090" s="128"/>
      <c r="BD2090" s="128"/>
      <c r="BE2090" s="128"/>
      <c r="BF2090" s="128"/>
      <c r="BG2090" s="128"/>
      <c r="BH2090" s="128"/>
      <c r="BI2090" s="128"/>
      <c r="BJ2090" s="128"/>
      <c r="BK2090" s="128"/>
      <c r="BL2090" s="128"/>
      <c r="BM2090" s="151"/>
      <c r="BN2090" s="128"/>
      <c r="BO2090" s="128"/>
      <c r="BP2090" s="128"/>
      <c r="BQ2090" s="128"/>
      <c r="BR2090" s="128"/>
      <c r="BS2090" s="128"/>
      <c r="BT2090" s="128"/>
      <c r="BU2090" s="128"/>
      <c r="BV2090" s="128"/>
      <c r="BW2090" s="128"/>
      <c r="BX2090" s="128"/>
      <c r="BY2090" s="128"/>
      <c r="BZ2090" s="128"/>
      <c r="CA2090" s="128"/>
      <c r="CB2090" s="128"/>
      <c r="CC2090" s="128"/>
      <c r="CD2090" s="128"/>
      <c r="CE2090" s="128"/>
      <c r="CF2090" s="128"/>
      <c r="CG2090" s="128"/>
      <c r="CI2090" s="128"/>
      <c r="CJ2090" s="128"/>
      <c r="CK2090" s="128"/>
      <c r="CL2090" s="128"/>
      <c r="CM2090" s="128"/>
      <c r="CN2090" s="128"/>
      <c r="CO2090" s="128"/>
      <c r="CP2090" s="128"/>
      <c r="CQ2090" s="128"/>
      <c r="CR2090" s="128"/>
      <c r="CS2090" s="128"/>
      <c r="CT2090" s="128"/>
      <c r="CU2090" s="128"/>
      <c r="CV2090" s="128"/>
      <c r="CW2090" s="128"/>
      <c r="CX2090" s="128"/>
      <c r="CY2090" s="128"/>
      <c r="CZ2090" s="165"/>
    </row>
    <row r="2091" spans="1:104">
      <c r="A2091" s="149"/>
      <c r="B2091" s="149"/>
      <c r="C2091" s="150"/>
      <c r="D2091" s="102"/>
      <c r="E2091" s="149"/>
      <c r="F2091" s="149"/>
      <c r="G2091" s="149"/>
      <c r="H2091" s="149"/>
      <c r="I2091" s="149"/>
      <c r="J2091" s="149"/>
      <c r="K2091" s="149"/>
      <c r="L2091" s="149"/>
      <c r="M2091" s="149"/>
      <c r="N2091" s="149"/>
      <c r="O2091" s="149"/>
      <c r="P2091" s="149"/>
      <c r="Q2091" s="149"/>
      <c r="R2091" s="149"/>
      <c r="S2091" s="149"/>
      <c r="T2091" s="149"/>
      <c r="U2091" s="149"/>
      <c r="V2091" s="149"/>
      <c r="W2091" s="149"/>
      <c r="X2091" s="149"/>
      <c r="Y2091" s="149"/>
      <c r="Z2091" s="149"/>
      <c r="AA2091" s="149"/>
      <c r="AB2091" s="149"/>
      <c r="AC2091" s="149"/>
      <c r="AD2091" s="149"/>
      <c r="AE2091" s="149"/>
      <c r="AF2091" s="149"/>
      <c r="AG2091" s="149"/>
      <c r="AH2091" s="149"/>
      <c r="AI2091" s="149"/>
      <c r="AJ2091" s="149"/>
      <c r="AK2091" s="149"/>
      <c r="AL2091" s="149"/>
      <c r="AM2091" s="149"/>
      <c r="AN2091" s="149"/>
      <c r="AO2091" s="128"/>
      <c r="AP2091" s="128"/>
      <c r="AQ2091" s="128"/>
      <c r="AR2091" s="128"/>
      <c r="AS2091" s="128"/>
      <c r="AT2091" s="128"/>
      <c r="AU2091" s="128"/>
      <c r="AV2091" s="128"/>
      <c r="AW2091" s="128"/>
      <c r="AX2091" s="128"/>
      <c r="AY2091" s="128"/>
      <c r="AZ2091" s="128"/>
      <c r="BA2091" s="128"/>
      <c r="BB2091" s="128"/>
      <c r="BC2091" s="128"/>
      <c r="BD2091" s="128"/>
      <c r="BE2091" s="128"/>
      <c r="BF2091" s="128"/>
      <c r="BG2091" s="128"/>
      <c r="BH2091" s="128"/>
      <c r="BI2091" s="128"/>
      <c r="BJ2091" s="128"/>
      <c r="BK2091" s="128"/>
      <c r="BL2091" s="128"/>
      <c r="BM2091" s="151"/>
      <c r="BN2091" s="128"/>
      <c r="BO2091" s="128"/>
      <c r="BP2091" s="128"/>
      <c r="BQ2091" s="128"/>
      <c r="BR2091" s="128"/>
      <c r="BS2091" s="128"/>
      <c r="BT2091" s="128"/>
      <c r="BU2091" s="128"/>
      <c r="BV2091" s="128"/>
      <c r="BW2091" s="128"/>
      <c r="BX2091" s="128"/>
      <c r="BY2091" s="128"/>
      <c r="BZ2091" s="128"/>
      <c r="CA2091" s="128"/>
      <c r="CB2091" s="128"/>
      <c r="CC2091" s="128"/>
      <c r="CD2091" s="128"/>
      <c r="CE2091" s="128"/>
      <c r="CF2091" s="128"/>
      <c r="CG2091" s="128"/>
      <c r="CI2091" s="128"/>
      <c r="CJ2091" s="128"/>
      <c r="CK2091" s="128"/>
      <c r="CL2091" s="128"/>
      <c r="CM2091" s="128"/>
      <c r="CN2091" s="128"/>
      <c r="CO2091" s="128"/>
      <c r="CP2091" s="128"/>
      <c r="CQ2091" s="128"/>
      <c r="CR2091" s="128"/>
      <c r="CS2091" s="128"/>
      <c r="CT2091" s="128"/>
      <c r="CU2091" s="128"/>
      <c r="CV2091" s="128"/>
      <c r="CW2091" s="128"/>
      <c r="CX2091" s="128"/>
      <c r="CY2091" s="128"/>
      <c r="CZ2091" s="165"/>
    </row>
    <row r="2092" spans="1:104">
      <c r="A2092" s="149"/>
      <c r="B2092" s="149"/>
      <c r="C2092" s="150"/>
      <c r="D2092" s="102"/>
      <c r="E2092" s="149"/>
      <c r="F2092" s="149"/>
      <c r="G2092" s="149"/>
      <c r="H2092" s="149"/>
      <c r="I2092" s="149"/>
      <c r="J2092" s="149"/>
      <c r="K2092" s="149"/>
      <c r="L2092" s="149"/>
      <c r="M2092" s="149"/>
      <c r="N2092" s="149"/>
      <c r="O2092" s="149"/>
      <c r="P2092" s="149"/>
      <c r="Q2092" s="149"/>
      <c r="R2092" s="149"/>
      <c r="S2092" s="149"/>
      <c r="T2092" s="149"/>
      <c r="U2092" s="149"/>
      <c r="V2092" s="149"/>
      <c r="W2092" s="149"/>
      <c r="X2092" s="149"/>
      <c r="Y2092" s="149"/>
      <c r="Z2092" s="149"/>
      <c r="AA2092" s="149"/>
      <c r="AB2092" s="149"/>
      <c r="AC2092" s="149"/>
      <c r="AD2092" s="149"/>
      <c r="AE2092" s="149"/>
      <c r="AF2092" s="149"/>
      <c r="AG2092" s="149"/>
      <c r="AH2092" s="149"/>
      <c r="AI2092" s="149"/>
      <c r="AJ2092" s="149"/>
      <c r="AK2092" s="149"/>
      <c r="AL2092" s="149"/>
      <c r="AM2092" s="149"/>
      <c r="AN2092" s="149"/>
      <c r="AO2092" s="128"/>
      <c r="AP2092" s="128"/>
      <c r="AQ2092" s="128"/>
      <c r="AR2092" s="128"/>
      <c r="AS2092" s="128"/>
      <c r="AT2092" s="128"/>
      <c r="AU2092" s="128"/>
      <c r="AV2092" s="128"/>
      <c r="AW2092" s="128"/>
      <c r="AX2092" s="128"/>
      <c r="AY2092" s="128"/>
      <c r="AZ2092" s="128"/>
      <c r="BA2092" s="128"/>
      <c r="BB2092" s="128"/>
      <c r="BC2092" s="128"/>
      <c r="BD2092" s="128"/>
      <c r="BE2092" s="128"/>
      <c r="BF2092" s="128"/>
      <c r="BG2092" s="128"/>
      <c r="BH2092" s="128"/>
      <c r="BI2092" s="128"/>
      <c r="BJ2092" s="128"/>
      <c r="BK2092" s="128"/>
      <c r="BL2092" s="128"/>
      <c r="BM2092" s="151"/>
      <c r="BN2092" s="128"/>
      <c r="BO2092" s="128"/>
      <c r="BP2092" s="128"/>
      <c r="BQ2092" s="128"/>
      <c r="BR2092" s="128"/>
      <c r="BS2092" s="128"/>
      <c r="BT2092" s="128"/>
      <c r="BU2092" s="128"/>
      <c r="BV2092" s="128"/>
      <c r="BW2092" s="128"/>
      <c r="BX2092" s="128"/>
      <c r="BY2092" s="128"/>
      <c r="BZ2092" s="128"/>
      <c r="CA2092" s="128"/>
      <c r="CB2092" s="128"/>
      <c r="CC2092" s="128"/>
      <c r="CD2092" s="128"/>
      <c r="CE2092" s="128"/>
      <c r="CF2092" s="128"/>
      <c r="CG2092" s="128"/>
      <c r="CI2092" s="128"/>
      <c r="CJ2092" s="128"/>
      <c r="CK2092" s="128"/>
      <c r="CL2092" s="128"/>
      <c r="CM2092" s="128"/>
      <c r="CN2092" s="128"/>
      <c r="CO2092" s="128"/>
      <c r="CP2092" s="128"/>
      <c r="CQ2092" s="128"/>
      <c r="CR2092" s="128"/>
      <c r="CS2092" s="128"/>
      <c r="CT2092" s="128"/>
      <c r="CU2092" s="128"/>
      <c r="CV2092" s="128"/>
      <c r="CW2092" s="128"/>
      <c r="CX2092" s="128"/>
      <c r="CY2092" s="128"/>
      <c r="CZ2092" s="165"/>
    </row>
    <row r="2093" spans="1:104">
      <c r="A2093" s="149"/>
      <c r="B2093" s="149"/>
      <c r="C2093" s="150"/>
      <c r="D2093" s="102"/>
      <c r="E2093" s="149"/>
      <c r="F2093" s="149"/>
      <c r="G2093" s="149"/>
      <c r="H2093" s="149"/>
      <c r="I2093" s="149"/>
      <c r="J2093" s="149"/>
      <c r="K2093" s="149"/>
      <c r="L2093" s="149"/>
      <c r="M2093" s="149"/>
      <c r="N2093" s="149"/>
      <c r="O2093" s="149"/>
      <c r="P2093" s="149"/>
      <c r="Q2093" s="149"/>
      <c r="R2093" s="149"/>
      <c r="S2093" s="149"/>
      <c r="T2093" s="149"/>
      <c r="U2093" s="149"/>
      <c r="V2093" s="149"/>
      <c r="W2093" s="149"/>
      <c r="X2093" s="149"/>
      <c r="Y2093" s="149"/>
      <c r="Z2093" s="149"/>
      <c r="AA2093" s="149"/>
      <c r="AB2093" s="149"/>
      <c r="AC2093" s="149"/>
      <c r="AD2093" s="149"/>
      <c r="AE2093" s="149"/>
      <c r="AF2093" s="149"/>
      <c r="AG2093" s="149"/>
      <c r="AH2093" s="149"/>
      <c r="AI2093" s="149"/>
      <c r="AJ2093" s="149"/>
      <c r="AK2093" s="149"/>
      <c r="AL2093" s="149"/>
      <c r="AM2093" s="149"/>
      <c r="AN2093" s="149"/>
      <c r="AO2093" s="128"/>
      <c r="AP2093" s="128"/>
      <c r="AQ2093" s="128"/>
      <c r="AR2093" s="128"/>
      <c r="AS2093" s="128"/>
      <c r="AT2093" s="128"/>
      <c r="AU2093" s="128"/>
      <c r="AV2093" s="128"/>
      <c r="AW2093" s="128"/>
      <c r="AX2093" s="128"/>
      <c r="AY2093" s="128"/>
      <c r="AZ2093" s="128"/>
      <c r="BA2093" s="128"/>
      <c r="BB2093" s="128"/>
      <c r="BC2093" s="128"/>
      <c r="BD2093" s="128"/>
      <c r="BE2093" s="128"/>
      <c r="BF2093" s="128"/>
      <c r="BG2093" s="128"/>
      <c r="BH2093" s="128"/>
      <c r="BI2093" s="128"/>
      <c r="BJ2093" s="128"/>
      <c r="BK2093" s="128"/>
      <c r="BL2093" s="128"/>
      <c r="BM2093" s="151"/>
      <c r="BN2093" s="128"/>
      <c r="BO2093" s="128"/>
      <c r="BP2093" s="128"/>
      <c r="BQ2093" s="128"/>
      <c r="BR2093" s="128"/>
      <c r="BS2093" s="128"/>
      <c r="BT2093" s="128"/>
      <c r="BU2093" s="128"/>
      <c r="BV2093" s="128"/>
      <c r="BW2093" s="128"/>
      <c r="BX2093" s="128"/>
      <c r="BY2093" s="128"/>
      <c r="BZ2093" s="128"/>
      <c r="CA2093" s="128"/>
      <c r="CB2093" s="128"/>
      <c r="CC2093" s="128"/>
      <c r="CD2093" s="128"/>
      <c r="CE2093" s="128"/>
      <c r="CF2093" s="128"/>
      <c r="CG2093" s="128"/>
      <c r="CI2093" s="128"/>
      <c r="CJ2093" s="128"/>
      <c r="CK2093" s="128"/>
      <c r="CL2093" s="128"/>
      <c r="CM2093" s="128"/>
      <c r="CN2093" s="128"/>
      <c r="CO2093" s="128"/>
      <c r="CP2093" s="128"/>
      <c r="CQ2093" s="128"/>
      <c r="CR2093" s="128"/>
      <c r="CS2093" s="128"/>
      <c r="CT2093" s="128"/>
      <c r="CU2093" s="128"/>
      <c r="CV2093" s="128"/>
      <c r="CW2093" s="128"/>
      <c r="CX2093" s="128"/>
      <c r="CY2093" s="128"/>
      <c r="CZ2093" s="165"/>
    </row>
    <row r="2094" spans="1:104">
      <c r="A2094" s="149"/>
      <c r="B2094" s="149"/>
      <c r="C2094" s="150"/>
      <c r="D2094" s="102"/>
      <c r="E2094" s="149"/>
      <c r="F2094" s="149"/>
      <c r="G2094" s="149"/>
      <c r="H2094" s="149"/>
      <c r="I2094" s="149"/>
      <c r="J2094" s="149"/>
      <c r="K2094" s="149"/>
      <c r="L2094" s="149"/>
      <c r="M2094" s="149"/>
      <c r="N2094" s="149"/>
      <c r="O2094" s="149"/>
      <c r="P2094" s="149"/>
      <c r="Q2094" s="149"/>
      <c r="R2094" s="149"/>
      <c r="S2094" s="149"/>
      <c r="T2094" s="149"/>
      <c r="U2094" s="149"/>
      <c r="V2094" s="149"/>
      <c r="W2094" s="149"/>
      <c r="X2094" s="149"/>
      <c r="Y2094" s="149"/>
      <c r="Z2094" s="149"/>
      <c r="AA2094" s="149"/>
      <c r="AB2094" s="149"/>
      <c r="AC2094" s="149"/>
      <c r="AD2094" s="149"/>
      <c r="AE2094" s="149"/>
      <c r="AF2094" s="149"/>
      <c r="AG2094" s="149"/>
      <c r="AH2094" s="149"/>
      <c r="AI2094" s="149"/>
      <c r="AJ2094" s="149"/>
      <c r="AK2094" s="149"/>
      <c r="AL2094" s="149"/>
      <c r="AM2094" s="149"/>
      <c r="AN2094" s="149"/>
      <c r="AO2094" s="128"/>
      <c r="AP2094" s="128"/>
      <c r="AQ2094" s="128"/>
      <c r="AR2094" s="128"/>
      <c r="AS2094" s="128"/>
      <c r="AT2094" s="128"/>
      <c r="AU2094" s="128"/>
      <c r="AV2094" s="128"/>
      <c r="AW2094" s="128"/>
      <c r="AX2094" s="128"/>
      <c r="AY2094" s="128"/>
      <c r="AZ2094" s="128"/>
      <c r="BA2094" s="128"/>
      <c r="BB2094" s="128"/>
      <c r="BC2094" s="128"/>
      <c r="BD2094" s="128"/>
      <c r="BE2094" s="128"/>
      <c r="BF2094" s="128"/>
      <c r="BG2094" s="128"/>
      <c r="BH2094" s="128"/>
      <c r="BI2094" s="128"/>
      <c r="BJ2094" s="128"/>
      <c r="BK2094" s="128"/>
      <c r="BL2094" s="128"/>
      <c r="BM2094" s="151"/>
      <c r="BN2094" s="128"/>
      <c r="BO2094" s="128"/>
      <c r="BP2094" s="128"/>
      <c r="BQ2094" s="128"/>
      <c r="BR2094" s="128"/>
      <c r="BS2094" s="128"/>
      <c r="BT2094" s="128"/>
      <c r="BU2094" s="128"/>
      <c r="BV2094" s="128"/>
      <c r="BW2094" s="128"/>
      <c r="BX2094" s="128"/>
      <c r="BY2094" s="128"/>
      <c r="BZ2094" s="128"/>
      <c r="CA2094" s="128"/>
      <c r="CB2094" s="128"/>
      <c r="CC2094" s="128"/>
      <c r="CD2094" s="128"/>
      <c r="CE2094" s="128"/>
      <c r="CF2094" s="128"/>
      <c r="CG2094" s="128"/>
      <c r="CI2094" s="128"/>
      <c r="CJ2094" s="128"/>
      <c r="CK2094" s="128"/>
      <c r="CL2094" s="128"/>
      <c r="CM2094" s="128"/>
      <c r="CN2094" s="128"/>
      <c r="CO2094" s="128"/>
      <c r="CP2094" s="128"/>
      <c r="CQ2094" s="128"/>
      <c r="CR2094" s="128"/>
      <c r="CS2094" s="128"/>
      <c r="CT2094" s="128"/>
      <c r="CU2094" s="128"/>
      <c r="CV2094" s="128"/>
      <c r="CW2094" s="128"/>
      <c r="CX2094" s="128"/>
      <c r="CY2094" s="128"/>
      <c r="CZ2094" s="165"/>
    </row>
    <row r="2095" spans="1:104">
      <c r="A2095" s="149"/>
      <c r="B2095" s="149"/>
      <c r="C2095" s="150"/>
      <c r="D2095" s="102"/>
      <c r="E2095" s="149"/>
      <c r="F2095" s="149"/>
      <c r="G2095" s="149"/>
      <c r="H2095" s="149"/>
      <c r="I2095" s="149"/>
      <c r="J2095" s="149"/>
      <c r="K2095" s="149"/>
      <c r="L2095" s="149"/>
      <c r="M2095" s="149"/>
      <c r="N2095" s="149"/>
      <c r="O2095" s="149"/>
      <c r="P2095" s="149"/>
      <c r="Q2095" s="149"/>
      <c r="R2095" s="149"/>
      <c r="S2095" s="149"/>
      <c r="T2095" s="149"/>
      <c r="U2095" s="149"/>
      <c r="V2095" s="149"/>
      <c r="W2095" s="149"/>
      <c r="X2095" s="149"/>
      <c r="Y2095" s="149"/>
      <c r="Z2095" s="149"/>
      <c r="AA2095" s="149"/>
      <c r="AB2095" s="149"/>
      <c r="AC2095" s="149"/>
      <c r="AD2095" s="149"/>
      <c r="AE2095" s="149"/>
      <c r="AF2095" s="149"/>
      <c r="AG2095" s="149"/>
      <c r="AH2095" s="149"/>
      <c r="AI2095" s="149"/>
      <c r="AJ2095" s="149"/>
      <c r="AK2095" s="149"/>
      <c r="AL2095" s="149"/>
      <c r="AM2095" s="149"/>
      <c r="AN2095" s="149"/>
      <c r="AO2095" s="128"/>
      <c r="AP2095" s="128"/>
      <c r="AQ2095" s="128"/>
      <c r="AR2095" s="128"/>
      <c r="AS2095" s="128"/>
      <c r="AT2095" s="128"/>
      <c r="AU2095" s="128"/>
      <c r="AV2095" s="128"/>
      <c r="AW2095" s="128"/>
      <c r="AX2095" s="128"/>
      <c r="AY2095" s="128"/>
      <c r="AZ2095" s="128"/>
      <c r="BA2095" s="128"/>
      <c r="BB2095" s="128"/>
      <c r="BC2095" s="128"/>
      <c r="BD2095" s="128"/>
      <c r="BE2095" s="128"/>
      <c r="BF2095" s="128"/>
      <c r="BG2095" s="128"/>
      <c r="BH2095" s="128"/>
      <c r="BI2095" s="128"/>
      <c r="BJ2095" s="128"/>
      <c r="BK2095" s="128"/>
      <c r="BL2095" s="128"/>
      <c r="BM2095" s="151"/>
      <c r="BN2095" s="128"/>
      <c r="BO2095" s="128"/>
      <c r="BP2095" s="128"/>
      <c r="BQ2095" s="128"/>
      <c r="BR2095" s="128"/>
      <c r="BS2095" s="128"/>
      <c r="BT2095" s="128"/>
      <c r="BU2095" s="128"/>
      <c r="BV2095" s="128"/>
      <c r="BW2095" s="128"/>
      <c r="BX2095" s="128"/>
      <c r="BY2095" s="128"/>
      <c r="BZ2095" s="128"/>
      <c r="CA2095" s="128"/>
      <c r="CB2095" s="128"/>
      <c r="CC2095" s="128"/>
      <c r="CD2095" s="128"/>
      <c r="CE2095" s="128"/>
      <c r="CF2095" s="128"/>
      <c r="CG2095" s="128"/>
      <c r="CI2095" s="128"/>
      <c r="CJ2095" s="128"/>
      <c r="CK2095" s="128"/>
      <c r="CL2095" s="128"/>
      <c r="CM2095" s="128"/>
      <c r="CN2095" s="128"/>
      <c r="CO2095" s="128"/>
      <c r="CP2095" s="128"/>
      <c r="CQ2095" s="128"/>
      <c r="CR2095" s="128"/>
      <c r="CS2095" s="128"/>
      <c r="CT2095" s="128"/>
      <c r="CU2095" s="128"/>
      <c r="CV2095" s="128"/>
      <c r="CW2095" s="128"/>
      <c r="CX2095" s="128"/>
      <c r="CY2095" s="128"/>
      <c r="CZ2095" s="165"/>
    </row>
    <row r="2096" spans="1:104">
      <c r="A2096" s="149"/>
      <c r="B2096" s="149"/>
      <c r="C2096" s="150"/>
      <c r="D2096" s="102"/>
      <c r="E2096" s="149"/>
      <c r="F2096" s="149"/>
      <c r="G2096" s="149"/>
      <c r="H2096" s="149"/>
      <c r="I2096" s="149"/>
      <c r="J2096" s="149"/>
      <c r="K2096" s="149"/>
      <c r="L2096" s="149"/>
      <c r="M2096" s="149"/>
      <c r="N2096" s="149"/>
      <c r="O2096" s="149"/>
      <c r="P2096" s="149"/>
      <c r="Q2096" s="149"/>
      <c r="R2096" s="149"/>
      <c r="S2096" s="149"/>
      <c r="T2096" s="149"/>
      <c r="U2096" s="149"/>
      <c r="V2096" s="149"/>
      <c r="W2096" s="149"/>
      <c r="X2096" s="149"/>
      <c r="Y2096" s="149"/>
      <c r="Z2096" s="149"/>
      <c r="AA2096" s="149"/>
      <c r="AB2096" s="149"/>
      <c r="AC2096" s="149"/>
      <c r="AD2096" s="149"/>
      <c r="AE2096" s="149"/>
      <c r="AF2096" s="149"/>
      <c r="AG2096" s="149"/>
      <c r="AH2096" s="149"/>
      <c r="AI2096" s="149"/>
      <c r="AJ2096" s="149"/>
      <c r="AK2096" s="149"/>
      <c r="AL2096" s="149"/>
      <c r="AM2096" s="149"/>
      <c r="AN2096" s="149"/>
      <c r="AO2096" s="128"/>
      <c r="AP2096" s="128"/>
      <c r="AQ2096" s="128"/>
      <c r="AR2096" s="128"/>
      <c r="AS2096" s="128"/>
      <c r="AT2096" s="128"/>
      <c r="AU2096" s="128"/>
      <c r="AV2096" s="128"/>
      <c r="AW2096" s="128"/>
      <c r="AX2096" s="128"/>
      <c r="AY2096" s="128"/>
      <c r="AZ2096" s="128"/>
      <c r="BA2096" s="128"/>
      <c r="BB2096" s="128"/>
      <c r="BC2096" s="128"/>
      <c r="BD2096" s="128"/>
      <c r="BE2096" s="128"/>
      <c r="BF2096" s="128"/>
      <c r="BG2096" s="128"/>
      <c r="BH2096" s="128"/>
      <c r="BI2096" s="128"/>
      <c r="BJ2096" s="128"/>
      <c r="BK2096" s="128"/>
      <c r="BL2096" s="128"/>
      <c r="BM2096" s="151"/>
      <c r="BN2096" s="128"/>
      <c r="BO2096" s="128"/>
      <c r="BP2096" s="128"/>
      <c r="BQ2096" s="128"/>
      <c r="BR2096" s="128"/>
      <c r="BS2096" s="128"/>
      <c r="BT2096" s="128"/>
      <c r="BU2096" s="128"/>
      <c r="BV2096" s="128"/>
      <c r="BW2096" s="128"/>
      <c r="BX2096" s="128"/>
      <c r="BY2096" s="128"/>
      <c r="BZ2096" s="128"/>
      <c r="CA2096" s="128"/>
      <c r="CB2096" s="128"/>
      <c r="CC2096" s="128"/>
      <c r="CD2096" s="128"/>
      <c r="CE2096" s="128"/>
      <c r="CF2096" s="128"/>
      <c r="CG2096" s="128"/>
      <c r="CI2096" s="128"/>
      <c r="CJ2096" s="128"/>
      <c r="CK2096" s="128"/>
      <c r="CL2096" s="128"/>
      <c r="CM2096" s="128"/>
      <c r="CN2096" s="128"/>
      <c r="CO2096" s="128"/>
      <c r="CP2096" s="128"/>
      <c r="CQ2096" s="128"/>
      <c r="CR2096" s="128"/>
      <c r="CS2096" s="128"/>
      <c r="CT2096" s="128"/>
      <c r="CU2096" s="128"/>
      <c r="CV2096" s="128"/>
      <c r="CW2096" s="128"/>
      <c r="CX2096" s="128"/>
      <c r="CY2096" s="128"/>
      <c r="CZ2096" s="165"/>
    </row>
    <row r="2097" spans="1:104">
      <c r="A2097" s="149"/>
      <c r="B2097" s="149"/>
      <c r="C2097" s="150"/>
      <c r="D2097" s="102"/>
      <c r="E2097" s="149"/>
      <c r="F2097" s="149"/>
      <c r="G2097" s="149"/>
      <c r="H2097" s="149"/>
      <c r="I2097" s="149"/>
      <c r="J2097" s="149"/>
      <c r="K2097" s="149"/>
      <c r="L2097" s="149"/>
      <c r="M2097" s="149"/>
      <c r="N2097" s="149"/>
      <c r="O2097" s="149"/>
      <c r="P2097" s="149"/>
      <c r="Q2097" s="149"/>
      <c r="R2097" s="149"/>
      <c r="S2097" s="149"/>
      <c r="T2097" s="149"/>
      <c r="U2097" s="149"/>
      <c r="V2097" s="149"/>
      <c r="W2097" s="149"/>
      <c r="X2097" s="149"/>
      <c r="Y2097" s="149"/>
      <c r="Z2097" s="149"/>
      <c r="AA2097" s="149"/>
      <c r="AB2097" s="149"/>
      <c r="AC2097" s="149"/>
      <c r="AD2097" s="149"/>
      <c r="AE2097" s="149"/>
      <c r="AF2097" s="149"/>
      <c r="AG2097" s="149"/>
      <c r="AH2097" s="149"/>
      <c r="AI2097" s="149"/>
      <c r="AJ2097" s="149"/>
      <c r="AK2097" s="149"/>
      <c r="AL2097" s="149"/>
      <c r="AM2097" s="149"/>
      <c r="AN2097" s="149"/>
      <c r="AO2097" s="128"/>
      <c r="AP2097" s="128"/>
      <c r="AQ2097" s="128"/>
      <c r="AR2097" s="128"/>
      <c r="AS2097" s="128"/>
      <c r="AT2097" s="128"/>
      <c r="AU2097" s="128"/>
      <c r="AV2097" s="128"/>
      <c r="AW2097" s="128"/>
      <c r="AX2097" s="128"/>
      <c r="AY2097" s="128"/>
      <c r="AZ2097" s="128"/>
      <c r="BA2097" s="128"/>
      <c r="BB2097" s="128"/>
      <c r="BC2097" s="128"/>
      <c r="BD2097" s="128"/>
      <c r="BE2097" s="128"/>
      <c r="BF2097" s="128"/>
      <c r="BG2097" s="128"/>
      <c r="BH2097" s="128"/>
      <c r="BI2097" s="128"/>
      <c r="BJ2097" s="128"/>
      <c r="BK2097" s="128"/>
      <c r="BL2097" s="128"/>
      <c r="BM2097" s="151"/>
      <c r="BN2097" s="128"/>
      <c r="BO2097" s="128"/>
      <c r="BP2097" s="128"/>
      <c r="BQ2097" s="128"/>
      <c r="BR2097" s="128"/>
      <c r="BS2097" s="128"/>
      <c r="BT2097" s="128"/>
      <c r="BU2097" s="128"/>
      <c r="BV2097" s="128"/>
      <c r="BW2097" s="128"/>
      <c r="BX2097" s="128"/>
      <c r="BY2097" s="128"/>
      <c r="BZ2097" s="128"/>
      <c r="CA2097" s="128"/>
      <c r="CB2097" s="128"/>
      <c r="CC2097" s="128"/>
      <c r="CD2097" s="128"/>
      <c r="CE2097" s="128"/>
      <c r="CF2097" s="128"/>
      <c r="CG2097" s="128"/>
      <c r="CI2097" s="128"/>
      <c r="CJ2097" s="128"/>
      <c r="CK2097" s="128"/>
      <c r="CL2097" s="128"/>
      <c r="CM2097" s="128"/>
      <c r="CN2097" s="128"/>
      <c r="CO2097" s="128"/>
      <c r="CP2097" s="128"/>
      <c r="CQ2097" s="128"/>
      <c r="CR2097" s="128"/>
      <c r="CS2097" s="128"/>
      <c r="CT2097" s="128"/>
      <c r="CU2097" s="128"/>
      <c r="CV2097" s="128"/>
      <c r="CW2097" s="128"/>
      <c r="CX2097" s="128"/>
      <c r="CY2097" s="128"/>
      <c r="CZ2097" s="165"/>
    </row>
    <row r="2098" spans="1:104">
      <c r="A2098" s="149"/>
      <c r="B2098" s="149"/>
      <c r="C2098" s="150"/>
      <c r="D2098" s="102"/>
      <c r="E2098" s="149"/>
      <c r="F2098" s="149"/>
      <c r="G2098" s="149"/>
      <c r="H2098" s="149"/>
      <c r="I2098" s="149"/>
      <c r="J2098" s="149"/>
      <c r="K2098" s="149"/>
      <c r="L2098" s="149"/>
      <c r="M2098" s="149"/>
      <c r="N2098" s="149"/>
      <c r="O2098" s="149"/>
      <c r="P2098" s="149"/>
      <c r="Q2098" s="149"/>
      <c r="R2098" s="149"/>
      <c r="S2098" s="149"/>
      <c r="T2098" s="149"/>
      <c r="U2098" s="149"/>
      <c r="V2098" s="149"/>
      <c r="W2098" s="149"/>
      <c r="X2098" s="149"/>
      <c r="Y2098" s="149"/>
      <c r="Z2098" s="149"/>
      <c r="AA2098" s="149"/>
      <c r="AB2098" s="149"/>
      <c r="AC2098" s="149"/>
      <c r="AD2098" s="149"/>
      <c r="AE2098" s="149"/>
      <c r="AF2098" s="149"/>
      <c r="AG2098" s="149"/>
      <c r="AH2098" s="149"/>
      <c r="AI2098" s="149"/>
      <c r="AJ2098" s="149"/>
      <c r="AK2098" s="149"/>
      <c r="AL2098" s="149"/>
      <c r="AM2098" s="149"/>
      <c r="AN2098" s="149"/>
      <c r="AO2098" s="128"/>
      <c r="AP2098" s="128"/>
      <c r="AQ2098" s="128"/>
      <c r="AR2098" s="128"/>
      <c r="AS2098" s="128"/>
      <c r="AT2098" s="128"/>
      <c r="AU2098" s="128"/>
      <c r="AV2098" s="128"/>
      <c r="AW2098" s="128"/>
      <c r="AX2098" s="128"/>
      <c r="AY2098" s="128"/>
      <c r="AZ2098" s="128"/>
      <c r="BA2098" s="128"/>
      <c r="BB2098" s="128"/>
      <c r="BC2098" s="128"/>
      <c r="BD2098" s="128"/>
      <c r="BE2098" s="128"/>
      <c r="BF2098" s="128"/>
      <c r="BG2098" s="128"/>
      <c r="BH2098" s="128"/>
      <c r="BI2098" s="128"/>
      <c r="BJ2098" s="128"/>
      <c r="BK2098" s="128"/>
      <c r="BL2098" s="128"/>
      <c r="BM2098" s="151"/>
      <c r="BN2098" s="128"/>
      <c r="BO2098" s="128"/>
      <c r="BP2098" s="128"/>
      <c r="BQ2098" s="128"/>
      <c r="BR2098" s="128"/>
      <c r="BS2098" s="128"/>
      <c r="BT2098" s="128"/>
      <c r="BU2098" s="128"/>
      <c r="BV2098" s="128"/>
      <c r="BW2098" s="128"/>
      <c r="BX2098" s="128"/>
      <c r="BY2098" s="128"/>
      <c r="BZ2098" s="128"/>
      <c r="CA2098" s="128"/>
      <c r="CB2098" s="128"/>
      <c r="CC2098" s="128"/>
      <c r="CD2098" s="128"/>
      <c r="CE2098" s="128"/>
      <c r="CF2098" s="128"/>
      <c r="CG2098" s="128"/>
      <c r="CI2098" s="128"/>
      <c r="CJ2098" s="128"/>
      <c r="CK2098" s="128"/>
      <c r="CL2098" s="128"/>
      <c r="CM2098" s="128"/>
      <c r="CN2098" s="128"/>
      <c r="CO2098" s="128"/>
      <c r="CP2098" s="128"/>
      <c r="CQ2098" s="128"/>
      <c r="CR2098" s="128"/>
      <c r="CS2098" s="128"/>
      <c r="CT2098" s="128"/>
      <c r="CU2098" s="128"/>
      <c r="CV2098" s="128"/>
      <c r="CW2098" s="128"/>
      <c r="CX2098" s="128"/>
      <c r="CY2098" s="128"/>
      <c r="CZ2098" s="165"/>
    </row>
    <row r="2099" spans="1:104">
      <c r="A2099" s="149"/>
      <c r="B2099" s="149"/>
      <c r="C2099" s="150"/>
      <c r="D2099" s="102"/>
      <c r="E2099" s="149"/>
      <c r="F2099" s="149"/>
      <c r="G2099" s="149"/>
      <c r="H2099" s="149"/>
      <c r="I2099" s="149"/>
      <c r="J2099" s="149"/>
      <c r="K2099" s="149"/>
      <c r="L2099" s="149"/>
      <c r="M2099" s="149"/>
      <c r="N2099" s="149"/>
      <c r="O2099" s="149"/>
      <c r="P2099" s="149"/>
      <c r="Q2099" s="149"/>
      <c r="R2099" s="149"/>
      <c r="S2099" s="149"/>
      <c r="T2099" s="149"/>
      <c r="U2099" s="149"/>
      <c r="V2099" s="149"/>
      <c r="W2099" s="149"/>
      <c r="X2099" s="149"/>
      <c r="Y2099" s="149"/>
      <c r="Z2099" s="149"/>
      <c r="AA2099" s="149"/>
      <c r="AB2099" s="149"/>
      <c r="AC2099" s="149"/>
      <c r="AD2099" s="149"/>
      <c r="AE2099" s="149"/>
      <c r="AF2099" s="149"/>
      <c r="AG2099" s="149"/>
      <c r="AH2099" s="149"/>
      <c r="AI2099" s="149"/>
      <c r="AJ2099" s="149"/>
      <c r="AK2099" s="149"/>
      <c r="AL2099" s="149"/>
      <c r="AM2099" s="149"/>
      <c r="AN2099" s="149"/>
      <c r="AO2099" s="128"/>
      <c r="AP2099" s="128"/>
      <c r="AQ2099" s="128"/>
      <c r="AR2099" s="128"/>
      <c r="AS2099" s="128"/>
      <c r="AT2099" s="128"/>
      <c r="AU2099" s="128"/>
      <c r="AV2099" s="128"/>
      <c r="AW2099" s="128"/>
      <c r="AX2099" s="128"/>
      <c r="AY2099" s="128"/>
      <c r="AZ2099" s="128"/>
      <c r="BA2099" s="128"/>
      <c r="BB2099" s="128"/>
      <c r="BC2099" s="128"/>
      <c r="BD2099" s="128"/>
      <c r="BE2099" s="128"/>
      <c r="BF2099" s="128"/>
      <c r="BG2099" s="128"/>
      <c r="BH2099" s="128"/>
      <c r="BI2099" s="128"/>
      <c r="BJ2099" s="128"/>
      <c r="BK2099" s="128"/>
      <c r="BL2099" s="128"/>
      <c r="BM2099" s="151"/>
      <c r="BN2099" s="128"/>
      <c r="BO2099" s="128"/>
      <c r="BP2099" s="128"/>
      <c r="BQ2099" s="128"/>
      <c r="BR2099" s="128"/>
      <c r="BS2099" s="128"/>
      <c r="BT2099" s="128"/>
      <c r="BU2099" s="128"/>
      <c r="BV2099" s="128"/>
      <c r="BW2099" s="128"/>
      <c r="BX2099" s="128"/>
      <c r="BY2099" s="128"/>
      <c r="BZ2099" s="128"/>
      <c r="CA2099" s="128"/>
      <c r="CB2099" s="128"/>
      <c r="CC2099" s="128"/>
      <c r="CD2099" s="128"/>
      <c r="CE2099" s="128"/>
      <c r="CF2099" s="128"/>
      <c r="CG2099" s="128"/>
      <c r="CI2099" s="128"/>
      <c r="CJ2099" s="128"/>
      <c r="CK2099" s="128"/>
      <c r="CL2099" s="128"/>
      <c r="CM2099" s="128"/>
      <c r="CN2099" s="128"/>
      <c r="CO2099" s="128"/>
      <c r="CP2099" s="128"/>
      <c r="CQ2099" s="128"/>
      <c r="CR2099" s="128"/>
      <c r="CS2099" s="128"/>
      <c r="CT2099" s="128"/>
      <c r="CU2099" s="128"/>
      <c r="CV2099" s="128"/>
      <c r="CW2099" s="128"/>
      <c r="CX2099" s="128"/>
      <c r="CY2099" s="128"/>
      <c r="CZ2099" s="165"/>
    </row>
    <row r="2100" spans="1:104">
      <c r="A2100" s="149"/>
      <c r="B2100" s="149"/>
      <c r="C2100" s="150"/>
      <c r="D2100" s="102"/>
      <c r="E2100" s="149"/>
      <c r="F2100" s="149"/>
      <c r="G2100" s="149"/>
      <c r="H2100" s="149"/>
      <c r="I2100" s="149"/>
      <c r="J2100" s="149"/>
      <c r="K2100" s="149"/>
      <c r="L2100" s="149"/>
      <c r="M2100" s="149"/>
      <c r="N2100" s="149"/>
      <c r="O2100" s="149"/>
      <c r="P2100" s="149"/>
      <c r="Q2100" s="149"/>
      <c r="R2100" s="149"/>
      <c r="S2100" s="149"/>
      <c r="T2100" s="149"/>
      <c r="U2100" s="149"/>
      <c r="V2100" s="149"/>
      <c r="W2100" s="149"/>
      <c r="X2100" s="149"/>
      <c r="Y2100" s="149"/>
      <c r="Z2100" s="149"/>
      <c r="AA2100" s="149"/>
      <c r="AB2100" s="149"/>
      <c r="AC2100" s="149"/>
      <c r="AD2100" s="149"/>
      <c r="AE2100" s="149"/>
      <c r="AF2100" s="149"/>
      <c r="AG2100" s="149"/>
      <c r="AH2100" s="149"/>
      <c r="AI2100" s="149"/>
      <c r="AJ2100" s="149"/>
      <c r="AK2100" s="149"/>
      <c r="AL2100" s="149"/>
      <c r="AM2100" s="149"/>
      <c r="AN2100" s="149"/>
      <c r="AO2100" s="128"/>
      <c r="AP2100" s="128"/>
      <c r="AQ2100" s="128"/>
      <c r="AR2100" s="128"/>
      <c r="AS2100" s="128"/>
      <c r="AT2100" s="128"/>
      <c r="AU2100" s="128"/>
      <c r="AV2100" s="128"/>
      <c r="AW2100" s="128"/>
      <c r="AX2100" s="128"/>
      <c r="AY2100" s="128"/>
      <c r="AZ2100" s="128"/>
      <c r="BA2100" s="128"/>
      <c r="BB2100" s="128"/>
      <c r="BC2100" s="128"/>
      <c r="BD2100" s="128"/>
      <c r="BE2100" s="128"/>
      <c r="BF2100" s="128"/>
      <c r="BG2100" s="128"/>
      <c r="BH2100" s="128"/>
      <c r="BI2100" s="128"/>
      <c r="BJ2100" s="128"/>
      <c r="BK2100" s="128"/>
      <c r="BL2100" s="128"/>
      <c r="BM2100" s="151"/>
      <c r="BN2100" s="128"/>
      <c r="BO2100" s="128"/>
      <c r="BP2100" s="128"/>
      <c r="BQ2100" s="128"/>
      <c r="BR2100" s="128"/>
      <c r="BS2100" s="128"/>
      <c r="BT2100" s="128"/>
      <c r="BU2100" s="128"/>
      <c r="BV2100" s="128"/>
      <c r="BW2100" s="128"/>
      <c r="BX2100" s="128"/>
      <c r="BY2100" s="128"/>
      <c r="BZ2100" s="128"/>
      <c r="CA2100" s="128"/>
      <c r="CB2100" s="128"/>
      <c r="CC2100" s="128"/>
      <c r="CD2100" s="128"/>
      <c r="CE2100" s="128"/>
      <c r="CF2100" s="128"/>
      <c r="CG2100" s="128"/>
      <c r="CI2100" s="128"/>
      <c r="CJ2100" s="128"/>
      <c r="CK2100" s="128"/>
      <c r="CL2100" s="128"/>
      <c r="CM2100" s="128"/>
      <c r="CN2100" s="128"/>
      <c r="CO2100" s="128"/>
      <c r="CP2100" s="128"/>
      <c r="CQ2100" s="128"/>
      <c r="CR2100" s="128"/>
      <c r="CS2100" s="128"/>
      <c r="CT2100" s="128"/>
      <c r="CU2100" s="128"/>
      <c r="CV2100" s="128"/>
      <c r="CW2100" s="128"/>
      <c r="CX2100" s="128"/>
      <c r="CY2100" s="128"/>
      <c r="CZ2100" s="165"/>
    </row>
    <row r="2101" spans="1:104">
      <c r="A2101" s="149"/>
      <c r="B2101" s="149"/>
      <c r="C2101" s="150"/>
      <c r="D2101" s="102"/>
      <c r="E2101" s="149"/>
      <c r="F2101" s="149"/>
      <c r="G2101" s="149"/>
      <c r="H2101" s="149"/>
      <c r="I2101" s="149"/>
      <c r="J2101" s="149"/>
      <c r="K2101" s="149"/>
      <c r="L2101" s="149"/>
      <c r="M2101" s="149"/>
      <c r="N2101" s="149"/>
      <c r="O2101" s="149"/>
      <c r="P2101" s="149"/>
      <c r="Q2101" s="149"/>
      <c r="R2101" s="149"/>
      <c r="S2101" s="149"/>
      <c r="T2101" s="149"/>
      <c r="U2101" s="149"/>
      <c r="V2101" s="149"/>
      <c r="W2101" s="149"/>
      <c r="X2101" s="149"/>
      <c r="Y2101" s="149"/>
      <c r="Z2101" s="149"/>
      <c r="AA2101" s="149"/>
      <c r="AB2101" s="149"/>
      <c r="AC2101" s="149"/>
      <c r="AD2101" s="149"/>
      <c r="AE2101" s="149"/>
      <c r="AF2101" s="149"/>
      <c r="AG2101" s="149"/>
      <c r="AH2101" s="149"/>
      <c r="AI2101" s="149"/>
      <c r="AJ2101" s="149"/>
      <c r="AK2101" s="149"/>
      <c r="AL2101" s="149"/>
      <c r="AM2101" s="149"/>
      <c r="AN2101" s="149"/>
      <c r="AO2101" s="128"/>
      <c r="AP2101" s="128"/>
      <c r="AQ2101" s="128"/>
      <c r="AR2101" s="128"/>
      <c r="AS2101" s="128"/>
      <c r="AT2101" s="128"/>
      <c r="AU2101" s="128"/>
      <c r="AV2101" s="128"/>
      <c r="AW2101" s="128"/>
      <c r="AX2101" s="128"/>
      <c r="AY2101" s="128"/>
      <c r="AZ2101" s="128"/>
      <c r="BA2101" s="128"/>
      <c r="BB2101" s="128"/>
      <c r="BC2101" s="128"/>
      <c r="BD2101" s="128"/>
      <c r="BE2101" s="128"/>
      <c r="BF2101" s="128"/>
      <c r="BG2101" s="128"/>
      <c r="BH2101" s="128"/>
      <c r="BI2101" s="128"/>
      <c r="BJ2101" s="128"/>
      <c r="BK2101" s="128"/>
      <c r="BL2101" s="128"/>
      <c r="BM2101" s="151"/>
      <c r="BN2101" s="128"/>
      <c r="BO2101" s="128"/>
      <c r="BP2101" s="128"/>
      <c r="BQ2101" s="128"/>
      <c r="BR2101" s="128"/>
      <c r="BS2101" s="128"/>
      <c r="BT2101" s="128"/>
      <c r="BU2101" s="128"/>
      <c r="BV2101" s="128"/>
      <c r="BW2101" s="128"/>
      <c r="BX2101" s="128"/>
      <c r="BY2101" s="128"/>
      <c r="BZ2101" s="128"/>
      <c r="CA2101" s="128"/>
      <c r="CB2101" s="128"/>
      <c r="CC2101" s="128"/>
      <c r="CD2101" s="128"/>
      <c r="CE2101" s="128"/>
      <c r="CF2101" s="128"/>
      <c r="CG2101" s="128"/>
      <c r="CI2101" s="128"/>
      <c r="CJ2101" s="128"/>
      <c r="CK2101" s="128"/>
      <c r="CL2101" s="128"/>
      <c r="CM2101" s="128"/>
      <c r="CN2101" s="128"/>
      <c r="CO2101" s="128"/>
      <c r="CP2101" s="128"/>
      <c r="CQ2101" s="128"/>
      <c r="CR2101" s="128"/>
      <c r="CS2101" s="128"/>
      <c r="CT2101" s="128"/>
      <c r="CU2101" s="128"/>
      <c r="CV2101" s="128"/>
      <c r="CW2101" s="128"/>
      <c r="CX2101" s="128"/>
      <c r="CY2101" s="128"/>
      <c r="CZ2101" s="165"/>
    </row>
    <row r="2102" spans="1:104">
      <c r="A2102" s="149"/>
      <c r="B2102" s="149"/>
      <c r="C2102" s="150"/>
      <c r="D2102" s="102"/>
      <c r="E2102" s="149"/>
      <c r="F2102" s="149"/>
      <c r="G2102" s="149"/>
      <c r="H2102" s="149"/>
      <c r="I2102" s="149"/>
      <c r="J2102" s="149"/>
      <c r="K2102" s="149"/>
      <c r="L2102" s="149"/>
      <c r="M2102" s="149"/>
      <c r="N2102" s="149"/>
      <c r="O2102" s="149"/>
      <c r="P2102" s="149"/>
      <c r="Q2102" s="149"/>
      <c r="R2102" s="149"/>
      <c r="S2102" s="149"/>
      <c r="T2102" s="149"/>
      <c r="U2102" s="149"/>
      <c r="V2102" s="149"/>
      <c r="W2102" s="149"/>
      <c r="X2102" s="149"/>
      <c r="Y2102" s="149"/>
      <c r="Z2102" s="149"/>
      <c r="AA2102" s="149"/>
      <c r="AB2102" s="149"/>
      <c r="AC2102" s="149"/>
      <c r="AD2102" s="149"/>
      <c r="AE2102" s="149"/>
      <c r="AF2102" s="149"/>
      <c r="AG2102" s="149"/>
      <c r="AH2102" s="149"/>
      <c r="AI2102" s="149"/>
      <c r="AJ2102" s="149"/>
      <c r="AK2102" s="149"/>
      <c r="AL2102" s="149"/>
      <c r="AM2102" s="149"/>
      <c r="AN2102" s="149"/>
      <c r="AO2102" s="128"/>
      <c r="AP2102" s="128"/>
      <c r="AQ2102" s="128"/>
      <c r="AR2102" s="128"/>
      <c r="AS2102" s="128"/>
      <c r="AT2102" s="128"/>
      <c r="AU2102" s="128"/>
      <c r="AV2102" s="128"/>
      <c r="AW2102" s="128"/>
      <c r="AX2102" s="128"/>
      <c r="AY2102" s="128"/>
      <c r="AZ2102" s="128"/>
      <c r="BA2102" s="128"/>
      <c r="BB2102" s="128"/>
      <c r="BC2102" s="128"/>
      <c r="BD2102" s="128"/>
      <c r="BE2102" s="128"/>
      <c r="BF2102" s="128"/>
      <c r="BG2102" s="128"/>
      <c r="BH2102" s="128"/>
      <c r="BI2102" s="128"/>
      <c r="BJ2102" s="128"/>
      <c r="BK2102" s="128"/>
      <c r="BL2102" s="128"/>
      <c r="BM2102" s="151"/>
      <c r="BN2102" s="128"/>
      <c r="BO2102" s="128"/>
      <c r="BP2102" s="128"/>
      <c r="BQ2102" s="128"/>
      <c r="BR2102" s="128"/>
      <c r="BS2102" s="128"/>
      <c r="BT2102" s="128"/>
      <c r="BU2102" s="128"/>
      <c r="BV2102" s="128"/>
      <c r="BW2102" s="128"/>
      <c r="BX2102" s="128"/>
      <c r="BY2102" s="128"/>
      <c r="BZ2102" s="128"/>
      <c r="CA2102" s="128"/>
      <c r="CB2102" s="128"/>
      <c r="CC2102" s="128"/>
      <c r="CD2102" s="128"/>
      <c r="CE2102" s="128"/>
      <c r="CF2102" s="128"/>
      <c r="CG2102" s="128"/>
      <c r="CI2102" s="128"/>
      <c r="CJ2102" s="128"/>
      <c r="CK2102" s="128"/>
      <c r="CL2102" s="128"/>
      <c r="CM2102" s="128"/>
      <c r="CN2102" s="128"/>
      <c r="CO2102" s="128"/>
      <c r="CP2102" s="128"/>
      <c r="CQ2102" s="128"/>
      <c r="CR2102" s="128"/>
      <c r="CS2102" s="128"/>
      <c r="CT2102" s="128"/>
      <c r="CU2102" s="128"/>
      <c r="CV2102" s="128"/>
      <c r="CW2102" s="128"/>
      <c r="CX2102" s="128"/>
      <c r="CY2102" s="128"/>
      <c r="CZ2102" s="165"/>
    </row>
    <row r="2103" spans="1:104">
      <c r="A2103" s="149"/>
      <c r="B2103" s="149"/>
      <c r="C2103" s="150"/>
      <c r="D2103" s="102"/>
      <c r="E2103" s="149"/>
      <c r="F2103" s="149"/>
      <c r="G2103" s="149"/>
      <c r="H2103" s="149"/>
      <c r="I2103" s="149"/>
      <c r="J2103" s="149"/>
      <c r="K2103" s="149"/>
      <c r="L2103" s="149"/>
      <c r="M2103" s="149"/>
      <c r="N2103" s="149"/>
      <c r="O2103" s="149"/>
      <c r="P2103" s="149"/>
      <c r="Q2103" s="149"/>
      <c r="R2103" s="149"/>
      <c r="S2103" s="149"/>
      <c r="T2103" s="149"/>
      <c r="U2103" s="149"/>
      <c r="V2103" s="149"/>
      <c r="W2103" s="149"/>
      <c r="X2103" s="149"/>
      <c r="Y2103" s="149"/>
      <c r="Z2103" s="149"/>
      <c r="AA2103" s="149"/>
      <c r="AB2103" s="149"/>
      <c r="AC2103" s="149"/>
      <c r="AD2103" s="149"/>
      <c r="AE2103" s="149"/>
      <c r="AF2103" s="149"/>
      <c r="AG2103" s="149"/>
      <c r="AH2103" s="149"/>
      <c r="AI2103" s="149"/>
      <c r="AJ2103" s="149"/>
      <c r="AK2103" s="149"/>
      <c r="AL2103" s="149"/>
      <c r="AM2103" s="149"/>
      <c r="AN2103" s="149"/>
      <c r="AO2103" s="128"/>
      <c r="AP2103" s="128"/>
      <c r="AQ2103" s="128"/>
      <c r="AR2103" s="128"/>
      <c r="AS2103" s="128"/>
      <c r="AT2103" s="128"/>
      <c r="AU2103" s="128"/>
      <c r="AV2103" s="128"/>
      <c r="AW2103" s="128"/>
      <c r="AX2103" s="128"/>
      <c r="AY2103" s="128"/>
      <c r="AZ2103" s="128"/>
      <c r="BA2103" s="128"/>
      <c r="BB2103" s="128"/>
      <c r="BC2103" s="128"/>
      <c r="BD2103" s="128"/>
      <c r="BE2103" s="128"/>
      <c r="BF2103" s="128"/>
      <c r="BG2103" s="128"/>
      <c r="BH2103" s="128"/>
      <c r="BI2103" s="128"/>
      <c r="BJ2103" s="128"/>
      <c r="BK2103" s="128"/>
      <c r="BL2103" s="128"/>
      <c r="BM2103" s="151"/>
      <c r="BN2103" s="128"/>
      <c r="BO2103" s="128"/>
      <c r="BP2103" s="128"/>
      <c r="BQ2103" s="128"/>
      <c r="BR2103" s="128"/>
      <c r="BS2103" s="128"/>
      <c r="BT2103" s="128"/>
      <c r="BU2103" s="128"/>
      <c r="BV2103" s="128"/>
      <c r="BW2103" s="128"/>
      <c r="BX2103" s="128"/>
      <c r="BY2103" s="128"/>
      <c r="BZ2103" s="128"/>
      <c r="CA2103" s="128"/>
      <c r="CB2103" s="128"/>
      <c r="CC2103" s="128"/>
      <c r="CD2103" s="128"/>
      <c r="CE2103" s="128"/>
      <c r="CF2103" s="128"/>
      <c r="CG2103" s="128"/>
      <c r="CI2103" s="128"/>
      <c r="CJ2103" s="128"/>
      <c r="CK2103" s="128"/>
      <c r="CL2103" s="128"/>
      <c r="CM2103" s="128"/>
      <c r="CN2103" s="128"/>
      <c r="CO2103" s="128"/>
      <c r="CP2103" s="128"/>
      <c r="CQ2103" s="128"/>
      <c r="CR2103" s="128"/>
      <c r="CS2103" s="128"/>
      <c r="CT2103" s="128"/>
      <c r="CU2103" s="128"/>
      <c r="CV2103" s="128"/>
      <c r="CW2103" s="128"/>
      <c r="CX2103" s="128"/>
      <c r="CY2103" s="128"/>
      <c r="CZ2103" s="165"/>
    </row>
    <row r="2104" spans="1:104">
      <c r="A2104" s="149"/>
      <c r="B2104" s="149"/>
      <c r="C2104" s="150"/>
      <c r="D2104" s="102"/>
      <c r="E2104" s="149"/>
      <c r="F2104" s="149"/>
      <c r="G2104" s="149"/>
      <c r="H2104" s="149"/>
      <c r="I2104" s="149"/>
      <c r="J2104" s="149"/>
      <c r="K2104" s="149"/>
      <c r="L2104" s="149"/>
      <c r="M2104" s="149"/>
      <c r="N2104" s="149"/>
      <c r="O2104" s="149"/>
      <c r="P2104" s="149"/>
      <c r="Q2104" s="149"/>
      <c r="R2104" s="149"/>
      <c r="S2104" s="149"/>
      <c r="T2104" s="149"/>
      <c r="U2104" s="149"/>
      <c r="V2104" s="149"/>
      <c r="W2104" s="149"/>
      <c r="X2104" s="149"/>
      <c r="Y2104" s="149"/>
      <c r="Z2104" s="149"/>
      <c r="AA2104" s="149"/>
      <c r="AB2104" s="149"/>
      <c r="AC2104" s="149"/>
      <c r="AD2104" s="149"/>
      <c r="AE2104" s="149"/>
      <c r="AF2104" s="149"/>
      <c r="AG2104" s="149"/>
      <c r="AH2104" s="149"/>
      <c r="AI2104" s="149"/>
      <c r="AJ2104" s="149"/>
      <c r="AK2104" s="149"/>
      <c r="AL2104" s="149"/>
      <c r="AM2104" s="149"/>
      <c r="AN2104" s="149"/>
      <c r="AO2104" s="128"/>
      <c r="AP2104" s="128"/>
      <c r="AQ2104" s="128"/>
      <c r="AR2104" s="128"/>
      <c r="AS2104" s="128"/>
      <c r="AT2104" s="128"/>
      <c r="AU2104" s="128"/>
      <c r="AV2104" s="128"/>
      <c r="AW2104" s="128"/>
      <c r="AX2104" s="128"/>
      <c r="AY2104" s="128"/>
      <c r="AZ2104" s="128"/>
      <c r="BA2104" s="128"/>
      <c r="BB2104" s="128"/>
      <c r="BC2104" s="128"/>
      <c r="BD2104" s="128"/>
      <c r="BE2104" s="128"/>
      <c r="BF2104" s="128"/>
      <c r="BG2104" s="128"/>
      <c r="BH2104" s="128"/>
      <c r="BI2104" s="128"/>
      <c r="BJ2104" s="128"/>
      <c r="BK2104" s="128"/>
      <c r="BL2104" s="128"/>
      <c r="BM2104" s="151"/>
      <c r="BN2104" s="128"/>
      <c r="BO2104" s="128"/>
      <c r="BP2104" s="128"/>
      <c r="BQ2104" s="128"/>
      <c r="BR2104" s="128"/>
      <c r="BS2104" s="128"/>
      <c r="BT2104" s="128"/>
      <c r="BU2104" s="128"/>
      <c r="BV2104" s="128"/>
      <c r="BW2104" s="128"/>
      <c r="BX2104" s="128"/>
      <c r="BY2104" s="128"/>
      <c r="BZ2104" s="128"/>
      <c r="CA2104" s="128"/>
      <c r="CB2104" s="128"/>
      <c r="CC2104" s="128"/>
      <c r="CD2104" s="128"/>
      <c r="CE2104" s="128"/>
      <c r="CF2104" s="128"/>
      <c r="CG2104" s="128"/>
      <c r="CI2104" s="128"/>
      <c r="CJ2104" s="128"/>
      <c r="CK2104" s="128"/>
      <c r="CL2104" s="128"/>
      <c r="CM2104" s="128"/>
      <c r="CN2104" s="128"/>
      <c r="CO2104" s="128"/>
      <c r="CP2104" s="128"/>
      <c r="CQ2104" s="128"/>
      <c r="CR2104" s="128"/>
      <c r="CS2104" s="128"/>
      <c r="CT2104" s="128"/>
      <c r="CU2104" s="128"/>
      <c r="CV2104" s="128"/>
      <c r="CW2104" s="128"/>
      <c r="CX2104" s="128"/>
      <c r="CY2104" s="128"/>
      <c r="CZ2104" s="165"/>
    </row>
    <row r="2105" spans="1:104">
      <c r="A2105" s="149"/>
      <c r="B2105" s="149"/>
      <c r="C2105" s="150"/>
      <c r="D2105" s="102"/>
      <c r="E2105" s="149"/>
      <c r="F2105" s="149"/>
      <c r="G2105" s="149"/>
      <c r="H2105" s="149"/>
      <c r="I2105" s="149"/>
      <c r="J2105" s="149"/>
      <c r="K2105" s="149"/>
      <c r="L2105" s="149"/>
      <c r="M2105" s="149"/>
      <c r="N2105" s="149"/>
      <c r="O2105" s="149"/>
      <c r="P2105" s="149"/>
      <c r="Q2105" s="149"/>
      <c r="R2105" s="149"/>
      <c r="S2105" s="149"/>
      <c r="T2105" s="149"/>
      <c r="U2105" s="149"/>
      <c r="V2105" s="149"/>
      <c r="W2105" s="149"/>
      <c r="X2105" s="149"/>
      <c r="Y2105" s="149"/>
      <c r="Z2105" s="149"/>
      <c r="AA2105" s="149"/>
      <c r="AB2105" s="149"/>
      <c r="AC2105" s="149"/>
      <c r="AD2105" s="149"/>
      <c r="AE2105" s="149"/>
      <c r="AF2105" s="149"/>
      <c r="AG2105" s="149"/>
      <c r="AH2105" s="149"/>
      <c r="AI2105" s="149"/>
      <c r="AJ2105" s="149"/>
      <c r="AK2105" s="149"/>
      <c r="AL2105" s="149"/>
      <c r="AM2105" s="149"/>
      <c r="AN2105" s="149"/>
      <c r="AO2105" s="128"/>
      <c r="AP2105" s="128"/>
      <c r="AQ2105" s="128"/>
      <c r="AR2105" s="128"/>
      <c r="AS2105" s="128"/>
      <c r="AT2105" s="128"/>
      <c r="AU2105" s="128"/>
      <c r="AV2105" s="128"/>
      <c r="AW2105" s="128"/>
      <c r="AX2105" s="128"/>
      <c r="AY2105" s="128"/>
      <c r="AZ2105" s="128"/>
      <c r="BA2105" s="128"/>
      <c r="BB2105" s="128"/>
      <c r="BC2105" s="128"/>
      <c r="BD2105" s="128"/>
      <c r="BE2105" s="128"/>
      <c r="BF2105" s="128"/>
      <c r="BG2105" s="128"/>
      <c r="BH2105" s="128"/>
      <c r="BI2105" s="128"/>
      <c r="BJ2105" s="128"/>
      <c r="BK2105" s="128"/>
      <c r="BL2105" s="128"/>
      <c r="BM2105" s="151"/>
      <c r="BN2105" s="128"/>
      <c r="BO2105" s="128"/>
      <c r="BP2105" s="128"/>
      <c r="BQ2105" s="128"/>
      <c r="BR2105" s="128"/>
      <c r="BS2105" s="128"/>
      <c r="BT2105" s="128"/>
      <c r="BU2105" s="128"/>
      <c r="BV2105" s="128"/>
      <c r="BW2105" s="128"/>
      <c r="BX2105" s="128"/>
      <c r="BY2105" s="128"/>
      <c r="BZ2105" s="128"/>
      <c r="CA2105" s="128"/>
      <c r="CB2105" s="128"/>
      <c r="CC2105" s="128"/>
      <c r="CD2105" s="128"/>
      <c r="CE2105" s="128"/>
      <c r="CF2105" s="128"/>
      <c r="CG2105" s="128"/>
      <c r="CI2105" s="128"/>
      <c r="CJ2105" s="128"/>
      <c r="CK2105" s="128"/>
      <c r="CL2105" s="128"/>
      <c r="CM2105" s="128"/>
      <c r="CN2105" s="128"/>
      <c r="CO2105" s="128"/>
      <c r="CP2105" s="128"/>
      <c r="CQ2105" s="128"/>
      <c r="CR2105" s="128"/>
      <c r="CS2105" s="128"/>
      <c r="CT2105" s="128"/>
      <c r="CU2105" s="128"/>
      <c r="CV2105" s="128"/>
      <c r="CW2105" s="128"/>
      <c r="CX2105" s="128"/>
      <c r="CY2105" s="128"/>
      <c r="CZ2105" s="165"/>
    </row>
    <row r="2106" spans="1:104">
      <c r="A2106" s="149"/>
      <c r="B2106" s="149"/>
      <c r="C2106" s="150"/>
      <c r="D2106" s="102"/>
      <c r="E2106" s="149"/>
      <c r="F2106" s="149"/>
      <c r="G2106" s="149"/>
      <c r="H2106" s="149"/>
      <c r="I2106" s="149"/>
      <c r="J2106" s="149"/>
      <c r="K2106" s="149"/>
      <c r="L2106" s="149"/>
      <c r="M2106" s="149"/>
      <c r="N2106" s="149"/>
      <c r="O2106" s="149"/>
      <c r="P2106" s="149"/>
      <c r="Q2106" s="149"/>
      <c r="R2106" s="149"/>
      <c r="S2106" s="149"/>
      <c r="T2106" s="149"/>
      <c r="U2106" s="149"/>
      <c r="V2106" s="149"/>
      <c r="W2106" s="149"/>
      <c r="X2106" s="149"/>
      <c r="Y2106" s="149"/>
      <c r="Z2106" s="149"/>
      <c r="AA2106" s="149"/>
      <c r="AB2106" s="149"/>
      <c r="AC2106" s="149"/>
      <c r="AD2106" s="149"/>
      <c r="AE2106" s="149"/>
      <c r="AF2106" s="149"/>
      <c r="AG2106" s="149"/>
      <c r="AH2106" s="149"/>
      <c r="AI2106" s="149"/>
      <c r="AJ2106" s="149"/>
      <c r="AK2106" s="149"/>
      <c r="AL2106" s="149"/>
      <c r="AM2106" s="149"/>
      <c r="AN2106" s="149"/>
      <c r="AO2106" s="128"/>
      <c r="AP2106" s="128"/>
      <c r="AQ2106" s="128"/>
      <c r="AR2106" s="128"/>
      <c r="AS2106" s="128"/>
      <c r="AT2106" s="128"/>
      <c r="AU2106" s="128"/>
      <c r="AV2106" s="128"/>
      <c r="AW2106" s="128"/>
      <c r="AX2106" s="128"/>
      <c r="AY2106" s="128"/>
      <c r="AZ2106" s="128"/>
      <c r="BA2106" s="128"/>
      <c r="BB2106" s="128"/>
      <c r="BC2106" s="128"/>
      <c r="BD2106" s="128"/>
      <c r="BE2106" s="128"/>
      <c r="BF2106" s="128"/>
      <c r="BG2106" s="128"/>
      <c r="BH2106" s="128"/>
      <c r="BI2106" s="128"/>
      <c r="BJ2106" s="128"/>
      <c r="BK2106" s="128"/>
      <c r="BL2106" s="128"/>
      <c r="BM2106" s="151"/>
      <c r="BN2106" s="128"/>
      <c r="BO2106" s="128"/>
      <c r="BP2106" s="128"/>
      <c r="BQ2106" s="128"/>
      <c r="BR2106" s="128"/>
      <c r="BS2106" s="128"/>
      <c r="BT2106" s="128"/>
      <c r="BU2106" s="128"/>
      <c r="BV2106" s="128"/>
      <c r="BW2106" s="128"/>
      <c r="BX2106" s="128"/>
      <c r="BY2106" s="128"/>
      <c r="BZ2106" s="128"/>
      <c r="CA2106" s="128"/>
      <c r="CB2106" s="128"/>
      <c r="CC2106" s="128"/>
      <c r="CD2106" s="128"/>
      <c r="CE2106" s="128"/>
      <c r="CF2106" s="128"/>
      <c r="CG2106" s="128"/>
      <c r="CI2106" s="128"/>
      <c r="CJ2106" s="128"/>
      <c r="CK2106" s="128"/>
      <c r="CL2106" s="128"/>
      <c r="CM2106" s="128"/>
      <c r="CN2106" s="128"/>
      <c r="CO2106" s="128"/>
      <c r="CP2106" s="128"/>
      <c r="CQ2106" s="128"/>
      <c r="CR2106" s="128"/>
      <c r="CS2106" s="128"/>
      <c r="CT2106" s="128"/>
      <c r="CU2106" s="128"/>
      <c r="CV2106" s="128"/>
      <c r="CW2106" s="128"/>
      <c r="CX2106" s="128"/>
      <c r="CY2106" s="128"/>
      <c r="CZ2106" s="165"/>
    </row>
    <row r="2107" spans="1:104">
      <c r="A2107" s="149"/>
      <c r="B2107" s="149"/>
      <c r="C2107" s="150"/>
      <c r="D2107" s="102"/>
      <c r="E2107" s="149"/>
      <c r="F2107" s="149"/>
      <c r="G2107" s="149"/>
      <c r="H2107" s="149"/>
      <c r="I2107" s="149"/>
      <c r="J2107" s="149"/>
      <c r="K2107" s="149"/>
      <c r="L2107" s="149"/>
      <c r="M2107" s="149"/>
      <c r="N2107" s="149"/>
      <c r="O2107" s="149"/>
      <c r="P2107" s="149"/>
      <c r="Q2107" s="149"/>
      <c r="R2107" s="149"/>
      <c r="S2107" s="149"/>
      <c r="T2107" s="149"/>
      <c r="U2107" s="149"/>
      <c r="V2107" s="149"/>
      <c r="W2107" s="149"/>
      <c r="X2107" s="149"/>
      <c r="Y2107" s="149"/>
      <c r="Z2107" s="149"/>
      <c r="AA2107" s="149"/>
      <c r="AB2107" s="149"/>
      <c r="AC2107" s="149"/>
      <c r="AD2107" s="149"/>
      <c r="AE2107" s="149"/>
      <c r="AF2107" s="149"/>
      <c r="AG2107" s="149"/>
      <c r="AH2107" s="149"/>
      <c r="AI2107" s="149"/>
      <c r="AJ2107" s="149"/>
      <c r="AK2107" s="149"/>
      <c r="AL2107" s="149"/>
      <c r="AM2107" s="149"/>
      <c r="AN2107" s="149"/>
      <c r="AO2107" s="128"/>
      <c r="AP2107" s="128"/>
      <c r="AQ2107" s="128"/>
      <c r="AR2107" s="128"/>
      <c r="AS2107" s="128"/>
      <c r="AT2107" s="128"/>
      <c r="AU2107" s="128"/>
      <c r="AV2107" s="128"/>
      <c r="AW2107" s="128"/>
      <c r="AX2107" s="128"/>
      <c r="AY2107" s="128"/>
      <c r="AZ2107" s="128"/>
      <c r="BA2107" s="128"/>
      <c r="BB2107" s="128"/>
      <c r="BC2107" s="128"/>
      <c r="BD2107" s="128"/>
      <c r="BE2107" s="128"/>
      <c r="BF2107" s="128"/>
      <c r="BG2107" s="128"/>
      <c r="BH2107" s="128"/>
      <c r="BI2107" s="128"/>
      <c r="BJ2107" s="128"/>
      <c r="BK2107" s="128"/>
      <c r="BL2107" s="128"/>
      <c r="BM2107" s="151"/>
      <c r="BN2107" s="128"/>
      <c r="BO2107" s="128"/>
      <c r="BP2107" s="128"/>
      <c r="BQ2107" s="128"/>
      <c r="BR2107" s="128"/>
      <c r="BS2107" s="128"/>
      <c r="BT2107" s="128"/>
      <c r="BU2107" s="128"/>
      <c r="BV2107" s="128"/>
      <c r="BW2107" s="128"/>
      <c r="BX2107" s="128"/>
      <c r="BY2107" s="128"/>
      <c r="BZ2107" s="128"/>
      <c r="CA2107" s="128"/>
      <c r="CB2107" s="128"/>
      <c r="CC2107" s="128"/>
      <c r="CD2107" s="128"/>
      <c r="CE2107" s="128"/>
      <c r="CF2107" s="128"/>
      <c r="CG2107" s="128"/>
      <c r="CI2107" s="128"/>
      <c r="CJ2107" s="128"/>
      <c r="CK2107" s="128"/>
      <c r="CL2107" s="128"/>
      <c r="CM2107" s="128"/>
      <c r="CN2107" s="128"/>
      <c r="CO2107" s="128"/>
      <c r="CP2107" s="128"/>
      <c r="CQ2107" s="128"/>
      <c r="CR2107" s="128"/>
      <c r="CS2107" s="128"/>
      <c r="CT2107" s="128"/>
      <c r="CU2107" s="128"/>
      <c r="CV2107" s="128"/>
      <c r="CW2107" s="128"/>
      <c r="CX2107" s="128"/>
      <c r="CY2107" s="128"/>
      <c r="CZ2107" s="165"/>
    </row>
    <row r="2108" spans="1:104">
      <c r="A2108" s="149"/>
      <c r="B2108" s="149"/>
      <c r="C2108" s="150"/>
      <c r="D2108" s="102"/>
      <c r="E2108" s="149"/>
      <c r="F2108" s="149"/>
      <c r="G2108" s="149"/>
      <c r="H2108" s="149"/>
      <c r="I2108" s="149"/>
      <c r="J2108" s="149"/>
      <c r="K2108" s="149"/>
      <c r="L2108" s="149"/>
      <c r="M2108" s="149"/>
      <c r="N2108" s="149"/>
      <c r="O2108" s="149"/>
      <c r="P2108" s="149"/>
      <c r="Q2108" s="149"/>
      <c r="R2108" s="149"/>
      <c r="S2108" s="149"/>
      <c r="T2108" s="149"/>
      <c r="U2108" s="149"/>
      <c r="V2108" s="149"/>
      <c r="W2108" s="149"/>
      <c r="X2108" s="149"/>
      <c r="Y2108" s="149"/>
      <c r="Z2108" s="149"/>
      <c r="AA2108" s="149"/>
      <c r="AB2108" s="149"/>
      <c r="AC2108" s="149"/>
      <c r="AD2108" s="149"/>
      <c r="AE2108" s="149"/>
      <c r="AF2108" s="149"/>
      <c r="AG2108" s="149"/>
      <c r="AH2108" s="149"/>
      <c r="AI2108" s="149"/>
      <c r="AJ2108" s="149"/>
      <c r="AK2108" s="149"/>
      <c r="AL2108" s="149"/>
      <c r="AM2108" s="149"/>
      <c r="AN2108" s="149"/>
      <c r="AO2108" s="128"/>
      <c r="AP2108" s="128"/>
      <c r="AQ2108" s="128"/>
      <c r="AR2108" s="128"/>
      <c r="AS2108" s="128"/>
      <c r="AT2108" s="128"/>
      <c r="AU2108" s="128"/>
      <c r="AV2108" s="128"/>
      <c r="AW2108" s="128"/>
      <c r="AX2108" s="128"/>
      <c r="AY2108" s="128"/>
      <c r="AZ2108" s="128"/>
      <c r="BA2108" s="128"/>
      <c r="BB2108" s="128"/>
      <c r="BC2108" s="128"/>
      <c r="BD2108" s="128"/>
      <c r="BE2108" s="128"/>
      <c r="BF2108" s="128"/>
      <c r="BG2108" s="128"/>
      <c r="BH2108" s="128"/>
      <c r="BI2108" s="128"/>
      <c r="BJ2108" s="128"/>
      <c r="BK2108" s="128"/>
      <c r="BL2108" s="128"/>
      <c r="BM2108" s="151"/>
      <c r="BN2108" s="128"/>
      <c r="BO2108" s="128"/>
      <c r="BP2108" s="128"/>
      <c r="BQ2108" s="128"/>
      <c r="BR2108" s="128"/>
      <c r="BS2108" s="128"/>
      <c r="BT2108" s="128"/>
      <c r="BU2108" s="128"/>
      <c r="BV2108" s="128"/>
      <c r="BW2108" s="128"/>
      <c r="BX2108" s="128"/>
      <c r="BY2108" s="128"/>
      <c r="BZ2108" s="128"/>
      <c r="CA2108" s="128"/>
      <c r="CB2108" s="128"/>
      <c r="CC2108" s="128"/>
      <c r="CD2108" s="128"/>
      <c r="CE2108" s="128"/>
      <c r="CF2108" s="128"/>
      <c r="CG2108" s="128"/>
      <c r="CI2108" s="128"/>
      <c r="CJ2108" s="128"/>
      <c r="CK2108" s="128"/>
      <c r="CL2108" s="128"/>
      <c r="CM2108" s="128"/>
      <c r="CN2108" s="128"/>
      <c r="CO2108" s="128"/>
      <c r="CP2108" s="128"/>
      <c r="CQ2108" s="128"/>
      <c r="CR2108" s="128"/>
      <c r="CS2108" s="128"/>
      <c r="CT2108" s="128"/>
      <c r="CU2108" s="128"/>
      <c r="CV2108" s="128"/>
      <c r="CW2108" s="128"/>
      <c r="CX2108" s="128"/>
      <c r="CY2108" s="128"/>
      <c r="CZ2108" s="165"/>
    </row>
    <row r="2109" spans="1:104">
      <c r="A2109" s="149"/>
      <c r="B2109" s="149"/>
      <c r="C2109" s="150"/>
      <c r="D2109" s="102"/>
      <c r="E2109" s="149"/>
      <c r="F2109" s="149"/>
      <c r="G2109" s="149"/>
      <c r="H2109" s="149"/>
      <c r="I2109" s="149"/>
      <c r="J2109" s="149"/>
      <c r="K2109" s="149"/>
      <c r="L2109" s="149"/>
      <c r="M2109" s="149"/>
      <c r="N2109" s="149"/>
      <c r="O2109" s="149"/>
      <c r="P2109" s="149"/>
      <c r="Q2109" s="149"/>
      <c r="R2109" s="149"/>
      <c r="S2109" s="149"/>
      <c r="T2109" s="149"/>
      <c r="U2109" s="149"/>
      <c r="V2109" s="149"/>
      <c r="W2109" s="149"/>
      <c r="X2109" s="149"/>
      <c r="Y2109" s="149"/>
      <c r="Z2109" s="149"/>
      <c r="AA2109" s="149"/>
      <c r="AB2109" s="149"/>
      <c r="AC2109" s="149"/>
      <c r="AD2109" s="149"/>
      <c r="AE2109" s="149"/>
      <c r="AF2109" s="149"/>
      <c r="AG2109" s="149"/>
      <c r="AH2109" s="149"/>
      <c r="AI2109" s="149"/>
      <c r="AJ2109" s="149"/>
      <c r="AK2109" s="149"/>
      <c r="AL2109" s="149"/>
      <c r="AM2109" s="149"/>
      <c r="AN2109" s="149"/>
      <c r="AO2109" s="128"/>
      <c r="AP2109" s="128"/>
      <c r="AQ2109" s="128"/>
      <c r="AR2109" s="128"/>
      <c r="AS2109" s="128"/>
      <c r="AT2109" s="128"/>
      <c r="AU2109" s="128"/>
      <c r="AV2109" s="128"/>
      <c r="AW2109" s="128"/>
      <c r="AX2109" s="128"/>
      <c r="AY2109" s="128"/>
      <c r="AZ2109" s="128"/>
      <c r="BA2109" s="128"/>
      <c r="BB2109" s="128"/>
      <c r="BC2109" s="128"/>
      <c r="BD2109" s="128"/>
      <c r="BE2109" s="128"/>
      <c r="BF2109" s="128"/>
      <c r="BG2109" s="128"/>
      <c r="BH2109" s="128"/>
      <c r="BI2109" s="128"/>
      <c r="BJ2109" s="128"/>
      <c r="BK2109" s="128"/>
      <c r="BL2109" s="128"/>
      <c r="BM2109" s="151"/>
      <c r="BN2109" s="128"/>
      <c r="BO2109" s="128"/>
      <c r="BP2109" s="128"/>
      <c r="BQ2109" s="128"/>
      <c r="BR2109" s="128"/>
      <c r="BS2109" s="128"/>
      <c r="BT2109" s="128"/>
      <c r="BU2109" s="128"/>
      <c r="BV2109" s="128"/>
      <c r="BW2109" s="128"/>
      <c r="BX2109" s="128"/>
      <c r="BY2109" s="128"/>
      <c r="BZ2109" s="128"/>
      <c r="CA2109" s="128"/>
      <c r="CB2109" s="128"/>
      <c r="CC2109" s="128"/>
      <c r="CD2109" s="128"/>
      <c r="CE2109" s="128"/>
      <c r="CF2109" s="128"/>
      <c r="CG2109" s="128"/>
      <c r="CI2109" s="128"/>
      <c r="CJ2109" s="128"/>
      <c r="CK2109" s="128"/>
      <c r="CL2109" s="128"/>
      <c r="CM2109" s="128"/>
      <c r="CN2109" s="128"/>
      <c r="CO2109" s="128"/>
      <c r="CP2109" s="128"/>
      <c r="CQ2109" s="128"/>
      <c r="CR2109" s="128"/>
      <c r="CS2109" s="128"/>
      <c r="CT2109" s="128"/>
      <c r="CU2109" s="128"/>
      <c r="CV2109" s="128"/>
      <c r="CW2109" s="128"/>
      <c r="CX2109" s="128"/>
      <c r="CY2109" s="128"/>
      <c r="CZ2109" s="165"/>
    </row>
    <row r="2110" spans="1:104">
      <c r="A2110" s="149"/>
      <c r="B2110" s="149"/>
      <c r="C2110" s="150"/>
      <c r="D2110" s="102"/>
      <c r="E2110" s="149"/>
      <c r="F2110" s="149"/>
      <c r="G2110" s="149"/>
      <c r="H2110" s="149"/>
      <c r="I2110" s="149"/>
      <c r="J2110" s="149"/>
      <c r="K2110" s="149"/>
      <c r="L2110" s="149"/>
      <c r="M2110" s="149"/>
      <c r="N2110" s="149"/>
      <c r="O2110" s="149"/>
      <c r="P2110" s="149"/>
      <c r="Q2110" s="149"/>
      <c r="R2110" s="149"/>
      <c r="S2110" s="149"/>
      <c r="T2110" s="149"/>
      <c r="U2110" s="149"/>
      <c r="V2110" s="149"/>
      <c r="W2110" s="149"/>
      <c r="X2110" s="149"/>
      <c r="Y2110" s="149"/>
      <c r="Z2110" s="149"/>
      <c r="AA2110" s="149"/>
      <c r="AB2110" s="149"/>
      <c r="AC2110" s="149"/>
      <c r="AD2110" s="149"/>
      <c r="AE2110" s="149"/>
      <c r="AF2110" s="149"/>
      <c r="AG2110" s="149"/>
      <c r="AH2110" s="149"/>
      <c r="AI2110" s="149"/>
      <c r="AJ2110" s="149"/>
      <c r="AK2110" s="149"/>
      <c r="AL2110" s="149"/>
      <c r="AM2110" s="149"/>
      <c r="AN2110" s="149"/>
      <c r="AO2110" s="128"/>
      <c r="AP2110" s="128"/>
      <c r="AQ2110" s="128"/>
      <c r="AR2110" s="128"/>
      <c r="AS2110" s="128"/>
      <c r="AT2110" s="128"/>
      <c r="AU2110" s="128"/>
      <c r="AV2110" s="128"/>
      <c r="AW2110" s="128"/>
      <c r="AX2110" s="128"/>
      <c r="AY2110" s="128"/>
      <c r="AZ2110" s="128"/>
      <c r="BA2110" s="128"/>
      <c r="BB2110" s="128"/>
      <c r="BC2110" s="128"/>
      <c r="BD2110" s="128"/>
      <c r="BE2110" s="128"/>
      <c r="BF2110" s="128"/>
      <c r="BG2110" s="128"/>
      <c r="BH2110" s="128"/>
      <c r="BI2110" s="128"/>
      <c r="BJ2110" s="128"/>
      <c r="BK2110" s="128"/>
      <c r="BL2110" s="128"/>
      <c r="BM2110" s="151"/>
      <c r="BN2110" s="128"/>
      <c r="BO2110" s="128"/>
      <c r="BP2110" s="128"/>
      <c r="BQ2110" s="128"/>
      <c r="BR2110" s="128"/>
      <c r="BS2110" s="128"/>
      <c r="BT2110" s="128"/>
      <c r="BU2110" s="128"/>
      <c r="BV2110" s="128"/>
      <c r="BW2110" s="128"/>
      <c r="BX2110" s="128"/>
      <c r="BY2110" s="128"/>
      <c r="BZ2110" s="128"/>
      <c r="CA2110" s="128"/>
      <c r="CB2110" s="128"/>
      <c r="CC2110" s="128"/>
      <c r="CD2110" s="128"/>
      <c r="CE2110" s="128"/>
      <c r="CF2110" s="128"/>
      <c r="CG2110" s="128"/>
      <c r="CI2110" s="128"/>
      <c r="CJ2110" s="128"/>
      <c r="CK2110" s="128"/>
      <c r="CL2110" s="128"/>
      <c r="CM2110" s="128"/>
      <c r="CN2110" s="128"/>
      <c r="CO2110" s="128"/>
      <c r="CP2110" s="128"/>
      <c r="CQ2110" s="128"/>
      <c r="CR2110" s="128"/>
      <c r="CS2110" s="128"/>
      <c r="CT2110" s="128"/>
      <c r="CU2110" s="128"/>
      <c r="CV2110" s="128"/>
      <c r="CW2110" s="128"/>
      <c r="CX2110" s="128"/>
      <c r="CY2110" s="128"/>
      <c r="CZ2110" s="165"/>
    </row>
    <row r="2111" spans="1:104">
      <c r="A2111" s="149"/>
      <c r="B2111" s="149"/>
      <c r="C2111" s="150"/>
      <c r="D2111" s="102"/>
      <c r="E2111" s="149"/>
      <c r="F2111" s="149"/>
      <c r="G2111" s="149"/>
      <c r="H2111" s="149"/>
      <c r="I2111" s="149"/>
      <c r="J2111" s="149"/>
      <c r="K2111" s="149"/>
      <c r="L2111" s="149"/>
      <c r="M2111" s="149"/>
      <c r="N2111" s="149"/>
      <c r="O2111" s="149"/>
      <c r="P2111" s="149"/>
      <c r="Q2111" s="149"/>
      <c r="R2111" s="149"/>
      <c r="S2111" s="149"/>
      <c r="T2111" s="149"/>
      <c r="U2111" s="149"/>
      <c r="V2111" s="149"/>
      <c r="W2111" s="149"/>
      <c r="X2111" s="149"/>
      <c r="Y2111" s="149"/>
      <c r="Z2111" s="149"/>
      <c r="AA2111" s="149"/>
      <c r="AB2111" s="149"/>
      <c r="AC2111" s="149"/>
      <c r="AD2111" s="149"/>
      <c r="AE2111" s="149"/>
      <c r="AF2111" s="149"/>
      <c r="AG2111" s="149"/>
      <c r="AH2111" s="149"/>
      <c r="AI2111" s="149"/>
      <c r="AJ2111" s="149"/>
      <c r="AK2111" s="149"/>
      <c r="AL2111" s="149"/>
      <c r="AM2111" s="149"/>
      <c r="AN2111" s="149"/>
      <c r="AO2111" s="128"/>
      <c r="AP2111" s="128"/>
      <c r="AQ2111" s="128"/>
      <c r="AR2111" s="128"/>
      <c r="AS2111" s="128"/>
      <c r="AT2111" s="128"/>
      <c r="AU2111" s="128"/>
      <c r="AV2111" s="128"/>
      <c r="AW2111" s="128"/>
      <c r="AX2111" s="128"/>
      <c r="AY2111" s="128"/>
      <c r="AZ2111" s="128"/>
      <c r="BA2111" s="128"/>
      <c r="BB2111" s="128"/>
      <c r="BC2111" s="128"/>
      <c r="BD2111" s="128"/>
      <c r="BE2111" s="128"/>
      <c r="BF2111" s="128"/>
      <c r="BG2111" s="128"/>
      <c r="BH2111" s="128"/>
      <c r="BI2111" s="128"/>
      <c r="BJ2111" s="128"/>
      <c r="BK2111" s="128"/>
      <c r="BL2111" s="128"/>
      <c r="BM2111" s="151"/>
      <c r="BN2111" s="128"/>
      <c r="BO2111" s="128"/>
      <c r="BP2111" s="128"/>
      <c r="BQ2111" s="128"/>
      <c r="BR2111" s="128"/>
      <c r="BS2111" s="128"/>
      <c r="BT2111" s="128"/>
      <c r="BU2111" s="128"/>
      <c r="BV2111" s="128"/>
      <c r="BW2111" s="128"/>
      <c r="BX2111" s="128"/>
      <c r="BY2111" s="128"/>
      <c r="BZ2111" s="128"/>
      <c r="CA2111" s="128"/>
      <c r="CB2111" s="128"/>
      <c r="CC2111" s="128"/>
      <c r="CD2111" s="128"/>
      <c r="CE2111" s="128"/>
      <c r="CF2111" s="128"/>
      <c r="CG2111" s="128"/>
      <c r="CI2111" s="128"/>
      <c r="CJ2111" s="128"/>
      <c r="CK2111" s="128"/>
      <c r="CL2111" s="128"/>
      <c r="CM2111" s="128"/>
      <c r="CN2111" s="128"/>
      <c r="CO2111" s="128"/>
      <c r="CP2111" s="128"/>
      <c r="CQ2111" s="128"/>
      <c r="CR2111" s="128"/>
      <c r="CS2111" s="128"/>
      <c r="CT2111" s="128"/>
      <c r="CU2111" s="128"/>
      <c r="CV2111" s="128"/>
      <c r="CW2111" s="128"/>
      <c r="CX2111" s="128"/>
      <c r="CY2111" s="128"/>
      <c r="CZ2111" s="165"/>
    </row>
    <row r="2112" spans="1:104">
      <c r="A2112" s="149"/>
      <c r="B2112" s="149"/>
      <c r="C2112" s="150"/>
      <c r="D2112" s="102"/>
      <c r="E2112" s="149"/>
      <c r="F2112" s="149"/>
      <c r="G2112" s="149"/>
      <c r="H2112" s="149"/>
      <c r="I2112" s="149"/>
      <c r="J2112" s="149"/>
      <c r="K2112" s="149"/>
      <c r="L2112" s="149"/>
      <c r="M2112" s="149"/>
      <c r="N2112" s="149"/>
      <c r="O2112" s="149"/>
      <c r="P2112" s="149"/>
      <c r="Q2112" s="149"/>
      <c r="R2112" s="149"/>
      <c r="S2112" s="149"/>
      <c r="T2112" s="149"/>
      <c r="U2112" s="149"/>
      <c r="V2112" s="149"/>
      <c r="W2112" s="149"/>
      <c r="X2112" s="149"/>
      <c r="Y2112" s="149"/>
      <c r="Z2112" s="149"/>
      <c r="AA2112" s="149"/>
      <c r="AB2112" s="149"/>
      <c r="AC2112" s="149"/>
      <c r="AD2112" s="149"/>
      <c r="AE2112" s="149"/>
      <c r="AF2112" s="149"/>
      <c r="AG2112" s="149"/>
      <c r="AH2112" s="149"/>
      <c r="AI2112" s="149"/>
      <c r="AJ2112" s="149"/>
      <c r="AK2112" s="149"/>
      <c r="AL2112" s="149"/>
      <c r="AM2112" s="149"/>
      <c r="AN2112" s="149"/>
      <c r="AO2112" s="128"/>
      <c r="AP2112" s="128"/>
      <c r="AQ2112" s="128"/>
      <c r="AR2112" s="128"/>
      <c r="AS2112" s="128"/>
      <c r="AT2112" s="128"/>
      <c r="AU2112" s="128"/>
      <c r="AV2112" s="128"/>
      <c r="AW2112" s="128"/>
      <c r="AX2112" s="128"/>
      <c r="AY2112" s="128"/>
      <c r="AZ2112" s="128"/>
      <c r="BA2112" s="128"/>
      <c r="BB2112" s="128"/>
      <c r="BC2112" s="128"/>
      <c r="BD2112" s="128"/>
      <c r="BE2112" s="128"/>
      <c r="BF2112" s="128"/>
      <c r="BG2112" s="128"/>
      <c r="BH2112" s="128"/>
      <c r="BI2112" s="128"/>
      <c r="BJ2112" s="128"/>
      <c r="BK2112" s="128"/>
      <c r="BL2112" s="128"/>
      <c r="BM2112" s="151"/>
      <c r="BN2112" s="128"/>
      <c r="BO2112" s="128"/>
      <c r="BP2112" s="128"/>
      <c r="BQ2112" s="128"/>
      <c r="BR2112" s="128"/>
      <c r="BS2112" s="128"/>
      <c r="BT2112" s="128"/>
      <c r="BU2112" s="128"/>
      <c r="BV2112" s="128"/>
      <c r="BW2112" s="128"/>
      <c r="BX2112" s="128"/>
      <c r="BY2112" s="128"/>
      <c r="BZ2112" s="128"/>
      <c r="CA2112" s="128"/>
      <c r="CB2112" s="128"/>
      <c r="CC2112" s="128"/>
      <c r="CD2112" s="128"/>
      <c r="CE2112" s="128"/>
      <c r="CF2112" s="128"/>
      <c r="CG2112" s="128"/>
      <c r="CI2112" s="128"/>
      <c r="CJ2112" s="128"/>
      <c r="CK2112" s="128"/>
      <c r="CL2112" s="128"/>
      <c r="CM2112" s="128"/>
      <c r="CN2112" s="128"/>
      <c r="CO2112" s="128"/>
      <c r="CP2112" s="128"/>
      <c r="CQ2112" s="128"/>
      <c r="CR2112" s="128"/>
      <c r="CS2112" s="128"/>
      <c r="CT2112" s="128"/>
      <c r="CU2112" s="128"/>
      <c r="CV2112" s="128"/>
      <c r="CW2112" s="128"/>
      <c r="CX2112" s="128"/>
      <c r="CY2112" s="128"/>
      <c r="CZ2112" s="165"/>
    </row>
    <row r="2113" spans="1:104">
      <c r="A2113" s="149"/>
      <c r="B2113" s="149"/>
      <c r="C2113" s="150"/>
      <c r="D2113" s="102"/>
      <c r="E2113" s="149"/>
      <c r="F2113" s="149"/>
      <c r="G2113" s="149"/>
      <c r="H2113" s="149"/>
      <c r="I2113" s="149"/>
      <c r="J2113" s="149"/>
      <c r="K2113" s="149"/>
      <c r="L2113" s="149"/>
      <c r="M2113" s="149"/>
      <c r="N2113" s="149"/>
      <c r="O2113" s="149"/>
      <c r="P2113" s="149"/>
      <c r="Q2113" s="149"/>
      <c r="R2113" s="149"/>
      <c r="S2113" s="149"/>
      <c r="T2113" s="149"/>
      <c r="U2113" s="149"/>
      <c r="V2113" s="149"/>
      <c r="W2113" s="149"/>
      <c r="X2113" s="149"/>
      <c r="Y2113" s="149"/>
      <c r="Z2113" s="149"/>
      <c r="AA2113" s="149"/>
      <c r="AB2113" s="149"/>
      <c r="AC2113" s="149"/>
      <c r="AD2113" s="149"/>
      <c r="AE2113" s="149"/>
      <c r="AF2113" s="149"/>
      <c r="AG2113" s="149"/>
      <c r="AH2113" s="149"/>
      <c r="AI2113" s="149"/>
      <c r="AJ2113" s="149"/>
      <c r="AK2113" s="149"/>
      <c r="AL2113" s="149"/>
      <c r="AM2113" s="149"/>
      <c r="AN2113" s="149"/>
      <c r="AO2113" s="128"/>
      <c r="AP2113" s="128"/>
      <c r="AQ2113" s="128"/>
      <c r="AR2113" s="128"/>
      <c r="AS2113" s="128"/>
      <c r="AT2113" s="128"/>
      <c r="AU2113" s="128"/>
      <c r="AV2113" s="128"/>
      <c r="AW2113" s="128"/>
      <c r="AX2113" s="128"/>
      <c r="AY2113" s="128"/>
      <c r="AZ2113" s="128"/>
      <c r="BA2113" s="128"/>
      <c r="BB2113" s="128"/>
      <c r="BC2113" s="128"/>
      <c r="BD2113" s="128"/>
      <c r="BE2113" s="128"/>
      <c r="BF2113" s="128"/>
      <c r="BG2113" s="128"/>
      <c r="BH2113" s="128"/>
      <c r="BI2113" s="128"/>
      <c r="BJ2113" s="128"/>
      <c r="BK2113" s="128"/>
      <c r="BL2113" s="128"/>
      <c r="BM2113" s="151"/>
      <c r="BN2113" s="128"/>
      <c r="BO2113" s="128"/>
      <c r="BP2113" s="128"/>
      <c r="BQ2113" s="128"/>
      <c r="BR2113" s="128"/>
      <c r="BS2113" s="128"/>
      <c r="BT2113" s="128"/>
      <c r="BU2113" s="128"/>
      <c r="BV2113" s="128"/>
      <c r="BW2113" s="128"/>
      <c r="BX2113" s="128"/>
      <c r="BY2113" s="128"/>
      <c r="BZ2113" s="128"/>
      <c r="CA2113" s="128"/>
      <c r="CB2113" s="128"/>
      <c r="CC2113" s="128"/>
      <c r="CD2113" s="128"/>
      <c r="CE2113" s="128"/>
      <c r="CF2113" s="128"/>
      <c r="CG2113" s="128"/>
      <c r="CI2113" s="128"/>
      <c r="CJ2113" s="128"/>
      <c r="CK2113" s="128"/>
      <c r="CL2113" s="128"/>
      <c r="CM2113" s="128"/>
      <c r="CN2113" s="128"/>
      <c r="CO2113" s="128"/>
      <c r="CP2113" s="128"/>
      <c r="CQ2113" s="128"/>
      <c r="CR2113" s="128"/>
      <c r="CS2113" s="128"/>
      <c r="CT2113" s="128"/>
      <c r="CU2113" s="128"/>
      <c r="CV2113" s="128"/>
      <c r="CW2113" s="128"/>
      <c r="CX2113" s="128"/>
      <c r="CY2113" s="128"/>
      <c r="CZ2113" s="165"/>
    </row>
    <row r="2114" spans="1:104">
      <c r="A2114" s="149"/>
      <c r="B2114" s="149"/>
      <c r="C2114" s="150"/>
      <c r="D2114" s="102"/>
      <c r="E2114" s="149"/>
      <c r="F2114" s="149"/>
      <c r="G2114" s="149"/>
      <c r="H2114" s="149"/>
      <c r="I2114" s="149"/>
      <c r="J2114" s="149"/>
      <c r="K2114" s="149"/>
      <c r="L2114" s="149"/>
      <c r="M2114" s="149"/>
      <c r="N2114" s="149"/>
      <c r="O2114" s="149"/>
      <c r="P2114" s="149"/>
      <c r="Q2114" s="149"/>
      <c r="R2114" s="149"/>
      <c r="S2114" s="149"/>
      <c r="T2114" s="149"/>
      <c r="U2114" s="149"/>
      <c r="V2114" s="149"/>
      <c r="W2114" s="149"/>
      <c r="X2114" s="149"/>
      <c r="Y2114" s="149"/>
      <c r="Z2114" s="149"/>
      <c r="AA2114" s="149"/>
      <c r="AB2114" s="149"/>
      <c r="AC2114" s="149"/>
      <c r="AD2114" s="149"/>
      <c r="AE2114" s="149"/>
      <c r="AF2114" s="149"/>
      <c r="AG2114" s="149"/>
      <c r="AH2114" s="149"/>
      <c r="AI2114" s="149"/>
      <c r="AJ2114" s="149"/>
      <c r="AK2114" s="149"/>
      <c r="AL2114" s="149"/>
      <c r="AM2114" s="149"/>
      <c r="AN2114" s="149"/>
      <c r="AO2114" s="128"/>
      <c r="AP2114" s="128"/>
      <c r="AQ2114" s="128"/>
      <c r="AR2114" s="128"/>
      <c r="AS2114" s="128"/>
      <c r="AT2114" s="128"/>
      <c r="AU2114" s="128"/>
      <c r="AV2114" s="128"/>
      <c r="AW2114" s="128"/>
      <c r="AX2114" s="128"/>
      <c r="AY2114" s="128"/>
      <c r="AZ2114" s="128"/>
      <c r="BA2114" s="128"/>
      <c r="BB2114" s="128"/>
      <c r="BC2114" s="128"/>
      <c r="BD2114" s="128"/>
      <c r="BE2114" s="128"/>
      <c r="BF2114" s="128"/>
      <c r="BG2114" s="128"/>
      <c r="BH2114" s="128"/>
      <c r="BI2114" s="128"/>
      <c r="BJ2114" s="128"/>
      <c r="BK2114" s="128"/>
      <c r="BL2114" s="128"/>
      <c r="BM2114" s="151"/>
      <c r="BN2114" s="128"/>
      <c r="BO2114" s="128"/>
      <c r="BP2114" s="128"/>
      <c r="BQ2114" s="128"/>
      <c r="BR2114" s="128"/>
      <c r="BS2114" s="128"/>
      <c r="BT2114" s="128"/>
      <c r="BU2114" s="128"/>
      <c r="BV2114" s="128"/>
      <c r="BW2114" s="128"/>
      <c r="BX2114" s="128"/>
      <c r="BY2114" s="128"/>
      <c r="BZ2114" s="128"/>
      <c r="CA2114" s="128"/>
      <c r="CB2114" s="128"/>
      <c r="CC2114" s="128"/>
      <c r="CD2114" s="128"/>
      <c r="CE2114" s="128"/>
      <c r="CF2114" s="128"/>
      <c r="CG2114" s="128"/>
      <c r="CI2114" s="128"/>
      <c r="CJ2114" s="128"/>
      <c r="CK2114" s="128"/>
      <c r="CL2114" s="128"/>
      <c r="CM2114" s="128"/>
      <c r="CN2114" s="128"/>
      <c r="CO2114" s="128"/>
      <c r="CP2114" s="128"/>
      <c r="CQ2114" s="128"/>
      <c r="CR2114" s="128"/>
      <c r="CS2114" s="128"/>
      <c r="CT2114" s="128"/>
      <c r="CU2114" s="128"/>
      <c r="CV2114" s="128"/>
      <c r="CW2114" s="128"/>
      <c r="CX2114" s="128"/>
      <c r="CY2114" s="128"/>
      <c r="CZ2114" s="165"/>
    </row>
    <row r="2115" spans="1:104">
      <c r="A2115" s="149"/>
      <c r="B2115" s="149"/>
      <c r="C2115" s="150"/>
      <c r="D2115" s="102"/>
      <c r="E2115" s="149"/>
      <c r="F2115" s="149"/>
      <c r="G2115" s="149"/>
      <c r="H2115" s="149"/>
      <c r="I2115" s="149"/>
      <c r="J2115" s="149"/>
      <c r="K2115" s="149"/>
      <c r="L2115" s="149"/>
      <c r="M2115" s="149"/>
      <c r="N2115" s="149"/>
      <c r="O2115" s="149"/>
      <c r="P2115" s="149"/>
      <c r="Q2115" s="149"/>
      <c r="R2115" s="149"/>
      <c r="S2115" s="149"/>
      <c r="T2115" s="149"/>
      <c r="U2115" s="149"/>
      <c r="V2115" s="149"/>
      <c r="W2115" s="149"/>
      <c r="X2115" s="149"/>
      <c r="Y2115" s="149"/>
      <c r="Z2115" s="149"/>
      <c r="AA2115" s="149"/>
      <c r="AB2115" s="149"/>
      <c r="AC2115" s="149"/>
      <c r="AD2115" s="149"/>
      <c r="AE2115" s="149"/>
      <c r="AF2115" s="149"/>
      <c r="AG2115" s="149"/>
      <c r="AH2115" s="149"/>
      <c r="AI2115" s="149"/>
      <c r="AJ2115" s="149"/>
      <c r="AK2115" s="149"/>
      <c r="AL2115" s="149"/>
      <c r="AM2115" s="149"/>
      <c r="AN2115" s="149"/>
      <c r="AO2115" s="128"/>
      <c r="AP2115" s="128"/>
      <c r="AQ2115" s="128"/>
      <c r="AR2115" s="128"/>
      <c r="AS2115" s="128"/>
      <c r="AT2115" s="128"/>
      <c r="AU2115" s="128"/>
      <c r="AV2115" s="128"/>
      <c r="AW2115" s="128"/>
      <c r="AX2115" s="128"/>
      <c r="AY2115" s="128"/>
      <c r="AZ2115" s="128"/>
      <c r="BA2115" s="128"/>
      <c r="BB2115" s="128"/>
      <c r="BC2115" s="128"/>
      <c r="BD2115" s="128"/>
      <c r="BE2115" s="128"/>
      <c r="BF2115" s="128"/>
      <c r="BG2115" s="128"/>
      <c r="BH2115" s="128"/>
      <c r="BI2115" s="128"/>
      <c r="BJ2115" s="128"/>
      <c r="BK2115" s="128"/>
      <c r="BL2115" s="128"/>
      <c r="BM2115" s="151"/>
      <c r="BN2115" s="128"/>
      <c r="BO2115" s="128"/>
      <c r="BP2115" s="128"/>
      <c r="BQ2115" s="128"/>
      <c r="BR2115" s="128"/>
      <c r="BS2115" s="128"/>
      <c r="BT2115" s="128"/>
      <c r="BU2115" s="128"/>
      <c r="BV2115" s="128"/>
      <c r="BW2115" s="128"/>
      <c r="BX2115" s="128"/>
      <c r="BY2115" s="128"/>
      <c r="BZ2115" s="128"/>
      <c r="CA2115" s="128"/>
      <c r="CB2115" s="128"/>
      <c r="CC2115" s="128"/>
      <c r="CD2115" s="128"/>
      <c r="CE2115" s="128"/>
      <c r="CF2115" s="128"/>
      <c r="CG2115" s="128"/>
      <c r="CI2115" s="128"/>
      <c r="CJ2115" s="128"/>
      <c r="CK2115" s="128"/>
      <c r="CL2115" s="128"/>
      <c r="CM2115" s="128"/>
      <c r="CN2115" s="128"/>
      <c r="CO2115" s="128"/>
      <c r="CP2115" s="128"/>
      <c r="CQ2115" s="128"/>
      <c r="CR2115" s="128"/>
      <c r="CS2115" s="128"/>
      <c r="CT2115" s="128"/>
      <c r="CU2115" s="128"/>
      <c r="CV2115" s="128"/>
      <c r="CW2115" s="128"/>
      <c r="CX2115" s="128"/>
      <c r="CY2115" s="128"/>
      <c r="CZ2115" s="165"/>
    </row>
    <row r="2116" spans="1:104">
      <c r="A2116" s="149"/>
      <c r="B2116" s="149"/>
      <c r="C2116" s="150"/>
      <c r="D2116" s="102"/>
      <c r="E2116" s="149"/>
      <c r="F2116" s="149"/>
      <c r="G2116" s="149"/>
      <c r="H2116" s="149"/>
      <c r="I2116" s="149"/>
      <c r="J2116" s="149"/>
      <c r="K2116" s="149"/>
      <c r="L2116" s="149"/>
      <c r="M2116" s="149"/>
      <c r="N2116" s="149"/>
      <c r="O2116" s="149"/>
      <c r="P2116" s="149"/>
      <c r="Q2116" s="149"/>
      <c r="R2116" s="149"/>
      <c r="S2116" s="149"/>
      <c r="T2116" s="149"/>
      <c r="U2116" s="149"/>
      <c r="V2116" s="149"/>
      <c r="W2116" s="149"/>
      <c r="X2116" s="149"/>
      <c r="Y2116" s="149"/>
      <c r="Z2116" s="149"/>
      <c r="AA2116" s="149"/>
      <c r="AB2116" s="149"/>
      <c r="AC2116" s="149"/>
      <c r="AD2116" s="149"/>
      <c r="AE2116" s="149"/>
      <c r="AF2116" s="149"/>
      <c r="AG2116" s="149"/>
      <c r="AH2116" s="149"/>
      <c r="AI2116" s="149"/>
      <c r="AJ2116" s="149"/>
      <c r="AK2116" s="149"/>
      <c r="AL2116" s="149"/>
      <c r="AM2116" s="149"/>
      <c r="AN2116" s="149"/>
      <c r="AO2116" s="128"/>
      <c r="AP2116" s="128"/>
      <c r="AQ2116" s="128"/>
      <c r="AR2116" s="128"/>
      <c r="AS2116" s="128"/>
      <c r="AT2116" s="128"/>
      <c r="AU2116" s="128"/>
      <c r="AV2116" s="128"/>
      <c r="AW2116" s="128"/>
      <c r="AX2116" s="128"/>
      <c r="AY2116" s="128"/>
      <c r="AZ2116" s="128"/>
      <c r="BA2116" s="128"/>
      <c r="BB2116" s="128"/>
      <c r="BC2116" s="128"/>
      <c r="BD2116" s="128"/>
      <c r="BE2116" s="128"/>
      <c r="BF2116" s="128"/>
      <c r="BG2116" s="128"/>
      <c r="BH2116" s="128"/>
      <c r="BI2116" s="128"/>
      <c r="BJ2116" s="128"/>
      <c r="BK2116" s="128"/>
      <c r="BL2116" s="128"/>
      <c r="BM2116" s="151"/>
      <c r="BN2116" s="128"/>
      <c r="BO2116" s="128"/>
      <c r="BP2116" s="128"/>
      <c r="BQ2116" s="128"/>
      <c r="BR2116" s="128"/>
      <c r="BS2116" s="128"/>
      <c r="BT2116" s="128"/>
      <c r="BU2116" s="128"/>
      <c r="BV2116" s="128"/>
      <c r="BW2116" s="128"/>
      <c r="BX2116" s="128"/>
      <c r="BY2116" s="128"/>
      <c r="BZ2116" s="128"/>
      <c r="CA2116" s="128"/>
      <c r="CB2116" s="128"/>
      <c r="CC2116" s="128"/>
      <c r="CD2116" s="128"/>
      <c r="CE2116" s="128"/>
      <c r="CF2116" s="128"/>
      <c r="CG2116" s="128"/>
      <c r="CI2116" s="128"/>
      <c r="CJ2116" s="128"/>
      <c r="CK2116" s="128"/>
      <c r="CL2116" s="128"/>
      <c r="CM2116" s="128"/>
      <c r="CN2116" s="128"/>
      <c r="CO2116" s="128"/>
      <c r="CP2116" s="128"/>
      <c r="CQ2116" s="128"/>
      <c r="CR2116" s="128"/>
      <c r="CS2116" s="128"/>
      <c r="CT2116" s="128"/>
      <c r="CU2116" s="128"/>
      <c r="CV2116" s="128"/>
      <c r="CW2116" s="128"/>
      <c r="CX2116" s="128"/>
      <c r="CY2116" s="128"/>
      <c r="CZ2116" s="165"/>
    </row>
    <row r="2117" spans="1:104">
      <c r="A2117" s="149"/>
      <c r="B2117" s="149"/>
      <c r="C2117" s="150"/>
      <c r="D2117" s="102"/>
      <c r="E2117" s="149"/>
      <c r="F2117" s="149"/>
      <c r="G2117" s="149"/>
      <c r="H2117" s="149"/>
      <c r="I2117" s="149"/>
      <c r="J2117" s="149"/>
      <c r="K2117" s="149"/>
      <c r="L2117" s="149"/>
      <c r="M2117" s="149"/>
      <c r="N2117" s="149"/>
      <c r="O2117" s="149"/>
      <c r="P2117" s="149"/>
      <c r="Q2117" s="149"/>
      <c r="R2117" s="149"/>
      <c r="S2117" s="149"/>
      <c r="T2117" s="149"/>
      <c r="U2117" s="149"/>
      <c r="V2117" s="149"/>
      <c r="W2117" s="149"/>
      <c r="X2117" s="149"/>
      <c r="Y2117" s="149"/>
      <c r="Z2117" s="149"/>
      <c r="AA2117" s="149"/>
      <c r="AB2117" s="149"/>
      <c r="AC2117" s="149"/>
      <c r="AD2117" s="149"/>
      <c r="AE2117" s="149"/>
      <c r="AF2117" s="149"/>
      <c r="AG2117" s="149"/>
      <c r="AH2117" s="149"/>
      <c r="AI2117" s="149"/>
      <c r="AJ2117" s="149"/>
      <c r="AK2117" s="149"/>
      <c r="AL2117" s="149"/>
      <c r="AM2117" s="149"/>
      <c r="AN2117" s="149"/>
      <c r="AO2117" s="128"/>
      <c r="AP2117" s="128"/>
      <c r="AQ2117" s="128"/>
      <c r="AR2117" s="128"/>
      <c r="AS2117" s="128"/>
      <c r="AT2117" s="128"/>
      <c r="AU2117" s="128"/>
      <c r="AV2117" s="128"/>
      <c r="AW2117" s="128"/>
      <c r="AX2117" s="128"/>
      <c r="AY2117" s="128"/>
      <c r="AZ2117" s="128"/>
      <c r="BA2117" s="128"/>
      <c r="BB2117" s="128"/>
      <c r="BC2117" s="128"/>
      <c r="BD2117" s="128"/>
      <c r="BE2117" s="128"/>
      <c r="BF2117" s="128"/>
      <c r="BG2117" s="128"/>
      <c r="BH2117" s="128"/>
      <c r="BI2117" s="128"/>
      <c r="BJ2117" s="128"/>
      <c r="BK2117" s="128"/>
      <c r="BL2117" s="128"/>
      <c r="BM2117" s="151"/>
      <c r="BN2117" s="128"/>
      <c r="BO2117" s="128"/>
      <c r="BP2117" s="128"/>
      <c r="BQ2117" s="128"/>
      <c r="BR2117" s="128"/>
      <c r="BS2117" s="128"/>
      <c r="BT2117" s="128"/>
      <c r="BU2117" s="128"/>
      <c r="BV2117" s="128"/>
      <c r="BW2117" s="128"/>
      <c r="BX2117" s="128"/>
      <c r="BY2117" s="128"/>
      <c r="BZ2117" s="128"/>
      <c r="CA2117" s="128"/>
      <c r="CB2117" s="128"/>
      <c r="CC2117" s="128"/>
      <c r="CD2117" s="128"/>
      <c r="CE2117" s="128"/>
      <c r="CF2117" s="128"/>
      <c r="CG2117" s="128"/>
      <c r="CI2117" s="128"/>
      <c r="CJ2117" s="128"/>
      <c r="CK2117" s="128"/>
      <c r="CL2117" s="128"/>
      <c r="CM2117" s="128"/>
      <c r="CN2117" s="128"/>
      <c r="CO2117" s="128"/>
      <c r="CP2117" s="128"/>
      <c r="CQ2117" s="128"/>
      <c r="CR2117" s="128"/>
      <c r="CS2117" s="128"/>
      <c r="CT2117" s="128"/>
      <c r="CU2117" s="128"/>
      <c r="CV2117" s="128"/>
      <c r="CW2117" s="128"/>
      <c r="CX2117" s="128"/>
      <c r="CY2117" s="128"/>
      <c r="CZ2117" s="165"/>
    </row>
    <row r="2118" spans="1:104">
      <c r="A2118" s="149"/>
      <c r="B2118" s="149"/>
      <c r="C2118" s="150"/>
      <c r="D2118" s="102"/>
      <c r="E2118" s="149"/>
      <c r="F2118" s="149"/>
      <c r="G2118" s="149"/>
      <c r="H2118" s="149"/>
      <c r="I2118" s="149"/>
      <c r="J2118" s="149"/>
      <c r="K2118" s="149"/>
      <c r="L2118" s="149"/>
      <c r="M2118" s="149"/>
      <c r="N2118" s="149"/>
      <c r="O2118" s="149"/>
      <c r="P2118" s="149"/>
      <c r="Q2118" s="149"/>
      <c r="R2118" s="149"/>
      <c r="S2118" s="149"/>
      <c r="T2118" s="149"/>
      <c r="U2118" s="149"/>
      <c r="V2118" s="149"/>
      <c r="W2118" s="149"/>
      <c r="X2118" s="149"/>
      <c r="Y2118" s="149"/>
      <c r="Z2118" s="149"/>
      <c r="AA2118" s="149"/>
      <c r="AB2118" s="149"/>
      <c r="AC2118" s="149"/>
      <c r="AD2118" s="149"/>
      <c r="AE2118" s="149"/>
      <c r="AF2118" s="149"/>
      <c r="AG2118" s="149"/>
      <c r="AH2118" s="149"/>
      <c r="AI2118" s="149"/>
      <c r="AJ2118" s="149"/>
      <c r="AK2118" s="149"/>
      <c r="AL2118" s="149"/>
      <c r="AM2118" s="149"/>
      <c r="AN2118" s="149"/>
      <c r="AO2118" s="128"/>
      <c r="AP2118" s="128"/>
      <c r="AQ2118" s="128"/>
      <c r="AR2118" s="128"/>
      <c r="AS2118" s="128"/>
      <c r="AT2118" s="128"/>
      <c r="AU2118" s="128"/>
      <c r="AV2118" s="128"/>
      <c r="AW2118" s="128"/>
      <c r="AX2118" s="128"/>
      <c r="AY2118" s="128"/>
      <c r="AZ2118" s="128"/>
      <c r="BA2118" s="128"/>
      <c r="BB2118" s="128"/>
      <c r="BC2118" s="128"/>
      <c r="BD2118" s="128"/>
      <c r="BE2118" s="128"/>
      <c r="BF2118" s="128"/>
      <c r="BG2118" s="128"/>
      <c r="BH2118" s="128"/>
      <c r="BI2118" s="128"/>
      <c r="BJ2118" s="128"/>
      <c r="BK2118" s="128"/>
      <c r="BL2118" s="128"/>
      <c r="BM2118" s="151"/>
      <c r="BN2118" s="128"/>
      <c r="BO2118" s="128"/>
      <c r="BP2118" s="128"/>
      <c r="BQ2118" s="128"/>
      <c r="BR2118" s="128"/>
      <c r="BS2118" s="128"/>
      <c r="BT2118" s="128"/>
      <c r="BU2118" s="128"/>
      <c r="BV2118" s="128"/>
      <c r="BW2118" s="128"/>
      <c r="BX2118" s="128"/>
      <c r="BY2118" s="128"/>
      <c r="BZ2118" s="128"/>
      <c r="CA2118" s="128"/>
      <c r="CB2118" s="128"/>
      <c r="CC2118" s="128"/>
      <c r="CD2118" s="128"/>
      <c r="CE2118" s="128"/>
      <c r="CF2118" s="128"/>
      <c r="CG2118" s="128"/>
      <c r="CI2118" s="128"/>
      <c r="CJ2118" s="128"/>
      <c r="CK2118" s="128"/>
      <c r="CL2118" s="128"/>
      <c r="CM2118" s="128"/>
      <c r="CN2118" s="128"/>
      <c r="CO2118" s="128"/>
      <c r="CP2118" s="128"/>
      <c r="CQ2118" s="128"/>
      <c r="CR2118" s="128"/>
      <c r="CS2118" s="128"/>
      <c r="CT2118" s="128"/>
      <c r="CU2118" s="128"/>
      <c r="CV2118" s="128"/>
      <c r="CW2118" s="128"/>
      <c r="CX2118" s="128"/>
      <c r="CY2118" s="128"/>
      <c r="CZ2118" s="165"/>
    </row>
    <row r="2119" spans="1:104">
      <c r="A2119" s="149"/>
      <c r="B2119" s="149"/>
      <c r="C2119" s="150"/>
      <c r="D2119" s="102"/>
      <c r="E2119" s="149"/>
      <c r="F2119" s="149"/>
      <c r="G2119" s="149"/>
      <c r="H2119" s="149"/>
      <c r="I2119" s="149"/>
      <c r="J2119" s="149"/>
      <c r="K2119" s="149"/>
      <c r="L2119" s="149"/>
      <c r="M2119" s="149"/>
      <c r="N2119" s="149"/>
      <c r="O2119" s="149"/>
      <c r="P2119" s="149"/>
      <c r="Q2119" s="149"/>
      <c r="R2119" s="149"/>
      <c r="S2119" s="149"/>
      <c r="T2119" s="149"/>
      <c r="U2119" s="149"/>
      <c r="V2119" s="149"/>
      <c r="W2119" s="149"/>
      <c r="X2119" s="149"/>
      <c r="Y2119" s="149"/>
      <c r="Z2119" s="149"/>
      <c r="AA2119" s="149"/>
      <c r="AB2119" s="149"/>
      <c r="AC2119" s="149"/>
      <c r="AD2119" s="149"/>
      <c r="AE2119" s="149"/>
      <c r="AF2119" s="149"/>
      <c r="AG2119" s="149"/>
      <c r="AH2119" s="149"/>
      <c r="AI2119" s="149"/>
      <c r="AJ2119" s="149"/>
      <c r="AK2119" s="149"/>
      <c r="AL2119" s="149"/>
      <c r="AM2119" s="149"/>
      <c r="AN2119" s="149"/>
      <c r="AO2119" s="128"/>
      <c r="AP2119" s="128"/>
      <c r="AQ2119" s="128"/>
      <c r="AR2119" s="128"/>
      <c r="AS2119" s="128"/>
      <c r="AT2119" s="128"/>
      <c r="AU2119" s="128"/>
      <c r="AV2119" s="128"/>
      <c r="AW2119" s="128"/>
      <c r="AX2119" s="128"/>
      <c r="AY2119" s="128"/>
      <c r="AZ2119" s="128"/>
      <c r="BA2119" s="128"/>
      <c r="BB2119" s="128"/>
      <c r="BC2119" s="128"/>
      <c r="BD2119" s="128"/>
      <c r="BE2119" s="128"/>
      <c r="BF2119" s="128"/>
      <c r="BG2119" s="128"/>
      <c r="BH2119" s="128"/>
      <c r="BI2119" s="128"/>
      <c r="BJ2119" s="128"/>
      <c r="BK2119" s="128"/>
      <c r="BL2119" s="128"/>
      <c r="BM2119" s="151"/>
      <c r="BN2119" s="128"/>
      <c r="BO2119" s="128"/>
      <c r="BP2119" s="128"/>
      <c r="BQ2119" s="128"/>
      <c r="BR2119" s="128"/>
      <c r="BS2119" s="128"/>
      <c r="BT2119" s="128"/>
      <c r="BU2119" s="128"/>
      <c r="BV2119" s="128"/>
      <c r="BW2119" s="128"/>
      <c r="BX2119" s="128"/>
      <c r="BY2119" s="128"/>
      <c r="BZ2119" s="128"/>
      <c r="CA2119" s="128"/>
      <c r="CB2119" s="128"/>
      <c r="CC2119" s="128"/>
      <c r="CD2119" s="128"/>
      <c r="CE2119" s="128"/>
      <c r="CF2119" s="128"/>
      <c r="CG2119" s="128"/>
      <c r="CI2119" s="128"/>
      <c r="CJ2119" s="128"/>
      <c r="CK2119" s="128"/>
      <c r="CL2119" s="128"/>
      <c r="CM2119" s="128"/>
      <c r="CN2119" s="128"/>
      <c r="CO2119" s="128"/>
      <c r="CP2119" s="128"/>
      <c r="CQ2119" s="128"/>
      <c r="CR2119" s="128"/>
      <c r="CS2119" s="128"/>
      <c r="CT2119" s="128"/>
      <c r="CU2119" s="128"/>
      <c r="CV2119" s="128"/>
      <c r="CW2119" s="128"/>
      <c r="CX2119" s="128"/>
      <c r="CY2119" s="128"/>
      <c r="CZ2119" s="165"/>
    </row>
    <row r="2120" spans="1:104">
      <c r="A2120" s="149"/>
      <c r="B2120" s="149"/>
      <c r="C2120" s="150"/>
      <c r="D2120" s="102"/>
      <c r="E2120" s="149"/>
      <c r="F2120" s="149"/>
      <c r="G2120" s="149"/>
      <c r="H2120" s="149"/>
      <c r="I2120" s="149"/>
      <c r="J2120" s="149"/>
      <c r="K2120" s="149"/>
      <c r="L2120" s="149"/>
      <c r="M2120" s="149"/>
      <c r="N2120" s="149"/>
      <c r="O2120" s="149"/>
      <c r="P2120" s="149"/>
      <c r="Q2120" s="149"/>
      <c r="R2120" s="149"/>
      <c r="S2120" s="149"/>
      <c r="T2120" s="149"/>
      <c r="U2120" s="149"/>
      <c r="V2120" s="149"/>
      <c r="W2120" s="149"/>
      <c r="X2120" s="149"/>
      <c r="Y2120" s="149"/>
      <c r="Z2120" s="149"/>
      <c r="AA2120" s="149"/>
      <c r="AB2120" s="149"/>
      <c r="AC2120" s="149"/>
      <c r="AD2120" s="149"/>
      <c r="AE2120" s="149"/>
      <c r="AF2120" s="149"/>
      <c r="AG2120" s="149"/>
      <c r="AH2120" s="149"/>
      <c r="AI2120" s="149"/>
      <c r="AJ2120" s="149"/>
      <c r="AK2120" s="149"/>
      <c r="AL2120" s="149"/>
      <c r="AM2120" s="149"/>
      <c r="AN2120" s="149"/>
      <c r="AO2120" s="128"/>
      <c r="AP2120" s="128"/>
      <c r="AQ2120" s="128"/>
      <c r="AR2120" s="128"/>
      <c r="AS2120" s="128"/>
      <c r="AT2120" s="128"/>
      <c r="AU2120" s="128"/>
      <c r="AV2120" s="128"/>
      <c r="AW2120" s="128"/>
      <c r="AX2120" s="128"/>
      <c r="AY2120" s="128"/>
      <c r="AZ2120" s="128"/>
      <c r="BA2120" s="128"/>
      <c r="BB2120" s="128"/>
      <c r="BC2120" s="128"/>
      <c r="BD2120" s="128"/>
      <c r="BE2120" s="128"/>
      <c r="BF2120" s="128"/>
      <c r="BG2120" s="128"/>
      <c r="BH2120" s="128"/>
      <c r="BI2120" s="128"/>
      <c r="BJ2120" s="128"/>
      <c r="BK2120" s="128"/>
      <c r="BL2120" s="128"/>
      <c r="BM2120" s="151"/>
      <c r="BN2120" s="128"/>
      <c r="BO2120" s="128"/>
      <c r="BP2120" s="128"/>
      <c r="BQ2120" s="128"/>
      <c r="BR2120" s="128"/>
      <c r="BS2120" s="128"/>
      <c r="BT2120" s="128"/>
      <c r="BU2120" s="128"/>
      <c r="BV2120" s="128"/>
      <c r="BW2120" s="128"/>
      <c r="BX2120" s="128"/>
      <c r="BY2120" s="128"/>
      <c r="BZ2120" s="128"/>
      <c r="CA2120" s="128"/>
      <c r="CB2120" s="128"/>
      <c r="CC2120" s="128"/>
      <c r="CD2120" s="128"/>
      <c r="CE2120" s="128"/>
      <c r="CF2120" s="128"/>
      <c r="CG2120" s="128"/>
      <c r="CI2120" s="128"/>
      <c r="CJ2120" s="128"/>
      <c r="CK2120" s="128"/>
      <c r="CL2120" s="128"/>
      <c r="CM2120" s="128"/>
      <c r="CN2120" s="128"/>
      <c r="CO2120" s="128"/>
      <c r="CP2120" s="128"/>
      <c r="CQ2120" s="128"/>
      <c r="CR2120" s="128"/>
      <c r="CS2120" s="128"/>
      <c r="CT2120" s="128"/>
      <c r="CU2120" s="128"/>
      <c r="CV2120" s="128"/>
      <c r="CW2120" s="128"/>
      <c r="CX2120" s="128"/>
      <c r="CY2120" s="128"/>
      <c r="CZ2120" s="165"/>
    </row>
    <row r="2121" spans="1:104">
      <c r="A2121" s="149"/>
      <c r="B2121" s="149"/>
      <c r="C2121" s="150"/>
      <c r="D2121" s="102"/>
      <c r="E2121" s="149"/>
      <c r="F2121" s="149"/>
      <c r="G2121" s="149"/>
      <c r="H2121" s="149"/>
      <c r="I2121" s="149"/>
      <c r="J2121" s="149"/>
      <c r="K2121" s="149"/>
      <c r="L2121" s="149"/>
      <c r="M2121" s="149"/>
      <c r="N2121" s="149"/>
      <c r="O2121" s="149"/>
      <c r="P2121" s="149"/>
      <c r="Q2121" s="149"/>
      <c r="R2121" s="149"/>
      <c r="S2121" s="149"/>
      <c r="T2121" s="149"/>
      <c r="U2121" s="149"/>
      <c r="V2121" s="149"/>
      <c r="W2121" s="149"/>
      <c r="X2121" s="149"/>
      <c r="Y2121" s="149"/>
      <c r="Z2121" s="149"/>
      <c r="AA2121" s="149"/>
      <c r="AB2121" s="149"/>
      <c r="AC2121" s="149"/>
      <c r="AD2121" s="149"/>
      <c r="AE2121" s="149"/>
      <c r="AF2121" s="149"/>
      <c r="AG2121" s="149"/>
      <c r="AH2121" s="149"/>
      <c r="AI2121" s="149"/>
      <c r="AJ2121" s="149"/>
      <c r="AK2121" s="149"/>
      <c r="AL2121" s="149"/>
      <c r="AM2121" s="149"/>
      <c r="AN2121" s="149"/>
      <c r="AO2121" s="128"/>
      <c r="AP2121" s="128"/>
      <c r="AQ2121" s="128"/>
      <c r="AR2121" s="128"/>
      <c r="AS2121" s="128"/>
      <c r="AT2121" s="128"/>
      <c r="AU2121" s="128"/>
      <c r="AV2121" s="128"/>
      <c r="AW2121" s="128"/>
      <c r="AX2121" s="128"/>
      <c r="AY2121" s="128"/>
      <c r="AZ2121" s="128"/>
      <c r="BA2121" s="128"/>
      <c r="BB2121" s="128"/>
      <c r="BC2121" s="128"/>
      <c r="BD2121" s="128"/>
      <c r="BE2121" s="128"/>
      <c r="BF2121" s="128"/>
      <c r="BG2121" s="128"/>
      <c r="BH2121" s="128"/>
      <c r="BI2121" s="128"/>
      <c r="BJ2121" s="128"/>
      <c r="BK2121" s="128"/>
      <c r="BL2121" s="128"/>
      <c r="BM2121" s="151"/>
      <c r="BN2121" s="128"/>
      <c r="BO2121" s="128"/>
      <c r="BP2121" s="128"/>
      <c r="BQ2121" s="128"/>
      <c r="BR2121" s="128"/>
      <c r="BS2121" s="128"/>
      <c r="BT2121" s="128"/>
      <c r="BU2121" s="128"/>
      <c r="BV2121" s="128"/>
      <c r="BW2121" s="128"/>
      <c r="BX2121" s="128"/>
      <c r="BY2121" s="128"/>
      <c r="BZ2121" s="128"/>
      <c r="CA2121" s="128"/>
      <c r="CB2121" s="128"/>
      <c r="CC2121" s="128"/>
      <c r="CD2121" s="128"/>
      <c r="CE2121" s="128"/>
      <c r="CF2121" s="128"/>
      <c r="CG2121" s="128"/>
      <c r="CI2121" s="128"/>
      <c r="CJ2121" s="128"/>
      <c r="CK2121" s="128"/>
      <c r="CL2121" s="128"/>
      <c r="CM2121" s="128"/>
      <c r="CN2121" s="128"/>
      <c r="CO2121" s="128"/>
      <c r="CP2121" s="128"/>
      <c r="CQ2121" s="128"/>
      <c r="CR2121" s="128"/>
      <c r="CS2121" s="128"/>
      <c r="CT2121" s="128"/>
      <c r="CU2121" s="128"/>
      <c r="CV2121" s="128"/>
      <c r="CW2121" s="128"/>
      <c r="CX2121" s="128"/>
      <c r="CY2121" s="128"/>
      <c r="CZ2121" s="165"/>
    </row>
    <row r="2122" spans="1:104">
      <c r="A2122" s="149"/>
      <c r="B2122" s="149"/>
      <c r="C2122" s="150"/>
      <c r="D2122" s="102"/>
      <c r="E2122" s="149"/>
      <c r="F2122" s="149"/>
      <c r="G2122" s="149"/>
      <c r="H2122" s="149"/>
      <c r="I2122" s="149"/>
      <c r="J2122" s="149"/>
      <c r="K2122" s="149"/>
      <c r="L2122" s="149"/>
      <c r="M2122" s="149"/>
      <c r="N2122" s="149"/>
      <c r="O2122" s="149"/>
      <c r="P2122" s="149"/>
      <c r="Q2122" s="149"/>
      <c r="R2122" s="149"/>
      <c r="S2122" s="149"/>
      <c r="T2122" s="149"/>
      <c r="U2122" s="149"/>
      <c r="V2122" s="149"/>
      <c r="W2122" s="149"/>
      <c r="X2122" s="149"/>
      <c r="Y2122" s="149"/>
      <c r="Z2122" s="149"/>
      <c r="AA2122" s="149"/>
      <c r="AB2122" s="149"/>
      <c r="AC2122" s="149"/>
      <c r="AD2122" s="149"/>
      <c r="AE2122" s="149"/>
      <c r="AF2122" s="149"/>
      <c r="AG2122" s="149"/>
      <c r="AH2122" s="149"/>
      <c r="AI2122" s="149"/>
      <c r="AJ2122" s="149"/>
      <c r="AK2122" s="149"/>
      <c r="AL2122" s="149"/>
      <c r="AM2122" s="149"/>
      <c r="AN2122" s="149"/>
      <c r="AO2122" s="128"/>
      <c r="AP2122" s="128"/>
      <c r="AQ2122" s="128"/>
      <c r="AR2122" s="128"/>
      <c r="AS2122" s="128"/>
      <c r="AT2122" s="128"/>
      <c r="AU2122" s="128"/>
      <c r="AV2122" s="128"/>
      <c r="AW2122" s="128"/>
      <c r="AX2122" s="128"/>
      <c r="AY2122" s="128"/>
      <c r="AZ2122" s="128"/>
      <c r="BA2122" s="128"/>
      <c r="BB2122" s="128"/>
      <c r="BC2122" s="128"/>
      <c r="BD2122" s="128"/>
      <c r="BE2122" s="128"/>
      <c r="BF2122" s="128"/>
      <c r="BG2122" s="128"/>
      <c r="BH2122" s="128"/>
      <c r="BI2122" s="128"/>
      <c r="BJ2122" s="128"/>
      <c r="BK2122" s="128"/>
      <c r="BL2122" s="128"/>
      <c r="BM2122" s="151"/>
      <c r="BN2122" s="128"/>
      <c r="BO2122" s="128"/>
      <c r="BP2122" s="128"/>
      <c r="BQ2122" s="128"/>
      <c r="BR2122" s="128"/>
      <c r="BS2122" s="128"/>
      <c r="BT2122" s="128"/>
      <c r="BU2122" s="128"/>
      <c r="BV2122" s="128"/>
      <c r="BW2122" s="128"/>
      <c r="BX2122" s="128"/>
      <c r="BY2122" s="128"/>
      <c r="BZ2122" s="128"/>
      <c r="CA2122" s="128"/>
      <c r="CB2122" s="128"/>
      <c r="CC2122" s="128"/>
      <c r="CD2122" s="128"/>
      <c r="CE2122" s="128"/>
      <c r="CF2122" s="128"/>
      <c r="CG2122" s="128"/>
      <c r="CI2122" s="128"/>
      <c r="CJ2122" s="128"/>
      <c r="CK2122" s="128"/>
      <c r="CL2122" s="128"/>
      <c r="CM2122" s="128"/>
      <c r="CN2122" s="128"/>
      <c r="CO2122" s="128"/>
      <c r="CP2122" s="128"/>
      <c r="CQ2122" s="128"/>
      <c r="CR2122" s="128"/>
      <c r="CS2122" s="128"/>
      <c r="CT2122" s="128"/>
      <c r="CU2122" s="128"/>
      <c r="CV2122" s="128"/>
      <c r="CW2122" s="128"/>
      <c r="CX2122" s="128"/>
      <c r="CY2122" s="128"/>
      <c r="CZ2122" s="165"/>
    </row>
    <row r="2123" spans="1:104">
      <c r="A2123" s="149"/>
      <c r="B2123" s="149"/>
      <c r="C2123" s="150"/>
      <c r="D2123" s="102"/>
      <c r="E2123" s="149"/>
      <c r="F2123" s="149"/>
      <c r="G2123" s="149"/>
      <c r="H2123" s="149"/>
      <c r="I2123" s="149"/>
      <c r="J2123" s="149"/>
      <c r="K2123" s="149"/>
      <c r="L2123" s="149"/>
      <c r="M2123" s="149"/>
      <c r="N2123" s="149"/>
      <c r="O2123" s="149"/>
      <c r="P2123" s="149"/>
      <c r="Q2123" s="149"/>
      <c r="R2123" s="149"/>
      <c r="S2123" s="149"/>
      <c r="T2123" s="149"/>
      <c r="U2123" s="149"/>
      <c r="V2123" s="149"/>
      <c r="W2123" s="149"/>
      <c r="X2123" s="149"/>
      <c r="Y2123" s="149"/>
      <c r="Z2123" s="149"/>
      <c r="AA2123" s="149"/>
      <c r="AB2123" s="149"/>
      <c r="AC2123" s="149"/>
      <c r="AD2123" s="149"/>
      <c r="AE2123" s="149"/>
      <c r="AF2123" s="149"/>
      <c r="AG2123" s="149"/>
      <c r="AH2123" s="149"/>
      <c r="AI2123" s="149"/>
      <c r="AJ2123" s="149"/>
      <c r="AK2123" s="149"/>
      <c r="AL2123" s="149"/>
      <c r="AM2123" s="149"/>
      <c r="AN2123" s="149"/>
      <c r="AO2123" s="128"/>
      <c r="AP2123" s="128"/>
      <c r="AQ2123" s="128"/>
      <c r="AR2123" s="128"/>
      <c r="AS2123" s="128"/>
      <c r="AT2123" s="128"/>
      <c r="AU2123" s="128"/>
      <c r="AV2123" s="128"/>
      <c r="AW2123" s="128"/>
      <c r="AX2123" s="128"/>
      <c r="AY2123" s="128"/>
      <c r="AZ2123" s="128"/>
      <c r="BA2123" s="128"/>
      <c r="BB2123" s="128"/>
      <c r="BC2123" s="128"/>
      <c r="BD2123" s="128"/>
      <c r="BE2123" s="128"/>
      <c r="BF2123" s="128"/>
      <c r="BG2123" s="128"/>
      <c r="BH2123" s="128"/>
      <c r="BI2123" s="128"/>
      <c r="BJ2123" s="128"/>
      <c r="BK2123" s="128"/>
      <c r="BL2123" s="128"/>
      <c r="BM2123" s="151"/>
      <c r="BN2123" s="128"/>
      <c r="BO2123" s="128"/>
      <c r="BP2123" s="128"/>
      <c r="BQ2123" s="128"/>
      <c r="BR2123" s="128"/>
      <c r="BS2123" s="128"/>
      <c r="BT2123" s="128"/>
      <c r="BU2123" s="128"/>
      <c r="BV2123" s="128"/>
      <c r="BW2123" s="128"/>
      <c r="BX2123" s="128"/>
      <c r="BY2123" s="128"/>
      <c r="BZ2123" s="128"/>
      <c r="CA2123" s="128"/>
      <c r="CB2123" s="128"/>
      <c r="CC2123" s="128"/>
      <c r="CD2123" s="128"/>
      <c r="CE2123" s="128"/>
      <c r="CF2123" s="128"/>
      <c r="CG2123" s="128"/>
      <c r="CI2123" s="128"/>
      <c r="CJ2123" s="128"/>
      <c r="CK2123" s="128"/>
      <c r="CL2123" s="128"/>
      <c r="CM2123" s="128"/>
      <c r="CN2123" s="128"/>
      <c r="CO2123" s="128"/>
      <c r="CP2123" s="128"/>
      <c r="CQ2123" s="128"/>
      <c r="CR2123" s="128"/>
      <c r="CS2123" s="128"/>
      <c r="CT2123" s="128"/>
      <c r="CU2123" s="128"/>
      <c r="CV2123" s="128"/>
      <c r="CW2123" s="128"/>
      <c r="CX2123" s="128"/>
      <c r="CY2123" s="128"/>
      <c r="CZ2123" s="165"/>
    </row>
    <row r="2124" spans="1:104">
      <c r="A2124" s="149"/>
      <c r="B2124" s="149"/>
      <c r="C2124" s="150"/>
      <c r="D2124" s="102"/>
      <c r="E2124" s="149"/>
      <c r="F2124" s="149"/>
      <c r="G2124" s="149"/>
      <c r="H2124" s="149"/>
      <c r="I2124" s="149"/>
      <c r="J2124" s="149"/>
      <c r="K2124" s="149"/>
      <c r="L2124" s="149"/>
      <c r="M2124" s="149"/>
      <c r="N2124" s="149"/>
      <c r="O2124" s="149"/>
      <c r="P2124" s="149"/>
      <c r="Q2124" s="149"/>
      <c r="R2124" s="149"/>
      <c r="S2124" s="149"/>
      <c r="T2124" s="149"/>
      <c r="U2124" s="149"/>
      <c r="V2124" s="149"/>
      <c r="W2124" s="149"/>
      <c r="X2124" s="149"/>
      <c r="Y2124" s="149"/>
      <c r="Z2124" s="149"/>
      <c r="AA2124" s="149"/>
      <c r="AB2124" s="149"/>
      <c r="AC2124" s="149"/>
      <c r="AD2124" s="149"/>
      <c r="AE2124" s="149"/>
      <c r="AF2124" s="149"/>
      <c r="AG2124" s="149"/>
      <c r="AH2124" s="149"/>
      <c r="AI2124" s="149"/>
      <c r="AJ2124" s="149"/>
      <c r="AK2124" s="149"/>
      <c r="AL2124" s="149"/>
      <c r="AM2124" s="149"/>
      <c r="AN2124" s="149"/>
      <c r="AO2124" s="128"/>
      <c r="AP2124" s="128"/>
      <c r="AQ2124" s="128"/>
      <c r="AR2124" s="128"/>
      <c r="AS2124" s="128"/>
      <c r="AT2124" s="128"/>
      <c r="AU2124" s="128"/>
      <c r="AV2124" s="128"/>
      <c r="AW2124" s="128"/>
      <c r="AX2124" s="128"/>
      <c r="AY2124" s="128"/>
      <c r="AZ2124" s="128"/>
      <c r="BA2124" s="128"/>
      <c r="BB2124" s="128"/>
      <c r="BC2124" s="128"/>
      <c r="BD2124" s="128"/>
      <c r="BE2124" s="128"/>
      <c r="BF2124" s="128"/>
      <c r="BG2124" s="128"/>
      <c r="BH2124" s="128"/>
      <c r="BI2124" s="128"/>
      <c r="BJ2124" s="128"/>
      <c r="BK2124" s="128"/>
      <c r="BL2124" s="128"/>
      <c r="BM2124" s="151"/>
      <c r="BN2124" s="128"/>
      <c r="BO2124" s="128"/>
      <c r="BP2124" s="128"/>
      <c r="BQ2124" s="128"/>
      <c r="BR2124" s="128"/>
      <c r="BS2124" s="128"/>
      <c r="BT2124" s="128"/>
      <c r="BU2124" s="128"/>
      <c r="BV2124" s="128"/>
      <c r="BW2124" s="128"/>
      <c r="BX2124" s="128"/>
      <c r="BY2124" s="128"/>
      <c r="BZ2124" s="128"/>
      <c r="CA2124" s="128"/>
      <c r="CB2124" s="128"/>
      <c r="CC2124" s="128"/>
      <c r="CD2124" s="128"/>
      <c r="CE2124" s="128"/>
      <c r="CF2124" s="128"/>
      <c r="CG2124" s="128"/>
      <c r="CI2124" s="128"/>
      <c r="CJ2124" s="128"/>
      <c r="CK2124" s="128"/>
      <c r="CL2124" s="128"/>
      <c r="CM2124" s="128"/>
      <c r="CN2124" s="128"/>
      <c r="CO2124" s="128"/>
      <c r="CP2124" s="128"/>
      <c r="CQ2124" s="128"/>
      <c r="CR2124" s="128"/>
      <c r="CS2124" s="128"/>
      <c r="CT2124" s="128"/>
      <c r="CU2124" s="128"/>
      <c r="CV2124" s="128"/>
      <c r="CW2124" s="128"/>
      <c r="CX2124" s="128"/>
      <c r="CY2124" s="128"/>
      <c r="CZ2124" s="165"/>
    </row>
    <row r="2125" spans="1:104">
      <c r="A2125" s="149"/>
      <c r="B2125" s="149"/>
      <c r="C2125" s="150"/>
      <c r="D2125" s="102"/>
      <c r="E2125" s="149"/>
      <c r="F2125" s="149"/>
      <c r="G2125" s="149"/>
      <c r="H2125" s="149"/>
      <c r="I2125" s="149"/>
      <c r="J2125" s="149"/>
      <c r="K2125" s="149"/>
      <c r="L2125" s="149"/>
      <c r="M2125" s="149"/>
      <c r="N2125" s="149"/>
      <c r="O2125" s="149"/>
      <c r="P2125" s="149"/>
      <c r="Q2125" s="149"/>
      <c r="R2125" s="149"/>
      <c r="S2125" s="149"/>
      <c r="T2125" s="149"/>
      <c r="U2125" s="149"/>
      <c r="V2125" s="149"/>
      <c r="W2125" s="149"/>
      <c r="X2125" s="149"/>
      <c r="Y2125" s="149"/>
      <c r="Z2125" s="149"/>
      <c r="AA2125" s="149"/>
      <c r="AB2125" s="149"/>
      <c r="AC2125" s="149"/>
      <c r="AD2125" s="149"/>
      <c r="AE2125" s="149"/>
      <c r="AF2125" s="149"/>
      <c r="AG2125" s="149"/>
      <c r="AH2125" s="149"/>
      <c r="AI2125" s="149"/>
      <c r="AJ2125" s="149"/>
      <c r="AK2125" s="149"/>
      <c r="AL2125" s="149"/>
      <c r="AM2125" s="149"/>
      <c r="AN2125" s="149"/>
      <c r="AO2125" s="128"/>
      <c r="AP2125" s="128"/>
      <c r="AQ2125" s="128"/>
      <c r="AR2125" s="128"/>
      <c r="AS2125" s="128"/>
      <c r="AT2125" s="128"/>
      <c r="AU2125" s="128"/>
      <c r="AV2125" s="128"/>
      <c r="AW2125" s="128"/>
      <c r="AX2125" s="128"/>
      <c r="AY2125" s="128"/>
      <c r="AZ2125" s="128"/>
      <c r="BA2125" s="128"/>
      <c r="BB2125" s="128"/>
      <c r="BC2125" s="128"/>
      <c r="BD2125" s="128"/>
      <c r="BE2125" s="128"/>
      <c r="BF2125" s="128"/>
      <c r="BG2125" s="128"/>
      <c r="BH2125" s="128"/>
      <c r="BI2125" s="128"/>
      <c r="BJ2125" s="128"/>
      <c r="BK2125" s="128"/>
      <c r="BL2125" s="128"/>
      <c r="BM2125" s="151"/>
      <c r="BN2125" s="128"/>
      <c r="BO2125" s="128"/>
      <c r="BP2125" s="128"/>
      <c r="BQ2125" s="128"/>
      <c r="BR2125" s="128"/>
      <c r="BS2125" s="128"/>
      <c r="BT2125" s="128"/>
      <c r="BU2125" s="128"/>
      <c r="BV2125" s="128"/>
      <c r="BW2125" s="128"/>
      <c r="BX2125" s="128"/>
      <c r="BY2125" s="128"/>
      <c r="BZ2125" s="128"/>
      <c r="CA2125" s="128"/>
      <c r="CB2125" s="128"/>
      <c r="CC2125" s="128"/>
      <c r="CD2125" s="128"/>
      <c r="CE2125" s="128"/>
      <c r="CF2125" s="128"/>
      <c r="CG2125" s="128"/>
      <c r="CI2125" s="128"/>
      <c r="CJ2125" s="128"/>
      <c r="CK2125" s="128"/>
      <c r="CL2125" s="128"/>
      <c r="CM2125" s="128"/>
      <c r="CN2125" s="128"/>
      <c r="CO2125" s="128"/>
      <c r="CP2125" s="128"/>
      <c r="CQ2125" s="128"/>
      <c r="CR2125" s="128"/>
      <c r="CS2125" s="128"/>
      <c r="CT2125" s="128"/>
      <c r="CU2125" s="128"/>
      <c r="CV2125" s="128"/>
      <c r="CW2125" s="128"/>
      <c r="CX2125" s="128"/>
      <c r="CY2125" s="128"/>
      <c r="CZ2125" s="165"/>
    </row>
    <row r="2126" spans="1:104">
      <c r="A2126" s="149"/>
      <c r="B2126" s="149"/>
      <c r="C2126" s="150"/>
      <c r="D2126" s="102"/>
      <c r="E2126" s="149"/>
      <c r="F2126" s="149"/>
      <c r="G2126" s="149"/>
      <c r="H2126" s="149"/>
      <c r="I2126" s="149"/>
      <c r="J2126" s="149"/>
      <c r="K2126" s="149"/>
      <c r="L2126" s="149"/>
      <c r="M2126" s="149"/>
      <c r="N2126" s="149"/>
      <c r="O2126" s="149"/>
      <c r="P2126" s="149"/>
      <c r="Q2126" s="149"/>
      <c r="R2126" s="149"/>
      <c r="S2126" s="149"/>
      <c r="T2126" s="149"/>
      <c r="U2126" s="149"/>
      <c r="V2126" s="149"/>
      <c r="W2126" s="149"/>
      <c r="X2126" s="149"/>
      <c r="Y2126" s="149"/>
      <c r="Z2126" s="149"/>
      <c r="AA2126" s="149"/>
      <c r="AB2126" s="149"/>
      <c r="AC2126" s="149"/>
      <c r="AD2126" s="149"/>
      <c r="AE2126" s="149"/>
      <c r="AF2126" s="149"/>
      <c r="AG2126" s="149"/>
      <c r="AH2126" s="149"/>
      <c r="AI2126" s="149"/>
      <c r="AJ2126" s="149"/>
      <c r="AK2126" s="149"/>
      <c r="AL2126" s="149"/>
      <c r="AM2126" s="149"/>
      <c r="AN2126" s="149"/>
      <c r="AO2126" s="128"/>
      <c r="AP2126" s="128"/>
      <c r="AQ2126" s="128"/>
      <c r="AR2126" s="128"/>
      <c r="AS2126" s="128"/>
      <c r="AT2126" s="128"/>
      <c r="AU2126" s="128"/>
      <c r="AV2126" s="128"/>
      <c r="AW2126" s="128"/>
      <c r="AX2126" s="128"/>
      <c r="AY2126" s="128"/>
      <c r="AZ2126" s="128"/>
      <c r="BA2126" s="128"/>
      <c r="BB2126" s="128"/>
      <c r="BC2126" s="128"/>
      <c r="BD2126" s="128"/>
      <c r="BE2126" s="128"/>
      <c r="BF2126" s="128"/>
      <c r="BG2126" s="128"/>
      <c r="BH2126" s="128"/>
      <c r="BI2126" s="128"/>
      <c r="BJ2126" s="128"/>
      <c r="BK2126" s="128"/>
      <c r="BL2126" s="128"/>
      <c r="BM2126" s="151"/>
      <c r="BN2126" s="128"/>
      <c r="BO2126" s="128"/>
      <c r="BP2126" s="128"/>
      <c r="BQ2126" s="128"/>
      <c r="BR2126" s="128"/>
      <c r="BS2126" s="128"/>
      <c r="BT2126" s="128"/>
      <c r="BU2126" s="128"/>
      <c r="BV2126" s="128"/>
      <c r="BW2126" s="128"/>
      <c r="BX2126" s="128"/>
      <c r="BY2126" s="128"/>
      <c r="BZ2126" s="128"/>
      <c r="CA2126" s="128"/>
      <c r="CB2126" s="128"/>
      <c r="CC2126" s="128"/>
      <c r="CD2126" s="128"/>
      <c r="CE2126" s="128"/>
      <c r="CF2126" s="128"/>
      <c r="CG2126" s="128"/>
      <c r="CI2126" s="128"/>
      <c r="CJ2126" s="128"/>
      <c r="CK2126" s="128"/>
      <c r="CL2126" s="128"/>
      <c r="CM2126" s="128"/>
      <c r="CN2126" s="128"/>
      <c r="CO2126" s="128"/>
      <c r="CP2126" s="128"/>
      <c r="CQ2126" s="128"/>
      <c r="CR2126" s="128"/>
      <c r="CS2126" s="128"/>
      <c r="CT2126" s="128"/>
      <c r="CU2126" s="128"/>
      <c r="CV2126" s="128"/>
      <c r="CW2126" s="128"/>
      <c r="CX2126" s="128"/>
      <c r="CY2126" s="128"/>
      <c r="CZ2126" s="165"/>
    </row>
    <row r="2127" spans="1:104">
      <c r="A2127" s="149"/>
      <c r="B2127" s="149"/>
      <c r="C2127" s="150"/>
      <c r="D2127" s="102"/>
      <c r="E2127" s="149"/>
      <c r="F2127" s="149"/>
      <c r="G2127" s="149"/>
      <c r="H2127" s="149"/>
      <c r="I2127" s="149"/>
      <c r="J2127" s="149"/>
      <c r="K2127" s="149"/>
      <c r="L2127" s="149"/>
      <c r="M2127" s="149"/>
      <c r="N2127" s="149"/>
      <c r="O2127" s="149"/>
      <c r="P2127" s="149"/>
      <c r="Q2127" s="149"/>
      <c r="R2127" s="149"/>
      <c r="S2127" s="149"/>
      <c r="T2127" s="149"/>
      <c r="U2127" s="149"/>
      <c r="V2127" s="149"/>
      <c r="W2127" s="149"/>
      <c r="X2127" s="149"/>
      <c r="Y2127" s="149"/>
      <c r="Z2127" s="149"/>
      <c r="AA2127" s="149"/>
      <c r="AB2127" s="149"/>
      <c r="AC2127" s="149"/>
      <c r="AD2127" s="149"/>
      <c r="AE2127" s="149"/>
      <c r="AF2127" s="149"/>
      <c r="AG2127" s="149"/>
      <c r="AH2127" s="149"/>
      <c r="AI2127" s="149"/>
      <c r="AJ2127" s="149"/>
      <c r="AK2127" s="149"/>
      <c r="AL2127" s="149"/>
      <c r="AM2127" s="149"/>
      <c r="AN2127" s="149"/>
      <c r="AO2127" s="128"/>
      <c r="AP2127" s="128"/>
      <c r="AQ2127" s="128"/>
      <c r="AR2127" s="128"/>
      <c r="AS2127" s="128"/>
      <c r="AT2127" s="128"/>
      <c r="AU2127" s="128"/>
      <c r="AV2127" s="128"/>
      <c r="AW2127" s="128"/>
      <c r="AX2127" s="128"/>
      <c r="AY2127" s="128"/>
      <c r="AZ2127" s="128"/>
      <c r="BA2127" s="128"/>
      <c r="BB2127" s="128"/>
      <c r="BC2127" s="128"/>
      <c r="BD2127" s="128"/>
      <c r="BE2127" s="128"/>
      <c r="BF2127" s="128"/>
      <c r="BG2127" s="128"/>
      <c r="BH2127" s="128"/>
      <c r="BI2127" s="128"/>
      <c r="BJ2127" s="128"/>
      <c r="BK2127" s="128"/>
      <c r="BL2127" s="128"/>
      <c r="BM2127" s="151"/>
      <c r="BN2127" s="128"/>
      <c r="BO2127" s="128"/>
      <c r="BP2127" s="128"/>
      <c r="BQ2127" s="128"/>
      <c r="BR2127" s="128"/>
      <c r="BS2127" s="128"/>
      <c r="BT2127" s="128"/>
      <c r="BU2127" s="128"/>
      <c r="BV2127" s="128"/>
      <c r="BW2127" s="128"/>
      <c r="BX2127" s="128"/>
      <c r="BY2127" s="128"/>
      <c r="BZ2127" s="128"/>
      <c r="CA2127" s="128"/>
      <c r="CB2127" s="128"/>
      <c r="CC2127" s="128"/>
      <c r="CD2127" s="128"/>
      <c r="CE2127" s="128"/>
      <c r="CF2127" s="128"/>
      <c r="CG2127" s="128"/>
      <c r="CI2127" s="128"/>
      <c r="CJ2127" s="128"/>
      <c r="CK2127" s="128"/>
      <c r="CL2127" s="128"/>
      <c r="CM2127" s="128"/>
      <c r="CN2127" s="128"/>
      <c r="CO2127" s="128"/>
      <c r="CP2127" s="128"/>
      <c r="CQ2127" s="128"/>
      <c r="CR2127" s="128"/>
      <c r="CS2127" s="128"/>
      <c r="CT2127" s="128"/>
      <c r="CU2127" s="128"/>
      <c r="CV2127" s="128"/>
      <c r="CW2127" s="128"/>
      <c r="CX2127" s="128"/>
      <c r="CY2127" s="128"/>
      <c r="CZ2127" s="165"/>
    </row>
    <row r="2128" spans="1:104">
      <c r="A2128" s="149"/>
      <c r="B2128" s="149"/>
      <c r="C2128" s="150"/>
      <c r="D2128" s="102"/>
      <c r="E2128" s="149"/>
      <c r="F2128" s="149"/>
      <c r="G2128" s="149"/>
      <c r="H2128" s="149"/>
      <c r="I2128" s="149"/>
      <c r="J2128" s="149"/>
      <c r="K2128" s="149"/>
      <c r="L2128" s="149"/>
      <c r="M2128" s="149"/>
      <c r="N2128" s="149"/>
      <c r="O2128" s="149"/>
      <c r="P2128" s="149"/>
      <c r="Q2128" s="149"/>
      <c r="R2128" s="149"/>
      <c r="S2128" s="149"/>
      <c r="T2128" s="149"/>
      <c r="U2128" s="149"/>
      <c r="V2128" s="149"/>
      <c r="W2128" s="149"/>
      <c r="X2128" s="149"/>
      <c r="Y2128" s="149"/>
      <c r="Z2128" s="149"/>
      <c r="AA2128" s="149"/>
      <c r="AB2128" s="149"/>
      <c r="AC2128" s="149"/>
      <c r="AD2128" s="149"/>
      <c r="AE2128" s="149"/>
      <c r="AF2128" s="149"/>
      <c r="AG2128" s="149"/>
      <c r="AH2128" s="149"/>
      <c r="AI2128" s="149"/>
      <c r="AJ2128" s="149"/>
      <c r="AK2128" s="149"/>
      <c r="AL2128" s="149"/>
      <c r="AM2128" s="149"/>
      <c r="AN2128" s="149"/>
      <c r="AO2128" s="128"/>
      <c r="AP2128" s="128"/>
      <c r="AQ2128" s="128"/>
      <c r="AR2128" s="128"/>
      <c r="AS2128" s="128"/>
      <c r="AT2128" s="128"/>
      <c r="AU2128" s="128"/>
      <c r="AV2128" s="128"/>
      <c r="AW2128" s="128"/>
      <c r="AX2128" s="128"/>
      <c r="AY2128" s="128"/>
      <c r="AZ2128" s="128"/>
      <c r="BA2128" s="128"/>
      <c r="BB2128" s="128"/>
      <c r="BC2128" s="128"/>
      <c r="BD2128" s="128"/>
      <c r="BE2128" s="128"/>
      <c r="BF2128" s="128"/>
      <c r="BG2128" s="128"/>
      <c r="BH2128" s="128"/>
      <c r="BI2128" s="128"/>
      <c r="BJ2128" s="128"/>
      <c r="BK2128" s="128"/>
      <c r="BL2128" s="128"/>
      <c r="BM2128" s="151"/>
      <c r="BN2128" s="128"/>
      <c r="BO2128" s="128"/>
      <c r="BP2128" s="128"/>
      <c r="BQ2128" s="128"/>
      <c r="BR2128" s="128"/>
      <c r="BS2128" s="128"/>
      <c r="BT2128" s="128"/>
      <c r="BU2128" s="128"/>
      <c r="BV2128" s="128"/>
      <c r="BW2128" s="128"/>
      <c r="BX2128" s="128"/>
      <c r="BY2128" s="128"/>
      <c r="BZ2128" s="128"/>
      <c r="CA2128" s="128"/>
      <c r="CB2128" s="128"/>
      <c r="CC2128" s="128"/>
      <c r="CD2128" s="128"/>
      <c r="CE2128" s="128"/>
      <c r="CF2128" s="128"/>
      <c r="CG2128" s="128"/>
      <c r="CI2128" s="128"/>
      <c r="CJ2128" s="128"/>
      <c r="CK2128" s="128"/>
      <c r="CL2128" s="128"/>
      <c r="CM2128" s="128"/>
      <c r="CN2128" s="128"/>
      <c r="CO2128" s="128"/>
      <c r="CP2128" s="128"/>
      <c r="CQ2128" s="128"/>
      <c r="CR2128" s="128"/>
      <c r="CS2128" s="128"/>
      <c r="CT2128" s="128"/>
      <c r="CU2128" s="128"/>
      <c r="CV2128" s="128"/>
      <c r="CW2128" s="128"/>
      <c r="CX2128" s="128"/>
      <c r="CY2128" s="128"/>
      <c r="CZ2128" s="165"/>
    </row>
    <row r="2129" spans="1:104">
      <c r="A2129" s="149"/>
      <c r="B2129" s="149"/>
      <c r="C2129" s="150"/>
      <c r="D2129" s="102"/>
      <c r="E2129" s="149"/>
      <c r="F2129" s="149"/>
      <c r="G2129" s="149"/>
      <c r="H2129" s="149"/>
      <c r="I2129" s="149"/>
      <c r="J2129" s="149"/>
      <c r="K2129" s="149"/>
      <c r="L2129" s="149"/>
      <c r="M2129" s="149"/>
      <c r="N2129" s="149"/>
      <c r="O2129" s="149"/>
      <c r="P2129" s="149"/>
      <c r="Q2129" s="149"/>
      <c r="R2129" s="149"/>
      <c r="S2129" s="149"/>
      <c r="T2129" s="149"/>
      <c r="U2129" s="149"/>
      <c r="V2129" s="149"/>
      <c r="W2129" s="149"/>
      <c r="X2129" s="149"/>
      <c r="Y2129" s="149"/>
      <c r="Z2129" s="149"/>
      <c r="AA2129" s="149"/>
      <c r="AB2129" s="149"/>
      <c r="AC2129" s="149"/>
      <c r="AD2129" s="149"/>
      <c r="AE2129" s="149"/>
      <c r="AF2129" s="149"/>
      <c r="AG2129" s="149"/>
      <c r="AH2129" s="149"/>
      <c r="AI2129" s="149"/>
      <c r="AJ2129" s="149"/>
      <c r="AK2129" s="149"/>
      <c r="AL2129" s="149"/>
      <c r="AM2129" s="149"/>
      <c r="AN2129" s="149"/>
      <c r="AO2129" s="128"/>
      <c r="AP2129" s="128"/>
      <c r="AQ2129" s="128"/>
      <c r="AR2129" s="128"/>
      <c r="AS2129" s="128"/>
      <c r="AT2129" s="128"/>
      <c r="AU2129" s="128"/>
      <c r="AV2129" s="128"/>
      <c r="AW2129" s="128"/>
      <c r="AX2129" s="128"/>
      <c r="AY2129" s="128"/>
      <c r="AZ2129" s="128"/>
      <c r="BA2129" s="128"/>
      <c r="BB2129" s="128"/>
      <c r="BC2129" s="128"/>
      <c r="BD2129" s="128"/>
      <c r="BE2129" s="128"/>
      <c r="BF2129" s="128"/>
      <c r="BG2129" s="128"/>
      <c r="BH2129" s="128"/>
      <c r="BI2129" s="128"/>
      <c r="BJ2129" s="128"/>
      <c r="BK2129" s="128"/>
      <c r="BL2129" s="128"/>
      <c r="BM2129" s="151"/>
      <c r="BN2129" s="128"/>
      <c r="BO2129" s="128"/>
      <c r="BP2129" s="128"/>
      <c r="BQ2129" s="128"/>
      <c r="BR2129" s="128"/>
      <c r="BS2129" s="128"/>
      <c r="BT2129" s="128"/>
      <c r="BU2129" s="128"/>
      <c r="BV2129" s="128"/>
      <c r="BW2129" s="128"/>
      <c r="BX2129" s="128"/>
      <c r="BY2129" s="128"/>
      <c r="BZ2129" s="128"/>
      <c r="CA2129" s="128"/>
      <c r="CB2129" s="128"/>
      <c r="CC2129" s="128"/>
      <c r="CD2129" s="128"/>
      <c r="CE2129" s="128"/>
      <c r="CF2129" s="128"/>
      <c r="CG2129" s="128"/>
      <c r="CI2129" s="128"/>
      <c r="CJ2129" s="128"/>
      <c r="CK2129" s="128"/>
      <c r="CL2129" s="128"/>
      <c r="CM2129" s="128"/>
      <c r="CN2129" s="128"/>
      <c r="CO2129" s="128"/>
      <c r="CP2129" s="128"/>
      <c r="CQ2129" s="128"/>
      <c r="CR2129" s="128"/>
      <c r="CS2129" s="128"/>
      <c r="CT2129" s="128"/>
      <c r="CU2129" s="128"/>
      <c r="CV2129" s="128"/>
      <c r="CW2129" s="128"/>
      <c r="CX2129" s="128"/>
      <c r="CY2129" s="128"/>
      <c r="CZ2129" s="165"/>
    </row>
    <row r="2130" spans="1:104">
      <c r="A2130" s="149"/>
      <c r="B2130" s="149"/>
      <c r="C2130" s="150"/>
      <c r="D2130" s="102"/>
      <c r="E2130" s="149"/>
      <c r="F2130" s="149"/>
      <c r="G2130" s="149"/>
      <c r="H2130" s="149"/>
      <c r="I2130" s="149"/>
      <c r="J2130" s="149"/>
      <c r="K2130" s="149"/>
      <c r="L2130" s="149"/>
      <c r="M2130" s="149"/>
      <c r="N2130" s="149"/>
      <c r="O2130" s="149"/>
      <c r="P2130" s="149"/>
      <c r="Q2130" s="149"/>
      <c r="R2130" s="149"/>
      <c r="S2130" s="149"/>
      <c r="T2130" s="149"/>
      <c r="U2130" s="149"/>
      <c r="V2130" s="149"/>
      <c r="W2130" s="149"/>
      <c r="X2130" s="149"/>
      <c r="Y2130" s="149"/>
      <c r="Z2130" s="149"/>
      <c r="AA2130" s="149"/>
      <c r="AB2130" s="149"/>
      <c r="AC2130" s="149"/>
      <c r="AD2130" s="149"/>
      <c r="AE2130" s="149"/>
      <c r="AF2130" s="149"/>
      <c r="AG2130" s="149"/>
      <c r="AH2130" s="149"/>
      <c r="AI2130" s="149"/>
      <c r="AJ2130" s="149"/>
      <c r="AK2130" s="149"/>
      <c r="AL2130" s="149"/>
      <c r="AM2130" s="149"/>
      <c r="AN2130" s="149"/>
      <c r="AO2130" s="128"/>
      <c r="AP2130" s="128"/>
      <c r="AQ2130" s="128"/>
      <c r="AR2130" s="128"/>
      <c r="AS2130" s="128"/>
      <c r="AT2130" s="128"/>
      <c r="AU2130" s="128"/>
      <c r="AV2130" s="128"/>
      <c r="AW2130" s="128"/>
      <c r="AX2130" s="128"/>
      <c r="AY2130" s="128"/>
      <c r="AZ2130" s="128"/>
      <c r="BA2130" s="128"/>
      <c r="BB2130" s="128"/>
      <c r="BC2130" s="128"/>
      <c r="BD2130" s="128"/>
      <c r="BE2130" s="128"/>
      <c r="BF2130" s="128"/>
      <c r="BG2130" s="128"/>
      <c r="BH2130" s="128"/>
      <c r="BI2130" s="128"/>
      <c r="BJ2130" s="128"/>
      <c r="BK2130" s="128"/>
      <c r="BL2130" s="128"/>
      <c r="BM2130" s="151"/>
      <c r="BN2130" s="128"/>
      <c r="BO2130" s="128"/>
      <c r="BP2130" s="128"/>
      <c r="BQ2130" s="128"/>
      <c r="BR2130" s="128"/>
      <c r="BS2130" s="128"/>
      <c r="BT2130" s="128"/>
      <c r="BU2130" s="128"/>
      <c r="BV2130" s="128"/>
      <c r="BW2130" s="128"/>
      <c r="BX2130" s="128"/>
      <c r="BY2130" s="128"/>
      <c r="BZ2130" s="128"/>
      <c r="CA2130" s="128"/>
      <c r="CB2130" s="128"/>
      <c r="CC2130" s="128"/>
      <c r="CD2130" s="128"/>
      <c r="CE2130" s="128"/>
      <c r="CF2130" s="128"/>
      <c r="CG2130" s="128"/>
      <c r="CI2130" s="128"/>
      <c r="CJ2130" s="128"/>
      <c r="CK2130" s="128"/>
      <c r="CL2130" s="128"/>
      <c r="CM2130" s="128"/>
      <c r="CN2130" s="128"/>
      <c r="CO2130" s="128"/>
      <c r="CP2130" s="128"/>
      <c r="CQ2130" s="128"/>
      <c r="CR2130" s="128"/>
      <c r="CS2130" s="128"/>
      <c r="CT2130" s="128"/>
      <c r="CU2130" s="128"/>
      <c r="CV2130" s="128"/>
      <c r="CW2130" s="128"/>
      <c r="CX2130" s="128"/>
      <c r="CY2130" s="128"/>
      <c r="CZ2130" s="165"/>
    </row>
    <row r="2131" spans="1:104">
      <c r="A2131" s="149"/>
      <c r="B2131" s="149"/>
      <c r="C2131" s="150"/>
      <c r="D2131" s="102"/>
      <c r="E2131" s="149"/>
      <c r="F2131" s="149"/>
      <c r="G2131" s="149"/>
      <c r="H2131" s="149"/>
      <c r="I2131" s="149"/>
      <c r="J2131" s="149"/>
      <c r="K2131" s="149"/>
      <c r="L2131" s="149"/>
      <c r="M2131" s="149"/>
      <c r="N2131" s="149"/>
      <c r="O2131" s="149"/>
      <c r="P2131" s="149"/>
      <c r="Q2131" s="149"/>
      <c r="R2131" s="149"/>
      <c r="S2131" s="149"/>
      <c r="T2131" s="149"/>
      <c r="U2131" s="149"/>
      <c r="V2131" s="149"/>
      <c r="W2131" s="149"/>
      <c r="X2131" s="149"/>
      <c r="Y2131" s="149"/>
      <c r="Z2131" s="149"/>
      <c r="AA2131" s="149"/>
      <c r="AB2131" s="149"/>
      <c r="AC2131" s="149"/>
      <c r="AD2131" s="149"/>
      <c r="AE2131" s="149"/>
      <c r="AF2131" s="149"/>
      <c r="AG2131" s="149"/>
      <c r="AH2131" s="149"/>
      <c r="AI2131" s="149"/>
      <c r="AJ2131" s="149"/>
      <c r="AK2131" s="149"/>
      <c r="AL2131" s="149"/>
      <c r="AM2131" s="149"/>
      <c r="AN2131" s="149"/>
      <c r="AO2131" s="128"/>
      <c r="AP2131" s="128"/>
      <c r="AQ2131" s="128"/>
      <c r="AR2131" s="128"/>
      <c r="AS2131" s="128"/>
      <c r="AT2131" s="128"/>
      <c r="AU2131" s="128"/>
      <c r="AV2131" s="128"/>
      <c r="AW2131" s="128"/>
      <c r="AX2131" s="128"/>
      <c r="AY2131" s="128"/>
      <c r="AZ2131" s="128"/>
      <c r="BA2131" s="128"/>
      <c r="BB2131" s="128"/>
      <c r="BC2131" s="128"/>
      <c r="BD2131" s="128"/>
      <c r="BE2131" s="128"/>
      <c r="BF2131" s="128"/>
      <c r="BG2131" s="128"/>
      <c r="BH2131" s="128"/>
      <c r="BI2131" s="128"/>
      <c r="BJ2131" s="128"/>
      <c r="BK2131" s="128"/>
      <c r="BL2131" s="128"/>
      <c r="BM2131" s="151"/>
      <c r="BN2131" s="128"/>
      <c r="BO2131" s="128"/>
      <c r="BP2131" s="128"/>
      <c r="BQ2131" s="128"/>
      <c r="BR2131" s="128"/>
      <c r="BS2131" s="128"/>
      <c r="BT2131" s="128"/>
      <c r="BU2131" s="128"/>
      <c r="BV2131" s="128"/>
      <c r="BW2131" s="128"/>
      <c r="BX2131" s="128"/>
      <c r="BY2131" s="128"/>
      <c r="BZ2131" s="128"/>
      <c r="CA2131" s="128"/>
      <c r="CB2131" s="128"/>
      <c r="CC2131" s="128"/>
      <c r="CD2131" s="128"/>
      <c r="CE2131" s="128"/>
      <c r="CF2131" s="128"/>
      <c r="CG2131" s="128"/>
      <c r="CI2131" s="128"/>
      <c r="CJ2131" s="128"/>
      <c r="CK2131" s="128"/>
      <c r="CL2131" s="128"/>
      <c r="CM2131" s="128"/>
      <c r="CN2131" s="128"/>
      <c r="CO2131" s="128"/>
      <c r="CP2131" s="128"/>
      <c r="CQ2131" s="128"/>
      <c r="CR2131" s="128"/>
      <c r="CS2131" s="128"/>
      <c r="CT2131" s="128"/>
      <c r="CU2131" s="128"/>
      <c r="CV2131" s="128"/>
      <c r="CW2131" s="128"/>
      <c r="CX2131" s="128"/>
      <c r="CY2131" s="128"/>
      <c r="CZ2131" s="165"/>
    </row>
    <row r="2132" spans="1:104">
      <c r="A2132" s="149"/>
      <c r="B2132" s="149"/>
      <c r="C2132" s="150"/>
      <c r="D2132" s="102"/>
      <c r="E2132" s="149"/>
      <c r="F2132" s="149"/>
      <c r="G2132" s="149"/>
      <c r="H2132" s="149"/>
      <c r="I2132" s="149"/>
      <c r="J2132" s="149"/>
      <c r="K2132" s="149"/>
      <c r="L2132" s="149"/>
      <c r="M2132" s="149"/>
      <c r="N2132" s="149"/>
      <c r="O2132" s="149"/>
      <c r="P2132" s="149"/>
      <c r="Q2132" s="149"/>
      <c r="R2132" s="149"/>
      <c r="S2132" s="149"/>
      <c r="T2132" s="149"/>
      <c r="U2132" s="149"/>
      <c r="V2132" s="149"/>
      <c r="W2132" s="149"/>
      <c r="X2132" s="149"/>
      <c r="Y2132" s="149"/>
      <c r="Z2132" s="149"/>
      <c r="AA2132" s="149"/>
      <c r="AB2132" s="149"/>
      <c r="AC2132" s="149"/>
      <c r="AD2132" s="149"/>
      <c r="AE2132" s="149"/>
      <c r="AF2132" s="149"/>
      <c r="AG2132" s="149"/>
      <c r="AH2132" s="149"/>
      <c r="AI2132" s="149"/>
      <c r="AJ2132" s="149"/>
      <c r="AK2132" s="149"/>
      <c r="AL2132" s="149"/>
      <c r="AM2132" s="149"/>
      <c r="AN2132" s="149"/>
      <c r="AO2132" s="128"/>
      <c r="AP2132" s="128"/>
      <c r="AQ2132" s="128"/>
      <c r="AR2132" s="128"/>
      <c r="AS2132" s="128"/>
      <c r="AT2132" s="128"/>
      <c r="AU2132" s="128"/>
      <c r="AV2132" s="128"/>
      <c r="AW2132" s="128"/>
      <c r="AX2132" s="128"/>
      <c r="AY2132" s="128"/>
      <c r="AZ2132" s="128"/>
      <c r="BA2132" s="128"/>
      <c r="BB2132" s="128"/>
      <c r="BC2132" s="128"/>
      <c r="BD2132" s="128"/>
      <c r="BE2132" s="128"/>
      <c r="BF2132" s="128"/>
      <c r="BG2132" s="128"/>
      <c r="BH2132" s="128"/>
      <c r="BI2132" s="128"/>
      <c r="BJ2132" s="128"/>
      <c r="BK2132" s="128"/>
      <c r="BL2132" s="128"/>
      <c r="BM2132" s="151"/>
      <c r="BN2132" s="128"/>
      <c r="BO2132" s="128"/>
      <c r="BP2132" s="128"/>
      <c r="BQ2132" s="128"/>
      <c r="BR2132" s="128"/>
      <c r="BS2132" s="128"/>
      <c r="BT2132" s="128"/>
      <c r="BU2132" s="128"/>
      <c r="BV2132" s="128"/>
      <c r="BW2132" s="128"/>
      <c r="BX2132" s="128"/>
      <c r="BY2132" s="128"/>
      <c r="BZ2132" s="128"/>
      <c r="CA2132" s="128"/>
      <c r="CB2132" s="128"/>
      <c r="CC2132" s="128"/>
      <c r="CD2132" s="128"/>
      <c r="CE2132" s="128"/>
      <c r="CF2132" s="128"/>
      <c r="CG2132" s="128"/>
      <c r="CI2132" s="128"/>
      <c r="CJ2132" s="128"/>
      <c r="CK2132" s="128"/>
      <c r="CL2132" s="128"/>
      <c r="CM2132" s="128"/>
      <c r="CN2132" s="128"/>
      <c r="CO2132" s="128"/>
      <c r="CP2132" s="128"/>
      <c r="CQ2132" s="128"/>
      <c r="CR2132" s="128"/>
      <c r="CS2132" s="128"/>
      <c r="CT2132" s="128"/>
      <c r="CU2132" s="128"/>
      <c r="CV2132" s="128"/>
      <c r="CW2132" s="128"/>
      <c r="CX2132" s="128"/>
      <c r="CY2132" s="128"/>
      <c r="CZ2132" s="165"/>
    </row>
    <row r="2133" spans="1:104">
      <c r="A2133" s="149"/>
      <c r="B2133" s="149"/>
      <c r="C2133" s="150"/>
      <c r="D2133" s="102"/>
      <c r="E2133" s="149"/>
      <c r="F2133" s="149"/>
      <c r="G2133" s="149"/>
      <c r="H2133" s="149"/>
      <c r="I2133" s="149"/>
      <c r="J2133" s="149"/>
      <c r="K2133" s="149"/>
      <c r="L2133" s="149"/>
      <c r="M2133" s="149"/>
      <c r="N2133" s="149"/>
      <c r="O2133" s="149"/>
      <c r="P2133" s="149"/>
      <c r="Q2133" s="149"/>
      <c r="R2133" s="149"/>
      <c r="S2133" s="149"/>
      <c r="T2133" s="149"/>
      <c r="U2133" s="149"/>
      <c r="V2133" s="149"/>
      <c r="W2133" s="149"/>
      <c r="X2133" s="149"/>
      <c r="Y2133" s="149"/>
      <c r="Z2133" s="149"/>
      <c r="AA2133" s="149"/>
      <c r="AB2133" s="149"/>
      <c r="AC2133" s="149"/>
      <c r="AD2133" s="149"/>
      <c r="AE2133" s="149"/>
      <c r="AF2133" s="149"/>
      <c r="AG2133" s="149"/>
      <c r="AH2133" s="149"/>
      <c r="AI2133" s="149"/>
      <c r="AJ2133" s="149"/>
      <c r="AK2133" s="149"/>
      <c r="AL2133" s="149"/>
      <c r="AM2133" s="149"/>
      <c r="AN2133" s="149"/>
      <c r="AO2133" s="128"/>
      <c r="AP2133" s="128"/>
      <c r="AQ2133" s="128"/>
      <c r="AR2133" s="128"/>
      <c r="AS2133" s="128"/>
      <c r="AT2133" s="128"/>
      <c r="AU2133" s="128"/>
      <c r="AV2133" s="128"/>
      <c r="AW2133" s="128"/>
      <c r="AX2133" s="128"/>
      <c r="AY2133" s="128"/>
      <c r="AZ2133" s="128"/>
      <c r="BA2133" s="128"/>
      <c r="BB2133" s="128"/>
      <c r="BC2133" s="128"/>
      <c r="BD2133" s="128"/>
      <c r="BE2133" s="128"/>
      <c r="BF2133" s="128"/>
      <c r="BG2133" s="128"/>
      <c r="BH2133" s="128"/>
      <c r="BI2133" s="128"/>
      <c r="BJ2133" s="128"/>
      <c r="BK2133" s="128"/>
      <c r="BL2133" s="128"/>
      <c r="BM2133" s="151"/>
      <c r="BN2133" s="128"/>
      <c r="BO2133" s="128"/>
      <c r="BP2133" s="128"/>
      <c r="BQ2133" s="128"/>
      <c r="BR2133" s="128"/>
      <c r="BS2133" s="128"/>
      <c r="BT2133" s="128"/>
      <c r="BU2133" s="128"/>
      <c r="BV2133" s="128"/>
      <c r="BW2133" s="128"/>
      <c r="BX2133" s="128"/>
      <c r="BY2133" s="128"/>
      <c r="BZ2133" s="128"/>
      <c r="CA2133" s="128"/>
      <c r="CB2133" s="128"/>
      <c r="CC2133" s="128"/>
      <c r="CD2133" s="128"/>
      <c r="CE2133" s="128"/>
      <c r="CF2133" s="128"/>
      <c r="CG2133" s="128"/>
      <c r="CI2133" s="128"/>
      <c r="CJ2133" s="128"/>
      <c r="CK2133" s="128"/>
      <c r="CL2133" s="128"/>
      <c r="CM2133" s="128"/>
      <c r="CN2133" s="128"/>
      <c r="CO2133" s="128"/>
      <c r="CP2133" s="128"/>
      <c r="CQ2133" s="128"/>
      <c r="CR2133" s="128"/>
      <c r="CS2133" s="128"/>
      <c r="CT2133" s="128"/>
      <c r="CU2133" s="128"/>
      <c r="CV2133" s="128"/>
      <c r="CW2133" s="128"/>
      <c r="CX2133" s="128"/>
      <c r="CY2133" s="128"/>
      <c r="CZ2133" s="165"/>
    </row>
    <row r="2134" spans="1:104">
      <c r="A2134" s="149"/>
      <c r="B2134" s="149"/>
      <c r="C2134" s="150"/>
      <c r="D2134" s="102"/>
      <c r="E2134" s="149"/>
      <c r="F2134" s="149"/>
      <c r="G2134" s="149"/>
      <c r="H2134" s="149"/>
      <c r="I2134" s="149"/>
      <c r="J2134" s="149"/>
      <c r="K2134" s="149"/>
      <c r="L2134" s="149"/>
      <c r="M2134" s="149"/>
      <c r="N2134" s="149"/>
      <c r="O2134" s="149"/>
      <c r="P2134" s="149"/>
      <c r="Q2134" s="149"/>
      <c r="R2134" s="149"/>
      <c r="S2134" s="149"/>
      <c r="T2134" s="149"/>
      <c r="U2134" s="149"/>
      <c r="V2134" s="149"/>
      <c r="W2134" s="149"/>
      <c r="X2134" s="149"/>
      <c r="Y2134" s="149"/>
      <c r="Z2134" s="149"/>
      <c r="AA2134" s="149"/>
      <c r="AB2134" s="149"/>
      <c r="AC2134" s="149"/>
      <c r="AD2134" s="149"/>
      <c r="AE2134" s="149"/>
      <c r="AF2134" s="149"/>
      <c r="AG2134" s="149"/>
      <c r="AH2134" s="149"/>
      <c r="AI2134" s="149"/>
      <c r="AJ2134" s="149"/>
      <c r="AK2134" s="149"/>
      <c r="AL2134" s="149"/>
      <c r="AM2134" s="149"/>
      <c r="AN2134" s="149"/>
      <c r="AO2134" s="128"/>
      <c r="AP2134" s="128"/>
      <c r="AQ2134" s="128"/>
      <c r="AR2134" s="128"/>
      <c r="AS2134" s="128"/>
      <c r="AT2134" s="128"/>
      <c r="AU2134" s="128"/>
      <c r="AV2134" s="128"/>
      <c r="AW2134" s="128"/>
      <c r="AX2134" s="128"/>
      <c r="AY2134" s="128"/>
      <c r="AZ2134" s="128"/>
      <c r="BA2134" s="128"/>
      <c r="BB2134" s="128"/>
      <c r="BC2134" s="128"/>
      <c r="BD2134" s="128"/>
      <c r="BE2134" s="128"/>
      <c r="BF2134" s="128"/>
      <c r="BG2134" s="128"/>
      <c r="BH2134" s="128"/>
      <c r="BI2134" s="128"/>
      <c r="BJ2134" s="128"/>
      <c r="BK2134" s="128"/>
      <c r="BL2134" s="128"/>
      <c r="BM2134" s="151"/>
      <c r="BN2134" s="128"/>
      <c r="BO2134" s="128"/>
      <c r="BP2134" s="128"/>
      <c r="BQ2134" s="128"/>
      <c r="BR2134" s="128"/>
      <c r="BS2134" s="128"/>
      <c r="BT2134" s="128"/>
      <c r="BU2134" s="128"/>
      <c r="BV2134" s="128"/>
      <c r="BW2134" s="128"/>
      <c r="BX2134" s="128"/>
      <c r="BY2134" s="128"/>
      <c r="BZ2134" s="128"/>
      <c r="CA2134" s="128"/>
      <c r="CB2134" s="128"/>
      <c r="CC2134" s="128"/>
      <c r="CD2134" s="128"/>
      <c r="CE2134" s="128"/>
      <c r="CF2134" s="128"/>
      <c r="CG2134" s="128"/>
      <c r="CI2134" s="128"/>
      <c r="CJ2134" s="128"/>
      <c r="CK2134" s="128"/>
      <c r="CL2134" s="128"/>
      <c r="CM2134" s="128"/>
      <c r="CN2134" s="128"/>
      <c r="CO2134" s="128"/>
      <c r="CP2134" s="128"/>
      <c r="CQ2134" s="128"/>
      <c r="CR2134" s="128"/>
      <c r="CS2134" s="128"/>
      <c r="CT2134" s="128"/>
      <c r="CU2134" s="128"/>
      <c r="CV2134" s="128"/>
      <c r="CW2134" s="128"/>
      <c r="CX2134" s="128"/>
      <c r="CY2134" s="128"/>
      <c r="CZ2134" s="165"/>
    </row>
    <row r="2135" spans="1:104">
      <c r="A2135" s="149"/>
      <c r="B2135" s="149"/>
      <c r="C2135" s="150"/>
      <c r="D2135" s="102"/>
      <c r="E2135" s="149"/>
      <c r="F2135" s="149"/>
      <c r="G2135" s="149"/>
      <c r="H2135" s="149"/>
      <c r="I2135" s="149"/>
      <c r="J2135" s="149"/>
      <c r="K2135" s="149"/>
      <c r="L2135" s="149"/>
      <c r="M2135" s="149"/>
      <c r="N2135" s="149"/>
      <c r="O2135" s="149"/>
      <c r="P2135" s="149"/>
      <c r="Q2135" s="149"/>
      <c r="R2135" s="149"/>
      <c r="S2135" s="149"/>
      <c r="T2135" s="149"/>
      <c r="U2135" s="149"/>
      <c r="V2135" s="149"/>
      <c r="W2135" s="149"/>
      <c r="X2135" s="149"/>
      <c r="Y2135" s="149"/>
      <c r="Z2135" s="149"/>
      <c r="AA2135" s="149"/>
      <c r="AB2135" s="149"/>
      <c r="AC2135" s="149"/>
      <c r="AD2135" s="149"/>
      <c r="AE2135" s="149"/>
      <c r="AF2135" s="149"/>
      <c r="AG2135" s="149"/>
      <c r="AH2135" s="149"/>
      <c r="AI2135" s="149"/>
      <c r="AJ2135" s="149"/>
      <c r="AK2135" s="149"/>
      <c r="AL2135" s="149"/>
      <c r="AM2135" s="149"/>
      <c r="AN2135" s="149"/>
      <c r="AO2135" s="128"/>
      <c r="AP2135" s="128"/>
      <c r="AQ2135" s="128"/>
      <c r="AR2135" s="128"/>
      <c r="AS2135" s="128"/>
      <c r="AT2135" s="128"/>
      <c r="AU2135" s="128"/>
      <c r="AV2135" s="128"/>
      <c r="AW2135" s="128"/>
      <c r="AX2135" s="128"/>
      <c r="AY2135" s="128"/>
      <c r="AZ2135" s="128"/>
      <c r="BA2135" s="128"/>
      <c r="BB2135" s="128"/>
      <c r="BC2135" s="128"/>
      <c r="BD2135" s="128"/>
      <c r="BE2135" s="128"/>
      <c r="BF2135" s="128"/>
      <c r="BG2135" s="128"/>
      <c r="BH2135" s="128"/>
      <c r="BI2135" s="128"/>
      <c r="BJ2135" s="128"/>
      <c r="BK2135" s="128"/>
      <c r="BL2135" s="128"/>
      <c r="BM2135" s="151"/>
      <c r="BN2135" s="128"/>
      <c r="BO2135" s="128"/>
      <c r="BP2135" s="128"/>
      <c r="BQ2135" s="128"/>
      <c r="BR2135" s="128"/>
      <c r="BS2135" s="128"/>
      <c r="BT2135" s="128"/>
      <c r="BU2135" s="128"/>
      <c r="BV2135" s="128"/>
      <c r="BW2135" s="128"/>
      <c r="BX2135" s="128"/>
      <c r="BY2135" s="128"/>
      <c r="BZ2135" s="128"/>
      <c r="CA2135" s="128"/>
      <c r="CB2135" s="128"/>
      <c r="CC2135" s="128"/>
      <c r="CD2135" s="128"/>
      <c r="CE2135" s="128"/>
      <c r="CF2135" s="128"/>
      <c r="CG2135" s="128"/>
      <c r="CI2135" s="128"/>
      <c r="CJ2135" s="128"/>
      <c r="CK2135" s="128"/>
      <c r="CL2135" s="128"/>
      <c r="CM2135" s="128"/>
      <c r="CN2135" s="128"/>
      <c r="CO2135" s="128"/>
      <c r="CP2135" s="128"/>
      <c r="CQ2135" s="128"/>
      <c r="CR2135" s="128"/>
      <c r="CS2135" s="128"/>
      <c r="CT2135" s="128"/>
      <c r="CU2135" s="128"/>
      <c r="CV2135" s="128"/>
      <c r="CW2135" s="128"/>
      <c r="CX2135" s="128"/>
      <c r="CY2135" s="128"/>
      <c r="CZ2135" s="165"/>
    </row>
    <row r="2136" spans="1:104">
      <c r="A2136" s="149"/>
      <c r="B2136" s="149"/>
      <c r="C2136" s="150"/>
      <c r="D2136" s="102"/>
      <c r="E2136" s="149"/>
      <c r="F2136" s="149"/>
      <c r="G2136" s="149"/>
      <c r="H2136" s="149"/>
      <c r="I2136" s="149"/>
      <c r="J2136" s="149"/>
      <c r="K2136" s="149"/>
      <c r="L2136" s="149"/>
      <c r="M2136" s="149"/>
      <c r="N2136" s="149"/>
      <c r="O2136" s="149"/>
      <c r="P2136" s="149"/>
      <c r="Q2136" s="149"/>
      <c r="R2136" s="149"/>
      <c r="S2136" s="149"/>
      <c r="T2136" s="149"/>
      <c r="U2136" s="149"/>
      <c r="V2136" s="149"/>
      <c r="W2136" s="149"/>
      <c r="X2136" s="149"/>
      <c r="Y2136" s="149"/>
      <c r="Z2136" s="149"/>
      <c r="AA2136" s="149"/>
      <c r="AB2136" s="149"/>
      <c r="AC2136" s="149"/>
      <c r="AD2136" s="149"/>
      <c r="AE2136" s="149"/>
      <c r="AF2136" s="149"/>
      <c r="AG2136" s="149"/>
      <c r="AH2136" s="149"/>
      <c r="AI2136" s="149"/>
      <c r="AJ2136" s="149"/>
      <c r="AK2136" s="149"/>
      <c r="AL2136" s="149"/>
      <c r="AM2136" s="149"/>
      <c r="AN2136" s="149"/>
      <c r="AO2136" s="128"/>
      <c r="AP2136" s="128"/>
      <c r="AQ2136" s="128"/>
      <c r="AR2136" s="128"/>
      <c r="AS2136" s="128"/>
      <c r="AT2136" s="128"/>
      <c r="AU2136" s="128"/>
      <c r="AV2136" s="128"/>
      <c r="AW2136" s="128"/>
      <c r="AX2136" s="128"/>
      <c r="AY2136" s="128"/>
      <c r="AZ2136" s="128"/>
      <c r="BA2136" s="128"/>
      <c r="BB2136" s="128"/>
      <c r="BC2136" s="128"/>
      <c r="BD2136" s="128"/>
      <c r="BE2136" s="128"/>
      <c r="BF2136" s="128"/>
      <c r="BG2136" s="128"/>
      <c r="BH2136" s="128"/>
      <c r="BI2136" s="128"/>
      <c r="BJ2136" s="128"/>
      <c r="BK2136" s="128"/>
      <c r="BL2136" s="128"/>
      <c r="BM2136" s="151"/>
      <c r="BN2136" s="128"/>
      <c r="BO2136" s="128"/>
      <c r="BP2136" s="128"/>
      <c r="BQ2136" s="128"/>
      <c r="BR2136" s="128"/>
      <c r="BS2136" s="128"/>
      <c r="BT2136" s="128"/>
      <c r="BU2136" s="128"/>
      <c r="BV2136" s="128"/>
      <c r="BW2136" s="128"/>
      <c r="BX2136" s="128"/>
      <c r="BY2136" s="128"/>
      <c r="BZ2136" s="128"/>
      <c r="CA2136" s="128"/>
      <c r="CB2136" s="128"/>
      <c r="CC2136" s="128"/>
      <c r="CD2136" s="128"/>
      <c r="CE2136" s="128"/>
      <c r="CF2136" s="128"/>
      <c r="CG2136" s="128"/>
      <c r="CI2136" s="128"/>
      <c r="CJ2136" s="128"/>
      <c r="CK2136" s="128"/>
      <c r="CL2136" s="128"/>
      <c r="CM2136" s="128"/>
      <c r="CN2136" s="128"/>
      <c r="CO2136" s="128"/>
      <c r="CP2136" s="128"/>
      <c r="CQ2136" s="128"/>
      <c r="CR2136" s="128"/>
      <c r="CS2136" s="128"/>
      <c r="CT2136" s="128"/>
      <c r="CU2136" s="128"/>
      <c r="CV2136" s="128"/>
      <c r="CW2136" s="128"/>
      <c r="CX2136" s="128"/>
      <c r="CY2136" s="128"/>
      <c r="CZ2136" s="165"/>
    </row>
    <row r="2137" spans="1:104">
      <c r="A2137" s="149"/>
      <c r="B2137" s="149"/>
      <c r="C2137" s="150"/>
      <c r="D2137" s="102"/>
      <c r="E2137" s="149"/>
      <c r="F2137" s="149"/>
      <c r="G2137" s="149"/>
      <c r="H2137" s="149"/>
      <c r="I2137" s="149"/>
      <c r="J2137" s="149"/>
      <c r="K2137" s="149"/>
      <c r="L2137" s="149"/>
      <c r="M2137" s="149"/>
      <c r="N2137" s="149"/>
      <c r="O2137" s="149"/>
      <c r="P2137" s="149"/>
      <c r="Q2137" s="149"/>
      <c r="R2137" s="149"/>
      <c r="S2137" s="149"/>
      <c r="T2137" s="149"/>
      <c r="U2137" s="149"/>
      <c r="V2137" s="149"/>
      <c r="W2137" s="149"/>
      <c r="X2137" s="149"/>
      <c r="Y2137" s="149"/>
      <c r="Z2137" s="149"/>
      <c r="AA2137" s="149"/>
      <c r="AB2137" s="149"/>
      <c r="AC2137" s="149"/>
      <c r="AD2137" s="149"/>
      <c r="AE2137" s="149"/>
      <c r="AF2137" s="149"/>
      <c r="AG2137" s="149"/>
      <c r="AH2137" s="149"/>
      <c r="AI2137" s="149"/>
      <c r="AJ2137" s="149"/>
      <c r="AK2137" s="149"/>
      <c r="AL2137" s="149"/>
      <c r="AM2137" s="149"/>
      <c r="AN2137" s="149"/>
      <c r="AO2137" s="128"/>
      <c r="AP2137" s="128"/>
      <c r="AQ2137" s="128"/>
      <c r="AR2137" s="128"/>
      <c r="AS2137" s="128"/>
      <c r="AT2137" s="128"/>
      <c r="AU2137" s="128"/>
      <c r="AV2137" s="128"/>
      <c r="AW2137" s="128"/>
      <c r="AX2137" s="128"/>
      <c r="AY2137" s="128"/>
      <c r="AZ2137" s="128"/>
      <c r="BA2137" s="128"/>
      <c r="BB2137" s="128"/>
      <c r="BC2137" s="128"/>
      <c r="BD2137" s="128"/>
      <c r="BE2137" s="128"/>
      <c r="BF2137" s="128"/>
      <c r="BG2137" s="128"/>
      <c r="BH2137" s="128"/>
      <c r="BI2137" s="128"/>
      <c r="BJ2137" s="128"/>
      <c r="BK2137" s="128"/>
      <c r="BL2137" s="128"/>
      <c r="BM2137" s="151"/>
      <c r="BN2137" s="128"/>
      <c r="BO2137" s="128"/>
      <c r="BP2137" s="128"/>
      <c r="BQ2137" s="128"/>
      <c r="BR2137" s="128"/>
      <c r="BS2137" s="128"/>
      <c r="BT2137" s="128"/>
      <c r="BU2137" s="128"/>
      <c r="BV2137" s="128"/>
      <c r="BW2137" s="128"/>
      <c r="BX2137" s="128"/>
      <c r="BY2137" s="128"/>
      <c r="BZ2137" s="128"/>
      <c r="CA2137" s="128"/>
      <c r="CB2137" s="128"/>
      <c r="CC2137" s="128"/>
      <c r="CD2137" s="128"/>
      <c r="CE2137" s="128"/>
      <c r="CF2137" s="128"/>
      <c r="CG2137" s="128"/>
      <c r="CI2137" s="128"/>
      <c r="CJ2137" s="128"/>
      <c r="CK2137" s="128"/>
      <c r="CL2137" s="128"/>
      <c r="CM2137" s="128"/>
      <c r="CN2137" s="128"/>
      <c r="CO2137" s="128"/>
      <c r="CP2137" s="128"/>
      <c r="CQ2137" s="128"/>
      <c r="CR2137" s="128"/>
      <c r="CS2137" s="128"/>
      <c r="CT2137" s="128"/>
      <c r="CU2137" s="128"/>
      <c r="CV2137" s="128"/>
      <c r="CW2137" s="128"/>
      <c r="CX2137" s="128"/>
      <c r="CY2137" s="128"/>
      <c r="CZ2137" s="165"/>
    </row>
    <row r="2138" spans="1:104">
      <c r="A2138" s="149"/>
      <c r="B2138" s="149"/>
      <c r="C2138" s="150"/>
      <c r="D2138" s="102"/>
      <c r="E2138" s="149"/>
      <c r="F2138" s="149"/>
      <c r="G2138" s="149"/>
      <c r="H2138" s="149"/>
      <c r="I2138" s="149"/>
      <c r="J2138" s="149"/>
      <c r="K2138" s="149"/>
      <c r="L2138" s="149"/>
      <c r="M2138" s="149"/>
      <c r="N2138" s="149"/>
      <c r="O2138" s="149"/>
      <c r="P2138" s="149"/>
      <c r="Q2138" s="149"/>
      <c r="R2138" s="149"/>
      <c r="S2138" s="149"/>
      <c r="T2138" s="149"/>
      <c r="U2138" s="149"/>
      <c r="V2138" s="149"/>
      <c r="W2138" s="149"/>
      <c r="X2138" s="149"/>
      <c r="Y2138" s="149"/>
      <c r="Z2138" s="149"/>
      <c r="AA2138" s="149"/>
      <c r="AB2138" s="149"/>
      <c r="AC2138" s="149"/>
      <c r="AD2138" s="149"/>
      <c r="AE2138" s="149"/>
      <c r="AF2138" s="149"/>
      <c r="AG2138" s="149"/>
      <c r="AH2138" s="149"/>
      <c r="AI2138" s="149"/>
      <c r="AJ2138" s="149"/>
      <c r="AK2138" s="149"/>
      <c r="AL2138" s="149"/>
      <c r="AM2138" s="149"/>
      <c r="AN2138" s="149"/>
      <c r="AO2138" s="128"/>
      <c r="AP2138" s="128"/>
      <c r="AQ2138" s="128"/>
      <c r="AR2138" s="128"/>
      <c r="AS2138" s="128"/>
      <c r="AT2138" s="128"/>
      <c r="AU2138" s="128"/>
      <c r="AV2138" s="128"/>
      <c r="AW2138" s="128"/>
      <c r="AX2138" s="128"/>
      <c r="AY2138" s="128"/>
      <c r="AZ2138" s="128"/>
      <c r="BA2138" s="128"/>
      <c r="BB2138" s="128"/>
      <c r="BC2138" s="128"/>
      <c r="BD2138" s="128"/>
      <c r="BE2138" s="128"/>
      <c r="BF2138" s="128"/>
      <c r="BG2138" s="128"/>
      <c r="BH2138" s="128"/>
      <c r="BI2138" s="128"/>
      <c r="BJ2138" s="128"/>
      <c r="BK2138" s="128"/>
      <c r="BL2138" s="128"/>
      <c r="BM2138" s="151"/>
      <c r="BN2138" s="128"/>
      <c r="BO2138" s="128"/>
      <c r="BP2138" s="128"/>
      <c r="BQ2138" s="128"/>
      <c r="BR2138" s="128"/>
      <c r="BS2138" s="128"/>
      <c r="BT2138" s="128"/>
      <c r="BU2138" s="128"/>
      <c r="BV2138" s="128"/>
      <c r="BW2138" s="128"/>
      <c r="BX2138" s="128"/>
      <c r="BY2138" s="128"/>
      <c r="BZ2138" s="128"/>
      <c r="CA2138" s="128"/>
      <c r="CB2138" s="128"/>
      <c r="CC2138" s="128"/>
      <c r="CD2138" s="128"/>
      <c r="CE2138" s="128"/>
      <c r="CF2138" s="128"/>
      <c r="CG2138" s="128"/>
      <c r="CI2138" s="128"/>
      <c r="CJ2138" s="128"/>
      <c r="CK2138" s="128"/>
      <c r="CL2138" s="128"/>
      <c r="CM2138" s="128"/>
      <c r="CN2138" s="128"/>
      <c r="CO2138" s="128"/>
      <c r="CP2138" s="128"/>
      <c r="CQ2138" s="128"/>
      <c r="CR2138" s="128"/>
      <c r="CS2138" s="128"/>
      <c r="CT2138" s="128"/>
      <c r="CU2138" s="128"/>
      <c r="CV2138" s="128"/>
      <c r="CW2138" s="128"/>
      <c r="CX2138" s="128"/>
      <c r="CY2138" s="128"/>
      <c r="CZ2138" s="165"/>
    </row>
    <row r="2139" spans="1:104">
      <c r="A2139" s="149"/>
      <c r="B2139" s="149"/>
      <c r="C2139" s="150"/>
      <c r="D2139" s="102"/>
      <c r="E2139" s="149"/>
      <c r="F2139" s="149"/>
      <c r="G2139" s="149"/>
      <c r="H2139" s="149"/>
      <c r="I2139" s="149"/>
      <c r="J2139" s="149"/>
      <c r="K2139" s="149"/>
      <c r="L2139" s="149"/>
      <c r="M2139" s="149"/>
      <c r="N2139" s="149"/>
      <c r="O2139" s="149"/>
      <c r="P2139" s="149"/>
      <c r="Q2139" s="149"/>
      <c r="R2139" s="149"/>
      <c r="S2139" s="149"/>
      <c r="T2139" s="149"/>
      <c r="U2139" s="149"/>
      <c r="V2139" s="149"/>
      <c r="W2139" s="149"/>
      <c r="X2139" s="149"/>
      <c r="Y2139" s="149"/>
      <c r="Z2139" s="149"/>
      <c r="AA2139" s="149"/>
      <c r="AB2139" s="149"/>
      <c r="AC2139" s="149"/>
      <c r="AD2139" s="149"/>
      <c r="AE2139" s="149"/>
      <c r="AF2139" s="149"/>
      <c r="AG2139" s="149"/>
      <c r="AH2139" s="149"/>
      <c r="AI2139" s="149"/>
      <c r="AJ2139" s="149"/>
      <c r="AK2139" s="149"/>
      <c r="AL2139" s="149"/>
      <c r="AM2139" s="149"/>
      <c r="AN2139" s="149"/>
      <c r="AO2139" s="128"/>
      <c r="AP2139" s="128"/>
      <c r="AQ2139" s="128"/>
      <c r="AR2139" s="128"/>
      <c r="AS2139" s="128"/>
      <c r="AT2139" s="128"/>
      <c r="AU2139" s="128"/>
      <c r="AV2139" s="128"/>
      <c r="AW2139" s="128"/>
      <c r="AX2139" s="128"/>
      <c r="AY2139" s="128"/>
      <c r="AZ2139" s="128"/>
      <c r="BA2139" s="128"/>
      <c r="BB2139" s="128"/>
      <c r="BC2139" s="128"/>
      <c r="BD2139" s="128"/>
      <c r="BE2139" s="128"/>
      <c r="BF2139" s="128"/>
      <c r="BG2139" s="128"/>
      <c r="BH2139" s="128"/>
      <c r="BI2139" s="128"/>
      <c r="BJ2139" s="128"/>
      <c r="BK2139" s="128"/>
      <c r="BL2139" s="128"/>
      <c r="BM2139" s="151"/>
      <c r="BN2139" s="128"/>
      <c r="BO2139" s="128"/>
      <c r="BP2139" s="128"/>
      <c r="BQ2139" s="128"/>
      <c r="BR2139" s="128"/>
      <c r="BS2139" s="128"/>
      <c r="BT2139" s="128"/>
      <c r="BU2139" s="128"/>
      <c r="BV2139" s="128"/>
      <c r="BW2139" s="128"/>
      <c r="BX2139" s="128"/>
      <c r="BY2139" s="128"/>
      <c r="BZ2139" s="128"/>
      <c r="CA2139" s="128"/>
      <c r="CB2139" s="128"/>
      <c r="CC2139" s="128"/>
      <c r="CD2139" s="128"/>
      <c r="CE2139" s="128"/>
      <c r="CF2139" s="128"/>
      <c r="CG2139" s="128"/>
      <c r="CI2139" s="128"/>
      <c r="CJ2139" s="128"/>
      <c r="CK2139" s="128"/>
      <c r="CL2139" s="128"/>
      <c r="CM2139" s="128"/>
      <c r="CN2139" s="128"/>
      <c r="CO2139" s="128"/>
      <c r="CP2139" s="128"/>
      <c r="CQ2139" s="128"/>
      <c r="CR2139" s="128"/>
      <c r="CS2139" s="128"/>
      <c r="CT2139" s="128"/>
      <c r="CU2139" s="128"/>
      <c r="CV2139" s="128"/>
      <c r="CW2139" s="128"/>
      <c r="CX2139" s="128"/>
      <c r="CY2139" s="128"/>
      <c r="CZ2139" s="165"/>
    </row>
    <row r="2140" spans="1:104">
      <c r="A2140" s="149"/>
      <c r="B2140" s="149"/>
      <c r="C2140" s="150"/>
      <c r="D2140" s="102"/>
      <c r="E2140" s="149"/>
      <c r="F2140" s="149"/>
      <c r="G2140" s="149"/>
      <c r="H2140" s="149"/>
      <c r="I2140" s="149"/>
      <c r="J2140" s="149"/>
      <c r="K2140" s="149"/>
      <c r="L2140" s="149"/>
      <c r="M2140" s="149"/>
      <c r="N2140" s="149"/>
      <c r="O2140" s="149"/>
      <c r="P2140" s="149"/>
      <c r="Q2140" s="149"/>
      <c r="R2140" s="149"/>
      <c r="S2140" s="149"/>
      <c r="T2140" s="149"/>
      <c r="U2140" s="149"/>
      <c r="V2140" s="149"/>
      <c r="W2140" s="149"/>
      <c r="X2140" s="149"/>
      <c r="Y2140" s="149"/>
      <c r="Z2140" s="149"/>
      <c r="AA2140" s="149"/>
      <c r="AB2140" s="149"/>
      <c r="AC2140" s="149"/>
      <c r="AD2140" s="149"/>
      <c r="AE2140" s="149"/>
      <c r="AF2140" s="149"/>
      <c r="AG2140" s="149"/>
      <c r="AH2140" s="149"/>
      <c r="AI2140" s="149"/>
      <c r="AJ2140" s="149"/>
      <c r="AK2140" s="149"/>
      <c r="AL2140" s="149"/>
      <c r="AM2140" s="149"/>
      <c r="AN2140" s="149"/>
      <c r="AO2140" s="128"/>
      <c r="AP2140" s="128"/>
      <c r="AQ2140" s="128"/>
      <c r="AR2140" s="128"/>
      <c r="AS2140" s="128"/>
      <c r="AT2140" s="128"/>
      <c r="AU2140" s="128"/>
      <c r="AV2140" s="128"/>
      <c r="AW2140" s="128"/>
      <c r="AX2140" s="128"/>
      <c r="AY2140" s="128"/>
      <c r="AZ2140" s="128"/>
      <c r="BA2140" s="128"/>
      <c r="BB2140" s="128"/>
      <c r="BC2140" s="128"/>
      <c r="BD2140" s="128"/>
      <c r="BE2140" s="128"/>
      <c r="BF2140" s="128"/>
      <c r="BG2140" s="128"/>
      <c r="BH2140" s="128"/>
      <c r="BI2140" s="128"/>
      <c r="BJ2140" s="128"/>
      <c r="BK2140" s="128"/>
      <c r="BL2140" s="128"/>
      <c r="BM2140" s="151"/>
      <c r="BN2140" s="128"/>
      <c r="BO2140" s="128"/>
      <c r="BP2140" s="128"/>
      <c r="BQ2140" s="128"/>
      <c r="BR2140" s="128"/>
      <c r="BS2140" s="128"/>
      <c r="BT2140" s="128"/>
      <c r="BU2140" s="128"/>
      <c r="BV2140" s="128"/>
      <c r="BW2140" s="128"/>
      <c r="BX2140" s="128"/>
      <c r="BY2140" s="128"/>
      <c r="BZ2140" s="128"/>
      <c r="CA2140" s="128"/>
      <c r="CB2140" s="128"/>
      <c r="CC2140" s="128"/>
      <c r="CD2140" s="128"/>
      <c r="CE2140" s="128"/>
      <c r="CF2140" s="128"/>
      <c r="CG2140" s="128"/>
      <c r="CI2140" s="128"/>
      <c r="CJ2140" s="128"/>
      <c r="CK2140" s="128"/>
      <c r="CL2140" s="128"/>
      <c r="CM2140" s="128"/>
      <c r="CN2140" s="128"/>
      <c r="CO2140" s="128"/>
      <c r="CP2140" s="128"/>
      <c r="CQ2140" s="128"/>
      <c r="CR2140" s="128"/>
      <c r="CS2140" s="128"/>
      <c r="CT2140" s="128"/>
      <c r="CU2140" s="128"/>
      <c r="CV2140" s="128"/>
      <c r="CW2140" s="128"/>
      <c r="CX2140" s="128"/>
      <c r="CY2140" s="128"/>
      <c r="CZ2140" s="165"/>
    </row>
    <row r="2141" spans="1:104">
      <c r="A2141" s="149"/>
      <c r="B2141" s="149"/>
      <c r="C2141" s="150"/>
      <c r="D2141" s="102"/>
      <c r="E2141" s="149"/>
      <c r="F2141" s="149"/>
      <c r="G2141" s="149"/>
      <c r="H2141" s="149"/>
      <c r="I2141" s="149"/>
      <c r="J2141" s="149"/>
      <c r="K2141" s="149"/>
      <c r="L2141" s="149"/>
      <c r="M2141" s="149"/>
      <c r="N2141" s="149"/>
      <c r="O2141" s="149"/>
      <c r="P2141" s="149"/>
      <c r="Q2141" s="149"/>
      <c r="R2141" s="149"/>
      <c r="S2141" s="149"/>
      <c r="T2141" s="149"/>
      <c r="U2141" s="149"/>
      <c r="V2141" s="149"/>
      <c r="W2141" s="149"/>
      <c r="X2141" s="149"/>
      <c r="Y2141" s="149"/>
      <c r="Z2141" s="149"/>
      <c r="AA2141" s="149"/>
      <c r="AB2141" s="149"/>
      <c r="AC2141" s="149"/>
      <c r="AD2141" s="149"/>
      <c r="AE2141" s="149"/>
      <c r="AF2141" s="149"/>
      <c r="AG2141" s="149"/>
      <c r="AH2141" s="149"/>
      <c r="AI2141" s="149"/>
      <c r="AJ2141" s="149"/>
      <c r="AK2141" s="149"/>
      <c r="AL2141" s="149"/>
      <c r="AM2141" s="149"/>
      <c r="AN2141" s="149"/>
      <c r="AO2141" s="128"/>
      <c r="AP2141" s="128"/>
      <c r="AQ2141" s="128"/>
      <c r="AR2141" s="128"/>
      <c r="AS2141" s="128"/>
      <c r="AT2141" s="128"/>
      <c r="AU2141" s="128"/>
      <c r="AV2141" s="128"/>
      <c r="AW2141" s="128"/>
      <c r="AX2141" s="128"/>
      <c r="AY2141" s="128"/>
      <c r="AZ2141" s="128"/>
      <c r="BA2141" s="128"/>
      <c r="BB2141" s="128"/>
      <c r="BC2141" s="128"/>
      <c r="BD2141" s="128"/>
      <c r="BE2141" s="128"/>
      <c r="BF2141" s="128"/>
      <c r="BG2141" s="128"/>
      <c r="BH2141" s="128"/>
      <c r="BI2141" s="128"/>
      <c r="BJ2141" s="128"/>
      <c r="BK2141" s="128"/>
      <c r="BL2141" s="128"/>
      <c r="BM2141" s="151"/>
      <c r="BN2141" s="128"/>
      <c r="BO2141" s="128"/>
      <c r="BP2141" s="128"/>
      <c r="BQ2141" s="128"/>
      <c r="BR2141" s="128"/>
      <c r="BS2141" s="128"/>
      <c r="BT2141" s="128"/>
      <c r="BU2141" s="128"/>
      <c r="BV2141" s="128"/>
      <c r="BW2141" s="128"/>
      <c r="BX2141" s="128"/>
      <c r="BY2141" s="128"/>
      <c r="BZ2141" s="128"/>
      <c r="CA2141" s="128"/>
      <c r="CB2141" s="128"/>
      <c r="CC2141" s="128"/>
      <c r="CD2141" s="128"/>
      <c r="CE2141" s="128"/>
      <c r="CF2141" s="128"/>
      <c r="CG2141" s="128"/>
      <c r="CI2141" s="128"/>
      <c r="CJ2141" s="128"/>
      <c r="CK2141" s="128"/>
      <c r="CL2141" s="128"/>
      <c r="CM2141" s="128"/>
      <c r="CN2141" s="128"/>
      <c r="CO2141" s="128"/>
      <c r="CP2141" s="128"/>
      <c r="CQ2141" s="128"/>
      <c r="CR2141" s="128"/>
      <c r="CS2141" s="128"/>
      <c r="CT2141" s="128"/>
      <c r="CU2141" s="128"/>
      <c r="CV2141" s="128"/>
      <c r="CW2141" s="128"/>
      <c r="CX2141" s="128"/>
      <c r="CY2141" s="128"/>
      <c r="CZ2141" s="165"/>
    </row>
    <row r="2142" spans="1:104">
      <c r="A2142" s="149"/>
      <c r="B2142" s="149"/>
      <c r="C2142" s="150"/>
      <c r="D2142" s="102"/>
      <c r="E2142" s="149"/>
      <c r="F2142" s="149"/>
      <c r="G2142" s="149"/>
      <c r="H2142" s="149"/>
      <c r="I2142" s="149"/>
      <c r="J2142" s="149"/>
      <c r="K2142" s="149"/>
      <c r="L2142" s="149"/>
      <c r="M2142" s="149"/>
      <c r="N2142" s="149"/>
      <c r="O2142" s="149"/>
      <c r="P2142" s="149"/>
      <c r="Q2142" s="149"/>
      <c r="R2142" s="149"/>
      <c r="S2142" s="149"/>
      <c r="T2142" s="149"/>
      <c r="U2142" s="149"/>
      <c r="V2142" s="149"/>
      <c r="W2142" s="149"/>
      <c r="X2142" s="149"/>
      <c r="Y2142" s="149"/>
      <c r="Z2142" s="149"/>
      <c r="AA2142" s="149"/>
      <c r="AB2142" s="149"/>
      <c r="AC2142" s="149"/>
      <c r="AD2142" s="149"/>
      <c r="AE2142" s="149"/>
      <c r="AF2142" s="149"/>
      <c r="AG2142" s="149"/>
      <c r="AH2142" s="149"/>
      <c r="AI2142" s="149"/>
      <c r="AJ2142" s="149"/>
      <c r="AK2142" s="149"/>
      <c r="AL2142" s="149"/>
      <c r="AM2142" s="149"/>
      <c r="AN2142" s="149"/>
      <c r="AO2142" s="128"/>
      <c r="AP2142" s="128"/>
      <c r="AQ2142" s="128"/>
      <c r="AR2142" s="128"/>
      <c r="AS2142" s="128"/>
      <c r="AT2142" s="128"/>
      <c r="AU2142" s="128"/>
      <c r="AV2142" s="128"/>
      <c r="AW2142" s="128"/>
      <c r="AX2142" s="128"/>
      <c r="AY2142" s="128"/>
      <c r="AZ2142" s="128"/>
      <c r="BA2142" s="128"/>
      <c r="BB2142" s="128"/>
      <c r="BC2142" s="128"/>
      <c r="BD2142" s="128"/>
      <c r="BE2142" s="128"/>
      <c r="BF2142" s="128"/>
      <c r="BG2142" s="128"/>
      <c r="BH2142" s="128"/>
      <c r="BI2142" s="128"/>
      <c r="BJ2142" s="128"/>
      <c r="BK2142" s="128"/>
      <c r="BL2142" s="128"/>
      <c r="BM2142" s="151"/>
      <c r="BN2142" s="128"/>
      <c r="BO2142" s="128"/>
      <c r="BP2142" s="128"/>
      <c r="BQ2142" s="128"/>
      <c r="BR2142" s="128"/>
      <c r="BS2142" s="128"/>
      <c r="BT2142" s="128"/>
      <c r="BU2142" s="128"/>
      <c r="BV2142" s="128"/>
      <c r="BW2142" s="128"/>
      <c r="BX2142" s="128"/>
      <c r="BY2142" s="128"/>
      <c r="BZ2142" s="128"/>
      <c r="CA2142" s="128"/>
      <c r="CB2142" s="128"/>
      <c r="CC2142" s="128"/>
      <c r="CD2142" s="128"/>
      <c r="CE2142" s="128"/>
      <c r="CF2142" s="128"/>
      <c r="CG2142" s="128"/>
      <c r="CI2142" s="128"/>
      <c r="CJ2142" s="128"/>
      <c r="CK2142" s="128"/>
      <c r="CL2142" s="128"/>
      <c r="CM2142" s="128"/>
      <c r="CN2142" s="128"/>
      <c r="CO2142" s="128"/>
      <c r="CP2142" s="128"/>
      <c r="CQ2142" s="128"/>
      <c r="CR2142" s="128"/>
      <c r="CS2142" s="128"/>
      <c r="CT2142" s="128"/>
      <c r="CU2142" s="128"/>
      <c r="CV2142" s="128"/>
      <c r="CW2142" s="128"/>
      <c r="CX2142" s="128"/>
      <c r="CY2142" s="128"/>
      <c r="CZ2142" s="165"/>
    </row>
    <row r="2143" spans="1:104">
      <c r="A2143" s="149"/>
      <c r="B2143" s="149"/>
      <c r="C2143" s="150"/>
      <c r="D2143" s="102"/>
      <c r="E2143" s="149"/>
      <c r="F2143" s="149"/>
      <c r="G2143" s="149"/>
      <c r="H2143" s="149"/>
      <c r="I2143" s="149"/>
      <c r="J2143" s="149"/>
      <c r="K2143" s="149"/>
      <c r="L2143" s="149"/>
      <c r="M2143" s="149"/>
      <c r="N2143" s="149"/>
      <c r="O2143" s="149"/>
      <c r="P2143" s="149"/>
      <c r="Q2143" s="149"/>
      <c r="R2143" s="149"/>
      <c r="S2143" s="149"/>
      <c r="T2143" s="149"/>
      <c r="U2143" s="149"/>
      <c r="V2143" s="149"/>
      <c r="W2143" s="149"/>
      <c r="X2143" s="149"/>
      <c r="Y2143" s="149"/>
      <c r="Z2143" s="149"/>
      <c r="AA2143" s="149"/>
      <c r="AB2143" s="149"/>
      <c r="AC2143" s="149"/>
      <c r="AD2143" s="149"/>
      <c r="AE2143" s="149"/>
      <c r="AF2143" s="149"/>
      <c r="AG2143" s="149"/>
      <c r="AH2143" s="149"/>
      <c r="AI2143" s="149"/>
      <c r="AJ2143" s="149"/>
      <c r="AK2143" s="149"/>
      <c r="AL2143" s="149"/>
      <c r="AM2143" s="149"/>
      <c r="AN2143" s="149"/>
      <c r="AO2143" s="128"/>
      <c r="AP2143" s="128"/>
      <c r="AQ2143" s="128"/>
      <c r="AR2143" s="128"/>
      <c r="AS2143" s="128"/>
      <c r="AT2143" s="128"/>
      <c r="AU2143" s="128"/>
      <c r="AV2143" s="128"/>
      <c r="AW2143" s="128"/>
      <c r="AX2143" s="128"/>
      <c r="AY2143" s="128"/>
      <c r="AZ2143" s="128"/>
      <c r="BA2143" s="128"/>
      <c r="BB2143" s="128"/>
      <c r="BC2143" s="128"/>
      <c r="BD2143" s="128"/>
      <c r="BE2143" s="128"/>
      <c r="BF2143" s="128"/>
      <c r="BG2143" s="128"/>
      <c r="BH2143" s="128"/>
      <c r="BI2143" s="128"/>
      <c r="BJ2143" s="128"/>
      <c r="BK2143" s="128"/>
      <c r="BL2143" s="128"/>
      <c r="BM2143" s="151"/>
      <c r="BN2143" s="128"/>
      <c r="BO2143" s="128"/>
      <c r="BP2143" s="128"/>
      <c r="BQ2143" s="128"/>
      <c r="BR2143" s="128"/>
      <c r="BS2143" s="128"/>
      <c r="BT2143" s="128"/>
      <c r="BU2143" s="128"/>
      <c r="BV2143" s="128"/>
      <c r="BW2143" s="128"/>
      <c r="BX2143" s="128"/>
      <c r="BY2143" s="128"/>
      <c r="BZ2143" s="128"/>
      <c r="CA2143" s="128"/>
      <c r="CB2143" s="128"/>
      <c r="CC2143" s="128"/>
      <c r="CD2143" s="128"/>
      <c r="CE2143" s="128"/>
      <c r="CF2143" s="128"/>
      <c r="CG2143" s="128"/>
      <c r="CI2143" s="128"/>
      <c r="CJ2143" s="128"/>
      <c r="CK2143" s="128"/>
      <c r="CL2143" s="128"/>
      <c r="CM2143" s="128"/>
      <c r="CN2143" s="128"/>
      <c r="CO2143" s="128"/>
      <c r="CP2143" s="128"/>
      <c r="CQ2143" s="128"/>
      <c r="CR2143" s="128"/>
      <c r="CS2143" s="128"/>
      <c r="CT2143" s="128"/>
      <c r="CU2143" s="128"/>
      <c r="CV2143" s="128"/>
      <c r="CW2143" s="128"/>
      <c r="CX2143" s="128"/>
      <c r="CY2143" s="128"/>
      <c r="CZ2143" s="165"/>
    </row>
    <row r="2144" spans="1:104">
      <c r="A2144" s="149"/>
      <c r="B2144" s="149"/>
      <c r="C2144" s="150"/>
      <c r="D2144" s="102"/>
      <c r="E2144" s="149"/>
      <c r="F2144" s="149"/>
      <c r="G2144" s="149"/>
      <c r="H2144" s="149"/>
      <c r="I2144" s="149"/>
      <c r="J2144" s="149"/>
      <c r="K2144" s="149"/>
      <c r="L2144" s="149"/>
      <c r="M2144" s="149"/>
      <c r="N2144" s="149"/>
      <c r="O2144" s="149"/>
      <c r="P2144" s="149"/>
      <c r="Q2144" s="149"/>
      <c r="R2144" s="149"/>
      <c r="S2144" s="149"/>
      <c r="T2144" s="149"/>
      <c r="U2144" s="149"/>
      <c r="V2144" s="149"/>
      <c r="W2144" s="149"/>
      <c r="X2144" s="149"/>
      <c r="Y2144" s="149"/>
      <c r="Z2144" s="149"/>
      <c r="AA2144" s="149"/>
      <c r="AB2144" s="149"/>
      <c r="AC2144" s="149"/>
      <c r="AD2144" s="149"/>
      <c r="AE2144" s="149"/>
      <c r="AF2144" s="149"/>
      <c r="AG2144" s="149"/>
      <c r="AH2144" s="149"/>
      <c r="AI2144" s="149"/>
      <c r="AJ2144" s="149"/>
      <c r="AK2144" s="149"/>
      <c r="AL2144" s="149"/>
      <c r="AM2144" s="149"/>
      <c r="AN2144" s="149"/>
      <c r="AO2144" s="128"/>
      <c r="AP2144" s="128"/>
      <c r="AQ2144" s="128"/>
      <c r="AR2144" s="128"/>
      <c r="AS2144" s="128"/>
      <c r="AT2144" s="128"/>
      <c r="AU2144" s="128"/>
      <c r="AV2144" s="128"/>
      <c r="AW2144" s="128"/>
      <c r="AX2144" s="128"/>
      <c r="AY2144" s="128"/>
      <c r="AZ2144" s="128"/>
      <c r="BA2144" s="128"/>
      <c r="BB2144" s="128"/>
      <c r="BC2144" s="128"/>
      <c r="BD2144" s="128"/>
      <c r="BE2144" s="128"/>
      <c r="BF2144" s="128"/>
      <c r="BG2144" s="128"/>
      <c r="BH2144" s="128"/>
      <c r="BI2144" s="128"/>
      <c r="BJ2144" s="128"/>
      <c r="BK2144" s="128"/>
      <c r="BL2144" s="128"/>
      <c r="BM2144" s="151"/>
      <c r="BN2144" s="128"/>
      <c r="BO2144" s="128"/>
      <c r="BP2144" s="128"/>
      <c r="BQ2144" s="128"/>
      <c r="BR2144" s="128"/>
      <c r="BS2144" s="128"/>
      <c r="BT2144" s="128"/>
      <c r="BU2144" s="128"/>
      <c r="BV2144" s="128"/>
      <c r="BW2144" s="128"/>
      <c r="BX2144" s="128"/>
      <c r="BY2144" s="128"/>
      <c r="BZ2144" s="128"/>
      <c r="CA2144" s="128"/>
      <c r="CB2144" s="128"/>
      <c r="CC2144" s="128"/>
      <c r="CD2144" s="128"/>
      <c r="CE2144" s="128"/>
      <c r="CF2144" s="128"/>
      <c r="CG2144" s="128"/>
      <c r="CI2144" s="128"/>
      <c r="CJ2144" s="128"/>
      <c r="CK2144" s="128"/>
      <c r="CL2144" s="128"/>
      <c r="CM2144" s="128"/>
      <c r="CN2144" s="128"/>
      <c r="CO2144" s="128"/>
      <c r="CP2144" s="128"/>
      <c r="CQ2144" s="128"/>
      <c r="CR2144" s="128"/>
      <c r="CS2144" s="128"/>
      <c r="CT2144" s="128"/>
      <c r="CU2144" s="128"/>
      <c r="CV2144" s="128"/>
      <c r="CW2144" s="128"/>
      <c r="CX2144" s="128"/>
      <c r="CY2144" s="128"/>
      <c r="CZ2144" s="165"/>
    </row>
    <row r="2145" spans="1:104">
      <c r="A2145" s="149"/>
      <c r="B2145" s="149"/>
      <c r="C2145" s="150"/>
      <c r="D2145" s="102"/>
      <c r="E2145" s="149"/>
      <c r="F2145" s="149"/>
      <c r="G2145" s="149"/>
      <c r="H2145" s="149"/>
      <c r="I2145" s="149"/>
      <c r="J2145" s="149"/>
      <c r="K2145" s="149"/>
      <c r="L2145" s="149"/>
      <c r="M2145" s="149"/>
      <c r="N2145" s="149"/>
      <c r="O2145" s="149"/>
      <c r="P2145" s="149"/>
      <c r="Q2145" s="149"/>
      <c r="R2145" s="149"/>
      <c r="S2145" s="149"/>
      <c r="T2145" s="149"/>
      <c r="U2145" s="149"/>
      <c r="V2145" s="149"/>
      <c r="W2145" s="149"/>
      <c r="X2145" s="149"/>
      <c r="Y2145" s="149"/>
      <c r="Z2145" s="149"/>
      <c r="AA2145" s="149"/>
      <c r="AB2145" s="149"/>
      <c r="AC2145" s="149"/>
      <c r="AD2145" s="149"/>
      <c r="AE2145" s="149"/>
      <c r="AF2145" s="149"/>
      <c r="AG2145" s="149"/>
      <c r="AH2145" s="149"/>
      <c r="AI2145" s="149"/>
      <c r="AJ2145" s="149"/>
      <c r="AK2145" s="149"/>
      <c r="AL2145" s="149"/>
      <c r="AM2145" s="149"/>
      <c r="AN2145" s="149"/>
      <c r="AO2145" s="128"/>
      <c r="AP2145" s="128"/>
      <c r="AQ2145" s="128"/>
      <c r="AR2145" s="128"/>
      <c r="AS2145" s="128"/>
      <c r="AT2145" s="128"/>
      <c r="AU2145" s="128"/>
      <c r="AV2145" s="128"/>
      <c r="AW2145" s="128"/>
      <c r="AX2145" s="128"/>
      <c r="AY2145" s="128"/>
      <c r="AZ2145" s="128"/>
      <c r="BA2145" s="128"/>
      <c r="BB2145" s="128"/>
      <c r="BC2145" s="128"/>
      <c r="BD2145" s="128"/>
      <c r="BE2145" s="128"/>
      <c r="BF2145" s="128"/>
      <c r="BG2145" s="128"/>
      <c r="BH2145" s="128"/>
      <c r="BI2145" s="128"/>
      <c r="BJ2145" s="128"/>
      <c r="BK2145" s="128"/>
      <c r="BL2145" s="128"/>
      <c r="BM2145" s="151"/>
      <c r="BN2145" s="128"/>
      <c r="BO2145" s="128"/>
      <c r="BP2145" s="128"/>
      <c r="BQ2145" s="128"/>
      <c r="BR2145" s="128"/>
      <c r="BS2145" s="128"/>
      <c r="BT2145" s="128"/>
      <c r="BU2145" s="128"/>
      <c r="BV2145" s="128"/>
      <c r="BW2145" s="128"/>
      <c r="BX2145" s="128"/>
      <c r="BY2145" s="128"/>
      <c r="BZ2145" s="128"/>
      <c r="CA2145" s="128"/>
      <c r="CB2145" s="128"/>
      <c r="CC2145" s="128"/>
      <c r="CD2145" s="128"/>
      <c r="CE2145" s="128"/>
      <c r="CF2145" s="128"/>
      <c r="CG2145" s="128"/>
      <c r="CI2145" s="128"/>
      <c r="CJ2145" s="128"/>
      <c r="CK2145" s="128"/>
      <c r="CL2145" s="128"/>
      <c r="CM2145" s="128"/>
      <c r="CN2145" s="128"/>
      <c r="CO2145" s="128"/>
      <c r="CP2145" s="128"/>
      <c r="CQ2145" s="128"/>
      <c r="CR2145" s="128"/>
      <c r="CS2145" s="128"/>
      <c r="CT2145" s="128"/>
      <c r="CU2145" s="128"/>
      <c r="CV2145" s="128"/>
      <c r="CW2145" s="128"/>
      <c r="CX2145" s="128"/>
      <c r="CY2145" s="128"/>
      <c r="CZ2145" s="165"/>
    </row>
    <row r="2146" spans="1:104">
      <c r="A2146" s="149"/>
      <c r="B2146" s="149"/>
      <c r="C2146" s="150"/>
      <c r="D2146" s="102"/>
      <c r="E2146" s="149"/>
      <c r="F2146" s="149"/>
      <c r="G2146" s="149"/>
      <c r="H2146" s="149"/>
      <c r="I2146" s="149"/>
      <c r="J2146" s="149"/>
      <c r="K2146" s="149"/>
      <c r="L2146" s="149"/>
      <c r="M2146" s="149"/>
      <c r="N2146" s="149"/>
      <c r="O2146" s="149"/>
      <c r="P2146" s="149"/>
      <c r="Q2146" s="149"/>
      <c r="R2146" s="149"/>
      <c r="S2146" s="149"/>
      <c r="T2146" s="149"/>
      <c r="U2146" s="149"/>
      <c r="V2146" s="149"/>
      <c r="W2146" s="149"/>
      <c r="X2146" s="149"/>
      <c r="Y2146" s="149"/>
      <c r="Z2146" s="149"/>
      <c r="AA2146" s="149"/>
      <c r="AB2146" s="149"/>
      <c r="AC2146" s="149"/>
      <c r="AD2146" s="149"/>
      <c r="AE2146" s="149"/>
      <c r="AF2146" s="149"/>
      <c r="AG2146" s="149"/>
      <c r="AH2146" s="149"/>
      <c r="AI2146" s="149"/>
      <c r="AJ2146" s="149"/>
      <c r="AK2146" s="149"/>
      <c r="AL2146" s="149"/>
      <c r="AM2146" s="149"/>
      <c r="AN2146" s="149"/>
      <c r="AO2146" s="128"/>
      <c r="AP2146" s="128"/>
      <c r="AQ2146" s="128"/>
      <c r="AR2146" s="128"/>
      <c r="AS2146" s="128"/>
      <c r="AT2146" s="128"/>
      <c r="AU2146" s="128"/>
      <c r="AV2146" s="128"/>
      <c r="AW2146" s="128"/>
      <c r="AX2146" s="128"/>
      <c r="AY2146" s="128"/>
      <c r="AZ2146" s="128"/>
      <c r="BA2146" s="128"/>
      <c r="BB2146" s="128"/>
      <c r="BC2146" s="128"/>
      <c r="BD2146" s="128"/>
      <c r="BE2146" s="128"/>
      <c r="BF2146" s="128"/>
      <c r="BG2146" s="128"/>
      <c r="BH2146" s="128"/>
      <c r="BI2146" s="128"/>
      <c r="BJ2146" s="128"/>
      <c r="BK2146" s="128"/>
      <c r="BL2146" s="128"/>
      <c r="BM2146" s="151"/>
      <c r="BN2146" s="128"/>
      <c r="BO2146" s="128"/>
      <c r="BP2146" s="128"/>
      <c r="BQ2146" s="128"/>
      <c r="BR2146" s="128"/>
      <c r="BS2146" s="128"/>
      <c r="BT2146" s="128"/>
      <c r="BU2146" s="128"/>
      <c r="BV2146" s="128"/>
      <c r="BW2146" s="128"/>
      <c r="BX2146" s="128"/>
      <c r="BY2146" s="128"/>
      <c r="BZ2146" s="128"/>
      <c r="CA2146" s="128"/>
      <c r="CB2146" s="128"/>
      <c r="CC2146" s="128"/>
      <c r="CD2146" s="128"/>
      <c r="CE2146" s="128"/>
      <c r="CF2146" s="128"/>
      <c r="CG2146" s="128"/>
      <c r="CI2146" s="128"/>
      <c r="CJ2146" s="128"/>
      <c r="CK2146" s="128"/>
      <c r="CL2146" s="128"/>
      <c r="CM2146" s="128"/>
      <c r="CN2146" s="128"/>
      <c r="CO2146" s="128"/>
      <c r="CP2146" s="128"/>
      <c r="CQ2146" s="128"/>
      <c r="CR2146" s="128"/>
      <c r="CS2146" s="128"/>
      <c r="CT2146" s="128"/>
      <c r="CU2146" s="128"/>
      <c r="CV2146" s="128"/>
      <c r="CW2146" s="128"/>
      <c r="CX2146" s="128"/>
      <c r="CY2146" s="128"/>
      <c r="CZ2146" s="165"/>
    </row>
    <row r="2147" spans="1:104">
      <c r="A2147" s="149"/>
      <c r="B2147" s="149"/>
      <c r="C2147" s="150"/>
      <c r="D2147" s="102"/>
      <c r="E2147" s="149"/>
      <c r="F2147" s="149"/>
      <c r="G2147" s="149"/>
      <c r="H2147" s="149"/>
      <c r="I2147" s="149"/>
      <c r="J2147" s="149"/>
      <c r="K2147" s="149"/>
      <c r="L2147" s="149"/>
      <c r="M2147" s="149"/>
      <c r="N2147" s="149"/>
      <c r="O2147" s="149"/>
      <c r="P2147" s="149"/>
      <c r="Q2147" s="149"/>
      <c r="R2147" s="149"/>
      <c r="S2147" s="149"/>
      <c r="T2147" s="149"/>
      <c r="U2147" s="149"/>
      <c r="V2147" s="149"/>
      <c r="W2147" s="149"/>
      <c r="X2147" s="149"/>
      <c r="Y2147" s="149"/>
      <c r="Z2147" s="149"/>
      <c r="AA2147" s="149"/>
      <c r="AB2147" s="149"/>
      <c r="AC2147" s="149"/>
      <c r="AD2147" s="149"/>
      <c r="AE2147" s="149"/>
      <c r="AF2147" s="149"/>
      <c r="AG2147" s="149"/>
      <c r="AH2147" s="149"/>
      <c r="AI2147" s="149"/>
      <c r="AJ2147" s="149"/>
      <c r="AK2147" s="149"/>
      <c r="AL2147" s="149"/>
      <c r="AM2147" s="149"/>
      <c r="AN2147" s="149"/>
      <c r="AO2147" s="128"/>
      <c r="AP2147" s="128"/>
      <c r="AQ2147" s="128"/>
      <c r="AR2147" s="128"/>
      <c r="AS2147" s="128"/>
      <c r="AT2147" s="128"/>
      <c r="AU2147" s="128"/>
      <c r="AV2147" s="128"/>
      <c r="AW2147" s="128"/>
      <c r="AX2147" s="128"/>
      <c r="AY2147" s="128"/>
      <c r="AZ2147" s="128"/>
      <c r="BA2147" s="128"/>
      <c r="BB2147" s="128"/>
      <c r="BC2147" s="128"/>
      <c r="BD2147" s="128"/>
      <c r="BE2147" s="128"/>
      <c r="BF2147" s="128"/>
      <c r="BG2147" s="128"/>
      <c r="BH2147" s="128"/>
      <c r="BI2147" s="128"/>
      <c r="BJ2147" s="128"/>
      <c r="BK2147" s="128"/>
      <c r="BL2147" s="128"/>
      <c r="BM2147" s="151"/>
      <c r="BN2147" s="128"/>
      <c r="BO2147" s="128"/>
      <c r="BP2147" s="128"/>
      <c r="BQ2147" s="128"/>
      <c r="BR2147" s="128"/>
      <c r="BS2147" s="128"/>
      <c r="BT2147" s="128"/>
      <c r="BU2147" s="128"/>
      <c r="BV2147" s="128"/>
      <c r="BW2147" s="128"/>
      <c r="BX2147" s="128"/>
      <c r="BY2147" s="128"/>
      <c r="BZ2147" s="128"/>
      <c r="CA2147" s="128"/>
      <c r="CB2147" s="128"/>
      <c r="CC2147" s="128"/>
      <c r="CD2147" s="128"/>
      <c r="CE2147" s="128"/>
      <c r="CF2147" s="128"/>
      <c r="CG2147" s="128"/>
      <c r="CI2147" s="128"/>
      <c r="CJ2147" s="128"/>
      <c r="CK2147" s="128"/>
      <c r="CL2147" s="128"/>
      <c r="CM2147" s="128"/>
      <c r="CN2147" s="128"/>
      <c r="CO2147" s="128"/>
      <c r="CP2147" s="128"/>
      <c r="CQ2147" s="128"/>
      <c r="CR2147" s="128"/>
      <c r="CS2147" s="128"/>
      <c r="CT2147" s="128"/>
      <c r="CU2147" s="128"/>
      <c r="CV2147" s="128"/>
      <c r="CW2147" s="128"/>
      <c r="CX2147" s="128"/>
      <c r="CY2147" s="128"/>
      <c r="CZ2147" s="165"/>
    </row>
    <row r="2148" spans="1:104">
      <c r="A2148" s="149"/>
      <c r="B2148" s="149"/>
      <c r="C2148" s="150"/>
      <c r="D2148" s="102"/>
      <c r="E2148" s="149"/>
      <c r="F2148" s="149"/>
      <c r="G2148" s="149"/>
      <c r="H2148" s="149"/>
      <c r="I2148" s="149"/>
      <c r="J2148" s="149"/>
      <c r="K2148" s="149"/>
      <c r="L2148" s="149"/>
      <c r="M2148" s="149"/>
      <c r="N2148" s="149"/>
      <c r="O2148" s="149"/>
      <c r="P2148" s="149"/>
      <c r="Q2148" s="149"/>
      <c r="R2148" s="149"/>
      <c r="S2148" s="149"/>
      <c r="T2148" s="149"/>
      <c r="U2148" s="149"/>
      <c r="V2148" s="149"/>
      <c r="W2148" s="149"/>
      <c r="X2148" s="149"/>
      <c r="Y2148" s="149"/>
      <c r="Z2148" s="149"/>
      <c r="AA2148" s="149"/>
      <c r="AB2148" s="149"/>
      <c r="AC2148" s="149"/>
      <c r="AD2148" s="149"/>
      <c r="AE2148" s="149"/>
      <c r="AF2148" s="149"/>
      <c r="AG2148" s="149"/>
      <c r="AH2148" s="149"/>
      <c r="AI2148" s="149"/>
      <c r="AJ2148" s="149"/>
      <c r="AK2148" s="149"/>
      <c r="AL2148" s="149"/>
      <c r="AM2148" s="149"/>
      <c r="AN2148" s="149"/>
      <c r="AO2148" s="128"/>
      <c r="AP2148" s="128"/>
      <c r="AQ2148" s="128"/>
      <c r="AR2148" s="128"/>
      <c r="AS2148" s="128"/>
      <c r="AT2148" s="128"/>
      <c r="AU2148" s="128"/>
      <c r="AV2148" s="128"/>
      <c r="AW2148" s="128"/>
      <c r="AX2148" s="128"/>
      <c r="AY2148" s="128"/>
      <c r="AZ2148" s="128"/>
      <c r="BA2148" s="128"/>
      <c r="BB2148" s="128"/>
      <c r="BC2148" s="128"/>
      <c r="BD2148" s="128"/>
      <c r="BE2148" s="128"/>
      <c r="BF2148" s="128"/>
      <c r="BG2148" s="128"/>
      <c r="BH2148" s="128"/>
      <c r="BI2148" s="128"/>
      <c r="BJ2148" s="128"/>
      <c r="BK2148" s="128"/>
      <c r="BL2148" s="128"/>
      <c r="BM2148" s="151"/>
      <c r="BN2148" s="128"/>
      <c r="BO2148" s="128"/>
      <c r="BP2148" s="128"/>
      <c r="BQ2148" s="128"/>
      <c r="BR2148" s="128"/>
      <c r="BS2148" s="128"/>
      <c r="BT2148" s="128"/>
      <c r="BU2148" s="128"/>
      <c r="BV2148" s="128"/>
      <c r="BW2148" s="128"/>
      <c r="BX2148" s="128"/>
      <c r="BY2148" s="128"/>
      <c r="BZ2148" s="128"/>
      <c r="CA2148" s="128"/>
      <c r="CB2148" s="128"/>
      <c r="CC2148" s="128"/>
      <c r="CD2148" s="128"/>
      <c r="CE2148" s="128"/>
      <c r="CF2148" s="128"/>
      <c r="CG2148" s="128"/>
      <c r="CI2148" s="128"/>
      <c r="CJ2148" s="128"/>
      <c r="CK2148" s="128"/>
      <c r="CL2148" s="128"/>
      <c r="CM2148" s="128"/>
      <c r="CN2148" s="128"/>
      <c r="CO2148" s="128"/>
      <c r="CP2148" s="128"/>
      <c r="CQ2148" s="128"/>
      <c r="CR2148" s="128"/>
      <c r="CS2148" s="128"/>
      <c r="CT2148" s="128"/>
      <c r="CU2148" s="128"/>
      <c r="CV2148" s="128"/>
      <c r="CW2148" s="128"/>
      <c r="CX2148" s="128"/>
      <c r="CY2148" s="128"/>
      <c r="CZ2148" s="165"/>
    </row>
    <row r="2149" spans="1:104">
      <c r="A2149" s="149"/>
      <c r="B2149" s="149"/>
      <c r="C2149" s="150"/>
      <c r="D2149" s="102"/>
      <c r="E2149" s="149"/>
      <c r="F2149" s="149"/>
      <c r="G2149" s="149"/>
      <c r="H2149" s="149"/>
      <c r="I2149" s="149"/>
      <c r="J2149" s="149"/>
      <c r="K2149" s="149"/>
      <c r="L2149" s="149"/>
      <c r="M2149" s="149"/>
      <c r="N2149" s="149"/>
      <c r="O2149" s="149"/>
      <c r="P2149" s="149"/>
      <c r="Q2149" s="149"/>
      <c r="R2149" s="149"/>
      <c r="S2149" s="149"/>
      <c r="T2149" s="149"/>
      <c r="U2149" s="149"/>
      <c r="V2149" s="149"/>
      <c r="W2149" s="149"/>
      <c r="X2149" s="149"/>
      <c r="Y2149" s="149"/>
      <c r="Z2149" s="149"/>
      <c r="AA2149" s="149"/>
      <c r="AB2149" s="149"/>
      <c r="AC2149" s="149"/>
      <c r="AD2149" s="149"/>
      <c r="AE2149" s="149"/>
      <c r="AF2149" s="149"/>
      <c r="AG2149" s="149"/>
      <c r="AH2149" s="149"/>
      <c r="AI2149" s="149"/>
      <c r="AJ2149" s="149"/>
      <c r="AK2149" s="149"/>
      <c r="AL2149" s="149"/>
      <c r="AM2149" s="149"/>
      <c r="AN2149" s="149"/>
      <c r="AO2149" s="128"/>
      <c r="AP2149" s="128"/>
      <c r="AQ2149" s="128"/>
      <c r="AR2149" s="128"/>
      <c r="AS2149" s="128"/>
      <c r="AT2149" s="128"/>
      <c r="AU2149" s="128"/>
      <c r="AV2149" s="128"/>
      <c r="AW2149" s="128"/>
      <c r="AX2149" s="128"/>
      <c r="AY2149" s="128"/>
      <c r="AZ2149" s="128"/>
      <c r="BA2149" s="128"/>
      <c r="BB2149" s="128"/>
      <c r="BC2149" s="128"/>
      <c r="BD2149" s="128"/>
      <c r="BE2149" s="128"/>
      <c r="BF2149" s="128"/>
      <c r="BG2149" s="128"/>
      <c r="BH2149" s="128"/>
      <c r="BI2149" s="128"/>
      <c r="BJ2149" s="128"/>
      <c r="BK2149" s="128"/>
      <c r="BL2149" s="128"/>
      <c r="BM2149" s="151"/>
      <c r="BN2149" s="128"/>
      <c r="BO2149" s="128"/>
      <c r="BP2149" s="128"/>
      <c r="BQ2149" s="128"/>
      <c r="BR2149" s="128"/>
      <c r="BS2149" s="128"/>
      <c r="BT2149" s="128"/>
      <c r="BU2149" s="128"/>
      <c r="BV2149" s="128"/>
      <c r="BW2149" s="128"/>
      <c r="BX2149" s="128"/>
      <c r="BY2149" s="128"/>
      <c r="BZ2149" s="128"/>
      <c r="CA2149" s="128"/>
      <c r="CB2149" s="128"/>
      <c r="CC2149" s="128"/>
      <c r="CD2149" s="128"/>
      <c r="CE2149" s="128"/>
      <c r="CF2149" s="128"/>
      <c r="CG2149" s="128"/>
      <c r="CI2149" s="128"/>
      <c r="CJ2149" s="128"/>
      <c r="CK2149" s="128"/>
      <c r="CL2149" s="128"/>
      <c r="CM2149" s="128"/>
      <c r="CN2149" s="128"/>
      <c r="CO2149" s="128"/>
      <c r="CP2149" s="128"/>
      <c r="CQ2149" s="128"/>
      <c r="CR2149" s="128"/>
      <c r="CS2149" s="128"/>
      <c r="CT2149" s="128"/>
      <c r="CU2149" s="128"/>
      <c r="CV2149" s="128"/>
      <c r="CW2149" s="128"/>
      <c r="CX2149" s="128"/>
      <c r="CY2149" s="128"/>
      <c r="CZ2149" s="165"/>
    </row>
    <row r="2150" spans="1:104">
      <c r="A2150" s="149"/>
      <c r="B2150" s="149"/>
      <c r="C2150" s="150"/>
      <c r="D2150" s="102"/>
      <c r="E2150" s="149"/>
      <c r="F2150" s="149"/>
      <c r="G2150" s="149"/>
      <c r="H2150" s="149"/>
      <c r="I2150" s="149"/>
      <c r="J2150" s="149"/>
      <c r="K2150" s="149"/>
      <c r="L2150" s="149"/>
      <c r="M2150" s="149"/>
      <c r="N2150" s="149"/>
      <c r="O2150" s="149"/>
      <c r="P2150" s="149"/>
      <c r="Q2150" s="149"/>
      <c r="R2150" s="149"/>
      <c r="S2150" s="149"/>
      <c r="T2150" s="149"/>
      <c r="U2150" s="149"/>
      <c r="V2150" s="149"/>
      <c r="W2150" s="149"/>
      <c r="X2150" s="149"/>
      <c r="Y2150" s="149"/>
      <c r="Z2150" s="149"/>
      <c r="AA2150" s="149"/>
      <c r="AB2150" s="149"/>
      <c r="AC2150" s="149"/>
      <c r="AD2150" s="149"/>
      <c r="AE2150" s="149"/>
      <c r="AF2150" s="149"/>
      <c r="AG2150" s="149"/>
      <c r="AH2150" s="149"/>
      <c r="AI2150" s="149"/>
      <c r="AJ2150" s="149"/>
      <c r="AK2150" s="149"/>
      <c r="AL2150" s="149"/>
      <c r="AM2150" s="149"/>
      <c r="AN2150" s="149"/>
      <c r="AO2150" s="128"/>
      <c r="AP2150" s="128"/>
      <c r="AQ2150" s="128"/>
      <c r="AR2150" s="128"/>
      <c r="AS2150" s="128"/>
      <c r="AT2150" s="128"/>
      <c r="AU2150" s="128"/>
      <c r="AV2150" s="128"/>
      <c r="AW2150" s="128"/>
      <c r="AX2150" s="128"/>
      <c r="AY2150" s="128"/>
      <c r="AZ2150" s="128"/>
      <c r="BA2150" s="128"/>
      <c r="BB2150" s="128"/>
      <c r="BC2150" s="128"/>
      <c r="BD2150" s="128"/>
      <c r="BE2150" s="128"/>
      <c r="BF2150" s="128"/>
      <c r="BG2150" s="128"/>
      <c r="BH2150" s="128"/>
      <c r="BI2150" s="128"/>
      <c r="BJ2150" s="128"/>
      <c r="BK2150" s="128"/>
      <c r="BL2150" s="128"/>
      <c r="BM2150" s="151"/>
      <c r="BN2150" s="128"/>
      <c r="BO2150" s="128"/>
      <c r="BP2150" s="128"/>
      <c r="BQ2150" s="128"/>
      <c r="BR2150" s="128"/>
      <c r="BS2150" s="128"/>
      <c r="BT2150" s="128"/>
      <c r="BU2150" s="128"/>
      <c r="BV2150" s="128"/>
      <c r="BW2150" s="128"/>
      <c r="BX2150" s="128"/>
      <c r="BY2150" s="128"/>
      <c r="BZ2150" s="128"/>
      <c r="CA2150" s="128"/>
      <c r="CB2150" s="128"/>
      <c r="CC2150" s="128"/>
      <c r="CD2150" s="128"/>
      <c r="CE2150" s="128"/>
      <c r="CF2150" s="128"/>
      <c r="CG2150" s="128"/>
      <c r="CI2150" s="128"/>
      <c r="CJ2150" s="128"/>
      <c r="CK2150" s="128"/>
      <c r="CL2150" s="128"/>
      <c r="CM2150" s="128"/>
      <c r="CN2150" s="128"/>
      <c r="CO2150" s="128"/>
      <c r="CP2150" s="128"/>
      <c r="CQ2150" s="128"/>
      <c r="CR2150" s="128"/>
      <c r="CS2150" s="128"/>
      <c r="CT2150" s="128"/>
      <c r="CU2150" s="128"/>
      <c r="CV2150" s="128"/>
      <c r="CW2150" s="128"/>
      <c r="CX2150" s="128"/>
      <c r="CY2150" s="128"/>
      <c r="CZ2150" s="165"/>
    </row>
    <row r="2151" spans="1:104">
      <c r="A2151" s="149"/>
      <c r="B2151" s="149"/>
      <c r="C2151" s="150"/>
      <c r="D2151" s="102"/>
      <c r="E2151" s="149"/>
      <c r="F2151" s="149"/>
      <c r="G2151" s="149"/>
      <c r="H2151" s="149"/>
      <c r="I2151" s="149"/>
      <c r="J2151" s="149"/>
      <c r="K2151" s="149"/>
      <c r="L2151" s="149"/>
      <c r="M2151" s="149"/>
      <c r="N2151" s="149"/>
      <c r="O2151" s="149"/>
      <c r="P2151" s="149"/>
      <c r="Q2151" s="149"/>
      <c r="R2151" s="149"/>
      <c r="S2151" s="149"/>
      <c r="T2151" s="149"/>
      <c r="U2151" s="149"/>
      <c r="V2151" s="149"/>
      <c r="W2151" s="149"/>
      <c r="X2151" s="149"/>
      <c r="Y2151" s="149"/>
      <c r="Z2151" s="149"/>
      <c r="AA2151" s="149"/>
      <c r="AB2151" s="149"/>
      <c r="AC2151" s="149"/>
      <c r="AD2151" s="149"/>
      <c r="AE2151" s="149"/>
      <c r="AF2151" s="149"/>
      <c r="AG2151" s="149"/>
      <c r="AH2151" s="149"/>
      <c r="AI2151" s="149"/>
      <c r="AJ2151" s="149"/>
      <c r="AK2151" s="149"/>
      <c r="AL2151" s="149"/>
      <c r="AM2151" s="149"/>
      <c r="AN2151" s="149"/>
      <c r="AO2151" s="128"/>
      <c r="AP2151" s="128"/>
      <c r="AQ2151" s="128"/>
      <c r="AR2151" s="128"/>
      <c r="AS2151" s="128"/>
      <c r="AT2151" s="128"/>
      <c r="AU2151" s="128"/>
      <c r="AV2151" s="128"/>
      <c r="AW2151" s="128"/>
      <c r="AX2151" s="128"/>
      <c r="AY2151" s="128"/>
      <c r="AZ2151" s="128"/>
      <c r="BA2151" s="128"/>
      <c r="BB2151" s="128"/>
      <c r="BC2151" s="128"/>
      <c r="BD2151" s="128"/>
      <c r="BE2151" s="128"/>
      <c r="BF2151" s="128"/>
      <c r="BG2151" s="128"/>
      <c r="BH2151" s="128"/>
      <c r="BI2151" s="128"/>
      <c r="BJ2151" s="128"/>
      <c r="BK2151" s="128"/>
      <c r="BL2151" s="128"/>
      <c r="BM2151" s="151"/>
      <c r="BN2151" s="128"/>
      <c r="BO2151" s="128"/>
      <c r="BP2151" s="128"/>
      <c r="BQ2151" s="128"/>
      <c r="BR2151" s="128"/>
      <c r="BS2151" s="128"/>
      <c r="BT2151" s="128"/>
      <c r="BU2151" s="128"/>
      <c r="BV2151" s="128"/>
      <c r="BW2151" s="128"/>
      <c r="BX2151" s="128"/>
      <c r="BY2151" s="128"/>
      <c r="BZ2151" s="128"/>
      <c r="CA2151" s="128"/>
      <c r="CB2151" s="128"/>
      <c r="CC2151" s="128"/>
      <c r="CD2151" s="128"/>
      <c r="CE2151" s="128"/>
      <c r="CF2151" s="128"/>
      <c r="CG2151" s="128"/>
      <c r="CI2151" s="128"/>
      <c r="CJ2151" s="128"/>
      <c r="CK2151" s="128"/>
      <c r="CL2151" s="128"/>
      <c r="CM2151" s="128"/>
      <c r="CN2151" s="128"/>
      <c r="CO2151" s="128"/>
      <c r="CP2151" s="128"/>
      <c r="CQ2151" s="128"/>
      <c r="CR2151" s="128"/>
      <c r="CS2151" s="128"/>
      <c r="CT2151" s="128"/>
      <c r="CU2151" s="128"/>
      <c r="CV2151" s="128"/>
      <c r="CW2151" s="128"/>
      <c r="CX2151" s="128"/>
      <c r="CY2151" s="128"/>
      <c r="CZ2151" s="165"/>
    </row>
    <row r="2152" spans="1:104">
      <c r="A2152" s="149"/>
      <c r="B2152" s="149"/>
      <c r="C2152" s="150"/>
      <c r="D2152" s="102"/>
      <c r="E2152" s="149"/>
      <c r="F2152" s="149"/>
      <c r="G2152" s="149"/>
      <c r="H2152" s="149"/>
      <c r="I2152" s="149"/>
      <c r="J2152" s="149"/>
      <c r="K2152" s="149"/>
      <c r="L2152" s="149"/>
      <c r="M2152" s="149"/>
      <c r="N2152" s="149"/>
      <c r="O2152" s="149"/>
      <c r="P2152" s="149"/>
      <c r="Q2152" s="149"/>
      <c r="R2152" s="149"/>
      <c r="S2152" s="149"/>
      <c r="T2152" s="149"/>
      <c r="U2152" s="149"/>
      <c r="V2152" s="149"/>
      <c r="W2152" s="149"/>
      <c r="X2152" s="149"/>
      <c r="Y2152" s="149"/>
      <c r="Z2152" s="149"/>
      <c r="AA2152" s="149"/>
      <c r="AB2152" s="149"/>
      <c r="AC2152" s="149"/>
      <c r="AD2152" s="149"/>
      <c r="AE2152" s="149"/>
      <c r="AF2152" s="149"/>
      <c r="AG2152" s="149"/>
      <c r="AH2152" s="149"/>
      <c r="AI2152" s="149"/>
      <c r="AJ2152" s="149"/>
      <c r="AK2152" s="149"/>
      <c r="AL2152" s="149"/>
      <c r="AM2152" s="149"/>
      <c r="AN2152" s="149"/>
      <c r="AO2152" s="128"/>
      <c r="AP2152" s="128"/>
      <c r="AQ2152" s="128"/>
      <c r="AR2152" s="128"/>
      <c r="AS2152" s="128"/>
      <c r="AT2152" s="128"/>
      <c r="AU2152" s="128"/>
      <c r="AV2152" s="128"/>
      <c r="AW2152" s="128"/>
      <c r="AX2152" s="128"/>
      <c r="AY2152" s="128"/>
      <c r="AZ2152" s="128"/>
      <c r="BA2152" s="128"/>
      <c r="BB2152" s="128"/>
      <c r="BC2152" s="128"/>
      <c r="BD2152" s="128"/>
      <c r="BE2152" s="128"/>
      <c r="BF2152" s="128"/>
      <c r="BG2152" s="128"/>
      <c r="BH2152" s="128"/>
      <c r="BI2152" s="128"/>
      <c r="BJ2152" s="128"/>
      <c r="BK2152" s="128"/>
      <c r="BL2152" s="128"/>
      <c r="BM2152" s="151"/>
      <c r="BN2152" s="128"/>
      <c r="BO2152" s="128"/>
      <c r="BP2152" s="128"/>
      <c r="BQ2152" s="128"/>
      <c r="BR2152" s="128"/>
      <c r="BS2152" s="128"/>
      <c r="BT2152" s="128"/>
      <c r="BU2152" s="128"/>
      <c r="BV2152" s="128"/>
      <c r="BW2152" s="128"/>
      <c r="BX2152" s="128"/>
      <c r="BY2152" s="128"/>
      <c r="BZ2152" s="128"/>
      <c r="CA2152" s="128"/>
      <c r="CB2152" s="128"/>
      <c r="CC2152" s="128"/>
      <c r="CD2152" s="128"/>
      <c r="CE2152" s="128"/>
      <c r="CF2152" s="128"/>
      <c r="CG2152" s="128"/>
      <c r="CI2152" s="128"/>
      <c r="CJ2152" s="128"/>
      <c r="CK2152" s="128"/>
      <c r="CL2152" s="128"/>
      <c r="CM2152" s="128"/>
      <c r="CN2152" s="128"/>
      <c r="CO2152" s="128"/>
      <c r="CP2152" s="128"/>
      <c r="CQ2152" s="128"/>
      <c r="CR2152" s="128"/>
      <c r="CS2152" s="128"/>
      <c r="CT2152" s="128"/>
      <c r="CU2152" s="128"/>
      <c r="CV2152" s="128"/>
      <c r="CW2152" s="128"/>
      <c r="CX2152" s="128"/>
      <c r="CY2152" s="128"/>
      <c r="CZ2152" s="165"/>
    </row>
    <row r="2153" spans="1:104">
      <c r="A2153" s="149"/>
      <c r="B2153" s="149"/>
      <c r="C2153" s="150"/>
      <c r="D2153" s="102"/>
      <c r="E2153" s="149"/>
      <c r="F2153" s="149"/>
      <c r="G2153" s="149"/>
      <c r="H2153" s="149"/>
      <c r="I2153" s="149"/>
      <c r="J2153" s="149"/>
      <c r="K2153" s="149"/>
      <c r="L2153" s="149"/>
      <c r="M2153" s="149"/>
      <c r="N2153" s="149"/>
      <c r="O2153" s="149"/>
      <c r="P2153" s="149"/>
      <c r="Q2153" s="149"/>
      <c r="R2153" s="149"/>
      <c r="S2153" s="149"/>
      <c r="T2153" s="149"/>
      <c r="U2153" s="149"/>
      <c r="V2153" s="149"/>
      <c r="W2153" s="149"/>
      <c r="X2153" s="149"/>
      <c r="Y2153" s="149"/>
      <c r="Z2153" s="149"/>
      <c r="AA2153" s="149"/>
      <c r="AB2153" s="149"/>
      <c r="AC2153" s="149"/>
      <c r="AD2153" s="149"/>
      <c r="AE2153" s="149"/>
      <c r="AF2153" s="149"/>
      <c r="AG2153" s="149"/>
      <c r="AH2153" s="149"/>
      <c r="AI2153" s="149"/>
      <c r="AJ2153" s="149"/>
      <c r="AK2153" s="149"/>
      <c r="AL2153" s="149"/>
      <c r="AM2153" s="149"/>
      <c r="AN2153" s="149"/>
      <c r="AO2153" s="128"/>
      <c r="AP2153" s="128"/>
      <c r="AQ2153" s="128"/>
      <c r="AR2153" s="128"/>
      <c r="AS2153" s="128"/>
      <c r="AT2153" s="128"/>
      <c r="AU2153" s="128"/>
      <c r="AV2153" s="128"/>
      <c r="AW2153" s="128"/>
      <c r="AX2153" s="128"/>
      <c r="AY2153" s="128"/>
      <c r="AZ2153" s="128"/>
      <c r="BA2153" s="128"/>
      <c r="BB2153" s="128"/>
      <c r="BC2153" s="128"/>
      <c r="BD2153" s="128"/>
      <c r="BE2153" s="128"/>
      <c r="BF2153" s="128"/>
      <c r="BG2153" s="128"/>
      <c r="BH2153" s="128"/>
      <c r="BI2153" s="128"/>
      <c r="BJ2153" s="128"/>
      <c r="BK2153" s="128"/>
      <c r="BL2153" s="128"/>
      <c r="BM2153" s="151"/>
      <c r="BN2153" s="128"/>
      <c r="BO2153" s="128"/>
      <c r="BP2153" s="128"/>
      <c r="BQ2153" s="128"/>
      <c r="BR2153" s="128"/>
      <c r="BS2153" s="128"/>
      <c r="BT2153" s="128"/>
      <c r="BU2153" s="128"/>
      <c r="BV2153" s="128"/>
      <c r="BW2153" s="128"/>
      <c r="BX2153" s="128"/>
      <c r="BY2153" s="128"/>
      <c r="BZ2153" s="128"/>
      <c r="CA2153" s="128"/>
      <c r="CB2153" s="128"/>
      <c r="CC2153" s="128"/>
      <c r="CD2153" s="128"/>
      <c r="CE2153" s="128"/>
      <c r="CF2153" s="128"/>
      <c r="CG2153" s="128"/>
      <c r="CI2153" s="128"/>
      <c r="CJ2153" s="128"/>
      <c r="CK2153" s="128"/>
      <c r="CL2153" s="128"/>
      <c r="CM2153" s="128"/>
      <c r="CN2153" s="128"/>
      <c r="CO2153" s="128"/>
      <c r="CP2153" s="128"/>
      <c r="CQ2153" s="128"/>
      <c r="CR2153" s="128"/>
      <c r="CS2153" s="128"/>
      <c r="CT2153" s="128"/>
      <c r="CU2153" s="128"/>
      <c r="CV2153" s="128"/>
      <c r="CW2153" s="128"/>
      <c r="CX2153" s="128"/>
      <c r="CY2153" s="128"/>
      <c r="CZ2153" s="165"/>
    </row>
    <row r="2154" spans="1:104">
      <c r="A2154" s="149"/>
      <c r="B2154" s="149"/>
      <c r="C2154" s="150"/>
      <c r="D2154" s="102"/>
      <c r="E2154" s="149"/>
      <c r="F2154" s="149"/>
      <c r="G2154" s="149"/>
      <c r="H2154" s="149"/>
      <c r="I2154" s="149"/>
      <c r="J2154" s="149"/>
      <c r="K2154" s="149"/>
      <c r="L2154" s="149"/>
      <c r="M2154" s="149"/>
      <c r="N2154" s="149"/>
      <c r="O2154" s="149"/>
      <c r="P2154" s="149"/>
      <c r="Q2154" s="149"/>
      <c r="R2154" s="149"/>
      <c r="S2154" s="149"/>
      <c r="T2154" s="149"/>
      <c r="U2154" s="149"/>
      <c r="V2154" s="149"/>
      <c r="W2154" s="149"/>
      <c r="X2154" s="149"/>
      <c r="Y2154" s="149"/>
      <c r="Z2154" s="149"/>
      <c r="AA2154" s="149"/>
      <c r="AB2154" s="149"/>
      <c r="AC2154" s="149"/>
      <c r="AD2154" s="149"/>
      <c r="AE2154" s="149"/>
      <c r="AF2154" s="149"/>
      <c r="AG2154" s="149"/>
      <c r="AH2154" s="149"/>
      <c r="AI2154" s="149"/>
      <c r="AJ2154" s="149"/>
      <c r="AK2154" s="149"/>
      <c r="AL2154" s="149"/>
      <c r="AM2154" s="149"/>
      <c r="AN2154" s="149"/>
      <c r="AO2154" s="128"/>
      <c r="AP2154" s="128"/>
      <c r="AQ2154" s="128"/>
      <c r="AR2154" s="128"/>
      <c r="AS2154" s="128"/>
      <c r="AT2154" s="128"/>
      <c r="AU2154" s="128"/>
      <c r="AV2154" s="128"/>
      <c r="AW2154" s="128"/>
      <c r="AX2154" s="128"/>
      <c r="AY2154" s="128"/>
      <c r="AZ2154" s="128"/>
      <c r="BA2154" s="128"/>
      <c r="BB2154" s="128"/>
      <c r="BC2154" s="128"/>
      <c r="BD2154" s="128"/>
      <c r="BE2154" s="128"/>
      <c r="BF2154" s="128"/>
      <c r="BG2154" s="128"/>
      <c r="BH2154" s="128"/>
      <c r="BI2154" s="128"/>
      <c r="BJ2154" s="128"/>
      <c r="BK2154" s="128"/>
      <c r="BL2154" s="128"/>
      <c r="BM2154" s="151"/>
      <c r="BN2154" s="128"/>
      <c r="BO2154" s="128"/>
      <c r="BP2154" s="128"/>
      <c r="BQ2154" s="128"/>
      <c r="BR2154" s="128"/>
      <c r="BS2154" s="128"/>
      <c r="BT2154" s="128"/>
      <c r="BU2154" s="128"/>
      <c r="BV2154" s="128"/>
      <c r="BW2154" s="128"/>
      <c r="BX2154" s="128"/>
      <c r="BY2154" s="128"/>
      <c r="BZ2154" s="128"/>
      <c r="CA2154" s="128"/>
      <c r="CB2154" s="128"/>
      <c r="CC2154" s="128"/>
      <c r="CD2154" s="128"/>
      <c r="CE2154" s="128"/>
      <c r="CF2154" s="128"/>
      <c r="CG2154" s="128"/>
      <c r="CI2154" s="128"/>
      <c r="CJ2154" s="128"/>
      <c r="CK2154" s="128"/>
      <c r="CL2154" s="128"/>
      <c r="CM2154" s="128"/>
      <c r="CN2154" s="128"/>
      <c r="CO2154" s="128"/>
      <c r="CP2154" s="128"/>
      <c r="CQ2154" s="128"/>
      <c r="CR2154" s="128"/>
      <c r="CS2154" s="128"/>
      <c r="CT2154" s="128"/>
      <c r="CU2154" s="128"/>
      <c r="CV2154" s="128"/>
      <c r="CW2154" s="128"/>
      <c r="CX2154" s="128"/>
      <c r="CY2154" s="128"/>
      <c r="CZ2154" s="165"/>
    </row>
    <row r="2155" spans="1:104">
      <c r="A2155" s="149"/>
      <c r="B2155" s="149"/>
      <c r="C2155" s="150"/>
      <c r="D2155" s="102"/>
      <c r="E2155" s="149"/>
      <c r="F2155" s="149"/>
      <c r="G2155" s="149"/>
      <c r="H2155" s="149"/>
      <c r="I2155" s="149"/>
      <c r="J2155" s="149"/>
      <c r="K2155" s="149"/>
      <c r="L2155" s="149"/>
      <c r="M2155" s="149"/>
      <c r="N2155" s="149"/>
      <c r="O2155" s="149"/>
      <c r="P2155" s="149"/>
      <c r="Q2155" s="149"/>
      <c r="R2155" s="149"/>
      <c r="S2155" s="149"/>
      <c r="T2155" s="149"/>
      <c r="U2155" s="149"/>
      <c r="V2155" s="149"/>
      <c r="W2155" s="149"/>
      <c r="X2155" s="149"/>
      <c r="Y2155" s="149"/>
      <c r="Z2155" s="149"/>
      <c r="AA2155" s="149"/>
      <c r="AB2155" s="149"/>
      <c r="AC2155" s="149"/>
      <c r="AD2155" s="149"/>
      <c r="AE2155" s="149"/>
      <c r="AF2155" s="149"/>
      <c r="AG2155" s="149"/>
      <c r="AH2155" s="149"/>
      <c r="AI2155" s="149"/>
      <c r="AJ2155" s="149"/>
      <c r="AK2155" s="149"/>
      <c r="AL2155" s="149"/>
      <c r="AM2155" s="149"/>
      <c r="AN2155" s="149"/>
      <c r="AO2155" s="128"/>
      <c r="AP2155" s="128"/>
      <c r="AQ2155" s="128"/>
      <c r="AR2155" s="128"/>
      <c r="AS2155" s="128"/>
      <c r="AT2155" s="128"/>
      <c r="AU2155" s="128"/>
      <c r="AV2155" s="128"/>
      <c r="AW2155" s="128"/>
      <c r="AX2155" s="128"/>
      <c r="AY2155" s="128"/>
      <c r="AZ2155" s="128"/>
      <c r="BA2155" s="128"/>
      <c r="BB2155" s="128"/>
      <c r="BC2155" s="128"/>
      <c r="BD2155" s="128"/>
      <c r="BE2155" s="128"/>
      <c r="BF2155" s="128"/>
      <c r="BG2155" s="128"/>
      <c r="BH2155" s="128"/>
      <c r="BI2155" s="128"/>
      <c r="BJ2155" s="128"/>
      <c r="BK2155" s="128"/>
      <c r="BL2155" s="128"/>
      <c r="BM2155" s="151"/>
      <c r="BN2155" s="128"/>
      <c r="BO2155" s="128"/>
      <c r="BP2155" s="128"/>
      <c r="BQ2155" s="128"/>
      <c r="BR2155" s="128"/>
      <c r="BS2155" s="128"/>
      <c r="BT2155" s="128"/>
      <c r="BU2155" s="128"/>
      <c r="BV2155" s="128"/>
      <c r="BW2155" s="128"/>
      <c r="BX2155" s="128"/>
      <c r="BY2155" s="128"/>
      <c r="BZ2155" s="128"/>
      <c r="CA2155" s="128"/>
      <c r="CB2155" s="128"/>
      <c r="CC2155" s="128"/>
      <c r="CD2155" s="128"/>
      <c r="CE2155" s="128"/>
      <c r="CF2155" s="128"/>
      <c r="CG2155" s="128"/>
      <c r="CI2155" s="128"/>
      <c r="CJ2155" s="128"/>
      <c r="CK2155" s="128"/>
      <c r="CL2155" s="128"/>
      <c r="CM2155" s="128"/>
      <c r="CN2155" s="128"/>
      <c r="CO2155" s="128"/>
      <c r="CP2155" s="128"/>
      <c r="CQ2155" s="128"/>
      <c r="CR2155" s="128"/>
      <c r="CS2155" s="128"/>
      <c r="CT2155" s="128"/>
      <c r="CU2155" s="128"/>
      <c r="CV2155" s="128"/>
      <c r="CW2155" s="128"/>
      <c r="CX2155" s="128"/>
      <c r="CY2155" s="128"/>
      <c r="CZ2155" s="165"/>
    </row>
    <row r="2156" spans="1:104">
      <c r="A2156" s="149"/>
      <c r="B2156" s="149"/>
      <c r="C2156" s="150"/>
      <c r="D2156" s="102"/>
      <c r="E2156" s="149"/>
      <c r="F2156" s="149"/>
      <c r="G2156" s="149"/>
      <c r="H2156" s="149"/>
      <c r="I2156" s="149"/>
      <c r="J2156" s="149"/>
      <c r="K2156" s="149"/>
      <c r="L2156" s="149"/>
      <c r="M2156" s="149"/>
      <c r="N2156" s="149"/>
      <c r="O2156" s="149"/>
      <c r="P2156" s="149"/>
      <c r="Q2156" s="149"/>
      <c r="R2156" s="149"/>
      <c r="S2156" s="149"/>
      <c r="T2156" s="149"/>
      <c r="U2156" s="149"/>
      <c r="V2156" s="149"/>
      <c r="W2156" s="149"/>
      <c r="X2156" s="149"/>
      <c r="Y2156" s="149"/>
      <c r="Z2156" s="149"/>
      <c r="AA2156" s="149"/>
      <c r="AB2156" s="149"/>
      <c r="AC2156" s="149"/>
      <c r="AD2156" s="149"/>
      <c r="AE2156" s="149"/>
      <c r="AF2156" s="149"/>
      <c r="AG2156" s="149"/>
      <c r="AH2156" s="149"/>
      <c r="AI2156" s="149"/>
      <c r="AJ2156" s="149"/>
      <c r="AK2156" s="149"/>
      <c r="AL2156" s="149"/>
      <c r="AM2156" s="149"/>
      <c r="AN2156" s="149"/>
      <c r="AO2156" s="128"/>
      <c r="AP2156" s="128"/>
      <c r="AQ2156" s="128"/>
      <c r="AR2156" s="128"/>
      <c r="AS2156" s="128"/>
      <c r="AT2156" s="128"/>
      <c r="AU2156" s="128"/>
      <c r="AV2156" s="128"/>
      <c r="AW2156" s="128"/>
      <c r="AX2156" s="128"/>
      <c r="AY2156" s="128"/>
      <c r="AZ2156" s="128"/>
      <c r="BA2156" s="128"/>
      <c r="BB2156" s="128"/>
      <c r="BC2156" s="128"/>
      <c r="BD2156" s="128"/>
      <c r="BE2156" s="128"/>
      <c r="BF2156" s="128"/>
      <c r="BG2156" s="128"/>
      <c r="BH2156" s="128"/>
      <c r="BI2156" s="128"/>
      <c r="BJ2156" s="128"/>
      <c r="BK2156" s="128"/>
      <c r="BL2156" s="128"/>
      <c r="BM2156" s="151"/>
      <c r="BN2156" s="128"/>
      <c r="BO2156" s="128"/>
      <c r="BP2156" s="128"/>
      <c r="BQ2156" s="128"/>
      <c r="BR2156" s="128"/>
      <c r="BS2156" s="128"/>
      <c r="BT2156" s="128"/>
      <c r="BU2156" s="128"/>
      <c r="BV2156" s="128"/>
      <c r="BW2156" s="128"/>
      <c r="BX2156" s="128"/>
      <c r="BY2156" s="128"/>
      <c r="BZ2156" s="128"/>
      <c r="CA2156" s="128"/>
      <c r="CB2156" s="128"/>
      <c r="CC2156" s="128"/>
      <c r="CD2156" s="128"/>
      <c r="CE2156" s="128"/>
      <c r="CF2156" s="128"/>
      <c r="CG2156" s="128"/>
      <c r="CI2156" s="128"/>
      <c r="CJ2156" s="128"/>
      <c r="CK2156" s="128"/>
      <c r="CL2156" s="128"/>
      <c r="CM2156" s="128"/>
      <c r="CN2156" s="128"/>
      <c r="CO2156" s="128"/>
      <c r="CP2156" s="128"/>
      <c r="CQ2156" s="128"/>
      <c r="CR2156" s="128"/>
      <c r="CS2156" s="128"/>
      <c r="CT2156" s="128"/>
      <c r="CU2156" s="128"/>
      <c r="CV2156" s="128"/>
      <c r="CW2156" s="128"/>
      <c r="CX2156" s="128"/>
      <c r="CY2156" s="128"/>
      <c r="CZ2156" s="165"/>
    </row>
    <row r="2157" spans="1:104">
      <c r="A2157" s="149"/>
      <c r="B2157" s="149"/>
      <c r="C2157" s="150"/>
      <c r="D2157" s="102"/>
      <c r="E2157" s="149"/>
      <c r="F2157" s="149"/>
      <c r="G2157" s="149"/>
      <c r="H2157" s="149"/>
      <c r="I2157" s="149"/>
      <c r="J2157" s="149"/>
      <c r="K2157" s="149"/>
      <c r="L2157" s="149"/>
      <c r="M2157" s="149"/>
      <c r="N2157" s="149"/>
      <c r="O2157" s="149"/>
      <c r="P2157" s="149"/>
      <c r="Q2157" s="149"/>
      <c r="R2157" s="149"/>
      <c r="S2157" s="149"/>
      <c r="T2157" s="149"/>
      <c r="U2157" s="149"/>
      <c r="V2157" s="149"/>
      <c r="W2157" s="149"/>
      <c r="X2157" s="149"/>
      <c r="Y2157" s="149"/>
      <c r="Z2157" s="149"/>
      <c r="AA2157" s="149"/>
      <c r="AB2157" s="149"/>
      <c r="AC2157" s="149"/>
      <c r="AD2157" s="149"/>
      <c r="AE2157" s="149"/>
      <c r="AF2157" s="149"/>
      <c r="AG2157" s="149"/>
      <c r="AH2157" s="149"/>
      <c r="AI2157" s="149"/>
      <c r="AJ2157" s="149"/>
      <c r="AK2157" s="149"/>
      <c r="AL2157" s="149"/>
      <c r="AM2157" s="149"/>
      <c r="AN2157" s="149"/>
      <c r="AO2157" s="128"/>
      <c r="AP2157" s="128"/>
      <c r="AQ2157" s="128"/>
      <c r="AR2157" s="128"/>
      <c r="AS2157" s="128"/>
      <c r="AT2157" s="128"/>
      <c r="AU2157" s="128"/>
      <c r="AV2157" s="128"/>
      <c r="AW2157" s="128"/>
      <c r="AX2157" s="128"/>
      <c r="AY2157" s="128"/>
      <c r="AZ2157" s="128"/>
      <c r="BA2157" s="128"/>
      <c r="BB2157" s="128"/>
      <c r="BC2157" s="128"/>
      <c r="BD2157" s="128"/>
      <c r="BE2157" s="128"/>
      <c r="BF2157" s="128"/>
      <c r="BG2157" s="128"/>
      <c r="BH2157" s="128"/>
      <c r="BI2157" s="128"/>
      <c r="BJ2157" s="128"/>
      <c r="BK2157" s="128"/>
      <c r="BL2157" s="128"/>
      <c r="BM2157" s="151"/>
      <c r="BN2157" s="128"/>
      <c r="BO2157" s="128"/>
      <c r="BP2157" s="128"/>
      <c r="BQ2157" s="128"/>
      <c r="BR2157" s="128"/>
      <c r="BS2157" s="128"/>
      <c r="BT2157" s="128"/>
      <c r="BU2157" s="128"/>
      <c r="BV2157" s="128"/>
      <c r="BW2157" s="128"/>
      <c r="BX2157" s="128"/>
      <c r="BY2157" s="128"/>
      <c r="BZ2157" s="128"/>
      <c r="CA2157" s="128"/>
      <c r="CB2157" s="128"/>
      <c r="CC2157" s="128"/>
      <c r="CD2157" s="128"/>
      <c r="CE2157" s="128"/>
      <c r="CF2157" s="128"/>
      <c r="CG2157" s="128"/>
      <c r="CI2157" s="128"/>
      <c r="CJ2157" s="128"/>
      <c r="CK2157" s="128"/>
      <c r="CL2157" s="128"/>
      <c r="CM2157" s="128"/>
      <c r="CN2157" s="128"/>
      <c r="CO2157" s="128"/>
      <c r="CP2157" s="128"/>
      <c r="CQ2157" s="128"/>
      <c r="CR2157" s="128"/>
      <c r="CS2157" s="128"/>
      <c r="CT2157" s="128"/>
      <c r="CU2157" s="128"/>
      <c r="CV2157" s="128"/>
      <c r="CW2157" s="128"/>
      <c r="CX2157" s="128"/>
      <c r="CY2157" s="128"/>
      <c r="CZ2157" s="165"/>
    </row>
    <row r="2158" spans="1:104">
      <c r="A2158" s="149"/>
      <c r="B2158" s="149"/>
      <c r="C2158" s="150"/>
      <c r="D2158" s="102"/>
      <c r="E2158" s="149"/>
      <c r="F2158" s="149"/>
      <c r="G2158" s="149"/>
      <c r="H2158" s="149"/>
      <c r="I2158" s="149"/>
      <c r="J2158" s="149"/>
      <c r="K2158" s="149"/>
      <c r="L2158" s="149"/>
      <c r="M2158" s="149"/>
      <c r="N2158" s="149"/>
      <c r="O2158" s="149"/>
      <c r="P2158" s="149"/>
      <c r="Q2158" s="149"/>
      <c r="R2158" s="149"/>
      <c r="S2158" s="149"/>
      <c r="T2158" s="149"/>
      <c r="U2158" s="149"/>
      <c r="V2158" s="149"/>
      <c r="W2158" s="149"/>
      <c r="X2158" s="149"/>
      <c r="Y2158" s="149"/>
      <c r="Z2158" s="149"/>
      <c r="AA2158" s="149"/>
      <c r="AB2158" s="149"/>
      <c r="AC2158" s="149"/>
      <c r="AD2158" s="149"/>
      <c r="AE2158" s="149"/>
      <c r="AF2158" s="149"/>
      <c r="AG2158" s="149"/>
      <c r="AH2158" s="149"/>
      <c r="AI2158" s="149"/>
      <c r="AJ2158" s="149"/>
      <c r="AK2158" s="149"/>
      <c r="AL2158" s="149"/>
      <c r="AM2158" s="149"/>
      <c r="AN2158" s="149"/>
      <c r="AO2158" s="128"/>
      <c r="AP2158" s="128"/>
      <c r="AQ2158" s="128"/>
      <c r="AR2158" s="128"/>
      <c r="AS2158" s="128"/>
      <c r="AT2158" s="128"/>
      <c r="AU2158" s="128"/>
      <c r="AV2158" s="128"/>
      <c r="AW2158" s="128"/>
      <c r="AX2158" s="128"/>
      <c r="AY2158" s="128"/>
      <c r="AZ2158" s="128"/>
      <c r="BA2158" s="128"/>
      <c r="BB2158" s="128"/>
      <c r="BC2158" s="128"/>
      <c r="BD2158" s="128"/>
      <c r="BE2158" s="128"/>
      <c r="BF2158" s="128"/>
      <c r="BG2158" s="128"/>
      <c r="BH2158" s="128"/>
      <c r="BI2158" s="128"/>
      <c r="BJ2158" s="128"/>
      <c r="BK2158" s="128"/>
      <c r="BL2158" s="128"/>
      <c r="BM2158" s="151"/>
      <c r="BN2158" s="128"/>
      <c r="BO2158" s="128"/>
      <c r="BP2158" s="128"/>
      <c r="BQ2158" s="128"/>
      <c r="BR2158" s="128"/>
      <c r="BS2158" s="128"/>
      <c r="BT2158" s="128"/>
      <c r="BU2158" s="128"/>
      <c r="BV2158" s="128"/>
      <c r="BW2158" s="128"/>
      <c r="BX2158" s="128"/>
      <c r="BY2158" s="128"/>
      <c r="BZ2158" s="128"/>
      <c r="CA2158" s="128"/>
      <c r="CB2158" s="128"/>
      <c r="CC2158" s="128"/>
      <c r="CD2158" s="128"/>
      <c r="CE2158" s="128"/>
      <c r="CF2158" s="128"/>
      <c r="CG2158" s="128"/>
      <c r="CI2158" s="128"/>
      <c r="CJ2158" s="128"/>
      <c r="CK2158" s="128"/>
      <c r="CL2158" s="128"/>
      <c r="CM2158" s="128"/>
      <c r="CN2158" s="128"/>
      <c r="CO2158" s="128"/>
      <c r="CP2158" s="128"/>
      <c r="CQ2158" s="128"/>
      <c r="CR2158" s="128"/>
      <c r="CS2158" s="128"/>
      <c r="CT2158" s="128"/>
      <c r="CU2158" s="128"/>
      <c r="CV2158" s="128"/>
      <c r="CW2158" s="128"/>
      <c r="CX2158" s="128"/>
      <c r="CY2158" s="128"/>
      <c r="CZ2158" s="165"/>
    </row>
    <row r="2159" spans="1:104">
      <c r="A2159" s="149"/>
      <c r="B2159" s="149"/>
      <c r="C2159" s="150"/>
      <c r="D2159" s="102"/>
      <c r="E2159" s="149"/>
      <c r="F2159" s="149"/>
      <c r="G2159" s="149"/>
      <c r="H2159" s="149"/>
      <c r="I2159" s="149"/>
      <c r="J2159" s="149"/>
      <c r="K2159" s="149"/>
      <c r="L2159" s="149"/>
      <c r="M2159" s="149"/>
      <c r="N2159" s="149"/>
      <c r="O2159" s="149"/>
      <c r="P2159" s="149"/>
      <c r="Q2159" s="149"/>
      <c r="R2159" s="149"/>
      <c r="S2159" s="149"/>
      <c r="T2159" s="149"/>
      <c r="U2159" s="149"/>
      <c r="V2159" s="149"/>
      <c r="W2159" s="149"/>
      <c r="X2159" s="149"/>
      <c r="Y2159" s="149"/>
      <c r="Z2159" s="149"/>
      <c r="AA2159" s="149"/>
      <c r="AB2159" s="149"/>
      <c r="AC2159" s="149"/>
      <c r="AD2159" s="149"/>
      <c r="AE2159" s="149"/>
      <c r="AF2159" s="149"/>
      <c r="AG2159" s="149"/>
      <c r="AH2159" s="149"/>
      <c r="AI2159" s="149"/>
      <c r="AJ2159" s="149"/>
      <c r="AK2159" s="149"/>
      <c r="AL2159" s="149"/>
      <c r="AM2159" s="149"/>
      <c r="AN2159" s="149"/>
      <c r="AO2159" s="128"/>
      <c r="AP2159" s="128"/>
      <c r="AQ2159" s="128"/>
      <c r="AR2159" s="128"/>
      <c r="AS2159" s="128"/>
      <c r="AT2159" s="128"/>
      <c r="AU2159" s="128"/>
      <c r="AV2159" s="128"/>
      <c r="AW2159" s="128"/>
      <c r="AX2159" s="128"/>
      <c r="AY2159" s="128"/>
      <c r="AZ2159" s="128"/>
      <c r="BA2159" s="128"/>
      <c r="BB2159" s="128"/>
      <c r="BC2159" s="128"/>
      <c r="BD2159" s="128"/>
      <c r="BE2159" s="128"/>
      <c r="BF2159" s="128"/>
      <c r="BG2159" s="128"/>
      <c r="BH2159" s="128"/>
      <c r="BI2159" s="128"/>
      <c r="BJ2159" s="128"/>
      <c r="BK2159" s="128"/>
      <c r="BL2159" s="128"/>
      <c r="BM2159" s="151"/>
      <c r="BN2159" s="128"/>
      <c r="BO2159" s="128"/>
      <c r="BP2159" s="128"/>
      <c r="BQ2159" s="128"/>
      <c r="BR2159" s="128"/>
      <c r="BS2159" s="128"/>
      <c r="BT2159" s="128"/>
      <c r="BU2159" s="128"/>
      <c r="BV2159" s="128"/>
      <c r="BW2159" s="128"/>
      <c r="BX2159" s="128"/>
      <c r="BY2159" s="128"/>
      <c r="BZ2159" s="128"/>
      <c r="CA2159" s="128"/>
      <c r="CB2159" s="128"/>
      <c r="CC2159" s="128"/>
      <c r="CD2159" s="128"/>
      <c r="CE2159" s="128"/>
      <c r="CF2159" s="128"/>
      <c r="CG2159" s="128"/>
      <c r="CI2159" s="128"/>
      <c r="CJ2159" s="128"/>
      <c r="CK2159" s="128"/>
      <c r="CL2159" s="128"/>
      <c r="CM2159" s="128"/>
      <c r="CN2159" s="128"/>
      <c r="CO2159" s="128"/>
      <c r="CP2159" s="128"/>
      <c r="CQ2159" s="128"/>
      <c r="CR2159" s="128"/>
      <c r="CS2159" s="128"/>
      <c r="CT2159" s="128"/>
      <c r="CU2159" s="128"/>
      <c r="CV2159" s="128"/>
      <c r="CW2159" s="128"/>
      <c r="CX2159" s="128"/>
      <c r="CY2159" s="128"/>
      <c r="CZ2159" s="165"/>
    </row>
    <row r="2160" spans="1:104">
      <c r="A2160" s="149"/>
      <c r="B2160" s="149"/>
      <c r="C2160" s="150"/>
      <c r="D2160" s="102"/>
      <c r="E2160" s="149"/>
      <c r="F2160" s="149"/>
      <c r="G2160" s="149"/>
      <c r="H2160" s="149"/>
      <c r="I2160" s="149"/>
      <c r="J2160" s="149"/>
      <c r="K2160" s="149"/>
      <c r="L2160" s="149"/>
      <c r="M2160" s="149"/>
      <c r="N2160" s="149"/>
      <c r="O2160" s="149"/>
      <c r="P2160" s="149"/>
      <c r="Q2160" s="149"/>
      <c r="R2160" s="149"/>
      <c r="S2160" s="149"/>
      <c r="T2160" s="149"/>
      <c r="U2160" s="149"/>
      <c r="V2160" s="149"/>
      <c r="W2160" s="149"/>
      <c r="X2160" s="149"/>
      <c r="Y2160" s="149"/>
      <c r="Z2160" s="149"/>
      <c r="AA2160" s="149"/>
      <c r="AB2160" s="149"/>
      <c r="AC2160" s="149"/>
      <c r="AD2160" s="149"/>
      <c r="AE2160" s="149"/>
      <c r="AF2160" s="149"/>
      <c r="AG2160" s="149"/>
      <c r="AH2160" s="149"/>
      <c r="AI2160" s="149"/>
      <c r="AJ2160" s="149"/>
      <c r="AK2160" s="149"/>
      <c r="AL2160" s="149"/>
      <c r="AM2160" s="149"/>
      <c r="AN2160" s="149"/>
      <c r="AO2160" s="128"/>
      <c r="AP2160" s="128"/>
      <c r="AQ2160" s="128"/>
      <c r="AR2160" s="128"/>
      <c r="AS2160" s="128"/>
      <c r="AT2160" s="128"/>
      <c r="AU2160" s="128"/>
      <c r="AV2160" s="128"/>
      <c r="AW2160" s="128"/>
      <c r="AX2160" s="128"/>
      <c r="AY2160" s="128"/>
      <c r="AZ2160" s="128"/>
      <c r="BA2160" s="128"/>
      <c r="BB2160" s="128"/>
      <c r="BC2160" s="128"/>
      <c r="BD2160" s="128"/>
      <c r="BE2160" s="128"/>
      <c r="BF2160" s="128"/>
      <c r="BG2160" s="128"/>
      <c r="BH2160" s="128"/>
      <c r="BI2160" s="128"/>
      <c r="BJ2160" s="128"/>
      <c r="BK2160" s="128"/>
      <c r="BL2160" s="128"/>
      <c r="BM2160" s="151"/>
      <c r="BN2160" s="128"/>
      <c r="BO2160" s="128"/>
      <c r="BP2160" s="128"/>
      <c r="BQ2160" s="128"/>
      <c r="BR2160" s="128"/>
      <c r="BS2160" s="128"/>
      <c r="BT2160" s="128"/>
      <c r="BU2160" s="128"/>
      <c r="BV2160" s="128"/>
      <c r="BW2160" s="128"/>
      <c r="BX2160" s="128"/>
      <c r="BY2160" s="128"/>
      <c r="BZ2160" s="128"/>
      <c r="CA2160" s="128"/>
      <c r="CB2160" s="128"/>
      <c r="CC2160" s="128"/>
      <c r="CD2160" s="128"/>
      <c r="CE2160" s="128"/>
      <c r="CF2160" s="128"/>
      <c r="CG2160" s="128"/>
      <c r="CI2160" s="128"/>
      <c r="CJ2160" s="128"/>
      <c r="CK2160" s="128"/>
      <c r="CL2160" s="128"/>
      <c r="CM2160" s="128"/>
      <c r="CN2160" s="128"/>
      <c r="CO2160" s="128"/>
      <c r="CP2160" s="128"/>
      <c r="CQ2160" s="128"/>
      <c r="CR2160" s="128"/>
      <c r="CS2160" s="128"/>
      <c r="CT2160" s="128"/>
      <c r="CU2160" s="128"/>
      <c r="CV2160" s="128"/>
      <c r="CW2160" s="128"/>
      <c r="CX2160" s="128"/>
      <c r="CY2160" s="128"/>
      <c r="CZ2160" s="165"/>
    </row>
    <row r="2161" spans="1:104">
      <c r="A2161" s="149"/>
      <c r="B2161" s="149"/>
      <c r="C2161" s="150"/>
      <c r="D2161" s="102"/>
      <c r="E2161" s="149"/>
      <c r="F2161" s="149"/>
      <c r="G2161" s="149"/>
      <c r="H2161" s="149"/>
      <c r="I2161" s="149"/>
      <c r="J2161" s="149"/>
      <c r="K2161" s="149"/>
      <c r="L2161" s="149"/>
      <c r="M2161" s="149"/>
      <c r="N2161" s="149"/>
      <c r="O2161" s="149"/>
      <c r="P2161" s="149"/>
      <c r="Q2161" s="149"/>
      <c r="R2161" s="149"/>
      <c r="S2161" s="149"/>
      <c r="T2161" s="149"/>
      <c r="U2161" s="149"/>
      <c r="V2161" s="149"/>
      <c r="W2161" s="149"/>
      <c r="X2161" s="149"/>
      <c r="Y2161" s="149"/>
      <c r="Z2161" s="149"/>
      <c r="AA2161" s="149"/>
      <c r="AB2161" s="149"/>
      <c r="AC2161" s="149"/>
      <c r="AD2161" s="149"/>
      <c r="AE2161" s="149"/>
      <c r="AF2161" s="149"/>
      <c r="AG2161" s="149"/>
      <c r="AH2161" s="149"/>
      <c r="AI2161" s="149"/>
      <c r="AJ2161" s="149"/>
      <c r="AK2161" s="149"/>
      <c r="AL2161" s="149"/>
      <c r="AM2161" s="149"/>
      <c r="AN2161" s="149"/>
      <c r="AO2161" s="128"/>
      <c r="AP2161" s="128"/>
      <c r="AQ2161" s="128"/>
      <c r="AR2161" s="128"/>
      <c r="AS2161" s="128"/>
      <c r="AT2161" s="128"/>
      <c r="AU2161" s="128"/>
      <c r="AV2161" s="128"/>
      <c r="AW2161" s="128"/>
      <c r="AX2161" s="128"/>
      <c r="AY2161" s="128"/>
      <c r="AZ2161" s="128"/>
      <c r="BA2161" s="128"/>
      <c r="BB2161" s="128"/>
      <c r="BC2161" s="128"/>
      <c r="BD2161" s="128"/>
      <c r="BE2161" s="128"/>
      <c r="BF2161" s="128"/>
      <c r="BG2161" s="128"/>
      <c r="BH2161" s="128"/>
      <c r="BI2161" s="128"/>
      <c r="BJ2161" s="128"/>
      <c r="BK2161" s="128"/>
      <c r="BL2161" s="128"/>
      <c r="BM2161" s="151"/>
      <c r="BN2161" s="128"/>
      <c r="BO2161" s="128"/>
      <c r="BP2161" s="128"/>
      <c r="BQ2161" s="128"/>
      <c r="BR2161" s="128"/>
      <c r="BS2161" s="128"/>
      <c r="BT2161" s="128"/>
      <c r="BU2161" s="128"/>
      <c r="BV2161" s="128"/>
      <c r="BW2161" s="128"/>
      <c r="BX2161" s="128"/>
      <c r="BY2161" s="128"/>
      <c r="BZ2161" s="128"/>
      <c r="CA2161" s="128"/>
      <c r="CB2161" s="128"/>
      <c r="CC2161" s="128"/>
      <c r="CD2161" s="128"/>
      <c r="CE2161" s="128"/>
      <c r="CF2161" s="128"/>
      <c r="CG2161" s="128"/>
      <c r="CI2161" s="128"/>
      <c r="CJ2161" s="128"/>
      <c r="CK2161" s="128"/>
      <c r="CL2161" s="128"/>
      <c r="CM2161" s="128"/>
      <c r="CN2161" s="128"/>
      <c r="CO2161" s="128"/>
      <c r="CP2161" s="128"/>
      <c r="CQ2161" s="128"/>
      <c r="CR2161" s="128"/>
      <c r="CS2161" s="128"/>
      <c r="CT2161" s="128"/>
      <c r="CU2161" s="128"/>
      <c r="CV2161" s="128"/>
      <c r="CW2161" s="128"/>
      <c r="CX2161" s="128"/>
      <c r="CY2161" s="128"/>
      <c r="CZ2161" s="165"/>
    </row>
    <row r="2162" spans="1:104">
      <c r="A2162" s="149"/>
      <c r="B2162" s="149"/>
      <c r="C2162" s="150"/>
      <c r="D2162" s="102"/>
      <c r="E2162" s="149"/>
      <c r="F2162" s="149"/>
      <c r="G2162" s="149"/>
      <c r="H2162" s="149"/>
      <c r="I2162" s="149"/>
      <c r="J2162" s="149"/>
      <c r="K2162" s="149"/>
      <c r="L2162" s="149"/>
      <c r="M2162" s="149"/>
      <c r="N2162" s="149"/>
      <c r="O2162" s="149"/>
      <c r="P2162" s="149"/>
      <c r="Q2162" s="149"/>
      <c r="R2162" s="149"/>
      <c r="S2162" s="149"/>
      <c r="T2162" s="149"/>
      <c r="U2162" s="149"/>
      <c r="V2162" s="149"/>
      <c r="W2162" s="149"/>
      <c r="X2162" s="149"/>
      <c r="Y2162" s="149"/>
      <c r="Z2162" s="149"/>
      <c r="AA2162" s="149"/>
      <c r="AB2162" s="149"/>
      <c r="AC2162" s="149"/>
      <c r="AD2162" s="149"/>
      <c r="AE2162" s="149"/>
      <c r="AF2162" s="149"/>
      <c r="AG2162" s="149"/>
      <c r="AH2162" s="149"/>
      <c r="AI2162" s="149"/>
      <c r="AJ2162" s="149"/>
      <c r="AK2162" s="149"/>
      <c r="AL2162" s="149"/>
      <c r="AM2162" s="149"/>
      <c r="AN2162" s="149"/>
      <c r="AO2162" s="128"/>
      <c r="AP2162" s="128"/>
      <c r="AQ2162" s="128"/>
      <c r="AR2162" s="128"/>
      <c r="AS2162" s="128"/>
      <c r="AT2162" s="128"/>
      <c r="AU2162" s="128"/>
      <c r="AV2162" s="128"/>
      <c r="AW2162" s="128"/>
      <c r="AX2162" s="128"/>
      <c r="AY2162" s="128"/>
      <c r="AZ2162" s="128"/>
      <c r="BA2162" s="128"/>
      <c r="BB2162" s="128"/>
      <c r="BC2162" s="128"/>
      <c r="BD2162" s="128"/>
      <c r="BE2162" s="128"/>
      <c r="BF2162" s="128"/>
      <c r="BG2162" s="128"/>
      <c r="BH2162" s="128"/>
      <c r="BI2162" s="128"/>
      <c r="BJ2162" s="128"/>
      <c r="BK2162" s="128"/>
      <c r="BL2162" s="128"/>
      <c r="BM2162" s="151"/>
      <c r="BN2162" s="128"/>
      <c r="BO2162" s="128"/>
      <c r="BP2162" s="128"/>
      <c r="BQ2162" s="128"/>
      <c r="BR2162" s="128"/>
      <c r="BS2162" s="128"/>
      <c r="BT2162" s="128"/>
      <c r="BU2162" s="128"/>
      <c r="BV2162" s="128"/>
      <c r="BW2162" s="128"/>
      <c r="BX2162" s="128"/>
      <c r="BY2162" s="128"/>
      <c r="BZ2162" s="128"/>
      <c r="CA2162" s="128"/>
      <c r="CB2162" s="128"/>
      <c r="CC2162" s="128"/>
      <c r="CD2162" s="128"/>
      <c r="CE2162" s="128"/>
      <c r="CF2162" s="128"/>
      <c r="CG2162" s="128"/>
      <c r="CI2162" s="128"/>
      <c r="CJ2162" s="128"/>
      <c r="CK2162" s="128"/>
      <c r="CL2162" s="128"/>
      <c r="CM2162" s="128"/>
      <c r="CN2162" s="128"/>
      <c r="CO2162" s="128"/>
      <c r="CP2162" s="128"/>
      <c r="CQ2162" s="128"/>
      <c r="CR2162" s="128"/>
      <c r="CS2162" s="128"/>
      <c r="CT2162" s="128"/>
      <c r="CU2162" s="128"/>
      <c r="CV2162" s="128"/>
      <c r="CW2162" s="128"/>
      <c r="CX2162" s="128"/>
      <c r="CY2162" s="128"/>
      <c r="CZ2162" s="165"/>
    </row>
    <row r="2163" spans="1:104">
      <c r="A2163" s="149"/>
      <c r="B2163" s="149"/>
      <c r="C2163" s="150"/>
      <c r="D2163" s="102"/>
      <c r="E2163" s="149"/>
      <c r="F2163" s="149"/>
      <c r="G2163" s="149"/>
      <c r="H2163" s="149"/>
      <c r="I2163" s="149"/>
      <c r="J2163" s="149"/>
      <c r="K2163" s="149"/>
      <c r="L2163" s="149"/>
      <c r="M2163" s="149"/>
      <c r="N2163" s="149"/>
      <c r="O2163" s="149"/>
      <c r="P2163" s="149"/>
      <c r="Q2163" s="149"/>
      <c r="R2163" s="149"/>
      <c r="S2163" s="149"/>
      <c r="T2163" s="149"/>
      <c r="U2163" s="149"/>
      <c r="V2163" s="149"/>
      <c r="W2163" s="149"/>
      <c r="X2163" s="149"/>
      <c r="Y2163" s="149"/>
      <c r="Z2163" s="149"/>
      <c r="AA2163" s="149"/>
      <c r="AB2163" s="149"/>
      <c r="AC2163" s="149"/>
      <c r="AD2163" s="149"/>
      <c r="AE2163" s="149"/>
      <c r="AF2163" s="149"/>
      <c r="AG2163" s="149"/>
      <c r="AH2163" s="149"/>
      <c r="AI2163" s="149"/>
      <c r="AJ2163" s="149"/>
      <c r="AK2163" s="149"/>
      <c r="AL2163" s="149"/>
      <c r="AM2163" s="149"/>
      <c r="AN2163" s="149"/>
      <c r="AO2163" s="128"/>
      <c r="AP2163" s="128"/>
      <c r="AQ2163" s="128"/>
      <c r="AR2163" s="128"/>
      <c r="AS2163" s="128"/>
      <c r="AT2163" s="128"/>
      <c r="AU2163" s="128"/>
      <c r="AV2163" s="128"/>
      <c r="AW2163" s="128"/>
      <c r="AX2163" s="128"/>
      <c r="AY2163" s="128"/>
      <c r="AZ2163" s="128"/>
      <c r="BA2163" s="128"/>
      <c r="BB2163" s="128"/>
      <c r="BC2163" s="128"/>
      <c r="BD2163" s="128"/>
      <c r="BE2163" s="128"/>
      <c r="BF2163" s="128"/>
      <c r="BG2163" s="128"/>
      <c r="BH2163" s="128"/>
      <c r="BI2163" s="128"/>
      <c r="BJ2163" s="128"/>
      <c r="BK2163" s="128"/>
      <c r="BL2163" s="128"/>
      <c r="BM2163" s="151"/>
      <c r="BN2163" s="128"/>
      <c r="BO2163" s="128"/>
      <c r="BP2163" s="128"/>
      <c r="BQ2163" s="128"/>
      <c r="BR2163" s="128"/>
      <c r="BS2163" s="128"/>
      <c r="BT2163" s="128"/>
      <c r="BU2163" s="128"/>
      <c r="BV2163" s="128"/>
      <c r="BW2163" s="128"/>
      <c r="BX2163" s="128"/>
      <c r="BY2163" s="128"/>
      <c r="BZ2163" s="128"/>
      <c r="CA2163" s="128"/>
      <c r="CB2163" s="128"/>
      <c r="CC2163" s="128"/>
      <c r="CD2163" s="128"/>
      <c r="CE2163" s="128"/>
      <c r="CF2163" s="128"/>
      <c r="CG2163" s="128"/>
      <c r="CI2163" s="128"/>
      <c r="CJ2163" s="128"/>
      <c r="CK2163" s="128"/>
      <c r="CL2163" s="128"/>
      <c r="CM2163" s="128"/>
      <c r="CN2163" s="128"/>
      <c r="CO2163" s="128"/>
      <c r="CP2163" s="128"/>
      <c r="CQ2163" s="128"/>
      <c r="CR2163" s="128"/>
      <c r="CS2163" s="128"/>
      <c r="CT2163" s="128"/>
      <c r="CU2163" s="128"/>
      <c r="CV2163" s="128"/>
      <c r="CW2163" s="128"/>
      <c r="CX2163" s="128"/>
      <c r="CY2163" s="128"/>
      <c r="CZ2163" s="165"/>
    </row>
    <row r="2164" spans="1:104">
      <c r="A2164" s="149"/>
      <c r="B2164" s="149"/>
      <c r="C2164" s="150"/>
      <c r="D2164" s="102"/>
      <c r="E2164" s="149"/>
      <c r="F2164" s="149"/>
      <c r="G2164" s="149"/>
      <c r="H2164" s="149"/>
      <c r="I2164" s="149"/>
      <c r="J2164" s="149"/>
      <c r="K2164" s="149"/>
      <c r="L2164" s="149"/>
      <c r="M2164" s="149"/>
      <c r="N2164" s="149"/>
      <c r="O2164" s="149"/>
      <c r="P2164" s="149"/>
      <c r="Q2164" s="149"/>
      <c r="R2164" s="149"/>
      <c r="S2164" s="149"/>
      <c r="T2164" s="149"/>
      <c r="U2164" s="149"/>
      <c r="V2164" s="149"/>
      <c r="W2164" s="149"/>
      <c r="X2164" s="149"/>
      <c r="Y2164" s="149"/>
      <c r="Z2164" s="149"/>
      <c r="AA2164" s="149"/>
      <c r="AB2164" s="149"/>
      <c r="AC2164" s="149"/>
      <c r="AD2164" s="149"/>
      <c r="AE2164" s="149"/>
      <c r="AF2164" s="149"/>
      <c r="AG2164" s="149"/>
      <c r="AH2164" s="149"/>
      <c r="AI2164" s="149"/>
      <c r="AJ2164" s="149"/>
      <c r="AK2164" s="149"/>
      <c r="AL2164" s="149"/>
      <c r="AM2164" s="149"/>
      <c r="AN2164" s="149"/>
      <c r="AO2164" s="128"/>
      <c r="AP2164" s="128"/>
      <c r="AQ2164" s="128"/>
      <c r="AR2164" s="128"/>
      <c r="AS2164" s="128"/>
      <c r="AT2164" s="128"/>
      <c r="AU2164" s="128"/>
      <c r="AV2164" s="128"/>
      <c r="AW2164" s="128"/>
      <c r="AX2164" s="128"/>
      <c r="AY2164" s="128"/>
      <c r="AZ2164" s="128"/>
      <c r="BA2164" s="128"/>
      <c r="BB2164" s="128"/>
      <c r="BC2164" s="128"/>
      <c r="BD2164" s="128"/>
      <c r="BE2164" s="128"/>
      <c r="BF2164" s="128"/>
      <c r="BG2164" s="128"/>
      <c r="BH2164" s="128"/>
      <c r="BI2164" s="128"/>
      <c r="BJ2164" s="128"/>
      <c r="BK2164" s="128"/>
      <c r="BL2164" s="128"/>
      <c r="BM2164" s="151"/>
      <c r="BN2164" s="128"/>
      <c r="BO2164" s="128"/>
      <c r="BP2164" s="128"/>
      <c r="BQ2164" s="128"/>
      <c r="BR2164" s="128"/>
      <c r="BS2164" s="128"/>
      <c r="BT2164" s="128"/>
      <c r="BU2164" s="128"/>
      <c r="BV2164" s="128"/>
      <c r="BW2164" s="128"/>
      <c r="BX2164" s="128"/>
      <c r="BY2164" s="128"/>
      <c r="BZ2164" s="128"/>
      <c r="CA2164" s="128"/>
      <c r="CB2164" s="128"/>
      <c r="CC2164" s="128"/>
      <c r="CD2164" s="128"/>
      <c r="CE2164" s="128"/>
      <c r="CF2164" s="128"/>
      <c r="CG2164" s="128"/>
      <c r="CI2164" s="128"/>
      <c r="CJ2164" s="128"/>
      <c r="CK2164" s="128"/>
      <c r="CL2164" s="128"/>
      <c r="CM2164" s="128"/>
      <c r="CN2164" s="128"/>
      <c r="CO2164" s="128"/>
      <c r="CP2164" s="128"/>
      <c r="CQ2164" s="128"/>
      <c r="CR2164" s="128"/>
      <c r="CS2164" s="128"/>
      <c r="CT2164" s="128"/>
      <c r="CU2164" s="128"/>
      <c r="CV2164" s="128"/>
      <c r="CW2164" s="128"/>
      <c r="CX2164" s="128"/>
      <c r="CY2164" s="128"/>
      <c r="CZ2164" s="165"/>
    </row>
    <row r="2165" spans="1:104">
      <c r="A2165" s="149"/>
      <c r="B2165" s="149"/>
      <c r="C2165" s="150"/>
      <c r="D2165" s="102"/>
      <c r="E2165" s="149"/>
      <c r="F2165" s="149"/>
      <c r="G2165" s="149"/>
      <c r="H2165" s="149"/>
      <c r="I2165" s="149"/>
      <c r="J2165" s="149"/>
      <c r="K2165" s="149"/>
      <c r="L2165" s="149"/>
      <c r="M2165" s="149"/>
      <c r="N2165" s="149"/>
      <c r="O2165" s="149"/>
      <c r="P2165" s="149"/>
      <c r="Q2165" s="149"/>
      <c r="R2165" s="149"/>
      <c r="S2165" s="149"/>
      <c r="T2165" s="149"/>
      <c r="U2165" s="149"/>
      <c r="V2165" s="149"/>
      <c r="W2165" s="149"/>
      <c r="X2165" s="149"/>
      <c r="Y2165" s="149"/>
      <c r="Z2165" s="149"/>
      <c r="AA2165" s="149"/>
      <c r="AB2165" s="149"/>
      <c r="AC2165" s="149"/>
      <c r="AD2165" s="149"/>
      <c r="AE2165" s="149"/>
      <c r="AF2165" s="149"/>
      <c r="AG2165" s="149"/>
      <c r="AH2165" s="149"/>
      <c r="AI2165" s="149"/>
      <c r="AJ2165" s="149"/>
      <c r="AK2165" s="149"/>
      <c r="AL2165" s="149"/>
      <c r="AM2165" s="149"/>
      <c r="AN2165" s="149"/>
      <c r="AO2165" s="128"/>
      <c r="AP2165" s="128"/>
      <c r="AQ2165" s="128"/>
      <c r="AR2165" s="128"/>
      <c r="AS2165" s="128"/>
      <c r="AT2165" s="128"/>
      <c r="AU2165" s="128"/>
      <c r="AV2165" s="128"/>
      <c r="AW2165" s="128"/>
      <c r="AX2165" s="128"/>
      <c r="AY2165" s="128"/>
      <c r="AZ2165" s="128"/>
      <c r="BA2165" s="128"/>
      <c r="BB2165" s="128"/>
      <c r="BC2165" s="128"/>
      <c r="BD2165" s="128"/>
      <c r="BE2165" s="128"/>
      <c r="BF2165" s="128"/>
      <c r="BG2165" s="128"/>
      <c r="BH2165" s="128"/>
      <c r="BI2165" s="128"/>
      <c r="BJ2165" s="128"/>
      <c r="BK2165" s="128"/>
      <c r="BL2165" s="128"/>
      <c r="BM2165" s="151"/>
      <c r="BN2165" s="128"/>
      <c r="BO2165" s="128"/>
      <c r="BP2165" s="128"/>
      <c r="BQ2165" s="128"/>
      <c r="BR2165" s="128"/>
      <c r="BS2165" s="128"/>
      <c r="BT2165" s="128"/>
      <c r="BU2165" s="128"/>
      <c r="BV2165" s="128"/>
      <c r="BW2165" s="128"/>
      <c r="BX2165" s="128"/>
      <c r="BY2165" s="128"/>
      <c r="BZ2165" s="128"/>
      <c r="CA2165" s="128"/>
      <c r="CB2165" s="128"/>
      <c r="CC2165" s="128"/>
      <c r="CD2165" s="128"/>
      <c r="CE2165" s="128"/>
      <c r="CF2165" s="128"/>
      <c r="CG2165" s="128"/>
      <c r="CI2165" s="128"/>
      <c r="CJ2165" s="128"/>
      <c r="CK2165" s="128"/>
      <c r="CL2165" s="128"/>
      <c r="CM2165" s="128"/>
      <c r="CN2165" s="128"/>
      <c r="CO2165" s="128"/>
      <c r="CP2165" s="128"/>
      <c r="CQ2165" s="128"/>
      <c r="CR2165" s="128"/>
      <c r="CS2165" s="128"/>
      <c r="CT2165" s="128"/>
      <c r="CU2165" s="128"/>
      <c r="CV2165" s="128"/>
      <c r="CW2165" s="128"/>
      <c r="CX2165" s="128"/>
      <c r="CY2165" s="128"/>
      <c r="CZ2165" s="165"/>
    </row>
    <row r="2166" spans="1:104">
      <c r="A2166" s="149"/>
      <c r="B2166" s="149"/>
      <c r="C2166" s="150"/>
      <c r="D2166" s="102"/>
      <c r="E2166" s="149"/>
      <c r="F2166" s="149"/>
      <c r="G2166" s="149"/>
      <c r="H2166" s="149"/>
      <c r="I2166" s="149"/>
      <c r="J2166" s="149"/>
      <c r="K2166" s="149"/>
      <c r="L2166" s="149"/>
      <c r="M2166" s="149"/>
      <c r="N2166" s="149"/>
      <c r="O2166" s="149"/>
      <c r="P2166" s="149"/>
      <c r="Q2166" s="149"/>
      <c r="R2166" s="149"/>
      <c r="S2166" s="149"/>
      <c r="T2166" s="149"/>
      <c r="U2166" s="149"/>
      <c r="V2166" s="149"/>
      <c r="W2166" s="149"/>
      <c r="X2166" s="149"/>
      <c r="Y2166" s="149"/>
      <c r="Z2166" s="149"/>
      <c r="AA2166" s="149"/>
      <c r="AB2166" s="149"/>
      <c r="AC2166" s="149"/>
      <c r="AD2166" s="149"/>
      <c r="AE2166" s="149"/>
      <c r="AF2166" s="149"/>
      <c r="AG2166" s="149"/>
      <c r="AH2166" s="149"/>
      <c r="AI2166" s="149"/>
      <c r="AJ2166" s="149"/>
      <c r="AK2166" s="149"/>
      <c r="AL2166" s="149"/>
      <c r="AM2166" s="149"/>
      <c r="AN2166" s="149"/>
      <c r="AO2166" s="128"/>
      <c r="AP2166" s="128"/>
      <c r="AQ2166" s="128"/>
      <c r="AR2166" s="128"/>
      <c r="AS2166" s="128"/>
      <c r="AT2166" s="128"/>
      <c r="AU2166" s="128"/>
      <c r="AV2166" s="128"/>
      <c r="AW2166" s="128"/>
      <c r="AX2166" s="128"/>
      <c r="AY2166" s="128"/>
      <c r="AZ2166" s="128"/>
      <c r="BA2166" s="128"/>
      <c r="BB2166" s="128"/>
      <c r="BC2166" s="128"/>
      <c r="BD2166" s="128"/>
      <c r="BE2166" s="128"/>
      <c r="BF2166" s="128"/>
      <c r="BG2166" s="128"/>
      <c r="BH2166" s="128"/>
      <c r="BI2166" s="128"/>
      <c r="BJ2166" s="128"/>
      <c r="BK2166" s="128"/>
      <c r="BL2166" s="128"/>
      <c r="BM2166" s="151"/>
      <c r="BN2166" s="128"/>
      <c r="BO2166" s="128"/>
      <c r="BP2166" s="128"/>
      <c r="BQ2166" s="128"/>
      <c r="BR2166" s="128"/>
      <c r="BS2166" s="128"/>
      <c r="BT2166" s="128"/>
      <c r="BU2166" s="128"/>
      <c r="BV2166" s="128"/>
      <c r="BW2166" s="128"/>
      <c r="BX2166" s="128"/>
      <c r="BY2166" s="128"/>
      <c r="BZ2166" s="128"/>
      <c r="CA2166" s="128"/>
      <c r="CB2166" s="128"/>
      <c r="CC2166" s="128"/>
      <c r="CD2166" s="128"/>
      <c r="CE2166" s="128"/>
      <c r="CF2166" s="128"/>
      <c r="CG2166" s="128"/>
      <c r="CI2166" s="128"/>
      <c r="CJ2166" s="128"/>
      <c r="CK2166" s="128"/>
      <c r="CL2166" s="128"/>
      <c r="CM2166" s="128"/>
      <c r="CN2166" s="128"/>
      <c r="CO2166" s="128"/>
      <c r="CP2166" s="128"/>
      <c r="CQ2166" s="128"/>
      <c r="CR2166" s="128"/>
      <c r="CS2166" s="128"/>
      <c r="CT2166" s="128"/>
      <c r="CU2166" s="128"/>
      <c r="CV2166" s="128"/>
      <c r="CW2166" s="128"/>
      <c r="CX2166" s="128"/>
      <c r="CY2166" s="128"/>
      <c r="CZ2166" s="165"/>
    </row>
    <row r="2167" spans="1:104">
      <c r="A2167" s="149"/>
      <c r="B2167" s="149"/>
      <c r="C2167" s="150"/>
      <c r="D2167" s="102"/>
      <c r="E2167" s="149"/>
      <c r="F2167" s="149"/>
      <c r="G2167" s="149"/>
      <c r="H2167" s="149"/>
      <c r="I2167" s="149"/>
      <c r="J2167" s="149"/>
      <c r="K2167" s="149"/>
      <c r="L2167" s="149"/>
      <c r="M2167" s="149"/>
      <c r="N2167" s="149"/>
      <c r="O2167" s="149"/>
      <c r="P2167" s="149"/>
      <c r="Q2167" s="149"/>
      <c r="R2167" s="149"/>
      <c r="S2167" s="149"/>
      <c r="T2167" s="149"/>
      <c r="U2167" s="149"/>
      <c r="V2167" s="149"/>
      <c r="W2167" s="149"/>
      <c r="X2167" s="149"/>
      <c r="Y2167" s="149"/>
      <c r="Z2167" s="149"/>
      <c r="AA2167" s="149"/>
      <c r="AB2167" s="149"/>
      <c r="AC2167" s="149"/>
      <c r="AD2167" s="149"/>
      <c r="AE2167" s="149"/>
      <c r="AF2167" s="149"/>
      <c r="AG2167" s="149"/>
      <c r="AH2167" s="149"/>
      <c r="AI2167" s="149"/>
      <c r="AJ2167" s="149"/>
      <c r="AK2167" s="149"/>
      <c r="AL2167" s="149"/>
      <c r="AM2167" s="149"/>
      <c r="AN2167" s="149"/>
      <c r="AO2167" s="128"/>
      <c r="AP2167" s="128"/>
      <c r="AQ2167" s="128"/>
      <c r="AR2167" s="128"/>
      <c r="AS2167" s="128"/>
      <c r="AT2167" s="128"/>
      <c r="AU2167" s="128"/>
      <c r="AV2167" s="128"/>
      <c r="AW2167" s="128"/>
      <c r="AX2167" s="128"/>
      <c r="AY2167" s="128"/>
      <c r="AZ2167" s="128"/>
      <c r="BA2167" s="128"/>
      <c r="BB2167" s="128"/>
      <c r="BC2167" s="128"/>
      <c r="BD2167" s="128"/>
      <c r="BE2167" s="128"/>
      <c r="BF2167" s="128"/>
      <c r="BG2167" s="128"/>
      <c r="BH2167" s="128"/>
      <c r="BI2167" s="128"/>
      <c r="BJ2167" s="128"/>
      <c r="BK2167" s="128"/>
      <c r="BL2167" s="128"/>
      <c r="BM2167" s="151"/>
      <c r="BN2167" s="128"/>
      <c r="BO2167" s="128"/>
      <c r="BP2167" s="128"/>
      <c r="BQ2167" s="128"/>
      <c r="BR2167" s="128"/>
      <c r="BS2167" s="128"/>
      <c r="BT2167" s="128"/>
      <c r="BU2167" s="128"/>
      <c r="BV2167" s="128"/>
      <c r="BW2167" s="128"/>
      <c r="BX2167" s="128"/>
      <c r="BY2167" s="128"/>
      <c r="BZ2167" s="128"/>
      <c r="CA2167" s="128"/>
      <c r="CB2167" s="128"/>
      <c r="CC2167" s="128"/>
      <c r="CD2167" s="128"/>
      <c r="CE2167" s="128"/>
      <c r="CF2167" s="128"/>
      <c r="CG2167" s="128"/>
      <c r="CI2167" s="128"/>
      <c r="CJ2167" s="128"/>
      <c r="CK2167" s="128"/>
      <c r="CL2167" s="128"/>
      <c r="CM2167" s="128"/>
      <c r="CN2167" s="128"/>
      <c r="CO2167" s="128"/>
      <c r="CP2167" s="128"/>
      <c r="CQ2167" s="128"/>
      <c r="CR2167" s="128"/>
      <c r="CS2167" s="128"/>
      <c r="CT2167" s="128"/>
      <c r="CU2167" s="128"/>
      <c r="CV2167" s="128"/>
      <c r="CW2167" s="128"/>
      <c r="CX2167" s="128"/>
      <c r="CY2167" s="128"/>
      <c r="CZ2167" s="165"/>
    </row>
    <row r="2168" spans="1:104">
      <c r="A2168" s="149"/>
      <c r="B2168" s="149"/>
      <c r="C2168" s="150"/>
      <c r="D2168" s="102"/>
      <c r="E2168" s="149"/>
      <c r="F2168" s="149"/>
      <c r="G2168" s="149"/>
      <c r="H2168" s="149"/>
      <c r="I2168" s="149"/>
      <c r="J2168" s="149"/>
      <c r="K2168" s="149"/>
      <c r="L2168" s="149"/>
      <c r="M2168" s="149"/>
      <c r="N2168" s="149"/>
      <c r="O2168" s="149"/>
      <c r="P2168" s="149"/>
      <c r="Q2168" s="149"/>
      <c r="R2168" s="149"/>
      <c r="S2168" s="149"/>
      <c r="T2168" s="149"/>
      <c r="U2168" s="149"/>
      <c r="V2168" s="149"/>
      <c r="W2168" s="149"/>
      <c r="X2168" s="149"/>
      <c r="Y2168" s="149"/>
      <c r="Z2168" s="149"/>
      <c r="AA2168" s="149"/>
      <c r="AB2168" s="149"/>
      <c r="AC2168" s="149"/>
      <c r="AD2168" s="149"/>
      <c r="AE2168" s="149"/>
      <c r="AF2168" s="149"/>
      <c r="AG2168" s="149"/>
      <c r="AH2168" s="149"/>
      <c r="AI2168" s="149"/>
      <c r="AJ2168" s="149"/>
      <c r="AK2168" s="149"/>
      <c r="AL2168" s="149"/>
      <c r="AM2168" s="149"/>
      <c r="AN2168" s="149"/>
      <c r="AO2168" s="128"/>
      <c r="AP2168" s="128"/>
      <c r="AQ2168" s="128"/>
      <c r="AR2168" s="128"/>
      <c r="AS2168" s="128"/>
      <c r="AT2168" s="128"/>
      <c r="AU2168" s="128"/>
      <c r="AV2168" s="128"/>
      <c r="AW2168" s="128"/>
      <c r="AX2168" s="128"/>
      <c r="AY2168" s="128"/>
      <c r="AZ2168" s="128"/>
      <c r="BA2168" s="128"/>
      <c r="BB2168" s="128"/>
      <c r="BC2168" s="128"/>
      <c r="BD2168" s="128"/>
      <c r="BE2168" s="128"/>
      <c r="BF2168" s="128"/>
      <c r="BG2168" s="128"/>
      <c r="BH2168" s="128"/>
      <c r="BI2168" s="128"/>
      <c r="BJ2168" s="128"/>
      <c r="BK2168" s="128"/>
      <c r="BL2168" s="128"/>
      <c r="BM2168" s="151"/>
      <c r="BN2168" s="128"/>
      <c r="BO2168" s="128"/>
      <c r="BP2168" s="128"/>
      <c r="BQ2168" s="128"/>
      <c r="BR2168" s="128"/>
      <c r="BS2168" s="128"/>
      <c r="BT2168" s="128"/>
      <c r="BU2168" s="128"/>
      <c r="BV2168" s="128"/>
      <c r="BW2168" s="128"/>
      <c r="BX2168" s="128"/>
      <c r="BY2168" s="128"/>
      <c r="BZ2168" s="128"/>
      <c r="CA2168" s="128"/>
      <c r="CB2168" s="128"/>
      <c r="CC2168" s="128"/>
      <c r="CD2168" s="128"/>
      <c r="CE2168" s="128"/>
      <c r="CF2168" s="128"/>
      <c r="CG2168" s="128"/>
      <c r="CI2168" s="128"/>
      <c r="CJ2168" s="128"/>
      <c r="CK2168" s="128"/>
      <c r="CL2168" s="128"/>
      <c r="CM2168" s="128"/>
      <c r="CN2168" s="128"/>
      <c r="CO2168" s="128"/>
      <c r="CP2168" s="128"/>
      <c r="CQ2168" s="128"/>
      <c r="CR2168" s="128"/>
      <c r="CS2168" s="128"/>
      <c r="CT2168" s="128"/>
      <c r="CU2168" s="128"/>
      <c r="CV2168" s="128"/>
      <c r="CW2168" s="128"/>
      <c r="CX2168" s="128"/>
      <c r="CY2168" s="128"/>
      <c r="CZ2168" s="165"/>
    </row>
    <row r="2169" spans="1:104">
      <c r="A2169" s="149"/>
      <c r="B2169" s="149"/>
      <c r="C2169" s="150"/>
      <c r="D2169" s="102"/>
      <c r="E2169" s="149"/>
      <c r="F2169" s="149"/>
      <c r="G2169" s="149"/>
      <c r="H2169" s="149"/>
      <c r="I2169" s="149"/>
      <c r="J2169" s="149"/>
      <c r="K2169" s="149"/>
      <c r="L2169" s="149"/>
      <c r="M2169" s="149"/>
      <c r="N2169" s="149"/>
      <c r="O2169" s="149"/>
      <c r="P2169" s="149"/>
      <c r="Q2169" s="149"/>
      <c r="R2169" s="149"/>
      <c r="S2169" s="149"/>
      <c r="T2169" s="149"/>
      <c r="U2169" s="149"/>
      <c r="V2169" s="149"/>
      <c r="W2169" s="149"/>
      <c r="X2169" s="149"/>
      <c r="Y2169" s="149"/>
      <c r="Z2169" s="149"/>
      <c r="AA2169" s="149"/>
      <c r="AB2169" s="149"/>
      <c r="AC2169" s="149"/>
      <c r="AD2169" s="149"/>
      <c r="AE2169" s="149"/>
      <c r="AF2169" s="149"/>
      <c r="AG2169" s="149"/>
      <c r="AH2169" s="149"/>
      <c r="AI2169" s="149"/>
      <c r="AJ2169" s="149"/>
      <c r="AK2169" s="149"/>
      <c r="AL2169" s="149"/>
      <c r="AM2169" s="149"/>
      <c r="AN2169" s="149"/>
      <c r="AO2169" s="128"/>
      <c r="AP2169" s="128"/>
      <c r="AQ2169" s="128"/>
      <c r="AR2169" s="128"/>
      <c r="AS2169" s="128"/>
      <c r="AT2169" s="128"/>
      <c r="AU2169" s="128"/>
      <c r="AV2169" s="128"/>
      <c r="AW2169" s="128"/>
      <c r="AX2169" s="128"/>
      <c r="AY2169" s="128"/>
      <c r="AZ2169" s="128"/>
      <c r="BA2169" s="128"/>
      <c r="BB2169" s="128"/>
      <c r="BC2169" s="128"/>
      <c r="BD2169" s="128"/>
      <c r="BE2169" s="128"/>
      <c r="BF2169" s="128"/>
      <c r="BG2169" s="128"/>
      <c r="BH2169" s="128"/>
      <c r="BI2169" s="128"/>
      <c r="BJ2169" s="128"/>
      <c r="BK2169" s="128"/>
      <c r="BL2169" s="128"/>
      <c r="BM2169" s="151"/>
      <c r="BN2169" s="128"/>
      <c r="BO2169" s="128"/>
      <c r="BP2169" s="128"/>
      <c r="BQ2169" s="128"/>
      <c r="BR2169" s="128"/>
      <c r="BS2169" s="128"/>
      <c r="BT2169" s="128"/>
      <c r="BU2169" s="128"/>
      <c r="BV2169" s="128"/>
      <c r="BW2169" s="128"/>
      <c r="BX2169" s="128"/>
      <c r="BY2169" s="128"/>
      <c r="BZ2169" s="128"/>
      <c r="CA2169" s="128"/>
      <c r="CB2169" s="128"/>
      <c r="CC2169" s="128"/>
      <c r="CD2169" s="128"/>
      <c r="CE2169" s="128"/>
      <c r="CF2169" s="128"/>
      <c r="CG2169" s="128"/>
      <c r="CI2169" s="128"/>
      <c r="CJ2169" s="128"/>
      <c r="CK2169" s="128"/>
      <c r="CL2169" s="128"/>
      <c r="CM2169" s="128"/>
      <c r="CN2169" s="128"/>
      <c r="CO2169" s="128"/>
      <c r="CP2169" s="128"/>
      <c r="CQ2169" s="128"/>
      <c r="CR2169" s="128"/>
      <c r="CS2169" s="128"/>
      <c r="CT2169" s="128"/>
      <c r="CU2169" s="128"/>
      <c r="CV2169" s="128"/>
      <c r="CW2169" s="128"/>
      <c r="CX2169" s="128"/>
      <c r="CY2169" s="128"/>
      <c r="CZ2169" s="165"/>
    </row>
    <row r="2170" spans="1:104">
      <c r="A2170" s="149"/>
      <c r="B2170" s="149"/>
      <c r="C2170" s="150"/>
      <c r="D2170" s="102"/>
      <c r="E2170" s="149"/>
      <c r="F2170" s="149"/>
      <c r="G2170" s="149"/>
      <c r="H2170" s="149"/>
      <c r="I2170" s="149"/>
      <c r="J2170" s="149"/>
      <c r="K2170" s="149"/>
      <c r="L2170" s="149"/>
      <c r="M2170" s="149"/>
      <c r="N2170" s="149"/>
      <c r="O2170" s="149"/>
      <c r="P2170" s="149"/>
      <c r="Q2170" s="149"/>
      <c r="R2170" s="149"/>
      <c r="S2170" s="149"/>
      <c r="T2170" s="149"/>
      <c r="U2170" s="149"/>
      <c r="V2170" s="149"/>
      <c r="W2170" s="149"/>
      <c r="X2170" s="149"/>
      <c r="Y2170" s="149"/>
      <c r="Z2170" s="149"/>
      <c r="AA2170" s="149"/>
      <c r="AB2170" s="149"/>
      <c r="AC2170" s="149"/>
      <c r="AD2170" s="149"/>
      <c r="AE2170" s="149"/>
      <c r="AF2170" s="149"/>
      <c r="AG2170" s="149"/>
      <c r="AH2170" s="149"/>
      <c r="AI2170" s="149"/>
      <c r="AJ2170" s="149"/>
      <c r="AK2170" s="149"/>
      <c r="AL2170" s="149"/>
      <c r="AM2170" s="149"/>
      <c r="AN2170" s="149"/>
      <c r="AO2170" s="128"/>
      <c r="AP2170" s="128"/>
      <c r="AQ2170" s="128"/>
      <c r="AR2170" s="128"/>
      <c r="AS2170" s="128"/>
      <c r="AT2170" s="128"/>
      <c r="AU2170" s="128"/>
      <c r="AV2170" s="128"/>
      <c r="AW2170" s="128"/>
      <c r="AX2170" s="128"/>
      <c r="AY2170" s="128"/>
      <c r="AZ2170" s="128"/>
      <c r="BA2170" s="128"/>
      <c r="BB2170" s="128"/>
      <c r="BC2170" s="128"/>
      <c r="BD2170" s="128"/>
      <c r="BE2170" s="128"/>
      <c r="BF2170" s="128"/>
      <c r="BG2170" s="128"/>
      <c r="BH2170" s="128"/>
      <c r="BI2170" s="128"/>
      <c r="BJ2170" s="128"/>
      <c r="BK2170" s="128"/>
      <c r="BL2170" s="128"/>
      <c r="BM2170" s="151"/>
      <c r="BN2170" s="128"/>
      <c r="BO2170" s="128"/>
      <c r="BP2170" s="128"/>
      <c r="BQ2170" s="128"/>
      <c r="BR2170" s="128"/>
      <c r="BS2170" s="128"/>
      <c r="BT2170" s="128"/>
      <c r="BU2170" s="128"/>
      <c r="BV2170" s="128"/>
      <c r="BW2170" s="128"/>
      <c r="BX2170" s="128"/>
      <c r="BY2170" s="128"/>
      <c r="BZ2170" s="128"/>
      <c r="CA2170" s="128"/>
      <c r="CB2170" s="128"/>
      <c r="CC2170" s="128"/>
      <c r="CD2170" s="128"/>
      <c r="CE2170" s="128"/>
      <c r="CF2170" s="128"/>
      <c r="CG2170" s="128"/>
      <c r="CI2170" s="128"/>
      <c r="CJ2170" s="128"/>
      <c r="CK2170" s="128"/>
      <c r="CL2170" s="128"/>
      <c r="CM2170" s="128"/>
      <c r="CN2170" s="128"/>
      <c r="CO2170" s="128"/>
      <c r="CP2170" s="128"/>
      <c r="CQ2170" s="128"/>
      <c r="CR2170" s="128"/>
      <c r="CS2170" s="128"/>
      <c r="CT2170" s="128"/>
      <c r="CU2170" s="128"/>
      <c r="CV2170" s="128"/>
      <c r="CW2170" s="128"/>
      <c r="CX2170" s="128"/>
      <c r="CY2170" s="128"/>
      <c r="CZ2170" s="165"/>
    </row>
    <row r="2171" spans="1:104">
      <c r="A2171" s="149"/>
      <c r="B2171" s="149"/>
      <c r="C2171" s="150"/>
      <c r="D2171" s="102"/>
      <c r="E2171" s="149"/>
      <c r="F2171" s="149"/>
      <c r="G2171" s="149"/>
      <c r="H2171" s="149"/>
      <c r="I2171" s="149"/>
      <c r="J2171" s="149"/>
      <c r="K2171" s="149"/>
      <c r="L2171" s="149"/>
      <c r="M2171" s="149"/>
      <c r="N2171" s="149"/>
      <c r="O2171" s="149"/>
      <c r="P2171" s="149"/>
      <c r="Q2171" s="149"/>
      <c r="R2171" s="149"/>
      <c r="S2171" s="149"/>
      <c r="T2171" s="149"/>
      <c r="U2171" s="149"/>
      <c r="V2171" s="149"/>
      <c r="W2171" s="149"/>
      <c r="X2171" s="149"/>
      <c r="Y2171" s="149"/>
      <c r="Z2171" s="149"/>
      <c r="AA2171" s="149"/>
      <c r="AB2171" s="149"/>
      <c r="AC2171" s="149"/>
      <c r="AD2171" s="149"/>
      <c r="AE2171" s="149"/>
      <c r="AF2171" s="149"/>
      <c r="AG2171" s="149"/>
      <c r="AH2171" s="149"/>
      <c r="AI2171" s="149"/>
      <c r="AJ2171" s="149"/>
      <c r="AK2171" s="149"/>
      <c r="AL2171" s="149"/>
      <c r="AM2171" s="149"/>
      <c r="AN2171" s="149"/>
      <c r="AO2171" s="128"/>
      <c r="AP2171" s="128"/>
      <c r="AQ2171" s="128"/>
      <c r="AR2171" s="128"/>
      <c r="AS2171" s="128"/>
      <c r="AT2171" s="128"/>
      <c r="AU2171" s="128"/>
      <c r="AV2171" s="128"/>
      <c r="AW2171" s="128"/>
      <c r="AX2171" s="128"/>
      <c r="AY2171" s="128"/>
      <c r="AZ2171" s="128"/>
      <c r="BA2171" s="128"/>
      <c r="BB2171" s="128"/>
      <c r="BC2171" s="128"/>
      <c r="BD2171" s="128"/>
      <c r="BE2171" s="128"/>
      <c r="BF2171" s="128"/>
      <c r="BG2171" s="128"/>
      <c r="BH2171" s="128"/>
      <c r="BI2171" s="128"/>
      <c r="BJ2171" s="128"/>
      <c r="BK2171" s="128"/>
      <c r="BL2171" s="128"/>
      <c r="BM2171" s="151"/>
      <c r="BN2171" s="128"/>
      <c r="BO2171" s="128"/>
      <c r="BP2171" s="128"/>
      <c r="BQ2171" s="128"/>
      <c r="BR2171" s="128"/>
      <c r="BS2171" s="128"/>
      <c r="BT2171" s="128"/>
      <c r="BU2171" s="128"/>
      <c r="BV2171" s="128"/>
      <c r="BW2171" s="128"/>
      <c r="BX2171" s="128"/>
      <c r="BY2171" s="128"/>
      <c r="BZ2171" s="128"/>
      <c r="CA2171" s="128"/>
      <c r="CB2171" s="128"/>
      <c r="CC2171" s="128"/>
      <c r="CD2171" s="128"/>
      <c r="CE2171" s="128"/>
      <c r="CF2171" s="128"/>
      <c r="CG2171" s="128"/>
      <c r="CI2171" s="128"/>
      <c r="CJ2171" s="128"/>
      <c r="CK2171" s="128"/>
      <c r="CL2171" s="128"/>
      <c r="CM2171" s="128"/>
      <c r="CN2171" s="128"/>
      <c r="CO2171" s="128"/>
      <c r="CP2171" s="128"/>
      <c r="CQ2171" s="128"/>
      <c r="CR2171" s="128"/>
      <c r="CS2171" s="128"/>
      <c r="CT2171" s="128"/>
      <c r="CU2171" s="128"/>
      <c r="CV2171" s="128"/>
      <c r="CW2171" s="128"/>
      <c r="CX2171" s="128"/>
      <c r="CY2171" s="128"/>
      <c r="CZ2171" s="165"/>
    </row>
    <row r="2172" spans="1:104">
      <c r="A2172" s="149"/>
      <c r="B2172" s="149"/>
      <c r="C2172" s="150"/>
      <c r="D2172" s="102"/>
      <c r="E2172" s="149"/>
      <c r="F2172" s="149"/>
      <c r="G2172" s="149"/>
      <c r="H2172" s="149"/>
      <c r="I2172" s="149"/>
      <c r="J2172" s="149"/>
      <c r="K2172" s="149"/>
      <c r="L2172" s="149"/>
      <c r="M2172" s="149"/>
      <c r="N2172" s="149"/>
      <c r="O2172" s="149"/>
      <c r="P2172" s="149"/>
      <c r="Q2172" s="149"/>
      <c r="R2172" s="149"/>
      <c r="S2172" s="149"/>
      <c r="T2172" s="149"/>
      <c r="U2172" s="149"/>
      <c r="V2172" s="149"/>
      <c r="W2172" s="149"/>
      <c r="X2172" s="149"/>
      <c r="Y2172" s="149"/>
      <c r="Z2172" s="149"/>
      <c r="AA2172" s="149"/>
      <c r="AB2172" s="149"/>
      <c r="AC2172" s="149"/>
      <c r="AD2172" s="149"/>
      <c r="AE2172" s="149"/>
      <c r="AF2172" s="149"/>
      <c r="AG2172" s="149"/>
      <c r="AH2172" s="149"/>
      <c r="AI2172" s="149"/>
      <c r="AJ2172" s="149"/>
      <c r="AK2172" s="149"/>
      <c r="AL2172" s="149"/>
      <c r="AM2172" s="149"/>
      <c r="AN2172" s="149"/>
      <c r="AO2172" s="128"/>
      <c r="AP2172" s="128"/>
      <c r="AQ2172" s="128"/>
      <c r="AR2172" s="128"/>
      <c r="AS2172" s="128"/>
      <c r="AT2172" s="128"/>
      <c r="AU2172" s="128"/>
      <c r="AV2172" s="128"/>
      <c r="AW2172" s="128"/>
      <c r="AX2172" s="128"/>
      <c r="AY2172" s="128"/>
      <c r="AZ2172" s="128"/>
      <c r="BA2172" s="128"/>
      <c r="BB2172" s="128"/>
      <c r="BC2172" s="128"/>
      <c r="BD2172" s="128"/>
      <c r="BE2172" s="128"/>
      <c r="BF2172" s="128"/>
      <c r="BG2172" s="128"/>
      <c r="BH2172" s="128"/>
      <c r="BI2172" s="128"/>
      <c r="BJ2172" s="128"/>
      <c r="BK2172" s="128"/>
      <c r="BL2172" s="128"/>
      <c r="BM2172" s="151"/>
      <c r="BN2172" s="128"/>
      <c r="BO2172" s="128"/>
      <c r="BP2172" s="128"/>
      <c r="BQ2172" s="128"/>
      <c r="BR2172" s="128"/>
      <c r="BS2172" s="128"/>
      <c r="BT2172" s="128"/>
      <c r="BU2172" s="128"/>
      <c r="BV2172" s="128"/>
      <c r="BW2172" s="128"/>
      <c r="BX2172" s="128"/>
      <c r="BY2172" s="128"/>
      <c r="BZ2172" s="128"/>
      <c r="CA2172" s="128"/>
      <c r="CB2172" s="128"/>
      <c r="CC2172" s="128"/>
      <c r="CD2172" s="128"/>
      <c r="CE2172" s="128"/>
      <c r="CF2172" s="128"/>
      <c r="CG2172" s="128"/>
      <c r="CI2172" s="128"/>
      <c r="CJ2172" s="128"/>
      <c r="CK2172" s="128"/>
      <c r="CL2172" s="128"/>
      <c r="CM2172" s="128"/>
      <c r="CN2172" s="128"/>
      <c r="CO2172" s="128"/>
      <c r="CP2172" s="128"/>
      <c r="CQ2172" s="128"/>
      <c r="CR2172" s="128"/>
      <c r="CS2172" s="128"/>
      <c r="CT2172" s="128"/>
      <c r="CU2172" s="128"/>
      <c r="CV2172" s="128"/>
      <c r="CW2172" s="128"/>
      <c r="CX2172" s="128"/>
      <c r="CY2172" s="128"/>
      <c r="CZ2172" s="165"/>
    </row>
    <row r="2173" spans="1:104">
      <c r="A2173" s="149"/>
      <c r="B2173" s="149"/>
      <c r="C2173" s="150"/>
      <c r="D2173" s="102"/>
      <c r="E2173" s="149"/>
      <c r="F2173" s="149"/>
      <c r="G2173" s="149"/>
      <c r="H2173" s="149"/>
      <c r="I2173" s="149"/>
      <c r="J2173" s="149"/>
      <c r="K2173" s="149"/>
      <c r="L2173" s="149"/>
      <c r="M2173" s="149"/>
      <c r="N2173" s="149"/>
      <c r="O2173" s="149"/>
      <c r="P2173" s="149"/>
      <c r="Q2173" s="149"/>
      <c r="R2173" s="149"/>
      <c r="S2173" s="149"/>
      <c r="T2173" s="149"/>
      <c r="U2173" s="149"/>
      <c r="V2173" s="149"/>
      <c r="W2173" s="149"/>
      <c r="X2173" s="149"/>
      <c r="Y2173" s="149"/>
      <c r="Z2173" s="149"/>
      <c r="AA2173" s="149"/>
      <c r="AB2173" s="149"/>
      <c r="AC2173" s="149"/>
      <c r="AD2173" s="149"/>
      <c r="AE2173" s="149"/>
      <c r="AF2173" s="149"/>
      <c r="AG2173" s="149"/>
      <c r="AH2173" s="149"/>
      <c r="AI2173" s="149"/>
      <c r="AJ2173" s="149"/>
      <c r="AK2173" s="149"/>
      <c r="AL2173" s="149"/>
      <c r="AM2173" s="149"/>
      <c r="AN2173" s="149"/>
      <c r="AO2173" s="128"/>
      <c r="AP2173" s="128"/>
      <c r="AQ2173" s="128"/>
      <c r="AR2173" s="128"/>
      <c r="AS2173" s="128"/>
      <c r="AT2173" s="128"/>
      <c r="AU2173" s="128"/>
      <c r="AV2173" s="128"/>
      <c r="AW2173" s="128"/>
      <c r="AX2173" s="128"/>
      <c r="AY2173" s="128"/>
      <c r="AZ2173" s="128"/>
      <c r="BA2173" s="128"/>
      <c r="BB2173" s="128"/>
      <c r="BC2173" s="128"/>
      <c r="BD2173" s="128"/>
      <c r="BE2173" s="128"/>
      <c r="BF2173" s="128"/>
      <c r="BG2173" s="128"/>
      <c r="BH2173" s="128"/>
      <c r="BI2173" s="128"/>
      <c r="BJ2173" s="128"/>
      <c r="BK2173" s="128"/>
      <c r="BL2173" s="128"/>
      <c r="BM2173" s="151"/>
      <c r="BN2173" s="128"/>
      <c r="BO2173" s="128"/>
      <c r="BP2173" s="128"/>
      <c r="BQ2173" s="128"/>
      <c r="BR2173" s="128"/>
      <c r="BS2173" s="128"/>
      <c r="BT2173" s="128"/>
      <c r="BU2173" s="128"/>
      <c r="BV2173" s="128"/>
      <c r="BW2173" s="128"/>
      <c r="BX2173" s="128"/>
      <c r="BY2173" s="128"/>
      <c r="BZ2173" s="128"/>
      <c r="CA2173" s="128"/>
      <c r="CB2173" s="128"/>
      <c r="CC2173" s="128"/>
      <c r="CD2173" s="128"/>
      <c r="CE2173" s="128"/>
      <c r="CF2173" s="128"/>
      <c r="CG2173" s="128"/>
      <c r="CI2173" s="128"/>
      <c r="CJ2173" s="128"/>
      <c r="CK2173" s="128"/>
      <c r="CL2173" s="128"/>
      <c r="CM2173" s="128"/>
      <c r="CN2173" s="128"/>
      <c r="CO2173" s="128"/>
      <c r="CP2173" s="128"/>
      <c r="CQ2173" s="128"/>
      <c r="CR2173" s="128"/>
      <c r="CS2173" s="128"/>
      <c r="CT2173" s="128"/>
      <c r="CU2173" s="128"/>
      <c r="CV2173" s="128"/>
      <c r="CW2173" s="128"/>
      <c r="CX2173" s="128"/>
      <c r="CY2173" s="128"/>
      <c r="CZ2173" s="165"/>
    </row>
    <row r="2174" spans="1:104">
      <c r="A2174" s="149"/>
      <c r="B2174" s="149"/>
      <c r="C2174" s="150"/>
      <c r="D2174" s="102"/>
      <c r="E2174" s="149"/>
      <c r="F2174" s="149"/>
      <c r="G2174" s="149"/>
      <c r="H2174" s="149"/>
      <c r="I2174" s="149"/>
      <c r="J2174" s="149"/>
      <c r="K2174" s="149"/>
      <c r="L2174" s="149"/>
      <c r="M2174" s="149"/>
      <c r="N2174" s="149"/>
      <c r="O2174" s="149"/>
      <c r="P2174" s="149"/>
      <c r="Q2174" s="149"/>
      <c r="R2174" s="149"/>
      <c r="S2174" s="149"/>
      <c r="T2174" s="149"/>
      <c r="U2174" s="149"/>
      <c r="V2174" s="149"/>
      <c r="W2174" s="149"/>
      <c r="X2174" s="149"/>
      <c r="Y2174" s="149"/>
      <c r="Z2174" s="149"/>
      <c r="AA2174" s="149"/>
      <c r="AB2174" s="149"/>
      <c r="AC2174" s="149"/>
      <c r="AD2174" s="149"/>
      <c r="AE2174" s="149"/>
      <c r="AF2174" s="149"/>
      <c r="AG2174" s="149"/>
      <c r="AH2174" s="149"/>
      <c r="AI2174" s="149"/>
      <c r="AJ2174" s="149"/>
      <c r="AK2174" s="149"/>
      <c r="AL2174" s="149"/>
      <c r="AM2174" s="149"/>
      <c r="AN2174" s="149"/>
      <c r="AO2174" s="128"/>
      <c r="AP2174" s="128"/>
      <c r="AQ2174" s="128"/>
      <c r="AR2174" s="128"/>
      <c r="AS2174" s="128"/>
      <c r="AT2174" s="128"/>
      <c r="AU2174" s="128"/>
      <c r="AV2174" s="128"/>
      <c r="AW2174" s="128"/>
      <c r="AX2174" s="128"/>
      <c r="AY2174" s="128"/>
      <c r="AZ2174" s="128"/>
      <c r="BA2174" s="128"/>
      <c r="BB2174" s="128"/>
      <c r="BC2174" s="128"/>
      <c r="BD2174" s="128"/>
      <c r="BE2174" s="128"/>
      <c r="BF2174" s="128"/>
      <c r="BG2174" s="128"/>
      <c r="BH2174" s="128"/>
      <c r="BI2174" s="128"/>
      <c r="BJ2174" s="128"/>
      <c r="BK2174" s="128"/>
      <c r="BL2174" s="128"/>
      <c r="BM2174" s="151"/>
      <c r="BN2174" s="128"/>
      <c r="BO2174" s="128"/>
      <c r="BP2174" s="128"/>
      <c r="BQ2174" s="128"/>
      <c r="BR2174" s="128"/>
      <c r="BS2174" s="128"/>
      <c r="BT2174" s="128"/>
      <c r="BU2174" s="128"/>
      <c r="BV2174" s="128"/>
      <c r="BW2174" s="128"/>
      <c r="BX2174" s="128"/>
      <c r="BY2174" s="128"/>
      <c r="BZ2174" s="128"/>
      <c r="CA2174" s="128"/>
      <c r="CB2174" s="128"/>
      <c r="CC2174" s="128"/>
      <c r="CD2174" s="128"/>
      <c r="CE2174" s="128"/>
      <c r="CF2174" s="128"/>
      <c r="CG2174" s="128"/>
      <c r="CI2174" s="128"/>
      <c r="CJ2174" s="128"/>
      <c r="CK2174" s="128"/>
      <c r="CL2174" s="128"/>
      <c r="CM2174" s="128"/>
      <c r="CN2174" s="128"/>
      <c r="CO2174" s="128"/>
      <c r="CP2174" s="128"/>
      <c r="CQ2174" s="128"/>
      <c r="CR2174" s="128"/>
      <c r="CS2174" s="128"/>
      <c r="CT2174" s="128"/>
      <c r="CU2174" s="128"/>
      <c r="CV2174" s="128"/>
      <c r="CW2174" s="128"/>
      <c r="CX2174" s="128"/>
      <c r="CY2174" s="128"/>
      <c r="CZ2174" s="165"/>
    </row>
    <row r="2175" spans="1:104">
      <c r="A2175" s="149"/>
      <c r="B2175" s="149"/>
      <c r="C2175" s="150"/>
      <c r="D2175" s="102"/>
      <c r="E2175" s="149"/>
      <c r="F2175" s="149"/>
      <c r="G2175" s="149"/>
      <c r="H2175" s="149"/>
      <c r="I2175" s="149"/>
      <c r="J2175" s="149"/>
      <c r="K2175" s="149"/>
      <c r="L2175" s="149"/>
      <c r="M2175" s="149"/>
      <c r="N2175" s="149"/>
      <c r="O2175" s="149"/>
      <c r="P2175" s="149"/>
      <c r="Q2175" s="149"/>
      <c r="R2175" s="149"/>
      <c r="S2175" s="149"/>
      <c r="T2175" s="149"/>
      <c r="U2175" s="149"/>
      <c r="V2175" s="149"/>
      <c r="W2175" s="149"/>
      <c r="X2175" s="149"/>
      <c r="Y2175" s="149"/>
      <c r="Z2175" s="149"/>
      <c r="AA2175" s="149"/>
      <c r="AB2175" s="149"/>
      <c r="AC2175" s="149"/>
      <c r="AD2175" s="149"/>
      <c r="AE2175" s="149"/>
      <c r="AF2175" s="149"/>
      <c r="AG2175" s="149"/>
      <c r="AH2175" s="149"/>
      <c r="AI2175" s="149"/>
      <c r="AJ2175" s="149"/>
      <c r="AK2175" s="149"/>
      <c r="AL2175" s="149"/>
      <c r="AM2175" s="149"/>
      <c r="AN2175" s="149"/>
      <c r="AO2175" s="128"/>
      <c r="AP2175" s="128"/>
      <c r="AQ2175" s="128"/>
      <c r="AR2175" s="128"/>
      <c r="AS2175" s="128"/>
      <c r="AT2175" s="128"/>
      <c r="AU2175" s="128"/>
      <c r="AV2175" s="128"/>
      <c r="AW2175" s="128"/>
      <c r="AX2175" s="128"/>
      <c r="AY2175" s="128"/>
      <c r="AZ2175" s="128"/>
      <c r="BA2175" s="128"/>
      <c r="BB2175" s="128"/>
      <c r="BC2175" s="128"/>
      <c r="BD2175" s="128"/>
      <c r="BE2175" s="128"/>
      <c r="BF2175" s="128"/>
      <c r="BG2175" s="128"/>
      <c r="BH2175" s="128"/>
      <c r="BI2175" s="128"/>
      <c r="BJ2175" s="128"/>
      <c r="BK2175" s="128"/>
      <c r="BL2175" s="128"/>
      <c r="BM2175" s="151"/>
      <c r="BN2175" s="128"/>
      <c r="BO2175" s="128"/>
      <c r="BP2175" s="128"/>
      <c r="BQ2175" s="128"/>
      <c r="BR2175" s="128"/>
      <c r="BS2175" s="128"/>
      <c r="BT2175" s="128"/>
      <c r="BU2175" s="128"/>
      <c r="BV2175" s="128"/>
      <c r="BW2175" s="128"/>
      <c r="BX2175" s="128"/>
      <c r="BY2175" s="128"/>
      <c r="BZ2175" s="128"/>
      <c r="CA2175" s="128"/>
      <c r="CB2175" s="128"/>
      <c r="CC2175" s="128"/>
      <c r="CD2175" s="128"/>
      <c r="CE2175" s="128"/>
      <c r="CF2175" s="128"/>
      <c r="CG2175" s="128"/>
      <c r="CI2175" s="128"/>
      <c r="CJ2175" s="128"/>
      <c r="CK2175" s="128"/>
      <c r="CL2175" s="128"/>
      <c r="CM2175" s="128"/>
      <c r="CN2175" s="128"/>
      <c r="CO2175" s="128"/>
      <c r="CP2175" s="128"/>
      <c r="CQ2175" s="128"/>
      <c r="CR2175" s="128"/>
      <c r="CS2175" s="128"/>
      <c r="CT2175" s="128"/>
      <c r="CU2175" s="128"/>
      <c r="CV2175" s="128"/>
      <c r="CW2175" s="128"/>
      <c r="CX2175" s="128"/>
      <c r="CY2175" s="128"/>
      <c r="CZ2175" s="165"/>
    </row>
    <row r="2176" spans="1:104">
      <c r="A2176" s="149"/>
      <c r="B2176" s="149"/>
      <c r="C2176" s="150"/>
      <c r="D2176" s="102"/>
      <c r="E2176" s="149"/>
      <c r="F2176" s="149"/>
      <c r="G2176" s="149"/>
      <c r="H2176" s="149"/>
      <c r="I2176" s="149"/>
      <c r="J2176" s="149"/>
      <c r="K2176" s="149"/>
      <c r="L2176" s="149"/>
      <c r="M2176" s="149"/>
      <c r="N2176" s="149"/>
      <c r="O2176" s="149"/>
      <c r="P2176" s="149"/>
      <c r="Q2176" s="149"/>
      <c r="R2176" s="149"/>
      <c r="S2176" s="149"/>
      <c r="T2176" s="149"/>
      <c r="U2176" s="149"/>
      <c r="V2176" s="149"/>
      <c r="W2176" s="149"/>
      <c r="X2176" s="149"/>
      <c r="Y2176" s="149"/>
      <c r="Z2176" s="149"/>
      <c r="AA2176" s="149"/>
      <c r="AB2176" s="149"/>
      <c r="AC2176" s="149"/>
      <c r="AD2176" s="149"/>
      <c r="AE2176" s="149"/>
      <c r="AF2176" s="149"/>
      <c r="AG2176" s="149"/>
      <c r="AH2176" s="149"/>
      <c r="AI2176" s="149"/>
      <c r="AJ2176" s="149"/>
      <c r="AK2176" s="149"/>
      <c r="AL2176" s="149"/>
      <c r="AM2176" s="149"/>
      <c r="AN2176" s="149"/>
      <c r="AO2176" s="128"/>
      <c r="AP2176" s="128"/>
      <c r="AQ2176" s="128"/>
      <c r="AR2176" s="128"/>
      <c r="AS2176" s="128"/>
      <c r="AT2176" s="128"/>
      <c r="AU2176" s="128"/>
      <c r="AV2176" s="128"/>
      <c r="AW2176" s="128"/>
      <c r="AX2176" s="128"/>
      <c r="AY2176" s="128"/>
      <c r="AZ2176" s="128"/>
      <c r="BA2176" s="128"/>
      <c r="BB2176" s="128"/>
      <c r="BC2176" s="128"/>
      <c r="BD2176" s="128"/>
      <c r="BE2176" s="128"/>
      <c r="BF2176" s="128"/>
      <c r="BG2176" s="128"/>
      <c r="BH2176" s="128"/>
      <c r="BI2176" s="128"/>
      <c r="BJ2176" s="128"/>
      <c r="BK2176" s="128"/>
      <c r="BL2176" s="128"/>
      <c r="BM2176" s="151"/>
      <c r="BN2176" s="128"/>
      <c r="BO2176" s="128"/>
      <c r="BP2176" s="128"/>
      <c r="BQ2176" s="128"/>
      <c r="BR2176" s="128"/>
      <c r="BS2176" s="128"/>
      <c r="BT2176" s="128"/>
      <c r="BU2176" s="128"/>
      <c r="BV2176" s="128"/>
      <c r="BW2176" s="128"/>
      <c r="BX2176" s="128"/>
      <c r="BY2176" s="128"/>
      <c r="BZ2176" s="128"/>
      <c r="CA2176" s="128"/>
      <c r="CB2176" s="128"/>
      <c r="CC2176" s="128"/>
      <c r="CD2176" s="128"/>
      <c r="CE2176" s="128"/>
      <c r="CF2176" s="128"/>
      <c r="CG2176" s="128"/>
      <c r="CI2176" s="128"/>
      <c r="CJ2176" s="128"/>
      <c r="CK2176" s="128"/>
      <c r="CL2176" s="128"/>
      <c r="CM2176" s="128"/>
      <c r="CN2176" s="128"/>
      <c r="CO2176" s="128"/>
      <c r="CP2176" s="128"/>
      <c r="CQ2176" s="128"/>
      <c r="CR2176" s="128"/>
      <c r="CS2176" s="128"/>
      <c r="CT2176" s="128"/>
      <c r="CU2176" s="128"/>
      <c r="CV2176" s="128"/>
      <c r="CW2176" s="128"/>
      <c r="CX2176" s="128"/>
      <c r="CY2176" s="128"/>
      <c r="CZ2176" s="165"/>
    </row>
    <row r="2177" spans="1:104">
      <c r="A2177" s="149"/>
      <c r="B2177" s="149"/>
      <c r="C2177" s="150"/>
      <c r="D2177" s="102"/>
      <c r="E2177" s="149"/>
      <c r="F2177" s="149"/>
      <c r="G2177" s="149"/>
      <c r="H2177" s="149"/>
      <c r="I2177" s="149"/>
      <c r="J2177" s="149"/>
      <c r="K2177" s="149"/>
      <c r="L2177" s="149"/>
      <c r="M2177" s="149"/>
      <c r="N2177" s="149"/>
      <c r="O2177" s="149"/>
      <c r="P2177" s="149"/>
      <c r="Q2177" s="149"/>
      <c r="R2177" s="149"/>
      <c r="S2177" s="149"/>
      <c r="T2177" s="149"/>
      <c r="U2177" s="149"/>
      <c r="V2177" s="149"/>
      <c r="W2177" s="149"/>
      <c r="X2177" s="149"/>
      <c r="Y2177" s="149"/>
      <c r="Z2177" s="149"/>
      <c r="AA2177" s="149"/>
      <c r="AB2177" s="149"/>
      <c r="AC2177" s="149"/>
      <c r="AD2177" s="149"/>
      <c r="AE2177" s="149"/>
      <c r="AF2177" s="149"/>
      <c r="AG2177" s="149"/>
      <c r="AH2177" s="149"/>
      <c r="AI2177" s="149"/>
      <c r="AJ2177" s="149"/>
      <c r="AK2177" s="149"/>
      <c r="AL2177" s="149"/>
      <c r="AM2177" s="149"/>
      <c r="AN2177" s="149"/>
      <c r="AO2177" s="128"/>
      <c r="AP2177" s="128"/>
      <c r="AQ2177" s="128"/>
      <c r="AR2177" s="128"/>
      <c r="AS2177" s="128"/>
      <c r="AT2177" s="128"/>
      <c r="AU2177" s="128"/>
      <c r="AV2177" s="128"/>
      <c r="AW2177" s="128"/>
      <c r="AX2177" s="128"/>
      <c r="AY2177" s="128"/>
      <c r="AZ2177" s="128"/>
      <c r="BA2177" s="128"/>
      <c r="BB2177" s="128"/>
      <c r="BC2177" s="128"/>
      <c r="BD2177" s="128"/>
      <c r="BE2177" s="128"/>
      <c r="BF2177" s="128"/>
      <c r="BG2177" s="128"/>
      <c r="BH2177" s="128"/>
      <c r="BI2177" s="128"/>
      <c r="BJ2177" s="128"/>
      <c r="BK2177" s="128"/>
      <c r="BL2177" s="128"/>
      <c r="BM2177" s="151"/>
      <c r="BN2177" s="128"/>
      <c r="BO2177" s="128"/>
      <c r="BP2177" s="128"/>
      <c r="BQ2177" s="128"/>
      <c r="BR2177" s="128"/>
      <c r="BS2177" s="128"/>
      <c r="BT2177" s="128"/>
      <c r="BU2177" s="128"/>
      <c r="BV2177" s="128"/>
      <c r="BW2177" s="128"/>
      <c r="BX2177" s="128"/>
      <c r="BY2177" s="128"/>
      <c r="BZ2177" s="128"/>
      <c r="CA2177" s="128"/>
      <c r="CB2177" s="128"/>
      <c r="CC2177" s="128"/>
      <c r="CD2177" s="128"/>
      <c r="CE2177" s="128"/>
      <c r="CF2177" s="128"/>
      <c r="CG2177" s="128"/>
      <c r="CI2177" s="128"/>
      <c r="CJ2177" s="128"/>
      <c r="CK2177" s="128"/>
      <c r="CL2177" s="128"/>
      <c r="CM2177" s="128"/>
      <c r="CN2177" s="128"/>
      <c r="CO2177" s="128"/>
      <c r="CP2177" s="128"/>
      <c r="CQ2177" s="128"/>
      <c r="CR2177" s="128"/>
      <c r="CS2177" s="128"/>
      <c r="CT2177" s="128"/>
      <c r="CU2177" s="128"/>
      <c r="CV2177" s="128"/>
      <c r="CW2177" s="128"/>
      <c r="CX2177" s="128"/>
      <c r="CY2177" s="128"/>
      <c r="CZ2177" s="165"/>
    </row>
    <row r="2178" spans="1:104">
      <c r="A2178" s="149"/>
      <c r="B2178" s="149"/>
      <c r="C2178" s="150"/>
      <c r="D2178" s="102"/>
      <c r="E2178" s="149"/>
      <c r="F2178" s="149"/>
      <c r="G2178" s="149"/>
      <c r="H2178" s="149"/>
      <c r="I2178" s="149"/>
      <c r="J2178" s="149"/>
      <c r="K2178" s="149"/>
      <c r="L2178" s="149"/>
      <c r="M2178" s="149"/>
      <c r="N2178" s="149"/>
      <c r="O2178" s="149"/>
      <c r="P2178" s="149"/>
      <c r="Q2178" s="149"/>
      <c r="R2178" s="149"/>
      <c r="S2178" s="149"/>
      <c r="T2178" s="149"/>
      <c r="U2178" s="149"/>
      <c r="V2178" s="149"/>
      <c r="W2178" s="149"/>
      <c r="X2178" s="149"/>
      <c r="Y2178" s="149"/>
      <c r="Z2178" s="149"/>
      <c r="AA2178" s="149"/>
      <c r="AB2178" s="149"/>
      <c r="AC2178" s="149"/>
      <c r="AD2178" s="149"/>
      <c r="AE2178" s="149"/>
      <c r="AF2178" s="149"/>
      <c r="AG2178" s="149"/>
      <c r="AH2178" s="149"/>
      <c r="AI2178" s="149"/>
      <c r="AJ2178" s="149"/>
      <c r="AK2178" s="149"/>
      <c r="AL2178" s="149"/>
      <c r="AM2178" s="149"/>
      <c r="AN2178" s="149"/>
      <c r="AO2178" s="128"/>
      <c r="AP2178" s="128"/>
      <c r="AQ2178" s="128"/>
      <c r="AR2178" s="128"/>
      <c r="AS2178" s="128"/>
      <c r="AT2178" s="128"/>
      <c r="AU2178" s="128"/>
      <c r="AV2178" s="128"/>
      <c r="AW2178" s="128"/>
      <c r="AX2178" s="128"/>
      <c r="AY2178" s="128"/>
      <c r="AZ2178" s="128"/>
      <c r="BA2178" s="128"/>
      <c r="BB2178" s="128"/>
      <c r="BC2178" s="128"/>
      <c r="BD2178" s="128"/>
      <c r="BE2178" s="128"/>
      <c r="BF2178" s="128"/>
      <c r="BG2178" s="128"/>
      <c r="BH2178" s="128"/>
      <c r="BI2178" s="128"/>
      <c r="BJ2178" s="128"/>
      <c r="BK2178" s="128"/>
      <c r="BL2178" s="128"/>
      <c r="BM2178" s="151"/>
      <c r="BN2178" s="128"/>
      <c r="BO2178" s="128"/>
      <c r="BP2178" s="128"/>
      <c r="BQ2178" s="128"/>
      <c r="BR2178" s="128"/>
      <c r="BS2178" s="128"/>
      <c r="BT2178" s="128"/>
      <c r="BU2178" s="128"/>
      <c r="BV2178" s="128"/>
      <c r="BW2178" s="128"/>
      <c r="BX2178" s="128"/>
      <c r="BY2178" s="128"/>
      <c r="BZ2178" s="128"/>
      <c r="CA2178" s="128"/>
      <c r="CB2178" s="128"/>
      <c r="CC2178" s="128"/>
      <c r="CD2178" s="128"/>
      <c r="CE2178" s="128"/>
      <c r="CF2178" s="128"/>
      <c r="CG2178" s="128"/>
      <c r="CI2178" s="128"/>
      <c r="CJ2178" s="128"/>
      <c r="CK2178" s="128"/>
      <c r="CL2178" s="128"/>
      <c r="CM2178" s="128"/>
      <c r="CN2178" s="128"/>
      <c r="CO2178" s="128"/>
      <c r="CP2178" s="128"/>
      <c r="CQ2178" s="128"/>
      <c r="CR2178" s="128"/>
      <c r="CS2178" s="128"/>
      <c r="CT2178" s="128"/>
      <c r="CU2178" s="128"/>
      <c r="CV2178" s="128"/>
      <c r="CW2178" s="128"/>
      <c r="CX2178" s="128"/>
      <c r="CY2178" s="128"/>
      <c r="CZ2178" s="165"/>
    </row>
    <row r="2179" spans="1:104">
      <c r="A2179" s="149"/>
      <c r="B2179" s="149"/>
      <c r="C2179" s="150"/>
      <c r="D2179" s="102"/>
      <c r="E2179" s="149"/>
      <c r="F2179" s="149"/>
      <c r="G2179" s="149"/>
      <c r="H2179" s="149"/>
      <c r="I2179" s="149"/>
      <c r="J2179" s="149"/>
      <c r="K2179" s="149"/>
      <c r="L2179" s="149"/>
      <c r="M2179" s="149"/>
      <c r="N2179" s="149"/>
      <c r="O2179" s="149"/>
      <c r="P2179" s="149"/>
      <c r="Q2179" s="149"/>
      <c r="R2179" s="149"/>
      <c r="S2179" s="149"/>
      <c r="T2179" s="149"/>
      <c r="U2179" s="149"/>
      <c r="V2179" s="149"/>
      <c r="W2179" s="149"/>
      <c r="X2179" s="149"/>
      <c r="Y2179" s="149"/>
      <c r="Z2179" s="149"/>
      <c r="AA2179" s="149"/>
      <c r="AB2179" s="149"/>
      <c r="AC2179" s="149"/>
      <c r="AD2179" s="149"/>
      <c r="AE2179" s="149"/>
      <c r="AF2179" s="149"/>
      <c r="AG2179" s="149"/>
      <c r="AH2179" s="149"/>
      <c r="AI2179" s="149"/>
      <c r="AJ2179" s="149"/>
      <c r="AK2179" s="149"/>
      <c r="AL2179" s="149"/>
      <c r="AM2179" s="149"/>
      <c r="AN2179" s="149"/>
      <c r="AO2179" s="128"/>
      <c r="AP2179" s="128"/>
      <c r="AQ2179" s="128"/>
      <c r="AR2179" s="128"/>
      <c r="AS2179" s="128"/>
      <c r="AT2179" s="128"/>
      <c r="AU2179" s="128"/>
      <c r="AV2179" s="128"/>
      <c r="AW2179" s="128"/>
      <c r="AX2179" s="128"/>
      <c r="AY2179" s="128"/>
      <c r="AZ2179" s="128"/>
      <c r="BA2179" s="128"/>
      <c r="BB2179" s="128"/>
      <c r="BC2179" s="128"/>
      <c r="BD2179" s="128"/>
      <c r="BE2179" s="128"/>
      <c r="BF2179" s="128"/>
      <c r="BG2179" s="128"/>
      <c r="BH2179" s="128"/>
      <c r="BI2179" s="128"/>
      <c r="BJ2179" s="128"/>
      <c r="BK2179" s="128"/>
      <c r="BL2179" s="128"/>
      <c r="BM2179" s="151"/>
      <c r="BN2179" s="128"/>
      <c r="BO2179" s="128"/>
      <c r="BP2179" s="128"/>
      <c r="BQ2179" s="128"/>
      <c r="BR2179" s="128"/>
      <c r="BS2179" s="128"/>
      <c r="BT2179" s="128"/>
      <c r="BU2179" s="128"/>
      <c r="BV2179" s="128"/>
      <c r="BW2179" s="128"/>
      <c r="BX2179" s="128"/>
      <c r="BY2179" s="128"/>
      <c r="BZ2179" s="128"/>
      <c r="CA2179" s="128"/>
      <c r="CB2179" s="128"/>
      <c r="CC2179" s="128"/>
      <c r="CD2179" s="128"/>
      <c r="CE2179" s="128"/>
      <c r="CF2179" s="128"/>
      <c r="CG2179" s="128"/>
      <c r="CI2179" s="128"/>
      <c r="CJ2179" s="128"/>
      <c r="CK2179" s="128"/>
      <c r="CL2179" s="128"/>
      <c r="CM2179" s="128"/>
      <c r="CN2179" s="128"/>
      <c r="CO2179" s="128"/>
      <c r="CP2179" s="128"/>
      <c r="CQ2179" s="128"/>
      <c r="CR2179" s="128"/>
      <c r="CS2179" s="128"/>
      <c r="CT2179" s="128"/>
      <c r="CU2179" s="128"/>
      <c r="CV2179" s="128"/>
      <c r="CW2179" s="128"/>
      <c r="CX2179" s="128"/>
      <c r="CY2179" s="128"/>
      <c r="CZ2179" s="165"/>
    </row>
    <row r="2180" spans="1:104">
      <c r="A2180" s="149"/>
      <c r="B2180" s="149"/>
      <c r="C2180" s="150"/>
      <c r="D2180" s="102"/>
      <c r="E2180" s="149"/>
      <c r="F2180" s="149"/>
      <c r="G2180" s="149"/>
      <c r="H2180" s="149"/>
      <c r="I2180" s="149"/>
      <c r="J2180" s="149"/>
      <c r="K2180" s="149"/>
      <c r="L2180" s="149"/>
      <c r="M2180" s="149"/>
      <c r="N2180" s="149"/>
      <c r="O2180" s="149"/>
      <c r="P2180" s="149"/>
      <c r="Q2180" s="149"/>
      <c r="R2180" s="149"/>
      <c r="S2180" s="149"/>
      <c r="T2180" s="149"/>
      <c r="U2180" s="149"/>
      <c r="V2180" s="149"/>
      <c r="W2180" s="149"/>
      <c r="X2180" s="149"/>
      <c r="Y2180" s="149"/>
      <c r="Z2180" s="149"/>
      <c r="AA2180" s="149"/>
      <c r="AB2180" s="149"/>
      <c r="AC2180" s="149"/>
      <c r="AD2180" s="149"/>
      <c r="AE2180" s="149"/>
      <c r="AF2180" s="149"/>
      <c r="AG2180" s="149"/>
      <c r="AH2180" s="149"/>
      <c r="AI2180" s="149"/>
      <c r="AJ2180" s="149"/>
      <c r="AK2180" s="149"/>
      <c r="AL2180" s="149"/>
      <c r="AM2180" s="149"/>
      <c r="AN2180" s="149"/>
      <c r="AO2180" s="128"/>
      <c r="AP2180" s="128"/>
      <c r="AQ2180" s="128"/>
      <c r="AR2180" s="128"/>
      <c r="AS2180" s="128"/>
      <c r="AT2180" s="128"/>
      <c r="AU2180" s="128"/>
      <c r="AV2180" s="128"/>
      <c r="AW2180" s="128"/>
      <c r="AX2180" s="128"/>
      <c r="AY2180" s="128"/>
      <c r="AZ2180" s="128"/>
      <c r="BA2180" s="128"/>
      <c r="BB2180" s="128"/>
      <c r="BC2180" s="128"/>
      <c r="BD2180" s="128"/>
      <c r="BE2180" s="128"/>
      <c r="BF2180" s="128"/>
      <c r="BG2180" s="128"/>
      <c r="BH2180" s="128"/>
      <c r="BI2180" s="128"/>
      <c r="BJ2180" s="128"/>
      <c r="BK2180" s="128"/>
      <c r="BL2180" s="128"/>
      <c r="BM2180" s="151"/>
      <c r="BN2180" s="128"/>
      <c r="BO2180" s="128"/>
      <c r="BP2180" s="128"/>
      <c r="BQ2180" s="128"/>
      <c r="BR2180" s="128"/>
      <c r="BS2180" s="128"/>
      <c r="BT2180" s="128"/>
      <c r="BU2180" s="128"/>
      <c r="BV2180" s="128"/>
      <c r="BW2180" s="128"/>
      <c r="BX2180" s="128"/>
      <c r="BY2180" s="128"/>
      <c r="BZ2180" s="128"/>
      <c r="CA2180" s="128"/>
      <c r="CB2180" s="128"/>
      <c r="CC2180" s="128"/>
      <c r="CD2180" s="128"/>
      <c r="CE2180" s="128"/>
      <c r="CF2180" s="128"/>
      <c r="CG2180" s="128"/>
      <c r="CI2180" s="128"/>
      <c r="CJ2180" s="128"/>
      <c r="CK2180" s="128"/>
      <c r="CL2180" s="128"/>
      <c r="CM2180" s="128"/>
      <c r="CN2180" s="128"/>
      <c r="CO2180" s="128"/>
      <c r="CP2180" s="128"/>
      <c r="CQ2180" s="128"/>
      <c r="CR2180" s="128"/>
      <c r="CS2180" s="128"/>
      <c r="CT2180" s="128"/>
      <c r="CU2180" s="128"/>
      <c r="CV2180" s="128"/>
      <c r="CW2180" s="128"/>
      <c r="CX2180" s="128"/>
      <c r="CY2180" s="128"/>
      <c r="CZ2180" s="165"/>
    </row>
    <row r="2181" spans="1:104">
      <c r="A2181" s="149"/>
      <c r="B2181" s="149"/>
      <c r="C2181" s="150"/>
      <c r="D2181" s="102"/>
      <c r="E2181" s="149"/>
      <c r="F2181" s="149"/>
      <c r="G2181" s="149"/>
      <c r="H2181" s="149"/>
      <c r="I2181" s="149"/>
      <c r="J2181" s="149"/>
      <c r="K2181" s="149"/>
      <c r="L2181" s="149"/>
      <c r="M2181" s="149"/>
      <c r="N2181" s="149"/>
      <c r="O2181" s="149"/>
      <c r="P2181" s="149"/>
      <c r="Q2181" s="149"/>
      <c r="R2181" s="149"/>
      <c r="S2181" s="149"/>
      <c r="T2181" s="149"/>
      <c r="U2181" s="149"/>
      <c r="V2181" s="149"/>
      <c r="W2181" s="149"/>
      <c r="X2181" s="149"/>
      <c r="Y2181" s="149"/>
      <c r="Z2181" s="149"/>
      <c r="AA2181" s="149"/>
      <c r="AB2181" s="149"/>
      <c r="AC2181" s="149"/>
      <c r="AD2181" s="149"/>
      <c r="AE2181" s="149"/>
      <c r="AF2181" s="149"/>
      <c r="AG2181" s="149"/>
      <c r="AH2181" s="149"/>
      <c r="AI2181" s="149"/>
      <c r="AJ2181" s="149"/>
      <c r="AK2181" s="149"/>
      <c r="AL2181" s="149"/>
      <c r="AM2181" s="149"/>
      <c r="AN2181" s="149"/>
      <c r="AO2181" s="128"/>
      <c r="AP2181" s="128"/>
      <c r="AQ2181" s="128"/>
      <c r="AR2181" s="128"/>
      <c r="AS2181" s="128"/>
      <c r="AT2181" s="128"/>
      <c r="AU2181" s="128"/>
      <c r="AV2181" s="128"/>
      <c r="AW2181" s="128"/>
      <c r="AX2181" s="128"/>
      <c r="AY2181" s="128"/>
      <c r="AZ2181" s="128"/>
      <c r="BA2181" s="128"/>
      <c r="BB2181" s="128"/>
      <c r="BC2181" s="128"/>
      <c r="BD2181" s="128"/>
      <c r="BE2181" s="128"/>
      <c r="BF2181" s="128"/>
      <c r="BG2181" s="128"/>
      <c r="BH2181" s="128"/>
      <c r="BI2181" s="128"/>
      <c r="BJ2181" s="128"/>
      <c r="BK2181" s="128"/>
      <c r="BL2181" s="128"/>
      <c r="BM2181" s="151"/>
      <c r="BN2181" s="128"/>
      <c r="BO2181" s="128"/>
      <c r="BP2181" s="128"/>
      <c r="BQ2181" s="128"/>
      <c r="BR2181" s="128"/>
      <c r="BS2181" s="128"/>
      <c r="BT2181" s="128"/>
      <c r="BU2181" s="128"/>
      <c r="BV2181" s="128"/>
      <c r="BW2181" s="128"/>
      <c r="BX2181" s="128"/>
      <c r="BY2181" s="128"/>
      <c r="BZ2181" s="128"/>
      <c r="CA2181" s="128"/>
      <c r="CB2181" s="128"/>
      <c r="CC2181" s="128"/>
      <c r="CD2181" s="128"/>
      <c r="CE2181" s="128"/>
      <c r="CF2181" s="128"/>
      <c r="CG2181" s="128"/>
      <c r="CI2181" s="128"/>
      <c r="CJ2181" s="128"/>
      <c r="CK2181" s="128"/>
      <c r="CL2181" s="128"/>
      <c r="CM2181" s="128"/>
      <c r="CN2181" s="128"/>
      <c r="CO2181" s="128"/>
      <c r="CP2181" s="128"/>
      <c r="CQ2181" s="128"/>
      <c r="CR2181" s="128"/>
      <c r="CS2181" s="128"/>
      <c r="CT2181" s="128"/>
      <c r="CU2181" s="128"/>
      <c r="CV2181" s="128"/>
      <c r="CW2181" s="128"/>
      <c r="CX2181" s="128"/>
      <c r="CY2181" s="128"/>
      <c r="CZ2181" s="165"/>
    </row>
    <row r="2182" spans="1:104">
      <c r="A2182" s="149"/>
      <c r="B2182" s="149"/>
      <c r="C2182" s="150"/>
      <c r="D2182" s="102"/>
      <c r="E2182" s="149"/>
      <c r="F2182" s="149"/>
      <c r="G2182" s="149"/>
      <c r="H2182" s="149"/>
      <c r="I2182" s="149"/>
      <c r="J2182" s="149"/>
      <c r="K2182" s="149"/>
      <c r="L2182" s="149"/>
      <c r="M2182" s="149"/>
      <c r="N2182" s="149"/>
      <c r="O2182" s="149"/>
      <c r="P2182" s="149"/>
      <c r="Q2182" s="149"/>
      <c r="R2182" s="149"/>
      <c r="S2182" s="149"/>
      <c r="T2182" s="149"/>
      <c r="U2182" s="149"/>
      <c r="V2182" s="149"/>
      <c r="W2182" s="149"/>
      <c r="X2182" s="149"/>
      <c r="Y2182" s="149"/>
      <c r="Z2182" s="149"/>
      <c r="AA2182" s="149"/>
      <c r="AB2182" s="149"/>
      <c r="AC2182" s="149"/>
      <c r="AD2182" s="149"/>
      <c r="AE2182" s="149"/>
      <c r="AF2182" s="149"/>
      <c r="AG2182" s="149"/>
      <c r="AH2182" s="149"/>
      <c r="AI2182" s="149"/>
      <c r="AJ2182" s="149"/>
      <c r="AK2182" s="149"/>
      <c r="AL2182" s="149"/>
      <c r="AM2182" s="149"/>
      <c r="AN2182" s="149"/>
      <c r="AO2182" s="128"/>
      <c r="AP2182" s="128"/>
      <c r="AQ2182" s="128"/>
      <c r="AR2182" s="128"/>
      <c r="AS2182" s="128"/>
      <c r="AT2182" s="128"/>
      <c r="AU2182" s="128"/>
      <c r="AV2182" s="128"/>
      <c r="AW2182" s="128"/>
      <c r="AX2182" s="128"/>
      <c r="AY2182" s="128"/>
      <c r="AZ2182" s="128"/>
      <c r="BA2182" s="128"/>
      <c r="BB2182" s="128"/>
      <c r="BC2182" s="128"/>
      <c r="BD2182" s="128"/>
      <c r="BE2182" s="128"/>
      <c r="BF2182" s="128"/>
      <c r="BG2182" s="128"/>
      <c r="BH2182" s="128"/>
      <c r="BI2182" s="128"/>
      <c r="BJ2182" s="128"/>
      <c r="BK2182" s="128"/>
      <c r="BL2182" s="128"/>
      <c r="BM2182" s="151"/>
      <c r="BN2182" s="128"/>
      <c r="BO2182" s="128"/>
      <c r="BP2182" s="128"/>
      <c r="BQ2182" s="128"/>
      <c r="BR2182" s="128"/>
      <c r="BS2182" s="128"/>
      <c r="BT2182" s="128"/>
      <c r="BU2182" s="128"/>
      <c r="BV2182" s="128"/>
      <c r="BW2182" s="128"/>
      <c r="BX2182" s="128"/>
      <c r="BY2182" s="128"/>
      <c r="BZ2182" s="128"/>
      <c r="CA2182" s="128"/>
      <c r="CB2182" s="128"/>
      <c r="CC2182" s="128"/>
      <c r="CD2182" s="128"/>
      <c r="CE2182" s="128"/>
      <c r="CF2182" s="128"/>
      <c r="CG2182" s="128"/>
      <c r="CI2182" s="128"/>
      <c r="CJ2182" s="128"/>
      <c r="CK2182" s="128"/>
      <c r="CL2182" s="128"/>
      <c r="CM2182" s="128"/>
      <c r="CN2182" s="128"/>
      <c r="CO2182" s="128"/>
      <c r="CP2182" s="128"/>
      <c r="CQ2182" s="128"/>
      <c r="CR2182" s="128"/>
      <c r="CS2182" s="128"/>
      <c r="CT2182" s="128"/>
      <c r="CU2182" s="128"/>
      <c r="CV2182" s="128"/>
      <c r="CW2182" s="128"/>
      <c r="CX2182" s="128"/>
      <c r="CY2182" s="128"/>
      <c r="CZ2182" s="165"/>
    </row>
    <row r="2183" spans="1:104">
      <c r="A2183" s="149"/>
      <c r="B2183" s="149"/>
      <c r="C2183" s="150"/>
      <c r="D2183" s="102"/>
      <c r="E2183" s="149"/>
      <c r="F2183" s="149"/>
      <c r="G2183" s="149"/>
      <c r="H2183" s="149"/>
      <c r="I2183" s="149"/>
      <c r="J2183" s="149"/>
      <c r="K2183" s="149"/>
      <c r="L2183" s="149"/>
      <c r="M2183" s="149"/>
      <c r="N2183" s="149"/>
      <c r="O2183" s="149"/>
      <c r="P2183" s="149"/>
      <c r="Q2183" s="149"/>
      <c r="R2183" s="149"/>
      <c r="S2183" s="149"/>
      <c r="T2183" s="149"/>
      <c r="U2183" s="149"/>
      <c r="V2183" s="149"/>
      <c r="W2183" s="149"/>
      <c r="X2183" s="149"/>
      <c r="Y2183" s="149"/>
      <c r="Z2183" s="149"/>
      <c r="AA2183" s="149"/>
      <c r="AB2183" s="149"/>
      <c r="AC2183" s="149"/>
      <c r="AD2183" s="149"/>
      <c r="AE2183" s="149"/>
      <c r="AF2183" s="149"/>
      <c r="AG2183" s="149"/>
      <c r="AH2183" s="149"/>
      <c r="AI2183" s="149"/>
      <c r="AJ2183" s="149"/>
      <c r="AK2183" s="149"/>
      <c r="AL2183" s="149"/>
      <c r="AM2183" s="149"/>
      <c r="AN2183" s="149"/>
      <c r="AO2183" s="128"/>
      <c r="AP2183" s="128"/>
      <c r="AQ2183" s="128"/>
      <c r="AR2183" s="128"/>
      <c r="AS2183" s="128"/>
      <c r="AT2183" s="128"/>
      <c r="AU2183" s="128"/>
      <c r="AV2183" s="128"/>
      <c r="AW2183" s="128"/>
      <c r="AX2183" s="128"/>
      <c r="AY2183" s="128"/>
      <c r="AZ2183" s="128"/>
      <c r="BA2183" s="128"/>
      <c r="BB2183" s="128"/>
      <c r="BC2183" s="128"/>
      <c r="BD2183" s="128"/>
      <c r="BE2183" s="128"/>
      <c r="BF2183" s="128"/>
      <c r="BG2183" s="128"/>
      <c r="BH2183" s="128"/>
      <c r="BI2183" s="128"/>
      <c r="BJ2183" s="128"/>
      <c r="BK2183" s="128"/>
      <c r="BL2183" s="128"/>
      <c r="BM2183" s="151"/>
      <c r="BN2183" s="128"/>
      <c r="BO2183" s="128"/>
      <c r="BP2183" s="128"/>
      <c r="BQ2183" s="128"/>
      <c r="BR2183" s="128"/>
      <c r="BS2183" s="128"/>
      <c r="BT2183" s="128"/>
      <c r="BU2183" s="128"/>
      <c r="BV2183" s="128"/>
      <c r="BW2183" s="128"/>
      <c r="BX2183" s="128"/>
      <c r="BY2183" s="128"/>
      <c r="BZ2183" s="128"/>
      <c r="CA2183" s="128"/>
      <c r="CB2183" s="128"/>
      <c r="CC2183" s="128"/>
      <c r="CD2183" s="128"/>
      <c r="CE2183" s="128"/>
      <c r="CF2183" s="128"/>
      <c r="CG2183" s="128"/>
      <c r="CI2183" s="128"/>
      <c r="CJ2183" s="128"/>
      <c r="CK2183" s="128"/>
      <c r="CL2183" s="128"/>
      <c r="CM2183" s="128"/>
      <c r="CN2183" s="128"/>
      <c r="CO2183" s="128"/>
      <c r="CP2183" s="128"/>
      <c r="CQ2183" s="128"/>
      <c r="CR2183" s="128"/>
      <c r="CS2183" s="128"/>
      <c r="CT2183" s="128"/>
      <c r="CU2183" s="128"/>
      <c r="CV2183" s="128"/>
      <c r="CW2183" s="128"/>
      <c r="CX2183" s="128"/>
      <c r="CY2183" s="128"/>
      <c r="CZ2183" s="165"/>
    </row>
    <row r="2184" spans="1:104">
      <c r="A2184" s="149"/>
      <c r="B2184" s="149"/>
      <c r="C2184" s="150"/>
      <c r="D2184" s="102"/>
      <c r="E2184" s="149"/>
      <c r="F2184" s="149"/>
      <c r="G2184" s="149"/>
      <c r="H2184" s="149"/>
      <c r="I2184" s="149"/>
      <c r="J2184" s="149"/>
      <c r="K2184" s="149"/>
      <c r="L2184" s="149"/>
      <c r="M2184" s="149"/>
      <c r="N2184" s="149"/>
      <c r="O2184" s="149"/>
      <c r="P2184" s="149"/>
      <c r="Q2184" s="149"/>
      <c r="R2184" s="149"/>
      <c r="S2184" s="149"/>
      <c r="T2184" s="149"/>
      <c r="U2184" s="149"/>
      <c r="V2184" s="149"/>
      <c r="W2184" s="149"/>
      <c r="X2184" s="149"/>
      <c r="Y2184" s="149"/>
      <c r="Z2184" s="149"/>
      <c r="AA2184" s="149"/>
      <c r="AB2184" s="149"/>
      <c r="AC2184" s="149"/>
      <c r="AD2184" s="149"/>
      <c r="AE2184" s="149"/>
      <c r="AF2184" s="149"/>
      <c r="AG2184" s="149"/>
      <c r="AH2184" s="149"/>
      <c r="AI2184" s="149"/>
      <c r="AJ2184" s="149"/>
      <c r="AK2184" s="149"/>
      <c r="AL2184" s="149"/>
      <c r="AM2184" s="149"/>
      <c r="AN2184" s="149"/>
      <c r="AO2184" s="128"/>
      <c r="AP2184" s="128"/>
      <c r="AQ2184" s="128"/>
      <c r="AR2184" s="128"/>
      <c r="AS2184" s="128"/>
      <c r="AT2184" s="128"/>
      <c r="AU2184" s="128"/>
      <c r="AV2184" s="128"/>
      <c r="AW2184" s="128"/>
      <c r="AX2184" s="128"/>
      <c r="AY2184" s="128"/>
      <c r="AZ2184" s="128"/>
      <c r="BA2184" s="128"/>
      <c r="BB2184" s="128"/>
      <c r="BC2184" s="128"/>
      <c r="BD2184" s="128"/>
      <c r="BE2184" s="128"/>
      <c r="BF2184" s="128"/>
      <c r="BG2184" s="128"/>
      <c r="BH2184" s="128"/>
      <c r="BI2184" s="128"/>
      <c r="BJ2184" s="128"/>
      <c r="BK2184" s="128"/>
      <c r="BL2184" s="128"/>
      <c r="BM2184" s="151"/>
      <c r="BN2184" s="128"/>
      <c r="BO2184" s="128"/>
      <c r="BP2184" s="128"/>
      <c r="BQ2184" s="128"/>
      <c r="BR2184" s="128"/>
      <c r="BS2184" s="128"/>
      <c r="BT2184" s="128"/>
      <c r="BU2184" s="128"/>
      <c r="BV2184" s="128"/>
      <c r="BW2184" s="128"/>
      <c r="BX2184" s="128"/>
      <c r="BY2184" s="128"/>
      <c r="BZ2184" s="128"/>
      <c r="CA2184" s="128"/>
      <c r="CB2184" s="128"/>
      <c r="CC2184" s="128"/>
      <c r="CD2184" s="128"/>
      <c r="CE2184" s="128"/>
      <c r="CF2184" s="128"/>
      <c r="CG2184" s="128"/>
      <c r="CI2184" s="128"/>
      <c r="CJ2184" s="128"/>
      <c r="CK2184" s="128"/>
      <c r="CL2184" s="128"/>
      <c r="CM2184" s="128"/>
      <c r="CN2184" s="128"/>
      <c r="CO2184" s="128"/>
      <c r="CP2184" s="128"/>
      <c r="CQ2184" s="128"/>
      <c r="CR2184" s="128"/>
      <c r="CS2184" s="128"/>
      <c r="CT2184" s="128"/>
      <c r="CU2184" s="128"/>
      <c r="CV2184" s="128"/>
      <c r="CW2184" s="128"/>
      <c r="CX2184" s="128"/>
      <c r="CY2184" s="128"/>
      <c r="CZ2184" s="165"/>
    </row>
    <row r="2185" spans="1:104">
      <c r="A2185" s="149"/>
      <c r="B2185" s="149"/>
      <c r="C2185" s="150"/>
      <c r="D2185" s="102"/>
      <c r="E2185" s="149"/>
      <c r="F2185" s="149"/>
      <c r="G2185" s="149"/>
      <c r="H2185" s="149"/>
      <c r="I2185" s="149"/>
      <c r="J2185" s="149"/>
      <c r="K2185" s="149"/>
      <c r="L2185" s="149"/>
      <c r="M2185" s="149"/>
      <c r="N2185" s="149"/>
      <c r="O2185" s="149"/>
      <c r="P2185" s="149"/>
      <c r="Q2185" s="149"/>
      <c r="R2185" s="149"/>
      <c r="S2185" s="149"/>
      <c r="T2185" s="149"/>
      <c r="U2185" s="149"/>
      <c r="V2185" s="149"/>
      <c r="W2185" s="149"/>
      <c r="X2185" s="149"/>
      <c r="Y2185" s="149"/>
      <c r="Z2185" s="149"/>
      <c r="AA2185" s="149"/>
      <c r="AB2185" s="149"/>
      <c r="AC2185" s="149"/>
      <c r="AD2185" s="149"/>
      <c r="AE2185" s="149"/>
      <c r="AF2185" s="149"/>
      <c r="AG2185" s="149"/>
      <c r="AH2185" s="149"/>
      <c r="AI2185" s="149"/>
      <c r="AJ2185" s="149"/>
      <c r="AK2185" s="149"/>
      <c r="AL2185" s="149"/>
      <c r="AM2185" s="149"/>
      <c r="AN2185" s="149"/>
      <c r="AO2185" s="128"/>
      <c r="AP2185" s="128"/>
      <c r="AQ2185" s="128"/>
      <c r="AR2185" s="128"/>
      <c r="AS2185" s="128"/>
      <c r="AT2185" s="128"/>
      <c r="AU2185" s="128"/>
      <c r="AV2185" s="128"/>
      <c r="AW2185" s="128"/>
      <c r="AX2185" s="128"/>
      <c r="AY2185" s="128"/>
      <c r="AZ2185" s="128"/>
      <c r="BA2185" s="128"/>
      <c r="BB2185" s="128"/>
      <c r="BC2185" s="128"/>
      <c r="BD2185" s="128"/>
      <c r="BE2185" s="128"/>
      <c r="BF2185" s="128"/>
      <c r="BG2185" s="128"/>
      <c r="BH2185" s="128"/>
      <c r="BI2185" s="128"/>
      <c r="BJ2185" s="128"/>
      <c r="BK2185" s="128"/>
      <c r="BL2185" s="128"/>
      <c r="BM2185" s="151"/>
      <c r="BN2185" s="128"/>
      <c r="BO2185" s="128"/>
      <c r="BP2185" s="128"/>
      <c r="BQ2185" s="128"/>
      <c r="BR2185" s="128"/>
      <c r="BS2185" s="128"/>
      <c r="BT2185" s="128"/>
      <c r="BU2185" s="128"/>
      <c r="BV2185" s="128"/>
      <c r="BW2185" s="128"/>
      <c r="BX2185" s="128"/>
      <c r="BY2185" s="128"/>
      <c r="BZ2185" s="128"/>
      <c r="CA2185" s="128"/>
      <c r="CB2185" s="128"/>
      <c r="CC2185" s="128"/>
      <c r="CD2185" s="128"/>
      <c r="CE2185" s="128"/>
      <c r="CF2185" s="128"/>
      <c r="CG2185" s="128"/>
      <c r="CI2185" s="128"/>
      <c r="CJ2185" s="128"/>
      <c r="CK2185" s="128"/>
      <c r="CL2185" s="128"/>
      <c r="CM2185" s="128"/>
      <c r="CN2185" s="128"/>
      <c r="CO2185" s="128"/>
      <c r="CP2185" s="128"/>
      <c r="CQ2185" s="128"/>
      <c r="CR2185" s="128"/>
      <c r="CS2185" s="128"/>
      <c r="CT2185" s="128"/>
      <c r="CU2185" s="128"/>
      <c r="CV2185" s="128"/>
      <c r="CW2185" s="128"/>
      <c r="CX2185" s="128"/>
      <c r="CY2185" s="128"/>
      <c r="CZ2185" s="165"/>
    </row>
    <row r="2186" spans="1:104">
      <c r="A2186" s="149"/>
      <c r="B2186" s="149"/>
      <c r="C2186" s="150"/>
      <c r="D2186" s="102"/>
      <c r="E2186" s="149"/>
      <c r="F2186" s="149"/>
      <c r="G2186" s="149"/>
      <c r="H2186" s="149"/>
      <c r="I2186" s="149"/>
      <c r="J2186" s="149"/>
      <c r="K2186" s="149"/>
      <c r="L2186" s="149"/>
      <c r="M2186" s="149"/>
      <c r="N2186" s="149"/>
      <c r="O2186" s="149"/>
      <c r="P2186" s="149"/>
      <c r="Q2186" s="149"/>
      <c r="R2186" s="149"/>
      <c r="S2186" s="149"/>
      <c r="T2186" s="149"/>
      <c r="U2186" s="149"/>
      <c r="V2186" s="149"/>
      <c r="W2186" s="149"/>
      <c r="X2186" s="149"/>
      <c r="Y2186" s="149"/>
      <c r="Z2186" s="149"/>
      <c r="AA2186" s="149"/>
      <c r="AB2186" s="149"/>
      <c r="AC2186" s="149"/>
      <c r="AD2186" s="149"/>
      <c r="AE2186" s="149"/>
      <c r="AF2186" s="149"/>
      <c r="AG2186" s="149"/>
      <c r="AH2186" s="149"/>
      <c r="AI2186" s="149"/>
      <c r="AJ2186" s="149"/>
      <c r="AK2186" s="149"/>
      <c r="AL2186" s="149"/>
      <c r="AM2186" s="149"/>
      <c r="AN2186" s="149"/>
      <c r="AO2186" s="128"/>
      <c r="AP2186" s="128"/>
      <c r="AQ2186" s="128"/>
      <c r="AR2186" s="128"/>
      <c r="AS2186" s="128"/>
      <c r="AT2186" s="128"/>
      <c r="AU2186" s="128"/>
      <c r="AV2186" s="128"/>
      <c r="AW2186" s="128"/>
      <c r="AX2186" s="128"/>
      <c r="AY2186" s="128"/>
      <c r="AZ2186" s="128"/>
      <c r="BA2186" s="128"/>
      <c r="BB2186" s="128"/>
      <c r="BC2186" s="128"/>
      <c r="BD2186" s="128"/>
      <c r="BE2186" s="128"/>
      <c r="BF2186" s="128"/>
      <c r="BG2186" s="128"/>
      <c r="BH2186" s="128"/>
      <c r="BI2186" s="128"/>
      <c r="BJ2186" s="128"/>
      <c r="BK2186" s="128"/>
      <c r="BL2186" s="128"/>
      <c r="BM2186" s="151"/>
      <c r="BN2186" s="128"/>
      <c r="BO2186" s="128"/>
      <c r="BP2186" s="128"/>
      <c r="BQ2186" s="128"/>
      <c r="BR2186" s="128"/>
      <c r="BS2186" s="128"/>
      <c r="BT2186" s="128"/>
      <c r="BU2186" s="128"/>
      <c r="BV2186" s="128"/>
      <c r="BW2186" s="128"/>
      <c r="BX2186" s="128"/>
      <c r="BY2186" s="128"/>
      <c r="BZ2186" s="128"/>
      <c r="CA2186" s="128"/>
      <c r="CB2186" s="128"/>
      <c r="CC2186" s="128"/>
      <c r="CD2186" s="128"/>
      <c r="CE2186" s="128"/>
      <c r="CF2186" s="128"/>
      <c r="CG2186" s="128"/>
      <c r="CI2186" s="128"/>
      <c r="CJ2186" s="128"/>
      <c r="CK2186" s="128"/>
      <c r="CL2186" s="128"/>
      <c r="CM2186" s="128"/>
      <c r="CN2186" s="128"/>
      <c r="CO2186" s="128"/>
      <c r="CP2186" s="128"/>
      <c r="CQ2186" s="128"/>
      <c r="CR2186" s="128"/>
      <c r="CS2186" s="128"/>
      <c r="CT2186" s="128"/>
      <c r="CU2186" s="128"/>
      <c r="CV2186" s="128"/>
      <c r="CW2186" s="128"/>
      <c r="CX2186" s="128"/>
      <c r="CY2186" s="128"/>
      <c r="CZ2186" s="165"/>
    </row>
    <row r="2187" spans="1:104">
      <c r="A2187" s="149"/>
      <c r="B2187" s="149"/>
      <c r="C2187" s="150"/>
      <c r="D2187" s="102"/>
      <c r="E2187" s="149"/>
      <c r="F2187" s="149"/>
      <c r="G2187" s="149"/>
      <c r="H2187" s="149"/>
      <c r="I2187" s="149"/>
      <c r="J2187" s="149"/>
      <c r="K2187" s="149"/>
      <c r="L2187" s="149"/>
      <c r="M2187" s="149"/>
      <c r="N2187" s="149"/>
      <c r="O2187" s="149"/>
      <c r="P2187" s="149"/>
      <c r="Q2187" s="149"/>
      <c r="R2187" s="149"/>
      <c r="S2187" s="149"/>
      <c r="T2187" s="149"/>
      <c r="U2187" s="149"/>
      <c r="V2187" s="149"/>
      <c r="W2187" s="149"/>
      <c r="X2187" s="149"/>
      <c r="Y2187" s="149"/>
      <c r="Z2187" s="149"/>
      <c r="AA2187" s="149"/>
      <c r="AB2187" s="149"/>
      <c r="AC2187" s="149"/>
      <c r="AD2187" s="149"/>
      <c r="AE2187" s="149"/>
      <c r="AF2187" s="149"/>
      <c r="AG2187" s="149"/>
      <c r="AH2187" s="149"/>
      <c r="AI2187" s="149"/>
      <c r="AJ2187" s="149"/>
      <c r="AK2187" s="149"/>
      <c r="AL2187" s="149"/>
      <c r="AM2187" s="149"/>
      <c r="AN2187" s="149"/>
      <c r="AO2187" s="128"/>
      <c r="AP2187" s="128"/>
      <c r="AQ2187" s="128"/>
      <c r="AR2187" s="128"/>
      <c r="AS2187" s="128"/>
      <c r="AT2187" s="128"/>
      <c r="AU2187" s="128"/>
      <c r="AV2187" s="128"/>
      <c r="AW2187" s="128"/>
      <c r="AX2187" s="128"/>
      <c r="AY2187" s="128"/>
      <c r="AZ2187" s="128"/>
      <c r="BA2187" s="128"/>
      <c r="BB2187" s="128"/>
      <c r="BC2187" s="128"/>
      <c r="BD2187" s="128"/>
      <c r="BE2187" s="128"/>
      <c r="BF2187" s="128"/>
      <c r="BG2187" s="128"/>
      <c r="BH2187" s="128"/>
      <c r="BI2187" s="128"/>
      <c r="BJ2187" s="128"/>
      <c r="BK2187" s="128"/>
      <c r="BL2187" s="128"/>
      <c r="BM2187" s="151"/>
      <c r="BN2187" s="128"/>
      <c r="BO2187" s="128"/>
      <c r="BP2187" s="128"/>
      <c r="BQ2187" s="128"/>
      <c r="BR2187" s="128"/>
      <c r="BS2187" s="128"/>
      <c r="BT2187" s="128"/>
      <c r="BU2187" s="128"/>
      <c r="BV2187" s="128"/>
      <c r="BW2187" s="128"/>
      <c r="BX2187" s="128"/>
      <c r="BY2187" s="128"/>
      <c r="BZ2187" s="128"/>
      <c r="CA2187" s="128"/>
      <c r="CB2187" s="128"/>
      <c r="CC2187" s="128"/>
      <c r="CD2187" s="128"/>
      <c r="CE2187" s="128"/>
      <c r="CF2187" s="128"/>
      <c r="CG2187" s="128"/>
      <c r="CI2187" s="128"/>
      <c r="CJ2187" s="128"/>
      <c r="CK2187" s="128"/>
      <c r="CL2187" s="128"/>
      <c r="CM2187" s="128"/>
      <c r="CN2187" s="128"/>
      <c r="CO2187" s="128"/>
      <c r="CP2187" s="128"/>
      <c r="CQ2187" s="128"/>
      <c r="CR2187" s="128"/>
      <c r="CS2187" s="128"/>
      <c r="CT2187" s="128"/>
      <c r="CU2187" s="128"/>
      <c r="CV2187" s="128"/>
      <c r="CW2187" s="128"/>
      <c r="CX2187" s="128"/>
      <c r="CY2187" s="128"/>
      <c r="CZ2187" s="165"/>
    </row>
    <row r="2188" spans="1:104">
      <c r="A2188" s="149"/>
      <c r="B2188" s="149"/>
      <c r="C2188" s="150"/>
      <c r="D2188" s="102"/>
      <c r="E2188" s="149"/>
      <c r="F2188" s="149"/>
      <c r="G2188" s="149"/>
      <c r="H2188" s="149"/>
      <c r="I2188" s="149"/>
      <c r="J2188" s="149"/>
      <c r="K2188" s="149"/>
      <c r="L2188" s="149"/>
      <c r="M2188" s="149"/>
      <c r="N2188" s="149"/>
      <c r="O2188" s="149"/>
      <c r="P2188" s="149"/>
      <c r="Q2188" s="149"/>
      <c r="R2188" s="149"/>
      <c r="S2188" s="149"/>
      <c r="T2188" s="149"/>
      <c r="U2188" s="149"/>
      <c r="V2188" s="149"/>
      <c r="W2188" s="149"/>
      <c r="X2188" s="149"/>
      <c r="Y2188" s="149"/>
      <c r="Z2188" s="149"/>
      <c r="AA2188" s="149"/>
      <c r="AB2188" s="149"/>
      <c r="AC2188" s="149"/>
      <c r="AD2188" s="149"/>
      <c r="AE2188" s="149"/>
      <c r="AF2188" s="149"/>
      <c r="AG2188" s="149"/>
      <c r="AH2188" s="149"/>
      <c r="AI2188" s="149"/>
      <c r="AJ2188" s="149"/>
      <c r="AK2188" s="149"/>
      <c r="AL2188" s="149"/>
      <c r="AM2188" s="149"/>
      <c r="AN2188" s="149"/>
      <c r="AO2188" s="128"/>
      <c r="AP2188" s="128"/>
      <c r="AQ2188" s="128"/>
      <c r="AR2188" s="128"/>
      <c r="AS2188" s="128"/>
      <c r="AT2188" s="128"/>
      <c r="AU2188" s="128"/>
      <c r="AV2188" s="128"/>
      <c r="AW2188" s="128"/>
      <c r="AX2188" s="128"/>
      <c r="AY2188" s="128"/>
      <c r="AZ2188" s="128"/>
      <c r="BA2188" s="128"/>
      <c r="BB2188" s="128"/>
      <c r="BC2188" s="128"/>
      <c r="BD2188" s="128"/>
      <c r="BE2188" s="128"/>
      <c r="BF2188" s="128"/>
      <c r="BG2188" s="128"/>
      <c r="BH2188" s="128"/>
      <c r="BI2188" s="128"/>
      <c r="BJ2188" s="128"/>
      <c r="BK2188" s="128"/>
      <c r="BL2188" s="128"/>
      <c r="BM2188" s="151"/>
      <c r="BN2188" s="128"/>
      <c r="BO2188" s="128"/>
      <c r="BP2188" s="128"/>
      <c r="BQ2188" s="128"/>
      <c r="BR2188" s="128"/>
      <c r="BS2188" s="128"/>
      <c r="BT2188" s="128"/>
      <c r="BU2188" s="128"/>
      <c r="BV2188" s="128"/>
      <c r="BW2188" s="128"/>
      <c r="BX2188" s="128"/>
      <c r="BY2188" s="128"/>
      <c r="BZ2188" s="128"/>
      <c r="CA2188" s="128"/>
      <c r="CB2188" s="128"/>
      <c r="CC2188" s="128"/>
      <c r="CD2188" s="128"/>
      <c r="CE2188" s="128"/>
      <c r="CF2188" s="128"/>
      <c r="CG2188" s="128"/>
      <c r="CI2188" s="128"/>
      <c r="CJ2188" s="128"/>
      <c r="CK2188" s="128"/>
      <c r="CL2188" s="128"/>
      <c r="CM2188" s="128"/>
      <c r="CN2188" s="128"/>
      <c r="CO2188" s="128"/>
      <c r="CP2188" s="128"/>
      <c r="CQ2188" s="128"/>
      <c r="CR2188" s="128"/>
      <c r="CS2188" s="128"/>
      <c r="CT2188" s="128"/>
      <c r="CU2188" s="128"/>
      <c r="CV2188" s="128"/>
      <c r="CW2188" s="128"/>
      <c r="CX2188" s="128"/>
      <c r="CY2188" s="128"/>
      <c r="CZ2188" s="165"/>
    </row>
    <row r="2189" spans="1:104">
      <c r="A2189" s="149"/>
      <c r="B2189" s="149"/>
      <c r="C2189" s="150"/>
      <c r="D2189" s="102"/>
      <c r="E2189" s="149"/>
      <c r="F2189" s="149"/>
      <c r="G2189" s="149"/>
      <c r="H2189" s="149"/>
      <c r="I2189" s="149"/>
      <c r="J2189" s="149"/>
      <c r="K2189" s="149"/>
      <c r="L2189" s="149"/>
      <c r="M2189" s="149"/>
      <c r="N2189" s="149"/>
      <c r="O2189" s="149"/>
      <c r="P2189" s="149"/>
      <c r="Q2189" s="149"/>
      <c r="R2189" s="149"/>
      <c r="S2189" s="149"/>
      <c r="T2189" s="149"/>
      <c r="U2189" s="149"/>
      <c r="V2189" s="149"/>
      <c r="W2189" s="149"/>
      <c r="X2189" s="149"/>
      <c r="Y2189" s="149"/>
      <c r="Z2189" s="149"/>
      <c r="AA2189" s="149"/>
      <c r="AB2189" s="149"/>
      <c r="AC2189" s="149"/>
      <c r="AD2189" s="149"/>
      <c r="AE2189" s="149"/>
      <c r="AF2189" s="149"/>
      <c r="AG2189" s="149"/>
      <c r="AH2189" s="149"/>
      <c r="AI2189" s="149"/>
      <c r="AJ2189" s="149"/>
      <c r="AK2189" s="149"/>
      <c r="AL2189" s="149"/>
      <c r="AM2189" s="149"/>
      <c r="AN2189" s="149"/>
      <c r="AO2189" s="128"/>
      <c r="AP2189" s="128"/>
      <c r="AQ2189" s="128"/>
      <c r="AR2189" s="128"/>
      <c r="AS2189" s="128"/>
      <c r="AT2189" s="128"/>
      <c r="AU2189" s="128"/>
      <c r="AV2189" s="128"/>
      <c r="AW2189" s="128"/>
      <c r="AX2189" s="128"/>
      <c r="AY2189" s="128"/>
      <c r="AZ2189" s="128"/>
      <c r="BA2189" s="128"/>
      <c r="BB2189" s="128"/>
      <c r="BC2189" s="128"/>
      <c r="BD2189" s="128"/>
      <c r="BE2189" s="128"/>
      <c r="BF2189" s="128"/>
      <c r="BG2189" s="128"/>
      <c r="BH2189" s="128"/>
      <c r="BI2189" s="128"/>
      <c r="BJ2189" s="128"/>
      <c r="BK2189" s="128"/>
      <c r="BL2189" s="128"/>
      <c r="BM2189" s="151"/>
      <c r="BN2189" s="128"/>
      <c r="BO2189" s="128"/>
      <c r="BP2189" s="128"/>
      <c r="BQ2189" s="128"/>
      <c r="BR2189" s="128"/>
      <c r="BS2189" s="128"/>
      <c r="BT2189" s="128"/>
      <c r="BU2189" s="128"/>
      <c r="BV2189" s="128"/>
      <c r="BW2189" s="128"/>
      <c r="BX2189" s="128"/>
      <c r="BY2189" s="128"/>
      <c r="BZ2189" s="128"/>
      <c r="CA2189" s="128"/>
      <c r="CB2189" s="128"/>
      <c r="CC2189" s="128"/>
      <c r="CD2189" s="128"/>
      <c r="CE2189" s="128"/>
      <c r="CF2189" s="128"/>
      <c r="CG2189" s="128"/>
      <c r="CI2189" s="128"/>
      <c r="CJ2189" s="128"/>
      <c r="CK2189" s="128"/>
      <c r="CL2189" s="128"/>
      <c r="CM2189" s="128"/>
      <c r="CN2189" s="128"/>
      <c r="CO2189" s="128"/>
      <c r="CP2189" s="128"/>
      <c r="CQ2189" s="128"/>
      <c r="CR2189" s="128"/>
      <c r="CS2189" s="128"/>
      <c r="CT2189" s="128"/>
      <c r="CU2189" s="128"/>
      <c r="CV2189" s="128"/>
      <c r="CW2189" s="128"/>
      <c r="CX2189" s="128"/>
      <c r="CY2189" s="128"/>
      <c r="CZ2189" s="165"/>
    </row>
    <row r="2190" spans="1:104">
      <c r="A2190" s="149"/>
      <c r="B2190" s="149"/>
      <c r="C2190" s="150"/>
      <c r="D2190" s="102"/>
      <c r="E2190" s="149"/>
      <c r="F2190" s="149"/>
      <c r="G2190" s="149"/>
      <c r="H2190" s="149"/>
      <c r="I2190" s="149"/>
      <c r="J2190" s="149"/>
      <c r="K2190" s="149"/>
      <c r="L2190" s="149"/>
      <c r="M2190" s="149"/>
      <c r="N2190" s="149"/>
      <c r="O2190" s="149"/>
      <c r="P2190" s="149"/>
      <c r="Q2190" s="149"/>
      <c r="R2190" s="149"/>
      <c r="S2190" s="149"/>
      <c r="T2190" s="149"/>
      <c r="U2190" s="149"/>
      <c r="V2190" s="149"/>
      <c r="W2190" s="149"/>
      <c r="X2190" s="149"/>
      <c r="Y2190" s="149"/>
      <c r="Z2190" s="149"/>
      <c r="AA2190" s="149"/>
      <c r="AB2190" s="149"/>
      <c r="AC2190" s="149"/>
      <c r="AD2190" s="149"/>
      <c r="AE2190" s="149"/>
      <c r="AF2190" s="149"/>
      <c r="AG2190" s="149"/>
      <c r="AH2190" s="149"/>
      <c r="AI2190" s="149"/>
      <c r="AJ2190" s="149"/>
      <c r="AK2190" s="149"/>
      <c r="AL2190" s="149"/>
      <c r="AM2190" s="149"/>
      <c r="AN2190" s="149"/>
      <c r="AO2190" s="128"/>
      <c r="AP2190" s="128"/>
      <c r="AQ2190" s="128"/>
      <c r="AR2190" s="128"/>
      <c r="AS2190" s="128"/>
      <c r="AT2190" s="128"/>
      <c r="AU2190" s="128"/>
      <c r="AV2190" s="128"/>
      <c r="AW2190" s="128"/>
      <c r="AX2190" s="128"/>
      <c r="AY2190" s="128"/>
      <c r="AZ2190" s="128"/>
      <c r="BA2190" s="128"/>
      <c r="BB2190" s="128"/>
      <c r="BC2190" s="128"/>
      <c r="BD2190" s="128"/>
      <c r="BE2190" s="128"/>
      <c r="BF2190" s="128"/>
      <c r="BG2190" s="128"/>
      <c r="BH2190" s="128"/>
      <c r="BI2190" s="128"/>
      <c r="BJ2190" s="128"/>
      <c r="BK2190" s="128"/>
      <c r="BL2190" s="128"/>
      <c r="BM2190" s="151"/>
      <c r="BN2190" s="128"/>
      <c r="BO2190" s="128"/>
      <c r="BP2190" s="128"/>
      <c r="BQ2190" s="128"/>
      <c r="BR2190" s="128"/>
      <c r="BS2190" s="128"/>
      <c r="BT2190" s="128"/>
      <c r="BU2190" s="128"/>
      <c r="BV2190" s="128"/>
      <c r="BW2190" s="128"/>
      <c r="BX2190" s="128"/>
      <c r="BY2190" s="128"/>
      <c r="BZ2190" s="128"/>
      <c r="CA2190" s="128"/>
      <c r="CB2190" s="128"/>
      <c r="CC2190" s="128"/>
      <c r="CD2190" s="128"/>
      <c r="CE2190" s="128"/>
      <c r="CF2190" s="128"/>
      <c r="CG2190" s="128"/>
      <c r="CI2190" s="128"/>
      <c r="CJ2190" s="128"/>
      <c r="CK2190" s="128"/>
      <c r="CL2190" s="128"/>
      <c r="CM2190" s="128"/>
      <c r="CN2190" s="128"/>
      <c r="CO2190" s="128"/>
      <c r="CP2190" s="128"/>
      <c r="CQ2190" s="128"/>
      <c r="CR2190" s="128"/>
      <c r="CS2190" s="128"/>
      <c r="CT2190" s="128"/>
      <c r="CU2190" s="128"/>
      <c r="CV2190" s="128"/>
      <c r="CW2190" s="128"/>
      <c r="CX2190" s="128"/>
      <c r="CY2190" s="128"/>
      <c r="CZ2190" s="165"/>
    </row>
    <row r="2191" spans="1:104">
      <c r="A2191" s="149"/>
      <c r="B2191" s="149"/>
      <c r="C2191" s="150"/>
      <c r="D2191" s="102"/>
      <c r="E2191" s="149"/>
      <c r="F2191" s="149"/>
      <c r="G2191" s="149"/>
      <c r="H2191" s="149"/>
      <c r="I2191" s="149"/>
      <c r="J2191" s="149"/>
      <c r="K2191" s="149"/>
      <c r="L2191" s="149"/>
      <c r="M2191" s="149"/>
      <c r="N2191" s="149"/>
      <c r="O2191" s="149"/>
      <c r="P2191" s="149"/>
      <c r="Q2191" s="149"/>
      <c r="R2191" s="149"/>
      <c r="S2191" s="149"/>
      <c r="T2191" s="149"/>
      <c r="U2191" s="149"/>
      <c r="V2191" s="149"/>
      <c r="W2191" s="149"/>
      <c r="X2191" s="149"/>
      <c r="Y2191" s="149"/>
      <c r="Z2191" s="149"/>
      <c r="AA2191" s="149"/>
      <c r="AB2191" s="149"/>
      <c r="AC2191" s="149"/>
      <c r="AD2191" s="149"/>
      <c r="AE2191" s="149"/>
      <c r="AF2191" s="149"/>
      <c r="AG2191" s="149"/>
      <c r="AH2191" s="149"/>
      <c r="AI2191" s="149"/>
      <c r="AJ2191" s="149"/>
      <c r="AK2191" s="149"/>
      <c r="AL2191" s="149"/>
      <c r="AM2191" s="149"/>
      <c r="AN2191" s="149"/>
      <c r="AO2191" s="128"/>
      <c r="AP2191" s="128"/>
      <c r="AQ2191" s="128"/>
      <c r="AR2191" s="128"/>
      <c r="AS2191" s="128"/>
      <c r="AT2191" s="128"/>
      <c r="AU2191" s="128"/>
      <c r="AV2191" s="128"/>
      <c r="AW2191" s="128"/>
      <c r="AX2191" s="128"/>
      <c r="AY2191" s="128"/>
      <c r="AZ2191" s="128"/>
      <c r="BA2191" s="128"/>
      <c r="BB2191" s="128"/>
      <c r="BC2191" s="128"/>
      <c r="BD2191" s="128"/>
      <c r="BE2191" s="128"/>
      <c r="BF2191" s="128"/>
      <c r="BG2191" s="128"/>
      <c r="BH2191" s="128"/>
      <c r="BI2191" s="128"/>
      <c r="BJ2191" s="128"/>
      <c r="BK2191" s="128"/>
      <c r="BL2191" s="128"/>
      <c r="BM2191" s="151"/>
      <c r="BN2191" s="128"/>
      <c r="BO2191" s="128"/>
      <c r="BP2191" s="128"/>
      <c r="BQ2191" s="128"/>
      <c r="BR2191" s="128"/>
      <c r="BS2191" s="128"/>
      <c r="BT2191" s="128"/>
      <c r="BU2191" s="128"/>
      <c r="BV2191" s="128"/>
      <c r="BW2191" s="128"/>
      <c r="BX2191" s="128"/>
      <c r="BY2191" s="128"/>
      <c r="BZ2191" s="128"/>
      <c r="CA2191" s="128"/>
      <c r="CB2191" s="128"/>
      <c r="CC2191" s="128"/>
      <c r="CD2191" s="128"/>
      <c r="CE2191" s="128"/>
      <c r="CF2191" s="128"/>
      <c r="CG2191" s="128"/>
      <c r="CI2191" s="128"/>
      <c r="CJ2191" s="128"/>
      <c r="CK2191" s="128"/>
      <c r="CL2191" s="128"/>
      <c r="CM2191" s="128"/>
      <c r="CN2191" s="128"/>
      <c r="CO2191" s="128"/>
      <c r="CP2191" s="128"/>
      <c r="CQ2191" s="128"/>
      <c r="CR2191" s="128"/>
      <c r="CS2191" s="128"/>
      <c r="CT2191" s="128"/>
      <c r="CU2191" s="128"/>
      <c r="CV2191" s="128"/>
      <c r="CW2191" s="128"/>
      <c r="CX2191" s="128"/>
      <c r="CY2191" s="128"/>
      <c r="CZ2191" s="165"/>
    </row>
    <row r="2192" spans="1:104">
      <c r="A2192" s="149"/>
      <c r="B2192" s="149"/>
      <c r="C2192" s="150"/>
      <c r="D2192" s="102"/>
      <c r="E2192" s="149"/>
      <c r="F2192" s="149"/>
      <c r="G2192" s="149"/>
      <c r="H2192" s="149"/>
      <c r="I2192" s="149"/>
      <c r="J2192" s="149"/>
      <c r="K2192" s="149"/>
      <c r="L2192" s="149"/>
      <c r="M2192" s="149"/>
      <c r="N2192" s="149"/>
      <c r="O2192" s="149"/>
      <c r="P2192" s="149"/>
      <c r="Q2192" s="149"/>
      <c r="R2192" s="149"/>
      <c r="S2192" s="149"/>
      <c r="T2192" s="149"/>
      <c r="U2192" s="149"/>
      <c r="V2192" s="149"/>
      <c r="W2192" s="149"/>
      <c r="X2192" s="149"/>
      <c r="Y2192" s="149"/>
      <c r="Z2192" s="149"/>
      <c r="AA2192" s="149"/>
      <c r="AB2192" s="149"/>
      <c r="AC2192" s="149"/>
      <c r="AD2192" s="149"/>
      <c r="AE2192" s="149"/>
      <c r="AF2192" s="149"/>
      <c r="AG2192" s="149"/>
      <c r="AH2192" s="149"/>
      <c r="AI2192" s="149"/>
      <c r="AJ2192" s="149"/>
      <c r="AK2192" s="149"/>
      <c r="AL2192" s="149"/>
      <c r="AM2192" s="149"/>
      <c r="AN2192" s="149"/>
      <c r="AO2192" s="128"/>
      <c r="AP2192" s="128"/>
      <c r="AQ2192" s="128"/>
      <c r="AR2192" s="128"/>
      <c r="AS2192" s="128"/>
      <c r="AT2192" s="128"/>
      <c r="AU2192" s="128"/>
      <c r="AV2192" s="128"/>
      <c r="AW2192" s="128"/>
      <c r="AX2192" s="128"/>
      <c r="AY2192" s="128"/>
      <c r="AZ2192" s="128"/>
      <c r="BA2192" s="128"/>
      <c r="BB2192" s="128"/>
      <c r="BC2192" s="128"/>
      <c r="BD2192" s="128"/>
      <c r="BE2192" s="128"/>
      <c r="BF2192" s="128"/>
      <c r="BG2192" s="128"/>
      <c r="BH2192" s="128"/>
      <c r="BI2192" s="128"/>
      <c r="BJ2192" s="128"/>
      <c r="BK2192" s="128"/>
      <c r="BL2192" s="128"/>
      <c r="BM2192" s="151"/>
      <c r="BN2192" s="128"/>
      <c r="BO2192" s="128"/>
      <c r="BP2192" s="128"/>
      <c r="BQ2192" s="128"/>
      <c r="BR2192" s="128"/>
      <c r="BS2192" s="128"/>
      <c r="BT2192" s="128"/>
      <c r="BU2192" s="128"/>
      <c r="BV2192" s="128"/>
      <c r="BW2192" s="128"/>
      <c r="BX2192" s="128"/>
      <c r="BY2192" s="128"/>
      <c r="BZ2192" s="128"/>
      <c r="CA2192" s="128"/>
      <c r="CB2192" s="128"/>
      <c r="CC2192" s="128"/>
      <c r="CD2192" s="128"/>
      <c r="CE2192" s="128"/>
      <c r="CF2192" s="128"/>
      <c r="CG2192" s="128"/>
      <c r="CI2192" s="128"/>
      <c r="CJ2192" s="128"/>
      <c r="CK2192" s="128"/>
      <c r="CL2192" s="128"/>
      <c r="CM2192" s="128"/>
      <c r="CN2192" s="128"/>
      <c r="CO2192" s="128"/>
      <c r="CP2192" s="128"/>
      <c r="CQ2192" s="128"/>
      <c r="CR2192" s="128"/>
      <c r="CS2192" s="128"/>
      <c r="CT2192" s="128"/>
      <c r="CU2192" s="128"/>
      <c r="CV2192" s="128"/>
      <c r="CW2192" s="128"/>
      <c r="CX2192" s="128"/>
      <c r="CY2192" s="128"/>
      <c r="CZ2192" s="165"/>
    </row>
    <row r="2193" spans="1:104">
      <c r="A2193" s="149"/>
      <c r="B2193" s="149"/>
      <c r="C2193" s="150"/>
      <c r="D2193" s="102"/>
      <c r="E2193" s="149"/>
      <c r="F2193" s="149"/>
      <c r="G2193" s="149"/>
      <c r="H2193" s="149"/>
      <c r="I2193" s="149"/>
      <c r="J2193" s="149"/>
      <c r="K2193" s="149"/>
      <c r="L2193" s="149"/>
      <c r="M2193" s="149"/>
      <c r="N2193" s="149"/>
      <c r="O2193" s="149"/>
      <c r="P2193" s="149"/>
      <c r="Q2193" s="149"/>
      <c r="R2193" s="149"/>
      <c r="S2193" s="149"/>
      <c r="T2193" s="149"/>
      <c r="U2193" s="149"/>
      <c r="V2193" s="149"/>
      <c r="W2193" s="149"/>
      <c r="X2193" s="149"/>
      <c r="Y2193" s="149"/>
      <c r="Z2193" s="149"/>
      <c r="AA2193" s="149"/>
      <c r="AB2193" s="149"/>
      <c r="AC2193" s="149"/>
      <c r="AD2193" s="149"/>
      <c r="AE2193" s="149"/>
      <c r="AF2193" s="149"/>
      <c r="AG2193" s="149"/>
      <c r="AH2193" s="149"/>
      <c r="AI2193" s="149"/>
      <c r="AJ2193" s="149"/>
      <c r="AK2193" s="149"/>
      <c r="AL2193" s="149"/>
      <c r="AM2193" s="149"/>
      <c r="AN2193" s="149"/>
      <c r="AO2193" s="128"/>
      <c r="AP2193" s="128"/>
      <c r="AQ2193" s="128"/>
      <c r="AR2193" s="128"/>
      <c r="AS2193" s="128"/>
      <c r="AT2193" s="128"/>
      <c r="AU2193" s="128"/>
      <c r="AV2193" s="128"/>
      <c r="AW2193" s="128"/>
      <c r="AX2193" s="128"/>
      <c r="AY2193" s="128"/>
      <c r="AZ2193" s="128"/>
      <c r="BA2193" s="128"/>
      <c r="BB2193" s="128"/>
      <c r="BC2193" s="128"/>
      <c r="BD2193" s="128"/>
      <c r="BE2193" s="128"/>
      <c r="BF2193" s="128"/>
      <c r="BG2193" s="128"/>
      <c r="BH2193" s="128"/>
      <c r="BI2193" s="128"/>
      <c r="BJ2193" s="128"/>
      <c r="BK2193" s="128"/>
      <c r="BL2193" s="128"/>
      <c r="BM2193" s="151"/>
      <c r="BN2193" s="128"/>
      <c r="BO2193" s="128"/>
      <c r="BP2193" s="128"/>
      <c r="BQ2193" s="128"/>
      <c r="BR2193" s="128"/>
      <c r="BS2193" s="128"/>
      <c r="BT2193" s="128"/>
      <c r="BU2193" s="128"/>
      <c r="BV2193" s="128"/>
      <c r="BW2193" s="128"/>
      <c r="BX2193" s="128"/>
      <c r="BY2193" s="128"/>
      <c r="BZ2193" s="128"/>
      <c r="CA2193" s="128"/>
      <c r="CB2193" s="128"/>
      <c r="CC2193" s="128"/>
      <c r="CD2193" s="128"/>
      <c r="CE2193" s="128"/>
      <c r="CF2193" s="128"/>
      <c r="CG2193" s="128"/>
      <c r="CI2193" s="128"/>
      <c r="CJ2193" s="128"/>
      <c r="CK2193" s="128"/>
      <c r="CL2193" s="128"/>
      <c r="CM2193" s="128"/>
      <c r="CN2193" s="128"/>
      <c r="CO2193" s="128"/>
      <c r="CP2193" s="128"/>
      <c r="CQ2193" s="128"/>
      <c r="CR2193" s="128"/>
      <c r="CS2193" s="128"/>
      <c r="CT2193" s="128"/>
      <c r="CU2193" s="128"/>
      <c r="CV2193" s="128"/>
      <c r="CW2193" s="128"/>
      <c r="CX2193" s="128"/>
      <c r="CY2193" s="128"/>
      <c r="CZ2193" s="165"/>
    </row>
    <row r="2194" spans="1:104">
      <c r="A2194" s="149"/>
      <c r="B2194" s="149"/>
      <c r="C2194" s="150"/>
      <c r="D2194" s="102"/>
      <c r="E2194" s="149"/>
      <c r="F2194" s="149"/>
      <c r="G2194" s="149"/>
      <c r="H2194" s="149"/>
      <c r="I2194" s="149"/>
      <c r="J2194" s="149"/>
      <c r="K2194" s="149"/>
      <c r="L2194" s="149"/>
      <c r="M2194" s="149"/>
      <c r="N2194" s="149"/>
      <c r="O2194" s="149"/>
      <c r="P2194" s="149"/>
      <c r="Q2194" s="149"/>
      <c r="R2194" s="149"/>
      <c r="S2194" s="149"/>
      <c r="T2194" s="149"/>
      <c r="U2194" s="149"/>
      <c r="V2194" s="149"/>
      <c r="W2194" s="149"/>
      <c r="X2194" s="149"/>
      <c r="Y2194" s="149"/>
      <c r="Z2194" s="149"/>
      <c r="AA2194" s="149"/>
      <c r="AB2194" s="149"/>
      <c r="AC2194" s="149"/>
      <c r="AD2194" s="149"/>
      <c r="AE2194" s="149"/>
      <c r="AF2194" s="149"/>
      <c r="AG2194" s="149"/>
      <c r="AH2194" s="149"/>
      <c r="AI2194" s="149"/>
      <c r="AJ2194" s="149"/>
      <c r="AK2194" s="149"/>
      <c r="AL2194" s="149"/>
      <c r="AM2194" s="149"/>
      <c r="AN2194" s="149"/>
      <c r="AO2194" s="128"/>
      <c r="AP2194" s="128"/>
      <c r="AQ2194" s="128"/>
      <c r="AR2194" s="128"/>
      <c r="AS2194" s="128"/>
      <c r="AT2194" s="128"/>
      <c r="AU2194" s="128"/>
      <c r="AV2194" s="128"/>
      <c r="AW2194" s="128"/>
      <c r="AX2194" s="128"/>
      <c r="AY2194" s="128"/>
      <c r="AZ2194" s="128"/>
      <c r="BA2194" s="128"/>
      <c r="BB2194" s="128"/>
      <c r="BC2194" s="128"/>
      <c r="BD2194" s="128"/>
      <c r="BE2194" s="128"/>
      <c r="BF2194" s="128"/>
      <c r="BG2194" s="128"/>
      <c r="BH2194" s="128"/>
      <c r="BI2194" s="128"/>
      <c r="BJ2194" s="128"/>
      <c r="BK2194" s="128"/>
      <c r="BL2194" s="128"/>
      <c r="BM2194" s="151"/>
      <c r="BN2194" s="128"/>
      <c r="BO2194" s="128"/>
      <c r="BP2194" s="128"/>
      <c r="BQ2194" s="128"/>
      <c r="BR2194" s="128"/>
      <c r="BS2194" s="128"/>
      <c r="BT2194" s="128"/>
      <c r="BU2194" s="128"/>
      <c r="BV2194" s="128"/>
      <c r="BW2194" s="128"/>
      <c r="BX2194" s="128"/>
      <c r="BY2194" s="128"/>
      <c r="BZ2194" s="128"/>
      <c r="CA2194" s="128"/>
      <c r="CB2194" s="128"/>
      <c r="CC2194" s="128"/>
      <c r="CD2194" s="128"/>
      <c r="CE2194" s="128"/>
      <c r="CF2194" s="128"/>
      <c r="CG2194" s="128"/>
      <c r="CI2194" s="128"/>
      <c r="CJ2194" s="128"/>
      <c r="CK2194" s="128"/>
      <c r="CL2194" s="128"/>
      <c r="CM2194" s="128"/>
      <c r="CN2194" s="128"/>
      <c r="CO2194" s="128"/>
      <c r="CP2194" s="128"/>
      <c r="CQ2194" s="128"/>
      <c r="CR2194" s="128"/>
      <c r="CS2194" s="128"/>
      <c r="CT2194" s="128"/>
      <c r="CU2194" s="128"/>
      <c r="CV2194" s="128"/>
      <c r="CW2194" s="128"/>
      <c r="CX2194" s="128"/>
      <c r="CY2194" s="128"/>
      <c r="CZ2194" s="165"/>
    </row>
    <row r="2195" spans="1:104">
      <c r="A2195" s="149"/>
      <c r="B2195" s="149"/>
      <c r="C2195" s="150"/>
      <c r="D2195" s="102"/>
      <c r="E2195" s="149"/>
      <c r="F2195" s="149"/>
      <c r="G2195" s="149"/>
      <c r="H2195" s="149"/>
      <c r="I2195" s="149"/>
      <c r="J2195" s="149"/>
      <c r="K2195" s="149"/>
      <c r="L2195" s="149"/>
      <c r="M2195" s="149"/>
      <c r="N2195" s="149"/>
      <c r="O2195" s="149"/>
      <c r="P2195" s="149"/>
      <c r="Q2195" s="149"/>
      <c r="R2195" s="149"/>
      <c r="S2195" s="149"/>
      <c r="T2195" s="149"/>
      <c r="U2195" s="149"/>
      <c r="V2195" s="149"/>
      <c r="W2195" s="149"/>
      <c r="X2195" s="149"/>
      <c r="Y2195" s="149"/>
      <c r="Z2195" s="149"/>
      <c r="AA2195" s="149"/>
      <c r="AB2195" s="149"/>
      <c r="AC2195" s="149"/>
      <c r="AD2195" s="149"/>
      <c r="AE2195" s="149"/>
      <c r="AF2195" s="149"/>
      <c r="AG2195" s="149"/>
      <c r="AH2195" s="149"/>
      <c r="AI2195" s="149"/>
      <c r="AJ2195" s="149"/>
      <c r="AK2195" s="149"/>
      <c r="AL2195" s="149"/>
      <c r="AM2195" s="149"/>
      <c r="AN2195" s="149"/>
      <c r="AO2195" s="128"/>
      <c r="AP2195" s="128"/>
      <c r="AQ2195" s="128"/>
      <c r="AR2195" s="128"/>
      <c r="AS2195" s="128"/>
      <c r="AT2195" s="128"/>
      <c r="AU2195" s="128"/>
      <c r="AV2195" s="128"/>
      <c r="AW2195" s="128"/>
      <c r="AX2195" s="128"/>
      <c r="AY2195" s="128"/>
      <c r="AZ2195" s="128"/>
      <c r="BA2195" s="128"/>
      <c r="BB2195" s="128"/>
      <c r="BC2195" s="128"/>
      <c r="BD2195" s="128"/>
      <c r="BE2195" s="128"/>
      <c r="BF2195" s="128"/>
      <c r="BG2195" s="128"/>
      <c r="BH2195" s="128"/>
      <c r="BI2195" s="128"/>
      <c r="BJ2195" s="128"/>
      <c r="BK2195" s="128"/>
      <c r="BL2195" s="128"/>
      <c r="BM2195" s="151"/>
      <c r="BN2195" s="128"/>
      <c r="BO2195" s="128"/>
      <c r="BP2195" s="128"/>
      <c r="BQ2195" s="128"/>
      <c r="BR2195" s="128"/>
      <c r="BS2195" s="128"/>
      <c r="BT2195" s="128"/>
      <c r="BU2195" s="128"/>
      <c r="BV2195" s="128"/>
      <c r="BW2195" s="128"/>
      <c r="BX2195" s="128"/>
      <c r="BY2195" s="128"/>
      <c r="BZ2195" s="128"/>
      <c r="CA2195" s="128"/>
      <c r="CB2195" s="128"/>
      <c r="CC2195" s="128"/>
      <c r="CD2195" s="128"/>
      <c r="CE2195" s="128"/>
      <c r="CF2195" s="128"/>
      <c r="CG2195" s="128"/>
      <c r="CI2195" s="128"/>
      <c r="CJ2195" s="128"/>
      <c r="CK2195" s="128"/>
      <c r="CL2195" s="128"/>
      <c r="CM2195" s="128"/>
      <c r="CN2195" s="128"/>
      <c r="CO2195" s="128"/>
      <c r="CP2195" s="128"/>
      <c r="CQ2195" s="128"/>
      <c r="CR2195" s="128"/>
      <c r="CS2195" s="128"/>
      <c r="CT2195" s="128"/>
      <c r="CU2195" s="128"/>
      <c r="CV2195" s="128"/>
      <c r="CW2195" s="128"/>
      <c r="CX2195" s="128"/>
      <c r="CY2195" s="128"/>
      <c r="CZ2195" s="165"/>
    </row>
    <row r="2196" spans="1:104">
      <c r="A2196" s="149"/>
      <c r="B2196" s="149"/>
      <c r="C2196" s="150"/>
      <c r="D2196" s="102"/>
      <c r="E2196" s="149"/>
      <c r="F2196" s="149"/>
      <c r="G2196" s="149"/>
      <c r="H2196" s="149"/>
      <c r="I2196" s="149"/>
      <c r="J2196" s="149"/>
      <c r="K2196" s="149"/>
      <c r="L2196" s="149"/>
      <c r="M2196" s="149"/>
      <c r="N2196" s="149"/>
      <c r="O2196" s="149"/>
      <c r="P2196" s="149"/>
      <c r="Q2196" s="149"/>
      <c r="R2196" s="149"/>
      <c r="S2196" s="149"/>
      <c r="T2196" s="149"/>
      <c r="U2196" s="149"/>
      <c r="V2196" s="149"/>
      <c r="W2196" s="149"/>
      <c r="X2196" s="149"/>
      <c r="Y2196" s="149"/>
      <c r="Z2196" s="149"/>
      <c r="AA2196" s="149"/>
      <c r="AB2196" s="149"/>
      <c r="AC2196" s="149"/>
      <c r="AD2196" s="149"/>
      <c r="AE2196" s="149"/>
      <c r="AF2196" s="149"/>
      <c r="AG2196" s="149"/>
      <c r="AH2196" s="149"/>
      <c r="AI2196" s="149"/>
      <c r="AJ2196" s="149"/>
      <c r="AK2196" s="149"/>
      <c r="AL2196" s="149"/>
      <c r="AM2196" s="149"/>
      <c r="AN2196" s="149"/>
      <c r="AO2196" s="128"/>
      <c r="AP2196" s="128"/>
      <c r="AQ2196" s="128"/>
      <c r="AR2196" s="128"/>
      <c r="AS2196" s="128"/>
      <c r="AT2196" s="128"/>
      <c r="AU2196" s="128"/>
      <c r="AV2196" s="128"/>
      <c r="AW2196" s="128"/>
      <c r="AX2196" s="128"/>
      <c r="AY2196" s="128"/>
      <c r="AZ2196" s="128"/>
      <c r="BA2196" s="128"/>
      <c r="BB2196" s="128"/>
      <c r="BC2196" s="128"/>
      <c r="BD2196" s="128"/>
      <c r="BE2196" s="128"/>
      <c r="BF2196" s="128"/>
      <c r="BG2196" s="128"/>
      <c r="BH2196" s="128"/>
      <c r="BI2196" s="128"/>
      <c r="BJ2196" s="128"/>
      <c r="BK2196" s="128"/>
      <c r="BL2196" s="128"/>
      <c r="BM2196" s="151"/>
      <c r="BN2196" s="128"/>
      <c r="BO2196" s="128"/>
      <c r="BP2196" s="128"/>
      <c r="BQ2196" s="128"/>
      <c r="BR2196" s="128"/>
      <c r="BS2196" s="128"/>
      <c r="BT2196" s="128"/>
      <c r="BU2196" s="128"/>
      <c r="BV2196" s="128"/>
      <c r="BW2196" s="128"/>
      <c r="BX2196" s="128"/>
      <c r="BY2196" s="128"/>
      <c r="BZ2196" s="128"/>
      <c r="CA2196" s="128"/>
      <c r="CB2196" s="128"/>
      <c r="CC2196" s="128"/>
      <c r="CD2196" s="128"/>
      <c r="CE2196" s="128"/>
      <c r="CF2196" s="128"/>
      <c r="CG2196" s="128"/>
      <c r="CI2196" s="128"/>
      <c r="CJ2196" s="128"/>
      <c r="CK2196" s="128"/>
      <c r="CL2196" s="128"/>
      <c r="CM2196" s="128"/>
      <c r="CN2196" s="128"/>
      <c r="CO2196" s="128"/>
      <c r="CP2196" s="128"/>
      <c r="CQ2196" s="128"/>
      <c r="CR2196" s="128"/>
      <c r="CS2196" s="128"/>
      <c r="CT2196" s="128"/>
      <c r="CU2196" s="128"/>
      <c r="CV2196" s="128"/>
      <c r="CW2196" s="128"/>
      <c r="CX2196" s="128"/>
      <c r="CY2196" s="128"/>
      <c r="CZ2196" s="165"/>
    </row>
    <row r="2197" spans="1:104">
      <c r="A2197" s="149"/>
      <c r="B2197" s="149"/>
      <c r="C2197" s="150"/>
      <c r="D2197" s="102"/>
      <c r="E2197" s="149"/>
      <c r="F2197" s="149"/>
      <c r="G2197" s="149"/>
      <c r="H2197" s="149"/>
      <c r="I2197" s="149"/>
      <c r="J2197" s="149"/>
      <c r="K2197" s="149"/>
      <c r="L2197" s="149"/>
      <c r="M2197" s="149"/>
      <c r="N2197" s="149"/>
      <c r="O2197" s="149"/>
      <c r="P2197" s="149"/>
      <c r="Q2197" s="149"/>
      <c r="R2197" s="149"/>
      <c r="S2197" s="149"/>
      <c r="T2197" s="149"/>
      <c r="U2197" s="149"/>
      <c r="V2197" s="149"/>
      <c r="W2197" s="149"/>
      <c r="X2197" s="149"/>
      <c r="Y2197" s="149"/>
      <c r="Z2197" s="149"/>
      <c r="AA2197" s="149"/>
      <c r="AB2197" s="149"/>
      <c r="AC2197" s="149"/>
      <c r="AD2197" s="149"/>
      <c r="AE2197" s="149"/>
      <c r="AF2197" s="149"/>
      <c r="AG2197" s="149"/>
      <c r="AH2197" s="149"/>
      <c r="AI2197" s="149"/>
      <c r="AJ2197" s="149"/>
      <c r="AK2197" s="149"/>
      <c r="AL2197" s="149"/>
      <c r="AM2197" s="149"/>
      <c r="AN2197" s="149"/>
      <c r="AO2197" s="128"/>
      <c r="AP2197" s="128"/>
      <c r="AQ2197" s="128"/>
      <c r="AR2197" s="128"/>
      <c r="AS2197" s="128"/>
      <c r="AT2197" s="128"/>
      <c r="AU2197" s="128"/>
      <c r="AV2197" s="128"/>
      <c r="AW2197" s="128"/>
      <c r="AX2197" s="128"/>
      <c r="AY2197" s="128"/>
      <c r="AZ2197" s="128"/>
      <c r="BA2197" s="128"/>
      <c r="BB2197" s="128"/>
      <c r="BC2197" s="128"/>
      <c r="BD2197" s="128"/>
      <c r="BE2197" s="128"/>
      <c r="BF2197" s="128"/>
      <c r="BG2197" s="128"/>
      <c r="BH2197" s="128"/>
      <c r="BI2197" s="128"/>
      <c r="BJ2197" s="128"/>
      <c r="BK2197" s="128"/>
      <c r="BL2197" s="128"/>
      <c r="BM2197" s="151"/>
      <c r="BN2197" s="128"/>
      <c r="BO2197" s="128"/>
      <c r="BP2197" s="128"/>
      <c r="BQ2197" s="128"/>
      <c r="BR2197" s="128"/>
      <c r="BS2197" s="128"/>
      <c r="BT2197" s="128"/>
      <c r="BU2197" s="128"/>
      <c r="BV2197" s="128"/>
      <c r="BW2197" s="128"/>
      <c r="BX2197" s="128"/>
      <c r="BY2197" s="128"/>
      <c r="BZ2197" s="128"/>
      <c r="CA2197" s="128"/>
      <c r="CB2197" s="128"/>
      <c r="CC2197" s="128"/>
      <c r="CD2197" s="128"/>
      <c r="CE2197" s="128"/>
      <c r="CF2197" s="128"/>
      <c r="CG2197" s="128"/>
      <c r="CI2197" s="128"/>
      <c r="CJ2197" s="128"/>
      <c r="CK2197" s="128"/>
      <c r="CL2197" s="128"/>
      <c r="CM2197" s="128"/>
      <c r="CN2197" s="128"/>
      <c r="CO2197" s="128"/>
      <c r="CP2197" s="128"/>
      <c r="CQ2197" s="128"/>
      <c r="CR2197" s="128"/>
      <c r="CS2197" s="128"/>
      <c r="CT2197" s="128"/>
      <c r="CU2197" s="128"/>
      <c r="CV2197" s="128"/>
      <c r="CW2197" s="128"/>
      <c r="CX2197" s="128"/>
      <c r="CY2197" s="128"/>
      <c r="CZ2197" s="165"/>
    </row>
    <row r="2198" spans="1:104">
      <c r="A2198" s="149"/>
      <c r="B2198" s="149"/>
      <c r="C2198" s="150"/>
      <c r="D2198" s="102"/>
      <c r="E2198" s="149"/>
      <c r="F2198" s="149"/>
      <c r="G2198" s="149"/>
      <c r="H2198" s="149"/>
      <c r="I2198" s="149"/>
      <c r="J2198" s="149"/>
      <c r="K2198" s="149"/>
      <c r="L2198" s="149"/>
      <c r="M2198" s="149"/>
      <c r="N2198" s="149"/>
      <c r="O2198" s="149"/>
      <c r="P2198" s="149"/>
      <c r="Q2198" s="149"/>
      <c r="R2198" s="149"/>
      <c r="S2198" s="149"/>
      <c r="T2198" s="149"/>
      <c r="U2198" s="149"/>
      <c r="V2198" s="149"/>
      <c r="W2198" s="149"/>
      <c r="X2198" s="149"/>
      <c r="Y2198" s="149"/>
      <c r="Z2198" s="149"/>
      <c r="AA2198" s="149"/>
      <c r="AB2198" s="149"/>
      <c r="AC2198" s="149"/>
      <c r="AD2198" s="149"/>
      <c r="AE2198" s="149"/>
      <c r="AF2198" s="149"/>
      <c r="AG2198" s="149"/>
      <c r="AH2198" s="149"/>
      <c r="AI2198" s="149"/>
      <c r="AJ2198" s="149"/>
      <c r="AK2198" s="149"/>
      <c r="AL2198" s="149"/>
      <c r="AM2198" s="149"/>
      <c r="AN2198" s="149"/>
      <c r="AO2198" s="128"/>
      <c r="AP2198" s="128"/>
      <c r="AQ2198" s="128"/>
      <c r="AR2198" s="128"/>
      <c r="AS2198" s="128"/>
      <c r="AT2198" s="128"/>
      <c r="AU2198" s="128"/>
      <c r="AV2198" s="128"/>
      <c r="AW2198" s="128"/>
      <c r="AX2198" s="128"/>
      <c r="AY2198" s="128"/>
      <c r="AZ2198" s="128"/>
      <c r="BA2198" s="128"/>
      <c r="BB2198" s="128"/>
      <c r="BC2198" s="128"/>
      <c r="BD2198" s="128"/>
      <c r="BE2198" s="128"/>
      <c r="BF2198" s="128"/>
      <c r="BG2198" s="128"/>
      <c r="BH2198" s="128"/>
      <c r="BI2198" s="128"/>
      <c r="BJ2198" s="128"/>
      <c r="BK2198" s="128"/>
      <c r="BL2198" s="128"/>
      <c r="BM2198" s="151"/>
      <c r="BN2198" s="128"/>
      <c r="BO2198" s="128"/>
      <c r="BP2198" s="128"/>
      <c r="BQ2198" s="128"/>
      <c r="BR2198" s="128"/>
      <c r="BS2198" s="128"/>
      <c r="BT2198" s="128"/>
      <c r="BU2198" s="128"/>
      <c r="BV2198" s="128"/>
      <c r="BW2198" s="128"/>
      <c r="BX2198" s="128"/>
      <c r="BY2198" s="128"/>
      <c r="BZ2198" s="128"/>
      <c r="CA2198" s="128"/>
      <c r="CB2198" s="128"/>
      <c r="CC2198" s="128"/>
      <c r="CD2198" s="128"/>
      <c r="CE2198" s="128"/>
      <c r="CF2198" s="128"/>
      <c r="CG2198" s="128"/>
      <c r="CI2198" s="128"/>
      <c r="CJ2198" s="128"/>
      <c r="CK2198" s="128"/>
      <c r="CL2198" s="128"/>
      <c r="CM2198" s="128"/>
      <c r="CN2198" s="128"/>
      <c r="CO2198" s="128"/>
      <c r="CP2198" s="128"/>
      <c r="CQ2198" s="128"/>
      <c r="CR2198" s="128"/>
      <c r="CS2198" s="128"/>
      <c r="CT2198" s="128"/>
      <c r="CU2198" s="128"/>
      <c r="CV2198" s="128"/>
      <c r="CW2198" s="128"/>
      <c r="CX2198" s="128"/>
      <c r="CY2198" s="128"/>
      <c r="CZ2198" s="165"/>
    </row>
    <row r="2199" spans="1:104">
      <c r="A2199" s="149"/>
      <c r="B2199" s="149"/>
      <c r="C2199" s="150"/>
      <c r="D2199" s="102"/>
      <c r="E2199" s="149"/>
      <c r="F2199" s="149"/>
      <c r="G2199" s="149"/>
      <c r="H2199" s="149"/>
      <c r="I2199" s="149"/>
      <c r="J2199" s="149"/>
      <c r="K2199" s="149"/>
      <c r="L2199" s="149"/>
      <c r="M2199" s="149"/>
      <c r="N2199" s="149"/>
      <c r="O2199" s="149"/>
      <c r="P2199" s="149"/>
      <c r="Q2199" s="149"/>
      <c r="R2199" s="149"/>
      <c r="S2199" s="149"/>
      <c r="T2199" s="149"/>
      <c r="U2199" s="149"/>
      <c r="V2199" s="149"/>
      <c r="W2199" s="149"/>
      <c r="X2199" s="149"/>
      <c r="Y2199" s="149"/>
      <c r="Z2199" s="149"/>
      <c r="AA2199" s="149"/>
      <c r="AB2199" s="149"/>
      <c r="AC2199" s="149"/>
      <c r="AD2199" s="149"/>
      <c r="AE2199" s="149"/>
      <c r="AF2199" s="149"/>
      <c r="AG2199" s="149"/>
      <c r="AH2199" s="149"/>
      <c r="AI2199" s="149"/>
      <c r="AJ2199" s="149"/>
      <c r="AK2199" s="149"/>
      <c r="AL2199" s="149"/>
      <c r="AM2199" s="149"/>
      <c r="AN2199" s="149"/>
      <c r="AO2199" s="128"/>
      <c r="AP2199" s="128"/>
      <c r="AQ2199" s="128"/>
      <c r="AR2199" s="128"/>
      <c r="AS2199" s="128"/>
      <c r="AT2199" s="128"/>
      <c r="AU2199" s="128"/>
      <c r="AV2199" s="128"/>
      <c r="AW2199" s="128"/>
      <c r="AX2199" s="128"/>
      <c r="AY2199" s="128"/>
      <c r="AZ2199" s="128"/>
      <c r="BA2199" s="128"/>
      <c r="BB2199" s="128"/>
      <c r="BC2199" s="128"/>
      <c r="BD2199" s="128"/>
      <c r="BE2199" s="128"/>
      <c r="BF2199" s="128"/>
      <c r="BG2199" s="128"/>
      <c r="BH2199" s="128"/>
      <c r="BI2199" s="128"/>
      <c r="BJ2199" s="128"/>
      <c r="BK2199" s="128"/>
      <c r="BL2199" s="128"/>
      <c r="BM2199" s="151"/>
      <c r="BN2199" s="128"/>
      <c r="BO2199" s="128"/>
      <c r="BP2199" s="128"/>
      <c r="BQ2199" s="128"/>
      <c r="BR2199" s="128"/>
      <c r="BS2199" s="128"/>
      <c r="BT2199" s="128"/>
      <c r="BU2199" s="128"/>
      <c r="BV2199" s="128"/>
      <c r="BW2199" s="128"/>
      <c r="BX2199" s="128"/>
      <c r="BY2199" s="128"/>
      <c r="BZ2199" s="128"/>
      <c r="CA2199" s="128"/>
      <c r="CB2199" s="128"/>
      <c r="CC2199" s="128"/>
      <c r="CD2199" s="128"/>
      <c r="CE2199" s="128"/>
      <c r="CF2199" s="128"/>
      <c r="CG2199" s="128"/>
      <c r="CI2199" s="128"/>
      <c r="CJ2199" s="128"/>
      <c r="CK2199" s="128"/>
      <c r="CL2199" s="128"/>
      <c r="CM2199" s="128"/>
      <c r="CN2199" s="128"/>
      <c r="CO2199" s="128"/>
      <c r="CP2199" s="128"/>
      <c r="CQ2199" s="128"/>
      <c r="CR2199" s="128"/>
      <c r="CS2199" s="128"/>
      <c r="CT2199" s="128"/>
      <c r="CU2199" s="128"/>
      <c r="CV2199" s="128"/>
      <c r="CW2199" s="128"/>
      <c r="CX2199" s="128"/>
      <c r="CY2199" s="128"/>
      <c r="CZ2199" s="165"/>
    </row>
    <row r="2200" spans="1:104">
      <c r="A2200" s="149"/>
      <c r="B2200" s="149"/>
      <c r="C2200" s="150"/>
      <c r="D2200" s="102"/>
      <c r="E2200" s="149"/>
      <c r="F2200" s="149"/>
      <c r="G2200" s="149"/>
      <c r="H2200" s="149"/>
      <c r="I2200" s="149"/>
      <c r="J2200" s="149"/>
      <c r="K2200" s="149"/>
      <c r="L2200" s="149"/>
      <c r="M2200" s="149"/>
      <c r="N2200" s="149"/>
      <c r="O2200" s="149"/>
      <c r="P2200" s="149"/>
      <c r="Q2200" s="149"/>
      <c r="R2200" s="149"/>
      <c r="S2200" s="149"/>
      <c r="T2200" s="149"/>
      <c r="U2200" s="149"/>
      <c r="V2200" s="149"/>
      <c r="W2200" s="149"/>
      <c r="X2200" s="149"/>
      <c r="Y2200" s="149"/>
      <c r="Z2200" s="149"/>
      <c r="AA2200" s="149"/>
      <c r="AB2200" s="149"/>
      <c r="AC2200" s="149"/>
      <c r="AD2200" s="149"/>
      <c r="AE2200" s="149"/>
      <c r="AF2200" s="149"/>
      <c r="AG2200" s="149"/>
      <c r="AH2200" s="149"/>
      <c r="AI2200" s="149"/>
      <c r="AJ2200" s="149"/>
      <c r="AK2200" s="149"/>
      <c r="AL2200" s="149"/>
      <c r="AM2200" s="149"/>
      <c r="AN2200" s="149"/>
      <c r="AO2200" s="128"/>
      <c r="AP2200" s="128"/>
      <c r="AQ2200" s="128"/>
      <c r="AR2200" s="128"/>
      <c r="AS2200" s="128"/>
      <c r="AT2200" s="128"/>
      <c r="AU2200" s="128"/>
      <c r="AV2200" s="128"/>
      <c r="AW2200" s="128"/>
      <c r="AX2200" s="128"/>
      <c r="AY2200" s="128"/>
      <c r="AZ2200" s="128"/>
      <c r="BA2200" s="128"/>
      <c r="BB2200" s="128"/>
      <c r="BC2200" s="128"/>
      <c r="BD2200" s="128"/>
      <c r="BE2200" s="128"/>
      <c r="BF2200" s="128"/>
      <c r="BG2200" s="128"/>
      <c r="BH2200" s="128"/>
      <c r="BI2200" s="128"/>
      <c r="BJ2200" s="128"/>
      <c r="BK2200" s="128"/>
      <c r="BL2200" s="128"/>
      <c r="BM2200" s="151"/>
      <c r="BN2200" s="128"/>
      <c r="BO2200" s="128"/>
      <c r="BP2200" s="128"/>
      <c r="BQ2200" s="128"/>
      <c r="BR2200" s="128"/>
      <c r="BS2200" s="128"/>
      <c r="BT2200" s="128"/>
      <c r="BU2200" s="128"/>
      <c r="BV2200" s="128"/>
      <c r="BW2200" s="128"/>
      <c r="BX2200" s="128"/>
      <c r="BY2200" s="128"/>
      <c r="BZ2200" s="128"/>
      <c r="CA2200" s="128"/>
      <c r="CB2200" s="128"/>
      <c r="CC2200" s="128"/>
      <c r="CD2200" s="128"/>
      <c r="CE2200" s="128"/>
      <c r="CF2200" s="128"/>
      <c r="CG2200" s="128"/>
      <c r="CI2200" s="128"/>
      <c r="CJ2200" s="128"/>
      <c r="CK2200" s="128"/>
      <c r="CL2200" s="128"/>
      <c r="CM2200" s="128"/>
      <c r="CN2200" s="128"/>
      <c r="CO2200" s="128"/>
      <c r="CP2200" s="128"/>
      <c r="CQ2200" s="128"/>
      <c r="CR2200" s="128"/>
      <c r="CS2200" s="128"/>
      <c r="CT2200" s="128"/>
      <c r="CU2200" s="128"/>
      <c r="CV2200" s="128"/>
      <c r="CW2200" s="128"/>
      <c r="CX2200" s="128"/>
      <c r="CY2200" s="128"/>
      <c r="CZ2200" s="165"/>
    </row>
    <row r="2201" spans="1:104">
      <c r="A2201" s="149"/>
      <c r="B2201" s="149"/>
      <c r="C2201" s="150"/>
      <c r="D2201" s="102"/>
      <c r="E2201" s="149"/>
      <c r="F2201" s="149"/>
      <c r="G2201" s="149"/>
      <c r="H2201" s="149"/>
      <c r="I2201" s="149"/>
      <c r="J2201" s="149"/>
      <c r="K2201" s="149"/>
      <c r="L2201" s="149"/>
      <c r="M2201" s="149"/>
      <c r="N2201" s="149"/>
      <c r="O2201" s="149"/>
      <c r="P2201" s="149"/>
      <c r="Q2201" s="149"/>
      <c r="R2201" s="149"/>
      <c r="S2201" s="149"/>
      <c r="T2201" s="149"/>
      <c r="U2201" s="149"/>
      <c r="V2201" s="149"/>
      <c r="W2201" s="149"/>
      <c r="X2201" s="149"/>
      <c r="Y2201" s="149"/>
      <c r="Z2201" s="149"/>
      <c r="AA2201" s="149"/>
      <c r="AB2201" s="149"/>
      <c r="AC2201" s="149"/>
      <c r="AD2201" s="149"/>
      <c r="AE2201" s="149"/>
      <c r="AF2201" s="149"/>
      <c r="AG2201" s="149"/>
      <c r="AH2201" s="149"/>
      <c r="AI2201" s="149"/>
      <c r="AJ2201" s="149"/>
      <c r="AK2201" s="149"/>
      <c r="AL2201" s="149"/>
      <c r="AM2201" s="149"/>
      <c r="AN2201" s="149"/>
      <c r="AO2201" s="128"/>
      <c r="AP2201" s="128"/>
      <c r="AQ2201" s="128"/>
      <c r="AR2201" s="128"/>
      <c r="AS2201" s="128"/>
      <c r="AT2201" s="128"/>
      <c r="AU2201" s="128"/>
      <c r="AV2201" s="128"/>
      <c r="AW2201" s="128"/>
      <c r="AX2201" s="128"/>
      <c r="AY2201" s="128"/>
      <c r="AZ2201" s="128"/>
      <c r="BA2201" s="128"/>
      <c r="BB2201" s="128"/>
      <c r="BC2201" s="128"/>
      <c r="BD2201" s="128"/>
      <c r="BE2201" s="128"/>
      <c r="BF2201" s="128"/>
      <c r="BG2201" s="128"/>
      <c r="BH2201" s="128"/>
      <c r="BI2201" s="128"/>
      <c r="BJ2201" s="128"/>
      <c r="BK2201" s="128"/>
      <c r="BL2201" s="128"/>
      <c r="BM2201" s="151"/>
      <c r="BN2201" s="128"/>
      <c r="BO2201" s="128"/>
      <c r="BP2201" s="128"/>
      <c r="BQ2201" s="128"/>
      <c r="BR2201" s="128"/>
      <c r="BS2201" s="128"/>
      <c r="BT2201" s="128"/>
      <c r="BU2201" s="128"/>
      <c r="BV2201" s="128"/>
      <c r="BW2201" s="128"/>
      <c r="BX2201" s="128"/>
      <c r="BY2201" s="128"/>
      <c r="BZ2201" s="128"/>
      <c r="CA2201" s="128"/>
      <c r="CB2201" s="128"/>
      <c r="CC2201" s="128"/>
      <c r="CD2201" s="128"/>
      <c r="CE2201" s="128"/>
      <c r="CF2201" s="128"/>
      <c r="CG2201" s="128"/>
      <c r="CI2201" s="128"/>
      <c r="CJ2201" s="128"/>
      <c r="CK2201" s="128"/>
      <c r="CL2201" s="128"/>
      <c r="CM2201" s="128"/>
      <c r="CN2201" s="128"/>
      <c r="CO2201" s="128"/>
      <c r="CP2201" s="128"/>
      <c r="CQ2201" s="128"/>
      <c r="CR2201" s="128"/>
      <c r="CS2201" s="128"/>
      <c r="CT2201" s="128"/>
      <c r="CU2201" s="128"/>
      <c r="CV2201" s="128"/>
      <c r="CW2201" s="128"/>
      <c r="CX2201" s="128"/>
      <c r="CY2201" s="128"/>
      <c r="CZ2201" s="165"/>
    </row>
    <row r="2202" spans="1:104">
      <c r="A2202" s="149"/>
      <c r="B2202" s="149"/>
      <c r="C2202" s="150"/>
      <c r="D2202" s="102"/>
      <c r="E2202" s="149"/>
      <c r="F2202" s="149"/>
      <c r="G2202" s="149"/>
      <c r="H2202" s="149"/>
      <c r="I2202" s="149"/>
      <c r="J2202" s="149"/>
      <c r="K2202" s="149"/>
      <c r="L2202" s="149"/>
      <c r="M2202" s="149"/>
      <c r="N2202" s="149"/>
      <c r="O2202" s="149"/>
      <c r="P2202" s="149"/>
      <c r="Q2202" s="149"/>
      <c r="R2202" s="149"/>
      <c r="S2202" s="149"/>
      <c r="T2202" s="149"/>
      <c r="U2202" s="149"/>
      <c r="V2202" s="149"/>
      <c r="W2202" s="149"/>
      <c r="X2202" s="149"/>
      <c r="Y2202" s="149"/>
      <c r="Z2202" s="149"/>
      <c r="AA2202" s="149"/>
      <c r="AB2202" s="149"/>
      <c r="AC2202" s="149"/>
      <c r="AD2202" s="149"/>
      <c r="AE2202" s="149"/>
      <c r="AF2202" s="149"/>
      <c r="AG2202" s="149"/>
      <c r="AH2202" s="149"/>
      <c r="AI2202" s="149"/>
      <c r="AJ2202" s="149"/>
      <c r="AK2202" s="149"/>
      <c r="AL2202" s="149"/>
      <c r="AM2202" s="149"/>
      <c r="AN2202" s="149"/>
      <c r="AO2202" s="128"/>
      <c r="AP2202" s="128"/>
      <c r="AQ2202" s="128"/>
      <c r="AR2202" s="128"/>
      <c r="AS2202" s="128"/>
      <c r="AT2202" s="128"/>
      <c r="AU2202" s="128"/>
      <c r="AV2202" s="128"/>
      <c r="AW2202" s="128"/>
      <c r="AX2202" s="128"/>
      <c r="AY2202" s="128"/>
      <c r="AZ2202" s="128"/>
      <c r="BA2202" s="128"/>
      <c r="BB2202" s="128"/>
      <c r="BC2202" s="128"/>
      <c r="BD2202" s="128"/>
      <c r="BE2202" s="128"/>
      <c r="BF2202" s="128"/>
      <c r="BG2202" s="128"/>
      <c r="BH2202" s="128"/>
      <c r="BI2202" s="128"/>
      <c r="BJ2202" s="128"/>
      <c r="BK2202" s="128"/>
      <c r="BL2202" s="128"/>
      <c r="BM2202" s="151"/>
      <c r="BN2202" s="128"/>
      <c r="BO2202" s="128"/>
      <c r="BP2202" s="128"/>
      <c r="BQ2202" s="128"/>
      <c r="BR2202" s="128"/>
      <c r="BS2202" s="128"/>
      <c r="BT2202" s="128"/>
      <c r="BU2202" s="128"/>
      <c r="BV2202" s="128"/>
      <c r="BW2202" s="128"/>
      <c r="BX2202" s="128"/>
      <c r="BY2202" s="128"/>
      <c r="BZ2202" s="128"/>
      <c r="CA2202" s="128"/>
      <c r="CB2202" s="128"/>
      <c r="CC2202" s="128"/>
      <c r="CD2202" s="128"/>
      <c r="CE2202" s="128"/>
      <c r="CF2202" s="128"/>
      <c r="CG2202" s="128"/>
      <c r="CI2202" s="128"/>
      <c r="CJ2202" s="128"/>
      <c r="CK2202" s="128"/>
      <c r="CL2202" s="128"/>
      <c r="CM2202" s="128"/>
      <c r="CN2202" s="128"/>
      <c r="CO2202" s="128"/>
      <c r="CP2202" s="128"/>
      <c r="CQ2202" s="128"/>
      <c r="CR2202" s="128"/>
      <c r="CS2202" s="128"/>
      <c r="CT2202" s="128"/>
      <c r="CU2202" s="128"/>
      <c r="CV2202" s="128"/>
      <c r="CW2202" s="128"/>
      <c r="CX2202" s="128"/>
      <c r="CY2202" s="128"/>
      <c r="CZ2202" s="165"/>
    </row>
    <row r="2203" spans="1:104">
      <c r="A2203" s="149"/>
      <c r="B2203" s="149"/>
      <c r="C2203" s="150"/>
      <c r="D2203" s="102"/>
      <c r="E2203" s="149"/>
      <c r="F2203" s="149"/>
      <c r="G2203" s="149"/>
      <c r="H2203" s="149"/>
      <c r="I2203" s="149"/>
      <c r="J2203" s="149"/>
      <c r="K2203" s="149"/>
      <c r="L2203" s="149"/>
      <c r="M2203" s="149"/>
      <c r="N2203" s="149"/>
      <c r="O2203" s="149"/>
      <c r="P2203" s="149"/>
      <c r="Q2203" s="149"/>
      <c r="R2203" s="149"/>
      <c r="S2203" s="149"/>
      <c r="T2203" s="149"/>
      <c r="U2203" s="149"/>
      <c r="V2203" s="149"/>
      <c r="W2203" s="149"/>
      <c r="X2203" s="149"/>
      <c r="Y2203" s="149"/>
      <c r="Z2203" s="149"/>
      <c r="AA2203" s="149"/>
      <c r="AB2203" s="149"/>
      <c r="AC2203" s="149"/>
      <c r="AD2203" s="149"/>
      <c r="AE2203" s="149"/>
      <c r="AF2203" s="149"/>
      <c r="AG2203" s="149"/>
      <c r="AH2203" s="149"/>
      <c r="AI2203" s="149"/>
      <c r="AJ2203" s="149"/>
      <c r="AK2203" s="149"/>
      <c r="AL2203" s="149"/>
      <c r="AM2203" s="149"/>
      <c r="AN2203" s="149"/>
      <c r="AO2203" s="128"/>
      <c r="AP2203" s="128"/>
      <c r="AQ2203" s="128"/>
      <c r="AR2203" s="128"/>
      <c r="AS2203" s="128"/>
      <c r="AT2203" s="128"/>
      <c r="AU2203" s="128"/>
      <c r="AV2203" s="128"/>
      <c r="AW2203" s="128"/>
      <c r="AX2203" s="128"/>
      <c r="AY2203" s="128"/>
      <c r="AZ2203" s="128"/>
      <c r="BA2203" s="128"/>
      <c r="BB2203" s="128"/>
      <c r="BC2203" s="128"/>
      <c r="BD2203" s="128"/>
      <c r="BE2203" s="128"/>
      <c r="BF2203" s="128"/>
      <c r="BG2203" s="128"/>
      <c r="BH2203" s="128"/>
      <c r="BI2203" s="128"/>
      <c r="BJ2203" s="128"/>
      <c r="BK2203" s="128"/>
      <c r="BL2203" s="128"/>
      <c r="BM2203" s="151"/>
      <c r="BN2203" s="128"/>
      <c r="BO2203" s="128"/>
      <c r="BP2203" s="128"/>
      <c r="BQ2203" s="128"/>
      <c r="BR2203" s="128"/>
      <c r="BS2203" s="128"/>
      <c r="BT2203" s="128"/>
      <c r="BU2203" s="128"/>
      <c r="BV2203" s="128"/>
      <c r="BW2203" s="128"/>
      <c r="BX2203" s="128"/>
      <c r="BY2203" s="128"/>
      <c r="BZ2203" s="128"/>
      <c r="CA2203" s="128"/>
      <c r="CB2203" s="128"/>
      <c r="CC2203" s="128"/>
      <c r="CD2203" s="128"/>
      <c r="CE2203" s="128"/>
      <c r="CF2203" s="128"/>
      <c r="CG2203" s="128"/>
      <c r="CI2203" s="128"/>
      <c r="CJ2203" s="128"/>
      <c r="CK2203" s="128"/>
      <c r="CL2203" s="128"/>
      <c r="CM2203" s="128"/>
      <c r="CN2203" s="128"/>
      <c r="CO2203" s="128"/>
      <c r="CP2203" s="128"/>
      <c r="CQ2203" s="128"/>
      <c r="CR2203" s="128"/>
      <c r="CS2203" s="128"/>
      <c r="CT2203" s="128"/>
      <c r="CU2203" s="128"/>
      <c r="CV2203" s="128"/>
      <c r="CW2203" s="128"/>
      <c r="CX2203" s="128"/>
      <c r="CY2203" s="128"/>
      <c r="CZ2203" s="165"/>
    </row>
    <row r="2204" spans="1:104">
      <c r="A2204" s="149"/>
      <c r="B2204" s="149"/>
      <c r="C2204" s="150"/>
      <c r="D2204" s="102"/>
      <c r="E2204" s="149"/>
      <c r="F2204" s="149"/>
      <c r="G2204" s="149"/>
      <c r="H2204" s="149"/>
      <c r="I2204" s="149"/>
      <c r="J2204" s="149"/>
      <c r="K2204" s="149"/>
      <c r="L2204" s="149"/>
      <c r="M2204" s="149"/>
      <c r="N2204" s="149"/>
      <c r="O2204" s="149"/>
      <c r="P2204" s="149"/>
      <c r="Q2204" s="149"/>
      <c r="R2204" s="149"/>
      <c r="S2204" s="149"/>
      <c r="T2204" s="149"/>
      <c r="U2204" s="149"/>
      <c r="V2204" s="149"/>
      <c r="W2204" s="149"/>
      <c r="X2204" s="149"/>
      <c r="Y2204" s="149"/>
      <c r="Z2204" s="149"/>
      <c r="AA2204" s="149"/>
      <c r="AB2204" s="149"/>
      <c r="AC2204" s="149"/>
      <c r="AD2204" s="149"/>
      <c r="AE2204" s="149"/>
      <c r="AF2204" s="149"/>
      <c r="AG2204" s="149"/>
      <c r="AH2204" s="149"/>
      <c r="AI2204" s="149"/>
      <c r="AJ2204" s="149"/>
      <c r="AK2204" s="149"/>
      <c r="AL2204" s="149"/>
      <c r="AM2204" s="149"/>
      <c r="AN2204" s="149"/>
      <c r="AO2204" s="128"/>
      <c r="AP2204" s="128"/>
      <c r="AQ2204" s="128"/>
      <c r="AR2204" s="128"/>
      <c r="AS2204" s="128"/>
      <c r="AT2204" s="128"/>
      <c r="AU2204" s="128"/>
      <c r="AV2204" s="128"/>
      <c r="AW2204" s="128"/>
      <c r="AX2204" s="128"/>
      <c r="AY2204" s="128"/>
      <c r="AZ2204" s="128"/>
      <c r="BA2204" s="128"/>
      <c r="BB2204" s="128"/>
      <c r="BC2204" s="128"/>
      <c r="BD2204" s="128"/>
      <c r="BE2204" s="128"/>
      <c r="BF2204" s="128"/>
      <c r="BG2204" s="128"/>
      <c r="BH2204" s="128"/>
      <c r="BI2204" s="128"/>
      <c r="BJ2204" s="128"/>
      <c r="BK2204" s="128"/>
      <c r="BL2204" s="128"/>
      <c r="BM2204" s="151"/>
      <c r="BN2204" s="128"/>
      <c r="BO2204" s="128"/>
      <c r="BP2204" s="128"/>
      <c r="BQ2204" s="128"/>
      <c r="BR2204" s="128"/>
      <c r="BS2204" s="128"/>
      <c r="BT2204" s="128"/>
      <c r="BU2204" s="128"/>
      <c r="BV2204" s="128"/>
      <c r="BW2204" s="128"/>
      <c r="BX2204" s="128"/>
      <c r="BY2204" s="128"/>
      <c r="BZ2204" s="128"/>
      <c r="CA2204" s="128"/>
      <c r="CB2204" s="128"/>
      <c r="CC2204" s="128"/>
      <c r="CD2204" s="128"/>
      <c r="CE2204" s="128"/>
      <c r="CF2204" s="128"/>
      <c r="CG2204" s="128"/>
      <c r="CI2204" s="128"/>
      <c r="CJ2204" s="128"/>
      <c r="CK2204" s="128"/>
      <c r="CL2204" s="128"/>
      <c r="CM2204" s="128"/>
      <c r="CN2204" s="128"/>
      <c r="CO2204" s="128"/>
      <c r="CP2204" s="128"/>
      <c r="CQ2204" s="128"/>
      <c r="CR2204" s="128"/>
      <c r="CS2204" s="128"/>
      <c r="CT2204" s="128"/>
      <c r="CU2204" s="128"/>
      <c r="CV2204" s="128"/>
      <c r="CW2204" s="128"/>
      <c r="CX2204" s="128"/>
      <c r="CY2204" s="128"/>
      <c r="CZ2204" s="165"/>
    </row>
    <row r="2205" spans="1:104">
      <c r="A2205" s="149"/>
      <c r="B2205" s="149"/>
      <c r="C2205" s="150"/>
      <c r="D2205" s="102"/>
      <c r="E2205" s="149"/>
      <c r="F2205" s="149"/>
      <c r="G2205" s="149"/>
      <c r="H2205" s="149"/>
      <c r="I2205" s="149"/>
      <c r="J2205" s="149"/>
      <c r="K2205" s="149"/>
      <c r="L2205" s="149"/>
      <c r="M2205" s="149"/>
      <c r="N2205" s="149"/>
      <c r="O2205" s="149"/>
      <c r="P2205" s="149"/>
      <c r="Q2205" s="149"/>
      <c r="R2205" s="149"/>
      <c r="S2205" s="149"/>
      <c r="T2205" s="149"/>
      <c r="U2205" s="149"/>
      <c r="V2205" s="149"/>
      <c r="W2205" s="149"/>
      <c r="X2205" s="149"/>
      <c r="Y2205" s="149"/>
      <c r="Z2205" s="149"/>
      <c r="AA2205" s="149"/>
      <c r="AB2205" s="149"/>
      <c r="AC2205" s="149"/>
      <c r="AD2205" s="149"/>
      <c r="AE2205" s="149"/>
      <c r="AF2205" s="149"/>
      <c r="AG2205" s="149"/>
      <c r="AH2205" s="149"/>
      <c r="AI2205" s="149"/>
      <c r="AJ2205" s="149"/>
      <c r="AK2205" s="149"/>
      <c r="AL2205" s="149"/>
      <c r="AM2205" s="149"/>
      <c r="AN2205" s="149"/>
      <c r="AO2205" s="128"/>
      <c r="AP2205" s="128"/>
      <c r="AQ2205" s="128"/>
      <c r="AR2205" s="128"/>
      <c r="AS2205" s="128"/>
      <c r="AT2205" s="128"/>
      <c r="AU2205" s="128"/>
      <c r="AV2205" s="128"/>
      <c r="AW2205" s="128"/>
      <c r="AX2205" s="128"/>
      <c r="AY2205" s="128"/>
      <c r="AZ2205" s="128"/>
      <c r="BA2205" s="128"/>
      <c r="BB2205" s="128"/>
      <c r="BC2205" s="128"/>
      <c r="BD2205" s="128"/>
      <c r="BE2205" s="128"/>
      <c r="BF2205" s="128"/>
      <c r="BG2205" s="128"/>
      <c r="BH2205" s="128"/>
      <c r="BI2205" s="128"/>
      <c r="BJ2205" s="128"/>
      <c r="BK2205" s="128"/>
      <c r="BL2205" s="128"/>
      <c r="BM2205" s="151"/>
      <c r="BN2205" s="128"/>
      <c r="BO2205" s="128"/>
      <c r="BP2205" s="128"/>
      <c r="BQ2205" s="128"/>
      <c r="BR2205" s="128"/>
      <c r="BS2205" s="128"/>
      <c r="BT2205" s="128"/>
      <c r="BU2205" s="128"/>
      <c r="BV2205" s="128"/>
      <c r="BW2205" s="128"/>
      <c r="BX2205" s="128"/>
      <c r="BY2205" s="128"/>
      <c r="BZ2205" s="128"/>
      <c r="CA2205" s="128"/>
      <c r="CB2205" s="128"/>
      <c r="CC2205" s="128"/>
      <c r="CD2205" s="128"/>
      <c r="CE2205" s="128"/>
      <c r="CF2205" s="128"/>
      <c r="CG2205" s="128"/>
      <c r="CI2205" s="128"/>
      <c r="CJ2205" s="128"/>
      <c r="CK2205" s="128"/>
      <c r="CL2205" s="128"/>
      <c r="CM2205" s="128"/>
      <c r="CN2205" s="128"/>
      <c r="CO2205" s="128"/>
      <c r="CP2205" s="128"/>
      <c r="CQ2205" s="128"/>
      <c r="CR2205" s="128"/>
      <c r="CS2205" s="128"/>
      <c r="CT2205" s="128"/>
      <c r="CU2205" s="128"/>
      <c r="CV2205" s="128"/>
      <c r="CW2205" s="128"/>
      <c r="CX2205" s="128"/>
      <c r="CY2205" s="128"/>
      <c r="CZ2205" s="165"/>
    </row>
    <row r="2206" spans="1:104">
      <c r="A2206" s="149"/>
      <c r="B2206" s="149"/>
      <c r="C2206" s="150"/>
      <c r="D2206" s="102"/>
      <c r="E2206" s="149"/>
      <c r="F2206" s="149"/>
      <c r="G2206" s="149"/>
      <c r="H2206" s="149"/>
      <c r="I2206" s="149"/>
      <c r="J2206" s="149"/>
      <c r="K2206" s="149"/>
      <c r="L2206" s="149"/>
      <c r="M2206" s="149"/>
      <c r="N2206" s="149"/>
      <c r="O2206" s="149"/>
      <c r="P2206" s="149"/>
      <c r="Q2206" s="149"/>
      <c r="R2206" s="149"/>
      <c r="S2206" s="149"/>
      <c r="T2206" s="149"/>
      <c r="U2206" s="149"/>
      <c r="V2206" s="149"/>
      <c r="W2206" s="149"/>
      <c r="X2206" s="149"/>
      <c r="Y2206" s="149"/>
      <c r="Z2206" s="149"/>
      <c r="AA2206" s="149"/>
      <c r="AB2206" s="149"/>
      <c r="AC2206" s="149"/>
      <c r="AD2206" s="149"/>
      <c r="AE2206" s="149"/>
      <c r="AF2206" s="149"/>
      <c r="AG2206" s="149"/>
      <c r="AH2206" s="149"/>
      <c r="AI2206" s="149"/>
      <c r="AJ2206" s="149"/>
      <c r="AK2206" s="149"/>
      <c r="AL2206" s="149"/>
      <c r="AM2206" s="149"/>
      <c r="AN2206" s="149"/>
      <c r="AO2206" s="128"/>
      <c r="AP2206" s="128"/>
      <c r="AQ2206" s="128"/>
      <c r="AR2206" s="128"/>
      <c r="AS2206" s="128"/>
      <c r="AT2206" s="128"/>
      <c r="AU2206" s="128"/>
      <c r="AV2206" s="128"/>
      <c r="AW2206" s="128"/>
      <c r="AX2206" s="128"/>
      <c r="AY2206" s="128"/>
      <c r="AZ2206" s="128"/>
      <c r="BA2206" s="128"/>
      <c r="BB2206" s="128"/>
      <c r="BC2206" s="128"/>
      <c r="BD2206" s="128"/>
      <c r="BE2206" s="128"/>
      <c r="BF2206" s="128"/>
      <c r="BG2206" s="128"/>
      <c r="BH2206" s="128"/>
      <c r="BI2206" s="128"/>
      <c r="BJ2206" s="128"/>
      <c r="BK2206" s="128"/>
      <c r="BL2206" s="128"/>
      <c r="BM2206" s="151"/>
      <c r="BN2206" s="128"/>
      <c r="BO2206" s="128"/>
      <c r="BP2206" s="128"/>
      <c r="BQ2206" s="128"/>
      <c r="BR2206" s="128"/>
      <c r="BS2206" s="128"/>
      <c r="BT2206" s="128"/>
      <c r="BU2206" s="128"/>
      <c r="BV2206" s="128"/>
      <c r="BW2206" s="128"/>
      <c r="BX2206" s="128"/>
      <c r="BY2206" s="128"/>
      <c r="BZ2206" s="128"/>
      <c r="CA2206" s="128"/>
      <c r="CB2206" s="128"/>
      <c r="CC2206" s="128"/>
      <c r="CD2206" s="128"/>
      <c r="CE2206" s="128"/>
      <c r="CF2206" s="128"/>
      <c r="CG2206" s="128"/>
      <c r="CI2206" s="128"/>
      <c r="CJ2206" s="128"/>
      <c r="CK2206" s="128"/>
      <c r="CL2206" s="128"/>
      <c r="CM2206" s="128"/>
      <c r="CN2206" s="128"/>
      <c r="CO2206" s="128"/>
      <c r="CP2206" s="128"/>
      <c r="CQ2206" s="128"/>
      <c r="CR2206" s="128"/>
      <c r="CS2206" s="128"/>
      <c r="CT2206" s="128"/>
      <c r="CU2206" s="128"/>
      <c r="CV2206" s="128"/>
      <c r="CW2206" s="128"/>
      <c r="CX2206" s="128"/>
      <c r="CY2206" s="128"/>
      <c r="CZ2206" s="165"/>
    </row>
    <row r="2207" spans="1:104">
      <c r="A2207" s="149"/>
      <c r="B2207" s="149"/>
      <c r="C2207" s="150"/>
      <c r="D2207" s="102"/>
      <c r="E2207" s="149"/>
      <c r="F2207" s="149"/>
      <c r="G2207" s="149"/>
      <c r="H2207" s="149"/>
      <c r="I2207" s="149"/>
      <c r="J2207" s="149"/>
      <c r="K2207" s="149"/>
      <c r="L2207" s="149"/>
      <c r="M2207" s="149"/>
      <c r="N2207" s="149"/>
      <c r="O2207" s="149"/>
      <c r="P2207" s="149"/>
      <c r="Q2207" s="149"/>
      <c r="R2207" s="149"/>
      <c r="S2207" s="149"/>
      <c r="T2207" s="149"/>
      <c r="U2207" s="149"/>
      <c r="V2207" s="149"/>
      <c r="W2207" s="149"/>
      <c r="X2207" s="149"/>
      <c r="Y2207" s="149"/>
      <c r="Z2207" s="149"/>
      <c r="AA2207" s="149"/>
      <c r="AB2207" s="149"/>
      <c r="AC2207" s="149"/>
      <c r="AD2207" s="149"/>
      <c r="AE2207" s="149"/>
      <c r="AF2207" s="149"/>
      <c r="AG2207" s="149"/>
      <c r="AH2207" s="149"/>
      <c r="AI2207" s="149"/>
      <c r="AJ2207" s="149"/>
      <c r="AK2207" s="149"/>
      <c r="AL2207" s="149"/>
      <c r="AM2207" s="149"/>
      <c r="AN2207" s="149"/>
      <c r="AO2207" s="128"/>
      <c r="AP2207" s="128"/>
      <c r="AQ2207" s="128"/>
      <c r="AR2207" s="128"/>
      <c r="AS2207" s="128"/>
      <c r="AT2207" s="128"/>
      <c r="AU2207" s="128"/>
      <c r="AV2207" s="128"/>
      <c r="AW2207" s="128"/>
      <c r="AX2207" s="128"/>
      <c r="AY2207" s="128"/>
      <c r="AZ2207" s="128"/>
      <c r="BA2207" s="128"/>
      <c r="BB2207" s="128"/>
      <c r="BC2207" s="128"/>
      <c r="BD2207" s="128"/>
      <c r="BE2207" s="128"/>
      <c r="BF2207" s="128"/>
      <c r="BG2207" s="128"/>
      <c r="BH2207" s="128"/>
      <c r="BI2207" s="128"/>
      <c r="BJ2207" s="128"/>
      <c r="BK2207" s="128"/>
      <c r="BL2207" s="128"/>
      <c r="BM2207" s="151"/>
      <c r="BN2207" s="128"/>
      <c r="BO2207" s="128"/>
      <c r="BP2207" s="128"/>
      <c r="BQ2207" s="128"/>
      <c r="BR2207" s="128"/>
      <c r="BS2207" s="128"/>
      <c r="BT2207" s="128"/>
      <c r="BU2207" s="128"/>
      <c r="BV2207" s="128"/>
      <c r="BW2207" s="128"/>
      <c r="BX2207" s="128"/>
      <c r="BY2207" s="128"/>
      <c r="BZ2207" s="128"/>
      <c r="CA2207" s="128"/>
      <c r="CB2207" s="128"/>
      <c r="CC2207" s="128"/>
      <c r="CD2207" s="128"/>
      <c r="CE2207" s="128"/>
      <c r="CF2207" s="128"/>
      <c r="CG2207" s="128"/>
      <c r="CI2207" s="128"/>
      <c r="CJ2207" s="128"/>
      <c r="CK2207" s="128"/>
      <c r="CL2207" s="128"/>
      <c r="CM2207" s="128"/>
      <c r="CN2207" s="128"/>
      <c r="CO2207" s="128"/>
      <c r="CP2207" s="128"/>
      <c r="CQ2207" s="128"/>
      <c r="CR2207" s="128"/>
      <c r="CS2207" s="128"/>
      <c r="CT2207" s="128"/>
      <c r="CU2207" s="128"/>
      <c r="CV2207" s="128"/>
      <c r="CW2207" s="128"/>
      <c r="CX2207" s="128"/>
      <c r="CY2207" s="128"/>
      <c r="CZ2207" s="165"/>
    </row>
    <row r="2208" spans="1:104">
      <c r="A2208" s="149"/>
      <c r="B2208" s="149"/>
      <c r="C2208" s="150"/>
      <c r="D2208" s="102"/>
      <c r="E2208" s="149"/>
      <c r="F2208" s="149"/>
      <c r="G2208" s="149"/>
      <c r="H2208" s="149"/>
      <c r="I2208" s="149"/>
      <c r="J2208" s="149"/>
      <c r="K2208" s="149"/>
      <c r="L2208" s="149"/>
      <c r="M2208" s="149"/>
      <c r="N2208" s="149"/>
      <c r="O2208" s="149"/>
      <c r="P2208" s="149"/>
      <c r="Q2208" s="149"/>
      <c r="R2208" s="149"/>
      <c r="S2208" s="149"/>
      <c r="T2208" s="149"/>
      <c r="U2208" s="149"/>
      <c r="V2208" s="149"/>
      <c r="W2208" s="149"/>
      <c r="X2208" s="149"/>
      <c r="Y2208" s="149"/>
      <c r="Z2208" s="149"/>
      <c r="AA2208" s="149"/>
      <c r="AB2208" s="149"/>
      <c r="AC2208" s="149"/>
      <c r="AD2208" s="149"/>
      <c r="AE2208" s="149"/>
      <c r="AF2208" s="149"/>
      <c r="AG2208" s="149"/>
      <c r="AH2208" s="149"/>
      <c r="AI2208" s="149"/>
      <c r="AJ2208" s="149"/>
      <c r="AK2208" s="149"/>
      <c r="AL2208" s="149"/>
      <c r="AM2208" s="149"/>
      <c r="AN2208" s="149"/>
      <c r="AO2208" s="128"/>
      <c r="AP2208" s="128"/>
      <c r="AQ2208" s="128"/>
      <c r="AR2208" s="128"/>
      <c r="AS2208" s="128"/>
      <c r="AT2208" s="128"/>
      <c r="AU2208" s="128"/>
      <c r="AV2208" s="128"/>
      <c r="AW2208" s="128"/>
      <c r="AX2208" s="128"/>
      <c r="AY2208" s="128"/>
      <c r="AZ2208" s="128"/>
      <c r="BA2208" s="128"/>
      <c r="BB2208" s="128"/>
      <c r="BC2208" s="128"/>
      <c r="BD2208" s="128"/>
      <c r="BE2208" s="128"/>
      <c r="BF2208" s="128"/>
      <c r="BG2208" s="128"/>
      <c r="BH2208" s="128"/>
      <c r="BI2208" s="128"/>
      <c r="BJ2208" s="128"/>
      <c r="BK2208" s="128"/>
      <c r="BL2208" s="128"/>
      <c r="BM2208" s="151"/>
      <c r="BN2208" s="128"/>
      <c r="BO2208" s="128"/>
      <c r="BP2208" s="128"/>
      <c r="BQ2208" s="128"/>
      <c r="BR2208" s="128"/>
      <c r="BS2208" s="128"/>
      <c r="BT2208" s="128"/>
      <c r="BU2208" s="128"/>
      <c r="BV2208" s="128"/>
      <c r="BW2208" s="128"/>
      <c r="BX2208" s="128"/>
      <c r="BY2208" s="128"/>
      <c r="BZ2208" s="128"/>
      <c r="CA2208" s="128"/>
      <c r="CB2208" s="128"/>
      <c r="CC2208" s="128"/>
      <c r="CD2208" s="128"/>
      <c r="CE2208" s="128"/>
      <c r="CF2208" s="128"/>
      <c r="CG2208" s="128"/>
      <c r="CI2208" s="128"/>
      <c r="CJ2208" s="128"/>
      <c r="CK2208" s="128"/>
      <c r="CL2208" s="128"/>
      <c r="CM2208" s="128"/>
      <c r="CN2208" s="128"/>
      <c r="CO2208" s="128"/>
      <c r="CP2208" s="128"/>
      <c r="CQ2208" s="128"/>
      <c r="CR2208" s="128"/>
      <c r="CS2208" s="128"/>
      <c r="CT2208" s="128"/>
      <c r="CU2208" s="128"/>
      <c r="CV2208" s="128"/>
      <c r="CW2208" s="128"/>
      <c r="CX2208" s="128"/>
      <c r="CY2208" s="128"/>
      <c r="CZ2208" s="165"/>
    </row>
    <row r="2209" spans="1:104">
      <c r="A2209" s="149"/>
      <c r="B2209" s="149"/>
      <c r="C2209" s="150"/>
      <c r="D2209" s="102"/>
      <c r="E2209" s="149"/>
      <c r="F2209" s="149"/>
      <c r="G2209" s="149"/>
      <c r="H2209" s="149"/>
      <c r="I2209" s="149"/>
      <c r="J2209" s="149"/>
      <c r="K2209" s="149"/>
      <c r="L2209" s="149"/>
      <c r="M2209" s="149"/>
      <c r="N2209" s="149"/>
      <c r="O2209" s="149"/>
      <c r="P2209" s="149"/>
      <c r="Q2209" s="149"/>
      <c r="R2209" s="149"/>
      <c r="S2209" s="149"/>
      <c r="T2209" s="149"/>
      <c r="U2209" s="149"/>
      <c r="V2209" s="149"/>
      <c r="W2209" s="149"/>
      <c r="X2209" s="149"/>
      <c r="Y2209" s="149"/>
      <c r="Z2209" s="149"/>
      <c r="AA2209" s="149"/>
      <c r="AB2209" s="149"/>
      <c r="AC2209" s="149"/>
      <c r="AD2209" s="149"/>
      <c r="AE2209" s="149"/>
      <c r="AF2209" s="149"/>
      <c r="AG2209" s="149"/>
      <c r="AH2209" s="149"/>
      <c r="AI2209" s="149"/>
      <c r="AJ2209" s="149"/>
      <c r="AK2209" s="149"/>
      <c r="AL2209" s="149"/>
      <c r="AM2209" s="149"/>
      <c r="AN2209" s="149"/>
      <c r="AO2209" s="128"/>
      <c r="AP2209" s="128"/>
      <c r="AQ2209" s="128"/>
      <c r="AR2209" s="128"/>
      <c r="AS2209" s="128"/>
      <c r="AT2209" s="128"/>
      <c r="AU2209" s="128"/>
      <c r="AV2209" s="128"/>
      <c r="AW2209" s="128"/>
      <c r="AX2209" s="128"/>
      <c r="AY2209" s="128"/>
      <c r="AZ2209" s="128"/>
      <c r="BA2209" s="128"/>
      <c r="BB2209" s="128"/>
      <c r="BC2209" s="128"/>
      <c r="BD2209" s="128"/>
      <c r="BE2209" s="128"/>
      <c r="BF2209" s="128"/>
      <c r="BG2209" s="128"/>
      <c r="BH2209" s="128"/>
      <c r="BI2209" s="128"/>
      <c r="BJ2209" s="128"/>
      <c r="BK2209" s="128"/>
      <c r="BL2209" s="128"/>
      <c r="BM2209" s="151"/>
      <c r="BN2209" s="128"/>
      <c r="BO2209" s="128"/>
      <c r="BP2209" s="128"/>
      <c r="BQ2209" s="128"/>
      <c r="BR2209" s="128"/>
      <c r="BS2209" s="128"/>
      <c r="BT2209" s="128"/>
      <c r="BU2209" s="128"/>
      <c r="BV2209" s="128"/>
      <c r="BW2209" s="128"/>
      <c r="BX2209" s="128"/>
      <c r="BY2209" s="128"/>
      <c r="BZ2209" s="128"/>
      <c r="CA2209" s="128"/>
      <c r="CB2209" s="128"/>
      <c r="CC2209" s="128"/>
      <c r="CD2209" s="128"/>
      <c r="CE2209" s="128"/>
      <c r="CF2209" s="128"/>
      <c r="CG2209" s="128"/>
      <c r="CI2209" s="128"/>
      <c r="CJ2209" s="128"/>
      <c r="CK2209" s="128"/>
      <c r="CL2209" s="128"/>
      <c r="CM2209" s="128"/>
      <c r="CN2209" s="128"/>
      <c r="CO2209" s="128"/>
      <c r="CP2209" s="128"/>
      <c r="CQ2209" s="128"/>
      <c r="CR2209" s="128"/>
      <c r="CS2209" s="128"/>
      <c r="CT2209" s="128"/>
      <c r="CU2209" s="128"/>
      <c r="CV2209" s="128"/>
      <c r="CW2209" s="128"/>
      <c r="CX2209" s="128"/>
      <c r="CY2209" s="128"/>
      <c r="CZ2209" s="165"/>
    </row>
    <row r="2210" spans="1:104">
      <c r="A2210" s="149"/>
      <c r="B2210" s="149"/>
      <c r="C2210" s="150"/>
      <c r="D2210" s="102"/>
      <c r="E2210" s="149"/>
      <c r="F2210" s="149"/>
      <c r="G2210" s="149"/>
      <c r="H2210" s="149"/>
      <c r="I2210" s="149"/>
      <c r="J2210" s="149"/>
      <c r="K2210" s="149"/>
      <c r="L2210" s="149"/>
      <c r="M2210" s="149"/>
      <c r="N2210" s="149"/>
      <c r="O2210" s="149"/>
      <c r="P2210" s="149"/>
      <c r="Q2210" s="149"/>
      <c r="R2210" s="149"/>
      <c r="S2210" s="149"/>
      <c r="T2210" s="149"/>
      <c r="U2210" s="149"/>
      <c r="V2210" s="149"/>
      <c r="W2210" s="149"/>
      <c r="X2210" s="149"/>
      <c r="Y2210" s="149"/>
      <c r="Z2210" s="149"/>
      <c r="AA2210" s="149"/>
      <c r="AB2210" s="149"/>
      <c r="AC2210" s="149"/>
      <c r="AD2210" s="149"/>
      <c r="AE2210" s="149"/>
      <c r="AF2210" s="149"/>
      <c r="AG2210" s="149"/>
      <c r="AH2210" s="149"/>
      <c r="AI2210" s="149"/>
      <c r="AJ2210" s="149"/>
      <c r="AK2210" s="149"/>
      <c r="AL2210" s="149"/>
      <c r="AM2210" s="149"/>
      <c r="AN2210" s="149"/>
      <c r="AO2210" s="128"/>
      <c r="AP2210" s="128"/>
      <c r="AQ2210" s="128"/>
      <c r="AR2210" s="128"/>
      <c r="AS2210" s="128"/>
      <c r="AT2210" s="128"/>
      <c r="AU2210" s="128"/>
      <c r="AV2210" s="128"/>
      <c r="AW2210" s="128"/>
      <c r="AX2210" s="128"/>
      <c r="AY2210" s="128"/>
      <c r="AZ2210" s="128"/>
      <c r="BA2210" s="128"/>
      <c r="BB2210" s="128"/>
      <c r="BC2210" s="128"/>
      <c r="BD2210" s="128"/>
      <c r="BE2210" s="128"/>
      <c r="BF2210" s="128"/>
      <c r="BG2210" s="128"/>
      <c r="BH2210" s="128"/>
      <c r="BI2210" s="128"/>
      <c r="BJ2210" s="128"/>
      <c r="BK2210" s="128"/>
      <c r="BL2210" s="128"/>
      <c r="BM2210" s="151"/>
      <c r="BN2210" s="128"/>
      <c r="BO2210" s="128"/>
      <c r="BP2210" s="128"/>
      <c r="BQ2210" s="128"/>
      <c r="BR2210" s="128"/>
      <c r="BS2210" s="128"/>
      <c r="BT2210" s="128"/>
      <c r="BU2210" s="128"/>
      <c r="BV2210" s="128"/>
      <c r="BW2210" s="128"/>
      <c r="BX2210" s="128"/>
      <c r="BY2210" s="128"/>
      <c r="BZ2210" s="128"/>
      <c r="CA2210" s="128"/>
      <c r="CB2210" s="128"/>
      <c r="CC2210" s="128"/>
      <c r="CD2210" s="128"/>
      <c r="CE2210" s="128"/>
      <c r="CF2210" s="128"/>
      <c r="CG2210" s="128"/>
      <c r="CI2210" s="128"/>
      <c r="CJ2210" s="128"/>
      <c r="CK2210" s="128"/>
      <c r="CL2210" s="128"/>
      <c r="CM2210" s="128"/>
      <c r="CN2210" s="128"/>
      <c r="CO2210" s="128"/>
      <c r="CP2210" s="128"/>
      <c r="CQ2210" s="128"/>
      <c r="CR2210" s="128"/>
      <c r="CS2210" s="128"/>
      <c r="CT2210" s="128"/>
      <c r="CU2210" s="128"/>
      <c r="CV2210" s="128"/>
      <c r="CW2210" s="128"/>
      <c r="CX2210" s="128"/>
      <c r="CY2210" s="128"/>
      <c r="CZ2210" s="165"/>
    </row>
    <row r="2211" spans="1:104">
      <c r="A2211" s="149"/>
      <c r="B2211" s="149"/>
      <c r="C2211" s="150"/>
      <c r="D2211" s="102"/>
      <c r="E2211" s="149"/>
      <c r="F2211" s="149"/>
      <c r="G2211" s="149"/>
      <c r="H2211" s="149"/>
      <c r="I2211" s="149"/>
      <c r="J2211" s="149"/>
      <c r="K2211" s="149"/>
      <c r="L2211" s="149"/>
      <c r="M2211" s="149"/>
      <c r="N2211" s="149"/>
      <c r="O2211" s="149"/>
      <c r="P2211" s="149"/>
      <c r="Q2211" s="149"/>
      <c r="R2211" s="149"/>
      <c r="S2211" s="149"/>
      <c r="T2211" s="149"/>
      <c r="U2211" s="149"/>
      <c r="V2211" s="149"/>
      <c r="W2211" s="149"/>
      <c r="X2211" s="149"/>
      <c r="Y2211" s="149"/>
      <c r="Z2211" s="149"/>
      <c r="AA2211" s="149"/>
      <c r="AB2211" s="149"/>
      <c r="AC2211" s="149"/>
      <c r="AD2211" s="149"/>
      <c r="AE2211" s="149"/>
      <c r="AF2211" s="149"/>
      <c r="AG2211" s="149"/>
      <c r="AH2211" s="149"/>
      <c r="AI2211" s="149"/>
      <c r="AJ2211" s="149"/>
      <c r="AK2211" s="149"/>
      <c r="AL2211" s="149"/>
      <c r="AM2211" s="149"/>
      <c r="AN2211" s="149"/>
      <c r="AO2211" s="128"/>
      <c r="AP2211" s="128"/>
      <c r="AQ2211" s="128"/>
      <c r="AR2211" s="128"/>
      <c r="AS2211" s="128"/>
      <c r="AT2211" s="128"/>
      <c r="AU2211" s="128"/>
      <c r="AV2211" s="128"/>
      <c r="AW2211" s="128"/>
      <c r="AX2211" s="128"/>
      <c r="AY2211" s="128"/>
      <c r="AZ2211" s="128"/>
      <c r="BA2211" s="128"/>
      <c r="BB2211" s="128"/>
      <c r="BC2211" s="128"/>
      <c r="BD2211" s="128"/>
      <c r="BE2211" s="128"/>
      <c r="BF2211" s="128"/>
      <c r="BG2211" s="128"/>
      <c r="BH2211" s="128"/>
      <c r="BI2211" s="128"/>
      <c r="BJ2211" s="128"/>
      <c r="BK2211" s="128"/>
      <c r="BL2211" s="128"/>
      <c r="BM2211" s="151"/>
      <c r="BN2211" s="128"/>
      <c r="BO2211" s="128"/>
      <c r="BP2211" s="128"/>
      <c r="BQ2211" s="128"/>
      <c r="BR2211" s="128"/>
      <c r="BS2211" s="128"/>
      <c r="BT2211" s="128"/>
      <c r="BU2211" s="128"/>
      <c r="BV2211" s="128"/>
      <c r="BW2211" s="128"/>
      <c r="BX2211" s="128"/>
      <c r="BY2211" s="128"/>
      <c r="BZ2211" s="128"/>
      <c r="CA2211" s="128"/>
      <c r="CB2211" s="128"/>
      <c r="CC2211" s="128"/>
      <c r="CD2211" s="128"/>
      <c r="CE2211" s="128"/>
      <c r="CF2211" s="128"/>
      <c r="CG2211" s="128"/>
      <c r="CI2211" s="128"/>
      <c r="CJ2211" s="128"/>
      <c r="CK2211" s="128"/>
      <c r="CL2211" s="128"/>
      <c r="CM2211" s="128"/>
      <c r="CN2211" s="128"/>
      <c r="CO2211" s="128"/>
      <c r="CP2211" s="128"/>
      <c r="CQ2211" s="128"/>
      <c r="CR2211" s="128"/>
      <c r="CS2211" s="128"/>
      <c r="CT2211" s="128"/>
      <c r="CU2211" s="128"/>
      <c r="CV2211" s="128"/>
      <c r="CW2211" s="128"/>
      <c r="CX2211" s="128"/>
      <c r="CY2211" s="128"/>
      <c r="CZ2211" s="165"/>
    </row>
    <row r="2212" spans="1:104">
      <c r="A2212" s="149"/>
      <c r="B2212" s="149"/>
      <c r="C2212" s="150"/>
      <c r="D2212" s="102"/>
      <c r="E2212" s="149"/>
      <c r="F2212" s="149"/>
      <c r="G2212" s="149"/>
      <c r="H2212" s="149"/>
      <c r="I2212" s="149"/>
      <c r="J2212" s="149"/>
      <c r="K2212" s="149"/>
      <c r="L2212" s="149"/>
      <c r="M2212" s="149"/>
      <c r="N2212" s="149"/>
      <c r="O2212" s="149"/>
      <c r="P2212" s="149"/>
      <c r="Q2212" s="149"/>
      <c r="R2212" s="149"/>
      <c r="S2212" s="149"/>
      <c r="T2212" s="149"/>
      <c r="U2212" s="149"/>
      <c r="V2212" s="149"/>
      <c r="W2212" s="149"/>
      <c r="X2212" s="149"/>
      <c r="Y2212" s="149"/>
      <c r="Z2212" s="149"/>
      <c r="AA2212" s="149"/>
      <c r="AB2212" s="149"/>
      <c r="AC2212" s="149"/>
      <c r="AD2212" s="149"/>
      <c r="AE2212" s="149"/>
      <c r="AF2212" s="149"/>
      <c r="AG2212" s="149"/>
      <c r="AH2212" s="149"/>
      <c r="AI2212" s="149"/>
      <c r="AJ2212" s="149"/>
      <c r="AK2212" s="149"/>
      <c r="AL2212" s="149"/>
      <c r="AM2212" s="149"/>
      <c r="AN2212" s="149"/>
      <c r="AO2212" s="128"/>
      <c r="AP2212" s="128"/>
      <c r="AQ2212" s="128"/>
      <c r="AR2212" s="128"/>
      <c r="AS2212" s="128"/>
      <c r="AT2212" s="128"/>
      <c r="AU2212" s="128"/>
      <c r="AV2212" s="128"/>
      <c r="AW2212" s="128"/>
      <c r="AX2212" s="128"/>
      <c r="AY2212" s="128"/>
      <c r="AZ2212" s="128"/>
      <c r="BA2212" s="128"/>
      <c r="BB2212" s="128"/>
      <c r="BC2212" s="128"/>
      <c r="BD2212" s="128"/>
      <c r="BE2212" s="128"/>
      <c r="BF2212" s="128"/>
      <c r="BG2212" s="128"/>
      <c r="BH2212" s="128"/>
      <c r="BI2212" s="128"/>
      <c r="BJ2212" s="128"/>
      <c r="BK2212" s="128"/>
      <c r="BL2212" s="128"/>
      <c r="BM2212" s="151"/>
      <c r="BN2212" s="128"/>
      <c r="BO2212" s="128"/>
      <c r="BP2212" s="128"/>
      <c r="BQ2212" s="128"/>
      <c r="BR2212" s="128"/>
      <c r="BS2212" s="128"/>
      <c r="BT2212" s="128"/>
      <c r="BU2212" s="128"/>
      <c r="BV2212" s="128"/>
      <c r="BW2212" s="128"/>
      <c r="BX2212" s="128"/>
      <c r="BY2212" s="128"/>
      <c r="BZ2212" s="128"/>
      <c r="CA2212" s="128"/>
      <c r="CB2212" s="128"/>
      <c r="CC2212" s="128"/>
      <c r="CD2212" s="128"/>
      <c r="CE2212" s="128"/>
      <c r="CF2212" s="128"/>
      <c r="CG2212" s="128"/>
      <c r="CI2212" s="128"/>
      <c r="CJ2212" s="128"/>
      <c r="CK2212" s="128"/>
      <c r="CL2212" s="128"/>
      <c r="CM2212" s="128"/>
      <c r="CN2212" s="128"/>
      <c r="CO2212" s="128"/>
      <c r="CP2212" s="128"/>
      <c r="CQ2212" s="128"/>
      <c r="CR2212" s="128"/>
      <c r="CS2212" s="128"/>
      <c r="CT2212" s="128"/>
      <c r="CU2212" s="128"/>
      <c r="CV2212" s="128"/>
      <c r="CW2212" s="128"/>
      <c r="CX2212" s="128"/>
      <c r="CY2212" s="128"/>
      <c r="CZ2212" s="165"/>
    </row>
    <row r="2213" spans="1:104">
      <c r="A2213" s="149"/>
      <c r="B2213" s="149"/>
      <c r="C2213" s="150"/>
      <c r="D2213" s="102"/>
      <c r="E2213" s="149"/>
      <c r="F2213" s="149"/>
      <c r="G2213" s="149"/>
      <c r="H2213" s="149"/>
      <c r="I2213" s="149"/>
      <c r="J2213" s="149"/>
      <c r="K2213" s="149"/>
      <c r="L2213" s="149"/>
      <c r="M2213" s="149"/>
      <c r="N2213" s="149"/>
      <c r="O2213" s="149"/>
      <c r="P2213" s="149"/>
      <c r="Q2213" s="149"/>
      <c r="R2213" s="149"/>
      <c r="S2213" s="149"/>
      <c r="T2213" s="149"/>
      <c r="U2213" s="149"/>
      <c r="V2213" s="149"/>
      <c r="W2213" s="149"/>
      <c r="X2213" s="149"/>
      <c r="Y2213" s="149"/>
      <c r="Z2213" s="149"/>
      <c r="AA2213" s="149"/>
      <c r="AB2213" s="149"/>
      <c r="AC2213" s="149"/>
      <c r="AD2213" s="149"/>
      <c r="AE2213" s="149"/>
      <c r="AF2213" s="149"/>
      <c r="AG2213" s="149"/>
      <c r="AH2213" s="149"/>
      <c r="AI2213" s="149"/>
      <c r="AJ2213" s="149"/>
      <c r="AK2213" s="149"/>
      <c r="AL2213" s="149"/>
      <c r="AM2213" s="149"/>
      <c r="AN2213" s="149"/>
      <c r="AO2213" s="128"/>
      <c r="AP2213" s="128"/>
      <c r="AQ2213" s="128"/>
      <c r="AR2213" s="128"/>
      <c r="AS2213" s="128"/>
      <c r="AT2213" s="128"/>
      <c r="AU2213" s="128"/>
      <c r="AV2213" s="128"/>
      <c r="AW2213" s="128"/>
      <c r="AX2213" s="128"/>
      <c r="AY2213" s="128"/>
      <c r="AZ2213" s="128"/>
      <c r="BA2213" s="128"/>
      <c r="BB2213" s="128"/>
      <c r="BC2213" s="128"/>
      <c r="BD2213" s="128"/>
      <c r="BE2213" s="128"/>
      <c r="BF2213" s="128"/>
      <c r="BG2213" s="128"/>
      <c r="BH2213" s="128"/>
      <c r="BI2213" s="128"/>
      <c r="BJ2213" s="128"/>
      <c r="BK2213" s="128"/>
      <c r="BL2213" s="128"/>
      <c r="BM2213" s="151"/>
      <c r="BN2213" s="128"/>
      <c r="BO2213" s="128"/>
      <c r="BP2213" s="128"/>
      <c r="BQ2213" s="128"/>
      <c r="BR2213" s="128"/>
      <c r="BS2213" s="128"/>
      <c r="BT2213" s="128"/>
      <c r="BU2213" s="128"/>
      <c r="BV2213" s="128"/>
      <c r="BW2213" s="128"/>
      <c r="BX2213" s="128"/>
      <c r="BY2213" s="128"/>
      <c r="BZ2213" s="128"/>
      <c r="CA2213" s="128"/>
      <c r="CB2213" s="128"/>
      <c r="CC2213" s="128"/>
      <c r="CD2213" s="128"/>
      <c r="CE2213" s="128"/>
      <c r="CF2213" s="128"/>
      <c r="CG2213" s="128"/>
      <c r="CI2213" s="128"/>
      <c r="CJ2213" s="128"/>
      <c r="CK2213" s="128"/>
      <c r="CL2213" s="128"/>
      <c r="CM2213" s="128"/>
      <c r="CN2213" s="128"/>
      <c r="CO2213" s="128"/>
      <c r="CP2213" s="128"/>
      <c r="CQ2213" s="128"/>
      <c r="CR2213" s="128"/>
      <c r="CS2213" s="128"/>
      <c r="CT2213" s="128"/>
      <c r="CU2213" s="128"/>
      <c r="CV2213" s="128"/>
      <c r="CW2213" s="128"/>
      <c r="CX2213" s="128"/>
      <c r="CY2213" s="128"/>
      <c r="CZ2213" s="165"/>
    </row>
    <row r="2214" spans="1:104">
      <c r="A2214" s="149"/>
      <c r="B2214" s="149"/>
      <c r="C2214" s="150"/>
      <c r="D2214" s="102"/>
      <c r="E2214" s="149"/>
      <c r="F2214" s="149"/>
      <c r="G2214" s="149"/>
      <c r="H2214" s="149"/>
      <c r="I2214" s="149"/>
      <c r="J2214" s="149"/>
      <c r="K2214" s="149"/>
      <c r="L2214" s="149"/>
      <c r="M2214" s="149"/>
      <c r="N2214" s="149"/>
      <c r="O2214" s="149"/>
      <c r="P2214" s="149"/>
      <c r="Q2214" s="149"/>
      <c r="R2214" s="149"/>
      <c r="S2214" s="149"/>
      <c r="T2214" s="149"/>
      <c r="U2214" s="149"/>
      <c r="V2214" s="149"/>
      <c r="W2214" s="149"/>
      <c r="X2214" s="149"/>
      <c r="Y2214" s="149"/>
      <c r="Z2214" s="149"/>
      <c r="AA2214" s="149"/>
      <c r="AB2214" s="149"/>
      <c r="AC2214" s="149"/>
      <c r="AD2214" s="149"/>
      <c r="AE2214" s="149"/>
      <c r="AF2214" s="149"/>
      <c r="AG2214" s="149"/>
      <c r="AH2214" s="149"/>
      <c r="AI2214" s="149"/>
      <c r="AJ2214" s="149"/>
      <c r="AK2214" s="149"/>
      <c r="AL2214" s="149"/>
      <c r="AM2214" s="149"/>
      <c r="AN2214" s="149"/>
      <c r="AO2214" s="128"/>
      <c r="AP2214" s="128"/>
      <c r="AQ2214" s="128"/>
      <c r="AR2214" s="128"/>
      <c r="AS2214" s="128"/>
      <c r="AT2214" s="128"/>
      <c r="AU2214" s="128"/>
      <c r="AV2214" s="128"/>
      <c r="AW2214" s="128"/>
      <c r="AX2214" s="128"/>
      <c r="AY2214" s="128"/>
      <c r="AZ2214" s="128"/>
      <c r="BA2214" s="128"/>
      <c r="BB2214" s="128"/>
      <c r="BC2214" s="128"/>
      <c r="BD2214" s="128"/>
      <c r="BE2214" s="128"/>
      <c r="BF2214" s="128"/>
      <c r="BG2214" s="128"/>
      <c r="BH2214" s="128"/>
      <c r="BI2214" s="128"/>
      <c r="BJ2214" s="128"/>
      <c r="BK2214" s="128"/>
      <c r="BL2214" s="128"/>
      <c r="BM2214" s="151"/>
      <c r="BN2214" s="128"/>
      <c r="BO2214" s="128"/>
      <c r="BP2214" s="128"/>
      <c r="BQ2214" s="128"/>
      <c r="BR2214" s="128"/>
      <c r="BS2214" s="128"/>
      <c r="BT2214" s="128"/>
      <c r="BU2214" s="128"/>
      <c r="BV2214" s="128"/>
      <c r="BW2214" s="128"/>
      <c r="BX2214" s="128"/>
      <c r="BY2214" s="128"/>
      <c r="BZ2214" s="128"/>
      <c r="CA2214" s="128"/>
      <c r="CB2214" s="128"/>
      <c r="CC2214" s="128"/>
      <c r="CD2214" s="128"/>
      <c r="CE2214" s="128"/>
      <c r="CF2214" s="128"/>
      <c r="CG2214" s="128"/>
      <c r="CI2214" s="128"/>
      <c r="CJ2214" s="128"/>
      <c r="CK2214" s="128"/>
      <c r="CL2214" s="128"/>
      <c r="CM2214" s="128"/>
      <c r="CN2214" s="128"/>
      <c r="CO2214" s="128"/>
      <c r="CP2214" s="128"/>
      <c r="CQ2214" s="128"/>
      <c r="CR2214" s="128"/>
      <c r="CS2214" s="128"/>
      <c r="CT2214" s="128"/>
      <c r="CU2214" s="128"/>
      <c r="CV2214" s="128"/>
      <c r="CW2214" s="128"/>
      <c r="CX2214" s="128"/>
      <c r="CY2214" s="128"/>
      <c r="CZ2214" s="165"/>
    </row>
    <row r="2215" spans="1:104">
      <c r="A2215" s="149"/>
      <c r="B2215" s="149"/>
      <c r="C2215" s="150"/>
      <c r="D2215" s="102"/>
      <c r="E2215" s="149"/>
      <c r="F2215" s="149"/>
      <c r="G2215" s="149"/>
      <c r="H2215" s="149"/>
      <c r="I2215" s="149"/>
      <c r="J2215" s="149"/>
      <c r="K2215" s="149"/>
      <c r="L2215" s="149"/>
      <c r="M2215" s="149"/>
      <c r="N2215" s="149"/>
      <c r="O2215" s="149"/>
      <c r="P2215" s="149"/>
      <c r="Q2215" s="149"/>
      <c r="R2215" s="149"/>
      <c r="S2215" s="149"/>
      <c r="T2215" s="149"/>
      <c r="U2215" s="149"/>
      <c r="V2215" s="149"/>
      <c r="W2215" s="149"/>
      <c r="X2215" s="149"/>
      <c r="Y2215" s="149"/>
      <c r="Z2215" s="149"/>
      <c r="AA2215" s="149"/>
      <c r="AB2215" s="149"/>
      <c r="AC2215" s="149"/>
      <c r="AD2215" s="149"/>
      <c r="AE2215" s="149"/>
      <c r="AF2215" s="149"/>
      <c r="AG2215" s="149"/>
      <c r="AH2215" s="149"/>
      <c r="AI2215" s="149"/>
      <c r="AJ2215" s="149"/>
      <c r="AK2215" s="149"/>
      <c r="AL2215" s="149"/>
      <c r="AM2215" s="149"/>
      <c r="AN2215" s="149"/>
      <c r="AO2215" s="128"/>
      <c r="AP2215" s="128"/>
      <c r="AQ2215" s="128"/>
      <c r="AR2215" s="128"/>
      <c r="AS2215" s="128"/>
      <c r="AT2215" s="128"/>
      <c r="AU2215" s="128"/>
      <c r="AV2215" s="128"/>
      <c r="AW2215" s="128"/>
      <c r="AX2215" s="128"/>
      <c r="AY2215" s="128"/>
      <c r="AZ2215" s="128"/>
      <c r="BA2215" s="128"/>
      <c r="BB2215" s="128"/>
      <c r="BC2215" s="128"/>
      <c r="BD2215" s="128"/>
      <c r="BE2215" s="128"/>
      <c r="BF2215" s="128"/>
      <c r="BG2215" s="128"/>
      <c r="BH2215" s="128"/>
      <c r="BI2215" s="128"/>
      <c r="BJ2215" s="128"/>
      <c r="BK2215" s="128"/>
      <c r="BL2215" s="128"/>
      <c r="BM2215" s="151"/>
      <c r="BN2215" s="128"/>
      <c r="BO2215" s="128"/>
      <c r="BP2215" s="128"/>
      <c r="BQ2215" s="128"/>
      <c r="BR2215" s="128"/>
      <c r="BS2215" s="128"/>
      <c r="BT2215" s="128"/>
      <c r="BU2215" s="128"/>
      <c r="BV2215" s="128"/>
      <c r="BW2215" s="128"/>
      <c r="BX2215" s="128"/>
      <c r="BY2215" s="128"/>
      <c r="BZ2215" s="128"/>
      <c r="CA2215" s="128"/>
      <c r="CB2215" s="128"/>
      <c r="CC2215" s="128"/>
      <c r="CD2215" s="128"/>
      <c r="CE2215" s="128"/>
      <c r="CF2215" s="128"/>
      <c r="CG2215" s="128"/>
      <c r="CI2215" s="128"/>
      <c r="CJ2215" s="128"/>
      <c r="CK2215" s="128"/>
      <c r="CL2215" s="128"/>
      <c r="CM2215" s="128"/>
      <c r="CN2215" s="128"/>
      <c r="CO2215" s="128"/>
      <c r="CP2215" s="128"/>
      <c r="CQ2215" s="128"/>
      <c r="CR2215" s="128"/>
      <c r="CS2215" s="128"/>
      <c r="CT2215" s="128"/>
      <c r="CU2215" s="128"/>
      <c r="CV2215" s="128"/>
      <c r="CW2215" s="128"/>
      <c r="CX2215" s="128"/>
      <c r="CY2215" s="128"/>
      <c r="CZ2215" s="165"/>
    </row>
    <row r="2216" spans="1:104">
      <c r="A2216" s="149"/>
      <c r="B2216" s="149"/>
      <c r="C2216" s="150"/>
      <c r="D2216" s="102"/>
      <c r="E2216" s="149"/>
      <c r="F2216" s="149"/>
      <c r="G2216" s="149"/>
      <c r="H2216" s="149"/>
      <c r="I2216" s="149"/>
      <c r="J2216" s="149"/>
      <c r="K2216" s="149"/>
      <c r="L2216" s="149"/>
      <c r="M2216" s="149"/>
      <c r="N2216" s="149"/>
      <c r="O2216" s="149"/>
      <c r="P2216" s="149"/>
      <c r="Q2216" s="149"/>
      <c r="R2216" s="149"/>
      <c r="S2216" s="149"/>
      <c r="T2216" s="149"/>
      <c r="U2216" s="149"/>
      <c r="V2216" s="149"/>
      <c r="W2216" s="149"/>
      <c r="X2216" s="149"/>
      <c r="Y2216" s="149"/>
      <c r="Z2216" s="149"/>
      <c r="AA2216" s="149"/>
      <c r="AB2216" s="149"/>
      <c r="AC2216" s="149"/>
      <c r="AD2216" s="149"/>
      <c r="AE2216" s="149"/>
      <c r="AF2216" s="149"/>
      <c r="AG2216" s="149"/>
      <c r="AH2216" s="149"/>
      <c r="AI2216" s="149"/>
      <c r="AJ2216" s="149"/>
      <c r="AK2216" s="149"/>
      <c r="AL2216" s="149"/>
      <c r="AM2216" s="149"/>
      <c r="AN2216" s="149"/>
      <c r="AO2216" s="128"/>
      <c r="AP2216" s="128"/>
      <c r="AQ2216" s="128"/>
      <c r="AR2216" s="128"/>
      <c r="AS2216" s="128"/>
      <c r="AT2216" s="128"/>
      <c r="AU2216" s="128"/>
      <c r="AV2216" s="128"/>
      <c r="AW2216" s="128"/>
      <c r="AX2216" s="128"/>
      <c r="AY2216" s="128"/>
      <c r="AZ2216" s="128"/>
      <c r="BA2216" s="128"/>
      <c r="BB2216" s="128"/>
      <c r="BC2216" s="128"/>
      <c r="BD2216" s="128"/>
      <c r="BE2216" s="128"/>
      <c r="BF2216" s="128"/>
      <c r="BG2216" s="128"/>
      <c r="BH2216" s="128"/>
      <c r="BI2216" s="128"/>
      <c r="BJ2216" s="128"/>
      <c r="BK2216" s="128"/>
      <c r="BL2216" s="128"/>
      <c r="BM2216" s="151"/>
      <c r="BN2216" s="128"/>
      <c r="BO2216" s="128"/>
      <c r="BP2216" s="128"/>
      <c r="BQ2216" s="128"/>
      <c r="BR2216" s="128"/>
      <c r="BS2216" s="128"/>
      <c r="BT2216" s="128"/>
      <c r="BU2216" s="128"/>
      <c r="BV2216" s="128"/>
      <c r="BW2216" s="128"/>
      <c r="BX2216" s="128"/>
      <c r="BY2216" s="128"/>
      <c r="BZ2216" s="128"/>
      <c r="CA2216" s="128"/>
      <c r="CB2216" s="128"/>
      <c r="CC2216" s="128"/>
      <c r="CD2216" s="128"/>
      <c r="CE2216" s="128"/>
      <c r="CF2216" s="128"/>
      <c r="CG2216" s="128"/>
      <c r="CI2216" s="128"/>
      <c r="CJ2216" s="128"/>
      <c r="CK2216" s="128"/>
      <c r="CL2216" s="128"/>
      <c r="CM2216" s="128"/>
      <c r="CN2216" s="128"/>
      <c r="CO2216" s="128"/>
      <c r="CP2216" s="128"/>
      <c r="CQ2216" s="128"/>
      <c r="CR2216" s="128"/>
      <c r="CS2216" s="128"/>
      <c r="CT2216" s="128"/>
      <c r="CU2216" s="128"/>
      <c r="CV2216" s="128"/>
      <c r="CW2216" s="128"/>
      <c r="CX2216" s="128"/>
      <c r="CY2216" s="128"/>
      <c r="CZ2216" s="165"/>
    </row>
    <row r="2217" spans="1:104">
      <c r="A2217" s="149"/>
      <c r="B2217" s="149"/>
      <c r="C2217" s="150"/>
      <c r="D2217" s="102"/>
      <c r="E2217" s="149"/>
      <c r="F2217" s="149"/>
      <c r="G2217" s="149"/>
      <c r="H2217" s="149"/>
      <c r="I2217" s="149"/>
      <c r="J2217" s="149"/>
      <c r="K2217" s="149"/>
      <c r="L2217" s="149"/>
      <c r="M2217" s="149"/>
      <c r="N2217" s="149"/>
      <c r="O2217" s="149"/>
      <c r="P2217" s="149"/>
      <c r="Q2217" s="149"/>
      <c r="R2217" s="149"/>
      <c r="S2217" s="149"/>
      <c r="T2217" s="149"/>
      <c r="U2217" s="149"/>
      <c r="V2217" s="149"/>
      <c r="W2217" s="149"/>
      <c r="X2217" s="149"/>
      <c r="Y2217" s="149"/>
      <c r="Z2217" s="149"/>
      <c r="AA2217" s="149"/>
      <c r="AB2217" s="149"/>
      <c r="AC2217" s="149"/>
      <c r="AD2217" s="149"/>
      <c r="AE2217" s="149"/>
      <c r="AF2217" s="149"/>
      <c r="AG2217" s="149"/>
      <c r="AH2217" s="149"/>
      <c r="AI2217" s="149"/>
      <c r="AJ2217" s="149"/>
      <c r="AK2217" s="149"/>
      <c r="AL2217" s="149"/>
      <c r="AM2217" s="149"/>
      <c r="AN2217" s="149"/>
      <c r="AO2217" s="128"/>
      <c r="AP2217" s="128"/>
      <c r="AQ2217" s="128"/>
      <c r="AR2217" s="128"/>
      <c r="AS2217" s="128"/>
      <c r="AT2217" s="128"/>
      <c r="AU2217" s="128"/>
      <c r="AV2217" s="128"/>
      <c r="AW2217" s="128"/>
      <c r="AX2217" s="128"/>
      <c r="AY2217" s="128"/>
      <c r="AZ2217" s="128"/>
      <c r="BA2217" s="128"/>
      <c r="BB2217" s="128"/>
      <c r="BC2217" s="128"/>
      <c r="BD2217" s="128"/>
      <c r="BE2217" s="128"/>
      <c r="BF2217" s="128"/>
      <c r="BG2217" s="128"/>
      <c r="BH2217" s="128"/>
      <c r="BI2217" s="128"/>
      <c r="BJ2217" s="128"/>
      <c r="BK2217" s="128"/>
      <c r="BL2217" s="128"/>
      <c r="BM2217" s="151"/>
      <c r="BN2217" s="128"/>
      <c r="BO2217" s="128"/>
      <c r="BP2217" s="128"/>
      <c r="BQ2217" s="128"/>
      <c r="BR2217" s="128"/>
      <c r="BS2217" s="128"/>
      <c r="BT2217" s="128"/>
      <c r="BU2217" s="128"/>
      <c r="BV2217" s="128"/>
      <c r="BW2217" s="128"/>
      <c r="BX2217" s="128"/>
      <c r="BY2217" s="128"/>
      <c r="BZ2217" s="128"/>
      <c r="CA2217" s="128"/>
      <c r="CB2217" s="128"/>
      <c r="CC2217" s="128"/>
      <c r="CD2217" s="128"/>
      <c r="CE2217" s="128"/>
      <c r="CF2217" s="128"/>
      <c r="CG2217" s="128"/>
      <c r="CI2217" s="128"/>
      <c r="CJ2217" s="128"/>
      <c r="CK2217" s="128"/>
      <c r="CL2217" s="128"/>
      <c r="CM2217" s="128"/>
      <c r="CN2217" s="128"/>
      <c r="CO2217" s="128"/>
      <c r="CP2217" s="128"/>
      <c r="CQ2217" s="128"/>
      <c r="CR2217" s="128"/>
      <c r="CS2217" s="128"/>
      <c r="CT2217" s="128"/>
      <c r="CU2217" s="128"/>
      <c r="CV2217" s="128"/>
      <c r="CW2217" s="128"/>
      <c r="CX2217" s="128"/>
      <c r="CY2217" s="128"/>
      <c r="CZ2217" s="165"/>
    </row>
    <row r="2218" spans="1:104">
      <c r="A2218" s="149"/>
      <c r="B2218" s="149"/>
      <c r="C2218" s="150"/>
      <c r="D2218" s="102"/>
      <c r="E2218" s="149"/>
      <c r="F2218" s="149"/>
      <c r="G2218" s="149"/>
      <c r="H2218" s="149"/>
      <c r="I2218" s="149"/>
      <c r="J2218" s="149"/>
      <c r="K2218" s="149"/>
      <c r="L2218" s="149"/>
      <c r="M2218" s="149"/>
      <c r="N2218" s="149"/>
      <c r="O2218" s="149"/>
      <c r="P2218" s="149"/>
      <c r="Q2218" s="149"/>
      <c r="R2218" s="149"/>
      <c r="S2218" s="149"/>
      <c r="T2218" s="149"/>
      <c r="U2218" s="149"/>
      <c r="V2218" s="149"/>
      <c r="W2218" s="149"/>
      <c r="X2218" s="149"/>
      <c r="Y2218" s="149"/>
      <c r="Z2218" s="149"/>
      <c r="AA2218" s="149"/>
      <c r="AB2218" s="149"/>
      <c r="AC2218" s="149"/>
      <c r="AD2218" s="149"/>
      <c r="AE2218" s="149"/>
      <c r="AF2218" s="149"/>
      <c r="AG2218" s="149"/>
      <c r="AH2218" s="149"/>
      <c r="AI2218" s="149"/>
      <c r="AJ2218" s="149"/>
      <c r="AK2218" s="149"/>
      <c r="AL2218" s="149"/>
      <c r="AM2218" s="149"/>
      <c r="AN2218" s="149"/>
      <c r="AO2218" s="128"/>
      <c r="AP2218" s="128"/>
      <c r="AQ2218" s="128"/>
      <c r="AR2218" s="128"/>
      <c r="AS2218" s="128"/>
      <c r="AT2218" s="128"/>
      <c r="AU2218" s="128"/>
      <c r="AV2218" s="128"/>
      <c r="AW2218" s="128"/>
      <c r="AX2218" s="128"/>
      <c r="AY2218" s="128"/>
      <c r="AZ2218" s="128"/>
      <c r="BA2218" s="128"/>
      <c r="BB2218" s="128"/>
      <c r="BC2218" s="128"/>
      <c r="BD2218" s="128"/>
      <c r="BE2218" s="128"/>
      <c r="BF2218" s="128"/>
      <c r="BG2218" s="128"/>
      <c r="BH2218" s="128"/>
      <c r="BI2218" s="128"/>
      <c r="BJ2218" s="128"/>
      <c r="BK2218" s="128"/>
      <c r="BL2218" s="128"/>
      <c r="BM2218" s="151"/>
      <c r="BN2218" s="128"/>
      <c r="BO2218" s="128"/>
      <c r="BP2218" s="128"/>
      <c r="BQ2218" s="128"/>
      <c r="BR2218" s="128"/>
      <c r="BS2218" s="128"/>
      <c r="BT2218" s="128"/>
      <c r="BU2218" s="128"/>
      <c r="BV2218" s="128"/>
      <c r="BW2218" s="128"/>
      <c r="BX2218" s="128"/>
      <c r="BY2218" s="128"/>
      <c r="BZ2218" s="128"/>
      <c r="CA2218" s="128"/>
      <c r="CB2218" s="128"/>
      <c r="CC2218" s="128"/>
      <c r="CD2218" s="128"/>
      <c r="CE2218" s="128"/>
      <c r="CF2218" s="128"/>
      <c r="CG2218" s="128"/>
      <c r="CI2218" s="128"/>
      <c r="CJ2218" s="128"/>
      <c r="CK2218" s="128"/>
      <c r="CL2218" s="128"/>
      <c r="CM2218" s="128"/>
      <c r="CN2218" s="128"/>
      <c r="CO2218" s="128"/>
      <c r="CP2218" s="128"/>
      <c r="CQ2218" s="128"/>
      <c r="CR2218" s="128"/>
      <c r="CS2218" s="128"/>
      <c r="CT2218" s="128"/>
      <c r="CU2218" s="128"/>
      <c r="CV2218" s="128"/>
      <c r="CW2218" s="128"/>
      <c r="CX2218" s="128"/>
      <c r="CY2218" s="128"/>
      <c r="CZ2218" s="165"/>
    </row>
    <row r="2219" spans="1:104">
      <c r="A2219" s="149"/>
      <c r="B2219" s="149"/>
      <c r="C2219" s="150"/>
      <c r="D2219" s="102"/>
      <c r="E2219" s="149"/>
      <c r="F2219" s="149"/>
      <c r="G2219" s="149"/>
      <c r="H2219" s="149"/>
      <c r="I2219" s="149"/>
      <c r="J2219" s="149"/>
      <c r="K2219" s="149"/>
      <c r="L2219" s="149"/>
      <c r="M2219" s="149"/>
      <c r="N2219" s="149"/>
      <c r="O2219" s="149"/>
      <c r="P2219" s="149"/>
      <c r="Q2219" s="149"/>
      <c r="R2219" s="149"/>
      <c r="S2219" s="149"/>
      <c r="T2219" s="149"/>
      <c r="U2219" s="149"/>
      <c r="V2219" s="149"/>
      <c r="W2219" s="149"/>
      <c r="X2219" s="149"/>
      <c r="Y2219" s="149"/>
      <c r="Z2219" s="149"/>
      <c r="AA2219" s="149"/>
      <c r="AB2219" s="149"/>
      <c r="AC2219" s="149"/>
      <c r="AD2219" s="149"/>
      <c r="AE2219" s="149"/>
      <c r="AF2219" s="149"/>
      <c r="AG2219" s="149"/>
      <c r="AH2219" s="149"/>
      <c r="AI2219" s="149"/>
      <c r="AJ2219" s="149"/>
      <c r="AK2219" s="149"/>
      <c r="AL2219" s="149"/>
      <c r="AM2219" s="149"/>
      <c r="AN2219" s="149"/>
      <c r="AO2219" s="128"/>
      <c r="AP2219" s="128"/>
      <c r="AQ2219" s="128"/>
      <c r="AR2219" s="128"/>
      <c r="AS2219" s="128"/>
      <c r="AT2219" s="128"/>
      <c r="AU2219" s="128"/>
      <c r="AV2219" s="128"/>
      <c r="AW2219" s="128"/>
      <c r="AX2219" s="128"/>
      <c r="AY2219" s="128"/>
      <c r="AZ2219" s="128"/>
      <c r="BA2219" s="128"/>
      <c r="BB2219" s="128"/>
      <c r="BC2219" s="128"/>
      <c r="BD2219" s="128"/>
      <c r="BE2219" s="128"/>
      <c r="BF2219" s="128"/>
      <c r="BG2219" s="128"/>
      <c r="BH2219" s="128"/>
      <c r="BI2219" s="128"/>
      <c r="BJ2219" s="128"/>
      <c r="BK2219" s="128"/>
      <c r="BL2219" s="128"/>
      <c r="BM2219" s="151"/>
      <c r="BN2219" s="128"/>
      <c r="BO2219" s="128"/>
      <c r="BP2219" s="128"/>
      <c r="BQ2219" s="128"/>
      <c r="BR2219" s="128"/>
      <c r="BS2219" s="128"/>
      <c r="BT2219" s="128"/>
      <c r="BU2219" s="128"/>
      <c r="BV2219" s="128"/>
      <c r="BW2219" s="128"/>
      <c r="BX2219" s="128"/>
      <c r="BY2219" s="128"/>
      <c r="BZ2219" s="128"/>
      <c r="CA2219" s="128"/>
      <c r="CB2219" s="128"/>
      <c r="CC2219" s="128"/>
      <c r="CD2219" s="128"/>
      <c r="CE2219" s="128"/>
      <c r="CF2219" s="128"/>
      <c r="CG2219" s="128"/>
      <c r="CI2219" s="128"/>
      <c r="CJ2219" s="128"/>
      <c r="CK2219" s="128"/>
      <c r="CL2219" s="128"/>
      <c r="CM2219" s="128"/>
      <c r="CN2219" s="128"/>
      <c r="CO2219" s="128"/>
      <c r="CP2219" s="128"/>
      <c r="CQ2219" s="128"/>
      <c r="CR2219" s="128"/>
      <c r="CS2219" s="128"/>
      <c r="CT2219" s="128"/>
      <c r="CU2219" s="128"/>
      <c r="CV2219" s="128"/>
      <c r="CW2219" s="128"/>
      <c r="CX2219" s="128"/>
      <c r="CY2219" s="128"/>
      <c r="CZ2219" s="165"/>
    </row>
    <row r="2220" spans="1:104">
      <c r="A2220" s="149"/>
      <c r="B2220" s="149"/>
      <c r="C2220" s="150"/>
      <c r="D2220" s="102"/>
      <c r="E2220" s="149"/>
      <c r="F2220" s="149"/>
      <c r="G2220" s="149"/>
      <c r="H2220" s="149"/>
      <c r="I2220" s="149"/>
      <c r="J2220" s="149"/>
      <c r="K2220" s="149"/>
      <c r="L2220" s="149"/>
      <c r="M2220" s="149"/>
      <c r="N2220" s="149"/>
      <c r="O2220" s="149"/>
      <c r="P2220" s="149"/>
      <c r="Q2220" s="149"/>
      <c r="R2220" s="149"/>
      <c r="S2220" s="149"/>
      <c r="T2220" s="149"/>
      <c r="U2220" s="149"/>
      <c r="V2220" s="149"/>
      <c r="W2220" s="149"/>
      <c r="X2220" s="149"/>
      <c r="Y2220" s="149"/>
      <c r="Z2220" s="149"/>
      <c r="AA2220" s="149"/>
      <c r="AB2220" s="149"/>
      <c r="AC2220" s="149"/>
      <c r="AD2220" s="149"/>
      <c r="AE2220" s="149"/>
      <c r="AF2220" s="149"/>
      <c r="AG2220" s="149"/>
      <c r="AH2220" s="149"/>
      <c r="AI2220" s="149"/>
      <c r="AJ2220" s="149"/>
      <c r="AK2220" s="149"/>
      <c r="AL2220" s="149"/>
      <c r="AM2220" s="149"/>
      <c r="AN2220" s="149"/>
      <c r="AO2220" s="128"/>
      <c r="AP2220" s="128"/>
      <c r="AQ2220" s="128"/>
      <c r="AR2220" s="128"/>
      <c r="AS2220" s="128"/>
      <c r="AT2220" s="128"/>
      <c r="AU2220" s="128"/>
      <c r="AV2220" s="128"/>
      <c r="AW2220" s="128"/>
      <c r="AX2220" s="128"/>
      <c r="AY2220" s="128"/>
      <c r="AZ2220" s="128"/>
      <c r="BA2220" s="128"/>
      <c r="BB2220" s="128"/>
      <c r="BC2220" s="128"/>
      <c r="BD2220" s="128"/>
      <c r="BE2220" s="128"/>
      <c r="BF2220" s="128"/>
      <c r="BG2220" s="128"/>
      <c r="BH2220" s="128"/>
      <c r="BI2220" s="128"/>
      <c r="BJ2220" s="128"/>
      <c r="BK2220" s="128"/>
      <c r="BL2220" s="128"/>
      <c r="BM2220" s="151"/>
      <c r="BN2220" s="128"/>
      <c r="BO2220" s="128"/>
      <c r="BP2220" s="128"/>
      <c r="BQ2220" s="128"/>
      <c r="BR2220" s="128"/>
      <c r="BS2220" s="128"/>
      <c r="BT2220" s="128"/>
      <c r="BU2220" s="128"/>
      <c r="BV2220" s="128"/>
      <c r="BW2220" s="128"/>
      <c r="BX2220" s="128"/>
      <c r="BY2220" s="128"/>
      <c r="BZ2220" s="128"/>
      <c r="CA2220" s="128"/>
      <c r="CB2220" s="128"/>
      <c r="CC2220" s="128"/>
      <c r="CD2220" s="128"/>
      <c r="CE2220" s="128"/>
      <c r="CF2220" s="128"/>
      <c r="CG2220" s="128"/>
      <c r="CI2220" s="128"/>
      <c r="CJ2220" s="128"/>
      <c r="CK2220" s="128"/>
      <c r="CL2220" s="128"/>
      <c r="CM2220" s="128"/>
      <c r="CN2220" s="128"/>
      <c r="CO2220" s="128"/>
      <c r="CP2220" s="128"/>
      <c r="CQ2220" s="128"/>
      <c r="CR2220" s="128"/>
      <c r="CS2220" s="128"/>
      <c r="CT2220" s="128"/>
      <c r="CU2220" s="128"/>
      <c r="CV2220" s="128"/>
      <c r="CW2220" s="128"/>
      <c r="CX2220" s="128"/>
      <c r="CY2220" s="128"/>
      <c r="CZ2220" s="165"/>
    </row>
    <row r="2221" spans="1:104">
      <c r="A2221" s="149"/>
      <c r="B2221" s="149"/>
      <c r="C2221" s="150"/>
      <c r="D2221" s="102"/>
      <c r="E2221" s="149"/>
      <c r="F2221" s="149"/>
      <c r="G2221" s="149"/>
      <c r="H2221" s="149"/>
      <c r="I2221" s="149"/>
      <c r="J2221" s="149"/>
      <c r="K2221" s="149"/>
      <c r="L2221" s="149"/>
      <c r="M2221" s="149"/>
      <c r="N2221" s="149"/>
      <c r="O2221" s="149"/>
      <c r="P2221" s="149"/>
      <c r="Q2221" s="149"/>
      <c r="R2221" s="149"/>
      <c r="S2221" s="149"/>
      <c r="T2221" s="149"/>
      <c r="U2221" s="149"/>
      <c r="V2221" s="149"/>
      <c r="W2221" s="149"/>
      <c r="X2221" s="149"/>
      <c r="Y2221" s="149"/>
      <c r="Z2221" s="149"/>
      <c r="AA2221" s="149"/>
      <c r="AB2221" s="149"/>
      <c r="AC2221" s="149"/>
      <c r="AD2221" s="149"/>
      <c r="AE2221" s="149"/>
      <c r="AF2221" s="149"/>
      <c r="AG2221" s="149"/>
      <c r="AH2221" s="149"/>
      <c r="AI2221" s="149"/>
      <c r="AJ2221" s="149"/>
      <c r="AK2221" s="149"/>
      <c r="AL2221" s="149"/>
      <c r="AM2221" s="149"/>
      <c r="AN2221" s="149"/>
      <c r="AO2221" s="128"/>
      <c r="AP2221" s="128"/>
      <c r="AQ2221" s="128"/>
      <c r="AR2221" s="128"/>
      <c r="AS2221" s="128"/>
      <c r="AT2221" s="128"/>
      <c r="AU2221" s="128"/>
      <c r="AV2221" s="128"/>
      <c r="AW2221" s="128"/>
      <c r="AX2221" s="128"/>
      <c r="AY2221" s="128"/>
      <c r="AZ2221" s="128"/>
      <c r="BA2221" s="128"/>
      <c r="BB2221" s="128"/>
      <c r="BC2221" s="128"/>
      <c r="BD2221" s="128"/>
      <c r="BE2221" s="128"/>
      <c r="BF2221" s="128"/>
      <c r="BG2221" s="128"/>
      <c r="BH2221" s="128"/>
      <c r="BI2221" s="128"/>
      <c r="BJ2221" s="128"/>
      <c r="BK2221" s="128"/>
      <c r="BL2221" s="128"/>
      <c r="BM2221" s="151"/>
      <c r="BN2221" s="128"/>
      <c r="BO2221" s="128"/>
      <c r="BP2221" s="128"/>
      <c r="BQ2221" s="128"/>
      <c r="BR2221" s="128"/>
      <c r="BS2221" s="128"/>
      <c r="BT2221" s="128"/>
      <c r="BU2221" s="128"/>
      <c r="BV2221" s="128"/>
      <c r="BW2221" s="128"/>
      <c r="BX2221" s="128"/>
      <c r="BY2221" s="128"/>
      <c r="BZ2221" s="128"/>
      <c r="CA2221" s="128"/>
      <c r="CB2221" s="128"/>
      <c r="CC2221" s="128"/>
      <c r="CD2221" s="128"/>
      <c r="CE2221" s="128"/>
      <c r="CF2221" s="128"/>
      <c r="CG2221" s="128"/>
      <c r="CI2221" s="128"/>
      <c r="CJ2221" s="128"/>
      <c r="CK2221" s="128"/>
      <c r="CL2221" s="128"/>
      <c r="CM2221" s="128"/>
      <c r="CN2221" s="128"/>
      <c r="CO2221" s="128"/>
      <c r="CP2221" s="128"/>
      <c r="CQ2221" s="128"/>
      <c r="CR2221" s="128"/>
      <c r="CS2221" s="128"/>
      <c r="CT2221" s="128"/>
      <c r="CU2221" s="128"/>
      <c r="CV2221" s="128"/>
      <c r="CW2221" s="128"/>
      <c r="CX2221" s="128"/>
      <c r="CY2221" s="128"/>
      <c r="CZ2221" s="165"/>
    </row>
    <row r="2222" spans="1:104">
      <c r="A2222" s="149"/>
      <c r="B2222" s="149"/>
      <c r="C2222" s="150"/>
      <c r="D2222" s="102"/>
      <c r="E2222" s="149"/>
      <c r="F2222" s="149"/>
      <c r="G2222" s="149"/>
      <c r="H2222" s="149"/>
      <c r="I2222" s="149"/>
      <c r="J2222" s="149"/>
      <c r="K2222" s="149"/>
      <c r="L2222" s="149"/>
      <c r="M2222" s="149"/>
      <c r="N2222" s="149"/>
      <c r="O2222" s="149"/>
      <c r="P2222" s="149"/>
      <c r="Q2222" s="149"/>
      <c r="R2222" s="149"/>
      <c r="S2222" s="149"/>
      <c r="T2222" s="149"/>
      <c r="U2222" s="149"/>
      <c r="V2222" s="149"/>
      <c r="W2222" s="149"/>
      <c r="X2222" s="149"/>
      <c r="Y2222" s="149"/>
      <c r="Z2222" s="149"/>
      <c r="AA2222" s="149"/>
      <c r="AB2222" s="149"/>
      <c r="AC2222" s="149"/>
      <c r="AD2222" s="149"/>
      <c r="AE2222" s="149"/>
      <c r="AF2222" s="149"/>
      <c r="AG2222" s="149"/>
      <c r="AH2222" s="149"/>
      <c r="AI2222" s="149"/>
      <c r="AJ2222" s="149"/>
      <c r="AK2222" s="149"/>
      <c r="AL2222" s="149"/>
      <c r="AM2222" s="149"/>
      <c r="AN2222" s="149"/>
      <c r="AO2222" s="128"/>
      <c r="AP2222" s="128"/>
      <c r="AQ2222" s="128"/>
      <c r="AR2222" s="128"/>
      <c r="AS2222" s="128"/>
      <c r="AT2222" s="128"/>
      <c r="AU2222" s="128"/>
      <c r="AV2222" s="128"/>
      <c r="AW2222" s="128"/>
      <c r="AX2222" s="128"/>
      <c r="AY2222" s="128"/>
      <c r="AZ2222" s="128"/>
      <c r="BA2222" s="128"/>
      <c r="BB2222" s="128"/>
      <c r="BC2222" s="128"/>
      <c r="BD2222" s="128"/>
      <c r="BE2222" s="128"/>
      <c r="BF2222" s="128"/>
      <c r="BG2222" s="128"/>
      <c r="BH2222" s="128"/>
      <c r="BI2222" s="128"/>
      <c r="BJ2222" s="128"/>
      <c r="BK2222" s="128"/>
      <c r="BL2222" s="128"/>
      <c r="BM2222" s="151"/>
      <c r="BN2222" s="128"/>
      <c r="BO2222" s="128"/>
      <c r="BP2222" s="128"/>
      <c r="BQ2222" s="128"/>
      <c r="BR2222" s="128"/>
      <c r="BS2222" s="128"/>
      <c r="BT2222" s="128"/>
      <c r="BU2222" s="128"/>
      <c r="BV2222" s="128"/>
      <c r="BW2222" s="128"/>
      <c r="BX2222" s="128"/>
      <c r="BY2222" s="128"/>
      <c r="BZ2222" s="128"/>
      <c r="CA2222" s="128"/>
      <c r="CB2222" s="128"/>
      <c r="CC2222" s="128"/>
      <c r="CD2222" s="128"/>
      <c r="CE2222" s="128"/>
      <c r="CF2222" s="128"/>
      <c r="CG2222" s="128"/>
      <c r="CI2222" s="128"/>
      <c r="CJ2222" s="128"/>
      <c r="CK2222" s="128"/>
      <c r="CL2222" s="128"/>
      <c r="CM2222" s="128"/>
      <c r="CN2222" s="128"/>
      <c r="CO2222" s="128"/>
      <c r="CP2222" s="128"/>
      <c r="CQ2222" s="128"/>
      <c r="CR2222" s="128"/>
      <c r="CS2222" s="128"/>
      <c r="CT2222" s="128"/>
      <c r="CU2222" s="128"/>
      <c r="CV2222" s="128"/>
      <c r="CW2222" s="128"/>
      <c r="CX2222" s="128"/>
      <c r="CY2222" s="128"/>
      <c r="CZ2222" s="165"/>
    </row>
    <row r="2223" spans="1:104">
      <c r="A2223" s="149"/>
      <c r="B2223" s="149"/>
      <c r="C2223" s="150"/>
      <c r="D2223" s="102"/>
      <c r="E2223" s="149"/>
      <c r="F2223" s="149"/>
      <c r="G2223" s="149"/>
      <c r="H2223" s="149"/>
      <c r="I2223" s="149"/>
      <c r="J2223" s="149"/>
      <c r="K2223" s="149"/>
      <c r="L2223" s="149"/>
      <c r="M2223" s="149"/>
      <c r="N2223" s="149"/>
      <c r="O2223" s="149"/>
      <c r="P2223" s="149"/>
      <c r="Q2223" s="149"/>
      <c r="R2223" s="149"/>
      <c r="S2223" s="149"/>
      <c r="T2223" s="149"/>
      <c r="U2223" s="149"/>
      <c r="V2223" s="149"/>
      <c r="W2223" s="149"/>
      <c r="X2223" s="149"/>
      <c r="Y2223" s="149"/>
      <c r="Z2223" s="149"/>
      <c r="AA2223" s="149"/>
      <c r="AB2223" s="149"/>
      <c r="AC2223" s="149"/>
      <c r="AD2223" s="149"/>
      <c r="AE2223" s="149"/>
      <c r="AF2223" s="149"/>
      <c r="AG2223" s="149"/>
      <c r="AH2223" s="149"/>
      <c r="AI2223" s="149"/>
      <c r="AJ2223" s="149"/>
      <c r="AK2223" s="149"/>
      <c r="AL2223" s="149"/>
      <c r="AM2223" s="149"/>
      <c r="AN2223" s="149"/>
      <c r="AO2223" s="128"/>
      <c r="AP2223" s="128"/>
      <c r="AQ2223" s="128"/>
      <c r="AR2223" s="128"/>
      <c r="AS2223" s="128"/>
      <c r="AT2223" s="128"/>
      <c r="AU2223" s="128"/>
      <c r="AV2223" s="128"/>
      <c r="AW2223" s="128"/>
      <c r="AX2223" s="128"/>
      <c r="AY2223" s="128"/>
      <c r="AZ2223" s="128"/>
      <c r="BA2223" s="128"/>
      <c r="BB2223" s="128"/>
      <c r="BC2223" s="128"/>
      <c r="BD2223" s="128"/>
      <c r="BE2223" s="128"/>
      <c r="BF2223" s="128"/>
      <c r="BG2223" s="128"/>
      <c r="BH2223" s="128"/>
      <c r="BI2223" s="128"/>
      <c r="BJ2223" s="128"/>
      <c r="BK2223" s="128"/>
      <c r="BL2223" s="128"/>
      <c r="BM2223" s="151"/>
      <c r="BN2223" s="128"/>
      <c r="BO2223" s="128"/>
      <c r="BP2223" s="128"/>
      <c r="BQ2223" s="128"/>
      <c r="BR2223" s="128"/>
      <c r="BS2223" s="128"/>
      <c r="BT2223" s="128"/>
      <c r="BU2223" s="128"/>
      <c r="BV2223" s="128"/>
      <c r="BW2223" s="128"/>
      <c r="BX2223" s="128"/>
      <c r="BY2223" s="128"/>
      <c r="BZ2223" s="128"/>
      <c r="CA2223" s="128"/>
      <c r="CB2223" s="128"/>
      <c r="CC2223" s="128"/>
      <c r="CD2223" s="128"/>
      <c r="CE2223" s="128"/>
      <c r="CF2223" s="128"/>
      <c r="CG2223" s="128"/>
      <c r="CI2223" s="128"/>
      <c r="CJ2223" s="128"/>
      <c r="CK2223" s="128"/>
      <c r="CL2223" s="128"/>
      <c r="CM2223" s="128"/>
      <c r="CN2223" s="128"/>
      <c r="CO2223" s="128"/>
      <c r="CP2223" s="128"/>
      <c r="CQ2223" s="128"/>
      <c r="CR2223" s="128"/>
      <c r="CS2223" s="128"/>
      <c r="CT2223" s="128"/>
      <c r="CU2223" s="128"/>
      <c r="CV2223" s="128"/>
      <c r="CW2223" s="128"/>
      <c r="CX2223" s="128"/>
      <c r="CY2223" s="128"/>
      <c r="CZ2223" s="165"/>
    </row>
    <row r="2224" spans="1:104">
      <c r="A2224" s="149"/>
      <c r="B2224" s="149"/>
      <c r="C2224" s="150"/>
      <c r="D2224" s="102"/>
      <c r="E2224" s="149"/>
      <c r="F2224" s="149"/>
      <c r="G2224" s="149"/>
      <c r="H2224" s="149"/>
      <c r="I2224" s="149"/>
      <c r="J2224" s="149"/>
      <c r="K2224" s="149"/>
      <c r="L2224" s="149"/>
      <c r="M2224" s="149"/>
      <c r="N2224" s="149"/>
      <c r="O2224" s="149"/>
      <c r="P2224" s="149"/>
      <c r="Q2224" s="149"/>
      <c r="R2224" s="149"/>
      <c r="S2224" s="149"/>
      <c r="T2224" s="149"/>
      <c r="U2224" s="149"/>
      <c r="V2224" s="149"/>
      <c r="W2224" s="149"/>
      <c r="X2224" s="149"/>
      <c r="Y2224" s="149"/>
      <c r="Z2224" s="149"/>
      <c r="AA2224" s="149"/>
      <c r="AB2224" s="149"/>
      <c r="AC2224" s="149"/>
      <c r="AD2224" s="149"/>
      <c r="AE2224" s="149"/>
      <c r="AF2224" s="149"/>
      <c r="AG2224" s="149"/>
      <c r="AH2224" s="149"/>
      <c r="AI2224" s="149"/>
      <c r="AJ2224" s="149"/>
      <c r="AK2224" s="149"/>
      <c r="AL2224" s="149"/>
      <c r="AM2224" s="149"/>
      <c r="AN2224" s="149"/>
      <c r="AO2224" s="128"/>
      <c r="AP2224" s="128"/>
      <c r="AQ2224" s="128"/>
      <c r="AR2224" s="128"/>
      <c r="AS2224" s="128"/>
      <c r="AT2224" s="128"/>
      <c r="AU2224" s="128"/>
      <c r="AV2224" s="128"/>
      <c r="AW2224" s="128"/>
      <c r="AX2224" s="128"/>
      <c r="AY2224" s="128"/>
      <c r="AZ2224" s="128"/>
      <c r="BA2224" s="128"/>
      <c r="BB2224" s="128"/>
      <c r="BC2224" s="128"/>
      <c r="BD2224" s="128"/>
      <c r="BE2224" s="128"/>
      <c r="BF2224" s="128"/>
      <c r="BG2224" s="128"/>
      <c r="BH2224" s="128"/>
      <c r="BI2224" s="128"/>
      <c r="BJ2224" s="128"/>
      <c r="BK2224" s="128"/>
      <c r="BL2224" s="128"/>
      <c r="BM2224" s="151"/>
      <c r="BN2224" s="128"/>
      <c r="BO2224" s="128"/>
      <c r="BP2224" s="128"/>
      <c r="BQ2224" s="128"/>
      <c r="BR2224" s="128"/>
      <c r="BS2224" s="128"/>
      <c r="BT2224" s="128"/>
      <c r="BU2224" s="128"/>
      <c r="BV2224" s="128"/>
      <c r="BW2224" s="128"/>
      <c r="BX2224" s="128"/>
      <c r="BY2224" s="128"/>
      <c r="BZ2224" s="128"/>
      <c r="CA2224" s="128"/>
      <c r="CB2224" s="128"/>
      <c r="CC2224" s="128"/>
      <c r="CD2224" s="128"/>
      <c r="CE2224" s="128"/>
      <c r="CF2224" s="128"/>
      <c r="CG2224" s="128"/>
      <c r="CI2224" s="128"/>
      <c r="CJ2224" s="128"/>
      <c r="CK2224" s="128"/>
      <c r="CL2224" s="128"/>
      <c r="CM2224" s="128"/>
      <c r="CN2224" s="128"/>
      <c r="CO2224" s="128"/>
      <c r="CP2224" s="128"/>
      <c r="CQ2224" s="128"/>
      <c r="CR2224" s="128"/>
      <c r="CS2224" s="128"/>
      <c r="CT2224" s="128"/>
      <c r="CU2224" s="128"/>
      <c r="CV2224" s="128"/>
      <c r="CW2224" s="128"/>
      <c r="CX2224" s="128"/>
      <c r="CY2224" s="128"/>
      <c r="CZ2224" s="165"/>
    </row>
    <row r="2225" spans="1:104">
      <c r="A2225" s="149"/>
      <c r="B2225" s="149"/>
      <c r="C2225" s="150"/>
      <c r="D2225" s="102"/>
      <c r="E2225" s="149"/>
      <c r="F2225" s="149"/>
      <c r="G2225" s="149"/>
      <c r="H2225" s="149"/>
      <c r="I2225" s="149"/>
      <c r="J2225" s="149"/>
      <c r="K2225" s="149"/>
      <c r="L2225" s="149"/>
      <c r="M2225" s="149"/>
      <c r="N2225" s="149"/>
      <c r="O2225" s="149"/>
      <c r="P2225" s="149"/>
      <c r="Q2225" s="149"/>
      <c r="R2225" s="149"/>
      <c r="S2225" s="149"/>
      <c r="T2225" s="149"/>
      <c r="U2225" s="149"/>
      <c r="V2225" s="149"/>
      <c r="W2225" s="149"/>
      <c r="X2225" s="149"/>
      <c r="Y2225" s="149"/>
      <c r="Z2225" s="149"/>
      <c r="AA2225" s="149"/>
      <c r="AB2225" s="149"/>
      <c r="AC2225" s="149"/>
      <c r="AD2225" s="149"/>
      <c r="AE2225" s="149"/>
      <c r="AF2225" s="149"/>
      <c r="AG2225" s="149"/>
      <c r="AH2225" s="149"/>
      <c r="AI2225" s="149"/>
      <c r="AJ2225" s="149"/>
      <c r="AK2225" s="149"/>
      <c r="AL2225" s="149"/>
      <c r="AM2225" s="149"/>
      <c r="AN2225" s="149"/>
      <c r="AO2225" s="128"/>
      <c r="AP2225" s="128"/>
      <c r="AQ2225" s="128"/>
      <c r="AR2225" s="128"/>
      <c r="AS2225" s="128"/>
      <c r="AT2225" s="128"/>
      <c r="AU2225" s="128"/>
      <c r="AV2225" s="128"/>
      <c r="AW2225" s="128"/>
      <c r="AX2225" s="128"/>
      <c r="AY2225" s="128"/>
      <c r="AZ2225" s="128"/>
      <c r="BA2225" s="128"/>
      <c r="BB2225" s="128"/>
      <c r="BC2225" s="128"/>
      <c r="BD2225" s="128"/>
      <c r="BE2225" s="128"/>
      <c r="BF2225" s="128"/>
      <c r="BG2225" s="128"/>
      <c r="BH2225" s="128"/>
      <c r="BI2225" s="128"/>
      <c r="BJ2225" s="128"/>
      <c r="BK2225" s="128"/>
      <c r="BL2225" s="128"/>
      <c r="BM2225" s="151"/>
      <c r="BN2225" s="128"/>
      <c r="BO2225" s="128"/>
      <c r="BP2225" s="128"/>
      <c r="BQ2225" s="128"/>
      <c r="BR2225" s="128"/>
      <c r="BS2225" s="128"/>
      <c r="BT2225" s="128"/>
      <c r="BU2225" s="128"/>
      <c r="BV2225" s="128"/>
      <c r="BW2225" s="128"/>
      <c r="BX2225" s="128"/>
      <c r="BY2225" s="128"/>
      <c r="BZ2225" s="128"/>
      <c r="CA2225" s="128"/>
      <c r="CB2225" s="128"/>
      <c r="CC2225" s="128"/>
      <c r="CD2225" s="128"/>
      <c r="CE2225" s="128"/>
      <c r="CF2225" s="128"/>
      <c r="CG2225" s="128"/>
      <c r="CI2225" s="128"/>
      <c r="CJ2225" s="128"/>
      <c r="CK2225" s="128"/>
      <c r="CL2225" s="128"/>
      <c r="CM2225" s="128"/>
      <c r="CN2225" s="128"/>
      <c r="CO2225" s="128"/>
      <c r="CP2225" s="128"/>
      <c r="CQ2225" s="128"/>
      <c r="CR2225" s="128"/>
      <c r="CS2225" s="128"/>
      <c r="CT2225" s="128"/>
      <c r="CU2225" s="128"/>
      <c r="CV2225" s="128"/>
      <c r="CW2225" s="128"/>
      <c r="CX2225" s="128"/>
      <c r="CY2225" s="128"/>
      <c r="CZ2225" s="165"/>
    </row>
    <row r="2226" spans="1:104">
      <c r="A2226" s="149"/>
      <c r="B2226" s="149"/>
      <c r="C2226" s="150"/>
      <c r="D2226" s="102"/>
      <c r="E2226" s="149"/>
      <c r="F2226" s="149"/>
      <c r="G2226" s="149"/>
      <c r="H2226" s="149"/>
      <c r="I2226" s="149"/>
      <c r="J2226" s="149"/>
      <c r="K2226" s="149"/>
      <c r="L2226" s="149"/>
      <c r="M2226" s="149"/>
      <c r="N2226" s="149"/>
      <c r="O2226" s="149"/>
      <c r="P2226" s="149"/>
      <c r="Q2226" s="149"/>
      <c r="R2226" s="149"/>
      <c r="S2226" s="149"/>
      <c r="T2226" s="149"/>
      <c r="U2226" s="149"/>
      <c r="V2226" s="149"/>
      <c r="W2226" s="149"/>
      <c r="X2226" s="149"/>
      <c r="Y2226" s="149"/>
      <c r="Z2226" s="149"/>
      <c r="AA2226" s="149"/>
      <c r="AB2226" s="149"/>
      <c r="AC2226" s="149"/>
      <c r="AD2226" s="149"/>
      <c r="AE2226" s="149"/>
      <c r="AF2226" s="149"/>
      <c r="AG2226" s="149"/>
      <c r="AH2226" s="149"/>
      <c r="AI2226" s="149"/>
      <c r="AJ2226" s="149"/>
      <c r="AK2226" s="149"/>
      <c r="AL2226" s="149"/>
      <c r="AM2226" s="149"/>
      <c r="AN2226" s="149"/>
      <c r="AO2226" s="128"/>
      <c r="AP2226" s="128"/>
      <c r="AQ2226" s="128"/>
      <c r="AR2226" s="128"/>
      <c r="AS2226" s="128"/>
      <c r="AT2226" s="128"/>
      <c r="AU2226" s="128"/>
      <c r="AV2226" s="128"/>
      <c r="AW2226" s="128"/>
      <c r="AX2226" s="128"/>
      <c r="AY2226" s="128"/>
      <c r="AZ2226" s="128"/>
      <c r="BA2226" s="128"/>
      <c r="BB2226" s="128"/>
      <c r="BC2226" s="128"/>
      <c r="BD2226" s="128"/>
      <c r="BE2226" s="128"/>
      <c r="BF2226" s="128"/>
      <c r="BG2226" s="128"/>
      <c r="BH2226" s="128"/>
      <c r="BI2226" s="128"/>
      <c r="BJ2226" s="128"/>
      <c r="BK2226" s="128"/>
      <c r="BL2226" s="128"/>
      <c r="BM2226" s="151"/>
      <c r="BN2226" s="128"/>
      <c r="BO2226" s="128"/>
      <c r="BP2226" s="128"/>
      <c r="BQ2226" s="128"/>
      <c r="BR2226" s="128"/>
      <c r="BS2226" s="128"/>
      <c r="BT2226" s="128"/>
      <c r="BU2226" s="128"/>
      <c r="BV2226" s="128"/>
      <c r="BW2226" s="128"/>
      <c r="BX2226" s="128"/>
      <c r="BY2226" s="128"/>
      <c r="BZ2226" s="128"/>
      <c r="CA2226" s="128"/>
      <c r="CB2226" s="128"/>
      <c r="CC2226" s="128"/>
      <c r="CD2226" s="128"/>
      <c r="CE2226" s="128"/>
      <c r="CF2226" s="128"/>
      <c r="CG2226" s="128"/>
      <c r="CI2226" s="128"/>
      <c r="CJ2226" s="128"/>
      <c r="CK2226" s="128"/>
      <c r="CL2226" s="128"/>
      <c r="CM2226" s="128"/>
      <c r="CN2226" s="128"/>
      <c r="CO2226" s="128"/>
      <c r="CP2226" s="128"/>
      <c r="CQ2226" s="128"/>
      <c r="CR2226" s="128"/>
      <c r="CS2226" s="128"/>
      <c r="CT2226" s="128"/>
      <c r="CU2226" s="128"/>
      <c r="CV2226" s="128"/>
      <c r="CW2226" s="128"/>
      <c r="CX2226" s="128"/>
      <c r="CY2226" s="128"/>
      <c r="CZ2226" s="165"/>
    </row>
    <row r="2227" spans="1:104">
      <c r="A2227" s="149"/>
      <c r="B2227" s="149"/>
      <c r="C2227" s="150"/>
      <c r="D2227" s="102"/>
      <c r="E2227" s="149"/>
      <c r="F2227" s="149"/>
      <c r="G2227" s="149"/>
      <c r="H2227" s="149"/>
      <c r="I2227" s="149"/>
      <c r="J2227" s="149"/>
      <c r="K2227" s="149"/>
      <c r="L2227" s="149"/>
      <c r="M2227" s="149"/>
      <c r="N2227" s="149"/>
      <c r="O2227" s="149"/>
      <c r="P2227" s="149"/>
      <c r="Q2227" s="149"/>
      <c r="R2227" s="149"/>
      <c r="S2227" s="149"/>
      <c r="T2227" s="149"/>
      <c r="U2227" s="149"/>
      <c r="V2227" s="149"/>
      <c r="W2227" s="149"/>
      <c r="X2227" s="149"/>
      <c r="Y2227" s="149"/>
      <c r="Z2227" s="149"/>
      <c r="AA2227" s="149"/>
      <c r="AB2227" s="149"/>
      <c r="AC2227" s="149"/>
      <c r="AD2227" s="149"/>
      <c r="AE2227" s="149"/>
      <c r="AF2227" s="149"/>
      <c r="AG2227" s="149"/>
      <c r="AH2227" s="149"/>
      <c r="AI2227" s="149"/>
      <c r="AJ2227" s="149"/>
      <c r="AK2227" s="149"/>
      <c r="AL2227" s="149"/>
      <c r="AM2227" s="149"/>
      <c r="AN2227" s="149"/>
      <c r="AO2227" s="128"/>
      <c r="AP2227" s="128"/>
      <c r="AQ2227" s="128"/>
      <c r="AR2227" s="128"/>
      <c r="AS2227" s="128"/>
      <c r="AT2227" s="128"/>
      <c r="AU2227" s="128"/>
      <c r="AV2227" s="128"/>
      <c r="AW2227" s="128"/>
      <c r="AX2227" s="128"/>
      <c r="AY2227" s="128"/>
      <c r="AZ2227" s="128"/>
      <c r="BA2227" s="128"/>
      <c r="BB2227" s="128"/>
      <c r="BC2227" s="128"/>
      <c r="BD2227" s="128"/>
      <c r="BE2227" s="128"/>
      <c r="BF2227" s="128"/>
      <c r="BG2227" s="128"/>
      <c r="BH2227" s="128"/>
      <c r="BI2227" s="128"/>
      <c r="BJ2227" s="128"/>
      <c r="BK2227" s="128"/>
      <c r="BL2227" s="128"/>
      <c r="BM2227" s="151"/>
      <c r="BN2227" s="128"/>
      <c r="BO2227" s="128"/>
      <c r="BP2227" s="128"/>
      <c r="BQ2227" s="128"/>
      <c r="BR2227" s="128"/>
      <c r="BS2227" s="128"/>
      <c r="BT2227" s="128"/>
      <c r="BU2227" s="128"/>
      <c r="BV2227" s="128"/>
      <c r="BW2227" s="128"/>
      <c r="BX2227" s="128"/>
      <c r="BY2227" s="128"/>
      <c r="BZ2227" s="128"/>
      <c r="CA2227" s="128"/>
      <c r="CB2227" s="128"/>
      <c r="CC2227" s="128"/>
      <c r="CD2227" s="128"/>
      <c r="CE2227" s="128"/>
      <c r="CF2227" s="128"/>
      <c r="CG2227" s="128"/>
      <c r="CI2227" s="128"/>
      <c r="CJ2227" s="128"/>
      <c r="CK2227" s="128"/>
      <c r="CL2227" s="128"/>
      <c r="CM2227" s="128"/>
      <c r="CN2227" s="128"/>
      <c r="CO2227" s="128"/>
      <c r="CP2227" s="128"/>
      <c r="CQ2227" s="128"/>
      <c r="CR2227" s="128"/>
      <c r="CS2227" s="128"/>
      <c r="CT2227" s="128"/>
      <c r="CU2227" s="128"/>
      <c r="CV2227" s="128"/>
      <c r="CW2227" s="128"/>
      <c r="CX2227" s="128"/>
      <c r="CY2227" s="128"/>
      <c r="CZ2227" s="165"/>
    </row>
    <row r="2228" spans="1:104">
      <c r="A2228" s="149"/>
      <c r="B2228" s="149"/>
      <c r="C2228" s="150"/>
      <c r="D2228" s="102"/>
      <c r="E2228" s="149"/>
      <c r="F2228" s="149"/>
      <c r="G2228" s="149"/>
      <c r="H2228" s="149"/>
      <c r="I2228" s="149"/>
      <c r="J2228" s="149"/>
      <c r="K2228" s="149"/>
      <c r="L2228" s="149"/>
      <c r="M2228" s="149"/>
      <c r="N2228" s="149"/>
      <c r="O2228" s="149"/>
      <c r="P2228" s="149"/>
      <c r="Q2228" s="149"/>
      <c r="R2228" s="149"/>
      <c r="S2228" s="149"/>
      <c r="T2228" s="149"/>
      <c r="U2228" s="149"/>
      <c r="V2228" s="149"/>
      <c r="W2228" s="149"/>
      <c r="X2228" s="149"/>
      <c r="Y2228" s="149"/>
      <c r="Z2228" s="149"/>
      <c r="AA2228" s="149"/>
      <c r="AB2228" s="149"/>
      <c r="AC2228" s="149"/>
      <c r="AD2228" s="149"/>
      <c r="AE2228" s="149"/>
      <c r="AF2228" s="149"/>
      <c r="AG2228" s="149"/>
      <c r="AH2228" s="149"/>
      <c r="AI2228" s="149"/>
      <c r="AJ2228" s="149"/>
      <c r="AK2228" s="149"/>
      <c r="AL2228" s="149"/>
      <c r="AM2228" s="149"/>
      <c r="AN2228" s="149"/>
      <c r="AO2228" s="128"/>
      <c r="AP2228" s="128"/>
      <c r="AQ2228" s="128"/>
      <c r="AR2228" s="128"/>
      <c r="AS2228" s="128"/>
      <c r="AT2228" s="128"/>
      <c r="AU2228" s="128"/>
      <c r="AV2228" s="128"/>
      <c r="AW2228" s="128"/>
      <c r="AX2228" s="128"/>
      <c r="AY2228" s="128"/>
      <c r="AZ2228" s="128"/>
      <c r="BA2228" s="128"/>
      <c r="BB2228" s="128"/>
      <c r="BC2228" s="128"/>
      <c r="BD2228" s="128"/>
      <c r="BE2228" s="128"/>
      <c r="BF2228" s="128"/>
      <c r="BG2228" s="128"/>
      <c r="BH2228" s="128"/>
      <c r="BI2228" s="128"/>
      <c r="BJ2228" s="128"/>
      <c r="BK2228" s="128"/>
      <c r="BL2228" s="128"/>
      <c r="BM2228" s="151"/>
      <c r="BN2228" s="128"/>
      <c r="BO2228" s="128"/>
      <c r="BP2228" s="128"/>
      <c r="BQ2228" s="128"/>
      <c r="BR2228" s="128"/>
      <c r="BS2228" s="128"/>
      <c r="BT2228" s="128"/>
      <c r="BU2228" s="128"/>
      <c r="BV2228" s="128"/>
      <c r="BW2228" s="128"/>
      <c r="BX2228" s="128"/>
      <c r="BY2228" s="128"/>
      <c r="BZ2228" s="128"/>
      <c r="CA2228" s="128"/>
      <c r="CB2228" s="128"/>
      <c r="CC2228" s="128"/>
      <c r="CD2228" s="128"/>
      <c r="CE2228" s="128"/>
      <c r="CF2228" s="128"/>
      <c r="CG2228" s="128"/>
      <c r="CI2228" s="128"/>
      <c r="CJ2228" s="128"/>
      <c r="CK2228" s="128"/>
      <c r="CL2228" s="128"/>
      <c r="CM2228" s="128"/>
      <c r="CN2228" s="128"/>
      <c r="CO2228" s="128"/>
      <c r="CP2228" s="128"/>
      <c r="CQ2228" s="128"/>
      <c r="CR2228" s="128"/>
      <c r="CS2228" s="128"/>
      <c r="CT2228" s="128"/>
      <c r="CU2228" s="128"/>
      <c r="CV2228" s="128"/>
      <c r="CW2228" s="128"/>
      <c r="CX2228" s="128"/>
      <c r="CY2228" s="128"/>
      <c r="CZ2228" s="165"/>
    </row>
    <row r="2229" spans="1:104">
      <c r="A2229" s="149"/>
      <c r="B2229" s="149"/>
      <c r="C2229" s="150"/>
      <c r="D2229" s="102"/>
      <c r="E2229" s="149"/>
      <c r="F2229" s="149"/>
      <c r="G2229" s="149"/>
      <c r="H2229" s="149"/>
      <c r="I2229" s="149"/>
      <c r="J2229" s="149"/>
      <c r="K2229" s="149"/>
      <c r="L2229" s="149"/>
      <c r="M2229" s="149"/>
      <c r="N2229" s="149"/>
      <c r="O2229" s="149"/>
      <c r="P2229" s="149"/>
      <c r="Q2229" s="149"/>
      <c r="R2229" s="149"/>
      <c r="S2229" s="149"/>
      <c r="T2229" s="149"/>
      <c r="U2229" s="149"/>
      <c r="V2229" s="149"/>
      <c r="W2229" s="149"/>
      <c r="X2229" s="149"/>
      <c r="Y2229" s="149"/>
      <c r="Z2229" s="149"/>
      <c r="AA2229" s="149"/>
      <c r="AB2229" s="149"/>
      <c r="AC2229" s="149"/>
      <c r="AD2229" s="149"/>
      <c r="AE2229" s="149"/>
      <c r="AF2229" s="149"/>
      <c r="AG2229" s="149"/>
      <c r="AH2229" s="149"/>
      <c r="AI2229" s="149"/>
      <c r="AJ2229" s="149"/>
      <c r="AK2229" s="149"/>
      <c r="AL2229" s="149"/>
      <c r="AM2229" s="149"/>
      <c r="AN2229" s="149"/>
      <c r="AO2229" s="128"/>
      <c r="AP2229" s="128"/>
      <c r="AQ2229" s="128"/>
      <c r="AR2229" s="128"/>
      <c r="AS2229" s="128"/>
      <c r="AT2229" s="128"/>
      <c r="AU2229" s="128"/>
      <c r="AV2229" s="128"/>
      <c r="AW2229" s="128"/>
      <c r="AX2229" s="128"/>
      <c r="AY2229" s="128"/>
      <c r="AZ2229" s="128"/>
      <c r="BA2229" s="128"/>
      <c r="BB2229" s="128"/>
      <c r="BC2229" s="128"/>
      <c r="BD2229" s="128"/>
      <c r="BE2229" s="128"/>
      <c r="BF2229" s="128"/>
      <c r="BG2229" s="128"/>
      <c r="BH2229" s="128"/>
      <c r="BI2229" s="128"/>
      <c r="BJ2229" s="128"/>
      <c r="BK2229" s="128"/>
      <c r="BL2229" s="128"/>
      <c r="BM2229" s="151"/>
      <c r="BN2229" s="128"/>
      <c r="BO2229" s="128"/>
      <c r="BP2229" s="128"/>
      <c r="BQ2229" s="128"/>
      <c r="BR2229" s="128"/>
      <c r="BS2229" s="128"/>
      <c r="BT2229" s="128"/>
      <c r="BU2229" s="128"/>
      <c r="BV2229" s="128"/>
      <c r="BW2229" s="128"/>
      <c r="BX2229" s="128"/>
      <c r="BY2229" s="128"/>
      <c r="BZ2229" s="128"/>
      <c r="CA2229" s="128"/>
      <c r="CB2229" s="128"/>
      <c r="CC2229" s="128"/>
      <c r="CD2229" s="128"/>
      <c r="CE2229" s="128"/>
      <c r="CF2229" s="128"/>
      <c r="CG2229" s="128"/>
      <c r="CI2229" s="128"/>
      <c r="CJ2229" s="128"/>
      <c r="CK2229" s="128"/>
      <c r="CL2229" s="128"/>
      <c r="CM2229" s="128"/>
      <c r="CN2229" s="128"/>
      <c r="CO2229" s="128"/>
      <c r="CP2229" s="128"/>
      <c r="CQ2229" s="128"/>
      <c r="CR2229" s="128"/>
      <c r="CS2229" s="128"/>
      <c r="CT2229" s="128"/>
      <c r="CU2229" s="128"/>
      <c r="CV2229" s="128"/>
      <c r="CW2229" s="128"/>
      <c r="CX2229" s="128"/>
      <c r="CY2229" s="128"/>
      <c r="CZ2229" s="165"/>
    </row>
    <row r="2230" spans="1:104">
      <c r="A2230" s="149"/>
      <c r="B2230" s="149"/>
      <c r="C2230" s="150"/>
      <c r="D2230" s="102"/>
      <c r="E2230" s="149"/>
      <c r="F2230" s="149"/>
      <c r="G2230" s="149"/>
      <c r="H2230" s="149"/>
      <c r="I2230" s="149"/>
      <c r="J2230" s="149"/>
      <c r="K2230" s="149"/>
      <c r="L2230" s="149"/>
      <c r="M2230" s="149"/>
      <c r="N2230" s="149"/>
      <c r="O2230" s="149"/>
      <c r="P2230" s="149"/>
      <c r="Q2230" s="149"/>
      <c r="R2230" s="149"/>
      <c r="S2230" s="149"/>
      <c r="T2230" s="149"/>
      <c r="U2230" s="149"/>
      <c r="V2230" s="149"/>
      <c r="W2230" s="149"/>
      <c r="X2230" s="149"/>
      <c r="Y2230" s="149"/>
      <c r="Z2230" s="149"/>
      <c r="AA2230" s="149"/>
      <c r="AB2230" s="149"/>
      <c r="AC2230" s="149"/>
      <c r="AD2230" s="149"/>
      <c r="AE2230" s="149"/>
      <c r="AF2230" s="149"/>
      <c r="AG2230" s="149"/>
      <c r="AH2230" s="149"/>
      <c r="AI2230" s="149"/>
      <c r="AJ2230" s="149"/>
      <c r="AK2230" s="149"/>
      <c r="AL2230" s="149"/>
      <c r="AM2230" s="149"/>
      <c r="AN2230" s="149"/>
      <c r="AO2230" s="128"/>
      <c r="AP2230" s="128"/>
      <c r="AQ2230" s="128"/>
      <c r="AR2230" s="128"/>
      <c r="AS2230" s="128"/>
      <c r="AT2230" s="128"/>
      <c r="AU2230" s="128"/>
      <c r="AV2230" s="128"/>
      <c r="AW2230" s="128"/>
      <c r="AX2230" s="128"/>
      <c r="AY2230" s="128"/>
      <c r="AZ2230" s="128"/>
      <c r="BA2230" s="128"/>
      <c r="BB2230" s="128"/>
      <c r="BC2230" s="128"/>
      <c r="BD2230" s="128"/>
      <c r="BE2230" s="128"/>
      <c r="BF2230" s="128"/>
      <c r="BG2230" s="128"/>
      <c r="BH2230" s="128"/>
      <c r="BI2230" s="128"/>
      <c r="BJ2230" s="128"/>
      <c r="BK2230" s="128"/>
      <c r="BL2230" s="128"/>
      <c r="BM2230" s="151"/>
      <c r="BN2230" s="128"/>
      <c r="BO2230" s="128"/>
      <c r="BP2230" s="128"/>
      <c r="BQ2230" s="128"/>
      <c r="BR2230" s="128"/>
      <c r="BS2230" s="128"/>
      <c r="BT2230" s="128"/>
      <c r="BU2230" s="128"/>
      <c r="BV2230" s="128"/>
      <c r="BW2230" s="128"/>
      <c r="BX2230" s="128"/>
      <c r="BY2230" s="128"/>
      <c r="BZ2230" s="128"/>
      <c r="CA2230" s="128"/>
      <c r="CB2230" s="128"/>
      <c r="CC2230" s="128"/>
      <c r="CD2230" s="128"/>
      <c r="CE2230" s="128"/>
      <c r="CF2230" s="128"/>
      <c r="CG2230" s="128"/>
      <c r="CI2230" s="128"/>
      <c r="CJ2230" s="128"/>
      <c r="CK2230" s="128"/>
      <c r="CL2230" s="128"/>
      <c r="CM2230" s="128"/>
      <c r="CN2230" s="128"/>
      <c r="CO2230" s="128"/>
      <c r="CP2230" s="128"/>
      <c r="CQ2230" s="128"/>
      <c r="CR2230" s="128"/>
      <c r="CS2230" s="128"/>
      <c r="CT2230" s="128"/>
      <c r="CU2230" s="128"/>
      <c r="CV2230" s="128"/>
      <c r="CW2230" s="128"/>
      <c r="CX2230" s="128"/>
      <c r="CY2230" s="128"/>
      <c r="CZ2230" s="165"/>
    </row>
    <row r="2231" spans="1:104">
      <c r="A2231" s="149"/>
      <c r="B2231" s="149"/>
      <c r="C2231" s="150"/>
      <c r="D2231" s="102"/>
      <c r="E2231" s="149"/>
      <c r="F2231" s="149"/>
      <c r="G2231" s="149"/>
      <c r="H2231" s="149"/>
      <c r="I2231" s="149"/>
      <c r="J2231" s="149"/>
      <c r="K2231" s="149"/>
      <c r="L2231" s="149"/>
      <c r="M2231" s="149"/>
      <c r="N2231" s="149"/>
      <c r="O2231" s="149"/>
      <c r="P2231" s="149"/>
      <c r="Q2231" s="149"/>
      <c r="R2231" s="149"/>
      <c r="S2231" s="149"/>
      <c r="T2231" s="149"/>
      <c r="U2231" s="149"/>
      <c r="V2231" s="149"/>
      <c r="W2231" s="149"/>
      <c r="X2231" s="149"/>
      <c r="Y2231" s="149"/>
      <c r="Z2231" s="149"/>
      <c r="AA2231" s="149"/>
      <c r="AB2231" s="149"/>
      <c r="AC2231" s="149"/>
      <c r="AD2231" s="149"/>
      <c r="AE2231" s="149"/>
      <c r="AF2231" s="149"/>
      <c r="AG2231" s="149"/>
      <c r="AH2231" s="149"/>
      <c r="AI2231" s="149"/>
      <c r="AJ2231" s="149"/>
      <c r="AK2231" s="149"/>
      <c r="AL2231" s="149"/>
      <c r="AM2231" s="149"/>
      <c r="AN2231" s="149"/>
      <c r="AO2231" s="128"/>
      <c r="AP2231" s="128"/>
      <c r="AQ2231" s="128"/>
      <c r="AR2231" s="128"/>
      <c r="AS2231" s="128"/>
      <c r="AT2231" s="128"/>
      <c r="AU2231" s="128"/>
      <c r="AV2231" s="128"/>
      <c r="AW2231" s="128"/>
      <c r="AX2231" s="128"/>
      <c r="AY2231" s="128"/>
      <c r="AZ2231" s="128"/>
      <c r="BA2231" s="128"/>
      <c r="BB2231" s="128"/>
      <c r="BC2231" s="128"/>
      <c r="BD2231" s="128"/>
      <c r="BE2231" s="128"/>
      <c r="BF2231" s="128"/>
      <c r="BG2231" s="128"/>
      <c r="BH2231" s="128"/>
      <c r="BI2231" s="128"/>
      <c r="BJ2231" s="128"/>
      <c r="BK2231" s="128"/>
      <c r="BL2231" s="128"/>
      <c r="BM2231" s="151"/>
      <c r="BN2231" s="128"/>
      <c r="BO2231" s="128"/>
      <c r="BP2231" s="128"/>
      <c r="BQ2231" s="128"/>
      <c r="BR2231" s="128"/>
      <c r="BS2231" s="128"/>
      <c r="BT2231" s="128"/>
      <c r="BU2231" s="128"/>
      <c r="BV2231" s="128"/>
      <c r="BW2231" s="128"/>
      <c r="BX2231" s="128"/>
      <c r="BY2231" s="128"/>
      <c r="BZ2231" s="128"/>
      <c r="CA2231" s="128"/>
      <c r="CB2231" s="128"/>
      <c r="CC2231" s="128"/>
      <c r="CD2231" s="128"/>
      <c r="CE2231" s="128"/>
      <c r="CF2231" s="128"/>
      <c r="CG2231" s="128"/>
      <c r="CI2231" s="128"/>
      <c r="CJ2231" s="128"/>
      <c r="CK2231" s="128"/>
      <c r="CL2231" s="128"/>
      <c r="CM2231" s="128"/>
      <c r="CN2231" s="128"/>
      <c r="CO2231" s="128"/>
      <c r="CP2231" s="128"/>
      <c r="CQ2231" s="128"/>
      <c r="CR2231" s="128"/>
      <c r="CS2231" s="128"/>
      <c r="CT2231" s="128"/>
      <c r="CU2231" s="128"/>
      <c r="CV2231" s="128"/>
      <c r="CW2231" s="128"/>
      <c r="CX2231" s="128"/>
      <c r="CY2231" s="128"/>
      <c r="CZ2231" s="165"/>
    </row>
    <row r="2232" spans="1:104">
      <c r="A2232" s="149"/>
      <c r="B2232" s="149"/>
      <c r="C2232" s="150"/>
      <c r="D2232" s="102"/>
      <c r="E2232" s="149"/>
      <c r="F2232" s="149"/>
      <c r="G2232" s="149"/>
      <c r="H2232" s="149"/>
      <c r="I2232" s="149"/>
      <c r="J2232" s="149"/>
      <c r="K2232" s="149"/>
      <c r="L2232" s="149"/>
      <c r="M2232" s="149"/>
      <c r="N2232" s="149"/>
      <c r="O2232" s="149"/>
      <c r="P2232" s="149"/>
      <c r="Q2232" s="149"/>
      <c r="R2232" s="149"/>
      <c r="S2232" s="149"/>
      <c r="T2232" s="149"/>
      <c r="U2232" s="149"/>
      <c r="V2232" s="149"/>
      <c r="W2232" s="149"/>
      <c r="X2232" s="149"/>
      <c r="Y2232" s="149"/>
      <c r="Z2232" s="149"/>
      <c r="AA2232" s="149"/>
      <c r="AB2232" s="149"/>
      <c r="AC2232" s="149"/>
      <c r="AD2232" s="149"/>
      <c r="AE2232" s="149"/>
      <c r="AF2232" s="149"/>
      <c r="AG2232" s="149"/>
      <c r="AH2232" s="149"/>
      <c r="AI2232" s="149"/>
      <c r="AJ2232" s="149"/>
      <c r="AK2232" s="149"/>
      <c r="AL2232" s="149"/>
      <c r="AM2232" s="149"/>
      <c r="AN2232" s="149"/>
      <c r="AO2232" s="128"/>
      <c r="AP2232" s="128"/>
      <c r="AQ2232" s="128"/>
      <c r="AR2232" s="128"/>
      <c r="AS2232" s="128"/>
      <c r="AT2232" s="128"/>
      <c r="AU2232" s="128"/>
      <c r="AV2232" s="128"/>
      <c r="AW2232" s="128"/>
      <c r="AX2232" s="128"/>
      <c r="AY2232" s="128"/>
      <c r="AZ2232" s="128"/>
      <c r="BA2232" s="128"/>
      <c r="BB2232" s="128"/>
      <c r="BC2232" s="128"/>
      <c r="BD2232" s="128"/>
      <c r="BE2232" s="128"/>
      <c r="BF2232" s="128"/>
      <c r="BG2232" s="128"/>
      <c r="BH2232" s="128"/>
      <c r="BI2232" s="128"/>
      <c r="BJ2232" s="128"/>
      <c r="BK2232" s="128"/>
      <c r="BL2232" s="128"/>
      <c r="BM2232" s="151"/>
      <c r="BN2232" s="128"/>
      <c r="BO2232" s="128"/>
      <c r="BP2232" s="128"/>
      <c r="BQ2232" s="128"/>
      <c r="BR2232" s="128"/>
      <c r="BS2232" s="128"/>
      <c r="BT2232" s="128"/>
      <c r="BU2232" s="128"/>
      <c r="BV2232" s="128"/>
      <c r="BW2232" s="128"/>
      <c r="BX2232" s="128"/>
      <c r="BY2232" s="128"/>
      <c r="BZ2232" s="128"/>
      <c r="CA2232" s="128"/>
      <c r="CB2232" s="128"/>
      <c r="CC2232" s="128"/>
      <c r="CD2232" s="128"/>
      <c r="CE2232" s="128"/>
      <c r="CF2232" s="128"/>
      <c r="CG2232" s="128"/>
      <c r="CI2232" s="128"/>
      <c r="CJ2232" s="128"/>
      <c r="CK2232" s="128"/>
      <c r="CL2232" s="128"/>
      <c r="CM2232" s="128"/>
      <c r="CN2232" s="128"/>
      <c r="CO2232" s="128"/>
      <c r="CP2232" s="128"/>
      <c r="CQ2232" s="128"/>
      <c r="CR2232" s="128"/>
      <c r="CS2232" s="128"/>
      <c r="CT2232" s="128"/>
      <c r="CU2232" s="128"/>
      <c r="CV2232" s="128"/>
      <c r="CW2232" s="128"/>
      <c r="CX2232" s="128"/>
      <c r="CY2232" s="128"/>
      <c r="CZ2232" s="165"/>
    </row>
    <row r="2233" spans="1:104">
      <c r="A2233" s="149"/>
      <c r="B2233" s="149"/>
      <c r="C2233" s="150"/>
      <c r="D2233" s="102"/>
      <c r="E2233" s="149"/>
      <c r="F2233" s="149"/>
      <c r="G2233" s="149"/>
      <c r="H2233" s="149"/>
      <c r="I2233" s="149"/>
      <c r="J2233" s="149"/>
      <c r="K2233" s="149"/>
      <c r="L2233" s="149"/>
      <c r="M2233" s="149"/>
      <c r="N2233" s="149"/>
      <c r="O2233" s="149"/>
      <c r="P2233" s="149"/>
      <c r="Q2233" s="149"/>
      <c r="R2233" s="149"/>
      <c r="S2233" s="149"/>
      <c r="T2233" s="149"/>
      <c r="U2233" s="149"/>
      <c r="V2233" s="149"/>
      <c r="W2233" s="149"/>
      <c r="X2233" s="149"/>
      <c r="Y2233" s="149"/>
      <c r="Z2233" s="149"/>
      <c r="AA2233" s="149"/>
      <c r="AB2233" s="149"/>
      <c r="AC2233" s="149"/>
      <c r="AD2233" s="149"/>
      <c r="AE2233" s="149"/>
      <c r="AF2233" s="149"/>
      <c r="AG2233" s="149"/>
      <c r="AH2233" s="149"/>
      <c r="AI2233" s="149"/>
      <c r="AJ2233" s="149"/>
      <c r="AK2233" s="149"/>
      <c r="AL2233" s="149"/>
      <c r="AM2233" s="149"/>
      <c r="AN2233" s="149"/>
      <c r="AO2233" s="128"/>
      <c r="AP2233" s="128"/>
      <c r="AQ2233" s="128"/>
      <c r="AR2233" s="128"/>
      <c r="AS2233" s="128"/>
      <c r="AT2233" s="128"/>
      <c r="AU2233" s="128"/>
      <c r="AV2233" s="128"/>
      <c r="AW2233" s="128"/>
      <c r="AX2233" s="128"/>
      <c r="AY2233" s="128"/>
      <c r="AZ2233" s="128"/>
      <c r="BA2233" s="128"/>
      <c r="BB2233" s="128"/>
      <c r="BC2233" s="128"/>
      <c r="BD2233" s="128"/>
      <c r="BE2233" s="128"/>
      <c r="BF2233" s="128"/>
      <c r="BG2233" s="128"/>
      <c r="BH2233" s="128"/>
      <c r="BI2233" s="128"/>
      <c r="BJ2233" s="128"/>
      <c r="BK2233" s="128"/>
      <c r="BL2233" s="128"/>
      <c r="BM2233" s="151"/>
      <c r="BN2233" s="128"/>
      <c r="BO2233" s="128"/>
      <c r="BP2233" s="128"/>
      <c r="BQ2233" s="128"/>
      <c r="BR2233" s="128"/>
      <c r="BS2233" s="128"/>
      <c r="BT2233" s="128"/>
      <c r="BU2233" s="128"/>
      <c r="BV2233" s="128"/>
      <c r="BW2233" s="128"/>
      <c r="BX2233" s="128"/>
      <c r="BY2233" s="128"/>
      <c r="BZ2233" s="128"/>
      <c r="CA2233" s="128"/>
      <c r="CB2233" s="128"/>
      <c r="CC2233" s="128"/>
      <c r="CD2233" s="128"/>
      <c r="CE2233" s="128"/>
      <c r="CF2233" s="128"/>
      <c r="CG2233" s="128"/>
      <c r="CI2233" s="128"/>
      <c r="CJ2233" s="128"/>
      <c r="CK2233" s="128"/>
      <c r="CL2233" s="128"/>
      <c r="CM2233" s="128"/>
      <c r="CN2233" s="128"/>
      <c r="CO2233" s="128"/>
      <c r="CP2233" s="128"/>
      <c r="CQ2233" s="128"/>
      <c r="CR2233" s="128"/>
      <c r="CS2233" s="128"/>
      <c r="CT2233" s="128"/>
      <c r="CU2233" s="128"/>
      <c r="CV2233" s="128"/>
      <c r="CW2233" s="128"/>
      <c r="CX2233" s="128"/>
      <c r="CY2233" s="128"/>
      <c r="CZ2233" s="165"/>
    </row>
    <row r="2234" spans="1:104">
      <c r="A2234" s="149"/>
      <c r="B2234" s="149"/>
      <c r="C2234" s="150"/>
      <c r="D2234" s="102"/>
      <c r="E2234" s="149"/>
      <c r="F2234" s="149"/>
      <c r="G2234" s="149"/>
      <c r="H2234" s="149"/>
      <c r="I2234" s="149"/>
      <c r="J2234" s="149"/>
      <c r="K2234" s="149"/>
      <c r="L2234" s="149"/>
      <c r="M2234" s="149"/>
      <c r="N2234" s="149"/>
      <c r="O2234" s="149"/>
      <c r="P2234" s="149"/>
      <c r="Q2234" s="149"/>
      <c r="R2234" s="149"/>
      <c r="S2234" s="149"/>
      <c r="T2234" s="149"/>
      <c r="U2234" s="149"/>
      <c r="V2234" s="149"/>
      <c r="W2234" s="149"/>
      <c r="X2234" s="149"/>
      <c r="Y2234" s="149"/>
      <c r="Z2234" s="149"/>
      <c r="AA2234" s="149"/>
      <c r="AB2234" s="149"/>
      <c r="AC2234" s="149"/>
      <c r="AD2234" s="149"/>
      <c r="AE2234" s="149"/>
      <c r="AF2234" s="149"/>
      <c r="AG2234" s="149"/>
      <c r="AH2234" s="149"/>
      <c r="AI2234" s="149"/>
      <c r="AJ2234" s="149"/>
      <c r="AK2234" s="149"/>
      <c r="AL2234" s="149"/>
      <c r="AM2234" s="149"/>
      <c r="AN2234" s="149"/>
      <c r="AO2234" s="128"/>
      <c r="AP2234" s="128"/>
      <c r="AQ2234" s="128"/>
      <c r="AR2234" s="128"/>
      <c r="AS2234" s="128"/>
      <c r="AT2234" s="128"/>
      <c r="AU2234" s="128"/>
      <c r="AV2234" s="128"/>
      <c r="AW2234" s="128"/>
      <c r="AX2234" s="128"/>
      <c r="AY2234" s="128"/>
      <c r="AZ2234" s="128"/>
      <c r="BA2234" s="128"/>
      <c r="BB2234" s="128"/>
      <c r="BC2234" s="128"/>
      <c r="BD2234" s="128"/>
      <c r="BE2234" s="128"/>
      <c r="BF2234" s="128"/>
      <c r="BG2234" s="128"/>
      <c r="BH2234" s="128"/>
      <c r="BI2234" s="128"/>
      <c r="BJ2234" s="128"/>
      <c r="BK2234" s="128"/>
      <c r="BL2234" s="128"/>
      <c r="BM2234" s="151"/>
      <c r="BN2234" s="128"/>
      <c r="BO2234" s="128"/>
      <c r="BP2234" s="128"/>
      <c r="BQ2234" s="128"/>
      <c r="BR2234" s="128"/>
      <c r="BS2234" s="128"/>
      <c r="BT2234" s="128"/>
      <c r="BU2234" s="128"/>
      <c r="BV2234" s="128"/>
      <c r="BW2234" s="128"/>
      <c r="BX2234" s="128"/>
      <c r="BY2234" s="128"/>
      <c r="BZ2234" s="128"/>
      <c r="CA2234" s="128"/>
      <c r="CB2234" s="128"/>
      <c r="CC2234" s="128"/>
      <c r="CD2234" s="128"/>
      <c r="CE2234" s="128"/>
      <c r="CF2234" s="128"/>
      <c r="CG2234" s="128"/>
      <c r="CI2234" s="128"/>
      <c r="CJ2234" s="128"/>
      <c r="CK2234" s="128"/>
      <c r="CL2234" s="128"/>
      <c r="CM2234" s="128"/>
      <c r="CN2234" s="128"/>
      <c r="CO2234" s="128"/>
      <c r="CP2234" s="128"/>
      <c r="CQ2234" s="128"/>
      <c r="CR2234" s="128"/>
      <c r="CS2234" s="128"/>
      <c r="CT2234" s="128"/>
      <c r="CU2234" s="128"/>
      <c r="CV2234" s="128"/>
      <c r="CW2234" s="128"/>
      <c r="CX2234" s="128"/>
      <c r="CY2234" s="128"/>
      <c r="CZ2234" s="165"/>
    </row>
    <row r="2235" spans="1:104">
      <c r="A2235" s="149"/>
      <c r="B2235" s="149"/>
      <c r="C2235" s="150"/>
      <c r="D2235" s="102"/>
      <c r="E2235" s="149"/>
      <c r="F2235" s="149"/>
      <c r="G2235" s="149"/>
      <c r="H2235" s="149"/>
      <c r="I2235" s="149"/>
      <c r="J2235" s="149"/>
      <c r="K2235" s="149"/>
      <c r="L2235" s="149"/>
      <c r="M2235" s="149"/>
      <c r="N2235" s="149"/>
      <c r="O2235" s="149"/>
      <c r="P2235" s="149"/>
      <c r="Q2235" s="149"/>
      <c r="R2235" s="149"/>
      <c r="S2235" s="149"/>
      <c r="T2235" s="149"/>
      <c r="U2235" s="149"/>
      <c r="V2235" s="149"/>
      <c r="W2235" s="149"/>
      <c r="X2235" s="149"/>
      <c r="Y2235" s="149"/>
      <c r="Z2235" s="149"/>
      <c r="AA2235" s="149"/>
      <c r="AB2235" s="149"/>
      <c r="AC2235" s="149"/>
      <c r="AD2235" s="149"/>
      <c r="AE2235" s="149"/>
      <c r="AF2235" s="149"/>
      <c r="AG2235" s="149"/>
      <c r="AH2235" s="149"/>
      <c r="AI2235" s="149"/>
      <c r="AJ2235" s="149"/>
      <c r="AK2235" s="149"/>
      <c r="AL2235" s="149"/>
      <c r="AM2235" s="149"/>
      <c r="AN2235" s="149"/>
      <c r="AO2235" s="128"/>
      <c r="AP2235" s="128"/>
      <c r="AQ2235" s="128"/>
      <c r="AR2235" s="128"/>
      <c r="AS2235" s="128"/>
      <c r="AT2235" s="128"/>
      <c r="AU2235" s="128"/>
      <c r="AV2235" s="128"/>
      <c r="AW2235" s="128"/>
      <c r="AX2235" s="128"/>
      <c r="AY2235" s="128"/>
      <c r="AZ2235" s="128"/>
      <c r="BA2235" s="128"/>
      <c r="BB2235" s="128"/>
      <c r="BC2235" s="128"/>
      <c r="BD2235" s="128"/>
      <c r="BE2235" s="128"/>
      <c r="BF2235" s="128"/>
      <c r="BG2235" s="128"/>
      <c r="BH2235" s="128"/>
      <c r="BI2235" s="128"/>
      <c r="BJ2235" s="128"/>
      <c r="BK2235" s="128"/>
      <c r="BL2235" s="128"/>
      <c r="BM2235" s="151"/>
      <c r="BN2235" s="128"/>
      <c r="BO2235" s="128"/>
      <c r="BP2235" s="128"/>
      <c r="BQ2235" s="128"/>
      <c r="BR2235" s="128"/>
      <c r="BS2235" s="128"/>
      <c r="BT2235" s="128"/>
      <c r="BU2235" s="128"/>
      <c r="BV2235" s="128"/>
      <c r="BW2235" s="128"/>
      <c r="BX2235" s="128"/>
      <c r="BY2235" s="128"/>
      <c r="BZ2235" s="128"/>
      <c r="CA2235" s="128"/>
      <c r="CB2235" s="128"/>
      <c r="CC2235" s="128"/>
      <c r="CD2235" s="128"/>
      <c r="CE2235" s="128"/>
      <c r="CF2235" s="128"/>
      <c r="CG2235" s="128"/>
      <c r="CI2235" s="128"/>
      <c r="CJ2235" s="128"/>
      <c r="CK2235" s="128"/>
      <c r="CL2235" s="128"/>
      <c r="CM2235" s="128"/>
      <c r="CN2235" s="128"/>
      <c r="CO2235" s="128"/>
      <c r="CP2235" s="128"/>
      <c r="CQ2235" s="128"/>
      <c r="CR2235" s="128"/>
      <c r="CS2235" s="128"/>
      <c r="CT2235" s="128"/>
      <c r="CU2235" s="128"/>
      <c r="CV2235" s="128"/>
      <c r="CW2235" s="128"/>
      <c r="CX2235" s="128"/>
      <c r="CY2235" s="128"/>
      <c r="CZ2235" s="165"/>
    </row>
    <row r="2236" spans="1:104">
      <c r="A2236" s="149"/>
      <c r="B2236" s="149"/>
      <c r="C2236" s="150"/>
      <c r="D2236" s="102"/>
      <c r="E2236" s="149"/>
      <c r="F2236" s="149"/>
      <c r="G2236" s="149"/>
      <c r="H2236" s="149"/>
      <c r="I2236" s="149"/>
      <c r="J2236" s="149"/>
      <c r="K2236" s="149"/>
      <c r="L2236" s="149"/>
      <c r="M2236" s="149"/>
      <c r="N2236" s="149"/>
      <c r="O2236" s="149"/>
      <c r="P2236" s="149"/>
      <c r="Q2236" s="149"/>
      <c r="R2236" s="149"/>
      <c r="S2236" s="149"/>
      <c r="T2236" s="149"/>
      <c r="U2236" s="149"/>
      <c r="V2236" s="149"/>
      <c r="W2236" s="149"/>
      <c r="X2236" s="149"/>
      <c r="Y2236" s="149"/>
      <c r="Z2236" s="149"/>
      <c r="AA2236" s="149"/>
      <c r="AB2236" s="149"/>
      <c r="AC2236" s="149"/>
      <c r="AD2236" s="149"/>
      <c r="AE2236" s="149"/>
      <c r="AF2236" s="149"/>
      <c r="AG2236" s="149"/>
      <c r="AH2236" s="149"/>
      <c r="AI2236" s="149"/>
      <c r="AJ2236" s="149"/>
      <c r="AK2236" s="149"/>
      <c r="AL2236" s="149"/>
      <c r="AM2236" s="149"/>
      <c r="AN2236" s="149"/>
      <c r="AO2236" s="128"/>
      <c r="AP2236" s="128"/>
      <c r="AQ2236" s="128"/>
      <c r="AR2236" s="128"/>
      <c r="AS2236" s="128"/>
      <c r="AT2236" s="128"/>
      <c r="AU2236" s="128"/>
      <c r="AV2236" s="128"/>
      <c r="AW2236" s="128"/>
      <c r="AX2236" s="128"/>
      <c r="AY2236" s="128"/>
      <c r="AZ2236" s="128"/>
      <c r="BA2236" s="128"/>
      <c r="BB2236" s="128"/>
      <c r="BC2236" s="128"/>
      <c r="BD2236" s="128"/>
      <c r="BE2236" s="128"/>
      <c r="BF2236" s="128"/>
      <c r="BG2236" s="128"/>
      <c r="BH2236" s="128"/>
      <c r="BI2236" s="128"/>
      <c r="BJ2236" s="128"/>
      <c r="BK2236" s="128"/>
      <c r="BL2236" s="128"/>
      <c r="BM2236" s="151"/>
      <c r="BN2236" s="128"/>
      <c r="BO2236" s="128"/>
      <c r="BP2236" s="128"/>
      <c r="BQ2236" s="128"/>
      <c r="BR2236" s="128"/>
      <c r="BS2236" s="128"/>
      <c r="BT2236" s="128"/>
      <c r="BU2236" s="128"/>
      <c r="BV2236" s="128"/>
      <c r="BW2236" s="128"/>
      <c r="BX2236" s="128"/>
      <c r="BY2236" s="128"/>
      <c r="BZ2236" s="128"/>
      <c r="CA2236" s="128"/>
      <c r="CB2236" s="128"/>
      <c r="CC2236" s="128"/>
      <c r="CD2236" s="128"/>
      <c r="CE2236" s="128"/>
      <c r="CF2236" s="128"/>
      <c r="CG2236" s="128"/>
      <c r="CI2236" s="128"/>
      <c r="CJ2236" s="128"/>
      <c r="CK2236" s="128"/>
      <c r="CL2236" s="128"/>
      <c r="CM2236" s="128"/>
      <c r="CN2236" s="128"/>
      <c r="CO2236" s="128"/>
      <c r="CP2236" s="128"/>
      <c r="CQ2236" s="128"/>
      <c r="CR2236" s="128"/>
      <c r="CS2236" s="128"/>
      <c r="CT2236" s="128"/>
      <c r="CU2236" s="128"/>
      <c r="CV2236" s="128"/>
      <c r="CW2236" s="128"/>
      <c r="CX2236" s="128"/>
      <c r="CY2236" s="128"/>
      <c r="CZ2236" s="165"/>
    </row>
    <row r="2237" spans="1:104">
      <c r="A2237" s="149"/>
      <c r="B2237" s="149"/>
      <c r="C2237" s="150"/>
      <c r="D2237" s="102"/>
      <c r="E2237" s="149"/>
      <c r="F2237" s="149"/>
      <c r="G2237" s="149"/>
      <c r="H2237" s="149"/>
      <c r="I2237" s="149"/>
      <c r="J2237" s="149"/>
      <c r="K2237" s="149"/>
      <c r="L2237" s="149"/>
      <c r="M2237" s="149"/>
      <c r="N2237" s="149"/>
      <c r="O2237" s="149"/>
      <c r="P2237" s="149"/>
      <c r="Q2237" s="149"/>
      <c r="R2237" s="149"/>
      <c r="S2237" s="149"/>
      <c r="T2237" s="149"/>
      <c r="U2237" s="149"/>
      <c r="V2237" s="149"/>
      <c r="W2237" s="149"/>
      <c r="X2237" s="149"/>
      <c r="Y2237" s="149"/>
      <c r="Z2237" s="149"/>
      <c r="AA2237" s="149"/>
      <c r="AB2237" s="149"/>
      <c r="AC2237" s="149"/>
      <c r="AD2237" s="149"/>
      <c r="AE2237" s="149"/>
      <c r="AF2237" s="149"/>
      <c r="AG2237" s="149"/>
      <c r="AH2237" s="149"/>
      <c r="AI2237" s="149"/>
      <c r="AJ2237" s="149"/>
      <c r="AK2237" s="149"/>
      <c r="AL2237" s="149"/>
      <c r="AM2237" s="149"/>
      <c r="AN2237" s="149"/>
      <c r="AO2237" s="128"/>
      <c r="AP2237" s="128"/>
      <c r="AQ2237" s="128"/>
      <c r="AR2237" s="128"/>
      <c r="AS2237" s="128"/>
      <c r="AT2237" s="128"/>
      <c r="AU2237" s="128"/>
      <c r="AV2237" s="128"/>
      <c r="AW2237" s="128"/>
      <c r="AX2237" s="128"/>
      <c r="AY2237" s="128"/>
      <c r="AZ2237" s="128"/>
      <c r="BA2237" s="128"/>
      <c r="BB2237" s="128"/>
      <c r="BC2237" s="128"/>
      <c r="BD2237" s="128"/>
      <c r="BE2237" s="128"/>
      <c r="BF2237" s="128"/>
      <c r="BG2237" s="128"/>
      <c r="BH2237" s="128"/>
      <c r="BI2237" s="128"/>
      <c r="BJ2237" s="128"/>
      <c r="BK2237" s="128"/>
      <c r="BL2237" s="128"/>
      <c r="BM2237" s="151"/>
      <c r="BN2237" s="128"/>
      <c r="BO2237" s="128"/>
      <c r="BP2237" s="128"/>
      <c r="BQ2237" s="128"/>
      <c r="BR2237" s="128"/>
      <c r="BS2237" s="128"/>
      <c r="BT2237" s="128"/>
      <c r="BU2237" s="128"/>
      <c r="BV2237" s="128"/>
      <c r="BW2237" s="128"/>
      <c r="BX2237" s="128"/>
      <c r="BY2237" s="128"/>
      <c r="BZ2237" s="128"/>
      <c r="CA2237" s="128"/>
      <c r="CB2237" s="128"/>
      <c r="CC2237" s="128"/>
      <c r="CD2237" s="128"/>
      <c r="CE2237" s="128"/>
      <c r="CF2237" s="128"/>
      <c r="CG2237" s="128"/>
      <c r="CI2237" s="128"/>
      <c r="CJ2237" s="128"/>
      <c r="CK2237" s="128"/>
      <c r="CL2237" s="128"/>
      <c r="CM2237" s="128"/>
      <c r="CN2237" s="128"/>
      <c r="CO2237" s="128"/>
      <c r="CP2237" s="128"/>
      <c r="CQ2237" s="128"/>
      <c r="CR2237" s="128"/>
      <c r="CS2237" s="128"/>
      <c r="CT2237" s="128"/>
      <c r="CU2237" s="128"/>
      <c r="CV2237" s="128"/>
      <c r="CW2237" s="128"/>
      <c r="CX2237" s="128"/>
      <c r="CY2237" s="128"/>
      <c r="CZ2237" s="165"/>
    </row>
    <row r="2238" spans="1:104">
      <c r="A2238" s="149"/>
      <c r="B2238" s="149"/>
      <c r="C2238" s="150"/>
      <c r="D2238" s="102"/>
      <c r="E2238" s="149"/>
      <c r="F2238" s="149"/>
      <c r="G2238" s="149"/>
      <c r="H2238" s="149"/>
      <c r="I2238" s="149"/>
      <c r="J2238" s="149"/>
      <c r="K2238" s="149"/>
      <c r="L2238" s="149"/>
      <c r="M2238" s="149"/>
      <c r="N2238" s="149"/>
      <c r="O2238" s="149"/>
      <c r="P2238" s="149"/>
      <c r="Q2238" s="149"/>
      <c r="R2238" s="149"/>
      <c r="S2238" s="149"/>
      <c r="T2238" s="149"/>
      <c r="U2238" s="149"/>
      <c r="V2238" s="149"/>
      <c r="W2238" s="149"/>
      <c r="X2238" s="149"/>
      <c r="Y2238" s="149"/>
      <c r="Z2238" s="149"/>
      <c r="AA2238" s="149"/>
      <c r="AB2238" s="149"/>
      <c r="AC2238" s="149"/>
      <c r="AD2238" s="149"/>
      <c r="AE2238" s="149"/>
      <c r="AF2238" s="149"/>
      <c r="AG2238" s="149"/>
      <c r="AH2238" s="149"/>
      <c r="AI2238" s="149"/>
      <c r="AJ2238" s="149"/>
      <c r="AK2238" s="149"/>
      <c r="AL2238" s="149"/>
      <c r="AM2238" s="149"/>
      <c r="AN2238" s="149"/>
      <c r="AO2238" s="128"/>
      <c r="AP2238" s="128"/>
      <c r="AQ2238" s="128"/>
      <c r="AR2238" s="128"/>
      <c r="AS2238" s="128"/>
      <c r="AT2238" s="128"/>
      <c r="AU2238" s="128"/>
      <c r="AV2238" s="128"/>
      <c r="AW2238" s="128"/>
      <c r="AX2238" s="128"/>
      <c r="AY2238" s="128"/>
      <c r="AZ2238" s="128"/>
      <c r="BA2238" s="128"/>
      <c r="BB2238" s="128"/>
      <c r="BC2238" s="128"/>
      <c r="BD2238" s="128"/>
      <c r="BE2238" s="128"/>
      <c r="BF2238" s="128"/>
      <c r="BG2238" s="128"/>
      <c r="BH2238" s="128"/>
      <c r="BI2238" s="128"/>
      <c r="BJ2238" s="128"/>
      <c r="BK2238" s="128"/>
      <c r="BL2238" s="128"/>
      <c r="BM2238" s="151"/>
      <c r="BN2238" s="128"/>
      <c r="BO2238" s="128"/>
      <c r="BP2238" s="128"/>
      <c r="BQ2238" s="128"/>
      <c r="BR2238" s="128"/>
      <c r="BS2238" s="128"/>
      <c r="BT2238" s="128"/>
      <c r="BU2238" s="128"/>
      <c r="BV2238" s="128"/>
      <c r="BW2238" s="128"/>
      <c r="BX2238" s="128"/>
      <c r="BY2238" s="128"/>
      <c r="BZ2238" s="128"/>
      <c r="CA2238" s="128"/>
      <c r="CB2238" s="128"/>
      <c r="CC2238" s="128"/>
      <c r="CD2238" s="128"/>
      <c r="CE2238" s="128"/>
      <c r="CF2238" s="128"/>
      <c r="CG2238" s="128"/>
      <c r="CI2238" s="128"/>
      <c r="CJ2238" s="128"/>
      <c r="CK2238" s="128"/>
      <c r="CL2238" s="128"/>
      <c r="CM2238" s="128"/>
      <c r="CN2238" s="128"/>
      <c r="CO2238" s="128"/>
      <c r="CP2238" s="128"/>
      <c r="CQ2238" s="128"/>
      <c r="CR2238" s="128"/>
      <c r="CS2238" s="128"/>
      <c r="CT2238" s="128"/>
      <c r="CU2238" s="128"/>
      <c r="CV2238" s="128"/>
      <c r="CW2238" s="128"/>
      <c r="CX2238" s="128"/>
      <c r="CY2238" s="128"/>
      <c r="CZ2238" s="165"/>
    </row>
    <row r="2239" spans="1:104">
      <c r="A2239" s="149"/>
      <c r="B2239" s="149"/>
      <c r="C2239" s="150"/>
      <c r="D2239" s="102"/>
      <c r="E2239" s="149"/>
      <c r="F2239" s="149"/>
      <c r="G2239" s="149"/>
      <c r="H2239" s="149"/>
      <c r="I2239" s="149"/>
      <c r="J2239" s="149"/>
      <c r="K2239" s="149"/>
      <c r="L2239" s="149"/>
      <c r="M2239" s="149"/>
      <c r="N2239" s="149"/>
      <c r="O2239" s="149"/>
      <c r="P2239" s="149"/>
      <c r="Q2239" s="149"/>
      <c r="R2239" s="149"/>
      <c r="S2239" s="149"/>
      <c r="T2239" s="149"/>
      <c r="U2239" s="149"/>
      <c r="V2239" s="149"/>
      <c r="W2239" s="149"/>
      <c r="X2239" s="149"/>
      <c r="Y2239" s="149"/>
      <c r="Z2239" s="149"/>
      <c r="AA2239" s="149"/>
      <c r="AB2239" s="149"/>
      <c r="AC2239" s="149"/>
      <c r="AD2239" s="149"/>
      <c r="AE2239" s="149"/>
      <c r="AF2239" s="149"/>
      <c r="AG2239" s="149"/>
      <c r="AH2239" s="149"/>
      <c r="AI2239" s="149"/>
      <c r="AJ2239" s="149"/>
      <c r="AK2239" s="149"/>
      <c r="AL2239" s="149"/>
      <c r="AM2239" s="149"/>
      <c r="AN2239" s="149"/>
      <c r="AO2239" s="128"/>
      <c r="AP2239" s="128"/>
      <c r="AQ2239" s="128"/>
      <c r="AR2239" s="128"/>
      <c r="AS2239" s="128"/>
      <c r="AT2239" s="128"/>
      <c r="AU2239" s="128"/>
      <c r="AV2239" s="128"/>
      <c r="AW2239" s="128"/>
      <c r="AX2239" s="128"/>
      <c r="AY2239" s="128"/>
      <c r="AZ2239" s="128"/>
      <c r="BA2239" s="128"/>
      <c r="BB2239" s="128"/>
      <c r="BC2239" s="128"/>
      <c r="BD2239" s="128"/>
      <c r="BE2239" s="128"/>
      <c r="BF2239" s="128"/>
      <c r="BG2239" s="128"/>
      <c r="BH2239" s="128"/>
      <c r="BI2239" s="128"/>
      <c r="BJ2239" s="128"/>
      <c r="BK2239" s="128"/>
      <c r="BL2239" s="128"/>
      <c r="BM2239" s="151"/>
      <c r="BN2239" s="128"/>
      <c r="BO2239" s="128"/>
      <c r="BP2239" s="128"/>
      <c r="BQ2239" s="128"/>
      <c r="BR2239" s="128"/>
      <c r="BS2239" s="128"/>
      <c r="BT2239" s="128"/>
      <c r="BU2239" s="128"/>
      <c r="BV2239" s="128"/>
      <c r="BW2239" s="128"/>
      <c r="BX2239" s="128"/>
      <c r="BY2239" s="128"/>
      <c r="BZ2239" s="128"/>
      <c r="CA2239" s="128"/>
      <c r="CB2239" s="128"/>
      <c r="CC2239" s="128"/>
      <c r="CD2239" s="128"/>
      <c r="CE2239" s="128"/>
      <c r="CF2239" s="128"/>
      <c r="CG2239" s="128"/>
      <c r="CI2239" s="128"/>
      <c r="CJ2239" s="128"/>
      <c r="CK2239" s="128"/>
      <c r="CL2239" s="128"/>
      <c r="CM2239" s="128"/>
      <c r="CN2239" s="128"/>
      <c r="CO2239" s="128"/>
      <c r="CP2239" s="128"/>
      <c r="CQ2239" s="128"/>
      <c r="CR2239" s="128"/>
      <c r="CS2239" s="128"/>
      <c r="CT2239" s="128"/>
      <c r="CU2239" s="128"/>
      <c r="CV2239" s="128"/>
      <c r="CW2239" s="128"/>
      <c r="CX2239" s="128"/>
      <c r="CY2239" s="128"/>
      <c r="CZ2239" s="165"/>
    </row>
    <row r="2240" spans="1:104">
      <c r="A2240" s="149"/>
      <c r="B2240" s="149"/>
      <c r="C2240" s="150"/>
      <c r="D2240" s="102"/>
      <c r="E2240" s="149"/>
      <c r="F2240" s="149"/>
      <c r="G2240" s="149"/>
      <c r="H2240" s="149"/>
      <c r="I2240" s="149"/>
      <c r="J2240" s="149"/>
      <c r="K2240" s="149"/>
      <c r="L2240" s="149"/>
      <c r="M2240" s="149"/>
      <c r="N2240" s="149"/>
      <c r="O2240" s="149"/>
      <c r="P2240" s="149"/>
      <c r="Q2240" s="149"/>
      <c r="R2240" s="149"/>
      <c r="S2240" s="149"/>
      <c r="T2240" s="149"/>
      <c r="U2240" s="149"/>
      <c r="V2240" s="149"/>
      <c r="W2240" s="149"/>
      <c r="X2240" s="149"/>
      <c r="Y2240" s="149"/>
      <c r="Z2240" s="149"/>
      <c r="AA2240" s="149"/>
      <c r="AB2240" s="149"/>
      <c r="AC2240" s="149"/>
      <c r="AD2240" s="149"/>
      <c r="AE2240" s="149"/>
      <c r="AF2240" s="149"/>
      <c r="AG2240" s="149"/>
      <c r="AH2240" s="149"/>
      <c r="AI2240" s="149"/>
      <c r="AJ2240" s="149"/>
      <c r="AK2240" s="149"/>
      <c r="AL2240" s="149"/>
      <c r="AM2240" s="149"/>
      <c r="AN2240" s="149"/>
      <c r="AO2240" s="128"/>
      <c r="AP2240" s="128"/>
      <c r="AQ2240" s="128"/>
      <c r="AR2240" s="128"/>
      <c r="AS2240" s="128"/>
      <c r="AT2240" s="128"/>
      <c r="AU2240" s="128"/>
      <c r="AV2240" s="128"/>
      <c r="AW2240" s="128"/>
      <c r="AX2240" s="128"/>
      <c r="AY2240" s="128"/>
      <c r="AZ2240" s="128"/>
      <c r="BA2240" s="128"/>
      <c r="BB2240" s="128"/>
      <c r="BC2240" s="128"/>
      <c r="BD2240" s="128"/>
      <c r="BE2240" s="128"/>
      <c r="BF2240" s="128"/>
      <c r="BG2240" s="128"/>
      <c r="BH2240" s="128"/>
      <c r="BI2240" s="128"/>
      <c r="BJ2240" s="128"/>
      <c r="BK2240" s="128"/>
      <c r="BL2240" s="128"/>
      <c r="BM2240" s="151"/>
      <c r="BN2240" s="128"/>
      <c r="BO2240" s="128"/>
      <c r="BP2240" s="128"/>
      <c r="BQ2240" s="128"/>
      <c r="BR2240" s="128"/>
      <c r="BS2240" s="128"/>
      <c r="BT2240" s="128"/>
      <c r="BU2240" s="128"/>
      <c r="BV2240" s="128"/>
      <c r="BW2240" s="128"/>
      <c r="BX2240" s="128"/>
      <c r="BY2240" s="128"/>
      <c r="BZ2240" s="128"/>
      <c r="CA2240" s="128"/>
      <c r="CB2240" s="128"/>
      <c r="CC2240" s="128"/>
      <c r="CD2240" s="128"/>
      <c r="CE2240" s="128"/>
      <c r="CF2240" s="128"/>
      <c r="CG2240" s="128"/>
      <c r="CI2240" s="128"/>
      <c r="CJ2240" s="128"/>
      <c r="CK2240" s="128"/>
      <c r="CL2240" s="128"/>
      <c r="CM2240" s="128"/>
      <c r="CN2240" s="128"/>
      <c r="CO2240" s="128"/>
      <c r="CP2240" s="128"/>
      <c r="CQ2240" s="128"/>
      <c r="CR2240" s="128"/>
      <c r="CS2240" s="128"/>
      <c r="CT2240" s="128"/>
      <c r="CU2240" s="128"/>
      <c r="CV2240" s="128"/>
      <c r="CW2240" s="128"/>
      <c r="CX2240" s="128"/>
      <c r="CY2240" s="128"/>
      <c r="CZ2240" s="165"/>
    </row>
    <row r="2241" spans="1:104">
      <c r="A2241" s="149"/>
      <c r="B2241" s="149"/>
      <c r="C2241" s="150"/>
      <c r="D2241" s="102"/>
      <c r="E2241" s="149"/>
      <c r="F2241" s="149"/>
      <c r="G2241" s="149"/>
      <c r="H2241" s="149"/>
      <c r="I2241" s="149"/>
      <c r="J2241" s="149"/>
      <c r="K2241" s="149"/>
      <c r="L2241" s="149"/>
      <c r="M2241" s="149"/>
      <c r="N2241" s="149"/>
      <c r="O2241" s="149"/>
      <c r="P2241" s="149"/>
      <c r="Q2241" s="149"/>
      <c r="R2241" s="149"/>
      <c r="S2241" s="149"/>
      <c r="T2241" s="149"/>
      <c r="U2241" s="149"/>
      <c r="V2241" s="149"/>
      <c r="W2241" s="149"/>
      <c r="X2241" s="149"/>
      <c r="Y2241" s="149"/>
      <c r="Z2241" s="149"/>
      <c r="AA2241" s="149"/>
      <c r="AB2241" s="149"/>
      <c r="AC2241" s="149"/>
      <c r="AD2241" s="149"/>
      <c r="AE2241" s="149"/>
      <c r="AF2241" s="149"/>
      <c r="AG2241" s="149"/>
      <c r="AH2241" s="149"/>
      <c r="AI2241" s="149"/>
      <c r="AJ2241" s="149"/>
      <c r="AK2241" s="149"/>
      <c r="AL2241" s="149"/>
      <c r="AM2241" s="149"/>
      <c r="AN2241" s="149"/>
      <c r="AO2241" s="128"/>
      <c r="AP2241" s="128"/>
      <c r="AQ2241" s="128"/>
      <c r="AR2241" s="128"/>
      <c r="AS2241" s="128"/>
      <c r="AT2241" s="128"/>
      <c r="AU2241" s="128"/>
      <c r="AV2241" s="128"/>
      <c r="AW2241" s="128"/>
      <c r="AX2241" s="128"/>
      <c r="AY2241" s="128"/>
      <c r="AZ2241" s="128"/>
      <c r="BA2241" s="128"/>
      <c r="BB2241" s="128"/>
      <c r="BC2241" s="128"/>
      <c r="BD2241" s="128"/>
      <c r="BE2241" s="128"/>
      <c r="BF2241" s="128"/>
      <c r="BG2241" s="128"/>
      <c r="BH2241" s="128"/>
      <c r="BI2241" s="128"/>
      <c r="BJ2241" s="128"/>
      <c r="BK2241" s="128"/>
      <c r="BL2241" s="128"/>
      <c r="BM2241" s="151"/>
      <c r="BN2241" s="128"/>
      <c r="BO2241" s="128"/>
      <c r="BP2241" s="128"/>
      <c r="BQ2241" s="128"/>
      <c r="BR2241" s="128"/>
      <c r="BS2241" s="128"/>
      <c r="BT2241" s="128"/>
      <c r="BU2241" s="128"/>
      <c r="BV2241" s="128"/>
      <c r="BW2241" s="128"/>
      <c r="BX2241" s="128"/>
      <c r="BY2241" s="128"/>
      <c r="BZ2241" s="128"/>
      <c r="CA2241" s="128"/>
      <c r="CB2241" s="128"/>
      <c r="CC2241" s="128"/>
      <c r="CD2241" s="128"/>
      <c r="CE2241" s="128"/>
      <c r="CF2241" s="128"/>
      <c r="CG2241" s="128"/>
      <c r="CI2241" s="128"/>
      <c r="CJ2241" s="128"/>
      <c r="CK2241" s="128"/>
      <c r="CL2241" s="128"/>
      <c r="CM2241" s="128"/>
      <c r="CN2241" s="128"/>
      <c r="CO2241" s="128"/>
      <c r="CP2241" s="128"/>
      <c r="CQ2241" s="128"/>
      <c r="CR2241" s="128"/>
      <c r="CS2241" s="128"/>
      <c r="CT2241" s="128"/>
      <c r="CU2241" s="128"/>
      <c r="CV2241" s="128"/>
      <c r="CW2241" s="128"/>
      <c r="CX2241" s="128"/>
      <c r="CY2241" s="128"/>
      <c r="CZ2241" s="165"/>
    </row>
    <row r="2242" spans="1:104">
      <c r="A2242" s="149"/>
      <c r="B2242" s="149"/>
      <c r="C2242" s="150"/>
      <c r="D2242" s="102"/>
      <c r="E2242" s="149"/>
      <c r="F2242" s="149"/>
      <c r="G2242" s="149"/>
      <c r="H2242" s="149"/>
      <c r="I2242" s="149"/>
      <c r="J2242" s="149"/>
      <c r="K2242" s="149"/>
      <c r="L2242" s="149"/>
      <c r="M2242" s="149"/>
      <c r="N2242" s="149"/>
      <c r="O2242" s="149"/>
      <c r="P2242" s="149"/>
      <c r="Q2242" s="149"/>
      <c r="R2242" s="149"/>
      <c r="S2242" s="149"/>
      <c r="T2242" s="149"/>
      <c r="U2242" s="149"/>
      <c r="V2242" s="149"/>
      <c r="W2242" s="149"/>
      <c r="X2242" s="149"/>
      <c r="Y2242" s="149"/>
      <c r="Z2242" s="149"/>
      <c r="AA2242" s="149"/>
      <c r="AB2242" s="149"/>
      <c r="AC2242" s="149"/>
      <c r="AD2242" s="149"/>
      <c r="AE2242" s="149"/>
      <c r="AF2242" s="149"/>
      <c r="AG2242" s="149"/>
      <c r="AH2242" s="149"/>
      <c r="AI2242" s="149"/>
      <c r="AJ2242" s="149"/>
      <c r="AK2242" s="149"/>
      <c r="AL2242" s="149"/>
      <c r="AM2242" s="149"/>
      <c r="AN2242" s="149"/>
      <c r="AO2242" s="128"/>
      <c r="AP2242" s="128"/>
      <c r="AQ2242" s="128"/>
      <c r="AR2242" s="128"/>
      <c r="AS2242" s="128"/>
      <c r="AT2242" s="128"/>
      <c r="AU2242" s="128"/>
      <c r="AV2242" s="128"/>
      <c r="AW2242" s="128"/>
      <c r="AX2242" s="128"/>
      <c r="AY2242" s="128"/>
      <c r="AZ2242" s="128"/>
      <c r="BA2242" s="128"/>
      <c r="BB2242" s="128"/>
      <c r="BC2242" s="128"/>
      <c r="BD2242" s="128"/>
      <c r="BE2242" s="128"/>
      <c r="BF2242" s="128"/>
      <c r="BG2242" s="128"/>
      <c r="BH2242" s="128"/>
      <c r="BI2242" s="128"/>
      <c r="BJ2242" s="128"/>
      <c r="BK2242" s="128"/>
      <c r="BL2242" s="128"/>
      <c r="BM2242" s="151"/>
      <c r="BN2242" s="128"/>
      <c r="BO2242" s="128"/>
      <c r="BP2242" s="128"/>
      <c r="BQ2242" s="128"/>
      <c r="BR2242" s="128"/>
      <c r="BS2242" s="128"/>
      <c r="BT2242" s="128"/>
      <c r="BU2242" s="128"/>
      <c r="BV2242" s="128"/>
      <c r="BW2242" s="128"/>
      <c r="BX2242" s="128"/>
      <c r="BY2242" s="128"/>
      <c r="BZ2242" s="128"/>
      <c r="CA2242" s="128"/>
      <c r="CB2242" s="128"/>
      <c r="CC2242" s="128"/>
      <c r="CD2242" s="128"/>
      <c r="CE2242" s="128"/>
      <c r="CF2242" s="128"/>
      <c r="CG2242" s="128"/>
      <c r="CI2242" s="128"/>
      <c r="CJ2242" s="128"/>
      <c r="CK2242" s="128"/>
      <c r="CL2242" s="128"/>
      <c r="CM2242" s="128"/>
      <c r="CN2242" s="128"/>
      <c r="CO2242" s="128"/>
      <c r="CP2242" s="128"/>
      <c r="CQ2242" s="128"/>
      <c r="CR2242" s="128"/>
      <c r="CS2242" s="128"/>
      <c r="CT2242" s="128"/>
      <c r="CU2242" s="128"/>
      <c r="CV2242" s="128"/>
      <c r="CW2242" s="128"/>
      <c r="CX2242" s="128"/>
      <c r="CY2242" s="128"/>
      <c r="CZ2242" s="165"/>
    </row>
    <row r="2243" spans="1:104">
      <c r="A2243" s="149"/>
      <c r="B2243" s="149"/>
      <c r="C2243" s="150"/>
      <c r="D2243" s="102"/>
      <c r="E2243" s="149"/>
      <c r="F2243" s="149"/>
      <c r="G2243" s="149"/>
      <c r="H2243" s="149"/>
      <c r="I2243" s="149"/>
      <c r="J2243" s="149"/>
      <c r="K2243" s="149"/>
      <c r="L2243" s="149"/>
      <c r="M2243" s="149"/>
      <c r="N2243" s="149"/>
      <c r="O2243" s="149"/>
      <c r="P2243" s="149"/>
      <c r="Q2243" s="149"/>
      <c r="R2243" s="149"/>
      <c r="S2243" s="149"/>
      <c r="T2243" s="149"/>
      <c r="U2243" s="149"/>
      <c r="V2243" s="149"/>
      <c r="W2243" s="149"/>
      <c r="X2243" s="149"/>
      <c r="Y2243" s="149"/>
      <c r="Z2243" s="149"/>
      <c r="AA2243" s="149"/>
      <c r="AB2243" s="149"/>
      <c r="AC2243" s="149"/>
      <c r="AD2243" s="149"/>
      <c r="AE2243" s="149"/>
      <c r="AF2243" s="149"/>
      <c r="AG2243" s="149"/>
      <c r="AH2243" s="149"/>
      <c r="AI2243" s="149"/>
      <c r="AJ2243" s="149"/>
      <c r="AK2243" s="149"/>
      <c r="AL2243" s="149"/>
      <c r="AM2243" s="149"/>
      <c r="AN2243" s="149"/>
      <c r="AO2243" s="128"/>
      <c r="AP2243" s="128"/>
      <c r="AQ2243" s="128"/>
      <c r="AR2243" s="128"/>
      <c r="AS2243" s="128"/>
      <c r="AT2243" s="128"/>
      <c r="AU2243" s="128"/>
      <c r="AV2243" s="128"/>
      <c r="AW2243" s="128"/>
      <c r="AX2243" s="128"/>
      <c r="AY2243" s="128"/>
      <c r="AZ2243" s="128"/>
      <c r="BA2243" s="128"/>
      <c r="BB2243" s="128"/>
      <c r="BC2243" s="128"/>
      <c r="BD2243" s="128"/>
      <c r="BE2243" s="128"/>
      <c r="BF2243" s="128"/>
      <c r="BG2243" s="128"/>
      <c r="BH2243" s="128"/>
      <c r="BI2243" s="128"/>
      <c r="BJ2243" s="128"/>
      <c r="BK2243" s="128"/>
      <c r="BL2243" s="128"/>
      <c r="BM2243" s="151"/>
      <c r="BN2243" s="128"/>
      <c r="BO2243" s="128"/>
      <c r="BP2243" s="128"/>
      <c r="BQ2243" s="128"/>
      <c r="BR2243" s="128"/>
      <c r="BS2243" s="128"/>
      <c r="BT2243" s="128"/>
      <c r="BU2243" s="128"/>
      <c r="BV2243" s="128"/>
      <c r="BW2243" s="128"/>
      <c r="BX2243" s="128"/>
      <c r="BY2243" s="128"/>
      <c r="BZ2243" s="128"/>
      <c r="CA2243" s="128"/>
      <c r="CB2243" s="128"/>
      <c r="CC2243" s="128"/>
      <c r="CD2243" s="128"/>
      <c r="CE2243" s="128"/>
      <c r="CF2243" s="128"/>
      <c r="CG2243" s="128"/>
      <c r="CI2243" s="128"/>
      <c r="CJ2243" s="128"/>
      <c r="CK2243" s="128"/>
      <c r="CL2243" s="128"/>
      <c r="CM2243" s="128"/>
      <c r="CN2243" s="128"/>
      <c r="CO2243" s="128"/>
      <c r="CP2243" s="128"/>
      <c r="CQ2243" s="128"/>
      <c r="CR2243" s="128"/>
      <c r="CS2243" s="128"/>
      <c r="CT2243" s="128"/>
      <c r="CU2243" s="128"/>
      <c r="CV2243" s="128"/>
      <c r="CW2243" s="128"/>
      <c r="CX2243" s="128"/>
      <c r="CY2243" s="128"/>
      <c r="CZ2243" s="165"/>
    </row>
    <row r="2244" spans="1:104">
      <c r="A2244" s="149"/>
      <c r="B2244" s="149"/>
      <c r="C2244" s="150"/>
      <c r="D2244" s="102"/>
      <c r="E2244" s="149"/>
      <c r="F2244" s="149"/>
      <c r="G2244" s="149"/>
      <c r="H2244" s="149"/>
      <c r="I2244" s="149"/>
      <c r="J2244" s="149"/>
      <c r="K2244" s="149"/>
      <c r="L2244" s="149"/>
      <c r="M2244" s="149"/>
      <c r="N2244" s="149"/>
      <c r="O2244" s="149"/>
      <c r="P2244" s="149"/>
      <c r="Q2244" s="149"/>
      <c r="R2244" s="149"/>
      <c r="S2244" s="149"/>
      <c r="T2244" s="149"/>
      <c r="U2244" s="149"/>
      <c r="V2244" s="149"/>
      <c r="W2244" s="149"/>
      <c r="X2244" s="149"/>
      <c r="Y2244" s="149"/>
      <c r="Z2244" s="149"/>
      <c r="AA2244" s="149"/>
      <c r="AB2244" s="149"/>
      <c r="AC2244" s="149"/>
      <c r="AD2244" s="149"/>
      <c r="AE2244" s="149"/>
      <c r="AF2244" s="149"/>
      <c r="AG2244" s="149"/>
      <c r="AH2244" s="149"/>
      <c r="AI2244" s="149"/>
      <c r="AJ2244" s="149"/>
      <c r="AK2244" s="149"/>
      <c r="AL2244" s="149"/>
      <c r="AM2244" s="149"/>
      <c r="AN2244" s="149"/>
      <c r="AO2244" s="128"/>
      <c r="AP2244" s="128"/>
      <c r="AQ2244" s="128"/>
      <c r="AR2244" s="128"/>
      <c r="AS2244" s="128"/>
      <c r="AT2244" s="128"/>
      <c r="AU2244" s="128"/>
      <c r="AV2244" s="128"/>
      <c r="AW2244" s="128"/>
      <c r="AX2244" s="128"/>
      <c r="AY2244" s="128"/>
      <c r="AZ2244" s="128"/>
      <c r="BA2244" s="128"/>
      <c r="BB2244" s="128"/>
      <c r="BC2244" s="128"/>
      <c r="BD2244" s="128"/>
      <c r="BE2244" s="128"/>
      <c r="BF2244" s="128"/>
      <c r="BG2244" s="128"/>
      <c r="BH2244" s="128"/>
      <c r="BI2244" s="128"/>
      <c r="BJ2244" s="128"/>
      <c r="BK2244" s="128"/>
      <c r="BL2244" s="128"/>
      <c r="BM2244" s="151"/>
      <c r="BN2244" s="128"/>
      <c r="BO2244" s="128"/>
      <c r="BP2244" s="128"/>
      <c r="BQ2244" s="128"/>
      <c r="BR2244" s="128"/>
      <c r="BS2244" s="128"/>
      <c r="BT2244" s="128"/>
      <c r="BU2244" s="128"/>
      <c r="BV2244" s="128"/>
      <c r="BW2244" s="128"/>
      <c r="BX2244" s="128"/>
      <c r="BY2244" s="128"/>
      <c r="BZ2244" s="128"/>
      <c r="CA2244" s="128"/>
      <c r="CB2244" s="128"/>
      <c r="CC2244" s="128"/>
      <c r="CD2244" s="128"/>
      <c r="CE2244" s="128"/>
      <c r="CF2244" s="128"/>
      <c r="CG2244" s="128"/>
      <c r="CI2244" s="128"/>
      <c r="CJ2244" s="128"/>
      <c r="CK2244" s="128"/>
      <c r="CL2244" s="128"/>
      <c r="CM2244" s="128"/>
      <c r="CN2244" s="128"/>
      <c r="CO2244" s="128"/>
      <c r="CP2244" s="128"/>
      <c r="CQ2244" s="128"/>
      <c r="CR2244" s="128"/>
      <c r="CS2244" s="128"/>
      <c r="CT2244" s="128"/>
      <c r="CU2244" s="128"/>
      <c r="CV2244" s="128"/>
      <c r="CW2244" s="128"/>
      <c r="CX2244" s="128"/>
      <c r="CY2244" s="128"/>
      <c r="CZ2244" s="165"/>
    </row>
    <row r="2245" spans="1:104">
      <c r="A2245" s="149"/>
      <c r="B2245" s="149"/>
      <c r="C2245" s="150"/>
      <c r="D2245" s="102"/>
      <c r="E2245" s="149"/>
      <c r="F2245" s="149"/>
      <c r="G2245" s="149"/>
      <c r="H2245" s="149"/>
      <c r="I2245" s="149"/>
      <c r="J2245" s="149"/>
      <c r="K2245" s="149"/>
      <c r="L2245" s="149"/>
      <c r="M2245" s="149"/>
      <c r="N2245" s="149"/>
      <c r="O2245" s="149"/>
      <c r="P2245" s="149"/>
      <c r="Q2245" s="149"/>
      <c r="R2245" s="149"/>
      <c r="S2245" s="149"/>
      <c r="T2245" s="149"/>
      <c r="U2245" s="149"/>
      <c r="V2245" s="149"/>
      <c r="W2245" s="149"/>
      <c r="X2245" s="149"/>
      <c r="Y2245" s="149"/>
      <c r="Z2245" s="149"/>
      <c r="AA2245" s="149"/>
      <c r="AB2245" s="149"/>
      <c r="AC2245" s="149"/>
      <c r="AD2245" s="149"/>
      <c r="AE2245" s="149"/>
      <c r="AF2245" s="149"/>
      <c r="AG2245" s="149"/>
      <c r="AH2245" s="149"/>
      <c r="AI2245" s="149"/>
      <c r="AJ2245" s="149"/>
      <c r="AK2245" s="149"/>
      <c r="AL2245" s="149"/>
      <c r="AM2245" s="149"/>
      <c r="AN2245" s="149"/>
      <c r="AO2245" s="128"/>
      <c r="AP2245" s="128"/>
      <c r="AQ2245" s="128"/>
      <c r="AR2245" s="128"/>
      <c r="AS2245" s="128"/>
      <c r="AT2245" s="128"/>
      <c r="AU2245" s="128"/>
      <c r="AV2245" s="128"/>
      <c r="AW2245" s="128"/>
      <c r="AX2245" s="128"/>
      <c r="AY2245" s="128"/>
      <c r="AZ2245" s="128"/>
      <c r="BA2245" s="128"/>
      <c r="BB2245" s="128"/>
      <c r="BC2245" s="128"/>
      <c r="BD2245" s="128"/>
      <c r="BE2245" s="128"/>
      <c r="BF2245" s="128"/>
      <c r="BG2245" s="128"/>
      <c r="BH2245" s="128"/>
      <c r="BI2245" s="128"/>
      <c r="BJ2245" s="128"/>
      <c r="BK2245" s="128"/>
      <c r="BL2245" s="128"/>
      <c r="BM2245" s="151"/>
      <c r="BN2245" s="128"/>
      <c r="BO2245" s="128"/>
      <c r="BP2245" s="128"/>
      <c r="BQ2245" s="128"/>
      <c r="BR2245" s="128"/>
      <c r="BS2245" s="128"/>
      <c r="BT2245" s="128"/>
      <c r="BU2245" s="128"/>
      <c r="BV2245" s="128"/>
      <c r="BW2245" s="128"/>
      <c r="BX2245" s="128"/>
      <c r="BY2245" s="128"/>
      <c r="BZ2245" s="128"/>
      <c r="CA2245" s="128"/>
      <c r="CB2245" s="128"/>
      <c r="CC2245" s="128"/>
      <c r="CD2245" s="128"/>
      <c r="CE2245" s="128"/>
      <c r="CF2245" s="128"/>
      <c r="CG2245" s="128"/>
      <c r="CI2245" s="128"/>
      <c r="CJ2245" s="128"/>
      <c r="CK2245" s="128"/>
      <c r="CL2245" s="128"/>
      <c r="CM2245" s="128"/>
      <c r="CN2245" s="128"/>
      <c r="CO2245" s="128"/>
      <c r="CP2245" s="128"/>
      <c r="CQ2245" s="128"/>
      <c r="CR2245" s="128"/>
      <c r="CS2245" s="128"/>
      <c r="CT2245" s="128"/>
      <c r="CU2245" s="128"/>
      <c r="CV2245" s="128"/>
      <c r="CW2245" s="128"/>
      <c r="CX2245" s="128"/>
      <c r="CY2245" s="128"/>
      <c r="CZ2245" s="165"/>
    </row>
    <row r="2246" spans="1:104">
      <c r="A2246" s="149"/>
      <c r="B2246" s="149"/>
      <c r="C2246" s="150"/>
      <c r="D2246" s="102"/>
      <c r="E2246" s="149"/>
      <c r="F2246" s="149"/>
      <c r="G2246" s="149"/>
      <c r="H2246" s="149"/>
      <c r="I2246" s="149"/>
      <c r="J2246" s="149"/>
      <c r="K2246" s="149"/>
      <c r="L2246" s="149"/>
      <c r="M2246" s="149"/>
      <c r="N2246" s="149"/>
      <c r="O2246" s="149"/>
      <c r="P2246" s="149"/>
      <c r="Q2246" s="149"/>
      <c r="R2246" s="149"/>
      <c r="S2246" s="149"/>
      <c r="T2246" s="149"/>
      <c r="U2246" s="149"/>
      <c r="V2246" s="149"/>
      <c r="W2246" s="149"/>
      <c r="X2246" s="149"/>
      <c r="Y2246" s="149"/>
      <c r="Z2246" s="149"/>
      <c r="AA2246" s="149"/>
      <c r="AB2246" s="149"/>
      <c r="AC2246" s="149"/>
      <c r="AD2246" s="149"/>
      <c r="AE2246" s="149"/>
      <c r="AF2246" s="149"/>
      <c r="AG2246" s="149"/>
      <c r="AH2246" s="149"/>
      <c r="AI2246" s="149"/>
      <c r="AJ2246" s="149"/>
      <c r="AK2246" s="149"/>
      <c r="AL2246" s="149"/>
      <c r="AM2246" s="149"/>
      <c r="AN2246" s="149"/>
      <c r="AO2246" s="128"/>
      <c r="AP2246" s="128"/>
      <c r="AQ2246" s="128"/>
      <c r="AR2246" s="128"/>
      <c r="AS2246" s="128"/>
      <c r="AT2246" s="128"/>
      <c r="AU2246" s="128"/>
      <c r="AV2246" s="128"/>
      <c r="AW2246" s="128"/>
      <c r="AX2246" s="128"/>
      <c r="AY2246" s="128"/>
      <c r="AZ2246" s="128"/>
      <c r="BA2246" s="128"/>
      <c r="BB2246" s="128"/>
      <c r="BC2246" s="128"/>
      <c r="BD2246" s="128"/>
      <c r="BE2246" s="128"/>
      <c r="BF2246" s="128"/>
      <c r="BG2246" s="128"/>
      <c r="BH2246" s="128"/>
      <c r="BI2246" s="128"/>
      <c r="BJ2246" s="128"/>
      <c r="BK2246" s="128"/>
      <c r="BL2246" s="128"/>
      <c r="BM2246" s="151"/>
      <c r="BN2246" s="128"/>
      <c r="BO2246" s="128"/>
      <c r="BP2246" s="128"/>
      <c r="BQ2246" s="128"/>
      <c r="BR2246" s="128"/>
      <c r="BS2246" s="128"/>
      <c r="BT2246" s="128"/>
      <c r="BU2246" s="128"/>
      <c r="BV2246" s="128"/>
      <c r="BW2246" s="128"/>
      <c r="BX2246" s="128"/>
      <c r="BY2246" s="128"/>
      <c r="BZ2246" s="128"/>
      <c r="CA2246" s="128"/>
      <c r="CB2246" s="128"/>
      <c r="CC2246" s="128"/>
      <c r="CD2246" s="128"/>
      <c r="CE2246" s="128"/>
      <c r="CF2246" s="128"/>
      <c r="CG2246" s="128"/>
      <c r="CI2246" s="128"/>
      <c r="CJ2246" s="128"/>
      <c r="CK2246" s="128"/>
      <c r="CL2246" s="128"/>
      <c r="CM2246" s="128"/>
      <c r="CN2246" s="128"/>
      <c r="CO2246" s="128"/>
      <c r="CP2246" s="128"/>
      <c r="CQ2246" s="128"/>
      <c r="CR2246" s="128"/>
      <c r="CS2246" s="128"/>
      <c r="CT2246" s="128"/>
      <c r="CU2246" s="128"/>
      <c r="CV2246" s="128"/>
      <c r="CW2246" s="128"/>
      <c r="CX2246" s="128"/>
      <c r="CY2246" s="128"/>
      <c r="CZ2246" s="165"/>
    </row>
    <row r="2247" spans="1:104">
      <c r="A2247" s="149"/>
      <c r="B2247" s="149"/>
      <c r="C2247" s="150"/>
      <c r="D2247" s="102"/>
      <c r="E2247" s="149"/>
      <c r="F2247" s="149"/>
      <c r="G2247" s="149"/>
      <c r="H2247" s="149"/>
      <c r="I2247" s="149"/>
      <c r="J2247" s="149"/>
      <c r="K2247" s="149"/>
      <c r="L2247" s="149"/>
      <c r="M2247" s="149"/>
      <c r="N2247" s="149"/>
      <c r="O2247" s="149"/>
      <c r="P2247" s="149"/>
      <c r="Q2247" s="149"/>
      <c r="R2247" s="149"/>
      <c r="S2247" s="149"/>
      <c r="T2247" s="149"/>
      <c r="U2247" s="149"/>
      <c r="V2247" s="149"/>
      <c r="W2247" s="149"/>
      <c r="X2247" s="149"/>
      <c r="Y2247" s="149"/>
      <c r="Z2247" s="149"/>
      <c r="AA2247" s="149"/>
      <c r="AB2247" s="149"/>
      <c r="AC2247" s="149"/>
      <c r="AD2247" s="149"/>
      <c r="AE2247" s="149"/>
      <c r="AF2247" s="149"/>
      <c r="AG2247" s="149"/>
      <c r="AH2247" s="149"/>
      <c r="AI2247" s="149"/>
      <c r="AJ2247" s="149"/>
      <c r="AK2247" s="149"/>
      <c r="AL2247" s="149"/>
      <c r="AM2247" s="149"/>
      <c r="AN2247" s="149"/>
      <c r="AO2247" s="128"/>
      <c r="AP2247" s="128"/>
      <c r="AQ2247" s="128"/>
      <c r="AR2247" s="128"/>
      <c r="AS2247" s="128"/>
      <c r="AT2247" s="128"/>
      <c r="AU2247" s="128"/>
      <c r="AV2247" s="128"/>
      <c r="AW2247" s="128"/>
      <c r="AX2247" s="128"/>
      <c r="AY2247" s="128"/>
      <c r="AZ2247" s="128"/>
      <c r="BA2247" s="128"/>
      <c r="BB2247" s="128"/>
      <c r="BC2247" s="128"/>
      <c r="BD2247" s="128"/>
      <c r="BE2247" s="128"/>
      <c r="BF2247" s="128"/>
      <c r="BG2247" s="128"/>
      <c r="BH2247" s="128"/>
      <c r="BI2247" s="128"/>
      <c r="BJ2247" s="128"/>
      <c r="BK2247" s="128"/>
      <c r="BL2247" s="128"/>
      <c r="BM2247" s="151"/>
      <c r="BN2247" s="128"/>
      <c r="BO2247" s="128"/>
      <c r="BP2247" s="128"/>
      <c r="BQ2247" s="128"/>
      <c r="BR2247" s="128"/>
      <c r="BS2247" s="128"/>
      <c r="BT2247" s="128"/>
      <c r="BU2247" s="128"/>
      <c r="BV2247" s="128"/>
      <c r="BW2247" s="128"/>
      <c r="BX2247" s="128"/>
      <c r="BY2247" s="128"/>
      <c r="BZ2247" s="128"/>
      <c r="CA2247" s="128"/>
      <c r="CB2247" s="128"/>
      <c r="CC2247" s="128"/>
      <c r="CD2247" s="128"/>
      <c r="CE2247" s="128"/>
      <c r="CF2247" s="128"/>
      <c r="CG2247" s="128"/>
      <c r="CI2247" s="128"/>
      <c r="CJ2247" s="128"/>
      <c r="CK2247" s="128"/>
      <c r="CL2247" s="128"/>
      <c r="CM2247" s="128"/>
      <c r="CN2247" s="128"/>
      <c r="CO2247" s="128"/>
      <c r="CP2247" s="128"/>
      <c r="CQ2247" s="128"/>
      <c r="CR2247" s="128"/>
      <c r="CS2247" s="128"/>
      <c r="CT2247" s="128"/>
      <c r="CU2247" s="128"/>
      <c r="CV2247" s="128"/>
      <c r="CW2247" s="128"/>
      <c r="CX2247" s="128"/>
      <c r="CY2247" s="128"/>
      <c r="CZ2247" s="165"/>
    </row>
    <row r="2248" spans="1:104">
      <c r="A2248" s="149"/>
      <c r="B2248" s="149"/>
      <c r="C2248" s="150"/>
      <c r="D2248" s="102"/>
      <c r="E2248" s="149"/>
      <c r="F2248" s="149"/>
      <c r="G2248" s="149"/>
      <c r="H2248" s="149"/>
      <c r="I2248" s="149"/>
      <c r="J2248" s="149"/>
      <c r="K2248" s="149"/>
      <c r="L2248" s="149"/>
      <c r="M2248" s="149"/>
      <c r="N2248" s="149"/>
      <c r="O2248" s="149"/>
      <c r="P2248" s="149"/>
      <c r="Q2248" s="149"/>
      <c r="R2248" s="149"/>
      <c r="S2248" s="149"/>
      <c r="T2248" s="149"/>
      <c r="U2248" s="149"/>
      <c r="V2248" s="149"/>
      <c r="W2248" s="149"/>
      <c r="X2248" s="149"/>
      <c r="Y2248" s="149"/>
      <c r="Z2248" s="149"/>
      <c r="AA2248" s="149"/>
      <c r="AB2248" s="149"/>
      <c r="AC2248" s="149"/>
      <c r="AD2248" s="149"/>
      <c r="AE2248" s="149"/>
      <c r="AF2248" s="149"/>
      <c r="AG2248" s="149"/>
      <c r="AH2248" s="149"/>
      <c r="AI2248" s="149"/>
      <c r="AJ2248" s="149"/>
      <c r="AK2248" s="149"/>
      <c r="AL2248" s="149"/>
      <c r="AM2248" s="149"/>
      <c r="AN2248" s="149"/>
      <c r="AO2248" s="128"/>
      <c r="AP2248" s="128"/>
      <c r="AQ2248" s="128"/>
      <c r="AR2248" s="128"/>
      <c r="AS2248" s="128"/>
      <c r="AT2248" s="128"/>
      <c r="AU2248" s="128"/>
      <c r="AV2248" s="128"/>
      <c r="AW2248" s="128"/>
      <c r="AX2248" s="128"/>
      <c r="AY2248" s="128"/>
      <c r="AZ2248" s="128"/>
      <c r="BA2248" s="128"/>
      <c r="BB2248" s="128"/>
      <c r="BC2248" s="128"/>
      <c r="BD2248" s="128"/>
      <c r="BE2248" s="128"/>
      <c r="BF2248" s="128"/>
      <c r="BG2248" s="128"/>
      <c r="BH2248" s="128"/>
      <c r="BI2248" s="128"/>
      <c r="BJ2248" s="128"/>
      <c r="BK2248" s="128"/>
      <c r="BL2248" s="128"/>
      <c r="BM2248" s="151"/>
      <c r="BN2248" s="128"/>
      <c r="BO2248" s="128"/>
      <c r="BP2248" s="128"/>
      <c r="BQ2248" s="128"/>
      <c r="BR2248" s="128"/>
      <c r="BS2248" s="128"/>
      <c r="BT2248" s="128"/>
      <c r="BU2248" s="128"/>
      <c r="BV2248" s="128"/>
      <c r="BW2248" s="128"/>
      <c r="BX2248" s="128"/>
      <c r="BY2248" s="128"/>
      <c r="BZ2248" s="128"/>
      <c r="CA2248" s="128"/>
      <c r="CB2248" s="128"/>
      <c r="CC2248" s="128"/>
      <c r="CD2248" s="128"/>
      <c r="CE2248" s="128"/>
      <c r="CF2248" s="128"/>
      <c r="CG2248" s="128"/>
      <c r="CI2248" s="128"/>
      <c r="CJ2248" s="128"/>
      <c r="CK2248" s="128"/>
      <c r="CL2248" s="128"/>
      <c r="CM2248" s="128"/>
      <c r="CN2248" s="128"/>
      <c r="CO2248" s="128"/>
      <c r="CP2248" s="128"/>
      <c r="CQ2248" s="128"/>
      <c r="CR2248" s="128"/>
      <c r="CS2248" s="128"/>
      <c r="CT2248" s="128"/>
      <c r="CU2248" s="128"/>
      <c r="CV2248" s="128"/>
      <c r="CW2248" s="128"/>
      <c r="CX2248" s="128"/>
      <c r="CY2248" s="128"/>
      <c r="CZ2248" s="165"/>
    </row>
    <row r="2249" spans="1:104">
      <c r="A2249" s="149"/>
      <c r="B2249" s="149"/>
      <c r="C2249" s="150"/>
      <c r="D2249" s="102"/>
      <c r="E2249" s="149"/>
      <c r="F2249" s="149"/>
      <c r="G2249" s="149"/>
      <c r="H2249" s="149"/>
      <c r="I2249" s="149"/>
      <c r="J2249" s="149"/>
      <c r="K2249" s="149"/>
      <c r="L2249" s="149"/>
      <c r="M2249" s="149"/>
      <c r="N2249" s="149"/>
      <c r="O2249" s="149"/>
      <c r="P2249" s="149"/>
      <c r="Q2249" s="149"/>
      <c r="R2249" s="149"/>
      <c r="S2249" s="149"/>
      <c r="T2249" s="149"/>
      <c r="U2249" s="149"/>
      <c r="V2249" s="149"/>
      <c r="W2249" s="149"/>
      <c r="X2249" s="149"/>
      <c r="Y2249" s="149"/>
      <c r="Z2249" s="149"/>
      <c r="AA2249" s="149"/>
      <c r="AB2249" s="149"/>
      <c r="AC2249" s="149"/>
      <c r="AD2249" s="149"/>
      <c r="AE2249" s="149"/>
      <c r="AF2249" s="149"/>
      <c r="AG2249" s="149"/>
      <c r="AH2249" s="149"/>
      <c r="AI2249" s="149"/>
      <c r="AJ2249" s="149"/>
      <c r="AK2249" s="149"/>
      <c r="AL2249" s="149"/>
      <c r="AM2249" s="149"/>
      <c r="AN2249" s="149"/>
      <c r="AO2249" s="128"/>
      <c r="AP2249" s="128"/>
      <c r="AQ2249" s="128"/>
      <c r="AR2249" s="128"/>
      <c r="AS2249" s="128"/>
      <c r="AT2249" s="128"/>
      <c r="AU2249" s="128"/>
      <c r="AV2249" s="128"/>
      <c r="AW2249" s="128"/>
      <c r="AX2249" s="128"/>
      <c r="AY2249" s="128"/>
      <c r="AZ2249" s="128"/>
      <c r="BA2249" s="128"/>
      <c r="BB2249" s="128"/>
      <c r="BC2249" s="128"/>
      <c r="BD2249" s="128"/>
      <c r="BE2249" s="128"/>
      <c r="BF2249" s="128"/>
      <c r="BG2249" s="128"/>
      <c r="BH2249" s="128"/>
      <c r="BI2249" s="128"/>
      <c r="BJ2249" s="128"/>
      <c r="BK2249" s="128"/>
      <c r="BL2249" s="128"/>
      <c r="BM2249" s="151"/>
      <c r="BN2249" s="128"/>
      <c r="BO2249" s="128"/>
      <c r="BP2249" s="128"/>
      <c r="BQ2249" s="128"/>
      <c r="BR2249" s="128"/>
      <c r="BS2249" s="128"/>
      <c r="BT2249" s="128"/>
      <c r="BU2249" s="128"/>
      <c r="BV2249" s="128"/>
      <c r="BW2249" s="128"/>
      <c r="BX2249" s="128"/>
      <c r="BY2249" s="128"/>
      <c r="BZ2249" s="128"/>
      <c r="CA2249" s="128"/>
      <c r="CB2249" s="128"/>
      <c r="CC2249" s="128"/>
      <c r="CD2249" s="128"/>
      <c r="CE2249" s="128"/>
      <c r="CF2249" s="128"/>
      <c r="CG2249" s="128"/>
      <c r="CI2249" s="128"/>
      <c r="CJ2249" s="128"/>
      <c r="CK2249" s="128"/>
      <c r="CL2249" s="128"/>
      <c r="CM2249" s="128"/>
      <c r="CN2249" s="128"/>
      <c r="CO2249" s="128"/>
      <c r="CP2249" s="128"/>
      <c r="CQ2249" s="128"/>
      <c r="CR2249" s="128"/>
      <c r="CS2249" s="128"/>
      <c r="CT2249" s="128"/>
      <c r="CU2249" s="128"/>
      <c r="CV2249" s="128"/>
      <c r="CW2249" s="128"/>
      <c r="CX2249" s="128"/>
      <c r="CY2249" s="128"/>
      <c r="CZ2249" s="165"/>
    </row>
    <row r="2250" spans="1:104">
      <c r="A2250" s="149"/>
      <c r="B2250" s="149"/>
      <c r="C2250" s="150"/>
      <c r="D2250" s="102"/>
      <c r="E2250" s="149"/>
      <c r="F2250" s="149"/>
      <c r="G2250" s="149"/>
      <c r="H2250" s="149"/>
      <c r="I2250" s="149"/>
      <c r="J2250" s="149"/>
      <c r="K2250" s="149"/>
      <c r="L2250" s="149"/>
      <c r="M2250" s="149"/>
      <c r="N2250" s="149"/>
      <c r="O2250" s="149"/>
      <c r="P2250" s="149"/>
      <c r="Q2250" s="149"/>
      <c r="R2250" s="149"/>
      <c r="S2250" s="149"/>
      <c r="T2250" s="149"/>
      <c r="U2250" s="149"/>
      <c r="V2250" s="149"/>
      <c r="W2250" s="149"/>
      <c r="X2250" s="149"/>
      <c r="Y2250" s="149"/>
      <c r="Z2250" s="149"/>
      <c r="AA2250" s="149"/>
      <c r="AB2250" s="149"/>
      <c r="AC2250" s="149"/>
      <c r="AD2250" s="149"/>
      <c r="AE2250" s="149"/>
      <c r="AF2250" s="149"/>
      <c r="AG2250" s="149"/>
      <c r="AH2250" s="149"/>
      <c r="AI2250" s="149"/>
      <c r="AJ2250" s="149"/>
      <c r="AK2250" s="149"/>
      <c r="AL2250" s="149"/>
      <c r="AM2250" s="149"/>
      <c r="AN2250" s="149"/>
      <c r="AO2250" s="128"/>
      <c r="AP2250" s="128"/>
      <c r="AQ2250" s="128"/>
      <c r="AR2250" s="128"/>
      <c r="AS2250" s="128"/>
      <c r="AT2250" s="128"/>
      <c r="AU2250" s="128"/>
      <c r="AV2250" s="128"/>
      <c r="AW2250" s="128"/>
      <c r="AX2250" s="128"/>
      <c r="AY2250" s="128"/>
      <c r="AZ2250" s="128"/>
      <c r="BA2250" s="128"/>
      <c r="BB2250" s="128"/>
      <c r="BC2250" s="128"/>
      <c r="BD2250" s="128"/>
      <c r="BE2250" s="128"/>
      <c r="BF2250" s="128"/>
      <c r="BG2250" s="128"/>
      <c r="BH2250" s="128"/>
      <c r="BI2250" s="128"/>
      <c r="BJ2250" s="128"/>
      <c r="BK2250" s="128"/>
      <c r="BL2250" s="128"/>
      <c r="BM2250" s="151"/>
      <c r="BN2250" s="128"/>
      <c r="BO2250" s="128"/>
      <c r="BP2250" s="128"/>
      <c r="BQ2250" s="128"/>
      <c r="BR2250" s="128"/>
      <c r="BS2250" s="128"/>
      <c r="BT2250" s="128"/>
      <c r="BU2250" s="128"/>
      <c r="BV2250" s="128"/>
      <c r="BW2250" s="128"/>
      <c r="BX2250" s="128"/>
      <c r="BY2250" s="128"/>
      <c r="BZ2250" s="128"/>
      <c r="CA2250" s="128"/>
      <c r="CB2250" s="128"/>
      <c r="CC2250" s="128"/>
      <c r="CD2250" s="128"/>
      <c r="CE2250" s="128"/>
      <c r="CF2250" s="128"/>
      <c r="CG2250" s="128"/>
      <c r="CI2250" s="128"/>
      <c r="CJ2250" s="128"/>
      <c r="CK2250" s="128"/>
      <c r="CL2250" s="128"/>
      <c r="CM2250" s="128"/>
      <c r="CN2250" s="128"/>
      <c r="CO2250" s="128"/>
      <c r="CP2250" s="128"/>
      <c r="CQ2250" s="128"/>
      <c r="CR2250" s="128"/>
      <c r="CS2250" s="128"/>
      <c r="CT2250" s="128"/>
      <c r="CU2250" s="128"/>
      <c r="CV2250" s="128"/>
      <c r="CW2250" s="128"/>
      <c r="CX2250" s="128"/>
      <c r="CY2250" s="128"/>
      <c r="CZ2250" s="165"/>
    </row>
    <row r="2251" spans="1:104">
      <c r="A2251" s="149"/>
      <c r="B2251" s="149"/>
      <c r="C2251" s="150"/>
      <c r="D2251" s="102"/>
      <c r="E2251" s="149"/>
      <c r="F2251" s="149"/>
      <c r="G2251" s="149"/>
      <c r="H2251" s="149"/>
      <c r="I2251" s="149"/>
      <c r="J2251" s="149"/>
      <c r="K2251" s="149"/>
      <c r="L2251" s="149"/>
      <c r="M2251" s="149"/>
      <c r="N2251" s="149"/>
      <c r="O2251" s="149"/>
      <c r="P2251" s="149"/>
      <c r="Q2251" s="149"/>
      <c r="R2251" s="149"/>
      <c r="S2251" s="149"/>
      <c r="T2251" s="149"/>
      <c r="U2251" s="149"/>
      <c r="V2251" s="149"/>
      <c r="W2251" s="149"/>
      <c r="X2251" s="149"/>
      <c r="Y2251" s="149"/>
      <c r="Z2251" s="149"/>
      <c r="AA2251" s="149"/>
      <c r="AB2251" s="149"/>
      <c r="AC2251" s="149"/>
      <c r="AD2251" s="149"/>
      <c r="AE2251" s="149"/>
      <c r="AF2251" s="149"/>
      <c r="AG2251" s="149"/>
      <c r="AH2251" s="149"/>
      <c r="AI2251" s="149"/>
      <c r="AJ2251" s="149"/>
      <c r="AK2251" s="149"/>
      <c r="AL2251" s="149"/>
      <c r="AM2251" s="149"/>
      <c r="AN2251" s="149"/>
      <c r="AO2251" s="128"/>
      <c r="AP2251" s="128"/>
      <c r="AQ2251" s="128"/>
      <c r="AR2251" s="128"/>
      <c r="AS2251" s="128"/>
      <c r="AT2251" s="128"/>
      <c r="AU2251" s="128"/>
      <c r="AV2251" s="128"/>
      <c r="AW2251" s="128"/>
      <c r="AX2251" s="128"/>
      <c r="AY2251" s="128"/>
      <c r="AZ2251" s="128"/>
      <c r="BA2251" s="128"/>
      <c r="BB2251" s="128"/>
      <c r="BC2251" s="128"/>
      <c r="BD2251" s="128"/>
      <c r="BE2251" s="128"/>
      <c r="BF2251" s="128"/>
      <c r="BG2251" s="128"/>
      <c r="BH2251" s="128"/>
      <c r="BI2251" s="128"/>
      <c r="BJ2251" s="128"/>
      <c r="BK2251" s="128"/>
      <c r="BL2251" s="128"/>
      <c r="BM2251" s="151"/>
      <c r="BN2251" s="128"/>
      <c r="BO2251" s="128"/>
      <c r="BP2251" s="128"/>
      <c r="BQ2251" s="128"/>
      <c r="BR2251" s="128"/>
      <c r="BS2251" s="128"/>
      <c r="BT2251" s="128"/>
      <c r="BU2251" s="128"/>
      <c r="BV2251" s="128"/>
      <c r="BW2251" s="128"/>
      <c r="BX2251" s="128"/>
      <c r="BY2251" s="128"/>
      <c r="BZ2251" s="128"/>
      <c r="CA2251" s="128"/>
      <c r="CB2251" s="128"/>
      <c r="CC2251" s="128"/>
      <c r="CD2251" s="128"/>
      <c r="CE2251" s="128"/>
      <c r="CF2251" s="128"/>
      <c r="CG2251" s="128"/>
      <c r="CI2251" s="128"/>
      <c r="CJ2251" s="128"/>
      <c r="CK2251" s="128"/>
      <c r="CL2251" s="128"/>
      <c r="CM2251" s="128"/>
      <c r="CN2251" s="128"/>
      <c r="CO2251" s="128"/>
      <c r="CP2251" s="128"/>
      <c r="CQ2251" s="128"/>
      <c r="CR2251" s="128"/>
      <c r="CS2251" s="128"/>
      <c r="CT2251" s="128"/>
      <c r="CU2251" s="128"/>
      <c r="CV2251" s="128"/>
      <c r="CW2251" s="128"/>
      <c r="CX2251" s="128"/>
      <c r="CY2251" s="128"/>
      <c r="CZ2251" s="165"/>
    </row>
    <row r="2252" spans="1:104">
      <c r="A2252" s="149"/>
      <c r="B2252" s="149"/>
      <c r="C2252" s="150"/>
      <c r="D2252" s="102"/>
      <c r="E2252" s="149"/>
      <c r="F2252" s="149"/>
      <c r="G2252" s="149"/>
      <c r="H2252" s="149"/>
      <c r="I2252" s="149"/>
      <c r="J2252" s="149"/>
      <c r="K2252" s="149"/>
      <c r="L2252" s="149"/>
      <c r="M2252" s="149"/>
      <c r="N2252" s="149"/>
      <c r="O2252" s="149"/>
      <c r="P2252" s="149"/>
      <c r="Q2252" s="149"/>
      <c r="R2252" s="149"/>
      <c r="S2252" s="149"/>
      <c r="T2252" s="149"/>
      <c r="U2252" s="149"/>
      <c r="V2252" s="149"/>
      <c r="W2252" s="149"/>
      <c r="X2252" s="149"/>
      <c r="Y2252" s="149"/>
      <c r="Z2252" s="149"/>
      <c r="AA2252" s="149"/>
      <c r="AB2252" s="149"/>
      <c r="AC2252" s="149"/>
      <c r="AD2252" s="149"/>
      <c r="AE2252" s="149"/>
      <c r="AF2252" s="149"/>
      <c r="AG2252" s="149"/>
      <c r="AH2252" s="149"/>
      <c r="AI2252" s="149"/>
      <c r="AJ2252" s="149"/>
      <c r="AK2252" s="149"/>
      <c r="AL2252" s="149"/>
      <c r="AM2252" s="149"/>
      <c r="AN2252" s="149"/>
      <c r="AO2252" s="128"/>
      <c r="AP2252" s="128"/>
      <c r="AQ2252" s="128"/>
      <c r="AR2252" s="128"/>
      <c r="AS2252" s="128"/>
      <c r="AT2252" s="128"/>
      <c r="AU2252" s="128"/>
      <c r="AV2252" s="128"/>
      <c r="AW2252" s="128"/>
      <c r="AX2252" s="128"/>
      <c r="AY2252" s="128"/>
      <c r="AZ2252" s="128"/>
      <c r="BA2252" s="128"/>
      <c r="BB2252" s="128"/>
      <c r="BC2252" s="128"/>
      <c r="BD2252" s="128"/>
      <c r="BE2252" s="128"/>
      <c r="BF2252" s="128"/>
      <c r="BG2252" s="128"/>
      <c r="BH2252" s="128"/>
      <c r="BI2252" s="128"/>
      <c r="BJ2252" s="128"/>
      <c r="BK2252" s="128"/>
      <c r="BL2252" s="128"/>
      <c r="BM2252" s="151"/>
      <c r="BN2252" s="128"/>
      <c r="BO2252" s="128"/>
      <c r="BP2252" s="128"/>
      <c r="BQ2252" s="128"/>
      <c r="BR2252" s="128"/>
      <c r="BS2252" s="128"/>
      <c r="BT2252" s="128"/>
      <c r="BU2252" s="128"/>
      <c r="BV2252" s="128"/>
      <c r="BW2252" s="128"/>
      <c r="BX2252" s="128"/>
      <c r="BY2252" s="128"/>
      <c r="BZ2252" s="128"/>
      <c r="CA2252" s="128"/>
      <c r="CB2252" s="128"/>
      <c r="CC2252" s="128"/>
      <c r="CD2252" s="128"/>
      <c r="CE2252" s="128"/>
      <c r="CF2252" s="128"/>
      <c r="CG2252" s="128"/>
      <c r="CI2252" s="128"/>
      <c r="CJ2252" s="128"/>
      <c r="CK2252" s="128"/>
      <c r="CL2252" s="128"/>
      <c r="CM2252" s="128"/>
      <c r="CN2252" s="128"/>
      <c r="CO2252" s="128"/>
      <c r="CP2252" s="128"/>
      <c r="CQ2252" s="128"/>
      <c r="CR2252" s="128"/>
      <c r="CS2252" s="128"/>
      <c r="CT2252" s="128"/>
      <c r="CU2252" s="128"/>
      <c r="CV2252" s="128"/>
      <c r="CW2252" s="128"/>
      <c r="CX2252" s="128"/>
      <c r="CY2252" s="128"/>
      <c r="CZ2252" s="165"/>
    </row>
    <row r="2253" spans="1:104">
      <c r="A2253" s="149"/>
      <c r="B2253" s="149"/>
      <c r="C2253" s="150"/>
      <c r="D2253" s="102"/>
      <c r="E2253" s="149"/>
      <c r="F2253" s="149"/>
      <c r="G2253" s="149"/>
      <c r="H2253" s="149"/>
      <c r="I2253" s="149"/>
      <c r="J2253" s="149"/>
      <c r="K2253" s="149"/>
      <c r="L2253" s="149"/>
      <c r="M2253" s="149"/>
      <c r="N2253" s="149"/>
      <c r="O2253" s="149"/>
      <c r="P2253" s="149"/>
      <c r="Q2253" s="149"/>
      <c r="R2253" s="149"/>
      <c r="S2253" s="149"/>
      <c r="T2253" s="149"/>
      <c r="U2253" s="149"/>
      <c r="V2253" s="149"/>
      <c r="W2253" s="149"/>
      <c r="X2253" s="149"/>
      <c r="Y2253" s="149"/>
      <c r="Z2253" s="149"/>
      <c r="AA2253" s="149"/>
      <c r="AB2253" s="149"/>
      <c r="AC2253" s="149"/>
      <c r="AD2253" s="149"/>
      <c r="AE2253" s="149"/>
      <c r="AF2253" s="149"/>
      <c r="AG2253" s="149"/>
      <c r="AH2253" s="149"/>
      <c r="AI2253" s="149"/>
      <c r="AJ2253" s="149"/>
      <c r="AK2253" s="149"/>
      <c r="AL2253" s="149"/>
      <c r="AM2253" s="149"/>
      <c r="AN2253" s="149"/>
      <c r="AO2253" s="128"/>
      <c r="AP2253" s="128"/>
      <c r="AQ2253" s="128"/>
      <c r="AR2253" s="128"/>
      <c r="AS2253" s="128"/>
      <c r="AT2253" s="128"/>
      <c r="AU2253" s="128"/>
      <c r="AV2253" s="128"/>
      <c r="AW2253" s="128"/>
      <c r="AX2253" s="128"/>
      <c r="AY2253" s="128"/>
      <c r="AZ2253" s="128"/>
      <c r="BA2253" s="128"/>
      <c r="BB2253" s="128"/>
      <c r="BC2253" s="128"/>
      <c r="BD2253" s="128"/>
      <c r="BE2253" s="128"/>
      <c r="BF2253" s="128"/>
      <c r="BG2253" s="128"/>
      <c r="BH2253" s="128"/>
      <c r="BI2253" s="128"/>
      <c r="BJ2253" s="128"/>
      <c r="BK2253" s="128"/>
      <c r="BL2253" s="128"/>
      <c r="BM2253" s="151"/>
      <c r="BN2253" s="128"/>
      <c r="BO2253" s="128"/>
      <c r="BP2253" s="128"/>
      <c r="BQ2253" s="128"/>
      <c r="BR2253" s="128"/>
      <c r="BS2253" s="128"/>
      <c r="BT2253" s="128"/>
      <c r="BU2253" s="128"/>
      <c r="BV2253" s="128"/>
      <c r="BW2253" s="128"/>
      <c r="BX2253" s="128"/>
      <c r="BY2253" s="128"/>
      <c r="BZ2253" s="128"/>
      <c r="CA2253" s="128"/>
      <c r="CB2253" s="128"/>
      <c r="CC2253" s="128"/>
      <c r="CD2253" s="128"/>
      <c r="CE2253" s="128"/>
      <c r="CF2253" s="128"/>
      <c r="CG2253" s="128"/>
      <c r="CI2253" s="128"/>
      <c r="CJ2253" s="128"/>
      <c r="CK2253" s="128"/>
      <c r="CL2253" s="128"/>
      <c r="CM2253" s="128"/>
      <c r="CN2253" s="128"/>
      <c r="CO2253" s="128"/>
      <c r="CP2253" s="128"/>
      <c r="CQ2253" s="128"/>
      <c r="CR2253" s="128"/>
      <c r="CS2253" s="128"/>
      <c r="CT2253" s="128"/>
      <c r="CU2253" s="128"/>
      <c r="CV2253" s="128"/>
      <c r="CW2253" s="128"/>
      <c r="CX2253" s="128"/>
      <c r="CY2253" s="128"/>
      <c r="CZ2253" s="165"/>
    </row>
    <row r="2254" spans="1:104">
      <c r="A2254" s="149"/>
      <c r="B2254" s="149"/>
      <c r="C2254" s="150"/>
      <c r="D2254" s="102"/>
      <c r="E2254" s="149"/>
      <c r="F2254" s="149"/>
      <c r="G2254" s="149"/>
      <c r="H2254" s="149"/>
      <c r="I2254" s="149"/>
      <c r="J2254" s="149"/>
      <c r="K2254" s="149"/>
      <c r="L2254" s="149"/>
      <c r="M2254" s="149"/>
      <c r="N2254" s="149"/>
      <c r="O2254" s="149"/>
      <c r="P2254" s="149"/>
      <c r="Q2254" s="149"/>
      <c r="R2254" s="149"/>
      <c r="S2254" s="149"/>
      <c r="T2254" s="149"/>
      <c r="U2254" s="149"/>
      <c r="V2254" s="149"/>
      <c r="W2254" s="149"/>
      <c r="X2254" s="149"/>
      <c r="Y2254" s="149"/>
      <c r="Z2254" s="149"/>
      <c r="AA2254" s="149"/>
      <c r="AB2254" s="149"/>
      <c r="AC2254" s="149"/>
      <c r="AD2254" s="149"/>
      <c r="AE2254" s="149"/>
      <c r="AF2254" s="149"/>
      <c r="AG2254" s="149"/>
      <c r="AH2254" s="149"/>
      <c r="AI2254" s="149"/>
      <c r="AJ2254" s="149"/>
      <c r="AK2254" s="149"/>
      <c r="AL2254" s="149"/>
      <c r="AM2254" s="149"/>
      <c r="AN2254" s="149"/>
      <c r="AO2254" s="128"/>
      <c r="AP2254" s="128"/>
      <c r="AQ2254" s="128"/>
      <c r="AR2254" s="128"/>
      <c r="AS2254" s="128"/>
      <c r="AT2254" s="128"/>
      <c r="AU2254" s="128"/>
      <c r="AV2254" s="128"/>
      <c r="AW2254" s="128"/>
      <c r="AX2254" s="128"/>
      <c r="AY2254" s="128"/>
      <c r="AZ2254" s="128"/>
      <c r="BA2254" s="128"/>
      <c r="BB2254" s="128"/>
      <c r="BC2254" s="128"/>
      <c r="BD2254" s="128"/>
      <c r="BE2254" s="128"/>
      <c r="BF2254" s="128"/>
      <c r="BG2254" s="128"/>
      <c r="BH2254" s="128"/>
      <c r="BI2254" s="128"/>
      <c r="BJ2254" s="128"/>
      <c r="BK2254" s="128"/>
      <c r="BL2254" s="128"/>
      <c r="BM2254" s="151"/>
      <c r="BN2254" s="128"/>
      <c r="BO2254" s="128"/>
      <c r="BP2254" s="128"/>
      <c r="BQ2254" s="128"/>
      <c r="BR2254" s="128"/>
      <c r="BS2254" s="128"/>
      <c r="BT2254" s="128"/>
      <c r="BU2254" s="128"/>
      <c r="BV2254" s="128"/>
      <c r="BW2254" s="128"/>
      <c r="BX2254" s="128"/>
      <c r="BY2254" s="128"/>
      <c r="BZ2254" s="128"/>
      <c r="CA2254" s="128"/>
      <c r="CB2254" s="128"/>
      <c r="CC2254" s="128"/>
      <c r="CD2254" s="128"/>
      <c r="CE2254" s="128"/>
      <c r="CF2254" s="128"/>
      <c r="CG2254" s="128"/>
      <c r="CI2254" s="128"/>
      <c r="CJ2254" s="128"/>
      <c r="CK2254" s="128"/>
      <c r="CL2254" s="128"/>
      <c r="CM2254" s="128"/>
      <c r="CN2254" s="128"/>
      <c r="CO2254" s="128"/>
      <c r="CP2254" s="128"/>
      <c r="CQ2254" s="128"/>
      <c r="CR2254" s="128"/>
      <c r="CS2254" s="128"/>
      <c r="CT2254" s="128"/>
      <c r="CU2254" s="128"/>
      <c r="CV2254" s="128"/>
      <c r="CW2254" s="128"/>
      <c r="CX2254" s="128"/>
      <c r="CY2254" s="128"/>
      <c r="CZ2254" s="165"/>
    </row>
    <row r="2255" spans="1:104">
      <c r="A2255" s="149"/>
      <c r="B2255" s="149"/>
      <c r="C2255" s="150"/>
      <c r="D2255" s="102"/>
      <c r="E2255" s="149"/>
      <c r="F2255" s="149"/>
      <c r="G2255" s="149"/>
      <c r="H2255" s="149"/>
      <c r="I2255" s="149"/>
      <c r="J2255" s="149"/>
      <c r="K2255" s="149"/>
      <c r="L2255" s="149"/>
      <c r="M2255" s="149"/>
      <c r="N2255" s="149"/>
      <c r="O2255" s="149"/>
      <c r="P2255" s="149"/>
      <c r="Q2255" s="149"/>
      <c r="R2255" s="149"/>
      <c r="S2255" s="149"/>
      <c r="T2255" s="149"/>
      <c r="U2255" s="149"/>
      <c r="V2255" s="149"/>
      <c r="W2255" s="149"/>
      <c r="X2255" s="149"/>
      <c r="Y2255" s="149"/>
      <c r="Z2255" s="149"/>
      <c r="AA2255" s="149"/>
      <c r="AB2255" s="149"/>
      <c r="AC2255" s="149"/>
      <c r="AD2255" s="149"/>
      <c r="AE2255" s="149"/>
      <c r="AF2255" s="149"/>
      <c r="AG2255" s="149"/>
      <c r="AH2255" s="149"/>
      <c r="AI2255" s="149"/>
      <c r="AJ2255" s="149"/>
      <c r="AK2255" s="149"/>
      <c r="AL2255" s="149"/>
      <c r="AM2255" s="149"/>
      <c r="AN2255" s="149"/>
      <c r="AO2255" s="128"/>
      <c r="AP2255" s="128"/>
      <c r="AQ2255" s="128"/>
      <c r="AR2255" s="128"/>
      <c r="AS2255" s="128"/>
      <c r="AT2255" s="128"/>
      <c r="AU2255" s="128"/>
      <c r="AV2255" s="128"/>
      <c r="AW2255" s="128"/>
      <c r="AX2255" s="128"/>
      <c r="AY2255" s="128"/>
      <c r="AZ2255" s="128"/>
      <c r="BA2255" s="128"/>
      <c r="BB2255" s="128"/>
      <c r="BC2255" s="128"/>
      <c r="BD2255" s="128"/>
      <c r="BE2255" s="128"/>
      <c r="BF2255" s="128"/>
      <c r="BG2255" s="128"/>
      <c r="BH2255" s="128"/>
      <c r="BI2255" s="128"/>
      <c r="BJ2255" s="128"/>
      <c r="BK2255" s="128"/>
      <c r="BL2255" s="128"/>
      <c r="BM2255" s="151"/>
      <c r="BN2255" s="128"/>
      <c r="BO2255" s="128"/>
      <c r="BP2255" s="128"/>
      <c r="BQ2255" s="128"/>
      <c r="BR2255" s="128"/>
      <c r="BS2255" s="128"/>
      <c r="BT2255" s="128"/>
      <c r="BU2255" s="128"/>
      <c r="BV2255" s="128"/>
      <c r="BW2255" s="128"/>
      <c r="BX2255" s="128"/>
      <c r="BY2255" s="128"/>
      <c r="BZ2255" s="128"/>
      <c r="CA2255" s="128"/>
      <c r="CB2255" s="128"/>
      <c r="CC2255" s="128"/>
      <c r="CD2255" s="128"/>
      <c r="CE2255" s="128"/>
      <c r="CF2255" s="128"/>
      <c r="CG2255" s="128"/>
      <c r="CI2255" s="128"/>
      <c r="CJ2255" s="128"/>
      <c r="CK2255" s="128"/>
      <c r="CL2255" s="128"/>
      <c r="CM2255" s="128"/>
      <c r="CN2255" s="128"/>
      <c r="CO2255" s="128"/>
      <c r="CP2255" s="128"/>
      <c r="CQ2255" s="128"/>
      <c r="CR2255" s="128"/>
      <c r="CS2255" s="128"/>
      <c r="CT2255" s="128"/>
      <c r="CU2255" s="128"/>
      <c r="CV2255" s="128"/>
      <c r="CW2255" s="128"/>
      <c r="CX2255" s="128"/>
      <c r="CY2255" s="128"/>
      <c r="CZ2255" s="165"/>
    </row>
    <row r="2256" spans="1:104">
      <c r="A2256" s="149"/>
      <c r="B2256" s="149"/>
      <c r="C2256" s="150"/>
      <c r="D2256" s="102"/>
      <c r="E2256" s="149"/>
      <c r="F2256" s="149"/>
      <c r="G2256" s="149"/>
      <c r="H2256" s="149"/>
      <c r="I2256" s="149"/>
      <c r="J2256" s="149"/>
      <c r="K2256" s="149"/>
      <c r="L2256" s="149"/>
      <c r="M2256" s="149"/>
      <c r="N2256" s="149"/>
      <c r="O2256" s="149"/>
      <c r="P2256" s="149"/>
      <c r="Q2256" s="149"/>
      <c r="R2256" s="149"/>
      <c r="S2256" s="149"/>
      <c r="T2256" s="149"/>
      <c r="U2256" s="149"/>
      <c r="V2256" s="149"/>
      <c r="W2256" s="149"/>
      <c r="X2256" s="149"/>
      <c r="Y2256" s="149"/>
      <c r="Z2256" s="149"/>
      <c r="AA2256" s="149"/>
      <c r="AB2256" s="149"/>
      <c r="AC2256" s="149"/>
      <c r="AD2256" s="149"/>
      <c r="AE2256" s="149"/>
      <c r="AF2256" s="149"/>
      <c r="AG2256" s="149"/>
      <c r="AH2256" s="149"/>
      <c r="AI2256" s="149"/>
      <c r="AJ2256" s="149"/>
      <c r="AK2256" s="149"/>
      <c r="AL2256" s="149"/>
      <c r="AM2256" s="149"/>
      <c r="AN2256" s="149"/>
      <c r="AO2256" s="128"/>
      <c r="AP2256" s="128"/>
      <c r="AQ2256" s="128"/>
      <c r="AR2256" s="128"/>
      <c r="AS2256" s="128"/>
      <c r="AT2256" s="128"/>
      <c r="AU2256" s="128"/>
      <c r="AV2256" s="128"/>
      <c r="AW2256" s="128"/>
      <c r="AX2256" s="128"/>
      <c r="AY2256" s="128"/>
      <c r="AZ2256" s="128"/>
      <c r="BA2256" s="128"/>
      <c r="BB2256" s="128"/>
      <c r="BC2256" s="128"/>
      <c r="BD2256" s="128"/>
      <c r="BE2256" s="128"/>
      <c r="BF2256" s="128"/>
      <c r="BG2256" s="128"/>
      <c r="BH2256" s="128"/>
      <c r="BI2256" s="128"/>
      <c r="BJ2256" s="128"/>
      <c r="BK2256" s="128"/>
      <c r="BL2256" s="128"/>
      <c r="BM2256" s="151"/>
      <c r="BN2256" s="128"/>
      <c r="BO2256" s="128"/>
      <c r="BP2256" s="128"/>
      <c r="BQ2256" s="128"/>
      <c r="BR2256" s="128"/>
      <c r="BS2256" s="128"/>
      <c r="BT2256" s="128"/>
      <c r="BU2256" s="128"/>
      <c r="BV2256" s="128"/>
      <c r="BW2256" s="128"/>
      <c r="BX2256" s="128"/>
      <c r="BY2256" s="128"/>
      <c r="BZ2256" s="128"/>
      <c r="CA2256" s="128"/>
      <c r="CB2256" s="128"/>
      <c r="CC2256" s="128"/>
      <c r="CD2256" s="128"/>
      <c r="CE2256" s="128"/>
      <c r="CF2256" s="128"/>
      <c r="CG2256" s="128"/>
      <c r="CI2256" s="128"/>
      <c r="CJ2256" s="128"/>
      <c r="CK2256" s="128"/>
      <c r="CL2256" s="128"/>
      <c r="CM2256" s="128"/>
      <c r="CN2256" s="128"/>
      <c r="CO2256" s="128"/>
      <c r="CP2256" s="128"/>
      <c r="CQ2256" s="128"/>
      <c r="CR2256" s="128"/>
      <c r="CS2256" s="128"/>
      <c r="CT2256" s="128"/>
      <c r="CU2256" s="128"/>
      <c r="CV2256" s="128"/>
      <c r="CW2256" s="128"/>
      <c r="CX2256" s="128"/>
      <c r="CY2256" s="128"/>
      <c r="CZ2256" s="165"/>
    </row>
    <row r="2257" spans="1:104">
      <c r="A2257" s="149"/>
      <c r="B2257" s="149"/>
      <c r="C2257" s="150"/>
      <c r="D2257" s="102"/>
      <c r="E2257" s="149"/>
      <c r="F2257" s="149"/>
      <c r="G2257" s="149"/>
      <c r="H2257" s="149"/>
      <c r="I2257" s="149"/>
      <c r="J2257" s="149"/>
      <c r="K2257" s="149"/>
      <c r="L2257" s="149"/>
      <c r="M2257" s="149"/>
      <c r="N2257" s="149"/>
      <c r="O2257" s="149"/>
      <c r="P2257" s="149"/>
      <c r="Q2257" s="149"/>
      <c r="R2257" s="149"/>
      <c r="S2257" s="149"/>
      <c r="T2257" s="149"/>
      <c r="U2257" s="149"/>
      <c r="V2257" s="149"/>
      <c r="W2257" s="149"/>
      <c r="X2257" s="149"/>
      <c r="Y2257" s="149"/>
      <c r="Z2257" s="149"/>
      <c r="AA2257" s="149"/>
      <c r="AB2257" s="149"/>
      <c r="AC2257" s="149"/>
      <c r="AD2257" s="149"/>
      <c r="AE2257" s="149"/>
      <c r="AF2257" s="149"/>
      <c r="AG2257" s="149"/>
      <c r="AH2257" s="149"/>
      <c r="AI2257" s="149"/>
      <c r="AJ2257" s="149"/>
      <c r="AK2257" s="149"/>
      <c r="AL2257" s="149"/>
      <c r="AM2257" s="149"/>
      <c r="AN2257" s="149"/>
      <c r="AO2257" s="128"/>
      <c r="AP2257" s="128"/>
      <c r="AQ2257" s="128"/>
      <c r="AR2257" s="128"/>
      <c r="AS2257" s="128"/>
      <c r="AT2257" s="128"/>
      <c r="AU2257" s="128"/>
      <c r="AV2257" s="128"/>
      <c r="AW2257" s="128"/>
      <c r="AX2257" s="128"/>
      <c r="AY2257" s="128"/>
      <c r="AZ2257" s="128"/>
      <c r="BA2257" s="128"/>
      <c r="BB2257" s="128"/>
      <c r="BC2257" s="128"/>
      <c r="BD2257" s="128"/>
      <c r="BE2257" s="128"/>
      <c r="BF2257" s="128"/>
      <c r="BG2257" s="128"/>
      <c r="BH2257" s="128"/>
      <c r="BI2257" s="128"/>
      <c r="BJ2257" s="128"/>
      <c r="BK2257" s="128"/>
      <c r="BL2257" s="128"/>
      <c r="BM2257" s="151"/>
      <c r="BN2257" s="128"/>
      <c r="BO2257" s="128"/>
      <c r="BP2257" s="128"/>
      <c r="BQ2257" s="128"/>
      <c r="BR2257" s="128"/>
      <c r="BS2257" s="128"/>
      <c r="BT2257" s="128"/>
      <c r="BU2257" s="128"/>
      <c r="BV2257" s="128"/>
      <c r="BW2257" s="128"/>
      <c r="BX2257" s="128"/>
      <c r="BY2257" s="128"/>
      <c r="BZ2257" s="128"/>
      <c r="CA2257" s="128"/>
      <c r="CB2257" s="128"/>
      <c r="CC2257" s="128"/>
      <c r="CD2257" s="128"/>
      <c r="CE2257" s="128"/>
      <c r="CF2257" s="128"/>
      <c r="CG2257" s="128"/>
      <c r="CI2257" s="128"/>
      <c r="CJ2257" s="128"/>
      <c r="CK2257" s="128"/>
      <c r="CL2257" s="128"/>
      <c r="CM2257" s="128"/>
      <c r="CN2257" s="128"/>
      <c r="CO2257" s="128"/>
      <c r="CP2257" s="128"/>
      <c r="CQ2257" s="128"/>
      <c r="CR2257" s="128"/>
      <c r="CS2257" s="128"/>
      <c r="CT2257" s="128"/>
      <c r="CU2257" s="128"/>
      <c r="CV2257" s="128"/>
      <c r="CW2257" s="128"/>
      <c r="CX2257" s="128"/>
      <c r="CY2257" s="128"/>
      <c r="CZ2257" s="165"/>
    </row>
    <row r="2258" spans="1:104">
      <c r="A2258" s="149"/>
      <c r="B2258" s="149"/>
      <c r="C2258" s="150"/>
      <c r="D2258" s="102"/>
      <c r="E2258" s="149"/>
      <c r="F2258" s="149"/>
      <c r="G2258" s="149"/>
      <c r="H2258" s="149"/>
      <c r="I2258" s="149"/>
      <c r="J2258" s="149"/>
      <c r="K2258" s="149"/>
      <c r="L2258" s="149"/>
      <c r="M2258" s="149"/>
      <c r="N2258" s="149"/>
      <c r="O2258" s="149"/>
      <c r="P2258" s="149"/>
      <c r="Q2258" s="149"/>
      <c r="R2258" s="149"/>
      <c r="S2258" s="149"/>
      <c r="T2258" s="149"/>
      <c r="U2258" s="149"/>
      <c r="V2258" s="149"/>
      <c r="W2258" s="149"/>
      <c r="X2258" s="149"/>
      <c r="Y2258" s="149"/>
      <c r="Z2258" s="149"/>
      <c r="AA2258" s="149"/>
      <c r="AB2258" s="149"/>
      <c r="AC2258" s="149"/>
      <c r="AD2258" s="149"/>
      <c r="AE2258" s="149"/>
      <c r="AF2258" s="149"/>
      <c r="AG2258" s="149"/>
      <c r="AH2258" s="149"/>
      <c r="AI2258" s="149"/>
      <c r="AJ2258" s="149"/>
      <c r="AK2258" s="149"/>
      <c r="AL2258" s="149"/>
      <c r="AM2258" s="149"/>
      <c r="AN2258" s="149"/>
      <c r="AO2258" s="128"/>
      <c r="AP2258" s="128"/>
      <c r="AQ2258" s="128"/>
      <c r="AR2258" s="128"/>
      <c r="AS2258" s="128"/>
      <c r="AT2258" s="128"/>
      <c r="AU2258" s="128"/>
      <c r="AV2258" s="128"/>
      <c r="AW2258" s="128"/>
      <c r="AX2258" s="128"/>
      <c r="AY2258" s="128"/>
      <c r="AZ2258" s="128"/>
      <c r="BA2258" s="128"/>
      <c r="BB2258" s="128"/>
      <c r="BC2258" s="128"/>
      <c r="BD2258" s="128"/>
      <c r="BE2258" s="128"/>
      <c r="BF2258" s="128"/>
      <c r="BG2258" s="128"/>
      <c r="BH2258" s="128"/>
      <c r="BI2258" s="128"/>
      <c r="BJ2258" s="128"/>
      <c r="BK2258" s="128"/>
      <c r="BL2258" s="128"/>
      <c r="BM2258" s="151"/>
      <c r="BN2258" s="128"/>
      <c r="BO2258" s="128"/>
      <c r="BP2258" s="128"/>
      <c r="BQ2258" s="128"/>
      <c r="BR2258" s="128"/>
      <c r="BS2258" s="128"/>
      <c r="BT2258" s="128"/>
      <c r="BU2258" s="128"/>
      <c r="BV2258" s="128"/>
      <c r="BW2258" s="128"/>
      <c r="BX2258" s="128"/>
      <c r="BY2258" s="128"/>
      <c r="BZ2258" s="128"/>
      <c r="CA2258" s="128"/>
      <c r="CB2258" s="128"/>
      <c r="CC2258" s="128"/>
      <c r="CD2258" s="128"/>
      <c r="CE2258" s="128"/>
      <c r="CF2258" s="128"/>
      <c r="CG2258" s="128"/>
      <c r="CI2258" s="128"/>
      <c r="CJ2258" s="128"/>
      <c r="CK2258" s="128"/>
      <c r="CL2258" s="128"/>
      <c r="CM2258" s="128"/>
      <c r="CN2258" s="128"/>
      <c r="CO2258" s="128"/>
      <c r="CP2258" s="128"/>
      <c r="CQ2258" s="128"/>
      <c r="CR2258" s="128"/>
      <c r="CS2258" s="128"/>
      <c r="CT2258" s="128"/>
      <c r="CU2258" s="128"/>
      <c r="CV2258" s="128"/>
      <c r="CW2258" s="128"/>
      <c r="CX2258" s="128"/>
      <c r="CY2258" s="128"/>
      <c r="CZ2258" s="165"/>
    </row>
    <row r="2259" spans="1:104">
      <c r="A2259" s="149"/>
      <c r="B2259" s="149"/>
      <c r="C2259" s="150"/>
      <c r="D2259" s="102"/>
      <c r="E2259" s="149"/>
      <c r="F2259" s="149"/>
      <c r="G2259" s="149"/>
      <c r="H2259" s="149"/>
      <c r="I2259" s="149"/>
      <c r="J2259" s="149"/>
      <c r="K2259" s="149"/>
      <c r="L2259" s="149"/>
      <c r="M2259" s="149"/>
      <c r="N2259" s="149"/>
      <c r="O2259" s="149"/>
      <c r="P2259" s="149"/>
      <c r="Q2259" s="149"/>
      <c r="R2259" s="149"/>
      <c r="S2259" s="149"/>
      <c r="T2259" s="149"/>
      <c r="U2259" s="149"/>
      <c r="V2259" s="149"/>
      <c r="W2259" s="149"/>
      <c r="X2259" s="149"/>
      <c r="Y2259" s="149"/>
      <c r="Z2259" s="149"/>
      <c r="AA2259" s="149"/>
      <c r="AB2259" s="149"/>
      <c r="AC2259" s="149"/>
      <c r="AD2259" s="149"/>
      <c r="AE2259" s="149"/>
      <c r="AF2259" s="149"/>
      <c r="AG2259" s="149"/>
      <c r="AH2259" s="149"/>
      <c r="AI2259" s="149"/>
      <c r="AJ2259" s="149"/>
      <c r="AK2259" s="149"/>
      <c r="AL2259" s="149"/>
      <c r="AM2259" s="149"/>
      <c r="AN2259" s="149"/>
      <c r="AO2259" s="128"/>
      <c r="AP2259" s="128"/>
      <c r="AQ2259" s="128"/>
      <c r="AR2259" s="128"/>
      <c r="AS2259" s="128"/>
      <c r="AT2259" s="128"/>
      <c r="AU2259" s="128"/>
      <c r="AV2259" s="128"/>
      <c r="AW2259" s="128"/>
      <c r="AX2259" s="128"/>
      <c r="AY2259" s="128"/>
      <c r="AZ2259" s="128"/>
      <c r="BA2259" s="128"/>
      <c r="BB2259" s="128"/>
      <c r="BC2259" s="128"/>
      <c r="BD2259" s="128"/>
      <c r="BE2259" s="128"/>
      <c r="BF2259" s="128"/>
      <c r="BG2259" s="128"/>
      <c r="BH2259" s="128"/>
      <c r="BI2259" s="128"/>
      <c r="BJ2259" s="128"/>
      <c r="BK2259" s="128"/>
      <c r="BL2259" s="128"/>
      <c r="BM2259" s="151"/>
      <c r="BN2259" s="128"/>
      <c r="BO2259" s="128"/>
      <c r="BP2259" s="128"/>
      <c r="BQ2259" s="128"/>
      <c r="BR2259" s="128"/>
      <c r="BS2259" s="128"/>
      <c r="BT2259" s="128"/>
      <c r="BU2259" s="128"/>
      <c r="BV2259" s="128"/>
      <c r="BW2259" s="128"/>
      <c r="BX2259" s="128"/>
      <c r="BY2259" s="128"/>
      <c r="BZ2259" s="128"/>
      <c r="CA2259" s="128"/>
      <c r="CB2259" s="128"/>
      <c r="CC2259" s="128"/>
      <c r="CD2259" s="128"/>
      <c r="CE2259" s="128"/>
      <c r="CF2259" s="128"/>
      <c r="CG2259" s="128"/>
      <c r="CI2259" s="128"/>
      <c r="CJ2259" s="128"/>
      <c r="CK2259" s="128"/>
      <c r="CL2259" s="128"/>
      <c r="CM2259" s="128"/>
      <c r="CN2259" s="128"/>
      <c r="CO2259" s="128"/>
      <c r="CP2259" s="128"/>
      <c r="CQ2259" s="128"/>
      <c r="CR2259" s="128"/>
      <c r="CS2259" s="128"/>
      <c r="CT2259" s="128"/>
      <c r="CU2259" s="128"/>
      <c r="CV2259" s="128"/>
      <c r="CW2259" s="128"/>
      <c r="CX2259" s="128"/>
      <c r="CY2259" s="128"/>
      <c r="CZ2259" s="165"/>
    </row>
    <row r="2260" spans="1:104">
      <c r="A2260" s="149"/>
      <c r="B2260" s="149"/>
      <c r="C2260" s="150"/>
      <c r="D2260" s="102"/>
      <c r="E2260" s="149"/>
      <c r="F2260" s="149"/>
      <c r="G2260" s="149"/>
      <c r="H2260" s="149"/>
      <c r="I2260" s="149"/>
      <c r="J2260" s="149"/>
      <c r="K2260" s="149"/>
      <c r="L2260" s="149"/>
      <c r="M2260" s="149"/>
      <c r="N2260" s="149"/>
      <c r="O2260" s="149"/>
      <c r="P2260" s="149"/>
      <c r="Q2260" s="149"/>
      <c r="R2260" s="149"/>
      <c r="S2260" s="149"/>
      <c r="T2260" s="149"/>
      <c r="U2260" s="149"/>
      <c r="V2260" s="149"/>
      <c r="W2260" s="149"/>
      <c r="X2260" s="149"/>
      <c r="Y2260" s="149"/>
      <c r="Z2260" s="149"/>
      <c r="AA2260" s="149"/>
      <c r="AB2260" s="149"/>
      <c r="AC2260" s="149"/>
      <c r="AD2260" s="149"/>
      <c r="AE2260" s="149"/>
      <c r="AF2260" s="149"/>
      <c r="AG2260" s="149"/>
      <c r="AH2260" s="149"/>
      <c r="AI2260" s="149"/>
      <c r="AJ2260" s="149"/>
      <c r="AK2260" s="149"/>
      <c r="AL2260" s="149"/>
      <c r="AM2260" s="149"/>
      <c r="AN2260" s="149"/>
      <c r="AO2260" s="128"/>
      <c r="AP2260" s="128"/>
      <c r="AQ2260" s="128"/>
      <c r="AR2260" s="128"/>
      <c r="AS2260" s="128"/>
      <c r="AT2260" s="128"/>
      <c r="AU2260" s="128"/>
      <c r="AV2260" s="128"/>
      <c r="AW2260" s="128"/>
      <c r="AX2260" s="128"/>
      <c r="AY2260" s="128"/>
      <c r="AZ2260" s="128"/>
      <c r="BA2260" s="128"/>
      <c r="BB2260" s="128"/>
      <c r="BC2260" s="128"/>
      <c r="BD2260" s="128"/>
      <c r="BE2260" s="128"/>
      <c r="BF2260" s="128"/>
      <c r="BG2260" s="128"/>
      <c r="BH2260" s="128"/>
      <c r="BI2260" s="128"/>
      <c r="BJ2260" s="128"/>
      <c r="BK2260" s="128"/>
      <c r="BL2260" s="128"/>
      <c r="BM2260" s="151"/>
      <c r="BN2260" s="128"/>
      <c r="BO2260" s="128"/>
      <c r="BP2260" s="128"/>
      <c r="BQ2260" s="128"/>
      <c r="BR2260" s="128"/>
      <c r="BS2260" s="128"/>
      <c r="BT2260" s="128"/>
      <c r="BU2260" s="128"/>
      <c r="BV2260" s="128"/>
      <c r="BW2260" s="128"/>
      <c r="BX2260" s="128"/>
      <c r="BY2260" s="128"/>
      <c r="BZ2260" s="128"/>
      <c r="CA2260" s="128"/>
      <c r="CB2260" s="128"/>
      <c r="CC2260" s="128"/>
      <c r="CD2260" s="128"/>
      <c r="CE2260" s="128"/>
      <c r="CF2260" s="128"/>
      <c r="CG2260" s="128"/>
      <c r="CI2260" s="128"/>
      <c r="CJ2260" s="128"/>
      <c r="CK2260" s="128"/>
      <c r="CL2260" s="128"/>
      <c r="CM2260" s="128"/>
      <c r="CN2260" s="128"/>
      <c r="CO2260" s="128"/>
      <c r="CP2260" s="128"/>
      <c r="CQ2260" s="128"/>
      <c r="CR2260" s="128"/>
      <c r="CS2260" s="128"/>
      <c r="CT2260" s="128"/>
      <c r="CU2260" s="128"/>
      <c r="CV2260" s="128"/>
      <c r="CW2260" s="128"/>
      <c r="CX2260" s="128"/>
      <c r="CY2260" s="128"/>
      <c r="CZ2260" s="165"/>
    </row>
    <row r="2261" spans="1:104">
      <c r="A2261" s="149"/>
      <c r="B2261" s="149"/>
      <c r="C2261" s="150"/>
      <c r="D2261" s="102"/>
      <c r="E2261" s="149"/>
      <c r="F2261" s="149"/>
      <c r="G2261" s="149"/>
      <c r="H2261" s="149"/>
      <c r="I2261" s="149"/>
      <c r="J2261" s="149"/>
      <c r="K2261" s="149"/>
      <c r="L2261" s="149"/>
      <c r="M2261" s="149"/>
      <c r="N2261" s="149"/>
      <c r="O2261" s="149"/>
      <c r="P2261" s="149"/>
      <c r="Q2261" s="149"/>
      <c r="R2261" s="149"/>
      <c r="S2261" s="149"/>
      <c r="T2261" s="149"/>
      <c r="U2261" s="149"/>
      <c r="V2261" s="149"/>
      <c r="W2261" s="149"/>
      <c r="X2261" s="149"/>
      <c r="Y2261" s="149"/>
      <c r="Z2261" s="149"/>
      <c r="AA2261" s="149"/>
      <c r="AB2261" s="149"/>
      <c r="AC2261" s="149"/>
      <c r="AD2261" s="149"/>
      <c r="AE2261" s="149"/>
      <c r="AF2261" s="149"/>
      <c r="AG2261" s="149"/>
      <c r="AH2261" s="149"/>
      <c r="AI2261" s="149"/>
      <c r="AJ2261" s="149"/>
      <c r="AK2261" s="149"/>
      <c r="AL2261" s="149"/>
      <c r="AM2261" s="149"/>
      <c r="AN2261" s="149"/>
      <c r="AO2261" s="128"/>
      <c r="AP2261" s="128"/>
      <c r="AQ2261" s="128"/>
      <c r="AR2261" s="128"/>
      <c r="AS2261" s="128"/>
      <c r="AT2261" s="128"/>
      <c r="AU2261" s="128"/>
      <c r="AV2261" s="128"/>
      <c r="AW2261" s="128"/>
      <c r="AX2261" s="128"/>
      <c r="AY2261" s="128"/>
      <c r="AZ2261" s="128"/>
      <c r="BA2261" s="128"/>
      <c r="BB2261" s="128"/>
      <c r="BC2261" s="128"/>
      <c r="BD2261" s="128"/>
      <c r="BE2261" s="128"/>
      <c r="BF2261" s="128"/>
      <c r="BG2261" s="128"/>
      <c r="BH2261" s="128"/>
      <c r="BI2261" s="128"/>
      <c r="BJ2261" s="128"/>
      <c r="BK2261" s="128"/>
      <c r="BL2261" s="128"/>
      <c r="BM2261" s="151"/>
      <c r="BN2261" s="128"/>
      <c r="BO2261" s="128"/>
      <c r="BP2261" s="128"/>
      <c r="BQ2261" s="128"/>
      <c r="BR2261" s="128"/>
      <c r="BS2261" s="128"/>
      <c r="BT2261" s="128"/>
      <c r="BU2261" s="128"/>
      <c r="BV2261" s="128"/>
      <c r="BW2261" s="128"/>
      <c r="BX2261" s="128"/>
      <c r="BY2261" s="128"/>
      <c r="BZ2261" s="128"/>
      <c r="CA2261" s="128"/>
      <c r="CB2261" s="128"/>
      <c r="CC2261" s="128"/>
      <c r="CD2261" s="128"/>
      <c r="CE2261" s="128"/>
      <c r="CF2261" s="128"/>
      <c r="CG2261" s="128"/>
      <c r="CI2261" s="128"/>
      <c r="CJ2261" s="128"/>
      <c r="CK2261" s="128"/>
      <c r="CL2261" s="128"/>
      <c r="CM2261" s="128"/>
      <c r="CN2261" s="128"/>
      <c r="CO2261" s="128"/>
      <c r="CP2261" s="128"/>
      <c r="CQ2261" s="128"/>
      <c r="CR2261" s="128"/>
      <c r="CS2261" s="128"/>
      <c r="CT2261" s="128"/>
      <c r="CU2261" s="128"/>
      <c r="CV2261" s="128"/>
      <c r="CW2261" s="128"/>
      <c r="CX2261" s="128"/>
      <c r="CY2261" s="128"/>
      <c r="CZ2261" s="165"/>
    </row>
    <row r="2262" spans="1:104">
      <c r="A2262" s="149"/>
      <c r="B2262" s="149"/>
      <c r="C2262" s="150"/>
      <c r="D2262" s="102"/>
      <c r="E2262" s="149"/>
      <c r="F2262" s="149"/>
      <c r="G2262" s="149"/>
      <c r="H2262" s="149"/>
      <c r="I2262" s="149"/>
      <c r="J2262" s="149"/>
      <c r="K2262" s="149"/>
      <c r="L2262" s="149"/>
      <c r="M2262" s="149"/>
      <c r="N2262" s="149"/>
      <c r="O2262" s="149"/>
      <c r="P2262" s="149"/>
      <c r="Q2262" s="149"/>
      <c r="R2262" s="149"/>
      <c r="S2262" s="149"/>
      <c r="T2262" s="149"/>
      <c r="U2262" s="149"/>
      <c r="V2262" s="149"/>
      <c r="W2262" s="149"/>
      <c r="X2262" s="149"/>
      <c r="Y2262" s="149"/>
      <c r="Z2262" s="149"/>
      <c r="AA2262" s="149"/>
      <c r="AB2262" s="149"/>
      <c r="AC2262" s="149"/>
      <c r="AD2262" s="149"/>
      <c r="AE2262" s="149"/>
      <c r="AF2262" s="149"/>
      <c r="AG2262" s="149"/>
      <c r="AH2262" s="149"/>
      <c r="AI2262" s="149"/>
      <c r="AJ2262" s="149"/>
      <c r="AK2262" s="149"/>
      <c r="AL2262" s="149"/>
      <c r="AM2262" s="149"/>
      <c r="AN2262" s="149"/>
      <c r="AO2262" s="128"/>
      <c r="AP2262" s="128"/>
      <c r="AQ2262" s="128"/>
      <c r="AR2262" s="128"/>
      <c r="AS2262" s="128"/>
      <c r="AT2262" s="128"/>
      <c r="AU2262" s="128"/>
      <c r="AV2262" s="128"/>
      <c r="AW2262" s="128"/>
      <c r="AX2262" s="128"/>
      <c r="AY2262" s="128"/>
      <c r="AZ2262" s="128"/>
      <c r="BA2262" s="128"/>
      <c r="BB2262" s="128"/>
      <c r="BC2262" s="128"/>
      <c r="BD2262" s="128"/>
      <c r="BE2262" s="128"/>
      <c r="BF2262" s="128"/>
      <c r="BG2262" s="128"/>
      <c r="BH2262" s="128"/>
      <c r="BI2262" s="128"/>
      <c r="BJ2262" s="128"/>
      <c r="BK2262" s="128"/>
      <c r="BL2262" s="128"/>
      <c r="BM2262" s="151"/>
      <c r="BN2262" s="128"/>
      <c r="BO2262" s="128"/>
      <c r="BP2262" s="128"/>
      <c r="BQ2262" s="128"/>
      <c r="BR2262" s="128"/>
      <c r="BS2262" s="128"/>
      <c r="BT2262" s="128"/>
      <c r="BU2262" s="128"/>
      <c r="BV2262" s="128"/>
      <c r="BW2262" s="128"/>
      <c r="BX2262" s="128"/>
      <c r="BY2262" s="128"/>
      <c r="BZ2262" s="128"/>
      <c r="CA2262" s="128"/>
      <c r="CB2262" s="128"/>
      <c r="CC2262" s="128"/>
      <c r="CD2262" s="128"/>
      <c r="CE2262" s="128"/>
      <c r="CF2262" s="128"/>
      <c r="CG2262" s="128"/>
      <c r="CI2262" s="128"/>
      <c r="CJ2262" s="128"/>
      <c r="CK2262" s="128"/>
      <c r="CL2262" s="128"/>
      <c r="CM2262" s="128"/>
      <c r="CN2262" s="128"/>
      <c r="CO2262" s="128"/>
      <c r="CP2262" s="128"/>
      <c r="CQ2262" s="128"/>
      <c r="CR2262" s="128"/>
      <c r="CS2262" s="128"/>
      <c r="CT2262" s="128"/>
      <c r="CU2262" s="128"/>
      <c r="CV2262" s="128"/>
      <c r="CW2262" s="128"/>
      <c r="CX2262" s="128"/>
      <c r="CY2262" s="128"/>
      <c r="CZ2262" s="165"/>
    </row>
    <row r="2263" spans="1:104">
      <c r="A2263" s="149"/>
      <c r="B2263" s="149"/>
      <c r="C2263" s="150"/>
      <c r="D2263" s="102"/>
      <c r="E2263" s="149"/>
      <c r="F2263" s="149"/>
      <c r="G2263" s="149"/>
      <c r="H2263" s="149"/>
      <c r="I2263" s="149"/>
      <c r="J2263" s="149"/>
      <c r="K2263" s="149"/>
      <c r="L2263" s="149"/>
      <c r="M2263" s="149"/>
      <c r="N2263" s="149"/>
      <c r="O2263" s="149"/>
      <c r="P2263" s="149"/>
      <c r="Q2263" s="149"/>
      <c r="R2263" s="149"/>
      <c r="S2263" s="149"/>
      <c r="T2263" s="149"/>
      <c r="U2263" s="149"/>
      <c r="V2263" s="149"/>
      <c r="W2263" s="149"/>
      <c r="X2263" s="149"/>
      <c r="Y2263" s="149"/>
      <c r="Z2263" s="149"/>
      <c r="AA2263" s="149"/>
      <c r="AB2263" s="149"/>
      <c r="AC2263" s="149"/>
      <c r="AD2263" s="149"/>
      <c r="AE2263" s="149"/>
      <c r="AF2263" s="149"/>
      <c r="AG2263" s="149"/>
      <c r="AH2263" s="149"/>
      <c r="AI2263" s="149"/>
      <c r="AJ2263" s="149"/>
      <c r="AK2263" s="149"/>
      <c r="AL2263" s="149"/>
      <c r="AM2263" s="149"/>
      <c r="AN2263" s="149"/>
      <c r="AO2263" s="128"/>
      <c r="AP2263" s="128"/>
      <c r="AQ2263" s="128"/>
      <c r="AR2263" s="128"/>
      <c r="AS2263" s="128"/>
      <c r="AT2263" s="128"/>
      <c r="AU2263" s="128"/>
      <c r="AV2263" s="128"/>
      <c r="AW2263" s="128"/>
      <c r="AX2263" s="128"/>
      <c r="AY2263" s="128"/>
      <c r="AZ2263" s="128"/>
      <c r="BA2263" s="128"/>
      <c r="BB2263" s="128"/>
      <c r="BC2263" s="128"/>
      <c r="BD2263" s="128"/>
      <c r="BE2263" s="128"/>
      <c r="BF2263" s="128"/>
      <c r="BG2263" s="128"/>
      <c r="BH2263" s="128"/>
      <c r="BI2263" s="128"/>
      <c r="BJ2263" s="128"/>
      <c r="BK2263" s="128"/>
      <c r="BL2263" s="128"/>
      <c r="BM2263" s="151"/>
      <c r="BN2263" s="128"/>
      <c r="BO2263" s="128"/>
      <c r="BP2263" s="128"/>
      <c r="BQ2263" s="128"/>
      <c r="BR2263" s="128"/>
      <c r="BS2263" s="128"/>
      <c r="BT2263" s="128"/>
      <c r="BU2263" s="128"/>
      <c r="BV2263" s="128"/>
      <c r="BW2263" s="128"/>
      <c r="BX2263" s="128"/>
      <c r="BY2263" s="128"/>
      <c r="BZ2263" s="128"/>
      <c r="CA2263" s="128"/>
      <c r="CB2263" s="128"/>
      <c r="CC2263" s="128"/>
      <c r="CD2263" s="128"/>
      <c r="CE2263" s="128"/>
      <c r="CF2263" s="128"/>
      <c r="CG2263" s="128"/>
      <c r="CI2263" s="128"/>
      <c r="CJ2263" s="128"/>
      <c r="CK2263" s="128"/>
      <c r="CL2263" s="128"/>
      <c r="CM2263" s="128"/>
      <c r="CN2263" s="128"/>
      <c r="CO2263" s="128"/>
      <c r="CP2263" s="128"/>
      <c r="CQ2263" s="128"/>
      <c r="CR2263" s="128"/>
      <c r="CS2263" s="128"/>
      <c r="CT2263" s="128"/>
      <c r="CU2263" s="128"/>
      <c r="CV2263" s="128"/>
      <c r="CW2263" s="128"/>
      <c r="CX2263" s="128"/>
      <c r="CY2263" s="128"/>
      <c r="CZ2263" s="165"/>
    </row>
    <row r="2264" spans="1:104">
      <c r="A2264" s="149"/>
      <c r="B2264" s="149"/>
      <c r="C2264" s="150"/>
      <c r="D2264" s="102"/>
      <c r="E2264" s="149"/>
      <c r="F2264" s="149"/>
      <c r="G2264" s="149"/>
      <c r="H2264" s="149"/>
      <c r="I2264" s="149"/>
      <c r="J2264" s="149"/>
      <c r="K2264" s="149"/>
      <c r="L2264" s="149"/>
      <c r="M2264" s="149"/>
      <c r="N2264" s="149"/>
      <c r="O2264" s="149"/>
      <c r="P2264" s="149"/>
      <c r="Q2264" s="149"/>
      <c r="R2264" s="149"/>
      <c r="S2264" s="149"/>
      <c r="T2264" s="149"/>
      <c r="U2264" s="149"/>
      <c r="V2264" s="149"/>
      <c r="W2264" s="149"/>
      <c r="X2264" s="149"/>
      <c r="Y2264" s="149"/>
      <c r="Z2264" s="149"/>
      <c r="AA2264" s="149"/>
      <c r="AB2264" s="149"/>
      <c r="AC2264" s="149"/>
      <c r="AD2264" s="149"/>
      <c r="AE2264" s="149"/>
      <c r="AF2264" s="149"/>
      <c r="AG2264" s="149"/>
      <c r="AH2264" s="149"/>
      <c r="AI2264" s="149"/>
      <c r="AJ2264" s="149"/>
      <c r="AK2264" s="149"/>
      <c r="AL2264" s="149"/>
      <c r="AM2264" s="149"/>
      <c r="AN2264" s="149"/>
      <c r="AO2264" s="128"/>
      <c r="AP2264" s="128"/>
      <c r="AQ2264" s="128"/>
      <c r="AR2264" s="128"/>
      <c r="AS2264" s="128"/>
      <c r="AT2264" s="128"/>
      <c r="AU2264" s="128"/>
      <c r="AV2264" s="128"/>
      <c r="AW2264" s="128"/>
      <c r="AX2264" s="128"/>
      <c r="AY2264" s="128"/>
      <c r="AZ2264" s="128"/>
      <c r="BA2264" s="128"/>
      <c r="BB2264" s="128"/>
      <c r="BC2264" s="128"/>
      <c r="BD2264" s="128"/>
      <c r="BE2264" s="128"/>
      <c r="BF2264" s="128"/>
      <c r="BG2264" s="128"/>
      <c r="BH2264" s="128"/>
      <c r="BI2264" s="128"/>
      <c r="BJ2264" s="128"/>
      <c r="BK2264" s="128"/>
      <c r="BL2264" s="128"/>
      <c r="BM2264" s="151"/>
      <c r="BN2264" s="128"/>
      <c r="BO2264" s="128"/>
      <c r="BP2264" s="128"/>
      <c r="BQ2264" s="128"/>
      <c r="BR2264" s="128"/>
      <c r="BS2264" s="128"/>
      <c r="BT2264" s="128"/>
      <c r="BU2264" s="128"/>
      <c r="BV2264" s="128"/>
      <c r="BW2264" s="128"/>
      <c r="BX2264" s="128"/>
      <c r="BY2264" s="128"/>
      <c r="BZ2264" s="128"/>
      <c r="CA2264" s="128"/>
      <c r="CB2264" s="128"/>
      <c r="CC2264" s="128"/>
      <c r="CD2264" s="128"/>
      <c r="CE2264" s="128"/>
      <c r="CF2264" s="128"/>
      <c r="CG2264" s="128"/>
      <c r="CI2264" s="128"/>
      <c r="CJ2264" s="128"/>
      <c r="CK2264" s="128"/>
      <c r="CL2264" s="128"/>
      <c r="CM2264" s="128"/>
      <c r="CN2264" s="128"/>
      <c r="CO2264" s="128"/>
      <c r="CP2264" s="128"/>
      <c r="CQ2264" s="128"/>
      <c r="CR2264" s="128"/>
      <c r="CS2264" s="128"/>
      <c r="CT2264" s="128"/>
      <c r="CU2264" s="128"/>
      <c r="CV2264" s="128"/>
      <c r="CW2264" s="128"/>
      <c r="CX2264" s="128"/>
      <c r="CY2264" s="128"/>
      <c r="CZ2264" s="165"/>
    </row>
    <row r="2265" spans="1:104">
      <c r="A2265" s="149"/>
      <c r="B2265" s="149"/>
      <c r="C2265" s="150"/>
      <c r="D2265" s="102"/>
      <c r="E2265" s="149"/>
      <c r="F2265" s="149"/>
      <c r="G2265" s="149"/>
      <c r="H2265" s="149"/>
      <c r="I2265" s="149"/>
      <c r="J2265" s="149"/>
      <c r="K2265" s="149"/>
      <c r="L2265" s="149"/>
      <c r="M2265" s="149"/>
      <c r="N2265" s="149"/>
      <c r="O2265" s="149"/>
      <c r="P2265" s="149"/>
      <c r="Q2265" s="149"/>
      <c r="R2265" s="149"/>
      <c r="S2265" s="149"/>
      <c r="T2265" s="149"/>
      <c r="U2265" s="149"/>
      <c r="V2265" s="149"/>
      <c r="W2265" s="149"/>
      <c r="X2265" s="149"/>
      <c r="Y2265" s="149"/>
      <c r="Z2265" s="149"/>
      <c r="AA2265" s="149"/>
      <c r="AB2265" s="149"/>
      <c r="AC2265" s="149"/>
      <c r="AD2265" s="149"/>
      <c r="AE2265" s="149"/>
      <c r="AF2265" s="149"/>
      <c r="AG2265" s="149"/>
      <c r="AH2265" s="149"/>
      <c r="AI2265" s="149"/>
      <c r="AJ2265" s="149"/>
      <c r="AK2265" s="149"/>
      <c r="AL2265" s="149"/>
      <c r="AM2265" s="149"/>
      <c r="AN2265" s="149"/>
      <c r="AO2265" s="128"/>
      <c r="AP2265" s="128"/>
      <c r="AQ2265" s="128"/>
      <c r="AR2265" s="128"/>
      <c r="AS2265" s="128"/>
      <c r="AT2265" s="128"/>
      <c r="AU2265" s="128"/>
      <c r="AV2265" s="128"/>
      <c r="AW2265" s="128"/>
      <c r="AX2265" s="128"/>
      <c r="AY2265" s="128"/>
      <c r="AZ2265" s="128"/>
      <c r="BA2265" s="128"/>
      <c r="BB2265" s="128"/>
      <c r="BC2265" s="128"/>
      <c r="BD2265" s="128"/>
      <c r="BE2265" s="128"/>
      <c r="BF2265" s="128"/>
      <c r="BG2265" s="128"/>
      <c r="BH2265" s="128"/>
      <c r="BI2265" s="128"/>
      <c r="BJ2265" s="128"/>
      <c r="BK2265" s="128"/>
      <c r="BL2265" s="128"/>
      <c r="BM2265" s="151"/>
      <c r="BN2265" s="128"/>
      <c r="BO2265" s="128"/>
      <c r="BP2265" s="128"/>
      <c r="BQ2265" s="128"/>
      <c r="BR2265" s="128"/>
      <c r="BS2265" s="128"/>
      <c r="BT2265" s="128"/>
      <c r="BU2265" s="128"/>
      <c r="BV2265" s="128"/>
      <c r="BW2265" s="128"/>
      <c r="BX2265" s="128"/>
      <c r="BY2265" s="128"/>
      <c r="BZ2265" s="128"/>
      <c r="CA2265" s="128"/>
      <c r="CB2265" s="128"/>
      <c r="CC2265" s="128"/>
      <c r="CD2265" s="128"/>
      <c r="CE2265" s="128"/>
      <c r="CF2265" s="128"/>
      <c r="CG2265" s="128"/>
      <c r="CI2265" s="128"/>
      <c r="CJ2265" s="128"/>
      <c r="CK2265" s="128"/>
      <c r="CL2265" s="128"/>
      <c r="CM2265" s="128"/>
      <c r="CN2265" s="128"/>
      <c r="CO2265" s="128"/>
      <c r="CP2265" s="128"/>
      <c r="CQ2265" s="128"/>
      <c r="CR2265" s="128"/>
      <c r="CS2265" s="128"/>
      <c r="CT2265" s="128"/>
      <c r="CU2265" s="128"/>
      <c r="CV2265" s="128"/>
      <c r="CW2265" s="128"/>
      <c r="CX2265" s="128"/>
      <c r="CY2265" s="128"/>
      <c r="CZ2265" s="165"/>
    </row>
    <row r="2266" spans="1:104">
      <c r="A2266" s="149"/>
      <c r="B2266" s="149"/>
      <c r="C2266" s="150"/>
      <c r="D2266" s="102"/>
      <c r="E2266" s="149"/>
      <c r="F2266" s="149"/>
      <c r="G2266" s="149"/>
      <c r="H2266" s="149"/>
      <c r="I2266" s="149"/>
      <c r="J2266" s="149"/>
      <c r="K2266" s="149"/>
      <c r="L2266" s="149"/>
      <c r="M2266" s="149"/>
      <c r="N2266" s="149"/>
      <c r="O2266" s="149"/>
      <c r="P2266" s="149"/>
      <c r="Q2266" s="149"/>
      <c r="R2266" s="149"/>
      <c r="S2266" s="149"/>
      <c r="T2266" s="149"/>
      <c r="U2266" s="149"/>
      <c r="V2266" s="149"/>
      <c r="W2266" s="149"/>
      <c r="X2266" s="149"/>
      <c r="Y2266" s="149"/>
      <c r="Z2266" s="149"/>
      <c r="AA2266" s="149"/>
      <c r="AB2266" s="149"/>
      <c r="AC2266" s="149"/>
      <c r="AD2266" s="149"/>
      <c r="AE2266" s="149"/>
      <c r="AF2266" s="149"/>
      <c r="AG2266" s="149"/>
      <c r="AH2266" s="149"/>
      <c r="AI2266" s="149"/>
      <c r="AJ2266" s="149"/>
      <c r="AK2266" s="149"/>
      <c r="AL2266" s="149"/>
      <c r="AM2266" s="149"/>
      <c r="AN2266" s="149"/>
      <c r="AO2266" s="128"/>
      <c r="AP2266" s="128"/>
      <c r="AQ2266" s="128"/>
      <c r="AR2266" s="128"/>
      <c r="AS2266" s="128"/>
      <c r="AT2266" s="128"/>
      <c r="AU2266" s="128"/>
      <c r="AV2266" s="128"/>
      <c r="AW2266" s="128"/>
      <c r="AX2266" s="128"/>
      <c r="AY2266" s="128"/>
      <c r="AZ2266" s="128"/>
      <c r="BA2266" s="128"/>
      <c r="BB2266" s="128"/>
      <c r="BC2266" s="128"/>
      <c r="BD2266" s="128"/>
      <c r="BE2266" s="128"/>
      <c r="BF2266" s="128"/>
      <c r="BG2266" s="128"/>
      <c r="BH2266" s="128"/>
      <c r="BI2266" s="128"/>
      <c r="BJ2266" s="128"/>
      <c r="BK2266" s="128"/>
      <c r="BL2266" s="128"/>
      <c r="BM2266" s="151"/>
      <c r="BN2266" s="128"/>
      <c r="BO2266" s="128"/>
      <c r="BP2266" s="128"/>
      <c r="BQ2266" s="128"/>
      <c r="BR2266" s="128"/>
      <c r="BS2266" s="128"/>
      <c r="BT2266" s="128"/>
      <c r="BU2266" s="128"/>
      <c r="BV2266" s="128"/>
      <c r="BW2266" s="128"/>
      <c r="BX2266" s="128"/>
      <c r="BY2266" s="128"/>
      <c r="BZ2266" s="128"/>
      <c r="CA2266" s="128"/>
      <c r="CB2266" s="128"/>
      <c r="CC2266" s="128"/>
      <c r="CD2266" s="128"/>
      <c r="CE2266" s="128"/>
      <c r="CF2266" s="128"/>
      <c r="CG2266" s="128"/>
      <c r="CI2266" s="128"/>
      <c r="CJ2266" s="128"/>
      <c r="CK2266" s="128"/>
      <c r="CL2266" s="128"/>
      <c r="CM2266" s="128"/>
      <c r="CN2266" s="128"/>
      <c r="CO2266" s="128"/>
      <c r="CP2266" s="128"/>
      <c r="CQ2266" s="128"/>
      <c r="CR2266" s="128"/>
      <c r="CS2266" s="128"/>
      <c r="CT2266" s="128"/>
      <c r="CU2266" s="128"/>
      <c r="CV2266" s="128"/>
      <c r="CW2266" s="128"/>
      <c r="CX2266" s="128"/>
      <c r="CY2266" s="128"/>
      <c r="CZ2266" s="165"/>
    </row>
    <row r="2267" spans="1:104">
      <c r="A2267" s="149"/>
      <c r="B2267" s="149"/>
      <c r="C2267" s="150"/>
      <c r="D2267" s="102"/>
      <c r="E2267" s="149"/>
      <c r="F2267" s="149"/>
      <c r="G2267" s="149"/>
      <c r="H2267" s="149"/>
      <c r="I2267" s="149"/>
      <c r="J2267" s="149"/>
      <c r="K2267" s="149"/>
      <c r="L2267" s="149"/>
      <c r="M2267" s="149"/>
      <c r="N2267" s="149"/>
      <c r="O2267" s="149"/>
      <c r="P2267" s="149"/>
      <c r="Q2267" s="149"/>
      <c r="R2267" s="149"/>
      <c r="S2267" s="149"/>
      <c r="T2267" s="149"/>
      <c r="U2267" s="149"/>
      <c r="V2267" s="149"/>
      <c r="W2267" s="149"/>
      <c r="X2267" s="149"/>
      <c r="Y2267" s="149"/>
      <c r="Z2267" s="149"/>
      <c r="AA2267" s="149"/>
      <c r="AB2267" s="149"/>
      <c r="AC2267" s="149"/>
      <c r="AD2267" s="149"/>
      <c r="AE2267" s="149"/>
      <c r="AF2267" s="149"/>
      <c r="AG2267" s="149"/>
      <c r="AH2267" s="149"/>
      <c r="AI2267" s="149"/>
      <c r="AJ2267" s="149"/>
      <c r="AK2267" s="149"/>
      <c r="AL2267" s="149"/>
      <c r="AM2267" s="149"/>
      <c r="AN2267" s="149"/>
      <c r="AO2267" s="128"/>
      <c r="AP2267" s="128"/>
      <c r="AQ2267" s="128"/>
      <c r="AR2267" s="128"/>
      <c r="AS2267" s="128"/>
      <c r="AT2267" s="128"/>
      <c r="AU2267" s="128"/>
      <c r="AV2267" s="128"/>
      <c r="AW2267" s="128"/>
      <c r="AX2267" s="128"/>
      <c r="AY2267" s="128"/>
      <c r="AZ2267" s="128"/>
      <c r="BA2267" s="128"/>
      <c r="BB2267" s="128"/>
      <c r="BC2267" s="128"/>
      <c r="BD2267" s="128"/>
      <c r="BE2267" s="128"/>
      <c r="BF2267" s="128"/>
      <c r="BG2267" s="128"/>
      <c r="BH2267" s="128"/>
      <c r="BI2267" s="128"/>
      <c r="BJ2267" s="128"/>
      <c r="BK2267" s="128"/>
      <c r="BL2267" s="128"/>
      <c r="BM2267" s="151"/>
      <c r="BN2267" s="128"/>
      <c r="BO2267" s="128"/>
      <c r="BP2267" s="128"/>
      <c r="BQ2267" s="128"/>
      <c r="BR2267" s="128"/>
      <c r="BS2267" s="128"/>
      <c r="BT2267" s="128"/>
      <c r="BU2267" s="128"/>
      <c r="BV2267" s="128"/>
      <c r="BW2267" s="128"/>
      <c r="BX2267" s="128"/>
      <c r="BY2267" s="128"/>
      <c r="BZ2267" s="128"/>
      <c r="CA2267" s="128"/>
      <c r="CB2267" s="128"/>
      <c r="CC2267" s="128"/>
      <c r="CD2267" s="128"/>
      <c r="CE2267" s="128"/>
      <c r="CF2267" s="128"/>
      <c r="CG2267" s="128"/>
      <c r="CI2267" s="128"/>
      <c r="CJ2267" s="128"/>
      <c r="CK2267" s="128"/>
      <c r="CL2267" s="128"/>
      <c r="CM2267" s="128"/>
      <c r="CN2267" s="128"/>
      <c r="CO2267" s="128"/>
      <c r="CP2267" s="128"/>
      <c r="CQ2267" s="128"/>
      <c r="CR2267" s="128"/>
      <c r="CS2267" s="128"/>
      <c r="CT2267" s="128"/>
      <c r="CU2267" s="128"/>
      <c r="CV2267" s="128"/>
      <c r="CW2267" s="128"/>
      <c r="CX2267" s="128"/>
      <c r="CY2267" s="128"/>
      <c r="CZ2267" s="165"/>
    </row>
    <row r="2268" spans="1:104">
      <c r="A2268" s="149"/>
      <c r="B2268" s="149"/>
      <c r="C2268" s="150"/>
      <c r="D2268" s="102"/>
      <c r="E2268" s="149"/>
      <c r="F2268" s="149"/>
      <c r="G2268" s="149"/>
      <c r="H2268" s="149"/>
      <c r="I2268" s="149"/>
      <c r="J2268" s="149"/>
      <c r="K2268" s="149"/>
      <c r="L2268" s="149"/>
      <c r="M2268" s="149"/>
      <c r="N2268" s="149"/>
      <c r="O2268" s="149"/>
      <c r="P2268" s="149"/>
      <c r="Q2268" s="149"/>
      <c r="R2268" s="149"/>
      <c r="S2268" s="149"/>
      <c r="T2268" s="149"/>
      <c r="U2268" s="149"/>
      <c r="V2268" s="149"/>
      <c r="W2268" s="149"/>
      <c r="X2268" s="149"/>
      <c r="Y2268" s="149"/>
      <c r="Z2268" s="149"/>
      <c r="AA2268" s="149"/>
      <c r="AB2268" s="149"/>
      <c r="AC2268" s="149"/>
      <c r="AD2268" s="149"/>
      <c r="AE2268" s="149"/>
      <c r="AF2268" s="149"/>
      <c r="AG2268" s="149"/>
      <c r="AH2268" s="149"/>
      <c r="AI2268" s="149"/>
      <c r="AJ2268" s="149"/>
      <c r="AK2268" s="149"/>
      <c r="AL2268" s="149"/>
      <c r="AM2268" s="149"/>
      <c r="AN2268" s="149"/>
      <c r="AO2268" s="128"/>
      <c r="AP2268" s="128"/>
      <c r="AQ2268" s="128"/>
      <c r="AR2268" s="128"/>
      <c r="AS2268" s="128"/>
      <c r="AT2268" s="128"/>
      <c r="AU2268" s="128"/>
      <c r="AV2268" s="128"/>
      <c r="AW2268" s="128"/>
      <c r="AX2268" s="128"/>
      <c r="AY2268" s="128"/>
      <c r="AZ2268" s="128"/>
      <c r="BA2268" s="128"/>
      <c r="BB2268" s="128"/>
      <c r="BC2268" s="128"/>
      <c r="BD2268" s="128"/>
      <c r="BE2268" s="128"/>
      <c r="BF2268" s="128"/>
      <c r="BG2268" s="128"/>
      <c r="BH2268" s="128"/>
      <c r="BI2268" s="128"/>
      <c r="BJ2268" s="128"/>
      <c r="BK2268" s="128"/>
      <c r="BL2268" s="128"/>
      <c r="BM2268" s="151"/>
      <c r="BN2268" s="128"/>
      <c r="BO2268" s="128"/>
      <c r="BP2268" s="128"/>
      <c r="BQ2268" s="128"/>
      <c r="BR2268" s="128"/>
      <c r="BS2268" s="128"/>
      <c r="BT2268" s="128"/>
      <c r="BU2268" s="128"/>
      <c r="BV2268" s="128"/>
      <c r="BW2268" s="128"/>
      <c r="BX2268" s="128"/>
      <c r="BY2268" s="128"/>
      <c r="BZ2268" s="128"/>
      <c r="CA2268" s="128"/>
      <c r="CB2268" s="128"/>
      <c r="CC2268" s="128"/>
      <c r="CD2268" s="128"/>
      <c r="CE2268" s="128"/>
      <c r="CF2268" s="128"/>
      <c r="CG2268" s="128"/>
      <c r="CI2268" s="128"/>
      <c r="CJ2268" s="128"/>
      <c r="CK2268" s="128"/>
      <c r="CL2268" s="128"/>
      <c r="CM2268" s="128"/>
      <c r="CN2268" s="128"/>
      <c r="CO2268" s="128"/>
      <c r="CP2268" s="128"/>
      <c r="CQ2268" s="128"/>
      <c r="CR2268" s="128"/>
      <c r="CS2268" s="128"/>
      <c r="CT2268" s="128"/>
      <c r="CU2268" s="128"/>
      <c r="CV2268" s="128"/>
      <c r="CW2268" s="128"/>
      <c r="CX2268" s="128"/>
      <c r="CY2268" s="128"/>
      <c r="CZ2268" s="165"/>
    </row>
    <row r="2269" spans="1:104">
      <c r="A2269" s="149"/>
      <c r="B2269" s="149"/>
      <c r="C2269" s="150"/>
      <c r="D2269" s="102"/>
      <c r="E2269" s="149"/>
      <c r="F2269" s="149"/>
      <c r="G2269" s="149"/>
      <c r="H2269" s="149"/>
      <c r="I2269" s="149"/>
      <c r="J2269" s="149"/>
      <c r="K2269" s="149"/>
      <c r="L2269" s="149"/>
      <c r="M2269" s="149"/>
      <c r="N2269" s="149"/>
      <c r="O2269" s="149"/>
      <c r="P2269" s="149"/>
      <c r="Q2269" s="149"/>
      <c r="R2269" s="149"/>
      <c r="S2269" s="149"/>
      <c r="T2269" s="149"/>
      <c r="U2269" s="149"/>
      <c r="V2269" s="149"/>
      <c r="W2269" s="149"/>
      <c r="X2269" s="149"/>
      <c r="Y2269" s="149"/>
      <c r="Z2269" s="149"/>
      <c r="AA2269" s="149"/>
      <c r="AB2269" s="149"/>
      <c r="AC2269" s="149"/>
      <c r="AD2269" s="149"/>
      <c r="AE2269" s="149"/>
      <c r="AF2269" s="149"/>
      <c r="AG2269" s="149"/>
      <c r="AH2269" s="149"/>
      <c r="AI2269" s="149"/>
      <c r="AJ2269" s="149"/>
      <c r="AK2269" s="149"/>
      <c r="AL2269" s="149"/>
      <c r="AM2269" s="149"/>
      <c r="AN2269" s="149"/>
      <c r="AO2269" s="128"/>
      <c r="AP2269" s="128"/>
      <c r="AQ2269" s="128"/>
      <c r="AR2269" s="128"/>
      <c r="AS2269" s="128"/>
      <c r="AT2269" s="128"/>
      <c r="AU2269" s="128"/>
      <c r="AV2269" s="128"/>
      <c r="AW2269" s="128"/>
      <c r="AX2269" s="128"/>
      <c r="AY2269" s="128"/>
      <c r="AZ2269" s="128"/>
      <c r="BA2269" s="128"/>
      <c r="BB2269" s="128"/>
      <c r="BC2269" s="128"/>
      <c r="BD2269" s="128"/>
      <c r="BE2269" s="128"/>
      <c r="BF2269" s="128"/>
      <c r="BG2269" s="128"/>
      <c r="BH2269" s="128"/>
      <c r="BI2269" s="128"/>
      <c r="BJ2269" s="128"/>
      <c r="BK2269" s="128"/>
      <c r="BL2269" s="128"/>
      <c r="BM2269" s="151"/>
      <c r="BN2269" s="128"/>
      <c r="BO2269" s="128"/>
      <c r="BP2269" s="128"/>
      <c r="BQ2269" s="128"/>
      <c r="BR2269" s="128"/>
      <c r="BS2269" s="128"/>
      <c r="BT2269" s="128"/>
      <c r="BU2269" s="128"/>
      <c r="BV2269" s="128"/>
      <c r="BW2269" s="128"/>
      <c r="BX2269" s="128"/>
      <c r="BY2269" s="128"/>
      <c r="BZ2269" s="128"/>
      <c r="CA2269" s="128"/>
      <c r="CB2269" s="128"/>
      <c r="CC2269" s="128"/>
      <c r="CD2269" s="128"/>
      <c r="CE2269" s="128"/>
      <c r="CF2269" s="128"/>
      <c r="CG2269" s="128"/>
      <c r="CI2269" s="128"/>
      <c r="CJ2269" s="128"/>
      <c r="CK2269" s="128"/>
      <c r="CL2269" s="128"/>
      <c r="CM2269" s="128"/>
      <c r="CN2269" s="128"/>
      <c r="CO2269" s="128"/>
      <c r="CP2269" s="128"/>
      <c r="CQ2269" s="128"/>
      <c r="CR2269" s="128"/>
      <c r="CS2269" s="128"/>
      <c r="CT2269" s="128"/>
      <c r="CU2269" s="128"/>
      <c r="CV2269" s="128"/>
      <c r="CW2269" s="128"/>
      <c r="CX2269" s="128"/>
      <c r="CY2269" s="128"/>
      <c r="CZ2269" s="165"/>
    </row>
    <row r="2270" spans="1:104">
      <c r="A2270" s="149"/>
      <c r="B2270" s="149"/>
      <c r="C2270" s="150"/>
      <c r="D2270" s="102"/>
      <c r="E2270" s="149"/>
      <c r="F2270" s="149"/>
      <c r="G2270" s="149"/>
      <c r="H2270" s="149"/>
      <c r="I2270" s="149"/>
      <c r="J2270" s="149"/>
      <c r="K2270" s="149"/>
      <c r="L2270" s="149"/>
      <c r="M2270" s="149"/>
      <c r="N2270" s="149"/>
      <c r="O2270" s="149"/>
      <c r="P2270" s="149"/>
      <c r="Q2270" s="149"/>
      <c r="R2270" s="149"/>
      <c r="S2270" s="149"/>
      <c r="T2270" s="149"/>
      <c r="U2270" s="149"/>
      <c r="V2270" s="149"/>
      <c r="W2270" s="149"/>
      <c r="X2270" s="149"/>
      <c r="Y2270" s="149"/>
      <c r="Z2270" s="149"/>
      <c r="AA2270" s="149"/>
      <c r="AB2270" s="149"/>
      <c r="AC2270" s="149"/>
      <c r="AD2270" s="149"/>
      <c r="AE2270" s="149"/>
      <c r="AF2270" s="149"/>
      <c r="AG2270" s="149"/>
      <c r="AH2270" s="149"/>
      <c r="AI2270" s="149"/>
      <c r="AJ2270" s="149"/>
      <c r="AK2270" s="149"/>
      <c r="AL2270" s="149"/>
      <c r="AM2270" s="149"/>
      <c r="AN2270" s="149"/>
      <c r="AO2270" s="128"/>
      <c r="AP2270" s="128"/>
      <c r="AQ2270" s="128"/>
      <c r="AR2270" s="128"/>
      <c r="AS2270" s="128"/>
      <c r="AT2270" s="128"/>
      <c r="AU2270" s="128"/>
      <c r="AV2270" s="128"/>
      <c r="AW2270" s="128"/>
      <c r="AX2270" s="128"/>
      <c r="AY2270" s="128"/>
      <c r="AZ2270" s="128"/>
      <c r="BA2270" s="128"/>
      <c r="BB2270" s="128"/>
      <c r="BC2270" s="128"/>
      <c r="BD2270" s="128"/>
      <c r="BE2270" s="128"/>
      <c r="BF2270" s="128"/>
      <c r="BG2270" s="128"/>
      <c r="BH2270" s="128"/>
      <c r="BI2270" s="128"/>
      <c r="BJ2270" s="128"/>
      <c r="BK2270" s="128"/>
      <c r="BL2270" s="128"/>
      <c r="BM2270" s="151"/>
      <c r="BN2270" s="128"/>
      <c r="BO2270" s="128"/>
      <c r="BP2270" s="128"/>
      <c r="BQ2270" s="128"/>
      <c r="BR2270" s="128"/>
      <c r="BS2270" s="128"/>
      <c r="BT2270" s="128"/>
      <c r="BU2270" s="128"/>
      <c r="BV2270" s="128"/>
      <c r="BW2270" s="128"/>
      <c r="BX2270" s="128"/>
      <c r="BY2270" s="128"/>
      <c r="BZ2270" s="128"/>
      <c r="CA2270" s="128"/>
      <c r="CB2270" s="128"/>
      <c r="CC2270" s="128"/>
      <c r="CD2270" s="128"/>
      <c r="CE2270" s="128"/>
      <c r="CF2270" s="128"/>
      <c r="CG2270" s="128"/>
      <c r="CI2270" s="128"/>
      <c r="CJ2270" s="128"/>
      <c r="CK2270" s="128"/>
      <c r="CL2270" s="128"/>
      <c r="CM2270" s="128"/>
      <c r="CN2270" s="128"/>
      <c r="CO2270" s="128"/>
      <c r="CP2270" s="128"/>
      <c r="CQ2270" s="128"/>
      <c r="CR2270" s="128"/>
      <c r="CS2270" s="128"/>
      <c r="CT2270" s="128"/>
      <c r="CU2270" s="128"/>
      <c r="CV2270" s="128"/>
      <c r="CW2270" s="128"/>
      <c r="CX2270" s="128"/>
      <c r="CY2270" s="128"/>
      <c r="CZ2270" s="165"/>
    </row>
    <row r="2271" spans="1:104">
      <c r="A2271" s="149"/>
      <c r="B2271" s="149"/>
      <c r="C2271" s="150"/>
      <c r="D2271" s="102"/>
      <c r="E2271" s="149"/>
      <c r="F2271" s="149"/>
      <c r="G2271" s="149"/>
      <c r="H2271" s="149"/>
      <c r="I2271" s="149"/>
      <c r="J2271" s="149"/>
      <c r="K2271" s="149"/>
      <c r="L2271" s="149"/>
      <c r="M2271" s="149"/>
      <c r="N2271" s="149"/>
      <c r="O2271" s="149"/>
      <c r="P2271" s="149"/>
      <c r="Q2271" s="149"/>
      <c r="R2271" s="149"/>
      <c r="S2271" s="149"/>
      <c r="T2271" s="149"/>
      <c r="U2271" s="149"/>
      <c r="V2271" s="149"/>
      <c r="W2271" s="149"/>
      <c r="X2271" s="149"/>
      <c r="Y2271" s="149"/>
      <c r="Z2271" s="149"/>
      <c r="AA2271" s="149"/>
      <c r="AB2271" s="149"/>
      <c r="AC2271" s="149"/>
      <c r="AD2271" s="149"/>
      <c r="AE2271" s="149"/>
      <c r="AF2271" s="149"/>
      <c r="AG2271" s="149"/>
      <c r="AH2271" s="149"/>
      <c r="AI2271" s="149"/>
      <c r="AJ2271" s="149"/>
      <c r="AK2271" s="149"/>
      <c r="AL2271" s="149"/>
      <c r="AM2271" s="149"/>
      <c r="AN2271" s="149"/>
      <c r="AO2271" s="128"/>
      <c r="AP2271" s="128"/>
      <c r="AQ2271" s="128"/>
      <c r="AR2271" s="128"/>
      <c r="AS2271" s="128"/>
      <c r="AT2271" s="128"/>
      <c r="AU2271" s="128"/>
      <c r="AV2271" s="128"/>
      <c r="AW2271" s="128"/>
      <c r="AX2271" s="128"/>
      <c r="AY2271" s="128"/>
      <c r="AZ2271" s="128"/>
      <c r="BA2271" s="128"/>
      <c r="BB2271" s="128"/>
      <c r="BC2271" s="128"/>
      <c r="BD2271" s="128"/>
      <c r="BE2271" s="128"/>
      <c r="BF2271" s="128"/>
      <c r="BG2271" s="128"/>
      <c r="BH2271" s="128"/>
      <c r="BI2271" s="128"/>
      <c r="BJ2271" s="128"/>
      <c r="BK2271" s="128"/>
      <c r="BL2271" s="128"/>
      <c r="BM2271" s="151"/>
      <c r="BN2271" s="128"/>
      <c r="BO2271" s="128"/>
      <c r="BP2271" s="128"/>
      <c r="BQ2271" s="128"/>
      <c r="BR2271" s="128"/>
      <c r="BS2271" s="128"/>
      <c r="BT2271" s="128"/>
      <c r="BU2271" s="128"/>
      <c r="BV2271" s="128"/>
      <c r="BW2271" s="128"/>
      <c r="BX2271" s="128"/>
      <c r="BY2271" s="128"/>
      <c r="BZ2271" s="128"/>
      <c r="CA2271" s="128"/>
      <c r="CB2271" s="128"/>
      <c r="CC2271" s="128"/>
      <c r="CD2271" s="128"/>
      <c r="CE2271" s="128"/>
      <c r="CF2271" s="128"/>
      <c r="CG2271" s="128"/>
      <c r="CI2271" s="128"/>
      <c r="CJ2271" s="128"/>
      <c r="CK2271" s="128"/>
      <c r="CL2271" s="128"/>
      <c r="CM2271" s="128"/>
      <c r="CN2271" s="128"/>
      <c r="CO2271" s="128"/>
      <c r="CP2271" s="128"/>
      <c r="CQ2271" s="128"/>
      <c r="CR2271" s="128"/>
      <c r="CS2271" s="128"/>
      <c r="CT2271" s="128"/>
      <c r="CU2271" s="128"/>
      <c r="CV2271" s="128"/>
      <c r="CW2271" s="128"/>
      <c r="CX2271" s="128"/>
      <c r="CY2271" s="128"/>
      <c r="CZ2271" s="165"/>
    </row>
    <row r="2272" spans="1:104">
      <c r="A2272" s="149"/>
      <c r="B2272" s="149"/>
      <c r="C2272" s="150"/>
      <c r="D2272" s="102"/>
      <c r="E2272" s="149"/>
      <c r="F2272" s="149"/>
      <c r="G2272" s="149"/>
      <c r="H2272" s="149"/>
      <c r="I2272" s="149"/>
      <c r="J2272" s="149"/>
      <c r="K2272" s="149"/>
      <c r="L2272" s="149"/>
      <c r="M2272" s="149"/>
      <c r="N2272" s="149"/>
      <c r="O2272" s="149"/>
      <c r="P2272" s="149"/>
      <c r="Q2272" s="149"/>
      <c r="R2272" s="149"/>
      <c r="S2272" s="149"/>
      <c r="T2272" s="149"/>
      <c r="U2272" s="149"/>
      <c r="V2272" s="149"/>
      <c r="W2272" s="149"/>
      <c r="X2272" s="149"/>
      <c r="Y2272" s="149"/>
      <c r="Z2272" s="149"/>
      <c r="AA2272" s="149"/>
      <c r="AB2272" s="149"/>
      <c r="AC2272" s="149"/>
      <c r="AD2272" s="149"/>
      <c r="AE2272" s="149"/>
      <c r="AF2272" s="149"/>
      <c r="AG2272" s="149"/>
      <c r="AH2272" s="149"/>
      <c r="AI2272" s="149"/>
      <c r="AJ2272" s="149"/>
      <c r="AK2272" s="149"/>
      <c r="AL2272" s="149"/>
      <c r="AM2272" s="149"/>
      <c r="AN2272" s="149"/>
      <c r="AO2272" s="128"/>
      <c r="AP2272" s="128"/>
      <c r="AQ2272" s="128"/>
      <c r="AR2272" s="128"/>
      <c r="AS2272" s="128"/>
      <c r="AT2272" s="128"/>
      <c r="AU2272" s="128"/>
      <c r="AV2272" s="128"/>
      <c r="AW2272" s="128"/>
      <c r="AX2272" s="128"/>
      <c r="AY2272" s="128"/>
      <c r="AZ2272" s="128"/>
      <c r="BA2272" s="128"/>
      <c r="BB2272" s="128"/>
      <c r="BC2272" s="128"/>
      <c r="BD2272" s="128"/>
      <c r="BE2272" s="128"/>
      <c r="BF2272" s="128"/>
      <c r="BG2272" s="128"/>
      <c r="BH2272" s="128"/>
      <c r="BI2272" s="128"/>
      <c r="BJ2272" s="128"/>
      <c r="BK2272" s="128"/>
      <c r="BL2272" s="128"/>
      <c r="BM2272" s="151"/>
      <c r="BN2272" s="128"/>
      <c r="BO2272" s="128"/>
      <c r="BP2272" s="128"/>
      <c r="BQ2272" s="128"/>
      <c r="BR2272" s="128"/>
      <c r="BS2272" s="128"/>
      <c r="BT2272" s="128"/>
      <c r="BU2272" s="128"/>
      <c r="BV2272" s="128"/>
      <c r="BW2272" s="128"/>
      <c r="BX2272" s="128"/>
      <c r="BY2272" s="128"/>
      <c r="BZ2272" s="128"/>
      <c r="CA2272" s="128"/>
      <c r="CB2272" s="128"/>
      <c r="CC2272" s="128"/>
      <c r="CD2272" s="128"/>
      <c r="CE2272" s="128"/>
      <c r="CF2272" s="128"/>
      <c r="CG2272" s="128"/>
      <c r="CI2272" s="128"/>
      <c r="CJ2272" s="128"/>
      <c r="CK2272" s="128"/>
      <c r="CL2272" s="128"/>
      <c r="CM2272" s="128"/>
      <c r="CN2272" s="128"/>
      <c r="CO2272" s="128"/>
      <c r="CP2272" s="128"/>
      <c r="CQ2272" s="128"/>
      <c r="CR2272" s="128"/>
      <c r="CS2272" s="128"/>
      <c r="CT2272" s="128"/>
      <c r="CU2272" s="128"/>
      <c r="CV2272" s="128"/>
      <c r="CW2272" s="128"/>
      <c r="CX2272" s="128"/>
      <c r="CY2272" s="128"/>
      <c r="CZ2272" s="165"/>
    </row>
    <row r="2273" spans="1:104">
      <c r="A2273" s="149"/>
      <c r="B2273" s="149"/>
      <c r="C2273" s="150"/>
      <c r="D2273" s="102"/>
      <c r="E2273" s="149"/>
      <c r="F2273" s="149"/>
      <c r="G2273" s="149"/>
      <c r="H2273" s="149"/>
      <c r="I2273" s="149"/>
      <c r="J2273" s="149"/>
      <c r="K2273" s="149"/>
      <c r="L2273" s="149"/>
      <c r="M2273" s="149"/>
      <c r="N2273" s="149"/>
      <c r="O2273" s="149"/>
      <c r="P2273" s="149"/>
      <c r="Q2273" s="149"/>
      <c r="R2273" s="149"/>
      <c r="S2273" s="149"/>
      <c r="T2273" s="149"/>
      <c r="U2273" s="149"/>
      <c r="V2273" s="149"/>
      <c r="W2273" s="149"/>
      <c r="X2273" s="149"/>
      <c r="Y2273" s="149"/>
      <c r="Z2273" s="149"/>
      <c r="AA2273" s="149"/>
      <c r="AB2273" s="149"/>
      <c r="AC2273" s="149"/>
      <c r="AD2273" s="149"/>
      <c r="AE2273" s="149"/>
      <c r="AF2273" s="149"/>
      <c r="AG2273" s="149"/>
      <c r="AH2273" s="149"/>
      <c r="AI2273" s="149"/>
      <c r="AJ2273" s="149"/>
      <c r="AK2273" s="149"/>
      <c r="AL2273" s="149"/>
      <c r="AM2273" s="149"/>
      <c r="AN2273" s="149"/>
      <c r="AO2273" s="128"/>
      <c r="AP2273" s="128"/>
      <c r="AQ2273" s="128"/>
      <c r="AR2273" s="128"/>
      <c r="AS2273" s="128"/>
      <c r="AT2273" s="128"/>
      <c r="AU2273" s="128"/>
      <c r="AV2273" s="128"/>
      <c r="AW2273" s="128"/>
      <c r="AX2273" s="128"/>
      <c r="AY2273" s="128"/>
      <c r="AZ2273" s="128"/>
      <c r="BA2273" s="128"/>
      <c r="BB2273" s="128"/>
      <c r="BC2273" s="128"/>
      <c r="BD2273" s="128"/>
      <c r="BE2273" s="128"/>
      <c r="BF2273" s="128"/>
      <c r="BG2273" s="128"/>
      <c r="BH2273" s="128"/>
      <c r="BI2273" s="128"/>
      <c r="BJ2273" s="128"/>
      <c r="BK2273" s="128"/>
      <c r="BL2273" s="128"/>
      <c r="BM2273" s="151"/>
      <c r="BN2273" s="128"/>
      <c r="BO2273" s="128"/>
      <c r="BP2273" s="128"/>
      <c r="BQ2273" s="128"/>
      <c r="BR2273" s="128"/>
      <c r="BS2273" s="128"/>
      <c r="BT2273" s="128"/>
      <c r="BU2273" s="128"/>
      <c r="BV2273" s="128"/>
      <c r="BW2273" s="128"/>
      <c r="BX2273" s="128"/>
      <c r="BY2273" s="128"/>
      <c r="BZ2273" s="128"/>
      <c r="CA2273" s="128"/>
      <c r="CB2273" s="128"/>
      <c r="CC2273" s="128"/>
      <c r="CD2273" s="128"/>
      <c r="CE2273" s="128"/>
      <c r="CF2273" s="128"/>
      <c r="CG2273" s="128"/>
      <c r="CI2273" s="128"/>
      <c r="CJ2273" s="128"/>
      <c r="CK2273" s="128"/>
      <c r="CL2273" s="128"/>
      <c r="CM2273" s="128"/>
      <c r="CN2273" s="128"/>
      <c r="CO2273" s="128"/>
      <c r="CP2273" s="128"/>
      <c r="CQ2273" s="128"/>
      <c r="CR2273" s="128"/>
      <c r="CS2273" s="128"/>
      <c r="CT2273" s="128"/>
      <c r="CU2273" s="128"/>
      <c r="CV2273" s="128"/>
      <c r="CW2273" s="128"/>
      <c r="CX2273" s="128"/>
      <c r="CY2273" s="128"/>
      <c r="CZ2273" s="165"/>
    </row>
    <row r="2274" spans="1:104">
      <c r="A2274" s="149"/>
      <c r="B2274" s="149"/>
      <c r="C2274" s="150"/>
      <c r="D2274" s="102"/>
      <c r="E2274" s="149"/>
      <c r="F2274" s="149"/>
      <c r="G2274" s="149"/>
      <c r="H2274" s="149"/>
      <c r="I2274" s="149"/>
      <c r="J2274" s="149"/>
      <c r="K2274" s="149"/>
      <c r="L2274" s="149"/>
      <c r="M2274" s="149"/>
      <c r="N2274" s="149"/>
      <c r="O2274" s="149"/>
      <c r="P2274" s="149"/>
      <c r="Q2274" s="149"/>
      <c r="R2274" s="149"/>
      <c r="S2274" s="149"/>
      <c r="T2274" s="149"/>
      <c r="U2274" s="149"/>
      <c r="V2274" s="149"/>
      <c r="W2274" s="149"/>
      <c r="X2274" s="149"/>
      <c r="Y2274" s="149"/>
      <c r="Z2274" s="149"/>
      <c r="AA2274" s="149"/>
      <c r="AB2274" s="149"/>
      <c r="AC2274" s="149"/>
      <c r="AD2274" s="149"/>
      <c r="AE2274" s="149"/>
      <c r="AF2274" s="149"/>
      <c r="AG2274" s="149"/>
      <c r="AH2274" s="149"/>
      <c r="AI2274" s="149"/>
      <c r="AJ2274" s="149"/>
      <c r="AK2274" s="149"/>
      <c r="AL2274" s="149"/>
      <c r="AM2274" s="149"/>
      <c r="AN2274" s="149"/>
      <c r="AO2274" s="128"/>
      <c r="AP2274" s="128"/>
      <c r="AQ2274" s="128"/>
      <c r="AR2274" s="128"/>
      <c r="AS2274" s="128"/>
      <c r="AT2274" s="128"/>
      <c r="AU2274" s="128"/>
      <c r="AV2274" s="128"/>
      <c r="AW2274" s="128"/>
      <c r="AX2274" s="128"/>
      <c r="AY2274" s="128"/>
      <c r="AZ2274" s="128"/>
      <c r="BA2274" s="128"/>
      <c r="BB2274" s="128"/>
      <c r="BC2274" s="128"/>
      <c r="BD2274" s="128"/>
      <c r="BE2274" s="128"/>
      <c r="BF2274" s="128"/>
      <c r="BG2274" s="128"/>
      <c r="BH2274" s="128"/>
      <c r="BI2274" s="128"/>
      <c r="BJ2274" s="128"/>
      <c r="BK2274" s="128"/>
      <c r="BL2274" s="128"/>
      <c r="BM2274" s="151"/>
      <c r="BN2274" s="128"/>
      <c r="BO2274" s="128"/>
      <c r="BP2274" s="128"/>
      <c r="BQ2274" s="128"/>
      <c r="BR2274" s="128"/>
      <c r="BS2274" s="128"/>
      <c r="BT2274" s="128"/>
      <c r="BU2274" s="128"/>
      <c r="BV2274" s="128"/>
      <c r="BW2274" s="128"/>
      <c r="BX2274" s="128"/>
      <c r="BY2274" s="128"/>
      <c r="BZ2274" s="128"/>
      <c r="CA2274" s="128"/>
      <c r="CB2274" s="128"/>
      <c r="CC2274" s="128"/>
      <c r="CD2274" s="128"/>
      <c r="CE2274" s="128"/>
      <c r="CF2274" s="128"/>
      <c r="CG2274" s="128"/>
      <c r="CI2274" s="128"/>
      <c r="CJ2274" s="128"/>
      <c r="CK2274" s="128"/>
      <c r="CL2274" s="128"/>
      <c r="CM2274" s="128"/>
      <c r="CN2274" s="128"/>
      <c r="CO2274" s="128"/>
      <c r="CP2274" s="128"/>
      <c r="CQ2274" s="128"/>
      <c r="CR2274" s="128"/>
      <c r="CS2274" s="128"/>
      <c r="CT2274" s="128"/>
      <c r="CU2274" s="128"/>
      <c r="CV2274" s="128"/>
      <c r="CW2274" s="128"/>
      <c r="CX2274" s="128"/>
      <c r="CY2274" s="128"/>
      <c r="CZ2274" s="165"/>
    </row>
    <row r="2275" spans="1:104">
      <c r="A2275" s="149"/>
      <c r="B2275" s="149"/>
      <c r="C2275" s="150"/>
      <c r="D2275" s="102"/>
      <c r="E2275" s="149"/>
      <c r="F2275" s="149"/>
      <c r="G2275" s="149"/>
      <c r="H2275" s="149"/>
      <c r="I2275" s="149"/>
      <c r="J2275" s="149"/>
      <c r="K2275" s="149"/>
      <c r="L2275" s="149"/>
      <c r="M2275" s="149"/>
      <c r="N2275" s="149"/>
      <c r="O2275" s="149"/>
      <c r="P2275" s="149"/>
      <c r="Q2275" s="149"/>
      <c r="R2275" s="149"/>
      <c r="S2275" s="149"/>
      <c r="T2275" s="149"/>
      <c r="U2275" s="149"/>
      <c r="V2275" s="149"/>
      <c r="W2275" s="149"/>
      <c r="X2275" s="149"/>
      <c r="Y2275" s="149"/>
      <c r="Z2275" s="149"/>
      <c r="AA2275" s="149"/>
      <c r="AB2275" s="149"/>
      <c r="AC2275" s="149"/>
      <c r="AD2275" s="149"/>
      <c r="AE2275" s="149"/>
      <c r="AF2275" s="149"/>
      <c r="AG2275" s="149"/>
      <c r="AH2275" s="149"/>
      <c r="AI2275" s="149"/>
      <c r="AJ2275" s="149"/>
      <c r="AK2275" s="149"/>
      <c r="AL2275" s="149"/>
      <c r="AM2275" s="149"/>
      <c r="AN2275" s="149"/>
      <c r="AO2275" s="128"/>
      <c r="AP2275" s="128"/>
      <c r="AQ2275" s="128"/>
      <c r="AR2275" s="128"/>
      <c r="AS2275" s="128"/>
      <c r="AT2275" s="128"/>
      <c r="AU2275" s="128"/>
      <c r="AV2275" s="128"/>
      <c r="AW2275" s="128"/>
      <c r="AX2275" s="128"/>
      <c r="AY2275" s="128"/>
      <c r="AZ2275" s="128"/>
      <c r="BA2275" s="128"/>
      <c r="BB2275" s="128"/>
      <c r="BC2275" s="128"/>
      <c r="BD2275" s="128"/>
      <c r="BE2275" s="128"/>
      <c r="BF2275" s="128"/>
      <c r="BG2275" s="128"/>
      <c r="BH2275" s="128"/>
      <c r="BI2275" s="128"/>
      <c r="BJ2275" s="128"/>
      <c r="BK2275" s="128"/>
      <c r="BL2275" s="128"/>
      <c r="BM2275" s="151"/>
      <c r="BN2275" s="128"/>
      <c r="BO2275" s="128"/>
      <c r="BP2275" s="128"/>
      <c r="BQ2275" s="128"/>
      <c r="BR2275" s="128"/>
      <c r="BS2275" s="128"/>
      <c r="BT2275" s="128"/>
      <c r="BU2275" s="128"/>
      <c r="BV2275" s="128"/>
      <c r="BW2275" s="128"/>
      <c r="BX2275" s="128"/>
      <c r="BY2275" s="128"/>
      <c r="BZ2275" s="128"/>
      <c r="CA2275" s="128"/>
      <c r="CB2275" s="128"/>
      <c r="CC2275" s="128"/>
      <c r="CD2275" s="128"/>
      <c r="CE2275" s="128"/>
      <c r="CF2275" s="128"/>
      <c r="CG2275" s="128"/>
      <c r="CI2275" s="128"/>
      <c r="CJ2275" s="128"/>
      <c r="CK2275" s="128"/>
      <c r="CL2275" s="128"/>
      <c r="CM2275" s="128"/>
      <c r="CN2275" s="128"/>
      <c r="CO2275" s="128"/>
      <c r="CP2275" s="128"/>
      <c r="CQ2275" s="128"/>
      <c r="CR2275" s="128"/>
      <c r="CS2275" s="128"/>
      <c r="CT2275" s="128"/>
      <c r="CU2275" s="128"/>
      <c r="CV2275" s="128"/>
      <c r="CW2275" s="128"/>
      <c r="CX2275" s="128"/>
      <c r="CY2275" s="128"/>
      <c r="CZ2275" s="165"/>
    </row>
    <row r="2276" spans="1:104">
      <c r="A2276" s="149"/>
      <c r="B2276" s="149"/>
      <c r="C2276" s="150"/>
      <c r="D2276" s="102"/>
      <c r="E2276" s="149"/>
      <c r="F2276" s="149"/>
      <c r="G2276" s="149"/>
      <c r="H2276" s="149"/>
      <c r="I2276" s="149"/>
      <c r="J2276" s="149"/>
      <c r="K2276" s="149"/>
      <c r="L2276" s="149"/>
      <c r="M2276" s="149"/>
      <c r="N2276" s="149"/>
      <c r="O2276" s="149"/>
      <c r="P2276" s="149"/>
      <c r="Q2276" s="149"/>
      <c r="R2276" s="149"/>
      <c r="S2276" s="149"/>
      <c r="T2276" s="149"/>
      <c r="U2276" s="149"/>
      <c r="V2276" s="149"/>
      <c r="W2276" s="149"/>
      <c r="X2276" s="149"/>
      <c r="Y2276" s="149"/>
      <c r="Z2276" s="149"/>
      <c r="AA2276" s="149"/>
      <c r="AB2276" s="149"/>
      <c r="AC2276" s="149"/>
      <c r="AD2276" s="149"/>
      <c r="AE2276" s="149"/>
      <c r="AF2276" s="149"/>
      <c r="AG2276" s="149"/>
      <c r="AH2276" s="149"/>
      <c r="AI2276" s="149"/>
      <c r="AJ2276" s="149"/>
      <c r="AK2276" s="149"/>
      <c r="AL2276" s="149"/>
      <c r="AM2276" s="149"/>
      <c r="AN2276" s="149"/>
      <c r="AO2276" s="128"/>
      <c r="AP2276" s="128"/>
      <c r="AQ2276" s="128"/>
      <c r="AR2276" s="128"/>
      <c r="AS2276" s="128"/>
      <c r="AT2276" s="128"/>
      <c r="AU2276" s="128"/>
      <c r="AV2276" s="128"/>
      <c r="AW2276" s="128"/>
      <c r="AX2276" s="128"/>
      <c r="AY2276" s="128"/>
      <c r="AZ2276" s="128"/>
      <c r="BA2276" s="128"/>
      <c r="BB2276" s="128"/>
      <c r="BC2276" s="128"/>
      <c r="BD2276" s="128"/>
      <c r="BE2276" s="128"/>
      <c r="BF2276" s="128"/>
      <c r="BG2276" s="128"/>
      <c r="BH2276" s="128"/>
      <c r="BI2276" s="128"/>
      <c r="BJ2276" s="128"/>
      <c r="BK2276" s="128"/>
      <c r="BL2276" s="128"/>
      <c r="BM2276" s="151"/>
      <c r="BN2276" s="128"/>
      <c r="BO2276" s="128"/>
      <c r="BP2276" s="128"/>
      <c r="BQ2276" s="128"/>
      <c r="BR2276" s="128"/>
      <c r="BS2276" s="128"/>
      <c r="BT2276" s="128"/>
      <c r="BU2276" s="128"/>
      <c r="BV2276" s="128"/>
      <c r="BW2276" s="128"/>
      <c r="BX2276" s="128"/>
      <c r="BY2276" s="128"/>
      <c r="BZ2276" s="128"/>
      <c r="CA2276" s="128"/>
      <c r="CB2276" s="128"/>
      <c r="CC2276" s="128"/>
      <c r="CD2276" s="128"/>
      <c r="CE2276" s="128"/>
      <c r="CF2276" s="128"/>
      <c r="CG2276" s="128"/>
      <c r="CI2276" s="128"/>
      <c r="CJ2276" s="128"/>
      <c r="CK2276" s="128"/>
      <c r="CL2276" s="128"/>
      <c r="CM2276" s="128"/>
      <c r="CN2276" s="128"/>
      <c r="CO2276" s="128"/>
      <c r="CP2276" s="128"/>
      <c r="CQ2276" s="128"/>
      <c r="CR2276" s="128"/>
      <c r="CS2276" s="128"/>
      <c r="CT2276" s="128"/>
      <c r="CU2276" s="128"/>
      <c r="CV2276" s="128"/>
      <c r="CW2276" s="128"/>
      <c r="CX2276" s="128"/>
      <c r="CY2276" s="128"/>
      <c r="CZ2276" s="165"/>
    </row>
    <row r="2277" spans="1:104">
      <c r="A2277" s="149"/>
      <c r="B2277" s="149"/>
      <c r="C2277" s="150"/>
      <c r="D2277" s="102"/>
      <c r="E2277" s="149"/>
      <c r="F2277" s="149"/>
      <c r="G2277" s="149"/>
      <c r="H2277" s="149"/>
      <c r="I2277" s="149"/>
      <c r="J2277" s="149"/>
      <c r="K2277" s="149"/>
      <c r="L2277" s="149"/>
      <c r="M2277" s="149"/>
      <c r="N2277" s="149"/>
      <c r="O2277" s="149"/>
      <c r="P2277" s="149"/>
      <c r="Q2277" s="149"/>
      <c r="R2277" s="149"/>
      <c r="S2277" s="149"/>
      <c r="T2277" s="149"/>
      <c r="U2277" s="149"/>
      <c r="V2277" s="149"/>
      <c r="W2277" s="149"/>
      <c r="X2277" s="149"/>
      <c r="Y2277" s="149"/>
      <c r="Z2277" s="149"/>
      <c r="AA2277" s="149"/>
      <c r="AB2277" s="149"/>
      <c r="AC2277" s="149"/>
      <c r="AD2277" s="149"/>
      <c r="AE2277" s="149"/>
      <c r="AF2277" s="149"/>
      <c r="AG2277" s="149"/>
      <c r="AH2277" s="149"/>
      <c r="AI2277" s="149"/>
      <c r="AJ2277" s="149"/>
      <c r="AK2277" s="149"/>
      <c r="AL2277" s="149"/>
      <c r="AM2277" s="149"/>
      <c r="AN2277" s="149"/>
      <c r="AO2277" s="128"/>
      <c r="AP2277" s="128"/>
      <c r="AQ2277" s="128"/>
      <c r="AR2277" s="128"/>
      <c r="AS2277" s="128"/>
      <c r="AT2277" s="128"/>
      <c r="AU2277" s="128"/>
      <c r="AV2277" s="128"/>
      <c r="AW2277" s="128"/>
      <c r="AX2277" s="128"/>
      <c r="AY2277" s="128"/>
      <c r="AZ2277" s="128"/>
      <c r="BA2277" s="128"/>
      <c r="BB2277" s="128"/>
      <c r="BC2277" s="128"/>
      <c r="BD2277" s="128"/>
      <c r="BE2277" s="128"/>
      <c r="BF2277" s="128"/>
      <c r="BG2277" s="128"/>
      <c r="BH2277" s="128"/>
      <c r="BI2277" s="128"/>
      <c r="BJ2277" s="128"/>
      <c r="BK2277" s="128"/>
      <c r="BL2277" s="128"/>
      <c r="BM2277" s="151"/>
      <c r="BN2277" s="128"/>
      <c r="BO2277" s="128"/>
      <c r="BP2277" s="128"/>
      <c r="BQ2277" s="128"/>
      <c r="BR2277" s="128"/>
      <c r="BS2277" s="128"/>
      <c r="BT2277" s="128"/>
      <c r="BU2277" s="128"/>
      <c r="BV2277" s="128"/>
      <c r="BW2277" s="128"/>
      <c r="BX2277" s="128"/>
      <c r="BY2277" s="128"/>
      <c r="BZ2277" s="128"/>
      <c r="CA2277" s="128"/>
      <c r="CB2277" s="128"/>
      <c r="CC2277" s="128"/>
      <c r="CD2277" s="128"/>
      <c r="CE2277" s="128"/>
      <c r="CF2277" s="128"/>
      <c r="CG2277" s="128"/>
      <c r="CI2277" s="128"/>
      <c r="CJ2277" s="128"/>
      <c r="CK2277" s="128"/>
      <c r="CL2277" s="128"/>
      <c r="CM2277" s="128"/>
      <c r="CN2277" s="128"/>
      <c r="CO2277" s="128"/>
      <c r="CP2277" s="128"/>
      <c r="CQ2277" s="128"/>
      <c r="CR2277" s="128"/>
      <c r="CS2277" s="128"/>
      <c r="CT2277" s="128"/>
      <c r="CU2277" s="128"/>
      <c r="CV2277" s="128"/>
      <c r="CW2277" s="128"/>
      <c r="CX2277" s="128"/>
      <c r="CY2277" s="128"/>
      <c r="CZ2277" s="165"/>
    </row>
    <row r="2278" spans="1:104">
      <c r="A2278" s="149"/>
      <c r="B2278" s="149"/>
      <c r="C2278" s="150"/>
      <c r="D2278" s="102"/>
      <c r="E2278" s="149"/>
      <c r="F2278" s="149"/>
      <c r="G2278" s="149"/>
      <c r="H2278" s="149"/>
      <c r="I2278" s="149"/>
      <c r="J2278" s="149"/>
      <c r="K2278" s="149"/>
      <c r="L2278" s="149"/>
      <c r="M2278" s="149"/>
      <c r="N2278" s="149"/>
      <c r="O2278" s="149"/>
      <c r="P2278" s="149"/>
      <c r="Q2278" s="149"/>
      <c r="R2278" s="149"/>
      <c r="S2278" s="149"/>
      <c r="T2278" s="149"/>
      <c r="U2278" s="149"/>
      <c r="V2278" s="149"/>
      <c r="W2278" s="149"/>
      <c r="X2278" s="149"/>
      <c r="Y2278" s="149"/>
      <c r="Z2278" s="149"/>
      <c r="AA2278" s="149"/>
      <c r="AB2278" s="149"/>
      <c r="AC2278" s="149"/>
      <c r="AD2278" s="149"/>
      <c r="AE2278" s="149"/>
      <c r="AF2278" s="149"/>
      <c r="AG2278" s="149"/>
      <c r="AH2278" s="149"/>
      <c r="AI2278" s="149"/>
      <c r="AJ2278" s="149"/>
      <c r="AK2278" s="149"/>
      <c r="AL2278" s="149"/>
      <c r="AM2278" s="149"/>
      <c r="AN2278" s="149"/>
      <c r="AO2278" s="128"/>
      <c r="AP2278" s="128"/>
      <c r="AQ2278" s="128"/>
      <c r="AR2278" s="128"/>
      <c r="AS2278" s="128"/>
      <c r="AT2278" s="128"/>
      <c r="AU2278" s="128"/>
      <c r="AV2278" s="128"/>
      <c r="AW2278" s="128"/>
      <c r="AX2278" s="128"/>
      <c r="AY2278" s="128"/>
      <c r="AZ2278" s="128"/>
      <c r="BA2278" s="128"/>
      <c r="BB2278" s="128"/>
      <c r="BC2278" s="128"/>
      <c r="BD2278" s="128"/>
      <c r="BE2278" s="128"/>
      <c r="BF2278" s="128"/>
      <c r="BG2278" s="128"/>
      <c r="BH2278" s="128"/>
      <c r="BI2278" s="128"/>
      <c r="BJ2278" s="128"/>
      <c r="BK2278" s="128"/>
      <c r="BL2278" s="128"/>
      <c r="BM2278" s="151"/>
      <c r="BN2278" s="128"/>
      <c r="BO2278" s="128"/>
      <c r="BP2278" s="128"/>
      <c r="BQ2278" s="128"/>
      <c r="BR2278" s="128"/>
      <c r="BS2278" s="128"/>
      <c r="BT2278" s="128"/>
      <c r="BU2278" s="128"/>
      <c r="BV2278" s="128"/>
      <c r="BW2278" s="128"/>
      <c r="BX2278" s="128"/>
      <c r="BY2278" s="128"/>
      <c r="BZ2278" s="128"/>
      <c r="CA2278" s="128"/>
      <c r="CB2278" s="128"/>
      <c r="CC2278" s="128"/>
      <c r="CD2278" s="128"/>
      <c r="CE2278" s="128"/>
      <c r="CF2278" s="128"/>
      <c r="CG2278" s="128"/>
      <c r="CI2278" s="128"/>
      <c r="CJ2278" s="128"/>
      <c r="CK2278" s="128"/>
      <c r="CL2278" s="128"/>
      <c r="CM2278" s="128"/>
      <c r="CN2278" s="128"/>
      <c r="CO2278" s="128"/>
      <c r="CP2278" s="128"/>
      <c r="CQ2278" s="128"/>
      <c r="CR2278" s="128"/>
      <c r="CS2278" s="128"/>
      <c r="CT2278" s="128"/>
      <c r="CU2278" s="128"/>
      <c r="CV2278" s="128"/>
      <c r="CW2278" s="128"/>
      <c r="CX2278" s="128"/>
      <c r="CY2278" s="128"/>
      <c r="CZ2278" s="165"/>
    </row>
    <row r="2279" spans="1:104">
      <c r="A2279" s="149"/>
      <c r="B2279" s="149"/>
      <c r="C2279" s="150"/>
      <c r="D2279" s="102"/>
      <c r="E2279" s="149"/>
      <c r="F2279" s="149"/>
      <c r="G2279" s="149"/>
      <c r="H2279" s="149"/>
      <c r="I2279" s="149"/>
      <c r="J2279" s="149"/>
      <c r="K2279" s="149"/>
      <c r="L2279" s="149"/>
      <c r="M2279" s="149"/>
      <c r="N2279" s="149"/>
      <c r="O2279" s="149"/>
      <c r="P2279" s="149"/>
      <c r="Q2279" s="149"/>
      <c r="R2279" s="149"/>
      <c r="S2279" s="149"/>
      <c r="T2279" s="149"/>
      <c r="U2279" s="149"/>
      <c r="V2279" s="149"/>
      <c r="W2279" s="149"/>
      <c r="X2279" s="149"/>
      <c r="Y2279" s="149"/>
      <c r="Z2279" s="149"/>
      <c r="AA2279" s="149"/>
      <c r="AB2279" s="149"/>
      <c r="AC2279" s="149"/>
      <c r="AD2279" s="149"/>
      <c r="AE2279" s="149"/>
      <c r="AF2279" s="149"/>
      <c r="AG2279" s="149"/>
      <c r="AH2279" s="149"/>
      <c r="AI2279" s="149"/>
      <c r="AJ2279" s="149"/>
      <c r="AK2279" s="149"/>
      <c r="AL2279" s="149"/>
      <c r="AM2279" s="149"/>
      <c r="AN2279" s="149"/>
      <c r="AO2279" s="128"/>
      <c r="AP2279" s="128"/>
      <c r="AQ2279" s="128"/>
      <c r="AR2279" s="128"/>
      <c r="AS2279" s="128"/>
      <c r="AT2279" s="128"/>
      <c r="AU2279" s="128"/>
      <c r="AV2279" s="128"/>
      <c r="AW2279" s="128"/>
      <c r="AX2279" s="128"/>
      <c r="AY2279" s="128"/>
      <c r="AZ2279" s="128"/>
      <c r="BA2279" s="128"/>
      <c r="BB2279" s="128"/>
      <c r="BC2279" s="128"/>
      <c r="BD2279" s="128"/>
      <c r="BE2279" s="128"/>
      <c r="BF2279" s="128"/>
      <c r="BG2279" s="128"/>
      <c r="BH2279" s="128"/>
      <c r="BI2279" s="128"/>
      <c r="BJ2279" s="128"/>
      <c r="BK2279" s="128"/>
      <c r="BL2279" s="128"/>
      <c r="BM2279" s="151"/>
      <c r="BN2279" s="128"/>
      <c r="BO2279" s="128"/>
      <c r="BP2279" s="128"/>
      <c r="BQ2279" s="128"/>
      <c r="BR2279" s="128"/>
      <c r="BS2279" s="128"/>
      <c r="BT2279" s="128"/>
      <c r="BU2279" s="128"/>
      <c r="BV2279" s="128"/>
      <c r="BW2279" s="128"/>
      <c r="BX2279" s="128"/>
      <c r="BY2279" s="128"/>
      <c r="BZ2279" s="128"/>
      <c r="CA2279" s="128"/>
      <c r="CB2279" s="128"/>
      <c r="CC2279" s="128"/>
      <c r="CD2279" s="128"/>
      <c r="CE2279" s="128"/>
      <c r="CF2279" s="128"/>
      <c r="CG2279" s="128"/>
      <c r="CI2279" s="128"/>
      <c r="CJ2279" s="128"/>
      <c r="CK2279" s="128"/>
      <c r="CL2279" s="128"/>
      <c r="CM2279" s="128"/>
      <c r="CN2279" s="128"/>
      <c r="CO2279" s="128"/>
      <c r="CP2279" s="128"/>
      <c r="CQ2279" s="128"/>
      <c r="CR2279" s="128"/>
      <c r="CS2279" s="128"/>
      <c r="CT2279" s="128"/>
      <c r="CU2279" s="128"/>
      <c r="CV2279" s="128"/>
      <c r="CW2279" s="128"/>
      <c r="CX2279" s="128"/>
      <c r="CY2279" s="128"/>
      <c r="CZ2279" s="165"/>
    </row>
    <row r="2280" spans="1:104">
      <c r="A2280" s="149"/>
      <c r="B2280" s="149"/>
      <c r="C2280" s="150"/>
      <c r="D2280" s="102"/>
      <c r="E2280" s="149"/>
      <c r="F2280" s="149"/>
      <c r="G2280" s="149"/>
      <c r="H2280" s="149"/>
      <c r="I2280" s="149"/>
      <c r="J2280" s="149"/>
      <c r="K2280" s="149"/>
      <c r="L2280" s="149"/>
      <c r="M2280" s="149"/>
      <c r="N2280" s="149"/>
      <c r="O2280" s="149"/>
      <c r="P2280" s="149"/>
      <c r="Q2280" s="149"/>
      <c r="R2280" s="149"/>
      <c r="S2280" s="149"/>
      <c r="T2280" s="149"/>
      <c r="U2280" s="149"/>
      <c r="V2280" s="149"/>
      <c r="W2280" s="149"/>
      <c r="X2280" s="149"/>
      <c r="Y2280" s="149"/>
      <c r="Z2280" s="149"/>
      <c r="AA2280" s="149"/>
      <c r="AB2280" s="149"/>
      <c r="AC2280" s="149"/>
      <c r="AD2280" s="149"/>
      <c r="AE2280" s="149"/>
      <c r="AF2280" s="149"/>
      <c r="AG2280" s="149"/>
      <c r="AH2280" s="149"/>
      <c r="AI2280" s="149"/>
      <c r="AJ2280" s="149"/>
      <c r="AK2280" s="149"/>
      <c r="AL2280" s="149"/>
      <c r="AM2280" s="149"/>
      <c r="AN2280" s="149"/>
      <c r="AO2280" s="128"/>
      <c r="AP2280" s="128"/>
      <c r="AQ2280" s="128"/>
      <c r="AR2280" s="128"/>
      <c r="AS2280" s="128"/>
      <c r="AT2280" s="128"/>
      <c r="AU2280" s="128"/>
      <c r="AV2280" s="128"/>
      <c r="AW2280" s="128"/>
      <c r="AX2280" s="128"/>
      <c r="AY2280" s="128"/>
      <c r="AZ2280" s="128"/>
      <c r="BA2280" s="128"/>
      <c r="BB2280" s="128"/>
      <c r="BC2280" s="128"/>
      <c r="BD2280" s="128"/>
      <c r="BE2280" s="128"/>
      <c r="BF2280" s="128"/>
      <c r="BG2280" s="128"/>
      <c r="BH2280" s="128"/>
      <c r="BI2280" s="128"/>
      <c r="BJ2280" s="128"/>
      <c r="BK2280" s="128"/>
      <c r="BL2280" s="128"/>
      <c r="BM2280" s="151"/>
      <c r="BN2280" s="128"/>
      <c r="BO2280" s="128"/>
      <c r="BP2280" s="128"/>
      <c r="BQ2280" s="128"/>
      <c r="BR2280" s="128"/>
      <c r="BS2280" s="128"/>
      <c r="BT2280" s="128"/>
      <c r="BU2280" s="128"/>
      <c r="BV2280" s="128"/>
      <c r="BW2280" s="128"/>
      <c r="BX2280" s="128"/>
      <c r="BY2280" s="128"/>
      <c r="BZ2280" s="128"/>
      <c r="CA2280" s="128"/>
      <c r="CB2280" s="128"/>
      <c r="CC2280" s="128"/>
      <c r="CD2280" s="128"/>
      <c r="CE2280" s="128"/>
      <c r="CF2280" s="128"/>
      <c r="CG2280" s="128"/>
      <c r="CI2280" s="128"/>
      <c r="CJ2280" s="128"/>
      <c r="CK2280" s="128"/>
      <c r="CL2280" s="128"/>
      <c r="CM2280" s="128"/>
      <c r="CN2280" s="128"/>
      <c r="CO2280" s="128"/>
      <c r="CP2280" s="128"/>
      <c r="CQ2280" s="128"/>
      <c r="CR2280" s="128"/>
      <c r="CS2280" s="128"/>
      <c r="CT2280" s="128"/>
      <c r="CU2280" s="128"/>
      <c r="CV2280" s="128"/>
      <c r="CW2280" s="128"/>
      <c r="CX2280" s="128"/>
      <c r="CY2280" s="128"/>
      <c r="CZ2280" s="165"/>
    </row>
    <row r="2281" spans="1:104">
      <c r="A2281" s="149"/>
      <c r="B2281" s="149"/>
      <c r="C2281" s="150"/>
      <c r="D2281" s="102"/>
      <c r="E2281" s="149"/>
      <c r="F2281" s="149"/>
      <c r="G2281" s="149"/>
      <c r="H2281" s="149"/>
      <c r="I2281" s="149"/>
      <c r="J2281" s="149"/>
      <c r="K2281" s="149"/>
      <c r="L2281" s="149"/>
      <c r="M2281" s="149"/>
      <c r="N2281" s="149"/>
      <c r="O2281" s="149"/>
      <c r="P2281" s="149"/>
      <c r="Q2281" s="149"/>
      <c r="R2281" s="149"/>
      <c r="S2281" s="149"/>
      <c r="T2281" s="149"/>
      <c r="U2281" s="149"/>
      <c r="V2281" s="149"/>
      <c r="W2281" s="149"/>
      <c r="X2281" s="149"/>
      <c r="Y2281" s="149"/>
      <c r="Z2281" s="149"/>
      <c r="AA2281" s="149"/>
      <c r="AB2281" s="149"/>
      <c r="AC2281" s="149"/>
      <c r="AD2281" s="149"/>
      <c r="AE2281" s="149"/>
      <c r="AF2281" s="149"/>
      <c r="AG2281" s="149"/>
      <c r="AH2281" s="149"/>
      <c r="AI2281" s="149"/>
      <c r="AJ2281" s="149"/>
      <c r="AK2281" s="149"/>
      <c r="AL2281" s="149"/>
      <c r="AM2281" s="149"/>
      <c r="AN2281" s="149"/>
      <c r="AO2281" s="128"/>
      <c r="AP2281" s="128"/>
      <c r="AQ2281" s="128"/>
      <c r="AR2281" s="128"/>
      <c r="AS2281" s="128"/>
      <c r="AT2281" s="128"/>
      <c r="AU2281" s="128"/>
      <c r="AV2281" s="128"/>
      <c r="AW2281" s="128"/>
      <c r="AX2281" s="128"/>
      <c r="AY2281" s="128"/>
      <c r="AZ2281" s="128"/>
      <c r="BA2281" s="128"/>
      <c r="BB2281" s="128"/>
      <c r="BC2281" s="128"/>
      <c r="BD2281" s="128"/>
      <c r="BE2281" s="128"/>
      <c r="BF2281" s="128"/>
      <c r="BG2281" s="128"/>
      <c r="BH2281" s="128"/>
      <c r="BI2281" s="128"/>
      <c r="BJ2281" s="128"/>
      <c r="BK2281" s="128"/>
      <c r="BL2281" s="128"/>
      <c r="BM2281" s="151"/>
      <c r="BN2281" s="128"/>
      <c r="BO2281" s="128"/>
      <c r="BP2281" s="128"/>
      <c r="BQ2281" s="128"/>
      <c r="BR2281" s="128"/>
      <c r="BS2281" s="128"/>
      <c r="BT2281" s="128"/>
      <c r="BU2281" s="128"/>
      <c r="BV2281" s="128"/>
      <c r="BW2281" s="128"/>
      <c r="BX2281" s="128"/>
      <c r="BY2281" s="128"/>
      <c r="BZ2281" s="128"/>
      <c r="CA2281" s="128"/>
      <c r="CB2281" s="128"/>
      <c r="CC2281" s="128"/>
      <c r="CD2281" s="128"/>
      <c r="CE2281" s="128"/>
      <c r="CF2281" s="128"/>
      <c r="CG2281" s="128"/>
      <c r="CI2281" s="128"/>
      <c r="CJ2281" s="128"/>
      <c r="CK2281" s="128"/>
      <c r="CL2281" s="128"/>
      <c r="CM2281" s="128"/>
      <c r="CN2281" s="128"/>
      <c r="CO2281" s="128"/>
      <c r="CP2281" s="128"/>
      <c r="CQ2281" s="128"/>
      <c r="CR2281" s="128"/>
      <c r="CS2281" s="128"/>
      <c r="CT2281" s="128"/>
      <c r="CU2281" s="128"/>
      <c r="CV2281" s="128"/>
      <c r="CW2281" s="128"/>
      <c r="CX2281" s="128"/>
      <c r="CY2281" s="128"/>
      <c r="CZ2281" s="165"/>
    </row>
    <row r="2282" spans="1:104">
      <c r="A2282" s="149"/>
      <c r="B2282" s="149"/>
      <c r="C2282" s="150"/>
      <c r="D2282" s="102"/>
      <c r="E2282" s="149"/>
      <c r="F2282" s="149"/>
      <c r="G2282" s="149"/>
      <c r="H2282" s="149"/>
      <c r="I2282" s="149"/>
      <c r="J2282" s="149"/>
      <c r="K2282" s="149"/>
      <c r="L2282" s="149"/>
      <c r="M2282" s="149"/>
      <c r="N2282" s="149"/>
      <c r="O2282" s="149"/>
      <c r="P2282" s="149"/>
      <c r="Q2282" s="149"/>
      <c r="R2282" s="149"/>
      <c r="S2282" s="149"/>
      <c r="T2282" s="149"/>
      <c r="U2282" s="149"/>
      <c r="V2282" s="149"/>
      <c r="W2282" s="149"/>
      <c r="X2282" s="149"/>
      <c r="Y2282" s="149"/>
      <c r="Z2282" s="149"/>
      <c r="AA2282" s="149"/>
      <c r="AB2282" s="149"/>
      <c r="AC2282" s="149"/>
      <c r="AD2282" s="149"/>
      <c r="AE2282" s="149"/>
      <c r="AF2282" s="149"/>
      <c r="AG2282" s="149"/>
      <c r="AH2282" s="149"/>
      <c r="AI2282" s="149"/>
      <c r="AJ2282" s="149"/>
      <c r="AK2282" s="149"/>
      <c r="AL2282" s="149"/>
      <c r="AM2282" s="149"/>
      <c r="AN2282" s="149"/>
      <c r="AO2282" s="128"/>
      <c r="AP2282" s="128"/>
      <c r="AQ2282" s="128"/>
      <c r="AR2282" s="128"/>
      <c r="AS2282" s="128"/>
      <c r="AT2282" s="128"/>
      <c r="AU2282" s="128"/>
      <c r="AV2282" s="128"/>
      <c r="AW2282" s="128"/>
      <c r="AX2282" s="128"/>
      <c r="AY2282" s="128"/>
      <c r="AZ2282" s="128"/>
      <c r="BA2282" s="128"/>
      <c r="BB2282" s="128"/>
      <c r="BC2282" s="128"/>
      <c r="BD2282" s="128"/>
      <c r="BE2282" s="128"/>
      <c r="BF2282" s="128"/>
      <c r="BG2282" s="128"/>
      <c r="BH2282" s="128"/>
      <c r="BI2282" s="128"/>
      <c r="BJ2282" s="128"/>
      <c r="BK2282" s="128"/>
      <c r="BL2282" s="128"/>
      <c r="BM2282" s="151"/>
      <c r="BN2282" s="128"/>
      <c r="BO2282" s="128"/>
      <c r="BP2282" s="128"/>
      <c r="BQ2282" s="128"/>
      <c r="BR2282" s="128"/>
      <c r="BS2282" s="128"/>
      <c r="BT2282" s="128"/>
      <c r="BU2282" s="128"/>
      <c r="BV2282" s="128"/>
      <c r="BW2282" s="128"/>
      <c r="BX2282" s="128"/>
      <c r="BY2282" s="128"/>
      <c r="BZ2282" s="128"/>
      <c r="CA2282" s="128"/>
      <c r="CB2282" s="128"/>
      <c r="CC2282" s="128"/>
      <c r="CD2282" s="128"/>
      <c r="CE2282" s="128"/>
      <c r="CF2282" s="128"/>
      <c r="CG2282" s="128"/>
      <c r="CI2282" s="128"/>
      <c r="CJ2282" s="128"/>
      <c r="CK2282" s="128"/>
      <c r="CL2282" s="128"/>
      <c r="CM2282" s="128"/>
      <c r="CN2282" s="128"/>
      <c r="CO2282" s="128"/>
      <c r="CP2282" s="128"/>
      <c r="CQ2282" s="128"/>
      <c r="CR2282" s="128"/>
      <c r="CS2282" s="128"/>
      <c r="CT2282" s="128"/>
      <c r="CU2282" s="128"/>
      <c r="CV2282" s="128"/>
      <c r="CW2282" s="128"/>
      <c r="CX2282" s="128"/>
      <c r="CY2282" s="128"/>
      <c r="CZ2282" s="165"/>
    </row>
    <row r="2283" spans="1:104">
      <c r="A2283" s="149"/>
      <c r="B2283" s="149"/>
      <c r="C2283" s="150"/>
      <c r="D2283" s="102"/>
      <c r="E2283" s="149"/>
      <c r="F2283" s="149"/>
      <c r="G2283" s="149"/>
      <c r="H2283" s="149"/>
      <c r="I2283" s="149"/>
      <c r="J2283" s="149"/>
      <c r="K2283" s="149"/>
      <c r="L2283" s="149"/>
      <c r="M2283" s="149"/>
      <c r="N2283" s="149"/>
      <c r="O2283" s="149"/>
      <c r="P2283" s="149"/>
      <c r="Q2283" s="149"/>
      <c r="R2283" s="149"/>
      <c r="S2283" s="149"/>
      <c r="T2283" s="149"/>
      <c r="U2283" s="149"/>
      <c r="V2283" s="149"/>
      <c r="W2283" s="149"/>
      <c r="X2283" s="149"/>
      <c r="Y2283" s="149"/>
      <c r="Z2283" s="149"/>
      <c r="AA2283" s="149"/>
      <c r="AB2283" s="149"/>
      <c r="AC2283" s="149"/>
      <c r="AD2283" s="149"/>
      <c r="AE2283" s="149"/>
      <c r="AF2283" s="149"/>
      <c r="AG2283" s="149"/>
      <c r="AH2283" s="149"/>
      <c r="AI2283" s="149"/>
      <c r="AJ2283" s="149"/>
      <c r="AK2283" s="149"/>
      <c r="AL2283" s="149"/>
      <c r="AM2283" s="149"/>
      <c r="AN2283" s="149"/>
      <c r="AO2283" s="128"/>
      <c r="AP2283" s="128"/>
      <c r="AQ2283" s="128"/>
      <c r="AR2283" s="128"/>
      <c r="AS2283" s="128"/>
      <c r="AT2283" s="128"/>
      <c r="AU2283" s="128"/>
      <c r="AV2283" s="128"/>
      <c r="AW2283" s="128"/>
      <c r="AX2283" s="128"/>
      <c r="AY2283" s="128"/>
      <c r="AZ2283" s="128"/>
      <c r="BA2283" s="128"/>
      <c r="BB2283" s="128"/>
      <c r="BC2283" s="128"/>
      <c r="BD2283" s="128"/>
      <c r="BE2283" s="128"/>
      <c r="BF2283" s="128"/>
      <c r="BG2283" s="128"/>
      <c r="BH2283" s="128"/>
      <c r="BI2283" s="128"/>
      <c r="BJ2283" s="128"/>
      <c r="BK2283" s="128"/>
      <c r="BL2283" s="128"/>
      <c r="BM2283" s="151"/>
      <c r="BN2283" s="128"/>
      <c r="BO2283" s="128"/>
      <c r="BP2283" s="128"/>
      <c r="BQ2283" s="128"/>
      <c r="BR2283" s="128"/>
      <c r="BS2283" s="128"/>
      <c r="BT2283" s="128"/>
      <c r="BU2283" s="128"/>
      <c r="BV2283" s="128"/>
      <c r="BW2283" s="128"/>
      <c r="BX2283" s="128"/>
      <c r="BY2283" s="128"/>
      <c r="BZ2283" s="128"/>
      <c r="CA2283" s="128"/>
      <c r="CB2283" s="128"/>
      <c r="CC2283" s="128"/>
      <c r="CD2283" s="128"/>
      <c r="CE2283" s="128"/>
      <c r="CF2283" s="128"/>
      <c r="CG2283" s="128"/>
      <c r="CI2283" s="128"/>
      <c r="CJ2283" s="128"/>
      <c r="CK2283" s="128"/>
      <c r="CL2283" s="128"/>
      <c r="CM2283" s="128"/>
      <c r="CN2283" s="128"/>
      <c r="CO2283" s="128"/>
      <c r="CP2283" s="128"/>
      <c r="CQ2283" s="128"/>
      <c r="CR2283" s="128"/>
      <c r="CS2283" s="128"/>
      <c r="CT2283" s="128"/>
      <c r="CU2283" s="128"/>
      <c r="CV2283" s="128"/>
      <c r="CW2283" s="128"/>
      <c r="CX2283" s="128"/>
      <c r="CY2283" s="128"/>
      <c r="CZ2283" s="165"/>
    </row>
    <row r="2284" spans="1:104">
      <c r="A2284" s="149"/>
      <c r="B2284" s="149"/>
      <c r="C2284" s="150"/>
      <c r="D2284" s="102"/>
      <c r="E2284" s="149"/>
      <c r="F2284" s="149"/>
      <c r="G2284" s="149"/>
      <c r="H2284" s="149"/>
      <c r="I2284" s="149"/>
      <c r="J2284" s="149"/>
      <c r="K2284" s="149"/>
      <c r="L2284" s="149"/>
      <c r="M2284" s="149"/>
      <c r="N2284" s="149"/>
      <c r="O2284" s="149"/>
      <c r="P2284" s="149"/>
      <c r="Q2284" s="149"/>
      <c r="R2284" s="149"/>
      <c r="S2284" s="149"/>
      <c r="T2284" s="149"/>
      <c r="U2284" s="149"/>
      <c r="V2284" s="149"/>
      <c r="W2284" s="149"/>
      <c r="X2284" s="149"/>
      <c r="Y2284" s="149"/>
      <c r="Z2284" s="149"/>
      <c r="AA2284" s="149"/>
      <c r="AB2284" s="149"/>
      <c r="AC2284" s="149"/>
      <c r="AD2284" s="149"/>
      <c r="AE2284" s="149"/>
      <c r="AF2284" s="149"/>
      <c r="AG2284" s="149"/>
      <c r="AH2284" s="149"/>
      <c r="AI2284" s="149"/>
      <c r="AJ2284" s="149"/>
      <c r="AK2284" s="149"/>
      <c r="AL2284" s="149"/>
      <c r="AM2284" s="149"/>
      <c r="AN2284" s="149"/>
      <c r="AO2284" s="128"/>
      <c r="AP2284" s="128"/>
      <c r="AQ2284" s="128"/>
      <c r="AR2284" s="128"/>
      <c r="AS2284" s="128"/>
      <c r="AT2284" s="128"/>
      <c r="AU2284" s="128"/>
      <c r="AV2284" s="128"/>
      <c r="AW2284" s="128"/>
      <c r="AX2284" s="128"/>
      <c r="AY2284" s="128"/>
      <c r="AZ2284" s="128"/>
      <c r="BA2284" s="128"/>
      <c r="BB2284" s="128"/>
      <c r="BC2284" s="128"/>
      <c r="BD2284" s="128"/>
      <c r="BE2284" s="128"/>
      <c r="BF2284" s="128"/>
      <c r="BG2284" s="128"/>
      <c r="BH2284" s="128"/>
      <c r="BI2284" s="128"/>
      <c r="BJ2284" s="128"/>
      <c r="BK2284" s="128"/>
      <c r="BL2284" s="128"/>
      <c r="BM2284" s="151"/>
      <c r="BN2284" s="128"/>
      <c r="BO2284" s="128"/>
      <c r="BP2284" s="128"/>
      <c r="BQ2284" s="128"/>
      <c r="BR2284" s="128"/>
      <c r="BS2284" s="128"/>
      <c r="BT2284" s="128"/>
      <c r="BU2284" s="128"/>
      <c r="BV2284" s="128"/>
      <c r="BW2284" s="128"/>
      <c r="BX2284" s="128"/>
      <c r="BY2284" s="128"/>
      <c r="BZ2284" s="128"/>
      <c r="CA2284" s="128"/>
      <c r="CB2284" s="128"/>
      <c r="CC2284" s="128"/>
      <c r="CD2284" s="128"/>
      <c r="CE2284" s="128"/>
      <c r="CF2284" s="128"/>
      <c r="CG2284" s="128"/>
      <c r="CI2284" s="128"/>
      <c r="CJ2284" s="128"/>
      <c r="CK2284" s="128"/>
      <c r="CL2284" s="128"/>
      <c r="CM2284" s="128"/>
      <c r="CN2284" s="128"/>
      <c r="CO2284" s="128"/>
      <c r="CP2284" s="128"/>
      <c r="CQ2284" s="128"/>
      <c r="CR2284" s="128"/>
      <c r="CS2284" s="128"/>
      <c r="CT2284" s="128"/>
      <c r="CU2284" s="128"/>
      <c r="CV2284" s="128"/>
      <c r="CW2284" s="128"/>
      <c r="CX2284" s="128"/>
      <c r="CY2284" s="128"/>
      <c r="CZ2284" s="165"/>
    </row>
    <row r="2285" spans="1:104">
      <c r="A2285" s="149"/>
      <c r="B2285" s="149"/>
      <c r="C2285" s="150"/>
      <c r="D2285" s="102"/>
      <c r="E2285" s="149"/>
      <c r="F2285" s="149"/>
      <c r="G2285" s="149"/>
      <c r="H2285" s="149"/>
      <c r="I2285" s="149"/>
      <c r="J2285" s="149"/>
      <c r="K2285" s="149"/>
      <c r="L2285" s="149"/>
      <c r="M2285" s="149"/>
      <c r="N2285" s="149"/>
      <c r="O2285" s="149"/>
      <c r="P2285" s="149"/>
      <c r="Q2285" s="149"/>
      <c r="R2285" s="149"/>
      <c r="S2285" s="149"/>
      <c r="T2285" s="149"/>
      <c r="U2285" s="149"/>
      <c r="V2285" s="149"/>
      <c r="W2285" s="149"/>
      <c r="X2285" s="149"/>
      <c r="Y2285" s="149"/>
      <c r="Z2285" s="149"/>
      <c r="AA2285" s="149"/>
      <c r="AB2285" s="149"/>
      <c r="AC2285" s="149"/>
      <c r="AD2285" s="149"/>
      <c r="AE2285" s="149"/>
      <c r="AF2285" s="149"/>
      <c r="AG2285" s="149"/>
      <c r="AH2285" s="149"/>
      <c r="AI2285" s="149"/>
      <c r="AJ2285" s="149"/>
      <c r="AK2285" s="149"/>
      <c r="AL2285" s="149"/>
      <c r="AM2285" s="149"/>
      <c r="AN2285" s="149"/>
      <c r="AO2285" s="128"/>
      <c r="AP2285" s="128"/>
      <c r="AQ2285" s="128"/>
      <c r="AR2285" s="128"/>
      <c r="AS2285" s="128"/>
      <c r="AT2285" s="128"/>
      <c r="AU2285" s="128"/>
      <c r="AV2285" s="128"/>
      <c r="AW2285" s="128"/>
      <c r="AX2285" s="128"/>
      <c r="AY2285" s="128"/>
      <c r="AZ2285" s="128"/>
      <c r="BA2285" s="128"/>
      <c r="BB2285" s="128"/>
      <c r="BC2285" s="128"/>
      <c r="BD2285" s="128"/>
      <c r="BE2285" s="128"/>
      <c r="BF2285" s="128"/>
      <c r="BG2285" s="128"/>
      <c r="BH2285" s="128"/>
      <c r="BI2285" s="128"/>
      <c r="BJ2285" s="128"/>
      <c r="BK2285" s="128"/>
      <c r="BL2285" s="128"/>
      <c r="BM2285" s="151"/>
      <c r="BN2285" s="128"/>
      <c r="BO2285" s="128"/>
      <c r="BP2285" s="128"/>
      <c r="BQ2285" s="128"/>
      <c r="BR2285" s="128"/>
      <c r="BS2285" s="128"/>
      <c r="BT2285" s="128"/>
      <c r="BU2285" s="128"/>
      <c r="BV2285" s="128"/>
      <c r="BW2285" s="128"/>
      <c r="BX2285" s="128"/>
      <c r="BY2285" s="128"/>
      <c r="BZ2285" s="128"/>
      <c r="CA2285" s="128"/>
      <c r="CB2285" s="128"/>
      <c r="CC2285" s="128"/>
      <c r="CD2285" s="128"/>
      <c r="CE2285" s="128"/>
      <c r="CF2285" s="128"/>
      <c r="CG2285" s="128"/>
      <c r="CI2285" s="128"/>
      <c r="CJ2285" s="128"/>
      <c r="CK2285" s="128"/>
      <c r="CL2285" s="128"/>
      <c r="CM2285" s="128"/>
      <c r="CN2285" s="128"/>
      <c r="CO2285" s="128"/>
      <c r="CP2285" s="128"/>
      <c r="CQ2285" s="128"/>
      <c r="CR2285" s="128"/>
      <c r="CS2285" s="128"/>
      <c r="CT2285" s="128"/>
      <c r="CU2285" s="128"/>
      <c r="CV2285" s="128"/>
      <c r="CW2285" s="128"/>
      <c r="CX2285" s="128"/>
      <c r="CY2285" s="128"/>
      <c r="CZ2285" s="165"/>
    </row>
    <row r="2286" spans="1:104">
      <c r="A2286" s="149"/>
      <c r="B2286" s="149"/>
      <c r="C2286" s="150"/>
      <c r="D2286" s="102"/>
      <c r="E2286" s="149"/>
      <c r="F2286" s="149"/>
      <c r="G2286" s="149"/>
      <c r="H2286" s="149"/>
      <c r="I2286" s="149"/>
      <c r="J2286" s="149"/>
      <c r="K2286" s="149"/>
      <c r="L2286" s="149"/>
      <c r="M2286" s="149"/>
      <c r="N2286" s="149"/>
      <c r="O2286" s="149"/>
      <c r="P2286" s="149"/>
      <c r="Q2286" s="149"/>
      <c r="R2286" s="149"/>
      <c r="S2286" s="149"/>
      <c r="T2286" s="149"/>
      <c r="U2286" s="149"/>
      <c r="V2286" s="149"/>
      <c r="W2286" s="149"/>
      <c r="X2286" s="149"/>
      <c r="Y2286" s="149"/>
      <c r="Z2286" s="149"/>
      <c r="AA2286" s="149"/>
      <c r="AB2286" s="149"/>
      <c r="AC2286" s="149"/>
      <c r="AD2286" s="149"/>
      <c r="AE2286" s="149"/>
      <c r="AF2286" s="149"/>
      <c r="AG2286" s="149"/>
      <c r="AH2286" s="149"/>
      <c r="AI2286" s="149"/>
      <c r="AJ2286" s="149"/>
      <c r="AK2286" s="149"/>
      <c r="AL2286" s="149"/>
      <c r="AM2286" s="149"/>
      <c r="AN2286" s="149"/>
      <c r="AO2286" s="128"/>
      <c r="AP2286" s="128"/>
      <c r="AQ2286" s="128"/>
      <c r="AR2286" s="128"/>
      <c r="AS2286" s="128"/>
      <c r="AT2286" s="128"/>
      <c r="AU2286" s="128"/>
      <c r="AV2286" s="128"/>
      <c r="AW2286" s="128"/>
      <c r="AX2286" s="128"/>
      <c r="AY2286" s="128"/>
      <c r="AZ2286" s="128"/>
      <c r="BA2286" s="128"/>
      <c r="BB2286" s="128"/>
      <c r="BC2286" s="128"/>
      <c r="BD2286" s="128"/>
      <c r="BE2286" s="128"/>
      <c r="BF2286" s="128"/>
      <c r="BG2286" s="128"/>
      <c r="BH2286" s="128"/>
      <c r="BI2286" s="128"/>
      <c r="BJ2286" s="128"/>
      <c r="BK2286" s="128"/>
      <c r="BL2286" s="128"/>
      <c r="BM2286" s="151"/>
      <c r="BN2286" s="128"/>
      <c r="BO2286" s="128"/>
      <c r="BP2286" s="128"/>
      <c r="BQ2286" s="128"/>
      <c r="BR2286" s="128"/>
      <c r="BS2286" s="128"/>
      <c r="BT2286" s="128"/>
      <c r="BU2286" s="128"/>
      <c r="BV2286" s="128"/>
      <c r="BW2286" s="128"/>
      <c r="BX2286" s="128"/>
      <c r="BY2286" s="128"/>
      <c r="BZ2286" s="128"/>
      <c r="CA2286" s="128"/>
      <c r="CB2286" s="128"/>
      <c r="CC2286" s="128"/>
      <c r="CD2286" s="128"/>
      <c r="CE2286" s="128"/>
      <c r="CF2286" s="128"/>
      <c r="CG2286" s="128"/>
      <c r="CI2286" s="128"/>
      <c r="CJ2286" s="128"/>
      <c r="CK2286" s="128"/>
      <c r="CL2286" s="128"/>
      <c r="CM2286" s="128"/>
      <c r="CN2286" s="128"/>
      <c r="CO2286" s="128"/>
      <c r="CP2286" s="128"/>
      <c r="CQ2286" s="128"/>
      <c r="CR2286" s="128"/>
      <c r="CS2286" s="128"/>
      <c r="CT2286" s="128"/>
      <c r="CU2286" s="128"/>
      <c r="CV2286" s="128"/>
      <c r="CW2286" s="128"/>
      <c r="CX2286" s="128"/>
      <c r="CY2286" s="128"/>
      <c r="CZ2286" s="165"/>
    </row>
    <row r="2287" spans="1:104">
      <c r="A2287" s="149"/>
      <c r="B2287" s="149"/>
      <c r="C2287" s="150"/>
      <c r="D2287" s="102"/>
      <c r="E2287" s="149"/>
      <c r="F2287" s="149"/>
      <c r="G2287" s="149"/>
      <c r="H2287" s="149"/>
      <c r="I2287" s="149"/>
      <c r="J2287" s="149"/>
      <c r="K2287" s="149"/>
      <c r="L2287" s="149"/>
      <c r="M2287" s="149"/>
      <c r="N2287" s="149"/>
      <c r="O2287" s="149"/>
      <c r="P2287" s="149"/>
      <c r="Q2287" s="149"/>
      <c r="R2287" s="149"/>
      <c r="S2287" s="149"/>
      <c r="T2287" s="149"/>
      <c r="U2287" s="149"/>
      <c r="V2287" s="149"/>
      <c r="W2287" s="149"/>
      <c r="X2287" s="149"/>
      <c r="Y2287" s="149"/>
      <c r="Z2287" s="149"/>
      <c r="AA2287" s="149"/>
      <c r="AB2287" s="149"/>
      <c r="AC2287" s="149"/>
      <c r="AD2287" s="149"/>
      <c r="AE2287" s="149"/>
      <c r="AF2287" s="149"/>
      <c r="AG2287" s="149"/>
      <c r="AH2287" s="149"/>
      <c r="AI2287" s="149"/>
      <c r="AJ2287" s="149"/>
      <c r="AK2287" s="149"/>
      <c r="AL2287" s="149"/>
      <c r="AM2287" s="149"/>
      <c r="AN2287" s="149"/>
      <c r="AO2287" s="128"/>
      <c r="AP2287" s="128"/>
      <c r="AQ2287" s="128"/>
      <c r="AR2287" s="128"/>
      <c r="AS2287" s="128"/>
      <c r="AT2287" s="128"/>
      <c r="AU2287" s="128"/>
      <c r="AV2287" s="128"/>
      <c r="AW2287" s="128"/>
      <c r="AX2287" s="128"/>
      <c r="AY2287" s="128"/>
      <c r="AZ2287" s="128"/>
      <c r="BA2287" s="128"/>
      <c r="BB2287" s="128"/>
      <c r="BC2287" s="128"/>
      <c r="BD2287" s="128"/>
      <c r="BE2287" s="128"/>
      <c r="BF2287" s="128"/>
      <c r="BG2287" s="128"/>
      <c r="BH2287" s="128"/>
      <c r="BI2287" s="128"/>
      <c r="BJ2287" s="128"/>
      <c r="BK2287" s="128"/>
      <c r="BL2287" s="128"/>
      <c r="BM2287" s="151"/>
      <c r="BN2287" s="128"/>
      <c r="BO2287" s="128"/>
      <c r="BP2287" s="128"/>
      <c r="BQ2287" s="128"/>
      <c r="BR2287" s="128"/>
      <c r="BS2287" s="128"/>
      <c r="BT2287" s="128"/>
      <c r="BU2287" s="128"/>
      <c r="BV2287" s="128"/>
      <c r="BW2287" s="128"/>
      <c r="BX2287" s="128"/>
      <c r="BY2287" s="128"/>
      <c r="BZ2287" s="128"/>
      <c r="CA2287" s="128"/>
      <c r="CB2287" s="128"/>
      <c r="CC2287" s="128"/>
      <c r="CD2287" s="128"/>
      <c r="CE2287" s="128"/>
      <c r="CF2287" s="128"/>
      <c r="CG2287" s="128"/>
      <c r="CI2287" s="128"/>
      <c r="CJ2287" s="128"/>
      <c r="CK2287" s="128"/>
      <c r="CL2287" s="128"/>
      <c r="CM2287" s="128"/>
      <c r="CN2287" s="128"/>
      <c r="CO2287" s="128"/>
      <c r="CP2287" s="128"/>
      <c r="CQ2287" s="128"/>
      <c r="CR2287" s="128"/>
      <c r="CS2287" s="128"/>
      <c r="CT2287" s="128"/>
      <c r="CU2287" s="128"/>
      <c r="CV2287" s="128"/>
      <c r="CW2287" s="128"/>
      <c r="CX2287" s="128"/>
      <c r="CY2287" s="128"/>
      <c r="CZ2287" s="165"/>
    </row>
    <row r="2288" spans="1:104">
      <c r="A2288" s="149"/>
      <c r="B2288" s="149"/>
      <c r="C2288" s="150"/>
      <c r="D2288" s="102"/>
      <c r="E2288" s="149"/>
      <c r="F2288" s="149"/>
      <c r="G2288" s="149"/>
      <c r="H2288" s="149"/>
      <c r="I2288" s="149"/>
      <c r="J2288" s="149"/>
      <c r="K2288" s="149"/>
      <c r="L2288" s="149"/>
      <c r="M2288" s="149"/>
      <c r="N2288" s="149"/>
      <c r="O2288" s="149"/>
      <c r="P2288" s="149"/>
      <c r="Q2288" s="149"/>
      <c r="R2288" s="149"/>
      <c r="S2288" s="149"/>
      <c r="T2288" s="149"/>
      <c r="U2288" s="149"/>
      <c r="V2288" s="149"/>
      <c r="W2288" s="149"/>
      <c r="X2288" s="149"/>
      <c r="Y2288" s="149"/>
      <c r="Z2288" s="149"/>
      <c r="AA2288" s="149"/>
      <c r="AB2288" s="149"/>
      <c r="AC2288" s="149"/>
      <c r="AD2288" s="149"/>
      <c r="AE2288" s="149"/>
      <c r="AF2288" s="149"/>
      <c r="AG2288" s="149"/>
      <c r="AH2288" s="149"/>
      <c r="AI2288" s="149"/>
      <c r="AJ2288" s="149"/>
      <c r="AK2288" s="149"/>
      <c r="AL2288" s="149"/>
      <c r="AM2288" s="149"/>
      <c r="AN2288" s="149"/>
      <c r="AO2288" s="128"/>
      <c r="AP2288" s="128"/>
      <c r="AQ2288" s="128"/>
      <c r="AR2288" s="128"/>
      <c r="AS2288" s="128"/>
      <c r="AT2288" s="128"/>
      <c r="AU2288" s="128"/>
      <c r="AV2288" s="128"/>
      <c r="AW2288" s="128"/>
      <c r="AX2288" s="128"/>
      <c r="AY2288" s="128"/>
      <c r="AZ2288" s="128"/>
      <c r="BA2288" s="128"/>
      <c r="BB2288" s="128"/>
      <c r="BC2288" s="128"/>
      <c r="BD2288" s="128"/>
      <c r="BE2288" s="128"/>
      <c r="BF2288" s="128"/>
      <c r="BG2288" s="128"/>
      <c r="BH2288" s="128"/>
      <c r="BI2288" s="128"/>
      <c r="BJ2288" s="128"/>
      <c r="BK2288" s="128"/>
      <c r="BL2288" s="128"/>
      <c r="BM2288" s="151"/>
      <c r="BN2288" s="128"/>
      <c r="BO2288" s="128"/>
      <c r="BP2288" s="128"/>
      <c r="BQ2288" s="128"/>
      <c r="BR2288" s="128"/>
      <c r="BS2288" s="128"/>
      <c r="BT2288" s="128"/>
      <c r="BU2288" s="128"/>
      <c r="BV2288" s="128"/>
      <c r="BW2288" s="128"/>
      <c r="BX2288" s="128"/>
      <c r="BY2288" s="128"/>
      <c r="BZ2288" s="128"/>
      <c r="CA2288" s="128"/>
      <c r="CB2288" s="128"/>
      <c r="CC2288" s="128"/>
      <c r="CD2288" s="128"/>
      <c r="CE2288" s="128"/>
      <c r="CF2288" s="128"/>
      <c r="CG2288" s="128"/>
      <c r="CI2288" s="128"/>
      <c r="CJ2288" s="128"/>
      <c r="CK2288" s="128"/>
      <c r="CL2288" s="128"/>
      <c r="CM2288" s="128"/>
      <c r="CN2288" s="128"/>
      <c r="CO2288" s="128"/>
      <c r="CP2288" s="128"/>
      <c r="CQ2288" s="128"/>
      <c r="CR2288" s="128"/>
      <c r="CS2288" s="128"/>
      <c r="CT2288" s="128"/>
      <c r="CU2288" s="128"/>
      <c r="CV2288" s="128"/>
      <c r="CW2288" s="128"/>
      <c r="CX2288" s="128"/>
      <c r="CY2288" s="128"/>
      <c r="CZ2288" s="165"/>
    </row>
    <row r="2289" spans="1:104">
      <c r="A2289" s="149"/>
      <c r="B2289" s="149"/>
      <c r="C2289" s="150"/>
      <c r="D2289" s="102"/>
      <c r="E2289" s="149"/>
      <c r="F2289" s="149"/>
      <c r="G2289" s="149"/>
      <c r="H2289" s="149"/>
      <c r="I2289" s="149"/>
      <c r="J2289" s="149"/>
      <c r="K2289" s="149"/>
      <c r="L2289" s="149"/>
      <c r="M2289" s="149"/>
      <c r="N2289" s="149"/>
      <c r="O2289" s="149"/>
      <c r="P2289" s="149"/>
      <c r="Q2289" s="149"/>
      <c r="R2289" s="149"/>
      <c r="S2289" s="149"/>
      <c r="T2289" s="149"/>
      <c r="U2289" s="149"/>
      <c r="V2289" s="149"/>
      <c r="W2289" s="149"/>
      <c r="X2289" s="149"/>
      <c r="Y2289" s="149"/>
      <c r="Z2289" s="149"/>
      <c r="AA2289" s="149"/>
      <c r="AB2289" s="149"/>
      <c r="AC2289" s="149"/>
      <c r="AD2289" s="149"/>
      <c r="AE2289" s="149"/>
      <c r="AF2289" s="149"/>
      <c r="AG2289" s="149"/>
      <c r="AH2289" s="149"/>
      <c r="AI2289" s="149"/>
      <c r="AJ2289" s="149"/>
      <c r="AK2289" s="149"/>
      <c r="AL2289" s="149"/>
      <c r="AM2289" s="149"/>
      <c r="AN2289" s="149"/>
      <c r="AO2289" s="128"/>
      <c r="AP2289" s="128"/>
      <c r="AQ2289" s="128"/>
      <c r="AR2289" s="128"/>
      <c r="AS2289" s="128"/>
      <c r="AT2289" s="128"/>
      <c r="AU2289" s="128"/>
      <c r="AV2289" s="128"/>
      <c r="AW2289" s="128"/>
      <c r="AX2289" s="128"/>
      <c r="AY2289" s="128"/>
      <c r="AZ2289" s="128"/>
      <c r="BA2289" s="128"/>
      <c r="BB2289" s="128"/>
      <c r="BC2289" s="128"/>
      <c r="BD2289" s="128"/>
      <c r="BE2289" s="128"/>
      <c r="BF2289" s="128"/>
      <c r="BG2289" s="128"/>
      <c r="BH2289" s="128"/>
      <c r="BI2289" s="128"/>
      <c r="BJ2289" s="128"/>
      <c r="BK2289" s="128"/>
      <c r="BL2289" s="128"/>
      <c r="BM2289" s="151"/>
      <c r="BN2289" s="128"/>
      <c r="BO2289" s="128"/>
      <c r="BP2289" s="128"/>
      <c r="BQ2289" s="128"/>
      <c r="BR2289" s="128"/>
      <c r="BS2289" s="128"/>
      <c r="BT2289" s="128"/>
      <c r="BU2289" s="128"/>
      <c r="BV2289" s="128"/>
      <c r="BW2289" s="128"/>
      <c r="BX2289" s="128"/>
      <c r="BY2289" s="128"/>
      <c r="BZ2289" s="128"/>
      <c r="CA2289" s="128"/>
      <c r="CB2289" s="128"/>
      <c r="CC2289" s="128"/>
      <c r="CD2289" s="128"/>
      <c r="CE2289" s="128"/>
      <c r="CF2289" s="128"/>
      <c r="CG2289" s="128"/>
      <c r="CI2289" s="128"/>
      <c r="CJ2289" s="128"/>
      <c r="CK2289" s="128"/>
      <c r="CL2289" s="128"/>
      <c r="CM2289" s="128"/>
      <c r="CN2289" s="128"/>
      <c r="CO2289" s="128"/>
      <c r="CP2289" s="128"/>
      <c r="CQ2289" s="128"/>
      <c r="CR2289" s="128"/>
      <c r="CS2289" s="128"/>
      <c r="CT2289" s="128"/>
      <c r="CU2289" s="128"/>
      <c r="CV2289" s="128"/>
      <c r="CW2289" s="128"/>
      <c r="CX2289" s="128"/>
      <c r="CY2289" s="128"/>
      <c r="CZ2289" s="165"/>
    </row>
    <row r="2290" spans="1:104">
      <c r="A2290" s="149"/>
      <c r="B2290" s="149"/>
      <c r="C2290" s="150"/>
      <c r="D2290" s="102"/>
      <c r="E2290" s="149"/>
      <c r="F2290" s="149"/>
      <c r="G2290" s="149"/>
      <c r="H2290" s="149"/>
      <c r="I2290" s="149"/>
      <c r="J2290" s="149"/>
      <c r="K2290" s="149"/>
      <c r="L2290" s="149"/>
      <c r="M2290" s="149"/>
      <c r="N2290" s="149"/>
      <c r="O2290" s="149"/>
      <c r="P2290" s="149"/>
      <c r="Q2290" s="149"/>
      <c r="R2290" s="149"/>
      <c r="S2290" s="149"/>
      <c r="T2290" s="149"/>
      <c r="U2290" s="149"/>
      <c r="V2290" s="149"/>
      <c r="W2290" s="149"/>
      <c r="X2290" s="149"/>
      <c r="Y2290" s="149"/>
      <c r="Z2290" s="149"/>
      <c r="AA2290" s="149"/>
      <c r="AB2290" s="149"/>
      <c r="AC2290" s="149"/>
      <c r="AD2290" s="149"/>
      <c r="AE2290" s="149"/>
      <c r="AF2290" s="149"/>
      <c r="AG2290" s="149"/>
      <c r="AH2290" s="149"/>
      <c r="AI2290" s="149"/>
      <c r="AJ2290" s="149"/>
      <c r="AK2290" s="149"/>
      <c r="AL2290" s="149"/>
      <c r="AM2290" s="149"/>
      <c r="AN2290" s="149"/>
      <c r="AO2290" s="128"/>
      <c r="AP2290" s="128"/>
      <c r="AQ2290" s="128"/>
      <c r="AR2290" s="128"/>
      <c r="AS2290" s="128"/>
      <c r="AT2290" s="128"/>
      <c r="AU2290" s="128"/>
      <c r="AV2290" s="128"/>
      <c r="AW2290" s="128"/>
      <c r="AX2290" s="128"/>
      <c r="AY2290" s="128"/>
      <c r="AZ2290" s="128"/>
      <c r="BA2290" s="128"/>
      <c r="BB2290" s="128"/>
      <c r="BC2290" s="128"/>
      <c r="BD2290" s="128"/>
      <c r="BE2290" s="128"/>
      <c r="BF2290" s="128"/>
      <c r="BG2290" s="128"/>
      <c r="BH2290" s="128"/>
      <c r="BI2290" s="128"/>
      <c r="BJ2290" s="128"/>
      <c r="BK2290" s="128"/>
      <c r="BL2290" s="128"/>
      <c r="BM2290" s="151"/>
      <c r="BN2290" s="128"/>
      <c r="BO2290" s="128"/>
      <c r="BP2290" s="128"/>
      <c r="BQ2290" s="128"/>
      <c r="BR2290" s="128"/>
      <c r="BS2290" s="128"/>
      <c r="BT2290" s="128"/>
      <c r="BU2290" s="128"/>
      <c r="BV2290" s="128"/>
      <c r="BW2290" s="128"/>
      <c r="BX2290" s="128"/>
      <c r="BY2290" s="128"/>
      <c r="BZ2290" s="128"/>
      <c r="CA2290" s="128"/>
      <c r="CB2290" s="128"/>
      <c r="CC2290" s="128"/>
      <c r="CD2290" s="128"/>
      <c r="CE2290" s="128"/>
      <c r="CF2290" s="128"/>
      <c r="CG2290" s="128"/>
      <c r="CI2290" s="128"/>
      <c r="CJ2290" s="128"/>
      <c r="CK2290" s="128"/>
      <c r="CL2290" s="128"/>
      <c r="CM2290" s="128"/>
      <c r="CN2290" s="128"/>
      <c r="CO2290" s="128"/>
      <c r="CP2290" s="128"/>
      <c r="CQ2290" s="128"/>
      <c r="CR2290" s="128"/>
      <c r="CS2290" s="128"/>
      <c r="CT2290" s="128"/>
      <c r="CU2290" s="128"/>
      <c r="CV2290" s="128"/>
      <c r="CW2290" s="128"/>
      <c r="CX2290" s="128"/>
      <c r="CY2290" s="128"/>
      <c r="CZ2290" s="165"/>
    </row>
    <row r="2291" spans="1:104">
      <c r="A2291" s="149"/>
      <c r="B2291" s="149"/>
      <c r="C2291" s="150"/>
      <c r="D2291" s="102"/>
      <c r="E2291" s="149"/>
      <c r="F2291" s="149"/>
      <c r="G2291" s="149"/>
      <c r="H2291" s="149"/>
      <c r="I2291" s="149"/>
      <c r="J2291" s="149"/>
      <c r="K2291" s="149"/>
      <c r="L2291" s="149"/>
      <c r="M2291" s="149"/>
      <c r="N2291" s="149"/>
      <c r="O2291" s="149"/>
      <c r="P2291" s="149"/>
      <c r="Q2291" s="149"/>
      <c r="R2291" s="149"/>
      <c r="S2291" s="149"/>
      <c r="T2291" s="149"/>
      <c r="U2291" s="149"/>
      <c r="V2291" s="149"/>
      <c r="W2291" s="149"/>
      <c r="X2291" s="149"/>
      <c r="Y2291" s="149"/>
      <c r="Z2291" s="149"/>
      <c r="AA2291" s="149"/>
      <c r="AB2291" s="149"/>
      <c r="AC2291" s="149"/>
      <c r="AD2291" s="149"/>
      <c r="AE2291" s="149"/>
      <c r="AF2291" s="149"/>
      <c r="AG2291" s="149"/>
      <c r="AH2291" s="149"/>
      <c r="AI2291" s="149"/>
      <c r="AJ2291" s="149"/>
      <c r="AK2291" s="149"/>
      <c r="AL2291" s="149"/>
      <c r="AM2291" s="149"/>
      <c r="AN2291" s="149"/>
      <c r="AO2291" s="128"/>
      <c r="AP2291" s="128"/>
      <c r="AQ2291" s="128"/>
      <c r="AR2291" s="128"/>
      <c r="AS2291" s="128"/>
      <c r="AT2291" s="128"/>
      <c r="AU2291" s="128"/>
      <c r="AV2291" s="128"/>
      <c r="AW2291" s="128"/>
      <c r="AX2291" s="128"/>
      <c r="AY2291" s="128"/>
      <c r="AZ2291" s="128"/>
      <c r="BA2291" s="128"/>
      <c r="BB2291" s="128"/>
      <c r="BC2291" s="128"/>
      <c r="BD2291" s="128"/>
      <c r="BE2291" s="128"/>
      <c r="BF2291" s="128"/>
      <c r="BG2291" s="128"/>
      <c r="BH2291" s="128"/>
      <c r="BI2291" s="128"/>
      <c r="BJ2291" s="128"/>
      <c r="BK2291" s="128"/>
      <c r="BL2291" s="128"/>
      <c r="BM2291" s="151"/>
      <c r="BN2291" s="128"/>
      <c r="BO2291" s="128"/>
      <c r="BP2291" s="128"/>
      <c r="BQ2291" s="128"/>
      <c r="BR2291" s="128"/>
      <c r="BS2291" s="128"/>
      <c r="BT2291" s="128"/>
      <c r="BU2291" s="128"/>
      <c r="BV2291" s="128"/>
      <c r="BW2291" s="128"/>
      <c r="BX2291" s="128"/>
      <c r="BY2291" s="128"/>
      <c r="BZ2291" s="128"/>
      <c r="CA2291" s="128"/>
      <c r="CB2291" s="128"/>
      <c r="CC2291" s="128"/>
      <c r="CD2291" s="128"/>
      <c r="CE2291" s="128"/>
      <c r="CF2291" s="128"/>
      <c r="CG2291" s="128"/>
      <c r="CI2291" s="128"/>
      <c r="CJ2291" s="128"/>
      <c r="CK2291" s="128"/>
      <c r="CL2291" s="128"/>
      <c r="CM2291" s="128"/>
      <c r="CN2291" s="128"/>
      <c r="CO2291" s="128"/>
      <c r="CP2291" s="128"/>
      <c r="CQ2291" s="128"/>
      <c r="CR2291" s="128"/>
      <c r="CS2291" s="128"/>
      <c r="CT2291" s="128"/>
      <c r="CU2291" s="128"/>
      <c r="CV2291" s="128"/>
      <c r="CW2291" s="128"/>
      <c r="CX2291" s="128"/>
      <c r="CY2291" s="128"/>
      <c r="CZ2291" s="165"/>
    </row>
    <row r="2292" spans="1:104">
      <c r="A2292" s="149"/>
      <c r="B2292" s="149"/>
      <c r="C2292" s="150"/>
      <c r="D2292" s="102"/>
      <c r="E2292" s="149"/>
      <c r="F2292" s="149"/>
      <c r="G2292" s="149"/>
      <c r="H2292" s="149"/>
      <c r="I2292" s="149"/>
      <c r="J2292" s="149"/>
      <c r="K2292" s="149"/>
      <c r="L2292" s="149"/>
      <c r="M2292" s="149"/>
      <c r="N2292" s="149"/>
      <c r="O2292" s="149"/>
      <c r="P2292" s="149"/>
      <c r="Q2292" s="149"/>
      <c r="R2292" s="149"/>
      <c r="S2292" s="149"/>
      <c r="T2292" s="149"/>
      <c r="U2292" s="149"/>
      <c r="V2292" s="149"/>
      <c r="W2292" s="149"/>
      <c r="X2292" s="149"/>
      <c r="Y2292" s="149"/>
      <c r="Z2292" s="149"/>
      <c r="AA2292" s="149"/>
      <c r="AB2292" s="149"/>
      <c r="AC2292" s="149"/>
      <c r="AD2292" s="149"/>
      <c r="AE2292" s="149"/>
      <c r="AF2292" s="149"/>
      <c r="AG2292" s="149"/>
      <c r="AH2292" s="149"/>
      <c r="AI2292" s="149"/>
      <c r="AJ2292" s="149"/>
      <c r="AK2292" s="149"/>
      <c r="AL2292" s="149"/>
      <c r="AM2292" s="149"/>
      <c r="AN2292" s="149"/>
      <c r="AO2292" s="128"/>
      <c r="AP2292" s="128"/>
      <c r="AQ2292" s="128"/>
      <c r="AR2292" s="128"/>
      <c r="AS2292" s="128"/>
      <c r="AT2292" s="128"/>
      <c r="AU2292" s="128"/>
      <c r="AV2292" s="128"/>
      <c r="AW2292" s="128"/>
      <c r="AX2292" s="128"/>
      <c r="AY2292" s="128"/>
      <c r="AZ2292" s="128"/>
      <c r="BA2292" s="128"/>
      <c r="BB2292" s="128"/>
      <c r="BC2292" s="128"/>
      <c r="BD2292" s="128"/>
      <c r="BE2292" s="128"/>
      <c r="BF2292" s="128"/>
      <c r="BG2292" s="128"/>
      <c r="BH2292" s="128"/>
      <c r="BI2292" s="128"/>
      <c r="BJ2292" s="128"/>
      <c r="BK2292" s="128"/>
      <c r="BL2292" s="128"/>
      <c r="BM2292" s="151"/>
      <c r="BN2292" s="128"/>
      <c r="BO2292" s="128"/>
      <c r="BP2292" s="128"/>
      <c r="BQ2292" s="128"/>
      <c r="BR2292" s="128"/>
      <c r="BS2292" s="128"/>
      <c r="BT2292" s="128"/>
      <c r="BU2292" s="128"/>
      <c r="BV2292" s="128"/>
      <c r="BW2292" s="128"/>
      <c r="BX2292" s="128"/>
      <c r="BY2292" s="128"/>
      <c r="BZ2292" s="128"/>
      <c r="CA2292" s="128"/>
      <c r="CB2292" s="128"/>
      <c r="CC2292" s="128"/>
      <c r="CD2292" s="128"/>
      <c r="CE2292" s="128"/>
      <c r="CF2292" s="128"/>
      <c r="CG2292" s="128"/>
      <c r="CI2292" s="128"/>
      <c r="CJ2292" s="128"/>
      <c r="CK2292" s="128"/>
      <c r="CL2292" s="128"/>
      <c r="CM2292" s="128"/>
      <c r="CN2292" s="128"/>
      <c r="CO2292" s="128"/>
      <c r="CP2292" s="128"/>
      <c r="CQ2292" s="128"/>
      <c r="CR2292" s="128"/>
      <c r="CS2292" s="128"/>
      <c r="CT2292" s="128"/>
      <c r="CU2292" s="128"/>
      <c r="CV2292" s="128"/>
      <c r="CW2292" s="128"/>
      <c r="CX2292" s="128"/>
      <c r="CY2292" s="128"/>
      <c r="CZ2292" s="165"/>
    </row>
    <row r="2293" spans="1:104">
      <c r="A2293" s="149"/>
      <c r="B2293" s="149"/>
      <c r="C2293" s="150"/>
      <c r="D2293" s="102"/>
      <c r="E2293" s="149"/>
      <c r="F2293" s="149"/>
      <c r="G2293" s="149"/>
      <c r="H2293" s="149"/>
      <c r="I2293" s="149"/>
      <c r="J2293" s="149"/>
      <c r="K2293" s="149"/>
      <c r="L2293" s="149"/>
      <c r="M2293" s="149"/>
      <c r="N2293" s="149"/>
      <c r="O2293" s="149"/>
      <c r="P2293" s="149"/>
      <c r="Q2293" s="149"/>
      <c r="R2293" s="149"/>
      <c r="S2293" s="149"/>
      <c r="T2293" s="149"/>
      <c r="U2293" s="149"/>
      <c r="V2293" s="149"/>
      <c r="W2293" s="149"/>
      <c r="X2293" s="149"/>
      <c r="Y2293" s="149"/>
      <c r="Z2293" s="149"/>
      <c r="AA2293" s="149"/>
      <c r="AB2293" s="149"/>
      <c r="AC2293" s="149"/>
      <c r="AD2293" s="149"/>
      <c r="AE2293" s="149"/>
      <c r="AF2293" s="149"/>
      <c r="AG2293" s="149"/>
      <c r="AH2293" s="149"/>
      <c r="AI2293" s="149"/>
      <c r="AJ2293" s="149"/>
      <c r="AK2293" s="149"/>
      <c r="AL2293" s="149"/>
      <c r="AM2293" s="149"/>
      <c r="AN2293" s="149"/>
      <c r="AO2293" s="128"/>
      <c r="AP2293" s="128"/>
      <c r="AQ2293" s="128"/>
      <c r="AR2293" s="128"/>
      <c r="AS2293" s="128"/>
      <c r="AT2293" s="128"/>
      <c r="AU2293" s="128"/>
      <c r="AV2293" s="128"/>
      <c r="AW2293" s="128"/>
      <c r="AX2293" s="128"/>
      <c r="AY2293" s="128"/>
      <c r="AZ2293" s="128"/>
      <c r="BA2293" s="128"/>
      <c r="BB2293" s="128"/>
      <c r="BC2293" s="128"/>
      <c r="BD2293" s="128"/>
      <c r="BE2293" s="128"/>
      <c r="BF2293" s="128"/>
      <c r="BG2293" s="128"/>
      <c r="BH2293" s="128"/>
      <c r="BI2293" s="128"/>
      <c r="BJ2293" s="128"/>
      <c r="BK2293" s="128"/>
      <c r="BL2293" s="128"/>
      <c r="BM2293" s="151"/>
      <c r="BN2293" s="128"/>
      <c r="BO2293" s="128"/>
      <c r="BP2293" s="128"/>
      <c r="BQ2293" s="128"/>
      <c r="BR2293" s="128"/>
      <c r="BS2293" s="128"/>
      <c r="BT2293" s="128"/>
      <c r="BU2293" s="128"/>
      <c r="BV2293" s="128"/>
      <c r="BW2293" s="128"/>
      <c r="BX2293" s="128"/>
      <c r="BY2293" s="128"/>
      <c r="BZ2293" s="128"/>
      <c r="CA2293" s="128"/>
      <c r="CB2293" s="128"/>
      <c r="CC2293" s="128"/>
      <c r="CD2293" s="128"/>
      <c r="CE2293" s="128"/>
      <c r="CF2293" s="128"/>
      <c r="CG2293" s="128"/>
      <c r="CI2293" s="128"/>
      <c r="CJ2293" s="128"/>
      <c r="CK2293" s="128"/>
      <c r="CL2293" s="128"/>
      <c r="CM2293" s="128"/>
      <c r="CN2293" s="128"/>
      <c r="CO2293" s="128"/>
      <c r="CP2293" s="128"/>
      <c r="CQ2293" s="128"/>
      <c r="CR2293" s="128"/>
      <c r="CS2293" s="128"/>
      <c r="CT2293" s="128"/>
      <c r="CU2293" s="128"/>
      <c r="CV2293" s="128"/>
      <c r="CW2293" s="128"/>
      <c r="CX2293" s="128"/>
      <c r="CY2293" s="128"/>
      <c r="CZ2293" s="165"/>
    </row>
    <row r="2294" spans="1:104">
      <c r="A2294" s="149"/>
      <c r="B2294" s="149"/>
      <c r="C2294" s="150"/>
      <c r="D2294" s="102"/>
      <c r="E2294" s="149"/>
      <c r="F2294" s="149"/>
      <c r="G2294" s="149"/>
      <c r="H2294" s="149"/>
      <c r="I2294" s="149"/>
      <c r="J2294" s="149"/>
      <c r="K2294" s="149"/>
      <c r="L2294" s="149"/>
      <c r="M2294" s="149"/>
      <c r="N2294" s="149"/>
      <c r="O2294" s="149"/>
      <c r="P2294" s="149"/>
      <c r="Q2294" s="149"/>
      <c r="R2294" s="149"/>
      <c r="S2294" s="149"/>
      <c r="T2294" s="149"/>
      <c r="U2294" s="149"/>
      <c r="V2294" s="149"/>
      <c r="W2294" s="149"/>
      <c r="X2294" s="149"/>
      <c r="Y2294" s="149"/>
      <c r="Z2294" s="149"/>
      <c r="AA2294" s="149"/>
      <c r="AB2294" s="149"/>
      <c r="AC2294" s="149"/>
      <c r="AD2294" s="149"/>
      <c r="AE2294" s="149"/>
      <c r="AF2294" s="149"/>
      <c r="AG2294" s="149"/>
      <c r="AH2294" s="149"/>
      <c r="AI2294" s="149"/>
      <c r="AJ2294" s="149"/>
      <c r="AK2294" s="149"/>
      <c r="AL2294" s="149"/>
      <c r="AM2294" s="149"/>
      <c r="AN2294" s="149"/>
      <c r="AO2294" s="128"/>
      <c r="AP2294" s="128"/>
      <c r="AQ2294" s="128"/>
      <c r="AR2294" s="128"/>
      <c r="AS2294" s="128"/>
      <c r="AT2294" s="128"/>
      <c r="AU2294" s="128"/>
      <c r="AV2294" s="128"/>
      <c r="AW2294" s="128"/>
      <c r="AX2294" s="128"/>
      <c r="AY2294" s="128"/>
      <c r="AZ2294" s="128"/>
      <c r="BA2294" s="128"/>
      <c r="BB2294" s="128"/>
      <c r="BC2294" s="128"/>
      <c r="BD2294" s="128"/>
      <c r="BE2294" s="128"/>
      <c r="BF2294" s="128"/>
      <c r="BG2294" s="128"/>
      <c r="BH2294" s="128"/>
      <c r="BI2294" s="128"/>
      <c r="BJ2294" s="128"/>
      <c r="BK2294" s="128"/>
      <c r="BL2294" s="128"/>
      <c r="BM2294" s="151"/>
      <c r="BN2294" s="128"/>
      <c r="BO2294" s="128"/>
      <c r="BP2294" s="128"/>
      <c r="BQ2294" s="128"/>
      <c r="BR2294" s="128"/>
      <c r="BS2294" s="128"/>
      <c r="BT2294" s="128"/>
      <c r="BU2294" s="128"/>
      <c r="BV2294" s="128"/>
      <c r="BW2294" s="128"/>
      <c r="BX2294" s="128"/>
      <c r="BY2294" s="128"/>
      <c r="BZ2294" s="128"/>
      <c r="CA2294" s="128"/>
      <c r="CB2294" s="128"/>
      <c r="CC2294" s="128"/>
      <c r="CD2294" s="128"/>
      <c r="CE2294" s="128"/>
      <c r="CF2294" s="128"/>
      <c r="CG2294" s="128"/>
      <c r="CI2294" s="128"/>
      <c r="CJ2294" s="128"/>
      <c r="CK2294" s="128"/>
      <c r="CL2294" s="128"/>
      <c r="CM2294" s="128"/>
      <c r="CN2294" s="128"/>
      <c r="CO2294" s="128"/>
      <c r="CP2294" s="128"/>
      <c r="CQ2294" s="128"/>
      <c r="CR2294" s="128"/>
      <c r="CS2294" s="128"/>
      <c r="CT2294" s="128"/>
      <c r="CU2294" s="128"/>
      <c r="CV2294" s="128"/>
      <c r="CW2294" s="128"/>
      <c r="CX2294" s="128"/>
      <c r="CY2294" s="128"/>
      <c r="CZ2294" s="165"/>
    </row>
    <row r="2295" spans="1:104">
      <c r="A2295" s="149"/>
      <c r="B2295" s="149"/>
      <c r="C2295" s="150"/>
      <c r="D2295" s="102"/>
      <c r="E2295" s="149"/>
      <c r="F2295" s="149"/>
      <c r="G2295" s="149"/>
      <c r="H2295" s="149"/>
      <c r="I2295" s="149"/>
      <c r="J2295" s="149"/>
      <c r="K2295" s="149"/>
      <c r="L2295" s="149"/>
      <c r="M2295" s="149"/>
      <c r="N2295" s="149"/>
      <c r="O2295" s="149"/>
      <c r="P2295" s="149"/>
      <c r="Q2295" s="149"/>
      <c r="R2295" s="149"/>
      <c r="S2295" s="149"/>
      <c r="T2295" s="149"/>
      <c r="U2295" s="149"/>
      <c r="V2295" s="149"/>
      <c r="W2295" s="149"/>
      <c r="X2295" s="149"/>
      <c r="Y2295" s="149"/>
      <c r="Z2295" s="149"/>
      <c r="AA2295" s="149"/>
      <c r="AB2295" s="149"/>
      <c r="AC2295" s="149"/>
      <c r="AD2295" s="149"/>
      <c r="AE2295" s="149"/>
      <c r="AF2295" s="149"/>
      <c r="AG2295" s="149"/>
      <c r="AH2295" s="149"/>
      <c r="AI2295" s="149"/>
      <c r="AJ2295" s="149"/>
      <c r="AK2295" s="149"/>
      <c r="AL2295" s="149"/>
      <c r="AM2295" s="149"/>
      <c r="AN2295" s="149"/>
      <c r="AO2295" s="128"/>
      <c r="AP2295" s="128"/>
      <c r="AQ2295" s="128"/>
      <c r="AR2295" s="128"/>
      <c r="AS2295" s="128"/>
      <c r="AT2295" s="128"/>
      <c r="AU2295" s="128"/>
      <c r="AV2295" s="128"/>
      <c r="AW2295" s="128"/>
      <c r="AX2295" s="128"/>
      <c r="AY2295" s="128"/>
      <c r="AZ2295" s="128"/>
      <c r="BA2295" s="128"/>
      <c r="BB2295" s="128"/>
      <c r="BC2295" s="128"/>
      <c r="BD2295" s="128"/>
      <c r="BE2295" s="128"/>
      <c r="BF2295" s="128"/>
      <c r="BG2295" s="128"/>
      <c r="BH2295" s="128"/>
      <c r="BI2295" s="128"/>
      <c r="BJ2295" s="128"/>
      <c r="BK2295" s="128"/>
      <c r="BL2295" s="128"/>
      <c r="BM2295" s="151"/>
      <c r="BN2295" s="128"/>
      <c r="BO2295" s="128"/>
      <c r="BP2295" s="128"/>
      <c r="BQ2295" s="128"/>
      <c r="BR2295" s="128"/>
      <c r="BS2295" s="128"/>
      <c r="BT2295" s="128"/>
      <c r="BU2295" s="128"/>
      <c r="BV2295" s="128"/>
      <c r="BW2295" s="128"/>
      <c r="BX2295" s="128"/>
      <c r="BY2295" s="128"/>
      <c r="BZ2295" s="128"/>
      <c r="CA2295" s="128"/>
      <c r="CB2295" s="128"/>
      <c r="CC2295" s="128"/>
      <c r="CD2295" s="128"/>
      <c r="CE2295" s="128"/>
      <c r="CF2295" s="128"/>
      <c r="CG2295" s="128"/>
      <c r="CI2295" s="128"/>
      <c r="CJ2295" s="128"/>
      <c r="CK2295" s="128"/>
      <c r="CL2295" s="128"/>
      <c r="CM2295" s="128"/>
      <c r="CN2295" s="128"/>
      <c r="CO2295" s="128"/>
      <c r="CP2295" s="128"/>
      <c r="CQ2295" s="128"/>
      <c r="CR2295" s="128"/>
      <c r="CS2295" s="128"/>
      <c r="CT2295" s="128"/>
      <c r="CU2295" s="128"/>
      <c r="CV2295" s="128"/>
      <c r="CW2295" s="128"/>
      <c r="CX2295" s="128"/>
      <c r="CY2295" s="128"/>
      <c r="CZ2295" s="165"/>
    </row>
    <row r="2296" spans="1:104">
      <c r="A2296" s="149"/>
      <c r="B2296" s="149"/>
      <c r="C2296" s="150"/>
      <c r="D2296" s="102"/>
      <c r="E2296" s="149"/>
      <c r="F2296" s="149"/>
      <c r="G2296" s="149"/>
      <c r="H2296" s="149"/>
      <c r="I2296" s="149"/>
      <c r="J2296" s="149"/>
      <c r="K2296" s="149"/>
      <c r="L2296" s="149"/>
      <c r="M2296" s="149"/>
      <c r="N2296" s="149"/>
      <c r="O2296" s="149"/>
      <c r="P2296" s="149"/>
      <c r="Q2296" s="149"/>
      <c r="R2296" s="149"/>
      <c r="S2296" s="149"/>
      <c r="T2296" s="149"/>
      <c r="U2296" s="149"/>
      <c r="V2296" s="149"/>
      <c r="W2296" s="149"/>
      <c r="X2296" s="149"/>
      <c r="Y2296" s="149"/>
      <c r="Z2296" s="149"/>
      <c r="AA2296" s="149"/>
      <c r="AB2296" s="149"/>
      <c r="AC2296" s="149"/>
      <c r="AD2296" s="149"/>
      <c r="AE2296" s="149"/>
      <c r="AF2296" s="149"/>
      <c r="AG2296" s="149"/>
      <c r="AH2296" s="149"/>
      <c r="AI2296" s="149"/>
      <c r="AJ2296" s="149"/>
      <c r="AK2296" s="149"/>
      <c r="AL2296" s="149"/>
      <c r="AM2296" s="149"/>
      <c r="AN2296" s="149"/>
      <c r="AO2296" s="128"/>
      <c r="AP2296" s="128"/>
      <c r="AQ2296" s="128"/>
      <c r="AR2296" s="128"/>
      <c r="AS2296" s="128"/>
      <c r="AT2296" s="128"/>
      <c r="AU2296" s="128"/>
      <c r="AV2296" s="128"/>
      <c r="AW2296" s="128"/>
      <c r="AX2296" s="128"/>
      <c r="AY2296" s="128"/>
      <c r="AZ2296" s="128"/>
      <c r="BA2296" s="128"/>
      <c r="BB2296" s="128"/>
      <c r="BC2296" s="128"/>
      <c r="BD2296" s="128"/>
      <c r="BE2296" s="128"/>
      <c r="BF2296" s="128"/>
      <c r="BG2296" s="128"/>
      <c r="BH2296" s="128"/>
      <c r="BI2296" s="128"/>
      <c r="BJ2296" s="128"/>
      <c r="BK2296" s="128"/>
      <c r="BL2296" s="128"/>
      <c r="BM2296" s="151"/>
      <c r="BN2296" s="128"/>
      <c r="BO2296" s="128"/>
      <c r="BP2296" s="128"/>
      <c r="BQ2296" s="128"/>
      <c r="BR2296" s="128"/>
      <c r="BS2296" s="128"/>
      <c r="BT2296" s="128"/>
      <c r="BU2296" s="128"/>
      <c r="BV2296" s="128"/>
      <c r="BW2296" s="128"/>
      <c r="BX2296" s="128"/>
      <c r="BY2296" s="128"/>
      <c r="BZ2296" s="128"/>
      <c r="CA2296" s="128"/>
      <c r="CB2296" s="128"/>
      <c r="CC2296" s="128"/>
      <c r="CD2296" s="128"/>
      <c r="CE2296" s="128"/>
      <c r="CF2296" s="128"/>
      <c r="CG2296" s="128"/>
      <c r="CI2296" s="128"/>
      <c r="CJ2296" s="128"/>
      <c r="CK2296" s="128"/>
      <c r="CL2296" s="128"/>
      <c r="CM2296" s="128"/>
      <c r="CN2296" s="128"/>
      <c r="CO2296" s="128"/>
      <c r="CP2296" s="128"/>
      <c r="CQ2296" s="128"/>
      <c r="CR2296" s="128"/>
      <c r="CS2296" s="128"/>
      <c r="CT2296" s="128"/>
      <c r="CU2296" s="128"/>
      <c r="CV2296" s="128"/>
      <c r="CW2296" s="128"/>
      <c r="CX2296" s="128"/>
      <c r="CY2296" s="128"/>
      <c r="CZ2296" s="165"/>
    </row>
    <row r="2297" spans="1:104">
      <c r="A2297" s="149"/>
      <c r="B2297" s="149"/>
      <c r="C2297" s="150"/>
      <c r="D2297" s="102"/>
      <c r="E2297" s="149"/>
      <c r="F2297" s="149"/>
      <c r="G2297" s="149"/>
      <c r="H2297" s="149"/>
      <c r="I2297" s="149"/>
      <c r="J2297" s="149"/>
      <c r="K2297" s="149"/>
      <c r="L2297" s="149"/>
      <c r="M2297" s="149"/>
      <c r="N2297" s="149"/>
      <c r="O2297" s="149"/>
      <c r="P2297" s="149"/>
      <c r="Q2297" s="149"/>
      <c r="R2297" s="149"/>
      <c r="S2297" s="149"/>
      <c r="T2297" s="149"/>
      <c r="U2297" s="149"/>
      <c r="V2297" s="149"/>
      <c r="W2297" s="149"/>
      <c r="X2297" s="149"/>
      <c r="Y2297" s="149"/>
      <c r="Z2297" s="149"/>
      <c r="AA2297" s="149"/>
      <c r="AB2297" s="149"/>
      <c r="AC2297" s="149"/>
      <c r="AD2297" s="149"/>
      <c r="AE2297" s="149"/>
      <c r="AF2297" s="149"/>
      <c r="AG2297" s="149"/>
      <c r="AH2297" s="149"/>
      <c r="AI2297" s="149"/>
      <c r="AJ2297" s="149"/>
      <c r="AK2297" s="149"/>
      <c r="AL2297" s="149"/>
      <c r="AM2297" s="149"/>
      <c r="AN2297" s="149"/>
      <c r="AO2297" s="128"/>
      <c r="AP2297" s="128"/>
      <c r="AQ2297" s="128"/>
      <c r="AR2297" s="128"/>
      <c r="AS2297" s="128"/>
      <c r="AT2297" s="128"/>
      <c r="AU2297" s="128"/>
      <c r="AV2297" s="128"/>
      <c r="AW2297" s="128"/>
      <c r="AX2297" s="128"/>
      <c r="AY2297" s="128"/>
      <c r="AZ2297" s="128"/>
      <c r="BA2297" s="128"/>
      <c r="BB2297" s="128"/>
      <c r="BC2297" s="128"/>
      <c r="BD2297" s="128"/>
      <c r="BE2297" s="128"/>
      <c r="BF2297" s="128"/>
      <c r="BG2297" s="128"/>
      <c r="BH2297" s="128"/>
      <c r="BI2297" s="128"/>
      <c r="BJ2297" s="128"/>
      <c r="BK2297" s="128"/>
      <c r="BL2297" s="128"/>
      <c r="BM2297" s="151"/>
      <c r="BN2297" s="128"/>
      <c r="BO2297" s="128"/>
      <c r="BP2297" s="128"/>
      <c r="BQ2297" s="128"/>
      <c r="BR2297" s="128"/>
      <c r="BS2297" s="128"/>
      <c r="BT2297" s="128"/>
      <c r="BU2297" s="128"/>
      <c r="BV2297" s="128"/>
      <c r="BW2297" s="128"/>
      <c r="BX2297" s="128"/>
      <c r="BY2297" s="128"/>
      <c r="BZ2297" s="128"/>
      <c r="CA2297" s="128"/>
      <c r="CB2297" s="128"/>
      <c r="CC2297" s="128"/>
      <c r="CD2297" s="128"/>
      <c r="CE2297" s="128"/>
      <c r="CF2297" s="128"/>
      <c r="CG2297" s="128"/>
      <c r="CI2297" s="128"/>
      <c r="CJ2297" s="128"/>
      <c r="CK2297" s="128"/>
      <c r="CL2297" s="128"/>
      <c r="CM2297" s="128"/>
      <c r="CN2297" s="128"/>
      <c r="CO2297" s="128"/>
      <c r="CP2297" s="128"/>
      <c r="CQ2297" s="128"/>
      <c r="CR2297" s="128"/>
      <c r="CS2297" s="128"/>
      <c r="CT2297" s="128"/>
      <c r="CU2297" s="128"/>
      <c r="CV2297" s="128"/>
      <c r="CW2297" s="128"/>
      <c r="CX2297" s="128"/>
      <c r="CY2297" s="128"/>
      <c r="CZ2297" s="165"/>
    </row>
    <row r="2298" spans="1:104">
      <c r="A2298" s="149"/>
      <c r="B2298" s="149"/>
      <c r="C2298" s="150"/>
      <c r="D2298" s="102"/>
      <c r="E2298" s="149"/>
      <c r="F2298" s="149"/>
      <c r="G2298" s="149"/>
      <c r="H2298" s="149"/>
      <c r="I2298" s="149"/>
      <c r="J2298" s="149"/>
      <c r="K2298" s="149"/>
      <c r="L2298" s="149"/>
      <c r="M2298" s="149"/>
      <c r="N2298" s="149"/>
      <c r="O2298" s="149"/>
      <c r="P2298" s="149"/>
      <c r="Q2298" s="149"/>
      <c r="R2298" s="149"/>
      <c r="S2298" s="149"/>
      <c r="T2298" s="149"/>
      <c r="U2298" s="149"/>
      <c r="V2298" s="149"/>
      <c r="W2298" s="149"/>
      <c r="X2298" s="149"/>
      <c r="Y2298" s="149"/>
      <c r="Z2298" s="149"/>
      <c r="AA2298" s="149"/>
      <c r="AB2298" s="149"/>
      <c r="AC2298" s="149"/>
      <c r="AD2298" s="149"/>
      <c r="AE2298" s="149"/>
      <c r="AF2298" s="149"/>
      <c r="AG2298" s="149"/>
      <c r="AH2298" s="149"/>
      <c r="AI2298" s="149"/>
      <c r="AJ2298" s="149"/>
      <c r="AK2298" s="149"/>
      <c r="AL2298" s="149"/>
      <c r="AM2298" s="149"/>
      <c r="AN2298" s="149"/>
      <c r="AO2298" s="128"/>
      <c r="AP2298" s="128"/>
      <c r="AQ2298" s="128"/>
      <c r="AR2298" s="128"/>
      <c r="AS2298" s="128"/>
      <c r="AT2298" s="128"/>
      <c r="AU2298" s="128"/>
      <c r="AV2298" s="128"/>
      <c r="AW2298" s="128"/>
      <c r="AX2298" s="128"/>
      <c r="AY2298" s="128"/>
      <c r="AZ2298" s="128"/>
      <c r="BA2298" s="128"/>
      <c r="BB2298" s="128"/>
      <c r="BC2298" s="128"/>
      <c r="BD2298" s="128"/>
      <c r="BE2298" s="128"/>
      <c r="BF2298" s="128"/>
      <c r="BG2298" s="128"/>
      <c r="BH2298" s="128"/>
      <c r="BI2298" s="128"/>
      <c r="BJ2298" s="128"/>
      <c r="BK2298" s="128"/>
      <c r="BL2298" s="128"/>
      <c r="BM2298" s="151"/>
      <c r="BN2298" s="128"/>
      <c r="BO2298" s="128"/>
      <c r="BP2298" s="128"/>
      <c r="BQ2298" s="128"/>
      <c r="BR2298" s="128"/>
      <c r="BS2298" s="128"/>
      <c r="BT2298" s="128"/>
      <c r="BU2298" s="128"/>
      <c r="BV2298" s="128"/>
      <c r="BW2298" s="128"/>
      <c r="BX2298" s="128"/>
      <c r="BY2298" s="128"/>
      <c r="BZ2298" s="128"/>
      <c r="CA2298" s="128"/>
      <c r="CB2298" s="128"/>
      <c r="CC2298" s="128"/>
      <c r="CD2298" s="128"/>
      <c r="CE2298" s="128"/>
      <c r="CF2298" s="128"/>
      <c r="CG2298" s="128"/>
      <c r="CI2298" s="128"/>
      <c r="CJ2298" s="128"/>
      <c r="CK2298" s="128"/>
      <c r="CL2298" s="128"/>
      <c r="CM2298" s="128"/>
      <c r="CN2298" s="128"/>
      <c r="CO2298" s="128"/>
      <c r="CP2298" s="128"/>
      <c r="CQ2298" s="128"/>
      <c r="CR2298" s="128"/>
      <c r="CS2298" s="128"/>
      <c r="CT2298" s="128"/>
      <c r="CU2298" s="128"/>
      <c r="CV2298" s="128"/>
      <c r="CW2298" s="128"/>
      <c r="CX2298" s="128"/>
      <c r="CY2298" s="128"/>
      <c r="CZ2298" s="165"/>
    </row>
    <row r="2299" spans="1:104">
      <c r="A2299" s="149"/>
      <c r="B2299" s="149"/>
      <c r="C2299" s="150"/>
      <c r="D2299" s="102"/>
      <c r="E2299" s="149"/>
      <c r="F2299" s="149"/>
      <c r="G2299" s="149"/>
      <c r="H2299" s="149"/>
      <c r="I2299" s="149"/>
      <c r="J2299" s="149"/>
      <c r="K2299" s="149"/>
      <c r="L2299" s="149"/>
      <c r="M2299" s="149"/>
      <c r="N2299" s="149"/>
      <c r="O2299" s="149"/>
      <c r="P2299" s="149"/>
      <c r="Q2299" s="149"/>
      <c r="R2299" s="149"/>
      <c r="S2299" s="149"/>
      <c r="T2299" s="149"/>
      <c r="U2299" s="149"/>
      <c r="V2299" s="149"/>
      <c r="W2299" s="149"/>
      <c r="X2299" s="149"/>
      <c r="Y2299" s="149"/>
      <c r="Z2299" s="149"/>
      <c r="AA2299" s="149"/>
      <c r="AB2299" s="149"/>
      <c r="AC2299" s="149"/>
      <c r="AD2299" s="149"/>
      <c r="AE2299" s="149"/>
      <c r="AF2299" s="149"/>
      <c r="AG2299" s="149"/>
      <c r="AH2299" s="149"/>
      <c r="AI2299" s="149"/>
      <c r="AJ2299" s="149"/>
      <c r="AK2299" s="149"/>
      <c r="AL2299" s="149"/>
      <c r="AM2299" s="149"/>
      <c r="AN2299" s="149"/>
      <c r="AO2299" s="128"/>
      <c r="AP2299" s="128"/>
      <c r="AQ2299" s="128"/>
      <c r="AR2299" s="128"/>
      <c r="AS2299" s="128"/>
      <c r="AT2299" s="128"/>
      <c r="AU2299" s="128"/>
      <c r="AV2299" s="128"/>
      <c r="AW2299" s="128"/>
      <c r="AX2299" s="128"/>
      <c r="AY2299" s="128"/>
      <c r="AZ2299" s="128"/>
      <c r="BA2299" s="128"/>
      <c r="BB2299" s="128"/>
      <c r="BC2299" s="128"/>
      <c r="BD2299" s="128"/>
      <c r="BE2299" s="128"/>
      <c r="BF2299" s="128"/>
      <c r="BG2299" s="128"/>
      <c r="BH2299" s="128"/>
      <c r="BI2299" s="128"/>
      <c r="BJ2299" s="128"/>
      <c r="BK2299" s="128"/>
      <c r="BL2299" s="128"/>
      <c r="BM2299" s="151"/>
      <c r="BN2299" s="128"/>
      <c r="BO2299" s="128"/>
      <c r="BP2299" s="128"/>
      <c r="BQ2299" s="128"/>
      <c r="BR2299" s="128"/>
      <c r="BS2299" s="128"/>
      <c r="BT2299" s="128"/>
      <c r="BU2299" s="128"/>
      <c r="BV2299" s="128"/>
      <c r="BW2299" s="128"/>
      <c r="BX2299" s="128"/>
      <c r="BY2299" s="128"/>
      <c r="BZ2299" s="128"/>
      <c r="CA2299" s="128"/>
      <c r="CB2299" s="128"/>
      <c r="CC2299" s="128"/>
      <c r="CD2299" s="128"/>
      <c r="CE2299" s="128"/>
      <c r="CF2299" s="128"/>
      <c r="CG2299" s="128"/>
      <c r="CI2299" s="128"/>
      <c r="CJ2299" s="128"/>
      <c r="CK2299" s="128"/>
      <c r="CL2299" s="128"/>
      <c r="CM2299" s="128"/>
      <c r="CN2299" s="128"/>
      <c r="CO2299" s="128"/>
      <c r="CP2299" s="128"/>
      <c r="CQ2299" s="128"/>
      <c r="CR2299" s="128"/>
      <c r="CS2299" s="128"/>
      <c r="CT2299" s="128"/>
      <c r="CU2299" s="128"/>
      <c r="CV2299" s="128"/>
      <c r="CW2299" s="128"/>
      <c r="CX2299" s="128"/>
      <c r="CY2299" s="128"/>
      <c r="CZ2299" s="165"/>
    </row>
    <row r="2300" spans="1:104">
      <c r="A2300" s="149"/>
      <c r="B2300" s="149"/>
      <c r="C2300" s="150"/>
      <c r="D2300" s="102"/>
      <c r="E2300" s="149"/>
      <c r="F2300" s="149"/>
      <c r="G2300" s="149"/>
      <c r="H2300" s="149"/>
      <c r="I2300" s="149"/>
      <c r="J2300" s="149"/>
      <c r="K2300" s="149"/>
      <c r="L2300" s="149"/>
      <c r="M2300" s="149"/>
      <c r="N2300" s="149"/>
      <c r="O2300" s="149"/>
      <c r="P2300" s="149"/>
      <c r="Q2300" s="149"/>
      <c r="R2300" s="149"/>
      <c r="S2300" s="149"/>
      <c r="T2300" s="149"/>
      <c r="U2300" s="149"/>
      <c r="V2300" s="149"/>
      <c r="W2300" s="149"/>
      <c r="X2300" s="149"/>
      <c r="Y2300" s="149"/>
      <c r="Z2300" s="149"/>
      <c r="AA2300" s="149"/>
      <c r="AB2300" s="149"/>
      <c r="AC2300" s="149"/>
      <c r="AD2300" s="149"/>
      <c r="AE2300" s="149"/>
      <c r="AF2300" s="149"/>
      <c r="AG2300" s="149"/>
      <c r="AH2300" s="149"/>
      <c r="AI2300" s="149"/>
      <c r="AJ2300" s="149"/>
      <c r="AK2300" s="149"/>
      <c r="AL2300" s="149"/>
      <c r="AM2300" s="149"/>
      <c r="AN2300" s="149"/>
      <c r="AO2300" s="128"/>
      <c r="AP2300" s="128"/>
      <c r="AQ2300" s="128"/>
      <c r="AR2300" s="128"/>
      <c r="AS2300" s="128"/>
      <c r="AT2300" s="128"/>
      <c r="AU2300" s="128"/>
      <c r="AV2300" s="128"/>
      <c r="AW2300" s="128"/>
      <c r="AX2300" s="128"/>
      <c r="AY2300" s="128"/>
      <c r="AZ2300" s="128"/>
      <c r="BA2300" s="128"/>
      <c r="BB2300" s="128"/>
      <c r="BC2300" s="128"/>
      <c r="BD2300" s="128"/>
      <c r="BE2300" s="128"/>
      <c r="BF2300" s="128"/>
      <c r="BG2300" s="128"/>
      <c r="BH2300" s="128"/>
      <c r="BI2300" s="128"/>
      <c r="BJ2300" s="128"/>
      <c r="BK2300" s="128"/>
      <c r="BL2300" s="128"/>
      <c r="BM2300" s="151"/>
      <c r="BN2300" s="128"/>
      <c r="BO2300" s="128"/>
      <c r="BP2300" s="128"/>
      <c r="BQ2300" s="128"/>
      <c r="BR2300" s="128"/>
      <c r="BS2300" s="128"/>
      <c r="BT2300" s="128"/>
      <c r="BU2300" s="128"/>
      <c r="BV2300" s="128"/>
      <c r="BW2300" s="128"/>
      <c r="BX2300" s="128"/>
      <c r="BY2300" s="128"/>
      <c r="BZ2300" s="128"/>
      <c r="CA2300" s="128"/>
      <c r="CB2300" s="128"/>
      <c r="CC2300" s="128"/>
      <c r="CD2300" s="128"/>
      <c r="CE2300" s="128"/>
      <c r="CF2300" s="128"/>
      <c r="CG2300" s="128"/>
      <c r="CI2300" s="128"/>
      <c r="CJ2300" s="128"/>
      <c r="CK2300" s="128"/>
      <c r="CL2300" s="128"/>
      <c r="CM2300" s="128"/>
      <c r="CN2300" s="128"/>
      <c r="CO2300" s="128"/>
      <c r="CP2300" s="128"/>
      <c r="CQ2300" s="128"/>
      <c r="CR2300" s="128"/>
      <c r="CS2300" s="128"/>
      <c r="CT2300" s="128"/>
      <c r="CU2300" s="128"/>
      <c r="CV2300" s="128"/>
      <c r="CW2300" s="128"/>
      <c r="CX2300" s="128"/>
      <c r="CY2300" s="128"/>
      <c r="CZ2300" s="165"/>
    </row>
    <row r="2301" spans="1:104">
      <c r="A2301" s="149"/>
      <c r="B2301" s="149"/>
      <c r="C2301" s="150"/>
      <c r="D2301" s="102"/>
      <c r="E2301" s="149"/>
      <c r="F2301" s="149"/>
      <c r="G2301" s="149"/>
      <c r="H2301" s="149"/>
      <c r="I2301" s="149"/>
      <c r="J2301" s="149"/>
      <c r="K2301" s="149"/>
      <c r="L2301" s="149"/>
      <c r="M2301" s="149"/>
      <c r="N2301" s="149"/>
      <c r="O2301" s="149"/>
      <c r="P2301" s="149"/>
      <c r="Q2301" s="149"/>
      <c r="R2301" s="149"/>
      <c r="S2301" s="149"/>
      <c r="T2301" s="149"/>
      <c r="U2301" s="149"/>
      <c r="V2301" s="149"/>
      <c r="W2301" s="149"/>
      <c r="X2301" s="149"/>
      <c r="Y2301" s="149"/>
      <c r="Z2301" s="149"/>
      <c r="AA2301" s="149"/>
      <c r="AB2301" s="149"/>
      <c r="AC2301" s="149"/>
      <c r="AD2301" s="149"/>
      <c r="AE2301" s="149"/>
      <c r="AF2301" s="149"/>
      <c r="AG2301" s="149"/>
      <c r="AH2301" s="149"/>
      <c r="AI2301" s="149"/>
      <c r="AJ2301" s="149"/>
      <c r="AK2301" s="149"/>
      <c r="AL2301" s="149"/>
      <c r="AM2301" s="149"/>
      <c r="AN2301" s="149"/>
      <c r="AO2301" s="128"/>
      <c r="AP2301" s="128"/>
      <c r="AQ2301" s="128"/>
      <c r="AR2301" s="128"/>
      <c r="AS2301" s="128"/>
      <c r="AT2301" s="128"/>
      <c r="AU2301" s="128"/>
      <c r="AV2301" s="128"/>
      <c r="AW2301" s="128"/>
      <c r="AX2301" s="128"/>
      <c r="AY2301" s="128"/>
      <c r="AZ2301" s="128"/>
      <c r="BA2301" s="128"/>
      <c r="BB2301" s="128"/>
      <c r="BC2301" s="128"/>
      <c r="BD2301" s="128"/>
      <c r="BE2301" s="128"/>
      <c r="BF2301" s="128"/>
      <c r="BG2301" s="128"/>
      <c r="BH2301" s="128"/>
      <c r="BI2301" s="128"/>
      <c r="BJ2301" s="128"/>
      <c r="BK2301" s="128"/>
      <c r="BL2301" s="128"/>
      <c r="BM2301" s="151"/>
      <c r="BN2301" s="128"/>
      <c r="BO2301" s="128"/>
      <c r="BP2301" s="128"/>
      <c r="BQ2301" s="128"/>
      <c r="BR2301" s="128"/>
      <c r="BS2301" s="128"/>
      <c r="BT2301" s="128"/>
      <c r="BU2301" s="128"/>
      <c r="BV2301" s="128"/>
      <c r="BW2301" s="128"/>
      <c r="BX2301" s="128"/>
      <c r="BY2301" s="128"/>
      <c r="BZ2301" s="128"/>
      <c r="CA2301" s="128"/>
      <c r="CB2301" s="128"/>
      <c r="CC2301" s="128"/>
      <c r="CD2301" s="128"/>
      <c r="CE2301" s="128"/>
      <c r="CF2301" s="128"/>
      <c r="CG2301" s="128"/>
      <c r="CI2301" s="128"/>
      <c r="CJ2301" s="128"/>
      <c r="CK2301" s="128"/>
      <c r="CL2301" s="128"/>
      <c r="CM2301" s="128"/>
      <c r="CN2301" s="128"/>
      <c r="CO2301" s="128"/>
      <c r="CP2301" s="128"/>
      <c r="CQ2301" s="128"/>
      <c r="CR2301" s="128"/>
      <c r="CS2301" s="128"/>
      <c r="CT2301" s="128"/>
      <c r="CU2301" s="128"/>
      <c r="CV2301" s="128"/>
      <c r="CW2301" s="128"/>
      <c r="CX2301" s="128"/>
      <c r="CY2301" s="128"/>
      <c r="CZ2301" s="165"/>
    </row>
    <row r="2302" spans="1:104">
      <c r="A2302" s="149"/>
      <c r="B2302" s="149"/>
      <c r="C2302" s="150"/>
      <c r="D2302" s="102"/>
      <c r="E2302" s="149"/>
      <c r="F2302" s="149"/>
      <c r="G2302" s="149"/>
      <c r="H2302" s="149"/>
      <c r="I2302" s="149"/>
      <c r="J2302" s="149"/>
      <c r="K2302" s="149"/>
      <c r="L2302" s="149"/>
      <c r="M2302" s="149"/>
      <c r="N2302" s="149"/>
      <c r="O2302" s="149"/>
      <c r="P2302" s="149"/>
      <c r="Q2302" s="149"/>
      <c r="R2302" s="149"/>
      <c r="S2302" s="149"/>
      <c r="T2302" s="149"/>
      <c r="U2302" s="149"/>
      <c r="V2302" s="149"/>
      <c r="W2302" s="149"/>
      <c r="X2302" s="149"/>
      <c r="Y2302" s="149"/>
      <c r="Z2302" s="149"/>
      <c r="AA2302" s="149"/>
      <c r="AB2302" s="149"/>
      <c r="AC2302" s="149"/>
      <c r="AD2302" s="149"/>
      <c r="AE2302" s="149"/>
      <c r="AF2302" s="149"/>
      <c r="AG2302" s="149"/>
      <c r="AH2302" s="149"/>
      <c r="AI2302" s="149"/>
      <c r="AJ2302" s="149"/>
      <c r="AK2302" s="149"/>
      <c r="AL2302" s="149"/>
      <c r="AM2302" s="149"/>
      <c r="AN2302" s="149"/>
      <c r="AO2302" s="128"/>
      <c r="AP2302" s="128"/>
      <c r="AQ2302" s="128"/>
      <c r="AR2302" s="128"/>
      <c r="AS2302" s="128"/>
      <c r="AT2302" s="128"/>
      <c r="AU2302" s="128"/>
      <c r="AV2302" s="128"/>
      <c r="AW2302" s="128"/>
      <c r="AX2302" s="128"/>
      <c r="AY2302" s="128"/>
      <c r="AZ2302" s="128"/>
      <c r="BA2302" s="128"/>
      <c r="BB2302" s="128"/>
      <c r="BC2302" s="128"/>
      <c r="BD2302" s="128"/>
      <c r="BE2302" s="128"/>
      <c r="BF2302" s="128"/>
      <c r="BG2302" s="128"/>
      <c r="BH2302" s="128"/>
      <c r="BI2302" s="128"/>
      <c r="BJ2302" s="128"/>
      <c r="BK2302" s="128"/>
      <c r="BL2302" s="128"/>
      <c r="BM2302" s="151"/>
      <c r="BN2302" s="128"/>
      <c r="BO2302" s="128"/>
      <c r="BP2302" s="128"/>
      <c r="BQ2302" s="128"/>
      <c r="BR2302" s="128"/>
      <c r="BS2302" s="128"/>
      <c r="BT2302" s="128"/>
      <c r="BU2302" s="128"/>
      <c r="BV2302" s="128"/>
      <c r="BW2302" s="128"/>
      <c r="BX2302" s="128"/>
      <c r="BY2302" s="128"/>
      <c r="BZ2302" s="128"/>
      <c r="CA2302" s="128"/>
      <c r="CB2302" s="128"/>
      <c r="CC2302" s="128"/>
      <c r="CD2302" s="128"/>
      <c r="CE2302" s="128"/>
      <c r="CF2302" s="128"/>
      <c r="CG2302" s="128"/>
      <c r="CI2302" s="128"/>
      <c r="CJ2302" s="128"/>
      <c r="CK2302" s="128"/>
      <c r="CL2302" s="128"/>
      <c r="CM2302" s="128"/>
      <c r="CN2302" s="128"/>
      <c r="CO2302" s="128"/>
      <c r="CP2302" s="128"/>
      <c r="CQ2302" s="128"/>
      <c r="CR2302" s="128"/>
      <c r="CS2302" s="128"/>
      <c r="CT2302" s="128"/>
      <c r="CU2302" s="128"/>
      <c r="CV2302" s="128"/>
      <c r="CW2302" s="128"/>
      <c r="CX2302" s="128"/>
      <c r="CY2302" s="128"/>
      <c r="CZ2302" s="165"/>
    </row>
    <row r="2303" spans="1:104">
      <c r="A2303" s="149"/>
      <c r="B2303" s="149"/>
      <c r="C2303" s="150"/>
      <c r="D2303" s="102"/>
      <c r="E2303" s="149"/>
      <c r="F2303" s="149"/>
      <c r="G2303" s="149"/>
      <c r="H2303" s="149"/>
      <c r="I2303" s="149"/>
      <c r="J2303" s="149"/>
      <c r="K2303" s="149"/>
      <c r="L2303" s="149"/>
      <c r="M2303" s="149"/>
      <c r="N2303" s="149"/>
      <c r="O2303" s="149"/>
      <c r="P2303" s="149"/>
      <c r="Q2303" s="149"/>
      <c r="R2303" s="149"/>
      <c r="S2303" s="149"/>
      <c r="T2303" s="149"/>
      <c r="U2303" s="149"/>
      <c r="V2303" s="149"/>
      <c r="W2303" s="149"/>
      <c r="X2303" s="149"/>
      <c r="Y2303" s="149"/>
      <c r="Z2303" s="149"/>
      <c r="AA2303" s="149"/>
      <c r="AB2303" s="149"/>
      <c r="AC2303" s="149"/>
      <c r="AD2303" s="149"/>
      <c r="AE2303" s="149"/>
      <c r="AF2303" s="149"/>
      <c r="AG2303" s="149"/>
      <c r="AH2303" s="149"/>
      <c r="AI2303" s="149"/>
      <c r="AJ2303" s="149"/>
      <c r="AK2303" s="149"/>
      <c r="AL2303" s="149"/>
      <c r="AM2303" s="149"/>
      <c r="AN2303" s="149"/>
      <c r="AO2303" s="128"/>
      <c r="AP2303" s="128"/>
      <c r="AQ2303" s="128"/>
      <c r="AR2303" s="128"/>
      <c r="AS2303" s="128"/>
      <c r="AT2303" s="128"/>
      <c r="AU2303" s="128"/>
      <c r="AV2303" s="128"/>
      <c r="AW2303" s="128"/>
      <c r="AX2303" s="128"/>
      <c r="AY2303" s="128"/>
      <c r="AZ2303" s="128"/>
      <c r="BA2303" s="128"/>
      <c r="BB2303" s="128"/>
      <c r="BC2303" s="128"/>
      <c r="BD2303" s="128"/>
      <c r="BE2303" s="128"/>
      <c r="BF2303" s="128"/>
      <c r="BG2303" s="128"/>
      <c r="BH2303" s="128"/>
      <c r="BI2303" s="128"/>
      <c r="BJ2303" s="128"/>
      <c r="BK2303" s="128"/>
      <c r="BL2303" s="128"/>
      <c r="BM2303" s="151"/>
      <c r="BN2303" s="128"/>
      <c r="BO2303" s="128"/>
      <c r="BP2303" s="128"/>
      <c r="BQ2303" s="128"/>
      <c r="BR2303" s="128"/>
      <c r="BS2303" s="128"/>
      <c r="BT2303" s="128"/>
      <c r="BU2303" s="128"/>
      <c r="BV2303" s="128"/>
      <c r="BW2303" s="128"/>
      <c r="BX2303" s="128"/>
      <c r="BY2303" s="128"/>
      <c r="BZ2303" s="128"/>
      <c r="CA2303" s="128"/>
      <c r="CB2303" s="128"/>
      <c r="CC2303" s="128"/>
      <c r="CD2303" s="128"/>
      <c r="CE2303" s="128"/>
      <c r="CF2303" s="128"/>
      <c r="CG2303" s="128"/>
      <c r="CI2303" s="128"/>
      <c r="CJ2303" s="128"/>
      <c r="CK2303" s="128"/>
      <c r="CL2303" s="128"/>
      <c r="CM2303" s="128"/>
      <c r="CN2303" s="128"/>
      <c r="CO2303" s="128"/>
      <c r="CP2303" s="128"/>
      <c r="CQ2303" s="128"/>
      <c r="CR2303" s="128"/>
      <c r="CS2303" s="128"/>
      <c r="CT2303" s="128"/>
      <c r="CU2303" s="128"/>
      <c r="CV2303" s="128"/>
      <c r="CW2303" s="128"/>
      <c r="CX2303" s="128"/>
      <c r="CY2303" s="128"/>
      <c r="CZ2303" s="165"/>
    </row>
    <row r="2304" spans="1:104">
      <c r="A2304" s="149"/>
      <c r="B2304" s="149"/>
      <c r="C2304" s="150"/>
      <c r="D2304" s="102"/>
      <c r="E2304" s="149"/>
      <c r="F2304" s="149"/>
      <c r="G2304" s="149"/>
      <c r="H2304" s="149"/>
      <c r="I2304" s="149"/>
      <c r="J2304" s="149"/>
      <c r="K2304" s="149"/>
      <c r="L2304" s="149"/>
      <c r="M2304" s="149"/>
      <c r="N2304" s="149"/>
      <c r="O2304" s="149"/>
      <c r="P2304" s="149"/>
      <c r="Q2304" s="149"/>
      <c r="R2304" s="149"/>
      <c r="S2304" s="149"/>
      <c r="T2304" s="149"/>
      <c r="U2304" s="149"/>
      <c r="V2304" s="149"/>
      <c r="W2304" s="149"/>
      <c r="X2304" s="149"/>
      <c r="Y2304" s="149"/>
      <c r="Z2304" s="149"/>
      <c r="AA2304" s="149"/>
      <c r="AB2304" s="149"/>
      <c r="AC2304" s="149"/>
      <c r="AD2304" s="149"/>
      <c r="AE2304" s="149"/>
      <c r="AF2304" s="149"/>
      <c r="AG2304" s="149"/>
      <c r="AH2304" s="149"/>
      <c r="AI2304" s="149"/>
      <c r="AJ2304" s="149"/>
      <c r="AK2304" s="149"/>
      <c r="AL2304" s="149"/>
      <c r="AM2304" s="149"/>
      <c r="AN2304" s="149"/>
      <c r="AO2304" s="128"/>
      <c r="AP2304" s="128"/>
      <c r="AQ2304" s="128"/>
      <c r="AR2304" s="128"/>
      <c r="AS2304" s="128"/>
      <c r="AT2304" s="128"/>
      <c r="AU2304" s="128"/>
      <c r="AV2304" s="128"/>
      <c r="AW2304" s="128"/>
      <c r="AX2304" s="128"/>
      <c r="AY2304" s="128"/>
      <c r="AZ2304" s="128"/>
      <c r="BA2304" s="128"/>
      <c r="BB2304" s="128"/>
      <c r="BC2304" s="128"/>
      <c r="BD2304" s="128"/>
      <c r="BE2304" s="128"/>
      <c r="BF2304" s="128"/>
      <c r="BG2304" s="128"/>
      <c r="BH2304" s="128"/>
      <c r="BI2304" s="128"/>
      <c r="BJ2304" s="128"/>
      <c r="BK2304" s="128"/>
      <c r="BL2304" s="128"/>
      <c r="BM2304" s="151"/>
      <c r="BN2304" s="128"/>
      <c r="BO2304" s="128"/>
      <c r="BP2304" s="128"/>
      <c r="BQ2304" s="128"/>
      <c r="BR2304" s="128"/>
      <c r="BS2304" s="128"/>
      <c r="BT2304" s="128"/>
      <c r="BU2304" s="128"/>
      <c r="BV2304" s="128"/>
      <c r="BW2304" s="128"/>
      <c r="BX2304" s="128"/>
      <c r="BY2304" s="128"/>
      <c r="BZ2304" s="128"/>
      <c r="CA2304" s="128"/>
      <c r="CB2304" s="128"/>
      <c r="CC2304" s="128"/>
      <c r="CD2304" s="128"/>
      <c r="CE2304" s="128"/>
      <c r="CF2304" s="128"/>
      <c r="CG2304" s="128"/>
      <c r="CI2304" s="128"/>
      <c r="CJ2304" s="128"/>
      <c r="CK2304" s="128"/>
      <c r="CL2304" s="128"/>
      <c r="CM2304" s="128"/>
      <c r="CN2304" s="128"/>
      <c r="CO2304" s="128"/>
      <c r="CP2304" s="128"/>
      <c r="CQ2304" s="128"/>
      <c r="CR2304" s="128"/>
      <c r="CS2304" s="128"/>
      <c r="CT2304" s="128"/>
      <c r="CU2304" s="128"/>
      <c r="CV2304" s="128"/>
      <c r="CW2304" s="128"/>
      <c r="CX2304" s="128"/>
      <c r="CY2304" s="128"/>
      <c r="CZ2304" s="165"/>
    </row>
    <row r="2305" spans="1:104">
      <c r="A2305" s="149"/>
      <c r="B2305" s="149"/>
      <c r="C2305" s="150"/>
      <c r="D2305" s="102"/>
      <c r="E2305" s="149"/>
      <c r="F2305" s="149"/>
      <c r="G2305" s="149"/>
      <c r="H2305" s="149"/>
      <c r="I2305" s="149"/>
      <c r="J2305" s="149"/>
      <c r="K2305" s="149"/>
      <c r="L2305" s="149"/>
      <c r="M2305" s="149"/>
      <c r="N2305" s="149"/>
      <c r="O2305" s="149"/>
      <c r="P2305" s="149"/>
      <c r="Q2305" s="149"/>
      <c r="R2305" s="149"/>
      <c r="S2305" s="149"/>
      <c r="T2305" s="149"/>
      <c r="U2305" s="149"/>
      <c r="V2305" s="149"/>
      <c r="W2305" s="149"/>
      <c r="X2305" s="149"/>
      <c r="Y2305" s="149"/>
      <c r="Z2305" s="149"/>
      <c r="AA2305" s="149"/>
      <c r="AB2305" s="149"/>
      <c r="AC2305" s="149"/>
      <c r="AD2305" s="149"/>
      <c r="AE2305" s="149"/>
      <c r="AF2305" s="149"/>
      <c r="AG2305" s="149"/>
      <c r="AH2305" s="149"/>
      <c r="AI2305" s="149"/>
      <c r="AJ2305" s="149"/>
      <c r="AK2305" s="149"/>
      <c r="AL2305" s="149"/>
      <c r="AM2305" s="149"/>
      <c r="AN2305" s="149"/>
      <c r="AO2305" s="128"/>
      <c r="AP2305" s="128"/>
      <c r="AQ2305" s="128"/>
      <c r="AR2305" s="128"/>
      <c r="AS2305" s="128"/>
      <c r="AT2305" s="128"/>
      <c r="AU2305" s="128"/>
      <c r="AV2305" s="128"/>
      <c r="AW2305" s="128"/>
      <c r="AX2305" s="128"/>
      <c r="AY2305" s="128"/>
      <c r="AZ2305" s="128"/>
      <c r="BA2305" s="128"/>
      <c r="BB2305" s="128"/>
      <c r="BC2305" s="128"/>
      <c r="BD2305" s="128"/>
      <c r="BE2305" s="128"/>
      <c r="BF2305" s="128"/>
      <c r="BG2305" s="128"/>
      <c r="BH2305" s="128"/>
      <c r="BI2305" s="128"/>
      <c r="BJ2305" s="128"/>
      <c r="BK2305" s="128"/>
      <c r="BL2305" s="128"/>
      <c r="BM2305" s="151"/>
      <c r="BN2305" s="128"/>
      <c r="BO2305" s="128"/>
      <c r="BP2305" s="128"/>
      <c r="BQ2305" s="128"/>
      <c r="BR2305" s="128"/>
      <c r="BS2305" s="128"/>
      <c r="BT2305" s="128"/>
      <c r="BU2305" s="128"/>
      <c r="BV2305" s="128"/>
      <c r="BW2305" s="128"/>
      <c r="BX2305" s="128"/>
      <c r="BY2305" s="128"/>
      <c r="BZ2305" s="128"/>
      <c r="CA2305" s="128"/>
      <c r="CB2305" s="128"/>
      <c r="CC2305" s="128"/>
      <c r="CD2305" s="128"/>
      <c r="CE2305" s="128"/>
      <c r="CF2305" s="128"/>
      <c r="CG2305" s="128"/>
      <c r="CI2305" s="128"/>
      <c r="CJ2305" s="128"/>
      <c r="CK2305" s="128"/>
      <c r="CL2305" s="128"/>
      <c r="CM2305" s="128"/>
      <c r="CN2305" s="128"/>
      <c r="CO2305" s="128"/>
      <c r="CP2305" s="128"/>
      <c r="CQ2305" s="128"/>
      <c r="CR2305" s="128"/>
      <c r="CS2305" s="128"/>
      <c r="CT2305" s="128"/>
      <c r="CU2305" s="128"/>
      <c r="CV2305" s="128"/>
      <c r="CW2305" s="128"/>
      <c r="CX2305" s="128"/>
      <c r="CY2305" s="128"/>
      <c r="CZ2305" s="165"/>
    </row>
    <row r="2306" spans="1:104">
      <c r="A2306" s="149"/>
      <c r="B2306" s="149"/>
      <c r="C2306" s="150"/>
      <c r="D2306" s="102"/>
      <c r="E2306" s="149"/>
      <c r="F2306" s="149"/>
      <c r="G2306" s="149"/>
      <c r="H2306" s="149"/>
      <c r="I2306" s="149"/>
      <c r="J2306" s="149"/>
      <c r="K2306" s="149"/>
      <c r="L2306" s="149"/>
      <c r="M2306" s="149"/>
      <c r="N2306" s="149"/>
      <c r="O2306" s="149"/>
      <c r="P2306" s="149"/>
      <c r="Q2306" s="149"/>
      <c r="R2306" s="149"/>
      <c r="S2306" s="149"/>
      <c r="T2306" s="149"/>
      <c r="U2306" s="149"/>
      <c r="V2306" s="149"/>
      <c r="W2306" s="149"/>
      <c r="X2306" s="149"/>
      <c r="Y2306" s="149"/>
      <c r="Z2306" s="149"/>
      <c r="AA2306" s="149"/>
      <c r="AB2306" s="149"/>
      <c r="AC2306" s="149"/>
      <c r="AD2306" s="149"/>
      <c r="AE2306" s="149"/>
      <c r="AF2306" s="149"/>
      <c r="AG2306" s="149"/>
      <c r="AH2306" s="149"/>
      <c r="AI2306" s="149"/>
      <c r="AJ2306" s="149"/>
      <c r="AK2306" s="149"/>
      <c r="AL2306" s="149"/>
      <c r="AM2306" s="149"/>
      <c r="AN2306" s="149"/>
      <c r="AO2306" s="128"/>
      <c r="AP2306" s="128"/>
      <c r="AQ2306" s="128"/>
      <c r="AR2306" s="128"/>
      <c r="AS2306" s="128"/>
      <c r="AT2306" s="128"/>
      <c r="AU2306" s="128"/>
      <c r="AV2306" s="128"/>
      <c r="AW2306" s="128"/>
      <c r="AX2306" s="128"/>
      <c r="AY2306" s="128"/>
      <c r="AZ2306" s="128"/>
      <c r="BA2306" s="128"/>
      <c r="BB2306" s="128"/>
      <c r="BC2306" s="128"/>
      <c r="BD2306" s="128"/>
      <c r="BE2306" s="128"/>
      <c r="BF2306" s="128"/>
      <c r="BG2306" s="128"/>
      <c r="BH2306" s="128"/>
      <c r="BI2306" s="128"/>
      <c r="BJ2306" s="128"/>
      <c r="BK2306" s="128"/>
      <c r="BL2306" s="128"/>
      <c r="BM2306" s="151"/>
      <c r="BN2306" s="128"/>
      <c r="BO2306" s="128"/>
      <c r="BP2306" s="128"/>
      <c r="BQ2306" s="128"/>
      <c r="BR2306" s="128"/>
      <c r="BS2306" s="128"/>
      <c r="BT2306" s="128"/>
      <c r="BU2306" s="128"/>
      <c r="BV2306" s="128"/>
      <c r="BW2306" s="128"/>
      <c r="BX2306" s="128"/>
      <c r="BY2306" s="128"/>
      <c r="BZ2306" s="128"/>
      <c r="CA2306" s="128"/>
      <c r="CB2306" s="128"/>
      <c r="CC2306" s="128"/>
      <c r="CD2306" s="128"/>
      <c r="CE2306" s="128"/>
      <c r="CF2306" s="128"/>
      <c r="CG2306" s="128"/>
      <c r="CI2306" s="128"/>
      <c r="CJ2306" s="128"/>
      <c r="CK2306" s="128"/>
      <c r="CL2306" s="128"/>
      <c r="CM2306" s="128"/>
      <c r="CN2306" s="128"/>
      <c r="CO2306" s="128"/>
      <c r="CP2306" s="128"/>
      <c r="CQ2306" s="128"/>
      <c r="CR2306" s="128"/>
      <c r="CS2306" s="128"/>
      <c r="CT2306" s="128"/>
      <c r="CU2306" s="128"/>
      <c r="CV2306" s="128"/>
      <c r="CW2306" s="128"/>
      <c r="CX2306" s="128"/>
      <c r="CY2306" s="128"/>
      <c r="CZ2306" s="165"/>
    </row>
    <row r="2307" spans="1:104">
      <c r="A2307" s="149"/>
      <c r="B2307" s="149"/>
      <c r="C2307" s="150"/>
      <c r="D2307" s="102"/>
      <c r="E2307" s="149"/>
      <c r="F2307" s="149"/>
      <c r="G2307" s="149"/>
      <c r="H2307" s="149"/>
      <c r="I2307" s="149"/>
      <c r="J2307" s="149"/>
      <c r="K2307" s="149"/>
      <c r="L2307" s="149"/>
      <c r="M2307" s="149"/>
      <c r="N2307" s="149"/>
      <c r="O2307" s="149"/>
      <c r="P2307" s="149"/>
      <c r="Q2307" s="149"/>
      <c r="R2307" s="149"/>
      <c r="S2307" s="149"/>
      <c r="T2307" s="149"/>
      <c r="U2307" s="149"/>
      <c r="V2307" s="149"/>
      <c r="W2307" s="149"/>
      <c r="X2307" s="149"/>
      <c r="Y2307" s="149"/>
      <c r="Z2307" s="149"/>
      <c r="AA2307" s="149"/>
      <c r="AB2307" s="149"/>
      <c r="AC2307" s="149"/>
      <c r="AD2307" s="149"/>
      <c r="AE2307" s="149"/>
      <c r="AF2307" s="149"/>
      <c r="AG2307" s="149"/>
      <c r="AH2307" s="149"/>
      <c r="AI2307" s="149"/>
      <c r="AJ2307" s="149"/>
      <c r="AK2307" s="149"/>
      <c r="AL2307" s="149"/>
      <c r="AM2307" s="149"/>
      <c r="AN2307" s="149"/>
      <c r="AO2307" s="128"/>
      <c r="AP2307" s="128"/>
      <c r="AQ2307" s="128"/>
      <c r="AR2307" s="128"/>
      <c r="AS2307" s="128"/>
      <c r="AT2307" s="128"/>
      <c r="AU2307" s="128"/>
      <c r="AV2307" s="128"/>
      <c r="AW2307" s="128"/>
      <c r="AX2307" s="128"/>
      <c r="AY2307" s="128"/>
      <c r="AZ2307" s="128"/>
      <c r="BA2307" s="128"/>
      <c r="BB2307" s="128"/>
      <c r="BC2307" s="128"/>
      <c r="BD2307" s="128"/>
      <c r="BE2307" s="128"/>
      <c r="BF2307" s="128"/>
      <c r="BG2307" s="128"/>
      <c r="BH2307" s="128"/>
      <c r="BI2307" s="128"/>
      <c r="BJ2307" s="128"/>
      <c r="BK2307" s="128"/>
      <c r="BL2307" s="128"/>
      <c r="BM2307" s="151"/>
      <c r="BN2307" s="128"/>
      <c r="BO2307" s="128"/>
      <c r="BP2307" s="128"/>
      <c r="BQ2307" s="128"/>
      <c r="BR2307" s="128"/>
      <c r="BS2307" s="128"/>
      <c r="BT2307" s="128"/>
      <c r="BU2307" s="128"/>
      <c r="BV2307" s="128"/>
      <c r="BW2307" s="128"/>
      <c r="BX2307" s="128"/>
      <c r="BY2307" s="128"/>
      <c r="BZ2307" s="128"/>
      <c r="CA2307" s="128"/>
      <c r="CB2307" s="128"/>
      <c r="CC2307" s="128"/>
      <c r="CD2307" s="128"/>
      <c r="CE2307" s="128"/>
      <c r="CF2307" s="128"/>
      <c r="CG2307" s="128"/>
      <c r="CI2307" s="128"/>
      <c r="CJ2307" s="128"/>
      <c r="CK2307" s="128"/>
      <c r="CL2307" s="128"/>
      <c r="CM2307" s="128"/>
      <c r="CN2307" s="128"/>
      <c r="CO2307" s="128"/>
      <c r="CP2307" s="128"/>
      <c r="CQ2307" s="128"/>
      <c r="CR2307" s="128"/>
      <c r="CS2307" s="128"/>
      <c r="CT2307" s="128"/>
      <c r="CU2307" s="128"/>
      <c r="CV2307" s="128"/>
      <c r="CW2307" s="128"/>
      <c r="CX2307" s="128"/>
      <c r="CY2307" s="128"/>
      <c r="CZ2307" s="165"/>
    </row>
    <row r="2308" spans="1:104">
      <c r="A2308" s="149"/>
      <c r="B2308" s="149"/>
      <c r="C2308" s="150"/>
      <c r="D2308" s="102"/>
      <c r="E2308" s="149"/>
      <c r="F2308" s="149"/>
      <c r="G2308" s="149"/>
      <c r="H2308" s="149"/>
      <c r="I2308" s="149"/>
      <c r="J2308" s="149"/>
      <c r="K2308" s="149"/>
      <c r="L2308" s="149"/>
      <c r="M2308" s="149"/>
      <c r="N2308" s="149"/>
      <c r="O2308" s="149"/>
      <c r="P2308" s="149"/>
      <c r="Q2308" s="149"/>
      <c r="R2308" s="149"/>
      <c r="S2308" s="149"/>
      <c r="T2308" s="149"/>
      <c r="U2308" s="149"/>
      <c r="V2308" s="149"/>
      <c r="W2308" s="149"/>
      <c r="X2308" s="149"/>
      <c r="Y2308" s="149"/>
      <c r="Z2308" s="149"/>
      <c r="AA2308" s="149"/>
      <c r="AB2308" s="149"/>
      <c r="AC2308" s="149"/>
      <c r="AD2308" s="149"/>
      <c r="AE2308" s="149"/>
      <c r="AF2308" s="149"/>
      <c r="AG2308" s="149"/>
      <c r="AH2308" s="149"/>
      <c r="AI2308" s="149"/>
      <c r="AJ2308" s="149"/>
      <c r="AK2308" s="149"/>
      <c r="AL2308" s="149"/>
      <c r="AM2308" s="149"/>
      <c r="AN2308" s="149"/>
      <c r="AO2308" s="128"/>
      <c r="AP2308" s="128"/>
      <c r="AQ2308" s="128"/>
      <c r="AR2308" s="128"/>
      <c r="AS2308" s="128"/>
      <c r="AT2308" s="128"/>
      <c r="AU2308" s="128"/>
      <c r="AV2308" s="128"/>
      <c r="AW2308" s="128"/>
      <c r="AX2308" s="128"/>
      <c r="AY2308" s="128"/>
      <c r="AZ2308" s="128"/>
      <c r="BA2308" s="128"/>
      <c r="BB2308" s="128"/>
      <c r="BC2308" s="128"/>
      <c r="BD2308" s="128"/>
      <c r="BE2308" s="128"/>
      <c r="BF2308" s="128"/>
      <c r="BG2308" s="128"/>
      <c r="BH2308" s="128"/>
      <c r="BI2308" s="128"/>
      <c r="BJ2308" s="128"/>
      <c r="BK2308" s="128"/>
      <c r="BL2308" s="128"/>
      <c r="BM2308" s="151"/>
      <c r="BN2308" s="128"/>
      <c r="BO2308" s="128"/>
      <c r="BP2308" s="128"/>
      <c r="BQ2308" s="128"/>
      <c r="BR2308" s="128"/>
      <c r="BS2308" s="128"/>
      <c r="BT2308" s="128"/>
      <c r="BU2308" s="128"/>
      <c r="BV2308" s="128"/>
      <c r="BW2308" s="128"/>
      <c r="BX2308" s="128"/>
      <c r="BY2308" s="128"/>
      <c r="BZ2308" s="128"/>
      <c r="CA2308" s="128"/>
      <c r="CB2308" s="128"/>
      <c r="CC2308" s="128"/>
      <c r="CD2308" s="128"/>
      <c r="CE2308" s="128"/>
      <c r="CF2308" s="128"/>
      <c r="CG2308" s="128"/>
      <c r="CI2308" s="128"/>
      <c r="CJ2308" s="128"/>
      <c r="CK2308" s="128"/>
      <c r="CL2308" s="128"/>
      <c r="CM2308" s="128"/>
      <c r="CN2308" s="128"/>
      <c r="CO2308" s="128"/>
      <c r="CP2308" s="128"/>
      <c r="CQ2308" s="128"/>
      <c r="CR2308" s="128"/>
      <c r="CS2308" s="128"/>
      <c r="CT2308" s="128"/>
      <c r="CU2308" s="128"/>
      <c r="CV2308" s="128"/>
      <c r="CW2308" s="128"/>
      <c r="CX2308" s="128"/>
      <c r="CY2308" s="128"/>
      <c r="CZ2308" s="165"/>
    </row>
    <row r="2309" spans="1:104">
      <c r="A2309" s="149"/>
      <c r="B2309" s="149"/>
      <c r="C2309" s="150"/>
      <c r="D2309" s="102"/>
      <c r="E2309" s="149"/>
      <c r="F2309" s="149"/>
      <c r="G2309" s="149"/>
      <c r="H2309" s="149"/>
      <c r="I2309" s="149"/>
      <c r="J2309" s="149"/>
      <c r="K2309" s="149"/>
      <c r="L2309" s="149"/>
      <c r="M2309" s="149"/>
      <c r="N2309" s="149"/>
      <c r="O2309" s="149"/>
      <c r="P2309" s="149"/>
      <c r="Q2309" s="149"/>
      <c r="R2309" s="149"/>
      <c r="S2309" s="149"/>
      <c r="T2309" s="149"/>
      <c r="U2309" s="149"/>
      <c r="V2309" s="149"/>
      <c r="W2309" s="149"/>
      <c r="X2309" s="149"/>
      <c r="Y2309" s="149"/>
      <c r="Z2309" s="149"/>
      <c r="AA2309" s="149"/>
      <c r="AB2309" s="149"/>
      <c r="AC2309" s="149"/>
      <c r="AD2309" s="149"/>
      <c r="AE2309" s="149"/>
      <c r="AF2309" s="149"/>
      <c r="AG2309" s="149"/>
      <c r="AH2309" s="149"/>
      <c r="AI2309" s="149"/>
      <c r="AJ2309" s="149"/>
      <c r="AK2309" s="149"/>
      <c r="AL2309" s="149"/>
      <c r="AM2309" s="149"/>
      <c r="AN2309" s="149"/>
      <c r="AO2309" s="128"/>
      <c r="AP2309" s="128"/>
      <c r="AQ2309" s="128"/>
      <c r="AR2309" s="128"/>
      <c r="AS2309" s="128"/>
      <c r="AT2309" s="128"/>
      <c r="AU2309" s="128"/>
      <c r="AV2309" s="128"/>
      <c r="AW2309" s="128"/>
      <c r="AX2309" s="128"/>
      <c r="AY2309" s="128"/>
      <c r="AZ2309" s="128"/>
      <c r="BA2309" s="128"/>
      <c r="BB2309" s="128"/>
      <c r="BC2309" s="128"/>
      <c r="BD2309" s="128"/>
      <c r="BE2309" s="128"/>
      <c r="BF2309" s="128"/>
      <c r="BG2309" s="128"/>
      <c r="BH2309" s="128"/>
      <c r="BI2309" s="128"/>
      <c r="BJ2309" s="128"/>
      <c r="BK2309" s="128"/>
      <c r="BL2309" s="128"/>
      <c r="BM2309" s="151"/>
      <c r="BN2309" s="128"/>
      <c r="BO2309" s="128"/>
      <c r="BP2309" s="128"/>
      <c r="BQ2309" s="128"/>
      <c r="BR2309" s="128"/>
      <c r="BS2309" s="128"/>
      <c r="BT2309" s="128"/>
      <c r="BU2309" s="128"/>
      <c r="BV2309" s="128"/>
      <c r="BW2309" s="128"/>
      <c r="BX2309" s="128"/>
      <c r="BY2309" s="128"/>
      <c r="BZ2309" s="128"/>
      <c r="CA2309" s="128"/>
      <c r="CB2309" s="128"/>
      <c r="CC2309" s="128"/>
      <c r="CD2309" s="128"/>
      <c r="CE2309" s="128"/>
      <c r="CF2309" s="128"/>
      <c r="CG2309" s="128"/>
      <c r="CI2309" s="128"/>
      <c r="CJ2309" s="128"/>
      <c r="CK2309" s="128"/>
      <c r="CL2309" s="128"/>
      <c r="CM2309" s="128"/>
      <c r="CN2309" s="128"/>
      <c r="CO2309" s="128"/>
      <c r="CP2309" s="128"/>
      <c r="CQ2309" s="128"/>
      <c r="CR2309" s="128"/>
      <c r="CS2309" s="128"/>
      <c r="CT2309" s="128"/>
      <c r="CU2309" s="128"/>
      <c r="CV2309" s="128"/>
      <c r="CW2309" s="128"/>
      <c r="CX2309" s="128"/>
      <c r="CY2309" s="128"/>
      <c r="CZ2309" s="165"/>
    </row>
    <row r="2310" spans="1:104">
      <c r="A2310" s="149"/>
      <c r="B2310" s="149"/>
      <c r="C2310" s="150"/>
      <c r="D2310" s="102"/>
      <c r="E2310" s="149"/>
      <c r="F2310" s="149"/>
      <c r="G2310" s="149"/>
      <c r="H2310" s="149"/>
      <c r="I2310" s="149"/>
      <c r="J2310" s="149"/>
      <c r="K2310" s="149"/>
      <c r="L2310" s="149"/>
      <c r="M2310" s="149"/>
      <c r="N2310" s="149"/>
      <c r="O2310" s="149"/>
      <c r="P2310" s="149"/>
      <c r="Q2310" s="149"/>
      <c r="R2310" s="149"/>
      <c r="S2310" s="149"/>
      <c r="T2310" s="149"/>
      <c r="U2310" s="149"/>
      <c r="V2310" s="149"/>
      <c r="W2310" s="149"/>
      <c r="X2310" s="149"/>
      <c r="Y2310" s="149"/>
      <c r="Z2310" s="149"/>
      <c r="AA2310" s="149"/>
      <c r="AB2310" s="149"/>
      <c r="AC2310" s="149"/>
      <c r="AD2310" s="149"/>
      <c r="AE2310" s="149"/>
      <c r="AF2310" s="149"/>
      <c r="AG2310" s="149"/>
      <c r="AH2310" s="149"/>
      <c r="AI2310" s="149"/>
      <c r="AJ2310" s="149"/>
      <c r="AK2310" s="149"/>
      <c r="AL2310" s="149"/>
      <c r="AM2310" s="149"/>
      <c r="AN2310" s="149"/>
      <c r="AO2310" s="128"/>
      <c r="AP2310" s="128"/>
      <c r="AQ2310" s="128"/>
      <c r="AR2310" s="128"/>
      <c r="AS2310" s="128"/>
      <c r="AT2310" s="128"/>
      <c r="AU2310" s="128"/>
      <c r="AV2310" s="128"/>
      <c r="AW2310" s="128"/>
      <c r="AX2310" s="128"/>
      <c r="AY2310" s="128"/>
      <c r="AZ2310" s="128"/>
      <c r="BA2310" s="128"/>
      <c r="BB2310" s="128"/>
      <c r="BC2310" s="128"/>
      <c r="BD2310" s="128"/>
      <c r="BE2310" s="128"/>
      <c r="BF2310" s="128"/>
      <c r="BG2310" s="128"/>
      <c r="BH2310" s="128"/>
      <c r="BI2310" s="128"/>
      <c r="BJ2310" s="128"/>
      <c r="BK2310" s="128"/>
      <c r="BL2310" s="128"/>
      <c r="BM2310" s="151"/>
      <c r="BN2310" s="128"/>
      <c r="BO2310" s="128"/>
      <c r="BP2310" s="128"/>
      <c r="BQ2310" s="128"/>
      <c r="BR2310" s="128"/>
      <c r="BS2310" s="128"/>
      <c r="BT2310" s="128"/>
      <c r="BU2310" s="128"/>
      <c r="BV2310" s="128"/>
      <c r="BW2310" s="128"/>
      <c r="BX2310" s="128"/>
      <c r="BY2310" s="128"/>
      <c r="BZ2310" s="128"/>
      <c r="CA2310" s="128"/>
      <c r="CB2310" s="128"/>
      <c r="CC2310" s="128"/>
      <c r="CD2310" s="128"/>
      <c r="CE2310" s="128"/>
      <c r="CF2310" s="128"/>
      <c r="CG2310" s="128"/>
      <c r="CI2310" s="128"/>
      <c r="CJ2310" s="128"/>
      <c r="CK2310" s="128"/>
      <c r="CL2310" s="128"/>
      <c r="CM2310" s="128"/>
      <c r="CN2310" s="128"/>
      <c r="CO2310" s="128"/>
      <c r="CP2310" s="128"/>
      <c r="CQ2310" s="128"/>
      <c r="CR2310" s="128"/>
      <c r="CS2310" s="128"/>
      <c r="CT2310" s="128"/>
      <c r="CU2310" s="128"/>
      <c r="CV2310" s="128"/>
      <c r="CW2310" s="128"/>
      <c r="CX2310" s="128"/>
      <c r="CY2310" s="128"/>
      <c r="CZ2310" s="165"/>
    </row>
    <row r="2311" spans="1:104">
      <c r="A2311" s="149"/>
      <c r="B2311" s="149"/>
      <c r="C2311" s="150"/>
      <c r="D2311" s="102"/>
      <c r="E2311" s="149"/>
      <c r="F2311" s="149"/>
      <c r="G2311" s="149"/>
      <c r="H2311" s="149"/>
      <c r="I2311" s="149"/>
      <c r="J2311" s="149"/>
      <c r="K2311" s="149"/>
      <c r="L2311" s="149"/>
      <c r="M2311" s="149"/>
      <c r="N2311" s="149"/>
      <c r="O2311" s="149"/>
      <c r="P2311" s="149"/>
      <c r="Q2311" s="149"/>
      <c r="R2311" s="149"/>
      <c r="S2311" s="149"/>
      <c r="T2311" s="149"/>
      <c r="U2311" s="149"/>
      <c r="V2311" s="149"/>
      <c r="W2311" s="149"/>
      <c r="X2311" s="149"/>
      <c r="Y2311" s="149"/>
      <c r="Z2311" s="149"/>
      <c r="AA2311" s="149"/>
      <c r="AB2311" s="149"/>
      <c r="AC2311" s="149"/>
      <c r="AD2311" s="149"/>
      <c r="AE2311" s="149"/>
      <c r="AF2311" s="149"/>
      <c r="AG2311" s="149"/>
      <c r="AH2311" s="149"/>
      <c r="AI2311" s="149"/>
      <c r="AJ2311" s="149"/>
      <c r="AK2311" s="149"/>
      <c r="AL2311" s="149"/>
      <c r="AM2311" s="149"/>
      <c r="AN2311" s="149"/>
      <c r="AO2311" s="128"/>
      <c r="AP2311" s="128"/>
      <c r="AQ2311" s="128"/>
      <c r="AR2311" s="128"/>
      <c r="AS2311" s="128"/>
      <c r="AT2311" s="128"/>
      <c r="AU2311" s="128"/>
      <c r="AV2311" s="128"/>
      <c r="AW2311" s="128"/>
      <c r="AX2311" s="128"/>
      <c r="AY2311" s="128"/>
      <c r="AZ2311" s="128"/>
      <c r="BA2311" s="128"/>
      <c r="BB2311" s="128"/>
      <c r="BC2311" s="128"/>
      <c r="BD2311" s="128"/>
      <c r="BE2311" s="128"/>
      <c r="BF2311" s="128"/>
      <c r="BG2311" s="128"/>
      <c r="BH2311" s="128"/>
      <c r="BI2311" s="128"/>
      <c r="BJ2311" s="128"/>
      <c r="BK2311" s="128"/>
      <c r="BL2311" s="128"/>
      <c r="BM2311" s="151"/>
      <c r="BN2311" s="128"/>
      <c r="BO2311" s="128"/>
      <c r="BP2311" s="128"/>
      <c r="BQ2311" s="128"/>
      <c r="BR2311" s="128"/>
      <c r="BS2311" s="128"/>
      <c r="BT2311" s="128"/>
      <c r="BU2311" s="128"/>
      <c r="BV2311" s="128"/>
      <c r="BW2311" s="128"/>
      <c r="BX2311" s="128"/>
      <c r="BY2311" s="128"/>
      <c r="BZ2311" s="128"/>
      <c r="CA2311" s="128"/>
      <c r="CB2311" s="128"/>
      <c r="CC2311" s="128"/>
      <c r="CD2311" s="128"/>
      <c r="CE2311" s="128"/>
      <c r="CF2311" s="128"/>
      <c r="CG2311" s="128"/>
      <c r="CI2311" s="128"/>
      <c r="CJ2311" s="128"/>
      <c r="CK2311" s="128"/>
      <c r="CL2311" s="128"/>
      <c r="CM2311" s="128"/>
      <c r="CN2311" s="128"/>
      <c r="CO2311" s="128"/>
      <c r="CP2311" s="128"/>
      <c r="CQ2311" s="128"/>
      <c r="CR2311" s="128"/>
      <c r="CS2311" s="128"/>
      <c r="CT2311" s="128"/>
      <c r="CU2311" s="128"/>
      <c r="CV2311" s="128"/>
      <c r="CW2311" s="128"/>
      <c r="CX2311" s="128"/>
      <c r="CY2311" s="128"/>
      <c r="CZ2311" s="165"/>
    </row>
    <row r="2312" spans="1:104">
      <c r="A2312" s="149"/>
      <c r="B2312" s="149"/>
      <c r="C2312" s="150"/>
      <c r="D2312" s="102"/>
      <c r="E2312" s="149"/>
      <c r="F2312" s="149"/>
      <c r="G2312" s="149"/>
      <c r="H2312" s="149"/>
      <c r="I2312" s="149"/>
      <c r="J2312" s="149"/>
      <c r="K2312" s="149"/>
      <c r="L2312" s="149"/>
      <c r="M2312" s="149"/>
      <c r="N2312" s="149"/>
      <c r="O2312" s="149"/>
      <c r="P2312" s="149"/>
      <c r="Q2312" s="149"/>
      <c r="R2312" s="149"/>
      <c r="S2312" s="149"/>
      <c r="T2312" s="149"/>
      <c r="U2312" s="149"/>
      <c r="V2312" s="149"/>
      <c r="W2312" s="149"/>
      <c r="X2312" s="149"/>
      <c r="Y2312" s="149"/>
      <c r="Z2312" s="149"/>
      <c r="AA2312" s="149"/>
      <c r="AB2312" s="149"/>
      <c r="AC2312" s="149"/>
      <c r="AD2312" s="149"/>
      <c r="AE2312" s="149"/>
      <c r="AF2312" s="149"/>
      <c r="AG2312" s="149"/>
      <c r="AH2312" s="149"/>
      <c r="AI2312" s="149"/>
      <c r="AJ2312" s="149"/>
      <c r="AK2312" s="149"/>
      <c r="AL2312" s="149"/>
      <c r="AM2312" s="149"/>
      <c r="AN2312" s="149"/>
      <c r="AO2312" s="128"/>
      <c r="AP2312" s="128"/>
      <c r="AQ2312" s="128"/>
      <c r="AR2312" s="128"/>
      <c r="AS2312" s="128"/>
      <c r="AT2312" s="128"/>
      <c r="AU2312" s="128"/>
      <c r="AV2312" s="128"/>
      <c r="AW2312" s="128"/>
      <c r="AX2312" s="128"/>
      <c r="AY2312" s="128"/>
      <c r="AZ2312" s="128"/>
      <c r="BA2312" s="128"/>
      <c r="BB2312" s="128"/>
      <c r="BC2312" s="128"/>
      <c r="BD2312" s="128"/>
      <c r="BE2312" s="128"/>
      <c r="BF2312" s="128"/>
      <c r="BG2312" s="128"/>
      <c r="BH2312" s="128"/>
      <c r="BI2312" s="128"/>
      <c r="BJ2312" s="128"/>
      <c r="BK2312" s="128"/>
      <c r="BL2312" s="128"/>
      <c r="BM2312" s="151"/>
      <c r="BN2312" s="128"/>
      <c r="BO2312" s="128"/>
      <c r="BP2312" s="128"/>
      <c r="BQ2312" s="128"/>
      <c r="BR2312" s="128"/>
      <c r="BS2312" s="128"/>
      <c r="BT2312" s="128"/>
      <c r="BU2312" s="128"/>
      <c r="BV2312" s="128"/>
      <c r="BW2312" s="128"/>
      <c r="BX2312" s="128"/>
      <c r="BY2312" s="128"/>
      <c r="BZ2312" s="128"/>
      <c r="CA2312" s="128"/>
      <c r="CB2312" s="128"/>
      <c r="CC2312" s="128"/>
      <c r="CD2312" s="128"/>
      <c r="CE2312" s="128"/>
      <c r="CF2312" s="128"/>
      <c r="CG2312" s="128"/>
      <c r="CI2312" s="128"/>
      <c r="CJ2312" s="128"/>
      <c r="CK2312" s="128"/>
      <c r="CL2312" s="128"/>
      <c r="CM2312" s="128"/>
      <c r="CN2312" s="128"/>
      <c r="CO2312" s="128"/>
      <c r="CP2312" s="128"/>
      <c r="CQ2312" s="128"/>
      <c r="CR2312" s="128"/>
      <c r="CS2312" s="128"/>
      <c r="CT2312" s="128"/>
      <c r="CU2312" s="128"/>
      <c r="CV2312" s="128"/>
      <c r="CW2312" s="128"/>
      <c r="CX2312" s="128"/>
      <c r="CY2312" s="128"/>
      <c r="CZ2312" s="165"/>
    </row>
    <row r="2313" spans="1:104">
      <c r="A2313" s="149"/>
      <c r="B2313" s="149"/>
      <c r="C2313" s="150"/>
      <c r="D2313" s="102"/>
      <c r="E2313" s="149"/>
      <c r="F2313" s="149"/>
      <c r="G2313" s="149"/>
      <c r="H2313" s="149"/>
      <c r="I2313" s="149"/>
      <c r="J2313" s="149"/>
      <c r="K2313" s="149"/>
      <c r="L2313" s="149"/>
      <c r="M2313" s="149"/>
      <c r="N2313" s="149"/>
      <c r="O2313" s="149"/>
      <c r="P2313" s="149"/>
      <c r="Q2313" s="149"/>
      <c r="R2313" s="149"/>
      <c r="S2313" s="149"/>
      <c r="T2313" s="149"/>
      <c r="U2313" s="149"/>
      <c r="V2313" s="149"/>
      <c r="W2313" s="149"/>
      <c r="X2313" s="149"/>
      <c r="Y2313" s="149"/>
      <c r="Z2313" s="149"/>
      <c r="AA2313" s="149"/>
      <c r="AB2313" s="149"/>
      <c r="AC2313" s="149"/>
      <c r="AD2313" s="149"/>
      <c r="AE2313" s="149"/>
      <c r="AF2313" s="149"/>
      <c r="AG2313" s="149"/>
      <c r="AH2313" s="149"/>
      <c r="AI2313" s="149"/>
      <c r="AJ2313" s="149"/>
      <c r="AK2313" s="149"/>
      <c r="AL2313" s="149"/>
      <c r="AM2313" s="149"/>
      <c r="AN2313" s="149"/>
      <c r="AO2313" s="128"/>
      <c r="AP2313" s="128"/>
      <c r="AQ2313" s="128"/>
      <c r="AR2313" s="128"/>
      <c r="AS2313" s="128"/>
      <c r="AT2313" s="128"/>
      <c r="AU2313" s="128"/>
      <c r="AV2313" s="128"/>
      <c r="AW2313" s="128"/>
      <c r="AX2313" s="128"/>
      <c r="AY2313" s="128"/>
      <c r="AZ2313" s="128"/>
      <c r="BA2313" s="128"/>
      <c r="BB2313" s="128"/>
      <c r="BC2313" s="128"/>
      <c r="BD2313" s="128"/>
      <c r="BE2313" s="128"/>
      <c r="BF2313" s="128"/>
      <c r="BG2313" s="128"/>
      <c r="BH2313" s="128"/>
      <c r="BI2313" s="128"/>
      <c r="BJ2313" s="128"/>
      <c r="BK2313" s="128"/>
      <c r="BL2313" s="128"/>
      <c r="BM2313" s="151"/>
      <c r="BN2313" s="128"/>
      <c r="BO2313" s="128"/>
      <c r="BP2313" s="128"/>
      <c r="BQ2313" s="128"/>
      <c r="BR2313" s="128"/>
      <c r="BS2313" s="128"/>
      <c r="BT2313" s="128"/>
      <c r="BU2313" s="128"/>
      <c r="BV2313" s="128"/>
      <c r="BW2313" s="128"/>
      <c r="BX2313" s="128"/>
      <c r="BY2313" s="128"/>
      <c r="BZ2313" s="128"/>
      <c r="CA2313" s="128"/>
      <c r="CB2313" s="128"/>
      <c r="CC2313" s="128"/>
      <c r="CD2313" s="128"/>
      <c r="CE2313" s="128"/>
      <c r="CF2313" s="128"/>
      <c r="CG2313" s="128"/>
      <c r="CI2313" s="128"/>
      <c r="CJ2313" s="128"/>
      <c r="CK2313" s="128"/>
      <c r="CL2313" s="128"/>
      <c r="CM2313" s="128"/>
      <c r="CN2313" s="128"/>
      <c r="CO2313" s="128"/>
      <c r="CP2313" s="128"/>
      <c r="CQ2313" s="128"/>
      <c r="CR2313" s="128"/>
      <c r="CS2313" s="128"/>
      <c r="CT2313" s="128"/>
      <c r="CU2313" s="128"/>
      <c r="CV2313" s="128"/>
      <c r="CW2313" s="128"/>
      <c r="CX2313" s="128"/>
      <c r="CY2313" s="128"/>
      <c r="CZ2313" s="165"/>
    </row>
    <row r="2314" spans="1:104">
      <c r="A2314" s="149"/>
      <c r="B2314" s="149"/>
      <c r="C2314" s="150"/>
      <c r="D2314" s="102"/>
      <c r="E2314" s="149"/>
      <c r="F2314" s="149"/>
      <c r="G2314" s="149"/>
      <c r="H2314" s="149"/>
      <c r="I2314" s="149"/>
      <c r="J2314" s="149"/>
      <c r="K2314" s="149"/>
      <c r="L2314" s="149"/>
      <c r="M2314" s="149"/>
      <c r="N2314" s="149"/>
      <c r="O2314" s="149"/>
      <c r="P2314" s="149"/>
      <c r="Q2314" s="149"/>
      <c r="R2314" s="149"/>
      <c r="S2314" s="149"/>
      <c r="T2314" s="149"/>
      <c r="U2314" s="149"/>
      <c r="V2314" s="149"/>
      <c r="W2314" s="149"/>
      <c r="X2314" s="149"/>
      <c r="Y2314" s="149"/>
      <c r="Z2314" s="149"/>
      <c r="AA2314" s="149"/>
      <c r="AB2314" s="149"/>
      <c r="AC2314" s="149"/>
      <c r="AD2314" s="149"/>
      <c r="AE2314" s="149"/>
      <c r="AF2314" s="149"/>
      <c r="AG2314" s="149"/>
      <c r="AH2314" s="149"/>
      <c r="AI2314" s="149"/>
      <c r="AJ2314" s="149"/>
      <c r="AK2314" s="149"/>
      <c r="AL2314" s="149"/>
      <c r="AM2314" s="149"/>
      <c r="AN2314" s="149"/>
      <c r="AO2314" s="128"/>
      <c r="AP2314" s="128"/>
      <c r="AQ2314" s="128"/>
      <c r="AR2314" s="128"/>
      <c r="AS2314" s="128"/>
      <c r="AT2314" s="128"/>
      <c r="AU2314" s="128"/>
      <c r="AV2314" s="128"/>
      <c r="AW2314" s="128"/>
      <c r="AX2314" s="128"/>
      <c r="AY2314" s="128"/>
      <c r="AZ2314" s="128"/>
      <c r="BA2314" s="128"/>
      <c r="BB2314" s="128"/>
      <c r="BC2314" s="128"/>
      <c r="BD2314" s="128"/>
      <c r="BE2314" s="128"/>
      <c r="BF2314" s="128"/>
      <c r="BG2314" s="128"/>
      <c r="BH2314" s="128"/>
      <c r="BI2314" s="128"/>
      <c r="BJ2314" s="128"/>
      <c r="BK2314" s="128"/>
      <c r="BL2314" s="128"/>
      <c r="BM2314" s="151"/>
      <c r="BN2314" s="128"/>
      <c r="BO2314" s="128"/>
      <c r="BP2314" s="128"/>
      <c r="BQ2314" s="128"/>
      <c r="BR2314" s="128"/>
      <c r="BS2314" s="128"/>
      <c r="BT2314" s="128"/>
      <c r="BU2314" s="128"/>
      <c r="BV2314" s="128"/>
      <c r="BW2314" s="128"/>
      <c r="BX2314" s="128"/>
      <c r="BY2314" s="128"/>
      <c r="BZ2314" s="128"/>
      <c r="CA2314" s="128"/>
      <c r="CB2314" s="128"/>
      <c r="CC2314" s="128"/>
      <c r="CD2314" s="128"/>
      <c r="CE2314" s="128"/>
      <c r="CF2314" s="128"/>
      <c r="CG2314" s="128"/>
      <c r="CI2314" s="128"/>
      <c r="CJ2314" s="128"/>
      <c r="CK2314" s="128"/>
      <c r="CL2314" s="128"/>
      <c r="CM2314" s="128"/>
      <c r="CN2314" s="128"/>
      <c r="CO2314" s="128"/>
      <c r="CP2314" s="128"/>
      <c r="CQ2314" s="128"/>
      <c r="CR2314" s="128"/>
      <c r="CS2314" s="128"/>
      <c r="CT2314" s="128"/>
      <c r="CU2314" s="128"/>
      <c r="CV2314" s="128"/>
      <c r="CW2314" s="128"/>
      <c r="CX2314" s="128"/>
      <c r="CY2314" s="128"/>
      <c r="CZ2314" s="165"/>
    </row>
    <row r="2315" spans="1:104">
      <c r="A2315" s="149"/>
      <c r="B2315" s="149"/>
      <c r="C2315" s="150"/>
      <c r="D2315" s="102"/>
      <c r="E2315" s="149"/>
      <c r="F2315" s="149"/>
      <c r="G2315" s="149"/>
      <c r="H2315" s="149"/>
      <c r="I2315" s="149"/>
      <c r="J2315" s="149"/>
      <c r="K2315" s="149"/>
      <c r="L2315" s="149"/>
      <c r="M2315" s="149"/>
      <c r="N2315" s="149"/>
      <c r="O2315" s="149"/>
      <c r="P2315" s="149"/>
      <c r="Q2315" s="149"/>
      <c r="R2315" s="149"/>
      <c r="S2315" s="149"/>
      <c r="T2315" s="149"/>
      <c r="U2315" s="149"/>
      <c r="V2315" s="149"/>
      <c r="W2315" s="149"/>
      <c r="X2315" s="149"/>
      <c r="Y2315" s="149"/>
      <c r="Z2315" s="149"/>
      <c r="AA2315" s="149"/>
      <c r="AB2315" s="149"/>
      <c r="AC2315" s="149"/>
      <c r="AD2315" s="149"/>
      <c r="AE2315" s="149"/>
      <c r="AF2315" s="149"/>
      <c r="AG2315" s="149"/>
      <c r="AH2315" s="149"/>
      <c r="AI2315" s="149"/>
      <c r="AJ2315" s="149"/>
      <c r="AK2315" s="149"/>
      <c r="AL2315" s="149"/>
      <c r="AM2315" s="149"/>
      <c r="AN2315" s="149"/>
      <c r="AO2315" s="128"/>
      <c r="AP2315" s="128"/>
      <c r="AQ2315" s="128"/>
      <c r="AR2315" s="128"/>
      <c r="AS2315" s="128"/>
      <c r="AT2315" s="128"/>
      <c r="AU2315" s="128"/>
      <c r="AV2315" s="128"/>
      <c r="AW2315" s="128"/>
      <c r="AX2315" s="128"/>
      <c r="AY2315" s="128"/>
      <c r="AZ2315" s="128"/>
      <c r="BA2315" s="128"/>
      <c r="BB2315" s="128"/>
      <c r="BC2315" s="128"/>
      <c r="BD2315" s="128"/>
      <c r="BE2315" s="128"/>
      <c r="BF2315" s="128"/>
      <c r="BG2315" s="128"/>
      <c r="BH2315" s="128"/>
      <c r="BI2315" s="128"/>
      <c r="BJ2315" s="128"/>
      <c r="BK2315" s="128"/>
      <c r="BL2315" s="128"/>
      <c r="BM2315" s="151"/>
      <c r="BN2315" s="128"/>
      <c r="BO2315" s="128"/>
      <c r="BP2315" s="128"/>
      <c r="BQ2315" s="128"/>
      <c r="BR2315" s="128"/>
      <c r="BS2315" s="128"/>
      <c r="BT2315" s="128"/>
      <c r="BU2315" s="128"/>
      <c r="BV2315" s="128"/>
      <c r="BW2315" s="128"/>
      <c r="BX2315" s="128"/>
      <c r="BY2315" s="128"/>
      <c r="BZ2315" s="128"/>
      <c r="CA2315" s="128"/>
      <c r="CB2315" s="128"/>
      <c r="CC2315" s="128"/>
      <c r="CD2315" s="128"/>
      <c r="CE2315" s="128"/>
      <c r="CF2315" s="128"/>
      <c r="CG2315" s="128"/>
      <c r="CI2315" s="128"/>
      <c r="CJ2315" s="128"/>
      <c r="CK2315" s="128"/>
      <c r="CL2315" s="128"/>
      <c r="CM2315" s="128"/>
      <c r="CN2315" s="128"/>
      <c r="CO2315" s="128"/>
      <c r="CP2315" s="128"/>
      <c r="CQ2315" s="128"/>
      <c r="CR2315" s="128"/>
      <c r="CS2315" s="128"/>
      <c r="CT2315" s="128"/>
      <c r="CU2315" s="128"/>
      <c r="CV2315" s="128"/>
      <c r="CW2315" s="128"/>
      <c r="CX2315" s="128"/>
      <c r="CY2315" s="128"/>
      <c r="CZ2315" s="165"/>
    </row>
    <row r="2316" spans="1:104">
      <c r="A2316" s="149"/>
      <c r="B2316" s="149"/>
      <c r="C2316" s="150"/>
      <c r="D2316" s="102"/>
      <c r="E2316" s="149"/>
      <c r="F2316" s="149"/>
      <c r="G2316" s="149"/>
      <c r="H2316" s="149"/>
      <c r="I2316" s="149"/>
      <c r="J2316" s="149"/>
      <c r="K2316" s="149"/>
      <c r="L2316" s="149"/>
      <c r="M2316" s="149"/>
      <c r="N2316" s="149"/>
      <c r="O2316" s="149"/>
      <c r="P2316" s="149"/>
      <c r="Q2316" s="149"/>
      <c r="R2316" s="149"/>
      <c r="S2316" s="149"/>
      <c r="T2316" s="149"/>
      <c r="U2316" s="149"/>
      <c r="V2316" s="149"/>
      <c r="W2316" s="149"/>
      <c r="X2316" s="149"/>
      <c r="Y2316" s="149"/>
      <c r="Z2316" s="149"/>
      <c r="AA2316" s="149"/>
      <c r="AB2316" s="149"/>
      <c r="AC2316" s="149"/>
      <c r="AD2316" s="149"/>
      <c r="AE2316" s="149"/>
      <c r="AF2316" s="149"/>
      <c r="AG2316" s="149"/>
      <c r="AH2316" s="149"/>
      <c r="AI2316" s="149"/>
      <c r="AJ2316" s="149"/>
      <c r="AK2316" s="149"/>
      <c r="AL2316" s="149"/>
      <c r="AM2316" s="149"/>
      <c r="AN2316" s="149"/>
      <c r="AO2316" s="128"/>
      <c r="AP2316" s="128"/>
      <c r="AQ2316" s="128"/>
      <c r="AR2316" s="128"/>
      <c r="AS2316" s="128"/>
      <c r="AT2316" s="128"/>
      <c r="AU2316" s="128"/>
      <c r="AV2316" s="128"/>
      <c r="AW2316" s="128"/>
      <c r="AX2316" s="128"/>
      <c r="AY2316" s="128"/>
      <c r="AZ2316" s="128"/>
      <c r="BA2316" s="128"/>
      <c r="BB2316" s="128"/>
      <c r="BC2316" s="128"/>
      <c r="BD2316" s="128"/>
      <c r="BE2316" s="128"/>
      <c r="BF2316" s="128"/>
      <c r="BG2316" s="128"/>
      <c r="BH2316" s="128"/>
      <c r="BI2316" s="128"/>
      <c r="BJ2316" s="128"/>
      <c r="BK2316" s="128"/>
      <c r="BL2316" s="128"/>
      <c r="BM2316" s="151"/>
      <c r="BN2316" s="128"/>
      <c r="BO2316" s="128"/>
      <c r="BP2316" s="128"/>
      <c r="BQ2316" s="128"/>
      <c r="BR2316" s="128"/>
      <c r="BS2316" s="128"/>
      <c r="BT2316" s="128"/>
      <c r="BU2316" s="128"/>
      <c r="BV2316" s="128"/>
      <c r="BW2316" s="128"/>
      <c r="BX2316" s="128"/>
      <c r="BY2316" s="128"/>
      <c r="BZ2316" s="128"/>
      <c r="CA2316" s="128"/>
      <c r="CB2316" s="128"/>
      <c r="CC2316" s="128"/>
      <c r="CD2316" s="128"/>
      <c r="CE2316" s="128"/>
      <c r="CF2316" s="128"/>
      <c r="CG2316" s="128"/>
      <c r="CI2316" s="128"/>
      <c r="CJ2316" s="128"/>
      <c r="CK2316" s="128"/>
      <c r="CL2316" s="128"/>
      <c r="CM2316" s="128"/>
      <c r="CN2316" s="128"/>
      <c r="CO2316" s="128"/>
      <c r="CP2316" s="128"/>
      <c r="CQ2316" s="128"/>
      <c r="CR2316" s="128"/>
      <c r="CS2316" s="128"/>
      <c r="CT2316" s="128"/>
      <c r="CU2316" s="128"/>
      <c r="CV2316" s="128"/>
      <c r="CW2316" s="128"/>
      <c r="CX2316" s="128"/>
      <c r="CY2316" s="128"/>
      <c r="CZ2316" s="165"/>
    </row>
    <row r="2317" spans="1:104">
      <c r="A2317" s="149"/>
      <c r="B2317" s="149"/>
      <c r="C2317" s="150"/>
      <c r="D2317" s="102"/>
      <c r="E2317" s="149"/>
      <c r="F2317" s="149"/>
      <c r="G2317" s="149"/>
      <c r="H2317" s="149"/>
      <c r="I2317" s="149"/>
      <c r="J2317" s="149"/>
      <c r="K2317" s="149"/>
      <c r="L2317" s="149"/>
      <c r="M2317" s="149"/>
      <c r="N2317" s="149"/>
      <c r="O2317" s="149"/>
      <c r="P2317" s="149"/>
      <c r="Q2317" s="149"/>
      <c r="R2317" s="149"/>
      <c r="S2317" s="149"/>
      <c r="T2317" s="149"/>
      <c r="U2317" s="149"/>
      <c r="V2317" s="149"/>
      <c r="W2317" s="149"/>
      <c r="X2317" s="149"/>
      <c r="Y2317" s="149"/>
      <c r="Z2317" s="149"/>
      <c r="AA2317" s="149"/>
      <c r="AB2317" s="149"/>
      <c r="AC2317" s="149"/>
      <c r="AD2317" s="149"/>
      <c r="AE2317" s="149"/>
      <c r="AF2317" s="149"/>
      <c r="AG2317" s="149"/>
      <c r="AH2317" s="149"/>
      <c r="AI2317" s="149"/>
      <c r="AJ2317" s="149"/>
      <c r="AK2317" s="149"/>
      <c r="AL2317" s="149"/>
      <c r="AM2317" s="149"/>
      <c r="AN2317" s="149"/>
      <c r="AO2317" s="128"/>
      <c r="AP2317" s="128"/>
      <c r="AQ2317" s="128"/>
      <c r="AR2317" s="128"/>
      <c r="AS2317" s="128"/>
      <c r="AT2317" s="128"/>
      <c r="AU2317" s="128"/>
      <c r="AV2317" s="128"/>
      <c r="AW2317" s="128"/>
      <c r="AX2317" s="128"/>
      <c r="AY2317" s="128"/>
      <c r="AZ2317" s="128"/>
      <c r="BA2317" s="128"/>
      <c r="BB2317" s="128"/>
      <c r="BC2317" s="128"/>
      <c r="BD2317" s="128"/>
      <c r="BE2317" s="128"/>
      <c r="BF2317" s="128"/>
      <c r="BG2317" s="128"/>
      <c r="BH2317" s="128"/>
      <c r="BI2317" s="128"/>
      <c r="BJ2317" s="128"/>
      <c r="BK2317" s="128"/>
      <c r="BL2317" s="128"/>
      <c r="BM2317" s="151"/>
      <c r="BN2317" s="128"/>
      <c r="BO2317" s="128"/>
      <c r="BP2317" s="128"/>
      <c r="BQ2317" s="128"/>
      <c r="BR2317" s="128"/>
      <c r="BS2317" s="128"/>
      <c r="BT2317" s="128"/>
      <c r="BU2317" s="128"/>
      <c r="BV2317" s="128"/>
      <c r="BW2317" s="128"/>
      <c r="BX2317" s="128"/>
      <c r="BY2317" s="128"/>
      <c r="BZ2317" s="128"/>
      <c r="CA2317" s="128"/>
      <c r="CB2317" s="128"/>
      <c r="CC2317" s="128"/>
      <c r="CD2317" s="128"/>
      <c r="CE2317" s="128"/>
      <c r="CF2317" s="128"/>
      <c r="CG2317" s="128"/>
      <c r="CI2317" s="128"/>
      <c r="CJ2317" s="128"/>
      <c r="CK2317" s="128"/>
      <c r="CL2317" s="128"/>
      <c r="CM2317" s="128"/>
      <c r="CN2317" s="128"/>
      <c r="CO2317" s="128"/>
      <c r="CP2317" s="128"/>
      <c r="CQ2317" s="128"/>
      <c r="CR2317" s="128"/>
      <c r="CS2317" s="128"/>
      <c r="CT2317" s="128"/>
      <c r="CU2317" s="128"/>
      <c r="CV2317" s="128"/>
      <c r="CW2317" s="128"/>
      <c r="CX2317" s="128"/>
      <c r="CY2317" s="128"/>
      <c r="CZ2317" s="165"/>
    </row>
    <row r="2318" spans="1:104">
      <c r="A2318" s="149"/>
      <c r="B2318" s="149"/>
      <c r="C2318" s="150"/>
      <c r="D2318" s="102"/>
      <c r="E2318" s="149"/>
      <c r="F2318" s="149"/>
      <c r="G2318" s="149"/>
      <c r="H2318" s="149"/>
      <c r="I2318" s="149"/>
      <c r="J2318" s="149"/>
      <c r="K2318" s="149"/>
      <c r="L2318" s="149"/>
      <c r="M2318" s="149"/>
      <c r="N2318" s="149"/>
      <c r="O2318" s="149"/>
      <c r="P2318" s="149"/>
      <c r="Q2318" s="149"/>
      <c r="R2318" s="149"/>
      <c r="S2318" s="149"/>
      <c r="T2318" s="149"/>
      <c r="U2318" s="149"/>
      <c r="V2318" s="149"/>
      <c r="W2318" s="149"/>
      <c r="X2318" s="149"/>
      <c r="Y2318" s="149"/>
      <c r="Z2318" s="149"/>
      <c r="AA2318" s="149"/>
      <c r="AB2318" s="149"/>
      <c r="AC2318" s="149"/>
      <c r="AD2318" s="149"/>
      <c r="AE2318" s="149"/>
      <c r="AF2318" s="149"/>
      <c r="AG2318" s="149"/>
      <c r="AH2318" s="149"/>
      <c r="AI2318" s="149"/>
      <c r="AJ2318" s="149"/>
      <c r="AK2318" s="149"/>
      <c r="AL2318" s="149"/>
      <c r="AM2318" s="149"/>
      <c r="AN2318" s="149"/>
      <c r="AO2318" s="128"/>
      <c r="AP2318" s="128"/>
      <c r="AQ2318" s="128"/>
      <c r="AR2318" s="128"/>
      <c r="AS2318" s="128"/>
      <c r="AT2318" s="128"/>
      <c r="AU2318" s="128"/>
      <c r="AV2318" s="128"/>
      <c r="AW2318" s="128"/>
      <c r="AX2318" s="128"/>
      <c r="AY2318" s="128"/>
      <c r="AZ2318" s="128"/>
      <c r="BA2318" s="128"/>
      <c r="BB2318" s="128"/>
      <c r="BC2318" s="128"/>
      <c r="BD2318" s="128"/>
      <c r="BE2318" s="128"/>
      <c r="BF2318" s="128"/>
      <c r="BG2318" s="128"/>
      <c r="BH2318" s="128"/>
      <c r="BI2318" s="128"/>
      <c r="BJ2318" s="128"/>
      <c r="BK2318" s="128"/>
      <c r="BL2318" s="128"/>
      <c r="BM2318" s="151"/>
      <c r="BN2318" s="128"/>
      <c r="BO2318" s="128"/>
      <c r="BP2318" s="128"/>
      <c r="BQ2318" s="128"/>
      <c r="BR2318" s="128"/>
      <c r="BS2318" s="128"/>
      <c r="BT2318" s="128"/>
      <c r="BU2318" s="128"/>
      <c r="BV2318" s="128"/>
      <c r="BW2318" s="128"/>
      <c r="BX2318" s="128"/>
      <c r="BY2318" s="128"/>
      <c r="BZ2318" s="128"/>
      <c r="CA2318" s="128"/>
      <c r="CB2318" s="128"/>
      <c r="CC2318" s="128"/>
      <c r="CD2318" s="128"/>
      <c r="CE2318" s="128"/>
      <c r="CF2318" s="128"/>
      <c r="CG2318" s="128"/>
      <c r="CI2318" s="128"/>
      <c r="CJ2318" s="128"/>
      <c r="CK2318" s="128"/>
      <c r="CL2318" s="128"/>
      <c r="CM2318" s="128"/>
      <c r="CN2318" s="128"/>
      <c r="CO2318" s="128"/>
      <c r="CP2318" s="128"/>
      <c r="CQ2318" s="128"/>
      <c r="CR2318" s="128"/>
      <c r="CS2318" s="128"/>
      <c r="CT2318" s="128"/>
      <c r="CU2318" s="128"/>
      <c r="CV2318" s="128"/>
      <c r="CW2318" s="128"/>
      <c r="CX2318" s="128"/>
      <c r="CY2318" s="128"/>
      <c r="CZ2318" s="165"/>
    </row>
    <row r="2319" spans="1:104">
      <c r="A2319" s="149"/>
      <c r="B2319" s="149"/>
      <c r="C2319" s="150"/>
      <c r="D2319" s="102"/>
      <c r="E2319" s="149"/>
      <c r="F2319" s="149"/>
      <c r="G2319" s="149"/>
      <c r="H2319" s="149"/>
      <c r="I2319" s="149"/>
      <c r="J2319" s="149"/>
      <c r="K2319" s="149"/>
      <c r="L2319" s="149"/>
      <c r="M2319" s="149"/>
      <c r="N2319" s="149"/>
      <c r="O2319" s="149"/>
      <c r="P2319" s="149"/>
      <c r="Q2319" s="149"/>
      <c r="R2319" s="149"/>
      <c r="S2319" s="149"/>
      <c r="T2319" s="149"/>
      <c r="U2319" s="149"/>
      <c r="V2319" s="149"/>
      <c r="W2319" s="149"/>
      <c r="X2319" s="149"/>
      <c r="Y2319" s="149"/>
      <c r="Z2319" s="149"/>
      <c r="AA2319" s="149"/>
      <c r="AB2319" s="149"/>
      <c r="AC2319" s="149"/>
      <c r="AD2319" s="149"/>
      <c r="AE2319" s="149"/>
      <c r="AF2319" s="149"/>
      <c r="AG2319" s="149"/>
      <c r="AH2319" s="149"/>
      <c r="AI2319" s="149"/>
      <c r="AJ2319" s="149"/>
      <c r="AK2319" s="149"/>
      <c r="AL2319" s="149"/>
      <c r="AM2319" s="149"/>
      <c r="AN2319" s="149"/>
      <c r="AO2319" s="128"/>
      <c r="AP2319" s="128"/>
      <c r="AQ2319" s="128"/>
      <c r="AR2319" s="128"/>
      <c r="AS2319" s="128"/>
      <c r="AT2319" s="128"/>
      <c r="AU2319" s="128"/>
      <c r="AV2319" s="128"/>
      <c r="AW2319" s="128"/>
      <c r="AX2319" s="128"/>
      <c r="AY2319" s="128"/>
      <c r="AZ2319" s="128"/>
      <c r="BA2319" s="128"/>
      <c r="BB2319" s="128"/>
      <c r="BC2319" s="128"/>
      <c r="BD2319" s="128"/>
      <c r="BE2319" s="128"/>
      <c r="BF2319" s="128"/>
      <c r="BG2319" s="128"/>
      <c r="BH2319" s="128"/>
      <c r="BI2319" s="128"/>
      <c r="BJ2319" s="128"/>
      <c r="BK2319" s="128"/>
      <c r="BL2319" s="128"/>
      <c r="BM2319" s="151"/>
      <c r="BN2319" s="128"/>
      <c r="BO2319" s="128"/>
      <c r="BP2319" s="128"/>
      <c r="BQ2319" s="128"/>
      <c r="BR2319" s="128"/>
      <c r="BS2319" s="128"/>
      <c r="BT2319" s="128"/>
      <c r="BU2319" s="128"/>
      <c r="BV2319" s="128"/>
      <c r="BW2319" s="128"/>
      <c r="BX2319" s="128"/>
      <c r="BY2319" s="128"/>
      <c r="BZ2319" s="128"/>
      <c r="CA2319" s="128"/>
      <c r="CB2319" s="128"/>
      <c r="CC2319" s="128"/>
      <c r="CD2319" s="128"/>
      <c r="CE2319" s="128"/>
      <c r="CF2319" s="128"/>
      <c r="CG2319" s="128"/>
      <c r="CI2319" s="128"/>
      <c r="CJ2319" s="128"/>
      <c r="CK2319" s="128"/>
      <c r="CL2319" s="128"/>
      <c r="CM2319" s="128"/>
      <c r="CN2319" s="128"/>
      <c r="CO2319" s="128"/>
      <c r="CP2319" s="128"/>
      <c r="CQ2319" s="128"/>
      <c r="CR2319" s="128"/>
      <c r="CS2319" s="128"/>
      <c r="CT2319" s="128"/>
      <c r="CU2319" s="128"/>
      <c r="CV2319" s="128"/>
      <c r="CW2319" s="128"/>
      <c r="CX2319" s="128"/>
      <c r="CY2319" s="128"/>
      <c r="CZ2319" s="165"/>
    </row>
    <row r="2320" spans="1:104">
      <c r="A2320" s="149"/>
      <c r="B2320" s="149"/>
      <c r="C2320" s="150"/>
      <c r="D2320" s="102"/>
      <c r="E2320" s="149"/>
      <c r="F2320" s="149"/>
      <c r="G2320" s="149"/>
      <c r="H2320" s="149"/>
      <c r="I2320" s="149"/>
      <c r="J2320" s="149"/>
      <c r="K2320" s="149"/>
      <c r="L2320" s="149"/>
      <c r="M2320" s="149"/>
      <c r="N2320" s="149"/>
      <c r="O2320" s="149"/>
      <c r="P2320" s="149"/>
      <c r="Q2320" s="149"/>
      <c r="R2320" s="149"/>
      <c r="S2320" s="149"/>
      <c r="T2320" s="149"/>
      <c r="U2320" s="149"/>
      <c r="V2320" s="149"/>
      <c r="W2320" s="149"/>
      <c r="X2320" s="149"/>
      <c r="Y2320" s="149"/>
      <c r="Z2320" s="149"/>
      <c r="AA2320" s="149"/>
      <c r="AB2320" s="149"/>
      <c r="AC2320" s="149"/>
      <c r="AD2320" s="149"/>
      <c r="AE2320" s="149"/>
      <c r="AF2320" s="149"/>
      <c r="AG2320" s="149"/>
      <c r="AH2320" s="149"/>
      <c r="AI2320" s="149"/>
      <c r="AJ2320" s="149"/>
      <c r="AK2320" s="149"/>
      <c r="AL2320" s="149"/>
      <c r="AM2320" s="149"/>
      <c r="AN2320" s="149"/>
      <c r="AO2320" s="128"/>
      <c r="AP2320" s="128"/>
      <c r="AQ2320" s="128"/>
      <c r="AR2320" s="128"/>
      <c r="AS2320" s="128"/>
      <c r="AT2320" s="128"/>
      <c r="AU2320" s="128"/>
      <c r="AV2320" s="128"/>
      <c r="AW2320" s="128"/>
      <c r="AX2320" s="128"/>
      <c r="AY2320" s="128"/>
      <c r="AZ2320" s="128"/>
      <c r="BA2320" s="128"/>
      <c r="BB2320" s="128"/>
      <c r="BC2320" s="128"/>
      <c r="BD2320" s="128"/>
      <c r="BE2320" s="128"/>
      <c r="BF2320" s="128"/>
      <c r="BG2320" s="128"/>
      <c r="BH2320" s="128"/>
      <c r="BI2320" s="128"/>
      <c r="BJ2320" s="128"/>
      <c r="BK2320" s="128"/>
      <c r="BL2320" s="128"/>
      <c r="BM2320" s="151"/>
      <c r="BN2320" s="128"/>
      <c r="BO2320" s="128"/>
      <c r="BP2320" s="128"/>
      <c r="BQ2320" s="128"/>
      <c r="BR2320" s="128"/>
      <c r="BS2320" s="128"/>
      <c r="BT2320" s="128"/>
      <c r="BU2320" s="128"/>
      <c r="BV2320" s="128"/>
      <c r="BW2320" s="128"/>
      <c r="BX2320" s="128"/>
      <c r="BY2320" s="128"/>
      <c r="BZ2320" s="128"/>
      <c r="CA2320" s="128"/>
      <c r="CB2320" s="128"/>
      <c r="CC2320" s="128"/>
      <c r="CD2320" s="128"/>
      <c r="CE2320" s="128"/>
      <c r="CF2320" s="128"/>
      <c r="CG2320" s="128"/>
      <c r="CI2320" s="128"/>
      <c r="CJ2320" s="128"/>
      <c r="CK2320" s="128"/>
      <c r="CL2320" s="128"/>
      <c r="CM2320" s="128"/>
      <c r="CN2320" s="128"/>
      <c r="CO2320" s="128"/>
      <c r="CP2320" s="128"/>
      <c r="CQ2320" s="128"/>
      <c r="CR2320" s="128"/>
      <c r="CS2320" s="128"/>
      <c r="CT2320" s="128"/>
      <c r="CU2320" s="128"/>
      <c r="CV2320" s="128"/>
      <c r="CW2320" s="128"/>
      <c r="CX2320" s="128"/>
      <c r="CY2320" s="128"/>
      <c r="CZ2320" s="165"/>
    </row>
    <row r="2321" spans="1:104">
      <c r="A2321" s="149"/>
      <c r="B2321" s="149"/>
      <c r="C2321" s="150"/>
      <c r="D2321" s="102"/>
      <c r="E2321" s="149"/>
      <c r="F2321" s="149"/>
      <c r="G2321" s="149"/>
      <c r="H2321" s="149"/>
      <c r="I2321" s="149"/>
      <c r="J2321" s="149"/>
      <c r="K2321" s="149"/>
      <c r="L2321" s="149"/>
      <c r="M2321" s="149"/>
      <c r="N2321" s="149"/>
      <c r="O2321" s="149"/>
      <c r="P2321" s="149"/>
      <c r="Q2321" s="149"/>
      <c r="R2321" s="149"/>
      <c r="S2321" s="149"/>
      <c r="T2321" s="149"/>
      <c r="U2321" s="149"/>
      <c r="V2321" s="149"/>
      <c r="W2321" s="149"/>
      <c r="X2321" s="149"/>
      <c r="Y2321" s="149"/>
      <c r="Z2321" s="149"/>
      <c r="AA2321" s="149"/>
      <c r="AB2321" s="149"/>
      <c r="AC2321" s="149"/>
      <c r="AD2321" s="149"/>
      <c r="AE2321" s="149"/>
      <c r="AF2321" s="149"/>
      <c r="AG2321" s="149"/>
      <c r="AH2321" s="149"/>
      <c r="AI2321" s="149"/>
      <c r="AJ2321" s="149"/>
      <c r="AK2321" s="149"/>
      <c r="AL2321" s="149"/>
      <c r="AM2321" s="149"/>
      <c r="AN2321" s="149"/>
      <c r="AO2321" s="128"/>
      <c r="AP2321" s="128"/>
      <c r="AQ2321" s="128"/>
      <c r="AR2321" s="128"/>
      <c r="AS2321" s="128"/>
      <c r="AT2321" s="128"/>
      <c r="AU2321" s="128"/>
      <c r="AV2321" s="128"/>
      <c r="AW2321" s="128"/>
      <c r="AX2321" s="128"/>
      <c r="AY2321" s="128"/>
      <c r="AZ2321" s="128"/>
      <c r="BA2321" s="128"/>
      <c r="BB2321" s="128"/>
      <c r="BC2321" s="128"/>
      <c r="BD2321" s="128"/>
      <c r="BE2321" s="128"/>
      <c r="BF2321" s="128"/>
      <c r="BG2321" s="128"/>
      <c r="BH2321" s="128"/>
      <c r="BI2321" s="128"/>
      <c r="BJ2321" s="128"/>
      <c r="BK2321" s="128"/>
      <c r="BL2321" s="128"/>
      <c r="BM2321" s="151"/>
      <c r="BN2321" s="128"/>
      <c r="BO2321" s="128"/>
      <c r="BP2321" s="128"/>
      <c r="BQ2321" s="128"/>
      <c r="BR2321" s="128"/>
      <c r="BS2321" s="128"/>
      <c r="BT2321" s="128"/>
      <c r="BU2321" s="128"/>
      <c r="BV2321" s="128"/>
      <c r="BW2321" s="128"/>
      <c r="BX2321" s="128"/>
      <c r="BY2321" s="128"/>
      <c r="BZ2321" s="128"/>
      <c r="CA2321" s="128"/>
      <c r="CB2321" s="128"/>
      <c r="CC2321" s="128"/>
      <c r="CD2321" s="128"/>
      <c r="CE2321" s="128"/>
      <c r="CF2321" s="128"/>
      <c r="CG2321" s="128"/>
      <c r="CI2321" s="128"/>
      <c r="CJ2321" s="128"/>
      <c r="CK2321" s="128"/>
      <c r="CL2321" s="128"/>
      <c r="CM2321" s="128"/>
      <c r="CN2321" s="128"/>
      <c r="CO2321" s="128"/>
      <c r="CP2321" s="128"/>
      <c r="CQ2321" s="128"/>
      <c r="CR2321" s="128"/>
      <c r="CS2321" s="128"/>
      <c r="CT2321" s="128"/>
      <c r="CU2321" s="128"/>
      <c r="CV2321" s="128"/>
      <c r="CW2321" s="128"/>
      <c r="CX2321" s="128"/>
      <c r="CY2321" s="128"/>
      <c r="CZ2321" s="165"/>
    </row>
    <row r="2322" spans="1:104">
      <c r="A2322" s="149"/>
      <c r="B2322" s="149"/>
      <c r="C2322" s="150"/>
      <c r="D2322" s="102"/>
      <c r="E2322" s="149"/>
      <c r="F2322" s="149"/>
      <c r="G2322" s="149"/>
      <c r="H2322" s="149"/>
      <c r="I2322" s="149"/>
      <c r="J2322" s="149"/>
      <c r="K2322" s="149"/>
      <c r="L2322" s="149"/>
      <c r="M2322" s="149"/>
      <c r="N2322" s="149"/>
      <c r="O2322" s="149"/>
      <c r="P2322" s="149"/>
      <c r="Q2322" s="149"/>
      <c r="R2322" s="149"/>
      <c r="S2322" s="149"/>
      <c r="T2322" s="149"/>
      <c r="U2322" s="149"/>
      <c r="V2322" s="149"/>
      <c r="W2322" s="149"/>
      <c r="X2322" s="149"/>
      <c r="Y2322" s="149"/>
      <c r="Z2322" s="149"/>
      <c r="AA2322" s="149"/>
      <c r="AB2322" s="149"/>
      <c r="AC2322" s="149"/>
      <c r="AD2322" s="149"/>
      <c r="AE2322" s="149"/>
      <c r="AF2322" s="149"/>
      <c r="AG2322" s="149"/>
      <c r="AH2322" s="149"/>
      <c r="AI2322" s="149"/>
      <c r="AJ2322" s="149"/>
      <c r="AK2322" s="149"/>
      <c r="AL2322" s="149"/>
      <c r="AM2322" s="149"/>
      <c r="AN2322" s="149"/>
      <c r="AO2322" s="128"/>
      <c r="AP2322" s="128"/>
      <c r="AQ2322" s="128"/>
      <c r="AR2322" s="128"/>
      <c r="AS2322" s="128"/>
      <c r="AT2322" s="128"/>
      <c r="AU2322" s="128"/>
      <c r="AV2322" s="128"/>
      <c r="AW2322" s="128"/>
      <c r="AX2322" s="128"/>
      <c r="AY2322" s="128"/>
      <c r="AZ2322" s="128"/>
      <c r="BA2322" s="128"/>
      <c r="BB2322" s="128"/>
      <c r="BC2322" s="128"/>
      <c r="BD2322" s="128"/>
      <c r="BE2322" s="128"/>
      <c r="BF2322" s="128"/>
      <c r="BG2322" s="128"/>
      <c r="BH2322" s="128"/>
      <c r="BI2322" s="128"/>
      <c r="BJ2322" s="128"/>
      <c r="BK2322" s="128"/>
      <c r="BL2322" s="128"/>
      <c r="BM2322" s="151"/>
      <c r="BN2322" s="128"/>
      <c r="BO2322" s="128"/>
      <c r="BP2322" s="128"/>
      <c r="BQ2322" s="128"/>
      <c r="BR2322" s="128"/>
      <c r="BS2322" s="128"/>
      <c r="BT2322" s="128"/>
      <c r="BU2322" s="128"/>
      <c r="BV2322" s="128"/>
      <c r="BW2322" s="128"/>
      <c r="BX2322" s="128"/>
      <c r="BY2322" s="128"/>
      <c r="BZ2322" s="128"/>
      <c r="CA2322" s="128"/>
      <c r="CB2322" s="128"/>
      <c r="CC2322" s="128"/>
      <c r="CD2322" s="128"/>
      <c r="CE2322" s="128"/>
      <c r="CF2322" s="128"/>
      <c r="CG2322" s="128"/>
      <c r="CI2322" s="128"/>
      <c r="CJ2322" s="128"/>
      <c r="CK2322" s="128"/>
      <c r="CL2322" s="128"/>
      <c r="CM2322" s="128"/>
      <c r="CN2322" s="128"/>
      <c r="CO2322" s="128"/>
      <c r="CP2322" s="128"/>
      <c r="CQ2322" s="128"/>
      <c r="CR2322" s="128"/>
      <c r="CS2322" s="128"/>
      <c r="CT2322" s="128"/>
      <c r="CU2322" s="128"/>
      <c r="CV2322" s="128"/>
      <c r="CW2322" s="128"/>
      <c r="CX2322" s="128"/>
      <c r="CY2322" s="128"/>
      <c r="CZ2322" s="165"/>
    </row>
    <row r="2323" spans="1:104">
      <c r="A2323" s="149"/>
      <c r="B2323" s="149"/>
      <c r="C2323" s="150"/>
      <c r="D2323" s="102"/>
      <c r="E2323" s="149"/>
      <c r="F2323" s="149"/>
      <c r="G2323" s="149"/>
      <c r="H2323" s="149"/>
      <c r="I2323" s="149"/>
      <c r="J2323" s="149"/>
      <c r="K2323" s="149"/>
      <c r="L2323" s="149"/>
      <c r="M2323" s="149"/>
      <c r="N2323" s="149"/>
      <c r="O2323" s="149"/>
      <c r="P2323" s="149"/>
      <c r="Q2323" s="149"/>
      <c r="R2323" s="149"/>
      <c r="S2323" s="149"/>
      <c r="T2323" s="149"/>
      <c r="U2323" s="149"/>
      <c r="V2323" s="149"/>
      <c r="W2323" s="149"/>
      <c r="X2323" s="149"/>
      <c r="Y2323" s="149"/>
      <c r="Z2323" s="149"/>
      <c r="AA2323" s="149"/>
      <c r="AB2323" s="149"/>
      <c r="AC2323" s="149"/>
      <c r="AD2323" s="149"/>
      <c r="AE2323" s="149"/>
      <c r="AF2323" s="149"/>
      <c r="AG2323" s="149"/>
      <c r="AH2323" s="149"/>
      <c r="AI2323" s="149"/>
      <c r="AJ2323" s="149"/>
      <c r="AK2323" s="149"/>
      <c r="AL2323" s="149"/>
      <c r="AM2323" s="149"/>
      <c r="AN2323" s="149"/>
      <c r="AO2323" s="128"/>
      <c r="AP2323" s="128"/>
      <c r="AQ2323" s="128"/>
      <c r="AR2323" s="128"/>
      <c r="AS2323" s="128"/>
      <c r="AT2323" s="128"/>
      <c r="AU2323" s="128"/>
      <c r="AV2323" s="128"/>
      <c r="AW2323" s="128"/>
      <c r="AX2323" s="128"/>
      <c r="AY2323" s="128"/>
      <c r="AZ2323" s="128"/>
      <c r="BA2323" s="128"/>
      <c r="BB2323" s="128"/>
      <c r="BC2323" s="128"/>
      <c r="BD2323" s="128"/>
      <c r="BE2323" s="128"/>
      <c r="BF2323" s="128"/>
      <c r="BG2323" s="128"/>
      <c r="BH2323" s="128"/>
      <c r="BI2323" s="128"/>
      <c r="BJ2323" s="128"/>
      <c r="BK2323" s="128"/>
      <c r="BL2323" s="128"/>
      <c r="BM2323" s="151"/>
      <c r="BN2323" s="128"/>
      <c r="BO2323" s="128"/>
      <c r="BP2323" s="128"/>
      <c r="BQ2323" s="128"/>
      <c r="BR2323" s="128"/>
      <c r="BS2323" s="128"/>
      <c r="BT2323" s="128"/>
      <c r="BU2323" s="128"/>
      <c r="BV2323" s="128"/>
      <c r="BW2323" s="128"/>
      <c r="BX2323" s="128"/>
      <c r="BY2323" s="128"/>
      <c r="BZ2323" s="128"/>
      <c r="CA2323" s="128"/>
      <c r="CB2323" s="128"/>
      <c r="CC2323" s="128"/>
      <c r="CD2323" s="128"/>
      <c r="CE2323" s="128"/>
      <c r="CF2323" s="128"/>
      <c r="CG2323" s="128"/>
      <c r="CI2323" s="128"/>
      <c r="CJ2323" s="128"/>
      <c r="CK2323" s="128"/>
      <c r="CL2323" s="128"/>
      <c r="CM2323" s="128"/>
      <c r="CN2323" s="128"/>
      <c r="CO2323" s="128"/>
      <c r="CP2323" s="128"/>
      <c r="CQ2323" s="128"/>
      <c r="CR2323" s="128"/>
      <c r="CS2323" s="128"/>
      <c r="CT2323" s="128"/>
      <c r="CU2323" s="128"/>
      <c r="CV2323" s="128"/>
      <c r="CW2323" s="128"/>
      <c r="CX2323" s="128"/>
      <c r="CY2323" s="128"/>
      <c r="CZ2323" s="165"/>
    </row>
    <row r="2324" spans="1:104">
      <c r="A2324" s="149"/>
      <c r="B2324" s="149"/>
      <c r="C2324" s="150"/>
      <c r="D2324" s="102"/>
      <c r="E2324" s="149"/>
      <c r="F2324" s="149"/>
      <c r="G2324" s="149"/>
      <c r="H2324" s="149"/>
      <c r="I2324" s="149"/>
      <c r="J2324" s="149"/>
      <c r="K2324" s="149"/>
      <c r="L2324" s="149"/>
      <c r="M2324" s="149"/>
      <c r="N2324" s="149"/>
      <c r="O2324" s="149"/>
      <c r="P2324" s="149"/>
      <c r="Q2324" s="149"/>
      <c r="R2324" s="149"/>
      <c r="S2324" s="149"/>
      <c r="T2324" s="149"/>
      <c r="U2324" s="149"/>
      <c r="V2324" s="149"/>
      <c r="W2324" s="149"/>
      <c r="X2324" s="149"/>
      <c r="Y2324" s="149"/>
      <c r="Z2324" s="149"/>
      <c r="AA2324" s="149"/>
      <c r="AB2324" s="149"/>
      <c r="AC2324" s="149"/>
      <c r="AD2324" s="149"/>
      <c r="AE2324" s="149"/>
      <c r="AF2324" s="149"/>
      <c r="AG2324" s="149"/>
      <c r="AH2324" s="149"/>
      <c r="AI2324" s="149"/>
      <c r="AJ2324" s="149"/>
      <c r="AK2324" s="149"/>
      <c r="AL2324" s="149"/>
      <c r="AM2324" s="149"/>
      <c r="AN2324" s="149"/>
      <c r="AO2324" s="128"/>
      <c r="AP2324" s="128"/>
      <c r="AQ2324" s="128"/>
      <c r="AR2324" s="128"/>
      <c r="AS2324" s="128"/>
      <c r="AT2324" s="128"/>
      <c r="AU2324" s="128"/>
      <c r="AV2324" s="128"/>
      <c r="AW2324" s="128"/>
      <c r="AX2324" s="128"/>
      <c r="AY2324" s="128"/>
      <c r="AZ2324" s="128"/>
      <c r="BA2324" s="128"/>
      <c r="BB2324" s="128"/>
      <c r="BC2324" s="128"/>
      <c r="BD2324" s="128"/>
      <c r="BE2324" s="128"/>
      <c r="BF2324" s="128"/>
      <c r="BG2324" s="128"/>
      <c r="BH2324" s="128"/>
      <c r="BI2324" s="128"/>
      <c r="BJ2324" s="128"/>
      <c r="BK2324" s="128"/>
      <c r="BL2324" s="128"/>
      <c r="BM2324" s="151"/>
      <c r="BN2324" s="128"/>
      <c r="BO2324" s="128"/>
      <c r="BP2324" s="128"/>
      <c r="BQ2324" s="128"/>
      <c r="BR2324" s="128"/>
      <c r="BS2324" s="128"/>
      <c r="BT2324" s="128"/>
      <c r="BU2324" s="128"/>
      <c r="BV2324" s="128"/>
      <c r="BW2324" s="128"/>
      <c r="BX2324" s="128"/>
      <c r="BY2324" s="128"/>
      <c r="BZ2324" s="128"/>
      <c r="CA2324" s="128"/>
      <c r="CB2324" s="128"/>
      <c r="CC2324" s="128"/>
      <c r="CD2324" s="128"/>
      <c r="CE2324" s="128"/>
      <c r="CF2324" s="128"/>
      <c r="CG2324" s="128"/>
      <c r="CI2324" s="128"/>
      <c r="CJ2324" s="128"/>
      <c r="CK2324" s="128"/>
      <c r="CL2324" s="128"/>
      <c r="CM2324" s="128"/>
      <c r="CN2324" s="128"/>
      <c r="CO2324" s="128"/>
      <c r="CP2324" s="128"/>
      <c r="CQ2324" s="128"/>
      <c r="CR2324" s="128"/>
      <c r="CS2324" s="128"/>
      <c r="CT2324" s="128"/>
      <c r="CU2324" s="128"/>
      <c r="CV2324" s="128"/>
      <c r="CW2324" s="128"/>
      <c r="CX2324" s="128"/>
      <c r="CY2324" s="128"/>
      <c r="CZ2324" s="165"/>
    </row>
    <row r="2325" spans="1:104">
      <c r="A2325" s="149"/>
      <c r="B2325" s="149"/>
      <c r="C2325" s="150"/>
      <c r="D2325" s="102"/>
      <c r="E2325" s="149"/>
      <c r="F2325" s="149"/>
      <c r="G2325" s="149"/>
      <c r="H2325" s="149"/>
      <c r="I2325" s="149"/>
      <c r="J2325" s="149"/>
      <c r="K2325" s="149"/>
      <c r="L2325" s="149"/>
      <c r="M2325" s="149"/>
      <c r="N2325" s="149"/>
      <c r="O2325" s="149"/>
      <c r="P2325" s="149"/>
      <c r="Q2325" s="149"/>
      <c r="R2325" s="149"/>
      <c r="S2325" s="149"/>
      <c r="T2325" s="149"/>
      <c r="U2325" s="149"/>
      <c r="V2325" s="149"/>
      <c r="W2325" s="149"/>
      <c r="X2325" s="149"/>
      <c r="Y2325" s="149"/>
      <c r="Z2325" s="149"/>
      <c r="AA2325" s="149"/>
      <c r="AB2325" s="149"/>
      <c r="AC2325" s="149"/>
      <c r="AD2325" s="149"/>
      <c r="AE2325" s="149"/>
      <c r="AF2325" s="149"/>
      <c r="AG2325" s="149"/>
      <c r="AH2325" s="149"/>
      <c r="AI2325" s="149"/>
      <c r="AJ2325" s="149"/>
      <c r="AK2325" s="149"/>
      <c r="AL2325" s="149"/>
      <c r="AM2325" s="149"/>
      <c r="AN2325" s="149"/>
      <c r="AO2325" s="128"/>
      <c r="AP2325" s="128"/>
      <c r="AQ2325" s="128"/>
      <c r="AR2325" s="128"/>
      <c r="AS2325" s="128"/>
      <c r="AT2325" s="128"/>
      <c r="AU2325" s="128"/>
      <c r="AV2325" s="128"/>
      <c r="AW2325" s="128"/>
      <c r="AX2325" s="128"/>
      <c r="AY2325" s="128"/>
      <c r="AZ2325" s="128"/>
      <c r="BA2325" s="128"/>
      <c r="BB2325" s="128"/>
      <c r="BC2325" s="128"/>
      <c r="BD2325" s="128"/>
      <c r="BE2325" s="128"/>
      <c r="BF2325" s="128"/>
      <c r="BG2325" s="128"/>
      <c r="BH2325" s="128"/>
      <c r="BI2325" s="128"/>
      <c r="BJ2325" s="128"/>
      <c r="BK2325" s="128"/>
      <c r="BL2325" s="128"/>
      <c r="BM2325" s="151"/>
      <c r="BN2325" s="128"/>
      <c r="BO2325" s="128"/>
      <c r="BP2325" s="128"/>
      <c r="BQ2325" s="128"/>
      <c r="BR2325" s="128"/>
      <c r="BS2325" s="128"/>
      <c r="BT2325" s="128"/>
      <c r="BU2325" s="128"/>
      <c r="BV2325" s="128"/>
      <c r="BW2325" s="128"/>
      <c r="BX2325" s="128"/>
      <c r="BY2325" s="128"/>
      <c r="BZ2325" s="128"/>
      <c r="CA2325" s="128"/>
      <c r="CB2325" s="128"/>
      <c r="CC2325" s="128"/>
      <c r="CD2325" s="128"/>
      <c r="CE2325" s="128"/>
      <c r="CF2325" s="128"/>
      <c r="CG2325" s="128"/>
      <c r="CI2325" s="128"/>
      <c r="CJ2325" s="128"/>
      <c r="CK2325" s="128"/>
      <c r="CL2325" s="128"/>
      <c r="CM2325" s="128"/>
      <c r="CN2325" s="128"/>
      <c r="CO2325" s="128"/>
      <c r="CP2325" s="128"/>
      <c r="CQ2325" s="128"/>
      <c r="CR2325" s="128"/>
      <c r="CS2325" s="128"/>
      <c r="CT2325" s="128"/>
      <c r="CU2325" s="128"/>
      <c r="CV2325" s="128"/>
      <c r="CW2325" s="128"/>
      <c r="CX2325" s="128"/>
      <c r="CY2325" s="128"/>
      <c r="CZ2325" s="165"/>
    </row>
    <row r="2326" spans="1:104">
      <c r="A2326" s="149"/>
      <c r="B2326" s="149"/>
      <c r="C2326" s="150"/>
      <c r="D2326" s="102"/>
      <c r="E2326" s="149"/>
      <c r="F2326" s="149"/>
      <c r="G2326" s="149"/>
      <c r="H2326" s="149"/>
      <c r="I2326" s="149"/>
      <c r="J2326" s="149"/>
      <c r="K2326" s="149"/>
      <c r="L2326" s="149"/>
      <c r="M2326" s="149"/>
      <c r="N2326" s="149"/>
      <c r="O2326" s="149"/>
      <c r="P2326" s="149"/>
      <c r="Q2326" s="149"/>
      <c r="R2326" s="149"/>
      <c r="S2326" s="149"/>
      <c r="T2326" s="149"/>
      <c r="U2326" s="149"/>
      <c r="V2326" s="149"/>
      <c r="W2326" s="149"/>
      <c r="X2326" s="149"/>
      <c r="Y2326" s="149"/>
      <c r="Z2326" s="149"/>
      <c r="AA2326" s="149"/>
      <c r="AB2326" s="149"/>
      <c r="AC2326" s="149"/>
      <c r="AD2326" s="149"/>
      <c r="AE2326" s="149"/>
      <c r="AF2326" s="149"/>
      <c r="AG2326" s="149"/>
      <c r="AH2326" s="149"/>
      <c r="AI2326" s="149"/>
      <c r="AJ2326" s="149"/>
      <c r="AK2326" s="149"/>
      <c r="AL2326" s="149"/>
      <c r="AM2326" s="149"/>
      <c r="AN2326" s="149"/>
      <c r="AO2326" s="128"/>
      <c r="AP2326" s="128"/>
      <c r="AQ2326" s="128"/>
      <c r="AR2326" s="128"/>
      <c r="AS2326" s="128"/>
      <c r="AT2326" s="128"/>
      <c r="AU2326" s="128"/>
      <c r="AV2326" s="128"/>
      <c r="AW2326" s="128"/>
      <c r="AX2326" s="128"/>
      <c r="AY2326" s="128"/>
      <c r="AZ2326" s="128"/>
      <c r="BA2326" s="128"/>
      <c r="BB2326" s="128"/>
      <c r="BC2326" s="128"/>
      <c r="BD2326" s="128"/>
      <c r="BE2326" s="128"/>
      <c r="BF2326" s="128"/>
      <c r="BG2326" s="128"/>
      <c r="BH2326" s="128"/>
      <c r="BI2326" s="128"/>
      <c r="BJ2326" s="128"/>
      <c r="BK2326" s="128"/>
      <c r="BL2326" s="128"/>
      <c r="BM2326" s="151"/>
      <c r="BN2326" s="128"/>
      <c r="BO2326" s="128"/>
      <c r="BP2326" s="128"/>
      <c r="BQ2326" s="128"/>
      <c r="BR2326" s="128"/>
      <c r="BS2326" s="128"/>
      <c r="BT2326" s="128"/>
      <c r="BU2326" s="128"/>
      <c r="BV2326" s="128"/>
      <c r="BW2326" s="128"/>
      <c r="BX2326" s="128"/>
      <c r="BY2326" s="128"/>
      <c r="BZ2326" s="128"/>
      <c r="CA2326" s="128"/>
      <c r="CB2326" s="128"/>
      <c r="CC2326" s="128"/>
      <c r="CD2326" s="128"/>
      <c r="CE2326" s="128"/>
      <c r="CF2326" s="128"/>
      <c r="CG2326" s="128"/>
      <c r="CI2326" s="128"/>
      <c r="CJ2326" s="128"/>
      <c r="CK2326" s="128"/>
      <c r="CL2326" s="128"/>
      <c r="CM2326" s="128"/>
      <c r="CN2326" s="128"/>
      <c r="CO2326" s="128"/>
      <c r="CP2326" s="128"/>
      <c r="CQ2326" s="128"/>
      <c r="CR2326" s="128"/>
      <c r="CS2326" s="128"/>
      <c r="CT2326" s="128"/>
      <c r="CU2326" s="128"/>
      <c r="CV2326" s="128"/>
      <c r="CW2326" s="128"/>
      <c r="CX2326" s="128"/>
      <c r="CY2326" s="128"/>
      <c r="CZ2326" s="165"/>
    </row>
    <row r="2327" spans="1:104">
      <c r="A2327" s="149"/>
      <c r="B2327" s="149"/>
      <c r="C2327" s="150"/>
      <c r="D2327" s="102"/>
      <c r="E2327" s="149"/>
      <c r="F2327" s="149"/>
      <c r="G2327" s="149"/>
      <c r="H2327" s="149"/>
      <c r="I2327" s="149"/>
      <c r="J2327" s="149"/>
      <c r="K2327" s="149"/>
      <c r="L2327" s="149"/>
      <c r="M2327" s="149"/>
      <c r="N2327" s="149"/>
      <c r="O2327" s="149"/>
      <c r="P2327" s="149"/>
      <c r="Q2327" s="149"/>
      <c r="R2327" s="149"/>
      <c r="S2327" s="149"/>
      <c r="T2327" s="149"/>
      <c r="U2327" s="149"/>
      <c r="V2327" s="149"/>
      <c r="W2327" s="149"/>
      <c r="X2327" s="149"/>
      <c r="Y2327" s="149"/>
      <c r="Z2327" s="149"/>
      <c r="AA2327" s="149"/>
      <c r="AB2327" s="149"/>
      <c r="AC2327" s="149"/>
      <c r="AD2327" s="149"/>
      <c r="AE2327" s="149"/>
      <c r="AF2327" s="149"/>
      <c r="AG2327" s="149"/>
      <c r="AH2327" s="149"/>
      <c r="AI2327" s="149"/>
      <c r="AJ2327" s="149"/>
      <c r="AK2327" s="149"/>
      <c r="AL2327" s="149"/>
      <c r="AM2327" s="149"/>
      <c r="AN2327" s="149"/>
      <c r="AO2327" s="128"/>
      <c r="AP2327" s="128"/>
      <c r="AQ2327" s="128"/>
      <c r="AR2327" s="128"/>
      <c r="AS2327" s="128"/>
      <c r="AT2327" s="128"/>
      <c r="AU2327" s="128"/>
      <c r="AV2327" s="128"/>
      <c r="AW2327" s="128"/>
      <c r="AX2327" s="128"/>
      <c r="AY2327" s="128"/>
      <c r="AZ2327" s="128"/>
      <c r="BA2327" s="128"/>
      <c r="BB2327" s="128"/>
      <c r="BC2327" s="128"/>
      <c r="BD2327" s="128"/>
      <c r="BE2327" s="128"/>
      <c r="BF2327" s="128"/>
      <c r="BG2327" s="128"/>
      <c r="BH2327" s="128"/>
      <c r="BI2327" s="128"/>
      <c r="BJ2327" s="128"/>
      <c r="BK2327" s="128"/>
      <c r="BL2327" s="128"/>
      <c r="BM2327" s="151"/>
      <c r="BN2327" s="128"/>
      <c r="BO2327" s="128"/>
      <c r="BP2327" s="128"/>
      <c r="BQ2327" s="128"/>
      <c r="BR2327" s="128"/>
      <c r="BS2327" s="128"/>
      <c r="BT2327" s="128"/>
      <c r="BU2327" s="128"/>
      <c r="BV2327" s="128"/>
      <c r="BW2327" s="128"/>
      <c r="BX2327" s="128"/>
      <c r="BY2327" s="128"/>
      <c r="BZ2327" s="128"/>
      <c r="CA2327" s="128"/>
      <c r="CB2327" s="128"/>
      <c r="CC2327" s="128"/>
      <c r="CD2327" s="128"/>
      <c r="CE2327" s="128"/>
      <c r="CF2327" s="128"/>
      <c r="CG2327" s="128"/>
      <c r="CI2327" s="128"/>
      <c r="CJ2327" s="128"/>
      <c r="CK2327" s="128"/>
      <c r="CL2327" s="128"/>
      <c r="CM2327" s="128"/>
      <c r="CN2327" s="128"/>
      <c r="CO2327" s="128"/>
      <c r="CP2327" s="128"/>
      <c r="CQ2327" s="128"/>
      <c r="CR2327" s="128"/>
      <c r="CS2327" s="128"/>
      <c r="CT2327" s="128"/>
      <c r="CU2327" s="128"/>
      <c r="CV2327" s="128"/>
      <c r="CW2327" s="128"/>
      <c r="CX2327" s="128"/>
      <c r="CY2327" s="128"/>
      <c r="CZ2327" s="165"/>
    </row>
    <row r="2328" spans="1:104">
      <c r="A2328" s="149"/>
      <c r="B2328" s="149"/>
      <c r="C2328" s="150"/>
      <c r="D2328" s="102"/>
      <c r="E2328" s="149"/>
      <c r="F2328" s="149"/>
      <c r="G2328" s="149"/>
      <c r="H2328" s="149"/>
      <c r="I2328" s="149"/>
      <c r="J2328" s="149"/>
      <c r="K2328" s="149"/>
      <c r="L2328" s="149"/>
      <c r="M2328" s="149"/>
      <c r="N2328" s="149"/>
      <c r="O2328" s="149"/>
      <c r="P2328" s="149"/>
      <c r="Q2328" s="149"/>
      <c r="R2328" s="149"/>
      <c r="S2328" s="149"/>
      <c r="T2328" s="149"/>
      <c r="U2328" s="149"/>
      <c r="V2328" s="149"/>
      <c r="W2328" s="149"/>
      <c r="X2328" s="149"/>
      <c r="Y2328" s="149"/>
      <c r="Z2328" s="149"/>
      <c r="AA2328" s="149"/>
      <c r="AB2328" s="149"/>
      <c r="AC2328" s="149"/>
      <c r="AD2328" s="149"/>
      <c r="AE2328" s="149"/>
      <c r="AF2328" s="149"/>
      <c r="AG2328" s="149"/>
      <c r="AH2328" s="149"/>
      <c r="AI2328" s="149"/>
      <c r="AJ2328" s="149"/>
      <c r="AK2328" s="149"/>
      <c r="AL2328" s="149"/>
      <c r="AM2328" s="149"/>
      <c r="AN2328" s="149"/>
      <c r="AO2328" s="128"/>
      <c r="AP2328" s="128"/>
      <c r="AQ2328" s="128"/>
      <c r="AR2328" s="128"/>
      <c r="AS2328" s="128"/>
      <c r="AT2328" s="128"/>
      <c r="AU2328" s="128"/>
      <c r="AV2328" s="128"/>
      <c r="AW2328" s="128"/>
      <c r="AX2328" s="128"/>
      <c r="AY2328" s="128"/>
      <c r="AZ2328" s="128"/>
      <c r="BA2328" s="128"/>
      <c r="BB2328" s="128"/>
      <c r="BC2328" s="128"/>
      <c r="BD2328" s="128"/>
      <c r="BE2328" s="128"/>
      <c r="BF2328" s="128"/>
      <c r="BG2328" s="128"/>
      <c r="BH2328" s="128"/>
      <c r="BI2328" s="128"/>
      <c r="BJ2328" s="128"/>
      <c r="BK2328" s="128"/>
      <c r="BL2328" s="128"/>
      <c r="BM2328" s="151"/>
      <c r="BN2328" s="128"/>
      <c r="BO2328" s="128"/>
      <c r="BP2328" s="128"/>
      <c r="BQ2328" s="128"/>
      <c r="BR2328" s="128"/>
      <c r="BS2328" s="128"/>
      <c r="BT2328" s="128"/>
      <c r="BU2328" s="128"/>
      <c r="BV2328" s="128"/>
      <c r="BW2328" s="128"/>
      <c r="BX2328" s="128"/>
      <c r="BY2328" s="128"/>
      <c r="BZ2328" s="128"/>
      <c r="CA2328" s="128"/>
      <c r="CB2328" s="128"/>
      <c r="CC2328" s="128"/>
      <c r="CD2328" s="128"/>
      <c r="CE2328" s="128"/>
      <c r="CF2328" s="128"/>
      <c r="CG2328" s="128"/>
      <c r="CI2328" s="128"/>
      <c r="CJ2328" s="128"/>
      <c r="CK2328" s="128"/>
      <c r="CL2328" s="128"/>
      <c r="CM2328" s="128"/>
      <c r="CN2328" s="128"/>
      <c r="CO2328" s="128"/>
      <c r="CP2328" s="128"/>
      <c r="CQ2328" s="128"/>
      <c r="CR2328" s="128"/>
      <c r="CS2328" s="128"/>
      <c r="CT2328" s="128"/>
      <c r="CU2328" s="128"/>
      <c r="CV2328" s="128"/>
      <c r="CW2328" s="128"/>
      <c r="CX2328" s="128"/>
      <c r="CY2328" s="128"/>
      <c r="CZ2328" s="165"/>
    </row>
    <row r="2329" spans="1:104">
      <c r="A2329" s="149"/>
      <c r="B2329" s="149"/>
      <c r="C2329" s="150"/>
      <c r="D2329" s="102"/>
      <c r="E2329" s="149"/>
      <c r="F2329" s="149"/>
      <c r="G2329" s="149"/>
      <c r="H2329" s="149"/>
      <c r="I2329" s="149"/>
      <c r="J2329" s="149"/>
      <c r="K2329" s="149"/>
      <c r="L2329" s="149"/>
      <c r="M2329" s="149"/>
      <c r="N2329" s="149"/>
      <c r="O2329" s="149"/>
      <c r="P2329" s="149"/>
      <c r="Q2329" s="149"/>
      <c r="R2329" s="149"/>
      <c r="S2329" s="149"/>
      <c r="T2329" s="149"/>
      <c r="U2329" s="149"/>
      <c r="V2329" s="149"/>
      <c r="W2329" s="149"/>
      <c r="X2329" s="149"/>
      <c r="Y2329" s="149"/>
      <c r="Z2329" s="149"/>
      <c r="AA2329" s="149"/>
      <c r="AB2329" s="149"/>
      <c r="AC2329" s="149"/>
      <c r="AD2329" s="149"/>
      <c r="AE2329" s="149"/>
      <c r="AF2329" s="149"/>
      <c r="AG2329" s="149"/>
      <c r="AH2329" s="149"/>
      <c r="AI2329" s="149"/>
      <c r="AJ2329" s="149"/>
      <c r="AK2329" s="149"/>
      <c r="AL2329" s="149"/>
      <c r="AM2329" s="149"/>
      <c r="AN2329" s="149"/>
      <c r="AO2329" s="128"/>
      <c r="AP2329" s="128"/>
      <c r="AQ2329" s="128"/>
      <c r="AR2329" s="128"/>
      <c r="AS2329" s="128"/>
      <c r="AT2329" s="128"/>
      <c r="AU2329" s="128"/>
      <c r="AV2329" s="128"/>
      <c r="AW2329" s="128"/>
      <c r="AX2329" s="128"/>
      <c r="AY2329" s="128"/>
      <c r="AZ2329" s="128"/>
      <c r="BA2329" s="128"/>
      <c r="BB2329" s="128"/>
      <c r="BC2329" s="128"/>
      <c r="BD2329" s="128"/>
      <c r="BE2329" s="128"/>
      <c r="BF2329" s="128"/>
      <c r="BG2329" s="128"/>
      <c r="BH2329" s="128"/>
      <c r="BI2329" s="128"/>
      <c r="BJ2329" s="128"/>
      <c r="BK2329" s="128"/>
      <c r="BL2329" s="128"/>
      <c r="BM2329" s="151"/>
      <c r="BN2329" s="128"/>
      <c r="BO2329" s="128"/>
      <c r="BP2329" s="128"/>
      <c r="BQ2329" s="128"/>
      <c r="BR2329" s="128"/>
      <c r="BS2329" s="128"/>
      <c r="BT2329" s="128"/>
      <c r="BU2329" s="128"/>
      <c r="BV2329" s="128"/>
      <c r="BW2329" s="128"/>
      <c r="BX2329" s="128"/>
      <c r="BY2329" s="128"/>
      <c r="BZ2329" s="128"/>
      <c r="CA2329" s="128"/>
      <c r="CB2329" s="128"/>
      <c r="CC2329" s="128"/>
      <c r="CD2329" s="128"/>
      <c r="CE2329" s="128"/>
      <c r="CF2329" s="128"/>
      <c r="CG2329" s="128"/>
      <c r="CI2329" s="128"/>
      <c r="CJ2329" s="128"/>
      <c r="CK2329" s="128"/>
      <c r="CL2329" s="128"/>
      <c r="CM2329" s="128"/>
      <c r="CN2329" s="128"/>
      <c r="CO2329" s="128"/>
      <c r="CP2329" s="128"/>
      <c r="CQ2329" s="128"/>
      <c r="CR2329" s="128"/>
      <c r="CS2329" s="128"/>
      <c r="CT2329" s="128"/>
      <c r="CU2329" s="128"/>
      <c r="CV2329" s="128"/>
      <c r="CW2329" s="128"/>
      <c r="CX2329" s="128"/>
      <c r="CY2329" s="128"/>
      <c r="CZ2329" s="165"/>
    </row>
    <row r="2330" spans="1:104">
      <c r="A2330" s="149"/>
      <c r="B2330" s="149"/>
      <c r="C2330" s="150"/>
      <c r="D2330" s="102"/>
      <c r="E2330" s="149"/>
      <c r="F2330" s="149"/>
      <c r="G2330" s="149"/>
      <c r="H2330" s="149"/>
      <c r="I2330" s="149"/>
      <c r="J2330" s="149"/>
      <c r="K2330" s="149"/>
      <c r="L2330" s="149"/>
      <c r="M2330" s="149"/>
      <c r="N2330" s="149"/>
      <c r="O2330" s="149"/>
      <c r="P2330" s="149"/>
      <c r="Q2330" s="149"/>
      <c r="R2330" s="149"/>
      <c r="S2330" s="149"/>
      <c r="T2330" s="149"/>
      <c r="U2330" s="149"/>
      <c r="V2330" s="149"/>
      <c r="W2330" s="149"/>
      <c r="X2330" s="149"/>
      <c r="Y2330" s="149"/>
      <c r="Z2330" s="149"/>
      <c r="AA2330" s="149"/>
      <c r="AB2330" s="149"/>
      <c r="AC2330" s="149"/>
      <c r="AD2330" s="149"/>
      <c r="AE2330" s="149"/>
      <c r="AF2330" s="149"/>
      <c r="AG2330" s="149"/>
      <c r="AH2330" s="149"/>
      <c r="AI2330" s="149"/>
      <c r="AJ2330" s="149"/>
      <c r="AK2330" s="149"/>
      <c r="AL2330" s="149"/>
      <c r="AM2330" s="149"/>
      <c r="AN2330" s="149"/>
      <c r="AO2330" s="128"/>
      <c r="AP2330" s="128"/>
      <c r="AQ2330" s="128"/>
      <c r="AR2330" s="128"/>
      <c r="AS2330" s="128"/>
      <c r="AT2330" s="128"/>
      <c r="AU2330" s="128"/>
      <c r="AV2330" s="128"/>
      <c r="AW2330" s="128"/>
      <c r="AX2330" s="128"/>
      <c r="AY2330" s="128"/>
      <c r="AZ2330" s="128"/>
      <c r="BA2330" s="128"/>
      <c r="BB2330" s="128"/>
      <c r="BC2330" s="128"/>
      <c r="BD2330" s="128"/>
      <c r="BE2330" s="128"/>
      <c r="BF2330" s="128"/>
      <c r="BG2330" s="128"/>
      <c r="BH2330" s="128"/>
      <c r="BI2330" s="128"/>
      <c r="BJ2330" s="128"/>
      <c r="BK2330" s="128"/>
      <c r="BL2330" s="128"/>
      <c r="BM2330" s="151"/>
      <c r="BN2330" s="128"/>
      <c r="BO2330" s="128"/>
      <c r="BP2330" s="128"/>
      <c r="BQ2330" s="128"/>
      <c r="BR2330" s="128"/>
      <c r="BS2330" s="128"/>
      <c r="BT2330" s="128"/>
      <c r="BU2330" s="128"/>
      <c r="BV2330" s="128"/>
      <c r="BW2330" s="128"/>
      <c r="BX2330" s="128"/>
      <c r="BY2330" s="128"/>
      <c r="BZ2330" s="128"/>
      <c r="CA2330" s="128"/>
      <c r="CB2330" s="128"/>
      <c r="CC2330" s="128"/>
      <c r="CD2330" s="128"/>
      <c r="CE2330" s="128"/>
      <c r="CF2330" s="128"/>
      <c r="CG2330" s="128"/>
      <c r="CI2330" s="128"/>
      <c r="CJ2330" s="128"/>
      <c r="CK2330" s="128"/>
      <c r="CL2330" s="128"/>
      <c r="CM2330" s="128"/>
      <c r="CN2330" s="128"/>
      <c r="CO2330" s="128"/>
      <c r="CP2330" s="128"/>
      <c r="CQ2330" s="128"/>
      <c r="CR2330" s="128"/>
      <c r="CS2330" s="128"/>
      <c r="CT2330" s="128"/>
      <c r="CU2330" s="128"/>
      <c r="CV2330" s="128"/>
      <c r="CW2330" s="128"/>
      <c r="CX2330" s="128"/>
      <c r="CY2330" s="128"/>
      <c r="CZ2330" s="165"/>
    </row>
    <row r="2331" spans="1:104">
      <c r="A2331" s="149"/>
      <c r="B2331" s="149"/>
      <c r="C2331" s="150"/>
      <c r="D2331" s="102"/>
      <c r="E2331" s="149"/>
      <c r="F2331" s="149"/>
      <c r="G2331" s="149"/>
      <c r="H2331" s="149"/>
      <c r="I2331" s="149"/>
      <c r="J2331" s="149"/>
      <c r="K2331" s="149"/>
      <c r="L2331" s="149"/>
      <c r="M2331" s="149"/>
      <c r="N2331" s="149"/>
      <c r="O2331" s="149"/>
      <c r="P2331" s="149"/>
      <c r="Q2331" s="149"/>
      <c r="R2331" s="149"/>
      <c r="S2331" s="149"/>
      <c r="T2331" s="149"/>
      <c r="U2331" s="149"/>
      <c r="V2331" s="149"/>
      <c r="W2331" s="149"/>
      <c r="X2331" s="149"/>
      <c r="Y2331" s="149"/>
      <c r="Z2331" s="149"/>
      <c r="AA2331" s="149"/>
      <c r="AB2331" s="149"/>
      <c r="AC2331" s="149"/>
      <c r="AD2331" s="149"/>
      <c r="AE2331" s="149"/>
      <c r="AF2331" s="149"/>
      <c r="AG2331" s="149"/>
      <c r="AH2331" s="149"/>
      <c r="AI2331" s="149"/>
      <c r="AJ2331" s="149"/>
      <c r="AK2331" s="149"/>
      <c r="AL2331" s="149"/>
      <c r="AM2331" s="149"/>
      <c r="AN2331" s="149"/>
      <c r="AO2331" s="128"/>
      <c r="AP2331" s="128"/>
      <c r="AQ2331" s="128"/>
      <c r="AR2331" s="128"/>
      <c r="AS2331" s="128"/>
      <c r="AT2331" s="128"/>
      <c r="AU2331" s="128"/>
      <c r="AV2331" s="128"/>
      <c r="AW2331" s="128"/>
      <c r="AX2331" s="128"/>
      <c r="AY2331" s="128"/>
      <c r="AZ2331" s="128"/>
      <c r="BA2331" s="128"/>
      <c r="BB2331" s="128"/>
      <c r="BC2331" s="128"/>
      <c r="BD2331" s="128"/>
      <c r="BE2331" s="128"/>
      <c r="BF2331" s="128"/>
      <c r="BG2331" s="128"/>
      <c r="BH2331" s="128"/>
      <c r="BI2331" s="128"/>
      <c r="BJ2331" s="128"/>
      <c r="BK2331" s="128"/>
      <c r="BL2331" s="128"/>
      <c r="BM2331" s="151"/>
      <c r="BN2331" s="128"/>
      <c r="BO2331" s="128"/>
      <c r="BP2331" s="128"/>
      <c r="BQ2331" s="128"/>
      <c r="BR2331" s="128"/>
      <c r="BS2331" s="128"/>
      <c r="BT2331" s="128"/>
      <c r="BU2331" s="128"/>
      <c r="BV2331" s="128"/>
      <c r="BW2331" s="128"/>
      <c r="BX2331" s="128"/>
      <c r="BY2331" s="128"/>
      <c r="BZ2331" s="128"/>
      <c r="CA2331" s="128"/>
      <c r="CB2331" s="128"/>
      <c r="CC2331" s="128"/>
      <c r="CD2331" s="128"/>
      <c r="CE2331" s="128"/>
      <c r="CF2331" s="128"/>
      <c r="CG2331" s="128"/>
      <c r="CI2331" s="128"/>
      <c r="CJ2331" s="128"/>
      <c r="CK2331" s="128"/>
      <c r="CL2331" s="128"/>
      <c r="CM2331" s="128"/>
      <c r="CN2331" s="128"/>
      <c r="CO2331" s="128"/>
      <c r="CP2331" s="128"/>
      <c r="CQ2331" s="128"/>
      <c r="CR2331" s="128"/>
      <c r="CS2331" s="128"/>
      <c r="CT2331" s="128"/>
      <c r="CU2331" s="128"/>
      <c r="CV2331" s="128"/>
      <c r="CW2331" s="128"/>
      <c r="CX2331" s="128"/>
      <c r="CY2331" s="128"/>
      <c r="CZ2331" s="165"/>
    </row>
    <row r="2332" spans="1:104">
      <c r="A2332" s="149"/>
      <c r="B2332" s="149"/>
      <c r="C2332" s="150"/>
      <c r="D2332" s="102"/>
      <c r="E2332" s="149"/>
      <c r="F2332" s="149"/>
      <c r="G2332" s="149"/>
      <c r="H2332" s="149"/>
      <c r="I2332" s="149"/>
      <c r="J2332" s="149"/>
      <c r="K2332" s="149"/>
      <c r="L2332" s="149"/>
      <c r="M2332" s="149"/>
      <c r="N2332" s="149"/>
      <c r="O2332" s="149"/>
      <c r="P2332" s="149"/>
      <c r="Q2332" s="149"/>
      <c r="R2332" s="149"/>
      <c r="S2332" s="149"/>
      <c r="T2332" s="149"/>
      <c r="U2332" s="149"/>
      <c r="V2332" s="149"/>
      <c r="W2332" s="149"/>
      <c r="X2332" s="149"/>
      <c r="Y2332" s="149"/>
      <c r="Z2332" s="149"/>
      <c r="AA2332" s="149"/>
      <c r="AB2332" s="149"/>
      <c r="AC2332" s="149"/>
      <c r="AD2332" s="149"/>
      <c r="AE2332" s="149"/>
      <c r="AF2332" s="149"/>
      <c r="AG2332" s="149"/>
      <c r="AH2332" s="149"/>
      <c r="AI2332" s="149"/>
      <c r="AJ2332" s="149"/>
      <c r="AK2332" s="149"/>
      <c r="AL2332" s="149"/>
      <c r="AM2332" s="149"/>
      <c r="AN2332" s="149"/>
      <c r="AO2332" s="128"/>
      <c r="AP2332" s="128"/>
      <c r="AQ2332" s="128"/>
      <c r="AR2332" s="128"/>
      <c r="AS2332" s="128"/>
      <c r="AT2332" s="128"/>
      <c r="AU2332" s="128"/>
      <c r="AV2332" s="128"/>
      <c r="AW2332" s="128"/>
      <c r="AX2332" s="128"/>
      <c r="AY2332" s="128"/>
      <c r="AZ2332" s="128"/>
      <c r="BA2332" s="128"/>
      <c r="BB2332" s="128"/>
      <c r="BC2332" s="128"/>
      <c r="BD2332" s="128"/>
      <c r="BE2332" s="128"/>
      <c r="BF2332" s="128"/>
      <c r="BG2332" s="128"/>
      <c r="BH2332" s="128"/>
      <c r="BI2332" s="128"/>
      <c r="BJ2332" s="128"/>
      <c r="BK2332" s="128"/>
      <c r="BL2332" s="128"/>
      <c r="BM2332" s="151"/>
      <c r="BN2332" s="128"/>
      <c r="BO2332" s="128"/>
      <c r="BP2332" s="128"/>
      <c r="BQ2332" s="128"/>
      <c r="BR2332" s="128"/>
      <c r="BS2332" s="128"/>
      <c r="BT2332" s="128"/>
      <c r="BU2332" s="128"/>
      <c r="BV2332" s="128"/>
      <c r="BW2332" s="128"/>
      <c r="BX2332" s="128"/>
      <c r="BY2332" s="128"/>
      <c r="BZ2332" s="128"/>
      <c r="CA2332" s="128"/>
      <c r="CB2332" s="128"/>
      <c r="CC2332" s="128"/>
      <c r="CD2332" s="128"/>
      <c r="CE2332" s="128"/>
      <c r="CF2332" s="128"/>
      <c r="CG2332" s="128"/>
      <c r="CI2332" s="128"/>
      <c r="CJ2332" s="128"/>
      <c r="CK2332" s="128"/>
      <c r="CL2332" s="128"/>
      <c r="CM2332" s="128"/>
      <c r="CN2332" s="128"/>
      <c r="CO2332" s="128"/>
      <c r="CP2332" s="128"/>
      <c r="CQ2332" s="128"/>
      <c r="CR2332" s="128"/>
      <c r="CS2332" s="128"/>
      <c r="CT2332" s="128"/>
      <c r="CU2332" s="128"/>
      <c r="CV2332" s="128"/>
      <c r="CW2332" s="128"/>
      <c r="CX2332" s="128"/>
      <c r="CY2332" s="128"/>
      <c r="CZ2332" s="165"/>
    </row>
    <row r="2333" spans="1:104">
      <c r="A2333" s="149"/>
      <c r="B2333" s="149"/>
      <c r="C2333" s="150"/>
      <c r="D2333" s="102"/>
      <c r="E2333" s="149"/>
      <c r="F2333" s="149"/>
      <c r="G2333" s="149"/>
      <c r="H2333" s="149"/>
      <c r="I2333" s="149"/>
      <c r="J2333" s="149"/>
      <c r="K2333" s="149"/>
      <c r="L2333" s="149"/>
      <c r="M2333" s="149"/>
      <c r="N2333" s="149"/>
      <c r="O2333" s="149"/>
      <c r="P2333" s="149"/>
      <c r="Q2333" s="149"/>
      <c r="R2333" s="149"/>
      <c r="S2333" s="149"/>
      <c r="T2333" s="149"/>
      <c r="U2333" s="149"/>
      <c r="V2333" s="149"/>
      <c r="W2333" s="149"/>
      <c r="X2333" s="149"/>
      <c r="Y2333" s="149"/>
      <c r="Z2333" s="149"/>
      <c r="AA2333" s="149"/>
      <c r="AB2333" s="149"/>
      <c r="AC2333" s="149"/>
      <c r="AD2333" s="149"/>
      <c r="AE2333" s="149"/>
      <c r="AF2333" s="149"/>
      <c r="AG2333" s="149"/>
      <c r="AH2333" s="149"/>
      <c r="AI2333" s="149"/>
      <c r="AJ2333" s="149"/>
      <c r="AK2333" s="149"/>
      <c r="AL2333" s="149"/>
      <c r="AM2333" s="149"/>
      <c r="AN2333" s="149"/>
      <c r="AO2333" s="128"/>
      <c r="AP2333" s="128"/>
      <c r="AQ2333" s="128"/>
      <c r="AR2333" s="128"/>
      <c r="AS2333" s="128"/>
      <c r="AT2333" s="128"/>
      <c r="AU2333" s="128"/>
      <c r="AV2333" s="128"/>
      <c r="AW2333" s="128"/>
      <c r="AX2333" s="128"/>
      <c r="AY2333" s="128"/>
      <c r="AZ2333" s="128"/>
      <c r="BA2333" s="128"/>
      <c r="BB2333" s="128"/>
      <c r="BC2333" s="128"/>
      <c r="BD2333" s="128"/>
      <c r="BE2333" s="128"/>
      <c r="BF2333" s="128"/>
      <c r="BG2333" s="128"/>
      <c r="BH2333" s="128"/>
      <c r="BI2333" s="128"/>
      <c r="BJ2333" s="128"/>
      <c r="BK2333" s="128"/>
      <c r="BL2333" s="128"/>
      <c r="BM2333" s="151"/>
      <c r="BN2333" s="128"/>
      <c r="BO2333" s="128"/>
      <c r="BP2333" s="128"/>
      <c r="BQ2333" s="128"/>
      <c r="BR2333" s="128"/>
      <c r="BS2333" s="128"/>
      <c r="BT2333" s="128"/>
      <c r="BU2333" s="128"/>
      <c r="BV2333" s="128"/>
      <c r="BW2333" s="128"/>
      <c r="BX2333" s="128"/>
      <c r="BY2333" s="128"/>
      <c r="BZ2333" s="128"/>
      <c r="CA2333" s="128"/>
      <c r="CB2333" s="128"/>
      <c r="CC2333" s="128"/>
      <c r="CD2333" s="128"/>
      <c r="CE2333" s="128"/>
      <c r="CF2333" s="128"/>
      <c r="CG2333" s="128"/>
      <c r="CI2333" s="128"/>
      <c r="CJ2333" s="128"/>
      <c r="CK2333" s="128"/>
      <c r="CL2333" s="128"/>
      <c r="CM2333" s="128"/>
      <c r="CN2333" s="128"/>
      <c r="CO2333" s="128"/>
      <c r="CP2333" s="128"/>
      <c r="CQ2333" s="128"/>
      <c r="CR2333" s="128"/>
      <c r="CS2333" s="128"/>
      <c r="CT2333" s="128"/>
      <c r="CU2333" s="128"/>
      <c r="CV2333" s="128"/>
      <c r="CW2333" s="128"/>
      <c r="CX2333" s="128"/>
      <c r="CY2333" s="128"/>
      <c r="CZ2333" s="165"/>
    </row>
    <row r="2334" spans="1:104">
      <c r="A2334" s="149"/>
      <c r="B2334" s="149"/>
      <c r="C2334" s="150"/>
      <c r="D2334" s="102"/>
      <c r="E2334" s="149"/>
      <c r="F2334" s="149"/>
      <c r="G2334" s="149"/>
      <c r="H2334" s="149"/>
      <c r="I2334" s="149"/>
      <c r="J2334" s="149"/>
      <c r="K2334" s="149"/>
      <c r="L2334" s="149"/>
      <c r="M2334" s="149"/>
      <c r="N2334" s="149"/>
      <c r="O2334" s="149"/>
      <c r="P2334" s="149"/>
      <c r="Q2334" s="149"/>
      <c r="R2334" s="149"/>
      <c r="S2334" s="149"/>
      <c r="T2334" s="149"/>
      <c r="U2334" s="149"/>
      <c r="V2334" s="149"/>
      <c r="W2334" s="149"/>
      <c r="X2334" s="149"/>
      <c r="Y2334" s="149"/>
      <c r="Z2334" s="149"/>
      <c r="AA2334" s="149"/>
      <c r="AB2334" s="149"/>
      <c r="AC2334" s="149"/>
      <c r="AD2334" s="149"/>
      <c r="AE2334" s="149"/>
      <c r="AF2334" s="149"/>
      <c r="AG2334" s="149"/>
      <c r="AH2334" s="149"/>
      <c r="AI2334" s="149"/>
      <c r="AJ2334" s="149"/>
      <c r="AK2334" s="149"/>
      <c r="AL2334" s="149"/>
      <c r="AM2334" s="149"/>
      <c r="AN2334" s="149"/>
      <c r="AO2334" s="128"/>
      <c r="AP2334" s="128"/>
      <c r="AQ2334" s="128"/>
      <c r="AR2334" s="128"/>
      <c r="AS2334" s="128"/>
      <c r="AT2334" s="128"/>
      <c r="AU2334" s="128"/>
      <c r="AV2334" s="128"/>
      <c r="AW2334" s="128"/>
      <c r="AX2334" s="128"/>
      <c r="AY2334" s="128"/>
      <c r="AZ2334" s="128"/>
      <c r="BA2334" s="128"/>
      <c r="BB2334" s="128"/>
      <c r="BC2334" s="128"/>
      <c r="BD2334" s="128"/>
      <c r="BE2334" s="128"/>
      <c r="BF2334" s="128"/>
      <c r="BG2334" s="128"/>
      <c r="BH2334" s="128"/>
      <c r="BI2334" s="128"/>
      <c r="BJ2334" s="128"/>
      <c r="BK2334" s="128"/>
      <c r="BL2334" s="128"/>
      <c r="BM2334" s="151"/>
      <c r="BN2334" s="128"/>
      <c r="BO2334" s="128"/>
      <c r="BP2334" s="128"/>
      <c r="BQ2334" s="128"/>
      <c r="BR2334" s="128"/>
      <c r="BS2334" s="128"/>
      <c r="BT2334" s="128"/>
      <c r="BU2334" s="128"/>
      <c r="BV2334" s="128"/>
      <c r="BW2334" s="128"/>
      <c r="BX2334" s="128"/>
      <c r="BY2334" s="128"/>
      <c r="BZ2334" s="128"/>
      <c r="CA2334" s="128"/>
      <c r="CB2334" s="128"/>
      <c r="CC2334" s="128"/>
      <c r="CD2334" s="128"/>
      <c r="CE2334" s="128"/>
      <c r="CF2334" s="128"/>
      <c r="CG2334" s="128"/>
      <c r="CI2334" s="128"/>
      <c r="CJ2334" s="128"/>
      <c r="CK2334" s="128"/>
      <c r="CL2334" s="128"/>
      <c r="CM2334" s="128"/>
      <c r="CN2334" s="128"/>
      <c r="CO2334" s="128"/>
      <c r="CP2334" s="128"/>
      <c r="CQ2334" s="128"/>
      <c r="CR2334" s="128"/>
      <c r="CS2334" s="128"/>
      <c r="CT2334" s="128"/>
      <c r="CU2334" s="128"/>
      <c r="CV2334" s="128"/>
      <c r="CW2334" s="128"/>
      <c r="CX2334" s="128"/>
      <c r="CY2334" s="128"/>
      <c r="CZ2334" s="165"/>
    </row>
    <row r="2335" spans="1:104">
      <c r="A2335" s="149"/>
      <c r="B2335" s="149"/>
      <c r="C2335" s="150"/>
      <c r="D2335" s="102"/>
      <c r="E2335" s="149"/>
      <c r="F2335" s="149"/>
      <c r="G2335" s="149"/>
      <c r="H2335" s="149"/>
      <c r="I2335" s="149"/>
      <c r="J2335" s="149"/>
      <c r="K2335" s="149"/>
      <c r="L2335" s="149"/>
      <c r="M2335" s="149"/>
      <c r="N2335" s="149"/>
      <c r="O2335" s="149"/>
      <c r="P2335" s="149"/>
      <c r="Q2335" s="149"/>
      <c r="R2335" s="149"/>
      <c r="S2335" s="149"/>
      <c r="T2335" s="149"/>
      <c r="U2335" s="149"/>
      <c r="V2335" s="149"/>
      <c r="W2335" s="149"/>
      <c r="X2335" s="149"/>
      <c r="Y2335" s="149"/>
      <c r="Z2335" s="149"/>
      <c r="AA2335" s="149"/>
      <c r="AB2335" s="149"/>
      <c r="AC2335" s="149"/>
      <c r="AD2335" s="149"/>
      <c r="AE2335" s="149"/>
      <c r="AF2335" s="149"/>
      <c r="AG2335" s="149"/>
      <c r="AH2335" s="149"/>
      <c r="AI2335" s="149"/>
      <c r="AJ2335" s="149"/>
      <c r="AK2335" s="149"/>
      <c r="AL2335" s="149"/>
      <c r="AM2335" s="149"/>
      <c r="AN2335" s="149"/>
      <c r="AO2335" s="128"/>
      <c r="AP2335" s="128"/>
      <c r="AQ2335" s="128"/>
      <c r="AR2335" s="128"/>
      <c r="AS2335" s="128"/>
      <c r="AT2335" s="128"/>
      <c r="AU2335" s="128"/>
      <c r="AV2335" s="128"/>
      <c r="AW2335" s="128"/>
      <c r="AX2335" s="128"/>
      <c r="AY2335" s="128"/>
      <c r="AZ2335" s="128"/>
      <c r="BA2335" s="128"/>
      <c r="BB2335" s="128"/>
      <c r="BC2335" s="128"/>
      <c r="BD2335" s="128"/>
      <c r="BE2335" s="128"/>
      <c r="BF2335" s="128"/>
      <c r="BG2335" s="128"/>
      <c r="BH2335" s="128"/>
      <c r="BI2335" s="128"/>
      <c r="BJ2335" s="128"/>
      <c r="BK2335" s="128"/>
      <c r="BL2335" s="128"/>
      <c r="BM2335" s="151"/>
      <c r="BN2335" s="128"/>
      <c r="BO2335" s="128"/>
      <c r="BP2335" s="128"/>
      <c r="BQ2335" s="128"/>
      <c r="BR2335" s="128"/>
      <c r="BS2335" s="128"/>
      <c r="BT2335" s="128"/>
      <c r="BU2335" s="128"/>
      <c r="BV2335" s="128"/>
      <c r="BW2335" s="128"/>
      <c r="BX2335" s="128"/>
      <c r="BY2335" s="128"/>
      <c r="BZ2335" s="128"/>
      <c r="CA2335" s="128"/>
      <c r="CB2335" s="128"/>
      <c r="CC2335" s="128"/>
      <c r="CD2335" s="128"/>
      <c r="CE2335" s="128"/>
      <c r="CF2335" s="128"/>
      <c r="CG2335" s="128"/>
      <c r="CI2335" s="128"/>
      <c r="CJ2335" s="128"/>
      <c r="CK2335" s="128"/>
      <c r="CL2335" s="128"/>
      <c r="CM2335" s="128"/>
      <c r="CN2335" s="128"/>
      <c r="CO2335" s="128"/>
      <c r="CP2335" s="128"/>
      <c r="CQ2335" s="128"/>
      <c r="CR2335" s="128"/>
      <c r="CS2335" s="128"/>
      <c r="CT2335" s="128"/>
      <c r="CU2335" s="128"/>
      <c r="CV2335" s="128"/>
      <c r="CW2335" s="128"/>
      <c r="CX2335" s="128"/>
      <c r="CY2335" s="128"/>
      <c r="CZ2335" s="165"/>
    </row>
    <row r="2336" spans="1:104">
      <c r="A2336" s="149"/>
      <c r="B2336" s="149"/>
      <c r="C2336" s="150"/>
      <c r="D2336" s="102"/>
      <c r="E2336" s="149"/>
      <c r="F2336" s="149"/>
      <c r="G2336" s="149"/>
      <c r="H2336" s="149"/>
      <c r="I2336" s="149"/>
      <c r="J2336" s="149"/>
      <c r="K2336" s="149"/>
      <c r="L2336" s="149"/>
      <c r="M2336" s="149"/>
      <c r="N2336" s="149"/>
      <c r="O2336" s="149"/>
      <c r="P2336" s="149"/>
      <c r="Q2336" s="149"/>
      <c r="R2336" s="149"/>
      <c r="S2336" s="149"/>
      <c r="T2336" s="149"/>
      <c r="U2336" s="149"/>
      <c r="V2336" s="149"/>
      <c r="W2336" s="149"/>
      <c r="X2336" s="149"/>
      <c r="Y2336" s="149"/>
      <c r="Z2336" s="149"/>
      <c r="AA2336" s="149"/>
      <c r="AB2336" s="149"/>
      <c r="AC2336" s="149"/>
      <c r="AD2336" s="149"/>
      <c r="AE2336" s="149"/>
      <c r="AF2336" s="149"/>
      <c r="AG2336" s="149"/>
      <c r="AH2336" s="149"/>
      <c r="AI2336" s="149"/>
      <c r="AJ2336" s="149"/>
      <c r="AK2336" s="149"/>
      <c r="AL2336" s="149"/>
      <c r="AM2336" s="149"/>
      <c r="AN2336" s="149"/>
      <c r="AO2336" s="128"/>
      <c r="AP2336" s="128"/>
      <c r="AQ2336" s="128"/>
      <c r="AR2336" s="128"/>
      <c r="AS2336" s="128"/>
      <c r="AT2336" s="128"/>
      <c r="AU2336" s="128"/>
      <c r="AV2336" s="128"/>
      <c r="AW2336" s="128"/>
      <c r="AX2336" s="128"/>
      <c r="AY2336" s="128"/>
      <c r="AZ2336" s="128"/>
      <c r="BA2336" s="128"/>
      <c r="BB2336" s="128"/>
      <c r="BC2336" s="128"/>
      <c r="BD2336" s="128"/>
      <c r="BE2336" s="128"/>
      <c r="BF2336" s="128"/>
      <c r="BG2336" s="128"/>
      <c r="BH2336" s="128"/>
      <c r="BI2336" s="128"/>
      <c r="BJ2336" s="128"/>
      <c r="BK2336" s="128"/>
      <c r="BL2336" s="128"/>
      <c r="BM2336" s="151"/>
      <c r="BN2336" s="128"/>
      <c r="BO2336" s="128"/>
      <c r="BP2336" s="128"/>
      <c r="BQ2336" s="128"/>
      <c r="BR2336" s="128"/>
      <c r="BS2336" s="128"/>
      <c r="BT2336" s="128"/>
      <c r="BU2336" s="128"/>
      <c r="BV2336" s="128"/>
      <c r="BW2336" s="128"/>
      <c r="BX2336" s="128"/>
      <c r="BY2336" s="128"/>
      <c r="BZ2336" s="128"/>
      <c r="CA2336" s="128"/>
      <c r="CB2336" s="128"/>
      <c r="CC2336" s="128"/>
      <c r="CD2336" s="128"/>
      <c r="CE2336" s="128"/>
      <c r="CF2336" s="128"/>
      <c r="CG2336" s="128"/>
      <c r="CI2336" s="128"/>
      <c r="CJ2336" s="128"/>
      <c r="CK2336" s="128"/>
      <c r="CL2336" s="128"/>
      <c r="CM2336" s="128"/>
      <c r="CN2336" s="128"/>
      <c r="CO2336" s="128"/>
      <c r="CP2336" s="128"/>
      <c r="CQ2336" s="128"/>
      <c r="CR2336" s="128"/>
      <c r="CS2336" s="128"/>
      <c r="CT2336" s="128"/>
      <c r="CU2336" s="128"/>
      <c r="CV2336" s="128"/>
      <c r="CW2336" s="128"/>
      <c r="CX2336" s="128"/>
      <c r="CY2336" s="128"/>
      <c r="CZ2336" s="165"/>
    </row>
    <row r="2337" spans="1:104">
      <c r="A2337" s="149"/>
      <c r="B2337" s="149"/>
      <c r="C2337" s="150"/>
      <c r="D2337" s="102"/>
      <c r="E2337" s="149"/>
      <c r="F2337" s="149"/>
      <c r="G2337" s="149"/>
      <c r="H2337" s="149"/>
      <c r="I2337" s="149"/>
      <c r="J2337" s="149"/>
      <c r="K2337" s="149"/>
      <c r="L2337" s="149"/>
      <c r="M2337" s="149"/>
      <c r="N2337" s="149"/>
      <c r="O2337" s="149"/>
      <c r="P2337" s="149"/>
      <c r="Q2337" s="149"/>
      <c r="R2337" s="149"/>
      <c r="S2337" s="149"/>
      <c r="T2337" s="149"/>
      <c r="U2337" s="149"/>
      <c r="V2337" s="149"/>
      <c r="W2337" s="149"/>
      <c r="X2337" s="149"/>
      <c r="Y2337" s="149"/>
      <c r="Z2337" s="149"/>
      <c r="AA2337" s="149"/>
      <c r="AB2337" s="149"/>
      <c r="AC2337" s="149"/>
      <c r="AD2337" s="149"/>
      <c r="AE2337" s="149"/>
      <c r="AF2337" s="149"/>
      <c r="AG2337" s="149"/>
      <c r="AH2337" s="149"/>
      <c r="AI2337" s="149"/>
      <c r="AJ2337" s="149"/>
      <c r="AK2337" s="149"/>
      <c r="AL2337" s="149"/>
      <c r="AM2337" s="149"/>
      <c r="AN2337" s="149"/>
      <c r="AO2337" s="128"/>
      <c r="AP2337" s="128"/>
      <c r="AQ2337" s="128"/>
      <c r="AR2337" s="128"/>
      <c r="AS2337" s="128"/>
      <c r="AT2337" s="128"/>
      <c r="AU2337" s="128"/>
      <c r="AV2337" s="128"/>
      <c r="AW2337" s="128"/>
      <c r="AX2337" s="128"/>
      <c r="AY2337" s="128"/>
      <c r="AZ2337" s="128"/>
      <c r="BA2337" s="128"/>
      <c r="BB2337" s="128"/>
      <c r="BC2337" s="128"/>
      <c r="BD2337" s="128"/>
      <c r="BE2337" s="128"/>
      <c r="BF2337" s="128"/>
      <c r="BG2337" s="128"/>
      <c r="BH2337" s="128"/>
      <c r="BI2337" s="128"/>
      <c r="BJ2337" s="128"/>
      <c r="BK2337" s="128"/>
      <c r="BL2337" s="128"/>
      <c r="BM2337" s="151"/>
      <c r="BN2337" s="128"/>
      <c r="BO2337" s="128"/>
      <c r="BP2337" s="128"/>
      <c r="BQ2337" s="128"/>
      <c r="BR2337" s="128"/>
      <c r="BS2337" s="128"/>
      <c r="BT2337" s="128"/>
      <c r="BU2337" s="128"/>
      <c r="BV2337" s="128"/>
      <c r="BW2337" s="128"/>
      <c r="BX2337" s="128"/>
      <c r="BY2337" s="128"/>
      <c r="BZ2337" s="128"/>
      <c r="CA2337" s="128"/>
      <c r="CB2337" s="128"/>
      <c r="CC2337" s="128"/>
      <c r="CD2337" s="128"/>
      <c r="CE2337" s="128"/>
      <c r="CF2337" s="128"/>
      <c r="CG2337" s="128"/>
      <c r="CI2337" s="128"/>
      <c r="CJ2337" s="128"/>
      <c r="CK2337" s="128"/>
      <c r="CL2337" s="128"/>
      <c r="CM2337" s="128"/>
      <c r="CN2337" s="128"/>
      <c r="CO2337" s="128"/>
      <c r="CP2337" s="128"/>
      <c r="CQ2337" s="128"/>
      <c r="CR2337" s="128"/>
      <c r="CS2337" s="128"/>
      <c r="CT2337" s="128"/>
      <c r="CU2337" s="128"/>
      <c r="CV2337" s="128"/>
      <c r="CW2337" s="128"/>
      <c r="CX2337" s="128"/>
      <c r="CY2337" s="128"/>
      <c r="CZ2337" s="165"/>
    </row>
    <row r="2338" spans="1:104">
      <c r="A2338" s="149"/>
      <c r="B2338" s="149"/>
      <c r="C2338" s="150"/>
      <c r="D2338" s="102"/>
      <c r="E2338" s="149"/>
      <c r="F2338" s="149"/>
      <c r="G2338" s="149"/>
      <c r="H2338" s="149"/>
      <c r="I2338" s="149"/>
      <c r="J2338" s="149"/>
      <c r="K2338" s="149"/>
      <c r="L2338" s="149"/>
      <c r="M2338" s="149"/>
      <c r="N2338" s="149"/>
      <c r="O2338" s="149"/>
      <c r="P2338" s="149"/>
      <c r="Q2338" s="149"/>
      <c r="R2338" s="149"/>
      <c r="S2338" s="149"/>
      <c r="T2338" s="149"/>
      <c r="U2338" s="149"/>
      <c r="V2338" s="149"/>
      <c r="W2338" s="149"/>
      <c r="X2338" s="149"/>
      <c r="Y2338" s="149"/>
      <c r="Z2338" s="149"/>
      <c r="AA2338" s="149"/>
      <c r="AB2338" s="149"/>
      <c r="AC2338" s="149"/>
      <c r="AD2338" s="149"/>
      <c r="AE2338" s="149"/>
      <c r="AF2338" s="149"/>
      <c r="AG2338" s="149"/>
      <c r="AH2338" s="149"/>
      <c r="AI2338" s="149"/>
      <c r="AJ2338" s="149"/>
      <c r="AK2338" s="149"/>
      <c r="AL2338" s="149"/>
      <c r="AM2338" s="149"/>
      <c r="AN2338" s="149"/>
      <c r="AO2338" s="128"/>
      <c r="AP2338" s="128"/>
      <c r="AQ2338" s="128"/>
      <c r="AR2338" s="128"/>
      <c r="AS2338" s="128"/>
      <c r="AT2338" s="128"/>
      <c r="AU2338" s="128"/>
      <c r="AV2338" s="128"/>
      <c r="AW2338" s="128"/>
      <c r="AX2338" s="128"/>
      <c r="AY2338" s="128"/>
      <c r="AZ2338" s="128"/>
      <c r="BA2338" s="128"/>
      <c r="BB2338" s="128"/>
      <c r="BC2338" s="128"/>
      <c r="BD2338" s="128"/>
      <c r="BE2338" s="128"/>
      <c r="BF2338" s="128"/>
      <c r="BG2338" s="128"/>
      <c r="BH2338" s="128"/>
      <c r="BI2338" s="128"/>
      <c r="BJ2338" s="128"/>
      <c r="BK2338" s="128"/>
      <c r="BL2338" s="128"/>
      <c r="BM2338" s="151"/>
      <c r="BN2338" s="128"/>
      <c r="BO2338" s="128"/>
      <c r="BP2338" s="128"/>
      <c r="BQ2338" s="128"/>
      <c r="BR2338" s="128"/>
      <c r="BS2338" s="128"/>
      <c r="BT2338" s="128"/>
      <c r="BU2338" s="128"/>
      <c r="BV2338" s="128"/>
      <c r="BW2338" s="128"/>
      <c r="BX2338" s="128"/>
      <c r="BY2338" s="128"/>
      <c r="BZ2338" s="128"/>
      <c r="CA2338" s="128"/>
      <c r="CB2338" s="128"/>
      <c r="CC2338" s="128"/>
      <c r="CD2338" s="128"/>
      <c r="CE2338" s="128"/>
      <c r="CF2338" s="128"/>
      <c r="CG2338" s="128"/>
      <c r="CI2338" s="128"/>
      <c r="CJ2338" s="128"/>
      <c r="CK2338" s="128"/>
      <c r="CL2338" s="128"/>
      <c r="CM2338" s="128"/>
      <c r="CN2338" s="128"/>
      <c r="CO2338" s="128"/>
      <c r="CP2338" s="128"/>
      <c r="CQ2338" s="128"/>
      <c r="CR2338" s="128"/>
      <c r="CS2338" s="128"/>
      <c r="CT2338" s="128"/>
      <c r="CU2338" s="128"/>
      <c r="CV2338" s="128"/>
      <c r="CW2338" s="128"/>
      <c r="CX2338" s="128"/>
      <c r="CY2338" s="128"/>
      <c r="CZ2338" s="165"/>
    </row>
    <row r="2339" spans="1:104">
      <c r="A2339" s="149"/>
      <c r="B2339" s="149"/>
      <c r="C2339" s="150"/>
      <c r="D2339" s="102"/>
      <c r="E2339" s="149"/>
      <c r="F2339" s="149"/>
      <c r="G2339" s="149"/>
      <c r="H2339" s="149"/>
      <c r="I2339" s="149"/>
      <c r="J2339" s="149"/>
      <c r="K2339" s="149"/>
      <c r="L2339" s="149"/>
      <c r="M2339" s="149"/>
      <c r="N2339" s="149"/>
      <c r="O2339" s="149"/>
      <c r="P2339" s="149"/>
      <c r="Q2339" s="149"/>
      <c r="R2339" s="149"/>
      <c r="S2339" s="149"/>
      <c r="T2339" s="149"/>
      <c r="U2339" s="149"/>
      <c r="V2339" s="149"/>
      <c r="W2339" s="149"/>
      <c r="X2339" s="149"/>
      <c r="Y2339" s="149"/>
      <c r="Z2339" s="149"/>
      <c r="AA2339" s="149"/>
      <c r="AB2339" s="149"/>
      <c r="AC2339" s="149"/>
      <c r="AD2339" s="149"/>
      <c r="AE2339" s="149"/>
      <c r="AF2339" s="149"/>
      <c r="AG2339" s="149"/>
      <c r="AH2339" s="149"/>
      <c r="AI2339" s="149"/>
      <c r="AJ2339" s="149"/>
      <c r="AK2339" s="149"/>
      <c r="AL2339" s="149"/>
      <c r="AM2339" s="149"/>
      <c r="AN2339" s="149"/>
      <c r="AO2339" s="128"/>
      <c r="AP2339" s="128"/>
      <c r="AQ2339" s="128"/>
      <c r="AR2339" s="128"/>
      <c r="AS2339" s="128"/>
      <c r="AT2339" s="128"/>
      <c r="AU2339" s="128"/>
      <c r="AV2339" s="128"/>
      <c r="AW2339" s="128"/>
      <c r="AX2339" s="128"/>
      <c r="AY2339" s="128"/>
      <c r="AZ2339" s="128"/>
      <c r="BA2339" s="128"/>
      <c r="BB2339" s="128"/>
      <c r="BC2339" s="128"/>
      <c r="BD2339" s="128"/>
      <c r="BE2339" s="128"/>
      <c r="BF2339" s="128"/>
      <c r="BG2339" s="128"/>
      <c r="BH2339" s="128"/>
      <c r="BI2339" s="128"/>
      <c r="BJ2339" s="128"/>
      <c r="BK2339" s="128"/>
      <c r="BL2339" s="128"/>
      <c r="BM2339" s="151"/>
      <c r="BN2339" s="128"/>
      <c r="BO2339" s="128"/>
      <c r="BP2339" s="128"/>
      <c r="BQ2339" s="128"/>
      <c r="BR2339" s="128"/>
      <c r="BS2339" s="128"/>
      <c r="BT2339" s="128"/>
      <c r="BU2339" s="128"/>
      <c r="BV2339" s="128"/>
      <c r="BW2339" s="128"/>
      <c r="BX2339" s="128"/>
      <c r="BY2339" s="128"/>
      <c r="BZ2339" s="128"/>
      <c r="CA2339" s="128"/>
      <c r="CB2339" s="128"/>
      <c r="CC2339" s="128"/>
      <c r="CD2339" s="128"/>
      <c r="CE2339" s="128"/>
      <c r="CF2339" s="128"/>
      <c r="CG2339" s="128"/>
      <c r="CI2339" s="128"/>
      <c r="CJ2339" s="128"/>
      <c r="CK2339" s="128"/>
      <c r="CL2339" s="128"/>
      <c r="CM2339" s="128"/>
      <c r="CN2339" s="128"/>
      <c r="CO2339" s="128"/>
      <c r="CP2339" s="128"/>
      <c r="CQ2339" s="128"/>
      <c r="CR2339" s="128"/>
      <c r="CS2339" s="128"/>
      <c r="CT2339" s="128"/>
      <c r="CU2339" s="128"/>
      <c r="CV2339" s="128"/>
      <c r="CW2339" s="128"/>
      <c r="CX2339" s="128"/>
      <c r="CY2339" s="128"/>
      <c r="CZ2339" s="165"/>
    </row>
    <row r="2340" spans="1:104">
      <c r="A2340" s="149"/>
      <c r="B2340" s="149"/>
      <c r="C2340" s="150"/>
      <c r="D2340" s="102"/>
      <c r="E2340" s="149"/>
      <c r="F2340" s="149"/>
      <c r="G2340" s="149"/>
      <c r="H2340" s="149"/>
      <c r="I2340" s="149"/>
      <c r="J2340" s="149"/>
      <c r="K2340" s="149"/>
      <c r="L2340" s="149"/>
      <c r="M2340" s="149"/>
      <c r="N2340" s="149"/>
      <c r="O2340" s="149"/>
      <c r="P2340" s="149"/>
      <c r="Q2340" s="149"/>
      <c r="R2340" s="149"/>
      <c r="S2340" s="149"/>
      <c r="T2340" s="149"/>
      <c r="U2340" s="149"/>
      <c r="V2340" s="149"/>
      <c r="W2340" s="149"/>
      <c r="X2340" s="149"/>
      <c r="Y2340" s="149"/>
      <c r="Z2340" s="149"/>
      <c r="AA2340" s="149"/>
      <c r="AB2340" s="149"/>
      <c r="AC2340" s="149"/>
      <c r="AD2340" s="149"/>
      <c r="AE2340" s="149"/>
      <c r="AF2340" s="149"/>
      <c r="AG2340" s="149"/>
      <c r="AH2340" s="149"/>
      <c r="AI2340" s="149"/>
      <c r="AJ2340" s="149"/>
      <c r="AK2340" s="149"/>
      <c r="AL2340" s="149"/>
      <c r="AM2340" s="149"/>
      <c r="AN2340" s="149"/>
      <c r="AO2340" s="128"/>
      <c r="AP2340" s="128"/>
      <c r="AQ2340" s="128"/>
      <c r="AR2340" s="128"/>
      <c r="AS2340" s="128"/>
      <c r="AT2340" s="128"/>
      <c r="AU2340" s="128"/>
      <c r="AV2340" s="128"/>
      <c r="AW2340" s="128"/>
      <c r="AX2340" s="128"/>
      <c r="AY2340" s="128"/>
      <c r="AZ2340" s="128"/>
      <c r="BA2340" s="128"/>
      <c r="BB2340" s="128"/>
      <c r="BC2340" s="128"/>
      <c r="BD2340" s="128"/>
      <c r="BE2340" s="128"/>
      <c r="BF2340" s="128"/>
      <c r="BG2340" s="128"/>
      <c r="BH2340" s="128"/>
      <c r="BI2340" s="128"/>
      <c r="BJ2340" s="128"/>
      <c r="BK2340" s="128"/>
      <c r="BL2340" s="128"/>
      <c r="BM2340" s="151"/>
      <c r="BN2340" s="128"/>
      <c r="BO2340" s="128"/>
      <c r="BP2340" s="128"/>
      <c r="BQ2340" s="128"/>
      <c r="BR2340" s="128"/>
      <c r="BS2340" s="128"/>
      <c r="BT2340" s="128"/>
      <c r="BU2340" s="128"/>
      <c r="BV2340" s="128"/>
      <c r="BW2340" s="128"/>
      <c r="BX2340" s="128"/>
      <c r="BY2340" s="128"/>
      <c r="BZ2340" s="128"/>
      <c r="CA2340" s="128"/>
      <c r="CB2340" s="128"/>
      <c r="CC2340" s="128"/>
      <c r="CD2340" s="128"/>
      <c r="CE2340" s="128"/>
      <c r="CF2340" s="128"/>
      <c r="CG2340" s="128"/>
      <c r="CI2340" s="128"/>
      <c r="CJ2340" s="128"/>
      <c r="CK2340" s="128"/>
      <c r="CL2340" s="128"/>
      <c r="CM2340" s="128"/>
      <c r="CN2340" s="128"/>
      <c r="CO2340" s="128"/>
      <c r="CP2340" s="128"/>
      <c r="CQ2340" s="128"/>
      <c r="CR2340" s="128"/>
      <c r="CS2340" s="128"/>
      <c r="CT2340" s="128"/>
      <c r="CU2340" s="128"/>
      <c r="CV2340" s="128"/>
      <c r="CW2340" s="128"/>
      <c r="CX2340" s="128"/>
      <c r="CY2340" s="128"/>
      <c r="CZ2340" s="165"/>
    </row>
    <row r="2341" spans="1:104">
      <c r="A2341" s="149"/>
      <c r="B2341" s="149"/>
      <c r="C2341" s="150"/>
      <c r="D2341" s="102"/>
      <c r="E2341" s="149"/>
      <c r="F2341" s="149"/>
      <c r="G2341" s="149"/>
      <c r="H2341" s="149"/>
      <c r="I2341" s="149"/>
      <c r="J2341" s="149"/>
      <c r="K2341" s="149"/>
      <c r="L2341" s="149"/>
      <c r="M2341" s="149"/>
      <c r="N2341" s="149"/>
      <c r="O2341" s="149"/>
      <c r="P2341" s="149"/>
      <c r="Q2341" s="149"/>
      <c r="R2341" s="149"/>
      <c r="S2341" s="149"/>
      <c r="T2341" s="149"/>
      <c r="U2341" s="149"/>
      <c r="V2341" s="149"/>
      <c r="W2341" s="149"/>
      <c r="X2341" s="149"/>
      <c r="Y2341" s="149"/>
      <c r="Z2341" s="149"/>
      <c r="AA2341" s="149"/>
      <c r="AB2341" s="149"/>
      <c r="AC2341" s="149"/>
      <c r="AD2341" s="149"/>
      <c r="AE2341" s="149"/>
      <c r="AF2341" s="149"/>
      <c r="AG2341" s="149"/>
      <c r="AH2341" s="149"/>
      <c r="AI2341" s="149"/>
      <c r="AJ2341" s="149"/>
      <c r="AK2341" s="149"/>
      <c r="AL2341" s="149"/>
      <c r="AM2341" s="149"/>
      <c r="AN2341" s="149"/>
      <c r="AO2341" s="128"/>
      <c r="AP2341" s="128"/>
      <c r="AQ2341" s="128"/>
      <c r="AR2341" s="128"/>
      <c r="AS2341" s="128"/>
      <c r="AT2341" s="128"/>
      <c r="AU2341" s="128"/>
      <c r="AV2341" s="128"/>
      <c r="AW2341" s="128"/>
      <c r="AX2341" s="128"/>
      <c r="AY2341" s="128"/>
      <c r="AZ2341" s="128"/>
      <c r="BA2341" s="128"/>
      <c r="BB2341" s="128"/>
      <c r="BC2341" s="128"/>
      <c r="BD2341" s="128"/>
      <c r="BE2341" s="128"/>
      <c r="BF2341" s="128"/>
      <c r="BG2341" s="128"/>
      <c r="BH2341" s="128"/>
      <c r="BI2341" s="128"/>
      <c r="BJ2341" s="128"/>
      <c r="BK2341" s="128"/>
      <c r="BL2341" s="128"/>
      <c r="BM2341" s="151"/>
      <c r="BN2341" s="128"/>
      <c r="BO2341" s="128"/>
      <c r="BP2341" s="128"/>
      <c r="BQ2341" s="128"/>
      <c r="BR2341" s="128"/>
      <c r="BS2341" s="128"/>
      <c r="BT2341" s="128"/>
      <c r="BU2341" s="128"/>
      <c r="BV2341" s="128"/>
      <c r="BW2341" s="128"/>
      <c r="BX2341" s="128"/>
      <c r="BY2341" s="128"/>
      <c r="BZ2341" s="128"/>
      <c r="CA2341" s="128"/>
      <c r="CB2341" s="128"/>
      <c r="CC2341" s="128"/>
      <c r="CD2341" s="128"/>
      <c r="CE2341" s="128"/>
      <c r="CF2341" s="128"/>
      <c r="CG2341" s="128"/>
      <c r="CI2341" s="128"/>
      <c r="CJ2341" s="128"/>
      <c r="CK2341" s="128"/>
      <c r="CL2341" s="128"/>
      <c r="CM2341" s="128"/>
      <c r="CN2341" s="128"/>
      <c r="CO2341" s="128"/>
      <c r="CP2341" s="128"/>
      <c r="CQ2341" s="128"/>
      <c r="CR2341" s="128"/>
      <c r="CS2341" s="128"/>
      <c r="CT2341" s="128"/>
      <c r="CU2341" s="128"/>
      <c r="CV2341" s="128"/>
      <c r="CW2341" s="128"/>
      <c r="CX2341" s="128"/>
      <c r="CY2341" s="128"/>
      <c r="CZ2341" s="165"/>
    </row>
    <row r="2342" spans="1:104">
      <c r="A2342" s="149"/>
      <c r="B2342" s="149"/>
      <c r="C2342" s="150"/>
      <c r="D2342" s="102"/>
      <c r="E2342" s="149"/>
      <c r="F2342" s="149"/>
      <c r="G2342" s="149"/>
      <c r="H2342" s="149"/>
      <c r="I2342" s="149"/>
      <c r="J2342" s="149"/>
      <c r="K2342" s="149"/>
      <c r="L2342" s="149"/>
      <c r="M2342" s="149"/>
      <c r="N2342" s="149"/>
      <c r="O2342" s="149"/>
      <c r="P2342" s="149"/>
      <c r="Q2342" s="149"/>
      <c r="R2342" s="149"/>
      <c r="S2342" s="149"/>
      <c r="T2342" s="149"/>
      <c r="U2342" s="149"/>
      <c r="V2342" s="149"/>
      <c r="W2342" s="149"/>
      <c r="X2342" s="149"/>
      <c r="Y2342" s="149"/>
      <c r="Z2342" s="149"/>
      <c r="AA2342" s="149"/>
      <c r="AB2342" s="149"/>
      <c r="AC2342" s="149"/>
      <c r="AD2342" s="149"/>
      <c r="AE2342" s="149"/>
      <c r="AF2342" s="149"/>
      <c r="AG2342" s="149"/>
      <c r="AH2342" s="149"/>
      <c r="AI2342" s="149"/>
      <c r="AJ2342" s="149"/>
      <c r="AK2342" s="149"/>
      <c r="AL2342" s="149"/>
      <c r="AM2342" s="149"/>
      <c r="AN2342" s="149"/>
      <c r="AO2342" s="128"/>
      <c r="AP2342" s="128"/>
      <c r="AQ2342" s="128"/>
      <c r="AR2342" s="128"/>
      <c r="AS2342" s="128"/>
      <c r="AT2342" s="128"/>
      <c r="AU2342" s="128"/>
      <c r="AV2342" s="128"/>
      <c r="AW2342" s="128"/>
      <c r="AX2342" s="128"/>
      <c r="AY2342" s="128"/>
      <c r="AZ2342" s="128"/>
      <c r="BA2342" s="128"/>
      <c r="BB2342" s="128"/>
      <c r="BC2342" s="128"/>
      <c r="BD2342" s="128"/>
      <c r="BE2342" s="128"/>
      <c r="BF2342" s="128"/>
      <c r="BG2342" s="128"/>
      <c r="BH2342" s="128"/>
      <c r="BI2342" s="128"/>
      <c r="BJ2342" s="128"/>
      <c r="BK2342" s="128"/>
      <c r="BL2342" s="128"/>
      <c r="BM2342" s="151"/>
      <c r="BN2342" s="128"/>
      <c r="BO2342" s="128"/>
      <c r="BP2342" s="128"/>
      <c r="BQ2342" s="128"/>
      <c r="BR2342" s="128"/>
      <c r="BS2342" s="128"/>
      <c r="BT2342" s="128"/>
      <c r="BU2342" s="128"/>
      <c r="BV2342" s="128"/>
      <c r="BW2342" s="128"/>
      <c r="BX2342" s="128"/>
      <c r="BY2342" s="128"/>
      <c r="BZ2342" s="128"/>
      <c r="CA2342" s="128"/>
      <c r="CB2342" s="128"/>
      <c r="CC2342" s="128"/>
      <c r="CD2342" s="128"/>
      <c r="CE2342" s="128"/>
      <c r="CF2342" s="128"/>
      <c r="CG2342" s="128"/>
      <c r="CI2342" s="128"/>
      <c r="CJ2342" s="128"/>
      <c r="CK2342" s="128"/>
      <c r="CL2342" s="128"/>
      <c r="CM2342" s="128"/>
      <c r="CN2342" s="128"/>
      <c r="CO2342" s="128"/>
      <c r="CP2342" s="128"/>
      <c r="CQ2342" s="128"/>
      <c r="CR2342" s="128"/>
      <c r="CS2342" s="128"/>
      <c r="CT2342" s="128"/>
      <c r="CU2342" s="128"/>
      <c r="CV2342" s="128"/>
      <c r="CW2342" s="128"/>
      <c r="CX2342" s="128"/>
      <c r="CY2342" s="128"/>
      <c r="CZ2342" s="165"/>
    </row>
    <row r="2343" spans="1:104">
      <c r="A2343" s="149"/>
      <c r="B2343" s="149"/>
      <c r="C2343" s="150"/>
      <c r="D2343" s="102"/>
      <c r="E2343" s="149"/>
      <c r="F2343" s="149"/>
      <c r="G2343" s="149"/>
      <c r="H2343" s="149"/>
      <c r="I2343" s="149"/>
      <c r="J2343" s="149"/>
      <c r="K2343" s="149"/>
      <c r="L2343" s="149"/>
      <c r="M2343" s="149"/>
      <c r="N2343" s="149"/>
      <c r="O2343" s="149"/>
      <c r="P2343" s="149"/>
      <c r="Q2343" s="149"/>
      <c r="R2343" s="149"/>
      <c r="S2343" s="149"/>
      <c r="T2343" s="149"/>
      <c r="U2343" s="149"/>
      <c r="V2343" s="149"/>
      <c r="W2343" s="149"/>
      <c r="X2343" s="149"/>
      <c r="Y2343" s="149"/>
      <c r="Z2343" s="149"/>
      <c r="AA2343" s="149"/>
      <c r="AB2343" s="149"/>
      <c r="AC2343" s="149"/>
      <c r="AD2343" s="149"/>
      <c r="AE2343" s="149"/>
      <c r="AF2343" s="149"/>
      <c r="AG2343" s="149"/>
      <c r="AH2343" s="149"/>
      <c r="AI2343" s="149"/>
      <c r="AJ2343" s="149"/>
      <c r="AK2343" s="149"/>
      <c r="AL2343" s="149"/>
      <c r="AM2343" s="149"/>
      <c r="AN2343" s="149"/>
      <c r="AO2343" s="128"/>
      <c r="AP2343" s="128"/>
      <c r="AQ2343" s="128"/>
      <c r="AR2343" s="128"/>
      <c r="AS2343" s="128"/>
      <c r="AT2343" s="128"/>
      <c r="AU2343" s="128"/>
      <c r="AV2343" s="128"/>
      <c r="AW2343" s="128"/>
      <c r="AX2343" s="128"/>
      <c r="AY2343" s="128"/>
      <c r="AZ2343" s="128"/>
      <c r="BA2343" s="128"/>
      <c r="BB2343" s="128"/>
      <c r="BC2343" s="128"/>
      <c r="BD2343" s="128"/>
      <c r="BE2343" s="128"/>
      <c r="BF2343" s="128"/>
      <c r="BG2343" s="128"/>
      <c r="BH2343" s="128"/>
      <c r="BI2343" s="128"/>
      <c r="BJ2343" s="128"/>
      <c r="BK2343" s="128"/>
      <c r="BL2343" s="128"/>
      <c r="BM2343" s="151"/>
      <c r="BN2343" s="128"/>
      <c r="BO2343" s="128"/>
      <c r="BP2343" s="128"/>
      <c r="BQ2343" s="128"/>
      <c r="BR2343" s="128"/>
      <c r="BS2343" s="128"/>
      <c r="BT2343" s="128"/>
      <c r="BU2343" s="128"/>
      <c r="BV2343" s="128"/>
      <c r="BW2343" s="128"/>
      <c r="BX2343" s="128"/>
      <c r="BY2343" s="128"/>
      <c r="BZ2343" s="128"/>
      <c r="CA2343" s="128"/>
      <c r="CB2343" s="128"/>
      <c r="CC2343" s="128"/>
      <c r="CD2343" s="128"/>
      <c r="CE2343" s="128"/>
      <c r="CF2343" s="128"/>
      <c r="CG2343" s="128"/>
      <c r="CI2343" s="128"/>
      <c r="CJ2343" s="128"/>
      <c r="CK2343" s="128"/>
      <c r="CL2343" s="128"/>
      <c r="CM2343" s="128"/>
      <c r="CN2343" s="128"/>
      <c r="CO2343" s="128"/>
      <c r="CP2343" s="128"/>
      <c r="CQ2343" s="128"/>
      <c r="CR2343" s="128"/>
      <c r="CS2343" s="128"/>
      <c r="CT2343" s="128"/>
      <c r="CU2343" s="128"/>
      <c r="CV2343" s="128"/>
      <c r="CW2343" s="128"/>
      <c r="CX2343" s="128"/>
      <c r="CY2343" s="128"/>
      <c r="CZ2343" s="165"/>
    </row>
    <row r="2344" spans="1:104">
      <c r="A2344" s="149"/>
      <c r="B2344" s="149"/>
      <c r="C2344" s="150"/>
      <c r="D2344" s="102"/>
      <c r="E2344" s="149"/>
      <c r="F2344" s="149"/>
      <c r="G2344" s="149"/>
      <c r="H2344" s="149"/>
      <c r="I2344" s="149"/>
      <c r="J2344" s="149"/>
      <c r="K2344" s="149"/>
      <c r="L2344" s="149"/>
      <c r="M2344" s="149"/>
      <c r="N2344" s="149"/>
      <c r="O2344" s="149"/>
      <c r="P2344" s="149"/>
      <c r="Q2344" s="149"/>
      <c r="R2344" s="149"/>
      <c r="S2344" s="149"/>
      <c r="T2344" s="149"/>
      <c r="U2344" s="149"/>
      <c r="V2344" s="149"/>
      <c r="W2344" s="149"/>
      <c r="X2344" s="149"/>
      <c r="Y2344" s="149"/>
      <c r="Z2344" s="149"/>
      <c r="AA2344" s="149"/>
      <c r="AB2344" s="149"/>
      <c r="AC2344" s="149"/>
      <c r="AD2344" s="149"/>
      <c r="AE2344" s="149"/>
      <c r="AF2344" s="149"/>
      <c r="AG2344" s="149"/>
      <c r="AH2344" s="149"/>
      <c r="AI2344" s="149"/>
      <c r="AJ2344" s="149"/>
      <c r="AK2344" s="149"/>
      <c r="AL2344" s="149"/>
      <c r="AM2344" s="149"/>
      <c r="AN2344" s="149"/>
      <c r="AO2344" s="128"/>
      <c r="AP2344" s="128"/>
      <c r="AQ2344" s="128"/>
      <c r="AR2344" s="128"/>
      <c r="AS2344" s="128"/>
      <c r="AT2344" s="128"/>
      <c r="AU2344" s="128"/>
      <c r="AV2344" s="128"/>
      <c r="AW2344" s="128"/>
      <c r="AX2344" s="128"/>
      <c r="AY2344" s="128"/>
      <c r="AZ2344" s="128"/>
      <c r="BA2344" s="128"/>
      <c r="BB2344" s="128"/>
      <c r="BC2344" s="128"/>
      <c r="BD2344" s="128"/>
      <c r="BE2344" s="128"/>
      <c r="BF2344" s="128"/>
      <c r="BG2344" s="128"/>
      <c r="BH2344" s="128"/>
      <c r="BI2344" s="128"/>
      <c r="BJ2344" s="128"/>
      <c r="BK2344" s="128"/>
      <c r="BL2344" s="128"/>
      <c r="BM2344" s="151"/>
      <c r="BN2344" s="128"/>
      <c r="BO2344" s="128"/>
      <c r="BP2344" s="128"/>
      <c r="BQ2344" s="128"/>
      <c r="BR2344" s="128"/>
      <c r="BS2344" s="128"/>
      <c r="BT2344" s="128"/>
      <c r="BU2344" s="128"/>
      <c r="BV2344" s="128"/>
      <c r="BW2344" s="128"/>
      <c r="BX2344" s="128"/>
      <c r="BY2344" s="128"/>
      <c r="BZ2344" s="128"/>
      <c r="CA2344" s="128"/>
      <c r="CB2344" s="128"/>
      <c r="CC2344" s="128"/>
      <c r="CD2344" s="128"/>
      <c r="CE2344" s="128"/>
      <c r="CF2344" s="128"/>
      <c r="CG2344" s="128"/>
      <c r="CI2344" s="128"/>
      <c r="CJ2344" s="128"/>
      <c r="CK2344" s="128"/>
      <c r="CL2344" s="128"/>
      <c r="CM2344" s="128"/>
      <c r="CN2344" s="128"/>
      <c r="CO2344" s="128"/>
      <c r="CP2344" s="128"/>
      <c r="CQ2344" s="128"/>
      <c r="CR2344" s="128"/>
      <c r="CS2344" s="128"/>
      <c r="CT2344" s="128"/>
      <c r="CU2344" s="128"/>
      <c r="CV2344" s="128"/>
      <c r="CW2344" s="128"/>
      <c r="CX2344" s="128"/>
      <c r="CY2344" s="128"/>
      <c r="CZ2344" s="165"/>
    </row>
    <row r="2345" spans="1:104">
      <c r="A2345" s="149"/>
      <c r="B2345" s="149"/>
      <c r="C2345" s="150"/>
      <c r="D2345" s="102"/>
      <c r="E2345" s="149"/>
      <c r="F2345" s="149"/>
      <c r="G2345" s="149"/>
      <c r="H2345" s="149"/>
      <c r="I2345" s="149"/>
      <c r="J2345" s="149"/>
      <c r="K2345" s="149"/>
      <c r="L2345" s="149"/>
      <c r="M2345" s="149"/>
      <c r="N2345" s="149"/>
      <c r="O2345" s="149"/>
      <c r="P2345" s="149"/>
      <c r="Q2345" s="149"/>
      <c r="R2345" s="149"/>
      <c r="S2345" s="149"/>
      <c r="T2345" s="149"/>
      <c r="U2345" s="149"/>
      <c r="V2345" s="149"/>
      <c r="W2345" s="149"/>
      <c r="X2345" s="149"/>
      <c r="Y2345" s="149"/>
      <c r="Z2345" s="149"/>
      <c r="AA2345" s="149"/>
      <c r="AB2345" s="149"/>
      <c r="AC2345" s="149"/>
      <c r="AD2345" s="149"/>
      <c r="AE2345" s="149"/>
      <c r="AF2345" s="149"/>
      <c r="AG2345" s="149"/>
      <c r="AH2345" s="149"/>
      <c r="AI2345" s="149"/>
      <c r="AJ2345" s="149"/>
      <c r="AK2345" s="149"/>
      <c r="AL2345" s="149"/>
      <c r="AM2345" s="149"/>
      <c r="AN2345" s="149"/>
      <c r="AO2345" s="128"/>
      <c r="AP2345" s="128"/>
      <c r="AQ2345" s="128"/>
      <c r="AR2345" s="128"/>
      <c r="AS2345" s="128"/>
      <c r="AT2345" s="128"/>
      <c r="AU2345" s="128"/>
      <c r="AV2345" s="128"/>
      <c r="AW2345" s="128"/>
      <c r="AX2345" s="128"/>
      <c r="AY2345" s="128"/>
      <c r="AZ2345" s="128"/>
      <c r="BA2345" s="128"/>
      <c r="BB2345" s="128"/>
      <c r="BC2345" s="128"/>
      <c r="BD2345" s="128"/>
      <c r="BE2345" s="128"/>
      <c r="BF2345" s="128"/>
      <c r="BG2345" s="128"/>
      <c r="BH2345" s="128"/>
      <c r="BI2345" s="128"/>
      <c r="BJ2345" s="128"/>
      <c r="BK2345" s="128"/>
      <c r="BL2345" s="128"/>
      <c r="BM2345" s="151"/>
      <c r="BN2345" s="128"/>
      <c r="BO2345" s="128"/>
      <c r="BP2345" s="128"/>
      <c r="BQ2345" s="128"/>
      <c r="BR2345" s="128"/>
      <c r="BS2345" s="128"/>
      <c r="BT2345" s="128"/>
      <c r="BU2345" s="128"/>
      <c r="BV2345" s="128"/>
      <c r="BW2345" s="128"/>
      <c r="BX2345" s="128"/>
      <c r="BY2345" s="128"/>
      <c r="BZ2345" s="128"/>
      <c r="CA2345" s="128"/>
      <c r="CB2345" s="128"/>
      <c r="CC2345" s="128"/>
      <c r="CD2345" s="128"/>
      <c r="CE2345" s="128"/>
      <c r="CF2345" s="128"/>
      <c r="CG2345" s="128"/>
      <c r="CI2345" s="128"/>
      <c r="CJ2345" s="128"/>
      <c r="CK2345" s="128"/>
      <c r="CL2345" s="128"/>
      <c r="CM2345" s="128"/>
      <c r="CN2345" s="128"/>
      <c r="CO2345" s="128"/>
      <c r="CP2345" s="128"/>
      <c r="CQ2345" s="128"/>
      <c r="CR2345" s="128"/>
      <c r="CS2345" s="128"/>
      <c r="CT2345" s="128"/>
      <c r="CU2345" s="128"/>
      <c r="CV2345" s="128"/>
      <c r="CW2345" s="128"/>
      <c r="CX2345" s="128"/>
      <c r="CY2345" s="128"/>
      <c r="CZ2345" s="165"/>
    </row>
    <row r="2346" spans="1:104">
      <c r="A2346" s="149"/>
      <c r="B2346" s="149"/>
      <c r="C2346" s="150"/>
      <c r="D2346" s="102"/>
      <c r="E2346" s="149"/>
      <c r="F2346" s="149"/>
      <c r="G2346" s="149"/>
      <c r="H2346" s="149"/>
      <c r="I2346" s="149"/>
      <c r="J2346" s="149"/>
      <c r="K2346" s="149"/>
      <c r="L2346" s="149"/>
      <c r="M2346" s="149"/>
      <c r="N2346" s="149"/>
      <c r="O2346" s="149"/>
      <c r="P2346" s="149"/>
      <c r="Q2346" s="149"/>
      <c r="R2346" s="149"/>
      <c r="S2346" s="149"/>
      <c r="T2346" s="149"/>
      <c r="U2346" s="149"/>
      <c r="V2346" s="149"/>
      <c r="W2346" s="149"/>
      <c r="X2346" s="149"/>
      <c r="Y2346" s="149"/>
      <c r="Z2346" s="149"/>
      <c r="AA2346" s="149"/>
      <c r="AB2346" s="149"/>
      <c r="AC2346" s="149"/>
      <c r="AD2346" s="149"/>
      <c r="AE2346" s="149"/>
      <c r="AF2346" s="149"/>
      <c r="AG2346" s="149"/>
      <c r="AH2346" s="149"/>
      <c r="AI2346" s="149"/>
      <c r="AJ2346" s="149"/>
      <c r="AK2346" s="149"/>
      <c r="AL2346" s="149"/>
      <c r="AM2346" s="149"/>
      <c r="AN2346" s="149"/>
      <c r="AO2346" s="128"/>
      <c r="AP2346" s="128"/>
      <c r="AQ2346" s="128"/>
      <c r="AR2346" s="128"/>
      <c r="AS2346" s="128"/>
      <c r="AT2346" s="128"/>
      <c r="AU2346" s="128"/>
      <c r="AV2346" s="128"/>
      <c r="AW2346" s="128"/>
      <c r="AX2346" s="128"/>
      <c r="AY2346" s="128"/>
      <c r="AZ2346" s="128"/>
      <c r="BA2346" s="128"/>
      <c r="BB2346" s="128"/>
      <c r="BC2346" s="128"/>
      <c r="BD2346" s="128"/>
      <c r="BE2346" s="128"/>
      <c r="BF2346" s="128"/>
      <c r="BG2346" s="128"/>
      <c r="BH2346" s="128"/>
      <c r="BI2346" s="128"/>
      <c r="BJ2346" s="128"/>
      <c r="BK2346" s="128"/>
      <c r="BL2346" s="128"/>
      <c r="BM2346" s="151"/>
      <c r="BN2346" s="128"/>
      <c r="BO2346" s="128"/>
      <c r="BP2346" s="128"/>
      <c r="BQ2346" s="128"/>
      <c r="BR2346" s="128"/>
      <c r="BS2346" s="128"/>
      <c r="BT2346" s="128"/>
      <c r="BU2346" s="128"/>
      <c r="BV2346" s="128"/>
      <c r="BW2346" s="128"/>
      <c r="BX2346" s="128"/>
      <c r="BY2346" s="128"/>
      <c r="BZ2346" s="128"/>
      <c r="CA2346" s="128"/>
      <c r="CB2346" s="128"/>
      <c r="CC2346" s="128"/>
      <c r="CD2346" s="128"/>
      <c r="CE2346" s="128"/>
      <c r="CF2346" s="128"/>
      <c r="CG2346" s="128"/>
      <c r="CI2346" s="128"/>
      <c r="CJ2346" s="128"/>
      <c r="CK2346" s="128"/>
      <c r="CL2346" s="128"/>
      <c r="CM2346" s="128"/>
      <c r="CN2346" s="128"/>
      <c r="CO2346" s="128"/>
      <c r="CP2346" s="128"/>
      <c r="CQ2346" s="128"/>
      <c r="CR2346" s="128"/>
      <c r="CS2346" s="128"/>
      <c r="CT2346" s="128"/>
      <c r="CU2346" s="128"/>
      <c r="CV2346" s="128"/>
      <c r="CW2346" s="128"/>
      <c r="CX2346" s="128"/>
      <c r="CY2346" s="128"/>
      <c r="CZ2346" s="165"/>
    </row>
    <row r="2347" spans="1:104">
      <c r="A2347" s="149"/>
      <c r="B2347" s="149"/>
      <c r="C2347" s="150"/>
      <c r="D2347" s="102"/>
      <c r="E2347" s="149"/>
      <c r="F2347" s="149"/>
      <c r="G2347" s="149"/>
      <c r="H2347" s="149"/>
      <c r="I2347" s="149"/>
      <c r="J2347" s="149"/>
      <c r="K2347" s="149"/>
      <c r="L2347" s="149"/>
      <c r="M2347" s="149"/>
      <c r="N2347" s="149"/>
      <c r="O2347" s="149"/>
      <c r="P2347" s="149"/>
      <c r="Q2347" s="149"/>
      <c r="R2347" s="149"/>
      <c r="S2347" s="149"/>
      <c r="T2347" s="149"/>
      <c r="U2347" s="149"/>
      <c r="V2347" s="149"/>
      <c r="W2347" s="149"/>
      <c r="X2347" s="149"/>
      <c r="Y2347" s="149"/>
      <c r="Z2347" s="149"/>
      <c r="AA2347" s="149"/>
      <c r="AB2347" s="149"/>
      <c r="AC2347" s="149"/>
      <c r="AD2347" s="149"/>
      <c r="AE2347" s="149"/>
      <c r="AF2347" s="149"/>
      <c r="AG2347" s="149"/>
      <c r="AH2347" s="149"/>
      <c r="AI2347" s="149"/>
      <c r="AJ2347" s="149"/>
      <c r="AK2347" s="149"/>
      <c r="AL2347" s="149"/>
      <c r="AM2347" s="149"/>
      <c r="AN2347" s="149"/>
      <c r="AO2347" s="128"/>
      <c r="AP2347" s="128"/>
      <c r="AQ2347" s="128"/>
      <c r="AR2347" s="128"/>
      <c r="AS2347" s="128"/>
      <c r="AT2347" s="128"/>
      <c r="AU2347" s="128"/>
      <c r="AV2347" s="128"/>
      <c r="AW2347" s="128"/>
      <c r="AX2347" s="128"/>
      <c r="AY2347" s="128"/>
      <c r="AZ2347" s="128"/>
      <c r="BA2347" s="128"/>
      <c r="BB2347" s="128"/>
      <c r="BC2347" s="128"/>
      <c r="BD2347" s="128"/>
      <c r="BE2347" s="128"/>
      <c r="BF2347" s="128"/>
      <c r="BG2347" s="128"/>
      <c r="BH2347" s="128"/>
      <c r="BI2347" s="128"/>
      <c r="BJ2347" s="128"/>
      <c r="BK2347" s="128"/>
      <c r="BL2347" s="128"/>
      <c r="BM2347" s="151"/>
      <c r="BN2347" s="128"/>
      <c r="BO2347" s="128"/>
      <c r="BP2347" s="128"/>
      <c r="BQ2347" s="128"/>
      <c r="BR2347" s="128"/>
      <c r="BS2347" s="128"/>
      <c r="BT2347" s="128"/>
      <c r="BU2347" s="128"/>
      <c r="BV2347" s="128"/>
      <c r="BW2347" s="128"/>
      <c r="BX2347" s="128"/>
      <c r="BY2347" s="128"/>
      <c r="BZ2347" s="128"/>
      <c r="CA2347" s="128"/>
      <c r="CB2347" s="128"/>
      <c r="CC2347" s="128"/>
      <c r="CD2347" s="128"/>
      <c r="CE2347" s="128"/>
      <c r="CF2347" s="128"/>
      <c r="CG2347" s="128"/>
      <c r="CI2347" s="128"/>
      <c r="CJ2347" s="128"/>
      <c r="CK2347" s="128"/>
      <c r="CL2347" s="128"/>
      <c r="CM2347" s="128"/>
      <c r="CN2347" s="128"/>
      <c r="CO2347" s="128"/>
      <c r="CP2347" s="128"/>
      <c r="CQ2347" s="128"/>
      <c r="CR2347" s="128"/>
      <c r="CS2347" s="128"/>
      <c r="CT2347" s="128"/>
      <c r="CU2347" s="128"/>
      <c r="CV2347" s="128"/>
      <c r="CW2347" s="128"/>
      <c r="CX2347" s="128"/>
      <c r="CY2347" s="128"/>
      <c r="CZ2347" s="165"/>
    </row>
    <row r="2348" spans="1:104">
      <c r="A2348" s="149"/>
      <c r="B2348" s="149"/>
      <c r="C2348" s="150"/>
      <c r="D2348" s="102"/>
      <c r="E2348" s="149"/>
      <c r="F2348" s="149"/>
      <c r="G2348" s="149"/>
      <c r="H2348" s="149"/>
      <c r="I2348" s="149"/>
      <c r="J2348" s="149"/>
      <c r="K2348" s="149"/>
      <c r="L2348" s="149"/>
      <c r="M2348" s="149"/>
      <c r="N2348" s="149"/>
      <c r="O2348" s="149"/>
      <c r="P2348" s="149"/>
      <c r="Q2348" s="149"/>
      <c r="R2348" s="149"/>
      <c r="S2348" s="149"/>
      <c r="T2348" s="149"/>
      <c r="U2348" s="149"/>
      <c r="V2348" s="149"/>
      <c r="W2348" s="149"/>
      <c r="X2348" s="149"/>
      <c r="Y2348" s="149"/>
      <c r="Z2348" s="149"/>
      <c r="AA2348" s="149"/>
      <c r="AB2348" s="149"/>
      <c r="AC2348" s="149"/>
      <c r="AD2348" s="149"/>
      <c r="AE2348" s="149"/>
      <c r="AF2348" s="149"/>
      <c r="AG2348" s="149"/>
      <c r="AH2348" s="149"/>
      <c r="AI2348" s="149"/>
      <c r="AJ2348" s="149"/>
      <c r="AK2348" s="149"/>
      <c r="AL2348" s="149"/>
      <c r="AM2348" s="149"/>
      <c r="AN2348" s="149"/>
      <c r="AO2348" s="128"/>
      <c r="AP2348" s="128"/>
      <c r="AQ2348" s="128"/>
      <c r="AR2348" s="128"/>
      <c r="AS2348" s="128"/>
      <c r="AT2348" s="128"/>
      <c r="AU2348" s="128"/>
      <c r="AV2348" s="128"/>
      <c r="AW2348" s="128"/>
      <c r="AX2348" s="128"/>
      <c r="AY2348" s="128"/>
      <c r="AZ2348" s="128"/>
      <c r="BA2348" s="128"/>
      <c r="BB2348" s="128"/>
      <c r="BC2348" s="128"/>
      <c r="BD2348" s="128"/>
      <c r="BE2348" s="128"/>
      <c r="BF2348" s="128"/>
      <c r="BG2348" s="128"/>
      <c r="BH2348" s="128"/>
      <c r="BI2348" s="128"/>
      <c r="BJ2348" s="128"/>
      <c r="BK2348" s="128"/>
      <c r="BL2348" s="128"/>
      <c r="BM2348" s="151"/>
      <c r="BN2348" s="128"/>
      <c r="BO2348" s="128"/>
      <c r="BP2348" s="128"/>
      <c r="BQ2348" s="128"/>
      <c r="BR2348" s="128"/>
      <c r="BS2348" s="128"/>
      <c r="BT2348" s="128"/>
      <c r="BU2348" s="128"/>
      <c r="BV2348" s="128"/>
      <c r="BW2348" s="128"/>
      <c r="BX2348" s="128"/>
      <c r="BY2348" s="128"/>
      <c r="BZ2348" s="128"/>
      <c r="CA2348" s="128"/>
      <c r="CB2348" s="128"/>
      <c r="CC2348" s="128"/>
      <c r="CD2348" s="128"/>
      <c r="CE2348" s="128"/>
      <c r="CF2348" s="128"/>
      <c r="CG2348" s="128"/>
      <c r="CI2348" s="128"/>
      <c r="CJ2348" s="128"/>
      <c r="CK2348" s="128"/>
      <c r="CL2348" s="128"/>
      <c r="CM2348" s="128"/>
      <c r="CN2348" s="128"/>
      <c r="CO2348" s="128"/>
      <c r="CP2348" s="128"/>
      <c r="CQ2348" s="128"/>
      <c r="CR2348" s="128"/>
      <c r="CS2348" s="128"/>
      <c r="CT2348" s="128"/>
      <c r="CU2348" s="128"/>
      <c r="CV2348" s="128"/>
      <c r="CW2348" s="128"/>
      <c r="CX2348" s="128"/>
      <c r="CY2348" s="128"/>
      <c r="CZ2348" s="165"/>
    </row>
    <row r="2349" spans="1:104">
      <c r="A2349" s="149"/>
      <c r="B2349" s="149"/>
      <c r="C2349" s="150"/>
      <c r="D2349" s="102"/>
      <c r="E2349" s="149"/>
      <c r="F2349" s="149"/>
      <c r="G2349" s="149"/>
      <c r="H2349" s="149"/>
      <c r="I2349" s="149"/>
      <c r="J2349" s="149"/>
      <c r="K2349" s="149"/>
      <c r="L2349" s="149"/>
      <c r="M2349" s="149"/>
      <c r="N2349" s="149"/>
      <c r="O2349" s="149"/>
      <c r="P2349" s="149"/>
      <c r="Q2349" s="149"/>
      <c r="R2349" s="149"/>
      <c r="S2349" s="149"/>
      <c r="T2349" s="149"/>
      <c r="U2349" s="149"/>
      <c r="V2349" s="149"/>
      <c r="W2349" s="149"/>
      <c r="X2349" s="149"/>
      <c r="Y2349" s="149"/>
      <c r="Z2349" s="149"/>
      <c r="AA2349" s="149"/>
      <c r="AB2349" s="149"/>
      <c r="AC2349" s="149"/>
      <c r="AD2349" s="149"/>
      <c r="AE2349" s="149"/>
      <c r="AF2349" s="149"/>
      <c r="AG2349" s="149"/>
      <c r="AH2349" s="149"/>
      <c r="AI2349" s="149"/>
      <c r="AJ2349" s="149"/>
      <c r="AK2349" s="149"/>
      <c r="AL2349" s="149"/>
      <c r="AM2349" s="149"/>
      <c r="AN2349" s="149"/>
      <c r="AO2349" s="128"/>
      <c r="AP2349" s="128"/>
      <c r="AQ2349" s="128"/>
      <c r="AR2349" s="128"/>
      <c r="AS2349" s="128"/>
      <c r="AT2349" s="128"/>
      <c r="AU2349" s="128"/>
      <c r="AV2349" s="128"/>
      <c r="AW2349" s="128"/>
      <c r="AX2349" s="128"/>
      <c r="AY2349" s="128"/>
      <c r="AZ2349" s="128"/>
      <c r="BA2349" s="128"/>
      <c r="BB2349" s="128"/>
      <c r="BC2349" s="128"/>
      <c r="BD2349" s="128"/>
      <c r="BE2349" s="128"/>
      <c r="BF2349" s="128"/>
      <c r="BG2349" s="128"/>
      <c r="BH2349" s="128"/>
      <c r="BI2349" s="128"/>
      <c r="BJ2349" s="128"/>
      <c r="BK2349" s="128"/>
      <c r="BL2349" s="128"/>
      <c r="BM2349" s="151"/>
      <c r="BN2349" s="128"/>
      <c r="BO2349" s="128"/>
      <c r="BP2349" s="128"/>
      <c r="BQ2349" s="128"/>
      <c r="BR2349" s="128"/>
      <c r="BS2349" s="128"/>
      <c r="BT2349" s="128"/>
      <c r="BU2349" s="128"/>
      <c r="BV2349" s="128"/>
      <c r="BW2349" s="128"/>
      <c r="BX2349" s="128"/>
      <c r="BY2349" s="128"/>
      <c r="BZ2349" s="128"/>
      <c r="CA2349" s="128"/>
      <c r="CB2349" s="128"/>
      <c r="CC2349" s="128"/>
      <c r="CD2349" s="128"/>
      <c r="CE2349" s="128"/>
      <c r="CF2349" s="128"/>
      <c r="CG2349" s="128"/>
      <c r="CI2349" s="128"/>
      <c r="CJ2349" s="128"/>
      <c r="CK2349" s="128"/>
      <c r="CL2349" s="128"/>
      <c r="CM2349" s="128"/>
      <c r="CN2349" s="128"/>
      <c r="CO2349" s="128"/>
      <c r="CP2349" s="128"/>
      <c r="CQ2349" s="128"/>
      <c r="CR2349" s="128"/>
      <c r="CS2349" s="128"/>
      <c r="CT2349" s="128"/>
      <c r="CU2349" s="128"/>
      <c r="CV2349" s="128"/>
      <c r="CW2349" s="128"/>
      <c r="CX2349" s="128"/>
      <c r="CY2349" s="128"/>
      <c r="CZ2349" s="165"/>
    </row>
    <row r="2350" spans="1:104">
      <c r="A2350" s="149"/>
      <c r="B2350" s="149"/>
      <c r="C2350" s="150"/>
      <c r="D2350" s="102"/>
      <c r="E2350" s="149"/>
      <c r="F2350" s="149"/>
      <c r="G2350" s="149"/>
      <c r="H2350" s="149"/>
      <c r="I2350" s="149"/>
      <c r="J2350" s="149"/>
      <c r="K2350" s="149"/>
      <c r="L2350" s="149"/>
      <c r="M2350" s="149"/>
      <c r="N2350" s="149"/>
      <c r="O2350" s="149"/>
      <c r="P2350" s="149"/>
      <c r="Q2350" s="149"/>
      <c r="R2350" s="149"/>
      <c r="S2350" s="149"/>
      <c r="T2350" s="149"/>
      <c r="U2350" s="149"/>
      <c r="V2350" s="149"/>
      <c r="W2350" s="149"/>
      <c r="X2350" s="149"/>
      <c r="Y2350" s="149"/>
      <c r="Z2350" s="149"/>
      <c r="AA2350" s="149"/>
      <c r="AB2350" s="149"/>
      <c r="AC2350" s="149"/>
      <c r="AD2350" s="149"/>
      <c r="AE2350" s="149"/>
      <c r="AF2350" s="149"/>
      <c r="AG2350" s="149"/>
      <c r="AH2350" s="149"/>
      <c r="AI2350" s="149"/>
      <c r="AJ2350" s="149"/>
      <c r="AK2350" s="149"/>
      <c r="AL2350" s="149"/>
      <c r="AM2350" s="149"/>
      <c r="AN2350" s="149"/>
      <c r="AO2350" s="128"/>
      <c r="AP2350" s="128"/>
      <c r="AQ2350" s="128"/>
      <c r="AR2350" s="128"/>
      <c r="AS2350" s="128"/>
      <c r="AT2350" s="128"/>
      <c r="AU2350" s="128"/>
      <c r="AV2350" s="128"/>
      <c r="AW2350" s="128"/>
      <c r="AX2350" s="128"/>
      <c r="AY2350" s="128"/>
      <c r="AZ2350" s="128"/>
      <c r="BA2350" s="128"/>
      <c r="BB2350" s="128"/>
      <c r="BC2350" s="128"/>
      <c r="BD2350" s="128"/>
      <c r="BE2350" s="128"/>
      <c r="BF2350" s="128"/>
      <c r="BG2350" s="128"/>
      <c r="BH2350" s="128"/>
      <c r="BI2350" s="128"/>
      <c r="BJ2350" s="128"/>
      <c r="BK2350" s="128"/>
      <c r="BL2350" s="128"/>
      <c r="BM2350" s="151"/>
      <c r="BN2350" s="128"/>
      <c r="BO2350" s="128"/>
      <c r="BP2350" s="128"/>
      <c r="BQ2350" s="128"/>
      <c r="BR2350" s="128"/>
      <c r="BS2350" s="128"/>
      <c r="BT2350" s="128"/>
      <c r="BU2350" s="128"/>
      <c r="BV2350" s="128"/>
      <c r="BW2350" s="128"/>
      <c r="BX2350" s="128"/>
      <c r="BY2350" s="128"/>
      <c r="BZ2350" s="128"/>
      <c r="CA2350" s="128"/>
      <c r="CB2350" s="128"/>
      <c r="CC2350" s="128"/>
      <c r="CD2350" s="128"/>
      <c r="CE2350" s="128"/>
      <c r="CF2350" s="128"/>
      <c r="CG2350" s="128"/>
      <c r="CI2350" s="128"/>
      <c r="CJ2350" s="128"/>
      <c r="CK2350" s="128"/>
      <c r="CL2350" s="128"/>
      <c r="CM2350" s="128"/>
      <c r="CN2350" s="128"/>
      <c r="CO2350" s="128"/>
      <c r="CP2350" s="128"/>
      <c r="CQ2350" s="128"/>
      <c r="CR2350" s="128"/>
      <c r="CS2350" s="128"/>
      <c r="CT2350" s="128"/>
      <c r="CU2350" s="128"/>
      <c r="CV2350" s="128"/>
      <c r="CW2350" s="128"/>
      <c r="CX2350" s="128"/>
      <c r="CY2350" s="128"/>
      <c r="CZ2350" s="165"/>
    </row>
    <row r="2351" spans="1:104">
      <c r="A2351" s="149"/>
      <c r="B2351" s="149"/>
      <c r="C2351" s="150"/>
      <c r="D2351" s="102"/>
      <c r="E2351" s="149"/>
      <c r="F2351" s="149"/>
      <c r="G2351" s="149"/>
      <c r="H2351" s="149"/>
      <c r="I2351" s="149"/>
      <c r="J2351" s="149"/>
      <c r="K2351" s="149"/>
      <c r="L2351" s="149"/>
      <c r="M2351" s="149"/>
      <c r="N2351" s="149"/>
      <c r="O2351" s="149"/>
      <c r="P2351" s="149"/>
      <c r="Q2351" s="149"/>
      <c r="R2351" s="149"/>
      <c r="S2351" s="149"/>
      <c r="T2351" s="149"/>
      <c r="U2351" s="149"/>
      <c r="V2351" s="149"/>
      <c r="W2351" s="149"/>
      <c r="X2351" s="149"/>
      <c r="Y2351" s="149"/>
      <c r="Z2351" s="149"/>
      <c r="AA2351" s="149"/>
      <c r="AB2351" s="149"/>
      <c r="AC2351" s="149"/>
      <c r="AD2351" s="149"/>
      <c r="AE2351" s="149"/>
      <c r="AF2351" s="149"/>
      <c r="AG2351" s="149"/>
      <c r="AH2351" s="149"/>
      <c r="AI2351" s="149"/>
      <c r="AJ2351" s="149"/>
      <c r="AK2351" s="149"/>
      <c r="AL2351" s="149"/>
      <c r="AM2351" s="149"/>
      <c r="AN2351" s="149"/>
      <c r="AO2351" s="128"/>
      <c r="AP2351" s="128"/>
      <c r="AQ2351" s="128"/>
      <c r="AR2351" s="128"/>
      <c r="AS2351" s="128"/>
      <c r="AT2351" s="128"/>
      <c r="AU2351" s="128"/>
      <c r="AV2351" s="128"/>
      <c r="AW2351" s="128"/>
      <c r="AX2351" s="128"/>
      <c r="AY2351" s="128"/>
      <c r="AZ2351" s="128"/>
      <c r="BA2351" s="128"/>
      <c r="BB2351" s="128"/>
      <c r="BC2351" s="128"/>
      <c r="BD2351" s="128"/>
      <c r="BE2351" s="128"/>
      <c r="BF2351" s="128"/>
      <c r="BG2351" s="128"/>
      <c r="BH2351" s="128"/>
      <c r="BI2351" s="128"/>
      <c r="BJ2351" s="128"/>
      <c r="BK2351" s="128"/>
      <c r="BL2351" s="128"/>
      <c r="BM2351" s="151"/>
      <c r="BN2351" s="128"/>
      <c r="BO2351" s="128"/>
      <c r="BP2351" s="128"/>
      <c r="BQ2351" s="128"/>
      <c r="BR2351" s="128"/>
      <c r="BS2351" s="128"/>
      <c r="BT2351" s="128"/>
      <c r="BU2351" s="128"/>
      <c r="BV2351" s="128"/>
      <c r="BW2351" s="128"/>
      <c r="BX2351" s="128"/>
      <c r="BY2351" s="128"/>
      <c r="BZ2351" s="128"/>
      <c r="CA2351" s="128"/>
      <c r="CB2351" s="128"/>
      <c r="CC2351" s="128"/>
      <c r="CD2351" s="128"/>
      <c r="CE2351" s="128"/>
      <c r="CF2351" s="128"/>
      <c r="CG2351" s="128"/>
      <c r="CI2351" s="128"/>
      <c r="CJ2351" s="128"/>
      <c r="CK2351" s="128"/>
      <c r="CL2351" s="128"/>
      <c r="CM2351" s="128"/>
      <c r="CN2351" s="128"/>
      <c r="CO2351" s="128"/>
      <c r="CP2351" s="128"/>
      <c r="CQ2351" s="128"/>
      <c r="CR2351" s="128"/>
      <c r="CS2351" s="128"/>
      <c r="CT2351" s="128"/>
      <c r="CU2351" s="128"/>
      <c r="CV2351" s="128"/>
      <c r="CW2351" s="128"/>
      <c r="CX2351" s="128"/>
      <c r="CY2351" s="128"/>
      <c r="CZ2351" s="165"/>
    </row>
    <row r="2352" spans="1:104">
      <c r="A2352" s="149"/>
      <c r="B2352" s="149"/>
      <c r="C2352" s="150"/>
      <c r="D2352" s="102"/>
      <c r="E2352" s="149"/>
      <c r="F2352" s="149"/>
      <c r="G2352" s="149"/>
      <c r="H2352" s="149"/>
      <c r="I2352" s="149"/>
      <c r="J2352" s="149"/>
      <c r="K2352" s="149"/>
      <c r="L2352" s="149"/>
      <c r="M2352" s="149"/>
      <c r="N2352" s="149"/>
      <c r="O2352" s="149"/>
      <c r="P2352" s="149"/>
      <c r="Q2352" s="149"/>
      <c r="R2352" s="149"/>
      <c r="S2352" s="149"/>
      <c r="T2352" s="149"/>
      <c r="U2352" s="149"/>
      <c r="V2352" s="149"/>
      <c r="W2352" s="149"/>
      <c r="X2352" s="149"/>
      <c r="Y2352" s="149"/>
      <c r="Z2352" s="149"/>
      <c r="AA2352" s="149"/>
      <c r="AB2352" s="149"/>
      <c r="AC2352" s="149"/>
      <c r="AD2352" s="149"/>
      <c r="AE2352" s="149"/>
      <c r="AF2352" s="149"/>
      <c r="AG2352" s="149"/>
      <c r="AH2352" s="149"/>
      <c r="AI2352" s="149"/>
      <c r="AJ2352" s="149"/>
      <c r="AK2352" s="149"/>
      <c r="AL2352" s="149"/>
      <c r="AM2352" s="149"/>
      <c r="AN2352" s="149"/>
      <c r="AO2352" s="128"/>
      <c r="AP2352" s="128"/>
      <c r="AQ2352" s="128"/>
      <c r="AR2352" s="128"/>
      <c r="AS2352" s="128"/>
      <c r="AT2352" s="128"/>
      <c r="AU2352" s="128"/>
      <c r="AV2352" s="128"/>
      <c r="AW2352" s="128"/>
      <c r="AX2352" s="128"/>
      <c r="AY2352" s="128"/>
      <c r="AZ2352" s="128"/>
      <c r="BA2352" s="128"/>
      <c r="BB2352" s="128"/>
      <c r="BC2352" s="128"/>
      <c r="BD2352" s="128"/>
      <c r="BE2352" s="128"/>
      <c r="BF2352" s="128"/>
      <c r="BG2352" s="128"/>
      <c r="BH2352" s="128"/>
      <c r="BI2352" s="128"/>
      <c r="BJ2352" s="128"/>
      <c r="BK2352" s="128"/>
      <c r="BL2352" s="128"/>
      <c r="BM2352" s="151"/>
      <c r="BN2352" s="128"/>
      <c r="BO2352" s="128"/>
      <c r="BP2352" s="128"/>
      <c r="BQ2352" s="128"/>
      <c r="BR2352" s="128"/>
      <c r="BS2352" s="128"/>
      <c r="BT2352" s="128"/>
      <c r="BU2352" s="128"/>
      <c r="BV2352" s="128"/>
      <c r="BW2352" s="128"/>
      <c r="BX2352" s="128"/>
      <c r="BY2352" s="128"/>
      <c r="BZ2352" s="128"/>
      <c r="CA2352" s="128"/>
      <c r="CB2352" s="128"/>
      <c r="CC2352" s="128"/>
      <c r="CD2352" s="128"/>
      <c r="CE2352" s="128"/>
      <c r="CF2352" s="128"/>
      <c r="CG2352" s="128"/>
      <c r="CI2352" s="128"/>
      <c r="CJ2352" s="128"/>
      <c r="CK2352" s="128"/>
      <c r="CL2352" s="128"/>
      <c r="CM2352" s="128"/>
      <c r="CN2352" s="128"/>
      <c r="CO2352" s="128"/>
      <c r="CP2352" s="128"/>
      <c r="CQ2352" s="128"/>
      <c r="CR2352" s="128"/>
      <c r="CS2352" s="128"/>
      <c r="CT2352" s="128"/>
      <c r="CU2352" s="128"/>
      <c r="CV2352" s="128"/>
      <c r="CW2352" s="128"/>
      <c r="CX2352" s="128"/>
      <c r="CY2352" s="128"/>
      <c r="CZ2352" s="165"/>
    </row>
    <row r="2353" spans="1:104">
      <c r="A2353" s="149"/>
      <c r="B2353" s="149"/>
      <c r="C2353" s="150"/>
      <c r="D2353" s="102"/>
      <c r="E2353" s="149"/>
      <c r="F2353" s="149"/>
      <c r="G2353" s="149"/>
      <c r="H2353" s="149"/>
      <c r="I2353" s="149"/>
      <c r="J2353" s="149"/>
      <c r="K2353" s="149"/>
      <c r="L2353" s="149"/>
      <c r="M2353" s="149"/>
      <c r="N2353" s="149"/>
      <c r="O2353" s="149"/>
      <c r="P2353" s="149"/>
      <c r="Q2353" s="149"/>
      <c r="R2353" s="149"/>
      <c r="S2353" s="149"/>
      <c r="T2353" s="149"/>
      <c r="U2353" s="149"/>
      <c r="V2353" s="149"/>
      <c r="W2353" s="149"/>
      <c r="X2353" s="149"/>
      <c r="Y2353" s="149"/>
      <c r="Z2353" s="149"/>
      <c r="AA2353" s="149"/>
      <c r="AB2353" s="149"/>
      <c r="AC2353" s="149"/>
      <c r="AD2353" s="149"/>
      <c r="AE2353" s="149"/>
      <c r="AF2353" s="149"/>
      <c r="AG2353" s="149"/>
      <c r="AH2353" s="149"/>
      <c r="AI2353" s="149"/>
      <c r="AJ2353" s="149"/>
      <c r="AK2353" s="149"/>
      <c r="AL2353" s="149"/>
      <c r="AM2353" s="149"/>
      <c r="AN2353" s="149"/>
      <c r="AO2353" s="128"/>
      <c r="AP2353" s="128"/>
      <c r="AQ2353" s="128"/>
      <c r="AR2353" s="128"/>
      <c r="AS2353" s="128"/>
      <c r="AT2353" s="128"/>
      <c r="AU2353" s="128"/>
      <c r="AV2353" s="128"/>
      <c r="AW2353" s="128"/>
      <c r="AX2353" s="128"/>
      <c r="AY2353" s="128"/>
      <c r="AZ2353" s="128"/>
      <c r="BA2353" s="128"/>
      <c r="BB2353" s="128"/>
      <c r="BC2353" s="128"/>
      <c r="BD2353" s="128"/>
      <c r="BE2353" s="128"/>
      <c r="BF2353" s="128"/>
      <c r="BG2353" s="128"/>
      <c r="BH2353" s="128"/>
      <c r="BI2353" s="128"/>
      <c r="BJ2353" s="128"/>
      <c r="BK2353" s="128"/>
      <c r="BL2353" s="128"/>
      <c r="BM2353" s="151"/>
      <c r="BN2353" s="128"/>
      <c r="BO2353" s="128"/>
      <c r="BP2353" s="128"/>
      <c r="BQ2353" s="128"/>
      <c r="BR2353" s="128"/>
      <c r="BS2353" s="128"/>
      <c r="BT2353" s="128"/>
      <c r="BU2353" s="128"/>
      <c r="BV2353" s="128"/>
      <c r="BW2353" s="128"/>
      <c r="BX2353" s="128"/>
      <c r="BY2353" s="128"/>
      <c r="BZ2353" s="128"/>
      <c r="CA2353" s="128"/>
      <c r="CB2353" s="128"/>
      <c r="CC2353" s="128"/>
      <c r="CD2353" s="128"/>
      <c r="CE2353" s="128"/>
      <c r="CF2353" s="128"/>
      <c r="CG2353" s="128"/>
      <c r="CI2353" s="128"/>
      <c r="CJ2353" s="128"/>
      <c r="CK2353" s="128"/>
      <c r="CL2353" s="128"/>
      <c r="CM2353" s="128"/>
      <c r="CN2353" s="128"/>
      <c r="CO2353" s="128"/>
      <c r="CP2353" s="128"/>
      <c r="CQ2353" s="128"/>
      <c r="CR2353" s="128"/>
      <c r="CS2353" s="128"/>
      <c r="CT2353" s="128"/>
      <c r="CU2353" s="128"/>
      <c r="CV2353" s="128"/>
      <c r="CW2353" s="128"/>
      <c r="CX2353" s="128"/>
      <c r="CY2353" s="128"/>
      <c r="CZ2353" s="165"/>
    </row>
    <row r="2354" spans="1:104">
      <c r="A2354" s="149"/>
      <c r="B2354" s="149"/>
      <c r="C2354" s="150"/>
      <c r="D2354" s="102"/>
      <c r="E2354" s="149"/>
      <c r="F2354" s="149"/>
      <c r="G2354" s="149"/>
      <c r="H2354" s="149"/>
      <c r="I2354" s="149"/>
      <c r="J2354" s="149"/>
      <c r="K2354" s="149"/>
      <c r="L2354" s="149"/>
      <c r="M2354" s="149"/>
      <c r="N2354" s="149"/>
      <c r="O2354" s="149"/>
      <c r="P2354" s="149"/>
      <c r="Q2354" s="149"/>
      <c r="R2354" s="149"/>
      <c r="S2354" s="149"/>
      <c r="T2354" s="149"/>
      <c r="U2354" s="149"/>
      <c r="V2354" s="149"/>
      <c r="W2354" s="149"/>
      <c r="X2354" s="149"/>
      <c r="Y2354" s="149"/>
      <c r="Z2354" s="149"/>
      <c r="AA2354" s="149"/>
      <c r="AB2354" s="149"/>
      <c r="AC2354" s="149"/>
      <c r="AD2354" s="149"/>
      <c r="AE2354" s="149"/>
      <c r="AF2354" s="149"/>
      <c r="AG2354" s="149"/>
      <c r="AH2354" s="149"/>
      <c r="AI2354" s="149"/>
      <c r="AJ2354" s="149"/>
      <c r="AK2354" s="149"/>
      <c r="AL2354" s="149"/>
      <c r="AM2354" s="149"/>
      <c r="AN2354" s="149"/>
      <c r="AO2354" s="128"/>
      <c r="AP2354" s="128"/>
      <c r="AQ2354" s="128"/>
      <c r="AR2354" s="128"/>
      <c r="AS2354" s="128"/>
      <c r="AT2354" s="128"/>
      <c r="AU2354" s="128"/>
      <c r="AV2354" s="128"/>
      <c r="AW2354" s="128"/>
      <c r="AX2354" s="128"/>
      <c r="AY2354" s="128"/>
      <c r="AZ2354" s="128"/>
      <c r="BA2354" s="128"/>
      <c r="BB2354" s="128"/>
      <c r="BC2354" s="128"/>
      <c r="BD2354" s="128"/>
      <c r="BE2354" s="128"/>
      <c r="BF2354" s="128"/>
      <c r="BG2354" s="128"/>
      <c r="BH2354" s="128"/>
      <c r="BI2354" s="128"/>
      <c r="BJ2354" s="128"/>
      <c r="BK2354" s="128"/>
      <c r="BL2354" s="128"/>
      <c r="BM2354" s="151"/>
      <c r="BN2354" s="128"/>
      <c r="BO2354" s="128"/>
      <c r="BP2354" s="128"/>
      <c r="BQ2354" s="128"/>
      <c r="BR2354" s="128"/>
      <c r="BS2354" s="128"/>
      <c r="BT2354" s="128"/>
      <c r="BU2354" s="128"/>
      <c r="BV2354" s="128"/>
      <c r="BW2354" s="128"/>
      <c r="BX2354" s="128"/>
      <c r="BY2354" s="128"/>
      <c r="BZ2354" s="128"/>
      <c r="CA2354" s="128"/>
      <c r="CB2354" s="128"/>
      <c r="CC2354" s="128"/>
      <c r="CD2354" s="128"/>
      <c r="CE2354" s="128"/>
      <c r="CF2354" s="128"/>
      <c r="CG2354" s="128"/>
      <c r="CI2354" s="128"/>
      <c r="CJ2354" s="128"/>
      <c r="CK2354" s="128"/>
      <c r="CL2354" s="128"/>
      <c r="CM2354" s="128"/>
      <c r="CN2354" s="128"/>
      <c r="CO2354" s="128"/>
      <c r="CP2354" s="128"/>
      <c r="CQ2354" s="128"/>
      <c r="CR2354" s="128"/>
      <c r="CS2354" s="128"/>
      <c r="CT2354" s="128"/>
      <c r="CU2354" s="128"/>
      <c r="CV2354" s="128"/>
      <c r="CW2354" s="128"/>
      <c r="CX2354" s="128"/>
      <c r="CY2354" s="128"/>
      <c r="CZ2354" s="165"/>
    </row>
    <row r="2355" spans="1:104">
      <c r="A2355" s="149"/>
      <c r="B2355" s="149"/>
      <c r="C2355" s="150"/>
      <c r="D2355" s="102"/>
      <c r="E2355" s="149"/>
      <c r="F2355" s="149"/>
      <c r="G2355" s="149"/>
      <c r="H2355" s="149"/>
      <c r="I2355" s="149"/>
      <c r="J2355" s="149"/>
      <c r="K2355" s="149"/>
      <c r="L2355" s="149"/>
      <c r="M2355" s="149"/>
      <c r="N2355" s="149"/>
      <c r="O2355" s="149"/>
      <c r="P2355" s="149"/>
      <c r="Q2355" s="149"/>
      <c r="R2355" s="149"/>
      <c r="S2355" s="149"/>
      <c r="T2355" s="149"/>
      <c r="U2355" s="149"/>
      <c r="V2355" s="149"/>
      <c r="W2355" s="149"/>
      <c r="X2355" s="149"/>
      <c r="Y2355" s="149"/>
      <c r="Z2355" s="149"/>
      <c r="AA2355" s="149"/>
      <c r="AB2355" s="149"/>
      <c r="AC2355" s="149"/>
      <c r="AD2355" s="149"/>
      <c r="AE2355" s="149"/>
      <c r="AF2355" s="149"/>
      <c r="AG2355" s="149"/>
      <c r="AH2355" s="149"/>
      <c r="AI2355" s="149"/>
      <c r="AJ2355" s="149"/>
      <c r="AK2355" s="149"/>
      <c r="AL2355" s="149"/>
      <c r="AM2355" s="149"/>
      <c r="AN2355" s="149"/>
      <c r="AO2355" s="128"/>
      <c r="AP2355" s="128"/>
      <c r="AQ2355" s="128"/>
      <c r="AR2355" s="128"/>
      <c r="AS2355" s="128"/>
      <c r="AT2355" s="128"/>
      <c r="AU2355" s="128"/>
      <c r="AV2355" s="128"/>
      <c r="AW2355" s="128"/>
      <c r="AX2355" s="128"/>
      <c r="AY2355" s="128"/>
      <c r="AZ2355" s="128"/>
      <c r="BA2355" s="128"/>
      <c r="BB2355" s="128"/>
      <c r="BC2355" s="128"/>
      <c r="BD2355" s="128"/>
      <c r="BE2355" s="128"/>
      <c r="BF2355" s="128"/>
      <c r="BG2355" s="128"/>
      <c r="BH2355" s="128"/>
      <c r="BI2355" s="128"/>
      <c r="BJ2355" s="128"/>
      <c r="BK2355" s="128"/>
      <c r="BL2355" s="128"/>
      <c r="BM2355" s="151"/>
      <c r="BN2355" s="128"/>
      <c r="BO2355" s="128"/>
      <c r="BP2355" s="128"/>
      <c r="BQ2355" s="128"/>
      <c r="BR2355" s="128"/>
      <c r="BS2355" s="128"/>
      <c r="BT2355" s="128"/>
      <c r="BU2355" s="128"/>
      <c r="BV2355" s="128"/>
      <c r="BW2355" s="128"/>
      <c r="BX2355" s="128"/>
      <c r="BY2355" s="128"/>
      <c r="BZ2355" s="128"/>
      <c r="CA2355" s="128"/>
      <c r="CB2355" s="128"/>
      <c r="CC2355" s="128"/>
      <c r="CD2355" s="128"/>
      <c r="CE2355" s="128"/>
      <c r="CF2355" s="128"/>
      <c r="CG2355" s="128"/>
      <c r="CI2355" s="128"/>
      <c r="CJ2355" s="128"/>
      <c r="CK2355" s="128"/>
      <c r="CL2355" s="128"/>
      <c r="CM2355" s="128"/>
      <c r="CN2355" s="128"/>
      <c r="CO2355" s="128"/>
      <c r="CP2355" s="128"/>
      <c r="CQ2355" s="128"/>
      <c r="CR2355" s="128"/>
      <c r="CS2355" s="128"/>
      <c r="CT2355" s="128"/>
      <c r="CU2355" s="128"/>
      <c r="CV2355" s="128"/>
      <c r="CW2355" s="128"/>
      <c r="CX2355" s="128"/>
      <c r="CY2355" s="128"/>
      <c r="CZ2355" s="165"/>
    </row>
    <row r="2356" spans="1:104">
      <c r="A2356" s="149"/>
      <c r="B2356" s="149"/>
      <c r="C2356" s="150"/>
      <c r="D2356" s="102"/>
      <c r="E2356" s="149"/>
      <c r="F2356" s="149"/>
      <c r="G2356" s="149"/>
      <c r="H2356" s="149"/>
      <c r="I2356" s="149"/>
      <c r="J2356" s="149"/>
      <c r="K2356" s="149"/>
      <c r="L2356" s="149"/>
      <c r="M2356" s="149"/>
      <c r="N2356" s="149"/>
      <c r="O2356" s="149"/>
      <c r="P2356" s="149"/>
      <c r="Q2356" s="149"/>
      <c r="R2356" s="149"/>
      <c r="S2356" s="149"/>
      <c r="T2356" s="149"/>
      <c r="U2356" s="149"/>
      <c r="V2356" s="149"/>
      <c r="W2356" s="149"/>
      <c r="X2356" s="149"/>
      <c r="Y2356" s="149"/>
      <c r="Z2356" s="149"/>
      <c r="AA2356" s="149"/>
      <c r="AB2356" s="149"/>
      <c r="AC2356" s="149"/>
      <c r="AD2356" s="149"/>
      <c r="AE2356" s="149"/>
      <c r="AF2356" s="149"/>
      <c r="AG2356" s="149"/>
      <c r="AH2356" s="149"/>
      <c r="AI2356" s="149"/>
      <c r="AJ2356" s="149"/>
      <c r="AK2356" s="149"/>
      <c r="AL2356" s="149"/>
      <c r="AM2356" s="149"/>
      <c r="AN2356" s="149"/>
      <c r="AO2356" s="128"/>
      <c r="AP2356" s="128"/>
      <c r="AQ2356" s="128"/>
      <c r="AR2356" s="128"/>
      <c r="AS2356" s="128"/>
      <c r="AT2356" s="128"/>
      <c r="AU2356" s="128"/>
      <c r="AV2356" s="128"/>
      <c r="AW2356" s="128"/>
      <c r="AX2356" s="128"/>
      <c r="AY2356" s="128"/>
      <c r="AZ2356" s="128"/>
      <c r="BA2356" s="128"/>
      <c r="BB2356" s="128"/>
      <c r="BC2356" s="128"/>
      <c r="BD2356" s="128"/>
      <c r="BE2356" s="128"/>
      <c r="BF2356" s="128"/>
      <c r="BG2356" s="128"/>
      <c r="BH2356" s="128"/>
      <c r="BI2356" s="128"/>
      <c r="BJ2356" s="128"/>
      <c r="BK2356" s="128"/>
      <c r="BL2356" s="128"/>
      <c r="BM2356" s="151"/>
      <c r="BN2356" s="128"/>
      <c r="BO2356" s="128"/>
      <c r="BP2356" s="128"/>
      <c r="BQ2356" s="128"/>
      <c r="BR2356" s="128"/>
      <c r="BS2356" s="128"/>
      <c r="BT2356" s="128"/>
      <c r="BU2356" s="128"/>
      <c r="BV2356" s="128"/>
      <c r="BW2356" s="128"/>
      <c r="BX2356" s="128"/>
      <c r="BY2356" s="128"/>
      <c r="BZ2356" s="128"/>
      <c r="CA2356" s="128"/>
      <c r="CB2356" s="128"/>
      <c r="CC2356" s="128"/>
      <c r="CD2356" s="128"/>
      <c r="CE2356" s="128"/>
      <c r="CF2356" s="128"/>
      <c r="CG2356" s="128"/>
      <c r="CI2356" s="128"/>
      <c r="CJ2356" s="128"/>
      <c r="CK2356" s="128"/>
      <c r="CL2356" s="128"/>
      <c r="CM2356" s="128"/>
      <c r="CN2356" s="128"/>
      <c r="CO2356" s="128"/>
      <c r="CP2356" s="128"/>
      <c r="CQ2356" s="128"/>
      <c r="CR2356" s="128"/>
      <c r="CS2356" s="128"/>
      <c r="CT2356" s="128"/>
      <c r="CU2356" s="128"/>
      <c r="CV2356" s="128"/>
      <c r="CW2356" s="128"/>
      <c r="CX2356" s="128"/>
      <c r="CY2356" s="128"/>
      <c r="CZ2356" s="165"/>
    </row>
    <row r="2357" spans="1:104">
      <c r="A2357" s="149"/>
      <c r="B2357" s="149"/>
      <c r="C2357" s="150"/>
      <c r="D2357" s="102"/>
      <c r="E2357" s="149"/>
      <c r="F2357" s="149"/>
      <c r="G2357" s="149"/>
      <c r="H2357" s="149"/>
      <c r="I2357" s="149"/>
      <c r="J2357" s="149"/>
      <c r="K2357" s="149"/>
      <c r="L2357" s="149"/>
      <c r="M2357" s="149"/>
      <c r="N2357" s="149"/>
      <c r="O2357" s="149"/>
      <c r="P2357" s="149"/>
      <c r="Q2357" s="149"/>
      <c r="R2357" s="149"/>
      <c r="S2357" s="149"/>
      <c r="T2357" s="149"/>
      <c r="U2357" s="149"/>
      <c r="V2357" s="149"/>
      <c r="W2357" s="149"/>
      <c r="X2357" s="149"/>
      <c r="Y2357" s="149"/>
      <c r="Z2357" s="149"/>
      <c r="AA2357" s="149"/>
      <c r="AB2357" s="149"/>
      <c r="AC2357" s="149"/>
      <c r="AD2357" s="149"/>
      <c r="AE2357" s="149"/>
      <c r="AF2357" s="149"/>
      <c r="AG2357" s="149"/>
      <c r="AH2357" s="149"/>
      <c r="AI2357" s="149"/>
      <c r="AJ2357" s="149"/>
      <c r="AK2357" s="149"/>
      <c r="AL2357" s="149"/>
      <c r="AM2357" s="149"/>
      <c r="AN2357" s="149"/>
      <c r="AO2357" s="128"/>
      <c r="AP2357" s="128"/>
      <c r="AQ2357" s="128"/>
      <c r="AR2357" s="128"/>
      <c r="AS2357" s="128"/>
      <c r="AT2357" s="128"/>
      <c r="AU2357" s="128"/>
      <c r="AV2357" s="128"/>
      <c r="AW2357" s="128"/>
      <c r="AX2357" s="128"/>
      <c r="AY2357" s="128"/>
      <c r="AZ2357" s="128"/>
      <c r="BA2357" s="128"/>
      <c r="BB2357" s="128"/>
      <c r="BC2357" s="128"/>
      <c r="BD2357" s="128"/>
      <c r="BE2357" s="128"/>
      <c r="BF2357" s="128"/>
      <c r="BG2357" s="128"/>
      <c r="BH2357" s="128"/>
      <c r="BI2357" s="128"/>
      <c r="BJ2357" s="128"/>
      <c r="BK2357" s="128"/>
      <c r="BL2357" s="128"/>
      <c r="BM2357" s="151"/>
      <c r="BN2357" s="128"/>
      <c r="BO2357" s="128"/>
      <c r="BP2357" s="128"/>
      <c r="BQ2357" s="128"/>
      <c r="BR2357" s="128"/>
      <c r="BS2357" s="128"/>
      <c r="BT2357" s="128"/>
      <c r="BU2357" s="128"/>
      <c r="BV2357" s="128"/>
      <c r="BW2357" s="128"/>
      <c r="BX2357" s="128"/>
      <c r="BY2357" s="128"/>
      <c r="BZ2357" s="128"/>
      <c r="CA2357" s="128"/>
      <c r="CB2357" s="128"/>
      <c r="CC2357" s="128"/>
      <c r="CD2357" s="128"/>
      <c r="CE2357" s="128"/>
      <c r="CF2357" s="128"/>
      <c r="CG2357" s="128"/>
      <c r="CI2357" s="128"/>
      <c r="CJ2357" s="128"/>
      <c r="CK2357" s="128"/>
      <c r="CL2357" s="128"/>
      <c r="CM2357" s="128"/>
      <c r="CN2357" s="128"/>
      <c r="CO2357" s="128"/>
      <c r="CP2357" s="128"/>
      <c r="CQ2357" s="128"/>
      <c r="CR2357" s="128"/>
      <c r="CS2357" s="128"/>
      <c r="CT2357" s="128"/>
      <c r="CU2357" s="128"/>
      <c r="CV2357" s="128"/>
      <c r="CW2357" s="128"/>
      <c r="CX2357" s="128"/>
      <c r="CY2357" s="128"/>
      <c r="CZ2357" s="165"/>
    </row>
    <row r="2358" spans="1:104">
      <c r="A2358" s="149"/>
      <c r="B2358" s="149"/>
      <c r="C2358" s="150"/>
      <c r="D2358" s="102"/>
      <c r="E2358" s="149"/>
      <c r="F2358" s="149"/>
      <c r="G2358" s="149"/>
      <c r="H2358" s="149"/>
      <c r="I2358" s="149"/>
      <c r="J2358" s="149"/>
      <c r="K2358" s="149"/>
      <c r="L2358" s="149"/>
      <c r="M2358" s="149"/>
      <c r="N2358" s="149"/>
      <c r="O2358" s="149"/>
      <c r="P2358" s="149"/>
      <c r="Q2358" s="149"/>
      <c r="R2358" s="149"/>
      <c r="S2358" s="149"/>
      <c r="T2358" s="149"/>
      <c r="U2358" s="149"/>
      <c r="V2358" s="149"/>
      <c r="W2358" s="149"/>
      <c r="X2358" s="149"/>
      <c r="Y2358" s="149"/>
      <c r="Z2358" s="149"/>
      <c r="AA2358" s="149"/>
      <c r="AB2358" s="149"/>
      <c r="AC2358" s="149"/>
      <c r="AD2358" s="149"/>
      <c r="AE2358" s="149"/>
      <c r="AF2358" s="149"/>
      <c r="AG2358" s="149"/>
      <c r="AH2358" s="149"/>
      <c r="AI2358" s="149"/>
      <c r="AJ2358" s="149"/>
      <c r="AK2358" s="149"/>
      <c r="AL2358" s="149"/>
      <c r="AM2358" s="149"/>
      <c r="AN2358" s="149"/>
      <c r="AO2358" s="128"/>
      <c r="AP2358" s="128"/>
      <c r="AQ2358" s="128"/>
      <c r="AR2358" s="128"/>
      <c r="AS2358" s="128"/>
      <c r="AT2358" s="128"/>
      <c r="AU2358" s="128"/>
      <c r="AV2358" s="128"/>
      <c r="AW2358" s="128"/>
      <c r="AX2358" s="128"/>
      <c r="AY2358" s="128"/>
      <c r="AZ2358" s="128"/>
      <c r="BA2358" s="128"/>
      <c r="BB2358" s="128"/>
      <c r="BC2358" s="128"/>
      <c r="BD2358" s="128"/>
      <c r="BE2358" s="128"/>
      <c r="BF2358" s="128"/>
      <c r="BG2358" s="128"/>
      <c r="BH2358" s="128"/>
      <c r="BI2358" s="128"/>
      <c r="BJ2358" s="128"/>
      <c r="BK2358" s="128"/>
      <c r="BL2358" s="128"/>
      <c r="BM2358" s="151"/>
      <c r="BN2358" s="128"/>
      <c r="BO2358" s="128"/>
      <c r="BP2358" s="128"/>
      <c r="BQ2358" s="128"/>
      <c r="BR2358" s="128"/>
      <c r="BS2358" s="128"/>
      <c r="BT2358" s="128"/>
      <c r="BU2358" s="128"/>
      <c r="BV2358" s="128"/>
      <c r="BW2358" s="128"/>
      <c r="BX2358" s="128"/>
      <c r="BY2358" s="128"/>
      <c r="BZ2358" s="128"/>
      <c r="CA2358" s="128"/>
      <c r="CB2358" s="128"/>
      <c r="CC2358" s="128"/>
      <c r="CD2358" s="128"/>
      <c r="CE2358" s="128"/>
      <c r="CF2358" s="128"/>
      <c r="CG2358" s="128"/>
      <c r="CI2358" s="128"/>
      <c r="CJ2358" s="128"/>
      <c r="CK2358" s="128"/>
      <c r="CL2358" s="128"/>
      <c r="CM2358" s="128"/>
      <c r="CN2358" s="128"/>
      <c r="CO2358" s="128"/>
      <c r="CP2358" s="128"/>
      <c r="CQ2358" s="128"/>
      <c r="CR2358" s="128"/>
      <c r="CS2358" s="128"/>
      <c r="CT2358" s="128"/>
      <c r="CU2358" s="128"/>
      <c r="CV2358" s="128"/>
      <c r="CW2358" s="128"/>
      <c r="CX2358" s="128"/>
      <c r="CY2358" s="128"/>
      <c r="CZ2358" s="165"/>
    </row>
    <row r="2359" spans="1:104">
      <c r="A2359" s="149"/>
      <c r="B2359" s="149"/>
      <c r="C2359" s="150"/>
      <c r="D2359" s="102"/>
      <c r="E2359" s="149"/>
      <c r="F2359" s="149"/>
      <c r="G2359" s="149"/>
      <c r="H2359" s="149"/>
      <c r="I2359" s="149"/>
      <c r="J2359" s="149"/>
      <c r="K2359" s="149"/>
      <c r="L2359" s="149"/>
      <c r="M2359" s="149"/>
      <c r="N2359" s="149"/>
      <c r="O2359" s="149"/>
      <c r="P2359" s="149"/>
      <c r="Q2359" s="149"/>
      <c r="R2359" s="149"/>
      <c r="S2359" s="149"/>
      <c r="T2359" s="149"/>
      <c r="U2359" s="149"/>
      <c r="V2359" s="149"/>
      <c r="W2359" s="149"/>
      <c r="X2359" s="149"/>
      <c r="Y2359" s="149"/>
      <c r="Z2359" s="149"/>
      <c r="AA2359" s="149"/>
      <c r="AB2359" s="149"/>
      <c r="AC2359" s="149"/>
      <c r="AD2359" s="149"/>
      <c r="AE2359" s="149"/>
      <c r="AF2359" s="149"/>
      <c r="AG2359" s="149"/>
      <c r="AH2359" s="149"/>
      <c r="AI2359" s="149"/>
      <c r="AJ2359" s="149"/>
      <c r="AK2359" s="149"/>
      <c r="AL2359" s="149"/>
      <c r="AM2359" s="149"/>
      <c r="AN2359" s="149"/>
      <c r="AO2359" s="128"/>
      <c r="AP2359" s="128"/>
      <c r="AQ2359" s="128"/>
      <c r="AR2359" s="128"/>
      <c r="AS2359" s="128"/>
      <c r="AT2359" s="128"/>
      <c r="AU2359" s="128"/>
      <c r="AV2359" s="128"/>
      <c r="AW2359" s="128"/>
      <c r="AX2359" s="128"/>
      <c r="AY2359" s="128"/>
      <c r="AZ2359" s="128"/>
      <c r="BA2359" s="128"/>
      <c r="BB2359" s="128"/>
      <c r="BC2359" s="128"/>
      <c r="BD2359" s="128"/>
      <c r="BE2359" s="128"/>
      <c r="BF2359" s="128"/>
      <c r="BG2359" s="128"/>
      <c r="BH2359" s="128"/>
      <c r="BI2359" s="128"/>
      <c r="BJ2359" s="128"/>
      <c r="BK2359" s="128"/>
      <c r="BL2359" s="128"/>
      <c r="BM2359" s="151"/>
      <c r="BN2359" s="128"/>
      <c r="BO2359" s="128"/>
      <c r="BP2359" s="128"/>
      <c r="BQ2359" s="128"/>
      <c r="BR2359" s="128"/>
      <c r="BS2359" s="128"/>
      <c r="BT2359" s="128"/>
      <c r="BU2359" s="128"/>
      <c r="BV2359" s="128"/>
      <c r="BW2359" s="128"/>
      <c r="BX2359" s="128"/>
      <c r="BY2359" s="128"/>
      <c r="BZ2359" s="128"/>
      <c r="CA2359" s="128"/>
      <c r="CB2359" s="128"/>
      <c r="CC2359" s="128"/>
      <c r="CD2359" s="128"/>
      <c r="CE2359" s="128"/>
      <c r="CF2359" s="128"/>
      <c r="CG2359" s="128"/>
      <c r="CI2359" s="128"/>
      <c r="CJ2359" s="128"/>
      <c r="CK2359" s="128"/>
      <c r="CL2359" s="128"/>
      <c r="CM2359" s="128"/>
      <c r="CN2359" s="128"/>
      <c r="CO2359" s="128"/>
      <c r="CP2359" s="128"/>
      <c r="CQ2359" s="128"/>
      <c r="CR2359" s="128"/>
      <c r="CS2359" s="128"/>
      <c r="CT2359" s="128"/>
      <c r="CU2359" s="128"/>
      <c r="CV2359" s="128"/>
      <c r="CW2359" s="128"/>
      <c r="CX2359" s="128"/>
      <c r="CY2359" s="128"/>
      <c r="CZ2359" s="165"/>
    </row>
    <row r="2360" spans="1:104">
      <c r="A2360" s="149"/>
      <c r="B2360" s="149"/>
      <c r="C2360" s="150"/>
      <c r="D2360" s="102"/>
      <c r="E2360" s="149"/>
      <c r="F2360" s="149"/>
      <c r="G2360" s="149"/>
      <c r="H2360" s="149"/>
      <c r="I2360" s="149"/>
      <c r="J2360" s="149"/>
      <c r="K2360" s="149"/>
      <c r="L2360" s="149"/>
      <c r="M2360" s="149"/>
      <c r="N2360" s="149"/>
      <c r="O2360" s="149"/>
      <c r="P2360" s="149"/>
      <c r="Q2360" s="149"/>
      <c r="R2360" s="149"/>
      <c r="S2360" s="149"/>
      <c r="T2360" s="149"/>
      <c r="U2360" s="149"/>
      <c r="V2360" s="149"/>
      <c r="W2360" s="149"/>
      <c r="X2360" s="149"/>
      <c r="Y2360" s="149"/>
      <c r="Z2360" s="149"/>
      <c r="AA2360" s="149"/>
      <c r="AB2360" s="149"/>
      <c r="AC2360" s="149"/>
      <c r="AD2360" s="149"/>
      <c r="AE2360" s="149"/>
      <c r="AF2360" s="149"/>
      <c r="AG2360" s="149"/>
      <c r="AH2360" s="149"/>
      <c r="AI2360" s="149"/>
      <c r="AJ2360" s="149"/>
      <c r="AK2360" s="149"/>
      <c r="AL2360" s="149"/>
      <c r="AM2360" s="149"/>
      <c r="AN2360" s="149"/>
      <c r="AO2360" s="128"/>
      <c r="AP2360" s="128"/>
      <c r="AQ2360" s="128"/>
      <c r="AR2360" s="128"/>
      <c r="AS2360" s="128"/>
      <c r="AT2360" s="128"/>
      <c r="AU2360" s="128"/>
      <c r="AV2360" s="128"/>
      <c r="AW2360" s="128"/>
      <c r="AX2360" s="128"/>
      <c r="AY2360" s="128"/>
      <c r="AZ2360" s="128"/>
      <c r="BA2360" s="128"/>
      <c r="BB2360" s="128"/>
      <c r="BC2360" s="128"/>
      <c r="BD2360" s="128"/>
      <c r="BE2360" s="128"/>
      <c r="BF2360" s="128"/>
      <c r="BG2360" s="128"/>
      <c r="BH2360" s="128"/>
      <c r="BI2360" s="128"/>
      <c r="BJ2360" s="128"/>
      <c r="BK2360" s="128"/>
      <c r="BL2360" s="128"/>
      <c r="BM2360" s="151"/>
      <c r="BN2360" s="128"/>
      <c r="BO2360" s="128"/>
      <c r="BP2360" s="128"/>
      <c r="BQ2360" s="128"/>
      <c r="BR2360" s="128"/>
      <c r="BS2360" s="128"/>
      <c r="BT2360" s="128"/>
      <c r="BU2360" s="128"/>
      <c r="BV2360" s="128"/>
      <c r="BW2360" s="128"/>
      <c r="BX2360" s="128"/>
      <c r="BY2360" s="128"/>
      <c r="BZ2360" s="128"/>
      <c r="CA2360" s="128"/>
      <c r="CB2360" s="128"/>
      <c r="CC2360" s="128"/>
      <c r="CD2360" s="128"/>
      <c r="CE2360" s="128"/>
      <c r="CF2360" s="128"/>
      <c r="CG2360" s="128"/>
      <c r="CI2360" s="128"/>
      <c r="CJ2360" s="128"/>
      <c r="CK2360" s="128"/>
      <c r="CL2360" s="128"/>
      <c r="CM2360" s="128"/>
      <c r="CN2360" s="128"/>
      <c r="CO2360" s="128"/>
      <c r="CP2360" s="128"/>
      <c r="CQ2360" s="128"/>
      <c r="CR2360" s="128"/>
      <c r="CS2360" s="128"/>
      <c r="CT2360" s="128"/>
      <c r="CU2360" s="128"/>
      <c r="CV2360" s="128"/>
      <c r="CW2360" s="128"/>
      <c r="CX2360" s="128"/>
      <c r="CY2360" s="128"/>
      <c r="CZ2360" s="165"/>
    </row>
    <row r="2361" spans="1:104">
      <c r="A2361" s="149"/>
      <c r="B2361" s="149"/>
      <c r="C2361" s="150"/>
      <c r="D2361" s="102"/>
      <c r="E2361" s="149"/>
      <c r="F2361" s="149"/>
      <c r="G2361" s="149"/>
      <c r="H2361" s="149"/>
      <c r="I2361" s="149"/>
      <c r="J2361" s="149"/>
      <c r="K2361" s="149"/>
      <c r="L2361" s="149"/>
      <c r="M2361" s="149"/>
      <c r="N2361" s="149"/>
      <c r="O2361" s="149"/>
      <c r="P2361" s="149"/>
      <c r="Q2361" s="149"/>
      <c r="R2361" s="149"/>
      <c r="S2361" s="149"/>
      <c r="T2361" s="149"/>
      <c r="U2361" s="149"/>
      <c r="V2361" s="149"/>
      <c r="W2361" s="149"/>
      <c r="X2361" s="149"/>
      <c r="Y2361" s="149"/>
      <c r="Z2361" s="149"/>
      <c r="AA2361" s="149"/>
      <c r="AB2361" s="149"/>
      <c r="AC2361" s="149"/>
      <c r="AD2361" s="149"/>
      <c r="AE2361" s="149"/>
      <c r="AF2361" s="149"/>
      <c r="AG2361" s="149"/>
      <c r="AH2361" s="149"/>
      <c r="AI2361" s="149"/>
      <c r="AJ2361" s="149"/>
      <c r="AK2361" s="149"/>
      <c r="AL2361" s="149"/>
      <c r="AM2361" s="149"/>
      <c r="AN2361" s="149"/>
      <c r="AO2361" s="128"/>
      <c r="AP2361" s="128"/>
      <c r="AQ2361" s="128"/>
      <c r="AR2361" s="128"/>
      <c r="AS2361" s="128"/>
      <c r="AT2361" s="128"/>
      <c r="AU2361" s="128"/>
      <c r="AV2361" s="128"/>
      <c r="AW2361" s="128"/>
      <c r="AX2361" s="128"/>
      <c r="AY2361" s="128"/>
      <c r="AZ2361" s="128"/>
      <c r="BA2361" s="128"/>
      <c r="BB2361" s="128"/>
      <c r="BC2361" s="128"/>
      <c r="BD2361" s="128"/>
      <c r="BE2361" s="128"/>
      <c r="BF2361" s="128"/>
      <c r="BG2361" s="128"/>
      <c r="BH2361" s="128"/>
      <c r="BI2361" s="128"/>
      <c r="BJ2361" s="128"/>
      <c r="BK2361" s="128"/>
      <c r="BL2361" s="128"/>
      <c r="BM2361" s="151"/>
      <c r="BN2361" s="128"/>
      <c r="BO2361" s="128"/>
      <c r="BP2361" s="128"/>
      <c r="BQ2361" s="128"/>
      <c r="BR2361" s="128"/>
      <c r="BS2361" s="128"/>
      <c r="BT2361" s="128"/>
      <c r="BU2361" s="128"/>
      <c r="BV2361" s="128"/>
      <c r="BW2361" s="128"/>
      <c r="BX2361" s="128"/>
      <c r="BY2361" s="128"/>
      <c r="BZ2361" s="128"/>
      <c r="CA2361" s="128"/>
      <c r="CB2361" s="128"/>
      <c r="CC2361" s="128"/>
      <c r="CD2361" s="128"/>
      <c r="CE2361" s="128"/>
      <c r="CF2361" s="128"/>
      <c r="CG2361" s="128"/>
      <c r="CI2361" s="128"/>
      <c r="CJ2361" s="128"/>
      <c r="CK2361" s="128"/>
      <c r="CL2361" s="128"/>
      <c r="CM2361" s="128"/>
      <c r="CN2361" s="128"/>
      <c r="CO2361" s="128"/>
      <c r="CP2361" s="128"/>
      <c r="CQ2361" s="128"/>
      <c r="CR2361" s="128"/>
      <c r="CS2361" s="128"/>
      <c r="CT2361" s="128"/>
      <c r="CU2361" s="128"/>
      <c r="CV2361" s="128"/>
      <c r="CW2361" s="128"/>
      <c r="CX2361" s="128"/>
      <c r="CY2361" s="128"/>
      <c r="CZ2361" s="165"/>
    </row>
    <row r="2362" spans="1:104">
      <c r="A2362" s="149"/>
      <c r="B2362" s="149"/>
      <c r="C2362" s="150"/>
      <c r="D2362" s="102"/>
      <c r="E2362" s="149"/>
      <c r="F2362" s="149"/>
      <c r="G2362" s="149"/>
      <c r="H2362" s="149"/>
      <c r="I2362" s="149"/>
      <c r="J2362" s="149"/>
      <c r="K2362" s="149"/>
      <c r="L2362" s="149"/>
      <c r="M2362" s="149"/>
      <c r="N2362" s="149"/>
      <c r="O2362" s="149"/>
      <c r="P2362" s="149"/>
      <c r="Q2362" s="149"/>
      <c r="R2362" s="149"/>
      <c r="S2362" s="149"/>
      <c r="T2362" s="149"/>
      <c r="U2362" s="149"/>
      <c r="V2362" s="149"/>
      <c r="W2362" s="149"/>
      <c r="X2362" s="149"/>
      <c r="Y2362" s="149"/>
      <c r="Z2362" s="149"/>
      <c r="AA2362" s="149"/>
      <c r="AB2362" s="149"/>
      <c r="AC2362" s="149"/>
      <c r="AD2362" s="149"/>
      <c r="AE2362" s="149"/>
      <c r="AF2362" s="149"/>
      <c r="AG2362" s="149"/>
      <c r="AH2362" s="149"/>
      <c r="AI2362" s="149"/>
      <c r="AJ2362" s="149"/>
      <c r="AK2362" s="149"/>
      <c r="AL2362" s="149"/>
      <c r="AM2362" s="149"/>
      <c r="AN2362" s="149"/>
      <c r="AO2362" s="128"/>
      <c r="AP2362" s="128"/>
      <c r="AQ2362" s="128"/>
      <c r="AR2362" s="128"/>
      <c r="AS2362" s="128"/>
      <c r="AT2362" s="128"/>
      <c r="AU2362" s="128"/>
      <c r="AV2362" s="128"/>
      <c r="AW2362" s="128"/>
      <c r="AX2362" s="128"/>
      <c r="AY2362" s="128"/>
      <c r="AZ2362" s="128"/>
      <c r="BA2362" s="128"/>
      <c r="BB2362" s="128"/>
      <c r="BC2362" s="128"/>
      <c r="BD2362" s="128"/>
      <c r="BE2362" s="128"/>
      <c r="BF2362" s="128"/>
      <c r="BG2362" s="128"/>
      <c r="BH2362" s="128"/>
      <c r="BI2362" s="128"/>
      <c r="BJ2362" s="128"/>
      <c r="BK2362" s="128"/>
      <c r="BL2362" s="128"/>
      <c r="BM2362" s="151"/>
      <c r="BN2362" s="128"/>
      <c r="BO2362" s="128"/>
      <c r="BP2362" s="128"/>
      <c r="BQ2362" s="128"/>
      <c r="BR2362" s="128"/>
      <c r="BS2362" s="128"/>
      <c r="BT2362" s="128"/>
      <c r="BU2362" s="128"/>
      <c r="BV2362" s="128"/>
      <c r="BW2362" s="128"/>
      <c r="BX2362" s="128"/>
      <c r="BY2362" s="128"/>
      <c r="BZ2362" s="128"/>
      <c r="CA2362" s="128"/>
      <c r="CB2362" s="128"/>
      <c r="CC2362" s="128"/>
      <c r="CD2362" s="128"/>
      <c r="CE2362" s="128"/>
      <c r="CF2362" s="128"/>
      <c r="CG2362" s="128"/>
      <c r="CI2362" s="128"/>
      <c r="CJ2362" s="128"/>
      <c r="CK2362" s="128"/>
      <c r="CL2362" s="128"/>
      <c r="CM2362" s="128"/>
      <c r="CN2362" s="128"/>
      <c r="CO2362" s="128"/>
      <c r="CP2362" s="128"/>
      <c r="CQ2362" s="128"/>
      <c r="CR2362" s="128"/>
      <c r="CS2362" s="128"/>
      <c r="CT2362" s="128"/>
      <c r="CU2362" s="128"/>
      <c r="CV2362" s="128"/>
      <c r="CW2362" s="128"/>
      <c r="CX2362" s="128"/>
      <c r="CY2362" s="128"/>
      <c r="CZ2362" s="165"/>
    </row>
    <row r="2363" spans="1:104">
      <c r="A2363" s="149"/>
      <c r="B2363" s="149"/>
      <c r="C2363" s="150"/>
      <c r="D2363" s="102"/>
      <c r="E2363" s="149"/>
      <c r="F2363" s="149"/>
      <c r="G2363" s="149"/>
      <c r="H2363" s="149"/>
      <c r="I2363" s="149"/>
      <c r="J2363" s="149"/>
      <c r="K2363" s="149"/>
      <c r="L2363" s="149"/>
      <c r="M2363" s="149"/>
      <c r="N2363" s="149"/>
      <c r="O2363" s="149"/>
      <c r="P2363" s="149"/>
      <c r="Q2363" s="149"/>
      <c r="R2363" s="149"/>
      <c r="S2363" s="149"/>
      <c r="T2363" s="149"/>
      <c r="U2363" s="149"/>
      <c r="V2363" s="149"/>
      <c r="W2363" s="149"/>
      <c r="X2363" s="149"/>
      <c r="Y2363" s="149"/>
      <c r="Z2363" s="149"/>
      <c r="AA2363" s="149"/>
      <c r="AB2363" s="149"/>
      <c r="AC2363" s="149"/>
      <c r="AD2363" s="149"/>
      <c r="AE2363" s="149"/>
      <c r="AF2363" s="149"/>
      <c r="AG2363" s="149"/>
      <c r="AH2363" s="149"/>
      <c r="AI2363" s="149"/>
      <c r="AJ2363" s="149"/>
      <c r="AK2363" s="149"/>
      <c r="AL2363" s="149"/>
      <c r="AM2363" s="149"/>
      <c r="AN2363" s="149"/>
      <c r="AO2363" s="128"/>
      <c r="AP2363" s="128"/>
      <c r="AQ2363" s="128"/>
      <c r="AR2363" s="128"/>
      <c r="AS2363" s="128"/>
      <c r="AT2363" s="128"/>
      <c r="AU2363" s="128"/>
      <c r="AV2363" s="128"/>
      <c r="AW2363" s="128"/>
      <c r="AX2363" s="128"/>
      <c r="AY2363" s="128"/>
      <c r="AZ2363" s="128"/>
      <c r="BA2363" s="128"/>
      <c r="BB2363" s="128"/>
      <c r="BC2363" s="128"/>
      <c r="BD2363" s="128"/>
      <c r="BE2363" s="128"/>
      <c r="BF2363" s="128"/>
      <c r="BG2363" s="128"/>
      <c r="BH2363" s="128"/>
      <c r="BI2363" s="128"/>
      <c r="BJ2363" s="128"/>
      <c r="BK2363" s="128"/>
      <c r="BL2363" s="128"/>
      <c r="BM2363" s="151"/>
      <c r="BN2363" s="128"/>
      <c r="BO2363" s="128"/>
      <c r="BP2363" s="128"/>
      <c r="BQ2363" s="128"/>
      <c r="BR2363" s="128"/>
      <c r="BS2363" s="128"/>
      <c r="BT2363" s="128"/>
      <c r="BU2363" s="128"/>
      <c r="BV2363" s="128"/>
      <c r="BW2363" s="128"/>
      <c r="BX2363" s="128"/>
      <c r="BY2363" s="128"/>
      <c r="BZ2363" s="128"/>
      <c r="CA2363" s="128"/>
      <c r="CB2363" s="128"/>
      <c r="CC2363" s="128"/>
      <c r="CD2363" s="128"/>
      <c r="CE2363" s="128"/>
      <c r="CF2363" s="128"/>
      <c r="CG2363" s="128"/>
      <c r="CI2363" s="128"/>
      <c r="CJ2363" s="128"/>
      <c r="CK2363" s="128"/>
      <c r="CL2363" s="128"/>
      <c r="CM2363" s="128"/>
      <c r="CN2363" s="128"/>
      <c r="CO2363" s="128"/>
      <c r="CP2363" s="128"/>
      <c r="CQ2363" s="128"/>
      <c r="CR2363" s="128"/>
      <c r="CS2363" s="128"/>
      <c r="CT2363" s="128"/>
      <c r="CU2363" s="128"/>
      <c r="CV2363" s="128"/>
      <c r="CW2363" s="128"/>
      <c r="CX2363" s="128"/>
      <c r="CY2363" s="128"/>
      <c r="CZ2363" s="165"/>
    </row>
    <row r="2364" spans="1:104">
      <c r="A2364" s="149"/>
      <c r="B2364" s="149"/>
      <c r="C2364" s="150"/>
      <c r="D2364" s="102"/>
      <c r="E2364" s="149"/>
      <c r="F2364" s="149"/>
      <c r="G2364" s="149"/>
      <c r="H2364" s="149"/>
      <c r="I2364" s="149"/>
      <c r="J2364" s="149"/>
      <c r="K2364" s="149"/>
      <c r="L2364" s="149"/>
      <c r="M2364" s="149"/>
      <c r="N2364" s="149"/>
      <c r="O2364" s="149"/>
      <c r="P2364" s="149"/>
      <c r="Q2364" s="149"/>
      <c r="R2364" s="149"/>
      <c r="S2364" s="149"/>
      <c r="T2364" s="149"/>
      <c r="U2364" s="149"/>
      <c r="V2364" s="149"/>
      <c r="W2364" s="149"/>
      <c r="X2364" s="149"/>
      <c r="Y2364" s="149"/>
      <c r="Z2364" s="149"/>
      <c r="AA2364" s="149"/>
      <c r="AB2364" s="149"/>
      <c r="AC2364" s="149"/>
      <c r="AD2364" s="149"/>
      <c r="AE2364" s="149"/>
      <c r="AF2364" s="149"/>
      <c r="AG2364" s="149"/>
      <c r="AH2364" s="149"/>
      <c r="AI2364" s="149"/>
      <c r="AJ2364" s="149"/>
      <c r="AK2364" s="149"/>
      <c r="AL2364" s="149"/>
      <c r="AM2364" s="149"/>
      <c r="AN2364" s="149"/>
      <c r="AO2364" s="128"/>
      <c r="AP2364" s="128"/>
      <c r="AQ2364" s="128"/>
      <c r="AR2364" s="128"/>
      <c r="AS2364" s="128"/>
      <c r="AT2364" s="128"/>
      <c r="AU2364" s="128"/>
      <c r="AV2364" s="128"/>
      <c r="AW2364" s="128"/>
      <c r="AX2364" s="128"/>
      <c r="AY2364" s="128"/>
      <c r="AZ2364" s="128"/>
      <c r="BA2364" s="128"/>
      <c r="BB2364" s="128"/>
      <c r="BC2364" s="128"/>
      <c r="BD2364" s="128"/>
      <c r="BE2364" s="128"/>
      <c r="BF2364" s="128"/>
      <c r="BG2364" s="128"/>
      <c r="BH2364" s="128"/>
      <c r="BI2364" s="128"/>
      <c r="BJ2364" s="128"/>
      <c r="BK2364" s="128"/>
      <c r="BL2364" s="128"/>
      <c r="BM2364" s="151"/>
      <c r="BN2364" s="128"/>
      <c r="BO2364" s="128"/>
      <c r="BP2364" s="128"/>
      <c r="BQ2364" s="128"/>
      <c r="BR2364" s="128"/>
      <c r="BS2364" s="128"/>
      <c r="BT2364" s="128"/>
      <c r="BU2364" s="128"/>
      <c r="BV2364" s="128"/>
      <c r="BW2364" s="128"/>
      <c r="BX2364" s="128"/>
      <c r="BY2364" s="128"/>
      <c r="BZ2364" s="128"/>
      <c r="CA2364" s="128"/>
      <c r="CB2364" s="128"/>
      <c r="CC2364" s="128"/>
      <c r="CD2364" s="128"/>
      <c r="CE2364" s="128"/>
      <c r="CF2364" s="128"/>
      <c r="CG2364" s="128"/>
      <c r="CI2364" s="128"/>
      <c r="CJ2364" s="128"/>
      <c r="CK2364" s="128"/>
      <c r="CL2364" s="128"/>
      <c r="CM2364" s="128"/>
      <c r="CN2364" s="128"/>
      <c r="CO2364" s="128"/>
      <c r="CP2364" s="128"/>
      <c r="CQ2364" s="128"/>
      <c r="CR2364" s="128"/>
      <c r="CS2364" s="128"/>
      <c r="CT2364" s="128"/>
      <c r="CU2364" s="128"/>
      <c r="CV2364" s="128"/>
      <c r="CW2364" s="128"/>
      <c r="CX2364" s="128"/>
      <c r="CY2364" s="128"/>
      <c r="CZ2364" s="165"/>
    </row>
    <row r="2365" spans="1:104">
      <c r="A2365" s="149"/>
      <c r="B2365" s="149"/>
      <c r="C2365" s="150"/>
      <c r="D2365" s="102"/>
      <c r="E2365" s="149"/>
      <c r="F2365" s="149"/>
      <c r="G2365" s="149"/>
      <c r="H2365" s="149"/>
      <c r="I2365" s="149"/>
      <c r="J2365" s="149"/>
      <c r="K2365" s="149"/>
      <c r="L2365" s="149"/>
      <c r="M2365" s="149"/>
      <c r="N2365" s="149"/>
      <c r="O2365" s="149"/>
      <c r="P2365" s="149"/>
      <c r="Q2365" s="149"/>
      <c r="R2365" s="149"/>
      <c r="S2365" s="149"/>
      <c r="T2365" s="149"/>
      <c r="U2365" s="149"/>
      <c r="V2365" s="149"/>
      <c r="W2365" s="149"/>
      <c r="X2365" s="149"/>
      <c r="Y2365" s="149"/>
      <c r="Z2365" s="149"/>
      <c r="AA2365" s="149"/>
      <c r="AB2365" s="149"/>
      <c r="AC2365" s="149"/>
      <c r="AD2365" s="149"/>
      <c r="AE2365" s="149"/>
      <c r="AF2365" s="149"/>
      <c r="AG2365" s="149"/>
      <c r="AH2365" s="149"/>
      <c r="AI2365" s="149"/>
      <c r="AJ2365" s="149"/>
      <c r="AK2365" s="149"/>
      <c r="AL2365" s="149"/>
      <c r="AM2365" s="149"/>
      <c r="AN2365" s="149"/>
      <c r="AO2365" s="128"/>
      <c r="AP2365" s="128"/>
      <c r="AQ2365" s="128"/>
      <c r="AR2365" s="128"/>
      <c r="AS2365" s="128"/>
      <c r="AT2365" s="128"/>
      <c r="AU2365" s="128"/>
      <c r="AV2365" s="128"/>
      <c r="AW2365" s="128"/>
      <c r="AX2365" s="128"/>
      <c r="AY2365" s="128"/>
      <c r="AZ2365" s="128"/>
      <c r="BA2365" s="128"/>
      <c r="BB2365" s="128"/>
      <c r="BC2365" s="128"/>
      <c r="BD2365" s="128"/>
      <c r="BE2365" s="128"/>
      <c r="BF2365" s="128"/>
      <c r="BG2365" s="128"/>
      <c r="BH2365" s="128"/>
      <c r="BI2365" s="128"/>
      <c r="BJ2365" s="128"/>
      <c r="BK2365" s="128"/>
      <c r="BL2365" s="128"/>
      <c r="BM2365" s="151"/>
      <c r="BN2365" s="128"/>
      <c r="BO2365" s="128"/>
      <c r="BP2365" s="128"/>
      <c r="BQ2365" s="128"/>
      <c r="BR2365" s="128"/>
      <c r="BS2365" s="128"/>
      <c r="BT2365" s="128"/>
      <c r="BU2365" s="128"/>
      <c r="BV2365" s="128"/>
      <c r="BW2365" s="128"/>
      <c r="BX2365" s="128"/>
      <c r="BY2365" s="128"/>
      <c r="BZ2365" s="128"/>
      <c r="CA2365" s="128"/>
      <c r="CB2365" s="128"/>
      <c r="CC2365" s="128"/>
      <c r="CD2365" s="128"/>
      <c r="CE2365" s="128"/>
      <c r="CF2365" s="128"/>
      <c r="CG2365" s="128"/>
      <c r="CI2365" s="128"/>
      <c r="CJ2365" s="128"/>
      <c r="CK2365" s="128"/>
      <c r="CL2365" s="128"/>
      <c r="CM2365" s="128"/>
      <c r="CN2365" s="128"/>
      <c r="CO2365" s="128"/>
      <c r="CP2365" s="128"/>
      <c r="CQ2365" s="128"/>
      <c r="CR2365" s="128"/>
      <c r="CS2365" s="128"/>
      <c r="CT2365" s="128"/>
      <c r="CU2365" s="128"/>
      <c r="CV2365" s="128"/>
      <c r="CW2365" s="128"/>
      <c r="CX2365" s="128"/>
      <c r="CY2365" s="128"/>
      <c r="CZ2365" s="165"/>
    </row>
    <row r="2366" spans="1:104">
      <c r="A2366" s="149"/>
      <c r="B2366" s="149"/>
      <c r="C2366" s="150"/>
      <c r="D2366" s="102"/>
      <c r="E2366" s="149"/>
      <c r="F2366" s="149"/>
      <c r="G2366" s="149"/>
      <c r="H2366" s="149"/>
      <c r="I2366" s="149"/>
      <c r="J2366" s="149"/>
      <c r="K2366" s="149"/>
      <c r="L2366" s="149"/>
      <c r="M2366" s="149"/>
      <c r="N2366" s="149"/>
      <c r="O2366" s="149"/>
      <c r="P2366" s="149"/>
      <c r="Q2366" s="149"/>
      <c r="R2366" s="149"/>
      <c r="S2366" s="149"/>
      <c r="T2366" s="149"/>
      <c r="U2366" s="149"/>
      <c r="V2366" s="149"/>
      <c r="W2366" s="149"/>
      <c r="X2366" s="149"/>
      <c r="Y2366" s="149"/>
      <c r="Z2366" s="149"/>
      <c r="AA2366" s="149"/>
      <c r="AB2366" s="149"/>
      <c r="AC2366" s="149"/>
      <c r="AD2366" s="149"/>
      <c r="AE2366" s="149"/>
      <c r="AF2366" s="149"/>
      <c r="AG2366" s="149"/>
      <c r="AH2366" s="149"/>
      <c r="AI2366" s="149"/>
      <c r="AJ2366" s="149"/>
      <c r="AK2366" s="149"/>
      <c r="AL2366" s="149"/>
      <c r="AM2366" s="149"/>
      <c r="AN2366" s="149"/>
      <c r="AO2366" s="128"/>
      <c r="AP2366" s="128"/>
      <c r="AQ2366" s="128"/>
      <c r="AR2366" s="128"/>
      <c r="AS2366" s="128"/>
      <c r="AT2366" s="128"/>
      <c r="AU2366" s="128"/>
      <c r="AV2366" s="128"/>
      <c r="AW2366" s="128"/>
      <c r="AX2366" s="128"/>
      <c r="AY2366" s="128"/>
      <c r="AZ2366" s="128"/>
      <c r="BA2366" s="128"/>
      <c r="BB2366" s="128"/>
      <c r="BC2366" s="128"/>
      <c r="BD2366" s="128"/>
      <c r="BE2366" s="128"/>
      <c r="BF2366" s="128"/>
      <c r="BG2366" s="128"/>
      <c r="BH2366" s="128"/>
      <c r="BI2366" s="128"/>
      <c r="BJ2366" s="128"/>
      <c r="BK2366" s="128"/>
      <c r="BL2366" s="128"/>
      <c r="BM2366" s="151"/>
      <c r="BN2366" s="128"/>
      <c r="BO2366" s="128"/>
      <c r="BP2366" s="128"/>
      <c r="BQ2366" s="128"/>
      <c r="BR2366" s="128"/>
      <c r="BS2366" s="128"/>
      <c r="BT2366" s="128"/>
      <c r="BU2366" s="128"/>
      <c r="BV2366" s="128"/>
      <c r="BW2366" s="128"/>
      <c r="BX2366" s="128"/>
      <c r="BY2366" s="128"/>
      <c r="BZ2366" s="128"/>
      <c r="CA2366" s="128"/>
      <c r="CB2366" s="128"/>
      <c r="CC2366" s="128"/>
      <c r="CD2366" s="128"/>
      <c r="CE2366" s="128"/>
      <c r="CF2366" s="128"/>
      <c r="CG2366" s="128"/>
      <c r="CI2366" s="128"/>
      <c r="CJ2366" s="128"/>
      <c r="CK2366" s="128"/>
      <c r="CL2366" s="128"/>
      <c r="CM2366" s="128"/>
      <c r="CN2366" s="128"/>
      <c r="CO2366" s="128"/>
      <c r="CP2366" s="128"/>
      <c r="CQ2366" s="128"/>
      <c r="CR2366" s="128"/>
      <c r="CS2366" s="128"/>
      <c r="CT2366" s="128"/>
      <c r="CU2366" s="128"/>
      <c r="CV2366" s="128"/>
      <c r="CW2366" s="128"/>
      <c r="CX2366" s="128"/>
      <c r="CY2366" s="128"/>
      <c r="CZ2366" s="165"/>
    </row>
    <row r="2367" spans="1:104">
      <c r="A2367" s="149"/>
      <c r="B2367" s="149"/>
      <c r="C2367" s="150"/>
      <c r="D2367" s="102"/>
      <c r="E2367" s="149"/>
      <c r="F2367" s="149"/>
      <c r="G2367" s="149"/>
      <c r="H2367" s="149"/>
      <c r="I2367" s="149"/>
      <c r="J2367" s="149"/>
      <c r="K2367" s="149"/>
      <c r="L2367" s="149"/>
      <c r="M2367" s="149"/>
      <c r="N2367" s="149"/>
      <c r="O2367" s="149"/>
      <c r="P2367" s="149"/>
      <c r="Q2367" s="149"/>
      <c r="R2367" s="149"/>
      <c r="S2367" s="149"/>
      <c r="T2367" s="149"/>
      <c r="U2367" s="149"/>
      <c r="V2367" s="149"/>
      <c r="W2367" s="149"/>
      <c r="X2367" s="149"/>
      <c r="Y2367" s="149"/>
      <c r="Z2367" s="149"/>
      <c r="AA2367" s="149"/>
      <c r="AB2367" s="149"/>
      <c r="AC2367" s="149"/>
      <c r="AD2367" s="149"/>
      <c r="AE2367" s="149"/>
      <c r="AF2367" s="149"/>
      <c r="AG2367" s="149"/>
      <c r="AH2367" s="149"/>
      <c r="AI2367" s="149"/>
      <c r="AJ2367" s="149"/>
      <c r="AK2367" s="149"/>
      <c r="AL2367" s="149"/>
      <c r="AM2367" s="149"/>
      <c r="AN2367" s="149"/>
      <c r="AO2367" s="128"/>
      <c r="AP2367" s="128"/>
      <c r="AQ2367" s="128"/>
      <c r="AR2367" s="128"/>
      <c r="AS2367" s="128"/>
      <c r="AT2367" s="128"/>
      <c r="AU2367" s="128"/>
      <c r="AV2367" s="128"/>
      <c r="AW2367" s="128"/>
      <c r="AX2367" s="128"/>
      <c r="AY2367" s="128"/>
      <c r="AZ2367" s="128"/>
      <c r="BA2367" s="128"/>
      <c r="BB2367" s="128"/>
      <c r="BC2367" s="128"/>
      <c r="BD2367" s="128"/>
      <c r="BE2367" s="128"/>
      <c r="BF2367" s="128"/>
      <c r="BG2367" s="128"/>
      <c r="BH2367" s="128"/>
      <c r="BI2367" s="128"/>
      <c r="BJ2367" s="128"/>
      <c r="BK2367" s="128"/>
      <c r="BL2367" s="128"/>
      <c r="BM2367" s="151"/>
      <c r="BN2367" s="128"/>
      <c r="BO2367" s="128"/>
      <c r="BP2367" s="128"/>
      <c r="BQ2367" s="128"/>
      <c r="BR2367" s="128"/>
      <c r="BS2367" s="128"/>
      <c r="BT2367" s="128"/>
      <c r="BU2367" s="128"/>
      <c r="BV2367" s="128"/>
      <c r="BW2367" s="128"/>
      <c r="BX2367" s="128"/>
      <c r="BY2367" s="128"/>
      <c r="BZ2367" s="128"/>
      <c r="CA2367" s="128"/>
      <c r="CB2367" s="128"/>
      <c r="CC2367" s="128"/>
      <c r="CD2367" s="128"/>
      <c r="CE2367" s="128"/>
      <c r="CF2367" s="128"/>
      <c r="CG2367" s="128"/>
      <c r="CI2367" s="128"/>
      <c r="CJ2367" s="128"/>
      <c r="CK2367" s="128"/>
      <c r="CL2367" s="128"/>
      <c r="CM2367" s="128"/>
      <c r="CN2367" s="128"/>
      <c r="CO2367" s="128"/>
      <c r="CP2367" s="128"/>
      <c r="CQ2367" s="128"/>
      <c r="CR2367" s="128"/>
      <c r="CS2367" s="128"/>
      <c r="CT2367" s="128"/>
      <c r="CU2367" s="128"/>
      <c r="CV2367" s="128"/>
      <c r="CW2367" s="128"/>
      <c r="CX2367" s="128"/>
      <c r="CY2367" s="128"/>
      <c r="CZ2367" s="165"/>
    </row>
    <row r="2368" spans="1:104">
      <c r="A2368" s="149"/>
      <c r="B2368" s="149"/>
      <c r="C2368" s="150"/>
      <c r="D2368" s="102"/>
      <c r="E2368" s="149"/>
      <c r="F2368" s="149"/>
      <c r="G2368" s="149"/>
      <c r="H2368" s="149"/>
      <c r="I2368" s="149"/>
      <c r="J2368" s="149"/>
      <c r="K2368" s="149"/>
      <c r="L2368" s="149"/>
      <c r="M2368" s="149"/>
      <c r="N2368" s="149"/>
      <c r="O2368" s="149"/>
      <c r="P2368" s="149"/>
      <c r="Q2368" s="149"/>
      <c r="R2368" s="149"/>
      <c r="S2368" s="149"/>
      <c r="T2368" s="149"/>
      <c r="U2368" s="149"/>
      <c r="V2368" s="149"/>
      <c r="W2368" s="149"/>
      <c r="X2368" s="149"/>
      <c r="Y2368" s="149"/>
      <c r="Z2368" s="149"/>
      <c r="AA2368" s="149"/>
      <c r="AB2368" s="149"/>
      <c r="AC2368" s="149"/>
      <c r="AD2368" s="149"/>
      <c r="AE2368" s="149"/>
      <c r="AF2368" s="149"/>
      <c r="AG2368" s="149"/>
      <c r="AH2368" s="149"/>
      <c r="AI2368" s="149"/>
      <c r="AJ2368" s="149"/>
      <c r="AK2368" s="149"/>
      <c r="AL2368" s="149"/>
      <c r="AM2368" s="149"/>
      <c r="AN2368" s="149"/>
      <c r="AO2368" s="128"/>
      <c r="AP2368" s="128"/>
      <c r="AQ2368" s="128"/>
      <c r="AR2368" s="128"/>
      <c r="AS2368" s="128"/>
      <c r="AT2368" s="128"/>
      <c r="AU2368" s="128"/>
      <c r="AV2368" s="128"/>
      <c r="AW2368" s="128"/>
      <c r="AX2368" s="128"/>
      <c r="AY2368" s="128"/>
      <c r="AZ2368" s="128"/>
      <c r="BA2368" s="128"/>
      <c r="BB2368" s="128"/>
      <c r="BC2368" s="128"/>
      <c r="BD2368" s="128"/>
      <c r="BE2368" s="128"/>
      <c r="BF2368" s="128"/>
      <c r="BG2368" s="128"/>
      <c r="BH2368" s="128"/>
      <c r="BI2368" s="128"/>
      <c r="BJ2368" s="128"/>
      <c r="BK2368" s="128"/>
      <c r="BL2368" s="128"/>
      <c r="BM2368" s="151"/>
      <c r="BN2368" s="128"/>
      <c r="BO2368" s="128"/>
      <c r="BP2368" s="128"/>
      <c r="BQ2368" s="128"/>
      <c r="BR2368" s="128"/>
      <c r="BS2368" s="128"/>
      <c r="BT2368" s="128"/>
      <c r="BU2368" s="128"/>
      <c r="BV2368" s="128"/>
      <c r="BW2368" s="128"/>
      <c r="BX2368" s="128"/>
      <c r="BY2368" s="128"/>
      <c r="BZ2368" s="128"/>
      <c r="CA2368" s="128"/>
      <c r="CB2368" s="128"/>
      <c r="CC2368" s="128"/>
      <c r="CD2368" s="128"/>
      <c r="CE2368" s="128"/>
      <c r="CF2368" s="128"/>
      <c r="CG2368" s="128"/>
      <c r="CI2368" s="128"/>
      <c r="CJ2368" s="128"/>
      <c r="CK2368" s="128"/>
      <c r="CL2368" s="128"/>
      <c r="CM2368" s="128"/>
      <c r="CN2368" s="128"/>
      <c r="CO2368" s="128"/>
      <c r="CP2368" s="128"/>
      <c r="CQ2368" s="128"/>
      <c r="CR2368" s="128"/>
      <c r="CS2368" s="128"/>
      <c r="CT2368" s="128"/>
      <c r="CU2368" s="128"/>
      <c r="CV2368" s="128"/>
      <c r="CW2368" s="128"/>
      <c r="CX2368" s="128"/>
      <c r="CY2368" s="128"/>
      <c r="CZ2368" s="165"/>
    </row>
    <row r="2369" spans="1:104">
      <c r="A2369" s="149"/>
      <c r="B2369" s="149"/>
      <c r="C2369" s="150"/>
      <c r="D2369" s="102"/>
      <c r="E2369" s="149"/>
      <c r="F2369" s="149"/>
      <c r="G2369" s="149"/>
      <c r="H2369" s="149"/>
      <c r="I2369" s="149"/>
      <c r="J2369" s="149"/>
      <c r="K2369" s="149"/>
      <c r="L2369" s="149"/>
      <c r="M2369" s="149"/>
      <c r="N2369" s="149"/>
      <c r="O2369" s="149"/>
      <c r="P2369" s="149"/>
      <c r="Q2369" s="149"/>
      <c r="R2369" s="149"/>
      <c r="S2369" s="149"/>
      <c r="T2369" s="149"/>
      <c r="U2369" s="149"/>
      <c r="V2369" s="149"/>
      <c r="W2369" s="149"/>
      <c r="X2369" s="149"/>
      <c r="Y2369" s="149"/>
      <c r="Z2369" s="149"/>
      <c r="AA2369" s="149"/>
      <c r="AB2369" s="149"/>
      <c r="AC2369" s="149"/>
      <c r="AD2369" s="149"/>
      <c r="AE2369" s="149"/>
      <c r="AF2369" s="149"/>
      <c r="AG2369" s="149"/>
      <c r="AH2369" s="149"/>
      <c r="AI2369" s="149"/>
      <c r="AJ2369" s="149"/>
      <c r="AK2369" s="149"/>
      <c r="AL2369" s="149"/>
      <c r="AM2369" s="149"/>
      <c r="AN2369" s="149"/>
      <c r="AO2369" s="128"/>
      <c r="AP2369" s="128"/>
      <c r="AQ2369" s="128"/>
      <c r="AR2369" s="128"/>
      <c r="AS2369" s="128"/>
      <c r="AT2369" s="128"/>
      <c r="AU2369" s="128"/>
      <c r="AV2369" s="128"/>
      <c r="AW2369" s="128"/>
      <c r="AX2369" s="128"/>
      <c r="AY2369" s="128"/>
      <c r="AZ2369" s="128"/>
      <c r="BA2369" s="128"/>
      <c r="BB2369" s="128"/>
      <c r="BC2369" s="128"/>
      <c r="BD2369" s="128"/>
      <c r="BE2369" s="128"/>
      <c r="BF2369" s="128"/>
      <c r="BG2369" s="128"/>
      <c r="BH2369" s="128"/>
      <c r="BI2369" s="128"/>
      <c r="BJ2369" s="128"/>
      <c r="BK2369" s="128"/>
      <c r="BL2369" s="128"/>
      <c r="BM2369" s="151"/>
      <c r="BN2369" s="128"/>
      <c r="BO2369" s="128"/>
      <c r="BP2369" s="128"/>
      <c r="BQ2369" s="128"/>
      <c r="BR2369" s="128"/>
      <c r="BS2369" s="128"/>
      <c r="BT2369" s="128"/>
      <c r="BU2369" s="128"/>
      <c r="BV2369" s="128"/>
      <c r="BW2369" s="128"/>
      <c r="BX2369" s="128"/>
      <c r="BY2369" s="128"/>
      <c r="BZ2369" s="128"/>
      <c r="CA2369" s="128"/>
      <c r="CB2369" s="128"/>
      <c r="CC2369" s="128"/>
      <c r="CD2369" s="128"/>
      <c r="CE2369" s="128"/>
      <c r="CF2369" s="128"/>
      <c r="CG2369" s="128"/>
      <c r="CI2369" s="128"/>
      <c r="CJ2369" s="128"/>
      <c r="CK2369" s="128"/>
      <c r="CL2369" s="128"/>
      <c r="CM2369" s="128"/>
      <c r="CN2369" s="128"/>
      <c r="CO2369" s="128"/>
      <c r="CP2369" s="128"/>
      <c r="CQ2369" s="128"/>
      <c r="CR2369" s="128"/>
      <c r="CS2369" s="128"/>
      <c r="CT2369" s="128"/>
      <c r="CU2369" s="128"/>
      <c r="CV2369" s="128"/>
      <c r="CW2369" s="128"/>
      <c r="CX2369" s="128"/>
      <c r="CY2369" s="128"/>
      <c r="CZ2369" s="165"/>
    </row>
    <row r="2370" spans="1:104">
      <c r="A2370" s="149"/>
      <c r="B2370" s="149"/>
      <c r="C2370" s="150"/>
      <c r="D2370" s="102"/>
      <c r="E2370" s="149"/>
      <c r="F2370" s="149"/>
      <c r="G2370" s="149"/>
      <c r="H2370" s="149"/>
      <c r="I2370" s="149"/>
      <c r="J2370" s="149"/>
      <c r="K2370" s="149"/>
      <c r="L2370" s="149"/>
      <c r="M2370" s="149"/>
      <c r="N2370" s="149"/>
      <c r="O2370" s="149"/>
      <c r="P2370" s="149"/>
      <c r="Q2370" s="149"/>
      <c r="R2370" s="149"/>
      <c r="S2370" s="149"/>
      <c r="T2370" s="149"/>
      <c r="U2370" s="149"/>
      <c r="V2370" s="149"/>
      <c r="W2370" s="149"/>
      <c r="X2370" s="149"/>
      <c r="Y2370" s="149"/>
      <c r="Z2370" s="149"/>
      <c r="AA2370" s="149"/>
      <c r="AB2370" s="149"/>
      <c r="AC2370" s="149"/>
      <c r="AD2370" s="149"/>
      <c r="AE2370" s="149"/>
      <c r="AF2370" s="149"/>
      <c r="AG2370" s="149"/>
      <c r="AH2370" s="149"/>
      <c r="AI2370" s="149"/>
      <c r="AJ2370" s="149"/>
      <c r="AK2370" s="149"/>
      <c r="AL2370" s="149"/>
      <c r="AM2370" s="149"/>
      <c r="AN2370" s="149"/>
      <c r="AO2370" s="128"/>
      <c r="AP2370" s="128"/>
      <c r="AQ2370" s="128"/>
      <c r="AR2370" s="128"/>
      <c r="AS2370" s="128"/>
      <c r="AT2370" s="128"/>
      <c r="AU2370" s="128"/>
      <c r="AV2370" s="128"/>
      <c r="AW2370" s="128"/>
      <c r="AX2370" s="128"/>
      <c r="AY2370" s="128"/>
      <c r="AZ2370" s="128"/>
      <c r="BA2370" s="128"/>
      <c r="BB2370" s="128"/>
      <c r="BC2370" s="128"/>
      <c r="BD2370" s="128"/>
      <c r="BE2370" s="128"/>
      <c r="BF2370" s="128"/>
      <c r="BG2370" s="128"/>
      <c r="BH2370" s="128"/>
      <c r="BI2370" s="128"/>
      <c r="BJ2370" s="128"/>
      <c r="BK2370" s="128"/>
      <c r="BL2370" s="128"/>
      <c r="BM2370" s="151"/>
      <c r="BN2370" s="128"/>
      <c r="BO2370" s="128"/>
      <c r="BP2370" s="128"/>
      <c r="BQ2370" s="128"/>
      <c r="BR2370" s="128"/>
      <c r="BS2370" s="128"/>
      <c r="BT2370" s="128"/>
      <c r="BU2370" s="128"/>
      <c r="BV2370" s="128"/>
      <c r="BW2370" s="128"/>
      <c r="BX2370" s="128"/>
      <c r="BY2370" s="128"/>
      <c r="BZ2370" s="128"/>
      <c r="CA2370" s="128"/>
      <c r="CB2370" s="128"/>
      <c r="CC2370" s="128"/>
      <c r="CD2370" s="128"/>
      <c r="CE2370" s="128"/>
      <c r="CF2370" s="128"/>
      <c r="CG2370" s="128"/>
      <c r="CI2370" s="128"/>
      <c r="CJ2370" s="128"/>
      <c r="CK2370" s="128"/>
      <c r="CL2370" s="128"/>
      <c r="CM2370" s="128"/>
      <c r="CN2370" s="128"/>
      <c r="CO2370" s="128"/>
      <c r="CP2370" s="128"/>
      <c r="CQ2370" s="128"/>
      <c r="CR2370" s="128"/>
      <c r="CS2370" s="128"/>
      <c r="CT2370" s="128"/>
      <c r="CU2370" s="128"/>
      <c r="CV2370" s="128"/>
      <c r="CW2370" s="128"/>
      <c r="CX2370" s="128"/>
      <c r="CY2370" s="128"/>
      <c r="CZ2370" s="165"/>
    </row>
    <row r="2371" spans="1:104">
      <c r="A2371" s="149"/>
      <c r="B2371" s="149"/>
      <c r="C2371" s="150"/>
      <c r="D2371" s="102"/>
      <c r="E2371" s="149"/>
      <c r="F2371" s="149"/>
      <c r="G2371" s="149"/>
      <c r="H2371" s="149"/>
      <c r="I2371" s="149"/>
      <c r="J2371" s="149"/>
      <c r="K2371" s="149"/>
      <c r="L2371" s="149"/>
      <c r="M2371" s="149"/>
      <c r="N2371" s="149"/>
      <c r="O2371" s="149"/>
      <c r="P2371" s="149"/>
      <c r="Q2371" s="149"/>
      <c r="R2371" s="149"/>
      <c r="S2371" s="149"/>
      <c r="T2371" s="149"/>
      <c r="U2371" s="149"/>
      <c r="V2371" s="149"/>
      <c r="W2371" s="149"/>
      <c r="X2371" s="149"/>
      <c r="Y2371" s="149"/>
      <c r="Z2371" s="149"/>
      <c r="AA2371" s="149"/>
      <c r="AB2371" s="149"/>
      <c r="AC2371" s="149"/>
      <c r="AD2371" s="149"/>
      <c r="AE2371" s="149"/>
      <c r="AF2371" s="149"/>
      <c r="AG2371" s="149"/>
      <c r="AH2371" s="149"/>
      <c r="AI2371" s="149"/>
      <c r="AJ2371" s="149"/>
      <c r="AK2371" s="149"/>
      <c r="AL2371" s="149"/>
      <c r="AM2371" s="149"/>
      <c r="AN2371" s="149"/>
      <c r="AO2371" s="128"/>
      <c r="AP2371" s="128"/>
      <c r="AQ2371" s="128"/>
      <c r="AR2371" s="128"/>
      <c r="AS2371" s="128"/>
      <c r="AT2371" s="128"/>
      <c r="AU2371" s="128"/>
      <c r="AV2371" s="128"/>
      <c r="AW2371" s="128"/>
      <c r="AX2371" s="128"/>
      <c r="AY2371" s="128"/>
      <c r="AZ2371" s="128"/>
      <c r="BA2371" s="128"/>
      <c r="BB2371" s="128"/>
      <c r="BC2371" s="128"/>
      <c r="BD2371" s="128"/>
      <c r="BE2371" s="128"/>
      <c r="BF2371" s="128"/>
      <c r="BG2371" s="128"/>
      <c r="BH2371" s="128"/>
      <c r="BI2371" s="128"/>
      <c r="BJ2371" s="128"/>
      <c r="BK2371" s="128"/>
      <c r="BL2371" s="128"/>
      <c r="BM2371" s="151"/>
      <c r="BN2371" s="128"/>
      <c r="BO2371" s="128"/>
      <c r="BP2371" s="128"/>
      <c r="BQ2371" s="128"/>
      <c r="BR2371" s="128"/>
      <c r="BS2371" s="128"/>
      <c r="BT2371" s="128"/>
      <c r="BU2371" s="128"/>
      <c r="BV2371" s="128"/>
      <c r="BW2371" s="128"/>
      <c r="BX2371" s="128"/>
      <c r="BY2371" s="128"/>
      <c r="BZ2371" s="128"/>
      <c r="CA2371" s="128"/>
      <c r="CB2371" s="128"/>
      <c r="CC2371" s="128"/>
      <c r="CD2371" s="128"/>
      <c r="CE2371" s="128"/>
      <c r="CF2371" s="128"/>
      <c r="CG2371" s="128"/>
      <c r="CI2371" s="128"/>
      <c r="CJ2371" s="128"/>
      <c r="CK2371" s="128"/>
      <c r="CL2371" s="128"/>
      <c r="CM2371" s="128"/>
      <c r="CN2371" s="128"/>
      <c r="CO2371" s="128"/>
      <c r="CP2371" s="128"/>
      <c r="CQ2371" s="128"/>
      <c r="CR2371" s="128"/>
      <c r="CS2371" s="128"/>
      <c r="CT2371" s="128"/>
      <c r="CU2371" s="128"/>
      <c r="CV2371" s="128"/>
      <c r="CW2371" s="128"/>
      <c r="CX2371" s="128"/>
      <c r="CY2371" s="128"/>
      <c r="CZ2371" s="165"/>
    </row>
    <row r="2372" spans="1:104">
      <c r="A2372" s="149"/>
      <c r="B2372" s="149"/>
      <c r="C2372" s="150"/>
      <c r="D2372" s="102"/>
      <c r="E2372" s="149"/>
      <c r="F2372" s="149"/>
      <c r="G2372" s="149"/>
      <c r="H2372" s="149"/>
      <c r="I2372" s="149"/>
      <c r="J2372" s="149"/>
      <c r="K2372" s="149"/>
      <c r="L2372" s="149"/>
      <c r="M2372" s="149"/>
      <c r="N2372" s="149"/>
      <c r="O2372" s="149"/>
      <c r="P2372" s="149"/>
      <c r="Q2372" s="149"/>
      <c r="R2372" s="149"/>
      <c r="S2372" s="149"/>
      <c r="T2372" s="149"/>
      <c r="U2372" s="149"/>
      <c r="V2372" s="149"/>
      <c r="W2372" s="149"/>
      <c r="X2372" s="149"/>
      <c r="Y2372" s="149"/>
      <c r="Z2372" s="149"/>
      <c r="AA2372" s="149"/>
      <c r="AB2372" s="149"/>
      <c r="AC2372" s="149"/>
      <c r="AD2372" s="149"/>
      <c r="AE2372" s="149"/>
      <c r="AF2372" s="149"/>
      <c r="AG2372" s="149"/>
      <c r="AH2372" s="149"/>
      <c r="AI2372" s="149"/>
      <c r="AJ2372" s="149"/>
      <c r="AK2372" s="149"/>
      <c r="AL2372" s="149"/>
      <c r="AM2372" s="149"/>
      <c r="AN2372" s="149"/>
      <c r="AO2372" s="128"/>
      <c r="AP2372" s="128"/>
      <c r="AQ2372" s="128"/>
      <c r="AR2372" s="128"/>
      <c r="AS2372" s="128"/>
      <c r="AT2372" s="128"/>
      <c r="AU2372" s="128"/>
      <c r="AV2372" s="128"/>
      <c r="AW2372" s="128"/>
      <c r="AX2372" s="128"/>
      <c r="AY2372" s="128"/>
      <c r="AZ2372" s="128"/>
      <c r="BA2372" s="128"/>
      <c r="BB2372" s="128"/>
      <c r="BC2372" s="128"/>
      <c r="BD2372" s="128"/>
      <c r="BE2372" s="128"/>
      <c r="BF2372" s="128"/>
      <c r="BG2372" s="128"/>
      <c r="BH2372" s="128"/>
      <c r="BI2372" s="128"/>
      <c r="BJ2372" s="128"/>
      <c r="BK2372" s="128"/>
      <c r="BL2372" s="128"/>
      <c r="BM2372" s="151"/>
      <c r="BN2372" s="128"/>
      <c r="BO2372" s="128"/>
      <c r="BP2372" s="128"/>
      <c r="BQ2372" s="128"/>
      <c r="BR2372" s="128"/>
      <c r="BS2372" s="128"/>
      <c r="BT2372" s="128"/>
      <c r="BU2372" s="128"/>
      <c r="BV2372" s="128"/>
      <c r="BW2372" s="128"/>
      <c r="BX2372" s="128"/>
      <c r="BY2372" s="128"/>
      <c r="BZ2372" s="128"/>
      <c r="CA2372" s="128"/>
      <c r="CB2372" s="128"/>
      <c r="CC2372" s="128"/>
      <c r="CD2372" s="128"/>
      <c r="CE2372" s="128"/>
      <c r="CF2372" s="128"/>
      <c r="CG2372" s="128"/>
      <c r="CI2372" s="128"/>
      <c r="CJ2372" s="128"/>
      <c r="CK2372" s="128"/>
      <c r="CL2372" s="128"/>
      <c r="CM2372" s="128"/>
      <c r="CN2372" s="128"/>
      <c r="CO2372" s="128"/>
      <c r="CP2372" s="128"/>
      <c r="CQ2372" s="128"/>
      <c r="CR2372" s="128"/>
      <c r="CS2372" s="128"/>
      <c r="CT2372" s="128"/>
      <c r="CU2372" s="128"/>
      <c r="CV2372" s="128"/>
      <c r="CW2372" s="128"/>
      <c r="CX2372" s="128"/>
      <c r="CY2372" s="128"/>
      <c r="CZ2372" s="165"/>
    </row>
    <row r="2373" spans="1:104">
      <c r="A2373" s="149"/>
      <c r="B2373" s="149"/>
      <c r="C2373" s="150"/>
      <c r="D2373" s="102"/>
      <c r="E2373" s="149"/>
      <c r="F2373" s="149"/>
      <c r="G2373" s="149"/>
      <c r="H2373" s="149"/>
      <c r="I2373" s="149"/>
      <c r="J2373" s="149"/>
      <c r="K2373" s="149"/>
      <c r="L2373" s="149"/>
      <c r="M2373" s="149"/>
      <c r="N2373" s="149"/>
      <c r="O2373" s="149"/>
      <c r="P2373" s="149"/>
      <c r="Q2373" s="149"/>
      <c r="R2373" s="149"/>
      <c r="S2373" s="149"/>
      <c r="T2373" s="149"/>
      <c r="U2373" s="149"/>
      <c r="V2373" s="149"/>
      <c r="W2373" s="149"/>
      <c r="X2373" s="149"/>
      <c r="Y2373" s="149"/>
      <c r="Z2373" s="149"/>
      <c r="AA2373" s="149"/>
      <c r="AB2373" s="149"/>
      <c r="AC2373" s="149"/>
      <c r="AD2373" s="149"/>
      <c r="AE2373" s="149"/>
      <c r="AF2373" s="149"/>
      <c r="AG2373" s="149"/>
      <c r="AH2373" s="149"/>
      <c r="AI2373" s="149"/>
      <c r="AJ2373" s="149"/>
      <c r="AK2373" s="149"/>
      <c r="AL2373" s="149"/>
      <c r="AM2373" s="149"/>
      <c r="AN2373" s="149"/>
      <c r="AO2373" s="128"/>
      <c r="AP2373" s="128"/>
      <c r="AQ2373" s="128"/>
      <c r="AR2373" s="128"/>
      <c r="AS2373" s="128"/>
      <c r="AT2373" s="128"/>
      <c r="AU2373" s="128"/>
      <c r="AV2373" s="128"/>
      <c r="AW2373" s="128"/>
      <c r="AX2373" s="128"/>
      <c r="AY2373" s="128"/>
      <c r="AZ2373" s="128"/>
      <c r="BA2373" s="128"/>
      <c r="BB2373" s="128"/>
      <c r="BC2373" s="128"/>
      <c r="BD2373" s="128"/>
      <c r="BE2373" s="128"/>
      <c r="BF2373" s="128"/>
      <c r="BG2373" s="128"/>
      <c r="BH2373" s="128"/>
      <c r="BI2373" s="128"/>
      <c r="BJ2373" s="128"/>
      <c r="BK2373" s="128"/>
      <c r="BL2373" s="128"/>
      <c r="BM2373" s="151"/>
      <c r="BN2373" s="128"/>
      <c r="BO2373" s="128"/>
      <c r="BP2373" s="128"/>
      <c r="BQ2373" s="128"/>
      <c r="BR2373" s="128"/>
      <c r="BS2373" s="128"/>
      <c r="BT2373" s="128"/>
      <c r="BU2373" s="128"/>
      <c r="BV2373" s="128"/>
      <c r="BW2373" s="128"/>
      <c r="BX2373" s="128"/>
      <c r="BY2373" s="128"/>
      <c r="BZ2373" s="128"/>
      <c r="CA2373" s="128"/>
      <c r="CB2373" s="128"/>
      <c r="CC2373" s="128"/>
      <c r="CD2373" s="128"/>
      <c r="CE2373" s="128"/>
      <c r="CF2373" s="128"/>
      <c r="CG2373" s="128"/>
      <c r="CI2373" s="128"/>
      <c r="CJ2373" s="128"/>
      <c r="CK2373" s="128"/>
      <c r="CL2373" s="128"/>
      <c r="CM2373" s="128"/>
      <c r="CN2373" s="128"/>
      <c r="CO2373" s="128"/>
      <c r="CP2373" s="128"/>
      <c r="CQ2373" s="128"/>
      <c r="CR2373" s="128"/>
      <c r="CS2373" s="128"/>
      <c r="CT2373" s="128"/>
      <c r="CU2373" s="128"/>
      <c r="CV2373" s="128"/>
      <c r="CW2373" s="128"/>
      <c r="CX2373" s="128"/>
      <c r="CY2373" s="128"/>
      <c r="CZ2373" s="165"/>
    </row>
    <row r="2374" spans="1:104">
      <c r="A2374" s="149"/>
      <c r="B2374" s="149"/>
      <c r="C2374" s="150"/>
      <c r="D2374" s="102"/>
      <c r="E2374" s="149"/>
      <c r="F2374" s="149"/>
      <c r="G2374" s="149"/>
      <c r="H2374" s="149"/>
      <c r="I2374" s="149"/>
      <c r="J2374" s="149"/>
      <c r="K2374" s="149"/>
      <c r="L2374" s="149"/>
      <c r="M2374" s="149"/>
      <c r="N2374" s="149"/>
      <c r="O2374" s="149"/>
      <c r="P2374" s="149"/>
      <c r="Q2374" s="149"/>
      <c r="R2374" s="149"/>
      <c r="S2374" s="149"/>
      <c r="T2374" s="149"/>
      <c r="U2374" s="149"/>
      <c r="V2374" s="149"/>
      <c r="W2374" s="149"/>
      <c r="X2374" s="149"/>
      <c r="Y2374" s="149"/>
      <c r="Z2374" s="149"/>
      <c r="AA2374" s="149"/>
      <c r="AB2374" s="149"/>
      <c r="AC2374" s="149"/>
      <c r="AD2374" s="149"/>
      <c r="AE2374" s="149"/>
      <c r="AF2374" s="149"/>
      <c r="AG2374" s="149"/>
      <c r="AH2374" s="149"/>
      <c r="AI2374" s="149"/>
      <c r="AJ2374" s="149"/>
      <c r="AK2374" s="149"/>
      <c r="AL2374" s="149"/>
      <c r="AM2374" s="149"/>
      <c r="AN2374" s="149"/>
      <c r="AO2374" s="128"/>
      <c r="AP2374" s="128"/>
      <c r="AQ2374" s="128"/>
      <c r="AR2374" s="128"/>
      <c r="AS2374" s="128"/>
      <c r="AT2374" s="128"/>
      <c r="AU2374" s="128"/>
      <c r="AV2374" s="128"/>
      <c r="AW2374" s="128"/>
      <c r="AX2374" s="128"/>
      <c r="AY2374" s="128"/>
      <c r="AZ2374" s="128"/>
      <c r="BA2374" s="128"/>
      <c r="BB2374" s="128"/>
      <c r="BC2374" s="128"/>
      <c r="BD2374" s="128"/>
      <c r="BE2374" s="128"/>
      <c r="BF2374" s="128"/>
      <c r="BG2374" s="128"/>
      <c r="BH2374" s="128"/>
      <c r="BI2374" s="128"/>
      <c r="BJ2374" s="128"/>
      <c r="BK2374" s="128"/>
      <c r="BL2374" s="128"/>
      <c r="BM2374" s="151"/>
      <c r="BN2374" s="128"/>
      <c r="BO2374" s="128"/>
      <c r="BP2374" s="128"/>
      <c r="BQ2374" s="128"/>
      <c r="BR2374" s="128"/>
      <c r="BS2374" s="128"/>
      <c r="BT2374" s="128"/>
      <c r="BU2374" s="128"/>
      <c r="BV2374" s="128"/>
      <c r="BW2374" s="128"/>
      <c r="BX2374" s="128"/>
      <c r="BY2374" s="128"/>
      <c r="BZ2374" s="128"/>
      <c r="CA2374" s="128"/>
      <c r="CB2374" s="128"/>
      <c r="CC2374" s="128"/>
      <c r="CD2374" s="128"/>
      <c r="CE2374" s="128"/>
      <c r="CF2374" s="128"/>
      <c r="CG2374" s="128"/>
      <c r="CI2374" s="128"/>
      <c r="CJ2374" s="128"/>
      <c r="CK2374" s="128"/>
      <c r="CL2374" s="128"/>
      <c r="CM2374" s="128"/>
      <c r="CN2374" s="128"/>
      <c r="CO2374" s="128"/>
      <c r="CP2374" s="128"/>
      <c r="CQ2374" s="128"/>
      <c r="CR2374" s="128"/>
      <c r="CS2374" s="128"/>
      <c r="CT2374" s="128"/>
      <c r="CU2374" s="128"/>
      <c r="CV2374" s="128"/>
      <c r="CW2374" s="128"/>
      <c r="CX2374" s="128"/>
      <c r="CY2374" s="128"/>
      <c r="CZ2374" s="165"/>
    </row>
    <row r="2375" spans="1:104">
      <c r="A2375" s="149"/>
      <c r="B2375" s="149"/>
      <c r="C2375" s="150"/>
      <c r="D2375" s="102"/>
      <c r="E2375" s="149"/>
      <c r="F2375" s="149"/>
      <c r="G2375" s="149"/>
      <c r="H2375" s="149"/>
      <c r="I2375" s="149"/>
      <c r="J2375" s="149"/>
      <c r="K2375" s="149"/>
      <c r="L2375" s="149"/>
      <c r="M2375" s="149"/>
      <c r="N2375" s="149"/>
      <c r="O2375" s="149"/>
      <c r="P2375" s="149"/>
      <c r="Q2375" s="149"/>
      <c r="R2375" s="149"/>
      <c r="S2375" s="149"/>
      <c r="T2375" s="149"/>
      <c r="U2375" s="149"/>
      <c r="V2375" s="149"/>
      <c r="W2375" s="149"/>
      <c r="X2375" s="149"/>
      <c r="Y2375" s="149"/>
      <c r="Z2375" s="149"/>
      <c r="AA2375" s="149"/>
      <c r="AB2375" s="149"/>
      <c r="AC2375" s="149"/>
      <c r="AD2375" s="149"/>
      <c r="AE2375" s="149"/>
      <c r="AF2375" s="149"/>
      <c r="AG2375" s="149"/>
      <c r="AH2375" s="149"/>
      <c r="AI2375" s="149"/>
      <c r="AJ2375" s="149"/>
      <c r="AK2375" s="149"/>
      <c r="AL2375" s="149"/>
      <c r="AM2375" s="149"/>
      <c r="AN2375" s="149"/>
      <c r="AO2375" s="128"/>
      <c r="AP2375" s="128"/>
      <c r="AQ2375" s="128"/>
      <c r="AR2375" s="128"/>
      <c r="AS2375" s="128"/>
      <c r="AT2375" s="128"/>
      <c r="AU2375" s="128"/>
      <c r="AV2375" s="128"/>
      <c r="AW2375" s="128"/>
      <c r="AX2375" s="128"/>
      <c r="AY2375" s="128"/>
      <c r="AZ2375" s="128"/>
      <c r="BA2375" s="128"/>
      <c r="BB2375" s="128"/>
      <c r="BC2375" s="128"/>
      <c r="BD2375" s="128"/>
      <c r="BE2375" s="128"/>
      <c r="BF2375" s="128"/>
      <c r="BG2375" s="128"/>
      <c r="BH2375" s="128"/>
      <c r="BI2375" s="128"/>
      <c r="BJ2375" s="128"/>
      <c r="BK2375" s="128"/>
      <c r="BL2375" s="128"/>
      <c r="BM2375" s="151"/>
      <c r="BN2375" s="128"/>
      <c r="BO2375" s="128"/>
      <c r="BP2375" s="128"/>
      <c r="BQ2375" s="128"/>
      <c r="BR2375" s="128"/>
      <c r="BS2375" s="128"/>
      <c r="BT2375" s="128"/>
      <c r="BU2375" s="128"/>
      <c r="BV2375" s="128"/>
      <c r="BW2375" s="128"/>
      <c r="BX2375" s="128"/>
      <c r="BY2375" s="128"/>
      <c r="BZ2375" s="128"/>
      <c r="CA2375" s="128"/>
      <c r="CB2375" s="128"/>
      <c r="CC2375" s="128"/>
      <c r="CD2375" s="128"/>
      <c r="CE2375" s="128"/>
      <c r="CF2375" s="128"/>
      <c r="CG2375" s="128"/>
      <c r="CI2375" s="128"/>
      <c r="CJ2375" s="128"/>
      <c r="CK2375" s="128"/>
      <c r="CL2375" s="128"/>
      <c r="CM2375" s="128"/>
      <c r="CN2375" s="128"/>
      <c r="CO2375" s="128"/>
      <c r="CP2375" s="128"/>
      <c r="CQ2375" s="128"/>
      <c r="CR2375" s="128"/>
      <c r="CS2375" s="128"/>
      <c r="CT2375" s="128"/>
      <c r="CU2375" s="128"/>
      <c r="CV2375" s="128"/>
      <c r="CW2375" s="128"/>
      <c r="CX2375" s="128"/>
      <c r="CY2375" s="128"/>
      <c r="CZ2375" s="165"/>
    </row>
    <row r="2376" spans="1:104">
      <c r="A2376" s="149"/>
      <c r="B2376" s="149"/>
      <c r="C2376" s="150"/>
      <c r="D2376" s="102"/>
      <c r="E2376" s="149"/>
      <c r="F2376" s="149"/>
      <c r="G2376" s="149"/>
      <c r="H2376" s="149"/>
      <c r="I2376" s="149"/>
      <c r="J2376" s="149"/>
      <c r="K2376" s="149"/>
      <c r="L2376" s="149"/>
      <c r="M2376" s="149"/>
      <c r="N2376" s="149"/>
      <c r="O2376" s="149"/>
      <c r="P2376" s="149"/>
      <c r="Q2376" s="149"/>
      <c r="R2376" s="149"/>
      <c r="S2376" s="149"/>
      <c r="T2376" s="149"/>
      <c r="U2376" s="149"/>
      <c r="V2376" s="149"/>
      <c r="W2376" s="149"/>
      <c r="X2376" s="149"/>
      <c r="Y2376" s="149"/>
      <c r="Z2376" s="149"/>
      <c r="AA2376" s="149"/>
      <c r="AB2376" s="149"/>
      <c r="AC2376" s="149"/>
      <c r="AD2376" s="149"/>
      <c r="AE2376" s="149"/>
      <c r="AF2376" s="149"/>
      <c r="AG2376" s="149"/>
      <c r="AH2376" s="149"/>
      <c r="AI2376" s="149"/>
      <c r="AJ2376" s="149"/>
      <c r="AK2376" s="149"/>
      <c r="AL2376" s="149"/>
      <c r="AM2376" s="149"/>
      <c r="AN2376" s="149"/>
      <c r="AO2376" s="128"/>
      <c r="AP2376" s="128"/>
      <c r="AQ2376" s="128"/>
      <c r="AR2376" s="128"/>
      <c r="AS2376" s="128"/>
      <c r="AT2376" s="128"/>
      <c r="AU2376" s="128"/>
      <c r="AV2376" s="128"/>
      <c r="AW2376" s="128"/>
      <c r="AX2376" s="128"/>
      <c r="AY2376" s="128"/>
      <c r="AZ2376" s="128"/>
      <c r="BA2376" s="128"/>
      <c r="BB2376" s="128"/>
      <c r="BC2376" s="128"/>
      <c r="BD2376" s="128"/>
      <c r="BE2376" s="128"/>
      <c r="BF2376" s="128"/>
      <c r="BG2376" s="128"/>
      <c r="BH2376" s="128"/>
      <c r="BI2376" s="128"/>
      <c r="BJ2376" s="128"/>
      <c r="BK2376" s="128"/>
      <c r="BL2376" s="128"/>
      <c r="BM2376" s="151"/>
      <c r="BN2376" s="128"/>
      <c r="BO2376" s="128"/>
      <c r="BP2376" s="128"/>
      <c r="BQ2376" s="128"/>
      <c r="BR2376" s="128"/>
      <c r="BS2376" s="128"/>
      <c r="BT2376" s="128"/>
      <c r="BU2376" s="128"/>
      <c r="BV2376" s="128"/>
      <c r="BW2376" s="128"/>
      <c r="BX2376" s="128"/>
      <c r="BY2376" s="128"/>
      <c r="BZ2376" s="128"/>
      <c r="CA2376" s="128"/>
      <c r="CB2376" s="128"/>
      <c r="CC2376" s="128"/>
      <c r="CD2376" s="128"/>
      <c r="CE2376" s="128"/>
      <c r="CF2376" s="128"/>
      <c r="CG2376" s="128"/>
      <c r="CI2376" s="128"/>
      <c r="CJ2376" s="128"/>
      <c r="CK2376" s="128"/>
      <c r="CL2376" s="128"/>
      <c r="CM2376" s="128"/>
      <c r="CN2376" s="128"/>
      <c r="CO2376" s="128"/>
      <c r="CP2376" s="128"/>
      <c r="CQ2376" s="128"/>
      <c r="CR2376" s="128"/>
      <c r="CS2376" s="128"/>
      <c r="CT2376" s="128"/>
      <c r="CU2376" s="128"/>
      <c r="CV2376" s="128"/>
      <c r="CW2376" s="128"/>
      <c r="CX2376" s="128"/>
      <c r="CY2376" s="128"/>
      <c r="CZ2376" s="165"/>
    </row>
    <row r="2377" spans="1:104">
      <c r="A2377" s="149"/>
      <c r="B2377" s="149"/>
      <c r="C2377" s="150"/>
      <c r="D2377" s="102"/>
      <c r="E2377" s="149"/>
      <c r="F2377" s="149"/>
      <c r="G2377" s="149"/>
      <c r="H2377" s="149"/>
      <c r="I2377" s="149"/>
      <c r="J2377" s="149"/>
      <c r="K2377" s="149"/>
      <c r="L2377" s="149"/>
      <c r="M2377" s="149"/>
      <c r="N2377" s="149"/>
      <c r="O2377" s="149"/>
      <c r="P2377" s="149"/>
      <c r="Q2377" s="149"/>
      <c r="R2377" s="149"/>
      <c r="S2377" s="149"/>
      <c r="T2377" s="149"/>
      <c r="U2377" s="149"/>
      <c r="V2377" s="149"/>
      <c r="W2377" s="149"/>
      <c r="X2377" s="149"/>
      <c r="Y2377" s="149"/>
      <c r="Z2377" s="149"/>
      <c r="AA2377" s="149"/>
      <c r="AB2377" s="149"/>
      <c r="AC2377" s="149"/>
      <c r="AD2377" s="149"/>
      <c r="AE2377" s="149"/>
      <c r="AF2377" s="149"/>
      <c r="AG2377" s="149"/>
      <c r="AH2377" s="149"/>
      <c r="AI2377" s="149"/>
      <c r="AJ2377" s="149"/>
      <c r="AK2377" s="149"/>
      <c r="AL2377" s="149"/>
      <c r="AM2377" s="149"/>
      <c r="AN2377" s="149"/>
      <c r="AO2377" s="128"/>
      <c r="AP2377" s="128"/>
      <c r="AQ2377" s="128"/>
      <c r="AR2377" s="128"/>
      <c r="AS2377" s="128"/>
      <c r="AT2377" s="128"/>
      <c r="AU2377" s="128"/>
      <c r="AV2377" s="128"/>
      <c r="AW2377" s="128"/>
      <c r="AX2377" s="128"/>
      <c r="AY2377" s="128"/>
      <c r="AZ2377" s="128"/>
      <c r="BA2377" s="128"/>
      <c r="BB2377" s="128"/>
      <c r="BC2377" s="128"/>
      <c r="BD2377" s="128"/>
      <c r="BE2377" s="128"/>
      <c r="BF2377" s="128"/>
      <c r="BG2377" s="128"/>
      <c r="BH2377" s="128"/>
      <c r="BI2377" s="128"/>
      <c r="BJ2377" s="128"/>
      <c r="BK2377" s="128"/>
      <c r="BL2377" s="128"/>
      <c r="BM2377" s="151"/>
      <c r="BN2377" s="128"/>
      <c r="BO2377" s="128"/>
      <c r="BP2377" s="128"/>
      <c r="BQ2377" s="128"/>
      <c r="BR2377" s="128"/>
      <c r="BS2377" s="128"/>
      <c r="BT2377" s="128"/>
      <c r="BU2377" s="128"/>
      <c r="BV2377" s="128"/>
      <c r="BW2377" s="128"/>
      <c r="BX2377" s="128"/>
      <c r="BY2377" s="128"/>
      <c r="BZ2377" s="128"/>
      <c r="CA2377" s="128"/>
      <c r="CB2377" s="128"/>
      <c r="CC2377" s="128"/>
      <c r="CD2377" s="128"/>
      <c r="CE2377" s="128"/>
      <c r="CF2377" s="128"/>
      <c r="CG2377" s="128"/>
      <c r="CI2377" s="128"/>
      <c r="CJ2377" s="128"/>
      <c r="CK2377" s="128"/>
      <c r="CL2377" s="128"/>
      <c r="CM2377" s="128"/>
      <c r="CN2377" s="128"/>
      <c r="CO2377" s="128"/>
      <c r="CP2377" s="128"/>
      <c r="CQ2377" s="128"/>
      <c r="CR2377" s="128"/>
      <c r="CS2377" s="128"/>
      <c r="CT2377" s="128"/>
      <c r="CU2377" s="128"/>
      <c r="CV2377" s="128"/>
      <c r="CW2377" s="128"/>
      <c r="CX2377" s="128"/>
      <c r="CY2377" s="128"/>
      <c r="CZ2377" s="165"/>
    </row>
    <row r="2378" spans="1:104">
      <c r="A2378" s="149"/>
      <c r="B2378" s="149"/>
      <c r="C2378" s="150"/>
      <c r="D2378" s="102"/>
      <c r="E2378" s="149"/>
      <c r="F2378" s="149"/>
      <c r="G2378" s="149"/>
      <c r="H2378" s="149"/>
      <c r="I2378" s="149"/>
      <c r="J2378" s="149"/>
      <c r="K2378" s="149"/>
      <c r="L2378" s="149"/>
      <c r="M2378" s="149"/>
      <c r="N2378" s="149"/>
      <c r="O2378" s="149"/>
      <c r="P2378" s="149"/>
      <c r="Q2378" s="149"/>
      <c r="R2378" s="149"/>
      <c r="S2378" s="149"/>
      <c r="T2378" s="149"/>
      <c r="U2378" s="149"/>
      <c r="V2378" s="149"/>
      <c r="W2378" s="149"/>
      <c r="X2378" s="149"/>
      <c r="Y2378" s="149"/>
      <c r="Z2378" s="149"/>
      <c r="AA2378" s="149"/>
      <c r="AB2378" s="149"/>
      <c r="AC2378" s="149"/>
      <c r="AD2378" s="149"/>
      <c r="AE2378" s="149"/>
      <c r="AF2378" s="149"/>
      <c r="AG2378" s="149"/>
      <c r="AH2378" s="149"/>
      <c r="AI2378" s="149"/>
      <c r="AJ2378" s="149"/>
      <c r="AK2378" s="149"/>
      <c r="AL2378" s="149"/>
      <c r="AM2378" s="149"/>
      <c r="AN2378" s="149"/>
      <c r="AO2378" s="128"/>
      <c r="AP2378" s="128"/>
      <c r="AQ2378" s="128"/>
      <c r="AR2378" s="128"/>
      <c r="AS2378" s="128"/>
      <c r="AT2378" s="128"/>
      <c r="AU2378" s="128"/>
      <c r="AV2378" s="128"/>
      <c r="AW2378" s="128"/>
      <c r="AX2378" s="128"/>
      <c r="AY2378" s="128"/>
      <c r="AZ2378" s="128"/>
      <c r="BA2378" s="128"/>
      <c r="BB2378" s="128"/>
      <c r="BC2378" s="128"/>
      <c r="BD2378" s="128"/>
      <c r="BE2378" s="128"/>
      <c r="BF2378" s="128"/>
      <c r="BG2378" s="128"/>
      <c r="BH2378" s="128"/>
      <c r="BI2378" s="128"/>
      <c r="BJ2378" s="128"/>
      <c r="BK2378" s="128"/>
      <c r="BL2378" s="128"/>
      <c r="BM2378" s="151"/>
      <c r="BN2378" s="128"/>
      <c r="BO2378" s="128"/>
      <c r="BP2378" s="128"/>
      <c r="BQ2378" s="128"/>
      <c r="BR2378" s="128"/>
      <c r="BS2378" s="128"/>
      <c r="BT2378" s="128"/>
      <c r="BU2378" s="128"/>
      <c r="BV2378" s="128"/>
      <c r="BW2378" s="128"/>
      <c r="BX2378" s="128"/>
      <c r="BY2378" s="128"/>
      <c r="BZ2378" s="128"/>
      <c r="CA2378" s="128"/>
      <c r="CB2378" s="128"/>
      <c r="CC2378" s="128"/>
      <c r="CD2378" s="128"/>
      <c r="CE2378" s="128"/>
      <c r="CF2378" s="128"/>
      <c r="CG2378" s="128"/>
      <c r="CI2378" s="128"/>
      <c r="CJ2378" s="128"/>
      <c r="CK2378" s="128"/>
      <c r="CL2378" s="128"/>
      <c r="CM2378" s="128"/>
      <c r="CN2378" s="128"/>
      <c r="CO2378" s="128"/>
      <c r="CP2378" s="128"/>
      <c r="CQ2378" s="128"/>
      <c r="CR2378" s="128"/>
      <c r="CS2378" s="128"/>
      <c r="CT2378" s="128"/>
      <c r="CU2378" s="128"/>
      <c r="CV2378" s="128"/>
      <c r="CW2378" s="128"/>
      <c r="CX2378" s="128"/>
      <c r="CY2378" s="128"/>
      <c r="CZ2378" s="165"/>
    </row>
    <row r="2379" spans="1:104">
      <c r="A2379" s="149"/>
      <c r="B2379" s="149"/>
      <c r="C2379" s="150"/>
      <c r="D2379" s="102"/>
      <c r="E2379" s="149"/>
      <c r="F2379" s="149"/>
      <c r="G2379" s="149"/>
      <c r="H2379" s="149"/>
      <c r="I2379" s="149"/>
      <c r="J2379" s="149"/>
      <c r="K2379" s="149"/>
      <c r="L2379" s="149"/>
      <c r="M2379" s="149"/>
      <c r="N2379" s="149"/>
      <c r="O2379" s="149"/>
      <c r="P2379" s="149"/>
      <c r="Q2379" s="149"/>
      <c r="R2379" s="149"/>
      <c r="S2379" s="149"/>
      <c r="T2379" s="149"/>
      <c r="U2379" s="149"/>
      <c r="V2379" s="149"/>
      <c r="W2379" s="149"/>
      <c r="X2379" s="149"/>
      <c r="Y2379" s="149"/>
      <c r="Z2379" s="149"/>
      <c r="AA2379" s="149"/>
      <c r="AB2379" s="149"/>
      <c r="AC2379" s="149"/>
      <c r="AD2379" s="149"/>
      <c r="AE2379" s="149"/>
      <c r="AF2379" s="149"/>
      <c r="AG2379" s="149"/>
      <c r="AH2379" s="149"/>
      <c r="AI2379" s="149"/>
      <c r="AJ2379" s="149"/>
      <c r="AK2379" s="149"/>
      <c r="AL2379" s="149"/>
      <c r="AM2379" s="149"/>
      <c r="AN2379" s="149"/>
      <c r="AO2379" s="128"/>
      <c r="AP2379" s="128"/>
      <c r="AQ2379" s="128"/>
      <c r="AR2379" s="128"/>
      <c r="AS2379" s="128"/>
      <c r="AT2379" s="128"/>
      <c r="AU2379" s="128"/>
      <c r="AV2379" s="128"/>
      <c r="AW2379" s="128"/>
      <c r="AX2379" s="128"/>
      <c r="AY2379" s="128"/>
      <c r="AZ2379" s="128"/>
      <c r="BA2379" s="128"/>
      <c r="BB2379" s="128"/>
      <c r="BC2379" s="128"/>
      <c r="BD2379" s="128"/>
      <c r="BE2379" s="128"/>
      <c r="BF2379" s="128"/>
      <c r="BG2379" s="128"/>
      <c r="BH2379" s="128"/>
      <c r="BI2379" s="128"/>
      <c r="BJ2379" s="128"/>
      <c r="BK2379" s="128"/>
      <c r="BL2379" s="128"/>
      <c r="BM2379" s="151"/>
      <c r="BN2379" s="128"/>
      <c r="BO2379" s="128"/>
      <c r="BP2379" s="128"/>
      <c r="BQ2379" s="128"/>
      <c r="BR2379" s="128"/>
      <c r="BS2379" s="128"/>
      <c r="BT2379" s="128"/>
      <c r="BU2379" s="128"/>
      <c r="BV2379" s="128"/>
      <c r="BW2379" s="128"/>
      <c r="BX2379" s="128"/>
      <c r="BY2379" s="128"/>
      <c r="BZ2379" s="128"/>
      <c r="CA2379" s="128"/>
      <c r="CB2379" s="128"/>
      <c r="CC2379" s="128"/>
      <c r="CD2379" s="128"/>
      <c r="CE2379" s="128"/>
      <c r="CF2379" s="128"/>
      <c r="CG2379" s="128"/>
      <c r="CI2379" s="128"/>
      <c r="CJ2379" s="128"/>
      <c r="CK2379" s="128"/>
      <c r="CL2379" s="128"/>
      <c r="CM2379" s="128"/>
      <c r="CN2379" s="128"/>
      <c r="CO2379" s="128"/>
      <c r="CP2379" s="128"/>
      <c r="CQ2379" s="128"/>
      <c r="CR2379" s="128"/>
      <c r="CS2379" s="128"/>
      <c r="CT2379" s="128"/>
      <c r="CU2379" s="128"/>
      <c r="CV2379" s="128"/>
      <c r="CW2379" s="128"/>
      <c r="CX2379" s="128"/>
      <c r="CY2379" s="128"/>
      <c r="CZ2379" s="165"/>
    </row>
    <row r="2380" spans="1:104">
      <c r="A2380" s="149"/>
      <c r="B2380" s="149"/>
      <c r="C2380" s="150"/>
      <c r="D2380" s="102"/>
      <c r="E2380" s="149"/>
      <c r="F2380" s="149"/>
      <c r="G2380" s="149"/>
      <c r="H2380" s="149"/>
      <c r="I2380" s="149"/>
      <c r="J2380" s="149"/>
      <c r="K2380" s="149"/>
      <c r="L2380" s="149"/>
      <c r="M2380" s="149"/>
      <c r="N2380" s="149"/>
      <c r="O2380" s="149"/>
      <c r="P2380" s="149"/>
      <c r="Q2380" s="149"/>
      <c r="R2380" s="149"/>
      <c r="S2380" s="149"/>
      <c r="T2380" s="149"/>
      <c r="U2380" s="149"/>
      <c r="V2380" s="149"/>
      <c r="W2380" s="149"/>
      <c r="X2380" s="149"/>
      <c r="Y2380" s="149"/>
      <c r="Z2380" s="149"/>
      <c r="AA2380" s="149"/>
      <c r="AB2380" s="149"/>
      <c r="AC2380" s="149"/>
      <c r="AD2380" s="149"/>
      <c r="AE2380" s="149"/>
      <c r="AF2380" s="149"/>
      <c r="AG2380" s="149"/>
      <c r="AH2380" s="149"/>
      <c r="AI2380" s="149"/>
      <c r="AJ2380" s="149"/>
      <c r="AK2380" s="149"/>
      <c r="AL2380" s="149"/>
      <c r="AM2380" s="149"/>
      <c r="AN2380" s="149"/>
      <c r="AO2380" s="128"/>
      <c r="AP2380" s="128"/>
      <c r="AQ2380" s="128"/>
      <c r="AR2380" s="128"/>
      <c r="AS2380" s="128"/>
      <c r="AT2380" s="128"/>
      <c r="AU2380" s="128"/>
      <c r="AV2380" s="128"/>
      <c r="AW2380" s="128"/>
      <c r="AX2380" s="128"/>
      <c r="AY2380" s="128"/>
      <c r="AZ2380" s="128"/>
      <c r="BA2380" s="128"/>
      <c r="BB2380" s="128"/>
      <c r="BC2380" s="128"/>
      <c r="BD2380" s="128"/>
      <c r="BE2380" s="128"/>
      <c r="BF2380" s="128"/>
      <c r="BG2380" s="128"/>
      <c r="BH2380" s="128"/>
      <c r="BI2380" s="128"/>
      <c r="BJ2380" s="128"/>
      <c r="BK2380" s="128"/>
      <c r="BL2380" s="128"/>
      <c r="BM2380" s="151"/>
      <c r="BN2380" s="128"/>
      <c r="BO2380" s="128"/>
      <c r="BP2380" s="128"/>
      <c r="BQ2380" s="128"/>
      <c r="BR2380" s="128"/>
      <c r="BS2380" s="128"/>
      <c r="BT2380" s="128"/>
      <c r="BU2380" s="128"/>
      <c r="BV2380" s="128"/>
      <c r="BW2380" s="128"/>
      <c r="BX2380" s="128"/>
      <c r="BY2380" s="128"/>
      <c r="BZ2380" s="128"/>
      <c r="CA2380" s="128"/>
      <c r="CB2380" s="128"/>
      <c r="CC2380" s="128"/>
      <c r="CD2380" s="128"/>
      <c r="CE2380" s="128"/>
      <c r="CF2380" s="128"/>
      <c r="CG2380" s="128"/>
      <c r="CI2380" s="128"/>
      <c r="CJ2380" s="128"/>
      <c r="CK2380" s="128"/>
      <c r="CL2380" s="128"/>
      <c r="CM2380" s="128"/>
      <c r="CN2380" s="128"/>
      <c r="CO2380" s="128"/>
      <c r="CP2380" s="128"/>
      <c r="CQ2380" s="128"/>
      <c r="CR2380" s="128"/>
      <c r="CS2380" s="128"/>
      <c r="CT2380" s="128"/>
      <c r="CU2380" s="128"/>
      <c r="CV2380" s="128"/>
      <c r="CW2380" s="128"/>
      <c r="CX2380" s="128"/>
      <c r="CY2380" s="128"/>
      <c r="CZ2380" s="165"/>
    </row>
    <row r="2381" spans="1:104">
      <c r="A2381" s="149"/>
      <c r="B2381" s="149"/>
      <c r="C2381" s="150"/>
      <c r="D2381" s="102"/>
      <c r="E2381" s="149"/>
      <c r="F2381" s="149"/>
      <c r="G2381" s="149"/>
      <c r="H2381" s="149"/>
      <c r="I2381" s="149"/>
      <c r="J2381" s="149"/>
      <c r="K2381" s="149"/>
      <c r="L2381" s="149"/>
      <c r="M2381" s="149"/>
      <c r="N2381" s="149"/>
      <c r="O2381" s="149"/>
      <c r="P2381" s="149"/>
      <c r="Q2381" s="149"/>
      <c r="R2381" s="149"/>
      <c r="S2381" s="149"/>
      <c r="T2381" s="149"/>
      <c r="U2381" s="149"/>
      <c r="V2381" s="149"/>
      <c r="W2381" s="149"/>
      <c r="X2381" s="149"/>
      <c r="Y2381" s="149"/>
      <c r="Z2381" s="149"/>
      <c r="AA2381" s="149"/>
      <c r="AB2381" s="149"/>
      <c r="AC2381" s="149"/>
      <c r="AD2381" s="149"/>
      <c r="AE2381" s="149"/>
      <c r="AF2381" s="149"/>
      <c r="AG2381" s="149"/>
      <c r="AH2381" s="149"/>
      <c r="AI2381" s="149"/>
      <c r="AJ2381" s="149"/>
      <c r="AK2381" s="149"/>
      <c r="AL2381" s="149"/>
      <c r="AM2381" s="149"/>
      <c r="AN2381" s="149"/>
      <c r="AO2381" s="128"/>
      <c r="AP2381" s="128"/>
      <c r="AQ2381" s="128"/>
      <c r="AR2381" s="128"/>
      <c r="AS2381" s="128"/>
      <c r="AT2381" s="128"/>
      <c r="AU2381" s="128"/>
      <c r="AV2381" s="128"/>
      <c r="AW2381" s="128"/>
      <c r="AX2381" s="128"/>
      <c r="AY2381" s="128"/>
      <c r="AZ2381" s="128"/>
      <c r="BA2381" s="128"/>
      <c r="BB2381" s="128"/>
      <c r="BC2381" s="128"/>
      <c r="BD2381" s="128"/>
      <c r="BE2381" s="128"/>
      <c r="BF2381" s="128"/>
      <c r="BG2381" s="128"/>
      <c r="BH2381" s="128"/>
      <c r="BI2381" s="128"/>
      <c r="BJ2381" s="128"/>
      <c r="BK2381" s="128"/>
      <c r="BL2381" s="128"/>
      <c r="BM2381" s="151"/>
      <c r="BN2381" s="128"/>
      <c r="BO2381" s="128"/>
      <c r="BP2381" s="128"/>
      <c r="BQ2381" s="128"/>
      <c r="BR2381" s="128"/>
      <c r="BS2381" s="128"/>
      <c r="BT2381" s="128"/>
      <c r="BU2381" s="128"/>
      <c r="BV2381" s="128"/>
      <c r="BW2381" s="128"/>
      <c r="BX2381" s="128"/>
      <c r="BY2381" s="128"/>
      <c r="BZ2381" s="128"/>
      <c r="CA2381" s="128"/>
      <c r="CB2381" s="128"/>
      <c r="CC2381" s="128"/>
      <c r="CD2381" s="128"/>
      <c r="CE2381" s="128"/>
      <c r="CF2381" s="128"/>
      <c r="CG2381" s="128"/>
      <c r="CI2381" s="128"/>
      <c r="CJ2381" s="128"/>
      <c r="CK2381" s="128"/>
      <c r="CL2381" s="128"/>
      <c r="CM2381" s="128"/>
      <c r="CN2381" s="128"/>
      <c r="CO2381" s="128"/>
      <c r="CP2381" s="128"/>
      <c r="CQ2381" s="128"/>
      <c r="CR2381" s="128"/>
      <c r="CS2381" s="128"/>
      <c r="CT2381" s="128"/>
      <c r="CU2381" s="128"/>
      <c r="CV2381" s="128"/>
      <c r="CW2381" s="128"/>
      <c r="CX2381" s="128"/>
      <c r="CY2381" s="128"/>
      <c r="CZ2381" s="165"/>
    </row>
    <row r="2382" spans="1:104">
      <c r="A2382" s="149"/>
      <c r="B2382" s="149"/>
      <c r="C2382" s="150"/>
      <c r="D2382" s="102"/>
      <c r="E2382" s="149"/>
      <c r="F2382" s="149"/>
      <c r="G2382" s="149"/>
      <c r="H2382" s="149"/>
      <c r="I2382" s="149"/>
      <c r="J2382" s="149"/>
      <c r="K2382" s="149"/>
      <c r="L2382" s="149"/>
      <c r="M2382" s="149"/>
      <c r="N2382" s="149"/>
      <c r="O2382" s="149"/>
      <c r="P2382" s="149"/>
      <c r="Q2382" s="149"/>
      <c r="R2382" s="149"/>
      <c r="S2382" s="149"/>
      <c r="T2382" s="149"/>
      <c r="U2382" s="149"/>
      <c r="V2382" s="149"/>
      <c r="W2382" s="149"/>
      <c r="X2382" s="149"/>
      <c r="Y2382" s="149"/>
      <c r="Z2382" s="149"/>
      <c r="AA2382" s="149"/>
      <c r="AB2382" s="149"/>
      <c r="AC2382" s="149"/>
      <c r="AD2382" s="149"/>
      <c r="AE2382" s="149"/>
      <c r="AF2382" s="149"/>
      <c r="AG2382" s="149"/>
      <c r="AH2382" s="149"/>
      <c r="AI2382" s="149"/>
      <c r="AJ2382" s="149"/>
      <c r="AK2382" s="149"/>
      <c r="AL2382" s="149"/>
      <c r="AM2382" s="149"/>
      <c r="AN2382" s="149"/>
      <c r="AO2382" s="128"/>
      <c r="AP2382" s="128"/>
      <c r="AQ2382" s="128"/>
      <c r="AR2382" s="128"/>
      <c r="AS2382" s="128"/>
      <c r="AT2382" s="128"/>
      <c r="AU2382" s="128"/>
      <c r="AV2382" s="128"/>
      <c r="AW2382" s="128"/>
      <c r="AX2382" s="128"/>
      <c r="AY2382" s="128"/>
      <c r="AZ2382" s="128"/>
      <c r="BA2382" s="128"/>
      <c r="BB2382" s="128"/>
      <c r="BC2382" s="128"/>
      <c r="BD2382" s="128"/>
      <c r="BE2382" s="128"/>
      <c r="BF2382" s="128"/>
      <c r="BG2382" s="128"/>
      <c r="BH2382" s="128"/>
      <c r="BI2382" s="128"/>
      <c r="BJ2382" s="128"/>
      <c r="BK2382" s="128"/>
      <c r="BL2382" s="128"/>
      <c r="BM2382" s="151"/>
      <c r="BN2382" s="128"/>
      <c r="BO2382" s="128"/>
      <c r="BP2382" s="128"/>
      <c r="BQ2382" s="128"/>
      <c r="BR2382" s="128"/>
      <c r="BS2382" s="128"/>
      <c r="BT2382" s="128"/>
      <c r="BU2382" s="128"/>
      <c r="BV2382" s="128"/>
      <c r="BW2382" s="128"/>
      <c r="BX2382" s="128"/>
      <c r="BY2382" s="128"/>
      <c r="BZ2382" s="128"/>
      <c r="CA2382" s="128"/>
      <c r="CB2382" s="128"/>
      <c r="CC2382" s="128"/>
      <c r="CD2382" s="128"/>
      <c r="CE2382" s="128"/>
      <c r="CF2382" s="128"/>
      <c r="CG2382" s="128"/>
      <c r="CI2382" s="128"/>
      <c r="CJ2382" s="128"/>
      <c r="CK2382" s="128"/>
      <c r="CL2382" s="128"/>
      <c r="CM2382" s="128"/>
      <c r="CN2382" s="128"/>
      <c r="CO2382" s="128"/>
      <c r="CP2382" s="128"/>
      <c r="CQ2382" s="128"/>
      <c r="CR2382" s="128"/>
      <c r="CS2382" s="128"/>
      <c r="CT2382" s="128"/>
      <c r="CU2382" s="128"/>
      <c r="CV2382" s="128"/>
      <c r="CW2382" s="128"/>
      <c r="CX2382" s="128"/>
      <c r="CY2382" s="128"/>
      <c r="CZ2382" s="165"/>
    </row>
    <row r="2383" spans="1:104">
      <c r="A2383" s="149"/>
      <c r="B2383" s="149"/>
      <c r="C2383" s="150"/>
      <c r="D2383" s="102"/>
      <c r="E2383" s="149"/>
      <c r="F2383" s="149"/>
      <c r="G2383" s="149"/>
      <c r="H2383" s="149"/>
      <c r="I2383" s="149"/>
      <c r="J2383" s="149"/>
      <c r="K2383" s="149"/>
      <c r="L2383" s="149"/>
      <c r="M2383" s="149"/>
      <c r="N2383" s="149"/>
      <c r="O2383" s="149"/>
      <c r="P2383" s="149"/>
      <c r="Q2383" s="149"/>
      <c r="R2383" s="149"/>
      <c r="S2383" s="149"/>
      <c r="T2383" s="149"/>
      <c r="U2383" s="149"/>
      <c r="V2383" s="149"/>
      <c r="W2383" s="149"/>
      <c r="X2383" s="149"/>
      <c r="Y2383" s="149"/>
      <c r="Z2383" s="149"/>
      <c r="AA2383" s="149"/>
      <c r="AB2383" s="149"/>
      <c r="AC2383" s="149"/>
      <c r="AD2383" s="149"/>
      <c r="AE2383" s="149"/>
      <c r="AF2383" s="149"/>
      <c r="AG2383" s="149"/>
      <c r="AH2383" s="149"/>
      <c r="AI2383" s="149"/>
      <c r="AJ2383" s="149"/>
      <c r="AK2383" s="149"/>
      <c r="AL2383" s="149"/>
      <c r="AM2383" s="149"/>
      <c r="AN2383" s="149"/>
      <c r="AO2383" s="128"/>
      <c r="AP2383" s="128"/>
      <c r="AQ2383" s="128"/>
      <c r="AR2383" s="128"/>
      <c r="AS2383" s="128"/>
      <c r="AT2383" s="128"/>
      <c r="AU2383" s="128"/>
      <c r="AV2383" s="128"/>
      <c r="AW2383" s="128"/>
      <c r="AX2383" s="128"/>
      <c r="AY2383" s="128"/>
      <c r="AZ2383" s="128"/>
      <c r="BA2383" s="128"/>
      <c r="BB2383" s="128"/>
      <c r="BC2383" s="128"/>
      <c r="BD2383" s="128"/>
      <c r="BE2383" s="128"/>
      <c r="BF2383" s="128"/>
      <c r="BG2383" s="128"/>
      <c r="BH2383" s="128"/>
      <c r="BI2383" s="128"/>
      <c r="BJ2383" s="128"/>
      <c r="BK2383" s="128"/>
      <c r="BL2383" s="128"/>
      <c r="BM2383" s="151"/>
      <c r="BN2383" s="128"/>
      <c r="BO2383" s="128"/>
      <c r="BP2383" s="128"/>
      <c r="BQ2383" s="128"/>
      <c r="BR2383" s="128"/>
      <c r="BS2383" s="128"/>
      <c r="BT2383" s="128"/>
      <c r="BU2383" s="128"/>
      <c r="BV2383" s="128"/>
      <c r="BW2383" s="128"/>
      <c r="BX2383" s="128"/>
      <c r="BY2383" s="128"/>
      <c r="BZ2383" s="128"/>
      <c r="CA2383" s="128"/>
      <c r="CB2383" s="128"/>
      <c r="CC2383" s="128"/>
      <c r="CD2383" s="128"/>
      <c r="CE2383" s="128"/>
      <c r="CF2383" s="128"/>
      <c r="CG2383" s="128"/>
      <c r="CI2383" s="128"/>
      <c r="CJ2383" s="128"/>
      <c r="CK2383" s="128"/>
      <c r="CL2383" s="128"/>
      <c r="CM2383" s="128"/>
      <c r="CN2383" s="128"/>
      <c r="CO2383" s="128"/>
      <c r="CP2383" s="128"/>
      <c r="CQ2383" s="128"/>
      <c r="CR2383" s="128"/>
      <c r="CS2383" s="128"/>
      <c r="CT2383" s="128"/>
      <c r="CU2383" s="128"/>
      <c r="CV2383" s="128"/>
      <c r="CW2383" s="128"/>
      <c r="CX2383" s="128"/>
      <c r="CY2383" s="128"/>
      <c r="CZ2383" s="165"/>
    </row>
    <row r="2384" spans="1:104">
      <c r="A2384" s="149"/>
      <c r="B2384" s="149"/>
      <c r="C2384" s="150"/>
      <c r="D2384" s="102"/>
      <c r="E2384" s="149"/>
      <c r="F2384" s="149"/>
      <c r="G2384" s="149"/>
      <c r="H2384" s="149"/>
      <c r="I2384" s="149"/>
      <c r="J2384" s="149"/>
      <c r="K2384" s="149"/>
      <c r="L2384" s="149"/>
      <c r="M2384" s="149"/>
      <c r="N2384" s="149"/>
      <c r="O2384" s="149"/>
      <c r="P2384" s="149"/>
      <c r="Q2384" s="149"/>
      <c r="R2384" s="149"/>
      <c r="S2384" s="149"/>
      <c r="T2384" s="149"/>
      <c r="U2384" s="149"/>
      <c r="V2384" s="149"/>
      <c r="W2384" s="149"/>
      <c r="X2384" s="149"/>
      <c r="Y2384" s="149"/>
      <c r="Z2384" s="149"/>
      <c r="AA2384" s="149"/>
      <c r="AB2384" s="149"/>
      <c r="AC2384" s="149"/>
      <c r="AD2384" s="149"/>
      <c r="AE2384" s="149"/>
      <c r="AF2384" s="149"/>
      <c r="AG2384" s="149"/>
      <c r="AH2384" s="149"/>
      <c r="AI2384" s="149"/>
      <c r="AJ2384" s="149"/>
      <c r="AK2384" s="149"/>
      <c r="AL2384" s="149"/>
      <c r="AM2384" s="149"/>
      <c r="AN2384" s="149"/>
      <c r="AO2384" s="128"/>
      <c r="AP2384" s="128"/>
      <c r="AQ2384" s="128"/>
      <c r="AR2384" s="128"/>
      <c r="AS2384" s="128"/>
      <c r="AT2384" s="128"/>
      <c r="AU2384" s="128"/>
      <c r="AV2384" s="128"/>
      <c r="AW2384" s="128"/>
      <c r="AX2384" s="128"/>
      <c r="AY2384" s="128"/>
      <c r="AZ2384" s="128"/>
      <c r="BA2384" s="128"/>
      <c r="BB2384" s="128"/>
      <c r="BC2384" s="128"/>
      <c r="BD2384" s="128"/>
      <c r="BE2384" s="128"/>
      <c r="BF2384" s="128"/>
      <c r="BG2384" s="128"/>
      <c r="BH2384" s="128"/>
      <c r="BI2384" s="128"/>
      <c r="BJ2384" s="128"/>
      <c r="BK2384" s="128"/>
      <c r="BL2384" s="128"/>
      <c r="BM2384" s="151"/>
      <c r="BN2384" s="128"/>
      <c r="BO2384" s="128"/>
      <c r="BP2384" s="128"/>
      <c r="BQ2384" s="128"/>
      <c r="BR2384" s="128"/>
      <c r="BS2384" s="128"/>
      <c r="BT2384" s="128"/>
      <c r="BU2384" s="128"/>
      <c r="BV2384" s="128"/>
      <c r="BW2384" s="128"/>
      <c r="BX2384" s="128"/>
      <c r="BY2384" s="128"/>
      <c r="BZ2384" s="128"/>
      <c r="CA2384" s="128"/>
      <c r="CB2384" s="128"/>
      <c r="CC2384" s="128"/>
      <c r="CD2384" s="128"/>
      <c r="CE2384" s="128"/>
      <c r="CF2384" s="128"/>
      <c r="CG2384" s="128"/>
      <c r="CI2384" s="128"/>
      <c r="CJ2384" s="128"/>
      <c r="CK2384" s="128"/>
      <c r="CL2384" s="128"/>
      <c r="CM2384" s="128"/>
      <c r="CN2384" s="128"/>
      <c r="CO2384" s="128"/>
      <c r="CP2384" s="128"/>
      <c r="CQ2384" s="128"/>
      <c r="CR2384" s="128"/>
      <c r="CS2384" s="128"/>
      <c r="CT2384" s="128"/>
      <c r="CU2384" s="128"/>
      <c r="CV2384" s="128"/>
      <c r="CW2384" s="128"/>
      <c r="CX2384" s="128"/>
      <c r="CY2384" s="128"/>
      <c r="CZ2384" s="165"/>
    </row>
    <row r="2385" spans="1:104">
      <c r="A2385" s="149"/>
      <c r="B2385" s="149"/>
      <c r="C2385" s="150"/>
      <c r="D2385" s="102"/>
      <c r="E2385" s="149"/>
      <c r="F2385" s="149"/>
      <c r="G2385" s="149"/>
      <c r="H2385" s="149"/>
      <c r="I2385" s="149"/>
      <c r="J2385" s="149"/>
      <c r="K2385" s="149"/>
      <c r="L2385" s="149"/>
      <c r="M2385" s="149"/>
      <c r="N2385" s="149"/>
      <c r="O2385" s="149"/>
      <c r="P2385" s="149"/>
      <c r="Q2385" s="149"/>
      <c r="R2385" s="149"/>
      <c r="S2385" s="149"/>
      <c r="T2385" s="149"/>
      <c r="U2385" s="149"/>
      <c r="V2385" s="149"/>
      <c r="W2385" s="149"/>
      <c r="X2385" s="149"/>
      <c r="Y2385" s="149"/>
      <c r="Z2385" s="149"/>
      <c r="AA2385" s="149"/>
      <c r="AB2385" s="149"/>
      <c r="AC2385" s="149"/>
      <c r="AD2385" s="149"/>
      <c r="AE2385" s="149"/>
      <c r="AF2385" s="149"/>
      <c r="AG2385" s="149"/>
      <c r="AH2385" s="149"/>
      <c r="AI2385" s="149"/>
      <c r="AJ2385" s="149"/>
      <c r="AK2385" s="149"/>
      <c r="AL2385" s="149"/>
      <c r="AM2385" s="149"/>
      <c r="AN2385" s="149"/>
      <c r="AO2385" s="128"/>
      <c r="AP2385" s="128"/>
      <c r="AQ2385" s="128"/>
      <c r="AR2385" s="128"/>
      <c r="AS2385" s="128"/>
      <c r="AT2385" s="128"/>
      <c r="AU2385" s="128"/>
      <c r="AV2385" s="128"/>
      <c r="AW2385" s="128"/>
      <c r="AX2385" s="128"/>
      <c r="AY2385" s="128"/>
      <c r="AZ2385" s="128"/>
      <c r="BA2385" s="128"/>
      <c r="BB2385" s="128"/>
      <c r="BC2385" s="128"/>
      <c r="BD2385" s="128"/>
      <c r="BE2385" s="128"/>
      <c r="BF2385" s="128"/>
      <c r="BG2385" s="128"/>
      <c r="BH2385" s="128"/>
      <c r="BI2385" s="128"/>
      <c r="BJ2385" s="128"/>
      <c r="BK2385" s="128"/>
      <c r="BL2385" s="128"/>
      <c r="BM2385" s="151"/>
      <c r="BN2385" s="128"/>
      <c r="BO2385" s="128"/>
      <c r="BP2385" s="128"/>
      <c r="BQ2385" s="128"/>
      <c r="BR2385" s="128"/>
      <c r="BS2385" s="128"/>
      <c r="BT2385" s="128"/>
      <c r="BU2385" s="128"/>
      <c r="BV2385" s="128"/>
      <c r="BW2385" s="128"/>
      <c r="BX2385" s="128"/>
      <c r="BY2385" s="128"/>
      <c r="BZ2385" s="128"/>
      <c r="CA2385" s="128"/>
      <c r="CB2385" s="128"/>
      <c r="CC2385" s="128"/>
      <c r="CD2385" s="128"/>
      <c r="CE2385" s="128"/>
      <c r="CF2385" s="128"/>
      <c r="CG2385" s="128"/>
      <c r="CI2385" s="128"/>
      <c r="CJ2385" s="128"/>
      <c r="CK2385" s="128"/>
      <c r="CL2385" s="128"/>
      <c r="CM2385" s="128"/>
      <c r="CN2385" s="128"/>
      <c r="CO2385" s="128"/>
      <c r="CP2385" s="128"/>
      <c r="CQ2385" s="128"/>
      <c r="CR2385" s="128"/>
      <c r="CS2385" s="128"/>
      <c r="CT2385" s="128"/>
      <c r="CU2385" s="128"/>
      <c r="CV2385" s="128"/>
      <c r="CW2385" s="128"/>
      <c r="CX2385" s="128"/>
      <c r="CY2385" s="128"/>
      <c r="CZ2385" s="165"/>
    </row>
    <row r="2386" spans="1:104">
      <c r="A2386" s="149"/>
      <c r="B2386" s="149"/>
      <c r="C2386" s="150"/>
      <c r="D2386" s="102"/>
      <c r="E2386" s="149"/>
      <c r="F2386" s="149"/>
      <c r="G2386" s="149"/>
      <c r="H2386" s="149"/>
      <c r="I2386" s="149"/>
      <c r="J2386" s="149"/>
      <c r="K2386" s="149"/>
      <c r="L2386" s="149"/>
      <c r="M2386" s="149"/>
      <c r="N2386" s="149"/>
      <c r="O2386" s="149"/>
      <c r="P2386" s="149"/>
      <c r="Q2386" s="149"/>
      <c r="R2386" s="149"/>
      <c r="S2386" s="149"/>
      <c r="T2386" s="149"/>
      <c r="U2386" s="149"/>
      <c r="V2386" s="149"/>
      <c r="W2386" s="149"/>
      <c r="X2386" s="149"/>
      <c r="Y2386" s="149"/>
      <c r="Z2386" s="149"/>
      <c r="AA2386" s="149"/>
      <c r="AB2386" s="149"/>
      <c r="AC2386" s="149"/>
      <c r="AD2386" s="149"/>
      <c r="AE2386" s="149"/>
      <c r="AF2386" s="149"/>
      <c r="AG2386" s="149"/>
      <c r="AH2386" s="149"/>
      <c r="AI2386" s="149"/>
      <c r="AJ2386" s="149"/>
      <c r="AK2386" s="149"/>
      <c r="AL2386" s="149"/>
      <c r="AM2386" s="149"/>
      <c r="AN2386" s="149"/>
      <c r="AO2386" s="128"/>
      <c r="AP2386" s="128"/>
      <c r="AQ2386" s="128"/>
      <c r="AR2386" s="128"/>
      <c r="AS2386" s="128"/>
      <c r="AT2386" s="128"/>
      <c r="AU2386" s="128"/>
      <c r="AV2386" s="128"/>
      <c r="AW2386" s="128"/>
      <c r="AX2386" s="128"/>
      <c r="AY2386" s="128"/>
      <c r="AZ2386" s="128"/>
      <c r="BA2386" s="128"/>
      <c r="BB2386" s="128"/>
      <c r="BC2386" s="128"/>
      <c r="BD2386" s="128"/>
      <c r="BE2386" s="128"/>
      <c r="BF2386" s="128"/>
      <c r="BG2386" s="128"/>
      <c r="BH2386" s="128"/>
      <c r="BI2386" s="128"/>
      <c r="BJ2386" s="128"/>
      <c r="BK2386" s="128"/>
      <c r="BL2386" s="128"/>
      <c r="BM2386" s="151"/>
      <c r="BN2386" s="128"/>
      <c r="BO2386" s="128"/>
      <c r="BP2386" s="128"/>
      <c r="BQ2386" s="128"/>
      <c r="BR2386" s="128"/>
      <c r="BS2386" s="128"/>
      <c r="BT2386" s="128"/>
      <c r="BU2386" s="128"/>
      <c r="BV2386" s="128"/>
      <c r="BW2386" s="128"/>
      <c r="BX2386" s="128"/>
      <c r="BY2386" s="128"/>
      <c r="BZ2386" s="128"/>
      <c r="CA2386" s="128"/>
      <c r="CB2386" s="128"/>
      <c r="CC2386" s="128"/>
      <c r="CD2386" s="128"/>
      <c r="CE2386" s="128"/>
      <c r="CF2386" s="128"/>
      <c r="CG2386" s="128"/>
      <c r="CI2386" s="128"/>
      <c r="CJ2386" s="128"/>
      <c r="CK2386" s="128"/>
      <c r="CL2386" s="128"/>
      <c r="CM2386" s="128"/>
      <c r="CN2386" s="128"/>
      <c r="CO2386" s="128"/>
      <c r="CP2386" s="128"/>
      <c r="CQ2386" s="128"/>
      <c r="CR2386" s="128"/>
      <c r="CS2386" s="128"/>
      <c r="CT2386" s="128"/>
      <c r="CU2386" s="128"/>
      <c r="CV2386" s="128"/>
      <c r="CW2386" s="128"/>
      <c r="CX2386" s="128"/>
      <c r="CY2386" s="128"/>
      <c r="CZ2386" s="165"/>
    </row>
    <row r="2387" spans="1:104">
      <c r="A2387" s="149"/>
      <c r="B2387" s="149"/>
      <c r="C2387" s="150"/>
      <c r="D2387" s="102"/>
      <c r="E2387" s="149"/>
      <c r="F2387" s="149"/>
      <c r="G2387" s="149"/>
      <c r="H2387" s="149"/>
      <c r="I2387" s="149"/>
      <c r="J2387" s="149"/>
      <c r="K2387" s="149"/>
      <c r="L2387" s="149"/>
      <c r="M2387" s="149"/>
      <c r="N2387" s="149"/>
      <c r="O2387" s="149"/>
      <c r="P2387" s="149"/>
      <c r="Q2387" s="149"/>
      <c r="R2387" s="149"/>
      <c r="S2387" s="149"/>
      <c r="T2387" s="149"/>
      <c r="U2387" s="149"/>
      <c r="V2387" s="149"/>
      <c r="W2387" s="149"/>
      <c r="X2387" s="149"/>
      <c r="Y2387" s="149"/>
      <c r="Z2387" s="149"/>
      <c r="AA2387" s="149"/>
      <c r="AB2387" s="149"/>
      <c r="AC2387" s="149"/>
      <c r="AD2387" s="149"/>
      <c r="AE2387" s="149"/>
      <c r="AF2387" s="149"/>
      <c r="AG2387" s="149"/>
      <c r="AH2387" s="149"/>
      <c r="AI2387" s="149"/>
      <c r="AJ2387" s="149"/>
      <c r="AK2387" s="149"/>
      <c r="AL2387" s="149"/>
      <c r="AM2387" s="149"/>
      <c r="AN2387" s="149"/>
      <c r="AO2387" s="128"/>
      <c r="AP2387" s="128"/>
      <c r="AQ2387" s="128"/>
      <c r="AR2387" s="128"/>
      <c r="AS2387" s="128"/>
      <c r="AT2387" s="128"/>
      <c r="AU2387" s="128"/>
      <c r="AV2387" s="128"/>
      <c r="AW2387" s="128"/>
      <c r="AX2387" s="128"/>
      <c r="AY2387" s="128"/>
      <c r="AZ2387" s="128"/>
      <c r="BA2387" s="128"/>
      <c r="BB2387" s="128"/>
      <c r="BC2387" s="128"/>
      <c r="BD2387" s="128"/>
      <c r="BE2387" s="128"/>
      <c r="BF2387" s="128"/>
      <c r="BG2387" s="128"/>
      <c r="BH2387" s="128"/>
      <c r="BI2387" s="128"/>
      <c r="BJ2387" s="128"/>
      <c r="BK2387" s="128"/>
      <c r="BL2387" s="128"/>
      <c r="BM2387" s="151"/>
      <c r="BN2387" s="128"/>
      <c r="BO2387" s="128"/>
      <c r="BP2387" s="128"/>
      <c r="BQ2387" s="128"/>
      <c r="BR2387" s="128"/>
      <c r="BS2387" s="128"/>
      <c r="BT2387" s="128"/>
      <c r="BU2387" s="128"/>
      <c r="BV2387" s="128"/>
      <c r="BW2387" s="128"/>
      <c r="BX2387" s="128"/>
      <c r="BY2387" s="128"/>
      <c r="BZ2387" s="128"/>
      <c r="CA2387" s="128"/>
      <c r="CB2387" s="128"/>
      <c r="CC2387" s="128"/>
      <c r="CD2387" s="128"/>
      <c r="CE2387" s="128"/>
      <c r="CF2387" s="128"/>
      <c r="CG2387" s="128"/>
      <c r="CI2387" s="128"/>
      <c r="CJ2387" s="128"/>
      <c r="CK2387" s="128"/>
      <c r="CL2387" s="128"/>
      <c r="CM2387" s="128"/>
      <c r="CN2387" s="128"/>
      <c r="CO2387" s="128"/>
      <c r="CP2387" s="128"/>
      <c r="CQ2387" s="128"/>
      <c r="CR2387" s="128"/>
      <c r="CS2387" s="128"/>
      <c r="CT2387" s="128"/>
      <c r="CU2387" s="128"/>
      <c r="CV2387" s="128"/>
      <c r="CW2387" s="128"/>
      <c r="CX2387" s="128"/>
      <c r="CY2387" s="128"/>
      <c r="CZ2387" s="165"/>
    </row>
    <row r="2388" spans="1:104">
      <c r="A2388" s="149"/>
      <c r="B2388" s="149"/>
      <c r="C2388" s="150"/>
      <c r="D2388" s="102"/>
      <c r="E2388" s="149"/>
      <c r="F2388" s="149"/>
      <c r="G2388" s="149"/>
      <c r="H2388" s="149"/>
      <c r="I2388" s="149"/>
      <c r="J2388" s="149"/>
      <c r="K2388" s="149"/>
      <c r="L2388" s="149"/>
      <c r="M2388" s="149"/>
      <c r="N2388" s="149"/>
      <c r="O2388" s="149"/>
      <c r="P2388" s="149"/>
      <c r="Q2388" s="149"/>
      <c r="R2388" s="149"/>
      <c r="S2388" s="149"/>
      <c r="T2388" s="149"/>
      <c r="U2388" s="149"/>
      <c r="V2388" s="149"/>
      <c r="W2388" s="149"/>
      <c r="X2388" s="149"/>
      <c r="Y2388" s="149"/>
      <c r="Z2388" s="149"/>
      <c r="AA2388" s="149"/>
      <c r="AB2388" s="149"/>
      <c r="AC2388" s="149"/>
      <c r="AD2388" s="149"/>
      <c r="AE2388" s="149"/>
      <c r="AF2388" s="149"/>
      <c r="AG2388" s="149"/>
      <c r="AH2388" s="149"/>
      <c r="AI2388" s="149"/>
      <c r="AJ2388" s="149"/>
      <c r="AK2388" s="149"/>
      <c r="AL2388" s="149"/>
      <c r="AM2388" s="149"/>
      <c r="AN2388" s="149"/>
      <c r="AO2388" s="128"/>
      <c r="AP2388" s="128"/>
      <c r="AQ2388" s="128"/>
      <c r="AR2388" s="128"/>
      <c r="AS2388" s="128"/>
      <c r="AT2388" s="128"/>
      <c r="AU2388" s="128"/>
      <c r="AV2388" s="128"/>
      <c r="AW2388" s="128"/>
      <c r="AX2388" s="128"/>
      <c r="AY2388" s="128"/>
      <c r="AZ2388" s="128"/>
      <c r="BA2388" s="128"/>
      <c r="BB2388" s="128"/>
      <c r="BC2388" s="128"/>
      <c r="BD2388" s="128"/>
      <c r="BE2388" s="128"/>
      <c r="BF2388" s="128"/>
      <c r="BG2388" s="128"/>
      <c r="BH2388" s="128"/>
      <c r="BI2388" s="128"/>
      <c r="BJ2388" s="128"/>
      <c r="BK2388" s="128"/>
      <c r="BL2388" s="128"/>
      <c r="BM2388" s="151"/>
      <c r="BN2388" s="128"/>
      <c r="BO2388" s="128"/>
      <c r="BP2388" s="128"/>
      <c r="BQ2388" s="128"/>
      <c r="BR2388" s="128"/>
      <c r="BS2388" s="128"/>
      <c r="BT2388" s="128"/>
      <c r="BU2388" s="128"/>
      <c r="BV2388" s="128"/>
      <c r="BW2388" s="128"/>
      <c r="BX2388" s="128"/>
      <c r="BY2388" s="128"/>
      <c r="BZ2388" s="128"/>
      <c r="CA2388" s="128"/>
      <c r="CB2388" s="128"/>
      <c r="CC2388" s="128"/>
      <c r="CD2388" s="128"/>
      <c r="CE2388" s="128"/>
      <c r="CF2388" s="128"/>
      <c r="CG2388" s="128"/>
      <c r="CI2388" s="128"/>
      <c r="CJ2388" s="128"/>
      <c r="CK2388" s="128"/>
      <c r="CL2388" s="128"/>
      <c r="CM2388" s="128"/>
      <c r="CN2388" s="128"/>
      <c r="CO2388" s="128"/>
      <c r="CP2388" s="128"/>
      <c r="CQ2388" s="128"/>
      <c r="CR2388" s="128"/>
      <c r="CS2388" s="128"/>
      <c r="CT2388" s="128"/>
      <c r="CU2388" s="128"/>
      <c r="CV2388" s="128"/>
      <c r="CW2388" s="128"/>
      <c r="CX2388" s="128"/>
      <c r="CY2388" s="128"/>
      <c r="CZ2388" s="165"/>
    </row>
    <row r="2389" spans="1:104">
      <c r="A2389" s="149"/>
      <c r="B2389" s="149"/>
      <c r="C2389" s="150"/>
      <c r="D2389" s="102"/>
      <c r="E2389" s="149"/>
      <c r="F2389" s="149"/>
      <c r="G2389" s="149"/>
      <c r="H2389" s="149"/>
      <c r="I2389" s="149"/>
      <c r="J2389" s="149"/>
      <c r="K2389" s="149"/>
      <c r="L2389" s="149"/>
      <c r="M2389" s="149"/>
      <c r="N2389" s="149"/>
      <c r="O2389" s="149"/>
      <c r="P2389" s="149"/>
      <c r="Q2389" s="149"/>
      <c r="R2389" s="149"/>
      <c r="S2389" s="149"/>
      <c r="T2389" s="149"/>
      <c r="U2389" s="149"/>
      <c r="V2389" s="149"/>
      <c r="W2389" s="149"/>
      <c r="X2389" s="149"/>
      <c r="Y2389" s="149"/>
      <c r="Z2389" s="149"/>
      <c r="AA2389" s="149"/>
      <c r="AB2389" s="149"/>
      <c r="AC2389" s="149"/>
      <c r="AD2389" s="149"/>
      <c r="AE2389" s="149"/>
      <c r="AF2389" s="149"/>
      <c r="AG2389" s="149"/>
      <c r="AH2389" s="149"/>
      <c r="AI2389" s="149"/>
      <c r="AJ2389" s="149"/>
      <c r="AK2389" s="149"/>
      <c r="AL2389" s="149"/>
      <c r="AM2389" s="149"/>
      <c r="AN2389" s="149"/>
      <c r="AO2389" s="128"/>
      <c r="AP2389" s="128"/>
      <c r="AQ2389" s="128"/>
      <c r="AR2389" s="128"/>
      <c r="AS2389" s="128"/>
      <c r="AT2389" s="128"/>
      <c r="AU2389" s="128"/>
      <c r="AV2389" s="128"/>
      <c r="AW2389" s="128"/>
      <c r="AX2389" s="128"/>
      <c r="AY2389" s="128"/>
      <c r="AZ2389" s="128"/>
      <c r="BA2389" s="128"/>
      <c r="BB2389" s="128"/>
      <c r="BC2389" s="128"/>
      <c r="BD2389" s="128"/>
      <c r="BE2389" s="128"/>
      <c r="BF2389" s="128"/>
      <c r="BG2389" s="128"/>
      <c r="BH2389" s="128"/>
      <c r="BI2389" s="128"/>
      <c r="BJ2389" s="128"/>
      <c r="BK2389" s="128"/>
      <c r="BL2389" s="128"/>
      <c r="BM2389" s="151"/>
      <c r="BN2389" s="128"/>
      <c r="BO2389" s="128"/>
      <c r="BP2389" s="128"/>
      <c r="BQ2389" s="128"/>
      <c r="BR2389" s="128"/>
      <c r="BS2389" s="128"/>
      <c r="BT2389" s="128"/>
      <c r="BU2389" s="128"/>
      <c r="BV2389" s="128"/>
      <c r="BW2389" s="128"/>
      <c r="BX2389" s="128"/>
      <c r="BY2389" s="128"/>
      <c r="BZ2389" s="128"/>
      <c r="CA2389" s="128"/>
      <c r="CB2389" s="128"/>
      <c r="CC2389" s="128"/>
      <c r="CD2389" s="128"/>
      <c r="CE2389" s="128"/>
      <c r="CF2389" s="128"/>
      <c r="CG2389" s="128"/>
      <c r="CI2389" s="128"/>
      <c r="CJ2389" s="128"/>
      <c r="CK2389" s="128"/>
      <c r="CL2389" s="128"/>
      <c r="CM2389" s="128"/>
      <c r="CN2389" s="128"/>
      <c r="CO2389" s="128"/>
      <c r="CP2389" s="128"/>
      <c r="CQ2389" s="128"/>
      <c r="CR2389" s="128"/>
      <c r="CS2389" s="128"/>
      <c r="CT2389" s="128"/>
      <c r="CU2389" s="128"/>
      <c r="CV2389" s="128"/>
      <c r="CW2389" s="128"/>
      <c r="CX2389" s="128"/>
      <c r="CY2389" s="128"/>
      <c r="CZ2389" s="165"/>
    </row>
    <row r="2390" spans="1:104">
      <c r="A2390" s="149"/>
      <c r="B2390" s="149"/>
      <c r="C2390" s="150"/>
      <c r="D2390" s="102"/>
      <c r="E2390" s="149"/>
      <c r="F2390" s="149"/>
      <c r="G2390" s="149"/>
      <c r="H2390" s="149"/>
      <c r="I2390" s="149"/>
      <c r="J2390" s="149"/>
      <c r="K2390" s="149"/>
      <c r="L2390" s="149"/>
      <c r="M2390" s="149"/>
      <c r="N2390" s="149"/>
      <c r="O2390" s="149"/>
      <c r="P2390" s="149"/>
      <c r="Q2390" s="149"/>
      <c r="R2390" s="149"/>
      <c r="S2390" s="149"/>
      <c r="T2390" s="149"/>
      <c r="U2390" s="149"/>
      <c r="V2390" s="149"/>
      <c r="W2390" s="149"/>
      <c r="X2390" s="149"/>
      <c r="Y2390" s="149"/>
      <c r="Z2390" s="149"/>
      <c r="AA2390" s="149"/>
      <c r="AB2390" s="149"/>
      <c r="AC2390" s="149"/>
      <c r="AD2390" s="149"/>
      <c r="AE2390" s="149"/>
      <c r="AF2390" s="149"/>
      <c r="AG2390" s="149"/>
      <c r="AH2390" s="149"/>
      <c r="AI2390" s="149"/>
      <c r="AJ2390" s="149"/>
      <c r="AK2390" s="149"/>
      <c r="AL2390" s="149"/>
      <c r="AM2390" s="149"/>
      <c r="AN2390" s="149"/>
      <c r="AO2390" s="128"/>
      <c r="AP2390" s="128"/>
      <c r="AQ2390" s="128"/>
      <c r="AR2390" s="128"/>
      <c r="AS2390" s="128"/>
      <c r="AT2390" s="128"/>
      <c r="AU2390" s="128"/>
      <c r="AV2390" s="128"/>
      <c r="AW2390" s="128"/>
      <c r="AX2390" s="128"/>
      <c r="AY2390" s="128"/>
      <c r="AZ2390" s="128"/>
      <c r="BA2390" s="128"/>
      <c r="BB2390" s="128"/>
      <c r="BC2390" s="128"/>
      <c r="BD2390" s="128"/>
      <c r="BE2390" s="128"/>
      <c r="BF2390" s="128"/>
      <c r="BG2390" s="128"/>
      <c r="BH2390" s="128"/>
      <c r="BI2390" s="128"/>
      <c r="BJ2390" s="128"/>
      <c r="BK2390" s="128"/>
      <c r="BL2390" s="128"/>
      <c r="BM2390" s="151"/>
      <c r="BN2390" s="128"/>
      <c r="BO2390" s="128"/>
      <c r="BP2390" s="128"/>
      <c r="BQ2390" s="128"/>
      <c r="BR2390" s="128"/>
      <c r="BS2390" s="128"/>
      <c r="BT2390" s="128"/>
      <c r="BU2390" s="128"/>
      <c r="BV2390" s="128"/>
      <c r="BW2390" s="128"/>
      <c r="BX2390" s="128"/>
      <c r="BY2390" s="128"/>
      <c r="BZ2390" s="128"/>
      <c r="CA2390" s="128"/>
      <c r="CB2390" s="128"/>
      <c r="CC2390" s="128"/>
      <c r="CD2390" s="128"/>
      <c r="CE2390" s="128"/>
      <c r="CF2390" s="128"/>
      <c r="CG2390" s="128"/>
      <c r="CI2390" s="128"/>
      <c r="CJ2390" s="128"/>
      <c r="CK2390" s="128"/>
      <c r="CL2390" s="128"/>
      <c r="CM2390" s="128"/>
      <c r="CN2390" s="128"/>
      <c r="CO2390" s="128"/>
      <c r="CP2390" s="128"/>
      <c r="CQ2390" s="128"/>
      <c r="CR2390" s="128"/>
      <c r="CS2390" s="128"/>
      <c r="CT2390" s="128"/>
      <c r="CU2390" s="128"/>
      <c r="CV2390" s="128"/>
      <c r="CW2390" s="128"/>
      <c r="CX2390" s="128"/>
      <c r="CY2390" s="128"/>
      <c r="CZ2390" s="165"/>
    </row>
    <row r="2391" spans="1:104">
      <c r="A2391" s="149"/>
      <c r="B2391" s="149"/>
      <c r="C2391" s="150"/>
      <c r="D2391" s="102"/>
      <c r="E2391" s="149"/>
      <c r="F2391" s="149"/>
      <c r="G2391" s="149"/>
      <c r="H2391" s="149"/>
      <c r="I2391" s="149"/>
      <c r="J2391" s="149"/>
      <c r="K2391" s="149"/>
      <c r="L2391" s="149"/>
      <c r="M2391" s="149"/>
      <c r="N2391" s="149"/>
      <c r="O2391" s="149"/>
      <c r="P2391" s="149"/>
      <c r="Q2391" s="149"/>
      <c r="R2391" s="149"/>
      <c r="S2391" s="149"/>
      <c r="T2391" s="149"/>
      <c r="U2391" s="149"/>
      <c r="V2391" s="149"/>
      <c r="W2391" s="149"/>
      <c r="X2391" s="149"/>
      <c r="Y2391" s="149"/>
      <c r="Z2391" s="149"/>
      <c r="AA2391" s="149"/>
      <c r="AB2391" s="149"/>
      <c r="AC2391" s="149"/>
      <c r="AD2391" s="149"/>
      <c r="AE2391" s="149"/>
      <c r="AF2391" s="149"/>
      <c r="AG2391" s="149"/>
      <c r="AH2391" s="149"/>
      <c r="AI2391" s="149"/>
      <c r="AJ2391" s="149"/>
      <c r="AK2391" s="149"/>
      <c r="AL2391" s="149"/>
      <c r="AM2391" s="149"/>
      <c r="AN2391" s="149"/>
      <c r="AO2391" s="128"/>
      <c r="AP2391" s="128"/>
      <c r="AQ2391" s="128"/>
      <c r="AR2391" s="128"/>
      <c r="AS2391" s="128"/>
      <c r="AT2391" s="128"/>
      <c r="AU2391" s="128"/>
      <c r="AV2391" s="128"/>
      <c r="AW2391" s="128"/>
      <c r="AX2391" s="128"/>
      <c r="AY2391" s="128"/>
      <c r="AZ2391" s="128"/>
      <c r="BA2391" s="128"/>
      <c r="BB2391" s="128"/>
      <c r="BC2391" s="128"/>
      <c r="BD2391" s="128"/>
      <c r="BE2391" s="128"/>
      <c r="BF2391" s="128"/>
      <c r="BG2391" s="128"/>
      <c r="BH2391" s="128"/>
      <c r="BI2391" s="128"/>
      <c r="BJ2391" s="128"/>
      <c r="BK2391" s="128"/>
      <c r="BL2391" s="128"/>
      <c r="BM2391" s="151"/>
      <c r="BN2391" s="128"/>
      <c r="BO2391" s="128"/>
      <c r="BP2391" s="128"/>
      <c r="BQ2391" s="128"/>
      <c r="BR2391" s="128"/>
      <c r="BS2391" s="128"/>
      <c r="BT2391" s="128"/>
      <c r="BU2391" s="128"/>
      <c r="BV2391" s="128"/>
      <c r="BW2391" s="128"/>
      <c r="BX2391" s="128"/>
      <c r="BY2391" s="128"/>
      <c r="BZ2391" s="128"/>
      <c r="CA2391" s="128"/>
      <c r="CB2391" s="128"/>
      <c r="CC2391" s="128"/>
      <c r="CD2391" s="128"/>
      <c r="CE2391" s="128"/>
      <c r="CF2391" s="128"/>
      <c r="CG2391" s="128"/>
      <c r="CI2391" s="128"/>
      <c r="CJ2391" s="128"/>
      <c r="CK2391" s="128"/>
      <c r="CL2391" s="128"/>
      <c r="CM2391" s="128"/>
      <c r="CN2391" s="128"/>
      <c r="CO2391" s="128"/>
      <c r="CP2391" s="128"/>
      <c r="CQ2391" s="128"/>
      <c r="CR2391" s="128"/>
      <c r="CS2391" s="128"/>
      <c r="CT2391" s="128"/>
      <c r="CU2391" s="128"/>
      <c r="CV2391" s="128"/>
      <c r="CW2391" s="128"/>
      <c r="CX2391" s="128"/>
      <c r="CY2391" s="128"/>
      <c r="CZ2391" s="165"/>
    </row>
    <row r="2392" spans="1:104">
      <c r="A2392" s="149"/>
      <c r="B2392" s="149"/>
      <c r="C2392" s="150"/>
      <c r="D2392" s="102"/>
      <c r="E2392" s="149"/>
      <c r="F2392" s="149"/>
      <c r="G2392" s="149"/>
      <c r="H2392" s="149"/>
      <c r="I2392" s="149"/>
      <c r="J2392" s="149"/>
      <c r="K2392" s="149"/>
      <c r="L2392" s="149"/>
      <c r="M2392" s="149"/>
      <c r="N2392" s="149"/>
      <c r="O2392" s="149"/>
      <c r="P2392" s="149"/>
      <c r="Q2392" s="149"/>
      <c r="R2392" s="149"/>
      <c r="S2392" s="149"/>
      <c r="T2392" s="149"/>
      <c r="U2392" s="149"/>
      <c r="V2392" s="149"/>
      <c r="W2392" s="149"/>
      <c r="X2392" s="149"/>
      <c r="Y2392" s="149"/>
      <c r="Z2392" s="149"/>
      <c r="AA2392" s="149"/>
      <c r="AB2392" s="149"/>
      <c r="AC2392" s="149"/>
      <c r="AD2392" s="149"/>
      <c r="AE2392" s="149"/>
      <c r="AF2392" s="149"/>
      <c r="AG2392" s="149"/>
      <c r="AH2392" s="149"/>
      <c r="AI2392" s="149"/>
      <c r="AJ2392" s="149"/>
      <c r="AK2392" s="149"/>
      <c r="AL2392" s="149"/>
      <c r="AM2392" s="149"/>
      <c r="AN2392" s="149"/>
      <c r="AO2392" s="128"/>
      <c r="AP2392" s="128"/>
      <c r="AQ2392" s="128"/>
      <c r="AR2392" s="128"/>
      <c r="AS2392" s="128"/>
      <c r="AT2392" s="128"/>
      <c r="AU2392" s="128"/>
      <c r="AV2392" s="128"/>
      <c r="AW2392" s="128"/>
      <c r="AX2392" s="128"/>
      <c r="AY2392" s="128"/>
      <c r="AZ2392" s="128"/>
      <c r="BA2392" s="128"/>
      <c r="BB2392" s="128"/>
      <c r="BC2392" s="128"/>
      <c r="BD2392" s="128"/>
      <c r="BE2392" s="128"/>
      <c r="BF2392" s="128"/>
      <c r="BG2392" s="128"/>
      <c r="BH2392" s="128"/>
      <c r="BI2392" s="128"/>
      <c r="BJ2392" s="128"/>
      <c r="BK2392" s="128"/>
      <c r="BL2392" s="128"/>
      <c r="BM2392" s="151"/>
      <c r="BN2392" s="128"/>
      <c r="BO2392" s="128"/>
      <c r="BP2392" s="128"/>
      <c r="BQ2392" s="128"/>
      <c r="BR2392" s="128"/>
      <c r="BS2392" s="128"/>
      <c r="BT2392" s="128"/>
      <c r="BU2392" s="128"/>
      <c r="BV2392" s="128"/>
      <c r="BW2392" s="128"/>
      <c r="BX2392" s="128"/>
      <c r="BY2392" s="128"/>
      <c r="BZ2392" s="128"/>
      <c r="CA2392" s="128"/>
      <c r="CB2392" s="128"/>
      <c r="CC2392" s="128"/>
      <c r="CD2392" s="128"/>
      <c r="CE2392" s="128"/>
      <c r="CF2392" s="128"/>
      <c r="CG2392" s="128"/>
      <c r="CI2392" s="128"/>
      <c r="CJ2392" s="128"/>
      <c r="CK2392" s="128"/>
      <c r="CL2392" s="128"/>
      <c r="CM2392" s="128"/>
      <c r="CN2392" s="128"/>
      <c r="CO2392" s="128"/>
      <c r="CP2392" s="128"/>
      <c r="CQ2392" s="128"/>
      <c r="CR2392" s="128"/>
      <c r="CS2392" s="128"/>
      <c r="CT2392" s="128"/>
      <c r="CU2392" s="128"/>
      <c r="CV2392" s="128"/>
      <c r="CW2392" s="128"/>
      <c r="CX2392" s="128"/>
      <c r="CY2392" s="128"/>
      <c r="CZ2392" s="165"/>
    </row>
    <row r="2393" spans="1:104">
      <c r="A2393" s="149"/>
      <c r="B2393" s="149"/>
      <c r="C2393" s="150"/>
      <c r="D2393" s="102"/>
      <c r="E2393" s="149"/>
      <c r="F2393" s="149"/>
      <c r="G2393" s="149"/>
      <c r="H2393" s="149"/>
      <c r="I2393" s="149"/>
      <c r="J2393" s="149"/>
      <c r="K2393" s="149"/>
      <c r="L2393" s="149"/>
      <c r="M2393" s="149"/>
      <c r="N2393" s="149"/>
      <c r="O2393" s="149"/>
      <c r="P2393" s="149"/>
      <c r="Q2393" s="149"/>
      <c r="R2393" s="149"/>
      <c r="S2393" s="149"/>
      <c r="T2393" s="149"/>
      <c r="U2393" s="149"/>
      <c r="V2393" s="149"/>
      <c r="W2393" s="149"/>
      <c r="X2393" s="149"/>
      <c r="Y2393" s="149"/>
      <c r="Z2393" s="149"/>
      <c r="AA2393" s="149"/>
      <c r="AB2393" s="149"/>
      <c r="AC2393" s="149"/>
      <c r="AD2393" s="149"/>
      <c r="AE2393" s="149"/>
      <c r="AF2393" s="149"/>
      <c r="AG2393" s="149"/>
      <c r="AH2393" s="149"/>
      <c r="AI2393" s="149"/>
      <c r="AJ2393" s="149"/>
      <c r="AK2393" s="149"/>
      <c r="AL2393" s="149"/>
      <c r="AM2393" s="149"/>
      <c r="AN2393" s="149"/>
      <c r="AO2393" s="128"/>
      <c r="AP2393" s="128"/>
      <c r="AQ2393" s="128"/>
      <c r="AR2393" s="128"/>
      <c r="AS2393" s="128"/>
      <c r="AT2393" s="128"/>
      <c r="AU2393" s="128"/>
      <c r="AV2393" s="128"/>
      <c r="AW2393" s="128"/>
      <c r="AX2393" s="128"/>
      <c r="AY2393" s="128"/>
      <c r="AZ2393" s="128"/>
      <c r="BA2393" s="128"/>
      <c r="BB2393" s="128"/>
      <c r="BC2393" s="128"/>
      <c r="BD2393" s="128"/>
      <c r="BE2393" s="128"/>
      <c r="BF2393" s="128"/>
      <c r="BG2393" s="128"/>
      <c r="BH2393" s="128"/>
      <c r="BI2393" s="128"/>
      <c r="BJ2393" s="128"/>
      <c r="BK2393" s="128"/>
      <c r="BL2393" s="128"/>
      <c r="BM2393" s="151"/>
      <c r="BN2393" s="128"/>
      <c r="BO2393" s="128"/>
      <c r="BP2393" s="128"/>
      <c r="BQ2393" s="128"/>
      <c r="BR2393" s="128"/>
      <c r="BS2393" s="128"/>
      <c r="BT2393" s="128"/>
      <c r="BU2393" s="128"/>
      <c r="BV2393" s="128"/>
      <c r="BW2393" s="128"/>
      <c r="BX2393" s="128"/>
      <c r="BY2393" s="128"/>
      <c r="BZ2393" s="128"/>
      <c r="CA2393" s="128"/>
      <c r="CB2393" s="128"/>
      <c r="CC2393" s="128"/>
      <c r="CD2393" s="128"/>
      <c r="CE2393" s="128"/>
      <c r="CF2393" s="128"/>
      <c r="CG2393" s="128"/>
      <c r="CI2393" s="128"/>
      <c r="CJ2393" s="128"/>
      <c r="CK2393" s="128"/>
      <c r="CL2393" s="128"/>
      <c r="CM2393" s="128"/>
      <c r="CN2393" s="128"/>
      <c r="CO2393" s="128"/>
      <c r="CP2393" s="128"/>
      <c r="CQ2393" s="128"/>
      <c r="CR2393" s="128"/>
      <c r="CS2393" s="128"/>
      <c r="CT2393" s="128"/>
      <c r="CU2393" s="128"/>
      <c r="CV2393" s="128"/>
      <c r="CW2393" s="128"/>
      <c r="CX2393" s="128"/>
      <c r="CY2393" s="128"/>
      <c r="CZ2393" s="165"/>
    </row>
    <row r="2394" spans="1:104">
      <c r="A2394" s="149"/>
      <c r="B2394" s="149"/>
      <c r="C2394" s="150"/>
      <c r="D2394" s="102"/>
      <c r="E2394" s="149"/>
      <c r="F2394" s="149"/>
      <c r="G2394" s="149"/>
      <c r="H2394" s="149"/>
      <c r="I2394" s="149"/>
      <c r="J2394" s="149"/>
      <c r="K2394" s="149"/>
      <c r="L2394" s="149"/>
      <c r="M2394" s="149"/>
      <c r="N2394" s="149"/>
      <c r="O2394" s="149"/>
      <c r="P2394" s="149"/>
      <c r="Q2394" s="149"/>
      <c r="R2394" s="149"/>
      <c r="S2394" s="149"/>
      <c r="T2394" s="149"/>
      <c r="U2394" s="149"/>
      <c r="V2394" s="149"/>
      <c r="W2394" s="149"/>
      <c r="X2394" s="149"/>
      <c r="Y2394" s="149"/>
      <c r="Z2394" s="149"/>
      <c r="AA2394" s="149"/>
      <c r="AB2394" s="149"/>
      <c r="AC2394" s="149"/>
      <c r="AD2394" s="149"/>
      <c r="AE2394" s="149"/>
      <c r="AF2394" s="149"/>
      <c r="AG2394" s="149"/>
      <c r="AH2394" s="149"/>
      <c r="AI2394" s="149"/>
      <c r="AJ2394" s="149"/>
      <c r="AK2394" s="149"/>
      <c r="AL2394" s="149"/>
      <c r="AM2394" s="149"/>
      <c r="AN2394" s="149"/>
      <c r="AO2394" s="128"/>
      <c r="AP2394" s="128"/>
      <c r="AQ2394" s="128"/>
      <c r="AR2394" s="128"/>
      <c r="AS2394" s="128"/>
      <c r="AT2394" s="128"/>
      <c r="AU2394" s="128"/>
      <c r="AV2394" s="128"/>
      <c r="AW2394" s="128"/>
      <c r="AX2394" s="128"/>
      <c r="AY2394" s="128"/>
      <c r="AZ2394" s="128"/>
      <c r="BA2394" s="128"/>
      <c r="BB2394" s="128"/>
      <c r="BC2394" s="128"/>
      <c r="BD2394" s="128"/>
      <c r="BE2394" s="128"/>
      <c r="BF2394" s="128"/>
      <c r="BG2394" s="128"/>
      <c r="BH2394" s="128"/>
      <c r="BI2394" s="128"/>
      <c r="BJ2394" s="128"/>
      <c r="BK2394" s="128"/>
      <c r="BL2394" s="128"/>
      <c r="BM2394" s="151"/>
      <c r="BN2394" s="128"/>
      <c r="BO2394" s="128"/>
      <c r="BP2394" s="128"/>
      <c r="BQ2394" s="128"/>
      <c r="BR2394" s="128"/>
      <c r="BS2394" s="128"/>
      <c r="BT2394" s="128"/>
      <c r="BU2394" s="128"/>
      <c r="BV2394" s="128"/>
      <c r="BW2394" s="128"/>
      <c r="BX2394" s="128"/>
      <c r="BY2394" s="128"/>
      <c r="BZ2394" s="128"/>
      <c r="CA2394" s="128"/>
      <c r="CB2394" s="128"/>
      <c r="CC2394" s="128"/>
      <c r="CD2394" s="128"/>
      <c r="CE2394" s="128"/>
      <c r="CF2394" s="128"/>
      <c r="CG2394" s="128"/>
      <c r="CI2394" s="128"/>
      <c r="CJ2394" s="128"/>
      <c r="CK2394" s="128"/>
      <c r="CL2394" s="128"/>
      <c r="CM2394" s="128"/>
      <c r="CN2394" s="128"/>
      <c r="CO2394" s="128"/>
      <c r="CP2394" s="128"/>
      <c r="CQ2394" s="128"/>
      <c r="CR2394" s="128"/>
      <c r="CS2394" s="128"/>
      <c r="CT2394" s="128"/>
      <c r="CU2394" s="128"/>
      <c r="CV2394" s="128"/>
      <c r="CW2394" s="128"/>
      <c r="CX2394" s="128"/>
      <c r="CY2394" s="128"/>
      <c r="CZ2394" s="165"/>
    </row>
    <row r="2395" spans="1:104">
      <c r="A2395" s="149"/>
      <c r="B2395" s="149"/>
      <c r="C2395" s="150"/>
      <c r="D2395" s="102"/>
      <c r="E2395" s="149"/>
      <c r="F2395" s="149"/>
      <c r="G2395" s="149"/>
      <c r="H2395" s="149"/>
      <c r="I2395" s="149"/>
      <c r="J2395" s="149"/>
      <c r="K2395" s="149"/>
      <c r="L2395" s="149"/>
      <c r="M2395" s="149"/>
      <c r="N2395" s="149"/>
      <c r="O2395" s="149"/>
      <c r="P2395" s="149"/>
      <c r="Q2395" s="149"/>
      <c r="R2395" s="149"/>
      <c r="S2395" s="149"/>
      <c r="T2395" s="149"/>
      <c r="U2395" s="149"/>
      <c r="V2395" s="149"/>
      <c r="W2395" s="149"/>
      <c r="X2395" s="149"/>
      <c r="Y2395" s="149"/>
      <c r="Z2395" s="149"/>
      <c r="AA2395" s="149"/>
      <c r="AB2395" s="149"/>
      <c r="AC2395" s="149"/>
      <c r="AD2395" s="149"/>
      <c r="AE2395" s="149"/>
      <c r="AF2395" s="149"/>
      <c r="AG2395" s="149"/>
      <c r="AH2395" s="149"/>
      <c r="AI2395" s="149"/>
      <c r="AJ2395" s="149"/>
      <c r="AK2395" s="149"/>
      <c r="AL2395" s="149"/>
      <c r="AM2395" s="149"/>
      <c r="AN2395" s="149"/>
      <c r="AO2395" s="128"/>
      <c r="AP2395" s="128"/>
      <c r="AQ2395" s="128"/>
      <c r="AR2395" s="128"/>
      <c r="AS2395" s="128"/>
      <c r="AT2395" s="128"/>
      <c r="AU2395" s="128"/>
      <c r="AV2395" s="128"/>
      <c r="AW2395" s="128"/>
      <c r="AX2395" s="128"/>
      <c r="AY2395" s="128"/>
      <c r="AZ2395" s="128"/>
      <c r="BA2395" s="128"/>
      <c r="BB2395" s="128"/>
      <c r="BC2395" s="128"/>
      <c r="BD2395" s="128"/>
      <c r="BE2395" s="128"/>
      <c r="BF2395" s="128"/>
      <c r="BG2395" s="128"/>
      <c r="BH2395" s="128"/>
      <c r="BI2395" s="128"/>
      <c r="BJ2395" s="128"/>
      <c r="BK2395" s="128"/>
      <c r="BL2395" s="128"/>
      <c r="BM2395" s="151"/>
      <c r="BN2395" s="128"/>
      <c r="BO2395" s="128"/>
      <c r="BP2395" s="128"/>
      <c r="BQ2395" s="128"/>
      <c r="BR2395" s="128"/>
      <c r="BS2395" s="128"/>
      <c r="BT2395" s="128"/>
      <c r="BU2395" s="128"/>
      <c r="BV2395" s="128"/>
      <c r="BW2395" s="128"/>
      <c r="BX2395" s="128"/>
      <c r="BY2395" s="128"/>
      <c r="BZ2395" s="128"/>
      <c r="CA2395" s="128"/>
      <c r="CB2395" s="128"/>
      <c r="CC2395" s="128"/>
      <c r="CD2395" s="128"/>
      <c r="CE2395" s="128"/>
      <c r="CF2395" s="128"/>
      <c r="CG2395" s="128"/>
      <c r="CI2395" s="128"/>
      <c r="CJ2395" s="128"/>
      <c r="CK2395" s="128"/>
      <c r="CL2395" s="128"/>
      <c r="CM2395" s="128"/>
      <c r="CN2395" s="128"/>
      <c r="CO2395" s="128"/>
      <c r="CP2395" s="128"/>
      <c r="CQ2395" s="128"/>
      <c r="CR2395" s="128"/>
      <c r="CS2395" s="128"/>
      <c r="CT2395" s="128"/>
      <c r="CU2395" s="128"/>
      <c r="CV2395" s="128"/>
      <c r="CW2395" s="128"/>
      <c r="CX2395" s="128"/>
      <c r="CY2395" s="128"/>
      <c r="CZ2395" s="165"/>
    </row>
    <row r="2396" spans="1:104">
      <c r="A2396" s="149"/>
      <c r="B2396" s="149"/>
      <c r="C2396" s="150"/>
      <c r="D2396" s="102"/>
      <c r="E2396" s="149"/>
      <c r="F2396" s="149"/>
      <c r="G2396" s="149"/>
      <c r="H2396" s="149"/>
      <c r="I2396" s="149"/>
      <c r="J2396" s="149"/>
      <c r="K2396" s="149"/>
      <c r="L2396" s="149"/>
      <c r="M2396" s="149"/>
      <c r="N2396" s="149"/>
      <c r="O2396" s="149"/>
      <c r="P2396" s="149"/>
      <c r="Q2396" s="149"/>
      <c r="R2396" s="149"/>
      <c r="S2396" s="149"/>
      <c r="T2396" s="149"/>
      <c r="U2396" s="149"/>
      <c r="V2396" s="149"/>
      <c r="W2396" s="149"/>
      <c r="X2396" s="149"/>
      <c r="Y2396" s="149"/>
      <c r="Z2396" s="149"/>
      <c r="AA2396" s="149"/>
      <c r="AB2396" s="149"/>
      <c r="AC2396" s="149"/>
      <c r="AD2396" s="149"/>
      <c r="AE2396" s="149"/>
      <c r="AF2396" s="149"/>
      <c r="AG2396" s="149"/>
      <c r="AH2396" s="149"/>
      <c r="AI2396" s="149"/>
      <c r="AJ2396" s="149"/>
      <c r="AK2396" s="149"/>
      <c r="AL2396" s="149"/>
      <c r="AM2396" s="149"/>
      <c r="AN2396" s="149"/>
      <c r="AO2396" s="128"/>
      <c r="AP2396" s="128"/>
      <c r="AQ2396" s="128"/>
      <c r="AR2396" s="128"/>
      <c r="AS2396" s="128"/>
      <c r="AT2396" s="128"/>
      <c r="AU2396" s="128"/>
      <c r="AV2396" s="128"/>
      <c r="AW2396" s="128"/>
      <c r="AX2396" s="128"/>
      <c r="AY2396" s="128"/>
      <c r="AZ2396" s="128"/>
      <c r="BA2396" s="128"/>
      <c r="BB2396" s="128"/>
      <c r="BC2396" s="128"/>
      <c r="BD2396" s="128"/>
      <c r="BE2396" s="128"/>
      <c r="BF2396" s="128"/>
      <c r="BG2396" s="128"/>
      <c r="BH2396" s="128"/>
      <c r="BI2396" s="128"/>
      <c r="BJ2396" s="128"/>
      <c r="BK2396" s="128"/>
      <c r="BL2396" s="128"/>
      <c r="BM2396" s="151"/>
      <c r="BN2396" s="128"/>
      <c r="BO2396" s="128"/>
      <c r="BP2396" s="128"/>
      <c r="BQ2396" s="128"/>
      <c r="BR2396" s="128"/>
      <c r="BS2396" s="128"/>
      <c r="BT2396" s="128"/>
      <c r="BU2396" s="128"/>
      <c r="BV2396" s="128"/>
      <c r="BW2396" s="128"/>
      <c r="BX2396" s="128"/>
      <c r="BY2396" s="128"/>
      <c r="BZ2396" s="128"/>
      <c r="CA2396" s="128"/>
      <c r="CB2396" s="128"/>
      <c r="CC2396" s="128"/>
      <c r="CD2396" s="128"/>
      <c r="CE2396" s="128"/>
      <c r="CF2396" s="128"/>
      <c r="CG2396" s="128"/>
      <c r="CI2396" s="128"/>
      <c r="CJ2396" s="128"/>
      <c r="CK2396" s="128"/>
      <c r="CL2396" s="128"/>
      <c r="CM2396" s="128"/>
      <c r="CN2396" s="128"/>
      <c r="CO2396" s="128"/>
      <c r="CP2396" s="128"/>
      <c r="CQ2396" s="128"/>
      <c r="CR2396" s="128"/>
      <c r="CS2396" s="128"/>
      <c r="CT2396" s="128"/>
      <c r="CU2396" s="128"/>
      <c r="CV2396" s="128"/>
      <c r="CW2396" s="128"/>
      <c r="CX2396" s="128"/>
      <c r="CY2396" s="128"/>
      <c r="CZ2396" s="165"/>
    </row>
    <row r="2397" spans="1:104">
      <c r="A2397" s="149"/>
      <c r="B2397" s="149"/>
      <c r="C2397" s="150"/>
      <c r="D2397" s="102"/>
      <c r="E2397" s="149"/>
      <c r="F2397" s="149"/>
      <c r="G2397" s="149"/>
      <c r="H2397" s="149"/>
      <c r="I2397" s="149"/>
      <c r="J2397" s="149"/>
      <c r="K2397" s="149"/>
      <c r="L2397" s="149"/>
      <c r="M2397" s="149"/>
      <c r="N2397" s="149"/>
      <c r="O2397" s="149"/>
      <c r="P2397" s="149"/>
      <c r="Q2397" s="149"/>
      <c r="R2397" s="149"/>
      <c r="S2397" s="149"/>
      <c r="T2397" s="149"/>
      <c r="U2397" s="149"/>
      <c r="V2397" s="149"/>
      <c r="W2397" s="149"/>
      <c r="X2397" s="149"/>
      <c r="Y2397" s="149"/>
      <c r="Z2397" s="149"/>
      <c r="AA2397" s="149"/>
      <c r="AB2397" s="149"/>
      <c r="AC2397" s="149"/>
      <c r="AD2397" s="149"/>
      <c r="AE2397" s="149"/>
      <c r="AF2397" s="149"/>
      <c r="AG2397" s="149"/>
      <c r="AH2397" s="149"/>
      <c r="AI2397" s="149"/>
      <c r="AJ2397" s="149"/>
      <c r="AK2397" s="149"/>
      <c r="AL2397" s="149"/>
      <c r="AM2397" s="149"/>
      <c r="AN2397" s="149"/>
      <c r="AO2397" s="128"/>
      <c r="AP2397" s="128"/>
      <c r="AQ2397" s="128"/>
      <c r="AR2397" s="128"/>
      <c r="AS2397" s="128"/>
      <c r="AT2397" s="128"/>
      <c r="AU2397" s="128"/>
      <c r="AV2397" s="128"/>
      <c r="AW2397" s="128"/>
      <c r="AX2397" s="128"/>
      <c r="AY2397" s="128"/>
      <c r="AZ2397" s="128"/>
      <c r="BA2397" s="128"/>
      <c r="BB2397" s="128"/>
      <c r="BC2397" s="128"/>
      <c r="BD2397" s="128"/>
      <c r="BE2397" s="128"/>
      <c r="BF2397" s="128"/>
      <c r="BG2397" s="128"/>
      <c r="BH2397" s="128"/>
      <c r="BI2397" s="128"/>
      <c r="BJ2397" s="128"/>
      <c r="BK2397" s="128"/>
      <c r="BL2397" s="128"/>
      <c r="BM2397" s="151"/>
      <c r="BN2397" s="128"/>
      <c r="BO2397" s="128"/>
      <c r="BP2397" s="128"/>
      <c r="BQ2397" s="128"/>
      <c r="BR2397" s="128"/>
      <c r="BS2397" s="128"/>
      <c r="BT2397" s="128"/>
      <c r="BU2397" s="128"/>
      <c r="BV2397" s="128"/>
      <c r="BW2397" s="128"/>
      <c r="BX2397" s="128"/>
      <c r="BY2397" s="128"/>
      <c r="BZ2397" s="128"/>
      <c r="CA2397" s="128"/>
      <c r="CB2397" s="128"/>
      <c r="CC2397" s="128"/>
      <c r="CD2397" s="128"/>
      <c r="CE2397" s="128"/>
      <c r="CF2397" s="128"/>
      <c r="CG2397" s="128"/>
      <c r="CI2397" s="128"/>
      <c r="CJ2397" s="128"/>
      <c r="CK2397" s="128"/>
      <c r="CL2397" s="128"/>
      <c r="CM2397" s="128"/>
      <c r="CN2397" s="128"/>
      <c r="CO2397" s="128"/>
      <c r="CP2397" s="128"/>
      <c r="CQ2397" s="128"/>
      <c r="CR2397" s="128"/>
      <c r="CS2397" s="128"/>
      <c r="CT2397" s="128"/>
      <c r="CU2397" s="128"/>
      <c r="CV2397" s="128"/>
      <c r="CW2397" s="128"/>
      <c r="CX2397" s="128"/>
      <c r="CY2397" s="128"/>
      <c r="CZ2397" s="165"/>
    </row>
    <row r="2398" spans="1:104">
      <c r="A2398" s="149"/>
      <c r="B2398" s="149"/>
      <c r="C2398" s="150"/>
      <c r="D2398" s="102"/>
      <c r="E2398" s="149"/>
      <c r="F2398" s="149"/>
      <c r="G2398" s="149"/>
      <c r="H2398" s="149"/>
      <c r="I2398" s="149"/>
      <c r="J2398" s="149"/>
      <c r="K2398" s="149"/>
      <c r="L2398" s="149"/>
      <c r="M2398" s="149"/>
      <c r="N2398" s="149"/>
      <c r="O2398" s="149"/>
      <c r="P2398" s="149"/>
      <c r="Q2398" s="149"/>
      <c r="R2398" s="149"/>
      <c r="S2398" s="149"/>
      <c r="T2398" s="149"/>
      <c r="U2398" s="149"/>
      <c r="V2398" s="149"/>
      <c r="W2398" s="149"/>
      <c r="X2398" s="149"/>
      <c r="Y2398" s="149"/>
      <c r="Z2398" s="149"/>
      <c r="AA2398" s="149"/>
      <c r="AB2398" s="149"/>
      <c r="AC2398" s="149"/>
      <c r="AD2398" s="149"/>
      <c r="AE2398" s="149"/>
      <c r="AF2398" s="149"/>
      <c r="AG2398" s="149"/>
      <c r="AH2398" s="149"/>
      <c r="AI2398" s="149"/>
      <c r="AJ2398" s="149"/>
      <c r="AK2398" s="149"/>
      <c r="AL2398" s="149"/>
      <c r="AM2398" s="149"/>
      <c r="AN2398" s="149"/>
      <c r="AO2398" s="128"/>
      <c r="AP2398" s="128"/>
      <c r="AQ2398" s="128"/>
      <c r="AR2398" s="128"/>
      <c r="AS2398" s="128"/>
      <c r="AT2398" s="128"/>
      <c r="AU2398" s="128"/>
      <c r="AV2398" s="128"/>
      <c r="AW2398" s="128"/>
      <c r="AX2398" s="128"/>
      <c r="AY2398" s="128"/>
      <c r="AZ2398" s="128"/>
      <c r="BA2398" s="128"/>
      <c r="BB2398" s="128"/>
      <c r="BC2398" s="128"/>
      <c r="BD2398" s="128"/>
      <c r="BE2398" s="128"/>
      <c r="BF2398" s="128"/>
      <c r="BG2398" s="128"/>
      <c r="BH2398" s="128"/>
      <c r="BI2398" s="128"/>
      <c r="BJ2398" s="128"/>
      <c r="BK2398" s="128"/>
      <c r="BL2398" s="128"/>
      <c r="BM2398" s="151"/>
      <c r="BN2398" s="128"/>
      <c r="BO2398" s="128"/>
      <c r="BP2398" s="128"/>
      <c r="BQ2398" s="128"/>
      <c r="BR2398" s="128"/>
      <c r="BS2398" s="128"/>
      <c r="BT2398" s="128"/>
      <c r="BU2398" s="128"/>
      <c r="BV2398" s="128"/>
      <c r="BW2398" s="128"/>
      <c r="BX2398" s="128"/>
      <c r="BY2398" s="128"/>
      <c r="BZ2398" s="128"/>
      <c r="CA2398" s="128"/>
      <c r="CB2398" s="128"/>
      <c r="CC2398" s="128"/>
      <c r="CD2398" s="128"/>
      <c r="CE2398" s="128"/>
      <c r="CF2398" s="128"/>
      <c r="CG2398" s="128"/>
      <c r="CI2398" s="128"/>
      <c r="CJ2398" s="128"/>
      <c r="CK2398" s="128"/>
      <c r="CL2398" s="128"/>
      <c r="CM2398" s="128"/>
      <c r="CN2398" s="128"/>
      <c r="CO2398" s="128"/>
      <c r="CP2398" s="128"/>
      <c r="CQ2398" s="128"/>
      <c r="CR2398" s="128"/>
      <c r="CS2398" s="128"/>
      <c r="CT2398" s="128"/>
      <c r="CU2398" s="128"/>
      <c r="CV2398" s="128"/>
      <c r="CW2398" s="128"/>
      <c r="CX2398" s="128"/>
      <c r="CY2398" s="128"/>
      <c r="CZ2398" s="165"/>
    </row>
    <row r="2399" spans="1:104">
      <c r="A2399" s="149"/>
      <c r="B2399" s="149"/>
      <c r="C2399" s="150"/>
      <c r="D2399" s="102"/>
      <c r="E2399" s="149"/>
      <c r="F2399" s="149"/>
      <c r="G2399" s="149"/>
      <c r="H2399" s="149"/>
      <c r="I2399" s="149"/>
      <c r="J2399" s="149"/>
      <c r="K2399" s="149"/>
      <c r="L2399" s="149"/>
      <c r="M2399" s="149"/>
      <c r="N2399" s="149"/>
      <c r="O2399" s="149"/>
      <c r="P2399" s="149"/>
      <c r="Q2399" s="149"/>
      <c r="R2399" s="149"/>
      <c r="S2399" s="149"/>
      <c r="T2399" s="149"/>
      <c r="U2399" s="149"/>
      <c r="V2399" s="149"/>
      <c r="W2399" s="149"/>
      <c r="X2399" s="149"/>
      <c r="Y2399" s="149"/>
      <c r="Z2399" s="149"/>
      <c r="AA2399" s="149"/>
      <c r="AB2399" s="149"/>
      <c r="AC2399" s="149"/>
      <c r="AD2399" s="149"/>
      <c r="AE2399" s="149"/>
      <c r="AF2399" s="149"/>
      <c r="AG2399" s="149"/>
      <c r="AH2399" s="149"/>
      <c r="AI2399" s="149"/>
      <c r="AJ2399" s="149"/>
      <c r="AK2399" s="149"/>
      <c r="AL2399" s="149"/>
      <c r="AM2399" s="149"/>
      <c r="AN2399" s="149"/>
      <c r="AO2399" s="128"/>
      <c r="AP2399" s="128"/>
      <c r="AQ2399" s="128"/>
      <c r="AR2399" s="128"/>
      <c r="AS2399" s="128"/>
      <c r="AT2399" s="128"/>
      <c r="AU2399" s="128"/>
      <c r="AV2399" s="128"/>
      <c r="AW2399" s="128"/>
      <c r="AX2399" s="128"/>
      <c r="AY2399" s="128"/>
      <c r="AZ2399" s="128"/>
      <c r="BA2399" s="128"/>
      <c r="BB2399" s="128"/>
      <c r="BC2399" s="128"/>
      <c r="BD2399" s="128"/>
      <c r="BE2399" s="128"/>
      <c r="BF2399" s="128"/>
      <c r="BG2399" s="128"/>
      <c r="BH2399" s="128"/>
      <c r="BI2399" s="128"/>
      <c r="BJ2399" s="128"/>
      <c r="BK2399" s="128"/>
      <c r="BL2399" s="128"/>
      <c r="BM2399" s="151"/>
      <c r="BN2399" s="128"/>
      <c r="BO2399" s="128"/>
      <c r="BP2399" s="128"/>
      <c r="BQ2399" s="128"/>
      <c r="BR2399" s="128"/>
      <c r="BS2399" s="128"/>
      <c r="BT2399" s="128"/>
      <c r="BU2399" s="128"/>
      <c r="BV2399" s="128"/>
      <c r="BW2399" s="128"/>
      <c r="BX2399" s="128"/>
      <c r="BY2399" s="128"/>
      <c r="BZ2399" s="128"/>
      <c r="CA2399" s="128"/>
      <c r="CB2399" s="128"/>
      <c r="CC2399" s="128"/>
      <c r="CD2399" s="128"/>
      <c r="CE2399" s="128"/>
      <c r="CF2399" s="128"/>
      <c r="CG2399" s="128"/>
      <c r="CI2399" s="128"/>
      <c r="CJ2399" s="128"/>
      <c r="CK2399" s="128"/>
      <c r="CL2399" s="128"/>
      <c r="CM2399" s="128"/>
      <c r="CN2399" s="128"/>
      <c r="CO2399" s="128"/>
      <c r="CP2399" s="128"/>
      <c r="CQ2399" s="128"/>
      <c r="CR2399" s="128"/>
      <c r="CS2399" s="128"/>
      <c r="CT2399" s="128"/>
      <c r="CU2399" s="128"/>
      <c r="CV2399" s="128"/>
      <c r="CW2399" s="128"/>
      <c r="CX2399" s="128"/>
      <c r="CY2399" s="128"/>
      <c r="CZ2399" s="165"/>
    </row>
    <row r="2400" spans="1:104">
      <c r="A2400" s="149"/>
      <c r="B2400" s="149"/>
      <c r="C2400" s="150"/>
      <c r="D2400" s="102"/>
      <c r="E2400" s="149"/>
      <c r="F2400" s="149"/>
      <c r="G2400" s="149"/>
      <c r="H2400" s="149"/>
      <c r="I2400" s="149"/>
      <c r="J2400" s="149"/>
      <c r="K2400" s="149"/>
      <c r="L2400" s="149"/>
      <c r="M2400" s="149"/>
      <c r="N2400" s="149"/>
      <c r="O2400" s="149"/>
      <c r="P2400" s="149"/>
      <c r="Q2400" s="149"/>
      <c r="R2400" s="149"/>
      <c r="S2400" s="149"/>
      <c r="T2400" s="149"/>
      <c r="U2400" s="149"/>
      <c r="V2400" s="149"/>
      <c r="W2400" s="149"/>
      <c r="X2400" s="149"/>
      <c r="Y2400" s="149"/>
      <c r="Z2400" s="149"/>
      <c r="AA2400" s="149"/>
      <c r="AB2400" s="149"/>
      <c r="AC2400" s="149"/>
      <c r="AD2400" s="149"/>
      <c r="AE2400" s="149"/>
      <c r="AF2400" s="149"/>
      <c r="AG2400" s="149"/>
      <c r="AH2400" s="149"/>
      <c r="AI2400" s="149"/>
      <c r="AJ2400" s="149"/>
      <c r="AK2400" s="149"/>
      <c r="AL2400" s="149"/>
      <c r="AM2400" s="149"/>
      <c r="AN2400" s="149"/>
      <c r="AO2400" s="128"/>
      <c r="AP2400" s="128"/>
      <c r="AQ2400" s="128"/>
      <c r="AR2400" s="128"/>
      <c r="AS2400" s="128"/>
      <c r="AT2400" s="128"/>
      <c r="AU2400" s="128"/>
      <c r="AV2400" s="128"/>
      <c r="AW2400" s="128"/>
      <c r="AX2400" s="128"/>
      <c r="AY2400" s="128"/>
      <c r="AZ2400" s="128"/>
      <c r="BA2400" s="128"/>
      <c r="BB2400" s="128"/>
      <c r="BC2400" s="128"/>
      <c r="BD2400" s="128"/>
      <c r="BE2400" s="128"/>
      <c r="BF2400" s="128"/>
      <c r="BG2400" s="128"/>
      <c r="BH2400" s="128"/>
      <c r="BI2400" s="128"/>
      <c r="BJ2400" s="128"/>
      <c r="BK2400" s="128"/>
      <c r="BL2400" s="128"/>
      <c r="BM2400" s="151"/>
      <c r="BN2400" s="128"/>
      <c r="BO2400" s="128"/>
      <c r="BP2400" s="128"/>
      <c r="BQ2400" s="128"/>
      <c r="BR2400" s="128"/>
      <c r="BS2400" s="128"/>
      <c r="BT2400" s="128"/>
      <c r="BU2400" s="128"/>
      <c r="BV2400" s="128"/>
      <c r="BW2400" s="128"/>
      <c r="BX2400" s="128"/>
      <c r="BY2400" s="128"/>
      <c r="BZ2400" s="128"/>
      <c r="CA2400" s="128"/>
      <c r="CB2400" s="128"/>
      <c r="CC2400" s="128"/>
      <c r="CD2400" s="128"/>
      <c r="CE2400" s="128"/>
      <c r="CF2400" s="128"/>
      <c r="CG2400" s="128"/>
      <c r="CI2400" s="128"/>
      <c r="CJ2400" s="128"/>
      <c r="CK2400" s="128"/>
      <c r="CL2400" s="128"/>
      <c r="CM2400" s="128"/>
      <c r="CN2400" s="128"/>
      <c r="CO2400" s="128"/>
      <c r="CP2400" s="128"/>
      <c r="CQ2400" s="128"/>
      <c r="CR2400" s="128"/>
      <c r="CS2400" s="128"/>
      <c r="CT2400" s="128"/>
      <c r="CU2400" s="128"/>
      <c r="CV2400" s="128"/>
      <c r="CW2400" s="128"/>
      <c r="CX2400" s="128"/>
      <c r="CY2400" s="128"/>
      <c r="CZ2400" s="165"/>
    </row>
    <row r="2401" spans="1:104">
      <c r="A2401" s="149"/>
      <c r="B2401" s="149"/>
      <c r="C2401" s="150"/>
      <c r="D2401" s="102"/>
      <c r="E2401" s="149"/>
      <c r="F2401" s="149"/>
      <c r="G2401" s="149"/>
      <c r="H2401" s="149"/>
      <c r="I2401" s="149"/>
      <c r="J2401" s="149"/>
      <c r="K2401" s="149"/>
      <c r="L2401" s="149"/>
      <c r="M2401" s="149"/>
      <c r="N2401" s="149"/>
      <c r="O2401" s="149"/>
      <c r="P2401" s="149"/>
      <c r="Q2401" s="149"/>
      <c r="R2401" s="149"/>
      <c r="S2401" s="149"/>
      <c r="T2401" s="149"/>
      <c r="U2401" s="149"/>
      <c r="V2401" s="149"/>
      <c r="W2401" s="149"/>
      <c r="X2401" s="149"/>
      <c r="Y2401" s="149"/>
      <c r="Z2401" s="149"/>
      <c r="AA2401" s="149"/>
      <c r="AB2401" s="149"/>
      <c r="AC2401" s="149"/>
      <c r="AD2401" s="149"/>
      <c r="AE2401" s="149"/>
      <c r="AF2401" s="149"/>
      <c r="AG2401" s="149"/>
      <c r="AH2401" s="149"/>
      <c r="AI2401" s="149"/>
      <c r="AJ2401" s="149"/>
      <c r="AK2401" s="149"/>
      <c r="AL2401" s="149"/>
      <c r="AM2401" s="149"/>
      <c r="AN2401" s="149"/>
      <c r="AO2401" s="128"/>
      <c r="AP2401" s="128"/>
      <c r="AQ2401" s="128"/>
      <c r="AR2401" s="128"/>
      <c r="AS2401" s="128"/>
      <c r="AT2401" s="128"/>
      <c r="AU2401" s="128"/>
      <c r="AV2401" s="128"/>
      <c r="AW2401" s="128"/>
      <c r="AX2401" s="128"/>
      <c r="AY2401" s="128"/>
      <c r="AZ2401" s="128"/>
      <c r="BA2401" s="128"/>
      <c r="BB2401" s="128"/>
      <c r="BC2401" s="128"/>
      <c r="BD2401" s="128"/>
      <c r="BE2401" s="128"/>
      <c r="BF2401" s="128"/>
      <c r="BG2401" s="128"/>
      <c r="BH2401" s="128"/>
      <c r="BI2401" s="128"/>
      <c r="BJ2401" s="128"/>
      <c r="BK2401" s="128"/>
      <c r="BL2401" s="128"/>
      <c r="BM2401" s="151"/>
      <c r="BN2401" s="128"/>
      <c r="BO2401" s="128"/>
      <c r="BP2401" s="128"/>
      <c r="BQ2401" s="128"/>
      <c r="BR2401" s="128"/>
      <c r="BS2401" s="128"/>
      <c r="BT2401" s="128"/>
      <c r="BU2401" s="128"/>
      <c r="BV2401" s="128"/>
      <c r="BW2401" s="128"/>
      <c r="BX2401" s="128"/>
      <c r="BY2401" s="128"/>
      <c r="BZ2401" s="128"/>
      <c r="CA2401" s="128"/>
      <c r="CB2401" s="128"/>
      <c r="CC2401" s="128"/>
      <c r="CD2401" s="128"/>
      <c r="CE2401" s="128"/>
      <c r="CF2401" s="128"/>
      <c r="CG2401" s="128"/>
      <c r="CI2401" s="128"/>
      <c r="CJ2401" s="128"/>
      <c r="CK2401" s="128"/>
      <c r="CL2401" s="128"/>
      <c r="CM2401" s="128"/>
      <c r="CN2401" s="128"/>
      <c r="CO2401" s="128"/>
      <c r="CP2401" s="128"/>
      <c r="CQ2401" s="128"/>
      <c r="CR2401" s="128"/>
      <c r="CS2401" s="128"/>
      <c r="CT2401" s="128"/>
      <c r="CU2401" s="128"/>
      <c r="CV2401" s="128"/>
      <c r="CW2401" s="128"/>
      <c r="CX2401" s="128"/>
      <c r="CY2401" s="128"/>
      <c r="CZ2401" s="165"/>
    </row>
    <row r="2402" spans="1:104">
      <c r="A2402" s="149"/>
      <c r="B2402" s="149"/>
      <c r="C2402" s="150"/>
      <c r="D2402" s="102"/>
      <c r="E2402" s="149"/>
      <c r="F2402" s="149"/>
      <c r="G2402" s="149"/>
      <c r="H2402" s="149"/>
      <c r="I2402" s="149"/>
      <c r="J2402" s="149"/>
      <c r="K2402" s="149"/>
      <c r="L2402" s="149"/>
      <c r="M2402" s="149"/>
      <c r="N2402" s="149"/>
      <c r="O2402" s="149"/>
      <c r="P2402" s="149"/>
      <c r="Q2402" s="149"/>
      <c r="R2402" s="149"/>
      <c r="S2402" s="149"/>
      <c r="T2402" s="149"/>
      <c r="U2402" s="149"/>
      <c r="V2402" s="149"/>
      <c r="W2402" s="149"/>
      <c r="X2402" s="149"/>
      <c r="Y2402" s="149"/>
      <c r="Z2402" s="149"/>
      <c r="AA2402" s="149"/>
      <c r="AB2402" s="149"/>
      <c r="AC2402" s="149"/>
      <c r="AD2402" s="149"/>
      <c r="AE2402" s="149"/>
      <c r="AF2402" s="149"/>
      <c r="AG2402" s="149"/>
      <c r="AH2402" s="149"/>
      <c r="AI2402" s="149"/>
      <c r="AJ2402" s="149"/>
      <c r="AK2402" s="149"/>
      <c r="AL2402" s="149"/>
      <c r="AM2402" s="149"/>
      <c r="AN2402" s="149"/>
      <c r="AO2402" s="128"/>
      <c r="AP2402" s="128"/>
      <c r="AQ2402" s="128"/>
      <c r="AR2402" s="128"/>
      <c r="AS2402" s="128"/>
      <c r="AT2402" s="128"/>
      <c r="AU2402" s="128"/>
      <c r="AV2402" s="128"/>
      <c r="AW2402" s="128"/>
      <c r="AX2402" s="128"/>
      <c r="AY2402" s="128"/>
      <c r="AZ2402" s="128"/>
      <c r="BA2402" s="128"/>
      <c r="BB2402" s="128"/>
      <c r="BC2402" s="128"/>
      <c r="BD2402" s="128"/>
      <c r="BE2402" s="128"/>
      <c r="BF2402" s="128"/>
      <c r="BG2402" s="128"/>
      <c r="BH2402" s="128"/>
      <c r="BI2402" s="128"/>
      <c r="BJ2402" s="128"/>
      <c r="BK2402" s="128"/>
      <c r="BL2402" s="128"/>
      <c r="BM2402" s="151"/>
      <c r="BN2402" s="128"/>
      <c r="BO2402" s="128"/>
      <c r="BP2402" s="128"/>
      <c r="BQ2402" s="128"/>
      <c r="BR2402" s="128"/>
      <c r="BS2402" s="128"/>
      <c r="BT2402" s="128"/>
      <c r="BU2402" s="128"/>
      <c r="BV2402" s="128"/>
      <c r="BW2402" s="128"/>
      <c r="BX2402" s="128"/>
      <c r="BY2402" s="128"/>
      <c r="BZ2402" s="128"/>
      <c r="CA2402" s="128"/>
      <c r="CB2402" s="128"/>
      <c r="CC2402" s="128"/>
      <c r="CD2402" s="128"/>
      <c r="CE2402" s="128"/>
      <c r="CF2402" s="128"/>
      <c r="CG2402" s="128"/>
      <c r="CI2402" s="128"/>
      <c r="CJ2402" s="128"/>
      <c r="CK2402" s="128"/>
      <c r="CL2402" s="128"/>
      <c r="CM2402" s="128"/>
      <c r="CN2402" s="128"/>
      <c r="CO2402" s="128"/>
      <c r="CP2402" s="128"/>
      <c r="CQ2402" s="128"/>
      <c r="CR2402" s="128"/>
      <c r="CS2402" s="128"/>
      <c r="CT2402" s="128"/>
      <c r="CU2402" s="128"/>
      <c r="CV2402" s="128"/>
      <c r="CW2402" s="128"/>
      <c r="CX2402" s="128"/>
      <c r="CY2402" s="128"/>
      <c r="CZ2402" s="165"/>
    </row>
    <row r="2403" spans="1:104">
      <c r="A2403" s="149"/>
      <c r="B2403" s="149"/>
      <c r="C2403" s="150"/>
      <c r="D2403" s="102"/>
      <c r="E2403" s="149"/>
      <c r="F2403" s="149"/>
      <c r="G2403" s="149"/>
      <c r="H2403" s="149"/>
      <c r="I2403" s="149"/>
      <c r="J2403" s="149"/>
      <c r="K2403" s="149"/>
      <c r="L2403" s="149"/>
      <c r="M2403" s="149"/>
      <c r="N2403" s="149"/>
      <c r="O2403" s="149"/>
      <c r="P2403" s="149"/>
      <c r="Q2403" s="149"/>
      <c r="R2403" s="149"/>
      <c r="S2403" s="149"/>
      <c r="T2403" s="149"/>
      <c r="U2403" s="149"/>
      <c r="V2403" s="149"/>
      <c r="W2403" s="149"/>
      <c r="X2403" s="149"/>
      <c r="Y2403" s="149"/>
      <c r="Z2403" s="149"/>
      <c r="AA2403" s="149"/>
      <c r="AB2403" s="149"/>
      <c r="AC2403" s="149"/>
      <c r="AD2403" s="149"/>
      <c r="AE2403" s="149"/>
      <c r="AF2403" s="149"/>
      <c r="AG2403" s="149"/>
      <c r="AH2403" s="149"/>
      <c r="AI2403" s="149"/>
      <c r="AJ2403" s="149"/>
      <c r="AK2403" s="149"/>
      <c r="AL2403" s="149"/>
      <c r="AM2403" s="149"/>
      <c r="AN2403" s="149"/>
      <c r="AO2403" s="128"/>
      <c r="AP2403" s="128"/>
      <c r="AQ2403" s="128"/>
      <c r="AR2403" s="128"/>
      <c r="AS2403" s="128"/>
      <c r="AT2403" s="128"/>
      <c r="AU2403" s="128"/>
      <c r="AV2403" s="128"/>
      <c r="AW2403" s="128"/>
      <c r="AX2403" s="128"/>
      <c r="AY2403" s="128"/>
      <c r="AZ2403" s="128"/>
      <c r="BA2403" s="128"/>
      <c r="BB2403" s="128"/>
      <c r="BC2403" s="128"/>
      <c r="BD2403" s="128"/>
      <c r="BE2403" s="128"/>
      <c r="BF2403" s="128"/>
      <c r="BG2403" s="128"/>
      <c r="BH2403" s="128"/>
      <c r="BI2403" s="128"/>
      <c r="BJ2403" s="128"/>
      <c r="BK2403" s="128"/>
      <c r="BL2403" s="128"/>
      <c r="BM2403" s="151"/>
      <c r="BN2403" s="128"/>
      <c r="BO2403" s="128"/>
      <c r="BP2403" s="128"/>
      <c r="BQ2403" s="128"/>
      <c r="BR2403" s="128"/>
      <c r="BS2403" s="128"/>
      <c r="BT2403" s="128"/>
      <c r="BU2403" s="128"/>
      <c r="BV2403" s="128"/>
      <c r="BW2403" s="128"/>
      <c r="BX2403" s="128"/>
      <c r="BY2403" s="128"/>
      <c r="BZ2403" s="128"/>
      <c r="CA2403" s="128"/>
      <c r="CB2403" s="128"/>
      <c r="CC2403" s="128"/>
      <c r="CD2403" s="128"/>
      <c r="CE2403" s="128"/>
      <c r="CF2403" s="128"/>
      <c r="CG2403" s="128"/>
      <c r="CI2403" s="128"/>
      <c r="CJ2403" s="128"/>
      <c r="CK2403" s="128"/>
      <c r="CL2403" s="128"/>
      <c r="CM2403" s="128"/>
      <c r="CN2403" s="128"/>
      <c r="CO2403" s="128"/>
      <c r="CP2403" s="128"/>
      <c r="CQ2403" s="128"/>
      <c r="CR2403" s="128"/>
      <c r="CS2403" s="128"/>
      <c r="CT2403" s="128"/>
      <c r="CU2403" s="128"/>
      <c r="CV2403" s="128"/>
      <c r="CW2403" s="128"/>
      <c r="CX2403" s="128"/>
      <c r="CY2403" s="128"/>
      <c r="CZ2403" s="165"/>
    </row>
    <row r="2404" spans="1:104">
      <c r="A2404" s="149"/>
      <c r="B2404" s="149"/>
      <c r="C2404" s="150"/>
      <c r="D2404" s="102"/>
      <c r="E2404" s="149"/>
      <c r="F2404" s="149"/>
      <c r="G2404" s="149"/>
      <c r="H2404" s="149"/>
      <c r="I2404" s="149"/>
      <c r="J2404" s="149"/>
      <c r="K2404" s="149"/>
      <c r="L2404" s="149"/>
      <c r="M2404" s="149"/>
      <c r="N2404" s="149"/>
      <c r="O2404" s="149"/>
      <c r="P2404" s="149"/>
      <c r="Q2404" s="149"/>
      <c r="R2404" s="149"/>
      <c r="S2404" s="149"/>
      <c r="T2404" s="149"/>
      <c r="U2404" s="149"/>
      <c r="V2404" s="149"/>
      <c r="W2404" s="149"/>
      <c r="X2404" s="149"/>
      <c r="Y2404" s="149"/>
      <c r="Z2404" s="149"/>
      <c r="AA2404" s="149"/>
      <c r="AB2404" s="149"/>
      <c r="AC2404" s="149"/>
      <c r="AD2404" s="149"/>
      <c r="AE2404" s="149"/>
      <c r="AF2404" s="149"/>
      <c r="AG2404" s="149"/>
      <c r="AH2404" s="149"/>
      <c r="AI2404" s="149"/>
      <c r="AJ2404" s="149"/>
      <c r="AK2404" s="149"/>
      <c r="AL2404" s="149"/>
      <c r="AM2404" s="149"/>
      <c r="AN2404" s="149"/>
      <c r="AO2404" s="128"/>
      <c r="AP2404" s="128"/>
      <c r="AQ2404" s="128"/>
      <c r="AR2404" s="128"/>
      <c r="AS2404" s="128"/>
      <c r="AT2404" s="128"/>
      <c r="AU2404" s="128"/>
      <c r="AV2404" s="128"/>
      <c r="AW2404" s="128"/>
      <c r="AX2404" s="128"/>
      <c r="AY2404" s="128"/>
      <c r="AZ2404" s="128"/>
      <c r="BA2404" s="128"/>
      <c r="BB2404" s="128"/>
      <c r="BC2404" s="128"/>
      <c r="BD2404" s="128"/>
      <c r="BE2404" s="128"/>
      <c r="BF2404" s="128"/>
      <c r="BG2404" s="128"/>
      <c r="BH2404" s="128"/>
      <c r="BI2404" s="128"/>
      <c r="BJ2404" s="128"/>
      <c r="BK2404" s="128"/>
      <c r="BL2404" s="128"/>
      <c r="BM2404" s="151"/>
      <c r="BN2404" s="128"/>
      <c r="BO2404" s="128"/>
      <c r="BP2404" s="128"/>
      <c r="BQ2404" s="128"/>
      <c r="BR2404" s="128"/>
      <c r="BS2404" s="128"/>
      <c r="BT2404" s="128"/>
      <c r="BU2404" s="128"/>
      <c r="BV2404" s="128"/>
      <c r="BW2404" s="128"/>
      <c r="BX2404" s="128"/>
      <c r="BY2404" s="128"/>
      <c r="BZ2404" s="128"/>
      <c r="CA2404" s="128"/>
      <c r="CB2404" s="128"/>
      <c r="CC2404" s="128"/>
      <c r="CD2404" s="128"/>
      <c r="CE2404" s="128"/>
      <c r="CF2404" s="128"/>
      <c r="CG2404" s="128"/>
      <c r="CI2404" s="128"/>
      <c r="CJ2404" s="128"/>
      <c r="CK2404" s="128"/>
      <c r="CL2404" s="128"/>
      <c r="CM2404" s="128"/>
      <c r="CN2404" s="128"/>
      <c r="CO2404" s="128"/>
      <c r="CP2404" s="128"/>
      <c r="CQ2404" s="128"/>
      <c r="CR2404" s="128"/>
      <c r="CS2404" s="128"/>
      <c r="CT2404" s="128"/>
      <c r="CU2404" s="128"/>
      <c r="CV2404" s="128"/>
      <c r="CW2404" s="128"/>
      <c r="CX2404" s="128"/>
      <c r="CY2404" s="128"/>
      <c r="CZ2404" s="165"/>
    </row>
    <row r="2405" spans="1:104">
      <c r="A2405" s="149"/>
      <c r="B2405" s="149"/>
      <c r="C2405" s="150"/>
      <c r="D2405" s="102"/>
      <c r="E2405" s="149"/>
      <c r="F2405" s="149"/>
      <c r="G2405" s="149"/>
      <c r="H2405" s="149"/>
      <c r="I2405" s="149"/>
      <c r="J2405" s="149"/>
      <c r="K2405" s="149"/>
      <c r="L2405" s="149"/>
      <c r="M2405" s="149"/>
      <c r="N2405" s="149"/>
      <c r="O2405" s="149"/>
      <c r="P2405" s="149"/>
      <c r="Q2405" s="149"/>
      <c r="R2405" s="149"/>
      <c r="S2405" s="149"/>
      <c r="T2405" s="149"/>
      <c r="U2405" s="149"/>
      <c r="V2405" s="149"/>
      <c r="W2405" s="149"/>
      <c r="X2405" s="149"/>
      <c r="Y2405" s="149"/>
      <c r="Z2405" s="149"/>
      <c r="AA2405" s="149"/>
      <c r="AB2405" s="149"/>
      <c r="AC2405" s="149"/>
      <c r="AD2405" s="149"/>
      <c r="AE2405" s="149"/>
      <c r="AF2405" s="149"/>
      <c r="AG2405" s="149"/>
      <c r="AH2405" s="149"/>
      <c r="AI2405" s="149"/>
      <c r="AJ2405" s="149"/>
      <c r="AK2405" s="149"/>
      <c r="AL2405" s="149"/>
      <c r="AM2405" s="149"/>
      <c r="AN2405" s="149"/>
      <c r="AO2405" s="128"/>
      <c r="AP2405" s="128"/>
      <c r="AQ2405" s="128"/>
      <c r="AR2405" s="128"/>
      <c r="AS2405" s="128"/>
      <c r="AT2405" s="128"/>
      <c r="AU2405" s="128"/>
      <c r="AV2405" s="128"/>
      <c r="AW2405" s="128"/>
      <c r="AX2405" s="128"/>
      <c r="AY2405" s="128"/>
      <c r="AZ2405" s="128"/>
      <c r="BA2405" s="128"/>
      <c r="BB2405" s="128"/>
      <c r="BC2405" s="128"/>
      <c r="BD2405" s="128"/>
      <c r="BE2405" s="128"/>
      <c r="BF2405" s="128"/>
      <c r="BG2405" s="128"/>
      <c r="BH2405" s="128"/>
      <c r="BI2405" s="128"/>
      <c r="BJ2405" s="128"/>
      <c r="BK2405" s="128"/>
      <c r="BL2405" s="128"/>
      <c r="BM2405" s="151"/>
      <c r="BN2405" s="128"/>
      <c r="BO2405" s="128"/>
      <c r="BP2405" s="128"/>
      <c r="BQ2405" s="128"/>
      <c r="BR2405" s="128"/>
      <c r="BS2405" s="128"/>
      <c r="BT2405" s="128"/>
      <c r="BU2405" s="128"/>
      <c r="BV2405" s="128"/>
      <c r="BW2405" s="128"/>
      <c r="BX2405" s="128"/>
      <c r="BY2405" s="128"/>
      <c r="BZ2405" s="128"/>
      <c r="CA2405" s="128"/>
      <c r="CB2405" s="128"/>
      <c r="CC2405" s="128"/>
      <c r="CD2405" s="128"/>
      <c r="CE2405" s="128"/>
      <c r="CF2405" s="128"/>
      <c r="CG2405" s="128"/>
      <c r="CI2405" s="128"/>
      <c r="CJ2405" s="128"/>
      <c r="CK2405" s="128"/>
      <c r="CL2405" s="128"/>
      <c r="CM2405" s="128"/>
      <c r="CN2405" s="128"/>
      <c r="CO2405" s="128"/>
      <c r="CP2405" s="128"/>
      <c r="CQ2405" s="128"/>
      <c r="CR2405" s="128"/>
      <c r="CS2405" s="128"/>
      <c r="CT2405" s="128"/>
      <c r="CU2405" s="128"/>
      <c r="CV2405" s="128"/>
      <c r="CW2405" s="128"/>
      <c r="CX2405" s="128"/>
      <c r="CY2405" s="128"/>
      <c r="CZ2405" s="165"/>
    </row>
    <row r="2406" spans="1:104">
      <c r="A2406" s="149"/>
      <c r="B2406" s="149"/>
      <c r="C2406" s="150"/>
      <c r="D2406" s="102"/>
      <c r="E2406" s="149"/>
      <c r="F2406" s="149"/>
      <c r="G2406" s="149"/>
      <c r="H2406" s="149"/>
      <c r="I2406" s="149"/>
      <c r="J2406" s="149"/>
      <c r="K2406" s="149"/>
      <c r="L2406" s="149"/>
      <c r="M2406" s="149"/>
      <c r="N2406" s="149"/>
      <c r="O2406" s="149"/>
      <c r="P2406" s="149"/>
      <c r="Q2406" s="149"/>
      <c r="R2406" s="149"/>
      <c r="S2406" s="149"/>
      <c r="T2406" s="149"/>
      <c r="U2406" s="149"/>
      <c r="V2406" s="149"/>
      <c r="W2406" s="149"/>
      <c r="X2406" s="149"/>
      <c r="Y2406" s="149"/>
      <c r="Z2406" s="149"/>
      <c r="AA2406" s="149"/>
      <c r="AB2406" s="149"/>
      <c r="AC2406" s="149"/>
      <c r="AD2406" s="149"/>
      <c r="AE2406" s="149"/>
      <c r="AF2406" s="149"/>
      <c r="AG2406" s="149"/>
      <c r="AH2406" s="149"/>
      <c r="AI2406" s="149"/>
      <c r="AJ2406" s="149"/>
      <c r="AK2406" s="149"/>
      <c r="AL2406" s="149"/>
      <c r="AM2406" s="149"/>
      <c r="AN2406" s="149"/>
      <c r="AO2406" s="128"/>
      <c r="AP2406" s="128"/>
      <c r="AQ2406" s="128"/>
      <c r="AR2406" s="128"/>
      <c r="AS2406" s="128"/>
      <c r="AT2406" s="128"/>
      <c r="AU2406" s="128"/>
      <c r="AV2406" s="128"/>
      <c r="AW2406" s="128"/>
      <c r="AX2406" s="128"/>
      <c r="AY2406" s="128"/>
      <c r="AZ2406" s="128"/>
      <c r="BA2406" s="128"/>
      <c r="BB2406" s="128"/>
      <c r="BC2406" s="128"/>
      <c r="BD2406" s="128"/>
      <c r="BE2406" s="128"/>
      <c r="BF2406" s="128"/>
      <c r="BG2406" s="128"/>
      <c r="BH2406" s="128"/>
      <c r="BI2406" s="128"/>
      <c r="BJ2406" s="128"/>
      <c r="BK2406" s="128"/>
      <c r="BL2406" s="128"/>
      <c r="BM2406" s="151"/>
      <c r="BN2406" s="128"/>
      <c r="BO2406" s="128"/>
      <c r="BP2406" s="128"/>
      <c r="BQ2406" s="128"/>
      <c r="BR2406" s="128"/>
      <c r="BS2406" s="128"/>
      <c r="BT2406" s="128"/>
      <c r="BU2406" s="128"/>
      <c r="BV2406" s="128"/>
      <c r="BW2406" s="128"/>
      <c r="BX2406" s="128"/>
      <c r="BY2406" s="128"/>
      <c r="BZ2406" s="128"/>
      <c r="CA2406" s="128"/>
      <c r="CB2406" s="128"/>
      <c r="CC2406" s="128"/>
      <c r="CD2406" s="128"/>
      <c r="CE2406" s="128"/>
      <c r="CF2406" s="128"/>
      <c r="CG2406" s="128"/>
      <c r="CI2406" s="128"/>
      <c r="CJ2406" s="128"/>
      <c r="CK2406" s="128"/>
      <c r="CL2406" s="128"/>
      <c r="CM2406" s="128"/>
      <c r="CN2406" s="128"/>
      <c r="CO2406" s="128"/>
      <c r="CP2406" s="128"/>
      <c r="CQ2406" s="128"/>
      <c r="CR2406" s="128"/>
      <c r="CS2406" s="128"/>
      <c r="CT2406" s="128"/>
      <c r="CU2406" s="128"/>
      <c r="CV2406" s="128"/>
      <c r="CW2406" s="128"/>
      <c r="CX2406" s="128"/>
      <c r="CY2406" s="128"/>
      <c r="CZ2406" s="165"/>
    </row>
    <row r="2407" spans="1:104">
      <c r="A2407" s="149"/>
      <c r="B2407" s="149"/>
      <c r="C2407" s="150"/>
      <c r="D2407" s="102"/>
      <c r="E2407" s="149"/>
      <c r="F2407" s="149"/>
      <c r="G2407" s="149"/>
      <c r="H2407" s="149"/>
      <c r="I2407" s="149"/>
      <c r="J2407" s="149"/>
      <c r="K2407" s="149"/>
      <c r="L2407" s="149"/>
      <c r="M2407" s="149"/>
      <c r="N2407" s="149"/>
      <c r="O2407" s="149"/>
      <c r="P2407" s="149"/>
      <c r="Q2407" s="149"/>
      <c r="R2407" s="149"/>
      <c r="S2407" s="149"/>
      <c r="T2407" s="149"/>
      <c r="U2407" s="149"/>
      <c r="V2407" s="149"/>
      <c r="W2407" s="149"/>
      <c r="X2407" s="149"/>
      <c r="Y2407" s="149"/>
      <c r="Z2407" s="149"/>
      <c r="AA2407" s="149"/>
      <c r="AB2407" s="149"/>
      <c r="AC2407" s="149"/>
      <c r="AD2407" s="149"/>
      <c r="AE2407" s="149"/>
      <c r="AF2407" s="149"/>
      <c r="AG2407" s="149"/>
      <c r="AH2407" s="149"/>
      <c r="AI2407" s="149"/>
      <c r="AJ2407" s="149"/>
      <c r="AK2407" s="149"/>
      <c r="AL2407" s="149"/>
      <c r="AM2407" s="149"/>
      <c r="AN2407" s="149"/>
      <c r="AO2407" s="128"/>
      <c r="AP2407" s="128"/>
      <c r="AQ2407" s="128"/>
      <c r="AR2407" s="128"/>
      <c r="AS2407" s="128"/>
      <c r="AT2407" s="128"/>
      <c r="AU2407" s="128"/>
      <c r="AV2407" s="128"/>
      <c r="AW2407" s="128"/>
      <c r="AX2407" s="128"/>
      <c r="AY2407" s="128"/>
      <c r="AZ2407" s="128"/>
      <c r="BA2407" s="128"/>
      <c r="BB2407" s="128"/>
      <c r="BC2407" s="128"/>
      <c r="BD2407" s="128"/>
      <c r="BE2407" s="128"/>
      <c r="BF2407" s="128"/>
      <c r="BG2407" s="128"/>
      <c r="BH2407" s="128"/>
      <c r="BI2407" s="128"/>
      <c r="BJ2407" s="128"/>
      <c r="BK2407" s="128"/>
      <c r="BL2407" s="128"/>
      <c r="BM2407" s="151"/>
      <c r="BN2407" s="128"/>
      <c r="BO2407" s="128"/>
      <c r="BP2407" s="128"/>
      <c r="BQ2407" s="128"/>
      <c r="BR2407" s="128"/>
      <c r="BS2407" s="128"/>
      <c r="BT2407" s="128"/>
      <c r="BU2407" s="128"/>
      <c r="BV2407" s="128"/>
      <c r="BW2407" s="128"/>
      <c r="BX2407" s="128"/>
      <c r="BY2407" s="128"/>
      <c r="BZ2407" s="128"/>
      <c r="CA2407" s="128"/>
      <c r="CB2407" s="128"/>
      <c r="CC2407" s="128"/>
      <c r="CD2407" s="128"/>
      <c r="CE2407" s="128"/>
      <c r="CF2407" s="128"/>
      <c r="CG2407" s="128"/>
      <c r="CI2407" s="128"/>
      <c r="CJ2407" s="128"/>
      <c r="CK2407" s="128"/>
      <c r="CL2407" s="128"/>
      <c r="CM2407" s="128"/>
      <c r="CN2407" s="128"/>
      <c r="CO2407" s="128"/>
      <c r="CP2407" s="128"/>
      <c r="CQ2407" s="128"/>
      <c r="CR2407" s="128"/>
      <c r="CS2407" s="128"/>
      <c r="CT2407" s="128"/>
      <c r="CU2407" s="128"/>
      <c r="CV2407" s="128"/>
      <c r="CW2407" s="128"/>
      <c r="CX2407" s="128"/>
      <c r="CY2407" s="128"/>
      <c r="CZ2407" s="165"/>
    </row>
    <row r="2408" spans="1:104">
      <c r="A2408" s="149"/>
      <c r="B2408" s="149"/>
      <c r="C2408" s="150"/>
      <c r="D2408" s="102"/>
      <c r="E2408" s="149"/>
      <c r="F2408" s="149"/>
      <c r="G2408" s="149"/>
      <c r="H2408" s="149"/>
      <c r="I2408" s="149"/>
      <c r="J2408" s="149"/>
      <c r="K2408" s="149"/>
      <c r="L2408" s="149"/>
      <c r="M2408" s="149"/>
      <c r="N2408" s="149"/>
      <c r="O2408" s="149"/>
      <c r="P2408" s="149"/>
      <c r="Q2408" s="149"/>
      <c r="R2408" s="149"/>
      <c r="S2408" s="149"/>
      <c r="T2408" s="149"/>
      <c r="U2408" s="149"/>
      <c r="V2408" s="149"/>
      <c r="W2408" s="149"/>
      <c r="X2408" s="149"/>
      <c r="Y2408" s="149"/>
      <c r="Z2408" s="149"/>
      <c r="AA2408" s="149"/>
      <c r="AB2408" s="149"/>
      <c r="AC2408" s="149"/>
      <c r="AD2408" s="149"/>
      <c r="AE2408" s="149"/>
      <c r="AF2408" s="149"/>
      <c r="AG2408" s="149"/>
      <c r="AH2408" s="149"/>
      <c r="AI2408" s="149"/>
      <c r="AJ2408" s="149"/>
      <c r="AK2408" s="149"/>
      <c r="AL2408" s="149"/>
      <c r="AM2408" s="149"/>
      <c r="AN2408" s="149"/>
      <c r="AO2408" s="128"/>
      <c r="AP2408" s="128"/>
      <c r="AQ2408" s="128"/>
      <c r="AR2408" s="128"/>
      <c r="AS2408" s="128"/>
      <c r="AT2408" s="128"/>
      <c r="AU2408" s="128"/>
      <c r="AV2408" s="128"/>
      <c r="AW2408" s="128"/>
      <c r="AX2408" s="128"/>
      <c r="AY2408" s="128"/>
      <c r="AZ2408" s="128"/>
      <c r="BA2408" s="128"/>
      <c r="BB2408" s="128"/>
      <c r="BC2408" s="128"/>
      <c r="BD2408" s="128"/>
      <c r="BE2408" s="128"/>
      <c r="BF2408" s="128"/>
      <c r="BG2408" s="128"/>
      <c r="BH2408" s="128"/>
      <c r="BI2408" s="128"/>
      <c r="BJ2408" s="128"/>
      <c r="BK2408" s="128"/>
      <c r="BL2408" s="128"/>
      <c r="BM2408" s="151"/>
      <c r="BN2408" s="128"/>
      <c r="BO2408" s="128"/>
      <c r="BP2408" s="128"/>
      <c r="BQ2408" s="128"/>
      <c r="BR2408" s="128"/>
      <c r="BS2408" s="128"/>
      <c r="BT2408" s="128"/>
      <c r="BU2408" s="128"/>
      <c r="BV2408" s="128"/>
      <c r="BW2408" s="128"/>
      <c r="BX2408" s="128"/>
      <c r="BY2408" s="128"/>
      <c r="BZ2408" s="128"/>
      <c r="CA2408" s="128"/>
      <c r="CB2408" s="128"/>
      <c r="CC2408" s="128"/>
      <c r="CD2408" s="128"/>
      <c r="CE2408" s="128"/>
      <c r="CF2408" s="128"/>
      <c r="CG2408" s="128"/>
      <c r="CI2408" s="128"/>
      <c r="CJ2408" s="128"/>
      <c r="CK2408" s="128"/>
      <c r="CL2408" s="128"/>
      <c r="CM2408" s="128"/>
      <c r="CN2408" s="128"/>
      <c r="CO2408" s="128"/>
      <c r="CP2408" s="128"/>
      <c r="CQ2408" s="128"/>
      <c r="CR2408" s="128"/>
      <c r="CS2408" s="128"/>
      <c r="CT2408" s="128"/>
      <c r="CU2408" s="128"/>
      <c r="CV2408" s="128"/>
      <c r="CW2408" s="128"/>
      <c r="CX2408" s="128"/>
      <c r="CY2408" s="128"/>
      <c r="CZ2408" s="165"/>
    </row>
    <row r="2409" spans="1:104">
      <c r="A2409" s="149"/>
      <c r="B2409" s="149"/>
      <c r="C2409" s="150"/>
      <c r="D2409" s="102"/>
      <c r="E2409" s="149"/>
      <c r="F2409" s="149"/>
      <c r="G2409" s="149"/>
      <c r="H2409" s="149"/>
      <c r="I2409" s="149"/>
      <c r="J2409" s="149"/>
      <c r="K2409" s="149"/>
      <c r="L2409" s="149"/>
      <c r="M2409" s="149"/>
      <c r="N2409" s="149"/>
      <c r="O2409" s="149"/>
      <c r="P2409" s="149"/>
      <c r="Q2409" s="149"/>
      <c r="R2409" s="149"/>
      <c r="S2409" s="149"/>
      <c r="T2409" s="149"/>
      <c r="U2409" s="149"/>
      <c r="V2409" s="149"/>
      <c r="W2409" s="149"/>
      <c r="X2409" s="149"/>
      <c r="Y2409" s="149"/>
      <c r="Z2409" s="149"/>
      <c r="AA2409" s="149"/>
      <c r="AB2409" s="149"/>
      <c r="AC2409" s="149"/>
      <c r="AD2409" s="149"/>
      <c r="AE2409" s="149"/>
      <c r="AF2409" s="149"/>
      <c r="AG2409" s="149"/>
      <c r="AH2409" s="149"/>
      <c r="AI2409" s="149"/>
      <c r="AJ2409" s="149"/>
      <c r="AK2409" s="149"/>
      <c r="AL2409" s="149"/>
      <c r="AM2409" s="149"/>
      <c r="AN2409" s="149"/>
      <c r="AO2409" s="128"/>
      <c r="AP2409" s="128"/>
      <c r="AQ2409" s="128"/>
      <c r="AR2409" s="128"/>
      <c r="AS2409" s="128"/>
      <c r="AT2409" s="128"/>
      <c r="AU2409" s="128"/>
      <c r="AV2409" s="128"/>
      <c r="AW2409" s="128"/>
      <c r="AX2409" s="128"/>
      <c r="AY2409" s="128"/>
      <c r="AZ2409" s="128"/>
      <c r="BA2409" s="128"/>
      <c r="BB2409" s="128"/>
      <c r="BC2409" s="128"/>
      <c r="BD2409" s="128"/>
      <c r="BE2409" s="128"/>
      <c r="BF2409" s="128"/>
      <c r="BG2409" s="128"/>
      <c r="BH2409" s="128"/>
      <c r="BI2409" s="128"/>
      <c r="BJ2409" s="128"/>
      <c r="BK2409" s="128"/>
      <c r="BL2409" s="128"/>
      <c r="BM2409" s="151"/>
      <c r="BN2409" s="128"/>
      <c r="BO2409" s="128"/>
      <c r="BP2409" s="128"/>
      <c r="BQ2409" s="128"/>
      <c r="BR2409" s="128"/>
      <c r="BS2409" s="128"/>
      <c r="BT2409" s="128"/>
      <c r="BU2409" s="128"/>
      <c r="BV2409" s="128"/>
      <c r="BW2409" s="128"/>
      <c r="BX2409" s="128"/>
      <c r="BY2409" s="128"/>
      <c r="BZ2409" s="128"/>
      <c r="CA2409" s="128"/>
      <c r="CB2409" s="128"/>
      <c r="CC2409" s="128"/>
      <c r="CD2409" s="128"/>
      <c r="CE2409" s="128"/>
      <c r="CF2409" s="128"/>
      <c r="CG2409" s="128"/>
      <c r="CI2409" s="128"/>
      <c r="CJ2409" s="128"/>
      <c r="CK2409" s="128"/>
      <c r="CL2409" s="128"/>
      <c r="CM2409" s="128"/>
      <c r="CN2409" s="128"/>
      <c r="CO2409" s="128"/>
      <c r="CP2409" s="128"/>
      <c r="CQ2409" s="128"/>
      <c r="CR2409" s="128"/>
      <c r="CS2409" s="128"/>
      <c r="CT2409" s="128"/>
      <c r="CU2409" s="128"/>
      <c r="CV2409" s="128"/>
      <c r="CW2409" s="128"/>
      <c r="CX2409" s="128"/>
      <c r="CY2409" s="128"/>
      <c r="CZ2409" s="165"/>
    </row>
    <row r="2410" spans="1:104">
      <c r="A2410" s="149"/>
      <c r="B2410" s="149"/>
      <c r="C2410" s="150"/>
      <c r="D2410" s="102"/>
      <c r="E2410" s="149"/>
      <c r="F2410" s="149"/>
      <c r="G2410" s="149"/>
      <c r="H2410" s="149"/>
      <c r="I2410" s="149"/>
      <c r="J2410" s="149"/>
      <c r="K2410" s="149"/>
      <c r="L2410" s="149"/>
      <c r="M2410" s="149"/>
      <c r="N2410" s="149"/>
      <c r="O2410" s="149"/>
      <c r="P2410" s="149"/>
      <c r="Q2410" s="149"/>
      <c r="R2410" s="149"/>
      <c r="S2410" s="149"/>
      <c r="T2410" s="149"/>
      <c r="U2410" s="149"/>
      <c r="V2410" s="149"/>
      <c r="W2410" s="149"/>
      <c r="X2410" s="149"/>
      <c r="Y2410" s="149"/>
      <c r="Z2410" s="149"/>
      <c r="AA2410" s="149"/>
      <c r="AB2410" s="149"/>
      <c r="AC2410" s="149"/>
      <c r="AD2410" s="149"/>
      <c r="AE2410" s="149"/>
      <c r="AF2410" s="149"/>
      <c r="AG2410" s="149"/>
      <c r="AH2410" s="149"/>
      <c r="AI2410" s="149"/>
      <c r="AJ2410" s="149"/>
      <c r="AK2410" s="149"/>
      <c r="AL2410" s="149"/>
      <c r="AM2410" s="149"/>
      <c r="AN2410" s="149"/>
      <c r="AO2410" s="128"/>
      <c r="AP2410" s="128"/>
      <c r="AQ2410" s="128"/>
      <c r="AR2410" s="128"/>
      <c r="AS2410" s="128"/>
      <c r="AT2410" s="128"/>
      <c r="AU2410" s="128"/>
      <c r="AV2410" s="128"/>
      <c r="AW2410" s="128"/>
      <c r="AX2410" s="128"/>
      <c r="AY2410" s="128"/>
      <c r="AZ2410" s="128"/>
      <c r="BA2410" s="128"/>
      <c r="BB2410" s="128"/>
      <c r="BC2410" s="128"/>
      <c r="BD2410" s="128"/>
      <c r="BE2410" s="128"/>
      <c r="BF2410" s="128"/>
      <c r="BG2410" s="128"/>
      <c r="BH2410" s="128"/>
      <c r="BI2410" s="128"/>
      <c r="BJ2410" s="128"/>
      <c r="BK2410" s="128"/>
      <c r="BL2410" s="128"/>
      <c r="BM2410" s="151"/>
      <c r="BN2410" s="128"/>
      <c r="BO2410" s="128"/>
      <c r="BP2410" s="128"/>
      <c r="BQ2410" s="128"/>
      <c r="BR2410" s="128"/>
      <c r="BS2410" s="128"/>
      <c r="BT2410" s="128"/>
      <c r="BU2410" s="128"/>
      <c r="BV2410" s="128"/>
      <c r="BW2410" s="128"/>
      <c r="BX2410" s="128"/>
      <c r="BY2410" s="128"/>
      <c r="BZ2410" s="128"/>
      <c r="CA2410" s="128"/>
      <c r="CB2410" s="128"/>
      <c r="CC2410" s="128"/>
      <c r="CD2410" s="128"/>
      <c r="CE2410" s="128"/>
      <c r="CF2410" s="128"/>
      <c r="CG2410" s="128"/>
      <c r="CI2410" s="128"/>
      <c r="CJ2410" s="128"/>
      <c r="CK2410" s="128"/>
      <c r="CL2410" s="128"/>
      <c r="CM2410" s="128"/>
      <c r="CN2410" s="128"/>
      <c r="CO2410" s="128"/>
      <c r="CP2410" s="128"/>
      <c r="CQ2410" s="128"/>
      <c r="CR2410" s="128"/>
      <c r="CS2410" s="128"/>
      <c r="CT2410" s="128"/>
      <c r="CU2410" s="128"/>
      <c r="CV2410" s="128"/>
      <c r="CW2410" s="128"/>
      <c r="CX2410" s="128"/>
      <c r="CY2410" s="128"/>
      <c r="CZ2410" s="165"/>
    </row>
    <row r="2411" spans="1:104">
      <c r="A2411" s="149"/>
      <c r="B2411" s="149"/>
      <c r="C2411" s="150"/>
      <c r="D2411" s="102"/>
      <c r="E2411" s="149"/>
      <c r="F2411" s="149"/>
      <c r="G2411" s="149"/>
      <c r="H2411" s="149"/>
      <c r="I2411" s="149"/>
      <c r="J2411" s="149"/>
      <c r="K2411" s="149"/>
      <c r="L2411" s="149"/>
      <c r="M2411" s="149"/>
      <c r="N2411" s="149"/>
      <c r="O2411" s="149"/>
      <c r="P2411" s="149"/>
      <c r="Q2411" s="149"/>
      <c r="R2411" s="149"/>
      <c r="S2411" s="149"/>
      <c r="T2411" s="149"/>
      <c r="U2411" s="149"/>
      <c r="V2411" s="149"/>
      <c r="W2411" s="149"/>
      <c r="X2411" s="149"/>
      <c r="Y2411" s="149"/>
      <c r="Z2411" s="149"/>
      <c r="AA2411" s="149"/>
      <c r="AB2411" s="149"/>
      <c r="AC2411" s="149"/>
      <c r="AD2411" s="149"/>
      <c r="AE2411" s="149"/>
      <c r="AF2411" s="149"/>
      <c r="AG2411" s="149"/>
      <c r="AH2411" s="149"/>
      <c r="AI2411" s="149"/>
      <c r="AJ2411" s="149"/>
      <c r="AK2411" s="149"/>
      <c r="AL2411" s="149"/>
      <c r="AM2411" s="149"/>
      <c r="AN2411" s="149"/>
      <c r="AO2411" s="128"/>
      <c r="AP2411" s="128"/>
      <c r="AQ2411" s="128"/>
      <c r="AR2411" s="128"/>
      <c r="AS2411" s="128"/>
      <c r="AT2411" s="128"/>
      <c r="AU2411" s="128"/>
      <c r="AV2411" s="128"/>
      <c r="AW2411" s="128"/>
      <c r="AX2411" s="128"/>
      <c r="AY2411" s="128"/>
      <c r="AZ2411" s="128"/>
      <c r="BA2411" s="128"/>
      <c r="BB2411" s="128"/>
      <c r="BC2411" s="128"/>
      <c r="BD2411" s="128"/>
      <c r="BE2411" s="128"/>
      <c r="BF2411" s="128"/>
      <c r="BG2411" s="128"/>
      <c r="BH2411" s="128"/>
      <c r="BI2411" s="128"/>
      <c r="BJ2411" s="128"/>
      <c r="BK2411" s="128"/>
      <c r="BL2411" s="128"/>
      <c r="BM2411" s="151"/>
      <c r="BN2411" s="128"/>
      <c r="BO2411" s="128"/>
      <c r="BP2411" s="128"/>
      <c r="BQ2411" s="128"/>
      <c r="BR2411" s="128"/>
      <c r="BS2411" s="128"/>
      <c r="BT2411" s="128"/>
      <c r="BU2411" s="128"/>
      <c r="BV2411" s="128"/>
      <c r="BW2411" s="128"/>
      <c r="BX2411" s="128"/>
      <c r="BY2411" s="128"/>
      <c r="BZ2411" s="128"/>
      <c r="CA2411" s="128"/>
      <c r="CB2411" s="128"/>
      <c r="CC2411" s="128"/>
      <c r="CD2411" s="128"/>
      <c r="CE2411" s="128"/>
      <c r="CF2411" s="128"/>
      <c r="CG2411" s="128"/>
      <c r="CI2411" s="128"/>
      <c r="CJ2411" s="128"/>
      <c r="CK2411" s="128"/>
      <c r="CL2411" s="128"/>
      <c r="CM2411" s="128"/>
      <c r="CN2411" s="128"/>
      <c r="CO2411" s="128"/>
      <c r="CP2411" s="128"/>
      <c r="CQ2411" s="128"/>
      <c r="CR2411" s="128"/>
      <c r="CS2411" s="128"/>
      <c r="CT2411" s="128"/>
      <c r="CU2411" s="128"/>
      <c r="CV2411" s="128"/>
      <c r="CW2411" s="128"/>
      <c r="CX2411" s="128"/>
      <c r="CY2411" s="128"/>
      <c r="CZ2411" s="165"/>
    </row>
    <row r="2412" spans="1:104">
      <c r="A2412" s="149"/>
      <c r="B2412" s="149"/>
      <c r="C2412" s="150"/>
      <c r="D2412" s="102"/>
      <c r="E2412" s="149"/>
      <c r="F2412" s="149"/>
      <c r="G2412" s="149"/>
      <c r="H2412" s="149"/>
      <c r="I2412" s="149"/>
      <c r="J2412" s="149"/>
      <c r="K2412" s="149"/>
      <c r="L2412" s="149"/>
      <c r="M2412" s="149"/>
      <c r="N2412" s="149"/>
      <c r="O2412" s="149"/>
      <c r="P2412" s="149"/>
      <c r="Q2412" s="149"/>
      <c r="R2412" s="149"/>
      <c r="S2412" s="149"/>
      <c r="T2412" s="149"/>
      <c r="U2412" s="149"/>
      <c r="V2412" s="149"/>
      <c r="W2412" s="149"/>
      <c r="X2412" s="149"/>
      <c r="Y2412" s="149"/>
      <c r="Z2412" s="149"/>
      <c r="AA2412" s="149"/>
      <c r="AB2412" s="149"/>
      <c r="AC2412" s="149"/>
      <c r="AD2412" s="149"/>
      <c r="AE2412" s="149"/>
      <c r="AF2412" s="149"/>
      <c r="AG2412" s="149"/>
      <c r="AH2412" s="149"/>
      <c r="AI2412" s="149"/>
      <c r="AJ2412" s="149"/>
      <c r="AK2412" s="149"/>
      <c r="AL2412" s="149"/>
      <c r="AM2412" s="149"/>
      <c r="AN2412" s="149"/>
      <c r="AO2412" s="128"/>
      <c r="AP2412" s="128"/>
      <c r="AQ2412" s="128"/>
      <c r="AR2412" s="128"/>
      <c r="AS2412" s="128"/>
      <c r="AT2412" s="128"/>
      <c r="AU2412" s="128"/>
      <c r="AV2412" s="128"/>
      <c r="AW2412" s="128"/>
      <c r="AX2412" s="128"/>
      <c r="AY2412" s="128"/>
      <c r="AZ2412" s="128"/>
      <c r="BA2412" s="128"/>
      <c r="BB2412" s="128"/>
      <c r="BC2412" s="128"/>
      <c r="BD2412" s="128"/>
      <c r="BE2412" s="128"/>
      <c r="BF2412" s="128"/>
      <c r="BG2412" s="128"/>
      <c r="BH2412" s="128"/>
      <c r="BI2412" s="128"/>
      <c r="BJ2412" s="128"/>
      <c r="BK2412" s="128"/>
      <c r="BL2412" s="128"/>
      <c r="BM2412" s="151"/>
      <c r="BN2412" s="128"/>
      <c r="BO2412" s="128"/>
      <c r="BP2412" s="128"/>
      <c r="BQ2412" s="128"/>
      <c r="BR2412" s="128"/>
      <c r="BS2412" s="128"/>
      <c r="BT2412" s="128"/>
      <c r="BU2412" s="128"/>
      <c r="BV2412" s="128"/>
      <c r="BW2412" s="128"/>
      <c r="BX2412" s="128"/>
      <c r="BY2412" s="128"/>
      <c r="BZ2412" s="128"/>
      <c r="CA2412" s="128"/>
      <c r="CB2412" s="128"/>
      <c r="CC2412" s="128"/>
      <c r="CD2412" s="128"/>
      <c r="CE2412" s="128"/>
      <c r="CF2412" s="128"/>
      <c r="CG2412" s="128"/>
      <c r="CI2412" s="128"/>
      <c r="CJ2412" s="128"/>
      <c r="CK2412" s="128"/>
      <c r="CL2412" s="128"/>
      <c r="CM2412" s="128"/>
      <c r="CN2412" s="128"/>
      <c r="CO2412" s="128"/>
      <c r="CP2412" s="128"/>
      <c r="CQ2412" s="128"/>
      <c r="CR2412" s="128"/>
      <c r="CS2412" s="128"/>
      <c r="CT2412" s="128"/>
      <c r="CU2412" s="128"/>
      <c r="CV2412" s="128"/>
      <c r="CW2412" s="128"/>
      <c r="CX2412" s="128"/>
      <c r="CY2412" s="128"/>
      <c r="CZ2412" s="165"/>
    </row>
    <row r="2413" spans="1:104">
      <c r="A2413" s="149"/>
      <c r="B2413" s="149"/>
      <c r="C2413" s="150"/>
      <c r="D2413" s="102"/>
      <c r="E2413" s="149"/>
      <c r="F2413" s="149"/>
      <c r="G2413" s="149"/>
      <c r="H2413" s="149"/>
      <c r="I2413" s="149"/>
      <c r="J2413" s="149"/>
      <c r="K2413" s="149"/>
      <c r="L2413" s="149"/>
      <c r="M2413" s="149"/>
      <c r="N2413" s="149"/>
      <c r="O2413" s="149"/>
      <c r="P2413" s="149"/>
      <c r="Q2413" s="149"/>
      <c r="R2413" s="149"/>
      <c r="S2413" s="149"/>
      <c r="T2413" s="149"/>
      <c r="U2413" s="149"/>
      <c r="V2413" s="149"/>
      <c r="W2413" s="149"/>
      <c r="X2413" s="149"/>
      <c r="Y2413" s="149"/>
      <c r="Z2413" s="149"/>
      <c r="AA2413" s="149"/>
      <c r="AB2413" s="149"/>
      <c r="AC2413" s="149"/>
      <c r="AD2413" s="149"/>
      <c r="AE2413" s="149"/>
      <c r="AF2413" s="149"/>
      <c r="AG2413" s="149"/>
      <c r="AH2413" s="149"/>
      <c r="AI2413" s="149"/>
      <c r="AJ2413" s="149"/>
      <c r="AK2413" s="149"/>
      <c r="AL2413" s="149"/>
      <c r="AM2413" s="149"/>
      <c r="AN2413" s="149"/>
      <c r="AO2413" s="128"/>
      <c r="AP2413" s="128"/>
      <c r="AQ2413" s="128"/>
      <c r="AR2413" s="128"/>
      <c r="AS2413" s="128"/>
      <c r="AT2413" s="128"/>
      <c r="AU2413" s="128"/>
      <c r="AV2413" s="128"/>
      <c r="AW2413" s="128"/>
      <c r="AX2413" s="128"/>
      <c r="AY2413" s="128"/>
      <c r="AZ2413" s="128"/>
      <c r="BA2413" s="128"/>
      <c r="BB2413" s="128"/>
      <c r="BC2413" s="128"/>
      <c r="BD2413" s="128"/>
      <c r="BE2413" s="128"/>
      <c r="BF2413" s="128"/>
      <c r="BG2413" s="128"/>
      <c r="BH2413" s="128"/>
      <c r="BI2413" s="128"/>
      <c r="BJ2413" s="128"/>
      <c r="BK2413" s="128"/>
      <c r="BL2413" s="128"/>
      <c r="BM2413" s="151"/>
      <c r="BN2413" s="128"/>
      <c r="BO2413" s="128"/>
      <c r="BP2413" s="128"/>
      <c r="BQ2413" s="128"/>
      <c r="BR2413" s="128"/>
      <c r="BS2413" s="128"/>
      <c r="BT2413" s="128"/>
      <c r="BU2413" s="128"/>
      <c r="BV2413" s="128"/>
      <c r="BW2413" s="128"/>
      <c r="BX2413" s="128"/>
      <c r="BY2413" s="128"/>
      <c r="BZ2413" s="128"/>
      <c r="CA2413" s="128"/>
      <c r="CB2413" s="128"/>
      <c r="CC2413" s="128"/>
      <c r="CD2413" s="128"/>
      <c r="CE2413" s="128"/>
      <c r="CF2413" s="128"/>
      <c r="CG2413" s="128"/>
      <c r="CI2413" s="128"/>
      <c r="CJ2413" s="128"/>
      <c r="CK2413" s="128"/>
      <c r="CL2413" s="128"/>
      <c r="CM2413" s="128"/>
      <c r="CN2413" s="128"/>
      <c r="CO2413" s="128"/>
      <c r="CP2413" s="128"/>
      <c r="CQ2413" s="128"/>
      <c r="CR2413" s="128"/>
      <c r="CS2413" s="128"/>
      <c r="CT2413" s="128"/>
      <c r="CU2413" s="128"/>
      <c r="CV2413" s="128"/>
      <c r="CW2413" s="128"/>
      <c r="CX2413" s="128"/>
      <c r="CY2413" s="128"/>
      <c r="CZ2413" s="165"/>
    </row>
    <row r="2414" spans="1:104">
      <c r="A2414" s="149"/>
      <c r="B2414" s="149"/>
      <c r="C2414" s="150"/>
      <c r="D2414" s="102"/>
      <c r="E2414" s="149"/>
      <c r="F2414" s="149"/>
      <c r="G2414" s="149"/>
      <c r="H2414" s="149"/>
      <c r="I2414" s="149"/>
      <c r="J2414" s="149"/>
      <c r="K2414" s="149"/>
      <c r="L2414" s="149"/>
      <c r="M2414" s="149"/>
      <c r="N2414" s="149"/>
      <c r="O2414" s="149"/>
      <c r="P2414" s="149"/>
      <c r="Q2414" s="149"/>
      <c r="R2414" s="149"/>
      <c r="S2414" s="149"/>
      <c r="T2414" s="149"/>
      <c r="U2414" s="149"/>
      <c r="V2414" s="149"/>
      <c r="W2414" s="149"/>
      <c r="X2414" s="149"/>
      <c r="Y2414" s="149"/>
      <c r="Z2414" s="149"/>
      <c r="AA2414" s="149"/>
      <c r="AB2414" s="149"/>
      <c r="AC2414" s="149"/>
      <c r="AD2414" s="149"/>
      <c r="AE2414" s="149"/>
      <c r="AF2414" s="149"/>
      <c r="AG2414" s="149"/>
      <c r="AH2414" s="149"/>
      <c r="AI2414" s="149"/>
      <c r="AJ2414" s="149"/>
      <c r="AK2414" s="149"/>
      <c r="AL2414" s="149"/>
      <c r="AM2414" s="149"/>
      <c r="AN2414" s="149"/>
      <c r="AO2414" s="128"/>
      <c r="AP2414" s="128"/>
      <c r="AQ2414" s="128"/>
      <c r="AR2414" s="128"/>
      <c r="AS2414" s="128"/>
      <c r="AT2414" s="128"/>
      <c r="AU2414" s="128"/>
      <c r="AV2414" s="128"/>
      <c r="AW2414" s="128"/>
      <c r="AX2414" s="128"/>
      <c r="AY2414" s="128"/>
      <c r="AZ2414" s="128"/>
      <c r="BA2414" s="128"/>
      <c r="BB2414" s="128"/>
      <c r="BC2414" s="128"/>
      <c r="BD2414" s="128"/>
      <c r="BE2414" s="128"/>
      <c r="BF2414" s="128"/>
      <c r="BG2414" s="128"/>
      <c r="BH2414" s="128"/>
      <c r="BI2414" s="128"/>
      <c r="BJ2414" s="128"/>
      <c r="BK2414" s="128"/>
      <c r="BL2414" s="128"/>
      <c r="BM2414" s="151"/>
      <c r="BN2414" s="128"/>
      <c r="BO2414" s="128"/>
      <c r="BP2414" s="128"/>
      <c r="BQ2414" s="128"/>
      <c r="BR2414" s="128"/>
      <c r="BS2414" s="128"/>
      <c r="BT2414" s="128"/>
      <c r="BU2414" s="128"/>
      <c r="BV2414" s="128"/>
      <c r="BW2414" s="128"/>
      <c r="BX2414" s="128"/>
      <c r="BY2414" s="128"/>
      <c r="BZ2414" s="128"/>
      <c r="CA2414" s="128"/>
      <c r="CB2414" s="128"/>
      <c r="CC2414" s="128"/>
      <c r="CD2414" s="128"/>
      <c r="CE2414" s="128"/>
      <c r="CF2414" s="128"/>
      <c r="CG2414" s="128"/>
      <c r="CI2414" s="128"/>
      <c r="CJ2414" s="128"/>
      <c r="CK2414" s="128"/>
      <c r="CL2414" s="128"/>
      <c r="CM2414" s="128"/>
      <c r="CN2414" s="128"/>
      <c r="CO2414" s="128"/>
      <c r="CP2414" s="128"/>
      <c r="CQ2414" s="128"/>
      <c r="CR2414" s="128"/>
      <c r="CS2414" s="128"/>
      <c r="CT2414" s="128"/>
      <c r="CU2414" s="128"/>
      <c r="CV2414" s="128"/>
      <c r="CW2414" s="128"/>
      <c r="CX2414" s="128"/>
      <c r="CY2414" s="128"/>
      <c r="CZ2414" s="165"/>
    </row>
    <row r="2415" spans="1:104">
      <c r="A2415" s="149"/>
      <c r="B2415" s="149"/>
      <c r="C2415" s="150"/>
      <c r="D2415" s="102"/>
      <c r="E2415" s="149"/>
      <c r="F2415" s="149"/>
      <c r="G2415" s="149"/>
      <c r="H2415" s="149"/>
      <c r="I2415" s="149"/>
      <c r="J2415" s="149"/>
      <c r="K2415" s="149"/>
      <c r="L2415" s="149"/>
      <c r="M2415" s="149"/>
      <c r="N2415" s="149"/>
      <c r="O2415" s="149"/>
      <c r="P2415" s="149"/>
      <c r="Q2415" s="149"/>
      <c r="R2415" s="149"/>
      <c r="S2415" s="149"/>
      <c r="T2415" s="149"/>
      <c r="U2415" s="149"/>
      <c r="V2415" s="149"/>
      <c r="W2415" s="149"/>
      <c r="X2415" s="149"/>
      <c r="Y2415" s="149"/>
      <c r="Z2415" s="149"/>
      <c r="AA2415" s="149"/>
      <c r="AB2415" s="149"/>
      <c r="AC2415" s="149"/>
      <c r="AD2415" s="149"/>
      <c r="AE2415" s="149"/>
      <c r="AF2415" s="149"/>
      <c r="AG2415" s="149"/>
      <c r="AH2415" s="149"/>
      <c r="AI2415" s="149"/>
      <c r="AJ2415" s="149"/>
      <c r="AK2415" s="149"/>
      <c r="AL2415" s="149"/>
      <c r="AM2415" s="149"/>
      <c r="AN2415" s="149"/>
      <c r="AO2415" s="128"/>
      <c r="AP2415" s="128"/>
      <c r="AQ2415" s="128"/>
      <c r="AR2415" s="128"/>
      <c r="AS2415" s="128"/>
      <c r="AT2415" s="128"/>
      <c r="AU2415" s="128"/>
      <c r="AV2415" s="128"/>
      <c r="AW2415" s="128"/>
      <c r="AX2415" s="128"/>
      <c r="AY2415" s="128"/>
      <c r="AZ2415" s="128"/>
      <c r="BA2415" s="128"/>
      <c r="BB2415" s="128"/>
      <c r="BC2415" s="128"/>
      <c r="BD2415" s="128"/>
      <c r="BE2415" s="128"/>
      <c r="BF2415" s="128"/>
      <c r="BG2415" s="128"/>
      <c r="BH2415" s="128"/>
      <c r="BI2415" s="128"/>
      <c r="BJ2415" s="128"/>
      <c r="BK2415" s="128"/>
      <c r="BL2415" s="128"/>
      <c r="BM2415" s="151"/>
      <c r="BN2415" s="128"/>
      <c r="BO2415" s="128"/>
      <c r="BP2415" s="128"/>
      <c r="BQ2415" s="128"/>
      <c r="BR2415" s="128"/>
      <c r="BS2415" s="128"/>
      <c r="BT2415" s="128"/>
      <c r="BU2415" s="128"/>
      <c r="BV2415" s="128"/>
      <c r="BW2415" s="128"/>
      <c r="BX2415" s="128"/>
      <c r="BY2415" s="128"/>
      <c r="BZ2415" s="128"/>
      <c r="CA2415" s="128"/>
      <c r="CB2415" s="128"/>
      <c r="CC2415" s="128"/>
      <c r="CD2415" s="128"/>
      <c r="CE2415" s="128"/>
      <c r="CF2415" s="128"/>
      <c r="CG2415" s="128"/>
      <c r="CI2415" s="128"/>
      <c r="CJ2415" s="128"/>
      <c r="CK2415" s="128"/>
      <c r="CL2415" s="128"/>
      <c r="CM2415" s="128"/>
      <c r="CN2415" s="128"/>
      <c r="CO2415" s="128"/>
      <c r="CP2415" s="128"/>
      <c r="CQ2415" s="128"/>
      <c r="CR2415" s="128"/>
      <c r="CS2415" s="128"/>
      <c r="CT2415" s="128"/>
      <c r="CU2415" s="128"/>
      <c r="CV2415" s="128"/>
      <c r="CW2415" s="128"/>
      <c r="CX2415" s="128"/>
      <c r="CY2415" s="128"/>
      <c r="CZ2415" s="165"/>
    </row>
    <row r="2416" spans="1:104">
      <c r="A2416" s="149"/>
      <c r="B2416" s="149"/>
      <c r="C2416" s="150"/>
      <c r="D2416" s="102"/>
      <c r="E2416" s="149"/>
      <c r="F2416" s="149"/>
      <c r="G2416" s="149"/>
      <c r="H2416" s="149"/>
      <c r="I2416" s="149"/>
      <c r="J2416" s="149"/>
      <c r="K2416" s="149"/>
      <c r="L2416" s="149"/>
      <c r="M2416" s="149"/>
      <c r="N2416" s="149"/>
      <c r="O2416" s="149"/>
      <c r="P2416" s="149"/>
      <c r="Q2416" s="149"/>
      <c r="R2416" s="149"/>
      <c r="S2416" s="149"/>
      <c r="T2416" s="149"/>
      <c r="U2416" s="149"/>
      <c r="V2416" s="149"/>
      <c r="W2416" s="149"/>
      <c r="X2416" s="149"/>
      <c r="Y2416" s="149"/>
      <c r="Z2416" s="149"/>
      <c r="AA2416" s="149"/>
      <c r="AB2416" s="149"/>
      <c r="AC2416" s="149"/>
      <c r="AD2416" s="149"/>
      <c r="AE2416" s="149"/>
      <c r="AF2416" s="149"/>
      <c r="AG2416" s="149"/>
      <c r="AH2416" s="149"/>
      <c r="AI2416" s="149"/>
      <c r="AJ2416" s="149"/>
      <c r="AK2416" s="149"/>
      <c r="AL2416" s="149"/>
      <c r="AM2416" s="149"/>
      <c r="AN2416" s="149"/>
      <c r="AO2416" s="128"/>
      <c r="AP2416" s="128"/>
      <c r="AQ2416" s="128"/>
      <c r="AR2416" s="128"/>
      <c r="AS2416" s="128"/>
      <c r="AT2416" s="128"/>
      <c r="AU2416" s="128"/>
      <c r="AV2416" s="128"/>
      <c r="AW2416" s="128"/>
      <c r="AX2416" s="128"/>
      <c r="AY2416" s="128"/>
      <c r="AZ2416" s="128"/>
      <c r="BA2416" s="128"/>
      <c r="BB2416" s="128"/>
      <c r="BC2416" s="128"/>
      <c r="BD2416" s="128"/>
      <c r="BE2416" s="128"/>
      <c r="BF2416" s="128"/>
      <c r="BG2416" s="128"/>
      <c r="BH2416" s="128"/>
      <c r="BI2416" s="128"/>
      <c r="BJ2416" s="128"/>
      <c r="BK2416" s="128"/>
      <c r="BL2416" s="128"/>
      <c r="BM2416" s="151"/>
      <c r="BN2416" s="128"/>
      <c r="BO2416" s="128"/>
      <c r="BP2416" s="128"/>
      <c r="BQ2416" s="128"/>
      <c r="BR2416" s="128"/>
      <c r="BS2416" s="128"/>
      <c r="BT2416" s="128"/>
      <c r="BU2416" s="128"/>
      <c r="BV2416" s="128"/>
      <c r="BW2416" s="128"/>
      <c r="BX2416" s="128"/>
      <c r="BY2416" s="128"/>
      <c r="BZ2416" s="128"/>
      <c r="CA2416" s="128"/>
      <c r="CB2416" s="128"/>
      <c r="CC2416" s="128"/>
      <c r="CD2416" s="128"/>
      <c r="CE2416" s="128"/>
      <c r="CF2416" s="128"/>
      <c r="CG2416" s="128"/>
      <c r="CI2416" s="128"/>
      <c r="CJ2416" s="128"/>
      <c r="CK2416" s="128"/>
      <c r="CL2416" s="128"/>
      <c r="CM2416" s="128"/>
      <c r="CN2416" s="128"/>
      <c r="CO2416" s="128"/>
      <c r="CP2416" s="128"/>
      <c r="CQ2416" s="128"/>
      <c r="CR2416" s="128"/>
      <c r="CS2416" s="128"/>
      <c r="CT2416" s="128"/>
      <c r="CU2416" s="128"/>
      <c r="CV2416" s="128"/>
      <c r="CW2416" s="128"/>
      <c r="CX2416" s="128"/>
      <c r="CY2416" s="128"/>
      <c r="CZ2416" s="165"/>
    </row>
    <row r="2417" spans="1:104">
      <c r="A2417" s="149"/>
      <c r="B2417" s="149"/>
      <c r="C2417" s="150"/>
      <c r="D2417" s="102"/>
      <c r="E2417" s="149"/>
      <c r="F2417" s="149"/>
      <c r="G2417" s="149"/>
      <c r="H2417" s="149"/>
      <c r="I2417" s="149"/>
      <c r="J2417" s="149"/>
      <c r="K2417" s="149"/>
      <c r="L2417" s="149"/>
      <c r="M2417" s="149"/>
      <c r="N2417" s="149"/>
      <c r="O2417" s="149"/>
      <c r="P2417" s="149"/>
      <c r="Q2417" s="149"/>
      <c r="R2417" s="149"/>
      <c r="S2417" s="149"/>
      <c r="T2417" s="149"/>
      <c r="U2417" s="149"/>
      <c r="V2417" s="149"/>
      <c r="W2417" s="149"/>
      <c r="X2417" s="149"/>
      <c r="Y2417" s="149"/>
      <c r="Z2417" s="149"/>
      <c r="AA2417" s="149"/>
      <c r="AB2417" s="149"/>
      <c r="AC2417" s="149"/>
      <c r="AD2417" s="149"/>
      <c r="AE2417" s="149"/>
      <c r="AF2417" s="149"/>
      <c r="AG2417" s="149"/>
      <c r="AH2417" s="149"/>
      <c r="AI2417" s="149"/>
      <c r="AJ2417" s="149"/>
      <c r="AK2417" s="149"/>
      <c r="AL2417" s="149"/>
      <c r="AM2417" s="149"/>
      <c r="AN2417" s="149"/>
      <c r="AO2417" s="128"/>
      <c r="AP2417" s="128"/>
      <c r="AQ2417" s="128"/>
      <c r="AR2417" s="128"/>
      <c r="AS2417" s="128"/>
      <c r="AT2417" s="128"/>
      <c r="AU2417" s="128"/>
      <c r="AV2417" s="128"/>
      <c r="AW2417" s="128"/>
      <c r="AX2417" s="128"/>
      <c r="AY2417" s="128"/>
      <c r="AZ2417" s="128"/>
      <c r="BA2417" s="128"/>
      <c r="BB2417" s="128"/>
      <c r="BC2417" s="128"/>
      <c r="BD2417" s="128"/>
      <c r="BE2417" s="128"/>
      <c r="BF2417" s="128"/>
      <c r="BG2417" s="128"/>
      <c r="BH2417" s="128"/>
      <c r="BI2417" s="128"/>
      <c r="BJ2417" s="128"/>
      <c r="BK2417" s="128"/>
      <c r="BL2417" s="128"/>
      <c r="BM2417" s="151"/>
      <c r="BN2417" s="128"/>
      <c r="BO2417" s="128"/>
      <c r="BP2417" s="128"/>
      <c r="BQ2417" s="128"/>
      <c r="BR2417" s="128"/>
      <c r="BS2417" s="128"/>
      <c r="BT2417" s="128"/>
      <c r="BU2417" s="128"/>
      <c r="BV2417" s="128"/>
      <c r="BW2417" s="128"/>
      <c r="BX2417" s="128"/>
      <c r="BY2417" s="128"/>
      <c r="BZ2417" s="128"/>
      <c r="CA2417" s="128"/>
      <c r="CB2417" s="128"/>
      <c r="CC2417" s="128"/>
      <c r="CD2417" s="128"/>
      <c r="CE2417" s="128"/>
      <c r="CF2417" s="128"/>
      <c r="CG2417" s="128"/>
      <c r="CI2417" s="128"/>
      <c r="CJ2417" s="128"/>
      <c r="CK2417" s="128"/>
      <c r="CL2417" s="128"/>
      <c r="CM2417" s="128"/>
      <c r="CN2417" s="128"/>
      <c r="CO2417" s="128"/>
      <c r="CP2417" s="128"/>
      <c r="CQ2417" s="128"/>
      <c r="CR2417" s="128"/>
      <c r="CS2417" s="128"/>
      <c r="CT2417" s="128"/>
      <c r="CU2417" s="128"/>
      <c r="CV2417" s="128"/>
      <c r="CW2417" s="128"/>
      <c r="CX2417" s="128"/>
      <c r="CY2417" s="128"/>
      <c r="CZ2417" s="165"/>
    </row>
    <row r="2418" spans="1:104">
      <c r="A2418" s="149"/>
      <c r="B2418" s="149"/>
      <c r="C2418" s="150"/>
      <c r="D2418" s="102"/>
      <c r="E2418" s="149"/>
      <c r="F2418" s="149"/>
      <c r="G2418" s="149"/>
      <c r="H2418" s="149"/>
      <c r="I2418" s="149"/>
      <c r="J2418" s="149"/>
      <c r="K2418" s="149"/>
      <c r="L2418" s="149"/>
      <c r="M2418" s="149"/>
      <c r="N2418" s="149"/>
      <c r="O2418" s="149"/>
      <c r="P2418" s="149"/>
      <c r="Q2418" s="149"/>
      <c r="R2418" s="149"/>
      <c r="S2418" s="149"/>
      <c r="T2418" s="149"/>
      <c r="U2418" s="149"/>
      <c r="V2418" s="149"/>
      <c r="W2418" s="149"/>
      <c r="X2418" s="149"/>
      <c r="Y2418" s="149"/>
      <c r="Z2418" s="149"/>
      <c r="AA2418" s="149"/>
      <c r="AB2418" s="149"/>
      <c r="AC2418" s="149"/>
      <c r="AD2418" s="149"/>
      <c r="AE2418" s="149"/>
      <c r="AF2418" s="149"/>
      <c r="AG2418" s="149"/>
      <c r="AH2418" s="149"/>
      <c r="AI2418" s="149"/>
      <c r="AJ2418" s="149"/>
      <c r="AK2418" s="149"/>
      <c r="AL2418" s="149"/>
      <c r="AM2418" s="149"/>
      <c r="AN2418" s="149"/>
      <c r="AO2418" s="128"/>
      <c r="AP2418" s="128"/>
      <c r="AQ2418" s="128"/>
      <c r="AR2418" s="128"/>
      <c r="AS2418" s="128"/>
      <c r="AT2418" s="128"/>
      <c r="AU2418" s="128"/>
      <c r="AV2418" s="128"/>
      <c r="AW2418" s="128"/>
      <c r="AX2418" s="128"/>
      <c r="AY2418" s="128"/>
      <c r="AZ2418" s="128"/>
      <c r="BA2418" s="128"/>
      <c r="BB2418" s="128"/>
      <c r="BC2418" s="128"/>
      <c r="BD2418" s="128"/>
      <c r="BE2418" s="128"/>
      <c r="BF2418" s="128"/>
      <c r="BG2418" s="128"/>
      <c r="BH2418" s="128"/>
      <c r="BI2418" s="128"/>
      <c r="BJ2418" s="128"/>
      <c r="BK2418" s="128"/>
      <c r="BL2418" s="128"/>
      <c r="BM2418" s="151"/>
      <c r="BN2418" s="128"/>
      <c r="BO2418" s="128"/>
      <c r="BP2418" s="128"/>
      <c r="BQ2418" s="128"/>
      <c r="BR2418" s="128"/>
      <c r="BS2418" s="128"/>
      <c r="BT2418" s="128"/>
      <c r="BU2418" s="128"/>
      <c r="BV2418" s="128"/>
      <c r="BW2418" s="128"/>
      <c r="BX2418" s="128"/>
      <c r="BY2418" s="128"/>
      <c r="BZ2418" s="128"/>
      <c r="CA2418" s="128"/>
      <c r="CB2418" s="128"/>
      <c r="CC2418" s="128"/>
      <c r="CD2418" s="128"/>
      <c r="CE2418" s="128"/>
      <c r="CF2418" s="128"/>
      <c r="CG2418" s="128"/>
      <c r="CI2418" s="128"/>
      <c r="CJ2418" s="128"/>
      <c r="CK2418" s="128"/>
      <c r="CL2418" s="128"/>
      <c r="CM2418" s="128"/>
      <c r="CN2418" s="128"/>
      <c r="CO2418" s="128"/>
      <c r="CP2418" s="128"/>
      <c r="CQ2418" s="128"/>
      <c r="CR2418" s="128"/>
      <c r="CS2418" s="128"/>
      <c r="CT2418" s="128"/>
      <c r="CU2418" s="128"/>
      <c r="CV2418" s="128"/>
      <c r="CW2418" s="128"/>
      <c r="CX2418" s="128"/>
      <c r="CY2418" s="128"/>
      <c r="CZ2418" s="165"/>
    </row>
    <row r="2419" spans="1:104">
      <c r="A2419" s="149"/>
      <c r="B2419" s="149"/>
      <c r="C2419" s="150"/>
      <c r="D2419" s="102"/>
      <c r="E2419" s="149"/>
      <c r="F2419" s="149"/>
      <c r="G2419" s="149"/>
      <c r="H2419" s="149"/>
      <c r="I2419" s="149"/>
      <c r="J2419" s="149"/>
      <c r="K2419" s="149"/>
      <c r="L2419" s="149"/>
      <c r="M2419" s="149"/>
      <c r="N2419" s="149"/>
      <c r="O2419" s="149"/>
      <c r="P2419" s="149"/>
      <c r="Q2419" s="149"/>
      <c r="R2419" s="149"/>
      <c r="S2419" s="149"/>
      <c r="T2419" s="149"/>
      <c r="U2419" s="149"/>
      <c r="V2419" s="149"/>
      <c r="W2419" s="149"/>
      <c r="X2419" s="149"/>
      <c r="Y2419" s="149"/>
      <c r="Z2419" s="149"/>
      <c r="AA2419" s="149"/>
      <c r="AB2419" s="149"/>
      <c r="AC2419" s="149"/>
      <c r="AD2419" s="149"/>
      <c r="AE2419" s="149"/>
      <c r="AF2419" s="149"/>
      <c r="AG2419" s="149"/>
      <c r="AH2419" s="149"/>
      <c r="AI2419" s="149"/>
      <c r="AJ2419" s="149"/>
      <c r="AK2419" s="149"/>
      <c r="AL2419" s="149"/>
      <c r="AM2419" s="149"/>
      <c r="AN2419" s="149"/>
      <c r="AO2419" s="128"/>
      <c r="AP2419" s="128"/>
      <c r="AQ2419" s="128"/>
      <c r="AR2419" s="128"/>
      <c r="AS2419" s="128"/>
      <c r="AT2419" s="128"/>
      <c r="AU2419" s="128"/>
      <c r="AV2419" s="128"/>
      <c r="AW2419" s="128"/>
      <c r="AX2419" s="128"/>
      <c r="AY2419" s="128"/>
      <c r="AZ2419" s="128"/>
      <c r="BA2419" s="128"/>
      <c r="BB2419" s="128"/>
      <c r="BC2419" s="128"/>
      <c r="BD2419" s="128"/>
      <c r="BE2419" s="128"/>
      <c r="BF2419" s="128"/>
      <c r="BG2419" s="128"/>
      <c r="BH2419" s="128"/>
      <c r="BI2419" s="128"/>
      <c r="BJ2419" s="128"/>
      <c r="BK2419" s="128"/>
      <c r="BL2419" s="128"/>
      <c r="BM2419" s="151"/>
      <c r="BN2419" s="128"/>
      <c r="BO2419" s="128"/>
      <c r="BP2419" s="128"/>
      <c r="BQ2419" s="128"/>
      <c r="BR2419" s="128"/>
      <c r="BS2419" s="128"/>
      <c r="BT2419" s="128"/>
      <c r="BU2419" s="128"/>
      <c r="BV2419" s="128"/>
      <c r="BW2419" s="128"/>
      <c r="BX2419" s="128"/>
      <c r="BY2419" s="128"/>
      <c r="BZ2419" s="128"/>
      <c r="CA2419" s="128"/>
      <c r="CB2419" s="128"/>
      <c r="CC2419" s="128"/>
      <c r="CD2419" s="128"/>
      <c r="CE2419" s="128"/>
      <c r="CF2419" s="128"/>
      <c r="CG2419" s="128"/>
      <c r="CI2419" s="128"/>
      <c r="CJ2419" s="128"/>
      <c r="CK2419" s="128"/>
      <c r="CL2419" s="128"/>
      <c r="CM2419" s="128"/>
      <c r="CN2419" s="128"/>
      <c r="CO2419" s="128"/>
      <c r="CP2419" s="128"/>
      <c r="CQ2419" s="128"/>
      <c r="CR2419" s="128"/>
      <c r="CS2419" s="128"/>
      <c r="CT2419" s="128"/>
      <c r="CU2419" s="128"/>
      <c r="CV2419" s="128"/>
      <c r="CW2419" s="128"/>
      <c r="CX2419" s="128"/>
      <c r="CY2419" s="128"/>
      <c r="CZ2419" s="165"/>
    </row>
    <row r="2420" spans="1:104">
      <c r="A2420" s="149"/>
      <c r="B2420" s="149"/>
      <c r="C2420" s="150"/>
      <c r="D2420" s="102"/>
      <c r="E2420" s="149"/>
      <c r="F2420" s="149"/>
      <c r="G2420" s="149"/>
      <c r="H2420" s="149"/>
      <c r="I2420" s="149"/>
      <c r="J2420" s="149"/>
      <c r="K2420" s="149"/>
      <c r="L2420" s="149"/>
      <c r="M2420" s="149"/>
      <c r="N2420" s="149"/>
      <c r="O2420" s="149"/>
      <c r="P2420" s="149"/>
      <c r="Q2420" s="149"/>
      <c r="R2420" s="149"/>
      <c r="S2420" s="149"/>
      <c r="T2420" s="149"/>
      <c r="U2420" s="149"/>
      <c r="V2420" s="149"/>
      <c r="W2420" s="149"/>
      <c r="X2420" s="149"/>
      <c r="Y2420" s="149"/>
      <c r="Z2420" s="149"/>
      <c r="AA2420" s="149"/>
      <c r="AB2420" s="149"/>
      <c r="AC2420" s="149"/>
      <c r="AD2420" s="149"/>
      <c r="AE2420" s="149"/>
      <c r="AF2420" s="149"/>
      <c r="AG2420" s="149"/>
      <c r="AH2420" s="149"/>
      <c r="AI2420" s="149"/>
      <c r="AJ2420" s="149"/>
      <c r="AK2420" s="149"/>
      <c r="AL2420" s="149"/>
      <c r="AM2420" s="149"/>
      <c r="AN2420" s="149"/>
      <c r="AO2420" s="128"/>
      <c r="AP2420" s="128"/>
      <c r="AQ2420" s="128"/>
      <c r="AR2420" s="128"/>
      <c r="AS2420" s="128"/>
      <c r="AT2420" s="128"/>
      <c r="AU2420" s="128"/>
      <c r="AV2420" s="128"/>
      <c r="AW2420" s="128"/>
      <c r="AX2420" s="128"/>
      <c r="AY2420" s="128"/>
      <c r="AZ2420" s="128"/>
      <c r="BA2420" s="128"/>
      <c r="BB2420" s="128"/>
      <c r="BC2420" s="128"/>
      <c r="BD2420" s="128"/>
      <c r="BE2420" s="128"/>
      <c r="BF2420" s="128"/>
      <c r="BG2420" s="128"/>
      <c r="BH2420" s="128"/>
      <c r="BI2420" s="128"/>
      <c r="BJ2420" s="128"/>
      <c r="BK2420" s="128"/>
      <c r="BL2420" s="128"/>
      <c r="BM2420" s="151"/>
      <c r="BN2420" s="128"/>
      <c r="BO2420" s="128"/>
      <c r="BP2420" s="128"/>
      <c r="BQ2420" s="128"/>
      <c r="BR2420" s="128"/>
      <c r="BS2420" s="128"/>
      <c r="BT2420" s="128"/>
      <c r="BU2420" s="128"/>
      <c r="BV2420" s="128"/>
      <c r="BW2420" s="128"/>
      <c r="BX2420" s="128"/>
      <c r="BY2420" s="128"/>
      <c r="BZ2420" s="128"/>
      <c r="CA2420" s="128"/>
      <c r="CB2420" s="128"/>
      <c r="CC2420" s="128"/>
      <c r="CD2420" s="128"/>
      <c r="CE2420" s="128"/>
      <c r="CF2420" s="128"/>
      <c r="CG2420" s="128"/>
      <c r="CI2420" s="128"/>
      <c r="CJ2420" s="128"/>
      <c r="CK2420" s="128"/>
      <c r="CL2420" s="128"/>
      <c r="CM2420" s="128"/>
      <c r="CN2420" s="128"/>
      <c r="CO2420" s="128"/>
      <c r="CP2420" s="128"/>
      <c r="CQ2420" s="128"/>
      <c r="CR2420" s="128"/>
      <c r="CS2420" s="128"/>
      <c r="CT2420" s="128"/>
      <c r="CU2420" s="128"/>
      <c r="CV2420" s="128"/>
      <c r="CW2420" s="128"/>
      <c r="CX2420" s="128"/>
      <c r="CY2420" s="128"/>
      <c r="CZ2420" s="165"/>
    </row>
    <row r="2421" spans="1:104">
      <c r="A2421" s="149"/>
      <c r="B2421" s="149"/>
      <c r="C2421" s="150"/>
      <c r="D2421" s="102"/>
      <c r="E2421" s="149"/>
      <c r="F2421" s="149"/>
      <c r="G2421" s="149"/>
      <c r="H2421" s="149"/>
      <c r="I2421" s="149"/>
      <c r="J2421" s="149"/>
      <c r="K2421" s="149"/>
      <c r="L2421" s="149"/>
      <c r="M2421" s="149"/>
      <c r="N2421" s="149"/>
      <c r="O2421" s="149"/>
      <c r="P2421" s="149"/>
      <c r="Q2421" s="149"/>
      <c r="R2421" s="149"/>
      <c r="S2421" s="149"/>
      <c r="T2421" s="149"/>
      <c r="U2421" s="149"/>
      <c r="V2421" s="149"/>
      <c r="W2421" s="149"/>
      <c r="X2421" s="149"/>
      <c r="Y2421" s="149"/>
      <c r="Z2421" s="149"/>
      <c r="AA2421" s="149"/>
      <c r="AB2421" s="149"/>
      <c r="AC2421" s="149"/>
      <c r="AD2421" s="149"/>
      <c r="AE2421" s="149"/>
      <c r="AF2421" s="149"/>
      <c r="AG2421" s="149"/>
      <c r="AH2421" s="149"/>
      <c r="AI2421" s="149"/>
      <c r="AJ2421" s="149"/>
      <c r="AK2421" s="149"/>
      <c r="AL2421" s="149"/>
      <c r="AM2421" s="149"/>
      <c r="AN2421" s="149"/>
      <c r="AO2421" s="128"/>
      <c r="AP2421" s="128"/>
      <c r="AQ2421" s="128"/>
      <c r="AR2421" s="128"/>
      <c r="AS2421" s="128"/>
      <c r="AT2421" s="128"/>
      <c r="AU2421" s="128"/>
      <c r="AV2421" s="128"/>
      <c r="AW2421" s="128"/>
      <c r="AX2421" s="128"/>
      <c r="AY2421" s="128"/>
      <c r="AZ2421" s="128"/>
      <c r="BA2421" s="128"/>
      <c r="BB2421" s="128"/>
      <c r="BC2421" s="128"/>
      <c r="BD2421" s="128"/>
      <c r="BE2421" s="128"/>
      <c r="BF2421" s="128"/>
      <c r="BG2421" s="128"/>
      <c r="BH2421" s="128"/>
      <c r="BI2421" s="128"/>
      <c r="BJ2421" s="128"/>
      <c r="BK2421" s="128"/>
      <c r="BL2421" s="128"/>
      <c r="BM2421" s="151"/>
      <c r="BN2421" s="128"/>
      <c r="BO2421" s="128"/>
      <c r="BP2421" s="128"/>
      <c r="BQ2421" s="128"/>
      <c r="BR2421" s="128"/>
      <c r="BS2421" s="128"/>
      <c r="BT2421" s="128"/>
      <c r="BU2421" s="128"/>
      <c r="BV2421" s="128"/>
      <c r="BW2421" s="128"/>
      <c r="BX2421" s="128"/>
      <c r="BY2421" s="128"/>
      <c r="BZ2421" s="128"/>
      <c r="CA2421" s="128"/>
      <c r="CB2421" s="128"/>
      <c r="CC2421" s="128"/>
      <c r="CD2421" s="128"/>
      <c r="CE2421" s="128"/>
      <c r="CF2421" s="128"/>
      <c r="CG2421" s="128"/>
      <c r="CI2421" s="128"/>
      <c r="CJ2421" s="128"/>
      <c r="CK2421" s="128"/>
      <c r="CL2421" s="128"/>
      <c r="CM2421" s="128"/>
      <c r="CN2421" s="128"/>
      <c r="CO2421" s="128"/>
      <c r="CP2421" s="128"/>
      <c r="CQ2421" s="128"/>
      <c r="CR2421" s="128"/>
      <c r="CS2421" s="128"/>
      <c r="CT2421" s="128"/>
      <c r="CU2421" s="128"/>
      <c r="CV2421" s="128"/>
      <c r="CW2421" s="128"/>
      <c r="CX2421" s="128"/>
      <c r="CY2421" s="128"/>
      <c r="CZ2421" s="165"/>
    </row>
    <row r="2422" spans="1:104">
      <c r="A2422" s="149"/>
      <c r="B2422" s="149"/>
      <c r="C2422" s="150"/>
      <c r="D2422" s="102"/>
      <c r="E2422" s="149"/>
      <c r="F2422" s="149"/>
      <c r="G2422" s="149"/>
      <c r="H2422" s="149"/>
      <c r="I2422" s="149"/>
      <c r="J2422" s="149"/>
      <c r="K2422" s="149"/>
      <c r="L2422" s="149"/>
      <c r="M2422" s="149"/>
      <c r="N2422" s="149"/>
      <c r="O2422" s="149"/>
      <c r="P2422" s="149"/>
      <c r="Q2422" s="149"/>
      <c r="R2422" s="149"/>
      <c r="S2422" s="149"/>
      <c r="T2422" s="149"/>
      <c r="U2422" s="149"/>
      <c r="V2422" s="149"/>
      <c r="W2422" s="149"/>
      <c r="X2422" s="149"/>
      <c r="Y2422" s="149"/>
      <c r="Z2422" s="149"/>
      <c r="AA2422" s="149"/>
      <c r="AB2422" s="149"/>
      <c r="AC2422" s="149"/>
      <c r="AD2422" s="149"/>
      <c r="AE2422" s="149"/>
      <c r="AF2422" s="149"/>
      <c r="AG2422" s="149"/>
      <c r="AH2422" s="149"/>
      <c r="AI2422" s="149"/>
      <c r="AJ2422" s="149"/>
      <c r="AK2422" s="149"/>
      <c r="AL2422" s="149"/>
      <c r="AM2422" s="149"/>
      <c r="AN2422" s="149"/>
      <c r="AO2422" s="128"/>
      <c r="AP2422" s="128"/>
      <c r="AQ2422" s="128"/>
      <c r="AR2422" s="128"/>
      <c r="AS2422" s="128"/>
      <c r="AT2422" s="128"/>
      <c r="AU2422" s="128"/>
      <c r="AV2422" s="128"/>
      <c r="AW2422" s="128"/>
      <c r="AX2422" s="128"/>
      <c r="AY2422" s="128"/>
      <c r="AZ2422" s="128"/>
      <c r="BA2422" s="128"/>
      <c r="BB2422" s="128"/>
      <c r="BC2422" s="128"/>
      <c r="BD2422" s="128"/>
      <c r="BE2422" s="128"/>
      <c r="BF2422" s="128"/>
      <c r="BG2422" s="128"/>
      <c r="BH2422" s="128"/>
      <c r="BI2422" s="128"/>
      <c r="BJ2422" s="128"/>
      <c r="BK2422" s="128"/>
      <c r="BL2422" s="128"/>
      <c r="BM2422" s="151"/>
      <c r="BN2422" s="128"/>
      <c r="BO2422" s="128"/>
      <c r="BP2422" s="128"/>
      <c r="BQ2422" s="128"/>
      <c r="BR2422" s="128"/>
      <c r="BS2422" s="128"/>
      <c r="BT2422" s="128"/>
      <c r="BU2422" s="128"/>
      <c r="BV2422" s="128"/>
      <c r="BW2422" s="128"/>
      <c r="BX2422" s="128"/>
      <c r="BY2422" s="128"/>
      <c r="BZ2422" s="128"/>
      <c r="CA2422" s="128"/>
      <c r="CB2422" s="128"/>
      <c r="CC2422" s="128"/>
      <c r="CD2422" s="128"/>
      <c r="CE2422" s="128"/>
      <c r="CF2422" s="128"/>
      <c r="CG2422" s="128"/>
      <c r="CI2422" s="128"/>
      <c r="CJ2422" s="128"/>
      <c r="CK2422" s="128"/>
      <c r="CL2422" s="128"/>
      <c r="CM2422" s="128"/>
      <c r="CN2422" s="128"/>
      <c r="CO2422" s="128"/>
      <c r="CP2422" s="128"/>
      <c r="CQ2422" s="128"/>
      <c r="CR2422" s="128"/>
      <c r="CS2422" s="128"/>
      <c r="CT2422" s="128"/>
      <c r="CU2422" s="128"/>
      <c r="CV2422" s="128"/>
      <c r="CW2422" s="128"/>
      <c r="CX2422" s="128"/>
      <c r="CY2422" s="128"/>
      <c r="CZ2422" s="165"/>
    </row>
    <row r="2423" spans="1:104">
      <c r="A2423" s="149"/>
      <c r="B2423" s="149"/>
      <c r="C2423" s="150"/>
      <c r="D2423" s="102"/>
      <c r="E2423" s="149"/>
      <c r="F2423" s="149"/>
      <c r="G2423" s="149"/>
      <c r="H2423" s="149"/>
      <c r="I2423" s="149"/>
      <c r="J2423" s="149"/>
      <c r="K2423" s="149"/>
      <c r="L2423" s="149"/>
      <c r="M2423" s="149"/>
      <c r="N2423" s="149"/>
      <c r="O2423" s="149"/>
      <c r="P2423" s="149"/>
      <c r="Q2423" s="149"/>
      <c r="R2423" s="149"/>
      <c r="S2423" s="149"/>
      <c r="T2423" s="149"/>
      <c r="U2423" s="149"/>
      <c r="V2423" s="149"/>
      <c r="W2423" s="149"/>
      <c r="X2423" s="149"/>
      <c r="Y2423" s="149"/>
      <c r="Z2423" s="149"/>
      <c r="AA2423" s="149"/>
      <c r="AB2423" s="149"/>
      <c r="AC2423" s="149"/>
      <c r="AD2423" s="149"/>
      <c r="AE2423" s="149"/>
      <c r="AF2423" s="149"/>
      <c r="AG2423" s="149"/>
      <c r="AH2423" s="149"/>
      <c r="AI2423" s="149"/>
      <c r="AJ2423" s="149"/>
      <c r="AK2423" s="149"/>
      <c r="AL2423" s="149"/>
      <c r="AM2423" s="149"/>
      <c r="AN2423" s="149"/>
      <c r="AO2423" s="128"/>
      <c r="AP2423" s="128"/>
      <c r="AQ2423" s="128"/>
      <c r="AR2423" s="128"/>
      <c r="AS2423" s="128"/>
      <c r="AT2423" s="128"/>
      <c r="AU2423" s="128"/>
      <c r="AV2423" s="128"/>
      <c r="AW2423" s="128"/>
      <c r="AX2423" s="128"/>
      <c r="AY2423" s="128"/>
      <c r="AZ2423" s="128"/>
      <c r="BA2423" s="128"/>
      <c r="BB2423" s="128"/>
      <c r="BC2423" s="128"/>
      <c r="BD2423" s="128"/>
      <c r="BE2423" s="128"/>
      <c r="BF2423" s="128"/>
      <c r="BG2423" s="128"/>
      <c r="BH2423" s="128"/>
      <c r="BI2423" s="128"/>
      <c r="BJ2423" s="128"/>
      <c r="BK2423" s="128"/>
      <c r="BL2423" s="128"/>
      <c r="BM2423" s="151"/>
      <c r="BN2423" s="128"/>
      <c r="BO2423" s="128"/>
      <c r="BP2423" s="128"/>
      <c r="BQ2423" s="128"/>
      <c r="BR2423" s="128"/>
      <c r="BS2423" s="128"/>
      <c r="BT2423" s="128"/>
      <c r="BU2423" s="128"/>
      <c r="BV2423" s="128"/>
      <c r="BW2423" s="128"/>
      <c r="BX2423" s="128"/>
      <c r="BY2423" s="128"/>
      <c r="BZ2423" s="128"/>
      <c r="CA2423" s="128"/>
      <c r="CB2423" s="128"/>
      <c r="CC2423" s="128"/>
      <c r="CD2423" s="128"/>
      <c r="CE2423" s="128"/>
      <c r="CF2423" s="128"/>
      <c r="CG2423" s="128"/>
      <c r="CI2423" s="128"/>
      <c r="CJ2423" s="128"/>
      <c r="CK2423" s="128"/>
      <c r="CL2423" s="128"/>
      <c r="CM2423" s="128"/>
      <c r="CN2423" s="128"/>
      <c r="CO2423" s="128"/>
      <c r="CP2423" s="128"/>
      <c r="CQ2423" s="128"/>
      <c r="CR2423" s="128"/>
      <c r="CS2423" s="128"/>
      <c r="CT2423" s="128"/>
      <c r="CU2423" s="128"/>
      <c r="CV2423" s="128"/>
      <c r="CW2423" s="128"/>
      <c r="CX2423" s="128"/>
      <c r="CY2423" s="128"/>
      <c r="CZ2423" s="165"/>
    </row>
    <row r="2424" spans="1:104">
      <c r="A2424" s="149"/>
      <c r="B2424" s="149"/>
      <c r="C2424" s="150"/>
      <c r="D2424" s="102"/>
      <c r="E2424" s="149"/>
      <c r="F2424" s="149"/>
      <c r="G2424" s="149"/>
      <c r="H2424" s="149"/>
      <c r="I2424" s="149"/>
      <c r="J2424" s="149"/>
      <c r="K2424" s="149"/>
      <c r="L2424" s="149"/>
      <c r="M2424" s="149"/>
      <c r="N2424" s="149"/>
      <c r="O2424" s="149"/>
      <c r="P2424" s="149"/>
      <c r="Q2424" s="149"/>
      <c r="R2424" s="149"/>
      <c r="S2424" s="149"/>
      <c r="T2424" s="149"/>
      <c r="U2424" s="149"/>
      <c r="V2424" s="149"/>
      <c r="W2424" s="149"/>
      <c r="X2424" s="149"/>
      <c r="Y2424" s="149"/>
      <c r="Z2424" s="149"/>
      <c r="AA2424" s="149"/>
      <c r="AB2424" s="149"/>
      <c r="AC2424" s="149"/>
      <c r="AD2424" s="149"/>
      <c r="AE2424" s="149"/>
      <c r="AF2424" s="149"/>
      <c r="AG2424" s="149"/>
      <c r="AH2424" s="149"/>
      <c r="AI2424" s="149"/>
      <c r="AJ2424" s="149"/>
      <c r="AK2424" s="149"/>
      <c r="AL2424" s="149"/>
      <c r="AM2424" s="149"/>
      <c r="AN2424" s="149"/>
      <c r="AO2424" s="128"/>
      <c r="AP2424" s="128"/>
      <c r="AQ2424" s="128"/>
      <c r="AR2424" s="128"/>
      <c r="AS2424" s="128"/>
      <c r="AT2424" s="128"/>
      <c r="AU2424" s="128"/>
      <c r="AV2424" s="128"/>
      <c r="AW2424" s="128"/>
      <c r="AX2424" s="128"/>
      <c r="AY2424" s="128"/>
      <c r="AZ2424" s="128"/>
      <c r="BA2424" s="128"/>
      <c r="BB2424" s="128"/>
      <c r="BC2424" s="128"/>
      <c r="BD2424" s="128"/>
      <c r="BE2424" s="128"/>
      <c r="BF2424" s="128"/>
      <c r="BG2424" s="128"/>
      <c r="BH2424" s="128"/>
      <c r="BI2424" s="128"/>
      <c r="BJ2424" s="128"/>
      <c r="BK2424" s="128"/>
      <c r="BL2424" s="128"/>
      <c r="BM2424" s="151"/>
      <c r="BN2424" s="128"/>
      <c r="BO2424" s="128"/>
      <c r="BP2424" s="128"/>
      <c r="BQ2424" s="128"/>
      <c r="BR2424" s="128"/>
      <c r="BS2424" s="128"/>
      <c r="BT2424" s="128"/>
      <c r="BU2424" s="128"/>
      <c r="BV2424" s="128"/>
      <c r="BW2424" s="128"/>
      <c r="BX2424" s="128"/>
      <c r="BY2424" s="128"/>
      <c r="BZ2424" s="128"/>
      <c r="CA2424" s="128"/>
      <c r="CB2424" s="128"/>
      <c r="CC2424" s="128"/>
      <c r="CD2424" s="128"/>
      <c r="CE2424" s="128"/>
      <c r="CF2424" s="128"/>
      <c r="CG2424" s="128"/>
      <c r="CI2424" s="128"/>
      <c r="CJ2424" s="128"/>
      <c r="CK2424" s="128"/>
      <c r="CL2424" s="128"/>
      <c r="CM2424" s="128"/>
      <c r="CN2424" s="128"/>
      <c r="CO2424" s="128"/>
      <c r="CP2424" s="128"/>
      <c r="CQ2424" s="128"/>
      <c r="CR2424" s="128"/>
      <c r="CS2424" s="128"/>
      <c r="CT2424" s="128"/>
      <c r="CU2424" s="128"/>
      <c r="CV2424" s="128"/>
      <c r="CW2424" s="128"/>
      <c r="CX2424" s="128"/>
      <c r="CY2424" s="128"/>
      <c r="CZ2424" s="165"/>
    </row>
    <row r="2425" spans="1:104">
      <c r="A2425" s="149"/>
      <c r="B2425" s="149"/>
      <c r="C2425" s="150"/>
      <c r="D2425" s="102"/>
      <c r="E2425" s="149"/>
      <c r="F2425" s="149"/>
      <c r="G2425" s="149"/>
      <c r="H2425" s="149"/>
      <c r="I2425" s="149"/>
      <c r="J2425" s="149"/>
      <c r="K2425" s="149"/>
      <c r="L2425" s="149"/>
      <c r="M2425" s="149"/>
      <c r="N2425" s="149"/>
      <c r="O2425" s="149"/>
      <c r="P2425" s="149"/>
      <c r="Q2425" s="149"/>
      <c r="R2425" s="149"/>
      <c r="S2425" s="149"/>
      <c r="T2425" s="149"/>
      <c r="U2425" s="149"/>
      <c r="V2425" s="149"/>
      <c r="W2425" s="149"/>
      <c r="X2425" s="149"/>
      <c r="Y2425" s="149"/>
      <c r="Z2425" s="149"/>
      <c r="AA2425" s="149"/>
      <c r="AB2425" s="149"/>
      <c r="AC2425" s="149"/>
      <c r="AD2425" s="149"/>
      <c r="AE2425" s="149"/>
      <c r="AF2425" s="149"/>
      <c r="AG2425" s="149"/>
      <c r="AH2425" s="149"/>
      <c r="AI2425" s="149"/>
      <c r="AJ2425" s="149"/>
      <c r="AK2425" s="149"/>
      <c r="AL2425" s="149"/>
      <c r="AM2425" s="149"/>
      <c r="AN2425" s="149"/>
      <c r="AO2425" s="128"/>
      <c r="AP2425" s="128"/>
      <c r="AQ2425" s="128"/>
      <c r="AR2425" s="128"/>
      <c r="AS2425" s="128"/>
      <c r="AT2425" s="128"/>
      <c r="AU2425" s="128"/>
      <c r="AV2425" s="128"/>
      <c r="AW2425" s="128"/>
      <c r="AX2425" s="128"/>
      <c r="AY2425" s="128"/>
      <c r="AZ2425" s="128"/>
      <c r="BA2425" s="128"/>
      <c r="BB2425" s="128"/>
      <c r="BC2425" s="128"/>
      <c r="BD2425" s="128"/>
      <c r="BE2425" s="128"/>
      <c r="BF2425" s="128"/>
      <c r="BG2425" s="128"/>
      <c r="BH2425" s="128"/>
      <c r="BI2425" s="128"/>
      <c r="BJ2425" s="128"/>
      <c r="BK2425" s="128"/>
      <c r="BL2425" s="128"/>
      <c r="BM2425" s="151"/>
      <c r="BN2425" s="128"/>
      <c r="BO2425" s="128"/>
      <c r="BP2425" s="128"/>
      <c r="BQ2425" s="128"/>
      <c r="BR2425" s="128"/>
      <c r="BS2425" s="128"/>
      <c r="BT2425" s="128"/>
      <c r="BU2425" s="128"/>
      <c r="BV2425" s="128"/>
      <c r="BW2425" s="128"/>
      <c r="BX2425" s="128"/>
      <c r="BY2425" s="128"/>
      <c r="BZ2425" s="128"/>
      <c r="CA2425" s="128"/>
      <c r="CB2425" s="128"/>
      <c r="CC2425" s="128"/>
      <c r="CD2425" s="128"/>
      <c r="CE2425" s="128"/>
      <c r="CF2425" s="128"/>
      <c r="CG2425" s="128"/>
      <c r="CI2425" s="128"/>
      <c r="CJ2425" s="128"/>
      <c r="CK2425" s="128"/>
      <c r="CL2425" s="128"/>
      <c r="CM2425" s="128"/>
      <c r="CN2425" s="128"/>
      <c r="CO2425" s="128"/>
      <c r="CP2425" s="128"/>
      <c r="CQ2425" s="128"/>
      <c r="CR2425" s="128"/>
      <c r="CS2425" s="128"/>
      <c r="CT2425" s="128"/>
      <c r="CU2425" s="128"/>
      <c r="CV2425" s="128"/>
      <c r="CW2425" s="128"/>
      <c r="CX2425" s="128"/>
      <c r="CY2425" s="128"/>
      <c r="CZ2425" s="165"/>
    </row>
    <row r="2426" spans="1:104">
      <c r="A2426" s="149"/>
      <c r="B2426" s="149"/>
      <c r="C2426" s="150"/>
      <c r="D2426" s="102"/>
      <c r="E2426" s="149"/>
      <c r="F2426" s="149"/>
      <c r="G2426" s="149"/>
      <c r="H2426" s="149"/>
      <c r="I2426" s="149"/>
      <c r="J2426" s="149"/>
      <c r="K2426" s="149"/>
      <c r="L2426" s="149"/>
      <c r="M2426" s="149"/>
      <c r="N2426" s="149"/>
      <c r="O2426" s="149"/>
      <c r="P2426" s="149"/>
      <c r="Q2426" s="149"/>
      <c r="R2426" s="149"/>
      <c r="S2426" s="149"/>
      <c r="T2426" s="149"/>
      <c r="U2426" s="149"/>
      <c r="V2426" s="149"/>
      <c r="W2426" s="149"/>
      <c r="X2426" s="149"/>
      <c r="Y2426" s="149"/>
      <c r="Z2426" s="149"/>
      <c r="AA2426" s="149"/>
      <c r="AB2426" s="149"/>
      <c r="AC2426" s="149"/>
      <c r="AD2426" s="149"/>
      <c r="AE2426" s="149"/>
      <c r="AF2426" s="149"/>
      <c r="AG2426" s="149"/>
      <c r="AH2426" s="149"/>
      <c r="AI2426" s="149"/>
      <c r="AJ2426" s="149"/>
      <c r="AK2426" s="149"/>
      <c r="AL2426" s="149"/>
      <c r="AM2426" s="149"/>
      <c r="AN2426" s="149"/>
      <c r="AO2426" s="128"/>
      <c r="AP2426" s="128"/>
      <c r="AQ2426" s="128"/>
      <c r="AR2426" s="128"/>
      <c r="AS2426" s="128"/>
      <c r="AT2426" s="128"/>
      <c r="AU2426" s="128"/>
      <c r="AV2426" s="128"/>
      <c r="AW2426" s="128"/>
      <c r="AX2426" s="128"/>
      <c r="AY2426" s="128"/>
      <c r="AZ2426" s="128"/>
      <c r="BA2426" s="128"/>
      <c r="BB2426" s="128"/>
      <c r="BC2426" s="128"/>
      <c r="BD2426" s="128"/>
      <c r="BE2426" s="128"/>
      <c r="BF2426" s="128"/>
      <c r="BG2426" s="128"/>
      <c r="BH2426" s="128"/>
      <c r="BI2426" s="128"/>
      <c r="BJ2426" s="128"/>
      <c r="BK2426" s="128"/>
      <c r="BL2426" s="128"/>
      <c r="BM2426" s="151"/>
      <c r="BN2426" s="128"/>
      <c r="BO2426" s="128"/>
      <c r="BP2426" s="128"/>
      <c r="BQ2426" s="128"/>
      <c r="BR2426" s="128"/>
      <c r="BS2426" s="128"/>
      <c r="BT2426" s="128"/>
      <c r="BU2426" s="128"/>
      <c r="BV2426" s="128"/>
      <c r="BW2426" s="128"/>
      <c r="BX2426" s="128"/>
      <c r="BY2426" s="128"/>
      <c r="BZ2426" s="128"/>
      <c r="CA2426" s="128"/>
      <c r="CB2426" s="128"/>
      <c r="CC2426" s="128"/>
      <c r="CD2426" s="128"/>
      <c r="CE2426" s="128"/>
      <c r="CF2426" s="128"/>
      <c r="CG2426" s="128"/>
      <c r="CI2426" s="128"/>
      <c r="CJ2426" s="128"/>
      <c r="CK2426" s="128"/>
      <c r="CL2426" s="128"/>
      <c r="CM2426" s="128"/>
      <c r="CN2426" s="128"/>
      <c r="CO2426" s="128"/>
      <c r="CP2426" s="128"/>
      <c r="CQ2426" s="128"/>
      <c r="CR2426" s="128"/>
      <c r="CS2426" s="128"/>
      <c r="CT2426" s="128"/>
      <c r="CU2426" s="128"/>
      <c r="CV2426" s="128"/>
      <c r="CW2426" s="128"/>
      <c r="CX2426" s="128"/>
      <c r="CY2426" s="128"/>
      <c r="CZ2426" s="165"/>
    </row>
    <row r="2427" spans="1:104">
      <c r="A2427" s="149"/>
      <c r="B2427" s="149"/>
      <c r="C2427" s="150"/>
      <c r="D2427" s="102"/>
      <c r="E2427" s="149"/>
      <c r="F2427" s="149"/>
      <c r="G2427" s="149"/>
      <c r="H2427" s="149"/>
      <c r="I2427" s="149"/>
      <c r="J2427" s="149"/>
      <c r="K2427" s="149"/>
      <c r="L2427" s="149"/>
      <c r="M2427" s="149"/>
      <c r="N2427" s="149"/>
      <c r="O2427" s="149"/>
      <c r="P2427" s="149"/>
      <c r="Q2427" s="149"/>
      <c r="R2427" s="149"/>
      <c r="S2427" s="149"/>
      <c r="T2427" s="149"/>
      <c r="U2427" s="149"/>
      <c r="V2427" s="149"/>
      <c r="W2427" s="149"/>
      <c r="X2427" s="149"/>
      <c r="Y2427" s="149"/>
      <c r="Z2427" s="149"/>
      <c r="AA2427" s="149"/>
      <c r="AB2427" s="149"/>
      <c r="AC2427" s="149"/>
      <c r="AD2427" s="149"/>
      <c r="AE2427" s="149"/>
      <c r="AF2427" s="149"/>
      <c r="AG2427" s="149"/>
      <c r="AH2427" s="149"/>
      <c r="AI2427" s="149"/>
      <c r="AJ2427" s="149"/>
      <c r="AK2427" s="149"/>
      <c r="AL2427" s="149"/>
      <c r="AM2427" s="149"/>
      <c r="AN2427" s="149"/>
      <c r="AO2427" s="128"/>
      <c r="AP2427" s="128"/>
      <c r="AQ2427" s="128"/>
      <c r="AR2427" s="128"/>
      <c r="AS2427" s="128"/>
      <c r="AT2427" s="128"/>
      <c r="AU2427" s="128"/>
      <c r="AV2427" s="128"/>
      <c r="AW2427" s="128"/>
      <c r="AX2427" s="128"/>
      <c r="AY2427" s="128"/>
      <c r="AZ2427" s="128"/>
      <c r="BA2427" s="128"/>
      <c r="BB2427" s="128"/>
      <c r="BC2427" s="128"/>
      <c r="BD2427" s="128"/>
      <c r="BE2427" s="128"/>
      <c r="BF2427" s="128"/>
      <c r="BG2427" s="128"/>
      <c r="BH2427" s="128"/>
      <c r="BI2427" s="128"/>
      <c r="BJ2427" s="128"/>
      <c r="BK2427" s="128"/>
      <c r="BL2427" s="128"/>
      <c r="BM2427" s="151"/>
      <c r="BN2427" s="128"/>
      <c r="BO2427" s="128"/>
      <c r="BP2427" s="128"/>
      <c r="BQ2427" s="128"/>
      <c r="BR2427" s="128"/>
      <c r="BS2427" s="128"/>
      <c r="BT2427" s="128"/>
      <c r="BU2427" s="128"/>
      <c r="BV2427" s="128"/>
      <c r="BW2427" s="128"/>
      <c r="BX2427" s="128"/>
      <c r="BY2427" s="128"/>
      <c r="BZ2427" s="128"/>
      <c r="CA2427" s="128"/>
      <c r="CB2427" s="128"/>
      <c r="CC2427" s="128"/>
      <c r="CD2427" s="128"/>
      <c r="CE2427" s="128"/>
      <c r="CF2427" s="128"/>
      <c r="CG2427" s="128"/>
      <c r="CI2427" s="128"/>
      <c r="CJ2427" s="128"/>
      <c r="CK2427" s="128"/>
      <c r="CL2427" s="128"/>
      <c r="CM2427" s="128"/>
      <c r="CN2427" s="128"/>
      <c r="CO2427" s="128"/>
      <c r="CP2427" s="128"/>
      <c r="CQ2427" s="128"/>
      <c r="CR2427" s="128"/>
      <c r="CS2427" s="128"/>
      <c r="CT2427" s="128"/>
      <c r="CU2427" s="128"/>
      <c r="CV2427" s="128"/>
      <c r="CW2427" s="128"/>
      <c r="CX2427" s="128"/>
      <c r="CY2427" s="128"/>
      <c r="CZ2427" s="165"/>
    </row>
    <row r="2428" spans="1:104">
      <c r="A2428" s="149"/>
      <c r="B2428" s="149"/>
      <c r="C2428" s="150"/>
      <c r="D2428" s="102"/>
      <c r="E2428" s="149"/>
      <c r="F2428" s="149"/>
      <c r="G2428" s="149"/>
      <c r="H2428" s="149"/>
      <c r="I2428" s="149"/>
      <c r="J2428" s="149"/>
      <c r="K2428" s="149"/>
      <c r="L2428" s="149"/>
      <c r="M2428" s="149"/>
      <c r="N2428" s="149"/>
      <c r="O2428" s="149"/>
      <c r="P2428" s="149"/>
      <c r="Q2428" s="149"/>
      <c r="R2428" s="149"/>
      <c r="S2428" s="149"/>
      <c r="T2428" s="149"/>
      <c r="U2428" s="149"/>
      <c r="V2428" s="149"/>
      <c r="W2428" s="149"/>
      <c r="X2428" s="149"/>
      <c r="Y2428" s="149"/>
      <c r="Z2428" s="149"/>
      <c r="AA2428" s="149"/>
      <c r="AB2428" s="149"/>
      <c r="AC2428" s="149"/>
      <c r="AD2428" s="149"/>
      <c r="AE2428" s="149"/>
      <c r="AF2428" s="149"/>
      <c r="AG2428" s="149"/>
      <c r="AH2428" s="149"/>
      <c r="AI2428" s="149"/>
      <c r="AJ2428" s="149"/>
      <c r="AK2428" s="149"/>
      <c r="AL2428" s="149"/>
      <c r="AM2428" s="149"/>
      <c r="AN2428" s="149"/>
      <c r="AO2428" s="128"/>
      <c r="AP2428" s="128"/>
      <c r="AQ2428" s="128"/>
      <c r="AR2428" s="128"/>
      <c r="AS2428" s="128"/>
      <c r="AT2428" s="128"/>
      <c r="AU2428" s="128"/>
      <c r="AV2428" s="128"/>
      <c r="AW2428" s="128"/>
      <c r="AX2428" s="128"/>
      <c r="AY2428" s="128"/>
      <c r="AZ2428" s="128"/>
      <c r="BA2428" s="128"/>
      <c r="BB2428" s="128"/>
      <c r="BC2428" s="128"/>
      <c r="BD2428" s="128"/>
      <c r="BE2428" s="128"/>
      <c r="BF2428" s="128"/>
      <c r="BG2428" s="128"/>
      <c r="BH2428" s="128"/>
      <c r="BI2428" s="128"/>
      <c r="BJ2428" s="128"/>
      <c r="BK2428" s="128"/>
      <c r="BL2428" s="128"/>
      <c r="BM2428" s="151"/>
      <c r="BN2428" s="128"/>
      <c r="BO2428" s="128"/>
      <c r="BP2428" s="128"/>
      <c r="BQ2428" s="128"/>
      <c r="BR2428" s="128"/>
      <c r="BS2428" s="128"/>
      <c r="BT2428" s="128"/>
      <c r="BU2428" s="128"/>
      <c r="BV2428" s="128"/>
      <c r="BW2428" s="128"/>
      <c r="BX2428" s="128"/>
      <c r="BY2428" s="128"/>
      <c r="BZ2428" s="128"/>
      <c r="CA2428" s="128"/>
      <c r="CB2428" s="128"/>
      <c r="CC2428" s="128"/>
      <c r="CD2428" s="128"/>
      <c r="CE2428" s="128"/>
      <c r="CF2428" s="128"/>
      <c r="CG2428" s="128"/>
      <c r="CI2428" s="128"/>
      <c r="CJ2428" s="128"/>
      <c r="CK2428" s="128"/>
      <c r="CL2428" s="128"/>
      <c r="CM2428" s="128"/>
      <c r="CN2428" s="128"/>
      <c r="CO2428" s="128"/>
      <c r="CP2428" s="128"/>
      <c r="CQ2428" s="128"/>
      <c r="CR2428" s="128"/>
      <c r="CS2428" s="128"/>
      <c r="CT2428" s="128"/>
      <c r="CU2428" s="128"/>
      <c r="CV2428" s="128"/>
      <c r="CW2428" s="128"/>
      <c r="CX2428" s="128"/>
      <c r="CY2428" s="128"/>
      <c r="CZ2428" s="165"/>
    </row>
    <row r="2429" spans="1:104">
      <c r="A2429" s="149"/>
      <c r="B2429" s="149"/>
      <c r="C2429" s="150"/>
      <c r="D2429" s="102"/>
      <c r="E2429" s="149"/>
      <c r="F2429" s="149"/>
      <c r="G2429" s="149"/>
      <c r="H2429" s="149"/>
      <c r="I2429" s="149"/>
      <c r="J2429" s="149"/>
      <c r="K2429" s="149"/>
      <c r="L2429" s="149"/>
      <c r="M2429" s="149"/>
      <c r="N2429" s="149"/>
      <c r="O2429" s="149"/>
      <c r="P2429" s="149"/>
      <c r="Q2429" s="149"/>
      <c r="R2429" s="149"/>
      <c r="S2429" s="149"/>
      <c r="T2429" s="149"/>
      <c r="U2429" s="149"/>
      <c r="V2429" s="149"/>
      <c r="W2429" s="149"/>
      <c r="X2429" s="149"/>
      <c r="Y2429" s="149"/>
      <c r="Z2429" s="149"/>
      <c r="AA2429" s="149"/>
      <c r="AB2429" s="149"/>
      <c r="AC2429" s="149"/>
      <c r="AD2429" s="149"/>
      <c r="AE2429" s="149"/>
      <c r="AF2429" s="149"/>
      <c r="AG2429" s="149"/>
      <c r="AH2429" s="149"/>
      <c r="AI2429" s="149"/>
      <c r="AJ2429" s="149"/>
      <c r="AK2429" s="149"/>
      <c r="AL2429" s="149"/>
      <c r="AM2429" s="149"/>
      <c r="AN2429" s="149"/>
      <c r="AO2429" s="128"/>
      <c r="AP2429" s="128"/>
      <c r="AQ2429" s="128"/>
      <c r="AR2429" s="128"/>
      <c r="AS2429" s="128"/>
      <c r="AT2429" s="128"/>
      <c r="AU2429" s="128"/>
      <c r="AV2429" s="128"/>
      <c r="AW2429" s="128"/>
      <c r="AX2429" s="128"/>
      <c r="AY2429" s="128"/>
      <c r="AZ2429" s="128"/>
      <c r="BA2429" s="128"/>
      <c r="BB2429" s="128"/>
      <c r="BC2429" s="128"/>
      <c r="BD2429" s="128"/>
      <c r="BE2429" s="128"/>
      <c r="BF2429" s="128"/>
      <c r="BG2429" s="128"/>
      <c r="BH2429" s="128"/>
      <c r="BI2429" s="128"/>
      <c r="BJ2429" s="128"/>
      <c r="BK2429" s="128"/>
      <c r="BL2429" s="128"/>
      <c r="BM2429" s="151"/>
      <c r="BN2429" s="128"/>
      <c r="BO2429" s="128"/>
      <c r="BP2429" s="128"/>
      <c r="BQ2429" s="128"/>
      <c r="BR2429" s="128"/>
      <c r="BS2429" s="128"/>
      <c r="BT2429" s="128"/>
      <c r="BU2429" s="128"/>
      <c r="BV2429" s="128"/>
      <c r="BW2429" s="128"/>
      <c r="BX2429" s="128"/>
      <c r="BY2429" s="128"/>
      <c r="BZ2429" s="128"/>
      <c r="CA2429" s="128"/>
      <c r="CB2429" s="128"/>
      <c r="CC2429" s="128"/>
      <c r="CD2429" s="128"/>
      <c r="CE2429" s="128"/>
      <c r="CF2429" s="128"/>
      <c r="CG2429" s="128"/>
      <c r="CI2429" s="128"/>
      <c r="CJ2429" s="128"/>
      <c r="CK2429" s="128"/>
      <c r="CL2429" s="128"/>
      <c r="CM2429" s="128"/>
      <c r="CN2429" s="128"/>
      <c r="CO2429" s="128"/>
      <c r="CP2429" s="128"/>
      <c r="CQ2429" s="128"/>
      <c r="CR2429" s="128"/>
      <c r="CS2429" s="128"/>
      <c r="CT2429" s="128"/>
      <c r="CU2429" s="128"/>
      <c r="CV2429" s="128"/>
      <c r="CW2429" s="128"/>
      <c r="CX2429" s="128"/>
      <c r="CY2429" s="128"/>
      <c r="CZ2429" s="165"/>
    </row>
    <row r="2430" spans="1:104">
      <c r="A2430" s="149"/>
      <c r="B2430" s="149"/>
      <c r="C2430" s="150"/>
      <c r="D2430" s="102"/>
      <c r="E2430" s="149"/>
      <c r="F2430" s="149"/>
      <c r="G2430" s="149"/>
      <c r="H2430" s="149"/>
      <c r="I2430" s="149"/>
      <c r="J2430" s="149"/>
      <c r="K2430" s="149"/>
      <c r="L2430" s="149"/>
      <c r="M2430" s="149"/>
      <c r="N2430" s="149"/>
      <c r="O2430" s="149"/>
      <c r="P2430" s="149"/>
      <c r="Q2430" s="149"/>
      <c r="R2430" s="149"/>
      <c r="S2430" s="149"/>
      <c r="T2430" s="149"/>
      <c r="U2430" s="149"/>
      <c r="V2430" s="149"/>
      <c r="W2430" s="149"/>
      <c r="X2430" s="149"/>
      <c r="Y2430" s="149"/>
      <c r="Z2430" s="149"/>
      <c r="AA2430" s="149"/>
      <c r="AB2430" s="149"/>
      <c r="AC2430" s="149"/>
      <c r="AD2430" s="149"/>
      <c r="AE2430" s="149"/>
      <c r="AF2430" s="149"/>
      <c r="AG2430" s="149"/>
      <c r="AH2430" s="149"/>
      <c r="AI2430" s="149"/>
      <c r="AJ2430" s="149"/>
      <c r="AK2430" s="149"/>
      <c r="AL2430" s="149"/>
      <c r="AM2430" s="149"/>
      <c r="AN2430" s="149"/>
      <c r="AO2430" s="128"/>
      <c r="AP2430" s="128"/>
      <c r="AQ2430" s="128"/>
      <c r="AR2430" s="128"/>
      <c r="AS2430" s="128"/>
      <c r="AT2430" s="128"/>
      <c r="AU2430" s="128"/>
      <c r="AV2430" s="128"/>
      <c r="AW2430" s="128"/>
      <c r="AX2430" s="128"/>
      <c r="AY2430" s="128"/>
      <c r="AZ2430" s="128"/>
      <c r="BA2430" s="128"/>
      <c r="BB2430" s="128"/>
      <c r="BC2430" s="128"/>
      <c r="BD2430" s="128"/>
      <c r="BE2430" s="128"/>
      <c r="BF2430" s="128"/>
      <c r="BG2430" s="128"/>
      <c r="BH2430" s="128"/>
      <c r="BI2430" s="128"/>
      <c r="BJ2430" s="128"/>
      <c r="BK2430" s="128"/>
      <c r="BL2430" s="128"/>
      <c r="BM2430" s="151"/>
      <c r="BN2430" s="128"/>
      <c r="BO2430" s="128"/>
      <c r="BP2430" s="128"/>
      <c r="BQ2430" s="128"/>
      <c r="BR2430" s="128"/>
      <c r="BS2430" s="128"/>
      <c r="BT2430" s="128"/>
      <c r="BU2430" s="128"/>
      <c r="BV2430" s="128"/>
      <c r="BW2430" s="128"/>
      <c r="BX2430" s="128"/>
      <c r="BY2430" s="128"/>
      <c r="BZ2430" s="128"/>
      <c r="CA2430" s="128"/>
      <c r="CB2430" s="128"/>
      <c r="CC2430" s="128"/>
      <c r="CD2430" s="128"/>
      <c r="CE2430" s="128"/>
      <c r="CF2430" s="128"/>
      <c r="CG2430" s="128"/>
      <c r="CI2430" s="128"/>
      <c r="CJ2430" s="128"/>
      <c r="CK2430" s="128"/>
      <c r="CL2430" s="128"/>
      <c r="CM2430" s="128"/>
      <c r="CN2430" s="128"/>
      <c r="CO2430" s="128"/>
      <c r="CP2430" s="128"/>
      <c r="CQ2430" s="128"/>
      <c r="CR2430" s="128"/>
      <c r="CS2430" s="128"/>
      <c r="CT2430" s="128"/>
      <c r="CU2430" s="128"/>
      <c r="CV2430" s="128"/>
      <c r="CW2430" s="128"/>
      <c r="CX2430" s="128"/>
      <c r="CY2430" s="128"/>
      <c r="CZ2430" s="165"/>
    </row>
    <row r="2431" spans="1:104">
      <c r="A2431" s="149"/>
      <c r="B2431" s="149"/>
      <c r="C2431" s="150"/>
      <c r="D2431" s="102"/>
      <c r="E2431" s="149"/>
      <c r="F2431" s="149"/>
      <c r="G2431" s="149"/>
      <c r="H2431" s="149"/>
      <c r="I2431" s="149"/>
      <c r="J2431" s="149"/>
      <c r="K2431" s="149"/>
      <c r="L2431" s="149"/>
      <c r="M2431" s="149"/>
      <c r="N2431" s="149"/>
      <c r="O2431" s="149"/>
      <c r="P2431" s="149"/>
      <c r="Q2431" s="149"/>
      <c r="R2431" s="149"/>
      <c r="S2431" s="149"/>
      <c r="T2431" s="149"/>
      <c r="U2431" s="149"/>
      <c r="V2431" s="149"/>
      <c r="W2431" s="149"/>
      <c r="X2431" s="149"/>
      <c r="Y2431" s="149"/>
      <c r="Z2431" s="149"/>
      <c r="AA2431" s="149"/>
      <c r="AB2431" s="149"/>
      <c r="AC2431" s="149"/>
      <c r="AD2431" s="149"/>
      <c r="AE2431" s="149"/>
      <c r="AF2431" s="149"/>
      <c r="AG2431" s="149"/>
      <c r="AH2431" s="149"/>
      <c r="AI2431" s="149"/>
      <c r="AJ2431" s="149"/>
      <c r="AK2431" s="149"/>
      <c r="AL2431" s="149"/>
      <c r="AM2431" s="149"/>
      <c r="AN2431" s="149"/>
      <c r="AO2431" s="128"/>
      <c r="AP2431" s="128"/>
      <c r="AQ2431" s="128"/>
      <c r="AR2431" s="128"/>
      <c r="AS2431" s="128"/>
      <c r="AT2431" s="128"/>
      <c r="AU2431" s="128"/>
      <c r="AV2431" s="128"/>
      <c r="AW2431" s="128"/>
      <c r="AX2431" s="128"/>
      <c r="AY2431" s="128"/>
      <c r="AZ2431" s="128"/>
      <c r="BA2431" s="128"/>
      <c r="BB2431" s="128"/>
      <c r="BC2431" s="128"/>
      <c r="BD2431" s="128"/>
      <c r="BE2431" s="128"/>
      <c r="BF2431" s="128"/>
      <c r="BG2431" s="128"/>
      <c r="BH2431" s="128"/>
      <c r="BI2431" s="128"/>
      <c r="BJ2431" s="128"/>
      <c r="BK2431" s="128"/>
      <c r="BL2431" s="128"/>
      <c r="BM2431" s="151"/>
      <c r="BN2431" s="128"/>
      <c r="BO2431" s="128"/>
      <c r="BP2431" s="128"/>
      <c r="BQ2431" s="128"/>
      <c r="BR2431" s="128"/>
      <c r="BS2431" s="128"/>
      <c r="BT2431" s="128"/>
      <c r="BU2431" s="128"/>
      <c r="BV2431" s="128"/>
      <c r="BW2431" s="128"/>
      <c r="BX2431" s="128"/>
      <c r="BY2431" s="128"/>
      <c r="BZ2431" s="128"/>
      <c r="CA2431" s="128"/>
      <c r="CB2431" s="128"/>
      <c r="CC2431" s="128"/>
      <c r="CD2431" s="128"/>
      <c r="CE2431" s="128"/>
      <c r="CF2431" s="128"/>
      <c r="CG2431" s="128"/>
      <c r="CI2431" s="128"/>
      <c r="CJ2431" s="128"/>
      <c r="CK2431" s="128"/>
      <c r="CL2431" s="128"/>
      <c r="CM2431" s="128"/>
      <c r="CN2431" s="128"/>
      <c r="CO2431" s="128"/>
      <c r="CP2431" s="128"/>
      <c r="CQ2431" s="128"/>
      <c r="CR2431" s="128"/>
      <c r="CS2431" s="128"/>
      <c r="CT2431" s="128"/>
      <c r="CU2431" s="128"/>
      <c r="CV2431" s="128"/>
      <c r="CW2431" s="128"/>
      <c r="CX2431" s="128"/>
      <c r="CY2431" s="128"/>
      <c r="CZ2431" s="165"/>
    </row>
    <row r="2432" spans="1:104">
      <c r="A2432" s="149"/>
      <c r="B2432" s="149"/>
      <c r="C2432" s="150"/>
      <c r="D2432" s="102"/>
      <c r="E2432" s="149"/>
      <c r="F2432" s="149"/>
      <c r="G2432" s="149"/>
      <c r="H2432" s="149"/>
      <c r="I2432" s="149"/>
      <c r="J2432" s="149"/>
      <c r="K2432" s="149"/>
      <c r="L2432" s="149"/>
      <c r="M2432" s="149"/>
      <c r="N2432" s="149"/>
      <c r="O2432" s="149"/>
      <c r="P2432" s="149"/>
      <c r="Q2432" s="149"/>
      <c r="R2432" s="149"/>
      <c r="S2432" s="149"/>
      <c r="T2432" s="149"/>
      <c r="U2432" s="149"/>
      <c r="V2432" s="149"/>
      <c r="W2432" s="149"/>
      <c r="X2432" s="149"/>
      <c r="Y2432" s="149"/>
      <c r="Z2432" s="149"/>
      <c r="AA2432" s="149"/>
      <c r="AB2432" s="149"/>
      <c r="AC2432" s="149"/>
      <c r="AD2432" s="149"/>
      <c r="AE2432" s="149"/>
      <c r="AF2432" s="149"/>
      <c r="AG2432" s="149"/>
      <c r="AH2432" s="149"/>
      <c r="AI2432" s="149"/>
      <c r="AJ2432" s="149"/>
      <c r="AK2432" s="149"/>
      <c r="AL2432" s="149"/>
      <c r="AM2432" s="149"/>
      <c r="AN2432" s="149"/>
      <c r="AO2432" s="128"/>
      <c r="AP2432" s="128"/>
      <c r="AQ2432" s="128"/>
      <c r="AR2432" s="128"/>
      <c r="AS2432" s="128"/>
      <c r="AT2432" s="128"/>
      <c r="AU2432" s="128"/>
      <c r="AV2432" s="128"/>
      <c r="AW2432" s="128"/>
      <c r="AX2432" s="128"/>
      <c r="AY2432" s="128"/>
      <c r="AZ2432" s="128"/>
      <c r="BA2432" s="128"/>
      <c r="BB2432" s="128"/>
      <c r="BC2432" s="128"/>
      <c r="BD2432" s="128"/>
      <c r="BE2432" s="128"/>
      <c r="BF2432" s="128"/>
      <c r="BG2432" s="128"/>
      <c r="BH2432" s="128"/>
      <c r="BI2432" s="128"/>
      <c r="BJ2432" s="128"/>
      <c r="BK2432" s="128"/>
      <c r="BL2432" s="128"/>
      <c r="BM2432" s="151"/>
      <c r="BN2432" s="128"/>
      <c r="BO2432" s="128"/>
      <c r="BP2432" s="128"/>
      <c r="BQ2432" s="128"/>
      <c r="BR2432" s="128"/>
      <c r="BS2432" s="128"/>
      <c r="BT2432" s="128"/>
      <c r="BU2432" s="128"/>
      <c r="BV2432" s="128"/>
      <c r="BW2432" s="128"/>
      <c r="BX2432" s="128"/>
      <c r="BY2432" s="128"/>
      <c r="BZ2432" s="128"/>
      <c r="CA2432" s="128"/>
      <c r="CB2432" s="128"/>
      <c r="CC2432" s="128"/>
      <c r="CD2432" s="128"/>
      <c r="CE2432" s="128"/>
      <c r="CF2432" s="128"/>
      <c r="CG2432" s="128"/>
      <c r="CI2432" s="128"/>
      <c r="CJ2432" s="128"/>
      <c r="CK2432" s="128"/>
      <c r="CL2432" s="128"/>
      <c r="CM2432" s="128"/>
      <c r="CN2432" s="128"/>
      <c r="CO2432" s="128"/>
      <c r="CP2432" s="128"/>
      <c r="CQ2432" s="128"/>
      <c r="CR2432" s="128"/>
      <c r="CS2432" s="128"/>
      <c r="CT2432" s="128"/>
      <c r="CU2432" s="128"/>
      <c r="CV2432" s="128"/>
      <c r="CW2432" s="128"/>
      <c r="CX2432" s="128"/>
      <c r="CY2432" s="128"/>
      <c r="CZ2432" s="165"/>
    </row>
    <row r="2433" spans="1:104">
      <c r="A2433" s="149"/>
      <c r="B2433" s="149"/>
      <c r="C2433" s="150"/>
      <c r="D2433" s="102"/>
      <c r="E2433" s="149"/>
      <c r="F2433" s="149"/>
      <c r="G2433" s="149"/>
      <c r="H2433" s="149"/>
      <c r="I2433" s="149"/>
      <c r="J2433" s="149"/>
      <c r="K2433" s="149"/>
      <c r="L2433" s="149"/>
      <c r="M2433" s="149"/>
      <c r="N2433" s="149"/>
      <c r="O2433" s="149"/>
      <c r="P2433" s="149"/>
      <c r="Q2433" s="149"/>
      <c r="R2433" s="149"/>
      <c r="S2433" s="149"/>
      <c r="T2433" s="149"/>
      <c r="U2433" s="149"/>
      <c r="V2433" s="149"/>
      <c r="W2433" s="149"/>
      <c r="X2433" s="149"/>
      <c r="Y2433" s="149"/>
      <c r="Z2433" s="149"/>
      <c r="AA2433" s="149"/>
      <c r="AB2433" s="149"/>
      <c r="AC2433" s="149"/>
      <c r="AD2433" s="149"/>
      <c r="AE2433" s="149"/>
      <c r="AF2433" s="149"/>
      <c r="AG2433" s="149"/>
      <c r="AH2433" s="149"/>
      <c r="AI2433" s="149"/>
      <c r="AJ2433" s="149"/>
      <c r="AK2433" s="149"/>
      <c r="AL2433" s="149"/>
      <c r="AM2433" s="149"/>
      <c r="AN2433" s="149"/>
      <c r="AO2433" s="128"/>
      <c r="AP2433" s="128"/>
      <c r="AQ2433" s="128"/>
      <c r="AR2433" s="128"/>
      <c r="AS2433" s="128"/>
      <c r="AT2433" s="128"/>
      <c r="AU2433" s="128"/>
      <c r="AV2433" s="128"/>
      <c r="AW2433" s="128"/>
      <c r="AX2433" s="128"/>
      <c r="AY2433" s="128"/>
      <c r="AZ2433" s="128"/>
      <c r="BA2433" s="128"/>
      <c r="BB2433" s="128"/>
      <c r="BC2433" s="128"/>
      <c r="BD2433" s="128"/>
      <c r="BE2433" s="128"/>
      <c r="BF2433" s="128"/>
      <c r="BG2433" s="128"/>
      <c r="BH2433" s="128"/>
      <c r="BI2433" s="128"/>
      <c r="BJ2433" s="128"/>
      <c r="BK2433" s="128"/>
      <c r="BL2433" s="128"/>
      <c r="BM2433" s="151"/>
      <c r="BN2433" s="128"/>
      <c r="BO2433" s="128"/>
      <c r="BP2433" s="128"/>
      <c r="BQ2433" s="128"/>
      <c r="BR2433" s="128"/>
      <c r="BS2433" s="128"/>
      <c r="BT2433" s="128"/>
      <c r="BU2433" s="128"/>
      <c r="BV2433" s="128"/>
      <c r="BW2433" s="128"/>
      <c r="BX2433" s="128"/>
      <c r="BY2433" s="128"/>
      <c r="BZ2433" s="128"/>
      <c r="CA2433" s="128"/>
      <c r="CB2433" s="128"/>
      <c r="CC2433" s="128"/>
      <c r="CD2433" s="128"/>
      <c r="CE2433" s="128"/>
      <c r="CF2433" s="128"/>
      <c r="CG2433" s="128"/>
      <c r="CI2433" s="128"/>
      <c r="CJ2433" s="128"/>
      <c r="CK2433" s="128"/>
      <c r="CL2433" s="128"/>
      <c r="CM2433" s="128"/>
      <c r="CN2433" s="128"/>
      <c r="CO2433" s="128"/>
      <c r="CP2433" s="128"/>
      <c r="CQ2433" s="128"/>
      <c r="CR2433" s="128"/>
      <c r="CS2433" s="128"/>
      <c r="CT2433" s="128"/>
      <c r="CU2433" s="128"/>
      <c r="CV2433" s="128"/>
      <c r="CW2433" s="128"/>
      <c r="CX2433" s="128"/>
      <c r="CY2433" s="128"/>
      <c r="CZ2433" s="165"/>
    </row>
    <row r="2434" spans="1:104">
      <c r="A2434" s="149"/>
      <c r="B2434" s="149"/>
      <c r="C2434" s="150"/>
      <c r="D2434" s="102"/>
      <c r="E2434" s="149"/>
      <c r="F2434" s="149"/>
      <c r="G2434" s="149"/>
      <c r="H2434" s="149"/>
      <c r="I2434" s="149"/>
      <c r="J2434" s="149"/>
      <c r="K2434" s="149"/>
      <c r="L2434" s="149"/>
      <c r="M2434" s="149"/>
      <c r="N2434" s="149"/>
      <c r="O2434" s="149"/>
      <c r="P2434" s="149"/>
      <c r="Q2434" s="149"/>
      <c r="R2434" s="149"/>
      <c r="S2434" s="149"/>
      <c r="T2434" s="149"/>
      <c r="U2434" s="149"/>
      <c r="V2434" s="149"/>
      <c r="W2434" s="149"/>
      <c r="X2434" s="149"/>
      <c r="Y2434" s="149"/>
      <c r="Z2434" s="149"/>
      <c r="AA2434" s="149"/>
      <c r="AB2434" s="149"/>
      <c r="AC2434" s="149"/>
      <c r="AD2434" s="149"/>
      <c r="AE2434" s="149"/>
      <c r="AF2434" s="149"/>
      <c r="AG2434" s="149"/>
      <c r="AH2434" s="149"/>
      <c r="AI2434" s="149"/>
      <c r="AJ2434" s="149"/>
      <c r="AK2434" s="149"/>
      <c r="AL2434" s="149"/>
      <c r="AM2434" s="149"/>
      <c r="AN2434" s="149"/>
      <c r="AO2434" s="128"/>
      <c r="AP2434" s="128"/>
      <c r="AQ2434" s="128"/>
      <c r="AR2434" s="128"/>
      <c r="AS2434" s="128"/>
      <c r="AT2434" s="128"/>
      <c r="AU2434" s="128"/>
      <c r="AV2434" s="128"/>
      <c r="AW2434" s="128"/>
      <c r="AX2434" s="128"/>
      <c r="AY2434" s="128"/>
      <c r="AZ2434" s="128"/>
      <c r="BA2434" s="128"/>
      <c r="BB2434" s="128"/>
      <c r="BC2434" s="128"/>
      <c r="BD2434" s="128"/>
      <c r="BE2434" s="128"/>
      <c r="BF2434" s="128"/>
      <c r="BG2434" s="128"/>
      <c r="BH2434" s="128"/>
      <c r="BI2434" s="128"/>
      <c r="BJ2434" s="128"/>
      <c r="BK2434" s="128"/>
      <c r="BL2434" s="128"/>
      <c r="BM2434" s="151"/>
      <c r="BN2434" s="128"/>
      <c r="BO2434" s="128"/>
      <c r="BP2434" s="128"/>
      <c r="BQ2434" s="128"/>
      <c r="BR2434" s="128"/>
      <c r="BS2434" s="128"/>
      <c r="BT2434" s="128"/>
      <c r="BU2434" s="128"/>
      <c r="BV2434" s="128"/>
      <c r="BW2434" s="128"/>
      <c r="BX2434" s="128"/>
      <c r="BY2434" s="128"/>
      <c r="BZ2434" s="128"/>
      <c r="CA2434" s="128"/>
      <c r="CB2434" s="128"/>
      <c r="CC2434" s="128"/>
      <c r="CD2434" s="128"/>
      <c r="CE2434" s="128"/>
      <c r="CF2434" s="128"/>
      <c r="CG2434" s="128"/>
      <c r="CI2434" s="128"/>
      <c r="CJ2434" s="128"/>
      <c r="CK2434" s="128"/>
      <c r="CL2434" s="128"/>
      <c r="CM2434" s="128"/>
      <c r="CN2434" s="128"/>
      <c r="CO2434" s="128"/>
      <c r="CP2434" s="128"/>
      <c r="CQ2434" s="128"/>
      <c r="CR2434" s="128"/>
      <c r="CS2434" s="128"/>
      <c r="CT2434" s="128"/>
      <c r="CU2434" s="128"/>
      <c r="CV2434" s="128"/>
      <c r="CW2434" s="128"/>
      <c r="CX2434" s="128"/>
      <c r="CY2434" s="128"/>
      <c r="CZ2434" s="165"/>
    </row>
    <row r="2435" spans="1:104">
      <c r="A2435" s="149"/>
      <c r="B2435" s="149"/>
      <c r="C2435" s="150"/>
      <c r="D2435" s="102"/>
      <c r="E2435" s="149"/>
      <c r="F2435" s="149"/>
      <c r="G2435" s="149"/>
      <c r="H2435" s="149"/>
      <c r="I2435" s="149"/>
      <c r="J2435" s="149"/>
      <c r="K2435" s="149"/>
      <c r="L2435" s="149"/>
      <c r="M2435" s="149"/>
      <c r="N2435" s="149"/>
      <c r="O2435" s="149"/>
      <c r="P2435" s="149"/>
      <c r="Q2435" s="149"/>
      <c r="R2435" s="149"/>
      <c r="S2435" s="149"/>
      <c r="T2435" s="149"/>
      <c r="U2435" s="149"/>
      <c r="V2435" s="149"/>
      <c r="W2435" s="149"/>
      <c r="X2435" s="149"/>
      <c r="Y2435" s="149"/>
      <c r="Z2435" s="149"/>
      <c r="AA2435" s="149"/>
      <c r="AB2435" s="149"/>
      <c r="AC2435" s="149"/>
      <c r="AD2435" s="149"/>
      <c r="AE2435" s="149"/>
      <c r="AF2435" s="149"/>
      <c r="AG2435" s="149"/>
      <c r="AH2435" s="149"/>
      <c r="AI2435" s="149"/>
      <c r="AJ2435" s="149"/>
      <c r="AK2435" s="149"/>
      <c r="AL2435" s="149"/>
      <c r="AM2435" s="149"/>
      <c r="AN2435" s="149"/>
      <c r="AO2435" s="128"/>
      <c r="AP2435" s="128"/>
      <c r="AQ2435" s="128"/>
      <c r="AR2435" s="128"/>
      <c r="AS2435" s="128"/>
      <c r="AT2435" s="128"/>
      <c r="AU2435" s="128"/>
      <c r="AV2435" s="128"/>
      <c r="AW2435" s="128"/>
      <c r="AX2435" s="128"/>
      <c r="AY2435" s="128"/>
      <c r="AZ2435" s="128"/>
      <c r="BA2435" s="128"/>
      <c r="BB2435" s="128"/>
      <c r="BC2435" s="128"/>
      <c r="BD2435" s="128"/>
      <c r="BE2435" s="128"/>
      <c r="BF2435" s="128"/>
      <c r="BG2435" s="128"/>
      <c r="BH2435" s="128"/>
      <c r="BI2435" s="128"/>
      <c r="BJ2435" s="128"/>
      <c r="BK2435" s="128"/>
      <c r="BL2435" s="128"/>
      <c r="BM2435" s="151"/>
      <c r="BN2435" s="128"/>
      <c r="BO2435" s="128"/>
      <c r="BP2435" s="128"/>
      <c r="BQ2435" s="128"/>
      <c r="BR2435" s="128"/>
      <c r="BS2435" s="128"/>
      <c r="BT2435" s="128"/>
      <c r="BU2435" s="128"/>
      <c r="BV2435" s="128"/>
      <c r="BW2435" s="128"/>
      <c r="BX2435" s="128"/>
      <c r="BY2435" s="128"/>
      <c r="BZ2435" s="128"/>
      <c r="CA2435" s="128"/>
      <c r="CB2435" s="128"/>
      <c r="CC2435" s="128"/>
      <c r="CD2435" s="128"/>
      <c r="CE2435" s="128"/>
      <c r="CF2435" s="128"/>
      <c r="CG2435" s="128"/>
      <c r="CI2435" s="128"/>
      <c r="CJ2435" s="128"/>
      <c r="CK2435" s="128"/>
      <c r="CL2435" s="128"/>
      <c r="CM2435" s="128"/>
      <c r="CN2435" s="128"/>
      <c r="CO2435" s="128"/>
      <c r="CP2435" s="128"/>
      <c r="CQ2435" s="128"/>
      <c r="CR2435" s="128"/>
      <c r="CS2435" s="128"/>
      <c r="CT2435" s="128"/>
      <c r="CU2435" s="128"/>
      <c r="CV2435" s="128"/>
      <c r="CW2435" s="128"/>
      <c r="CX2435" s="128"/>
      <c r="CY2435" s="128"/>
      <c r="CZ2435" s="165"/>
    </row>
    <row r="2436" spans="1:104">
      <c r="A2436" s="149"/>
      <c r="B2436" s="149"/>
      <c r="C2436" s="150"/>
      <c r="D2436" s="102"/>
      <c r="E2436" s="149"/>
      <c r="F2436" s="149"/>
      <c r="G2436" s="149"/>
      <c r="H2436" s="149"/>
      <c r="I2436" s="149"/>
      <c r="J2436" s="149"/>
      <c r="K2436" s="149"/>
      <c r="L2436" s="149"/>
      <c r="M2436" s="149"/>
      <c r="N2436" s="149"/>
      <c r="O2436" s="149"/>
      <c r="P2436" s="149"/>
      <c r="Q2436" s="149"/>
      <c r="R2436" s="149"/>
      <c r="S2436" s="149"/>
      <c r="T2436" s="149"/>
      <c r="U2436" s="149"/>
      <c r="V2436" s="149"/>
      <c r="W2436" s="149"/>
      <c r="X2436" s="149"/>
      <c r="Y2436" s="149"/>
      <c r="Z2436" s="149"/>
      <c r="AA2436" s="149"/>
      <c r="AB2436" s="149"/>
      <c r="AC2436" s="149"/>
      <c r="AD2436" s="149"/>
      <c r="AE2436" s="149"/>
      <c r="AF2436" s="149"/>
      <c r="AG2436" s="149"/>
      <c r="AH2436" s="149"/>
      <c r="AI2436" s="149"/>
      <c r="AJ2436" s="149"/>
      <c r="AK2436" s="149"/>
      <c r="AL2436" s="149"/>
      <c r="AM2436" s="149"/>
      <c r="AN2436" s="149"/>
      <c r="AO2436" s="128"/>
      <c r="AP2436" s="128"/>
      <c r="AQ2436" s="128"/>
      <c r="AR2436" s="128"/>
      <c r="AS2436" s="128"/>
      <c r="AT2436" s="128"/>
      <c r="AU2436" s="128"/>
      <c r="AV2436" s="128"/>
      <c r="AW2436" s="128"/>
      <c r="AX2436" s="128"/>
      <c r="AY2436" s="128"/>
      <c r="AZ2436" s="128"/>
      <c r="BA2436" s="128"/>
      <c r="BB2436" s="128"/>
      <c r="BC2436" s="128"/>
      <c r="BD2436" s="128"/>
      <c r="BE2436" s="128"/>
      <c r="BF2436" s="128"/>
      <c r="BG2436" s="128"/>
      <c r="BH2436" s="128"/>
      <c r="BI2436" s="128"/>
      <c r="BJ2436" s="128"/>
      <c r="BK2436" s="128"/>
      <c r="BL2436" s="128"/>
      <c r="BM2436" s="151"/>
      <c r="BN2436" s="128"/>
      <c r="BO2436" s="128"/>
      <c r="BP2436" s="128"/>
      <c r="BQ2436" s="128"/>
      <c r="BR2436" s="128"/>
      <c r="BS2436" s="128"/>
      <c r="BT2436" s="128"/>
      <c r="BU2436" s="128"/>
      <c r="BV2436" s="128"/>
      <c r="BW2436" s="128"/>
      <c r="BX2436" s="128"/>
      <c r="BY2436" s="128"/>
      <c r="BZ2436" s="128"/>
      <c r="CA2436" s="128"/>
      <c r="CB2436" s="128"/>
      <c r="CC2436" s="128"/>
      <c r="CD2436" s="128"/>
      <c r="CE2436" s="128"/>
      <c r="CF2436" s="128"/>
      <c r="CG2436" s="128"/>
      <c r="CI2436" s="128"/>
      <c r="CJ2436" s="128"/>
      <c r="CK2436" s="128"/>
      <c r="CL2436" s="128"/>
      <c r="CM2436" s="128"/>
      <c r="CN2436" s="128"/>
      <c r="CO2436" s="128"/>
      <c r="CP2436" s="128"/>
      <c r="CQ2436" s="128"/>
      <c r="CR2436" s="128"/>
      <c r="CS2436" s="128"/>
      <c r="CT2436" s="128"/>
      <c r="CU2436" s="128"/>
      <c r="CV2436" s="128"/>
      <c r="CW2436" s="128"/>
      <c r="CX2436" s="128"/>
      <c r="CY2436" s="128"/>
      <c r="CZ2436" s="165"/>
    </row>
    <row r="2437" spans="1:104">
      <c r="A2437" s="149"/>
      <c r="B2437" s="149"/>
      <c r="C2437" s="150"/>
      <c r="D2437" s="102"/>
      <c r="E2437" s="149"/>
      <c r="F2437" s="149"/>
      <c r="G2437" s="149"/>
      <c r="H2437" s="149"/>
      <c r="I2437" s="149"/>
      <c r="J2437" s="149"/>
      <c r="K2437" s="149"/>
      <c r="L2437" s="149"/>
      <c r="M2437" s="149"/>
      <c r="N2437" s="149"/>
      <c r="O2437" s="149"/>
      <c r="P2437" s="149"/>
      <c r="Q2437" s="149"/>
      <c r="R2437" s="149"/>
      <c r="S2437" s="149"/>
      <c r="T2437" s="149"/>
      <c r="U2437" s="149"/>
      <c r="V2437" s="149"/>
      <c r="W2437" s="149"/>
      <c r="X2437" s="149"/>
      <c r="Y2437" s="149"/>
      <c r="Z2437" s="149"/>
      <c r="AA2437" s="149"/>
      <c r="AB2437" s="149"/>
      <c r="AC2437" s="149"/>
      <c r="AD2437" s="149"/>
      <c r="AE2437" s="149"/>
      <c r="AF2437" s="149"/>
      <c r="AG2437" s="149"/>
      <c r="AH2437" s="149"/>
      <c r="AI2437" s="149"/>
      <c r="AJ2437" s="149"/>
      <c r="AK2437" s="149"/>
      <c r="AL2437" s="149"/>
      <c r="AM2437" s="149"/>
      <c r="AN2437" s="149"/>
      <c r="AO2437" s="128"/>
      <c r="AP2437" s="128"/>
      <c r="AQ2437" s="128"/>
      <c r="AR2437" s="128"/>
      <c r="AS2437" s="128"/>
      <c r="AT2437" s="128"/>
      <c r="AU2437" s="128"/>
      <c r="AV2437" s="128"/>
      <c r="AW2437" s="128"/>
      <c r="AX2437" s="128"/>
      <c r="AY2437" s="128"/>
      <c r="AZ2437" s="128"/>
      <c r="BA2437" s="128"/>
      <c r="BB2437" s="128"/>
      <c r="BC2437" s="128"/>
      <c r="BD2437" s="128"/>
      <c r="BE2437" s="128"/>
      <c r="BF2437" s="128"/>
      <c r="BG2437" s="128"/>
      <c r="BH2437" s="128"/>
      <c r="BI2437" s="128"/>
      <c r="BJ2437" s="128"/>
      <c r="BK2437" s="128"/>
      <c r="BL2437" s="128"/>
      <c r="BM2437" s="151"/>
      <c r="BN2437" s="128"/>
      <c r="BO2437" s="128"/>
      <c r="BP2437" s="128"/>
      <c r="BQ2437" s="128"/>
      <c r="BR2437" s="128"/>
      <c r="BS2437" s="128"/>
      <c r="BT2437" s="128"/>
      <c r="BU2437" s="128"/>
      <c r="BV2437" s="128"/>
      <c r="BW2437" s="128"/>
      <c r="BX2437" s="128"/>
      <c r="BY2437" s="128"/>
      <c r="BZ2437" s="128"/>
      <c r="CA2437" s="128"/>
      <c r="CB2437" s="128"/>
      <c r="CC2437" s="128"/>
      <c r="CD2437" s="128"/>
      <c r="CE2437" s="128"/>
      <c r="CF2437" s="128"/>
      <c r="CG2437" s="128"/>
      <c r="CI2437" s="128"/>
      <c r="CJ2437" s="128"/>
      <c r="CK2437" s="128"/>
      <c r="CL2437" s="128"/>
      <c r="CM2437" s="128"/>
      <c r="CN2437" s="128"/>
      <c r="CO2437" s="128"/>
      <c r="CP2437" s="128"/>
      <c r="CQ2437" s="128"/>
      <c r="CR2437" s="128"/>
      <c r="CS2437" s="128"/>
      <c r="CT2437" s="128"/>
      <c r="CU2437" s="128"/>
      <c r="CV2437" s="128"/>
      <c r="CW2437" s="128"/>
      <c r="CX2437" s="128"/>
      <c r="CY2437" s="128"/>
      <c r="CZ2437" s="165"/>
    </row>
    <row r="2438" spans="1:104">
      <c r="A2438" s="149"/>
      <c r="B2438" s="149"/>
      <c r="C2438" s="150"/>
      <c r="D2438" s="102"/>
      <c r="E2438" s="149"/>
      <c r="F2438" s="149"/>
      <c r="G2438" s="149"/>
      <c r="H2438" s="149"/>
      <c r="I2438" s="149"/>
      <c r="J2438" s="149"/>
      <c r="K2438" s="149"/>
      <c r="L2438" s="149"/>
      <c r="M2438" s="149"/>
      <c r="N2438" s="149"/>
      <c r="O2438" s="149"/>
      <c r="P2438" s="149"/>
      <c r="Q2438" s="149"/>
      <c r="R2438" s="149"/>
      <c r="S2438" s="149"/>
      <c r="T2438" s="149"/>
      <c r="U2438" s="149"/>
      <c r="V2438" s="149"/>
      <c r="W2438" s="149"/>
      <c r="X2438" s="149"/>
      <c r="Y2438" s="149"/>
      <c r="Z2438" s="149"/>
      <c r="AA2438" s="149"/>
      <c r="AB2438" s="149"/>
      <c r="AC2438" s="149"/>
      <c r="AD2438" s="149"/>
      <c r="AE2438" s="149"/>
      <c r="AF2438" s="149"/>
      <c r="AG2438" s="149"/>
      <c r="AH2438" s="149"/>
      <c r="AI2438" s="149"/>
      <c r="AJ2438" s="149"/>
      <c r="AK2438" s="149"/>
      <c r="AL2438" s="149"/>
      <c r="AM2438" s="149"/>
      <c r="AN2438" s="149"/>
      <c r="AO2438" s="128"/>
      <c r="AP2438" s="128"/>
      <c r="AQ2438" s="128"/>
      <c r="AR2438" s="128"/>
      <c r="AS2438" s="128"/>
      <c r="AT2438" s="128"/>
      <c r="AU2438" s="128"/>
      <c r="AV2438" s="128"/>
      <c r="AW2438" s="128"/>
      <c r="AX2438" s="128"/>
      <c r="AY2438" s="128"/>
      <c r="AZ2438" s="128"/>
      <c r="BA2438" s="128"/>
      <c r="BB2438" s="128"/>
      <c r="BC2438" s="128"/>
      <c r="BD2438" s="128"/>
      <c r="BE2438" s="128"/>
      <c r="BF2438" s="128"/>
      <c r="BG2438" s="128"/>
      <c r="BH2438" s="128"/>
      <c r="BI2438" s="128"/>
      <c r="BJ2438" s="128"/>
      <c r="BK2438" s="128"/>
      <c r="BL2438" s="128"/>
      <c r="BM2438" s="151"/>
      <c r="BN2438" s="128"/>
      <c r="BO2438" s="128"/>
      <c r="BP2438" s="128"/>
      <c r="BQ2438" s="128"/>
      <c r="BR2438" s="128"/>
      <c r="BS2438" s="128"/>
      <c r="BT2438" s="128"/>
      <c r="BU2438" s="128"/>
      <c r="BV2438" s="128"/>
      <c r="BW2438" s="128"/>
      <c r="BX2438" s="128"/>
      <c r="BY2438" s="128"/>
      <c r="BZ2438" s="128"/>
      <c r="CA2438" s="128"/>
      <c r="CB2438" s="128"/>
      <c r="CC2438" s="128"/>
      <c r="CD2438" s="128"/>
      <c r="CE2438" s="128"/>
      <c r="CF2438" s="128"/>
      <c r="CG2438" s="128"/>
      <c r="CI2438" s="128"/>
      <c r="CJ2438" s="128"/>
      <c r="CK2438" s="128"/>
      <c r="CL2438" s="128"/>
      <c r="CM2438" s="128"/>
      <c r="CN2438" s="128"/>
      <c r="CO2438" s="128"/>
      <c r="CP2438" s="128"/>
      <c r="CQ2438" s="128"/>
      <c r="CR2438" s="128"/>
      <c r="CS2438" s="128"/>
      <c r="CT2438" s="128"/>
      <c r="CU2438" s="128"/>
      <c r="CV2438" s="128"/>
      <c r="CW2438" s="128"/>
      <c r="CX2438" s="128"/>
      <c r="CY2438" s="128"/>
      <c r="CZ2438" s="165"/>
    </row>
    <row r="2439" spans="1:104">
      <c r="A2439" s="149"/>
      <c r="B2439" s="149"/>
      <c r="C2439" s="150"/>
      <c r="D2439" s="102"/>
      <c r="E2439" s="149"/>
      <c r="F2439" s="149"/>
      <c r="G2439" s="149"/>
      <c r="H2439" s="149"/>
      <c r="I2439" s="149"/>
      <c r="J2439" s="149"/>
      <c r="K2439" s="149"/>
      <c r="L2439" s="149"/>
      <c r="M2439" s="149"/>
      <c r="N2439" s="149"/>
      <c r="O2439" s="149"/>
      <c r="P2439" s="149"/>
      <c r="Q2439" s="149"/>
      <c r="R2439" s="149"/>
      <c r="S2439" s="149"/>
      <c r="T2439" s="149"/>
      <c r="U2439" s="149"/>
      <c r="V2439" s="149"/>
      <c r="W2439" s="149"/>
      <c r="X2439" s="149"/>
      <c r="Y2439" s="149"/>
      <c r="Z2439" s="149"/>
      <c r="AA2439" s="149"/>
      <c r="AB2439" s="149"/>
      <c r="AC2439" s="149"/>
      <c r="AD2439" s="149"/>
      <c r="AE2439" s="149"/>
      <c r="AF2439" s="149"/>
      <c r="AG2439" s="149"/>
      <c r="AH2439" s="149"/>
      <c r="AI2439" s="149"/>
      <c r="AJ2439" s="149"/>
      <c r="AK2439" s="149"/>
      <c r="AL2439" s="149"/>
      <c r="AM2439" s="149"/>
      <c r="AN2439" s="149"/>
      <c r="AO2439" s="128"/>
      <c r="AP2439" s="128"/>
      <c r="AQ2439" s="128"/>
      <c r="AR2439" s="128"/>
      <c r="AS2439" s="128"/>
      <c r="AT2439" s="128"/>
      <c r="AU2439" s="128"/>
      <c r="AV2439" s="128"/>
      <c r="AW2439" s="128"/>
      <c r="AX2439" s="128"/>
      <c r="AY2439" s="128"/>
      <c r="AZ2439" s="128"/>
      <c r="BA2439" s="128"/>
      <c r="BB2439" s="128"/>
      <c r="BC2439" s="128"/>
      <c r="BD2439" s="128"/>
      <c r="BE2439" s="128"/>
      <c r="BF2439" s="128"/>
      <c r="BG2439" s="128"/>
      <c r="BH2439" s="128"/>
      <c r="BI2439" s="128"/>
      <c r="BJ2439" s="128"/>
      <c r="BK2439" s="128"/>
      <c r="BL2439" s="128"/>
      <c r="BM2439" s="151"/>
      <c r="BN2439" s="128"/>
      <c r="BO2439" s="128"/>
      <c r="BP2439" s="128"/>
      <c r="BQ2439" s="128"/>
      <c r="BR2439" s="128"/>
      <c r="BS2439" s="128"/>
      <c r="BT2439" s="128"/>
      <c r="BU2439" s="128"/>
      <c r="BV2439" s="128"/>
      <c r="BW2439" s="128"/>
      <c r="BX2439" s="128"/>
      <c r="BY2439" s="128"/>
      <c r="BZ2439" s="128"/>
      <c r="CA2439" s="128"/>
      <c r="CB2439" s="128"/>
      <c r="CC2439" s="128"/>
      <c r="CD2439" s="128"/>
      <c r="CE2439" s="128"/>
      <c r="CF2439" s="128"/>
      <c r="CG2439" s="128"/>
      <c r="CI2439" s="128"/>
      <c r="CJ2439" s="128"/>
      <c r="CK2439" s="128"/>
      <c r="CL2439" s="128"/>
      <c r="CM2439" s="128"/>
      <c r="CN2439" s="128"/>
      <c r="CO2439" s="128"/>
      <c r="CP2439" s="128"/>
      <c r="CQ2439" s="128"/>
      <c r="CR2439" s="128"/>
      <c r="CS2439" s="128"/>
      <c r="CT2439" s="128"/>
      <c r="CU2439" s="128"/>
      <c r="CV2439" s="128"/>
      <c r="CW2439" s="128"/>
      <c r="CX2439" s="128"/>
      <c r="CY2439" s="128"/>
      <c r="CZ2439" s="165"/>
    </row>
    <row r="2440" spans="1:104">
      <c r="A2440" s="149"/>
      <c r="B2440" s="149"/>
      <c r="C2440" s="150"/>
      <c r="D2440" s="102"/>
      <c r="E2440" s="149"/>
      <c r="F2440" s="149"/>
      <c r="G2440" s="149"/>
      <c r="H2440" s="149"/>
      <c r="I2440" s="149"/>
      <c r="J2440" s="149"/>
      <c r="K2440" s="149"/>
      <c r="L2440" s="149"/>
      <c r="M2440" s="149"/>
      <c r="N2440" s="149"/>
      <c r="O2440" s="149"/>
      <c r="P2440" s="149"/>
      <c r="Q2440" s="149"/>
      <c r="R2440" s="149"/>
      <c r="S2440" s="149"/>
      <c r="T2440" s="149"/>
      <c r="U2440" s="149"/>
      <c r="V2440" s="149"/>
      <c r="W2440" s="149"/>
      <c r="X2440" s="149"/>
      <c r="Y2440" s="149"/>
      <c r="Z2440" s="149"/>
      <c r="AA2440" s="149"/>
      <c r="AB2440" s="149"/>
      <c r="AC2440" s="149"/>
      <c r="AD2440" s="149"/>
      <c r="AE2440" s="149"/>
      <c r="AF2440" s="149"/>
      <c r="AG2440" s="149"/>
      <c r="AH2440" s="149"/>
      <c r="AI2440" s="149"/>
      <c r="AJ2440" s="149"/>
      <c r="AK2440" s="149"/>
      <c r="AL2440" s="149"/>
      <c r="AM2440" s="149"/>
      <c r="AN2440" s="149"/>
      <c r="AO2440" s="128"/>
      <c r="AP2440" s="128"/>
      <c r="AQ2440" s="128"/>
      <c r="AR2440" s="128"/>
      <c r="AS2440" s="128"/>
      <c r="AT2440" s="128"/>
      <c r="AU2440" s="128"/>
      <c r="AV2440" s="128"/>
      <c r="AW2440" s="128"/>
      <c r="AX2440" s="128"/>
      <c r="AY2440" s="128"/>
      <c r="AZ2440" s="128"/>
      <c r="BA2440" s="128"/>
      <c r="BB2440" s="128"/>
      <c r="BC2440" s="128"/>
      <c r="BD2440" s="128"/>
      <c r="BE2440" s="128"/>
      <c r="BF2440" s="128"/>
      <c r="BG2440" s="128"/>
      <c r="BH2440" s="128"/>
      <c r="BI2440" s="128"/>
      <c r="BJ2440" s="128"/>
      <c r="BK2440" s="128"/>
      <c r="BL2440" s="128"/>
      <c r="BM2440" s="151"/>
      <c r="BN2440" s="128"/>
      <c r="BO2440" s="128"/>
      <c r="BP2440" s="128"/>
      <c r="BQ2440" s="128"/>
      <c r="BR2440" s="128"/>
      <c r="BS2440" s="128"/>
      <c r="BT2440" s="128"/>
      <c r="BU2440" s="128"/>
      <c r="BV2440" s="128"/>
      <c r="BW2440" s="128"/>
      <c r="BX2440" s="128"/>
      <c r="BY2440" s="128"/>
      <c r="BZ2440" s="128"/>
      <c r="CA2440" s="128"/>
      <c r="CB2440" s="128"/>
      <c r="CC2440" s="128"/>
      <c r="CD2440" s="128"/>
      <c r="CE2440" s="128"/>
      <c r="CF2440" s="128"/>
      <c r="CG2440" s="128"/>
      <c r="CI2440" s="128"/>
      <c r="CJ2440" s="128"/>
      <c r="CK2440" s="128"/>
      <c r="CL2440" s="128"/>
      <c r="CM2440" s="128"/>
      <c r="CN2440" s="128"/>
      <c r="CO2440" s="128"/>
      <c r="CP2440" s="128"/>
      <c r="CQ2440" s="128"/>
      <c r="CR2440" s="128"/>
      <c r="CS2440" s="128"/>
      <c r="CT2440" s="128"/>
      <c r="CU2440" s="128"/>
      <c r="CV2440" s="128"/>
      <c r="CW2440" s="128"/>
      <c r="CX2440" s="128"/>
      <c r="CY2440" s="128"/>
      <c r="CZ2440" s="165"/>
    </row>
    <row r="2441" spans="1:104">
      <c r="A2441" s="149"/>
      <c r="B2441" s="149"/>
      <c r="C2441" s="150"/>
      <c r="D2441" s="102"/>
      <c r="E2441" s="149"/>
      <c r="F2441" s="149"/>
      <c r="G2441" s="149"/>
      <c r="H2441" s="149"/>
      <c r="I2441" s="149"/>
      <c r="J2441" s="149"/>
      <c r="K2441" s="149"/>
      <c r="L2441" s="149"/>
      <c r="M2441" s="149"/>
      <c r="N2441" s="149"/>
      <c r="O2441" s="149"/>
      <c r="P2441" s="149"/>
      <c r="Q2441" s="149"/>
      <c r="R2441" s="149"/>
      <c r="S2441" s="149"/>
      <c r="T2441" s="149"/>
      <c r="U2441" s="149"/>
      <c r="V2441" s="149"/>
      <c r="W2441" s="149"/>
      <c r="X2441" s="149"/>
      <c r="Y2441" s="149"/>
      <c r="Z2441" s="149"/>
      <c r="AA2441" s="149"/>
      <c r="AB2441" s="149"/>
      <c r="AC2441" s="149"/>
      <c r="AD2441" s="149"/>
      <c r="AE2441" s="149"/>
      <c r="AF2441" s="149"/>
      <c r="AG2441" s="149"/>
      <c r="AH2441" s="149"/>
      <c r="AI2441" s="149"/>
      <c r="AJ2441" s="149"/>
      <c r="AK2441" s="149"/>
      <c r="AL2441" s="149"/>
      <c r="AM2441" s="149"/>
      <c r="AN2441" s="149"/>
      <c r="AO2441" s="128"/>
      <c r="AP2441" s="128"/>
      <c r="AQ2441" s="128"/>
      <c r="AR2441" s="128"/>
      <c r="AS2441" s="128"/>
      <c r="AT2441" s="128"/>
      <c r="AU2441" s="128"/>
      <c r="AV2441" s="128"/>
      <c r="AW2441" s="128"/>
      <c r="AX2441" s="128"/>
      <c r="AY2441" s="128"/>
      <c r="AZ2441" s="128"/>
      <c r="BA2441" s="128"/>
      <c r="BB2441" s="128"/>
      <c r="BC2441" s="128"/>
      <c r="BD2441" s="128"/>
      <c r="BE2441" s="128"/>
      <c r="BF2441" s="128"/>
      <c r="BG2441" s="128"/>
      <c r="BH2441" s="128"/>
      <c r="BI2441" s="128"/>
      <c r="BJ2441" s="128"/>
      <c r="BK2441" s="128"/>
      <c r="BL2441" s="128"/>
      <c r="BM2441" s="151"/>
      <c r="BN2441" s="128"/>
      <c r="BO2441" s="128"/>
      <c r="BP2441" s="128"/>
      <c r="BQ2441" s="128"/>
      <c r="BR2441" s="128"/>
      <c r="BS2441" s="128"/>
      <c r="BT2441" s="128"/>
      <c r="BU2441" s="128"/>
      <c r="BV2441" s="128"/>
      <c r="BW2441" s="128"/>
      <c r="BX2441" s="128"/>
      <c r="BY2441" s="128"/>
      <c r="BZ2441" s="128"/>
      <c r="CA2441" s="128"/>
      <c r="CB2441" s="128"/>
      <c r="CC2441" s="128"/>
      <c r="CD2441" s="128"/>
      <c r="CE2441" s="128"/>
      <c r="CF2441" s="128"/>
      <c r="CG2441" s="128"/>
      <c r="CI2441" s="128"/>
      <c r="CJ2441" s="128"/>
      <c r="CK2441" s="128"/>
      <c r="CL2441" s="128"/>
      <c r="CM2441" s="128"/>
      <c r="CN2441" s="128"/>
      <c r="CO2441" s="128"/>
      <c r="CP2441" s="128"/>
      <c r="CQ2441" s="128"/>
      <c r="CR2441" s="128"/>
      <c r="CS2441" s="128"/>
      <c r="CT2441" s="128"/>
      <c r="CU2441" s="128"/>
      <c r="CV2441" s="128"/>
      <c r="CW2441" s="128"/>
      <c r="CX2441" s="128"/>
      <c r="CY2441" s="128"/>
      <c r="CZ2441" s="165"/>
    </row>
    <row r="2442" spans="1:104">
      <c r="A2442" s="149"/>
      <c r="B2442" s="149"/>
      <c r="C2442" s="150"/>
      <c r="D2442" s="102"/>
      <c r="E2442" s="149"/>
      <c r="F2442" s="149"/>
      <c r="G2442" s="149"/>
      <c r="H2442" s="149"/>
      <c r="I2442" s="149"/>
      <c r="J2442" s="149"/>
      <c r="K2442" s="149"/>
      <c r="L2442" s="149"/>
      <c r="M2442" s="149"/>
      <c r="N2442" s="149"/>
      <c r="O2442" s="149"/>
      <c r="P2442" s="149"/>
      <c r="Q2442" s="149"/>
      <c r="R2442" s="149"/>
      <c r="S2442" s="149"/>
      <c r="T2442" s="149"/>
      <c r="U2442" s="149"/>
      <c r="V2442" s="149"/>
      <c r="W2442" s="149"/>
      <c r="X2442" s="149"/>
      <c r="Y2442" s="149"/>
      <c r="Z2442" s="149"/>
      <c r="AA2442" s="149"/>
      <c r="AB2442" s="149"/>
      <c r="AC2442" s="149"/>
      <c r="AD2442" s="149"/>
      <c r="AE2442" s="149"/>
      <c r="AF2442" s="149"/>
      <c r="AG2442" s="149"/>
      <c r="AH2442" s="149"/>
      <c r="AI2442" s="149"/>
      <c r="AJ2442" s="149"/>
      <c r="AK2442" s="149"/>
      <c r="AL2442" s="149"/>
      <c r="AM2442" s="149"/>
      <c r="AN2442" s="149"/>
      <c r="AO2442" s="128"/>
      <c r="AP2442" s="128"/>
      <c r="AQ2442" s="128"/>
      <c r="AR2442" s="128"/>
      <c r="AS2442" s="128"/>
      <c r="AT2442" s="128"/>
      <c r="AU2442" s="128"/>
      <c r="AV2442" s="128"/>
      <c r="AW2442" s="128"/>
      <c r="AX2442" s="128"/>
      <c r="AY2442" s="128"/>
      <c r="AZ2442" s="128"/>
      <c r="BA2442" s="128"/>
      <c r="BB2442" s="128"/>
      <c r="BC2442" s="128"/>
      <c r="BD2442" s="128"/>
      <c r="BE2442" s="128"/>
      <c r="BF2442" s="128"/>
      <c r="BG2442" s="128"/>
      <c r="BH2442" s="128"/>
      <c r="BI2442" s="128"/>
      <c r="BJ2442" s="128"/>
      <c r="BK2442" s="128"/>
      <c r="BL2442" s="128"/>
      <c r="BM2442" s="151"/>
      <c r="BN2442" s="128"/>
      <c r="BO2442" s="128"/>
      <c r="BP2442" s="128"/>
      <c r="BQ2442" s="128"/>
      <c r="BR2442" s="128"/>
      <c r="BS2442" s="128"/>
      <c r="BT2442" s="128"/>
      <c r="BU2442" s="128"/>
      <c r="BV2442" s="128"/>
      <c r="BW2442" s="128"/>
      <c r="BX2442" s="128"/>
      <c r="BY2442" s="128"/>
      <c r="BZ2442" s="128"/>
      <c r="CA2442" s="128"/>
      <c r="CB2442" s="128"/>
      <c r="CC2442" s="128"/>
      <c r="CD2442" s="128"/>
      <c r="CE2442" s="128"/>
      <c r="CF2442" s="128"/>
      <c r="CG2442" s="128"/>
      <c r="CI2442" s="128"/>
      <c r="CJ2442" s="128"/>
      <c r="CK2442" s="128"/>
      <c r="CL2442" s="128"/>
      <c r="CM2442" s="128"/>
      <c r="CN2442" s="128"/>
      <c r="CO2442" s="128"/>
      <c r="CP2442" s="128"/>
      <c r="CQ2442" s="128"/>
      <c r="CR2442" s="128"/>
      <c r="CS2442" s="128"/>
      <c r="CT2442" s="128"/>
      <c r="CU2442" s="128"/>
      <c r="CV2442" s="128"/>
      <c r="CW2442" s="128"/>
      <c r="CX2442" s="128"/>
      <c r="CY2442" s="128"/>
      <c r="CZ2442" s="165"/>
    </row>
    <row r="2443" spans="1:104">
      <c r="A2443" s="149"/>
      <c r="B2443" s="149"/>
      <c r="C2443" s="150"/>
      <c r="D2443" s="102"/>
      <c r="E2443" s="149"/>
      <c r="F2443" s="149"/>
      <c r="G2443" s="149"/>
      <c r="H2443" s="149"/>
      <c r="I2443" s="149"/>
      <c r="J2443" s="149"/>
      <c r="K2443" s="149"/>
      <c r="L2443" s="149"/>
      <c r="M2443" s="149"/>
      <c r="N2443" s="149"/>
      <c r="O2443" s="149"/>
      <c r="P2443" s="149"/>
      <c r="Q2443" s="149"/>
      <c r="R2443" s="149"/>
      <c r="S2443" s="149"/>
      <c r="T2443" s="149"/>
      <c r="U2443" s="149"/>
      <c r="V2443" s="149"/>
      <c r="W2443" s="149"/>
      <c r="X2443" s="149"/>
      <c r="Y2443" s="149"/>
      <c r="Z2443" s="149"/>
      <c r="AA2443" s="149"/>
      <c r="AB2443" s="149"/>
      <c r="AC2443" s="149"/>
      <c r="AD2443" s="149"/>
      <c r="AE2443" s="149"/>
      <c r="AF2443" s="149"/>
      <c r="AG2443" s="149"/>
      <c r="AH2443" s="149"/>
      <c r="AI2443" s="149"/>
      <c r="AJ2443" s="149"/>
      <c r="AK2443" s="149"/>
      <c r="AL2443" s="149"/>
      <c r="AM2443" s="149"/>
      <c r="AN2443" s="149"/>
      <c r="AO2443" s="128"/>
      <c r="AP2443" s="128"/>
      <c r="AQ2443" s="128"/>
      <c r="AR2443" s="128"/>
      <c r="AS2443" s="128"/>
      <c r="AT2443" s="128"/>
      <c r="AU2443" s="128"/>
      <c r="AV2443" s="128"/>
      <c r="AW2443" s="128"/>
      <c r="AX2443" s="128"/>
      <c r="AY2443" s="128"/>
      <c r="AZ2443" s="128"/>
      <c r="BA2443" s="128"/>
      <c r="BB2443" s="128"/>
      <c r="BC2443" s="128"/>
      <c r="BD2443" s="128"/>
      <c r="BE2443" s="128"/>
      <c r="BF2443" s="128"/>
      <c r="BG2443" s="128"/>
      <c r="BH2443" s="128"/>
      <c r="BI2443" s="128"/>
      <c r="BJ2443" s="128"/>
      <c r="BK2443" s="128"/>
      <c r="BL2443" s="128"/>
      <c r="BM2443" s="151"/>
      <c r="BN2443" s="128"/>
      <c r="BO2443" s="128"/>
      <c r="BP2443" s="128"/>
      <c r="BQ2443" s="128"/>
      <c r="BR2443" s="128"/>
      <c r="BS2443" s="128"/>
      <c r="BT2443" s="128"/>
      <c r="BU2443" s="128"/>
      <c r="BV2443" s="128"/>
      <c r="BW2443" s="128"/>
      <c r="BX2443" s="128"/>
      <c r="BY2443" s="128"/>
      <c r="BZ2443" s="128"/>
      <c r="CA2443" s="128"/>
      <c r="CB2443" s="128"/>
      <c r="CC2443" s="128"/>
      <c r="CD2443" s="128"/>
      <c r="CE2443" s="128"/>
      <c r="CF2443" s="128"/>
      <c r="CG2443" s="128"/>
      <c r="CI2443" s="128"/>
      <c r="CJ2443" s="128"/>
      <c r="CK2443" s="128"/>
      <c r="CL2443" s="128"/>
      <c r="CM2443" s="128"/>
      <c r="CN2443" s="128"/>
      <c r="CO2443" s="128"/>
      <c r="CP2443" s="128"/>
      <c r="CQ2443" s="128"/>
      <c r="CR2443" s="128"/>
      <c r="CS2443" s="128"/>
      <c r="CT2443" s="128"/>
      <c r="CU2443" s="128"/>
      <c r="CV2443" s="128"/>
      <c r="CW2443" s="128"/>
      <c r="CX2443" s="128"/>
      <c r="CY2443" s="128"/>
      <c r="CZ2443" s="165"/>
    </row>
    <row r="2444" spans="1:104">
      <c r="A2444" s="149"/>
      <c r="B2444" s="149"/>
      <c r="C2444" s="150"/>
      <c r="D2444" s="102"/>
      <c r="E2444" s="149"/>
      <c r="F2444" s="149"/>
      <c r="G2444" s="149"/>
      <c r="H2444" s="149"/>
      <c r="I2444" s="149"/>
      <c r="J2444" s="149"/>
      <c r="K2444" s="149"/>
      <c r="L2444" s="149"/>
      <c r="M2444" s="149"/>
      <c r="N2444" s="149"/>
      <c r="O2444" s="149"/>
      <c r="P2444" s="149"/>
      <c r="Q2444" s="149"/>
      <c r="R2444" s="149"/>
      <c r="S2444" s="149"/>
      <c r="T2444" s="149"/>
      <c r="U2444" s="149"/>
      <c r="V2444" s="149"/>
      <c r="W2444" s="149"/>
      <c r="X2444" s="149"/>
      <c r="Y2444" s="149"/>
      <c r="Z2444" s="149"/>
      <c r="AA2444" s="149"/>
      <c r="AB2444" s="149"/>
      <c r="AC2444" s="149"/>
      <c r="AD2444" s="149"/>
      <c r="AE2444" s="149"/>
      <c r="AF2444" s="149"/>
      <c r="AG2444" s="149"/>
      <c r="AH2444" s="149"/>
      <c r="AI2444" s="149"/>
      <c r="AJ2444" s="149"/>
      <c r="AK2444" s="149"/>
      <c r="AL2444" s="149"/>
      <c r="AM2444" s="149"/>
      <c r="AN2444" s="149"/>
      <c r="AO2444" s="128"/>
      <c r="AP2444" s="128"/>
      <c r="AQ2444" s="128"/>
      <c r="AR2444" s="128"/>
      <c r="AS2444" s="128"/>
      <c r="AT2444" s="128"/>
      <c r="AU2444" s="128"/>
      <c r="AV2444" s="128"/>
      <c r="AW2444" s="128"/>
      <c r="AX2444" s="128"/>
      <c r="AY2444" s="128"/>
      <c r="AZ2444" s="128"/>
      <c r="BA2444" s="128"/>
      <c r="BB2444" s="128"/>
      <c r="BC2444" s="128"/>
      <c r="BD2444" s="128"/>
      <c r="BE2444" s="128"/>
      <c r="BF2444" s="128"/>
      <c r="BG2444" s="128"/>
      <c r="BH2444" s="128"/>
      <c r="BI2444" s="128"/>
      <c r="BJ2444" s="128"/>
      <c r="BK2444" s="128"/>
      <c r="BL2444" s="128"/>
      <c r="BM2444" s="151"/>
      <c r="BN2444" s="128"/>
      <c r="BO2444" s="128"/>
      <c r="BP2444" s="128"/>
      <c r="BQ2444" s="128"/>
      <c r="BR2444" s="128"/>
      <c r="BS2444" s="128"/>
      <c r="BT2444" s="128"/>
      <c r="BU2444" s="128"/>
      <c r="BV2444" s="128"/>
      <c r="BW2444" s="128"/>
      <c r="BX2444" s="128"/>
      <c r="BY2444" s="128"/>
      <c r="BZ2444" s="128"/>
      <c r="CA2444" s="128"/>
      <c r="CB2444" s="128"/>
      <c r="CC2444" s="128"/>
      <c r="CD2444" s="128"/>
      <c r="CE2444" s="128"/>
      <c r="CF2444" s="128"/>
      <c r="CG2444" s="128"/>
      <c r="CI2444" s="128"/>
      <c r="CJ2444" s="128"/>
      <c r="CK2444" s="128"/>
      <c r="CL2444" s="128"/>
      <c r="CM2444" s="128"/>
      <c r="CN2444" s="128"/>
      <c r="CO2444" s="128"/>
      <c r="CP2444" s="128"/>
      <c r="CQ2444" s="128"/>
      <c r="CR2444" s="128"/>
      <c r="CS2444" s="128"/>
      <c r="CT2444" s="128"/>
      <c r="CU2444" s="128"/>
      <c r="CV2444" s="128"/>
      <c r="CW2444" s="128"/>
      <c r="CX2444" s="128"/>
      <c r="CY2444" s="128"/>
      <c r="CZ2444" s="165"/>
    </row>
    <row r="2445" spans="1:104">
      <c r="A2445" s="149"/>
      <c r="B2445" s="149"/>
      <c r="C2445" s="150"/>
      <c r="D2445" s="102"/>
      <c r="E2445" s="149"/>
      <c r="F2445" s="149"/>
      <c r="G2445" s="149"/>
      <c r="H2445" s="149"/>
      <c r="I2445" s="149"/>
      <c r="J2445" s="149"/>
      <c r="K2445" s="149"/>
      <c r="L2445" s="149"/>
      <c r="M2445" s="149"/>
      <c r="N2445" s="149"/>
      <c r="O2445" s="149"/>
      <c r="P2445" s="149"/>
      <c r="Q2445" s="149"/>
      <c r="R2445" s="149"/>
      <c r="S2445" s="149"/>
      <c r="T2445" s="149"/>
      <c r="U2445" s="149"/>
      <c r="V2445" s="149"/>
      <c r="W2445" s="149"/>
      <c r="X2445" s="149"/>
      <c r="Y2445" s="149"/>
      <c r="Z2445" s="149"/>
      <c r="AA2445" s="149"/>
      <c r="AB2445" s="149"/>
      <c r="AC2445" s="149"/>
      <c r="AD2445" s="149"/>
      <c r="AE2445" s="149"/>
      <c r="AF2445" s="149"/>
      <c r="AG2445" s="149"/>
      <c r="AH2445" s="149"/>
      <c r="AI2445" s="149"/>
      <c r="AJ2445" s="149"/>
      <c r="AK2445" s="149"/>
      <c r="AL2445" s="149"/>
      <c r="AM2445" s="149"/>
      <c r="AN2445" s="149"/>
      <c r="AO2445" s="128"/>
      <c r="AP2445" s="128"/>
      <c r="AQ2445" s="128"/>
      <c r="AR2445" s="128"/>
      <c r="AS2445" s="128"/>
      <c r="AT2445" s="128"/>
      <c r="AU2445" s="128"/>
      <c r="AV2445" s="128"/>
      <c r="AW2445" s="128"/>
      <c r="AX2445" s="128"/>
      <c r="AY2445" s="128"/>
      <c r="AZ2445" s="128"/>
      <c r="BA2445" s="128"/>
      <c r="BB2445" s="128"/>
      <c r="BC2445" s="128"/>
      <c r="BD2445" s="128"/>
      <c r="BE2445" s="128"/>
      <c r="BF2445" s="128"/>
      <c r="BG2445" s="128"/>
      <c r="BH2445" s="128"/>
      <c r="BI2445" s="128"/>
      <c r="BJ2445" s="128"/>
      <c r="BK2445" s="128"/>
      <c r="BL2445" s="128"/>
      <c r="BM2445" s="151"/>
      <c r="BN2445" s="128"/>
      <c r="BO2445" s="128"/>
      <c r="BP2445" s="128"/>
      <c r="BQ2445" s="128"/>
      <c r="BR2445" s="128"/>
      <c r="BS2445" s="128"/>
      <c r="BT2445" s="128"/>
      <c r="BU2445" s="128"/>
      <c r="BV2445" s="128"/>
      <c r="BW2445" s="128"/>
      <c r="BX2445" s="128"/>
      <c r="BY2445" s="128"/>
      <c r="BZ2445" s="128"/>
      <c r="CA2445" s="128"/>
      <c r="CB2445" s="128"/>
      <c r="CC2445" s="128"/>
      <c r="CD2445" s="128"/>
      <c r="CE2445" s="128"/>
      <c r="CF2445" s="128"/>
      <c r="CG2445" s="128"/>
      <c r="CI2445" s="128"/>
      <c r="CJ2445" s="128"/>
      <c r="CK2445" s="128"/>
      <c r="CL2445" s="128"/>
      <c r="CM2445" s="128"/>
      <c r="CN2445" s="128"/>
      <c r="CO2445" s="128"/>
      <c r="CP2445" s="128"/>
      <c r="CQ2445" s="128"/>
      <c r="CR2445" s="128"/>
      <c r="CS2445" s="128"/>
      <c r="CT2445" s="128"/>
      <c r="CU2445" s="128"/>
      <c r="CV2445" s="128"/>
      <c r="CW2445" s="128"/>
      <c r="CX2445" s="128"/>
      <c r="CY2445" s="128"/>
      <c r="CZ2445" s="165"/>
    </row>
    <row r="2446" spans="1:104">
      <c r="A2446" s="149"/>
      <c r="B2446" s="149"/>
      <c r="C2446" s="150"/>
      <c r="D2446" s="102"/>
      <c r="E2446" s="149"/>
      <c r="F2446" s="149"/>
      <c r="G2446" s="149"/>
      <c r="H2446" s="149"/>
      <c r="I2446" s="149"/>
      <c r="J2446" s="149"/>
      <c r="K2446" s="149"/>
      <c r="L2446" s="149"/>
      <c r="M2446" s="149"/>
      <c r="N2446" s="149"/>
      <c r="O2446" s="149"/>
      <c r="P2446" s="149"/>
      <c r="Q2446" s="149"/>
      <c r="R2446" s="149"/>
      <c r="S2446" s="149"/>
      <c r="T2446" s="149"/>
      <c r="U2446" s="149"/>
      <c r="V2446" s="149"/>
      <c r="W2446" s="149"/>
      <c r="X2446" s="149"/>
      <c r="Y2446" s="149"/>
      <c r="Z2446" s="149"/>
      <c r="AA2446" s="149"/>
      <c r="AB2446" s="149"/>
      <c r="AC2446" s="149"/>
      <c r="AD2446" s="149"/>
      <c r="AE2446" s="149"/>
      <c r="AF2446" s="149"/>
      <c r="AG2446" s="149"/>
      <c r="AH2446" s="149"/>
      <c r="AI2446" s="149"/>
      <c r="AJ2446" s="149"/>
      <c r="AK2446" s="149"/>
      <c r="AL2446" s="149"/>
      <c r="AM2446" s="149"/>
      <c r="AN2446" s="149"/>
      <c r="AO2446" s="128"/>
      <c r="AP2446" s="128"/>
      <c r="AQ2446" s="128"/>
      <c r="AR2446" s="128"/>
      <c r="AS2446" s="128"/>
      <c r="AT2446" s="128"/>
      <c r="AU2446" s="128"/>
      <c r="AV2446" s="128"/>
      <c r="AW2446" s="128"/>
      <c r="AX2446" s="128"/>
      <c r="AY2446" s="128"/>
      <c r="AZ2446" s="128"/>
      <c r="BA2446" s="128"/>
      <c r="BB2446" s="128"/>
      <c r="BC2446" s="128"/>
      <c r="BD2446" s="128"/>
      <c r="BE2446" s="128"/>
      <c r="BF2446" s="128"/>
      <c r="BG2446" s="128"/>
      <c r="BH2446" s="128"/>
      <c r="BI2446" s="128"/>
      <c r="BJ2446" s="128"/>
      <c r="BK2446" s="128"/>
      <c r="BL2446" s="128"/>
      <c r="BM2446" s="151"/>
      <c r="BN2446" s="128"/>
      <c r="BO2446" s="128"/>
      <c r="BP2446" s="128"/>
      <c r="BQ2446" s="128"/>
      <c r="BR2446" s="128"/>
      <c r="BS2446" s="128"/>
      <c r="BT2446" s="128"/>
      <c r="BU2446" s="128"/>
      <c r="BV2446" s="128"/>
      <c r="BW2446" s="128"/>
      <c r="BX2446" s="128"/>
      <c r="BY2446" s="128"/>
      <c r="BZ2446" s="128"/>
      <c r="CA2446" s="128"/>
      <c r="CB2446" s="128"/>
      <c r="CC2446" s="128"/>
      <c r="CD2446" s="128"/>
      <c r="CE2446" s="128"/>
      <c r="CF2446" s="128"/>
      <c r="CG2446" s="128"/>
      <c r="CI2446" s="128"/>
      <c r="CJ2446" s="128"/>
      <c r="CK2446" s="128"/>
      <c r="CL2446" s="128"/>
      <c r="CM2446" s="128"/>
      <c r="CN2446" s="128"/>
      <c r="CO2446" s="128"/>
      <c r="CP2446" s="128"/>
      <c r="CQ2446" s="128"/>
      <c r="CR2446" s="128"/>
      <c r="CS2446" s="128"/>
      <c r="CT2446" s="128"/>
      <c r="CU2446" s="128"/>
      <c r="CV2446" s="128"/>
      <c r="CW2446" s="128"/>
      <c r="CX2446" s="128"/>
      <c r="CY2446" s="128"/>
      <c r="CZ2446" s="165"/>
    </row>
    <row r="2447" spans="1:104">
      <c r="A2447" s="149"/>
      <c r="B2447" s="149"/>
      <c r="C2447" s="150"/>
      <c r="D2447" s="102"/>
      <c r="E2447" s="149"/>
      <c r="F2447" s="149"/>
      <c r="G2447" s="149"/>
      <c r="H2447" s="149"/>
      <c r="I2447" s="149"/>
      <c r="J2447" s="149"/>
      <c r="K2447" s="149"/>
      <c r="L2447" s="149"/>
      <c r="M2447" s="149"/>
      <c r="N2447" s="149"/>
      <c r="O2447" s="149"/>
      <c r="P2447" s="149"/>
      <c r="Q2447" s="149"/>
      <c r="R2447" s="149"/>
      <c r="S2447" s="149"/>
      <c r="T2447" s="149"/>
      <c r="U2447" s="149"/>
      <c r="V2447" s="149"/>
      <c r="W2447" s="149"/>
      <c r="X2447" s="149"/>
      <c r="Y2447" s="149"/>
      <c r="Z2447" s="149"/>
      <c r="AA2447" s="149"/>
      <c r="AB2447" s="149"/>
      <c r="AC2447" s="149"/>
      <c r="AD2447" s="149"/>
      <c r="AE2447" s="149"/>
      <c r="AF2447" s="149"/>
      <c r="AG2447" s="149"/>
      <c r="AH2447" s="149"/>
      <c r="AI2447" s="149"/>
      <c r="AJ2447" s="149"/>
      <c r="AK2447" s="149"/>
      <c r="AL2447" s="149"/>
      <c r="AM2447" s="149"/>
      <c r="AN2447" s="149"/>
      <c r="AO2447" s="128"/>
      <c r="AP2447" s="128"/>
      <c r="AQ2447" s="128"/>
      <c r="AR2447" s="128"/>
      <c r="AS2447" s="128"/>
      <c r="AT2447" s="128"/>
      <c r="AU2447" s="128"/>
      <c r="AV2447" s="128"/>
      <c r="AW2447" s="128"/>
      <c r="AX2447" s="128"/>
      <c r="AY2447" s="128"/>
      <c r="AZ2447" s="128"/>
      <c r="BA2447" s="128"/>
      <c r="BB2447" s="128"/>
      <c r="BC2447" s="128"/>
      <c r="BD2447" s="128"/>
      <c r="BE2447" s="128"/>
      <c r="BF2447" s="128"/>
      <c r="BG2447" s="128"/>
      <c r="BH2447" s="128"/>
      <c r="BI2447" s="128"/>
      <c r="BJ2447" s="128"/>
      <c r="BK2447" s="128"/>
      <c r="BL2447" s="128"/>
      <c r="BM2447" s="151"/>
      <c r="BN2447" s="128"/>
      <c r="BO2447" s="128"/>
      <c r="BP2447" s="128"/>
      <c r="BQ2447" s="128"/>
      <c r="BR2447" s="128"/>
      <c r="BS2447" s="128"/>
      <c r="BT2447" s="128"/>
      <c r="BU2447" s="128"/>
      <c r="BV2447" s="128"/>
      <c r="BW2447" s="128"/>
      <c r="BX2447" s="128"/>
      <c r="BY2447" s="128"/>
      <c r="BZ2447" s="128"/>
      <c r="CA2447" s="128"/>
      <c r="CB2447" s="128"/>
      <c r="CC2447" s="128"/>
      <c r="CD2447" s="128"/>
      <c r="CE2447" s="128"/>
      <c r="CF2447" s="128"/>
      <c r="CG2447" s="128"/>
      <c r="CI2447" s="128"/>
      <c r="CJ2447" s="128"/>
      <c r="CK2447" s="128"/>
      <c r="CL2447" s="128"/>
      <c r="CM2447" s="128"/>
      <c r="CN2447" s="128"/>
      <c r="CO2447" s="128"/>
      <c r="CP2447" s="128"/>
      <c r="CQ2447" s="128"/>
      <c r="CR2447" s="128"/>
      <c r="CS2447" s="128"/>
      <c r="CT2447" s="128"/>
      <c r="CU2447" s="128"/>
      <c r="CV2447" s="128"/>
      <c r="CW2447" s="128"/>
      <c r="CX2447" s="128"/>
      <c r="CY2447" s="128"/>
      <c r="CZ2447" s="165"/>
    </row>
    <row r="2448" spans="1:104">
      <c r="A2448" s="149"/>
      <c r="B2448" s="149"/>
      <c r="C2448" s="150"/>
      <c r="D2448" s="102"/>
      <c r="E2448" s="149"/>
      <c r="F2448" s="149"/>
      <c r="G2448" s="149"/>
      <c r="H2448" s="149"/>
      <c r="I2448" s="149"/>
      <c r="J2448" s="149"/>
      <c r="K2448" s="149"/>
      <c r="L2448" s="149"/>
      <c r="M2448" s="149"/>
      <c r="N2448" s="149"/>
      <c r="O2448" s="149"/>
      <c r="P2448" s="149"/>
      <c r="Q2448" s="149"/>
      <c r="R2448" s="149"/>
      <c r="S2448" s="149"/>
      <c r="T2448" s="149"/>
      <c r="U2448" s="149"/>
      <c r="V2448" s="149"/>
      <c r="W2448" s="149"/>
      <c r="X2448" s="149"/>
      <c r="Y2448" s="149"/>
      <c r="Z2448" s="149"/>
      <c r="AA2448" s="149"/>
      <c r="AB2448" s="149"/>
      <c r="AC2448" s="149"/>
      <c r="AD2448" s="149"/>
      <c r="AE2448" s="149"/>
      <c r="AF2448" s="149"/>
      <c r="AG2448" s="149"/>
      <c r="AH2448" s="149"/>
      <c r="AI2448" s="149"/>
      <c r="AJ2448" s="149"/>
      <c r="AK2448" s="149"/>
      <c r="AL2448" s="149"/>
      <c r="AM2448" s="149"/>
      <c r="AN2448" s="149"/>
      <c r="AO2448" s="128"/>
      <c r="AP2448" s="128"/>
      <c r="AQ2448" s="128"/>
      <c r="AR2448" s="128"/>
      <c r="AS2448" s="128"/>
      <c r="AT2448" s="128"/>
      <c r="AU2448" s="128"/>
      <c r="AV2448" s="128"/>
      <c r="AW2448" s="128"/>
      <c r="AX2448" s="128"/>
      <c r="AY2448" s="128"/>
      <c r="AZ2448" s="128"/>
      <c r="BA2448" s="128"/>
      <c r="BB2448" s="128"/>
      <c r="BC2448" s="128"/>
      <c r="BD2448" s="128"/>
      <c r="BE2448" s="128"/>
      <c r="BF2448" s="128"/>
      <c r="BG2448" s="128"/>
      <c r="BH2448" s="128"/>
      <c r="BI2448" s="128"/>
      <c r="BJ2448" s="128"/>
      <c r="BK2448" s="128"/>
      <c r="BL2448" s="128"/>
      <c r="BM2448" s="151"/>
      <c r="BN2448" s="128"/>
      <c r="BO2448" s="128"/>
      <c r="BP2448" s="128"/>
      <c r="BQ2448" s="128"/>
      <c r="BR2448" s="128"/>
      <c r="BS2448" s="128"/>
      <c r="BT2448" s="128"/>
      <c r="BU2448" s="128"/>
      <c r="BV2448" s="128"/>
      <c r="BW2448" s="128"/>
      <c r="BX2448" s="128"/>
      <c r="BY2448" s="128"/>
      <c r="BZ2448" s="128"/>
      <c r="CA2448" s="128"/>
      <c r="CB2448" s="128"/>
      <c r="CC2448" s="128"/>
      <c r="CD2448" s="128"/>
      <c r="CE2448" s="128"/>
      <c r="CF2448" s="128"/>
      <c r="CG2448" s="128"/>
      <c r="CI2448" s="128"/>
      <c r="CJ2448" s="128"/>
      <c r="CK2448" s="128"/>
      <c r="CL2448" s="128"/>
      <c r="CM2448" s="128"/>
      <c r="CN2448" s="128"/>
      <c r="CO2448" s="128"/>
      <c r="CP2448" s="128"/>
      <c r="CQ2448" s="128"/>
      <c r="CR2448" s="128"/>
      <c r="CS2448" s="128"/>
      <c r="CT2448" s="128"/>
      <c r="CU2448" s="128"/>
      <c r="CV2448" s="128"/>
      <c r="CW2448" s="128"/>
      <c r="CX2448" s="128"/>
      <c r="CY2448" s="128"/>
      <c r="CZ2448" s="165"/>
    </row>
    <row r="2449" spans="1:104">
      <c r="A2449" s="149"/>
      <c r="B2449" s="149"/>
      <c r="C2449" s="150"/>
      <c r="D2449" s="102"/>
      <c r="E2449" s="149"/>
      <c r="F2449" s="149"/>
      <c r="G2449" s="149"/>
      <c r="H2449" s="149"/>
      <c r="I2449" s="149"/>
      <c r="J2449" s="149"/>
      <c r="K2449" s="149"/>
      <c r="L2449" s="149"/>
      <c r="M2449" s="149"/>
      <c r="N2449" s="149"/>
      <c r="O2449" s="149"/>
      <c r="P2449" s="149"/>
      <c r="Q2449" s="149"/>
      <c r="R2449" s="149"/>
      <c r="S2449" s="149"/>
      <c r="T2449" s="149"/>
      <c r="U2449" s="149"/>
      <c r="V2449" s="149"/>
      <c r="W2449" s="149"/>
      <c r="X2449" s="149"/>
      <c r="Y2449" s="149"/>
      <c r="Z2449" s="149"/>
      <c r="AA2449" s="149"/>
      <c r="AB2449" s="149"/>
      <c r="AC2449" s="149"/>
      <c r="AD2449" s="149"/>
      <c r="AE2449" s="149"/>
      <c r="AF2449" s="149"/>
      <c r="AG2449" s="149"/>
      <c r="AH2449" s="149"/>
      <c r="AI2449" s="149"/>
      <c r="AJ2449" s="149"/>
      <c r="AK2449" s="149"/>
      <c r="AL2449" s="149"/>
      <c r="AM2449" s="149"/>
      <c r="AN2449" s="149"/>
      <c r="AO2449" s="128"/>
      <c r="AP2449" s="128"/>
      <c r="AQ2449" s="128"/>
      <c r="AR2449" s="128"/>
      <c r="AS2449" s="128"/>
      <c r="AT2449" s="128"/>
      <c r="AU2449" s="128"/>
      <c r="AV2449" s="128"/>
      <c r="AW2449" s="128"/>
      <c r="AX2449" s="128"/>
      <c r="AY2449" s="128"/>
      <c r="AZ2449" s="128"/>
      <c r="BA2449" s="128"/>
      <c r="BB2449" s="128"/>
      <c r="BC2449" s="128"/>
      <c r="BD2449" s="128"/>
      <c r="BE2449" s="128"/>
      <c r="BF2449" s="128"/>
      <c r="BG2449" s="128"/>
      <c r="BH2449" s="128"/>
      <c r="BI2449" s="128"/>
      <c r="BJ2449" s="128"/>
      <c r="BK2449" s="128"/>
      <c r="BL2449" s="128"/>
      <c r="BM2449" s="151"/>
      <c r="BN2449" s="128"/>
      <c r="BO2449" s="128"/>
      <c r="BP2449" s="128"/>
      <c r="BQ2449" s="128"/>
      <c r="BR2449" s="128"/>
      <c r="BS2449" s="128"/>
      <c r="BT2449" s="128"/>
      <c r="BU2449" s="128"/>
      <c r="BV2449" s="128"/>
      <c r="BW2449" s="128"/>
      <c r="BX2449" s="128"/>
      <c r="BY2449" s="128"/>
      <c r="BZ2449" s="128"/>
      <c r="CA2449" s="128"/>
      <c r="CB2449" s="128"/>
      <c r="CC2449" s="128"/>
      <c r="CD2449" s="128"/>
      <c r="CE2449" s="128"/>
      <c r="CF2449" s="128"/>
      <c r="CG2449" s="128"/>
      <c r="CI2449" s="128"/>
      <c r="CJ2449" s="128"/>
      <c r="CK2449" s="128"/>
      <c r="CL2449" s="128"/>
      <c r="CM2449" s="128"/>
      <c r="CN2449" s="128"/>
      <c r="CO2449" s="128"/>
      <c r="CP2449" s="128"/>
      <c r="CQ2449" s="128"/>
      <c r="CR2449" s="128"/>
      <c r="CS2449" s="128"/>
      <c r="CT2449" s="128"/>
      <c r="CU2449" s="128"/>
      <c r="CV2449" s="128"/>
      <c r="CW2449" s="128"/>
      <c r="CX2449" s="128"/>
      <c r="CY2449" s="128"/>
      <c r="CZ2449" s="165"/>
    </row>
    <row r="2450" spans="1:104">
      <c r="A2450" s="149"/>
      <c r="B2450" s="149"/>
      <c r="C2450" s="150"/>
      <c r="D2450" s="102"/>
      <c r="E2450" s="149"/>
      <c r="F2450" s="149"/>
      <c r="G2450" s="149"/>
      <c r="H2450" s="149"/>
      <c r="I2450" s="149"/>
      <c r="J2450" s="149"/>
      <c r="K2450" s="149"/>
      <c r="L2450" s="149"/>
      <c r="M2450" s="149"/>
      <c r="N2450" s="149"/>
      <c r="O2450" s="149"/>
      <c r="P2450" s="149"/>
      <c r="Q2450" s="149"/>
      <c r="R2450" s="149"/>
      <c r="S2450" s="149"/>
      <c r="T2450" s="149"/>
      <c r="U2450" s="149"/>
      <c r="V2450" s="149"/>
      <c r="W2450" s="149"/>
      <c r="X2450" s="149"/>
      <c r="Y2450" s="149"/>
      <c r="Z2450" s="149"/>
      <c r="AA2450" s="149"/>
      <c r="AB2450" s="149"/>
      <c r="AC2450" s="149"/>
      <c r="AD2450" s="149"/>
      <c r="AE2450" s="149"/>
      <c r="AF2450" s="149"/>
      <c r="AG2450" s="149"/>
      <c r="AH2450" s="149"/>
      <c r="AI2450" s="149"/>
      <c r="AJ2450" s="149"/>
      <c r="AK2450" s="149"/>
      <c r="AL2450" s="149"/>
      <c r="AM2450" s="149"/>
      <c r="AN2450" s="149"/>
      <c r="AO2450" s="128"/>
      <c r="AP2450" s="128"/>
      <c r="AQ2450" s="128"/>
      <c r="AR2450" s="128"/>
      <c r="AS2450" s="128"/>
      <c r="AT2450" s="128"/>
      <c r="AU2450" s="128"/>
      <c r="AV2450" s="128"/>
      <c r="AW2450" s="128"/>
      <c r="AX2450" s="128"/>
      <c r="AY2450" s="128"/>
      <c r="AZ2450" s="128"/>
      <c r="BA2450" s="128"/>
      <c r="BB2450" s="128"/>
      <c r="BC2450" s="128"/>
      <c r="BD2450" s="128"/>
      <c r="BE2450" s="128"/>
      <c r="BF2450" s="128"/>
      <c r="BG2450" s="128"/>
      <c r="BH2450" s="128"/>
      <c r="BI2450" s="128"/>
      <c r="BJ2450" s="128"/>
      <c r="BK2450" s="128"/>
      <c r="BL2450" s="128"/>
      <c r="BM2450" s="151"/>
      <c r="BN2450" s="128"/>
      <c r="BO2450" s="128"/>
      <c r="BP2450" s="128"/>
      <c r="BQ2450" s="128"/>
      <c r="BR2450" s="128"/>
      <c r="BS2450" s="128"/>
      <c r="BT2450" s="128"/>
      <c r="BU2450" s="128"/>
      <c r="BV2450" s="128"/>
      <c r="BW2450" s="128"/>
      <c r="BX2450" s="128"/>
      <c r="BY2450" s="128"/>
      <c r="BZ2450" s="128"/>
      <c r="CA2450" s="128"/>
      <c r="CB2450" s="128"/>
      <c r="CC2450" s="128"/>
      <c r="CD2450" s="128"/>
      <c r="CE2450" s="128"/>
      <c r="CF2450" s="128"/>
      <c r="CG2450" s="128"/>
      <c r="CI2450" s="128"/>
      <c r="CJ2450" s="128"/>
      <c r="CK2450" s="128"/>
      <c r="CL2450" s="128"/>
      <c r="CM2450" s="128"/>
      <c r="CN2450" s="128"/>
      <c r="CO2450" s="128"/>
      <c r="CP2450" s="128"/>
      <c r="CQ2450" s="128"/>
      <c r="CR2450" s="128"/>
      <c r="CS2450" s="128"/>
      <c r="CT2450" s="128"/>
      <c r="CU2450" s="128"/>
      <c r="CV2450" s="128"/>
      <c r="CW2450" s="128"/>
      <c r="CX2450" s="128"/>
      <c r="CY2450" s="128"/>
      <c r="CZ2450" s="165"/>
    </row>
    <row r="2451" spans="1:104">
      <c r="A2451" s="149"/>
      <c r="B2451" s="149"/>
      <c r="C2451" s="150"/>
      <c r="D2451" s="102"/>
      <c r="E2451" s="149"/>
      <c r="F2451" s="149"/>
      <c r="G2451" s="149"/>
      <c r="H2451" s="149"/>
      <c r="I2451" s="149"/>
      <c r="J2451" s="149"/>
      <c r="K2451" s="149"/>
      <c r="L2451" s="149"/>
      <c r="M2451" s="149"/>
      <c r="N2451" s="149"/>
      <c r="O2451" s="149"/>
      <c r="P2451" s="149"/>
      <c r="Q2451" s="149"/>
      <c r="R2451" s="149"/>
      <c r="S2451" s="149"/>
      <c r="T2451" s="149"/>
      <c r="U2451" s="149"/>
      <c r="V2451" s="149"/>
      <c r="W2451" s="149"/>
      <c r="X2451" s="149"/>
      <c r="Y2451" s="149"/>
      <c r="Z2451" s="149"/>
      <c r="AA2451" s="149"/>
      <c r="AB2451" s="149"/>
      <c r="AC2451" s="149"/>
      <c r="AD2451" s="149"/>
      <c r="AE2451" s="149"/>
      <c r="AF2451" s="149"/>
      <c r="AG2451" s="149"/>
      <c r="AH2451" s="149"/>
      <c r="AI2451" s="149"/>
      <c r="AJ2451" s="149"/>
      <c r="AK2451" s="149"/>
      <c r="AL2451" s="149"/>
      <c r="AM2451" s="149"/>
      <c r="AN2451" s="149"/>
      <c r="AO2451" s="128"/>
      <c r="AP2451" s="128"/>
      <c r="AQ2451" s="128"/>
      <c r="AR2451" s="128"/>
      <c r="AS2451" s="128"/>
      <c r="AT2451" s="128"/>
      <c r="AU2451" s="128"/>
      <c r="AV2451" s="128"/>
      <c r="AW2451" s="128"/>
      <c r="AX2451" s="128"/>
      <c r="AY2451" s="128"/>
      <c r="AZ2451" s="128"/>
      <c r="BA2451" s="128"/>
      <c r="BB2451" s="128"/>
      <c r="BC2451" s="128"/>
      <c r="BD2451" s="128"/>
      <c r="BE2451" s="128"/>
      <c r="BF2451" s="128"/>
      <c r="BG2451" s="128"/>
      <c r="BH2451" s="128"/>
      <c r="BI2451" s="128"/>
      <c r="BJ2451" s="128"/>
      <c r="BK2451" s="128"/>
      <c r="BL2451" s="128"/>
      <c r="BM2451" s="151"/>
      <c r="BN2451" s="128"/>
      <c r="BO2451" s="128"/>
      <c r="BP2451" s="128"/>
      <c r="BQ2451" s="128"/>
      <c r="BR2451" s="128"/>
      <c r="BS2451" s="128"/>
      <c r="BT2451" s="128"/>
      <c r="BU2451" s="128"/>
      <c r="BV2451" s="128"/>
      <c r="BW2451" s="128"/>
      <c r="BX2451" s="128"/>
      <c r="BY2451" s="128"/>
      <c r="BZ2451" s="128"/>
      <c r="CA2451" s="128"/>
      <c r="CB2451" s="128"/>
      <c r="CC2451" s="128"/>
      <c r="CD2451" s="128"/>
      <c r="CE2451" s="128"/>
      <c r="CF2451" s="128"/>
      <c r="CG2451" s="128"/>
      <c r="CI2451" s="128"/>
      <c r="CJ2451" s="128"/>
      <c r="CK2451" s="128"/>
      <c r="CL2451" s="128"/>
      <c r="CM2451" s="128"/>
      <c r="CN2451" s="128"/>
      <c r="CO2451" s="128"/>
      <c r="CP2451" s="128"/>
      <c r="CQ2451" s="128"/>
      <c r="CR2451" s="128"/>
      <c r="CS2451" s="128"/>
      <c r="CT2451" s="128"/>
      <c r="CU2451" s="128"/>
      <c r="CV2451" s="128"/>
      <c r="CW2451" s="128"/>
      <c r="CX2451" s="128"/>
      <c r="CY2451" s="128"/>
      <c r="CZ2451" s="165"/>
    </row>
    <row r="2452" spans="1:104">
      <c r="A2452" s="149"/>
      <c r="B2452" s="149"/>
      <c r="C2452" s="150"/>
      <c r="D2452" s="102"/>
      <c r="E2452" s="149"/>
      <c r="F2452" s="149"/>
      <c r="G2452" s="149"/>
      <c r="H2452" s="149"/>
      <c r="I2452" s="149"/>
      <c r="J2452" s="149"/>
      <c r="K2452" s="149"/>
      <c r="L2452" s="149"/>
      <c r="M2452" s="149"/>
      <c r="N2452" s="149"/>
      <c r="O2452" s="149"/>
      <c r="P2452" s="149"/>
      <c r="Q2452" s="149"/>
      <c r="R2452" s="149"/>
      <c r="S2452" s="149"/>
      <c r="T2452" s="149"/>
      <c r="U2452" s="149"/>
      <c r="V2452" s="149"/>
      <c r="W2452" s="149"/>
      <c r="X2452" s="149"/>
      <c r="Y2452" s="149"/>
      <c r="Z2452" s="149"/>
      <c r="AA2452" s="149"/>
      <c r="AB2452" s="149"/>
      <c r="AC2452" s="149"/>
      <c r="AD2452" s="149"/>
      <c r="AE2452" s="149"/>
      <c r="AF2452" s="149"/>
      <c r="AG2452" s="149"/>
      <c r="AH2452" s="149"/>
      <c r="AI2452" s="149"/>
      <c r="AJ2452" s="149"/>
      <c r="AK2452" s="149"/>
      <c r="AL2452" s="149"/>
      <c r="AM2452" s="149"/>
      <c r="AN2452" s="149"/>
      <c r="AO2452" s="128"/>
      <c r="AP2452" s="128"/>
      <c r="AQ2452" s="128"/>
      <c r="AR2452" s="128"/>
      <c r="AS2452" s="128"/>
      <c r="AT2452" s="128"/>
      <c r="AU2452" s="128"/>
      <c r="AV2452" s="128"/>
      <c r="AW2452" s="128"/>
      <c r="AX2452" s="128"/>
      <c r="AY2452" s="128"/>
      <c r="AZ2452" s="128"/>
      <c r="BA2452" s="128"/>
      <c r="BB2452" s="128"/>
      <c r="BC2452" s="128"/>
      <c r="BD2452" s="128"/>
      <c r="BE2452" s="128"/>
      <c r="BF2452" s="128"/>
      <c r="BG2452" s="128"/>
      <c r="BH2452" s="128"/>
      <c r="BI2452" s="128"/>
      <c r="BJ2452" s="128"/>
      <c r="BK2452" s="128"/>
      <c r="BL2452" s="128"/>
      <c r="BM2452" s="151"/>
      <c r="BN2452" s="128"/>
      <c r="BO2452" s="128"/>
      <c r="BP2452" s="128"/>
      <c r="BQ2452" s="128"/>
      <c r="BR2452" s="128"/>
      <c r="BS2452" s="128"/>
      <c r="BT2452" s="128"/>
      <c r="BU2452" s="128"/>
      <c r="BV2452" s="128"/>
      <c r="BW2452" s="128"/>
      <c r="BX2452" s="128"/>
      <c r="BY2452" s="128"/>
      <c r="BZ2452" s="128"/>
      <c r="CA2452" s="128"/>
      <c r="CB2452" s="128"/>
      <c r="CC2452" s="128"/>
      <c r="CD2452" s="128"/>
      <c r="CE2452" s="128"/>
      <c r="CF2452" s="128"/>
      <c r="CG2452" s="128"/>
      <c r="CI2452" s="128"/>
      <c r="CJ2452" s="128"/>
      <c r="CK2452" s="128"/>
      <c r="CL2452" s="128"/>
      <c r="CM2452" s="128"/>
      <c r="CN2452" s="128"/>
      <c r="CO2452" s="128"/>
      <c r="CP2452" s="128"/>
      <c r="CQ2452" s="128"/>
      <c r="CR2452" s="128"/>
      <c r="CS2452" s="128"/>
      <c r="CT2452" s="128"/>
      <c r="CU2452" s="128"/>
      <c r="CV2452" s="128"/>
      <c r="CW2452" s="128"/>
      <c r="CX2452" s="128"/>
      <c r="CY2452" s="128"/>
      <c r="CZ2452" s="165"/>
    </row>
    <row r="2453" spans="1:104">
      <c r="A2453" s="149"/>
      <c r="B2453" s="149"/>
      <c r="C2453" s="150"/>
      <c r="D2453" s="102"/>
      <c r="E2453" s="149"/>
      <c r="F2453" s="149"/>
      <c r="G2453" s="149"/>
      <c r="H2453" s="149"/>
      <c r="I2453" s="149"/>
      <c r="J2453" s="149"/>
      <c r="K2453" s="149"/>
      <c r="L2453" s="149"/>
      <c r="M2453" s="149"/>
      <c r="N2453" s="149"/>
      <c r="O2453" s="149"/>
      <c r="P2453" s="149"/>
      <c r="Q2453" s="149"/>
      <c r="R2453" s="149"/>
      <c r="S2453" s="149"/>
      <c r="T2453" s="149"/>
      <c r="U2453" s="149"/>
      <c r="V2453" s="149"/>
      <c r="W2453" s="149"/>
      <c r="X2453" s="149"/>
      <c r="Y2453" s="149"/>
      <c r="Z2453" s="149"/>
      <c r="AA2453" s="149"/>
      <c r="AB2453" s="149"/>
      <c r="AC2453" s="149"/>
      <c r="AD2453" s="149"/>
      <c r="AE2453" s="149"/>
      <c r="AF2453" s="149"/>
      <c r="AG2453" s="149"/>
      <c r="AH2453" s="149"/>
      <c r="AI2453" s="149"/>
      <c r="AJ2453" s="149"/>
      <c r="AK2453" s="149"/>
      <c r="AL2453" s="149"/>
      <c r="AM2453" s="149"/>
      <c r="AN2453" s="149"/>
      <c r="AO2453" s="128"/>
      <c r="AP2453" s="128"/>
      <c r="AQ2453" s="128"/>
      <c r="AR2453" s="128"/>
      <c r="AS2453" s="128"/>
      <c r="AT2453" s="128"/>
      <c r="AU2453" s="128"/>
      <c r="AV2453" s="128"/>
      <c r="AW2453" s="128"/>
      <c r="AX2453" s="128"/>
      <c r="AY2453" s="128"/>
      <c r="AZ2453" s="128"/>
      <c r="BA2453" s="128"/>
      <c r="BB2453" s="128"/>
      <c r="BC2453" s="128"/>
      <c r="BD2453" s="128"/>
      <c r="BE2453" s="128"/>
      <c r="BF2453" s="128"/>
      <c r="BG2453" s="128"/>
      <c r="BH2453" s="128"/>
      <c r="BI2453" s="128"/>
      <c r="BJ2453" s="128"/>
      <c r="BK2453" s="128"/>
      <c r="BL2453" s="128"/>
      <c r="BM2453" s="151"/>
      <c r="BN2453" s="128"/>
      <c r="BO2453" s="128"/>
      <c r="BP2453" s="128"/>
      <c r="BQ2453" s="128"/>
      <c r="BR2453" s="128"/>
      <c r="BS2453" s="128"/>
      <c r="BT2453" s="128"/>
      <c r="BU2453" s="128"/>
      <c r="BV2453" s="128"/>
      <c r="BW2453" s="128"/>
      <c r="BX2453" s="128"/>
      <c r="BY2453" s="128"/>
      <c r="BZ2453" s="128"/>
      <c r="CA2453" s="128"/>
      <c r="CB2453" s="128"/>
      <c r="CC2453" s="128"/>
      <c r="CD2453" s="128"/>
      <c r="CE2453" s="128"/>
      <c r="CF2453" s="128"/>
      <c r="CG2453" s="128"/>
      <c r="CI2453" s="128"/>
      <c r="CJ2453" s="128"/>
      <c r="CK2453" s="128"/>
      <c r="CL2453" s="128"/>
      <c r="CM2453" s="128"/>
      <c r="CN2453" s="128"/>
      <c r="CO2453" s="128"/>
      <c r="CP2453" s="128"/>
      <c r="CQ2453" s="128"/>
      <c r="CR2453" s="128"/>
      <c r="CS2453" s="128"/>
      <c r="CT2453" s="128"/>
      <c r="CU2453" s="128"/>
      <c r="CV2453" s="128"/>
      <c r="CW2453" s="128"/>
      <c r="CX2453" s="128"/>
      <c r="CY2453" s="128"/>
      <c r="CZ2453" s="165"/>
    </row>
    <row r="2454" spans="1:104">
      <c r="A2454" s="149"/>
      <c r="B2454" s="149"/>
      <c r="C2454" s="150"/>
      <c r="D2454" s="102"/>
      <c r="E2454" s="149"/>
      <c r="F2454" s="149"/>
      <c r="G2454" s="149"/>
      <c r="H2454" s="149"/>
      <c r="I2454" s="149"/>
      <c r="J2454" s="149"/>
      <c r="K2454" s="149"/>
      <c r="L2454" s="149"/>
      <c r="M2454" s="149"/>
      <c r="N2454" s="149"/>
      <c r="O2454" s="149"/>
      <c r="P2454" s="149"/>
      <c r="Q2454" s="149"/>
      <c r="R2454" s="149"/>
      <c r="S2454" s="149"/>
      <c r="T2454" s="149"/>
      <c r="U2454" s="149"/>
      <c r="V2454" s="149"/>
      <c r="W2454" s="149"/>
      <c r="X2454" s="149"/>
      <c r="Y2454" s="149"/>
      <c r="Z2454" s="149"/>
      <c r="AA2454" s="149"/>
      <c r="AB2454" s="149"/>
      <c r="AC2454" s="149"/>
      <c r="AD2454" s="149"/>
      <c r="AE2454" s="149"/>
      <c r="AF2454" s="149"/>
      <c r="AG2454" s="149"/>
      <c r="AH2454" s="149"/>
      <c r="AI2454" s="149"/>
      <c r="AJ2454" s="149"/>
      <c r="AK2454" s="149"/>
      <c r="AL2454" s="149"/>
      <c r="AM2454" s="149"/>
      <c r="AN2454" s="149"/>
      <c r="AO2454" s="128"/>
      <c r="AP2454" s="128"/>
      <c r="AQ2454" s="128"/>
      <c r="AR2454" s="128"/>
      <c r="AS2454" s="128"/>
      <c r="AT2454" s="128"/>
      <c r="AU2454" s="128"/>
      <c r="AV2454" s="128"/>
      <c r="AW2454" s="128"/>
      <c r="AX2454" s="128"/>
      <c r="AY2454" s="128"/>
      <c r="AZ2454" s="128"/>
      <c r="BA2454" s="128"/>
      <c r="BB2454" s="128"/>
      <c r="BC2454" s="128"/>
      <c r="BD2454" s="128"/>
      <c r="BE2454" s="128"/>
      <c r="BF2454" s="128"/>
      <c r="BG2454" s="128"/>
      <c r="BH2454" s="128"/>
      <c r="BI2454" s="128"/>
      <c r="BJ2454" s="128"/>
      <c r="BK2454" s="128"/>
      <c r="BL2454" s="128"/>
      <c r="BM2454" s="151"/>
      <c r="BN2454" s="128"/>
      <c r="BO2454" s="128"/>
      <c r="BP2454" s="128"/>
      <c r="BQ2454" s="128"/>
      <c r="BR2454" s="128"/>
      <c r="BS2454" s="128"/>
      <c r="BT2454" s="128"/>
      <c r="BU2454" s="128"/>
      <c r="BV2454" s="128"/>
      <c r="BW2454" s="128"/>
      <c r="BX2454" s="128"/>
      <c r="BY2454" s="128"/>
      <c r="BZ2454" s="128"/>
      <c r="CA2454" s="128"/>
      <c r="CB2454" s="128"/>
      <c r="CC2454" s="128"/>
      <c r="CD2454" s="128"/>
      <c r="CE2454" s="128"/>
      <c r="CF2454" s="128"/>
      <c r="CG2454" s="128"/>
      <c r="CI2454" s="128"/>
      <c r="CJ2454" s="128"/>
      <c r="CK2454" s="128"/>
      <c r="CL2454" s="128"/>
      <c r="CM2454" s="128"/>
      <c r="CN2454" s="128"/>
      <c r="CO2454" s="128"/>
      <c r="CP2454" s="128"/>
      <c r="CQ2454" s="128"/>
      <c r="CR2454" s="128"/>
      <c r="CS2454" s="128"/>
      <c r="CT2454" s="128"/>
      <c r="CU2454" s="128"/>
      <c r="CV2454" s="128"/>
      <c r="CW2454" s="128"/>
      <c r="CX2454" s="128"/>
      <c r="CY2454" s="128"/>
      <c r="CZ2454" s="165"/>
    </row>
    <row r="2455" spans="1:104">
      <c r="A2455" s="149"/>
      <c r="B2455" s="149"/>
      <c r="C2455" s="150"/>
      <c r="D2455" s="102"/>
      <c r="E2455" s="149"/>
      <c r="F2455" s="149"/>
      <c r="G2455" s="149"/>
      <c r="H2455" s="149"/>
      <c r="I2455" s="149"/>
      <c r="J2455" s="149"/>
      <c r="K2455" s="149"/>
      <c r="L2455" s="149"/>
      <c r="M2455" s="149"/>
      <c r="N2455" s="149"/>
      <c r="O2455" s="149"/>
      <c r="P2455" s="149"/>
      <c r="Q2455" s="149"/>
      <c r="R2455" s="149"/>
      <c r="S2455" s="149"/>
      <c r="T2455" s="149"/>
      <c r="U2455" s="149"/>
      <c r="V2455" s="149"/>
      <c r="W2455" s="149"/>
      <c r="X2455" s="149"/>
      <c r="Y2455" s="149"/>
      <c r="Z2455" s="149"/>
      <c r="AA2455" s="149"/>
      <c r="AB2455" s="149"/>
      <c r="AC2455" s="149"/>
      <c r="AD2455" s="149"/>
      <c r="AE2455" s="149"/>
      <c r="AF2455" s="149"/>
      <c r="AG2455" s="149"/>
      <c r="AH2455" s="149"/>
      <c r="AI2455" s="149"/>
      <c r="AJ2455" s="149"/>
      <c r="AK2455" s="149"/>
      <c r="AL2455" s="149"/>
      <c r="AM2455" s="149"/>
      <c r="AN2455" s="149"/>
      <c r="AO2455" s="128"/>
      <c r="AP2455" s="128"/>
      <c r="AQ2455" s="128"/>
      <c r="AR2455" s="128"/>
      <c r="AS2455" s="128"/>
      <c r="AT2455" s="128"/>
      <c r="AU2455" s="128"/>
      <c r="AV2455" s="128"/>
      <c r="AW2455" s="128"/>
      <c r="AX2455" s="128"/>
      <c r="AY2455" s="128"/>
      <c r="AZ2455" s="128"/>
      <c r="BA2455" s="128"/>
      <c r="BB2455" s="128"/>
      <c r="BC2455" s="128"/>
      <c r="BD2455" s="128"/>
      <c r="BE2455" s="128"/>
      <c r="BF2455" s="128"/>
      <c r="BG2455" s="128"/>
      <c r="BH2455" s="128"/>
      <c r="BI2455" s="128"/>
      <c r="BJ2455" s="128"/>
      <c r="BK2455" s="128"/>
      <c r="BL2455" s="128"/>
      <c r="BM2455" s="151"/>
      <c r="BN2455" s="128"/>
      <c r="BO2455" s="128"/>
      <c r="BP2455" s="128"/>
      <c r="BQ2455" s="128"/>
      <c r="BR2455" s="128"/>
      <c r="BS2455" s="128"/>
      <c r="BT2455" s="128"/>
      <c r="BU2455" s="128"/>
      <c r="BV2455" s="128"/>
      <c r="BW2455" s="128"/>
      <c r="BX2455" s="128"/>
      <c r="BY2455" s="128"/>
      <c r="BZ2455" s="128"/>
      <c r="CA2455" s="128"/>
      <c r="CB2455" s="128"/>
      <c r="CC2455" s="128"/>
      <c r="CD2455" s="128"/>
      <c r="CE2455" s="128"/>
      <c r="CF2455" s="128"/>
      <c r="CG2455" s="128"/>
      <c r="CI2455" s="128"/>
      <c r="CJ2455" s="128"/>
      <c r="CK2455" s="128"/>
      <c r="CL2455" s="128"/>
      <c r="CM2455" s="128"/>
      <c r="CN2455" s="128"/>
      <c r="CO2455" s="128"/>
      <c r="CP2455" s="128"/>
      <c r="CQ2455" s="128"/>
      <c r="CR2455" s="128"/>
      <c r="CS2455" s="128"/>
      <c r="CT2455" s="128"/>
      <c r="CU2455" s="128"/>
      <c r="CV2455" s="128"/>
      <c r="CW2455" s="128"/>
      <c r="CX2455" s="128"/>
      <c r="CY2455" s="128"/>
      <c r="CZ2455" s="165"/>
    </row>
    <row r="2456" spans="1:104">
      <c r="A2456" s="149"/>
      <c r="B2456" s="149"/>
      <c r="C2456" s="150"/>
      <c r="D2456" s="102"/>
      <c r="E2456" s="149"/>
      <c r="F2456" s="149"/>
      <c r="G2456" s="149"/>
      <c r="H2456" s="149"/>
      <c r="I2456" s="149"/>
      <c r="J2456" s="149"/>
      <c r="K2456" s="149"/>
      <c r="L2456" s="149"/>
      <c r="M2456" s="149"/>
      <c r="N2456" s="149"/>
      <c r="O2456" s="149"/>
      <c r="P2456" s="149"/>
      <c r="Q2456" s="149"/>
      <c r="R2456" s="149"/>
      <c r="S2456" s="149"/>
      <c r="T2456" s="149"/>
      <c r="U2456" s="149"/>
      <c r="V2456" s="149"/>
      <c r="W2456" s="149"/>
      <c r="X2456" s="149"/>
      <c r="Y2456" s="149"/>
      <c r="Z2456" s="149"/>
      <c r="AA2456" s="149"/>
      <c r="AB2456" s="149"/>
      <c r="AC2456" s="149"/>
      <c r="AD2456" s="149"/>
      <c r="AE2456" s="149"/>
      <c r="AF2456" s="149"/>
      <c r="AG2456" s="149"/>
      <c r="AH2456" s="149"/>
      <c r="AI2456" s="149"/>
      <c r="AJ2456" s="149"/>
      <c r="AK2456" s="149"/>
      <c r="AL2456" s="149"/>
      <c r="AM2456" s="149"/>
      <c r="AN2456" s="149"/>
      <c r="AO2456" s="128"/>
      <c r="AP2456" s="128"/>
      <c r="AQ2456" s="128"/>
      <c r="AR2456" s="128"/>
      <c r="AS2456" s="128"/>
      <c r="AT2456" s="128"/>
      <c r="AU2456" s="128"/>
      <c r="AV2456" s="128"/>
      <c r="AW2456" s="128"/>
      <c r="AX2456" s="128"/>
      <c r="AY2456" s="128"/>
      <c r="AZ2456" s="128"/>
      <c r="BA2456" s="128"/>
      <c r="BB2456" s="128"/>
      <c r="BC2456" s="128"/>
      <c r="BD2456" s="128"/>
      <c r="BE2456" s="128"/>
      <c r="BF2456" s="128"/>
      <c r="BG2456" s="128"/>
      <c r="BH2456" s="128"/>
      <c r="BI2456" s="128"/>
      <c r="BJ2456" s="128"/>
      <c r="BK2456" s="128"/>
      <c r="BL2456" s="128"/>
      <c r="BM2456" s="151"/>
      <c r="BN2456" s="128"/>
      <c r="BO2456" s="128"/>
      <c r="BP2456" s="128"/>
      <c r="BQ2456" s="128"/>
      <c r="BR2456" s="128"/>
      <c r="BS2456" s="128"/>
      <c r="BT2456" s="128"/>
      <c r="BU2456" s="128"/>
      <c r="BV2456" s="128"/>
      <c r="BW2456" s="128"/>
      <c r="BX2456" s="128"/>
      <c r="BY2456" s="128"/>
      <c r="BZ2456" s="128"/>
      <c r="CA2456" s="128"/>
      <c r="CB2456" s="128"/>
      <c r="CC2456" s="128"/>
      <c r="CD2456" s="128"/>
      <c r="CE2456" s="128"/>
      <c r="CF2456" s="128"/>
      <c r="CG2456" s="128"/>
      <c r="CI2456" s="128"/>
      <c r="CJ2456" s="128"/>
      <c r="CK2456" s="128"/>
      <c r="CL2456" s="128"/>
      <c r="CM2456" s="128"/>
      <c r="CN2456" s="128"/>
      <c r="CO2456" s="128"/>
      <c r="CP2456" s="128"/>
      <c r="CQ2456" s="128"/>
      <c r="CR2456" s="128"/>
      <c r="CS2456" s="128"/>
      <c r="CT2456" s="128"/>
      <c r="CU2456" s="128"/>
      <c r="CV2456" s="128"/>
      <c r="CW2456" s="128"/>
      <c r="CX2456" s="128"/>
      <c r="CY2456" s="128"/>
      <c r="CZ2456" s="165"/>
    </row>
    <row r="2457" spans="1:104">
      <c r="A2457" s="149"/>
      <c r="B2457" s="149"/>
      <c r="C2457" s="150"/>
      <c r="D2457" s="102"/>
      <c r="E2457" s="149"/>
      <c r="F2457" s="149"/>
      <c r="G2457" s="149"/>
      <c r="H2457" s="149"/>
      <c r="I2457" s="149"/>
      <c r="J2457" s="149"/>
      <c r="K2457" s="149"/>
      <c r="L2457" s="149"/>
      <c r="M2457" s="149"/>
      <c r="N2457" s="149"/>
      <c r="O2457" s="149"/>
      <c r="P2457" s="149"/>
      <c r="Q2457" s="149"/>
      <c r="R2457" s="149"/>
      <c r="S2457" s="149"/>
      <c r="T2457" s="149"/>
      <c r="U2457" s="149"/>
      <c r="V2457" s="149"/>
      <c r="W2457" s="149"/>
      <c r="X2457" s="149"/>
      <c r="Y2457" s="149"/>
      <c r="Z2457" s="149"/>
      <c r="AA2457" s="149"/>
      <c r="AB2457" s="149"/>
      <c r="AC2457" s="149"/>
      <c r="AD2457" s="149"/>
      <c r="AE2457" s="149"/>
      <c r="AF2457" s="149"/>
      <c r="AG2457" s="149"/>
      <c r="AH2457" s="149"/>
      <c r="AI2457" s="149"/>
      <c r="AJ2457" s="149"/>
      <c r="AK2457" s="149"/>
      <c r="AL2457" s="149"/>
      <c r="AM2457" s="149"/>
      <c r="AN2457" s="149"/>
      <c r="AO2457" s="128"/>
      <c r="AP2457" s="128"/>
      <c r="AQ2457" s="128"/>
      <c r="AR2457" s="128"/>
      <c r="AS2457" s="128"/>
      <c r="AT2457" s="128"/>
      <c r="AU2457" s="128"/>
      <c r="AV2457" s="128"/>
      <c r="AW2457" s="128"/>
      <c r="AX2457" s="128"/>
      <c r="AY2457" s="128"/>
      <c r="AZ2457" s="128"/>
      <c r="BA2457" s="128"/>
      <c r="BB2457" s="128"/>
      <c r="BC2457" s="128"/>
      <c r="BD2457" s="128"/>
      <c r="BE2457" s="128"/>
      <c r="BF2457" s="128"/>
      <c r="BG2457" s="128"/>
      <c r="BH2457" s="128"/>
      <c r="BI2457" s="128"/>
      <c r="BJ2457" s="128"/>
      <c r="BK2457" s="128"/>
      <c r="BL2457" s="128"/>
      <c r="BM2457" s="151"/>
      <c r="BN2457" s="128"/>
      <c r="BO2457" s="128"/>
      <c r="BP2457" s="128"/>
      <c r="BQ2457" s="128"/>
      <c r="BR2457" s="128"/>
      <c r="BS2457" s="128"/>
      <c r="BT2457" s="128"/>
      <c r="BU2457" s="128"/>
      <c r="BV2457" s="128"/>
      <c r="BW2457" s="128"/>
      <c r="BX2457" s="128"/>
      <c r="BY2457" s="128"/>
      <c r="BZ2457" s="128"/>
      <c r="CA2457" s="128"/>
      <c r="CB2457" s="128"/>
      <c r="CC2457" s="128"/>
      <c r="CD2457" s="128"/>
      <c r="CE2457" s="128"/>
      <c r="CF2457" s="128"/>
      <c r="CG2457" s="128"/>
      <c r="CI2457" s="128"/>
      <c r="CJ2457" s="128"/>
      <c r="CK2457" s="128"/>
      <c r="CL2457" s="128"/>
      <c r="CM2457" s="128"/>
      <c r="CN2457" s="128"/>
      <c r="CO2457" s="128"/>
      <c r="CP2457" s="128"/>
      <c r="CQ2457" s="128"/>
      <c r="CR2457" s="128"/>
      <c r="CS2457" s="128"/>
      <c r="CT2457" s="128"/>
      <c r="CU2457" s="128"/>
      <c r="CV2457" s="128"/>
      <c r="CW2457" s="128"/>
      <c r="CX2457" s="128"/>
      <c r="CY2457" s="128"/>
      <c r="CZ2457" s="165"/>
    </row>
    <row r="2458" spans="1:104">
      <c r="A2458" s="149"/>
      <c r="B2458" s="149"/>
      <c r="C2458" s="150"/>
      <c r="D2458" s="102"/>
      <c r="E2458" s="149"/>
      <c r="F2458" s="149"/>
      <c r="G2458" s="149"/>
      <c r="H2458" s="149"/>
      <c r="I2458" s="149"/>
      <c r="J2458" s="149"/>
      <c r="K2458" s="149"/>
      <c r="L2458" s="149"/>
      <c r="M2458" s="149"/>
      <c r="N2458" s="149"/>
      <c r="O2458" s="149"/>
      <c r="P2458" s="149"/>
      <c r="Q2458" s="149"/>
      <c r="R2458" s="149"/>
      <c r="S2458" s="149"/>
      <c r="T2458" s="149"/>
      <c r="U2458" s="149"/>
      <c r="V2458" s="149"/>
      <c r="W2458" s="149"/>
      <c r="X2458" s="149"/>
      <c r="Y2458" s="149"/>
      <c r="Z2458" s="149"/>
      <c r="AA2458" s="149"/>
      <c r="AB2458" s="149"/>
      <c r="AC2458" s="149"/>
      <c r="AD2458" s="149"/>
      <c r="AE2458" s="149"/>
      <c r="AF2458" s="149"/>
      <c r="AG2458" s="149"/>
      <c r="AH2458" s="149"/>
      <c r="AI2458" s="149"/>
      <c r="AJ2458" s="149"/>
      <c r="AK2458" s="149"/>
      <c r="AL2458" s="149"/>
      <c r="AM2458" s="149"/>
      <c r="AN2458" s="149"/>
      <c r="AO2458" s="128"/>
      <c r="AP2458" s="128"/>
      <c r="AQ2458" s="128"/>
      <c r="AR2458" s="128"/>
      <c r="AS2458" s="128"/>
      <c r="AT2458" s="128"/>
      <c r="AU2458" s="128"/>
      <c r="AV2458" s="128"/>
      <c r="AW2458" s="128"/>
      <c r="AX2458" s="128"/>
      <c r="AY2458" s="128"/>
      <c r="AZ2458" s="128"/>
      <c r="BA2458" s="128"/>
      <c r="BB2458" s="128"/>
      <c r="BC2458" s="128"/>
      <c r="BD2458" s="128"/>
      <c r="BE2458" s="128"/>
      <c r="BF2458" s="128"/>
      <c r="BG2458" s="128"/>
      <c r="BH2458" s="128"/>
      <c r="BI2458" s="128"/>
      <c r="BJ2458" s="128"/>
      <c r="BK2458" s="128"/>
      <c r="BL2458" s="128"/>
      <c r="BM2458" s="151"/>
      <c r="BN2458" s="128"/>
      <c r="BO2458" s="128"/>
      <c r="BP2458" s="128"/>
      <c r="BQ2458" s="128"/>
      <c r="BR2458" s="128"/>
      <c r="BS2458" s="128"/>
      <c r="BT2458" s="128"/>
      <c r="BU2458" s="128"/>
      <c r="BV2458" s="128"/>
      <c r="BW2458" s="128"/>
      <c r="BX2458" s="128"/>
      <c r="BY2458" s="128"/>
      <c r="BZ2458" s="128"/>
      <c r="CA2458" s="128"/>
      <c r="CB2458" s="128"/>
      <c r="CC2458" s="128"/>
      <c r="CD2458" s="128"/>
      <c r="CE2458" s="128"/>
      <c r="CF2458" s="128"/>
      <c r="CG2458" s="128"/>
      <c r="CI2458" s="128"/>
      <c r="CJ2458" s="128"/>
      <c r="CK2458" s="128"/>
      <c r="CL2458" s="128"/>
      <c r="CM2458" s="128"/>
      <c r="CN2458" s="128"/>
      <c r="CO2458" s="128"/>
      <c r="CP2458" s="128"/>
      <c r="CQ2458" s="128"/>
      <c r="CR2458" s="128"/>
      <c r="CS2458" s="128"/>
      <c r="CT2458" s="128"/>
      <c r="CU2458" s="128"/>
      <c r="CV2458" s="128"/>
      <c r="CW2458" s="128"/>
      <c r="CX2458" s="128"/>
      <c r="CY2458" s="128"/>
      <c r="CZ2458" s="165"/>
    </row>
    <row r="2459" spans="1:104">
      <c r="A2459" s="149"/>
      <c r="B2459" s="149"/>
      <c r="C2459" s="150"/>
      <c r="D2459" s="102"/>
      <c r="E2459" s="149"/>
      <c r="F2459" s="149"/>
      <c r="G2459" s="149"/>
      <c r="H2459" s="149"/>
      <c r="I2459" s="149"/>
      <c r="J2459" s="149"/>
      <c r="K2459" s="149"/>
      <c r="L2459" s="149"/>
      <c r="M2459" s="149"/>
      <c r="N2459" s="149"/>
      <c r="O2459" s="149"/>
      <c r="P2459" s="149"/>
      <c r="Q2459" s="149"/>
      <c r="R2459" s="149"/>
      <c r="S2459" s="149"/>
      <c r="T2459" s="149"/>
      <c r="U2459" s="149"/>
      <c r="V2459" s="149"/>
      <c r="W2459" s="149"/>
      <c r="X2459" s="149"/>
      <c r="Y2459" s="149"/>
      <c r="Z2459" s="149"/>
      <c r="AA2459" s="149"/>
      <c r="AB2459" s="149"/>
      <c r="AC2459" s="149"/>
      <c r="AD2459" s="149"/>
      <c r="AE2459" s="149"/>
      <c r="AF2459" s="149"/>
      <c r="AG2459" s="149"/>
      <c r="AH2459" s="149"/>
      <c r="AI2459" s="149"/>
      <c r="AJ2459" s="149"/>
      <c r="AK2459" s="149"/>
      <c r="AL2459" s="149"/>
      <c r="AM2459" s="149"/>
      <c r="AN2459" s="149"/>
      <c r="AO2459" s="128"/>
      <c r="AP2459" s="128"/>
      <c r="AQ2459" s="128"/>
      <c r="AR2459" s="128"/>
      <c r="AS2459" s="128"/>
      <c r="AT2459" s="128"/>
      <c r="AU2459" s="128"/>
      <c r="AV2459" s="128"/>
      <c r="AW2459" s="128"/>
      <c r="AX2459" s="128"/>
      <c r="AY2459" s="128"/>
      <c r="AZ2459" s="128"/>
      <c r="BA2459" s="128"/>
      <c r="BB2459" s="128"/>
      <c r="BC2459" s="128"/>
      <c r="BD2459" s="128"/>
      <c r="BE2459" s="128"/>
      <c r="BF2459" s="128"/>
      <c r="BG2459" s="128"/>
      <c r="BH2459" s="128"/>
      <c r="BI2459" s="128"/>
      <c r="BJ2459" s="128"/>
      <c r="BK2459" s="128"/>
      <c r="BL2459" s="128"/>
      <c r="BM2459" s="151"/>
      <c r="BN2459" s="128"/>
      <c r="BO2459" s="128"/>
      <c r="BP2459" s="128"/>
      <c r="BQ2459" s="128"/>
      <c r="BR2459" s="128"/>
      <c r="BS2459" s="128"/>
      <c r="BT2459" s="128"/>
      <c r="BU2459" s="128"/>
      <c r="BV2459" s="128"/>
      <c r="BW2459" s="128"/>
      <c r="BX2459" s="128"/>
      <c r="BY2459" s="128"/>
      <c r="BZ2459" s="128"/>
      <c r="CA2459" s="128"/>
      <c r="CB2459" s="128"/>
      <c r="CC2459" s="128"/>
      <c r="CD2459" s="128"/>
      <c r="CE2459" s="128"/>
      <c r="CF2459" s="128"/>
      <c r="CG2459" s="128"/>
      <c r="CI2459" s="128"/>
      <c r="CJ2459" s="128"/>
      <c r="CK2459" s="128"/>
      <c r="CL2459" s="128"/>
      <c r="CM2459" s="128"/>
      <c r="CN2459" s="128"/>
      <c r="CO2459" s="128"/>
      <c r="CP2459" s="128"/>
      <c r="CQ2459" s="128"/>
      <c r="CR2459" s="128"/>
      <c r="CS2459" s="128"/>
      <c r="CT2459" s="128"/>
      <c r="CU2459" s="128"/>
      <c r="CV2459" s="128"/>
      <c r="CW2459" s="128"/>
      <c r="CX2459" s="128"/>
      <c r="CY2459" s="128"/>
      <c r="CZ2459" s="165"/>
    </row>
    <row r="2460" spans="1:104">
      <c r="A2460" s="149"/>
      <c r="B2460" s="149"/>
      <c r="C2460" s="150"/>
      <c r="D2460" s="102"/>
      <c r="E2460" s="149"/>
      <c r="F2460" s="149"/>
      <c r="G2460" s="149"/>
      <c r="H2460" s="149"/>
      <c r="I2460" s="149"/>
      <c r="J2460" s="149"/>
      <c r="K2460" s="149"/>
      <c r="L2460" s="149"/>
      <c r="M2460" s="149"/>
      <c r="N2460" s="149"/>
      <c r="O2460" s="149"/>
      <c r="P2460" s="149"/>
      <c r="Q2460" s="149"/>
      <c r="R2460" s="149"/>
      <c r="S2460" s="149"/>
      <c r="T2460" s="149"/>
      <c r="U2460" s="149"/>
      <c r="V2460" s="149"/>
      <c r="W2460" s="149"/>
      <c r="X2460" s="149"/>
      <c r="Y2460" s="149"/>
      <c r="Z2460" s="149"/>
      <c r="AA2460" s="149"/>
      <c r="AB2460" s="149"/>
      <c r="AC2460" s="149"/>
      <c r="AD2460" s="149"/>
      <c r="AE2460" s="149"/>
      <c r="AF2460" s="149"/>
      <c r="AG2460" s="149"/>
      <c r="AH2460" s="149"/>
      <c r="AI2460" s="149"/>
      <c r="AJ2460" s="149"/>
      <c r="AK2460" s="149"/>
      <c r="AL2460" s="149"/>
      <c r="AM2460" s="149"/>
      <c r="AN2460" s="149"/>
      <c r="AO2460" s="128"/>
      <c r="AP2460" s="128"/>
      <c r="AQ2460" s="128"/>
      <c r="AR2460" s="128"/>
      <c r="AS2460" s="128"/>
      <c r="AT2460" s="128"/>
      <c r="AU2460" s="128"/>
      <c r="AV2460" s="128"/>
      <c r="AW2460" s="128"/>
      <c r="AX2460" s="128"/>
      <c r="AY2460" s="128"/>
      <c r="AZ2460" s="128"/>
      <c r="BA2460" s="128"/>
      <c r="BB2460" s="128"/>
      <c r="BC2460" s="128"/>
      <c r="BD2460" s="128"/>
      <c r="BE2460" s="128"/>
      <c r="BF2460" s="128"/>
      <c r="BG2460" s="128"/>
      <c r="BH2460" s="128"/>
      <c r="BI2460" s="128"/>
      <c r="BJ2460" s="128"/>
      <c r="BK2460" s="128"/>
      <c r="BL2460" s="128"/>
      <c r="BM2460" s="151"/>
      <c r="BN2460" s="128"/>
      <c r="BO2460" s="128"/>
      <c r="BP2460" s="128"/>
      <c r="BQ2460" s="128"/>
      <c r="BR2460" s="128"/>
      <c r="BS2460" s="128"/>
      <c r="BT2460" s="128"/>
      <c r="BU2460" s="128"/>
      <c r="BV2460" s="128"/>
      <c r="BW2460" s="128"/>
      <c r="BX2460" s="128"/>
      <c r="BY2460" s="128"/>
      <c r="BZ2460" s="128"/>
      <c r="CA2460" s="128"/>
      <c r="CB2460" s="128"/>
      <c r="CC2460" s="128"/>
      <c r="CD2460" s="128"/>
      <c r="CE2460" s="128"/>
      <c r="CF2460" s="128"/>
      <c r="CG2460" s="128"/>
      <c r="CI2460" s="128"/>
      <c r="CJ2460" s="128"/>
      <c r="CK2460" s="128"/>
      <c r="CL2460" s="128"/>
      <c r="CM2460" s="128"/>
      <c r="CN2460" s="128"/>
      <c r="CO2460" s="128"/>
      <c r="CP2460" s="128"/>
      <c r="CQ2460" s="128"/>
      <c r="CR2460" s="128"/>
      <c r="CS2460" s="128"/>
      <c r="CT2460" s="128"/>
      <c r="CU2460" s="128"/>
      <c r="CV2460" s="128"/>
      <c r="CW2460" s="128"/>
      <c r="CX2460" s="128"/>
      <c r="CY2460" s="128"/>
      <c r="CZ2460" s="165"/>
    </row>
    <row r="2461" spans="1:104">
      <c r="A2461" s="149"/>
      <c r="B2461" s="149"/>
      <c r="C2461" s="150"/>
      <c r="D2461" s="102"/>
      <c r="E2461" s="149"/>
      <c r="F2461" s="149"/>
      <c r="G2461" s="149"/>
      <c r="H2461" s="149"/>
      <c r="I2461" s="149"/>
      <c r="J2461" s="149"/>
      <c r="K2461" s="149"/>
      <c r="L2461" s="149"/>
      <c r="M2461" s="149"/>
      <c r="N2461" s="149"/>
      <c r="O2461" s="149"/>
      <c r="P2461" s="149"/>
      <c r="Q2461" s="149"/>
      <c r="R2461" s="149"/>
      <c r="S2461" s="149"/>
      <c r="T2461" s="149"/>
      <c r="U2461" s="149"/>
      <c r="V2461" s="149"/>
      <c r="W2461" s="149"/>
      <c r="X2461" s="149"/>
      <c r="Y2461" s="149"/>
      <c r="Z2461" s="149"/>
      <c r="AA2461" s="149"/>
      <c r="AB2461" s="149"/>
      <c r="AC2461" s="149"/>
      <c r="AD2461" s="149"/>
      <c r="AE2461" s="149"/>
      <c r="AF2461" s="149"/>
      <c r="AG2461" s="149"/>
      <c r="AH2461" s="149"/>
      <c r="AI2461" s="149"/>
      <c r="AJ2461" s="149"/>
      <c r="AK2461" s="149"/>
      <c r="AL2461" s="149"/>
      <c r="AM2461" s="149"/>
      <c r="AN2461" s="149"/>
      <c r="AO2461" s="128"/>
      <c r="AP2461" s="128"/>
      <c r="AQ2461" s="128"/>
      <c r="AR2461" s="128"/>
      <c r="AS2461" s="128"/>
      <c r="AT2461" s="128"/>
      <c r="AU2461" s="128"/>
      <c r="AV2461" s="128"/>
      <c r="AW2461" s="128"/>
      <c r="AX2461" s="128"/>
      <c r="AY2461" s="128"/>
      <c r="AZ2461" s="128"/>
      <c r="BA2461" s="128"/>
      <c r="BB2461" s="128"/>
      <c r="BC2461" s="128"/>
      <c r="BD2461" s="128"/>
      <c r="BE2461" s="128"/>
      <c r="BF2461" s="128"/>
      <c r="BG2461" s="128"/>
      <c r="BH2461" s="128"/>
      <c r="BI2461" s="128"/>
      <c r="BJ2461" s="128"/>
      <c r="BK2461" s="128"/>
      <c r="BL2461" s="128"/>
      <c r="BM2461" s="151"/>
      <c r="BN2461" s="128"/>
      <c r="BO2461" s="128"/>
      <c r="BP2461" s="128"/>
      <c r="BQ2461" s="128"/>
      <c r="BR2461" s="128"/>
      <c r="BS2461" s="128"/>
      <c r="BT2461" s="128"/>
      <c r="BU2461" s="128"/>
      <c r="BV2461" s="128"/>
      <c r="BW2461" s="128"/>
      <c r="BX2461" s="128"/>
      <c r="BY2461" s="128"/>
      <c r="BZ2461" s="128"/>
      <c r="CA2461" s="128"/>
      <c r="CB2461" s="128"/>
      <c r="CC2461" s="128"/>
      <c r="CD2461" s="128"/>
      <c r="CE2461" s="128"/>
      <c r="CF2461" s="128"/>
      <c r="CG2461" s="128"/>
      <c r="CI2461" s="128"/>
      <c r="CJ2461" s="128"/>
      <c r="CK2461" s="128"/>
      <c r="CL2461" s="128"/>
      <c r="CM2461" s="128"/>
      <c r="CN2461" s="128"/>
      <c r="CO2461" s="128"/>
      <c r="CP2461" s="128"/>
      <c r="CQ2461" s="128"/>
      <c r="CR2461" s="128"/>
      <c r="CS2461" s="128"/>
      <c r="CT2461" s="128"/>
      <c r="CU2461" s="128"/>
      <c r="CV2461" s="128"/>
      <c r="CW2461" s="128"/>
      <c r="CX2461" s="128"/>
      <c r="CY2461" s="128"/>
      <c r="CZ2461" s="165"/>
    </row>
    <row r="2462" spans="1:104">
      <c r="A2462" s="149"/>
      <c r="B2462" s="149"/>
      <c r="C2462" s="150"/>
      <c r="D2462" s="102"/>
      <c r="E2462" s="149"/>
      <c r="F2462" s="149"/>
      <c r="G2462" s="149"/>
      <c r="H2462" s="149"/>
      <c r="I2462" s="149"/>
      <c r="J2462" s="149"/>
      <c r="K2462" s="149"/>
      <c r="L2462" s="149"/>
      <c r="M2462" s="149"/>
      <c r="N2462" s="149"/>
      <c r="O2462" s="149"/>
      <c r="P2462" s="149"/>
      <c r="Q2462" s="149"/>
      <c r="R2462" s="149"/>
      <c r="S2462" s="149"/>
      <c r="T2462" s="149"/>
      <c r="U2462" s="149"/>
      <c r="V2462" s="149"/>
      <c r="W2462" s="149"/>
      <c r="X2462" s="149"/>
      <c r="Y2462" s="149"/>
      <c r="Z2462" s="149"/>
      <c r="AA2462" s="149"/>
      <c r="AB2462" s="149"/>
      <c r="AC2462" s="149"/>
      <c r="AD2462" s="149"/>
      <c r="AE2462" s="149"/>
      <c r="AF2462" s="149"/>
      <c r="AG2462" s="149"/>
      <c r="AH2462" s="149"/>
      <c r="AI2462" s="149"/>
      <c r="AJ2462" s="149"/>
      <c r="AK2462" s="149"/>
      <c r="AL2462" s="149"/>
      <c r="AM2462" s="149"/>
      <c r="AN2462" s="149"/>
      <c r="AO2462" s="128"/>
      <c r="AP2462" s="128"/>
      <c r="AQ2462" s="128"/>
      <c r="AR2462" s="128"/>
      <c r="AS2462" s="128"/>
      <c r="AT2462" s="128"/>
      <c r="AU2462" s="128"/>
      <c r="AV2462" s="128"/>
      <c r="AW2462" s="128"/>
      <c r="AX2462" s="128"/>
      <c r="AY2462" s="128"/>
      <c r="AZ2462" s="128"/>
      <c r="BA2462" s="128"/>
      <c r="BB2462" s="128"/>
      <c r="BC2462" s="128"/>
      <c r="BD2462" s="128"/>
      <c r="BE2462" s="128"/>
      <c r="BF2462" s="128"/>
      <c r="BG2462" s="128"/>
      <c r="BH2462" s="128"/>
      <c r="BI2462" s="128"/>
      <c r="BJ2462" s="128"/>
      <c r="BK2462" s="128"/>
      <c r="BL2462" s="128"/>
      <c r="BM2462" s="151"/>
      <c r="BN2462" s="128"/>
      <c r="BO2462" s="128"/>
      <c r="BP2462" s="128"/>
      <c r="BQ2462" s="128"/>
      <c r="BR2462" s="128"/>
      <c r="BS2462" s="128"/>
      <c r="BT2462" s="128"/>
      <c r="BU2462" s="128"/>
      <c r="BV2462" s="128"/>
      <c r="BW2462" s="128"/>
      <c r="BX2462" s="128"/>
      <c r="BY2462" s="128"/>
      <c r="BZ2462" s="128"/>
      <c r="CA2462" s="128"/>
      <c r="CB2462" s="128"/>
      <c r="CC2462" s="128"/>
      <c r="CD2462" s="128"/>
      <c r="CE2462" s="128"/>
      <c r="CF2462" s="128"/>
      <c r="CG2462" s="128"/>
      <c r="CI2462" s="128"/>
      <c r="CJ2462" s="128"/>
      <c r="CK2462" s="128"/>
      <c r="CL2462" s="128"/>
      <c r="CM2462" s="128"/>
      <c r="CN2462" s="128"/>
      <c r="CO2462" s="128"/>
      <c r="CP2462" s="128"/>
      <c r="CQ2462" s="128"/>
      <c r="CR2462" s="128"/>
      <c r="CS2462" s="128"/>
      <c r="CT2462" s="128"/>
      <c r="CU2462" s="128"/>
      <c r="CV2462" s="128"/>
      <c r="CW2462" s="128"/>
      <c r="CX2462" s="128"/>
      <c r="CY2462" s="128"/>
      <c r="CZ2462" s="165"/>
    </row>
    <row r="2463" spans="1:104">
      <c r="A2463" s="149"/>
      <c r="B2463" s="149"/>
      <c r="C2463" s="150"/>
      <c r="D2463" s="102"/>
      <c r="E2463" s="149"/>
      <c r="F2463" s="149"/>
      <c r="G2463" s="149"/>
      <c r="H2463" s="149"/>
      <c r="I2463" s="149"/>
      <c r="J2463" s="149"/>
      <c r="K2463" s="149"/>
      <c r="L2463" s="149"/>
      <c r="M2463" s="149"/>
      <c r="N2463" s="149"/>
      <c r="O2463" s="149"/>
      <c r="P2463" s="149"/>
      <c r="Q2463" s="149"/>
      <c r="R2463" s="149"/>
      <c r="S2463" s="149"/>
      <c r="T2463" s="149"/>
      <c r="U2463" s="149"/>
      <c r="V2463" s="149"/>
      <c r="W2463" s="149"/>
      <c r="X2463" s="149"/>
      <c r="Y2463" s="149"/>
      <c r="Z2463" s="149"/>
      <c r="AA2463" s="149"/>
      <c r="AB2463" s="149"/>
      <c r="AC2463" s="149"/>
      <c r="AD2463" s="149"/>
      <c r="AE2463" s="149"/>
      <c r="AF2463" s="149"/>
      <c r="AG2463" s="149"/>
      <c r="AH2463" s="149"/>
      <c r="AI2463" s="149"/>
      <c r="AJ2463" s="149"/>
      <c r="AK2463" s="149"/>
      <c r="AL2463" s="149"/>
      <c r="AM2463" s="149"/>
      <c r="AN2463" s="149"/>
      <c r="AO2463" s="128"/>
      <c r="AP2463" s="128"/>
      <c r="AQ2463" s="128"/>
      <c r="AR2463" s="128"/>
      <c r="AS2463" s="128"/>
      <c r="AT2463" s="128"/>
      <c r="AU2463" s="128"/>
      <c r="AV2463" s="128"/>
      <c r="AW2463" s="128"/>
      <c r="AX2463" s="128"/>
      <c r="AY2463" s="128"/>
      <c r="AZ2463" s="128"/>
      <c r="BA2463" s="128"/>
      <c r="BB2463" s="128"/>
      <c r="BC2463" s="128"/>
      <c r="BD2463" s="128"/>
      <c r="BE2463" s="128"/>
      <c r="BF2463" s="128"/>
      <c r="BG2463" s="128"/>
      <c r="BH2463" s="128"/>
      <c r="BI2463" s="128"/>
      <c r="BJ2463" s="128"/>
      <c r="BK2463" s="128"/>
      <c r="BL2463" s="128"/>
      <c r="BM2463" s="151"/>
      <c r="BN2463" s="128"/>
      <c r="BO2463" s="128"/>
      <c r="BP2463" s="128"/>
      <c r="BQ2463" s="128"/>
      <c r="BR2463" s="128"/>
      <c r="BS2463" s="128"/>
      <c r="BT2463" s="128"/>
      <c r="BU2463" s="128"/>
      <c r="BV2463" s="128"/>
      <c r="BW2463" s="128"/>
      <c r="BX2463" s="128"/>
      <c r="BY2463" s="128"/>
      <c r="BZ2463" s="128"/>
      <c r="CA2463" s="128"/>
      <c r="CB2463" s="128"/>
      <c r="CC2463" s="128"/>
      <c r="CD2463" s="128"/>
      <c r="CE2463" s="128"/>
      <c r="CF2463" s="128"/>
      <c r="CG2463" s="128"/>
      <c r="CI2463" s="128"/>
      <c r="CJ2463" s="128"/>
      <c r="CK2463" s="128"/>
      <c r="CL2463" s="128"/>
      <c r="CM2463" s="128"/>
      <c r="CN2463" s="128"/>
      <c r="CO2463" s="128"/>
      <c r="CP2463" s="128"/>
      <c r="CQ2463" s="128"/>
      <c r="CR2463" s="128"/>
      <c r="CS2463" s="128"/>
      <c r="CT2463" s="128"/>
      <c r="CU2463" s="128"/>
      <c r="CV2463" s="128"/>
      <c r="CW2463" s="128"/>
      <c r="CX2463" s="128"/>
      <c r="CY2463" s="128"/>
      <c r="CZ2463" s="165"/>
    </row>
    <row r="2464" spans="1:104">
      <c r="A2464" s="149"/>
      <c r="B2464" s="149"/>
      <c r="C2464" s="150"/>
      <c r="D2464" s="102"/>
      <c r="E2464" s="149"/>
      <c r="F2464" s="149"/>
      <c r="G2464" s="149"/>
      <c r="H2464" s="149"/>
      <c r="I2464" s="149"/>
      <c r="J2464" s="149"/>
      <c r="K2464" s="149"/>
      <c r="L2464" s="149"/>
      <c r="M2464" s="149"/>
      <c r="N2464" s="149"/>
      <c r="O2464" s="149"/>
      <c r="P2464" s="149"/>
      <c r="Q2464" s="149"/>
      <c r="R2464" s="149"/>
      <c r="S2464" s="149"/>
      <c r="T2464" s="149"/>
      <c r="U2464" s="149"/>
      <c r="V2464" s="149"/>
      <c r="W2464" s="149"/>
      <c r="X2464" s="149"/>
      <c r="Y2464" s="149"/>
      <c r="Z2464" s="149"/>
      <c r="AA2464" s="149"/>
      <c r="AB2464" s="149"/>
      <c r="AC2464" s="149"/>
      <c r="AD2464" s="149"/>
      <c r="AE2464" s="149"/>
      <c r="AF2464" s="149"/>
      <c r="AG2464" s="149"/>
      <c r="AH2464" s="149"/>
      <c r="AI2464" s="149"/>
      <c r="AJ2464" s="149"/>
      <c r="AK2464" s="149"/>
      <c r="AL2464" s="149"/>
      <c r="AM2464" s="149"/>
      <c r="AN2464" s="149"/>
      <c r="AO2464" s="128"/>
      <c r="AP2464" s="128"/>
      <c r="AQ2464" s="128"/>
      <c r="AR2464" s="128"/>
      <c r="AS2464" s="128"/>
      <c r="AT2464" s="128"/>
      <c r="AU2464" s="128"/>
      <c r="AV2464" s="128"/>
      <c r="AW2464" s="128"/>
      <c r="AX2464" s="128"/>
      <c r="AY2464" s="128"/>
      <c r="AZ2464" s="128"/>
      <c r="BA2464" s="128"/>
      <c r="BB2464" s="128"/>
      <c r="BC2464" s="128"/>
      <c r="BD2464" s="128"/>
      <c r="BE2464" s="128"/>
      <c r="BF2464" s="128"/>
      <c r="BG2464" s="128"/>
      <c r="BH2464" s="128"/>
      <c r="BI2464" s="128"/>
      <c r="BJ2464" s="128"/>
      <c r="BK2464" s="128"/>
      <c r="BL2464" s="128"/>
      <c r="BM2464" s="151"/>
      <c r="BN2464" s="128"/>
      <c r="BO2464" s="128"/>
      <c r="BP2464" s="128"/>
      <c r="BQ2464" s="128"/>
      <c r="BR2464" s="128"/>
      <c r="BS2464" s="128"/>
      <c r="BT2464" s="128"/>
      <c r="BU2464" s="128"/>
      <c r="BV2464" s="128"/>
      <c r="BW2464" s="128"/>
      <c r="BX2464" s="128"/>
      <c r="BY2464" s="128"/>
      <c r="BZ2464" s="128"/>
      <c r="CA2464" s="128"/>
      <c r="CB2464" s="128"/>
      <c r="CC2464" s="128"/>
      <c r="CD2464" s="128"/>
      <c r="CE2464" s="128"/>
      <c r="CF2464" s="128"/>
      <c r="CG2464" s="128"/>
      <c r="CI2464" s="128"/>
      <c r="CJ2464" s="128"/>
      <c r="CK2464" s="128"/>
      <c r="CL2464" s="128"/>
      <c r="CM2464" s="128"/>
      <c r="CN2464" s="128"/>
      <c r="CO2464" s="128"/>
      <c r="CP2464" s="128"/>
      <c r="CQ2464" s="128"/>
      <c r="CR2464" s="128"/>
      <c r="CS2464" s="128"/>
      <c r="CT2464" s="128"/>
      <c r="CU2464" s="128"/>
      <c r="CV2464" s="128"/>
      <c r="CW2464" s="128"/>
      <c r="CX2464" s="128"/>
      <c r="CY2464" s="128"/>
      <c r="CZ2464" s="165"/>
    </row>
    <row r="2465" spans="1:104">
      <c r="A2465" s="149"/>
      <c r="B2465" s="149"/>
      <c r="C2465" s="150"/>
      <c r="D2465" s="102"/>
      <c r="E2465" s="149"/>
      <c r="F2465" s="149"/>
      <c r="G2465" s="149"/>
      <c r="H2465" s="149"/>
      <c r="I2465" s="149"/>
      <c r="J2465" s="149"/>
      <c r="K2465" s="149"/>
      <c r="L2465" s="149"/>
      <c r="M2465" s="149"/>
      <c r="N2465" s="149"/>
      <c r="O2465" s="149"/>
      <c r="P2465" s="149"/>
      <c r="Q2465" s="149"/>
      <c r="R2465" s="149"/>
      <c r="S2465" s="149"/>
      <c r="T2465" s="149"/>
      <c r="U2465" s="149"/>
      <c r="V2465" s="149"/>
      <c r="W2465" s="149"/>
      <c r="X2465" s="149"/>
      <c r="Y2465" s="149"/>
      <c r="Z2465" s="149"/>
      <c r="AA2465" s="149"/>
      <c r="AB2465" s="149"/>
      <c r="AC2465" s="149"/>
      <c r="AD2465" s="149"/>
      <c r="AE2465" s="149"/>
      <c r="AF2465" s="149"/>
      <c r="AG2465" s="149"/>
      <c r="AH2465" s="149"/>
      <c r="AI2465" s="149"/>
      <c r="AJ2465" s="149"/>
      <c r="AK2465" s="149"/>
      <c r="AL2465" s="149"/>
      <c r="AM2465" s="149"/>
      <c r="AN2465" s="149"/>
      <c r="AO2465" s="128"/>
      <c r="AP2465" s="128"/>
      <c r="AQ2465" s="128"/>
      <c r="AR2465" s="128"/>
      <c r="AS2465" s="128"/>
      <c r="AT2465" s="128"/>
      <c r="AU2465" s="128"/>
      <c r="AV2465" s="128"/>
      <c r="AW2465" s="128"/>
      <c r="AX2465" s="128"/>
      <c r="AY2465" s="128"/>
      <c r="AZ2465" s="128"/>
      <c r="BA2465" s="128"/>
      <c r="BB2465" s="128"/>
      <c r="BC2465" s="128"/>
      <c r="BD2465" s="128"/>
      <c r="BE2465" s="128"/>
      <c r="BF2465" s="128"/>
      <c r="BG2465" s="128"/>
      <c r="BH2465" s="128"/>
      <c r="BI2465" s="128"/>
      <c r="BJ2465" s="128"/>
      <c r="BK2465" s="128"/>
      <c r="BL2465" s="128"/>
      <c r="BM2465" s="151"/>
      <c r="BN2465" s="128"/>
      <c r="BO2465" s="128"/>
      <c r="BP2465" s="128"/>
      <c r="BQ2465" s="128"/>
      <c r="BR2465" s="128"/>
      <c r="BS2465" s="128"/>
      <c r="BT2465" s="128"/>
      <c r="BU2465" s="128"/>
      <c r="BV2465" s="128"/>
      <c r="BW2465" s="128"/>
      <c r="BX2465" s="128"/>
      <c r="BY2465" s="128"/>
      <c r="BZ2465" s="128"/>
      <c r="CA2465" s="128"/>
      <c r="CB2465" s="128"/>
      <c r="CC2465" s="128"/>
      <c r="CD2465" s="128"/>
      <c r="CE2465" s="128"/>
      <c r="CF2465" s="128"/>
      <c r="CG2465" s="128"/>
      <c r="CI2465" s="128"/>
      <c r="CJ2465" s="128"/>
      <c r="CK2465" s="128"/>
      <c r="CL2465" s="128"/>
      <c r="CM2465" s="128"/>
      <c r="CN2465" s="128"/>
      <c r="CO2465" s="128"/>
      <c r="CP2465" s="128"/>
      <c r="CQ2465" s="128"/>
      <c r="CR2465" s="128"/>
      <c r="CS2465" s="128"/>
      <c r="CT2465" s="128"/>
      <c r="CU2465" s="128"/>
      <c r="CV2465" s="128"/>
      <c r="CW2465" s="128"/>
      <c r="CX2465" s="128"/>
      <c r="CY2465" s="128"/>
      <c r="CZ2465" s="165"/>
    </row>
    <row r="2466" spans="1:104">
      <c r="A2466" s="149"/>
      <c r="B2466" s="149"/>
      <c r="C2466" s="150"/>
      <c r="D2466" s="102"/>
      <c r="E2466" s="149"/>
      <c r="F2466" s="149"/>
      <c r="G2466" s="149"/>
      <c r="H2466" s="149"/>
      <c r="I2466" s="149"/>
      <c r="J2466" s="149"/>
      <c r="K2466" s="149"/>
      <c r="L2466" s="149"/>
      <c r="M2466" s="149"/>
      <c r="N2466" s="149"/>
      <c r="O2466" s="149"/>
      <c r="P2466" s="149"/>
      <c r="Q2466" s="149"/>
      <c r="R2466" s="149"/>
      <c r="S2466" s="149"/>
      <c r="T2466" s="149"/>
      <c r="U2466" s="149"/>
      <c r="V2466" s="149"/>
      <c r="W2466" s="149"/>
      <c r="X2466" s="149"/>
      <c r="Y2466" s="149"/>
      <c r="Z2466" s="149"/>
      <c r="AA2466" s="149"/>
      <c r="AB2466" s="149"/>
      <c r="AC2466" s="149"/>
      <c r="AD2466" s="149"/>
      <c r="AE2466" s="149"/>
      <c r="AF2466" s="149"/>
      <c r="AG2466" s="149"/>
      <c r="AH2466" s="149"/>
      <c r="AI2466" s="149"/>
      <c r="AJ2466" s="149"/>
      <c r="AK2466" s="149"/>
      <c r="AL2466" s="149"/>
      <c r="AM2466" s="149"/>
      <c r="AN2466" s="149"/>
      <c r="AO2466" s="128"/>
      <c r="AP2466" s="128"/>
      <c r="AQ2466" s="128"/>
      <c r="AR2466" s="128"/>
      <c r="AS2466" s="128"/>
      <c r="AT2466" s="128"/>
      <c r="AU2466" s="128"/>
      <c r="AV2466" s="128"/>
      <c r="AW2466" s="128"/>
      <c r="AX2466" s="128"/>
      <c r="AY2466" s="128"/>
      <c r="AZ2466" s="128"/>
      <c r="BA2466" s="128"/>
      <c r="BB2466" s="128"/>
      <c r="BC2466" s="128"/>
      <c r="BD2466" s="128"/>
      <c r="BE2466" s="128"/>
      <c r="BF2466" s="128"/>
      <c r="BG2466" s="128"/>
      <c r="BH2466" s="128"/>
      <c r="BI2466" s="128"/>
      <c r="BJ2466" s="128"/>
      <c r="BK2466" s="128"/>
      <c r="BL2466" s="128"/>
      <c r="BM2466" s="151"/>
      <c r="BN2466" s="128"/>
      <c r="BO2466" s="128"/>
      <c r="BP2466" s="128"/>
      <c r="BQ2466" s="128"/>
      <c r="BR2466" s="128"/>
      <c r="BS2466" s="128"/>
      <c r="BT2466" s="128"/>
      <c r="BU2466" s="128"/>
      <c r="BV2466" s="128"/>
      <c r="BW2466" s="128"/>
      <c r="BX2466" s="128"/>
      <c r="BY2466" s="128"/>
      <c r="BZ2466" s="128"/>
      <c r="CA2466" s="128"/>
      <c r="CB2466" s="128"/>
      <c r="CC2466" s="128"/>
      <c r="CD2466" s="128"/>
      <c r="CE2466" s="128"/>
      <c r="CF2466" s="128"/>
      <c r="CG2466" s="128"/>
      <c r="CI2466" s="128"/>
      <c r="CJ2466" s="128"/>
      <c r="CK2466" s="128"/>
      <c r="CL2466" s="128"/>
      <c r="CM2466" s="128"/>
      <c r="CN2466" s="128"/>
      <c r="CO2466" s="128"/>
      <c r="CP2466" s="128"/>
      <c r="CQ2466" s="128"/>
      <c r="CR2466" s="128"/>
      <c r="CS2466" s="128"/>
      <c r="CT2466" s="128"/>
      <c r="CU2466" s="128"/>
      <c r="CV2466" s="128"/>
      <c r="CW2466" s="128"/>
      <c r="CX2466" s="128"/>
      <c r="CY2466" s="128"/>
      <c r="CZ2466" s="165"/>
    </row>
    <row r="2467" spans="1:104">
      <c r="A2467" s="149"/>
      <c r="B2467" s="149"/>
      <c r="C2467" s="150"/>
      <c r="D2467" s="102"/>
      <c r="E2467" s="149"/>
      <c r="F2467" s="149"/>
      <c r="G2467" s="149"/>
      <c r="H2467" s="149"/>
      <c r="I2467" s="149"/>
      <c r="J2467" s="149"/>
      <c r="K2467" s="149"/>
      <c r="L2467" s="149"/>
      <c r="M2467" s="149"/>
      <c r="N2467" s="149"/>
      <c r="O2467" s="149"/>
      <c r="P2467" s="149"/>
      <c r="Q2467" s="149"/>
      <c r="R2467" s="149"/>
      <c r="S2467" s="149"/>
      <c r="T2467" s="149"/>
      <c r="U2467" s="149"/>
      <c r="V2467" s="149"/>
      <c r="W2467" s="149"/>
      <c r="X2467" s="149"/>
      <c r="Y2467" s="149"/>
      <c r="Z2467" s="149"/>
      <c r="AA2467" s="149"/>
      <c r="AB2467" s="149"/>
      <c r="AC2467" s="149"/>
      <c r="AD2467" s="149"/>
      <c r="AE2467" s="149"/>
      <c r="AF2467" s="149"/>
      <c r="AG2467" s="149"/>
      <c r="AH2467" s="149"/>
      <c r="AI2467" s="149"/>
      <c r="AJ2467" s="149"/>
      <c r="AK2467" s="149"/>
      <c r="AL2467" s="149"/>
      <c r="AM2467" s="149"/>
      <c r="AN2467" s="149"/>
      <c r="AO2467" s="128"/>
      <c r="AP2467" s="128"/>
      <c r="AQ2467" s="128"/>
      <c r="AR2467" s="128"/>
      <c r="AS2467" s="128"/>
      <c r="AT2467" s="128"/>
      <c r="AU2467" s="128"/>
      <c r="AV2467" s="128"/>
      <c r="AW2467" s="128"/>
      <c r="AX2467" s="128"/>
      <c r="AY2467" s="128"/>
      <c r="AZ2467" s="128"/>
      <c r="BA2467" s="128"/>
      <c r="BB2467" s="128"/>
      <c r="BC2467" s="128"/>
      <c r="BD2467" s="128"/>
      <c r="BE2467" s="128"/>
      <c r="BF2467" s="128"/>
      <c r="BG2467" s="128"/>
      <c r="BH2467" s="128"/>
      <c r="BI2467" s="128"/>
      <c r="BJ2467" s="128"/>
      <c r="BK2467" s="128"/>
      <c r="BL2467" s="128"/>
      <c r="BM2467" s="151"/>
      <c r="BN2467" s="128"/>
      <c r="BO2467" s="128"/>
      <c r="BP2467" s="128"/>
      <c r="BQ2467" s="128"/>
      <c r="BR2467" s="128"/>
      <c r="BS2467" s="128"/>
      <c r="BT2467" s="128"/>
      <c r="BU2467" s="128"/>
      <c r="BV2467" s="128"/>
      <c r="BW2467" s="128"/>
      <c r="BX2467" s="128"/>
      <c r="BY2467" s="128"/>
      <c r="BZ2467" s="128"/>
      <c r="CA2467" s="128"/>
      <c r="CB2467" s="128"/>
      <c r="CC2467" s="128"/>
      <c r="CD2467" s="128"/>
      <c r="CE2467" s="128"/>
      <c r="CF2467" s="128"/>
      <c r="CG2467" s="128"/>
      <c r="CI2467" s="128"/>
      <c r="CJ2467" s="128"/>
      <c r="CK2467" s="128"/>
      <c r="CL2467" s="128"/>
      <c r="CM2467" s="128"/>
      <c r="CN2467" s="128"/>
      <c r="CO2467" s="128"/>
      <c r="CP2467" s="128"/>
      <c r="CQ2467" s="128"/>
      <c r="CR2467" s="128"/>
      <c r="CS2467" s="128"/>
      <c r="CT2467" s="128"/>
      <c r="CU2467" s="128"/>
      <c r="CV2467" s="128"/>
      <c r="CW2467" s="128"/>
      <c r="CX2467" s="128"/>
      <c r="CY2467" s="128"/>
      <c r="CZ2467" s="165"/>
    </row>
    <row r="2468" spans="1:104">
      <c r="A2468" s="149"/>
      <c r="B2468" s="149"/>
      <c r="C2468" s="150"/>
      <c r="D2468" s="102"/>
      <c r="E2468" s="149"/>
      <c r="F2468" s="149"/>
      <c r="G2468" s="149"/>
      <c r="H2468" s="149"/>
      <c r="I2468" s="149"/>
      <c r="J2468" s="149"/>
      <c r="K2468" s="149"/>
      <c r="L2468" s="149"/>
      <c r="M2468" s="149"/>
      <c r="N2468" s="149"/>
      <c r="O2468" s="149"/>
      <c r="P2468" s="149"/>
      <c r="Q2468" s="149"/>
      <c r="R2468" s="149"/>
      <c r="S2468" s="149"/>
      <c r="T2468" s="149"/>
      <c r="U2468" s="149"/>
      <c r="V2468" s="149"/>
      <c r="W2468" s="149"/>
      <c r="X2468" s="149"/>
      <c r="Y2468" s="149"/>
      <c r="Z2468" s="149"/>
      <c r="AA2468" s="149"/>
      <c r="AB2468" s="149"/>
      <c r="AC2468" s="149"/>
      <c r="AD2468" s="149"/>
      <c r="AE2468" s="149"/>
      <c r="AF2468" s="149"/>
      <c r="AG2468" s="149"/>
      <c r="AH2468" s="149"/>
      <c r="AI2468" s="149"/>
      <c r="AJ2468" s="149"/>
      <c r="AK2468" s="149"/>
      <c r="AL2468" s="149"/>
      <c r="AM2468" s="149"/>
      <c r="AN2468" s="149"/>
      <c r="AO2468" s="128"/>
      <c r="AP2468" s="128"/>
      <c r="AQ2468" s="128"/>
      <c r="AR2468" s="128"/>
      <c r="AS2468" s="128"/>
      <c r="AT2468" s="128"/>
      <c r="AU2468" s="128"/>
      <c r="AV2468" s="128"/>
      <c r="AW2468" s="128"/>
      <c r="AX2468" s="128"/>
      <c r="AY2468" s="128"/>
      <c r="AZ2468" s="128"/>
      <c r="BA2468" s="128"/>
      <c r="BB2468" s="128"/>
      <c r="BC2468" s="128"/>
      <c r="BD2468" s="128"/>
      <c r="BE2468" s="128"/>
      <c r="BF2468" s="128"/>
      <c r="BG2468" s="128"/>
      <c r="BH2468" s="128"/>
      <c r="BI2468" s="128"/>
      <c r="BJ2468" s="128"/>
      <c r="BK2468" s="128"/>
      <c r="BL2468" s="128"/>
      <c r="BM2468" s="151"/>
      <c r="BN2468" s="128"/>
      <c r="BO2468" s="128"/>
      <c r="BP2468" s="128"/>
      <c r="BQ2468" s="128"/>
      <c r="BR2468" s="128"/>
      <c r="BS2468" s="128"/>
      <c r="BT2468" s="128"/>
      <c r="BU2468" s="128"/>
      <c r="BV2468" s="128"/>
      <c r="BW2468" s="128"/>
      <c r="BX2468" s="128"/>
      <c r="BY2468" s="128"/>
      <c r="BZ2468" s="128"/>
      <c r="CA2468" s="128"/>
      <c r="CB2468" s="128"/>
      <c r="CC2468" s="128"/>
      <c r="CD2468" s="128"/>
      <c r="CE2468" s="128"/>
      <c r="CF2468" s="128"/>
      <c r="CG2468" s="128"/>
      <c r="CI2468" s="128"/>
      <c r="CJ2468" s="128"/>
      <c r="CK2468" s="128"/>
      <c r="CL2468" s="128"/>
      <c r="CM2468" s="128"/>
      <c r="CN2468" s="128"/>
      <c r="CO2468" s="128"/>
      <c r="CP2468" s="128"/>
      <c r="CQ2468" s="128"/>
      <c r="CR2468" s="128"/>
      <c r="CS2468" s="128"/>
      <c r="CT2468" s="128"/>
      <c r="CU2468" s="128"/>
      <c r="CV2468" s="128"/>
      <c r="CW2468" s="128"/>
      <c r="CX2468" s="128"/>
      <c r="CY2468" s="128"/>
      <c r="CZ2468" s="165"/>
    </row>
    <row r="2469" spans="1:104">
      <c r="A2469" s="149"/>
      <c r="B2469" s="149"/>
      <c r="C2469" s="150"/>
      <c r="D2469" s="102"/>
      <c r="E2469" s="149"/>
      <c r="F2469" s="149"/>
      <c r="G2469" s="149"/>
      <c r="H2469" s="149"/>
      <c r="I2469" s="149"/>
      <c r="J2469" s="149"/>
      <c r="K2469" s="149"/>
      <c r="L2469" s="149"/>
      <c r="M2469" s="149"/>
      <c r="N2469" s="149"/>
      <c r="O2469" s="149"/>
      <c r="P2469" s="149"/>
      <c r="Q2469" s="149"/>
      <c r="R2469" s="149"/>
      <c r="S2469" s="149"/>
      <c r="T2469" s="149"/>
      <c r="U2469" s="149"/>
      <c r="V2469" s="149"/>
      <c r="W2469" s="149"/>
      <c r="X2469" s="149"/>
      <c r="Y2469" s="149"/>
      <c r="Z2469" s="149"/>
      <c r="AA2469" s="149"/>
      <c r="AB2469" s="149"/>
      <c r="AC2469" s="149"/>
      <c r="AD2469" s="149"/>
      <c r="AE2469" s="149"/>
      <c r="AF2469" s="149"/>
      <c r="AG2469" s="149"/>
      <c r="AH2469" s="149"/>
      <c r="AI2469" s="149"/>
      <c r="AJ2469" s="149"/>
      <c r="AK2469" s="149"/>
      <c r="AL2469" s="149"/>
      <c r="AM2469" s="149"/>
      <c r="AN2469" s="149"/>
      <c r="AO2469" s="128"/>
      <c r="AP2469" s="128"/>
      <c r="AQ2469" s="128"/>
      <c r="AR2469" s="128"/>
      <c r="AS2469" s="128"/>
      <c r="AT2469" s="128"/>
      <c r="AU2469" s="128"/>
      <c r="AV2469" s="128"/>
      <c r="AW2469" s="128"/>
      <c r="AX2469" s="128"/>
      <c r="AY2469" s="128"/>
      <c r="AZ2469" s="128"/>
      <c r="BA2469" s="128"/>
      <c r="BB2469" s="128"/>
      <c r="BC2469" s="128"/>
      <c r="BD2469" s="128"/>
      <c r="BE2469" s="128"/>
      <c r="BF2469" s="128"/>
      <c r="BG2469" s="128"/>
      <c r="BH2469" s="128"/>
      <c r="BI2469" s="128"/>
      <c r="BJ2469" s="128"/>
      <c r="BK2469" s="128"/>
      <c r="BL2469" s="128"/>
      <c r="BM2469" s="151"/>
      <c r="BN2469" s="128"/>
      <c r="BO2469" s="128"/>
      <c r="BP2469" s="128"/>
      <c r="BQ2469" s="128"/>
      <c r="BR2469" s="128"/>
      <c r="BS2469" s="128"/>
      <c r="BT2469" s="128"/>
      <c r="BU2469" s="128"/>
      <c r="BV2469" s="128"/>
      <c r="BW2469" s="128"/>
      <c r="BX2469" s="128"/>
      <c r="BY2469" s="128"/>
      <c r="BZ2469" s="128"/>
      <c r="CA2469" s="128"/>
      <c r="CB2469" s="128"/>
      <c r="CC2469" s="128"/>
      <c r="CD2469" s="128"/>
      <c r="CE2469" s="128"/>
      <c r="CF2469" s="128"/>
      <c r="CG2469" s="128"/>
      <c r="CI2469" s="128"/>
      <c r="CJ2469" s="128"/>
      <c r="CK2469" s="128"/>
      <c r="CL2469" s="128"/>
      <c r="CM2469" s="128"/>
      <c r="CN2469" s="128"/>
      <c r="CO2469" s="128"/>
      <c r="CP2469" s="128"/>
      <c r="CQ2469" s="128"/>
      <c r="CR2469" s="128"/>
      <c r="CS2469" s="128"/>
      <c r="CT2469" s="128"/>
      <c r="CU2469" s="128"/>
      <c r="CV2469" s="128"/>
      <c r="CW2469" s="128"/>
      <c r="CX2469" s="128"/>
      <c r="CY2469" s="128"/>
      <c r="CZ2469" s="165"/>
    </row>
    <row r="2470" spans="1:104">
      <c r="A2470" s="149"/>
      <c r="B2470" s="149"/>
      <c r="C2470" s="150"/>
      <c r="D2470" s="102"/>
      <c r="E2470" s="149"/>
      <c r="F2470" s="149"/>
      <c r="G2470" s="149"/>
      <c r="H2470" s="149"/>
      <c r="I2470" s="149"/>
      <c r="J2470" s="149"/>
      <c r="K2470" s="149"/>
      <c r="L2470" s="149"/>
      <c r="M2470" s="149"/>
      <c r="N2470" s="149"/>
      <c r="O2470" s="149"/>
      <c r="P2470" s="149"/>
      <c r="Q2470" s="149"/>
      <c r="R2470" s="149"/>
      <c r="S2470" s="149"/>
      <c r="T2470" s="149"/>
      <c r="U2470" s="149"/>
      <c r="V2470" s="149"/>
      <c r="W2470" s="149"/>
      <c r="X2470" s="149"/>
      <c r="Y2470" s="149"/>
      <c r="Z2470" s="149"/>
      <c r="AA2470" s="149"/>
      <c r="AB2470" s="149"/>
      <c r="AC2470" s="149"/>
      <c r="AD2470" s="149"/>
      <c r="AE2470" s="149"/>
      <c r="AF2470" s="149"/>
      <c r="AG2470" s="149"/>
      <c r="AH2470" s="149"/>
      <c r="AI2470" s="149"/>
      <c r="AJ2470" s="149"/>
      <c r="AK2470" s="149"/>
      <c r="AL2470" s="149"/>
      <c r="AM2470" s="149"/>
      <c r="AN2470" s="149"/>
      <c r="AO2470" s="128"/>
      <c r="AP2470" s="128"/>
      <c r="AQ2470" s="128"/>
      <c r="AR2470" s="128"/>
      <c r="AS2470" s="128"/>
      <c r="AT2470" s="128"/>
      <c r="AU2470" s="128"/>
      <c r="AV2470" s="128"/>
      <c r="AW2470" s="128"/>
      <c r="AX2470" s="128"/>
      <c r="AY2470" s="128"/>
      <c r="AZ2470" s="128"/>
      <c r="BA2470" s="128"/>
      <c r="BB2470" s="128"/>
      <c r="BC2470" s="128"/>
      <c r="BD2470" s="128"/>
      <c r="BE2470" s="128"/>
      <c r="BF2470" s="128"/>
      <c r="BG2470" s="128"/>
      <c r="BH2470" s="128"/>
      <c r="BI2470" s="128"/>
      <c r="BJ2470" s="128"/>
      <c r="BK2470" s="128"/>
      <c r="BL2470" s="128"/>
      <c r="BM2470" s="151"/>
      <c r="BN2470" s="128"/>
      <c r="BO2470" s="128"/>
      <c r="BP2470" s="128"/>
      <c r="BQ2470" s="128"/>
      <c r="BR2470" s="128"/>
      <c r="BS2470" s="128"/>
      <c r="BT2470" s="128"/>
      <c r="BU2470" s="128"/>
      <c r="BV2470" s="128"/>
      <c r="BW2470" s="128"/>
      <c r="BX2470" s="128"/>
      <c r="BY2470" s="128"/>
      <c r="BZ2470" s="128"/>
      <c r="CA2470" s="128"/>
      <c r="CB2470" s="128"/>
      <c r="CC2470" s="128"/>
      <c r="CD2470" s="128"/>
      <c r="CE2470" s="128"/>
      <c r="CF2470" s="128"/>
      <c r="CG2470" s="128"/>
      <c r="CI2470" s="128"/>
      <c r="CJ2470" s="128"/>
      <c r="CK2470" s="128"/>
      <c r="CL2470" s="128"/>
      <c r="CM2470" s="128"/>
      <c r="CN2470" s="128"/>
      <c r="CO2470" s="128"/>
      <c r="CP2470" s="128"/>
      <c r="CQ2470" s="128"/>
      <c r="CR2470" s="128"/>
      <c r="CS2470" s="128"/>
      <c r="CT2470" s="128"/>
      <c r="CU2470" s="128"/>
      <c r="CV2470" s="128"/>
      <c r="CW2470" s="128"/>
      <c r="CX2470" s="128"/>
      <c r="CY2470" s="128"/>
      <c r="CZ2470" s="165"/>
    </row>
    <row r="2471" spans="1:104">
      <c r="A2471" s="149"/>
      <c r="B2471" s="149"/>
      <c r="C2471" s="150"/>
      <c r="D2471" s="102"/>
      <c r="E2471" s="149"/>
      <c r="F2471" s="149"/>
      <c r="G2471" s="149"/>
      <c r="H2471" s="149"/>
      <c r="I2471" s="149"/>
      <c r="J2471" s="149"/>
      <c r="K2471" s="149"/>
      <c r="L2471" s="149"/>
      <c r="M2471" s="149"/>
      <c r="N2471" s="149"/>
      <c r="O2471" s="149"/>
      <c r="P2471" s="149"/>
      <c r="Q2471" s="149"/>
      <c r="R2471" s="149"/>
      <c r="S2471" s="149"/>
      <c r="T2471" s="149"/>
      <c r="U2471" s="149"/>
      <c r="V2471" s="149"/>
      <c r="W2471" s="149"/>
      <c r="X2471" s="149"/>
      <c r="Y2471" s="149"/>
      <c r="Z2471" s="149"/>
      <c r="AA2471" s="149"/>
      <c r="AB2471" s="149"/>
      <c r="AC2471" s="149"/>
      <c r="AD2471" s="149"/>
      <c r="AE2471" s="149"/>
      <c r="AF2471" s="149"/>
      <c r="AG2471" s="149"/>
      <c r="AH2471" s="149"/>
      <c r="AI2471" s="149"/>
      <c r="AJ2471" s="149"/>
      <c r="AK2471" s="149"/>
      <c r="AL2471" s="149"/>
      <c r="AM2471" s="149"/>
      <c r="AN2471" s="149"/>
      <c r="AO2471" s="128"/>
      <c r="AP2471" s="128"/>
      <c r="AQ2471" s="128"/>
      <c r="AR2471" s="128"/>
      <c r="AS2471" s="128"/>
      <c r="AT2471" s="128"/>
      <c r="AU2471" s="128"/>
      <c r="AV2471" s="128"/>
      <c r="AW2471" s="128"/>
      <c r="AX2471" s="128"/>
      <c r="AY2471" s="128"/>
      <c r="AZ2471" s="128"/>
      <c r="BA2471" s="128"/>
      <c r="BB2471" s="128"/>
      <c r="BC2471" s="128"/>
      <c r="BD2471" s="128"/>
      <c r="BE2471" s="128"/>
      <c r="BF2471" s="128"/>
      <c r="BG2471" s="128"/>
      <c r="BH2471" s="128"/>
      <c r="BI2471" s="128"/>
      <c r="BJ2471" s="128"/>
      <c r="BK2471" s="128"/>
      <c r="BL2471" s="128"/>
      <c r="BM2471" s="151"/>
      <c r="BN2471" s="128"/>
      <c r="BO2471" s="128"/>
      <c r="BP2471" s="128"/>
      <c r="BQ2471" s="128"/>
      <c r="BR2471" s="128"/>
      <c r="BS2471" s="128"/>
      <c r="BT2471" s="128"/>
      <c r="BU2471" s="128"/>
      <c r="BV2471" s="128"/>
      <c r="BW2471" s="128"/>
      <c r="BX2471" s="128"/>
      <c r="BY2471" s="128"/>
      <c r="BZ2471" s="128"/>
      <c r="CA2471" s="128"/>
      <c r="CB2471" s="128"/>
      <c r="CC2471" s="128"/>
      <c r="CD2471" s="128"/>
      <c r="CE2471" s="128"/>
      <c r="CF2471" s="128"/>
      <c r="CG2471" s="128"/>
      <c r="CI2471" s="128"/>
      <c r="CJ2471" s="128"/>
      <c r="CK2471" s="128"/>
      <c r="CL2471" s="128"/>
      <c r="CM2471" s="128"/>
      <c r="CN2471" s="128"/>
      <c r="CO2471" s="128"/>
      <c r="CP2471" s="128"/>
      <c r="CQ2471" s="128"/>
      <c r="CR2471" s="128"/>
      <c r="CS2471" s="128"/>
      <c r="CT2471" s="128"/>
      <c r="CU2471" s="128"/>
      <c r="CV2471" s="128"/>
      <c r="CW2471" s="128"/>
      <c r="CX2471" s="128"/>
      <c r="CY2471" s="128"/>
      <c r="CZ2471" s="165"/>
    </row>
    <row r="2472" spans="1:104">
      <c r="A2472" s="149"/>
      <c r="B2472" s="149"/>
      <c r="C2472" s="150"/>
      <c r="D2472" s="102"/>
      <c r="E2472" s="149"/>
      <c r="F2472" s="149"/>
      <c r="G2472" s="149"/>
      <c r="H2472" s="149"/>
      <c r="I2472" s="149"/>
      <c r="J2472" s="149"/>
      <c r="K2472" s="149"/>
      <c r="L2472" s="149"/>
      <c r="M2472" s="149"/>
      <c r="N2472" s="149"/>
      <c r="O2472" s="149"/>
      <c r="P2472" s="149"/>
      <c r="Q2472" s="149"/>
      <c r="R2472" s="149"/>
      <c r="S2472" s="149"/>
      <c r="T2472" s="149"/>
      <c r="U2472" s="149"/>
      <c r="V2472" s="149"/>
      <c r="W2472" s="149"/>
      <c r="X2472" s="149"/>
      <c r="Y2472" s="149"/>
      <c r="Z2472" s="149"/>
      <c r="AA2472" s="149"/>
      <c r="AB2472" s="149"/>
      <c r="AC2472" s="149"/>
      <c r="AD2472" s="149"/>
      <c r="AE2472" s="149"/>
      <c r="AF2472" s="149"/>
      <c r="AG2472" s="149"/>
      <c r="AH2472" s="149"/>
      <c r="AI2472" s="149"/>
      <c r="AJ2472" s="149"/>
      <c r="AK2472" s="149"/>
      <c r="AL2472" s="149"/>
      <c r="AM2472" s="149"/>
      <c r="AN2472" s="149"/>
      <c r="AO2472" s="128"/>
      <c r="AP2472" s="128"/>
      <c r="AQ2472" s="128"/>
      <c r="AR2472" s="128"/>
      <c r="AS2472" s="128"/>
      <c r="AT2472" s="128"/>
      <c r="AU2472" s="128"/>
      <c r="AV2472" s="128"/>
      <c r="AW2472" s="128"/>
      <c r="AX2472" s="128"/>
      <c r="AY2472" s="128"/>
      <c r="AZ2472" s="128"/>
      <c r="BA2472" s="128"/>
      <c r="BB2472" s="128"/>
      <c r="BC2472" s="128"/>
      <c r="BD2472" s="128"/>
      <c r="BE2472" s="128"/>
      <c r="BF2472" s="128"/>
      <c r="BG2472" s="128"/>
      <c r="BH2472" s="128"/>
      <c r="BI2472" s="128"/>
      <c r="BJ2472" s="128"/>
      <c r="BK2472" s="128"/>
      <c r="BL2472" s="128"/>
      <c r="BM2472" s="151"/>
      <c r="BN2472" s="128"/>
      <c r="BO2472" s="128"/>
      <c r="BP2472" s="128"/>
      <c r="BQ2472" s="128"/>
      <c r="BR2472" s="128"/>
      <c r="BS2472" s="128"/>
      <c r="BT2472" s="128"/>
      <c r="BU2472" s="128"/>
      <c r="BV2472" s="128"/>
      <c r="BW2472" s="128"/>
      <c r="BX2472" s="128"/>
      <c r="BY2472" s="128"/>
      <c r="BZ2472" s="128"/>
      <c r="CA2472" s="128"/>
      <c r="CB2472" s="128"/>
      <c r="CC2472" s="128"/>
      <c r="CD2472" s="128"/>
      <c r="CE2472" s="128"/>
      <c r="CF2472" s="128"/>
      <c r="CG2472" s="128"/>
      <c r="CI2472" s="128"/>
      <c r="CJ2472" s="128"/>
      <c r="CK2472" s="128"/>
      <c r="CL2472" s="128"/>
      <c r="CM2472" s="128"/>
      <c r="CN2472" s="128"/>
      <c r="CO2472" s="128"/>
      <c r="CP2472" s="128"/>
      <c r="CQ2472" s="128"/>
      <c r="CR2472" s="128"/>
      <c r="CS2472" s="128"/>
      <c r="CT2472" s="128"/>
      <c r="CU2472" s="128"/>
      <c r="CV2472" s="128"/>
      <c r="CW2472" s="128"/>
      <c r="CX2472" s="128"/>
      <c r="CY2472" s="128"/>
      <c r="CZ2472" s="165"/>
    </row>
    <row r="2473" spans="1:104">
      <c r="A2473" s="149"/>
      <c r="B2473" s="149"/>
      <c r="C2473" s="150"/>
      <c r="D2473" s="102"/>
      <c r="E2473" s="149"/>
      <c r="F2473" s="149"/>
      <c r="G2473" s="149"/>
      <c r="H2473" s="149"/>
      <c r="I2473" s="149"/>
      <c r="J2473" s="149"/>
      <c r="K2473" s="149"/>
      <c r="L2473" s="149"/>
      <c r="M2473" s="149"/>
      <c r="N2473" s="149"/>
      <c r="O2473" s="149"/>
      <c r="P2473" s="149"/>
      <c r="Q2473" s="149"/>
      <c r="R2473" s="149"/>
      <c r="S2473" s="149"/>
      <c r="T2473" s="149"/>
      <c r="U2473" s="149"/>
      <c r="V2473" s="149"/>
      <c r="W2473" s="149"/>
      <c r="X2473" s="149"/>
      <c r="Y2473" s="149"/>
      <c r="Z2473" s="149"/>
      <c r="AA2473" s="149"/>
      <c r="AB2473" s="149"/>
      <c r="AC2473" s="149"/>
      <c r="AD2473" s="149"/>
      <c r="AE2473" s="149"/>
      <c r="AF2473" s="149"/>
      <c r="AG2473" s="149"/>
      <c r="AH2473" s="149"/>
      <c r="AI2473" s="149"/>
      <c r="AJ2473" s="149"/>
      <c r="AK2473" s="149"/>
      <c r="AL2473" s="149"/>
      <c r="AM2473" s="149"/>
      <c r="AN2473" s="149"/>
      <c r="AO2473" s="128"/>
      <c r="AP2473" s="128"/>
      <c r="AQ2473" s="128"/>
      <c r="AR2473" s="128"/>
      <c r="AS2473" s="128"/>
      <c r="AT2473" s="128"/>
      <c r="AU2473" s="128"/>
      <c r="AV2473" s="128"/>
      <c r="AW2473" s="128"/>
      <c r="AX2473" s="128"/>
      <c r="AY2473" s="128"/>
      <c r="AZ2473" s="128"/>
      <c r="BA2473" s="128"/>
      <c r="BB2473" s="128"/>
      <c r="BC2473" s="128"/>
      <c r="BD2473" s="128"/>
      <c r="BE2473" s="128"/>
      <c r="BF2473" s="128"/>
      <c r="BG2473" s="128"/>
      <c r="BH2473" s="128"/>
      <c r="BI2473" s="128"/>
      <c r="BJ2473" s="128"/>
      <c r="BK2473" s="128"/>
      <c r="BL2473" s="128"/>
      <c r="BM2473" s="151"/>
      <c r="BN2473" s="128"/>
      <c r="BO2473" s="128"/>
      <c r="BP2473" s="128"/>
      <c r="BQ2473" s="128"/>
      <c r="BR2473" s="128"/>
      <c r="BS2473" s="128"/>
      <c r="BT2473" s="128"/>
      <c r="BU2473" s="128"/>
      <c r="BV2473" s="128"/>
      <c r="BW2473" s="128"/>
      <c r="BX2473" s="128"/>
      <c r="BY2473" s="128"/>
      <c r="BZ2473" s="128"/>
      <c r="CA2473" s="128"/>
      <c r="CB2473" s="128"/>
      <c r="CC2473" s="128"/>
      <c r="CD2473" s="128"/>
      <c r="CE2473" s="128"/>
      <c r="CF2473" s="128"/>
      <c r="CG2473" s="128"/>
      <c r="CI2473" s="128"/>
      <c r="CJ2473" s="128"/>
      <c r="CK2473" s="128"/>
      <c r="CL2473" s="128"/>
      <c r="CM2473" s="128"/>
      <c r="CN2473" s="128"/>
      <c r="CO2473" s="128"/>
      <c r="CP2473" s="128"/>
      <c r="CQ2473" s="128"/>
      <c r="CR2473" s="128"/>
      <c r="CS2473" s="128"/>
      <c r="CT2473" s="128"/>
      <c r="CU2473" s="128"/>
      <c r="CV2473" s="128"/>
      <c r="CW2473" s="128"/>
      <c r="CX2473" s="128"/>
      <c r="CY2473" s="128"/>
      <c r="CZ2473" s="165"/>
    </row>
    <row r="2474" spans="1:104">
      <c r="A2474" s="149"/>
      <c r="B2474" s="149"/>
      <c r="C2474" s="150"/>
      <c r="D2474" s="102"/>
      <c r="E2474" s="149"/>
      <c r="F2474" s="149"/>
      <c r="G2474" s="149"/>
      <c r="H2474" s="149"/>
      <c r="I2474" s="149"/>
      <c r="J2474" s="149"/>
      <c r="K2474" s="149"/>
      <c r="L2474" s="149"/>
      <c r="M2474" s="149"/>
      <c r="N2474" s="149"/>
      <c r="O2474" s="149"/>
      <c r="P2474" s="149"/>
      <c r="Q2474" s="149"/>
      <c r="R2474" s="149"/>
      <c r="S2474" s="149"/>
      <c r="T2474" s="149"/>
      <c r="U2474" s="149"/>
      <c r="V2474" s="149"/>
      <c r="W2474" s="149"/>
      <c r="X2474" s="149"/>
      <c r="Y2474" s="149"/>
      <c r="Z2474" s="149"/>
      <c r="AA2474" s="149"/>
      <c r="AB2474" s="149"/>
      <c r="AC2474" s="149"/>
      <c r="AD2474" s="149"/>
      <c r="AE2474" s="149"/>
      <c r="AF2474" s="149"/>
      <c r="AG2474" s="149"/>
      <c r="AH2474" s="149"/>
      <c r="AI2474" s="149"/>
      <c r="AJ2474" s="149"/>
      <c r="AK2474" s="149"/>
      <c r="AL2474" s="149"/>
      <c r="AM2474" s="149"/>
      <c r="AN2474" s="149"/>
      <c r="AO2474" s="128"/>
      <c r="AP2474" s="128"/>
      <c r="AQ2474" s="128"/>
      <c r="AR2474" s="128"/>
      <c r="AS2474" s="128"/>
      <c r="AT2474" s="128"/>
      <c r="AU2474" s="128"/>
      <c r="AV2474" s="128"/>
      <c r="AW2474" s="128"/>
      <c r="AX2474" s="128"/>
      <c r="AY2474" s="128"/>
      <c r="AZ2474" s="128"/>
      <c r="BA2474" s="128"/>
      <c r="BB2474" s="128"/>
      <c r="BC2474" s="128"/>
      <c r="BD2474" s="128"/>
      <c r="BE2474" s="128"/>
      <c r="BF2474" s="128"/>
      <c r="BG2474" s="128"/>
      <c r="BH2474" s="128"/>
      <c r="BI2474" s="128"/>
      <c r="BJ2474" s="128"/>
      <c r="BK2474" s="128"/>
      <c r="BL2474" s="128"/>
      <c r="BM2474" s="151"/>
      <c r="BN2474" s="128"/>
      <c r="BO2474" s="128"/>
      <c r="BP2474" s="128"/>
      <c r="BQ2474" s="128"/>
      <c r="BR2474" s="128"/>
      <c r="BS2474" s="128"/>
      <c r="BT2474" s="128"/>
      <c r="BU2474" s="128"/>
      <c r="BV2474" s="128"/>
      <c r="BW2474" s="128"/>
      <c r="BX2474" s="128"/>
      <c r="BY2474" s="128"/>
      <c r="BZ2474" s="128"/>
      <c r="CA2474" s="128"/>
      <c r="CB2474" s="128"/>
      <c r="CC2474" s="128"/>
      <c r="CD2474" s="128"/>
      <c r="CE2474" s="128"/>
      <c r="CF2474" s="128"/>
      <c r="CG2474" s="128"/>
      <c r="CI2474" s="128"/>
      <c r="CJ2474" s="128"/>
      <c r="CK2474" s="128"/>
      <c r="CL2474" s="128"/>
      <c r="CM2474" s="128"/>
      <c r="CN2474" s="128"/>
      <c r="CO2474" s="128"/>
      <c r="CP2474" s="128"/>
      <c r="CQ2474" s="128"/>
      <c r="CR2474" s="128"/>
      <c r="CS2474" s="128"/>
      <c r="CT2474" s="128"/>
      <c r="CU2474" s="128"/>
      <c r="CV2474" s="128"/>
      <c r="CW2474" s="128"/>
      <c r="CX2474" s="128"/>
      <c r="CY2474" s="128"/>
      <c r="CZ2474" s="165"/>
    </row>
    <row r="2475" spans="1:104">
      <c r="A2475" s="149"/>
      <c r="B2475" s="149"/>
      <c r="C2475" s="150"/>
      <c r="D2475" s="102"/>
      <c r="E2475" s="149"/>
      <c r="F2475" s="149"/>
      <c r="G2475" s="149"/>
      <c r="H2475" s="149"/>
      <c r="I2475" s="149"/>
      <c r="J2475" s="149"/>
      <c r="K2475" s="149"/>
      <c r="L2475" s="149"/>
      <c r="M2475" s="149"/>
      <c r="N2475" s="149"/>
      <c r="O2475" s="149"/>
      <c r="P2475" s="149"/>
      <c r="Q2475" s="149"/>
      <c r="R2475" s="149"/>
      <c r="S2475" s="149"/>
      <c r="T2475" s="149"/>
      <c r="U2475" s="149"/>
      <c r="V2475" s="149"/>
      <c r="W2475" s="149"/>
      <c r="X2475" s="149"/>
      <c r="Y2475" s="149"/>
      <c r="Z2475" s="149"/>
      <c r="AA2475" s="149"/>
      <c r="AB2475" s="149"/>
      <c r="AC2475" s="149"/>
      <c r="AD2475" s="149"/>
      <c r="AE2475" s="149"/>
      <c r="AF2475" s="149"/>
      <c r="AG2475" s="149"/>
      <c r="AH2475" s="149"/>
      <c r="AI2475" s="149"/>
      <c r="AJ2475" s="149"/>
      <c r="AK2475" s="149"/>
      <c r="AL2475" s="149"/>
      <c r="AM2475" s="149"/>
      <c r="AN2475" s="149"/>
      <c r="AO2475" s="128"/>
      <c r="AP2475" s="128"/>
      <c r="AQ2475" s="128"/>
      <c r="AR2475" s="128"/>
      <c r="AS2475" s="128"/>
      <c r="AT2475" s="128"/>
      <c r="AU2475" s="128"/>
      <c r="AV2475" s="128"/>
      <c r="AW2475" s="128"/>
      <c r="AX2475" s="128"/>
      <c r="AY2475" s="128"/>
      <c r="AZ2475" s="128"/>
      <c r="BA2475" s="128"/>
      <c r="BB2475" s="128"/>
      <c r="BC2475" s="128"/>
      <c r="BD2475" s="128"/>
      <c r="BE2475" s="128"/>
      <c r="BF2475" s="128"/>
      <c r="BG2475" s="128"/>
      <c r="BH2475" s="128"/>
      <c r="BI2475" s="128"/>
      <c r="BJ2475" s="128"/>
      <c r="BK2475" s="128"/>
      <c r="BL2475" s="128"/>
      <c r="BM2475" s="151"/>
      <c r="BN2475" s="128"/>
      <c r="BO2475" s="128"/>
      <c r="BP2475" s="128"/>
      <c r="BQ2475" s="128"/>
      <c r="BR2475" s="128"/>
      <c r="BS2475" s="128"/>
      <c r="BT2475" s="128"/>
      <c r="BU2475" s="128"/>
      <c r="BV2475" s="128"/>
      <c r="BW2475" s="128"/>
      <c r="BX2475" s="128"/>
      <c r="BY2475" s="128"/>
      <c r="BZ2475" s="128"/>
      <c r="CA2475" s="128"/>
      <c r="CB2475" s="128"/>
      <c r="CC2475" s="128"/>
      <c r="CD2475" s="128"/>
      <c r="CE2475" s="128"/>
      <c r="CF2475" s="128"/>
      <c r="CG2475" s="128"/>
      <c r="CI2475" s="128"/>
      <c r="CJ2475" s="128"/>
      <c r="CK2475" s="128"/>
      <c r="CL2475" s="128"/>
      <c r="CM2475" s="128"/>
      <c r="CN2475" s="128"/>
      <c r="CO2475" s="128"/>
      <c r="CP2475" s="128"/>
      <c r="CQ2475" s="128"/>
      <c r="CR2475" s="128"/>
      <c r="CS2475" s="128"/>
      <c r="CT2475" s="128"/>
      <c r="CU2475" s="128"/>
      <c r="CV2475" s="128"/>
      <c r="CW2475" s="128"/>
      <c r="CX2475" s="128"/>
      <c r="CY2475" s="128"/>
      <c r="CZ2475" s="165"/>
    </row>
    <row r="2476" spans="1:104">
      <c r="A2476" s="149"/>
      <c r="B2476" s="149"/>
      <c r="C2476" s="150"/>
      <c r="D2476" s="102"/>
      <c r="E2476" s="149"/>
      <c r="F2476" s="149"/>
      <c r="G2476" s="149"/>
      <c r="H2476" s="149"/>
      <c r="I2476" s="149"/>
      <c r="J2476" s="149"/>
      <c r="K2476" s="149"/>
      <c r="L2476" s="149"/>
      <c r="M2476" s="149"/>
      <c r="N2476" s="149"/>
      <c r="O2476" s="149"/>
      <c r="P2476" s="149"/>
      <c r="Q2476" s="149"/>
      <c r="R2476" s="149"/>
      <c r="S2476" s="149"/>
      <c r="T2476" s="149"/>
      <c r="U2476" s="149"/>
      <c r="V2476" s="149"/>
      <c r="W2476" s="149"/>
      <c r="X2476" s="149"/>
      <c r="Y2476" s="149"/>
      <c r="Z2476" s="149"/>
      <c r="AA2476" s="149"/>
      <c r="AB2476" s="149"/>
      <c r="AC2476" s="149"/>
      <c r="AD2476" s="149"/>
      <c r="AE2476" s="149"/>
      <c r="AF2476" s="149"/>
      <c r="AG2476" s="149"/>
      <c r="AH2476" s="149"/>
      <c r="AI2476" s="149"/>
      <c r="AJ2476" s="149"/>
      <c r="AK2476" s="149"/>
      <c r="AL2476" s="149"/>
      <c r="AM2476" s="149"/>
      <c r="AN2476" s="149"/>
      <c r="AO2476" s="128"/>
      <c r="AP2476" s="128"/>
      <c r="AQ2476" s="128"/>
      <c r="AR2476" s="128"/>
      <c r="AS2476" s="128"/>
      <c r="AT2476" s="128"/>
      <c r="AU2476" s="128"/>
      <c r="AV2476" s="128"/>
      <c r="AW2476" s="128"/>
      <c r="AX2476" s="128"/>
      <c r="AY2476" s="128"/>
      <c r="AZ2476" s="128"/>
      <c r="BA2476" s="128"/>
      <c r="BB2476" s="128"/>
      <c r="BC2476" s="128"/>
      <c r="BD2476" s="128"/>
      <c r="BE2476" s="128"/>
      <c r="BF2476" s="128"/>
      <c r="BG2476" s="128"/>
      <c r="BH2476" s="128"/>
      <c r="BI2476" s="128"/>
      <c r="BJ2476" s="128"/>
      <c r="BK2476" s="128"/>
      <c r="BL2476" s="128"/>
      <c r="BM2476" s="151"/>
      <c r="BN2476" s="128"/>
      <c r="BO2476" s="128"/>
      <c r="BP2476" s="128"/>
      <c r="BQ2476" s="128"/>
      <c r="BR2476" s="128"/>
      <c r="BS2476" s="128"/>
      <c r="BT2476" s="128"/>
      <c r="BU2476" s="128"/>
      <c r="BV2476" s="128"/>
      <c r="BW2476" s="128"/>
      <c r="BX2476" s="128"/>
      <c r="BY2476" s="128"/>
      <c r="BZ2476" s="128"/>
      <c r="CA2476" s="128"/>
      <c r="CB2476" s="128"/>
      <c r="CC2476" s="128"/>
      <c r="CD2476" s="128"/>
      <c r="CE2476" s="128"/>
      <c r="CF2476" s="128"/>
      <c r="CG2476" s="128"/>
      <c r="CI2476" s="128"/>
      <c r="CJ2476" s="128"/>
      <c r="CK2476" s="128"/>
      <c r="CL2476" s="128"/>
      <c r="CM2476" s="128"/>
      <c r="CN2476" s="128"/>
      <c r="CO2476" s="128"/>
      <c r="CP2476" s="128"/>
      <c r="CQ2476" s="128"/>
      <c r="CR2476" s="128"/>
      <c r="CS2476" s="128"/>
      <c r="CT2476" s="128"/>
      <c r="CU2476" s="128"/>
      <c r="CV2476" s="128"/>
      <c r="CW2476" s="128"/>
      <c r="CX2476" s="128"/>
      <c r="CY2476" s="128"/>
      <c r="CZ2476" s="165"/>
    </row>
    <row r="2477" spans="1:104">
      <c r="A2477" s="149"/>
      <c r="B2477" s="149"/>
      <c r="C2477" s="150"/>
      <c r="D2477" s="102"/>
      <c r="E2477" s="149"/>
      <c r="F2477" s="149"/>
      <c r="G2477" s="149"/>
      <c r="H2477" s="149"/>
      <c r="I2477" s="149"/>
      <c r="J2477" s="149"/>
      <c r="K2477" s="149"/>
      <c r="L2477" s="149"/>
      <c r="M2477" s="149"/>
      <c r="N2477" s="149"/>
      <c r="O2477" s="149"/>
      <c r="P2477" s="149"/>
      <c r="Q2477" s="149"/>
      <c r="R2477" s="149"/>
      <c r="S2477" s="149"/>
      <c r="T2477" s="149"/>
      <c r="U2477" s="149"/>
      <c r="V2477" s="149"/>
      <c r="W2477" s="149"/>
      <c r="X2477" s="149"/>
      <c r="Y2477" s="149"/>
      <c r="Z2477" s="149"/>
      <c r="AA2477" s="149"/>
      <c r="AB2477" s="149"/>
      <c r="AC2477" s="149"/>
      <c r="AD2477" s="149"/>
      <c r="AE2477" s="149"/>
      <c r="AF2477" s="149"/>
      <c r="AG2477" s="149"/>
      <c r="AH2477" s="149"/>
      <c r="AI2477" s="149"/>
      <c r="AJ2477" s="149"/>
      <c r="AK2477" s="149"/>
      <c r="AL2477" s="149"/>
      <c r="AM2477" s="149"/>
      <c r="AN2477" s="149"/>
      <c r="AO2477" s="128"/>
      <c r="AP2477" s="128"/>
      <c r="AQ2477" s="128"/>
      <c r="AR2477" s="128"/>
      <c r="AS2477" s="128"/>
      <c r="AT2477" s="128"/>
      <c r="AU2477" s="128"/>
      <c r="AV2477" s="128"/>
      <c r="AW2477" s="128"/>
      <c r="AX2477" s="128"/>
      <c r="AY2477" s="128"/>
      <c r="AZ2477" s="128"/>
      <c r="BA2477" s="128"/>
      <c r="BB2477" s="128"/>
      <c r="BC2477" s="128"/>
      <c r="BD2477" s="128"/>
      <c r="BE2477" s="128"/>
      <c r="BF2477" s="128"/>
      <c r="BG2477" s="128"/>
      <c r="BH2477" s="128"/>
      <c r="BI2477" s="128"/>
      <c r="BJ2477" s="128"/>
      <c r="BK2477" s="128"/>
      <c r="BL2477" s="128"/>
      <c r="BM2477" s="151"/>
      <c r="BN2477" s="128"/>
      <c r="BO2477" s="128"/>
      <c r="BP2477" s="128"/>
      <c r="BQ2477" s="128"/>
      <c r="BR2477" s="128"/>
      <c r="BS2477" s="128"/>
      <c r="BT2477" s="128"/>
      <c r="BU2477" s="128"/>
      <c r="BV2477" s="128"/>
      <c r="BW2477" s="128"/>
      <c r="BX2477" s="128"/>
      <c r="BY2477" s="128"/>
      <c r="BZ2477" s="128"/>
      <c r="CA2477" s="128"/>
      <c r="CB2477" s="128"/>
      <c r="CC2477" s="128"/>
      <c r="CD2477" s="128"/>
      <c r="CE2477" s="128"/>
      <c r="CF2477" s="128"/>
      <c r="CG2477" s="128"/>
      <c r="CI2477" s="128"/>
      <c r="CJ2477" s="128"/>
      <c r="CK2477" s="128"/>
      <c r="CL2477" s="128"/>
      <c r="CM2477" s="128"/>
      <c r="CN2477" s="128"/>
      <c r="CO2477" s="128"/>
      <c r="CP2477" s="128"/>
      <c r="CQ2477" s="128"/>
      <c r="CR2477" s="128"/>
      <c r="CS2477" s="128"/>
      <c r="CT2477" s="128"/>
      <c r="CU2477" s="128"/>
      <c r="CV2477" s="128"/>
      <c r="CW2477" s="128"/>
      <c r="CX2477" s="128"/>
      <c r="CY2477" s="128"/>
      <c r="CZ2477" s="165"/>
    </row>
    <row r="2478" spans="1:104">
      <c r="A2478" s="149"/>
      <c r="B2478" s="149"/>
      <c r="C2478" s="150"/>
      <c r="D2478" s="102"/>
      <c r="E2478" s="149"/>
      <c r="F2478" s="149"/>
      <c r="G2478" s="149"/>
      <c r="H2478" s="149"/>
      <c r="I2478" s="149"/>
      <c r="J2478" s="149"/>
      <c r="K2478" s="149"/>
      <c r="L2478" s="149"/>
      <c r="M2478" s="149"/>
      <c r="N2478" s="149"/>
      <c r="O2478" s="149"/>
      <c r="P2478" s="149"/>
      <c r="Q2478" s="149"/>
      <c r="R2478" s="149"/>
      <c r="S2478" s="149"/>
      <c r="T2478" s="149"/>
      <c r="U2478" s="149"/>
      <c r="V2478" s="149"/>
      <c r="W2478" s="149"/>
      <c r="X2478" s="149"/>
      <c r="Y2478" s="149"/>
      <c r="Z2478" s="149"/>
      <c r="AA2478" s="149"/>
      <c r="AB2478" s="149"/>
      <c r="AC2478" s="149"/>
      <c r="AD2478" s="149"/>
      <c r="AE2478" s="149"/>
      <c r="AF2478" s="149"/>
      <c r="AG2478" s="149"/>
      <c r="AH2478" s="149"/>
      <c r="AI2478" s="149"/>
      <c r="AJ2478" s="149"/>
      <c r="AK2478" s="149"/>
      <c r="AL2478" s="149"/>
      <c r="AM2478" s="149"/>
      <c r="AN2478" s="149"/>
      <c r="AO2478" s="128"/>
      <c r="AP2478" s="128"/>
      <c r="AQ2478" s="128"/>
      <c r="AR2478" s="128"/>
      <c r="AS2478" s="128"/>
      <c r="AT2478" s="128"/>
      <c r="AU2478" s="128"/>
      <c r="AV2478" s="128"/>
      <c r="AW2478" s="128"/>
      <c r="AX2478" s="128"/>
      <c r="AY2478" s="128"/>
      <c r="AZ2478" s="128"/>
      <c r="BA2478" s="128"/>
      <c r="BB2478" s="128"/>
      <c r="BC2478" s="128"/>
      <c r="BD2478" s="128"/>
      <c r="BE2478" s="128"/>
      <c r="BF2478" s="128"/>
      <c r="BG2478" s="128"/>
      <c r="BH2478" s="128"/>
      <c r="BI2478" s="128"/>
      <c r="BJ2478" s="128"/>
      <c r="BK2478" s="128"/>
      <c r="BL2478" s="128"/>
      <c r="BM2478" s="151"/>
      <c r="BN2478" s="128"/>
      <c r="BO2478" s="128"/>
      <c r="BP2478" s="128"/>
      <c r="BQ2478" s="128"/>
      <c r="BR2478" s="128"/>
      <c r="BS2478" s="128"/>
      <c r="BT2478" s="128"/>
      <c r="BU2478" s="128"/>
      <c r="BV2478" s="128"/>
      <c r="BW2478" s="128"/>
      <c r="BX2478" s="128"/>
      <c r="BY2478" s="128"/>
      <c r="BZ2478" s="128"/>
      <c r="CA2478" s="128"/>
      <c r="CB2478" s="128"/>
      <c r="CC2478" s="128"/>
      <c r="CD2478" s="128"/>
      <c r="CE2478" s="128"/>
      <c r="CF2478" s="128"/>
      <c r="CG2478" s="128"/>
      <c r="CI2478" s="128"/>
      <c r="CJ2478" s="128"/>
      <c r="CK2478" s="128"/>
      <c r="CL2478" s="128"/>
      <c r="CM2478" s="128"/>
      <c r="CN2478" s="128"/>
      <c r="CO2478" s="128"/>
      <c r="CP2478" s="128"/>
      <c r="CQ2478" s="128"/>
      <c r="CR2478" s="128"/>
      <c r="CS2478" s="128"/>
      <c r="CT2478" s="128"/>
      <c r="CU2478" s="128"/>
      <c r="CV2478" s="128"/>
      <c r="CW2478" s="128"/>
      <c r="CX2478" s="128"/>
      <c r="CY2478" s="128"/>
      <c r="CZ2478" s="165"/>
    </row>
    <row r="2479" spans="1:104">
      <c r="A2479" s="149"/>
      <c r="B2479" s="149"/>
      <c r="C2479" s="150"/>
      <c r="D2479" s="102"/>
      <c r="E2479" s="149"/>
      <c r="F2479" s="149"/>
      <c r="G2479" s="149"/>
      <c r="H2479" s="149"/>
      <c r="I2479" s="149"/>
      <c r="J2479" s="149"/>
      <c r="K2479" s="149"/>
      <c r="L2479" s="149"/>
      <c r="M2479" s="149"/>
      <c r="N2479" s="149"/>
      <c r="O2479" s="149"/>
      <c r="P2479" s="149"/>
      <c r="Q2479" s="149"/>
      <c r="R2479" s="149"/>
      <c r="S2479" s="149"/>
      <c r="T2479" s="149"/>
      <c r="U2479" s="149"/>
      <c r="V2479" s="149"/>
      <c r="W2479" s="149"/>
      <c r="X2479" s="149"/>
      <c r="Y2479" s="149"/>
      <c r="Z2479" s="149"/>
      <c r="AA2479" s="149"/>
      <c r="AB2479" s="149"/>
      <c r="AC2479" s="149"/>
      <c r="AD2479" s="149"/>
      <c r="AE2479" s="149"/>
      <c r="AF2479" s="149"/>
      <c r="AG2479" s="149"/>
      <c r="AH2479" s="149"/>
      <c r="AI2479" s="149"/>
      <c r="AJ2479" s="149"/>
      <c r="AK2479" s="149"/>
      <c r="AL2479" s="149"/>
      <c r="AM2479" s="149"/>
      <c r="AN2479" s="149"/>
      <c r="AO2479" s="128"/>
      <c r="AP2479" s="128"/>
      <c r="AQ2479" s="128"/>
      <c r="AR2479" s="128"/>
      <c r="AS2479" s="128"/>
      <c r="AT2479" s="128"/>
      <c r="AU2479" s="128"/>
      <c r="AV2479" s="128"/>
      <c r="AW2479" s="128"/>
      <c r="AX2479" s="128"/>
      <c r="AY2479" s="128"/>
      <c r="AZ2479" s="128"/>
      <c r="BA2479" s="128"/>
      <c r="BB2479" s="128"/>
      <c r="BC2479" s="128"/>
      <c r="BD2479" s="128"/>
      <c r="BE2479" s="128"/>
      <c r="BF2479" s="128"/>
      <c r="BG2479" s="128"/>
      <c r="BH2479" s="128"/>
      <c r="BI2479" s="128"/>
      <c r="BJ2479" s="128"/>
      <c r="BK2479" s="128"/>
      <c r="BL2479" s="128"/>
      <c r="BM2479" s="151"/>
      <c r="BN2479" s="128"/>
      <c r="BO2479" s="128"/>
      <c r="BP2479" s="128"/>
      <c r="BQ2479" s="128"/>
      <c r="BR2479" s="128"/>
      <c r="BS2479" s="128"/>
      <c r="BT2479" s="128"/>
      <c r="BU2479" s="128"/>
      <c r="BV2479" s="128"/>
      <c r="BW2479" s="128"/>
      <c r="BX2479" s="128"/>
      <c r="BY2479" s="128"/>
      <c r="BZ2479" s="128"/>
      <c r="CA2479" s="128"/>
      <c r="CB2479" s="128"/>
      <c r="CC2479" s="128"/>
      <c r="CD2479" s="128"/>
      <c r="CE2479" s="128"/>
      <c r="CF2479" s="128"/>
      <c r="CG2479" s="128"/>
      <c r="CI2479" s="128"/>
      <c r="CJ2479" s="128"/>
      <c r="CK2479" s="128"/>
      <c r="CL2479" s="128"/>
      <c r="CM2479" s="128"/>
      <c r="CN2479" s="128"/>
      <c r="CO2479" s="128"/>
      <c r="CP2479" s="128"/>
      <c r="CQ2479" s="128"/>
      <c r="CR2479" s="128"/>
      <c r="CS2479" s="128"/>
      <c r="CT2479" s="128"/>
      <c r="CU2479" s="128"/>
      <c r="CV2479" s="128"/>
      <c r="CW2479" s="128"/>
      <c r="CX2479" s="128"/>
      <c r="CY2479" s="128"/>
      <c r="CZ2479" s="165"/>
    </row>
    <row r="2480" spans="1:104">
      <c r="A2480" s="149"/>
      <c r="B2480" s="149"/>
      <c r="C2480" s="150"/>
      <c r="D2480" s="102"/>
      <c r="E2480" s="149"/>
      <c r="F2480" s="149"/>
      <c r="G2480" s="149"/>
      <c r="H2480" s="149"/>
      <c r="I2480" s="149"/>
      <c r="J2480" s="149"/>
      <c r="K2480" s="149"/>
      <c r="L2480" s="149"/>
      <c r="M2480" s="149"/>
      <c r="N2480" s="149"/>
      <c r="O2480" s="149"/>
      <c r="P2480" s="149"/>
      <c r="Q2480" s="149"/>
      <c r="R2480" s="149"/>
      <c r="S2480" s="149"/>
      <c r="T2480" s="149"/>
      <c r="U2480" s="149"/>
      <c r="V2480" s="149"/>
      <c r="W2480" s="149"/>
      <c r="X2480" s="149"/>
      <c r="Y2480" s="149"/>
      <c r="Z2480" s="149"/>
      <c r="AA2480" s="149"/>
      <c r="AB2480" s="149"/>
      <c r="AC2480" s="149"/>
      <c r="AD2480" s="149"/>
      <c r="AE2480" s="149"/>
      <c r="AF2480" s="149"/>
      <c r="AG2480" s="149"/>
      <c r="AH2480" s="149"/>
      <c r="AI2480" s="149"/>
      <c r="AJ2480" s="149"/>
      <c r="AK2480" s="149"/>
      <c r="AL2480" s="149"/>
      <c r="AM2480" s="149"/>
      <c r="AN2480" s="149"/>
      <c r="AO2480" s="128"/>
      <c r="AP2480" s="128"/>
      <c r="AQ2480" s="128"/>
      <c r="AR2480" s="128"/>
      <c r="AS2480" s="128"/>
      <c r="AT2480" s="128"/>
      <c r="AU2480" s="128"/>
      <c r="AV2480" s="128"/>
      <c r="AW2480" s="128"/>
      <c r="AX2480" s="128"/>
      <c r="AY2480" s="128"/>
      <c r="AZ2480" s="128"/>
      <c r="BA2480" s="128"/>
      <c r="BB2480" s="128"/>
      <c r="BC2480" s="128"/>
      <c r="BD2480" s="128"/>
      <c r="BE2480" s="128"/>
      <c r="BF2480" s="128"/>
      <c r="BG2480" s="128"/>
      <c r="BH2480" s="128"/>
      <c r="BI2480" s="128"/>
      <c r="BJ2480" s="128"/>
      <c r="BK2480" s="128"/>
      <c r="BL2480" s="128"/>
      <c r="BM2480" s="151"/>
      <c r="BN2480" s="128"/>
      <c r="BO2480" s="128"/>
      <c r="BP2480" s="128"/>
      <c r="BQ2480" s="128"/>
      <c r="BR2480" s="128"/>
      <c r="BS2480" s="128"/>
      <c r="BT2480" s="128"/>
      <c r="BU2480" s="128"/>
      <c r="BV2480" s="128"/>
      <c r="BW2480" s="128"/>
      <c r="BX2480" s="128"/>
      <c r="BY2480" s="128"/>
      <c r="BZ2480" s="128"/>
      <c r="CA2480" s="128"/>
      <c r="CB2480" s="128"/>
      <c r="CC2480" s="128"/>
      <c r="CD2480" s="128"/>
      <c r="CE2480" s="128"/>
      <c r="CF2480" s="128"/>
      <c r="CG2480" s="128"/>
      <c r="CI2480" s="128"/>
      <c r="CJ2480" s="128"/>
      <c r="CK2480" s="128"/>
      <c r="CL2480" s="128"/>
      <c r="CM2480" s="128"/>
      <c r="CN2480" s="128"/>
      <c r="CO2480" s="128"/>
      <c r="CP2480" s="128"/>
      <c r="CQ2480" s="128"/>
      <c r="CR2480" s="128"/>
      <c r="CS2480" s="128"/>
      <c r="CT2480" s="128"/>
      <c r="CU2480" s="128"/>
      <c r="CV2480" s="128"/>
      <c r="CW2480" s="128"/>
      <c r="CX2480" s="128"/>
      <c r="CY2480" s="128"/>
      <c r="CZ2480" s="165"/>
    </row>
    <row r="2481" spans="1:104">
      <c r="A2481" s="149"/>
      <c r="B2481" s="149"/>
      <c r="C2481" s="150"/>
      <c r="D2481" s="102"/>
      <c r="E2481" s="149"/>
      <c r="F2481" s="149"/>
      <c r="G2481" s="149"/>
      <c r="H2481" s="149"/>
      <c r="I2481" s="149"/>
      <c r="J2481" s="149"/>
      <c r="K2481" s="149"/>
      <c r="L2481" s="149"/>
      <c r="M2481" s="149"/>
      <c r="N2481" s="149"/>
      <c r="O2481" s="149"/>
      <c r="P2481" s="149"/>
      <c r="Q2481" s="149"/>
      <c r="R2481" s="149"/>
      <c r="S2481" s="149"/>
      <c r="T2481" s="149"/>
      <c r="U2481" s="149"/>
      <c r="V2481" s="149"/>
      <c r="W2481" s="149"/>
      <c r="X2481" s="149"/>
      <c r="Y2481" s="149"/>
      <c r="Z2481" s="149"/>
      <c r="AA2481" s="149"/>
      <c r="AB2481" s="149"/>
      <c r="AC2481" s="149"/>
      <c r="AD2481" s="149"/>
      <c r="AE2481" s="149"/>
      <c r="AF2481" s="149"/>
      <c r="AG2481" s="149"/>
      <c r="AH2481" s="149"/>
      <c r="AI2481" s="149"/>
      <c r="AJ2481" s="149"/>
      <c r="AK2481" s="149"/>
      <c r="AL2481" s="149"/>
      <c r="AM2481" s="149"/>
      <c r="AN2481" s="149"/>
      <c r="AO2481" s="128"/>
      <c r="AP2481" s="128"/>
      <c r="AQ2481" s="128"/>
      <c r="AR2481" s="128"/>
      <c r="AS2481" s="128"/>
      <c r="AT2481" s="128"/>
      <c r="AU2481" s="128"/>
      <c r="AV2481" s="128"/>
      <c r="AW2481" s="128"/>
      <c r="AX2481" s="128"/>
      <c r="AY2481" s="128"/>
      <c r="AZ2481" s="128"/>
      <c r="BA2481" s="128"/>
      <c r="BB2481" s="128"/>
      <c r="BC2481" s="128"/>
      <c r="BD2481" s="128"/>
      <c r="BE2481" s="128"/>
      <c r="BF2481" s="128"/>
      <c r="BG2481" s="128"/>
      <c r="BH2481" s="128"/>
      <c r="BI2481" s="128"/>
      <c r="BJ2481" s="128"/>
      <c r="BK2481" s="128"/>
      <c r="BL2481" s="128"/>
      <c r="BM2481" s="151"/>
      <c r="BN2481" s="128"/>
      <c r="BO2481" s="128"/>
      <c r="BP2481" s="128"/>
      <c r="BQ2481" s="128"/>
      <c r="BR2481" s="128"/>
      <c r="BS2481" s="128"/>
      <c r="BT2481" s="128"/>
      <c r="BU2481" s="128"/>
      <c r="BV2481" s="128"/>
      <c r="BW2481" s="128"/>
      <c r="BX2481" s="128"/>
      <c r="BY2481" s="128"/>
      <c r="BZ2481" s="128"/>
      <c r="CA2481" s="128"/>
      <c r="CB2481" s="128"/>
      <c r="CC2481" s="128"/>
      <c r="CD2481" s="128"/>
      <c r="CE2481" s="128"/>
      <c r="CF2481" s="128"/>
      <c r="CG2481" s="128"/>
      <c r="CI2481" s="128"/>
      <c r="CJ2481" s="128"/>
      <c r="CK2481" s="128"/>
      <c r="CL2481" s="128"/>
      <c r="CM2481" s="128"/>
      <c r="CN2481" s="128"/>
      <c r="CO2481" s="128"/>
      <c r="CP2481" s="128"/>
      <c r="CQ2481" s="128"/>
      <c r="CR2481" s="128"/>
      <c r="CS2481" s="128"/>
      <c r="CT2481" s="128"/>
      <c r="CU2481" s="128"/>
      <c r="CV2481" s="128"/>
      <c r="CW2481" s="128"/>
      <c r="CX2481" s="128"/>
      <c r="CY2481" s="128"/>
      <c r="CZ2481" s="165"/>
    </row>
    <row r="2482" spans="1:104">
      <c r="A2482" s="149"/>
      <c r="B2482" s="149"/>
      <c r="C2482" s="150"/>
      <c r="D2482" s="102"/>
      <c r="E2482" s="149"/>
      <c r="F2482" s="149"/>
      <c r="G2482" s="149"/>
      <c r="H2482" s="149"/>
      <c r="I2482" s="149"/>
      <c r="J2482" s="149"/>
      <c r="K2482" s="149"/>
      <c r="L2482" s="149"/>
      <c r="M2482" s="149"/>
      <c r="N2482" s="149"/>
      <c r="O2482" s="149"/>
      <c r="P2482" s="149"/>
      <c r="Q2482" s="149"/>
      <c r="R2482" s="149"/>
      <c r="S2482" s="149"/>
      <c r="T2482" s="149"/>
      <c r="U2482" s="149"/>
      <c r="V2482" s="149"/>
      <c r="W2482" s="149"/>
      <c r="X2482" s="149"/>
      <c r="Y2482" s="149"/>
      <c r="Z2482" s="149"/>
      <c r="AA2482" s="149"/>
      <c r="AB2482" s="149"/>
      <c r="AC2482" s="149"/>
      <c r="AD2482" s="149"/>
      <c r="AE2482" s="149"/>
      <c r="AF2482" s="149"/>
      <c r="AG2482" s="149"/>
      <c r="AH2482" s="149"/>
      <c r="AI2482" s="149"/>
      <c r="AJ2482" s="149"/>
      <c r="AK2482" s="149"/>
      <c r="AL2482" s="149"/>
      <c r="AM2482" s="149"/>
      <c r="AN2482" s="149"/>
      <c r="AO2482" s="128"/>
      <c r="AP2482" s="128"/>
      <c r="AQ2482" s="128"/>
      <c r="AR2482" s="128"/>
      <c r="AS2482" s="128"/>
      <c r="AT2482" s="128"/>
      <c r="AU2482" s="128"/>
      <c r="AV2482" s="128"/>
      <c r="AW2482" s="128"/>
      <c r="AX2482" s="128"/>
      <c r="AY2482" s="128"/>
      <c r="AZ2482" s="128"/>
      <c r="BA2482" s="128"/>
      <c r="BB2482" s="128"/>
      <c r="BC2482" s="128"/>
      <c r="BD2482" s="128"/>
      <c r="BE2482" s="128"/>
      <c r="BF2482" s="128"/>
      <c r="BG2482" s="128"/>
      <c r="BH2482" s="128"/>
      <c r="BI2482" s="128"/>
      <c r="BJ2482" s="128"/>
      <c r="BK2482" s="128"/>
      <c r="BL2482" s="128"/>
      <c r="BM2482" s="151"/>
      <c r="BN2482" s="128"/>
      <c r="BO2482" s="128"/>
      <c r="BP2482" s="128"/>
      <c r="BQ2482" s="128"/>
      <c r="BR2482" s="128"/>
      <c r="BS2482" s="128"/>
      <c r="BT2482" s="128"/>
      <c r="BU2482" s="128"/>
      <c r="BV2482" s="128"/>
      <c r="BW2482" s="128"/>
      <c r="BX2482" s="128"/>
      <c r="BY2482" s="128"/>
      <c r="BZ2482" s="128"/>
      <c r="CA2482" s="128"/>
      <c r="CB2482" s="128"/>
      <c r="CC2482" s="128"/>
      <c r="CD2482" s="128"/>
      <c r="CE2482" s="128"/>
      <c r="CF2482" s="128"/>
      <c r="CG2482" s="128"/>
      <c r="CI2482" s="128"/>
      <c r="CJ2482" s="128"/>
      <c r="CK2482" s="128"/>
      <c r="CL2482" s="128"/>
      <c r="CM2482" s="128"/>
      <c r="CN2482" s="128"/>
      <c r="CO2482" s="128"/>
      <c r="CP2482" s="128"/>
      <c r="CQ2482" s="128"/>
      <c r="CR2482" s="128"/>
      <c r="CS2482" s="128"/>
      <c r="CT2482" s="128"/>
      <c r="CU2482" s="128"/>
      <c r="CV2482" s="128"/>
      <c r="CW2482" s="128"/>
      <c r="CX2482" s="128"/>
      <c r="CY2482" s="128"/>
      <c r="CZ2482" s="165"/>
    </row>
    <row r="2483" spans="1:104">
      <c r="A2483" s="149"/>
      <c r="B2483" s="149"/>
      <c r="C2483" s="150"/>
      <c r="D2483" s="102"/>
      <c r="E2483" s="149"/>
      <c r="F2483" s="149"/>
      <c r="G2483" s="149"/>
      <c r="H2483" s="149"/>
      <c r="I2483" s="149"/>
      <c r="J2483" s="149"/>
      <c r="K2483" s="149"/>
      <c r="L2483" s="149"/>
      <c r="M2483" s="149"/>
      <c r="N2483" s="149"/>
      <c r="O2483" s="149"/>
      <c r="P2483" s="149"/>
      <c r="Q2483" s="149"/>
      <c r="R2483" s="149"/>
      <c r="S2483" s="149"/>
      <c r="T2483" s="149"/>
      <c r="U2483" s="149"/>
      <c r="V2483" s="149"/>
      <c r="W2483" s="149"/>
      <c r="X2483" s="149"/>
      <c r="Y2483" s="149"/>
      <c r="Z2483" s="149"/>
      <c r="AA2483" s="149"/>
      <c r="AB2483" s="149"/>
      <c r="AC2483" s="149"/>
      <c r="AD2483" s="149"/>
      <c r="AE2483" s="149"/>
      <c r="AF2483" s="149"/>
      <c r="AG2483" s="149"/>
      <c r="AH2483" s="149"/>
      <c r="AI2483" s="149"/>
      <c r="AJ2483" s="149"/>
      <c r="AK2483" s="149"/>
      <c r="AL2483" s="149"/>
      <c r="AM2483" s="149"/>
      <c r="AN2483" s="149"/>
      <c r="AO2483" s="128"/>
      <c r="AP2483" s="128"/>
      <c r="AQ2483" s="128"/>
      <c r="AR2483" s="128"/>
      <c r="AS2483" s="128"/>
      <c r="AT2483" s="128"/>
      <c r="AU2483" s="128"/>
      <c r="AV2483" s="128"/>
      <c r="AW2483" s="128"/>
      <c r="AX2483" s="128"/>
      <c r="AY2483" s="128"/>
      <c r="AZ2483" s="128"/>
      <c r="BA2483" s="128"/>
      <c r="BB2483" s="128"/>
      <c r="BC2483" s="128"/>
      <c r="BD2483" s="128"/>
      <c r="BE2483" s="128"/>
      <c r="BF2483" s="128"/>
      <c r="BG2483" s="128"/>
      <c r="BH2483" s="128"/>
      <c r="BI2483" s="128"/>
      <c r="BJ2483" s="128"/>
      <c r="BK2483" s="128"/>
      <c r="BL2483" s="128"/>
      <c r="BM2483" s="151"/>
      <c r="BN2483" s="128"/>
      <c r="BO2483" s="128"/>
      <c r="BP2483" s="128"/>
      <c r="BQ2483" s="128"/>
      <c r="BR2483" s="128"/>
      <c r="BS2483" s="128"/>
      <c r="BT2483" s="128"/>
      <c r="BU2483" s="128"/>
      <c r="BV2483" s="128"/>
      <c r="BW2483" s="128"/>
      <c r="BX2483" s="128"/>
      <c r="BY2483" s="128"/>
      <c r="BZ2483" s="128"/>
      <c r="CA2483" s="128"/>
      <c r="CB2483" s="128"/>
      <c r="CC2483" s="128"/>
      <c r="CD2483" s="128"/>
      <c r="CE2483" s="128"/>
      <c r="CF2483" s="128"/>
      <c r="CG2483" s="128"/>
      <c r="CI2483" s="128"/>
      <c r="CJ2483" s="128"/>
      <c r="CK2483" s="128"/>
      <c r="CL2483" s="128"/>
      <c r="CM2483" s="128"/>
      <c r="CN2483" s="128"/>
      <c r="CO2483" s="128"/>
      <c r="CP2483" s="128"/>
      <c r="CQ2483" s="128"/>
      <c r="CR2483" s="128"/>
      <c r="CS2483" s="128"/>
      <c r="CT2483" s="128"/>
      <c r="CU2483" s="128"/>
      <c r="CV2483" s="128"/>
      <c r="CW2483" s="128"/>
      <c r="CX2483" s="128"/>
      <c r="CY2483" s="128"/>
      <c r="CZ2483" s="165"/>
    </row>
    <row r="2484" spans="1:104">
      <c r="A2484" s="149"/>
      <c r="B2484" s="149"/>
      <c r="C2484" s="150"/>
      <c r="D2484" s="102"/>
      <c r="E2484" s="149"/>
      <c r="F2484" s="149"/>
      <c r="G2484" s="149"/>
      <c r="H2484" s="149"/>
      <c r="I2484" s="149"/>
      <c r="J2484" s="149"/>
      <c r="K2484" s="149"/>
      <c r="L2484" s="149"/>
      <c r="M2484" s="149"/>
      <c r="N2484" s="149"/>
      <c r="O2484" s="149"/>
      <c r="P2484" s="149"/>
      <c r="Q2484" s="149"/>
      <c r="R2484" s="149"/>
      <c r="S2484" s="149"/>
      <c r="T2484" s="149"/>
      <c r="U2484" s="149"/>
      <c r="V2484" s="149"/>
      <c r="W2484" s="149"/>
      <c r="X2484" s="149"/>
      <c r="Y2484" s="149"/>
      <c r="Z2484" s="149"/>
      <c r="AA2484" s="149"/>
      <c r="AB2484" s="149"/>
      <c r="AC2484" s="149"/>
      <c r="AD2484" s="149"/>
      <c r="AE2484" s="149"/>
      <c r="AF2484" s="149"/>
      <c r="AG2484" s="149"/>
      <c r="AH2484" s="149"/>
      <c r="AI2484" s="149"/>
      <c r="AJ2484" s="149"/>
      <c r="AK2484" s="149"/>
      <c r="AL2484" s="149"/>
      <c r="AM2484" s="149"/>
      <c r="AN2484" s="149"/>
      <c r="AO2484" s="128"/>
      <c r="AP2484" s="128"/>
      <c r="AQ2484" s="128"/>
      <c r="AR2484" s="128"/>
      <c r="AS2484" s="128"/>
      <c r="AT2484" s="128"/>
      <c r="AU2484" s="128"/>
      <c r="AV2484" s="128"/>
      <c r="AW2484" s="128"/>
      <c r="AX2484" s="128"/>
      <c r="AY2484" s="128"/>
      <c r="AZ2484" s="128"/>
      <c r="BA2484" s="128"/>
      <c r="BB2484" s="128"/>
      <c r="BC2484" s="128"/>
      <c r="BD2484" s="128"/>
      <c r="BE2484" s="128"/>
      <c r="BF2484" s="128"/>
      <c r="BG2484" s="128"/>
      <c r="BH2484" s="128"/>
      <c r="BI2484" s="128"/>
      <c r="BJ2484" s="128"/>
      <c r="BK2484" s="128"/>
      <c r="BL2484" s="128"/>
      <c r="BM2484" s="151"/>
      <c r="BN2484" s="128"/>
      <c r="BO2484" s="128"/>
      <c r="BP2484" s="128"/>
      <c r="BQ2484" s="128"/>
      <c r="BR2484" s="128"/>
      <c r="BS2484" s="128"/>
      <c r="BT2484" s="128"/>
      <c r="BU2484" s="128"/>
      <c r="BV2484" s="128"/>
      <c r="BW2484" s="128"/>
      <c r="BX2484" s="128"/>
      <c r="BY2484" s="128"/>
      <c r="BZ2484" s="128"/>
      <c r="CA2484" s="128"/>
      <c r="CB2484" s="128"/>
      <c r="CC2484" s="128"/>
      <c r="CD2484" s="128"/>
      <c r="CE2484" s="128"/>
      <c r="CF2484" s="128"/>
      <c r="CG2484" s="128"/>
      <c r="CI2484" s="128"/>
      <c r="CJ2484" s="128"/>
      <c r="CK2484" s="128"/>
      <c r="CL2484" s="128"/>
      <c r="CM2484" s="128"/>
      <c r="CN2484" s="128"/>
      <c r="CO2484" s="128"/>
      <c r="CP2484" s="128"/>
      <c r="CQ2484" s="128"/>
      <c r="CR2484" s="128"/>
      <c r="CS2484" s="128"/>
      <c r="CT2484" s="128"/>
      <c r="CU2484" s="128"/>
      <c r="CV2484" s="128"/>
      <c r="CW2484" s="128"/>
      <c r="CX2484" s="128"/>
      <c r="CY2484" s="128"/>
      <c r="CZ2484" s="165"/>
    </row>
    <row r="2485" spans="1:104">
      <c r="A2485" s="149"/>
      <c r="B2485" s="149"/>
      <c r="C2485" s="150"/>
      <c r="D2485" s="102"/>
      <c r="E2485" s="149"/>
      <c r="F2485" s="149"/>
      <c r="G2485" s="149"/>
      <c r="H2485" s="149"/>
      <c r="I2485" s="149"/>
      <c r="J2485" s="149"/>
      <c r="K2485" s="149"/>
      <c r="L2485" s="149"/>
      <c r="M2485" s="149"/>
      <c r="N2485" s="149"/>
      <c r="O2485" s="149"/>
      <c r="P2485" s="149"/>
      <c r="Q2485" s="149"/>
      <c r="R2485" s="149"/>
      <c r="S2485" s="149"/>
      <c r="T2485" s="149"/>
      <c r="U2485" s="149"/>
      <c r="V2485" s="149"/>
      <c r="W2485" s="149"/>
      <c r="X2485" s="149"/>
      <c r="Y2485" s="149"/>
      <c r="Z2485" s="149"/>
      <c r="AA2485" s="149"/>
      <c r="AB2485" s="149"/>
      <c r="AC2485" s="149"/>
      <c r="AD2485" s="149"/>
      <c r="AE2485" s="149"/>
      <c r="AF2485" s="149"/>
      <c r="AG2485" s="149"/>
      <c r="AH2485" s="149"/>
      <c r="AI2485" s="149"/>
      <c r="AJ2485" s="149"/>
      <c r="AK2485" s="149"/>
      <c r="AL2485" s="149"/>
      <c r="AM2485" s="149"/>
      <c r="AN2485" s="149"/>
      <c r="AO2485" s="128"/>
      <c r="AP2485" s="128"/>
      <c r="AQ2485" s="128"/>
      <c r="AR2485" s="128"/>
      <c r="AS2485" s="128"/>
      <c r="AT2485" s="128"/>
      <c r="AU2485" s="128"/>
      <c r="AV2485" s="128"/>
      <c r="AW2485" s="128"/>
      <c r="AX2485" s="128"/>
      <c r="AY2485" s="128"/>
      <c r="AZ2485" s="128"/>
      <c r="BA2485" s="128"/>
      <c r="BB2485" s="128"/>
      <c r="BC2485" s="128"/>
      <c r="BD2485" s="128"/>
      <c r="BE2485" s="128"/>
      <c r="BF2485" s="128"/>
      <c r="BG2485" s="128"/>
      <c r="BH2485" s="128"/>
      <c r="BI2485" s="128"/>
      <c r="BJ2485" s="128"/>
      <c r="BK2485" s="128"/>
      <c r="BL2485" s="128"/>
      <c r="BM2485" s="151"/>
      <c r="BN2485" s="128"/>
      <c r="BO2485" s="128"/>
      <c r="BP2485" s="128"/>
      <c r="BQ2485" s="128"/>
      <c r="BR2485" s="128"/>
      <c r="BS2485" s="128"/>
      <c r="BT2485" s="128"/>
      <c r="BU2485" s="128"/>
      <c r="BV2485" s="128"/>
      <c r="BW2485" s="128"/>
      <c r="BX2485" s="128"/>
      <c r="BY2485" s="128"/>
      <c r="BZ2485" s="128"/>
      <c r="CA2485" s="128"/>
      <c r="CB2485" s="128"/>
      <c r="CC2485" s="128"/>
      <c r="CD2485" s="128"/>
      <c r="CE2485" s="128"/>
      <c r="CF2485" s="128"/>
      <c r="CG2485" s="128"/>
      <c r="CI2485" s="128"/>
      <c r="CJ2485" s="128"/>
      <c r="CK2485" s="128"/>
      <c r="CL2485" s="128"/>
      <c r="CM2485" s="128"/>
      <c r="CN2485" s="128"/>
      <c r="CO2485" s="128"/>
      <c r="CP2485" s="128"/>
      <c r="CQ2485" s="128"/>
      <c r="CR2485" s="128"/>
      <c r="CS2485" s="128"/>
      <c r="CT2485" s="128"/>
      <c r="CU2485" s="128"/>
      <c r="CV2485" s="128"/>
      <c r="CW2485" s="128"/>
      <c r="CX2485" s="128"/>
      <c r="CY2485" s="128"/>
      <c r="CZ2485" s="165"/>
    </row>
    <row r="2486" spans="1:104">
      <c r="A2486" s="149"/>
      <c r="B2486" s="149"/>
      <c r="C2486" s="150"/>
      <c r="D2486" s="102"/>
      <c r="E2486" s="149"/>
      <c r="F2486" s="149"/>
      <c r="G2486" s="149"/>
      <c r="H2486" s="149"/>
      <c r="I2486" s="149"/>
      <c r="J2486" s="149"/>
      <c r="K2486" s="149"/>
      <c r="L2486" s="149"/>
      <c r="M2486" s="149"/>
      <c r="N2486" s="149"/>
      <c r="O2486" s="149"/>
      <c r="P2486" s="149"/>
      <c r="Q2486" s="149"/>
      <c r="R2486" s="149"/>
      <c r="S2486" s="149"/>
      <c r="T2486" s="149"/>
      <c r="U2486" s="149"/>
      <c r="V2486" s="149"/>
      <c r="W2486" s="149"/>
      <c r="X2486" s="149"/>
      <c r="Y2486" s="149"/>
      <c r="Z2486" s="149"/>
      <c r="AA2486" s="149"/>
      <c r="AB2486" s="149"/>
      <c r="AC2486" s="149"/>
      <c r="AD2486" s="149"/>
      <c r="AE2486" s="149"/>
      <c r="AF2486" s="149"/>
      <c r="AG2486" s="149"/>
      <c r="AH2486" s="149"/>
      <c r="AI2486" s="149"/>
      <c r="AJ2486" s="149"/>
      <c r="AK2486" s="149"/>
      <c r="AL2486" s="149"/>
      <c r="AM2486" s="149"/>
      <c r="AN2486" s="149"/>
      <c r="AO2486" s="128"/>
      <c r="AP2486" s="128"/>
      <c r="AQ2486" s="128"/>
      <c r="AR2486" s="128"/>
      <c r="AS2486" s="128"/>
      <c r="AT2486" s="128"/>
      <c r="AU2486" s="128"/>
      <c r="AV2486" s="128"/>
      <c r="AW2486" s="128"/>
      <c r="AX2486" s="128"/>
      <c r="AY2486" s="128"/>
      <c r="AZ2486" s="128"/>
      <c r="BA2486" s="128"/>
      <c r="BB2486" s="128"/>
      <c r="BC2486" s="128"/>
      <c r="BD2486" s="128"/>
      <c r="BE2486" s="128"/>
      <c r="BF2486" s="128"/>
      <c r="BG2486" s="128"/>
      <c r="BH2486" s="128"/>
      <c r="BI2486" s="128"/>
      <c r="BJ2486" s="128"/>
      <c r="BK2486" s="128"/>
      <c r="BL2486" s="128"/>
      <c r="BM2486" s="151"/>
      <c r="BN2486" s="128"/>
      <c r="BO2486" s="128"/>
      <c r="BP2486" s="128"/>
      <c r="BQ2486" s="128"/>
      <c r="BR2486" s="128"/>
      <c r="BS2486" s="128"/>
      <c r="BT2486" s="128"/>
      <c r="BU2486" s="128"/>
      <c r="BV2486" s="128"/>
      <c r="BW2486" s="128"/>
      <c r="BX2486" s="128"/>
      <c r="BY2486" s="128"/>
      <c r="BZ2486" s="128"/>
      <c r="CA2486" s="128"/>
      <c r="CB2486" s="128"/>
      <c r="CC2486" s="128"/>
      <c r="CD2486" s="128"/>
      <c r="CE2486" s="128"/>
      <c r="CF2486" s="128"/>
      <c r="CG2486" s="128"/>
      <c r="CI2486" s="128"/>
      <c r="CJ2486" s="128"/>
      <c r="CK2486" s="128"/>
      <c r="CL2486" s="128"/>
      <c r="CM2486" s="128"/>
      <c r="CN2486" s="128"/>
      <c r="CO2486" s="128"/>
      <c r="CP2486" s="128"/>
      <c r="CQ2486" s="128"/>
      <c r="CR2486" s="128"/>
      <c r="CS2486" s="128"/>
      <c r="CT2486" s="128"/>
      <c r="CU2486" s="128"/>
      <c r="CV2486" s="128"/>
      <c r="CW2486" s="128"/>
      <c r="CX2486" s="128"/>
      <c r="CY2486" s="128"/>
      <c r="CZ2486" s="165"/>
    </row>
    <row r="2487" spans="1:104">
      <c r="A2487" s="149"/>
      <c r="B2487" s="149"/>
      <c r="C2487" s="150"/>
      <c r="D2487" s="102"/>
      <c r="E2487" s="149"/>
      <c r="F2487" s="149"/>
      <c r="G2487" s="149"/>
      <c r="H2487" s="149"/>
      <c r="I2487" s="149"/>
      <c r="J2487" s="149"/>
      <c r="K2487" s="149"/>
      <c r="L2487" s="149"/>
      <c r="M2487" s="149"/>
      <c r="N2487" s="149"/>
      <c r="O2487" s="149"/>
      <c r="P2487" s="149"/>
      <c r="Q2487" s="149"/>
      <c r="R2487" s="149"/>
      <c r="S2487" s="149"/>
      <c r="T2487" s="149"/>
      <c r="U2487" s="149"/>
      <c r="V2487" s="149"/>
      <c r="W2487" s="149"/>
      <c r="X2487" s="149"/>
      <c r="Y2487" s="149"/>
      <c r="Z2487" s="149"/>
      <c r="AA2487" s="149"/>
      <c r="AB2487" s="149"/>
      <c r="AC2487" s="149"/>
      <c r="AD2487" s="149"/>
      <c r="AE2487" s="149"/>
      <c r="AF2487" s="149"/>
      <c r="AG2487" s="149"/>
      <c r="AH2487" s="149"/>
      <c r="AI2487" s="149"/>
      <c r="AJ2487" s="149"/>
      <c r="AK2487" s="149"/>
      <c r="AL2487" s="149"/>
      <c r="AM2487" s="149"/>
      <c r="AN2487" s="149"/>
      <c r="AO2487" s="128"/>
      <c r="AP2487" s="128"/>
      <c r="AQ2487" s="128"/>
      <c r="AR2487" s="128"/>
      <c r="AS2487" s="128"/>
      <c r="AT2487" s="128"/>
      <c r="AU2487" s="128"/>
      <c r="AV2487" s="128"/>
      <c r="AW2487" s="128"/>
      <c r="AX2487" s="128"/>
      <c r="AY2487" s="128"/>
      <c r="AZ2487" s="128"/>
      <c r="BA2487" s="128"/>
      <c r="BB2487" s="128"/>
      <c r="BC2487" s="128"/>
      <c r="BD2487" s="128"/>
      <c r="BE2487" s="128"/>
      <c r="BF2487" s="128"/>
      <c r="BG2487" s="128"/>
      <c r="BH2487" s="128"/>
      <c r="BI2487" s="128"/>
      <c r="BJ2487" s="128"/>
      <c r="BK2487" s="128"/>
      <c r="BL2487" s="128"/>
      <c r="BM2487" s="151"/>
      <c r="BN2487" s="128"/>
      <c r="BO2487" s="128"/>
      <c r="BP2487" s="128"/>
      <c r="BQ2487" s="128"/>
      <c r="BR2487" s="128"/>
      <c r="BS2487" s="128"/>
      <c r="BT2487" s="128"/>
      <c r="BU2487" s="128"/>
      <c r="BV2487" s="128"/>
      <c r="BW2487" s="128"/>
      <c r="BX2487" s="128"/>
      <c r="BY2487" s="128"/>
      <c r="BZ2487" s="128"/>
      <c r="CA2487" s="128"/>
      <c r="CB2487" s="128"/>
      <c r="CC2487" s="128"/>
      <c r="CD2487" s="128"/>
      <c r="CE2487" s="128"/>
      <c r="CF2487" s="128"/>
      <c r="CG2487" s="128"/>
      <c r="CI2487" s="128"/>
      <c r="CJ2487" s="128"/>
      <c r="CK2487" s="128"/>
      <c r="CL2487" s="128"/>
      <c r="CM2487" s="128"/>
      <c r="CN2487" s="128"/>
      <c r="CO2487" s="128"/>
      <c r="CP2487" s="128"/>
      <c r="CQ2487" s="128"/>
      <c r="CR2487" s="128"/>
      <c r="CS2487" s="128"/>
      <c r="CT2487" s="128"/>
      <c r="CU2487" s="128"/>
      <c r="CV2487" s="128"/>
      <c r="CW2487" s="128"/>
      <c r="CX2487" s="128"/>
      <c r="CY2487" s="128"/>
      <c r="CZ2487" s="165"/>
    </row>
    <row r="2488" spans="1:104">
      <c r="A2488" s="149"/>
      <c r="B2488" s="149"/>
      <c r="C2488" s="150"/>
      <c r="D2488" s="102"/>
      <c r="E2488" s="149"/>
      <c r="F2488" s="149"/>
      <c r="G2488" s="149"/>
      <c r="H2488" s="149"/>
      <c r="I2488" s="149"/>
      <c r="J2488" s="149"/>
      <c r="K2488" s="149"/>
      <c r="L2488" s="149"/>
      <c r="M2488" s="149"/>
      <c r="N2488" s="149"/>
      <c r="O2488" s="149"/>
      <c r="P2488" s="149"/>
      <c r="Q2488" s="149"/>
      <c r="R2488" s="149"/>
      <c r="S2488" s="149"/>
      <c r="T2488" s="149"/>
      <c r="U2488" s="149"/>
      <c r="V2488" s="149"/>
      <c r="W2488" s="149"/>
      <c r="X2488" s="149"/>
      <c r="Y2488" s="149"/>
      <c r="Z2488" s="149"/>
      <c r="AA2488" s="149"/>
      <c r="AB2488" s="149"/>
      <c r="AC2488" s="149"/>
      <c r="AD2488" s="149"/>
      <c r="AE2488" s="149"/>
      <c r="AF2488" s="149"/>
      <c r="AG2488" s="149"/>
      <c r="AH2488" s="149"/>
      <c r="AI2488" s="149"/>
      <c r="AJ2488" s="149"/>
      <c r="AK2488" s="149"/>
      <c r="AL2488" s="149"/>
      <c r="AM2488" s="149"/>
      <c r="AN2488" s="149"/>
      <c r="AO2488" s="128"/>
      <c r="AP2488" s="128"/>
      <c r="AQ2488" s="128"/>
      <c r="AR2488" s="128"/>
      <c r="AS2488" s="128"/>
      <c r="AT2488" s="128"/>
      <c r="AU2488" s="128"/>
      <c r="AV2488" s="128"/>
      <c r="AW2488" s="128"/>
      <c r="AX2488" s="128"/>
      <c r="AY2488" s="128"/>
      <c r="AZ2488" s="128"/>
      <c r="BA2488" s="128"/>
      <c r="BB2488" s="128"/>
      <c r="BC2488" s="128"/>
      <c r="BD2488" s="128"/>
      <c r="BE2488" s="128"/>
      <c r="BF2488" s="128"/>
      <c r="BG2488" s="128"/>
      <c r="BH2488" s="128"/>
      <c r="BI2488" s="128"/>
      <c r="BJ2488" s="128"/>
      <c r="BK2488" s="128"/>
      <c r="BL2488" s="128"/>
      <c r="BM2488" s="151"/>
      <c r="BN2488" s="128"/>
      <c r="BO2488" s="128"/>
      <c r="BP2488" s="128"/>
      <c r="BQ2488" s="128"/>
      <c r="BR2488" s="128"/>
      <c r="BS2488" s="128"/>
      <c r="BT2488" s="128"/>
      <c r="BU2488" s="128"/>
      <c r="BV2488" s="128"/>
      <c r="BW2488" s="128"/>
      <c r="BX2488" s="128"/>
      <c r="BY2488" s="128"/>
      <c r="BZ2488" s="128"/>
      <c r="CA2488" s="128"/>
      <c r="CB2488" s="128"/>
      <c r="CC2488" s="128"/>
      <c r="CD2488" s="128"/>
      <c r="CE2488" s="128"/>
      <c r="CF2488" s="128"/>
      <c r="CG2488" s="128"/>
      <c r="CI2488" s="128"/>
      <c r="CJ2488" s="128"/>
      <c r="CK2488" s="128"/>
      <c r="CL2488" s="128"/>
      <c r="CM2488" s="128"/>
      <c r="CN2488" s="128"/>
      <c r="CO2488" s="128"/>
      <c r="CP2488" s="128"/>
      <c r="CQ2488" s="128"/>
      <c r="CR2488" s="128"/>
      <c r="CS2488" s="128"/>
      <c r="CT2488" s="128"/>
      <c r="CU2488" s="128"/>
      <c r="CV2488" s="128"/>
      <c r="CW2488" s="128"/>
      <c r="CX2488" s="128"/>
      <c r="CY2488" s="128"/>
      <c r="CZ2488" s="165"/>
    </row>
    <row r="2489" spans="1:104">
      <c r="A2489" s="149"/>
      <c r="B2489" s="149"/>
      <c r="C2489" s="150"/>
      <c r="D2489" s="102"/>
      <c r="E2489" s="149"/>
      <c r="F2489" s="149"/>
      <c r="G2489" s="149"/>
      <c r="H2489" s="149"/>
      <c r="I2489" s="149"/>
      <c r="J2489" s="149"/>
      <c r="K2489" s="149"/>
      <c r="L2489" s="149"/>
      <c r="M2489" s="149"/>
      <c r="N2489" s="149"/>
      <c r="O2489" s="149"/>
      <c r="P2489" s="149"/>
      <c r="Q2489" s="149"/>
      <c r="R2489" s="149"/>
      <c r="S2489" s="149"/>
      <c r="T2489" s="149"/>
      <c r="U2489" s="149"/>
      <c r="V2489" s="149"/>
      <c r="W2489" s="149"/>
      <c r="X2489" s="149"/>
      <c r="Y2489" s="149"/>
      <c r="Z2489" s="149"/>
      <c r="AA2489" s="149"/>
      <c r="AB2489" s="149"/>
      <c r="AC2489" s="149"/>
      <c r="AD2489" s="149"/>
      <c r="AE2489" s="149"/>
      <c r="AF2489" s="149"/>
      <c r="AG2489" s="149"/>
      <c r="AH2489" s="149"/>
      <c r="AI2489" s="149"/>
      <c r="AJ2489" s="149"/>
      <c r="AK2489" s="149"/>
      <c r="AL2489" s="149"/>
      <c r="AM2489" s="149"/>
      <c r="AN2489" s="149"/>
      <c r="AO2489" s="128"/>
      <c r="AP2489" s="128"/>
      <c r="AQ2489" s="128"/>
      <c r="AR2489" s="128"/>
      <c r="AS2489" s="128"/>
      <c r="AT2489" s="128"/>
      <c r="AU2489" s="128"/>
      <c r="AV2489" s="128"/>
      <c r="AW2489" s="128"/>
      <c r="AX2489" s="128"/>
      <c r="AY2489" s="128"/>
      <c r="AZ2489" s="128"/>
      <c r="BA2489" s="128"/>
      <c r="BB2489" s="128"/>
      <c r="BC2489" s="128"/>
      <c r="BD2489" s="128"/>
      <c r="BE2489" s="128"/>
      <c r="BF2489" s="128"/>
      <c r="BG2489" s="128"/>
      <c r="BH2489" s="128"/>
      <c r="BI2489" s="128"/>
      <c r="BJ2489" s="128"/>
      <c r="BK2489" s="128"/>
      <c r="BL2489" s="128"/>
      <c r="BM2489" s="151"/>
      <c r="BN2489" s="128"/>
      <c r="BO2489" s="128"/>
      <c r="BP2489" s="128"/>
      <c r="BQ2489" s="128"/>
      <c r="BR2489" s="128"/>
      <c r="BS2489" s="128"/>
      <c r="BT2489" s="128"/>
      <c r="BU2489" s="128"/>
      <c r="BV2489" s="128"/>
      <c r="BW2489" s="128"/>
      <c r="BX2489" s="128"/>
      <c r="BY2489" s="128"/>
      <c r="BZ2489" s="128"/>
      <c r="CA2489" s="128"/>
      <c r="CB2489" s="128"/>
      <c r="CC2489" s="128"/>
      <c r="CD2489" s="128"/>
      <c r="CE2489" s="128"/>
      <c r="CF2489" s="128"/>
      <c r="CG2489" s="128"/>
      <c r="CI2489" s="128"/>
      <c r="CJ2489" s="128"/>
      <c r="CK2489" s="128"/>
      <c r="CL2489" s="128"/>
      <c r="CM2489" s="128"/>
      <c r="CN2489" s="128"/>
      <c r="CO2489" s="128"/>
      <c r="CP2489" s="128"/>
      <c r="CQ2489" s="128"/>
      <c r="CR2489" s="128"/>
      <c r="CS2489" s="128"/>
      <c r="CT2489" s="128"/>
      <c r="CU2489" s="128"/>
      <c r="CV2489" s="128"/>
      <c r="CW2489" s="128"/>
      <c r="CX2489" s="128"/>
      <c r="CY2489" s="128"/>
      <c r="CZ2489" s="165"/>
    </row>
    <row r="2490" spans="1:104">
      <c r="A2490" s="149"/>
      <c r="B2490" s="149"/>
      <c r="C2490" s="150"/>
      <c r="D2490" s="102"/>
      <c r="E2490" s="149"/>
      <c r="F2490" s="149"/>
      <c r="G2490" s="149"/>
      <c r="H2490" s="149"/>
      <c r="I2490" s="149"/>
      <c r="J2490" s="149"/>
      <c r="K2490" s="149"/>
      <c r="L2490" s="149"/>
      <c r="M2490" s="149"/>
      <c r="N2490" s="149"/>
      <c r="O2490" s="149"/>
      <c r="P2490" s="149"/>
      <c r="Q2490" s="149"/>
      <c r="R2490" s="149"/>
      <c r="S2490" s="149"/>
      <c r="T2490" s="149"/>
      <c r="U2490" s="149"/>
      <c r="V2490" s="149"/>
      <c r="W2490" s="149"/>
      <c r="X2490" s="149"/>
      <c r="Y2490" s="149"/>
      <c r="Z2490" s="149"/>
      <c r="AA2490" s="149"/>
      <c r="AB2490" s="149"/>
      <c r="AC2490" s="149"/>
      <c r="AD2490" s="149"/>
      <c r="AE2490" s="149"/>
      <c r="AF2490" s="149"/>
      <c r="AG2490" s="149"/>
      <c r="AH2490" s="149"/>
      <c r="AI2490" s="149"/>
      <c r="AJ2490" s="149"/>
      <c r="AK2490" s="149"/>
      <c r="AL2490" s="149"/>
      <c r="AM2490" s="149"/>
      <c r="AN2490" s="149"/>
      <c r="AO2490" s="128"/>
      <c r="AP2490" s="128"/>
      <c r="AQ2490" s="128"/>
      <c r="AR2490" s="128"/>
      <c r="AS2490" s="128"/>
      <c r="AT2490" s="128"/>
      <c r="AU2490" s="128"/>
      <c r="AV2490" s="128"/>
      <c r="AW2490" s="128"/>
      <c r="AX2490" s="128"/>
      <c r="AY2490" s="128"/>
      <c r="AZ2490" s="128"/>
      <c r="BA2490" s="128"/>
      <c r="BB2490" s="128"/>
      <c r="BC2490" s="128"/>
      <c r="BD2490" s="128"/>
      <c r="BE2490" s="128"/>
      <c r="BF2490" s="128"/>
      <c r="BG2490" s="128"/>
      <c r="BH2490" s="128"/>
      <c r="BI2490" s="128"/>
      <c r="BJ2490" s="128"/>
      <c r="BK2490" s="128"/>
      <c r="BL2490" s="128"/>
      <c r="BM2490" s="151"/>
      <c r="BN2490" s="128"/>
      <c r="BO2490" s="128"/>
      <c r="BP2490" s="128"/>
      <c r="BQ2490" s="128"/>
      <c r="BR2490" s="128"/>
      <c r="BS2490" s="128"/>
      <c r="BT2490" s="128"/>
      <c r="BU2490" s="128"/>
      <c r="BV2490" s="128"/>
      <c r="BW2490" s="128"/>
      <c r="BX2490" s="128"/>
      <c r="BY2490" s="128"/>
      <c r="BZ2490" s="128"/>
      <c r="CA2490" s="128"/>
      <c r="CB2490" s="128"/>
      <c r="CC2490" s="128"/>
      <c r="CD2490" s="128"/>
      <c r="CE2490" s="128"/>
      <c r="CF2490" s="128"/>
      <c r="CG2490" s="128"/>
      <c r="CI2490" s="128"/>
      <c r="CJ2490" s="128"/>
      <c r="CK2490" s="128"/>
      <c r="CL2490" s="128"/>
      <c r="CM2490" s="128"/>
      <c r="CN2490" s="128"/>
      <c r="CO2490" s="128"/>
      <c r="CP2490" s="128"/>
      <c r="CQ2490" s="128"/>
      <c r="CR2490" s="128"/>
      <c r="CS2490" s="128"/>
      <c r="CT2490" s="128"/>
      <c r="CU2490" s="128"/>
      <c r="CV2490" s="128"/>
      <c r="CW2490" s="128"/>
      <c r="CX2490" s="128"/>
      <c r="CY2490" s="128"/>
      <c r="CZ2490" s="165"/>
    </row>
    <row r="2491" spans="1:104">
      <c r="A2491" s="149"/>
      <c r="B2491" s="149"/>
      <c r="C2491" s="150"/>
      <c r="D2491" s="102"/>
      <c r="E2491" s="149"/>
      <c r="F2491" s="149"/>
      <c r="G2491" s="149"/>
      <c r="H2491" s="149"/>
      <c r="I2491" s="149"/>
      <c r="J2491" s="149"/>
      <c r="K2491" s="149"/>
      <c r="L2491" s="149"/>
      <c r="M2491" s="149"/>
      <c r="N2491" s="149"/>
      <c r="O2491" s="149"/>
      <c r="P2491" s="149"/>
      <c r="Q2491" s="149"/>
      <c r="R2491" s="149"/>
      <c r="S2491" s="149"/>
      <c r="T2491" s="149"/>
      <c r="U2491" s="149"/>
      <c r="V2491" s="149"/>
      <c r="W2491" s="149"/>
      <c r="X2491" s="149"/>
      <c r="Y2491" s="149"/>
      <c r="Z2491" s="149"/>
      <c r="AA2491" s="149"/>
      <c r="AB2491" s="149"/>
      <c r="AC2491" s="149"/>
      <c r="AD2491" s="149"/>
      <c r="AE2491" s="149"/>
      <c r="AF2491" s="149"/>
      <c r="AG2491" s="149"/>
      <c r="AH2491" s="149"/>
      <c r="AI2491" s="149"/>
      <c r="AJ2491" s="149"/>
      <c r="AK2491" s="149"/>
      <c r="AL2491" s="149"/>
      <c r="AM2491" s="149"/>
      <c r="AN2491" s="149"/>
      <c r="AO2491" s="128"/>
      <c r="AP2491" s="128"/>
      <c r="AQ2491" s="128"/>
      <c r="AR2491" s="128"/>
      <c r="AS2491" s="128"/>
      <c r="AT2491" s="128"/>
      <c r="AU2491" s="128"/>
      <c r="AV2491" s="128"/>
      <c r="AW2491" s="128"/>
      <c r="AX2491" s="128"/>
      <c r="AY2491" s="128"/>
      <c r="AZ2491" s="128"/>
      <c r="BA2491" s="128"/>
      <c r="BB2491" s="128"/>
      <c r="BC2491" s="128"/>
      <c r="BD2491" s="128"/>
      <c r="BE2491" s="128"/>
      <c r="BF2491" s="128"/>
      <c r="BG2491" s="128"/>
      <c r="BH2491" s="128"/>
      <c r="BI2491" s="128"/>
      <c r="BJ2491" s="128"/>
      <c r="BK2491" s="128"/>
      <c r="BL2491" s="128"/>
      <c r="BM2491" s="151"/>
      <c r="BN2491" s="128"/>
      <c r="BO2491" s="128"/>
      <c r="BP2491" s="128"/>
      <c r="BQ2491" s="128"/>
      <c r="BR2491" s="128"/>
      <c r="BS2491" s="128"/>
      <c r="BT2491" s="128"/>
      <c r="BU2491" s="128"/>
      <c r="BV2491" s="128"/>
      <c r="BW2491" s="128"/>
      <c r="BX2491" s="128"/>
      <c r="BY2491" s="128"/>
      <c r="BZ2491" s="128"/>
      <c r="CA2491" s="128"/>
      <c r="CB2491" s="128"/>
      <c r="CC2491" s="128"/>
      <c r="CD2491" s="128"/>
      <c r="CE2491" s="128"/>
      <c r="CF2491" s="128"/>
      <c r="CG2491" s="128"/>
      <c r="CI2491" s="128"/>
      <c r="CJ2491" s="128"/>
      <c r="CK2491" s="128"/>
      <c r="CL2491" s="128"/>
      <c r="CM2491" s="128"/>
      <c r="CN2491" s="128"/>
      <c r="CO2491" s="128"/>
      <c r="CP2491" s="128"/>
      <c r="CQ2491" s="128"/>
      <c r="CR2491" s="128"/>
      <c r="CS2491" s="128"/>
      <c r="CT2491" s="128"/>
      <c r="CU2491" s="128"/>
      <c r="CV2491" s="128"/>
      <c r="CW2491" s="128"/>
      <c r="CX2491" s="128"/>
      <c r="CY2491" s="128"/>
      <c r="CZ2491" s="165"/>
    </row>
    <row r="2492" spans="1:104">
      <c r="A2492" s="149"/>
      <c r="B2492" s="149"/>
      <c r="C2492" s="150"/>
      <c r="D2492" s="102"/>
      <c r="E2492" s="149"/>
      <c r="F2492" s="149"/>
      <c r="G2492" s="149"/>
      <c r="H2492" s="149"/>
      <c r="I2492" s="149"/>
      <c r="J2492" s="149"/>
      <c r="K2492" s="149"/>
      <c r="L2492" s="149"/>
      <c r="M2492" s="149"/>
      <c r="N2492" s="149"/>
      <c r="O2492" s="149"/>
      <c r="P2492" s="149"/>
      <c r="Q2492" s="149"/>
      <c r="R2492" s="149"/>
      <c r="S2492" s="149"/>
      <c r="T2492" s="149"/>
      <c r="U2492" s="149"/>
      <c r="V2492" s="149"/>
      <c r="W2492" s="149"/>
      <c r="X2492" s="149"/>
      <c r="Y2492" s="149"/>
      <c r="Z2492" s="149"/>
      <c r="AA2492" s="149"/>
      <c r="AB2492" s="149"/>
      <c r="AC2492" s="149"/>
      <c r="AD2492" s="149"/>
      <c r="AE2492" s="149"/>
      <c r="AF2492" s="149"/>
      <c r="AG2492" s="149"/>
      <c r="AH2492" s="149"/>
      <c r="AI2492" s="149"/>
      <c r="AJ2492" s="149"/>
      <c r="AK2492" s="149"/>
      <c r="AL2492" s="149"/>
      <c r="AM2492" s="149"/>
      <c r="AN2492" s="149"/>
      <c r="AO2492" s="128"/>
      <c r="AP2492" s="128"/>
      <c r="AQ2492" s="128"/>
      <c r="AR2492" s="128"/>
      <c r="AS2492" s="128"/>
      <c r="AT2492" s="128"/>
      <c r="AU2492" s="128"/>
      <c r="AV2492" s="128"/>
      <c r="AW2492" s="128"/>
      <c r="AX2492" s="128"/>
      <c r="AY2492" s="128"/>
      <c r="AZ2492" s="128"/>
      <c r="BA2492" s="128"/>
      <c r="BB2492" s="128"/>
      <c r="BC2492" s="128"/>
      <c r="BD2492" s="128"/>
      <c r="BE2492" s="128"/>
      <c r="BF2492" s="128"/>
      <c r="BG2492" s="128"/>
      <c r="BH2492" s="128"/>
      <c r="BI2492" s="128"/>
      <c r="BJ2492" s="128"/>
      <c r="BK2492" s="128"/>
      <c r="BL2492" s="128"/>
      <c r="BM2492" s="151"/>
      <c r="BN2492" s="128"/>
      <c r="BO2492" s="128"/>
      <c r="BP2492" s="128"/>
      <c r="BQ2492" s="128"/>
      <c r="BR2492" s="128"/>
      <c r="BS2492" s="128"/>
      <c r="BT2492" s="128"/>
      <c r="BU2492" s="128"/>
      <c r="BV2492" s="128"/>
      <c r="BW2492" s="128"/>
      <c r="BX2492" s="128"/>
      <c r="BY2492" s="128"/>
      <c r="BZ2492" s="128"/>
      <c r="CA2492" s="128"/>
      <c r="CB2492" s="128"/>
      <c r="CC2492" s="128"/>
      <c r="CD2492" s="128"/>
      <c r="CE2492" s="128"/>
      <c r="CF2492" s="128"/>
      <c r="CG2492" s="128"/>
      <c r="CI2492" s="128"/>
      <c r="CJ2492" s="128"/>
      <c r="CK2492" s="128"/>
      <c r="CL2492" s="128"/>
      <c r="CM2492" s="128"/>
      <c r="CN2492" s="128"/>
      <c r="CO2492" s="128"/>
      <c r="CP2492" s="128"/>
      <c r="CQ2492" s="128"/>
      <c r="CR2492" s="128"/>
      <c r="CS2492" s="128"/>
      <c r="CT2492" s="128"/>
      <c r="CU2492" s="128"/>
      <c r="CV2492" s="128"/>
      <c r="CW2492" s="128"/>
      <c r="CX2492" s="128"/>
      <c r="CY2492" s="128"/>
      <c r="CZ2492" s="165"/>
    </row>
    <row r="2493" spans="1:104">
      <c r="A2493" s="149"/>
      <c r="B2493" s="149"/>
      <c r="C2493" s="150"/>
      <c r="D2493" s="102"/>
      <c r="E2493" s="149"/>
      <c r="F2493" s="149"/>
      <c r="G2493" s="149"/>
      <c r="H2493" s="149"/>
      <c r="I2493" s="149"/>
      <c r="J2493" s="149"/>
      <c r="K2493" s="149"/>
      <c r="L2493" s="149"/>
      <c r="M2493" s="149"/>
      <c r="N2493" s="149"/>
      <c r="O2493" s="149"/>
      <c r="P2493" s="149"/>
      <c r="Q2493" s="149"/>
      <c r="R2493" s="149"/>
      <c r="S2493" s="149"/>
      <c r="T2493" s="149"/>
      <c r="U2493" s="149"/>
      <c r="V2493" s="149"/>
      <c r="W2493" s="149"/>
      <c r="X2493" s="149"/>
      <c r="Y2493" s="149"/>
      <c r="Z2493" s="149"/>
      <c r="AA2493" s="149"/>
      <c r="AB2493" s="149"/>
      <c r="AC2493" s="149"/>
      <c r="AD2493" s="149"/>
      <c r="AE2493" s="149"/>
      <c r="AF2493" s="149"/>
      <c r="AG2493" s="149"/>
      <c r="AH2493" s="149"/>
      <c r="AI2493" s="149"/>
      <c r="AJ2493" s="149"/>
      <c r="AK2493" s="149"/>
      <c r="AL2493" s="149"/>
      <c r="AM2493" s="149"/>
      <c r="AN2493" s="149"/>
      <c r="AO2493" s="128"/>
      <c r="AP2493" s="128"/>
      <c r="AQ2493" s="128"/>
      <c r="AR2493" s="128"/>
      <c r="AS2493" s="128"/>
      <c r="AT2493" s="128"/>
      <c r="AU2493" s="128"/>
      <c r="AV2493" s="128"/>
      <c r="AW2493" s="128"/>
      <c r="AX2493" s="128"/>
      <c r="AY2493" s="128"/>
      <c r="AZ2493" s="128"/>
      <c r="BA2493" s="128"/>
      <c r="BB2493" s="128"/>
      <c r="BC2493" s="128"/>
      <c r="BD2493" s="128"/>
      <c r="BE2493" s="128"/>
      <c r="BF2493" s="128"/>
      <c r="BG2493" s="128"/>
      <c r="BH2493" s="128"/>
      <c r="BI2493" s="128"/>
      <c r="BJ2493" s="128"/>
      <c r="BK2493" s="128"/>
      <c r="BL2493" s="128"/>
      <c r="BM2493" s="151"/>
      <c r="BN2493" s="128"/>
      <c r="BO2493" s="128"/>
      <c r="BP2493" s="128"/>
      <c r="BQ2493" s="128"/>
      <c r="BR2493" s="128"/>
      <c r="BS2493" s="128"/>
      <c r="BT2493" s="128"/>
      <c r="BU2493" s="128"/>
      <c r="BV2493" s="128"/>
      <c r="BW2493" s="128"/>
      <c r="BX2493" s="128"/>
      <c r="BY2493" s="128"/>
      <c r="BZ2493" s="128"/>
      <c r="CA2493" s="128"/>
      <c r="CB2493" s="128"/>
      <c r="CC2493" s="128"/>
      <c r="CD2493" s="128"/>
      <c r="CE2493" s="128"/>
      <c r="CF2493" s="128"/>
      <c r="CG2493" s="128"/>
      <c r="CI2493" s="128"/>
      <c r="CJ2493" s="128"/>
      <c r="CK2493" s="128"/>
      <c r="CL2493" s="128"/>
      <c r="CM2493" s="128"/>
      <c r="CN2493" s="128"/>
      <c r="CO2493" s="128"/>
      <c r="CP2493" s="128"/>
      <c r="CQ2493" s="128"/>
      <c r="CR2493" s="128"/>
      <c r="CS2493" s="128"/>
      <c r="CT2493" s="128"/>
      <c r="CU2493" s="128"/>
      <c r="CV2493" s="128"/>
      <c r="CW2493" s="128"/>
      <c r="CX2493" s="128"/>
      <c r="CY2493" s="128"/>
      <c r="CZ2493" s="165"/>
    </row>
    <row r="2494" spans="1:104">
      <c r="A2494" s="149"/>
      <c r="B2494" s="149"/>
      <c r="C2494" s="150"/>
      <c r="D2494" s="102"/>
      <c r="E2494" s="149"/>
      <c r="F2494" s="149"/>
      <c r="G2494" s="149"/>
      <c r="H2494" s="149"/>
      <c r="I2494" s="149"/>
      <c r="J2494" s="149"/>
      <c r="K2494" s="149"/>
      <c r="L2494" s="149"/>
      <c r="M2494" s="149"/>
      <c r="N2494" s="149"/>
      <c r="O2494" s="149"/>
      <c r="P2494" s="149"/>
      <c r="Q2494" s="149"/>
      <c r="R2494" s="149"/>
      <c r="S2494" s="149"/>
      <c r="T2494" s="149"/>
      <c r="U2494" s="149"/>
      <c r="V2494" s="149"/>
      <c r="W2494" s="149"/>
      <c r="X2494" s="149"/>
      <c r="Y2494" s="149"/>
      <c r="Z2494" s="149"/>
      <c r="AA2494" s="149"/>
      <c r="AB2494" s="149"/>
      <c r="AC2494" s="149"/>
      <c r="AD2494" s="149"/>
      <c r="AE2494" s="149"/>
      <c r="AF2494" s="149"/>
      <c r="AG2494" s="149"/>
      <c r="AH2494" s="149"/>
      <c r="AI2494" s="149"/>
      <c r="AJ2494" s="149"/>
      <c r="AK2494" s="149"/>
      <c r="AL2494" s="149"/>
      <c r="AM2494" s="149"/>
      <c r="AN2494" s="149"/>
      <c r="AO2494" s="128"/>
      <c r="AP2494" s="128"/>
      <c r="AQ2494" s="128"/>
      <c r="AR2494" s="128"/>
      <c r="AS2494" s="128"/>
      <c r="AT2494" s="128"/>
      <c r="AU2494" s="128"/>
      <c r="AV2494" s="128"/>
      <c r="AW2494" s="128"/>
      <c r="AX2494" s="128"/>
      <c r="AY2494" s="128"/>
      <c r="AZ2494" s="128"/>
      <c r="BA2494" s="128"/>
      <c r="BB2494" s="128"/>
      <c r="BC2494" s="128"/>
      <c r="BD2494" s="128"/>
      <c r="BE2494" s="128"/>
      <c r="BF2494" s="128"/>
      <c r="BG2494" s="128"/>
      <c r="BH2494" s="128"/>
      <c r="BI2494" s="128"/>
      <c r="BJ2494" s="128"/>
      <c r="BK2494" s="128"/>
      <c r="BL2494" s="128"/>
      <c r="BM2494" s="151"/>
      <c r="BN2494" s="128"/>
      <c r="BO2494" s="128"/>
      <c r="BP2494" s="128"/>
      <c r="BQ2494" s="128"/>
      <c r="BR2494" s="128"/>
      <c r="BS2494" s="128"/>
      <c r="BT2494" s="128"/>
      <c r="BU2494" s="128"/>
      <c r="BV2494" s="128"/>
      <c r="BW2494" s="128"/>
      <c r="BX2494" s="128"/>
      <c r="BY2494" s="128"/>
      <c r="BZ2494" s="128"/>
      <c r="CA2494" s="128"/>
      <c r="CB2494" s="128"/>
      <c r="CC2494" s="128"/>
      <c r="CD2494" s="128"/>
      <c r="CE2494" s="128"/>
      <c r="CF2494" s="128"/>
      <c r="CG2494" s="128"/>
      <c r="CI2494" s="128"/>
      <c r="CJ2494" s="128"/>
      <c r="CK2494" s="128"/>
      <c r="CL2494" s="128"/>
      <c r="CM2494" s="128"/>
      <c r="CN2494" s="128"/>
      <c r="CO2494" s="128"/>
      <c r="CP2494" s="128"/>
      <c r="CQ2494" s="128"/>
      <c r="CR2494" s="128"/>
      <c r="CS2494" s="128"/>
      <c r="CT2494" s="128"/>
      <c r="CU2494" s="128"/>
      <c r="CV2494" s="128"/>
      <c r="CW2494" s="128"/>
      <c r="CX2494" s="128"/>
      <c r="CY2494" s="128"/>
      <c r="CZ2494" s="165"/>
    </row>
    <row r="2495" spans="1:104">
      <c r="A2495" s="149"/>
      <c r="B2495" s="149"/>
      <c r="C2495" s="150"/>
      <c r="D2495" s="102"/>
      <c r="E2495" s="149"/>
      <c r="F2495" s="149"/>
      <c r="G2495" s="149"/>
      <c r="H2495" s="149"/>
      <c r="I2495" s="149"/>
      <c r="J2495" s="149"/>
      <c r="K2495" s="149"/>
      <c r="L2495" s="149"/>
      <c r="M2495" s="149"/>
      <c r="N2495" s="149"/>
      <c r="O2495" s="149"/>
      <c r="P2495" s="149"/>
      <c r="Q2495" s="149"/>
      <c r="R2495" s="149"/>
      <c r="S2495" s="149"/>
      <c r="T2495" s="149"/>
      <c r="U2495" s="149"/>
      <c r="V2495" s="149"/>
      <c r="W2495" s="149"/>
      <c r="X2495" s="149"/>
      <c r="Y2495" s="149"/>
      <c r="Z2495" s="149"/>
      <c r="AA2495" s="149"/>
      <c r="AB2495" s="149"/>
      <c r="AC2495" s="149"/>
      <c r="AD2495" s="149"/>
      <c r="AE2495" s="149"/>
      <c r="AF2495" s="149"/>
      <c r="AG2495" s="149"/>
      <c r="AH2495" s="149"/>
      <c r="AI2495" s="149"/>
      <c r="AJ2495" s="149"/>
      <c r="AK2495" s="149"/>
      <c r="AL2495" s="149"/>
      <c r="AM2495" s="149"/>
      <c r="AN2495" s="149"/>
      <c r="AO2495" s="128"/>
      <c r="AP2495" s="128"/>
      <c r="AQ2495" s="128"/>
      <c r="AR2495" s="128"/>
      <c r="AS2495" s="128"/>
      <c r="AT2495" s="128"/>
      <c r="AU2495" s="128"/>
      <c r="AV2495" s="128"/>
      <c r="AW2495" s="128"/>
      <c r="AX2495" s="128"/>
      <c r="AY2495" s="128"/>
      <c r="AZ2495" s="128"/>
      <c r="BA2495" s="128"/>
      <c r="BB2495" s="128"/>
      <c r="BC2495" s="128"/>
      <c r="BD2495" s="128"/>
      <c r="BE2495" s="128"/>
      <c r="BF2495" s="128"/>
      <c r="BG2495" s="128"/>
      <c r="BH2495" s="128"/>
      <c r="BI2495" s="128"/>
      <c r="BJ2495" s="128"/>
      <c r="BK2495" s="128"/>
      <c r="BL2495" s="128"/>
      <c r="BM2495" s="151"/>
      <c r="BN2495" s="128"/>
      <c r="BO2495" s="128"/>
      <c r="BP2495" s="128"/>
      <c r="BQ2495" s="128"/>
      <c r="BR2495" s="128"/>
      <c r="BS2495" s="128"/>
      <c r="BT2495" s="128"/>
      <c r="BU2495" s="128"/>
      <c r="BV2495" s="128"/>
      <c r="BW2495" s="128"/>
      <c r="BX2495" s="128"/>
      <c r="BY2495" s="128"/>
      <c r="BZ2495" s="128"/>
      <c r="CA2495" s="128"/>
      <c r="CB2495" s="128"/>
      <c r="CC2495" s="128"/>
      <c r="CD2495" s="128"/>
      <c r="CE2495" s="128"/>
      <c r="CF2495" s="128"/>
      <c r="CG2495" s="128"/>
      <c r="CI2495" s="128"/>
      <c r="CJ2495" s="128"/>
      <c r="CK2495" s="128"/>
      <c r="CL2495" s="128"/>
      <c r="CM2495" s="128"/>
      <c r="CN2495" s="128"/>
      <c r="CO2495" s="128"/>
      <c r="CP2495" s="128"/>
      <c r="CQ2495" s="128"/>
      <c r="CR2495" s="128"/>
      <c r="CS2495" s="128"/>
      <c r="CT2495" s="128"/>
      <c r="CU2495" s="128"/>
      <c r="CV2495" s="128"/>
      <c r="CW2495" s="128"/>
      <c r="CX2495" s="128"/>
      <c r="CY2495" s="128"/>
      <c r="CZ2495" s="165"/>
    </row>
    <row r="2496" spans="1:104">
      <c r="A2496" s="149"/>
      <c r="B2496" s="149"/>
      <c r="C2496" s="150"/>
      <c r="D2496" s="102"/>
      <c r="E2496" s="149"/>
      <c r="F2496" s="149"/>
      <c r="G2496" s="149"/>
      <c r="H2496" s="149"/>
      <c r="I2496" s="149"/>
      <c r="J2496" s="149"/>
      <c r="K2496" s="149"/>
      <c r="L2496" s="149"/>
      <c r="M2496" s="149"/>
      <c r="N2496" s="149"/>
      <c r="O2496" s="149"/>
      <c r="P2496" s="149"/>
      <c r="Q2496" s="149"/>
      <c r="R2496" s="149"/>
      <c r="S2496" s="149"/>
      <c r="T2496" s="149"/>
      <c r="U2496" s="149"/>
      <c r="V2496" s="149"/>
      <c r="W2496" s="149"/>
      <c r="X2496" s="149"/>
      <c r="Y2496" s="149"/>
      <c r="Z2496" s="149"/>
      <c r="AA2496" s="149"/>
      <c r="AB2496" s="149"/>
      <c r="AC2496" s="149"/>
      <c r="AD2496" s="149"/>
      <c r="AE2496" s="149"/>
      <c r="AF2496" s="149"/>
      <c r="AG2496" s="149"/>
      <c r="AH2496" s="149"/>
      <c r="AI2496" s="149"/>
      <c r="AJ2496" s="149"/>
      <c r="AK2496" s="149"/>
      <c r="AL2496" s="149"/>
      <c r="AM2496" s="149"/>
      <c r="AN2496" s="149"/>
      <c r="AO2496" s="128"/>
      <c r="AP2496" s="128"/>
      <c r="AQ2496" s="128"/>
      <c r="AR2496" s="128"/>
      <c r="AS2496" s="128"/>
      <c r="AT2496" s="128"/>
      <c r="AU2496" s="128"/>
      <c r="AV2496" s="128"/>
      <c r="AW2496" s="128"/>
      <c r="AX2496" s="128"/>
      <c r="AY2496" s="128"/>
      <c r="AZ2496" s="128"/>
      <c r="BA2496" s="128"/>
      <c r="BB2496" s="128"/>
      <c r="BC2496" s="128"/>
      <c r="BD2496" s="128"/>
      <c r="BE2496" s="128"/>
      <c r="BF2496" s="128"/>
      <c r="BG2496" s="128"/>
      <c r="BH2496" s="128"/>
      <c r="BI2496" s="128"/>
      <c r="BJ2496" s="128"/>
      <c r="BK2496" s="128"/>
      <c r="BL2496" s="128"/>
      <c r="BM2496" s="151"/>
      <c r="BN2496" s="128"/>
      <c r="BO2496" s="128"/>
      <c r="BP2496" s="128"/>
      <c r="BQ2496" s="128"/>
      <c r="BR2496" s="128"/>
      <c r="BS2496" s="128"/>
      <c r="BT2496" s="128"/>
      <c r="BU2496" s="128"/>
      <c r="BV2496" s="128"/>
      <c r="BW2496" s="128"/>
      <c r="BX2496" s="128"/>
      <c r="BY2496" s="128"/>
      <c r="BZ2496" s="128"/>
      <c r="CA2496" s="128"/>
      <c r="CB2496" s="128"/>
      <c r="CC2496" s="128"/>
      <c r="CD2496" s="128"/>
      <c r="CE2496" s="128"/>
      <c r="CF2496" s="128"/>
      <c r="CG2496" s="128"/>
      <c r="CI2496" s="128"/>
      <c r="CJ2496" s="128"/>
      <c r="CK2496" s="128"/>
      <c r="CL2496" s="128"/>
      <c r="CM2496" s="128"/>
      <c r="CN2496" s="128"/>
      <c r="CO2496" s="128"/>
      <c r="CP2496" s="128"/>
      <c r="CQ2496" s="128"/>
      <c r="CR2496" s="128"/>
      <c r="CS2496" s="128"/>
      <c r="CT2496" s="128"/>
      <c r="CU2496" s="128"/>
      <c r="CV2496" s="128"/>
      <c r="CW2496" s="128"/>
      <c r="CX2496" s="128"/>
      <c r="CY2496" s="128"/>
      <c r="CZ2496" s="165"/>
    </row>
    <row r="2497" spans="1:104">
      <c r="A2497" s="149"/>
      <c r="B2497" s="149"/>
      <c r="C2497" s="150"/>
      <c r="D2497" s="102"/>
      <c r="E2497" s="149"/>
      <c r="F2497" s="149"/>
      <c r="G2497" s="149"/>
      <c r="H2497" s="149"/>
      <c r="I2497" s="149"/>
      <c r="J2497" s="149"/>
      <c r="K2497" s="149"/>
      <c r="L2497" s="149"/>
      <c r="M2497" s="149"/>
      <c r="N2497" s="149"/>
      <c r="O2497" s="149"/>
      <c r="P2497" s="149"/>
      <c r="Q2497" s="149"/>
      <c r="R2497" s="149"/>
      <c r="S2497" s="149"/>
      <c r="T2497" s="149"/>
      <c r="U2497" s="149"/>
      <c r="V2497" s="149"/>
      <c r="W2497" s="149"/>
      <c r="X2497" s="149"/>
      <c r="Y2497" s="149"/>
      <c r="Z2497" s="149"/>
      <c r="AA2497" s="149"/>
      <c r="AB2497" s="149"/>
      <c r="AC2497" s="149"/>
      <c r="AD2497" s="149"/>
      <c r="AE2497" s="149"/>
      <c r="AF2497" s="149"/>
      <c r="AG2497" s="149"/>
      <c r="AH2497" s="149"/>
      <c r="AI2497" s="149"/>
      <c r="AJ2497" s="149"/>
      <c r="AK2497" s="149"/>
      <c r="AL2497" s="149"/>
      <c r="AM2497" s="149"/>
      <c r="AN2497" s="149"/>
      <c r="AO2497" s="128"/>
      <c r="AP2497" s="128"/>
      <c r="AQ2497" s="128"/>
      <c r="AR2497" s="128"/>
      <c r="AS2497" s="128"/>
      <c r="AT2497" s="128"/>
      <c r="AU2497" s="128"/>
      <c r="AV2497" s="128"/>
      <c r="AW2497" s="128"/>
      <c r="AX2497" s="128"/>
      <c r="AY2497" s="128"/>
      <c r="AZ2497" s="128"/>
      <c r="BA2497" s="128"/>
      <c r="BB2497" s="128"/>
      <c r="BC2497" s="128"/>
      <c r="BD2497" s="128"/>
      <c r="BE2497" s="128"/>
      <c r="BF2497" s="128"/>
      <c r="BG2497" s="128"/>
      <c r="BH2497" s="128"/>
      <c r="BI2497" s="128"/>
      <c r="BJ2497" s="128"/>
      <c r="BK2497" s="128"/>
      <c r="BL2497" s="128"/>
      <c r="BM2497" s="151"/>
      <c r="BN2497" s="128"/>
      <c r="BO2497" s="128"/>
      <c r="BP2497" s="128"/>
      <c r="BQ2497" s="128"/>
      <c r="BR2497" s="128"/>
      <c r="BS2497" s="128"/>
      <c r="BT2497" s="128"/>
      <c r="BU2497" s="128"/>
      <c r="BV2497" s="128"/>
      <c r="BW2497" s="128"/>
      <c r="BX2497" s="128"/>
      <c r="BY2497" s="128"/>
      <c r="BZ2497" s="128"/>
      <c r="CA2497" s="128"/>
      <c r="CB2497" s="128"/>
      <c r="CC2497" s="128"/>
      <c r="CD2497" s="128"/>
      <c r="CE2497" s="128"/>
      <c r="CF2497" s="128"/>
      <c r="CG2497" s="128"/>
      <c r="CI2497" s="128"/>
      <c r="CJ2497" s="128"/>
      <c r="CK2497" s="128"/>
      <c r="CL2497" s="128"/>
      <c r="CM2497" s="128"/>
      <c r="CN2497" s="128"/>
      <c r="CO2497" s="128"/>
      <c r="CP2497" s="128"/>
      <c r="CQ2497" s="128"/>
      <c r="CR2497" s="128"/>
      <c r="CS2497" s="128"/>
      <c r="CT2497" s="128"/>
      <c r="CU2497" s="128"/>
      <c r="CV2497" s="128"/>
      <c r="CW2497" s="128"/>
      <c r="CX2497" s="128"/>
      <c r="CY2497" s="128"/>
      <c r="CZ2497" s="165"/>
    </row>
    <row r="2498" spans="1:104">
      <c r="A2498" s="149"/>
      <c r="B2498" s="149"/>
      <c r="C2498" s="150"/>
      <c r="D2498" s="102"/>
      <c r="E2498" s="149"/>
      <c r="F2498" s="149"/>
      <c r="G2498" s="149"/>
      <c r="H2498" s="149"/>
      <c r="I2498" s="149"/>
      <c r="J2498" s="149"/>
      <c r="K2498" s="149"/>
      <c r="L2498" s="149"/>
      <c r="M2498" s="149"/>
      <c r="N2498" s="149"/>
      <c r="O2498" s="149"/>
      <c r="P2498" s="149"/>
      <c r="Q2498" s="149"/>
      <c r="R2498" s="149"/>
      <c r="S2498" s="149"/>
      <c r="T2498" s="149"/>
      <c r="U2498" s="149"/>
      <c r="V2498" s="149"/>
      <c r="W2498" s="149"/>
      <c r="X2498" s="149"/>
      <c r="Y2498" s="149"/>
      <c r="Z2498" s="149"/>
      <c r="AA2498" s="149"/>
      <c r="AB2498" s="149"/>
      <c r="AC2498" s="149"/>
      <c r="AD2498" s="149"/>
      <c r="AE2498" s="149"/>
      <c r="AF2498" s="149"/>
      <c r="AG2498" s="149"/>
      <c r="AH2498" s="149"/>
      <c r="AI2498" s="149"/>
      <c r="AJ2498" s="149"/>
      <c r="AK2498" s="149"/>
      <c r="AL2498" s="149"/>
      <c r="AM2498" s="149"/>
      <c r="AN2498" s="149"/>
      <c r="AO2498" s="128"/>
      <c r="AP2498" s="128"/>
      <c r="AQ2498" s="128"/>
      <c r="AR2498" s="128"/>
      <c r="AS2498" s="128"/>
      <c r="AT2498" s="128"/>
      <c r="AU2498" s="128"/>
      <c r="AV2498" s="128"/>
      <c r="AW2498" s="128"/>
      <c r="AX2498" s="128"/>
      <c r="AY2498" s="128"/>
      <c r="AZ2498" s="128"/>
      <c r="BA2498" s="128"/>
      <c r="BB2498" s="128"/>
      <c r="BC2498" s="128"/>
      <c r="BD2498" s="128"/>
      <c r="BE2498" s="128"/>
      <c r="BF2498" s="128"/>
      <c r="BG2498" s="128"/>
      <c r="BH2498" s="128"/>
      <c r="BI2498" s="128"/>
      <c r="BJ2498" s="128"/>
      <c r="BK2498" s="128"/>
      <c r="BL2498" s="128"/>
      <c r="BM2498" s="151"/>
      <c r="BN2498" s="128"/>
      <c r="BO2498" s="128"/>
      <c r="BP2498" s="128"/>
      <c r="BQ2498" s="128"/>
      <c r="BR2498" s="128"/>
      <c r="BS2498" s="128"/>
      <c r="BT2498" s="128"/>
      <c r="BU2498" s="128"/>
      <c r="BV2498" s="128"/>
      <c r="BW2498" s="128"/>
      <c r="BX2498" s="128"/>
      <c r="BY2498" s="128"/>
      <c r="BZ2498" s="128"/>
      <c r="CA2498" s="128"/>
      <c r="CB2498" s="128"/>
      <c r="CC2498" s="128"/>
      <c r="CD2498" s="128"/>
      <c r="CE2498" s="128"/>
      <c r="CF2498" s="128"/>
      <c r="CG2498" s="128"/>
      <c r="CI2498" s="128"/>
      <c r="CJ2498" s="128"/>
      <c r="CK2498" s="128"/>
      <c r="CL2498" s="128"/>
      <c r="CM2498" s="128"/>
      <c r="CN2498" s="128"/>
      <c r="CO2498" s="128"/>
      <c r="CP2498" s="128"/>
      <c r="CQ2498" s="128"/>
      <c r="CR2498" s="128"/>
      <c r="CS2498" s="128"/>
      <c r="CT2498" s="128"/>
      <c r="CU2498" s="128"/>
      <c r="CV2498" s="128"/>
      <c r="CW2498" s="128"/>
      <c r="CX2498" s="128"/>
      <c r="CY2498" s="128"/>
      <c r="CZ2498" s="165"/>
    </row>
    <row r="2499" spans="1:104">
      <c r="A2499" s="149"/>
      <c r="B2499" s="149"/>
      <c r="C2499" s="150"/>
      <c r="D2499" s="102"/>
      <c r="E2499" s="149"/>
      <c r="F2499" s="149"/>
      <c r="G2499" s="149"/>
      <c r="H2499" s="149"/>
      <c r="I2499" s="149"/>
      <c r="J2499" s="149"/>
      <c r="K2499" s="149"/>
      <c r="L2499" s="149"/>
      <c r="M2499" s="149"/>
      <c r="N2499" s="149"/>
      <c r="O2499" s="149"/>
      <c r="P2499" s="149"/>
      <c r="Q2499" s="149"/>
      <c r="R2499" s="149"/>
      <c r="S2499" s="149"/>
      <c r="T2499" s="149"/>
      <c r="U2499" s="149"/>
      <c r="V2499" s="149"/>
      <c r="W2499" s="149"/>
      <c r="X2499" s="149"/>
      <c r="Y2499" s="149"/>
      <c r="Z2499" s="149"/>
      <c r="AA2499" s="149"/>
      <c r="AB2499" s="149"/>
      <c r="AC2499" s="149"/>
      <c r="AD2499" s="149"/>
      <c r="AE2499" s="149"/>
      <c r="AF2499" s="149"/>
      <c r="AG2499" s="149"/>
      <c r="AH2499" s="149"/>
      <c r="AI2499" s="149"/>
      <c r="AJ2499" s="149"/>
      <c r="AK2499" s="149"/>
      <c r="AL2499" s="149"/>
      <c r="AM2499" s="149"/>
      <c r="AN2499" s="149"/>
      <c r="AO2499" s="128"/>
      <c r="AP2499" s="128"/>
      <c r="AQ2499" s="128"/>
      <c r="AR2499" s="128"/>
      <c r="AS2499" s="128"/>
      <c r="AT2499" s="128"/>
      <c r="AU2499" s="128"/>
      <c r="AV2499" s="128"/>
      <c r="AW2499" s="128"/>
      <c r="AX2499" s="128"/>
      <c r="AY2499" s="128"/>
      <c r="AZ2499" s="128"/>
      <c r="BA2499" s="128"/>
      <c r="BB2499" s="128"/>
      <c r="BC2499" s="128"/>
      <c r="BD2499" s="128"/>
      <c r="BE2499" s="128"/>
      <c r="BF2499" s="128"/>
      <c r="BG2499" s="128"/>
      <c r="BH2499" s="128"/>
      <c r="BI2499" s="128"/>
      <c r="BJ2499" s="128"/>
      <c r="BK2499" s="128"/>
      <c r="BL2499" s="128"/>
      <c r="BM2499" s="151"/>
      <c r="BN2499" s="128"/>
      <c r="BO2499" s="128"/>
      <c r="BP2499" s="128"/>
      <c r="BQ2499" s="128"/>
      <c r="BR2499" s="128"/>
      <c r="BS2499" s="128"/>
      <c r="BT2499" s="128"/>
      <c r="BU2499" s="128"/>
      <c r="BV2499" s="128"/>
      <c r="BW2499" s="128"/>
      <c r="BX2499" s="128"/>
      <c r="BY2499" s="128"/>
      <c r="BZ2499" s="128"/>
      <c r="CA2499" s="128"/>
      <c r="CB2499" s="128"/>
      <c r="CC2499" s="128"/>
      <c r="CD2499" s="128"/>
      <c r="CE2499" s="128"/>
      <c r="CF2499" s="128"/>
      <c r="CG2499" s="128"/>
      <c r="CI2499" s="128"/>
      <c r="CJ2499" s="128"/>
      <c r="CK2499" s="128"/>
      <c r="CL2499" s="128"/>
      <c r="CM2499" s="128"/>
      <c r="CN2499" s="128"/>
      <c r="CO2499" s="128"/>
      <c r="CP2499" s="128"/>
      <c r="CQ2499" s="128"/>
      <c r="CR2499" s="128"/>
      <c r="CS2499" s="128"/>
      <c r="CT2499" s="128"/>
      <c r="CU2499" s="128"/>
      <c r="CV2499" s="128"/>
      <c r="CW2499" s="128"/>
      <c r="CX2499" s="128"/>
      <c r="CY2499" s="128"/>
      <c r="CZ2499" s="165"/>
    </row>
    <row r="2500" spans="1:104">
      <c r="A2500" s="149"/>
      <c r="B2500" s="149"/>
      <c r="C2500" s="150"/>
      <c r="D2500" s="102"/>
      <c r="E2500" s="149"/>
      <c r="F2500" s="149"/>
      <c r="G2500" s="149"/>
      <c r="H2500" s="149"/>
      <c r="I2500" s="149"/>
      <c r="J2500" s="149"/>
      <c r="K2500" s="149"/>
      <c r="L2500" s="149"/>
      <c r="M2500" s="149"/>
      <c r="N2500" s="149"/>
      <c r="O2500" s="149"/>
      <c r="P2500" s="149"/>
      <c r="Q2500" s="149"/>
      <c r="R2500" s="149"/>
      <c r="S2500" s="149"/>
      <c r="T2500" s="149"/>
      <c r="U2500" s="149"/>
      <c r="V2500" s="149"/>
      <c r="W2500" s="149"/>
      <c r="X2500" s="149"/>
      <c r="Y2500" s="149"/>
      <c r="Z2500" s="149"/>
      <c r="AA2500" s="149"/>
      <c r="AB2500" s="149"/>
      <c r="AC2500" s="149"/>
      <c r="AD2500" s="149"/>
      <c r="AE2500" s="149"/>
      <c r="AF2500" s="149"/>
      <c r="AG2500" s="149"/>
      <c r="AH2500" s="149"/>
      <c r="AI2500" s="149"/>
      <c r="AJ2500" s="149"/>
      <c r="AK2500" s="149"/>
      <c r="AL2500" s="149"/>
      <c r="AM2500" s="149"/>
      <c r="AN2500" s="149"/>
      <c r="AO2500" s="128"/>
      <c r="AP2500" s="128"/>
      <c r="AQ2500" s="128"/>
      <c r="AR2500" s="128"/>
      <c r="AS2500" s="128"/>
      <c r="AT2500" s="128"/>
      <c r="AU2500" s="128"/>
      <c r="AV2500" s="128"/>
      <c r="AW2500" s="128"/>
      <c r="AX2500" s="128"/>
      <c r="AY2500" s="128"/>
      <c r="AZ2500" s="128"/>
      <c r="BA2500" s="128"/>
      <c r="BB2500" s="128"/>
      <c r="BC2500" s="128"/>
      <c r="BD2500" s="128"/>
      <c r="BE2500" s="128"/>
      <c r="BF2500" s="128"/>
      <c r="BG2500" s="128"/>
      <c r="BH2500" s="128"/>
      <c r="BI2500" s="128"/>
      <c r="BJ2500" s="128"/>
      <c r="BK2500" s="128"/>
      <c r="BL2500" s="128"/>
      <c r="BM2500" s="151"/>
      <c r="BN2500" s="128"/>
      <c r="BO2500" s="128"/>
      <c r="BP2500" s="128"/>
      <c r="BQ2500" s="128"/>
      <c r="BR2500" s="128"/>
      <c r="BS2500" s="128"/>
      <c r="BT2500" s="128"/>
      <c r="BU2500" s="128"/>
      <c r="BV2500" s="128"/>
      <c r="BW2500" s="128"/>
      <c r="BX2500" s="128"/>
      <c r="BY2500" s="128"/>
      <c r="BZ2500" s="128"/>
      <c r="CA2500" s="128"/>
      <c r="CB2500" s="128"/>
      <c r="CC2500" s="128"/>
      <c r="CD2500" s="128"/>
      <c r="CE2500" s="128"/>
      <c r="CF2500" s="128"/>
      <c r="CG2500" s="128"/>
      <c r="CI2500" s="128"/>
      <c r="CJ2500" s="128"/>
      <c r="CK2500" s="128"/>
      <c r="CL2500" s="128"/>
      <c r="CM2500" s="128"/>
      <c r="CN2500" s="128"/>
      <c r="CO2500" s="128"/>
      <c r="CP2500" s="128"/>
      <c r="CQ2500" s="128"/>
      <c r="CR2500" s="128"/>
      <c r="CS2500" s="128"/>
      <c r="CT2500" s="128"/>
      <c r="CU2500" s="128"/>
      <c r="CV2500" s="128"/>
      <c r="CW2500" s="128"/>
      <c r="CX2500" s="128"/>
      <c r="CY2500" s="128"/>
      <c r="CZ2500" s="165"/>
    </row>
    <row r="2501" spans="1:104">
      <c r="A2501" s="149"/>
      <c r="B2501" s="149"/>
      <c r="C2501" s="150"/>
      <c r="D2501" s="102"/>
      <c r="E2501" s="149"/>
      <c r="F2501" s="149"/>
      <c r="G2501" s="149"/>
      <c r="H2501" s="149"/>
      <c r="I2501" s="149"/>
      <c r="J2501" s="149"/>
      <c r="K2501" s="149"/>
      <c r="L2501" s="149"/>
      <c r="M2501" s="149"/>
      <c r="N2501" s="149"/>
      <c r="O2501" s="149"/>
      <c r="P2501" s="149"/>
      <c r="Q2501" s="149"/>
      <c r="R2501" s="149"/>
      <c r="S2501" s="149"/>
      <c r="T2501" s="149"/>
      <c r="U2501" s="149"/>
      <c r="V2501" s="149"/>
      <c r="W2501" s="149"/>
      <c r="X2501" s="149"/>
      <c r="Y2501" s="149"/>
      <c r="Z2501" s="149"/>
      <c r="AA2501" s="149"/>
      <c r="AB2501" s="149"/>
      <c r="AC2501" s="149"/>
      <c r="AD2501" s="149"/>
      <c r="AE2501" s="149"/>
      <c r="AF2501" s="149"/>
      <c r="AG2501" s="149"/>
      <c r="AH2501" s="149"/>
      <c r="AI2501" s="149"/>
      <c r="AJ2501" s="149"/>
      <c r="AK2501" s="149"/>
      <c r="AL2501" s="149"/>
      <c r="AM2501" s="149"/>
      <c r="AN2501" s="149"/>
      <c r="AO2501" s="128"/>
      <c r="AP2501" s="128"/>
      <c r="AQ2501" s="128"/>
      <c r="AR2501" s="128"/>
      <c r="AS2501" s="128"/>
      <c r="AT2501" s="128"/>
      <c r="AU2501" s="128"/>
      <c r="AV2501" s="128"/>
      <c r="AW2501" s="128"/>
      <c r="AX2501" s="128"/>
      <c r="AY2501" s="128"/>
      <c r="AZ2501" s="128"/>
      <c r="BA2501" s="128"/>
      <c r="BB2501" s="128"/>
      <c r="BC2501" s="128"/>
      <c r="BD2501" s="128"/>
      <c r="BE2501" s="128"/>
      <c r="BF2501" s="128"/>
      <c r="BG2501" s="128"/>
      <c r="BH2501" s="128"/>
      <c r="BI2501" s="128"/>
      <c r="BJ2501" s="128"/>
      <c r="BK2501" s="128"/>
      <c r="BL2501" s="128"/>
      <c r="BM2501" s="151"/>
      <c r="BN2501" s="128"/>
      <c r="BO2501" s="128"/>
      <c r="BP2501" s="128"/>
      <c r="BQ2501" s="128"/>
      <c r="BR2501" s="128"/>
      <c r="BS2501" s="128"/>
      <c r="BT2501" s="128"/>
      <c r="BU2501" s="128"/>
      <c r="BV2501" s="128"/>
      <c r="BW2501" s="128"/>
      <c r="BX2501" s="128"/>
      <c r="BY2501" s="128"/>
      <c r="BZ2501" s="128"/>
      <c r="CA2501" s="128"/>
      <c r="CB2501" s="128"/>
      <c r="CC2501" s="128"/>
      <c r="CD2501" s="128"/>
      <c r="CE2501" s="128"/>
      <c r="CF2501" s="128"/>
      <c r="CG2501" s="128"/>
      <c r="CI2501" s="128"/>
      <c r="CJ2501" s="128"/>
      <c r="CK2501" s="128"/>
      <c r="CL2501" s="128"/>
      <c r="CM2501" s="128"/>
      <c r="CN2501" s="128"/>
      <c r="CO2501" s="128"/>
      <c r="CP2501" s="128"/>
      <c r="CQ2501" s="128"/>
      <c r="CR2501" s="128"/>
      <c r="CS2501" s="128"/>
      <c r="CT2501" s="128"/>
      <c r="CU2501" s="128"/>
      <c r="CV2501" s="128"/>
      <c r="CW2501" s="128"/>
      <c r="CX2501" s="128"/>
      <c r="CY2501" s="128"/>
      <c r="CZ2501" s="165"/>
    </row>
    <row r="2502" spans="1:104">
      <c r="A2502" s="149"/>
      <c r="B2502" s="149"/>
      <c r="C2502" s="150"/>
      <c r="D2502" s="102"/>
      <c r="E2502" s="149"/>
      <c r="F2502" s="149"/>
      <c r="G2502" s="149"/>
      <c r="H2502" s="149"/>
      <c r="I2502" s="149"/>
      <c r="J2502" s="149"/>
      <c r="K2502" s="149"/>
      <c r="L2502" s="149"/>
      <c r="M2502" s="149"/>
      <c r="N2502" s="149"/>
      <c r="O2502" s="149"/>
      <c r="P2502" s="149"/>
      <c r="Q2502" s="149"/>
      <c r="R2502" s="149"/>
      <c r="S2502" s="149"/>
      <c r="T2502" s="149"/>
      <c r="U2502" s="149"/>
      <c r="V2502" s="149"/>
      <c r="W2502" s="149"/>
      <c r="X2502" s="149"/>
      <c r="Y2502" s="149"/>
      <c r="Z2502" s="149"/>
      <c r="AA2502" s="149"/>
      <c r="AB2502" s="149"/>
      <c r="AC2502" s="149"/>
      <c r="AD2502" s="149"/>
      <c r="AE2502" s="149"/>
      <c r="AF2502" s="149"/>
      <c r="AG2502" s="149"/>
      <c r="AH2502" s="149"/>
      <c r="AI2502" s="149"/>
      <c r="AJ2502" s="149"/>
      <c r="AK2502" s="149"/>
      <c r="AL2502" s="149"/>
      <c r="AM2502" s="149"/>
      <c r="AN2502" s="149"/>
      <c r="AO2502" s="128"/>
      <c r="AP2502" s="128"/>
      <c r="AQ2502" s="128"/>
      <c r="AR2502" s="128"/>
      <c r="AS2502" s="128"/>
      <c r="AT2502" s="128"/>
      <c r="AU2502" s="128"/>
      <c r="AV2502" s="128"/>
      <c r="AW2502" s="128"/>
      <c r="AX2502" s="128"/>
      <c r="AY2502" s="128"/>
      <c r="AZ2502" s="128"/>
      <c r="BA2502" s="128"/>
      <c r="BB2502" s="128"/>
      <c r="BC2502" s="128"/>
      <c r="BD2502" s="128"/>
      <c r="BE2502" s="128"/>
      <c r="BF2502" s="128"/>
      <c r="BG2502" s="128"/>
      <c r="BH2502" s="128"/>
      <c r="BI2502" s="128"/>
      <c r="BJ2502" s="128"/>
      <c r="BK2502" s="128"/>
      <c r="BL2502" s="128"/>
      <c r="BM2502" s="151"/>
      <c r="BN2502" s="128"/>
      <c r="BO2502" s="128"/>
      <c r="BP2502" s="128"/>
      <c r="BQ2502" s="128"/>
      <c r="BR2502" s="128"/>
      <c r="BS2502" s="128"/>
      <c r="BT2502" s="128"/>
      <c r="BU2502" s="128"/>
      <c r="BV2502" s="128"/>
      <c r="BW2502" s="128"/>
      <c r="BX2502" s="128"/>
      <c r="BY2502" s="128"/>
      <c r="BZ2502" s="128"/>
      <c r="CA2502" s="128"/>
      <c r="CB2502" s="128"/>
      <c r="CC2502" s="128"/>
      <c r="CD2502" s="128"/>
      <c r="CE2502" s="128"/>
      <c r="CF2502" s="128"/>
      <c r="CG2502" s="128"/>
      <c r="CI2502" s="128"/>
      <c r="CJ2502" s="128"/>
      <c r="CK2502" s="128"/>
      <c r="CL2502" s="128"/>
      <c r="CM2502" s="128"/>
      <c r="CN2502" s="128"/>
      <c r="CO2502" s="128"/>
      <c r="CP2502" s="128"/>
      <c r="CQ2502" s="128"/>
      <c r="CR2502" s="128"/>
      <c r="CS2502" s="128"/>
      <c r="CT2502" s="128"/>
      <c r="CU2502" s="128"/>
      <c r="CV2502" s="128"/>
      <c r="CW2502" s="128"/>
      <c r="CX2502" s="128"/>
      <c r="CY2502" s="128"/>
      <c r="CZ2502" s="165"/>
    </row>
    <row r="2503" spans="1:104">
      <c r="A2503" s="149"/>
      <c r="B2503" s="149"/>
      <c r="C2503" s="150"/>
      <c r="D2503" s="102"/>
      <c r="E2503" s="149"/>
      <c r="F2503" s="149"/>
      <c r="G2503" s="149"/>
      <c r="H2503" s="149"/>
      <c r="I2503" s="149"/>
      <c r="J2503" s="149"/>
      <c r="K2503" s="149"/>
      <c r="L2503" s="149"/>
      <c r="M2503" s="149"/>
      <c r="N2503" s="149"/>
      <c r="O2503" s="149"/>
      <c r="P2503" s="149"/>
      <c r="Q2503" s="149"/>
      <c r="R2503" s="149"/>
      <c r="S2503" s="149"/>
      <c r="T2503" s="149"/>
      <c r="U2503" s="149"/>
      <c r="V2503" s="149"/>
      <c r="W2503" s="149"/>
      <c r="X2503" s="149"/>
      <c r="Y2503" s="149"/>
      <c r="Z2503" s="149"/>
      <c r="AA2503" s="149"/>
      <c r="AB2503" s="149"/>
      <c r="AC2503" s="149"/>
      <c r="AD2503" s="149"/>
      <c r="AE2503" s="149"/>
      <c r="AF2503" s="149"/>
      <c r="AG2503" s="149"/>
      <c r="AH2503" s="149"/>
      <c r="AI2503" s="149"/>
      <c r="AJ2503" s="149"/>
      <c r="AK2503" s="149"/>
      <c r="AL2503" s="149"/>
      <c r="AM2503" s="149"/>
      <c r="AN2503" s="149"/>
      <c r="AO2503" s="128"/>
      <c r="AP2503" s="128"/>
      <c r="AQ2503" s="128"/>
      <c r="AR2503" s="128"/>
      <c r="AS2503" s="128"/>
      <c r="AT2503" s="128"/>
      <c r="AU2503" s="128"/>
      <c r="AV2503" s="128"/>
      <c r="AW2503" s="128"/>
      <c r="AX2503" s="128"/>
      <c r="AY2503" s="128"/>
      <c r="AZ2503" s="128"/>
      <c r="BA2503" s="128"/>
      <c r="BB2503" s="128"/>
      <c r="BC2503" s="128"/>
      <c r="BD2503" s="128"/>
      <c r="BE2503" s="128"/>
      <c r="BF2503" s="128"/>
      <c r="BG2503" s="128"/>
      <c r="BH2503" s="128"/>
      <c r="BI2503" s="128"/>
      <c r="BJ2503" s="128"/>
      <c r="BK2503" s="128"/>
      <c r="BL2503" s="128"/>
      <c r="BM2503" s="151"/>
      <c r="BN2503" s="128"/>
      <c r="BO2503" s="128"/>
      <c r="BP2503" s="128"/>
      <c r="BQ2503" s="128"/>
      <c r="BR2503" s="128"/>
      <c r="BS2503" s="128"/>
      <c r="BT2503" s="128"/>
      <c r="BU2503" s="128"/>
      <c r="BV2503" s="128"/>
      <c r="BW2503" s="128"/>
      <c r="BX2503" s="128"/>
      <c r="BY2503" s="128"/>
      <c r="BZ2503" s="128"/>
      <c r="CA2503" s="128"/>
      <c r="CB2503" s="128"/>
      <c r="CC2503" s="128"/>
      <c r="CD2503" s="128"/>
      <c r="CE2503" s="128"/>
      <c r="CF2503" s="128"/>
      <c r="CG2503" s="128"/>
      <c r="CI2503" s="128"/>
      <c r="CJ2503" s="128"/>
      <c r="CK2503" s="128"/>
      <c r="CL2503" s="128"/>
      <c r="CM2503" s="128"/>
      <c r="CN2503" s="128"/>
      <c r="CO2503" s="128"/>
      <c r="CP2503" s="128"/>
      <c r="CQ2503" s="128"/>
      <c r="CR2503" s="128"/>
      <c r="CS2503" s="128"/>
      <c r="CT2503" s="128"/>
      <c r="CU2503" s="128"/>
      <c r="CV2503" s="128"/>
      <c r="CW2503" s="128"/>
      <c r="CX2503" s="128"/>
      <c r="CY2503" s="128"/>
      <c r="CZ2503" s="165"/>
    </row>
    <row r="2504" spans="1:104">
      <c r="A2504" s="149"/>
      <c r="B2504" s="149"/>
      <c r="C2504" s="150"/>
      <c r="D2504" s="102"/>
      <c r="E2504" s="149"/>
      <c r="F2504" s="149"/>
      <c r="G2504" s="149"/>
      <c r="H2504" s="149"/>
      <c r="I2504" s="149"/>
      <c r="J2504" s="149"/>
      <c r="K2504" s="149"/>
      <c r="L2504" s="149"/>
      <c r="M2504" s="149"/>
      <c r="N2504" s="149"/>
      <c r="O2504" s="149"/>
      <c r="P2504" s="149"/>
      <c r="Q2504" s="149"/>
      <c r="R2504" s="149"/>
      <c r="S2504" s="149"/>
      <c r="T2504" s="149"/>
      <c r="U2504" s="149"/>
      <c r="V2504" s="149"/>
      <c r="W2504" s="149"/>
      <c r="X2504" s="149"/>
      <c r="Y2504" s="149"/>
      <c r="Z2504" s="149"/>
      <c r="AA2504" s="149"/>
      <c r="AB2504" s="149"/>
      <c r="AC2504" s="149"/>
      <c r="AD2504" s="149"/>
      <c r="AE2504" s="149"/>
      <c r="AF2504" s="149"/>
      <c r="AG2504" s="149"/>
      <c r="AH2504" s="149"/>
      <c r="AI2504" s="149"/>
      <c r="AJ2504" s="149"/>
      <c r="AK2504" s="149"/>
      <c r="AL2504" s="149"/>
      <c r="AM2504" s="149"/>
      <c r="AN2504" s="149"/>
      <c r="AO2504" s="128"/>
      <c r="AP2504" s="128"/>
      <c r="AQ2504" s="128"/>
      <c r="AR2504" s="128"/>
      <c r="AS2504" s="128"/>
      <c r="AT2504" s="128"/>
      <c r="AU2504" s="128"/>
      <c r="AV2504" s="128"/>
      <c r="AW2504" s="128"/>
      <c r="AX2504" s="128"/>
      <c r="AY2504" s="128"/>
      <c r="AZ2504" s="128"/>
      <c r="BA2504" s="128"/>
      <c r="BB2504" s="128"/>
      <c r="BC2504" s="128"/>
      <c r="BD2504" s="128"/>
      <c r="BE2504" s="128"/>
      <c r="BF2504" s="128"/>
      <c r="BG2504" s="128"/>
      <c r="BH2504" s="128"/>
      <c r="BI2504" s="128"/>
      <c r="BJ2504" s="128"/>
      <c r="BK2504" s="128"/>
      <c r="BL2504" s="128"/>
      <c r="BM2504" s="151"/>
      <c r="BN2504" s="128"/>
      <c r="BO2504" s="128"/>
      <c r="BP2504" s="128"/>
      <c r="BQ2504" s="128"/>
      <c r="BR2504" s="128"/>
      <c r="BS2504" s="128"/>
      <c r="BT2504" s="128"/>
      <c r="BU2504" s="128"/>
      <c r="BV2504" s="128"/>
      <c r="BW2504" s="128"/>
      <c r="BX2504" s="128"/>
      <c r="BY2504" s="128"/>
      <c r="BZ2504" s="128"/>
      <c r="CA2504" s="128"/>
      <c r="CB2504" s="128"/>
      <c r="CC2504" s="128"/>
      <c r="CD2504" s="128"/>
      <c r="CE2504" s="128"/>
      <c r="CF2504" s="128"/>
      <c r="CG2504" s="128"/>
      <c r="CI2504" s="128"/>
      <c r="CJ2504" s="128"/>
      <c r="CK2504" s="128"/>
      <c r="CL2504" s="128"/>
      <c r="CM2504" s="128"/>
      <c r="CN2504" s="128"/>
      <c r="CO2504" s="128"/>
      <c r="CP2504" s="128"/>
      <c r="CQ2504" s="128"/>
      <c r="CR2504" s="128"/>
      <c r="CS2504" s="128"/>
      <c r="CT2504" s="128"/>
      <c r="CU2504" s="128"/>
      <c r="CV2504" s="128"/>
      <c r="CW2504" s="128"/>
      <c r="CX2504" s="128"/>
      <c r="CY2504" s="128"/>
      <c r="CZ2504" s="165"/>
    </row>
    <row r="2505" spans="1:104">
      <c r="A2505" s="149"/>
      <c r="B2505" s="149"/>
      <c r="C2505" s="150"/>
      <c r="D2505" s="102"/>
      <c r="E2505" s="149"/>
      <c r="F2505" s="149"/>
      <c r="G2505" s="149"/>
      <c r="H2505" s="149"/>
      <c r="I2505" s="149"/>
      <c r="J2505" s="149"/>
      <c r="K2505" s="149"/>
      <c r="L2505" s="149"/>
      <c r="M2505" s="149"/>
      <c r="N2505" s="149"/>
      <c r="O2505" s="149"/>
      <c r="P2505" s="149"/>
      <c r="Q2505" s="149"/>
      <c r="R2505" s="149"/>
      <c r="S2505" s="149"/>
      <c r="T2505" s="149"/>
      <c r="U2505" s="149"/>
      <c r="V2505" s="149"/>
      <c r="W2505" s="149"/>
      <c r="X2505" s="149"/>
      <c r="Y2505" s="149"/>
      <c r="Z2505" s="149"/>
      <c r="AA2505" s="149"/>
      <c r="AB2505" s="149"/>
      <c r="AC2505" s="149"/>
      <c r="AD2505" s="149"/>
      <c r="AE2505" s="149"/>
      <c r="AF2505" s="149"/>
      <c r="AG2505" s="149"/>
      <c r="AH2505" s="149"/>
      <c r="AI2505" s="149"/>
      <c r="AJ2505" s="149"/>
      <c r="AK2505" s="149"/>
      <c r="AL2505" s="149"/>
      <c r="AM2505" s="149"/>
      <c r="AN2505" s="149"/>
      <c r="AO2505" s="128"/>
      <c r="AP2505" s="128"/>
      <c r="AQ2505" s="128"/>
      <c r="AR2505" s="128"/>
      <c r="AS2505" s="128"/>
      <c r="AT2505" s="128"/>
      <c r="AU2505" s="128"/>
      <c r="AV2505" s="128"/>
      <c r="AW2505" s="128"/>
      <c r="AX2505" s="128"/>
      <c r="AY2505" s="128"/>
      <c r="AZ2505" s="128"/>
      <c r="BA2505" s="128"/>
      <c r="BB2505" s="128"/>
      <c r="BC2505" s="128"/>
      <c r="BD2505" s="128"/>
      <c r="BE2505" s="128"/>
      <c r="BF2505" s="128"/>
      <c r="BG2505" s="128"/>
      <c r="BH2505" s="128"/>
      <c r="BI2505" s="128"/>
      <c r="BJ2505" s="128"/>
      <c r="BK2505" s="128"/>
      <c r="BL2505" s="128"/>
      <c r="BM2505" s="151"/>
      <c r="BN2505" s="128"/>
      <c r="BO2505" s="128"/>
      <c r="BP2505" s="128"/>
      <c r="BQ2505" s="128"/>
      <c r="BR2505" s="128"/>
      <c r="BS2505" s="128"/>
      <c r="BT2505" s="128"/>
      <c r="BU2505" s="128"/>
      <c r="BV2505" s="128"/>
      <c r="BW2505" s="128"/>
      <c r="BX2505" s="128"/>
      <c r="BY2505" s="128"/>
      <c r="BZ2505" s="128"/>
      <c r="CA2505" s="128"/>
      <c r="CB2505" s="128"/>
      <c r="CC2505" s="128"/>
      <c r="CD2505" s="128"/>
      <c r="CE2505" s="128"/>
      <c r="CF2505" s="128"/>
      <c r="CG2505" s="128"/>
      <c r="CI2505" s="128"/>
      <c r="CJ2505" s="128"/>
      <c r="CK2505" s="128"/>
      <c r="CL2505" s="128"/>
      <c r="CM2505" s="128"/>
      <c r="CN2505" s="128"/>
      <c r="CO2505" s="128"/>
      <c r="CP2505" s="128"/>
      <c r="CQ2505" s="128"/>
      <c r="CR2505" s="128"/>
      <c r="CS2505" s="128"/>
      <c r="CT2505" s="128"/>
      <c r="CU2505" s="128"/>
      <c r="CV2505" s="128"/>
      <c r="CW2505" s="128"/>
      <c r="CX2505" s="128"/>
      <c r="CY2505" s="128"/>
      <c r="CZ2505" s="165"/>
    </row>
    <row r="2506" spans="1:104">
      <c r="A2506" s="149"/>
      <c r="B2506" s="149"/>
      <c r="C2506" s="150"/>
      <c r="D2506" s="102"/>
      <c r="E2506" s="149"/>
      <c r="F2506" s="149"/>
      <c r="G2506" s="149"/>
      <c r="H2506" s="149"/>
      <c r="I2506" s="149"/>
      <c r="J2506" s="149"/>
      <c r="K2506" s="149"/>
      <c r="L2506" s="149"/>
      <c r="M2506" s="149"/>
      <c r="N2506" s="149"/>
      <c r="O2506" s="149"/>
      <c r="P2506" s="149"/>
      <c r="Q2506" s="149"/>
      <c r="R2506" s="149"/>
      <c r="S2506" s="149"/>
      <c r="T2506" s="149"/>
      <c r="U2506" s="149"/>
      <c r="V2506" s="149"/>
      <c r="W2506" s="149"/>
      <c r="X2506" s="149"/>
      <c r="Y2506" s="149"/>
      <c r="Z2506" s="149"/>
      <c r="AA2506" s="149"/>
      <c r="AB2506" s="149"/>
      <c r="AC2506" s="149"/>
      <c r="AD2506" s="149"/>
      <c r="AE2506" s="149"/>
      <c r="AF2506" s="149"/>
      <c r="AG2506" s="149"/>
      <c r="AH2506" s="149"/>
      <c r="AI2506" s="149"/>
      <c r="AJ2506" s="149"/>
      <c r="AK2506" s="149"/>
      <c r="AL2506" s="149"/>
      <c r="AM2506" s="149"/>
      <c r="AN2506" s="149"/>
      <c r="AO2506" s="128"/>
      <c r="AP2506" s="128"/>
      <c r="AQ2506" s="128"/>
      <c r="AR2506" s="128"/>
      <c r="AS2506" s="128"/>
      <c r="AT2506" s="128"/>
      <c r="AU2506" s="128"/>
      <c r="AV2506" s="128"/>
      <c r="AW2506" s="128"/>
      <c r="AX2506" s="128"/>
      <c r="AY2506" s="128"/>
      <c r="AZ2506" s="128"/>
      <c r="BA2506" s="128"/>
      <c r="BB2506" s="128"/>
      <c r="BC2506" s="128"/>
      <c r="BD2506" s="128"/>
      <c r="BE2506" s="128"/>
      <c r="BF2506" s="128"/>
      <c r="BG2506" s="128"/>
      <c r="BH2506" s="128"/>
      <c r="BI2506" s="128"/>
      <c r="BJ2506" s="128"/>
      <c r="BK2506" s="128"/>
      <c r="BL2506" s="128"/>
      <c r="BM2506" s="151"/>
      <c r="BN2506" s="128"/>
      <c r="BO2506" s="128"/>
      <c r="BP2506" s="128"/>
      <c r="BQ2506" s="128"/>
      <c r="BR2506" s="128"/>
      <c r="BS2506" s="128"/>
      <c r="BT2506" s="128"/>
      <c r="BU2506" s="128"/>
      <c r="BV2506" s="128"/>
      <c r="BW2506" s="128"/>
      <c r="BX2506" s="128"/>
      <c r="BY2506" s="128"/>
      <c r="BZ2506" s="128"/>
      <c r="CA2506" s="128"/>
      <c r="CB2506" s="128"/>
      <c r="CC2506" s="128"/>
      <c r="CD2506" s="128"/>
      <c r="CE2506" s="128"/>
      <c r="CF2506" s="128"/>
      <c r="CG2506" s="128"/>
      <c r="CI2506" s="128"/>
      <c r="CJ2506" s="128"/>
      <c r="CK2506" s="128"/>
      <c r="CL2506" s="128"/>
      <c r="CM2506" s="128"/>
      <c r="CN2506" s="128"/>
      <c r="CO2506" s="128"/>
      <c r="CP2506" s="128"/>
      <c r="CQ2506" s="128"/>
      <c r="CR2506" s="128"/>
      <c r="CS2506" s="128"/>
      <c r="CT2506" s="128"/>
      <c r="CU2506" s="128"/>
      <c r="CV2506" s="128"/>
      <c r="CW2506" s="128"/>
      <c r="CX2506" s="128"/>
      <c r="CY2506" s="128"/>
      <c r="CZ2506" s="165"/>
    </row>
    <row r="2507" spans="1:104">
      <c r="A2507" s="149"/>
      <c r="B2507" s="149"/>
      <c r="C2507" s="150"/>
      <c r="D2507" s="102"/>
      <c r="E2507" s="149"/>
      <c r="F2507" s="149"/>
      <c r="G2507" s="149"/>
      <c r="H2507" s="149"/>
      <c r="I2507" s="149"/>
      <c r="J2507" s="149"/>
      <c r="K2507" s="149"/>
      <c r="L2507" s="149"/>
      <c r="M2507" s="149"/>
      <c r="N2507" s="149"/>
      <c r="O2507" s="149"/>
      <c r="P2507" s="149"/>
      <c r="Q2507" s="149"/>
      <c r="R2507" s="149"/>
      <c r="S2507" s="149"/>
      <c r="T2507" s="149"/>
      <c r="U2507" s="149"/>
      <c r="V2507" s="149"/>
      <c r="W2507" s="149"/>
      <c r="X2507" s="149"/>
      <c r="Y2507" s="149"/>
      <c r="Z2507" s="149"/>
      <c r="AA2507" s="149"/>
      <c r="AB2507" s="149"/>
      <c r="AC2507" s="149"/>
      <c r="AD2507" s="149"/>
      <c r="AE2507" s="149"/>
      <c r="AF2507" s="149"/>
      <c r="AG2507" s="149"/>
      <c r="AH2507" s="149"/>
      <c r="AI2507" s="149"/>
      <c r="AJ2507" s="149"/>
      <c r="AK2507" s="149"/>
      <c r="AL2507" s="149"/>
      <c r="AM2507" s="149"/>
      <c r="AN2507" s="149"/>
      <c r="AO2507" s="128"/>
      <c r="AP2507" s="128"/>
      <c r="AQ2507" s="128"/>
      <c r="AR2507" s="128"/>
      <c r="AS2507" s="128"/>
      <c r="AT2507" s="128"/>
      <c r="AU2507" s="128"/>
      <c r="AV2507" s="128"/>
      <c r="AW2507" s="128"/>
      <c r="AX2507" s="128"/>
      <c r="AY2507" s="128"/>
      <c r="AZ2507" s="128"/>
      <c r="BA2507" s="128"/>
      <c r="BB2507" s="128"/>
      <c r="BC2507" s="128"/>
      <c r="BD2507" s="128"/>
      <c r="BE2507" s="128"/>
      <c r="BF2507" s="128"/>
      <c r="BG2507" s="128"/>
      <c r="BH2507" s="128"/>
      <c r="BI2507" s="128"/>
      <c r="BJ2507" s="128"/>
      <c r="BK2507" s="128"/>
      <c r="BL2507" s="128"/>
      <c r="BM2507" s="151"/>
      <c r="BN2507" s="128"/>
      <c r="BO2507" s="128"/>
      <c r="BP2507" s="128"/>
      <c r="BQ2507" s="128"/>
      <c r="BR2507" s="128"/>
      <c r="BS2507" s="128"/>
      <c r="BT2507" s="128"/>
      <c r="BU2507" s="128"/>
      <c r="BV2507" s="128"/>
      <c r="BW2507" s="128"/>
      <c r="BX2507" s="128"/>
      <c r="BY2507" s="128"/>
      <c r="BZ2507" s="128"/>
      <c r="CA2507" s="128"/>
      <c r="CB2507" s="128"/>
      <c r="CC2507" s="128"/>
      <c r="CD2507" s="128"/>
      <c r="CE2507" s="128"/>
      <c r="CF2507" s="128"/>
      <c r="CG2507" s="128"/>
      <c r="CI2507" s="128"/>
      <c r="CJ2507" s="128"/>
      <c r="CK2507" s="128"/>
      <c r="CL2507" s="128"/>
      <c r="CM2507" s="128"/>
      <c r="CN2507" s="128"/>
      <c r="CO2507" s="128"/>
      <c r="CP2507" s="128"/>
      <c r="CQ2507" s="128"/>
      <c r="CR2507" s="128"/>
      <c r="CS2507" s="128"/>
      <c r="CT2507" s="128"/>
      <c r="CU2507" s="128"/>
      <c r="CV2507" s="128"/>
      <c r="CW2507" s="128"/>
      <c r="CX2507" s="128"/>
      <c r="CY2507" s="128"/>
      <c r="CZ2507" s="165"/>
    </row>
    <row r="2508" spans="1:104">
      <c r="A2508" s="149"/>
      <c r="B2508" s="149"/>
      <c r="C2508" s="150"/>
      <c r="D2508" s="102"/>
      <c r="E2508" s="149"/>
      <c r="F2508" s="149"/>
      <c r="G2508" s="149"/>
      <c r="H2508" s="149"/>
      <c r="I2508" s="149"/>
      <c r="J2508" s="149"/>
      <c r="K2508" s="149"/>
      <c r="L2508" s="149"/>
      <c r="M2508" s="149"/>
      <c r="N2508" s="149"/>
      <c r="O2508" s="149"/>
      <c r="P2508" s="149"/>
      <c r="Q2508" s="149"/>
      <c r="R2508" s="149"/>
      <c r="S2508" s="149"/>
      <c r="T2508" s="149"/>
      <c r="U2508" s="149"/>
      <c r="V2508" s="149"/>
      <c r="W2508" s="149"/>
      <c r="X2508" s="149"/>
      <c r="Y2508" s="149"/>
      <c r="Z2508" s="149"/>
      <c r="AA2508" s="149"/>
      <c r="AB2508" s="149"/>
      <c r="AC2508" s="149"/>
      <c r="AD2508" s="149"/>
      <c r="AE2508" s="149"/>
      <c r="AF2508" s="149"/>
      <c r="AG2508" s="149"/>
      <c r="AH2508" s="149"/>
      <c r="AI2508" s="149"/>
      <c r="AJ2508" s="149"/>
      <c r="AK2508" s="149"/>
      <c r="AL2508" s="149"/>
      <c r="AM2508" s="149"/>
      <c r="AN2508" s="149"/>
      <c r="AO2508" s="128"/>
      <c r="AP2508" s="128"/>
      <c r="AQ2508" s="128"/>
      <c r="AR2508" s="128"/>
      <c r="AS2508" s="128"/>
      <c r="AT2508" s="128"/>
      <c r="AU2508" s="128"/>
      <c r="AV2508" s="128"/>
      <c r="AW2508" s="128"/>
      <c r="AX2508" s="128"/>
      <c r="AY2508" s="128"/>
      <c r="AZ2508" s="128"/>
      <c r="BA2508" s="128"/>
      <c r="BB2508" s="128"/>
      <c r="BC2508" s="128"/>
      <c r="BD2508" s="128"/>
      <c r="BE2508" s="128"/>
      <c r="BF2508" s="128"/>
      <c r="BG2508" s="128"/>
      <c r="BH2508" s="128"/>
      <c r="BI2508" s="128"/>
      <c r="BJ2508" s="128"/>
      <c r="BK2508" s="128"/>
      <c r="BL2508" s="128"/>
      <c r="BM2508" s="151"/>
      <c r="BN2508" s="128"/>
      <c r="BO2508" s="128"/>
      <c r="BP2508" s="128"/>
      <c r="BQ2508" s="128"/>
      <c r="BR2508" s="128"/>
      <c r="BS2508" s="128"/>
      <c r="BT2508" s="128"/>
      <c r="BU2508" s="128"/>
      <c r="BV2508" s="128"/>
      <c r="BW2508" s="128"/>
      <c r="BX2508" s="128"/>
      <c r="BY2508" s="128"/>
      <c r="BZ2508" s="128"/>
      <c r="CA2508" s="128"/>
      <c r="CB2508" s="128"/>
      <c r="CC2508" s="128"/>
      <c r="CD2508" s="128"/>
      <c r="CE2508" s="128"/>
      <c r="CF2508" s="128"/>
      <c r="CG2508" s="128"/>
      <c r="CI2508" s="128"/>
      <c r="CJ2508" s="128"/>
      <c r="CK2508" s="128"/>
      <c r="CL2508" s="128"/>
      <c r="CM2508" s="128"/>
      <c r="CN2508" s="128"/>
      <c r="CO2508" s="128"/>
      <c r="CP2508" s="128"/>
      <c r="CQ2508" s="128"/>
      <c r="CR2508" s="128"/>
      <c r="CS2508" s="128"/>
      <c r="CT2508" s="128"/>
      <c r="CU2508" s="128"/>
      <c r="CV2508" s="128"/>
      <c r="CW2508" s="128"/>
      <c r="CX2508" s="128"/>
      <c r="CY2508" s="128"/>
      <c r="CZ2508" s="165"/>
    </row>
    <row r="2509" spans="1:104">
      <c r="A2509" s="149"/>
      <c r="B2509" s="149"/>
      <c r="C2509" s="150"/>
      <c r="D2509" s="102"/>
      <c r="E2509" s="149"/>
      <c r="F2509" s="149"/>
      <c r="G2509" s="149"/>
      <c r="H2509" s="149"/>
      <c r="I2509" s="149"/>
      <c r="J2509" s="149"/>
      <c r="K2509" s="149"/>
      <c r="L2509" s="149"/>
      <c r="M2509" s="149"/>
      <c r="N2509" s="149"/>
      <c r="O2509" s="149"/>
      <c r="P2509" s="149"/>
      <c r="Q2509" s="149"/>
      <c r="R2509" s="149"/>
      <c r="S2509" s="149"/>
      <c r="T2509" s="149"/>
      <c r="U2509" s="149"/>
      <c r="V2509" s="149"/>
      <c r="W2509" s="149"/>
      <c r="X2509" s="149"/>
      <c r="Y2509" s="149"/>
      <c r="Z2509" s="149"/>
      <c r="AA2509" s="149"/>
      <c r="AB2509" s="149"/>
      <c r="AC2509" s="149"/>
      <c r="AD2509" s="149"/>
      <c r="AE2509" s="149"/>
      <c r="AF2509" s="149"/>
      <c r="AG2509" s="149"/>
      <c r="AH2509" s="149"/>
      <c r="AI2509" s="149"/>
      <c r="AJ2509" s="149"/>
      <c r="AK2509" s="149"/>
      <c r="AL2509" s="149"/>
      <c r="AM2509" s="149"/>
      <c r="AN2509" s="149"/>
      <c r="AO2509" s="128"/>
      <c r="AP2509" s="128"/>
      <c r="AQ2509" s="128"/>
      <c r="AR2509" s="128"/>
      <c r="AS2509" s="128"/>
      <c r="AT2509" s="128"/>
      <c r="AU2509" s="128"/>
      <c r="AV2509" s="128"/>
      <c r="AW2509" s="128"/>
      <c r="AX2509" s="128"/>
      <c r="AY2509" s="128"/>
      <c r="AZ2509" s="128"/>
      <c r="BA2509" s="128"/>
      <c r="BB2509" s="128"/>
      <c r="BC2509" s="128"/>
      <c r="BD2509" s="128"/>
      <c r="BE2509" s="128"/>
      <c r="BF2509" s="128"/>
      <c r="BG2509" s="128"/>
      <c r="BH2509" s="128"/>
      <c r="BI2509" s="128"/>
      <c r="BJ2509" s="128"/>
      <c r="BK2509" s="128"/>
      <c r="BL2509" s="128"/>
      <c r="BM2509" s="151"/>
      <c r="BN2509" s="128"/>
      <c r="BO2509" s="128"/>
      <c r="BP2509" s="128"/>
      <c r="BQ2509" s="128"/>
      <c r="BR2509" s="128"/>
      <c r="BS2509" s="128"/>
      <c r="BT2509" s="128"/>
      <c r="BU2509" s="128"/>
      <c r="BV2509" s="128"/>
      <c r="BW2509" s="128"/>
      <c r="BX2509" s="128"/>
      <c r="BY2509" s="128"/>
      <c r="BZ2509" s="128"/>
      <c r="CA2509" s="128"/>
      <c r="CB2509" s="128"/>
      <c r="CC2509" s="128"/>
      <c r="CD2509" s="128"/>
      <c r="CE2509" s="128"/>
      <c r="CF2509" s="128"/>
      <c r="CG2509" s="128"/>
      <c r="CI2509" s="128"/>
      <c r="CJ2509" s="128"/>
      <c r="CK2509" s="128"/>
      <c r="CL2509" s="128"/>
      <c r="CM2509" s="128"/>
      <c r="CN2509" s="128"/>
      <c r="CO2509" s="128"/>
      <c r="CP2509" s="128"/>
      <c r="CQ2509" s="128"/>
      <c r="CR2509" s="128"/>
      <c r="CS2509" s="128"/>
      <c r="CT2509" s="128"/>
      <c r="CU2509" s="128"/>
      <c r="CV2509" s="128"/>
      <c r="CW2509" s="128"/>
      <c r="CX2509" s="128"/>
      <c r="CY2509" s="128"/>
      <c r="CZ2509" s="165"/>
    </row>
    <row r="2510" spans="1:104">
      <c r="A2510" s="149"/>
      <c r="B2510" s="149"/>
      <c r="C2510" s="150"/>
      <c r="D2510" s="102"/>
      <c r="E2510" s="149"/>
      <c r="F2510" s="149"/>
      <c r="G2510" s="149"/>
      <c r="H2510" s="149"/>
      <c r="I2510" s="149"/>
      <c r="J2510" s="149"/>
      <c r="K2510" s="149"/>
      <c r="L2510" s="149"/>
      <c r="M2510" s="149"/>
      <c r="N2510" s="149"/>
      <c r="O2510" s="149"/>
      <c r="P2510" s="149"/>
      <c r="Q2510" s="149"/>
      <c r="R2510" s="149"/>
      <c r="S2510" s="149"/>
      <c r="T2510" s="149"/>
      <c r="U2510" s="149"/>
      <c r="V2510" s="149"/>
      <c r="W2510" s="149"/>
      <c r="X2510" s="149"/>
      <c r="Y2510" s="149"/>
      <c r="Z2510" s="149"/>
      <c r="AA2510" s="149"/>
      <c r="AB2510" s="149"/>
      <c r="AC2510" s="149"/>
      <c r="AD2510" s="149"/>
      <c r="AE2510" s="149"/>
      <c r="AF2510" s="149"/>
      <c r="AG2510" s="149"/>
      <c r="AH2510" s="149"/>
      <c r="AI2510" s="149"/>
      <c r="AJ2510" s="149"/>
      <c r="AK2510" s="149"/>
      <c r="AL2510" s="149"/>
      <c r="AM2510" s="149"/>
      <c r="AN2510" s="149"/>
      <c r="AO2510" s="128"/>
      <c r="AP2510" s="128"/>
      <c r="AQ2510" s="128"/>
      <c r="AR2510" s="128"/>
      <c r="AS2510" s="128"/>
      <c r="AT2510" s="128"/>
      <c r="AU2510" s="128"/>
      <c r="AV2510" s="128"/>
      <c r="AW2510" s="128"/>
      <c r="AX2510" s="128"/>
      <c r="AY2510" s="128"/>
      <c r="AZ2510" s="128"/>
      <c r="BA2510" s="128"/>
      <c r="BB2510" s="128"/>
      <c r="BC2510" s="128"/>
      <c r="BD2510" s="128"/>
      <c r="BE2510" s="128"/>
      <c r="BF2510" s="128"/>
      <c r="BG2510" s="128"/>
      <c r="BH2510" s="128"/>
      <c r="BI2510" s="128"/>
      <c r="BJ2510" s="128"/>
      <c r="BK2510" s="128"/>
      <c r="BL2510" s="128"/>
      <c r="BM2510" s="151"/>
      <c r="BN2510" s="128"/>
      <c r="BO2510" s="128"/>
      <c r="BP2510" s="128"/>
      <c r="BQ2510" s="128"/>
      <c r="BR2510" s="128"/>
      <c r="BS2510" s="128"/>
      <c r="BT2510" s="128"/>
      <c r="BU2510" s="128"/>
      <c r="BV2510" s="128"/>
      <c r="BW2510" s="128"/>
      <c r="BX2510" s="128"/>
      <c r="BY2510" s="128"/>
      <c r="BZ2510" s="128"/>
      <c r="CA2510" s="128"/>
      <c r="CB2510" s="128"/>
      <c r="CC2510" s="128"/>
      <c r="CD2510" s="128"/>
      <c r="CE2510" s="128"/>
      <c r="CF2510" s="128"/>
      <c r="CG2510" s="128"/>
      <c r="CI2510" s="128"/>
      <c r="CJ2510" s="128"/>
      <c r="CK2510" s="128"/>
      <c r="CL2510" s="128"/>
      <c r="CM2510" s="128"/>
      <c r="CN2510" s="128"/>
      <c r="CO2510" s="128"/>
      <c r="CP2510" s="128"/>
      <c r="CQ2510" s="128"/>
      <c r="CR2510" s="128"/>
      <c r="CS2510" s="128"/>
      <c r="CT2510" s="128"/>
      <c r="CU2510" s="128"/>
      <c r="CV2510" s="128"/>
      <c r="CW2510" s="128"/>
      <c r="CX2510" s="128"/>
      <c r="CY2510" s="128"/>
      <c r="CZ2510" s="165"/>
    </row>
    <row r="2511" spans="1:104">
      <c r="A2511" s="149"/>
      <c r="B2511" s="149"/>
      <c r="C2511" s="150"/>
      <c r="D2511" s="102"/>
      <c r="E2511" s="149"/>
      <c r="F2511" s="149"/>
      <c r="G2511" s="149"/>
      <c r="H2511" s="149"/>
      <c r="I2511" s="149"/>
      <c r="J2511" s="149"/>
      <c r="K2511" s="149"/>
      <c r="L2511" s="149"/>
      <c r="M2511" s="149"/>
      <c r="N2511" s="149"/>
      <c r="O2511" s="149"/>
      <c r="P2511" s="149"/>
      <c r="Q2511" s="149"/>
      <c r="R2511" s="149"/>
      <c r="S2511" s="149"/>
      <c r="T2511" s="149"/>
      <c r="U2511" s="149"/>
      <c r="V2511" s="149"/>
      <c r="W2511" s="149"/>
      <c r="X2511" s="149"/>
      <c r="Y2511" s="149"/>
      <c r="Z2511" s="149"/>
      <c r="AA2511" s="149"/>
      <c r="AB2511" s="149"/>
      <c r="AC2511" s="149"/>
      <c r="AD2511" s="149"/>
      <c r="AE2511" s="149"/>
      <c r="AF2511" s="149"/>
      <c r="AG2511" s="149"/>
      <c r="AH2511" s="149"/>
      <c r="AI2511" s="149"/>
      <c r="AJ2511" s="149"/>
      <c r="AK2511" s="149"/>
      <c r="AL2511" s="149"/>
      <c r="AM2511" s="149"/>
      <c r="AN2511" s="149"/>
      <c r="AO2511" s="128"/>
      <c r="AP2511" s="128"/>
      <c r="AQ2511" s="128"/>
      <c r="AR2511" s="128"/>
      <c r="AS2511" s="128"/>
      <c r="AT2511" s="128"/>
      <c r="AU2511" s="128"/>
      <c r="AV2511" s="128"/>
      <c r="AW2511" s="128"/>
      <c r="AX2511" s="128"/>
      <c r="AY2511" s="128"/>
      <c r="AZ2511" s="128"/>
      <c r="BA2511" s="128"/>
      <c r="BB2511" s="128"/>
      <c r="BC2511" s="128"/>
      <c r="BD2511" s="128"/>
      <c r="BE2511" s="128"/>
      <c r="BF2511" s="128"/>
      <c r="BG2511" s="128"/>
      <c r="BH2511" s="128"/>
      <c r="BI2511" s="128"/>
      <c r="BJ2511" s="128"/>
      <c r="BK2511" s="128"/>
      <c r="BL2511" s="128"/>
      <c r="BM2511" s="151"/>
      <c r="BN2511" s="128"/>
      <c r="BO2511" s="128"/>
      <c r="BP2511" s="128"/>
      <c r="BQ2511" s="128"/>
      <c r="BR2511" s="128"/>
      <c r="BS2511" s="128"/>
      <c r="BT2511" s="128"/>
      <c r="BU2511" s="128"/>
      <c r="BV2511" s="128"/>
      <c r="BW2511" s="128"/>
      <c r="BX2511" s="128"/>
      <c r="BY2511" s="128"/>
      <c r="BZ2511" s="128"/>
      <c r="CA2511" s="128"/>
      <c r="CB2511" s="128"/>
      <c r="CC2511" s="128"/>
      <c r="CD2511" s="128"/>
      <c r="CE2511" s="128"/>
      <c r="CF2511" s="128"/>
      <c r="CG2511" s="128"/>
      <c r="CI2511" s="128"/>
      <c r="CJ2511" s="128"/>
      <c r="CK2511" s="128"/>
      <c r="CL2511" s="128"/>
      <c r="CM2511" s="128"/>
      <c r="CN2511" s="128"/>
      <c r="CO2511" s="128"/>
      <c r="CP2511" s="128"/>
      <c r="CQ2511" s="128"/>
      <c r="CR2511" s="128"/>
      <c r="CS2511" s="128"/>
      <c r="CT2511" s="128"/>
      <c r="CU2511" s="128"/>
      <c r="CV2511" s="128"/>
      <c r="CW2511" s="128"/>
      <c r="CX2511" s="128"/>
      <c r="CY2511" s="128"/>
      <c r="CZ2511" s="165"/>
    </row>
    <row r="2512" spans="1:104">
      <c r="A2512" s="149"/>
      <c r="B2512" s="149"/>
      <c r="C2512" s="150"/>
      <c r="D2512" s="102"/>
      <c r="E2512" s="149"/>
      <c r="F2512" s="149"/>
      <c r="G2512" s="149"/>
      <c r="H2512" s="149"/>
      <c r="I2512" s="149"/>
      <c r="J2512" s="149"/>
      <c r="K2512" s="149"/>
      <c r="L2512" s="149"/>
      <c r="M2512" s="149"/>
      <c r="N2512" s="149"/>
      <c r="O2512" s="149"/>
      <c r="P2512" s="149"/>
      <c r="Q2512" s="149"/>
      <c r="R2512" s="149"/>
      <c r="S2512" s="149"/>
      <c r="T2512" s="149"/>
      <c r="U2512" s="149"/>
      <c r="V2512" s="149"/>
      <c r="W2512" s="149"/>
      <c r="X2512" s="149"/>
      <c r="Y2512" s="149"/>
      <c r="Z2512" s="149"/>
      <c r="AA2512" s="149"/>
      <c r="AB2512" s="149"/>
      <c r="AC2512" s="149"/>
      <c r="AD2512" s="149"/>
      <c r="AE2512" s="149"/>
      <c r="AF2512" s="149"/>
      <c r="AG2512" s="149"/>
      <c r="AH2512" s="149"/>
      <c r="AI2512" s="149"/>
      <c r="AJ2512" s="149"/>
      <c r="AK2512" s="149"/>
      <c r="AL2512" s="149"/>
      <c r="AM2512" s="149"/>
      <c r="AN2512" s="149"/>
      <c r="AO2512" s="128"/>
      <c r="AP2512" s="128"/>
      <c r="AQ2512" s="128"/>
      <c r="AR2512" s="128"/>
      <c r="AS2512" s="128"/>
      <c r="AT2512" s="128"/>
      <c r="AU2512" s="128"/>
      <c r="AV2512" s="128"/>
      <c r="AW2512" s="128"/>
      <c r="AX2512" s="128"/>
      <c r="AY2512" s="128"/>
      <c r="AZ2512" s="128"/>
      <c r="BA2512" s="128"/>
      <c r="BB2512" s="128"/>
      <c r="BC2512" s="128"/>
      <c r="BD2512" s="128"/>
      <c r="BE2512" s="128"/>
      <c r="BF2512" s="128"/>
      <c r="BG2512" s="128"/>
      <c r="BH2512" s="128"/>
      <c r="BI2512" s="128"/>
      <c r="BJ2512" s="128"/>
      <c r="BK2512" s="128"/>
      <c r="BL2512" s="128"/>
      <c r="BM2512" s="151"/>
      <c r="BN2512" s="128"/>
      <c r="BO2512" s="128"/>
      <c r="BP2512" s="128"/>
      <c r="BQ2512" s="128"/>
      <c r="BR2512" s="128"/>
      <c r="BS2512" s="128"/>
      <c r="BT2512" s="128"/>
      <c r="BU2512" s="128"/>
      <c r="BV2512" s="128"/>
      <c r="BW2512" s="128"/>
      <c r="BX2512" s="128"/>
      <c r="BY2512" s="128"/>
      <c r="BZ2512" s="128"/>
      <c r="CA2512" s="128"/>
      <c r="CB2512" s="128"/>
      <c r="CC2512" s="128"/>
      <c r="CD2512" s="128"/>
      <c r="CE2512" s="128"/>
      <c r="CF2512" s="128"/>
      <c r="CG2512" s="128"/>
      <c r="CI2512" s="128"/>
      <c r="CJ2512" s="128"/>
      <c r="CK2512" s="128"/>
      <c r="CL2512" s="128"/>
      <c r="CM2512" s="128"/>
      <c r="CN2512" s="128"/>
      <c r="CO2512" s="128"/>
      <c r="CP2512" s="128"/>
      <c r="CQ2512" s="128"/>
      <c r="CR2512" s="128"/>
      <c r="CS2512" s="128"/>
      <c r="CT2512" s="128"/>
      <c r="CU2512" s="128"/>
      <c r="CV2512" s="128"/>
      <c r="CW2512" s="128"/>
      <c r="CX2512" s="128"/>
      <c r="CY2512" s="128"/>
      <c r="CZ2512" s="165"/>
    </row>
    <row r="2513" spans="1:104">
      <c r="A2513" s="149"/>
      <c r="B2513" s="149"/>
      <c r="C2513" s="150"/>
      <c r="D2513" s="102"/>
      <c r="E2513" s="149"/>
      <c r="F2513" s="149"/>
      <c r="G2513" s="149"/>
      <c r="H2513" s="149"/>
      <c r="I2513" s="149"/>
      <c r="J2513" s="149"/>
      <c r="K2513" s="149"/>
      <c r="L2513" s="149"/>
      <c r="M2513" s="149"/>
      <c r="N2513" s="149"/>
      <c r="O2513" s="149"/>
      <c r="P2513" s="149"/>
      <c r="Q2513" s="149"/>
      <c r="R2513" s="149"/>
      <c r="S2513" s="149"/>
      <c r="T2513" s="149"/>
      <c r="U2513" s="149"/>
      <c r="V2513" s="149"/>
      <c r="W2513" s="149"/>
      <c r="X2513" s="149"/>
      <c r="Y2513" s="149"/>
      <c r="Z2513" s="149"/>
      <c r="AA2513" s="149"/>
      <c r="AB2513" s="149"/>
      <c r="AC2513" s="149"/>
      <c r="AD2513" s="149"/>
      <c r="AE2513" s="149"/>
      <c r="AF2513" s="149"/>
      <c r="AG2513" s="149"/>
      <c r="AH2513" s="149"/>
      <c r="AI2513" s="149"/>
      <c r="AJ2513" s="149"/>
      <c r="AK2513" s="149"/>
      <c r="AL2513" s="149"/>
      <c r="AM2513" s="149"/>
      <c r="AN2513" s="149"/>
      <c r="AO2513" s="128"/>
      <c r="AP2513" s="128"/>
      <c r="AQ2513" s="128"/>
      <c r="AR2513" s="128"/>
      <c r="AS2513" s="128"/>
      <c r="AT2513" s="128"/>
      <c r="AU2513" s="128"/>
      <c r="AV2513" s="128"/>
      <c r="AW2513" s="128"/>
      <c r="AX2513" s="128"/>
      <c r="AY2513" s="128"/>
      <c r="AZ2513" s="128"/>
      <c r="BA2513" s="128"/>
      <c r="BB2513" s="128"/>
      <c r="BC2513" s="128"/>
      <c r="BD2513" s="128"/>
      <c r="BE2513" s="128"/>
      <c r="BF2513" s="128"/>
      <c r="BG2513" s="128"/>
      <c r="BH2513" s="128"/>
      <c r="BI2513" s="128"/>
      <c r="BJ2513" s="128"/>
      <c r="BK2513" s="128"/>
      <c r="BL2513" s="128"/>
      <c r="BM2513" s="151"/>
      <c r="BN2513" s="128"/>
      <c r="BO2513" s="128"/>
      <c r="BP2513" s="128"/>
      <c r="BQ2513" s="128"/>
      <c r="BR2513" s="128"/>
      <c r="BS2513" s="128"/>
      <c r="BT2513" s="128"/>
      <c r="BU2513" s="128"/>
      <c r="BV2513" s="128"/>
      <c r="BW2513" s="128"/>
      <c r="BX2513" s="128"/>
      <c r="BY2513" s="128"/>
      <c r="BZ2513" s="128"/>
      <c r="CA2513" s="128"/>
      <c r="CB2513" s="128"/>
      <c r="CC2513" s="128"/>
      <c r="CD2513" s="128"/>
      <c r="CE2513" s="128"/>
      <c r="CF2513" s="128"/>
      <c r="CG2513" s="128"/>
      <c r="CI2513" s="128"/>
      <c r="CJ2513" s="128"/>
      <c r="CK2513" s="128"/>
      <c r="CL2513" s="128"/>
      <c r="CM2513" s="128"/>
      <c r="CN2513" s="128"/>
      <c r="CO2513" s="128"/>
      <c r="CP2513" s="128"/>
      <c r="CQ2513" s="128"/>
      <c r="CR2513" s="128"/>
      <c r="CS2513" s="128"/>
      <c r="CT2513" s="128"/>
      <c r="CU2513" s="128"/>
      <c r="CV2513" s="128"/>
      <c r="CW2513" s="128"/>
      <c r="CX2513" s="128"/>
      <c r="CY2513" s="128"/>
      <c r="CZ2513" s="165"/>
    </row>
    <row r="2514" spans="1:104">
      <c r="A2514" s="149"/>
      <c r="B2514" s="149"/>
      <c r="C2514" s="150"/>
      <c r="D2514" s="102"/>
      <c r="E2514" s="149"/>
      <c r="F2514" s="149"/>
      <c r="G2514" s="149"/>
      <c r="H2514" s="149"/>
      <c r="I2514" s="149"/>
      <c r="J2514" s="149"/>
      <c r="K2514" s="149"/>
      <c r="L2514" s="149"/>
      <c r="M2514" s="149"/>
      <c r="N2514" s="149"/>
      <c r="O2514" s="149"/>
      <c r="P2514" s="149"/>
      <c r="Q2514" s="149"/>
      <c r="R2514" s="149"/>
      <c r="S2514" s="149"/>
      <c r="T2514" s="149"/>
      <c r="U2514" s="149"/>
      <c r="V2514" s="149"/>
      <c r="W2514" s="149"/>
      <c r="X2514" s="149"/>
      <c r="Y2514" s="149"/>
      <c r="Z2514" s="149"/>
      <c r="AA2514" s="149"/>
      <c r="AB2514" s="149"/>
      <c r="AC2514" s="149"/>
      <c r="AD2514" s="149"/>
      <c r="AE2514" s="149"/>
      <c r="AF2514" s="149"/>
      <c r="AG2514" s="149"/>
      <c r="AH2514" s="149"/>
      <c r="AI2514" s="149"/>
      <c r="AJ2514" s="149"/>
      <c r="AK2514" s="149"/>
      <c r="AL2514" s="149"/>
      <c r="AM2514" s="149"/>
      <c r="AN2514" s="149"/>
      <c r="AO2514" s="128"/>
      <c r="AP2514" s="128"/>
      <c r="AQ2514" s="128"/>
      <c r="AR2514" s="128"/>
      <c r="AS2514" s="128"/>
      <c r="AT2514" s="128"/>
      <c r="AU2514" s="128"/>
      <c r="AV2514" s="128"/>
      <c r="AW2514" s="128"/>
      <c r="AX2514" s="128"/>
      <c r="AY2514" s="128"/>
      <c r="AZ2514" s="128"/>
      <c r="BA2514" s="128"/>
      <c r="BB2514" s="128"/>
      <c r="BC2514" s="128"/>
      <c r="BD2514" s="128"/>
      <c r="BE2514" s="128"/>
      <c r="BF2514" s="128"/>
      <c r="BG2514" s="128"/>
      <c r="BH2514" s="128"/>
      <c r="BI2514" s="128"/>
      <c r="BJ2514" s="128"/>
      <c r="BK2514" s="128"/>
      <c r="BL2514" s="128"/>
      <c r="BM2514" s="151"/>
      <c r="BN2514" s="128"/>
      <c r="BO2514" s="128"/>
      <c r="BP2514" s="128"/>
      <c r="BQ2514" s="128"/>
      <c r="BR2514" s="128"/>
      <c r="BS2514" s="128"/>
      <c r="BT2514" s="128"/>
      <c r="BU2514" s="128"/>
      <c r="BV2514" s="128"/>
      <c r="BW2514" s="128"/>
      <c r="BX2514" s="128"/>
      <c r="BY2514" s="128"/>
      <c r="BZ2514" s="128"/>
      <c r="CA2514" s="128"/>
      <c r="CB2514" s="128"/>
      <c r="CC2514" s="128"/>
      <c r="CD2514" s="128"/>
      <c r="CE2514" s="128"/>
      <c r="CF2514" s="128"/>
      <c r="CG2514" s="128"/>
      <c r="CI2514" s="128"/>
      <c r="CJ2514" s="128"/>
      <c r="CK2514" s="128"/>
      <c r="CL2514" s="128"/>
      <c r="CM2514" s="128"/>
      <c r="CN2514" s="128"/>
      <c r="CO2514" s="128"/>
      <c r="CP2514" s="128"/>
      <c r="CQ2514" s="128"/>
      <c r="CR2514" s="128"/>
      <c r="CS2514" s="128"/>
      <c r="CT2514" s="128"/>
      <c r="CU2514" s="128"/>
      <c r="CV2514" s="128"/>
      <c r="CW2514" s="128"/>
      <c r="CX2514" s="128"/>
      <c r="CY2514" s="128"/>
      <c r="CZ2514" s="165"/>
    </row>
    <row r="2515" spans="1:104">
      <c r="A2515" s="149"/>
      <c r="B2515" s="149"/>
      <c r="C2515" s="150"/>
      <c r="D2515" s="102"/>
      <c r="E2515" s="149"/>
      <c r="F2515" s="149"/>
      <c r="G2515" s="149"/>
      <c r="H2515" s="149"/>
      <c r="I2515" s="149"/>
      <c r="J2515" s="149"/>
      <c r="K2515" s="149"/>
      <c r="L2515" s="149"/>
      <c r="M2515" s="149"/>
      <c r="N2515" s="149"/>
      <c r="O2515" s="149"/>
      <c r="P2515" s="149"/>
      <c r="Q2515" s="149"/>
      <c r="R2515" s="149"/>
      <c r="S2515" s="149"/>
      <c r="T2515" s="149"/>
      <c r="U2515" s="149"/>
      <c r="V2515" s="149"/>
      <c r="W2515" s="149"/>
      <c r="X2515" s="149"/>
      <c r="Y2515" s="149"/>
      <c r="Z2515" s="149"/>
      <c r="AA2515" s="149"/>
      <c r="AB2515" s="149"/>
      <c r="AC2515" s="149"/>
      <c r="AD2515" s="149"/>
      <c r="AE2515" s="149"/>
      <c r="AF2515" s="149"/>
      <c r="AG2515" s="149"/>
      <c r="AH2515" s="149"/>
      <c r="AI2515" s="149"/>
      <c r="AJ2515" s="149"/>
      <c r="AK2515" s="149"/>
      <c r="AL2515" s="149"/>
      <c r="AM2515" s="149"/>
      <c r="AN2515" s="149"/>
      <c r="AO2515" s="128"/>
      <c r="AP2515" s="128"/>
      <c r="AQ2515" s="128"/>
      <c r="AR2515" s="128"/>
      <c r="AS2515" s="128"/>
      <c r="AT2515" s="128"/>
      <c r="AU2515" s="128"/>
      <c r="AV2515" s="128"/>
      <c r="AW2515" s="128"/>
      <c r="AX2515" s="128"/>
      <c r="AY2515" s="128"/>
      <c r="AZ2515" s="128"/>
      <c r="BA2515" s="128"/>
      <c r="BB2515" s="128"/>
      <c r="BC2515" s="128"/>
      <c r="BD2515" s="128"/>
      <c r="BE2515" s="128"/>
      <c r="BF2515" s="128"/>
      <c r="BG2515" s="128"/>
      <c r="BH2515" s="128"/>
      <c r="BI2515" s="128"/>
      <c r="BJ2515" s="128"/>
      <c r="BK2515" s="128"/>
      <c r="BL2515" s="128"/>
      <c r="BM2515" s="151"/>
      <c r="BN2515" s="128"/>
      <c r="BO2515" s="128"/>
      <c r="BP2515" s="128"/>
      <c r="BQ2515" s="128"/>
      <c r="BR2515" s="128"/>
      <c r="BS2515" s="128"/>
      <c r="BT2515" s="128"/>
      <c r="BU2515" s="128"/>
      <c r="BV2515" s="128"/>
      <c r="BW2515" s="128"/>
      <c r="BX2515" s="128"/>
      <c r="BY2515" s="128"/>
      <c r="BZ2515" s="128"/>
      <c r="CA2515" s="128"/>
      <c r="CB2515" s="128"/>
      <c r="CC2515" s="128"/>
      <c r="CD2515" s="128"/>
      <c r="CE2515" s="128"/>
      <c r="CF2515" s="128"/>
      <c r="CG2515" s="128"/>
      <c r="CI2515" s="128"/>
      <c r="CJ2515" s="128"/>
      <c r="CK2515" s="128"/>
      <c r="CL2515" s="128"/>
      <c r="CM2515" s="128"/>
      <c r="CN2515" s="128"/>
      <c r="CO2515" s="128"/>
      <c r="CP2515" s="128"/>
      <c r="CQ2515" s="128"/>
      <c r="CR2515" s="128"/>
      <c r="CS2515" s="128"/>
      <c r="CT2515" s="128"/>
      <c r="CU2515" s="128"/>
      <c r="CV2515" s="128"/>
      <c r="CW2515" s="128"/>
      <c r="CX2515" s="128"/>
      <c r="CY2515" s="128"/>
      <c r="CZ2515" s="165"/>
    </row>
    <row r="2516" spans="1:104">
      <c r="A2516" s="149"/>
      <c r="B2516" s="149"/>
      <c r="C2516" s="150"/>
      <c r="D2516" s="102"/>
      <c r="E2516" s="149"/>
      <c r="F2516" s="149"/>
      <c r="G2516" s="149"/>
      <c r="H2516" s="149"/>
      <c r="I2516" s="149"/>
      <c r="J2516" s="149"/>
      <c r="K2516" s="149"/>
      <c r="L2516" s="149"/>
      <c r="M2516" s="149"/>
      <c r="N2516" s="149"/>
      <c r="O2516" s="149"/>
      <c r="P2516" s="149"/>
      <c r="Q2516" s="149"/>
      <c r="R2516" s="149"/>
      <c r="S2516" s="149"/>
      <c r="T2516" s="149"/>
      <c r="U2516" s="149"/>
      <c r="V2516" s="149"/>
      <c r="W2516" s="149"/>
      <c r="X2516" s="149"/>
      <c r="Y2516" s="149"/>
      <c r="Z2516" s="149"/>
      <c r="AA2516" s="149"/>
      <c r="AB2516" s="149"/>
      <c r="AC2516" s="149"/>
      <c r="AD2516" s="149"/>
      <c r="AE2516" s="149"/>
      <c r="AF2516" s="149"/>
      <c r="AG2516" s="149"/>
      <c r="AH2516" s="149"/>
      <c r="AI2516" s="149"/>
      <c r="AJ2516" s="149"/>
      <c r="AK2516" s="149"/>
      <c r="AL2516" s="149"/>
      <c r="AM2516" s="149"/>
      <c r="AN2516" s="149"/>
      <c r="AO2516" s="128"/>
      <c r="AP2516" s="128"/>
      <c r="AQ2516" s="128"/>
      <c r="AR2516" s="128"/>
      <c r="AS2516" s="128"/>
      <c r="AT2516" s="128"/>
      <c r="AU2516" s="128"/>
      <c r="AV2516" s="128"/>
      <c r="AW2516" s="128"/>
      <c r="AX2516" s="128"/>
      <c r="AY2516" s="128"/>
      <c r="AZ2516" s="128"/>
      <c r="BA2516" s="128"/>
      <c r="BB2516" s="128"/>
      <c r="BC2516" s="128"/>
      <c r="BD2516" s="128"/>
      <c r="BE2516" s="128"/>
      <c r="BF2516" s="128"/>
      <c r="BG2516" s="128"/>
      <c r="BH2516" s="128"/>
      <c r="BI2516" s="128"/>
      <c r="BJ2516" s="128"/>
      <c r="BK2516" s="128"/>
      <c r="BL2516" s="128"/>
      <c r="BM2516" s="151"/>
      <c r="BN2516" s="128"/>
      <c r="BO2516" s="128"/>
      <c r="BP2516" s="128"/>
      <c r="BQ2516" s="128"/>
      <c r="BR2516" s="128"/>
      <c r="BS2516" s="128"/>
      <c r="BT2516" s="128"/>
      <c r="BU2516" s="128"/>
      <c r="BV2516" s="128"/>
      <c r="BW2516" s="128"/>
      <c r="BX2516" s="128"/>
      <c r="BY2516" s="128"/>
      <c r="BZ2516" s="128"/>
      <c r="CA2516" s="128"/>
      <c r="CB2516" s="128"/>
      <c r="CC2516" s="128"/>
      <c r="CD2516" s="128"/>
      <c r="CE2516" s="128"/>
      <c r="CF2516" s="128"/>
      <c r="CG2516" s="128"/>
      <c r="CI2516" s="128"/>
      <c r="CJ2516" s="128"/>
      <c r="CK2516" s="128"/>
      <c r="CL2516" s="128"/>
      <c r="CM2516" s="128"/>
      <c r="CN2516" s="128"/>
      <c r="CO2516" s="128"/>
      <c r="CP2516" s="128"/>
      <c r="CQ2516" s="128"/>
      <c r="CR2516" s="128"/>
      <c r="CS2516" s="128"/>
      <c r="CT2516" s="128"/>
      <c r="CU2516" s="128"/>
      <c r="CV2516" s="128"/>
      <c r="CW2516" s="128"/>
      <c r="CX2516" s="128"/>
      <c r="CY2516" s="128"/>
      <c r="CZ2516" s="165"/>
    </row>
    <row r="2517" spans="1:104">
      <c r="A2517" s="149"/>
      <c r="B2517" s="149"/>
      <c r="C2517" s="150"/>
      <c r="D2517" s="102"/>
      <c r="E2517" s="149"/>
      <c r="F2517" s="149"/>
      <c r="G2517" s="149"/>
      <c r="H2517" s="149"/>
      <c r="I2517" s="149"/>
      <c r="J2517" s="149"/>
      <c r="K2517" s="149"/>
      <c r="L2517" s="149"/>
      <c r="M2517" s="149"/>
      <c r="N2517" s="149"/>
      <c r="O2517" s="149"/>
      <c r="P2517" s="149"/>
      <c r="Q2517" s="149"/>
      <c r="R2517" s="149"/>
      <c r="S2517" s="149"/>
      <c r="T2517" s="149"/>
      <c r="U2517" s="149"/>
      <c r="V2517" s="149"/>
      <c r="W2517" s="149"/>
      <c r="X2517" s="149"/>
      <c r="Y2517" s="149"/>
      <c r="Z2517" s="149"/>
      <c r="AA2517" s="149"/>
      <c r="AB2517" s="149"/>
      <c r="AC2517" s="149"/>
      <c r="AD2517" s="149"/>
      <c r="AE2517" s="149"/>
      <c r="AF2517" s="149"/>
      <c r="AG2517" s="149"/>
      <c r="AH2517" s="149"/>
      <c r="AI2517" s="149"/>
      <c r="AJ2517" s="149"/>
      <c r="AK2517" s="149"/>
      <c r="AL2517" s="149"/>
      <c r="AM2517" s="149"/>
      <c r="AN2517" s="149"/>
      <c r="AO2517" s="128"/>
      <c r="AP2517" s="128"/>
      <c r="AQ2517" s="128"/>
      <c r="AR2517" s="128"/>
      <c r="AS2517" s="128"/>
      <c r="AT2517" s="128"/>
      <c r="AU2517" s="128"/>
      <c r="AV2517" s="128"/>
      <c r="AW2517" s="128"/>
      <c r="AX2517" s="128"/>
      <c r="AY2517" s="128"/>
      <c r="AZ2517" s="128"/>
      <c r="BA2517" s="128"/>
      <c r="BB2517" s="128"/>
      <c r="BC2517" s="128"/>
      <c r="BD2517" s="128"/>
      <c r="BE2517" s="128"/>
      <c r="BF2517" s="128"/>
      <c r="BG2517" s="128"/>
      <c r="BH2517" s="128"/>
      <c r="BI2517" s="128"/>
      <c r="BJ2517" s="128"/>
      <c r="BK2517" s="128"/>
      <c r="BL2517" s="128"/>
      <c r="BM2517" s="151"/>
      <c r="BN2517" s="128"/>
      <c r="BO2517" s="128"/>
      <c r="BP2517" s="128"/>
      <c r="BQ2517" s="128"/>
      <c r="BR2517" s="128"/>
      <c r="BS2517" s="128"/>
      <c r="BT2517" s="128"/>
      <c r="BU2517" s="128"/>
      <c r="BV2517" s="128"/>
      <c r="BW2517" s="128"/>
      <c r="BX2517" s="128"/>
      <c r="BY2517" s="128"/>
      <c r="BZ2517" s="128"/>
      <c r="CA2517" s="128"/>
      <c r="CB2517" s="128"/>
      <c r="CC2517" s="128"/>
      <c r="CD2517" s="128"/>
      <c r="CE2517" s="128"/>
      <c r="CF2517" s="128"/>
      <c r="CG2517" s="128"/>
      <c r="CI2517" s="128"/>
      <c r="CJ2517" s="128"/>
      <c r="CK2517" s="128"/>
      <c r="CL2517" s="128"/>
      <c r="CM2517" s="128"/>
      <c r="CN2517" s="128"/>
      <c r="CO2517" s="128"/>
      <c r="CP2517" s="128"/>
      <c r="CQ2517" s="128"/>
      <c r="CR2517" s="128"/>
      <c r="CS2517" s="128"/>
      <c r="CT2517" s="128"/>
      <c r="CU2517" s="128"/>
      <c r="CV2517" s="128"/>
      <c r="CW2517" s="128"/>
      <c r="CX2517" s="128"/>
      <c r="CY2517" s="128"/>
      <c r="CZ2517" s="165"/>
    </row>
    <row r="2518" spans="1:104">
      <c r="A2518" s="149"/>
      <c r="B2518" s="149"/>
      <c r="C2518" s="150"/>
      <c r="D2518" s="102"/>
      <c r="E2518" s="149"/>
      <c r="F2518" s="149"/>
      <c r="G2518" s="149"/>
      <c r="H2518" s="149"/>
      <c r="I2518" s="149"/>
      <c r="J2518" s="149"/>
      <c r="K2518" s="149"/>
      <c r="L2518" s="149"/>
      <c r="M2518" s="149"/>
      <c r="N2518" s="149"/>
      <c r="O2518" s="149"/>
      <c r="P2518" s="149"/>
      <c r="Q2518" s="149"/>
      <c r="R2518" s="149"/>
      <c r="S2518" s="149"/>
      <c r="T2518" s="149"/>
      <c r="U2518" s="149"/>
      <c r="V2518" s="149"/>
      <c r="W2518" s="149"/>
      <c r="X2518" s="149"/>
      <c r="Y2518" s="149"/>
      <c r="Z2518" s="149"/>
      <c r="AA2518" s="149"/>
      <c r="AB2518" s="149"/>
      <c r="AC2518" s="149"/>
      <c r="AD2518" s="149"/>
      <c r="AE2518" s="149"/>
      <c r="AF2518" s="149"/>
      <c r="AG2518" s="149"/>
      <c r="AH2518" s="149"/>
      <c r="AI2518" s="149"/>
      <c r="AJ2518" s="149"/>
      <c r="AK2518" s="149"/>
      <c r="AL2518" s="149"/>
      <c r="AM2518" s="149"/>
      <c r="AN2518" s="149"/>
      <c r="AO2518" s="128"/>
      <c r="AP2518" s="128"/>
      <c r="AQ2518" s="128"/>
      <c r="AR2518" s="128"/>
      <c r="AS2518" s="128"/>
      <c r="AT2518" s="128"/>
      <c r="AU2518" s="128"/>
      <c r="AV2518" s="128"/>
      <c r="AW2518" s="128"/>
      <c r="AX2518" s="128"/>
      <c r="AY2518" s="128"/>
      <c r="AZ2518" s="128"/>
      <c r="BA2518" s="128"/>
      <c r="BB2518" s="128"/>
      <c r="BC2518" s="128"/>
      <c r="BD2518" s="128"/>
      <c r="BE2518" s="128"/>
      <c r="BF2518" s="128"/>
      <c r="BG2518" s="128"/>
      <c r="BH2518" s="128"/>
      <c r="BI2518" s="128"/>
      <c r="BJ2518" s="128"/>
      <c r="BK2518" s="128"/>
      <c r="BL2518" s="128"/>
      <c r="BM2518" s="151"/>
      <c r="BN2518" s="128"/>
      <c r="BO2518" s="128"/>
      <c r="BP2518" s="128"/>
      <c r="BQ2518" s="128"/>
      <c r="BR2518" s="128"/>
      <c r="BS2518" s="128"/>
      <c r="BT2518" s="128"/>
      <c r="BU2518" s="128"/>
      <c r="BV2518" s="128"/>
      <c r="BW2518" s="128"/>
      <c r="BX2518" s="128"/>
      <c r="BY2518" s="128"/>
      <c r="BZ2518" s="128"/>
      <c r="CA2518" s="128"/>
      <c r="CB2518" s="128"/>
      <c r="CC2518" s="128"/>
      <c r="CD2518" s="128"/>
      <c r="CE2518" s="128"/>
      <c r="CF2518" s="128"/>
      <c r="CG2518" s="128"/>
      <c r="CI2518" s="128"/>
      <c r="CJ2518" s="128"/>
      <c r="CK2518" s="128"/>
      <c r="CL2518" s="128"/>
      <c r="CM2518" s="128"/>
      <c r="CN2518" s="128"/>
      <c r="CO2518" s="128"/>
      <c r="CP2518" s="128"/>
      <c r="CQ2518" s="128"/>
      <c r="CR2518" s="128"/>
      <c r="CS2518" s="128"/>
      <c r="CT2518" s="128"/>
      <c r="CU2518" s="128"/>
      <c r="CV2518" s="128"/>
      <c r="CW2518" s="128"/>
      <c r="CX2518" s="128"/>
      <c r="CY2518" s="128"/>
      <c r="CZ2518" s="165"/>
    </row>
    <row r="2519" spans="1:104">
      <c r="A2519" s="149"/>
      <c r="B2519" s="149"/>
      <c r="C2519" s="150"/>
      <c r="D2519" s="102"/>
      <c r="E2519" s="149"/>
      <c r="F2519" s="149"/>
      <c r="G2519" s="149"/>
      <c r="H2519" s="149"/>
      <c r="I2519" s="149"/>
      <c r="J2519" s="149"/>
      <c r="K2519" s="149"/>
      <c r="L2519" s="149"/>
      <c r="M2519" s="149"/>
      <c r="N2519" s="149"/>
      <c r="O2519" s="149"/>
      <c r="P2519" s="149"/>
      <c r="Q2519" s="149"/>
      <c r="R2519" s="149"/>
      <c r="S2519" s="149"/>
      <c r="T2519" s="149"/>
      <c r="U2519" s="149"/>
      <c r="V2519" s="149"/>
      <c r="W2519" s="149"/>
      <c r="X2519" s="149"/>
      <c r="Y2519" s="149"/>
      <c r="Z2519" s="149"/>
      <c r="AA2519" s="149"/>
      <c r="AB2519" s="149"/>
      <c r="AC2519" s="149"/>
      <c r="AD2519" s="149"/>
      <c r="AE2519" s="149"/>
      <c r="AF2519" s="149"/>
      <c r="AG2519" s="149"/>
      <c r="AH2519" s="149"/>
      <c r="AI2519" s="149"/>
      <c r="AJ2519" s="149"/>
      <c r="AK2519" s="149"/>
      <c r="AL2519" s="149"/>
      <c r="AM2519" s="149"/>
      <c r="AN2519" s="149"/>
      <c r="AO2519" s="128"/>
      <c r="AP2519" s="128"/>
      <c r="AQ2519" s="128"/>
      <c r="AR2519" s="128"/>
      <c r="AS2519" s="128"/>
      <c r="AT2519" s="128"/>
      <c r="AU2519" s="128"/>
      <c r="AV2519" s="128"/>
      <c r="AW2519" s="128"/>
      <c r="AX2519" s="128"/>
      <c r="AY2519" s="128"/>
      <c r="AZ2519" s="128"/>
      <c r="BA2519" s="128"/>
      <c r="BB2519" s="128"/>
      <c r="BC2519" s="128"/>
      <c r="BD2519" s="128"/>
      <c r="BE2519" s="128"/>
      <c r="BF2519" s="128"/>
      <c r="BG2519" s="128"/>
      <c r="BH2519" s="128"/>
      <c r="BI2519" s="128"/>
      <c r="BJ2519" s="128"/>
      <c r="BK2519" s="128"/>
      <c r="BL2519" s="128"/>
      <c r="BM2519" s="151"/>
      <c r="BN2519" s="128"/>
      <c r="BO2519" s="128"/>
      <c r="BP2519" s="128"/>
      <c r="BQ2519" s="128"/>
      <c r="BR2519" s="128"/>
      <c r="BS2519" s="128"/>
      <c r="BT2519" s="128"/>
      <c r="BU2519" s="128"/>
      <c r="BV2519" s="128"/>
      <c r="BW2519" s="128"/>
      <c r="BX2519" s="128"/>
      <c r="BY2519" s="128"/>
      <c r="BZ2519" s="128"/>
      <c r="CA2519" s="128"/>
      <c r="CB2519" s="128"/>
      <c r="CC2519" s="128"/>
      <c r="CD2519" s="128"/>
      <c r="CE2519" s="128"/>
      <c r="CF2519" s="128"/>
      <c r="CG2519" s="128"/>
      <c r="CI2519" s="128"/>
      <c r="CJ2519" s="128"/>
      <c r="CK2519" s="128"/>
      <c r="CL2519" s="128"/>
      <c r="CM2519" s="128"/>
      <c r="CN2519" s="128"/>
      <c r="CO2519" s="128"/>
      <c r="CP2519" s="128"/>
      <c r="CQ2519" s="128"/>
      <c r="CR2519" s="128"/>
      <c r="CS2519" s="128"/>
      <c r="CT2519" s="128"/>
      <c r="CU2519" s="128"/>
      <c r="CV2519" s="128"/>
      <c r="CW2519" s="128"/>
      <c r="CX2519" s="128"/>
      <c r="CY2519" s="128"/>
      <c r="CZ2519" s="165"/>
    </row>
    <row r="2520" spans="1:104">
      <c r="A2520" s="149"/>
      <c r="B2520" s="149"/>
      <c r="C2520" s="150"/>
      <c r="D2520" s="102"/>
      <c r="E2520" s="149"/>
      <c r="F2520" s="149"/>
      <c r="G2520" s="149"/>
      <c r="H2520" s="149"/>
      <c r="I2520" s="149"/>
      <c r="J2520" s="149"/>
      <c r="K2520" s="149"/>
      <c r="L2520" s="149"/>
      <c r="M2520" s="149"/>
      <c r="N2520" s="149"/>
      <c r="O2520" s="149"/>
      <c r="P2520" s="149"/>
      <c r="Q2520" s="149"/>
      <c r="R2520" s="149"/>
      <c r="S2520" s="149"/>
      <c r="T2520" s="149"/>
      <c r="U2520" s="149"/>
      <c r="V2520" s="149"/>
      <c r="W2520" s="149"/>
      <c r="X2520" s="149"/>
      <c r="Y2520" s="149"/>
      <c r="Z2520" s="149"/>
      <c r="AA2520" s="149"/>
      <c r="AB2520" s="149"/>
      <c r="AC2520" s="149"/>
      <c r="AD2520" s="149"/>
      <c r="AE2520" s="149"/>
      <c r="AF2520" s="149"/>
      <c r="AG2520" s="149"/>
      <c r="AH2520" s="149"/>
      <c r="AI2520" s="149"/>
      <c r="AJ2520" s="149"/>
      <c r="AK2520" s="149"/>
      <c r="AL2520" s="149"/>
      <c r="AM2520" s="149"/>
      <c r="AN2520" s="149"/>
      <c r="AO2520" s="128"/>
      <c r="AP2520" s="128"/>
      <c r="AQ2520" s="128"/>
      <c r="AR2520" s="128"/>
      <c r="AS2520" s="128"/>
      <c r="AT2520" s="128"/>
      <c r="AU2520" s="128"/>
      <c r="AV2520" s="128"/>
      <c r="AW2520" s="128"/>
      <c r="AX2520" s="128"/>
      <c r="AY2520" s="128"/>
      <c r="AZ2520" s="128"/>
      <c r="BA2520" s="128"/>
      <c r="BB2520" s="128"/>
      <c r="BC2520" s="128"/>
      <c r="BD2520" s="128"/>
      <c r="BE2520" s="128"/>
      <c r="BF2520" s="128"/>
      <c r="BG2520" s="128"/>
      <c r="BH2520" s="128"/>
      <c r="BI2520" s="128"/>
      <c r="BJ2520" s="128"/>
      <c r="BK2520" s="128"/>
      <c r="BL2520" s="128"/>
      <c r="BM2520" s="151"/>
      <c r="BN2520" s="128"/>
      <c r="BO2520" s="128"/>
      <c r="BP2520" s="128"/>
      <c r="BQ2520" s="128"/>
      <c r="BR2520" s="128"/>
      <c r="BS2520" s="128"/>
      <c r="BT2520" s="128"/>
      <c r="BU2520" s="128"/>
      <c r="BV2520" s="128"/>
      <c r="BW2520" s="128"/>
      <c r="BX2520" s="128"/>
      <c r="BY2520" s="128"/>
      <c r="BZ2520" s="128"/>
      <c r="CA2520" s="128"/>
      <c r="CB2520" s="128"/>
      <c r="CC2520" s="128"/>
      <c r="CD2520" s="128"/>
      <c r="CE2520" s="128"/>
      <c r="CF2520" s="128"/>
      <c r="CG2520" s="128"/>
      <c r="CI2520" s="128"/>
      <c r="CJ2520" s="128"/>
      <c r="CK2520" s="128"/>
      <c r="CL2520" s="128"/>
      <c r="CM2520" s="128"/>
      <c r="CN2520" s="128"/>
      <c r="CO2520" s="128"/>
      <c r="CP2520" s="128"/>
      <c r="CQ2520" s="128"/>
      <c r="CR2520" s="128"/>
      <c r="CS2520" s="128"/>
      <c r="CT2520" s="128"/>
      <c r="CU2520" s="128"/>
      <c r="CV2520" s="128"/>
      <c r="CW2520" s="128"/>
      <c r="CX2520" s="128"/>
      <c r="CY2520" s="128"/>
      <c r="CZ2520" s="165"/>
    </row>
    <row r="2521" spans="1:104">
      <c r="A2521" s="149"/>
      <c r="B2521" s="149"/>
      <c r="C2521" s="150"/>
      <c r="D2521" s="102"/>
      <c r="E2521" s="149"/>
      <c r="F2521" s="149"/>
      <c r="G2521" s="149"/>
      <c r="H2521" s="149"/>
      <c r="I2521" s="149"/>
      <c r="J2521" s="149"/>
      <c r="K2521" s="149"/>
      <c r="L2521" s="149"/>
      <c r="M2521" s="149"/>
      <c r="N2521" s="149"/>
      <c r="O2521" s="149"/>
      <c r="P2521" s="149"/>
      <c r="Q2521" s="149"/>
      <c r="R2521" s="149"/>
      <c r="S2521" s="149"/>
      <c r="T2521" s="149"/>
      <c r="U2521" s="149"/>
      <c r="V2521" s="149"/>
      <c r="W2521" s="149"/>
      <c r="X2521" s="149"/>
      <c r="Y2521" s="149"/>
      <c r="Z2521" s="149"/>
      <c r="AA2521" s="149"/>
      <c r="AB2521" s="149"/>
      <c r="AC2521" s="149"/>
      <c r="AD2521" s="149"/>
      <c r="AE2521" s="149"/>
      <c r="AF2521" s="149"/>
      <c r="AG2521" s="149"/>
      <c r="AH2521" s="149"/>
      <c r="AI2521" s="149"/>
      <c r="AJ2521" s="149"/>
      <c r="AK2521" s="149"/>
      <c r="AL2521" s="149"/>
      <c r="AM2521" s="149"/>
      <c r="AN2521" s="149"/>
      <c r="AO2521" s="128"/>
      <c r="AP2521" s="128"/>
      <c r="AQ2521" s="128"/>
      <c r="AR2521" s="128"/>
      <c r="AS2521" s="128"/>
      <c r="AT2521" s="128"/>
      <c r="AU2521" s="128"/>
      <c r="AV2521" s="128"/>
      <c r="AW2521" s="128"/>
      <c r="AX2521" s="128"/>
      <c r="AY2521" s="128"/>
      <c r="AZ2521" s="128"/>
      <c r="BA2521" s="128"/>
      <c r="BB2521" s="128"/>
      <c r="BC2521" s="128"/>
      <c r="BD2521" s="128"/>
      <c r="BE2521" s="128"/>
      <c r="BF2521" s="128"/>
      <c r="BG2521" s="128"/>
      <c r="BH2521" s="128"/>
      <c r="BI2521" s="128"/>
      <c r="BJ2521" s="128"/>
      <c r="BK2521" s="128"/>
      <c r="BL2521" s="128"/>
      <c r="BM2521" s="151"/>
      <c r="BN2521" s="128"/>
      <c r="BO2521" s="128"/>
      <c r="BP2521" s="128"/>
      <c r="BQ2521" s="128"/>
      <c r="BR2521" s="128"/>
      <c r="BS2521" s="128"/>
      <c r="BT2521" s="128"/>
      <c r="BU2521" s="128"/>
      <c r="BV2521" s="128"/>
      <c r="BW2521" s="128"/>
      <c r="BX2521" s="128"/>
      <c r="BY2521" s="128"/>
      <c r="BZ2521" s="128"/>
      <c r="CA2521" s="128"/>
      <c r="CB2521" s="128"/>
      <c r="CC2521" s="128"/>
      <c r="CD2521" s="128"/>
      <c r="CE2521" s="128"/>
      <c r="CF2521" s="128"/>
      <c r="CG2521" s="128"/>
      <c r="CI2521" s="128"/>
      <c r="CJ2521" s="128"/>
      <c r="CK2521" s="128"/>
      <c r="CL2521" s="128"/>
      <c r="CM2521" s="128"/>
      <c r="CN2521" s="128"/>
      <c r="CO2521" s="128"/>
      <c r="CP2521" s="128"/>
      <c r="CQ2521" s="128"/>
      <c r="CR2521" s="128"/>
      <c r="CS2521" s="128"/>
      <c r="CT2521" s="128"/>
      <c r="CU2521" s="128"/>
      <c r="CV2521" s="128"/>
      <c r="CW2521" s="128"/>
      <c r="CX2521" s="128"/>
      <c r="CY2521" s="128"/>
      <c r="CZ2521" s="165"/>
    </row>
    <row r="2522" spans="1:104">
      <c r="A2522" s="149"/>
      <c r="B2522" s="149"/>
      <c r="C2522" s="150"/>
      <c r="D2522" s="102"/>
      <c r="E2522" s="149"/>
      <c r="F2522" s="149"/>
      <c r="G2522" s="149"/>
      <c r="H2522" s="149"/>
      <c r="I2522" s="149"/>
      <c r="J2522" s="149"/>
      <c r="K2522" s="149"/>
      <c r="L2522" s="149"/>
      <c r="M2522" s="149"/>
      <c r="N2522" s="149"/>
      <c r="O2522" s="149"/>
      <c r="P2522" s="149"/>
      <c r="Q2522" s="149"/>
      <c r="R2522" s="149"/>
      <c r="S2522" s="149"/>
      <c r="T2522" s="149"/>
      <c r="U2522" s="149"/>
      <c r="V2522" s="149"/>
      <c r="W2522" s="149"/>
      <c r="X2522" s="149"/>
      <c r="Y2522" s="149"/>
      <c r="Z2522" s="149"/>
      <c r="AA2522" s="149"/>
      <c r="AB2522" s="149"/>
      <c r="AC2522" s="149"/>
      <c r="AD2522" s="149"/>
      <c r="AE2522" s="149"/>
      <c r="AF2522" s="149"/>
      <c r="AG2522" s="149"/>
      <c r="AH2522" s="149"/>
      <c r="AI2522" s="149"/>
      <c r="AJ2522" s="149"/>
      <c r="AK2522" s="149"/>
      <c r="AL2522" s="149"/>
      <c r="AM2522" s="149"/>
      <c r="AN2522" s="149"/>
      <c r="AO2522" s="128"/>
      <c r="AP2522" s="128"/>
      <c r="AQ2522" s="128"/>
      <c r="AR2522" s="128"/>
      <c r="AS2522" s="128"/>
      <c r="AT2522" s="128"/>
      <c r="AU2522" s="128"/>
      <c r="AV2522" s="128"/>
      <c r="AW2522" s="128"/>
      <c r="AX2522" s="128"/>
      <c r="AY2522" s="128"/>
      <c r="AZ2522" s="128"/>
      <c r="BA2522" s="128"/>
      <c r="BB2522" s="128"/>
      <c r="BC2522" s="128"/>
      <c r="BD2522" s="128"/>
      <c r="BE2522" s="128"/>
      <c r="BF2522" s="128"/>
      <c r="BG2522" s="128"/>
      <c r="BH2522" s="128"/>
      <c r="BI2522" s="128"/>
      <c r="BJ2522" s="128"/>
      <c r="BK2522" s="128"/>
      <c r="BL2522" s="128"/>
      <c r="BM2522" s="151"/>
      <c r="BN2522" s="128"/>
      <c r="BO2522" s="128"/>
      <c r="BP2522" s="128"/>
      <c r="BQ2522" s="128"/>
      <c r="BR2522" s="128"/>
      <c r="BS2522" s="128"/>
      <c r="BT2522" s="128"/>
      <c r="BU2522" s="128"/>
      <c r="BV2522" s="128"/>
      <c r="BW2522" s="128"/>
      <c r="BX2522" s="128"/>
      <c r="BY2522" s="128"/>
      <c r="BZ2522" s="128"/>
      <c r="CA2522" s="128"/>
      <c r="CB2522" s="128"/>
      <c r="CC2522" s="128"/>
      <c r="CD2522" s="128"/>
      <c r="CE2522" s="128"/>
      <c r="CF2522" s="128"/>
      <c r="CG2522" s="128"/>
      <c r="CI2522" s="128"/>
      <c r="CJ2522" s="128"/>
      <c r="CK2522" s="128"/>
      <c r="CL2522" s="128"/>
      <c r="CM2522" s="128"/>
      <c r="CN2522" s="128"/>
      <c r="CO2522" s="128"/>
      <c r="CP2522" s="128"/>
      <c r="CQ2522" s="128"/>
      <c r="CR2522" s="128"/>
      <c r="CS2522" s="128"/>
      <c r="CT2522" s="128"/>
      <c r="CU2522" s="128"/>
      <c r="CV2522" s="128"/>
      <c r="CW2522" s="128"/>
      <c r="CX2522" s="128"/>
      <c r="CY2522" s="128"/>
      <c r="CZ2522" s="165"/>
    </row>
    <row r="2523" spans="1:104">
      <c r="A2523" s="149"/>
      <c r="B2523" s="149"/>
      <c r="C2523" s="150"/>
      <c r="D2523" s="102"/>
      <c r="E2523" s="149"/>
      <c r="F2523" s="149"/>
      <c r="G2523" s="149"/>
      <c r="H2523" s="149"/>
      <c r="I2523" s="149"/>
      <c r="J2523" s="149"/>
      <c r="K2523" s="149"/>
      <c r="L2523" s="149"/>
      <c r="M2523" s="149"/>
      <c r="N2523" s="149"/>
      <c r="O2523" s="149"/>
      <c r="P2523" s="149"/>
      <c r="Q2523" s="149"/>
      <c r="R2523" s="149"/>
      <c r="S2523" s="149"/>
      <c r="T2523" s="149"/>
      <c r="U2523" s="149"/>
      <c r="V2523" s="149"/>
      <c r="W2523" s="149"/>
      <c r="X2523" s="149"/>
      <c r="Y2523" s="149"/>
      <c r="Z2523" s="149"/>
      <c r="AA2523" s="149"/>
      <c r="AB2523" s="149"/>
      <c r="AC2523" s="149"/>
      <c r="AD2523" s="149"/>
      <c r="AE2523" s="149"/>
      <c r="AF2523" s="149"/>
      <c r="AG2523" s="149"/>
      <c r="AH2523" s="149"/>
      <c r="AI2523" s="149"/>
      <c r="AJ2523" s="149"/>
      <c r="AK2523" s="149"/>
      <c r="AL2523" s="149"/>
      <c r="AM2523" s="149"/>
      <c r="AN2523" s="149"/>
      <c r="AO2523" s="128"/>
      <c r="AP2523" s="128"/>
      <c r="AQ2523" s="128"/>
      <c r="AR2523" s="128"/>
      <c r="AS2523" s="128"/>
      <c r="AT2523" s="128"/>
      <c r="AU2523" s="128"/>
      <c r="AV2523" s="128"/>
      <c r="AW2523" s="128"/>
      <c r="AX2523" s="128"/>
      <c r="AY2523" s="128"/>
      <c r="AZ2523" s="128"/>
      <c r="BA2523" s="128"/>
      <c r="BB2523" s="128"/>
      <c r="BC2523" s="128"/>
      <c r="BD2523" s="128"/>
      <c r="BE2523" s="128"/>
      <c r="BF2523" s="128"/>
      <c r="BG2523" s="128"/>
      <c r="BH2523" s="128"/>
      <c r="BI2523" s="128"/>
      <c r="BJ2523" s="128"/>
      <c r="BK2523" s="128"/>
      <c r="BL2523" s="128"/>
      <c r="BM2523" s="151"/>
      <c r="BN2523" s="128"/>
      <c r="BO2523" s="128"/>
      <c r="BP2523" s="128"/>
      <c r="BQ2523" s="128"/>
      <c r="BR2523" s="128"/>
      <c r="BS2523" s="128"/>
      <c r="BT2523" s="128"/>
      <c r="BU2523" s="128"/>
      <c r="BV2523" s="128"/>
      <c r="BW2523" s="128"/>
      <c r="BX2523" s="128"/>
      <c r="BY2523" s="128"/>
      <c r="BZ2523" s="128"/>
      <c r="CA2523" s="128"/>
      <c r="CB2523" s="128"/>
      <c r="CC2523" s="128"/>
      <c r="CD2523" s="128"/>
      <c r="CE2523" s="128"/>
      <c r="CF2523" s="128"/>
      <c r="CG2523" s="128"/>
      <c r="CI2523" s="128"/>
      <c r="CJ2523" s="128"/>
      <c r="CK2523" s="128"/>
      <c r="CL2523" s="128"/>
      <c r="CM2523" s="128"/>
      <c r="CN2523" s="128"/>
      <c r="CO2523" s="128"/>
      <c r="CP2523" s="128"/>
      <c r="CQ2523" s="128"/>
      <c r="CR2523" s="128"/>
      <c r="CS2523" s="128"/>
      <c r="CT2523" s="128"/>
      <c r="CU2523" s="128"/>
      <c r="CV2523" s="128"/>
      <c r="CW2523" s="128"/>
      <c r="CX2523" s="128"/>
      <c r="CY2523" s="128"/>
      <c r="CZ2523" s="165"/>
    </row>
    <row r="2524" spans="1:104">
      <c r="A2524" s="149"/>
      <c r="B2524" s="149"/>
      <c r="C2524" s="150"/>
      <c r="D2524" s="102"/>
      <c r="E2524" s="149"/>
      <c r="F2524" s="149"/>
      <c r="G2524" s="149"/>
      <c r="H2524" s="149"/>
      <c r="I2524" s="149"/>
      <c r="J2524" s="149"/>
      <c r="K2524" s="149"/>
      <c r="L2524" s="149"/>
      <c r="M2524" s="149"/>
      <c r="N2524" s="149"/>
      <c r="O2524" s="149"/>
      <c r="P2524" s="149"/>
      <c r="Q2524" s="149"/>
      <c r="R2524" s="149"/>
      <c r="S2524" s="149"/>
      <c r="T2524" s="149"/>
      <c r="U2524" s="149"/>
      <c r="V2524" s="149"/>
      <c r="W2524" s="149"/>
      <c r="X2524" s="149"/>
      <c r="Y2524" s="149"/>
      <c r="Z2524" s="149"/>
      <c r="AA2524" s="149"/>
      <c r="AB2524" s="149"/>
      <c r="AC2524" s="149"/>
      <c r="AD2524" s="149"/>
      <c r="AE2524" s="149"/>
      <c r="AF2524" s="149"/>
      <c r="AG2524" s="149"/>
      <c r="AH2524" s="149"/>
      <c r="AI2524" s="149"/>
      <c r="AJ2524" s="149"/>
      <c r="AK2524" s="149"/>
      <c r="AL2524" s="149"/>
      <c r="AM2524" s="149"/>
      <c r="AN2524" s="149"/>
      <c r="AO2524" s="128"/>
      <c r="AP2524" s="128"/>
      <c r="AQ2524" s="128"/>
      <c r="AR2524" s="128"/>
      <c r="AS2524" s="128"/>
      <c r="AT2524" s="128"/>
      <c r="AU2524" s="128"/>
      <c r="AV2524" s="128"/>
      <c r="AW2524" s="128"/>
      <c r="AX2524" s="128"/>
      <c r="AY2524" s="128"/>
      <c r="AZ2524" s="128"/>
      <c r="BA2524" s="128"/>
      <c r="BB2524" s="128"/>
      <c r="BC2524" s="128"/>
      <c r="BD2524" s="128"/>
      <c r="BE2524" s="128"/>
      <c r="BF2524" s="128"/>
      <c r="BG2524" s="128"/>
      <c r="BH2524" s="128"/>
      <c r="BI2524" s="128"/>
      <c r="BJ2524" s="128"/>
      <c r="BK2524" s="128"/>
      <c r="BL2524" s="128"/>
      <c r="BM2524" s="151"/>
      <c r="BN2524" s="128"/>
      <c r="BO2524" s="128"/>
      <c r="BP2524" s="128"/>
      <c r="BQ2524" s="128"/>
      <c r="BR2524" s="128"/>
      <c r="BS2524" s="128"/>
      <c r="BT2524" s="128"/>
      <c r="BU2524" s="128"/>
      <c r="BV2524" s="128"/>
      <c r="BW2524" s="128"/>
      <c r="BX2524" s="128"/>
      <c r="BY2524" s="128"/>
      <c r="BZ2524" s="128"/>
      <c r="CA2524" s="128"/>
      <c r="CB2524" s="128"/>
      <c r="CC2524" s="128"/>
      <c r="CD2524" s="128"/>
      <c r="CE2524" s="128"/>
      <c r="CF2524" s="128"/>
      <c r="CG2524" s="128"/>
      <c r="CI2524" s="128"/>
      <c r="CJ2524" s="128"/>
      <c r="CK2524" s="128"/>
      <c r="CL2524" s="128"/>
      <c r="CM2524" s="128"/>
      <c r="CN2524" s="128"/>
      <c r="CO2524" s="128"/>
      <c r="CP2524" s="128"/>
      <c r="CQ2524" s="128"/>
      <c r="CR2524" s="128"/>
      <c r="CS2524" s="128"/>
      <c r="CT2524" s="128"/>
      <c r="CU2524" s="128"/>
      <c r="CV2524" s="128"/>
      <c r="CW2524" s="128"/>
      <c r="CX2524" s="128"/>
      <c r="CY2524" s="128"/>
      <c r="CZ2524" s="165"/>
    </row>
    <row r="2525" spans="1:104">
      <c r="A2525" s="149"/>
      <c r="B2525" s="149"/>
      <c r="C2525" s="150"/>
      <c r="D2525" s="102"/>
      <c r="E2525" s="149"/>
      <c r="F2525" s="149"/>
      <c r="G2525" s="149"/>
      <c r="H2525" s="149"/>
      <c r="I2525" s="149"/>
      <c r="J2525" s="149"/>
      <c r="K2525" s="149"/>
      <c r="L2525" s="149"/>
      <c r="M2525" s="149"/>
      <c r="N2525" s="149"/>
      <c r="O2525" s="149"/>
      <c r="P2525" s="149"/>
      <c r="Q2525" s="149"/>
      <c r="R2525" s="149"/>
      <c r="S2525" s="149"/>
      <c r="T2525" s="149"/>
      <c r="U2525" s="149"/>
      <c r="V2525" s="149"/>
      <c r="W2525" s="149"/>
      <c r="X2525" s="149"/>
      <c r="Y2525" s="149"/>
      <c r="Z2525" s="149"/>
      <c r="AA2525" s="149"/>
      <c r="AB2525" s="149"/>
      <c r="AC2525" s="149"/>
      <c r="AD2525" s="149"/>
      <c r="AE2525" s="149"/>
      <c r="AF2525" s="149"/>
      <c r="AG2525" s="149"/>
      <c r="AH2525" s="149"/>
      <c r="AI2525" s="149"/>
      <c r="AJ2525" s="149"/>
      <c r="AK2525" s="149"/>
      <c r="AL2525" s="149"/>
      <c r="AM2525" s="149"/>
      <c r="AN2525" s="149"/>
      <c r="AO2525" s="128"/>
      <c r="AP2525" s="128"/>
      <c r="AQ2525" s="128"/>
      <c r="AR2525" s="128"/>
      <c r="AS2525" s="128"/>
      <c r="AT2525" s="128"/>
      <c r="AU2525" s="128"/>
      <c r="AV2525" s="128"/>
      <c r="AW2525" s="128"/>
      <c r="AX2525" s="128"/>
      <c r="AY2525" s="128"/>
      <c r="AZ2525" s="128"/>
      <c r="BA2525" s="128"/>
      <c r="BB2525" s="128"/>
      <c r="BC2525" s="128"/>
      <c r="BD2525" s="128"/>
      <c r="BE2525" s="128"/>
      <c r="BF2525" s="128"/>
      <c r="BG2525" s="128"/>
      <c r="BH2525" s="128"/>
      <c r="BI2525" s="128"/>
      <c r="BJ2525" s="128"/>
      <c r="BK2525" s="128"/>
      <c r="BL2525" s="128"/>
      <c r="BM2525" s="151"/>
      <c r="BN2525" s="128"/>
      <c r="BO2525" s="128"/>
      <c r="BP2525" s="128"/>
      <c r="BQ2525" s="128"/>
      <c r="BR2525" s="128"/>
      <c r="BS2525" s="128"/>
      <c r="BT2525" s="128"/>
      <c r="BU2525" s="128"/>
      <c r="BV2525" s="128"/>
      <c r="BW2525" s="128"/>
      <c r="BX2525" s="128"/>
      <c r="BY2525" s="128"/>
      <c r="BZ2525" s="128"/>
      <c r="CA2525" s="128"/>
      <c r="CB2525" s="128"/>
      <c r="CC2525" s="128"/>
      <c r="CD2525" s="128"/>
      <c r="CE2525" s="128"/>
      <c r="CF2525" s="128"/>
      <c r="CG2525" s="128"/>
      <c r="CI2525" s="128"/>
      <c r="CJ2525" s="128"/>
      <c r="CK2525" s="128"/>
      <c r="CL2525" s="128"/>
      <c r="CM2525" s="128"/>
      <c r="CN2525" s="128"/>
      <c r="CO2525" s="128"/>
      <c r="CP2525" s="128"/>
      <c r="CQ2525" s="128"/>
      <c r="CR2525" s="128"/>
      <c r="CS2525" s="128"/>
      <c r="CT2525" s="128"/>
      <c r="CU2525" s="128"/>
      <c r="CV2525" s="128"/>
      <c r="CW2525" s="128"/>
      <c r="CX2525" s="128"/>
      <c r="CY2525" s="128"/>
      <c r="CZ2525" s="165"/>
    </row>
    <row r="2526" spans="1:104">
      <c r="A2526" s="149"/>
      <c r="B2526" s="149"/>
      <c r="C2526" s="150"/>
      <c r="D2526" s="102"/>
      <c r="E2526" s="149"/>
      <c r="F2526" s="149"/>
      <c r="G2526" s="149"/>
      <c r="H2526" s="149"/>
      <c r="I2526" s="149"/>
      <c r="J2526" s="149"/>
      <c r="K2526" s="149"/>
      <c r="L2526" s="149"/>
      <c r="M2526" s="149"/>
      <c r="N2526" s="149"/>
      <c r="O2526" s="149"/>
      <c r="P2526" s="149"/>
      <c r="Q2526" s="149"/>
      <c r="R2526" s="149"/>
      <c r="S2526" s="149"/>
      <c r="T2526" s="149"/>
      <c r="U2526" s="149"/>
      <c r="V2526" s="149"/>
      <c r="W2526" s="149"/>
      <c r="X2526" s="149"/>
      <c r="Y2526" s="149"/>
      <c r="Z2526" s="149"/>
      <c r="AA2526" s="149"/>
      <c r="AB2526" s="149"/>
      <c r="AC2526" s="149"/>
      <c r="AD2526" s="149"/>
      <c r="AE2526" s="149"/>
      <c r="AF2526" s="149"/>
      <c r="AG2526" s="149"/>
      <c r="AH2526" s="149"/>
      <c r="AI2526" s="149"/>
      <c r="AJ2526" s="149"/>
      <c r="AK2526" s="149"/>
      <c r="AL2526" s="149"/>
      <c r="AM2526" s="149"/>
      <c r="AN2526" s="149"/>
      <c r="AO2526" s="128"/>
      <c r="AP2526" s="128"/>
      <c r="AQ2526" s="128"/>
      <c r="AR2526" s="128"/>
      <c r="AS2526" s="128"/>
      <c r="AT2526" s="128"/>
      <c r="AU2526" s="128"/>
      <c r="AV2526" s="128"/>
      <c r="AW2526" s="128"/>
      <c r="AX2526" s="128"/>
      <c r="AY2526" s="128"/>
      <c r="AZ2526" s="128"/>
      <c r="BA2526" s="128"/>
      <c r="BB2526" s="128"/>
      <c r="BC2526" s="128"/>
      <c r="BD2526" s="128"/>
      <c r="BE2526" s="128"/>
      <c r="BF2526" s="128"/>
      <c r="BG2526" s="128"/>
      <c r="BH2526" s="128"/>
      <c r="BI2526" s="128"/>
      <c r="BJ2526" s="128"/>
      <c r="BK2526" s="128"/>
      <c r="BL2526" s="128"/>
      <c r="BM2526" s="151"/>
      <c r="BN2526" s="128"/>
      <c r="BO2526" s="128"/>
      <c r="BP2526" s="128"/>
      <c r="BQ2526" s="128"/>
      <c r="BR2526" s="128"/>
      <c r="BS2526" s="128"/>
      <c r="BT2526" s="128"/>
      <c r="BU2526" s="128"/>
      <c r="BV2526" s="128"/>
      <c r="BW2526" s="128"/>
      <c r="BX2526" s="128"/>
      <c r="BY2526" s="128"/>
      <c r="BZ2526" s="128"/>
      <c r="CA2526" s="128"/>
      <c r="CB2526" s="128"/>
      <c r="CC2526" s="128"/>
      <c r="CD2526" s="128"/>
      <c r="CE2526" s="128"/>
      <c r="CF2526" s="128"/>
      <c r="CG2526" s="128"/>
      <c r="CI2526" s="128"/>
      <c r="CJ2526" s="128"/>
      <c r="CK2526" s="128"/>
      <c r="CL2526" s="128"/>
      <c r="CM2526" s="128"/>
      <c r="CN2526" s="128"/>
      <c r="CO2526" s="128"/>
      <c r="CP2526" s="128"/>
      <c r="CQ2526" s="128"/>
      <c r="CR2526" s="128"/>
      <c r="CS2526" s="128"/>
      <c r="CT2526" s="128"/>
      <c r="CU2526" s="128"/>
      <c r="CV2526" s="128"/>
      <c r="CW2526" s="128"/>
      <c r="CX2526" s="128"/>
      <c r="CY2526" s="128"/>
      <c r="CZ2526" s="165"/>
    </row>
    <row r="2527" spans="1:104">
      <c r="A2527" s="149"/>
      <c r="B2527" s="149"/>
      <c r="C2527" s="150"/>
      <c r="D2527" s="102"/>
      <c r="E2527" s="149"/>
      <c r="F2527" s="149"/>
      <c r="G2527" s="149"/>
      <c r="H2527" s="149"/>
      <c r="I2527" s="149"/>
      <c r="J2527" s="149"/>
      <c r="K2527" s="149"/>
      <c r="L2527" s="149"/>
      <c r="M2527" s="149"/>
      <c r="N2527" s="149"/>
      <c r="O2527" s="149"/>
      <c r="P2527" s="149"/>
      <c r="Q2527" s="149"/>
      <c r="R2527" s="149"/>
      <c r="S2527" s="149"/>
      <c r="T2527" s="149"/>
      <c r="U2527" s="149"/>
      <c r="V2527" s="149"/>
      <c r="W2527" s="149"/>
      <c r="X2527" s="149"/>
      <c r="Y2527" s="149"/>
      <c r="Z2527" s="149"/>
      <c r="AA2527" s="149"/>
      <c r="AB2527" s="149"/>
      <c r="AC2527" s="149"/>
      <c r="AD2527" s="149"/>
      <c r="AE2527" s="149"/>
      <c r="AF2527" s="149"/>
      <c r="AG2527" s="149"/>
      <c r="AH2527" s="149"/>
      <c r="AI2527" s="149"/>
      <c r="AJ2527" s="149"/>
      <c r="AK2527" s="149"/>
      <c r="AL2527" s="149"/>
      <c r="AM2527" s="149"/>
      <c r="AN2527" s="149"/>
      <c r="AO2527" s="128"/>
      <c r="AP2527" s="128"/>
      <c r="AQ2527" s="128"/>
      <c r="AR2527" s="128"/>
      <c r="AS2527" s="128"/>
      <c r="AT2527" s="128"/>
      <c r="AU2527" s="128"/>
      <c r="AV2527" s="128"/>
      <c r="AW2527" s="128"/>
      <c r="AX2527" s="128"/>
      <c r="AY2527" s="128"/>
      <c r="AZ2527" s="128"/>
      <c r="BA2527" s="128"/>
      <c r="BB2527" s="128"/>
      <c r="BC2527" s="128"/>
      <c r="BD2527" s="128"/>
      <c r="BE2527" s="128"/>
      <c r="BF2527" s="128"/>
      <c r="BG2527" s="128"/>
      <c r="BH2527" s="128"/>
      <c r="BI2527" s="128"/>
      <c r="BJ2527" s="128"/>
      <c r="BK2527" s="128"/>
      <c r="BL2527" s="128"/>
      <c r="BM2527" s="151"/>
      <c r="BN2527" s="128"/>
      <c r="BO2527" s="128"/>
      <c r="BP2527" s="128"/>
      <c r="BQ2527" s="128"/>
      <c r="BR2527" s="128"/>
      <c r="BS2527" s="128"/>
      <c r="BT2527" s="128"/>
      <c r="BU2527" s="128"/>
      <c r="BV2527" s="128"/>
      <c r="BW2527" s="128"/>
      <c r="BX2527" s="128"/>
      <c r="BY2527" s="128"/>
      <c r="BZ2527" s="128"/>
      <c r="CA2527" s="128"/>
      <c r="CB2527" s="128"/>
      <c r="CC2527" s="128"/>
      <c r="CD2527" s="128"/>
      <c r="CE2527" s="128"/>
      <c r="CF2527" s="128"/>
      <c r="CG2527" s="128"/>
      <c r="CI2527" s="128"/>
      <c r="CJ2527" s="128"/>
      <c r="CK2527" s="128"/>
      <c r="CL2527" s="128"/>
      <c r="CM2527" s="128"/>
      <c r="CN2527" s="128"/>
      <c r="CO2527" s="128"/>
      <c r="CP2527" s="128"/>
      <c r="CQ2527" s="128"/>
      <c r="CR2527" s="128"/>
      <c r="CS2527" s="128"/>
      <c r="CT2527" s="128"/>
      <c r="CU2527" s="128"/>
      <c r="CV2527" s="128"/>
      <c r="CW2527" s="128"/>
      <c r="CX2527" s="128"/>
      <c r="CY2527" s="128"/>
      <c r="CZ2527" s="165"/>
    </row>
    <row r="2528" spans="1:104">
      <c r="A2528" s="149"/>
      <c r="B2528" s="149"/>
      <c r="C2528" s="150"/>
      <c r="D2528" s="102"/>
      <c r="E2528" s="149"/>
      <c r="F2528" s="149"/>
      <c r="G2528" s="149"/>
      <c r="H2528" s="149"/>
      <c r="I2528" s="149"/>
      <c r="J2528" s="149"/>
      <c r="K2528" s="149"/>
      <c r="L2528" s="149"/>
      <c r="M2528" s="149"/>
      <c r="N2528" s="149"/>
      <c r="O2528" s="149"/>
      <c r="P2528" s="149"/>
      <c r="Q2528" s="149"/>
      <c r="R2528" s="149"/>
      <c r="S2528" s="149"/>
      <c r="T2528" s="149"/>
      <c r="U2528" s="149"/>
      <c r="V2528" s="149"/>
      <c r="W2528" s="149"/>
      <c r="X2528" s="149"/>
      <c r="Y2528" s="149"/>
      <c r="Z2528" s="149"/>
      <c r="AA2528" s="149"/>
      <c r="AB2528" s="149"/>
      <c r="AC2528" s="149"/>
      <c r="AD2528" s="149"/>
      <c r="AE2528" s="149"/>
      <c r="AF2528" s="149"/>
      <c r="AG2528" s="149"/>
      <c r="AH2528" s="149"/>
      <c r="AI2528" s="149"/>
      <c r="AJ2528" s="149"/>
      <c r="AK2528" s="149"/>
      <c r="AL2528" s="149"/>
      <c r="AM2528" s="149"/>
      <c r="AN2528" s="149"/>
      <c r="AO2528" s="128"/>
      <c r="AP2528" s="128"/>
      <c r="AQ2528" s="128"/>
      <c r="AR2528" s="128"/>
      <c r="AS2528" s="128"/>
      <c r="AT2528" s="128"/>
      <c r="AU2528" s="128"/>
      <c r="AV2528" s="128"/>
      <c r="AW2528" s="128"/>
      <c r="AX2528" s="128"/>
      <c r="AY2528" s="128"/>
      <c r="AZ2528" s="128"/>
      <c r="BA2528" s="128"/>
      <c r="BB2528" s="128"/>
      <c r="BC2528" s="128"/>
      <c r="BD2528" s="128"/>
      <c r="BE2528" s="128"/>
      <c r="BF2528" s="128"/>
      <c r="BG2528" s="128"/>
      <c r="BH2528" s="128"/>
      <c r="BI2528" s="128"/>
      <c r="BJ2528" s="128"/>
      <c r="BK2528" s="128"/>
      <c r="BL2528" s="128"/>
      <c r="BM2528" s="151"/>
      <c r="BN2528" s="128"/>
      <c r="BO2528" s="128"/>
      <c r="BP2528" s="128"/>
      <c r="BQ2528" s="128"/>
      <c r="BR2528" s="128"/>
      <c r="BS2528" s="128"/>
      <c r="BT2528" s="128"/>
      <c r="BU2528" s="128"/>
      <c r="BV2528" s="128"/>
      <c r="BW2528" s="128"/>
      <c r="BX2528" s="128"/>
      <c r="BY2528" s="128"/>
      <c r="BZ2528" s="128"/>
      <c r="CA2528" s="128"/>
      <c r="CB2528" s="128"/>
      <c r="CC2528" s="128"/>
      <c r="CD2528" s="128"/>
      <c r="CE2528" s="128"/>
      <c r="CF2528" s="128"/>
      <c r="CG2528" s="128"/>
      <c r="CI2528" s="128"/>
      <c r="CJ2528" s="128"/>
      <c r="CK2528" s="128"/>
      <c r="CL2528" s="128"/>
      <c r="CM2528" s="128"/>
      <c r="CN2528" s="128"/>
      <c r="CO2528" s="128"/>
      <c r="CP2528" s="128"/>
      <c r="CQ2528" s="128"/>
      <c r="CR2528" s="128"/>
      <c r="CS2528" s="128"/>
      <c r="CT2528" s="128"/>
      <c r="CU2528" s="128"/>
      <c r="CV2528" s="128"/>
      <c r="CW2528" s="128"/>
      <c r="CX2528" s="128"/>
      <c r="CY2528" s="128"/>
      <c r="CZ2528" s="165"/>
    </row>
    <row r="2529" spans="1:104">
      <c r="A2529" s="149"/>
      <c r="B2529" s="149"/>
      <c r="C2529" s="150"/>
      <c r="D2529" s="102"/>
      <c r="E2529" s="149"/>
      <c r="F2529" s="149"/>
      <c r="G2529" s="149"/>
      <c r="H2529" s="149"/>
      <c r="I2529" s="149"/>
      <c r="J2529" s="149"/>
      <c r="K2529" s="149"/>
      <c r="L2529" s="149"/>
      <c r="M2529" s="149"/>
      <c r="N2529" s="149"/>
      <c r="O2529" s="149"/>
      <c r="P2529" s="149"/>
      <c r="Q2529" s="149"/>
      <c r="R2529" s="149"/>
      <c r="S2529" s="149"/>
      <c r="T2529" s="149"/>
      <c r="U2529" s="149"/>
      <c r="V2529" s="149"/>
      <c r="W2529" s="149"/>
      <c r="X2529" s="149"/>
      <c r="Y2529" s="149"/>
      <c r="Z2529" s="149"/>
      <c r="AA2529" s="149"/>
      <c r="AB2529" s="149"/>
      <c r="AC2529" s="149"/>
      <c r="AD2529" s="149"/>
      <c r="AE2529" s="149"/>
      <c r="AF2529" s="149"/>
      <c r="AG2529" s="149"/>
      <c r="AH2529" s="149"/>
      <c r="AI2529" s="149"/>
      <c r="AJ2529" s="149"/>
      <c r="AK2529" s="149"/>
      <c r="AL2529" s="149"/>
      <c r="AM2529" s="149"/>
      <c r="AN2529" s="149"/>
      <c r="AO2529" s="128"/>
      <c r="AP2529" s="128"/>
      <c r="AQ2529" s="128"/>
      <c r="AR2529" s="128"/>
      <c r="AS2529" s="128"/>
      <c r="AT2529" s="128"/>
      <c r="AU2529" s="128"/>
      <c r="AV2529" s="128"/>
      <c r="AW2529" s="128"/>
      <c r="AX2529" s="128"/>
      <c r="AY2529" s="128"/>
      <c r="AZ2529" s="128"/>
      <c r="BA2529" s="128"/>
      <c r="BB2529" s="128"/>
      <c r="BC2529" s="128"/>
      <c r="BD2529" s="128"/>
      <c r="BE2529" s="128"/>
      <c r="BF2529" s="128"/>
      <c r="BG2529" s="128"/>
      <c r="BH2529" s="128"/>
      <c r="BI2529" s="128"/>
      <c r="BJ2529" s="128"/>
      <c r="BK2529" s="128"/>
      <c r="BL2529" s="128"/>
      <c r="BM2529" s="151"/>
      <c r="BN2529" s="128"/>
      <c r="BO2529" s="128"/>
      <c r="BP2529" s="128"/>
      <c r="BQ2529" s="128"/>
      <c r="BR2529" s="128"/>
      <c r="BS2529" s="128"/>
      <c r="BT2529" s="128"/>
      <c r="BU2529" s="128"/>
      <c r="BV2529" s="128"/>
      <c r="BW2529" s="128"/>
      <c r="BX2529" s="128"/>
      <c r="BY2529" s="128"/>
      <c r="BZ2529" s="128"/>
      <c r="CA2529" s="128"/>
      <c r="CB2529" s="128"/>
      <c r="CC2529" s="128"/>
      <c r="CD2529" s="128"/>
      <c r="CE2529" s="128"/>
      <c r="CF2529" s="128"/>
      <c r="CG2529" s="128"/>
      <c r="CI2529" s="128"/>
      <c r="CJ2529" s="128"/>
      <c r="CK2529" s="128"/>
      <c r="CL2529" s="128"/>
      <c r="CM2529" s="128"/>
      <c r="CN2529" s="128"/>
      <c r="CO2529" s="128"/>
      <c r="CP2529" s="128"/>
      <c r="CQ2529" s="128"/>
      <c r="CR2529" s="128"/>
      <c r="CS2529" s="128"/>
      <c r="CT2529" s="128"/>
      <c r="CU2529" s="128"/>
      <c r="CV2529" s="128"/>
      <c r="CW2529" s="128"/>
      <c r="CX2529" s="128"/>
      <c r="CY2529" s="128"/>
      <c r="CZ2529" s="165"/>
    </row>
    <row r="2530" spans="1:104">
      <c r="A2530" s="149"/>
      <c r="B2530" s="149"/>
      <c r="C2530" s="150"/>
      <c r="D2530" s="102"/>
      <c r="E2530" s="149"/>
      <c r="F2530" s="149"/>
      <c r="G2530" s="149"/>
      <c r="H2530" s="149"/>
      <c r="I2530" s="149"/>
      <c r="J2530" s="149"/>
      <c r="K2530" s="149"/>
      <c r="L2530" s="149"/>
      <c r="M2530" s="149"/>
      <c r="N2530" s="149"/>
      <c r="O2530" s="149"/>
      <c r="P2530" s="149"/>
      <c r="Q2530" s="149"/>
      <c r="R2530" s="149"/>
      <c r="S2530" s="149"/>
      <c r="T2530" s="149"/>
      <c r="U2530" s="149"/>
      <c r="V2530" s="149"/>
      <c r="W2530" s="149"/>
      <c r="X2530" s="149"/>
      <c r="Y2530" s="149"/>
      <c r="Z2530" s="149"/>
      <c r="AA2530" s="149"/>
      <c r="AB2530" s="149"/>
      <c r="AC2530" s="149"/>
      <c r="AD2530" s="149"/>
      <c r="AE2530" s="149"/>
      <c r="AF2530" s="149"/>
      <c r="AG2530" s="149"/>
      <c r="AH2530" s="149"/>
      <c r="AI2530" s="149"/>
      <c r="AJ2530" s="149"/>
      <c r="AK2530" s="149"/>
      <c r="AL2530" s="149"/>
      <c r="AM2530" s="149"/>
      <c r="AN2530" s="149"/>
      <c r="AO2530" s="128"/>
      <c r="AP2530" s="128"/>
      <c r="AQ2530" s="128"/>
      <c r="AR2530" s="128"/>
      <c r="AS2530" s="128"/>
      <c r="AT2530" s="128"/>
      <c r="AU2530" s="128"/>
      <c r="AV2530" s="128"/>
      <c r="AW2530" s="128"/>
      <c r="AX2530" s="128"/>
      <c r="AY2530" s="128"/>
      <c r="AZ2530" s="128"/>
      <c r="BA2530" s="128"/>
      <c r="BB2530" s="128"/>
      <c r="BC2530" s="128"/>
      <c r="BD2530" s="128"/>
      <c r="BE2530" s="128"/>
      <c r="BF2530" s="128"/>
      <c r="BG2530" s="128"/>
      <c r="BH2530" s="128"/>
      <c r="BI2530" s="128"/>
      <c r="BJ2530" s="128"/>
      <c r="BK2530" s="128"/>
      <c r="BL2530" s="128"/>
      <c r="BM2530" s="151"/>
      <c r="BN2530" s="128"/>
      <c r="BO2530" s="128"/>
      <c r="BP2530" s="128"/>
      <c r="BQ2530" s="128"/>
      <c r="BR2530" s="128"/>
      <c r="BS2530" s="128"/>
      <c r="BT2530" s="128"/>
      <c r="BU2530" s="128"/>
      <c r="BV2530" s="128"/>
      <c r="BW2530" s="128"/>
      <c r="BX2530" s="128"/>
      <c r="BY2530" s="128"/>
      <c r="BZ2530" s="128"/>
      <c r="CA2530" s="128"/>
      <c r="CB2530" s="128"/>
      <c r="CC2530" s="128"/>
      <c r="CD2530" s="128"/>
      <c r="CE2530" s="128"/>
      <c r="CF2530" s="128"/>
      <c r="CG2530" s="128"/>
      <c r="CI2530" s="128"/>
      <c r="CJ2530" s="128"/>
      <c r="CK2530" s="128"/>
      <c r="CL2530" s="128"/>
      <c r="CM2530" s="128"/>
      <c r="CN2530" s="128"/>
      <c r="CO2530" s="128"/>
      <c r="CP2530" s="128"/>
      <c r="CQ2530" s="128"/>
      <c r="CR2530" s="128"/>
      <c r="CS2530" s="128"/>
      <c r="CT2530" s="128"/>
      <c r="CU2530" s="128"/>
      <c r="CV2530" s="128"/>
      <c r="CW2530" s="128"/>
      <c r="CX2530" s="128"/>
      <c r="CY2530" s="128"/>
      <c r="CZ2530" s="165"/>
    </row>
    <row r="2531" spans="1:104">
      <c r="A2531" s="149"/>
      <c r="B2531" s="149"/>
      <c r="C2531" s="150"/>
      <c r="D2531" s="102"/>
      <c r="E2531" s="149"/>
      <c r="F2531" s="149"/>
      <c r="G2531" s="149"/>
      <c r="H2531" s="149"/>
      <c r="I2531" s="149"/>
      <c r="J2531" s="149"/>
      <c r="K2531" s="149"/>
      <c r="L2531" s="149"/>
      <c r="M2531" s="149"/>
      <c r="N2531" s="149"/>
      <c r="O2531" s="149"/>
      <c r="P2531" s="149"/>
      <c r="Q2531" s="149"/>
      <c r="R2531" s="149"/>
      <c r="S2531" s="149"/>
      <c r="T2531" s="149"/>
      <c r="U2531" s="149"/>
      <c r="V2531" s="149"/>
      <c r="W2531" s="149"/>
      <c r="X2531" s="149"/>
      <c r="Y2531" s="149"/>
      <c r="Z2531" s="149"/>
      <c r="AA2531" s="149"/>
      <c r="AB2531" s="149"/>
      <c r="AC2531" s="149"/>
      <c r="AD2531" s="149"/>
      <c r="AE2531" s="149"/>
      <c r="AF2531" s="149"/>
      <c r="AG2531" s="149"/>
      <c r="AH2531" s="149"/>
      <c r="AI2531" s="149"/>
      <c r="AJ2531" s="149"/>
      <c r="AK2531" s="149"/>
      <c r="AL2531" s="149"/>
      <c r="AM2531" s="149"/>
      <c r="AN2531" s="149"/>
      <c r="AO2531" s="128"/>
      <c r="AP2531" s="128"/>
      <c r="AQ2531" s="128"/>
      <c r="AR2531" s="128"/>
      <c r="AS2531" s="128"/>
      <c r="AT2531" s="128"/>
      <c r="AU2531" s="128"/>
      <c r="AV2531" s="128"/>
      <c r="AW2531" s="128"/>
      <c r="AX2531" s="128"/>
      <c r="AY2531" s="128"/>
      <c r="AZ2531" s="128"/>
      <c r="BA2531" s="128"/>
      <c r="BB2531" s="128"/>
      <c r="BC2531" s="128"/>
      <c r="BD2531" s="128"/>
      <c r="BE2531" s="128"/>
      <c r="BF2531" s="128"/>
      <c r="BG2531" s="128"/>
      <c r="BH2531" s="128"/>
      <c r="BI2531" s="128"/>
      <c r="BJ2531" s="128"/>
      <c r="BK2531" s="128"/>
      <c r="BL2531" s="128"/>
      <c r="BM2531" s="151"/>
      <c r="BN2531" s="128"/>
      <c r="BO2531" s="128"/>
      <c r="BP2531" s="128"/>
      <c r="BQ2531" s="128"/>
      <c r="BR2531" s="128"/>
      <c r="BS2531" s="128"/>
      <c r="BT2531" s="128"/>
      <c r="BU2531" s="128"/>
      <c r="BV2531" s="128"/>
      <c r="BW2531" s="128"/>
      <c r="BX2531" s="128"/>
      <c r="BY2531" s="128"/>
      <c r="BZ2531" s="128"/>
      <c r="CA2531" s="128"/>
      <c r="CB2531" s="128"/>
      <c r="CC2531" s="128"/>
      <c r="CD2531" s="128"/>
      <c r="CE2531" s="128"/>
      <c r="CF2531" s="128"/>
      <c r="CG2531" s="128"/>
      <c r="CI2531" s="128"/>
      <c r="CJ2531" s="128"/>
      <c r="CK2531" s="128"/>
      <c r="CL2531" s="128"/>
      <c r="CM2531" s="128"/>
      <c r="CN2531" s="128"/>
      <c r="CO2531" s="128"/>
      <c r="CP2531" s="128"/>
      <c r="CQ2531" s="128"/>
      <c r="CR2531" s="128"/>
      <c r="CS2531" s="128"/>
      <c r="CT2531" s="128"/>
      <c r="CU2531" s="128"/>
      <c r="CV2531" s="128"/>
      <c r="CW2531" s="128"/>
      <c r="CX2531" s="128"/>
      <c r="CY2531" s="128"/>
      <c r="CZ2531" s="165"/>
    </row>
    <row r="2532" spans="1:104">
      <c r="A2532" s="149"/>
      <c r="B2532" s="149"/>
      <c r="C2532" s="150"/>
      <c r="D2532" s="102"/>
      <c r="E2532" s="149"/>
      <c r="F2532" s="149"/>
      <c r="G2532" s="149"/>
      <c r="H2532" s="149"/>
      <c r="I2532" s="149"/>
      <c r="J2532" s="149"/>
      <c r="K2532" s="149"/>
      <c r="L2532" s="149"/>
      <c r="M2532" s="149"/>
      <c r="N2532" s="149"/>
      <c r="O2532" s="149"/>
      <c r="P2532" s="149"/>
      <c r="Q2532" s="149"/>
      <c r="R2532" s="149"/>
      <c r="S2532" s="149"/>
      <c r="T2532" s="149"/>
      <c r="U2532" s="149"/>
      <c r="V2532" s="149"/>
      <c r="W2532" s="149"/>
      <c r="X2532" s="149"/>
      <c r="Y2532" s="149"/>
      <c r="Z2532" s="149"/>
      <c r="AA2532" s="149"/>
      <c r="AB2532" s="149"/>
      <c r="AC2532" s="149"/>
      <c r="AD2532" s="149"/>
      <c r="AE2532" s="149"/>
      <c r="AF2532" s="149"/>
      <c r="AG2532" s="149"/>
      <c r="AH2532" s="149"/>
      <c r="AI2532" s="149"/>
      <c r="AJ2532" s="149"/>
      <c r="AK2532" s="149"/>
      <c r="AL2532" s="149"/>
      <c r="AM2532" s="149"/>
      <c r="AN2532" s="149"/>
      <c r="AO2532" s="128"/>
      <c r="AP2532" s="128"/>
      <c r="AQ2532" s="128"/>
      <c r="AR2532" s="128"/>
      <c r="AS2532" s="128"/>
      <c r="AT2532" s="128"/>
      <c r="AU2532" s="128"/>
      <c r="AV2532" s="128"/>
      <c r="AW2532" s="128"/>
      <c r="AX2532" s="128"/>
      <c r="AY2532" s="128"/>
      <c r="AZ2532" s="128"/>
      <c r="BA2532" s="128"/>
      <c r="BB2532" s="128"/>
      <c r="BC2532" s="128"/>
      <c r="BD2532" s="128"/>
      <c r="BE2532" s="128"/>
      <c r="BF2532" s="128"/>
      <c r="BG2532" s="128"/>
      <c r="BH2532" s="128"/>
      <c r="BI2532" s="128"/>
      <c r="BJ2532" s="128"/>
      <c r="BK2532" s="128"/>
      <c r="BL2532" s="128"/>
      <c r="BM2532" s="151"/>
      <c r="BN2532" s="128"/>
      <c r="BO2532" s="128"/>
      <c r="BP2532" s="128"/>
      <c r="BQ2532" s="128"/>
      <c r="BR2532" s="128"/>
      <c r="BS2532" s="128"/>
      <c r="BT2532" s="128"/>
      <c r="BU2532" s="128"/>
      <c r="BV2532" s="128"/>
      <c r="BW2532" s="128"/>
      <c r="BX2532" s="128"/>
      <c r="BY2532" s="128"/>
      <c r="BZ2532" s="128"/>
      <c r="CA2532" s="128"/>
      <c r="CB2532" s="128"/>
      <c r="CC2532" s="128"/>
      <c r="CD2532" s="128"/>
      <c r="CE2532" s="128"/>
      <c r="CF2532" s="128"/>
      <c r="CG2532" s="128"/>
      <c r="CI2532" s="128"/>
      <c r="CJ2532" s="128"/>
      <c r="CK2532" s="128"/>
      <c r="CL2532" s="128"/>
      <c r="CM2532" s="128"/>
      <c r="CN2532" s="128"/>
      <c r="CO2532" s="128"/>
      <c r="CP2532" s="128"/>
      <c r="CQ2532" s="128"/>
      <c r="CR2532" s="128"/>
      <c r="CS2532" s="128"/>
      <c r="CT2532" s="128"/>
      <c r="CU2532" s="128"/>
      <c r="CV2532" s="128"/>
      <c r="CW2532" s="128"/>
      <c r="CX2532" s="128"/>
      <c r="CY2532" s="128"/>
      <c r="CZ2532" s="165"/>
    </row>
    <row r="2533" spans="1:104">
      <c r="A2533" s="149"/>
      <c r="B2533" s="149"/>
      <c r="C2533" s="150"/>
      <c r="D2533" s="102"/>
      <c r="E2533" s="149"/>
      <c r="F2533" s="149"/>
      <c r="G2533" s="149"/>
      <c r="H2533" s="149"/>
      <c r="I2533" s="149"/>
      <c r="J2533" s="149"/>
      <c r="K2533" s="149"/>
      <c r="L2533" s="149"/>
      <c r="M2533" s="149"/>
      <c r="N2533" s="149"/>
      <c r="O2533" s="149"/>
      <c r="P2533" s="149"/>
      <c r="Q2533" s="149"/>
      <c r="R2533" s="149"/>
      <c r="S2533" s="149"/>
      <c r="T2533" s="149"/>
      <c r="U2533" s="149"/>
      <c r="V2533" s="149"/>
      <c r="W2533" s="149"/>
      <c r="X2533" s="149"/>
      <c r="Y2533" s="149"/>
      <c r="Z2533" s="149"/>
      <c r="AA2533" s="149"/>
      <c r="AB2533" s="149"/>
      <c r="AC2533" s="149"/>
      <c r="AD2533" s="149"/>
      <c r="AE2533" s="149"/>
      <c r="AF2533" s="149"/>
      <c r="AG2533" s="149"/>
      <c r="AH2533" s="149"/>
      <c r="AI2533" s="149"/>
      <c r="AJ2533" s="149"/>
      <c r="AK2533" s="149"/>
      <c r="AL2533" s="149"/>
      <c r="AM2533" s="149"/>
      <c r="AN2533" s="149"/>
      <c r="AO2533" s="128"/>
      <c r="AP2533" s="128"/>
      <c r="AQ2533" s="128"/>
      <c r="AR2533" s="128"/>
      <c r="AS2533" s="128"/>
      <c r="AT2533" s="128"/>
      <c r="AU2533" s="128"/>
      <c r="AV2533" s="128"/>
      <c r="AW2533" s="128"/>
      <c r="AX2533" s="128"/>
      <c r="AY2533" s="128"/>
      <c r="AZ2533" s="128"/>
      <c r="BA2533" s="128"/>
      <c r="BB2533" s="128"/>
      <c r="BC2533" s="128"/>
      <c r="BD2533" s="128"/>
      <c r="BE2533" s="128"/>
      <c r="BF2533" s="128"/>
      <c r="BG2533" s="128"/>
      <c r="BH2533" s="128"/>
      <c r="BI2533" s="128"/>
      <c r="BJ2533" s="128"/>
      <c r="BK2533" s="128"/>
      <c r="BL2533" s="128"/>
      <c r="BM2533" s="151"/>
      <c r="BN2533" s="128"/>
      <c r="BO2533" s="128"/>
      <c r="BP2533" s="128"/>
      <c r="BQ2533" s="128"/>
      <c r="BR2533" s="128"/>
      <c r="BS2533" s="128"/>
      <c r="BT2533" s="128"/>
      <c r="BU2533" s="128"/>
      <c r="BV2533" s="128"/>
      <c r="BW2533" s="128"/>
      <c r="BX2533" s="128"/>
      <c r="BY2533" s="128"/>
      <c r="BZ2533" s="128"/>
      <c r="CA2533" s="128"/>
      <c r="CB2533" s="128"/>
      <c r="CC2533" s="128"/>
      <c r="CD2533" s="128"/>
      <c r="CE2533" s="128"/>
      <c r="CF2533" s="128"/>
      <c r="CG2533" s="128"/>
      <c r="CI2533" s="128"/>
      <c r="CJ2533" s="128"/>
      <c r="CK2533" s="128"/>
      <c r="CL2533" s="128"/>
      <c r="CM2533" s="128"/>
      <c r="CN2533" s="128"/>
      <c r="CO2533" s="128"/>
      <c r="CP2533" s="128"/>
      <c r="CQ2533" s="128"/>
      <c r="CR2533" s="128"/>
      <c r="CS2533" s="128"/>
      <c r="CT2533" s="128"/>
      <c r="CU2533" s="128"/>
      <c r="CV2533" s="128"/>
      <c r="CW2533" s="128"/>
      <c r="CX2533" s="128"/>
      <c r="CY2533" s="128"/>
      <c r="CZ2533" s="165"/>
    </row>
    <row r="2534" spans="1:104">
      <c r="A2534" s="149"/>
      <c r="B2534" s="149"/>
      <c r="C2534" s="150"/>
      <c r="D2534" s="102"/>
      <c r="E2534" s="149"/>
      <c r="F2534" s="149"/>
      <c r="G2534" s="149"/>
      <c r="H2534" s="149"/>
      <c r="I2534" s="149"/>
      <c r="J2534" s="149"/>
      <c r="K2534" s="149"/>
      <c r="L2534" s="149"/>
      <c r="M2534" s="149"/>
      <c r="N2534" s="149"/>
      <c r="O2534" s="149"/>
      <c r="P2534" s="149"/>
      <c r="Q2534" s="149"/>
      <c r="R2534" s="149"/>
      <c r="S2534" s="149"/>
      <c r="T2534" s="149"/>
      <c r="U2534" s="149"/>
      <c r="V2534" s="149"/>
      <c r="W2534" s="149"/>
      <c r="X2534" s="149"/>
      <c r="Y2534" s="149"/>
      <c r="Z2534" s="149"/>
      <c r="AA2534" s="149"/>
      <c r="AB2534" s="149"/>
      <c r="AC2534" s="149"/>
      <c r="AD2534" s="149"/>
      <c r="AE2534" s="149"/>
      <c r="AF2534" s="149"/>
      <c r="AG2534" s="149"/>
      <c r="AH2534" s="149"/>
      <c r="AI2534" s="149"/>
      <c r="AJ2534" s="149"/>
      <c r="AK2534" s="149"/>
      <c r="AL2534" s="149"/>
      <c r="AM2534" s="149"/>
      <c r="AN2534" s="149"/>
      <c r="AO2534" s="128"/>
      <c r="AP2534" s="128"/>
      <c r="AQ2534" s="128"/>
      <c r="AR2534" s="128"/>
      <c r="AS2534" s="128"/>
      <c r="AT2534" s="128"/>
      <c r="AU2534" s="128"/>
      <c r="AV2534" s="128"/>
      <c r="AW2534" s="128"/>
      <c r="AX2534" s="128"/>
      <c r="AY2534" s="128"/>
      <c r="AZ2534" s="128"/>
      <c r="BA2534" s="128"/>
      <c r="BB2534" s="128"/>
      <c r="BC2534" s="128"/>
      <c r="BD2534" s="128"/>
      <c r="BE2534" s="128"/>
      <c r="BF2534" s="128"/>
      <c r="BG2534" s="128"/>
      <c r="BH2534" s="128"/>
      <c r="BI2534" s="128"/>
      <c r="BJ2534" s="128"/>
      <c r="BK2534" s="128"/>
      <c r="BL2534" s="128"/>
      <c r="BM2534" s="151"/>
      <c r="BN2534" s="128"/>
      <c r="BO2534" s="128"/>
      <c r="BP2534" s="128"/>
      <c r="BQ2534" s="128"/>
      <c r="BR2534" s="128"/>
      <c r="BS2534" s="128"/>
      <c r="BT2534" s="128"/>
      <c r="BU2534" s="128"/>
      <c r="BV2534" s="128"/>
      <c r="BW2534" s="128"/>
      <c r="BX2534" s="128"/>
      <c r="BY2534" s="128"/>
      <c r="BZ2534" s="128"/>
      <c r="CA2534" s="128"/>
      <c r="CB2534" s="128"/>
      <c r="CC2534" s="128"/>
      <c r="CD2534" s="128"/>
      <c r="CE2534" s="128"/>
      <c r="CF2534" s="128"/>
      <c r="CG2534" s="128"/>
      <c r="CI2534" s="128"/>
      <c r="CJ2534" s="128"/>
      <c r="CK2534" s="128"/>
      <c r="CL2534" s="128"/>
      <c r="CM2534" s="128"/>
      <c r="CN2534" s="128"/>
      <c r="CO2534" s="128"/>
      <c r="CP2534" s="128"/>
      <c r="CQ2534" s="128"/>
      <c r="CR2534" s="128"/>
      <c r="CS2534" s="128"/>
      <c r="CT2534" s="128"/>
      <c r="CU2534" s="128"/>
      <c r="CV2534" s="128"/>
      <c r="CW2534" s="128"/>
      <c r="CX2534" s="128"/>
      <c r="CY2534" s="128"/>
      <c r="CZ2534" s="165"/>
    </row>
    <row r="2535" spans="1:104">
      <c r="A2535" s="149"/>
      <c r="B2535" s="149"/>
      <c r="C2535" s="150"/>
      <c r="D2535" s="102"/>
      <c r="E2535" s="149"/>
      <c r="F2535" s="149"/>
      <c r="G2535" s="149"/>
      <c r="H2535" s="149"/>
      <c r="I2535" s="149"/>
      <c r="J2535" s="149"/>
      <c r="K2535" s="149"/>
      <c r="L2535" s="149"/>
      <c r="M2535" s="149"/>
      <c r="N2535" s="149"/>
      <c r="O2535" s="149"/>
      <c r="P2535" s="149"/>
      <c r="Q2535" s="149"/>
      <c r="R2535" s="149"/>
      <c r="S2535" s="149"/>
      <c r="T2535" s="149"/>
      <c r="U2535" s="149"/>
      <c r="V2535" s="149"/>
      <c r="W2535" s="149"/>
      <c r="X2535" s="149"/>
      <c r="Y2535" s="149"/>
      <c r="Z2535" s="149"/>
      <c r="AA2535" s="149"/>
      <c r="AB2535" s="149"/>
      <c r="AC2535" s="149"/>
      <c r="AD2535" s="149"/>
      <c r="AE2535" s="149"/>
      <c r="AF2535" s="149"/>
      <c r="AG2535" s="149"/>
      <c r="AH2535" s="149"/>
      <c r="AI2535" s="149"/>
      <c r="AJ2535" s="149"/>
      <c r="AK2535" s="149"/>
      <c r="AL2535" s="149"/>
      <c r="AM2535" s="149"/>
      <c r="AN2535" s="149"/>
      <c r="AO2535" s="128"/>
      <c r="AP2535" s="128"/>
      <c r="AQ2535" s="128"/>
      <c r="AR2535" s="128"/>
      <c r="AS2535" s="128"/>
      <c r="AT2535" s="128"/>
      <c r="AU2535" s="128"/>
      <c r="AV2535" s="128"/>
      <c r="AW2535" s="128"/>
      <c r="AX2535" s="128"/>
      <c r="AY2535" s="128"/>
      <c r="AZ2535" s="128"/>
      <c r="BA2535" s="128"/>
      <c r="BB2535" s="128"/>
      <c r="BC2535" s="128"/>
      <c r="BD2535" s="128"/>
      <c r="BE2535" s="128"/>
      <c r="BF2535" s="128"/>
      <c r="BG2535" s="128"/>
      <c r="BH2535" s="128"/>
      <c r="BI2535" s="128"/>
      <c r="BJ2535" s="128"/>
      <c r="BK2535" s="128"/>
      <c r="BL2535" s="128"/>
      <c r="BM2535" s="151"/>
      <c r="BN2535" s="128"/>
      <c r="BO2535" s="128"/>
      <c r="BP2535" s="128"/>
      <c r="BQ2535" s="128"/>
      <c r="BR2535" s="128"/>
      <c r="BS2535" s="128"/>
      <c r="BT2535" s="128"/>
      <c r="BU2535" s="128"/>
      <c r="BV2535" s="128"/>
      <c r="BW2535" s="128"/>
      <c r="BX2535" s="128"/>
      <c r="BY2535" s="128"/>
      <c r="BZ2535" s="128"/>
      <c r="CA2535" s="128"/>
      <c r="CB2535" s="128"/>
      <c r="CC2535" s="128"/>
      <c r="CD2535" s="128"/>
      <c r="CE2535" s="128"/>
      <c r="CF2535" s="128"/>
      <c r="CG2535" s="128"/>
      <c r="CI2535" s="128"/>
      <c r="CJ2535" s="128"/>
      <c r="CK2535" s="128"/>
      <c r="CL2535" s="128"/>
      <c r="CM2535" s="128"/>
      <c r="CN2535" s="128"/>
      <c r="CO2535" s="128"/>
      <c r="CP2535" s="128"/>
      <c r="CQ2535" s="128"/>
      <c r="CR2535" s="128"/>
      <c r="CS2535" s="128"/>
      <c r="CT2535" s="128"/>
      <c r="CU2535" s="128"/>
      <c r="CV2535" s="128"/>
      <c r="CW2535" s="128"/>
      <c r="CX2535" s="128"/>
      <c r="CY2535" s="128"/>
      <c r="CZ2535" s="165"/>
    </row>
    <row r="2536" spans="1:104">
      <c r="A2536" s="149"/>
      <c r="B2536" s="149"/>
      <c r="C2536" s="150"/>
      <c r="D2536" s="102"/>
      <c r="E2536" s="149"/>
      <c r="F2536" s="149"/>
      <c r="G2536" s="149"/>
      <c r="H2536" s="149"/>
      <c r="I2536" s="149"/>
      <c r="J2536" s="149"/>
      <c r="K2536" s="149"/>
      <c r="L2536" s="149"/>
      <c r="M2536" s="149"/>
      <c r="N2536" s="149"/>
      <c r="O2536" s="149"/>
      <c r="P2536" s="149"/>
      <c r="Q2536" s="149"/>
      <c r="R2536" s="149"/>
      <c r="S2536" s="149"/>
      <c r="T2536" s="149"/>
      <c r="U2536" s="149"/>
      <c r="V2536" s="149"/>
      <c r="W2536" s="149"/>
      <c r="X2536" s="149"/>
      <c r="Y2536" s="149"/>
      <c r="Z2536" s="149"/>
      <c r="AA2536" s="149"/>
      <c r="AB2536" s="149"/>
      <c r="AC2536" s="149"/>
      <c r="AD2536" s="149"/>
      <c r="AE2536" s="149"/>
      <c r="AF2536" s="149"/>
      <c r="AG2536" s="149"/>
      <c r="AH2536" s="149"/>
      <c r="AI2536" s="149"/>
      <c r="AJ2536" s="149"/>
      <c r="AK2536" s="149"/>
      <c r="AL2536" s="149"/>
      <c r="AM2536" s="149"/>
      <c r="AN2536" s="149"/>
      <c r="AO2536" s="128"/>
      <c r="AP2536" s="128"/>
      <c r="AQ2536" s="128"/>
      <c r="AR2536" s="128"/>
      <c r="AS2536" s="128"/>
      <c r="AT2536" s="128"/>
      <c r="AU2536" s="128"/>
      <c r="AV2536" s="128"/>
      <c r="AW2536" s="128"/>
      <c r="AX2536" s="128"/>
      <c r="AY2536" s="128"/>
      <c r="AZ2536" s="128"/>
      <c r="BA2536" s="128"/>
      <c r="BB2536" s="128"/>
      <c r="BC2536" s="128"/>
      <c r="BD2536" s="128"/>
      <c r="BE2536" s="128"/>
      <c r="BF2536" s="128"/>
      <c r="BG2536" s="128"/>
      <c r="BH2536" s="128"/>
      <c r="BI2536" s="128"/>
      <c r="BJ2536" s="128"/>
      <c r="BK2536" s="128"/>
      <c r="BL2536" s="128"/>
      <c r="BM2536" s="151"/>
      <c r="BN2536" s="128"/>
      <c r="BO2536" s="128"/>
      <c r="BP2536" s="128"/>
      <c r="BQ2536" s="128"/>
      <c r="BR2536" s="128"/>
      <c r="BS2536" s="128"/>
      <c r="BT2536" s="128"/>
      <c r="BU2536" s="128"/>
      <c r="BV2536" s="128"/>
      <c r="BW2536" s="128"/>
      <c r="BX2536" s="128"/>
      <c r="BY2536" s="128"/>
      <c r="BZ2536" s="128"/>
      <c r="CA2536" s="128"/>
      <c r="CB2536" s="128"/>
      <c r="CC2536" s="128"/>
      <c r="CD2536" s="128"/>
      <c r="CE2536" s="128"/>
      <c r="CF2536" s="128"/>
      <c r="CG2536" s="128"/>
      <c r="CI2536" s="128"/>
      <c r="CJ2536" s="128"/>
      <c r="CK2536" s="128"/>
      <c r="CL2536" s="128"/>
      <c r="CM2536" s="128"/>
      <c r="CN2536" s="128"/>
      <c r="CO2536" s="128"/>
      <c r="CP2536" s="128"/>
      <c r="CQ2536" s="128"/>
      <c r="CR2536" s="128"/>
      <c r="CS2536" s="128"/>
      <c r="CT2536" s="128"/>
      <c r="CU2536" s="128"/>
      <c r="CV2536" s="128"/>
      <c r="CW2536" s="128"/>
      <c r="CX2536" s="128"/>
      <c r="CY2536" s="128"/>
      <c r="CZ2536" s="165"/>
    </row>
    <row r="2537" spans="1:104">
      <c r="A2537" s="149"/>
      <c r="B2537" s="149"/>
      <c r="C2537" s="150"/>
      <c r="D2537" s="102"/>
      <c r="E2537" s="149"/>
      <c r="F2537" s="149"/>
      <c r="G2537" s="149"/>
      <c r="H2537" s="149"/>
      <c r="I2537" s="149"/>
      <c r="J2537" s="149"/>
      <c r="K2537" s="149"/>
      <c r="L2537" s="149"/>
      <c r="M2537" s="149"/>
      <c r="N2537" s="149"/>
      <c r="O2537" s="149"/>
      <c r="P2537" s="149"/>
      <c r="Q2537" s="149"/>
      <c r="R2537" s="149"/>
      <c r="S2537" s="149"/>
      <c r="T2537" s="149"/>
      <c r="U2537" s="149"/>
      <c r="V2537" s="149"/>
      <c r="W2537" s="149"/>
      <c r="X2537" s="149"/>
      <c r="Y2537" s="149"/>
      <c r="Z2537" s="149"/>
      <c r="AA2537" s="149"/>
      <c r="AB2537" s="149"/>
      <c r="AC2537" s="149"/>
      <c r="AD2537" s="149"/>
      <c r="AE2537" s="149"/>
      <c r="AF2537" s="149"/>
      <c r="AG2537" s="149"/>
      <c r="AH2537" s="149"/>
      <c r="AI2537" s="149"/>
      <c r="AJ2537" s="149"/>
      <c r="AK2537" s="149"/>
      <c r="AL2537" s="149"/>
      <c r="AM2537" s="149"/>
      <c r="AN2537" s="149"/>
      <c r="AO2537" s="128"/>
      <c r="AP2537" s="128"/>
      <c r="AQ2537" s="128"/>
      <c r="AR2537" s="128"/>
      <c r="AS2537" s="128"/>
      <c r="AT2537" s="128"/>
      <c r="AU2537" s="128"/>
      <c r="AV2537" s="128"/>
      <c r="AW2537" s="128"/>
      <c r="AX2537" s="128"/>
      <c r="AY2537" s="128"/>
      <c r="AZ2537" s="128"/>
      <c r="BA2537" s="128"/>
      <c r="BB2537" s="128"/>
      <c r="BC2537" s="128"/>
      <c r="BD2537" s="128"/>
      <c r="BE2537" s="128"/>
      <c r="BF2537" s="128"/>
      <c r="BG2537" s="128"/>
      <c r="BH2537" s="128"/>
      <c r="BI2537" s="128"/>
      <c r="BJ2537" s="128"/>
      <c r="BK2537" s="128"/>
      <c r="BL2537" s="128"/>
      <c r="BM2537" s="151"/>
      <c r="BN2537" s="128"/>
      <c r="BO2537" s="128"/>
      <c r="BP2537" s="128"/>
      <c r="BQ2537" s="128"/>
      <c r="BR2537" s="128"/>
      <c r="BS2537" s="128"/>
      <c r="BT2537" s="128"/>
      <c r="BU2537" s="128"/>
      <c r="BV2537" s="128"/>
      <c r="BW2537" s="128"/>
      <c r="BX2537" s="128"/>
      <c r="BY2537" s="128"/>
      <c r="BZ2537" s="128"/>
      <c r="CA2537" s="128"/>
      <c r="CB2537" s="128"/>
      <c r="CC2537" s="128"/>
      <c r="CD2537" s="128"/>
      <c r="CE2537" s="128"/>
      <c r="CF2537" s="128"/>
      <c r="CG2537" s="128"/>
      <c r="CI2537" s="128"/>
      <c r="CJ2537" s="128"/>
      <c r="CK2537" s="128"/>
      <c r="CL2537" s="128"/>
      <c r="CM2537" s="128"/>
      <c r="CN2537" s="128"/>
      <c r="CO2537" s="128"/>
      <c r="CP2537" s="128"/>
      <c r="CQ2537" s="128"/>
      <c r="CR2537" s="128"/>
      <c r="CS2537" s="128"/>
      <c r="CT2537" s="128"/>
      <c r="CU2537" s="128"/>
      <c r="CV2537" s="128"/>
      <c r="CW2537" s="128"/>
      <c r="CX2537" s="128"/>
      <c r="CY2537" s="128"/>
      <c r="CZ2537" s="165"/>
    </row>
    <row r="2538" spans="1:104">
      <c r="A2538" s="149"/>
      <c r="B2538" s="149"/>
      <c r="C2538" s="150"/>
      <c r="D2538" s="102"/>
      <c r="E2538" s="149"/>
      <c r="F2538" s="149"/>
      <c r="G2538" s="149"/>
      <c r="H2538" s="149"/>
      <c r="I2538" s="149"/>
      <c r="J2538" s="149"/>
      <c r="K2538" s="149"/>
      <c r="L2538" s="149"/>
      <c r="M2538" s="149"/>
      <c r="N2538" s="149"/>
      <c r="O2538" s="149"/>
      <c r="P2538" s="149"/>
      <c r="Q2538" s="149"/>
      <c r="R2538" s="149"/>
      <c r="S2538" s="149"/>
      <c r="T2538" s="149"/>
      <c r="U2538" s="149"/>
      <c r="V2538" s="149"/>
      <c r="W2538" s="149"/>
      <c r="X2538" s="149"/>
      <c r="Y2538" s="149"/>
      <c r="Z2538" s="149"/>
      <c r="AA2538" s="149"/>
      <c r="AB2538" s="149"/>
      <c r="AC2538" s="149"/>
      <c r="AD2538" s="149"/>
      <c r="AE2538" s="149"/>
      <c r="AF2538" s="149"/>
      <c r="AG2538" s="149"/>
      <c r="AH2538" s="149"/>
      <c r="AI2538" s="149"/>
      <c r="AJ2538" s="149"/>
      <c r="AK2538" s="149"/>
      <c r="AL2538" s="149"/>
      <c r="AM2538" s="149"/>
      <c r="AN2538" s="149"/>
      <c r="AO2538" s="128"/>
      <c r="AP2538" s="128"/>
      <c r="AQ2538" s="128"/>
      <c r="AR2538" s="128"/>
      <c r="AS2538" s="128"/>
      <c r="AT2538" s="128"/>
      <c r="AU2538" s="128"/>
      <c r="AV2538" s="128"/>
      <c r="AW2538" s="128"/>
      <c r="AX2538" s="128"/>
      <c r="AY2538" s="128"/>
      <c r="AZ2538" s="128"/>
      <c r="BA2538" s="128"/>
      <c r="BB2538" s="128"/>
      <c r="BC2538" s="128"/>
      <c r="BD2538" s="128"/>
      <c r="BE2538" s="128"/>
      <c r="BF2538" s="128"/>
      <c r="BG2538" s="128"/>
      <c r="BH2538" s="128"/>
      <c r="BI2538" s="128"/>
      <c r="BJ2538" s="128"/>
      <c r="BK2538" s="128"/>
      <c r="BL2538" s="128"/>
      <c r="BM2538" s="151"/>
      <c r="BN2538" s="128"/>
      <c r="BO2538" s="128"/>
      <c r="BP2538" s="128"/>
      <c r="BQ2538" s="128"/>
      <c r="BR2538" s="128"/>
      <c r="BS2538" s="128"/>
      <c r="BT2538" s="128"/>
      <c r="BU2538" s="128"/>
      <c r="BV2538" s="128"/>
      <c r="BW2538" s="128"/>
      <c r="BX2538" s="128"/>
      <c r="BY2538" s="128"/>
      <c r="BZ2538" s="128"/>
      <c r="CA2538" s="128"/>
      <c r="CB2538" s="128"/>
      <c r="CC2538" s="128"/>
      <c r="CD2538" s="128"/>
      <c r="CE2538" s="128"/>
      <c r="CF2538" s="128"/>
      <c r="CG2538" s="128"/>
      <c r="CI2538" s="128"/>
      <c r="CJ2538" s="128"/>
      <c r="CK2538" s="128"/>
      <c r="CL2538" s="128"/>
      <c r="CM2538" s="128"/>
      <c r="CN2538" s="128"/>
      <c r="CO2538" s="128"/>
      <c r="CP2538" s="128"/>
      <c r="CQ2538" s="128"/>
      <c r="CR2538" s="128"/>
      <c r="CS2538" s="128"/>
      <c r="CT2538" s="128"/>
      <c r="CU2538" s="128"/>
      <c r="CV2538" s="128"/>
      <c r="CW2538" s="128"/>
      <c r="CX2538" s="128"/>
      <c r="CY2538" s="128"/>
      <c r="CZ2538" s="165"/>
    </row>
    <row r="2539" spans="1:104">
      <c r="A2539" s="149"/>
      <c r="B2539" s="149"/>
      <c r="C2539" s="150"/>
      <c r="D2539" s="102"/>
      <c r="E2539" s="149"/>
      <c r="F2539" s="149"/>
      <c r="G2539" s="149"/>
      <c r="H2539" s="149"/>
      <c r="I2539" s="149"/>
      <c r="J2539" s="149"/>
      <c r="K2539" s="149"/>
      <c r="L2539" s="149"/>
      <c r="M2539" s="149"/>
      <c r="N2539" s="149"/>
      <c r="O2539" s="149"/>
      <c r="P2539" s="149"/>
      <c r="Q2539" s="149"/>
      <c r="R2539" s="149"/>
      <c r="S2539" s="149"/>
      <c r="T2539" s="149"/>
      <c r="U2539" s="149"/>
      <c r="V2539" s="149"/>
      <c r="W2539" s="149"/>
      <c r="X2539" s="149"/>
      <c r="Y2539" s="149"/>
      <c r="Z2539" s="149"/>
      <c r="AA2539" s="149"/>
      <c r="AB2539" s="149"/>
      <c r="AC2539" s="149"/>
      <c r="AD2539" s="149"/>
      <c r="AE2539" s="149"/>
      <c r="AF2539" s="149"/>
      <c r="AG2539" s="149"/>
      <c r="AH2539" s="149"/>
      <c r="AI2539" s="149"/>
      <c r="AJ2539" s="149"/>
      <c r="AK2539" s="149"/>
      <c r="AL2539" s="149"/>
      <c r="AM2539" s="149"/>
      <c r="AN2539" s="149"/>
      <c r="AO2539" s="128"/>
      <c r="AP2539" s="128"/>
      <c r="AQ2539" s="128"/>
      <c r="AR2539" s="128"/>
      <c r="AS2539" s="128"/>
      <c r="AT2539" s="128"/>
      <c r="AU2539" s="128"/>
      <c r="AV2539" s="128"/>
      <c r="AW2539" s="128"/>
      <c r="AX2539" s="128"/>
      <c r="AY2539" s="128"/>
      <c r="AZ2539" s="128"/>
      <c r="BA2539" s="128"/>
      <c r="BB2539" s="128"/>
      <c r="BC2539" s="128"/>
      <c r="BD2539" s="128"/>
      <c r="BE2539" s="128"/>
      <c r="BF2539" s="128"/>
      <c r="BG2539" s="128"/>
      <c r="BH2539" s="128"/>
      <c r="BI2539" s="128"/>
      <c r="BJ2539" s="128"/>
      <c r="BK2539" s="128"/>
      <c r="BL2539" s="128"/>
      <c r="BM2539" s="151"/>
      <c r="BN2539" s="128"/>
      <c r="BO2539" s="128"/>
      <c r="BP2539" s="128"/>
      <c r="BQ2539" s="128"/>
      <c r="BR2539" s="128"/>
      <c r="BS2539" s="128"/>
      <c r="BT2539" s="128"/>
      <c r="BU2539" s="128"/>
      <c r="BV2539" s="128"/>
      <c r="BW2539" s="128"/>
      <c r="BX2539" s="128"/>
      <c r="BY2539" s="128"/>
      <c r="BZ2539" s="128"/>
      <c r="CA2539" s="128"/>
      <c r="CB2539" s="128"/>
      <c r="CC2539" s="128"/>
      <c r="CD2539" s="128"/>
      <c r="CE2539" s="128"/>
      <c r="CF2539" s="128"/>
      <c r="CG2539" s="128"/>
      <c r="CI2539" s="128"/>
      <c r="CJ2539" s="128"/>
      <c r="CK2539" s="128"/>
      <c r="CL2539" s="128"/>
      <c r="CM2539" s="128"/>
      <c r="CN2539" s="128"/>
      <c r="CO2539" s="128"/>
      <c r="CP2539" s="128"/>
      <c r="CQ2539" s="128"/>
      <c r="CR2539" s="128"/>
      <c r="CS2539" s="128"/>
      <c r="CT2539" s="128"/>
      <c r="CU2539" s="128"/>
      <c r="CV2539" s="128"/>
      <c r="CW2539" s="128"/>
      <c r="CX2539" s="128"/>
      <c r="CY2539" s="128"/>
      <c r="CZ2539" s="165"/>
    </row>
    <row r="2540" spans="1:104">
      <c r="A2540" s="149"/>
      <c r="B2540" s="149"/>
      <c r="C2540" s="150"/>
      <c r="D2540" s="102"/>
      <c r="E2540" s="149"/>
      <c r="F2540" s="149"/>
      <c r="G2540" s="149"/>
      <c r="H2540" s="149"/>
      <c r="I2540" s="149"/>
      <c r="J2540" s="149"/>
      <c r="K2540" s="149"/>
      <c r="L2540" s="149"/>
      <c r="M2540" s="149"/>
      <c r="N2540" s="149"/>
      <c r="O2540" s="149"/>
      <c r="P2540" s="149"/>
      <c r="Q2540" s="149"/>
      <c r="R2540" s="149"/>
      <c r="S2540" s="149"/>
      <c r="T2540" s="149"/>
      <c r="U2540" s="149"/>
      <c r="V2540" s="149"/>
      <c r="W2540" s="149"/>
      <c r="X2540" s="149"/>
      <c r="Y2540" s="149"/>
      <c r="Z2540" s="149"/>
      <c r="AA2540" s="149"/>
      <c r="AB2540" s="149"/>
      <c r="AC2540" s="149"/>
      <c r="AD2540" s="149"/>
      <c r="AE2540" s="149"/>
      <c r="AF2540" s="149"/>
      <c r="AG2540" s="149"/>
      <c r="AH2540" s="149"/>
      <c r="AI2540" s="149"/>
      <c r="AJ2540" s="149"/>
      <c r="AK2540" s="149"/>
      <c r="AL2540" s="149"/>
      <c r="AM2540" s="149"/>
      <c r="AN2540" s="149"/>
      <c r="AO2540" s="128"/>
      <c r="AP2540" s="128"/>
      <c r="AQ2540" s="128"/>
      <c r="AR2540" s="128"/>
      <c r="AS2540" s="128"/>
      <c r="AT2540" s="128"/>
      <c r="AU2540" s="128"/>
      <c r="AV2540" s="128"/>
      <c r="AW2540" s="128"/>
      <c r="AX2540" s="128"/>
      <c r="AY2540" s="128"/>
      <c r="AZ2540" s="128"/>
      <c r="BA2540" s="128"/>
      <c r="BB2540" s="128"/>
      <c r="BC2540" s="128"/>
      <c r="BD2540" s="128"/>
      <c r="BE2540" s="128"/>
      <c r="BF2540" s="128"/>
      <c r="BG2540" s="128"/>
      <c r="BH2540" s="128"/>
      <c r="BI2540" s="128"/>
      <c r="BJ2540" s="128"/>
      <c r="BK2540" s="128"/>
      <c r="BL2540" s="128"/>
      <c r="BM2540" s="151"/>
      <c r="BN2540" s="128"/>
      <c r="BO2540" s="128"/>
      <c r="BP2540" s="128"/>
      <c r="BQ2540" s="128"/>
      <c r="BR2540" s="128"/>
      <c r="BS2540" s="128"/>
      <c r="BT2540" s="128"/>
      <c r="BU2540" s="128"/>
      <c r="BV2540" s="128"/>
      <c r="BW2540" s="128"/>
      <c r="BX2540" s="128"/>
      <c r="BY2540" s="128"/>
      <c r="BZ2540" s="128"/>
      <c r="CA2540" s="128"/>
      <c r="CB2540" s="128"/>
      <c r="CC2540" s="128"/>
      <c r="CD2540" s="128"/>
      <c r="CE2540" s="128"/>
      <c r="CF2540" s="128"/>
      <c r="CG2540" s="128"/>
      <c r="CI2540" s="128"/>
      <c r="CJ2540" s="128"/>
      <c r="CK2540" s="128"/>
      <c r="CL2540" s="128"/>
      <c r="CM2540" s="128"/>
      <c r="CN2540" s="128"/>
      <c r="CO2540" s="128"/>
      <c r="CP2540" s="128"/>
      <c r="CQ2540" s="128"/>
      <c r="CR2540" s="128"/>
      <c r="CS2540" s="128"/>
      <c r="CT2540" s="128"/>
      <c r="CU2540" s="128"/>
      <c r="CV2540" s="128"/>
      <c r="CW2540" s="128"/>
      <c r="CX2540" s="128"/>
      <c r="CY2540" s="128"/>
      <c r="CZ2540" s="165"/>
    </row>
    <row r="2541" spans="1:104">
      <c r="A2541" s="149"/>
      <c r="B2541" s="149"/>
      <c r="C2541" s="150"/>
      <c r="D2541" s="102"/>
      <c r="E2541" s="149"/>
      <c r="F2541" s="149"/>
      <c r="G2541" s="149"/>
      <c r="H2541" s="149"/>
      <c r="I2541" s="149"/>
      <c r="J2541" s="149"/>
      <c r="K2541" s="149"/>
      <c r="L2541" s="149"/>
      <c r="M2541" s="149"/>
      <c r="N2541" s="149"/>
      <c r="O2541" s="149"/>
      <c r="P2541" s="149"/>
      <c r="Q2541" s="149"/>
      <c r="R2541" s="149"/>
      <c r="S2541" s="149"/>
      <c r="T2541" s="149"/>
      <c r="U2541" s="149"/>
      <c r="V2541" s="149"/>
      <c r="W2541" s="149"/>
      <c r="X2541" s="149"/>
      <c r="Y2541" s="149"/>
      <c r="Z2541" s="149"/>
      <c r="AA2541" s="149"/>
      <c r="AB2541" s="149"/>
      <c r="AC2541" s="149"/>
      <c r="AD2541" s="149"/>
      <c r="AE2541" s="149"/>
      <c r="AF2541" s="149"/>
      <c r="AG2541" s="149"/>
      <c r="AH2541" s="149"/>
      <c r="AI2541" s="149"/>
      <c r="AJ2541" s="149"/>
      <c r="AK2541" s="149"/>
      <c r="AL2541" s="149"/>
      <c r="AM2541" s="149"/>
      <c r="AN2541" s="149"/>
      <c r="AO2541" s="128"/>
      <c r="AP2541" s="128"/>
      <c r="AQ2541" s="128"/>
      <c r="AR2541" s="128"/>
      <c r="AS2541" s="128"/>
      <c r="AT2541" s="128"/>
      <c r="AU2541" s="128"/>
      <c r="AV2541" s="128"/>
      <c r="AW2541" s="128"/>
      <c r="AX2541" s="128"/>
      <c r="AY2541" s="128"/>
      <c r="AZ2541" s="128"/>
      <c r="BA2541" s="128"/>
      <c r="BB2541" s="128"/>
      <c r="BC2541" s="128"/>
      <c r="BD2541" s="128"/>
      <c r="BE2541" s="128"/>
      <c r="BF2541" s="128"/>
      <c r="BG2541" s="128"/>
      <c r="BH2541" s="128"/>
      <c r="BI2541" s="128"/>
      <c r="BJ2541" s="128"/>
      <c r="BK2541" s="128"/>
      <c r="BL2541" s="128"/>
      <c r="BM2541" s="151"/>
      <c r="BN2541" s="128"/>
      <c r="BO2541" s="128"/>
      <c r="BP2541" s="128"/>
      <c r="BQ2541" s="128"/>
      <c r="BR2541" s="128"/>
      <c r="BS2541" s="128"/>
      <c r="BT2541" s="128"/>
      <c r="BU2541" s="128"/>
      <c r="BV2541" s="128"/>
      <c r="BW2541" s="128"/>
      <c r="BX2541" s="128"/>
      <c r="BY2541" s="128"/>
      <c r="BZ2541" s="128"/>
      <c r="CA2541" s="128"/>
      <c r="CB2541" s="128"/>
      <c r="CC2541" s="128"/>
      <c r="CD2541" s="128"/>
      <c r="CE2541" s="128"/>
      <c r="CF2541" s="128"/>
      <c r="CG2541" s="128"/>
      <c r="CI2541" s="128"/>
      <c r="CJ2541" s="128"/>
      <c r="CK2541" s="128"/>
      <c r="CL2541" s="128"/>
      <c r="CM2541" s="128"/>
      <c r="CN2541" s="128"/>
      <c r="CO2541" s="128"/>
      <c r="CP2541" s="128"/>
      <c r="CQ2541" s="128"/>
      <c r="CR2541" s="128"/>
      <c r="CS2541" s="128"/>
      <c r="CT2541" s="128"/>
      <c r="CU2541" s="128"/>
      <c r="CV2541" s="128"/>
      <c r="CW2541" s="128"/>
      <c r="CX2541" s="128"/>
      <c r="CY2541" s="128"/>
      <c r="CZ2541" s="165"/>
    </row>
    <row r="2542" spans="1:104">
      <c r="A2542" s="149"/>
      <c r="B2542" s="149"/>
      <c r="C2542" s="150"/>
      <c r="D2542" s="102"/>
      <c r="E2542" s="149"/>
      <c r="F2542" s="149"/>
      <c r="G2542" s="149"/>
      <c r="H2542" s="149"/>
      <c r="I2542" s="149"/>
      <c r="J2542" s="149"/>
      <c r="K2542" s="149"/>
      <c r="L2542" s="149"/>
      <c r="M2542" s="149"/>
      <c r="N2542" s="149"/>
      <c r="O2542" s="149"/>
      <c r="P2542" s="149"/>
      <c r="Q2542" s="149"/>
      <c r="R2542" s="149"/>
      <c r="S2542" s="149"/>
      <c r="T2542" s="149"/>
      <c r="U2542" s="149"/>
      <c r="V2542" s="149"/>
      <c r="W2542" s="149"/>
      <c r="X2542" s="149"/>
      <c r="Y2542" s="149"/>
      <c r="Z2542" s="149"/>
      <c r="AA2542" s="149"/>
      <c r="AB2542" s="149"/>
      <c r="AC2542" s="149"/>
      <c r="AD2542" s="149"/>
      <c r="AE2542" s="149"/>
      <c r="AF2542" s="149"/>
      <c r="AG2542" s="149"/>
      <c r="AH2542" s="149"/>
      <c r="AI2542" s="149"/>
      <c r="AJ2542" s="149"/>
      <c r="AK2542" s="149"/>
      <c r="AL2542" s="149"/>
      <c r="AM2542" s="149"/>
      <c r="AN2542" s="149"/>
      <c r="AO2542" s="128"/>
      <c r="AP2542" s="128"/>
      <c r="AQ2542" s="128"/>
      <c r="AR2542" s="128"/>
      <c r="AS2542" s="128"/>
      <c r="AT2542" s="128"/>
      <c r="AU2542" s="128"/>
      <c r="AV2542" s="128"/>
      <c r="AW2542" s="128"/>
      <c r="AX2542" s="128"/>
      <c r="AY2542" s="128"/>
      <c r="AZ2542" s="128"/>
      <c r="BA2542" s="128"/>
      <c r="BB2542" s="128"/>
      <c r="BC2542" s="128"/>
      <c r="BD2542" s="128"/>
      <c r="BE2542" s="128"/>
      <c r="BF2542" s="128"/>
      <c r="BG2542" s="128"/>
      <c r="BH2542" s="128"/>
      <c r="BI2542" s="128"/>
      <c r="BJ2542" s="128"/>
      <c r="BK2542" s="128"/>
      <c r="BL2542" s="128"/>
      <c r="BM2542" s="151"/>
      <c r="BN2542" s="128"/>
      <c r="BO2542" s="128"/>
      <c r="BP2542" s="128"/>
      <c r="BQ2542" s="128"/>
      <c r="BR2542" s="128"/>
      <c r="BS2542" s="128"/>
      <c r="BT2542" s="128"/>
      <c r="BU2542" s="128"/>
      <c r="BV2542" s="128"/>
      <c r="BW2542" s="128"/>
      <c r="BX2542" s="128"/>
      <c r="BY2542" s="128"/>
      <c r="BZ2542" s="128"/>
      <c r="CA2542" s="128"/>
      <c r="CB2542" s="128"/>
      <c r="CC2542" s="128"/>
      <c r="CD2542" s="128"/>
      <c r="CE2542" s="128"/>
      <c r="CF2542" s="128"/>
      <c r="CG2542" s="128"/>
      <c r="CI2542" s="128"/>
      <c r="CJ2542" s="128"/>
      <c r="CK2542" s="128"/>
      <c r="CL2542" s="128"/>
      <c r="CM2542" s="128"/>
      <c r="CN2542" s="128"/>
      <c r="CO2542" s="128"/>
      <c r="CP2542" s="128"/>
      <c r="CQ2542" s="128"/>
      <c r="CR2542" s="128"/>
      <c r="CS2542" s="128"/>
      <c r="CT2542" s="128"/>
      <c r="CU2542" s="128"/>
      <c r="CV2542" s="128"/>
      <c r="CW2542" s="128"/>
      <c r="CX2542" s="128"/>
      <c r="CY2542" s="128"/>
      <c r="CZ2542" s="165"/>
    </row>
    <row r="2543" spans="1:104">
      <c r="A2543" s="149"/>
      <c r="B2543" s="149"/>
      <c r="C2543" s="150"/>
      <c r="D2543" s="102"/>
      <c r="E2543" s="149"/>
      <c r="F2543" s="149"/>
      <c r="G2543" s="149"/>
      <c r="H2543" s="149"/>
      <c r="I2543" s="149"/>
      <c r="J2543" s="149"/>
      <c r="K2543" s="149"/>
      <c r="L2543" s="149"/>
      <c r="M2543" s="149"/>
      <c r="N2543" s="149"/>
      <c r="O2543" s="149"/>
      <c r="P2543" s="149"/>
      <c r="Q2543" s="149"/>
      <c r="R2543" s="149"/>
      <c r="S2543" s="149"/>
      <c r="T2543" s="149"/>
      <c r="U2543" s="149"/>
      <c r="V2543" s="149"/>
      <c r="W2543" s="149"/>
      <c r="X2543" s="149"/>
      <c r="Y2543" s="149"/>
      <c r="Z2543" s="149"/>
      <c r="AA2543" s="149"/>
      <c r="AB2543" s="149"/>
      <c r="AC2543" s="149"/>
      <c r="AD2543" s="149"/>
      <c r="AE2543" s="149"/>
      <c r="AF2543" s="149"/>
      <c r="AG2543" s="149"/>
      <c r="AH2543" s="149"/>
      <c r="AI2543" s="149"/>
      <c r="AJ2543" s="149"/>
      <c r="AK2543" s="149"/>
      <c r="AL2543" s="149"/>
      <c r="AM2543" s="149"/>
      <c r="AN2543" s="149"/>
      <c r="AO2543" s="128"/>
      <c r="AP2543" s="128"/>
      <c r="AQ2543" s="128"/>
      <c r="AR2543" s="128"/>
      <c r="AS2543" s="128"/>
      <c r="AT2543" s="128"/>
      <c r="AU2543" s="128"/>
      <c r="AV2543" s="128"/>
      <c r="AW2543" s="128"/>
      <c r="AX2543" s="128"/>
      <c r="AY2543" s="128"/>
      <c r="AZ2543" s="128"/>
      <c r="BA2543" s="128"/>
      <c r="BB2543" s="128"/>
      <c r="BC2543" s="128"/>
      <c r="BD2543" s="128"/>
      <c r="BE2543" s="128"/>
      <c r="BF2543" s="128"/>
      <c r="BG2543" s="128"/>
      <c r="BH2543" s="128"/>
      <c r="BI2543" s="128"/>
      <c r="BJ2543" s="128"/>
      <c r="BK2543" s="128"/>
      <c r="BL2543" s="128"/>
      <c r="BM2543" s="151"/>
      <c r="BN2543" s="128"/>
      <c r="BO2543" s="128"/>
      <c r="BP2543" s="128"/>
      <c r="BQ2543" s="128"/>
      <c r="BR2543" s="128"/>
      <c r="BS2543" s="128"/>
      <c r="BT2543" s="128"/>
      <c r="BU2543" s="128"/>
      <c r="BV2543" s="128"/>
      <c r="BW2543" s="128"/>
      <c r="BX2543" s="128"/>
      <c r="BY2543" s="128"/>
      <c r="BZ2543" s="128"/>
      <c r="CA2543" s="128"/>
      <c r="CB2543" s="128"/>
      <c r="CC2543" s="128"/>
      <c r="CD2543" s="128"/>
      <c r="CE2543" s="128"/>
      <c r="CF2543" s="128"/>
      <c r="CG2543" s="128"/>
      <c r="CI2543" s="128"/>
      <c r="CJ2543" s="128"/>
      <c r="CK2543" s="128"/>
      <c r="CL2543" s="128"/>
      <c r="CM2543" s="128"/>
      <c r="CN2543" s="128"/>
      <c r="CO2543" s="128"/>
      <c r="CP2543" s="128"/>
      <c r="CQ2543" s="128"/>
      <c r="CR2543" s="128"/>
      <c r="CS2543" s="128"/>
      <c r="CT2543" s="128"/>
      <c r="CU2543" s="128"/>
      <c r="CV2543" s="128"/>
      <c r="CW2543" s="128"/>
      <c r="CX2543" s="128"/>
      <c r="CY2543" s="128"/>
      <c r="CZ2543" s="165"/>
    </row>
    <row r="2544" spans="1:104">
      <c r="A2544" s="149"/>
      <c r="B2544" s="149"/>
      <c r="C2544" s="150"/>
      <c r="D2544" s="102"/>
      <c r="E2544" s="149"/>
      <c r="F2544" s="149"/>
      <c r="G2544" s="149"/>
      <c r="H2544" s="149"/>
      <c r="I2544" s="149"/>
      <c r="J2544" s="149"/>
      <c r="K2544" s="149"/>
      <c r="L2544" s="149"/>
      <c r="M2544" s="149"/>
      <c r="N2544" s="149"/>
      <c r="O2544" s="149"/>
      <c r="P2544" s="149"/>
      <c r="Q2544" s="149"/>
      <c r="R2544" s="149"/>
      <c r="S2544" s="149"/>
      <c r="T2544" s="149"/>
      <c r="U2544" s="149"/>
      <c r="V2544" s="149"/>
      <c r="W2544" s="149"/>
      <c r="X2544" s="149"/>
      <c r="Y2544" s="149"/>
      <c r="Z2544" s="149"/>
      <c r="AA2544" s="149"/>
      <c r="AB2544" s="149"/>
      <c r="AC2544" s="149"/>
      <c r="AD2544" s="149"/>
      <c r="AE2544" s="149"/>
      <c r="AF2544" s="149"/>
      <c r="AG2544" s="149"/>
      <c r="AH2544" s="149"/>
      <c r="AI2544" s="149"/>
      <c r="AJ2544" s="149"/>
      <c r="AK2544" s="149"/>
      <c r="AL2544" s="149"/>
      <c r="AM2544" s="149"/>
      <c r="AN2544" s="149"/>
      <c r="AO2544" s="128"/>
      <c r="AP2544" s="128"/>
      <c r="AQ2544" s="128"/>
      <c r="AR2544" s="128"/>
      <c r="AS2544" s="128"/>
      <c r="AT2544" s="128"/>
      <c r="AU2544" s="128"/>
      <c r="AV2544" s="128"/>
      <c r="AW2544" s="128"/>
      <c r="AX2544" s="128"/>
      <c r="AY2544" s="128"/>
      <c r="AZ2544" s="128"/>
      <c r="BA2544" s="128"/>
      <c r="BB2544" s="128"/>
      <c r="BC2544" s="128"/>
      <c r="BD2544" s="128"/>
      <c r="BE2544" s="128"/>
      <c r="BF2544" s="128"/>
      <c r="BG2544" s="128"/>
      <c r="BH2544" s="128"/>
      <c r="BI2544" s="128"/>
      <c r="BJ2544" s="128"/>
      <c r="BK2544" s="128"/>
      <c r="BL2544" s="128"/>
      <c r="BM2544" s="151"/>
      <c r="BN2544" s="128"/>
      <c r="BO2544" s="128"/>
      <c r="BP2544" s="128"/>
      <c r="BQ2544" s="128"/>
      <c r="BR2544" s="128"/>
      <c r="BS2544" s="128"/>
      <c r="BT2544" s="128"/>
      <c r="BU2544" s="128"/>
      <c r="BV2544" s="128"/>
      <c r="BW2544" s="128"/>
      <c r="BX2544" s="128"/>
      <c r="BY2544" s="128"/>
      <c r="BZ2544" s="128"/>
      <c r="CA2544" s="128"/>
      <c r="CB2544" s="128"/>
      <c r="CC2544" s="128"/>
      <c r="CD2544" s="128"/>
      <c r="CE2544" s="128"/>
      <c r="CF2544" s="128"/>
      <c r="CG2544" s="128"/>
      <c r="CI2544" s="128"/>
      <c r="CJ2544" s="128"/>
      <c r="CK2544" s="128"/>
      <c r="CL2544" s="128"/>
      <c r="CM2544" s="128"/>
      <c r="CN2544" s="128"/>
      <c r="CO2544" s="128"/>
      <c r="CP2544" s="128"/>
      <c r="CQ2544" s="128"/>
      <c r="CR2544" s="128"/>
      <c r="CS2544" s="128"/>
      <c r="CT2544" s="128"/>
      <c r="CU2544" s="128"/>
      <c r="CV2544" s="128"/>
      <c r="CW2544" s="128"/>
      <c r="CX2544" s="128"/>
      <c r="CY2544" s="128"/>
      <c r="CZ2544" s="165"/>
    </row>
    <row r="2545" spans="1:104">
      <c r="A2545" s="149"/>
      <c r="B2545" s="149"/>
      <c r="C2545" s="150"/>
      <c r="D2545" s="102"/>
      <c r="E2545" s="149"/>
      <c r="F2545" s="149"/>
      <c r="G2545" s="149"/>
      <c r="H2545" s="149"/>
      <c r="I2545" s="149"/>
      <c r="J2545" s="149"/>
      <c r="K2545" s="149"/>
      <c r="L2545" s="149"/>
      <c r="M2545" s="149"/>
      <c r="N2545" s="149"/>
      <c r="O2545" s="149"/>
      <c r="P2545" s="149"/>
      <c r="Q2545" s="149"/>
      <c r="R2545" s="149"/>
      <c r="S2545" s="149"/>
      <c r="T2545" s="149"/>
      <c r="U2545" s="149"/>
      <c r="V2545" s="149"/>
      <c r="W2545" s="149"/>
      <c r="X2545" s="149"/>
      <c r="Y2545" s="149"/>
      <c r="Z2545" s="149"/>
      <c r="AA2545" s="149"/>
      <c r="AB2545" s="149"/>
      <c r="AC2545" s="149"/>
      <c r="AD2545" s="149"/>
      <c r="AE2545" s="149"/>
      <c r="AF2545" s="149"/>
      <c r="AG2545" s="149"/>
      <c r="AH2545" s="149"/>
      <c r="AI2545" s="149"/>
      <c r="AJ2545" s="149"/>
      <c r="AK2545" s="149"/>
      <c r="AL2545" s="149"/>
      <c r="AM2545" s="149"/>
      <c r="AN2545" s="149"/>
      <c r="AO2545" s="128"/>
      <c r="AP2545" s="128"/>
      <c r="AQ2545" s="128"/>
      <c r="AR2545" s="128"/>
      <c r="AS2545" s="128"/>
      <c r="AT2545" s="128"/>
      <c r="AU2545" s="128"/>
      <c r="AV2545" s="128"/>
      <c r="AW2545" s="128"/>
      <c r="AX2545" s="128"/>
      <c r="AY2545" s="128"/>
      <c r="AZ2545" s="128"/>
      <c r="BA2545" s="128"/>
      <c r="BB2545" s="128"/>
      <c r="BC2545" s="128"/>
      <c r="BD2545" s="128"/>
      <c r="BE2545" s="128"/>
      <c r="BF2545" s="128"/>
      <c r="BG2545" s="128"/>
      <c r="BH2545" s="128"/>
      <c r="BI2545" s="128"/>
      <c r="BJ2545" s="128"/>
      <c r="BK2545" s="128"/>
      <c r="BL2545" s="128"/>
      <c r="BM2545" s="151"/>
      <c r="BN2545" s="128"/>
      <c r="BO2545" s="128"/>
      <c r="BP2545" s="128"/>
      <c r="BQ2545" s="128"/>
      <c r="BR2545" s="128"/>
      <c r="BS2545" s="128"/>
      <c r="BT2545" s="128"/>
      <c r="BU2545" s="128"/>
      <c r="BV2545" s="128"/>
      <c r="BW2545" s="128"/>
      <c r="BX2545" s="128"/>
      <c r="BY2545" s="128"/>
      <c r="BZ2545" s="128"/>
      <c r="CA2545" s="128"/>
      <c r="CB2545" s="128"/>
      <c r="CC2545" s="128"/>
      <c r="CD2545" s="128"/>
      <c r="CE2545" s="128"/>
      <c r="CF2545" s="128"/>
      <c r="CG2545" s="128"/>
      <c r="CI2545" s="128"/>
      <c r="CJ2545" s="128"/>
      <c r="CK2545" s="128"/>
      <c r="CL2545" s="128"/>
      <c r="CM2545" s="128"/>
      <c r="CN2545" s="128"/>
      <c r="CO2545" s="128"/>
      <c r="CP2545" s="128"/>
      <c r="CQ2545" s="128"/>
      <c r="CR2545" s="128"/>
      <c r="CS2545" s="128"/>
      <c r="CT2545" s="128"/>
      <c r="CU2545" s="128"/>
      <c r="CV2545" s="128"/>
      <c r="CW2545" s="128"/>
      <c r="CX2545" s="128"/>
      <c r="CY2545" s="128"/>
      <c r="CZ2545" s="165"/>
    </row>
    <row r="2546" spans="1:104">
      <c r="A2546" s="149"/>
      <c r="B2546" s="149"/>
      <c r="C2546" s="150"/>
      <c r="D2546" s="102"/>
      <c r="E2546" s="149"/>
      <c r="F2546" s="149"/>
      <c r="G2546" s="149"/>
      <c r="H2546" s="149"/>
      <c r="I2546" s="149"/>
      <c r="J2546" s="149"/>
      <c r="K2546" s="149"/>
      <c r="L2546" s="149"/>
      <c r="M2546" s="149"/>
      <c r="N2546" s="149"/>
      <c r="O2546" s="149"/>
      <c r="P2546" s="149"/>
      <c r="Q2546" s="149"/>
      <c r="R2546" s="149"/>
      <c r="S2546" s="149"/>
      <c r="T2546" s="149"/>
      <c r="U2546" s="149"/>
      <c r="V2546" s="149"/>
      <c r="W2546" s="149"/>
      <c r="X2546" s="149"/>
      <c r="Y2546" s="149"/>
      <c r="Z2546" s="149"/>
      <c r="AA2546" s="149"/>
      <c r="AB2546" s="149"/>
      <c r="AC2546" s="149"/>
      <c r="AD2546" s="149"/>
      <c r="AE2546" s="149"/>
      <c r="AF2546" s="149"/>
      <c r="AG2546" s="149"/>
      <c r="AH2546" s="149"/>
      <c r="AI2546" s="149"/>
      <c r="AJ2546" s="149"/>
      <c r="AK2546" s="149"/>
      <c r="AL2546" s="149"/>
      <c r="AM2546" s="149"/>
      <c r="AN2546" s="149"/>
      <c r="AO2546" s="128"/>
      <c r="AP2546" s="128"/>
      <c r="AQ2546" s="128"/>
      <c r="AR2546" s="128"/>
      <c r="AS2546" s="128"/>
      <c r="AT2546" s="128"/>
      <c r="AU2546" s="128"/>
      <c r="AV2546" s="128"/>
      <c r="AW2546" s="128"/>
      <c r="AX2546" s="128"/>
      <c r="AY2546" s="128"/>
      <c r="AZ2546" s="128"/>
      <c r="BA2546" s="128"/>
      <c r="BB2546" s="128"/>
      <c r="BC2546" s="128"/>
      <c r="BD2546" s="128"/>
      <c r="BE2546" s="128"/>
      <c r="BF2546" s="128"/>
      <c r="BG2546" s="128"/>
      <c r="BH2546" s="128"/>
      <c r="BI2546" s="128"/>
      <c r="BJ2546" s="128"/>
      <c r="BK2546" s="128"/>
      <c r="BL2546" s="128"/>
      <c r="BM2546" s="151"/>
      <c r="BN2546" s="128"/>
      <c r="BO2546" s="128"/>
      <c r="BP2546" s="128"/>
      <c r="BQ2546" s="128"/>
      <c r="BR2546" s="128"/>
      <c r="BS2546" s="128"/>
      <c r="BT2546" s="128"/>
      <c r="BU2546" s="128"/>
      <c r="BV2546" s="128"/>
      <c r="BW2546" s="128"/>
      <c r="BX2546" s="128"/>
      <c r="BY2546" s="128"/>
      <c r="BZ2546" s="128"/>
      <c r="CA2546" s="128"/>
      <c r="CB2546" s="128"/>
      <c r="CC2546" s="128"/>
      <c r="CD2546" s="128"/>
      <c r="CE2546" s="128"/>
      <c r="CF2546" s="128"/>
      <c r="CG2546" s="128"/>
      <c r="CI2546" s="128"/>
      <c r="CJ2546" s="128"/>
      <c r="CK2546" s="128"/>
      <c r="CL2546" s="128"/>
      <c r="CM2546" s="128"/>
      <c r="CN2546" s="128"/>
      <c r="CO2546" s="128"/>
      <c r="CP2546" s="128"/>
      <c r="CQ2546" s="128"/>
      <c r="CR2546" s="128"/>
      <c r="CS2546" s="128"/>
      <c r="CT2546" s="128"/>
      <c r="CU2546" s="128"/>
      <c r="CV2546" s="128"/>
      <c r="CW2546" s="128"/>
      <c r="CX2546" s="128"/>
      <c r="CY2546" s="128"/>
      <c r="CZ2546" s="165"/>
    </row>
    <row r="2547" spans="1:104">
      <c r="A2547" s="149"/>
      <c r="B2547" s="149"/>
      <c r="C2547" s="150"/>
      <c r="D2547" s="102"/>
      <c r="E2547" s="149"/>
      <c r="F2547" s="149"/>
      <c r="G2547" s="149"/>
      <c r="H2547" s="149"/>
      <c r="I2547" s="149"/>
      <c r="J2547" s="149"/>
      <c r="K2547" s="149"/>
      <c r="L2547" s="149"/>
      <c r="M2547" s="149"/>
      <c r="N2547" s="149"/>
      <c r="O2547" s="149"/>
      <c r="P2547" s="149"/>
      <c r="Q2547" s="149"/>
      <c r="R2547" s="149"/>
      <c r="S2547" s="149"/>
      <c r="T2547" s="149"/>
      <c r="U2547" s="149"/>
      <c r="V2547" s="149"/>
      <c r="W2547" s="149"/>
      <c r="X2547" s="149"/>
      <c r="Y2547" s="149"/>
      <c r="Z2547" s="149"/>
      <c r="AA2547" s="149"/>
      <c r="AB2547" s="149"/>
      <c r="AC2547" s="149"/>
      <c r="AD2547" s="149"/>
      <c r="AE2547" s="149"/>
      <c r="AF2547" s="149"/>
      <c r="AG2547" s="149"/>
      <c r="AH2547" s="149"/>
      <c r="AI2547" s="149"/>
      <c r="AJ2547" s="149"/>
      <c r="AK2547" s="149"/>
      <c r="AL2547" s="149"/>
      <c r="AM2547" s="149"/>
      <c r="AN2547" s="149"/>
      <c r="AO2547" s="128"/>
      <c r="AP2547" s="128"/>
      <c r="AQ2547" s="128"/>
      <c r="AR2547" s="128"/>
      <c r="AS2547" s="128"/>
      <c r="AT2547" s="128"/>
      <c r="AU2547" s="128"/>
      <c r="AV2547" s="128"/>
      <c r="AW2547" s="128"/>
      <c r="AX2547" s="128"/>
      <c r="AY2547" s="128"/>
      <c r="AZ2547" s="128"/>
      <c r="BA2547" s="128"/>
      <c r="BB2547" s="128"/>
      <c r="BC2547" s="128"/>
      <c r="BD2547" s="128"/>
      <c r="BE2547" s="128"/>
      <c r="BF2547" s="128"/>
      <c r="BG2547" s="128"/>
      <c r="BH2547" s="128"/>
      <c r="BI2547" s="128"/>
      <c r="BJ2547" s="128"/>
      <c r="BK2547" s="128"/>
      <c r="BL2547" s="128"/>
      <c r="BM2547" s="151"/>
      <c r="BN2547" s="128"/>
      <c r="BO2547" s="128"/>
      <c r="BP2547" s="128"/>
      <c r="BQ2547" s="128"/>
      <c r="BR2547" s="128"/>
      <c r="BS2547" s="128"/>
      <c r="BT2547" s="128"/>
      <c r="BU2547" s="128"/>
      <c r="BV2547" s="128"/>
      <c r="BW2547" s="128"/>
      <c r="BX2547" s="128"/>
      <c r="BY2547" s="128"/>
      <c r="BZ2547" s="128"/>
      <c r="CA2547" s="128"/>
      <c r="CB2547" s="128"/>
      <c r="CC2547" s="128"/>
      <c r="CD2547" s="128"/>
      <c r="CE2547" s="128"/>
      <c r="CF2547" s="128"/>
      <c r="CG2547" s="128"/>
      <c r="CI2547" s="128"/>
      <c r="CJ2547" s="128"/>
      <c r="CK2547" s="128"/>
      <c r="CL2547" s="128"/>
      <c r="CM2547" s="128"/>
      <c r="CN2547" s="128"/>
      <c r="CO2547" s="128"/>
      <c r="CP2547" s="128"/>
      <c r="CQ2547" s="128"/>
      <c r="CR2547" s="128"/>
      <c r="CS2547" s="128"/>
      <c r="CT2547" s="128"/>
      <c r="CU2547" s="128"/>
      <c r="CV2547" s="128"/>
      <c r="CW2547" s="128"/>
      <c r="CX2547" s="128"/>
      <c r="CY2547" s="128"/>
      <c r="CZ2547" s="165"/>
    </row>
    <row r="2548" spans="1:104">
      <c r="A2548" s="149"/>
      <c r="B2548" s="149"/>
      <c r="C2548" s="150"/>
      <c r="D2548" s="102"/>
      <c r="E2548" s="149"/>
      <c r="F2548" s="149"/>
      <c r="G2548" s="149"/>
      <c r="H2548" s="149"/>
      <c r="I2548" s="149"/>
      <c r="J2548" s="149"/>
      <c r="K2548" s="149"/>
      <c r="L2548" s="149"/>
      <c r="M2548" s="149"/>
      <c r="N2548" s="149"/>
      <c r="O2548" s="149"/>
      <c r="P2548" s="149"/>
      <c r="Q2548" s="149"/>
      <c r="R2548" s="149"/>
      <c r="S2548" s="149"/>
      <c r="T2548" s="149"/>
      <c r="U2548" s="149"/>
      <c r="V2548" s="149"/>
      <c r="W2548" s="149"/>
      <c r="X2548" s="149"/>
      <c r="Y2548" s="149"/>
      <c r="Z2548" s="149"/>
      <c r="AA2548" s="149"/>
      <c r="AB2548" s="149"/>
      <c r="AC2548" s="149"/>
      <c r="AD2548" s="149"/>
      <c r="AE2548" s="149"/>
      <c r="AF2548" s="149"/>
      <c r="AG2548" s="149"/>
      <c r="AH2548" s="149"/>
      <c r="AI2548" s="149"/>
      <c r="AJ2548" s="149"/>
      <c r="AK2548" s="149"/>
      <c r="AL2548" s="149"/>
      <c r="AM2548" s="149"/>
      <c r="AN2548" s="149"/>
      <c r="AO2548" s="128"/>
      <c r="AP2548" s="128"/>
      <c r="AQ2548" s="128"/>
      <c r="AR2548" s="128"/>
      <c r="AS2548" s="128"/>
      <c r="AT2548" s="128"/>
      <c r="AU2548" s="128"/>
      <c r="AV2548" s="128"/>
      <c r="AW2548" s="128"/>
      <c r="AX2548" s="128"/>
      <c r="AY2548" s="128"/>
      <c r="AZ2548" s="128"/>
      <c r="BA2548" s="128"/>
      <c r="BB2548" s="128"/>
      <c r="BC2548" s="128"/>
      <c r="BD2548" s="128"/>
      <c r="BE2548" s="128"/>
      <c r="BF2548" s="128"/>
      <c r="BG2548" s="128"/>
      <c r="BH2548" s="128"/>
      <c r="BI2548" s="128"/>
      <c r="BJ2548" s="128"/>
      <c r="BK2548" s="128"/>
      <c r="BL2548" s="128"/>
      <c r="BM2548" s="151"/>
      <c r="BN2548" s="128"/>
      <c r="BO2548" s="128"/>
      <c r="BP2548" s="128"/>
      <c r="BQ2548" s="128"/>
      <c r="BR2548" s="128"/>
      <c r="BS2548" s="128"/>
      <c r="BT2548" s="128"/>
      <c r="BU2548" s="128"/>
      <c r="BV2548" s="128"/>
      <c r="BW2548" s="128"/>
      <c r="BX2548" s="128"/>
      <c r="BY2548" s="128"/>
      <c r="BZ2548" s="128"/>
      <c r="CA2548" s="128"/>
      <c r="CB2548" s="128"/>
      <c r="CC2548" s="128"/>
      <c r="CD2548" s="128"/>
      <c r="CE2548" s="128"/>
      <c r="CF2548" s="128"/>
      <c r="CG2548" s="128"/>
      <c r="CI2548" s="128"/>
      <c r="CJ2548" s="128"/>
      <c r="CK2548" s="128"/>
      <c r="CL2548" s="128"/>
      <c r="CM2548" s="128"/>
      <c r="CN2548" s="128"/>
      <c r="CO2548" s="128"/>
      <c r="CP2548" s="128"/>
      <c r="CQ2548" s="128"/>
      <c r="CR2548" s="128"/>
      <c r="CS2548" s="128"/>
      <c r="CT2548" s="128"/>
      <c r="CU2548" s="128"/>
      <c r="CV2548" s="128"/>
      <c r="CW2548" s="128"/>
      <c r="CX2548" s="128"/>
      <c r="CY2548" s="128"/>
      <c r="CZ2548" s="165"/>
    </row>
    <row r="2549" spans="1:104">
      <c r="A2549" s="149"/>
      <c r="B2549" s="149"/>
      <c r="C2549" s="150"/>
      <c r="D2549" s="102"/>
      <c r="E2549" s="149"/>
      <c r="F2549" s="149"/>
      <c r="G2549" s="149"/>
      <c r="H2549" s="149"/>
      <c r="I2549" s="149"/>
      <c r="J2549" s="149"/>
      <c r="K2549" s="149"/>
      <c r="L2549" s="149"/>
      <c r="M2549" s="149"/>
      <c r="N2549" s="149"/>
      <c r="O2549" s="149"/>
      <c r="P2549" s="149"/>
      <c r="Q2549" s="149"/>
      <c r="R2549" s="149"/>
      <c r="S2549" s="149"/>
      <c r="T2549" s="149"/>
      <c r="U2549" s="149"/>
      <c r="V2549" s="149"/>
      <c r="W2549" s="149"/>
      <c r="X2549" s="149"/>
      <c r="Y2549" s="149"/>
      <c r="Z2549" s="149"/>
      <c r="AA2549" s="149"/>
      <c r="AB2549" s="149"/>
      <c r="AC2549" s="149"/>
      <c r="AD2549" s="149"/>
      <c r="AE2549" s="149"/>
      <c r="AF2549" s="149"/>
      <c r="AG2549" s="149"/>
      <c r="AH2549" s="149"/>
      <c r="AI2549" s="149"/>
      <c r="AJ2549" s="149"/>
      <c r="AK2549" s="149"/>
      <c r="AL2549" s="149"/>
      <c r="AM2549" s="149"/>
      <c r="AN2549" s="149"/>
      <c r="AO2549" s="128"/>
      <c r="AP2549" s="128"/>
      <c r="AQ2549" s="128"/>
      <c r="AR2549" s="128"/>
      <c r="AS2549" s="128"/>
      <c r="AT2549" s="128"/>
      <c r="AU2549" s="128"/>
      <c r="AV2549" s="128"/>
      <c r="AW2549" s="128"/>
      <c r="AX2549" s="128"/>
      <c r="AY2549" s="128"/>
      <c r="AZ2549" s="128"/>
      <c r="BA2549" s="128"/>
      <c r="BB2549" s="128"/>
      <c r="BC2549" s="128"/>
      <c r="BD2549" s="128"/>
      <c r="BE2549" s="128"/>
      <c r="BF2549" s="128"/>
      <c r="BG2549" s="128"/>
      <c r="BH2549" s="128"/>
      <c r="BI2549" s="128"/>
      <c r="BJ2549" s="128"/>
      <c r="BK2549" s="128"/>
      <c r="BL2549" s="128"/>
      <c r="BM2549" s="151"/>
      <c r="BN2549" s="128"/>
      <c r="BO2549" s="128"/>
      <c r="BP2549" s="128"/>
      <c r="BQ2549" s="128"/>
      <c r="BR2549" s="128"/>
      <c r="BS2549" s="128"/>
      <c r="BT2549" s="128"/>
      <c r="BU2549" s="128"/>
      <c r="BV2549" s="128"/>
      <c r="BW2549" s="128"/>
      <c r="BX2549" s="128"/>
      <c r="BY2549" s="128"/>
      <c r="BZ2549" s="128"/>
      <c r="CA2549" s="128"/>
      <c r="CB2549" s="128"/>
      <c r="CC2549" s="128"/>
      <c r="CD2549" s="128"/>
      <c r="CE2549" s="128"/>
      <c r="CF2549" s="128"/>
      <c r="CG2549" s="128"/>
      <c r="CI2549" s="128"/>
      <c r="CJ2549" s="128"/>
      <c r="CK2549" s="128"/>
      <c r="CL2549" s="128"/>
      <c r="CM2549" s="128"/>
      <c r="CN2549" s="128"/>
      <c r="CO2549" s="128"/>
      <c r="CP2549" s="128"/>
      <c r="CQ2549" s="128"/>
      <c r="CR2549" s="128"/>
      <c r="CS2549" s="128"/>
      <c r="CT2549" s="128"/>
      <c r="CU2549" s="128"/>
      <c r="CV2549" s="128"/>
      <c r="CW2549" s="128"/>
      <c r="CX2549" s="128"/>
      <c r="CY2549" s="128"/>
      <c r="CZ2549" s="165"/>
    </row>
    <row r="2550" spans="1:104">
      <c r="A2550" s="149"/>
      <c r="B2550" s="149"/>
      <c r="C2550" s="150"/>
      <c r="D2550" s="102"/>
      <c r="E2550" s="149"/>
      <c r="F2550" s="149"/>
      <c r="G2550" s="149"/>
      <c r="H2550" s="149"/>
      <c r="I2550" s="149"/>
      <c r="J2550" s="149"/>
      <c r="K2550" s="149"/>
      <c r="L2550" s="149"/>
      <c r="M2550" s="149"/>
      <c r="N2550" s="149"/>
      <c r="O2550" s="149"/>
      <c r="P2550" s="149"/>
      <c r="Q2550" s="149"/>
      <c r="R2550" s="149"/>
      <c r="S2550" s="149"/>
      <c r="T2550" s="149"/>
      <c r="U2550" s="149"/>
      <c r="V2550" s="149"/>
      <c r="W2550" s="149"/>
      <c r="X2550" s="149"/>
      <c r="Y2550" s="149"/>
      <c r="Z2550" s="149"/>
      <c r="AA2550" s="149"/>
      <c r="AB2550" s="149"/>
      <c r="AC2550" s="149"/>
      <c r="AD2550" s="149"/>
      <c r="AE2550" s="149"/>
      <c r="AF2550" s="149"/>
      <c r="AG2550" s="149"/>
      <c r="AH2550" s="149"/>
      <c r="AI2550" s="149"/>
      <c r="AJ2550" s="149"/>
      <c r="AK2550" s="149"/>
      <c r="AL2550" s="149"/>
      <c r="AM2550" s="149"/>
      <c r="AN2550" s="149"/>
      <c r="AO2550" s="128"/>
      <c r="AP2550" s="128"/>
      <c r="AQ2550" s="128"/>
      <c r="AR2550" s="128"/>
      <c r="AS2550" s="128"/>
      <c r="AT2550" s="128"/>
      <c r="AU2550" s="128"/>
      <c r="AV2550" s="128"/>
      <c r="AW2550" s="128"/>
      <c r="AX2550" s="128"/>
      <c r="AY2550" s="128"/>
      <c r="AZ2550" s="128"/>
      <c r="BA2550" s="128"/>
      <c r="BB2550" s="128"/>
      <c r="BC2550" s="128"/>
      <c r="BD2550" s="128"/>
      <c r="BE2550" s="128"/>
      <c r="BF2550" s="128"/>
      <c r="BG2550" s="128"/>
      <c r="BH2550" s="128"/>
      <c r="BI2550" s="128"/>
      <c r="BJ2550" s="128"/>
      <c r="BK2550" s="128"/>
      <c r="BL2550" s="128"/>
      <c r="BM2550" s="151"/>
      <c r="BN2550" s="128"/>
      <c r="BO2550" s="128"/>
      <c r="BP2550" s="128"/>
      <c r="BQ2550" s="128"/>
      <c r="BR2550" s="128"/>
      <c r="BS2550" s="128"/>
      <c r="BT2550" s="128"/>
      <c r="BU2550" s="128"/>
      <c r="BV2550" s="128"/>
      <c r="BW2550" s="128"/>
      <c r="BX2550" s="128"/>
      <c r="BY2550" s="128"/>
      <c r="BZ2550" s="128"/>
      <c r="CA2550" s="128"/>
      <c r="CB2550" s="128"/>
      <c r="CC2550" s="128"/>
      <c r="CD2550" s="128"/>
      <c r="CE2550" s="128"/>
      <c r="CF2550" s="128"/>
      <c r="CG2550" s="128"/>
      <c r="CI2550" s="128"/>
      <c r="CJ2550" s="128"/>
      <c r="CK2550" s="128"/>
      <c r="CL2550" s="128"/>
      <c r="CM2550" s="128"/>
      <c r="CN2550" s="128"/>
      <c r="CO2550" s="128"/>
      <c r="CP2550" s="128"/>
      <c r="CQ2550" s="128"/>
      <c r="CR2550" s="128"/>
      <c r="CS2550" s="128"/>
      <c r="CT2550" s="128"/>
      <c r="CU2550" s="128"/>
      <c r="CV2550" s="128"/>
      <c r="CW2550" s="128"/>
      <c r="CX2550" s="128"/>
      <c r="CY2550" s="128"/>
      <c r="CZ2550" s="165"/>
    </row>
    <row r="2551" spans="1:104">
      <c r="A2551" s="149"/>
      <c r="B2551" s="149"/>
      <c r="C2551" s="150"/>
      <c r="D2551" s="102"/>
      <c r="E2551" s="149"/>
      <c r="F2551" s="149"/>
      <c r="G2551" s="149"/>
      <c r="H2551" s="149"/>
      <c r="I2551" s="149"/>
      <c r="J2551" s="149"/>
      <c r="K2551" s="149"/>
      <c r="L2551" s="149"/>
      <c r="M2551" s="149"/>
      <c r="N2551" s="149"/>
      <c r="O2551" s="149"/>
      <c r="P2551" s="149"/>
      <c r="Q2551" s="149"/>
      <c r="R2551" s="149"/>
      <c r="S2551" s="149"/>
      <c r="T2551" s="149"/>
      <c r="U2551" s="149"/>
      <c r="V2551" s="149"/>
      <c r="W2551" s="149"/>
      <c r="X2551" s="149"/>
      <c r="Y2551" s="149"/>
      <c r="Z2551" s="149"/>
      <c r="AA2551" s="149"/>
      <c r="AB2551" s="149"/>
      <c r="AC2551" s="149"/>
      <c r="AD2551" s="149"/>
      <c r="AE2551" s="149"/>
      <c r="AF2551" s="149"/>
      <c r="AG2551" s="149"/>
      <c r="AH2551" s="149"/>
      <c r="AI2551" s="149"/>
      <c r="AJ2551" s="149"/>
      <c r="AK2551" s="149"/>
      <c r="AL2551" s="149"/>
      <c r="AM2551" s="149"/>
      <c r="AN2551" s="149"/>
      <c r="AO2551" s="128"/>
      <c r="AP2551" s="128"/>
      <c r="AQ2551" s="128"/>
      <c r="AR2551" s="128"/>
      <c r="AS2551" s="128"/>
      <c r="AT2551" s="128"/>
      <c r="AU2551" s="128"/>
      <c r="AV2551" s="128"/>
      <c r="AW2551" s="128"/>
      <c r="AX2551" s="128"/>
      <c r="AY2551" s="128"/>
      <c r="AZ2551" s="128"/>
      <c r="BA2551" s="128"/>
      <c r="BB2551" s="128"/>
      <c r="BC2551" s="128"/>
      <c r="BD2551" s="128"/>
      <c r="BE2551" s="128"/>
      <c r="BF2551" s="128"/>
      <c r="BG2551" s="128"/>
      <c r="BH2551" s="128"/>
      <c r="BI2551" s="128"/>
      <c r="BJ2551" s="128"/>
      <c r="BK2551" s="128"/>
      <c r="BL2551" s="128"/>
      <c r="BM2551" s="151"/>
      <c r="BN2551" s="128"/>
      <c r="BO2551" s="128"/>
      <c r="BP2551" s="128"/>
      <c r="BQ2551" s="128"/>
      <c r="BR2551" s="128"/>
      <c r="BS2551" s="128"/>
      <c r="BT2551" s="128"/>
      <c r="BU2551" s="128"/>
      <c r="BV2551" s="128"/>
      <c r="BW2551" s="128"/>
      <c r="BX2551" s="128"/>
      <c r="BY2551" s="128"/>
      <c r="BZ2551" s="128"/>
      <c r="CA2551" s="128"/>
      <c r="CB2551" s="128"/>
      <c r="CC2551" s="128"/>
      <c r="CD2551" s="128"/>
      <c r="CE2551" s="128"/>
      <c r="CF2551" s="128"/>
      <c r="CG2551" s="128"/>
      <c r="CI2551" s="128"/>
      <c r="CJ2551" s="128"/>
      <c r="CK2551" s="128"/>
      <c r="CL2551" s="128"/>
      <c r="CM2551" s="128"/>
      <c r="CN2551" s="128"/>
      <c r="CO2551" s="128"/>
      <c r="CP2551" s="128"/>
      <c r="CQ2551" s="128"/>
      <c r="CR2551" s="128"/>
      <c r="CS2551" s="128"/>
      <c r="CT2551" s="128"/>
      <c r="CU2551" s="128"/>
      <c r="CV2551" s="128"/>
      <c r="CW2551" s="128"/>
      <c r="CX2551" s="128"/>
      <c r="CY2551" s="128"/>
      <c r="CZ2551" s="165"/>
    </row>
    <row r="2552" spans="1:104">
      <c r="A2552" s="149"/>
      <c r="B2552" s="149"/>
      <c r="C2552" s="150"/>
      <c r="D2552" s="102"/>
      <c r="E2552" s="149"/>
      <c r="F2552" s="149"/>
      <c r="G2552" s="149"/>
      <c r="H2552" s="149"/>
      <c r="I2552" s="149"/>
      <c r="J2552" s="149"/>
      <c r="K2552" s="149"/>
      <c r="L2552" s="149"/>
      <c r="M2552" s="149"/>
      <c r="N2552" s="149"/>
      <c r="O2552" s="149"/>
      <c r="P2552" s="149"/>
      <c r="Q2552" s="149"/>
      <c r="R2552" s="149"/>
      <c r="S2552" s="149"/>
      <c r="T2552" s="149"/>
      <c r="U2552" s="149"/>
      <c r="V2552" s="149"/>
      <c r="W2552" s="149"/>
      <c r="X2552" s="149"/>
      <c r="Y2552" s="149"/>
      <c r="Z2552" s="149"/>
      <c r="AA2552" s="149"/>
      <c r="AB2552" s="149"/>
      <c r="AC2552" s="149"/>
      <c r="AD2552" s="149"/>
      <c r="AE2552" s="149"/>
      <c r="AF2552" s="149"/>
      <c r="AG2552" s="149"/>
      <c r="AH2552" s="149"/>
      <c r="AI2552" s="149"/>
      <c r="AJ2552" s="149"/>
      <c r="AK2552" s="149"/>
      <c r="AL2552" s="149"/>
      <c r="AM2552" s="149"/>
      <c r="AN2552" s="149"/>
      <c r="AO2552" s="128"/>
      <c r="AP2552" s="128"/>
      <c r="AQ2552" s="128"/>
      <c r="AR2552" s="128"/>
      <c r="AS2552" s="128"/>
      <c r="AT2552" s="128"/>
      <c r="AU2552" s="128"/>
      <c r="AV2552" s="128"/>
      <c r="AW2552" s="128"/>
      <c r="AX2552" s="128"/>
      <c r="AY2552" s="128"/>
      <c r="AZ2552" s="128"/>
      <c r="BA2552" s="128"/>
      <c r="BB2552" s="128"/>
      <c r="BC2552" s="128"/>
      <c r="BD2552" s="128"/>
      <c r="BE2552" s="128"/>
      <c r="BF2552" s="128"/>
      <c r="BG2552" s="128"/>
      <c r="BH2552" s="128"/>
      <c r="BI2552" s="128"/>
      <c r="BJ2552" s="128"/>
      <c r="BK2552" s="128"/>
      <c r="BL2552" s="128"/>
      <c r="BM2552" s="151"/>
      <c r="BN2552" s="128"/>
      <c r="BO2552" s="128"/>
      <c r="BP2552" s="128"/>
      <c r="BQ2552" s="128"/>
      <c r="BR2552" s="128"/>
      <c r="BS2552" s="128"/>
      <c r="BT2552" s="128"/>
      <c r="BU2552" s="128"/>
      <c r="BV2552" s="128"/>
      <c r="BW2552" s="128"/>
      <c r="BX2552" s="128"/>
      <c r="BY2552" s="128"/>
      <c r="BZ2552" s="128"/>
      <c r="CA2552" s="128"/>
      <c r="CB2552" s="128"/>
      <c r="CC2552" s="128"/>
      <c r="CD2552" s="128"/>
      <c r="CE2552" s="128"/>
      <c r="CF2552" s="128"/>
      <c r="CG2552" s="128"/>
      <c r="CI2552" s="128"/>
      <c r="CJ2552" s="128"/>
      <c r="CK2552" s="128"/>
      <c r="CL2552" s="128"/>
      <c r="CM2552" s="128"/>
      <c r="CN2552" s="128"/>
      <c r="CO2552" s="128"/>
      <c r="CP2552" s="128"/>
      <c r="CQ2552" s="128"/>
      <c r="CR2552" s="128"/>
      <c r="CS2552" s="128"/>
      <c r="CT2552" s="128"/>
      <c r="CU2552" s="128"/>
      <c r="CV2552" s="128"/>
      <c r="CW2552" s="128"/>
      <c r="CX2552" s="128"/>
      <c r="CY2552" s="128"/>
      <c r="CZ2552" s="165"/>
    </row>
    <row r="2553" spans="1:104">
      <c r="A2553" s="149"/>
      <c r="B2553" s="149"/>
      <c r="C2553" s="150"/>
      <c r="D2553" s="102"/>
      <c r="E2553" s="149"/>
      <c r="F2553" s="149"/>
      <c r="G2553" s="149"/>
      <c r="H2553" s="149"/>
      <c r="I2553" s="149"/>
      <c r="J2553" s="149"/>
      <c r="K2553" s="149"/>
      <c r="L2553" s="149"/>
      <c r="M2553" s="149"/>
      <c r="N2553" s="149"/>
      <c r="O2553" s="149"/>
      <c r="P2553" s="149"/>
      <c r="Q2553" s="149"/>
      <c r="R2553" s="149"/>
      <c r="S2553" s="149"/>
      <c r="T2553" s="149"/>
      <c r="U2553" s="149"/>
      <c r="V2553" s="149"/>
      <c r="W2553" s="149"/>
      <c r="X2553" s="149"/>
      <c r="Y2553" s="149"/>
      <c r="Z2553" s="149"/>
      <c r="AA2553" s="149"/>
      <c r="AB2553" s="149"/>
      <c r="AC2553" s="149"/>
      <c r="AD2553" s="149"/>
      <c r="AE2553" s="149"/>
      <c r="AF2553" s="149"/>
      <c r="AG2553" s="149"/>
      <c r="AH2553" s="149"/>
      <c r="AI2553" s="149"/>
      <c r="AJ2553" s="149"/>
      <c r="AK2553" s="149"/>
      <c r="AL2553" s="149"/>
      <c r="AM2553" s="149"/>
      <c r="AN2553" s="149"/>
      <c r="AO2553" s="128"/>
      <c r="AP2553" s="128"/>
      <c r="AQ2553" s="128"/>
      <c r="AR2553" s="128"/>
      <c r="AS2553" s="128"/>
      <c r="AT2553" s="128"/>
      <c r="AU2553" s="128"/>
      <c r="AV2553" s="128"/>
      <c r="AW2553" s="128"/>
      <c r="AX2553" s="128"/>
      <c r="AY2553" s="128"/>
      <c r="AZ2553" s="128"/>
      <c r="BA2553" s="128"/>
      <c r="BB2553" s="128"/>
      <c r="BC2553" s="128"/>
      <c r="BD2553" s="128"/>
      <c r="BE2553" s="128"/>
      <c r="BF2553" s="128"/>
      <c r="BG2553" s="128"/>
      <c r="BH2553" s="128"/>
      <c r="BI2553" s="128"/>
      <c r="BJ2553" s="128"/>
      <c r="BK2553" s="128"/>
      <c r="BL2553" s="128"/>
      <c r="BM2553" s="151"/>
      <c r="BN2553" s="128"/>
      <c r="BO2553" s="128"/>
      <c r="BP2553" s="128"/>
      <c r="BQ2553" s="128"/>
      <c r="BR2553" s="128"/>
      <c r="BS2553" s="128"/>
      <c r="BT2553" s="128"/>
      <c r="BU2553" s="128"/>
      <c r="BV2553" s="128"/>
      <c r="BW2553" s="128"/>
      <c r="BX2553" s="128"/>
      <c r="BY2553" s="128"/>
      <c r="BZ2553" s="128"/>
      <c r="CA2553" s="128"/>
      <c r="CB2553" s="128"/>
      <c r="CC2553" s="128"/>
      <c r="CD2553" s="128"/>
      <c r="CE2553" s="128"/>
      <c r="CF2553" s="128"/>
      <c r="CG2553" s="128"/>
      <c r="CI2553" s="128"/>
      <c r="CJ2553" s="128"/>
      <c r="CK2553" s="128"/>
      <c r="CL2553" s="128"/>
      <c r="CM2553" s="128"/>
      <c r="CN2553" s="128"/>
      <c r="CO2553" s="128"/>
      <c r="CP2553" s="128"/>
      <c r="CQ2553" s="128"/>
      <c r="CR2553" s="128"/>
      <c r="CS2553" s="128"/>
      <c r="CT2553" s="128"/>
      <c r="CU2553" s="128"/>
      <c r="CV2553" s="128"/>
      <c r="CW2553" s="128"/>
      <c r="CX2553" s="128"/>
      <c r="CY2553" s="128"/>
      <c r="CZ2553" s="165"/>
    </row>
    <row r="2554" spans="1:104">
      <c r="A2554" s="149"/>
      <c r="B2554" s="149"/>
      <c r="C2554" s="150"/>
      <c r="D2554" s="102"/>
      <c r="E2554" s="149"/>
      <c r="F2554" s="149"/>
      <c r="G2554" s="149"/>
      <c r="H2554" s="149"/>
      <c r="I2554" s="149"/>
      <c r="J2554" s="149"/>
      <c r="K2554" s="149"/>
      <c r="L2554" s="149"/>
      <c r="M2554" s="149"/>
      <c r="N2554" s="149"/>
      <c r="O2554" s="149"/>
      <c r="P2554" s="149"/>
      <c r="Q2554" s="149"/>
      <c r="R2554" s="149"/>
      <c r="S2554" s="149"/>
      <c r="T2554" s="149"/>
      <c r="U2554" s="149"/>
      <c r="V2554" s="149"/>
      <c r="W2554" s="149"/>
      <c r="X2554" s="149"/>
      <c r="Y2554" s="149"/>
      <c r="Z2554" s="149"/>
      <c r="AA2554" s="149"/>
      <c r="AB2554" s="149"/>
      <c r="AC2554" s="149"/>
      <c r="AD2554" s="149"/>
      <c r="AE2554" s="149"/>
      <c r="AF2554" s="149"/>
      <c r="AG2554" s="149"/>
      <c r="AH2554" s="149"/>
      <c r="AI2554" s="149"/>
      <c r="AJ2554" s="149"/>
      <c r="AK2554" s="149"/>
      <c r="AL2554" s="149"/>
      <c r="AM2554" s="149"/>
      <c r="AN2554" s="149"/>
      <c r="AO2554" s="128"/>
      <c r="AP2554" s="128"/>
      <c r="AQ2554" s="128"/>
      <c r="AR2554" s="128"/>
      <c r="AS2554" s="128"/>
      <c r="AT2554" s="128"/>
      <c r="AU2554" s="128"/>
      <c r="AV2554" s="128"/>
      <c r="AW2554" s="128"/>
      <c r="AX2554" s="128"/>
      <c r="AY2554" s="128"/>
      <c r="AZ2554" s="128"/>
      <c r="BA2554" s="128"/>
      <c r="BB2554" s="128"/>
      <c r="BC2554" s="128"/>
      <c r="BD2554" s="128"/>
      <c r="BE2554" s="128"/>
      <c r="BF2554" s="128"/>
      <c r="BG2554" s="128"/>
      <c r="BH2554" s="128"/>
      <c r="BI2554" s="128"/>
      <c r="BJ2554" s="128"/>
      <c r="BK2554" s="128"/>
      <c r="BL2554" s="128"/>
      <c r="BM2554" s="151"/>
      <c r="BN2554" s="128"/>
      <c r="BO2554" s="128"/>
      <c r="BP2554" s="128"/>
      <c r="BQ2554" s="128"/>
      <c r="BR2554" s="128"/>
      <c r="BS2554" s="128"/>
      <c r="BT2554" s="128"/>
      <c r="BU2554" s="128"/>
      <c r="BV2554" s="128"/>
      <c r="BW2554" s="128"/>
      <c r="BX2554" s="128"/>
      <c r="BY2554" s="128"/>
      <c r="BZ2554" s="128"/>
      <c r="CA2554" s="128"/>
      <c r="CB2554" s="128"/>
      <c r="CC2554" s="128"/>
      <c r="CD2554" s="128"/>
      <c r="CE2554" s="128"/>
      <c r="CF2554" s="128"/>
      <c r="CG2554" s="128"/>
      <c r="CI2554" s="128"/>
      <c r="CJ2554" s="128"/>
      <c r="CK2554" s="128"/>
      <c r="CL2554" s="128"/>
      <c r="CM2554" s="128"/>
      <c r="CN2554" s="128"/>
      <c r="CO2554" s="128"/>
      <c r="CP2554" s="128"/>
      <c r="CQ2554" s="128"/>
      <c r="CR2554" s="128"/>
      <c r="CS2554" s="128"/>
      <c r="CT2554" s="128"/>
      <c r="CU2554" s="128"/>
      <c r="CV2554" s="128"/>
      <c r="CW2554" s="128"/>
      <c r="CX2554" s="128"/>
      <c r="CY2554" s="128"/>
      <c r="CZ2554" s="165"/>
    </row>
    <row r="2555" spans="1:104">
      <c r="A2555" s="149"/>
      <c r="B2555" s="149"/>
      <c r="C2555" s="150"/>
      <c r="D2555" s="102"/>
      <c r="E2555" s="149"/>
      <c r="F2555" s="149"/>
      <c r="G2555" s="149"/>
      <c r="H2555" s="149"/>
      <c r="I2555" s="149"/>
      <c r="J2555" s="149"/>
      <c r="K2555" s="149"/>
      <c r="L2555" s="149"/>
      <c r="M2555" s="149"/>
      <c r="N2555" s="149"/>
      <c r="O2555" s="149"/>
      <c r="P2555" s="149"/>
      <c r="Q2555" s="149"/>
      <c r="R2555" s="149"/>
      <c r="S2555" s="149"/>
      <c r="T2555" s="149"/>
      <c r="U2555" s="149"/>
      <c r="V2555" s="149"/>
      <c r="W2555" s="149"/>
      <c r="X2555" s="149"/>
      <c r="Y2555" s="149"/>
      <c r="Z2555" s="149"/>
      <c r="AA2555" s="149"/>
      <c r="AB2555" s="149"/>
      <c r="AC2555" s="149"/>
      <c r="AD2555" s="149"/>
      <c r="AE2555" s="149"/>
      <c r="AF2555" s="149"/>
      <c r="AG2555" s="149"/>
      <c r="AH2555" s="149"/>
      <c r="AI2555" s="149"/>
      <c r="AJ2555" s="149"/>
      <c r="AK2555" s="149"/>
      <c r="AL2555" s="149"/>
      <c r="AM2555" s="149"/>
      <c r="AN2555" s="149"/>
      <c r="AO2555" s="128"/>
      <c r="AP2555" s="128"/>
      <c r="AQ2555" s="128"/>
      <c r="AR2555" s="128"/>
      <c r="AS2555" s="128"/>
      <c r="AT2555" s="128"/>
      <c r="AU2555" s="128"/>
      <c r="AV2555" s="128"/>
      <c r="AW2555" s="128"/>
      <c r="AX2555" s="128"/>
      <c r="AY2555" s="128"/>
      <c r="AZ2555" s="128"/>
      <c r="BA2555" s="128"/>
      <c r="BB2555" s="128"/>
      <c r="BC2555" s="128"/>
      <c r="BD2555" s="128"/>
      <c r="BE2555" s="128"/>
      <c r="BF2555" s="128"/>
      <c r="BG2555" s="128"/>
      <c r="BH2555" s="128"/>
      <c r="BI2555" s="128"/>
      <c r="BJ2555" s="128"/>
      <c r="BK2555" s="128"/>
      <c r="BL2555" s="128"/>
      <c r="BM2555" s="151"/>
      <c r="BN2555" s="128"/>
      <c r="BO2555" s="128"/>
      <c r="BP2555" s="128"/>
      <c r="BQ2555" s="128"/>
      <c r="BR2555" s="128"/>
      <c r="BS2555" s="128"/>
      <c r="BT2555" s="128"/>
      <c r="BU2555" s="128"/>
      <c r="BV2555" s="128"/>
      <c r="BW2555" s="128"/>
      <c r="BX2555" s="128"/>
      <c r="BY2555" s="128"/>
      <c r="BZ2555" s="128"/>
      <c r="CA2555" s="128"/>
      <c r="CB2555" s="128"/>
      <c r="CC2555" s="128"/>
      <c r="CD2555" s="128"/>
      <c r="CE2555" s="128"/>
      <c r="CF2555" s="128"/>
      <c r="CG2555" s="128"/>
      <c r="CI2555" s="128"/>
      <c r="CJ2555" s="128"/>
      <c r="CK2555" s="128"/>
      <c r="CL2555" s="128"/>
      <c r="CM2555" s="128"/>
      <c r="CN2555" s="128"/>
      <c r="CO2555" s="128"/>
      <c r="CP2555" s="128"/>
      <c r="CQ2555" s="128"/>
      <c r="CR2555" s="128"/>
      <c r="CS2555" s="128"/>
      <c r="CT2555" s="128"/>
      <c r="CU2555" s="128"/>
      <c r="CV2555" s="128"/>
      <c r="CW2555" s="128"/>
      <c r="CX2555" s="128"/>
      <c r="CY2555" s="128"/>
      <c r="CZ2555" s="165"/>
    </row>
    <row r="2556" spans="1:104">
      <c r="A2556" s="149"/>
      <c r="B2556" s="149"/>
      <c r="C2556" s="150"/>
      <c r="D2556" s="102"/>
      <c r="E2556" s="149"/>
      <c r="F2556" s="149"/>
      <c r="G2556" s="149"/>
      <c r="H2556" s="149"/>
      <c r="I2556" s="149"/>
      <c r="J2556" s="149"/>
      <c r="K2556" s="149"/>
      <c r="L2556" s="149"/>
      <c r="M2556" s="149"/>
      <c r="N2556" s="149"/>
      <c r="O2556" s="149"/>
      <c r="P2556" s="149"/>
      <c r="Q2556" s="149"/>
      <c r="R2556" s="149"/>
      <c r="S2556" s="149"/>
      <c r="T2556" s="149"/>
      <c r="U2556" s="149"/>
      <c r="V2556" s="149"/>
      <c r="W2556" s="149"/>
      <c r="X2556" s="149"/>
      <c r="Y2556" s="149"/>
      <c r="Z2556" s="149"/>
      <c r="AA2556" s="149"/>
      <c r="AB2556" s="149"/>
      <c r="AC2556" s="149"/>
      <c r="AD2556" s="149"/>
      <c r="AE2556" s="149"/>
      <c r="AF2556" s="149"/>
      <c r="AG2556" s="149"/>
      <c r="AH2556" s="149"/>
      <c r="AI2556" s="149"/>
      <c r="AJ2556" s="149"/>
      <c r="AK2556" s="149"/>
      <c r="AL2556" s="149"/>
      <c r="AM2556" s="149"/>
      <c r="AN2556" s="149"/>
      <c r="AO2556" s="128"/>
      <c r="AP2556" s="128"/>
      <c r="AQ2556" s="128"/>
      <c r="AR2556" s="128"/>
      <c r="AS2556" s="128"/>
      <c r="AT2556" s="128"/>
      <c r="AU2556" s="128"/>
      <c r="AV2556" s="128"/>
      <c r="AW2556" s="128"/>
      <c r="AX2556" s="128"/>
      <c r="AY2556" s="128"/>
      <c r="AZ2556" s="128"/>
      <c r="BA2556" s="128"/>
      <c r="BB2556" s="128"/>
      <c r="BC2556" s="128"/>
      <c r="BD2556" s="128"/>
      <c r="BE2556" s="128"/>
      <c r="BF2556" s="128"/>
      <c r="BG2556" s="128"/>
      <c r="BH2556" s="128"/>
      <c r="BI2556" s="128"/>
      <c r="BJ2556" s="128"/>
      <c r="BK2556" s="128"/>
      <c r="BL2556" s="128"/>
      <c r="BM2556" s="151"/>
      <c r="BN2556" s="128"/>
      <c r="BO2556" s="128"/>
      <c r="BP2556" s="128"/>
      <c r="BQ2556" s="128"/>
      <c r="BR2556" s="128"/>
      <c r="BS2556" s="128"/>
      <c r="BT2556" s="128"/>
      <c r="BU2556" s="128"/>
      <c r="BV2556" s="128"/>
      <c r="BW2556" s="128"/>
      <c r="BX2556" s="128"/>
      <c r="BY2556" s="128"/>
      <c r="BZ2556" s="128"/>
      <c r="CA2556" s="128"/>
      <c r="CB2556" s="128"/>
      <c r="CC2556" s="128"/>
      <c r="CD2556" s="128"/>
      <c r="CE2556" s="128"/>
      <c r="CF2556" s="128"/>
      <c r="CG2556" s="128"/>
      <c r="CI2556" s="128"/>
      <c r="CJ2556" s="128"/>
      <c r="CK2556" s="128"/>
      <c r="CL2556" s="128"/>
      <c r="CM2556" s="128"/>
      <c r="CN2556" s="128"/>
      <c r="CO2556" s="128"/>
      <c r="CP2556" s="128"/>
      <c r="CQ2556" s="128"/>
      <c r="CR2556" s="128"/>
      <c r="CS2556" s="128"/>
      <c r="CT2556" s="128"/>
      <c r="CU2556" s="128"/>
      <c r="CV2556" s="128"/>
      <c r="CW2556" s="128"/>
      <c r="CX2556" s="128"/>
      <c r="CY2556" s="128"/>
      <c r="CZ2556" s="165"/>
    </row>
    <row r="2557" spans="1:104">
      <c r="A2557" s="149"/>
      <c r="B2557" s="149"/>
      <c r="C2557" s="150"/>
      <c r="D2557" s="102"/>
      <c r="E2557" s="149"/>
      <c r="F2557" s="149"/>
      <c r="G2557" s="149"/>
      <c r="H2557" s="149"/>
      <c r="I2557" s="149"/>
      <c r="J2557" s="149"/>
      <c r="K2557" s="149"/>
      <c r="L2557" s="149"/>
      <c r="M2557" s="149"/>
      <c r="N2557" s="149"/>
      <c r="O2557" s="149"/>
      <c r="P2557" s="149"/>
      <c r="Q2557" s="149"/>
      <c r="R2557" s="149"/>
      <c r="S2557" s="149"/>
      <c r="T2557" s="149"/>
      <c r="U2557" s="149"/>
      <c r="V2557" s="149"/>
      <c r="W2557" s="149"/>
      <c r="X2557" s="149"/>
      <c r="Y2557" s="149"/>
      <c r="Z2557" s="149"/>
      <c r="AA2557" s="149"/>
      <c r="AB2557" s="149"/>
      <c r="AC2557" s="149"/>
      <c r="AD2557" s="149"/>
      <c r="AE2557" s="149"/>
      <c r="AF2557" s="149"/>
      <c r="AG2557" s="149"/>
      <c r="AH2557" s="149"/>
      <c r="AI2557" s="149"/>
      <c r="AJ2557" s="149"/>
      <c r="AK2557" s="149"/>
      <c r="AL2557" s="149"/>
      <c r="AM2557" s="149"/>
      <c r="AN2557" s="149"/>
      <c r="AO2557" s="128"/>
      <c r="AP2557" s="128"/>
      <c r="AQ2557" s="128"/>
      <c r="AR2557" s="128"/>
      <c r="AS2557" s="128"/>
      <c r="AT2557" s="128"/>
      <c r="AU2557" s="128"/>
      <c r="AV2557" s="128"/>
      <c r="AW2557" s="128"/>
      <c r="AX2557" s="128"/>
      <c r="AY2557" s="128"/>
      <c r="AZ2557" s="128"/>
      <c r="BA2557" s="128"/>
      <c r="BB2557" s="128"/>
      <c r="BC2557" s="128"/>
      <c r="BD2557" s="128"/>
      <c r="BE2557" s="128"/>
      <c r="BF2557" s="128"/>
      <c r="BG2557" s="128"/>
      <c r="BH2557" s="128"/>
      <c r="BI2557" s="128"/>
      <c r="BJ2557" s="128"/>
      <c r="BK2557" s="128"/>
      <c r="BL2557" s="128"/>
      <c r="BM2557" s="151"/>
      <c r="BN2557" s="128"/>
      <c r="BO2557" s="128"/>
      <c r="BP2557" s="128"/>
      <c r="BQ2557" s="128"/>
      <c r="BR2557" s="128"/>
      <c r="BS2557" s="128"/>
      <c r="BT2557" s="128"/>
      <c r="BU2557" s="128"/>
      <c r="BV2557" s="128"/>
      <c r="BW2557" s="128"/>
      <c r="BX2557" s="128"/>
      <c r="BY2557" s="128"/>
      <c r="BZ2557" s="128"/>
      <c r="CA2557" s="128"/>
      <c r="CB2557" s="128"/>
      <c r="CC2557" s="128"/>
      <c r="CD2557" s="128"/>
      <c r="CE2557" s="128"/>
      <c r="CF2557" s="128"/>
      <c r="CG2557" s="128"/>
      <c r="CI2557" s="128"/>
      <c r="CJ2557" s="128"/>
      <c r="CK2557" s="128"/>
      <c r="CL2557" s="128"/>
      <c r="CM2557" s="128"/>
      <c r="CN2557" s="128"/>
      <c r="CO2557" s="128"/>
      <c r="CP2557" s="128"/>
      <c r="CQ2557" s="128"/>
      <c r="CR2557" s="128"/>
      <c r="CS2557" s="128"/>
      <c r="CT2557" s="128"/>
      <c r="CU2557" s="128"/>
      <c r="CV2557" s="128"/>
      <c r="CW2557" s="128"/>
      <c r="CX2557" s="128"/>
      <c r="CY2557" s="128"/>
      <c r="CZ2557" s="165"/>
    </row>
    <row r="2558" spans="1:104">
      <c r="A2558" s="149"/>
      <c r="B2558" s="149"/>
      <c r="C2558" s="150"/>
      <c r="D2558" s="102"/>
      <c r="E2558" s="149"/>
      <c r="F2558" s="149"/>
      <c r="G2558" s="149"/>
      <c r="H2558" s="149"/>
      <c r="I2558" s="149"/>
      <c r="J2558" s="149"/>
      <c r="K2558" s="149"/>
      <c r="L2558" s="149"/>
      <c r="M2558" s="149"/>
      <c r="N2558" s="149"/>
      <c r="O2558" s="149"/>
      <c r="P2558" s="149"/>
      <c r="Q2558" s="149"/>
      <c r="R2558" s="149"/>
      <c r="S2558" s="149"/>
      <c r="T2558" s="149"/>
      <c r="U2558" s="149"/>
      <c r="V2558" s="149"/>
      <c r="W2558" s="149"/>
      <c r="X2558" s="149"/>
      <c r="Y2558" s="149"/>
      <c r="Z2558" s="149"/>
      <c r="AA2558" s="149"/>
      <c r="AB2558" s="149"/>
      <c r="AC2558" s="149"/>
      <c r="AD2558" s="149"/>
      <c r="AE2558" s="149"/>
      <c r="AF2558" s="149"/>
      <c r="AG2558" s="149"/>
      <c r="AH2558" s="149"/>
      <c r="AI2558" s="149"/>
      <c r="AJ2558" s="149"/>
      <c r="AK2558" s="149"/>
      <c r="AL2558" s="149"/>
      <c r="AM2558" s="149"/>
      <c r="AN2558" s="149"/>
      <c r="AO2558" s="128"/>
      <c r="AP2558" s="128"/>
      <c r="AQ2558" s="128"/>
      <c r="AR2558" s="128"/>
      <c r="AS2558" s="128"/>
      <c r="AT2558" s="128"/>
      <c r="AU2558" s="128"/>
      <c r="AV2558" s="128"/>
      <c r="AW2558" s="128"/>
      <c r="AX2558" s="128"/>
      <c r="AY2558" s="128"/>
      <c r="AZ2558" s="128"/>
      <c r="BA2558" s="128"/>
      <c r="BB2558" s="128"/>
      <c r="BC2558" s="128"/>
      <c r="BD2558" s="128"/>
      <c r="BE2558" s="128"/>
      <c r="BF2558" s="128"/>
      <c r="BG2558" s="128"/>
      <c r="BH2558" s="128"/>
      <c r="BI2558" s="128"/>
      <c r="BJ2558" s="128"/>
      <c r="BK2558" s="128"/>
      <c r="BL2558" s="128"/>
      <c r="BM2558" s="151"/>
      <c r="BN2558" s="128"/>
      <c r="BO2558" s="128"/>
      <c r="BP2558" s="128"/>
      <c r="BQ2558" s="128"/>
      <c r="BR2558" s="128"/>
      <c r="BS2558" s="128"/>
      <c r="BT2558" s="128"/>
      <c r="BU2558" s="128"/>
      <c r="BV2558" s="128"/>
      <c r="BW2558" s="128"/>
      <c r="BX2558" s="128"/>
      <c r="BY2558" s="128"/>
      <c r="BZ2558" s="128"/>
      <c r="CA2558" s="128"/>
      <c r="CB2558" s="128"/>
      <c r="CC2558" s="128"/>
      <c r="CD2558" s="128"/>
      <c r="CE2558" s="128"/>
      <c r="CF2558" s="128"/>
      <c r="CG2558" s="128"/>
      <c r="CI2558" s="128"/>
      <c r="CJ2558" s="128"/>
      <c r="CK2558" s="128"/>
      <c r="CL2558" s="128"/>
      <c r="CM2558" s="128"/>
      <c r="CN2558" s="128"/>
      <c r="CO2558" s="128"/>
      <c r="CP2558" s="128"/>
      <c r="CQ2558" s="128"/>
      <c r="CR2558" s="128"/>
      <c r="CS2558" s="128"/>
      <c r="CT2558" s="128"/>
      <c r="CU2558" s="128"/>
      <c r="CV2558" s="128"/>
      <c r="CW2558" s="128"/>
      <c r="CX2558" s="128"/>
      <c r="CY2558" s="128"/>
      <c r="CZ2558" s="165"/>
    </row>
    <row r="2559" spans="1:104">
      <c r="A2559" s="149"/>
      <c r="B2559" s="149"/>
      <c r="C2559" s="150"/>
      <c r="D2559" s="102"/>
      <c r="E2559" s="149"/>
      <c r="F2559" s="149"/>
      <c r="G2559" s="149"/>
      <c r="H2559" s="149"/>
      <c r="I2559" s="149"/>
      <c r="J2559" s="149"/>
      <c r="K2559" s="149"/>
      <c r="L2559" s="149"/>
      <c r="M2559" s="149"/>
      <c r="N2559" s="149"/>
      <c r="O2559" s="149"/>
      <c r="P2559" s="149"/>
      <c r="Q2559" s="149"/>
      <c r="R2559" s="149"/>
      <c r="S2559" s="149"/>
      <c r="T2559" s="149"/>
      <c r="U2559" s="149"/>
      <c r="V2559" s="149"/>
      <c r="W2559" s="149"/>
      <c r="X2559" s="149"/>
      <c r="Y2559" s="149"/>
      <c r="Z2559" s="149"/>
      <c r="AA2559" s="149"/>
      <c r="AB2559" s="149"/>
      <c r="AC2559" s="149"/>
      <c r="AD2559" s="149"/>
      <c r="AE2559" s="149"/>
      <c r="AF2559" s="149"/>
      <c r="AG2559" s="149"/>
      <c r="AH2559" s="149"/>
      <c r="AI2559" s="149"/>
      <c r="AJ2559" s="149"/>
      <c r="AK2559" s="149"/>
      <c r="AL2559" s="149"/>
      <c r="AM2559" s="149"/>
      <c r="AN2559" s="149"/>
      <c r="AO2559" s="128"/>
      <c r="AP2559" s="128"/>
      <c r="AQ2559" s="128"/>
      <c r="AR2559" s="128"/>
      <c r="AS2559" s="128"/>
      <c r="AT2559" s="128"/>
      <c r="AU2559" s="128"/>
      <c r="AV2559" s="128"/>
      <c r="AW2559" s="128"/>
      <c r="AX2559" s="128"/>
      <c r="AY2559" s="128"/>
      <c r="AZ2559" s="128"/>
      <c r="BA2559" s="128"/>
      <c r="BB2559" s="128"/>
      <c r="BC2559" s="128"/>
      <c r="BD2559" s="128"/>
      <c r="BE2559" s="128"/>
      <c r="BF2559" s="128"/>
      <c r="BG2559" s="128"/>
      <c r="BH2559" s="128"/>
      <c r="BI2559" s="128"/>
      <c r="BJ2559" s="128"/>
      <c r="BK2559" s="128"/>
      <c r="BL2559" s="128"/>
      <c r="BM2559" s="151"/>
      <c r="BN2559" s="128"/>
      <c r="BO2559" s="128"/>
      <c r="BP2559" s="128"/>
      <c r="BQ2559" s="128"/>
      <c r="BR2559" s="128"/>
      <c r="BS2559" s="128"/>
      <c r="BT2559" s="128"/>
      <c r="BU2559" s="128"/>
      <c r="BV2559" s="128"/>
      <c r="BW2559" s="128"/>
      <c r="BX2559" s="128"/>
      <c r="BY2559" s="128"/>
      <c r="BZ2559" s="128"/>
      <c r="CA2559" s="128"/>
      <c r="CB2559" s="128"/>
      <c r="CC2559" s="128"/>
      <c r="CD2559" s="128"/>
      <c r="CE2559" s="128"/>
      <c r="CF2559" s="128"/>
      <c r="CG2559" s="128"/>
      <c r="CI2559" s="128"/>
      <c r="CJ2559" s="128"/>
      <c r="CK2559" s="128"/>
      <c r="CL2559" s="128"/>
      <c r="CM2559" s="128"/>
      <c r="CN2559" s="128"/>
      <c r="CO2559" s="128"/>
      <c r="CP2559" s="128"/>
      <c r="CQ2559" s="128"/>
      <c r="CR2559" s="128"/>
      <c r="CS2559" s="128"/>
      <c r="CT2559" s="128"/>
      <c r="CU2559" s="128"/>
      <c r="CV2559" s="128"/>
      <c r="CW2559" s="128"/>
      <c r="CX2559" s="128"/>
      <c r="CY2559" s="128"/>
      <c r="CZ2559" s="165"/>
    </row>
    <row r="2560" spans="1:104">
      <c r="A2560" s="149"/>
      <c r="B2560" s="149"/>
      <c r="C2560" s="150"/>
      <c r="D2560" s="102"/>
      <c r="E2560" s="149"/>
      <c r="F2560" s="149"/>
      <c r="G2560" s="149"/>
      <c r="H2560" s="149"/>
      <c r="I2560" s="149"/>
      <c r="J2560" s="149"/>
      <c r="K2560" s="149"/>
      <c r="L2560" s="149"/>
      <c r="M2560" s="149"/>
      <c r="N2560" s="149"/>
      <c r="O2560" s="149"/>
      <c r="P2560" s="149"/>
      <c r="Q2560" s="149"/>
      <c r="R2560" s="149"/>
      <c r="S2560" s="149"/>
      <c r="T2560" s="149"/>
      <c r="U2560" s="149"/>
      <c r="V2560" s="149"/>
      <c r="W2560" s="149"/>
      <c r="X2560" s="149"/>
      <c r="Y2560" s="149"/>
      <c r="Z2560" s="149"/>
      <c r="AA2560" s="149"/>
      <c r="AB2560" s="149"/>
      <c r="AC2560" s="149"/>
      <c r="AD2560" s="149"/>
      <c r="AE2560" s="149"/>
      <c r="AF2560" s="149"/>
      <c r="AG2560" s="149"/>
      <c r="AH2560" s="149"/>
      <c r="AI2560" s="149"/>
      <c r="AJ2560" s="149"/>
      <c r="AK2560" s="149"/>
      <c r="AL2560" s="149"/>
      <c r="AM2560" s="149"/>
      <c r="AN2560" s="149"/>
      <c r="AO2560" s="128"/>
      <c r="AP2560" s="128"/>
      <c r="AQ2560" s="128"/>
      <c r="AR2560" s="128"/>
      <c r="AS2560" s="128"/>
      <c r="AT2560" s="128"/>
      <c r="AU2560" s="128"/>
      <c r="AV2560" s="128"/>
      <c r="AW2560" s="128"/>
      <c r="AX2560" s="128"/>
      <c r="AY2560" s="128"/>
      <c r="AZ2560" s="128"/>
      <c r="BA2560" s="128"/>
      <c r="BB2560" s="128"/>
      <c r="BC2560" s="128"/>
      <c r="BD2560" s="128"/>
      <c r="BE2560" s="128"/>
      <c r="BF2560" s="128"/>
      <c r="BG2560" s="128"/>
      <c r="BH2560" s="128"/>
      <c r="BI2560" s="128"/>
      <c r="BJ2560" s="128"/>
      <c r="BK2560" s="128"/>
      <c r="BL2560" s="128"/>
      <c r="BM2560" s="151"/>
      <c r="BN2560" s="128"/>
      <c r="BO2560" s="128"/>
      <c r="BP2560" s="128"/>
      <c r="BQ2560" s="128"/>
      <c r="BR2560" s="128"/>
      <c r="BS2560" s="128"/>
      <c r="BT2560" s="128"/>
      <c r="BU2560" s="128"/>
      <c r="BV2560" s="128"/>
      <c r="BW2560" s="128"/>
      <c r="BX2560" s="128"/>
      <c r="BY2560" s="128"/>
      <c r="BZ2560" s="128"/>
      <c r="CA2560" s="128"/>
      <c r="CB2560" s="128"/>
      <c r="CC2560" s="128"/>
      <c r="CD2560" s="128"/>
      <c r="CE2560" s="128"/>
      <c r="CF2560" s="128"/>
      <c r="CG2560" s="128"/>
      <c r="CI2560" s="128"/>
      <c r="CJ2560" s="128"/>
      <c r="CK2560" s="128"/>
      <c r="CL2560" s="128"/>
      <c r="CM2560" s="128"/>
      <c r="CN2560" s="128"/>
      <c r="CO2560" s="128"/>
      <c r="CP2560" s="128"/>
      <c r="CQ2560" s="128"/>
      <c r="CR2560" s="128"/>
      <c r="CS2560" s="128"/>
      <c r="CT2560" s="128"/>
      <c r="CU2560" s="128"/>
      <c r="CV2560" s="128"/>
      <c r="CW2560" s="128"/>
      <c r="CX2560" s="128"/>
      <c r="CY2560" s="128"/>
      <c r="CZ2560" s="165"/>
    </row>
    <row r="2561" spans="1:104">
      <c r="A2561" s="149"/>
      <c r="B2561" s="149"/>
      <c r="C2561" s="150"/>
      <c r="D2561" s="102"/>
      <c r="E2561" s="149"/>
      <c r="F2561" s="149"/>
      <c r="G2561" s="149"/>
      <c r="H2561" s="149"/>
      <c r="I2561" s="149"/>
      <c r="J2561" s="149"/>
      <c r="K2561" s="149"/>
      <c r="L2561" s="149"/>
      <c r="M2561" s="149"/>
      <c r="N2561" s="149"/>
      <c r="O2561" s="149"/>
      <c r="P2561" s="149"/>
      <c r="Q2561" s="149"/>
      <c r="R2561" s="149"/>
      <c r="S2561" s="149"/>
      <c r="T2561" s="149"/>
      <c r="U2561" s="149"/>
      <c r="V2561" s="149"/>
      <c r="W2561" s="149"/>
      <c r="X2561" s="149"/>
      <c r="Y2561" s="149"/>
      <c r="Z2561" s="149"/>
      <c r="AA2561" s="149"/>
      <c r="AB2561" s="149"/>
      <c r="AC2561" s="149"/>
      <c r="AD2561" s="149"/>
      <c r="AE2561" s="149"/>
      <c r="AF2561" s="149"/>
      <c r="AG2561" s="149"/>
      <c r="AH2561" s="149"/>
      <c r="AI2561" s="149"/>
      <c r="AJ2561" s="149"/>
      <c r="AK2561" s="149"/>
      <c r="AL2561" s="149"/>
      <c r="AM2561" s="149"/>
      <c r="AN2561" s="149"/>
      <c r="AO2561" s="128"/>
      <c r="AP2561" s="128"/>
      <c r="AQ2561" s="128"/>
      <c r="AR2561" s="128"/>
      <c r="AS2561" s="128"/>
      <c r="AT2561" s="128"/>
      <c r="AU2561" s="128"/>
      <c r="AV2561" s="128"/>
      <c r="AW2561" s="128"/>
      <c r="AX2561" s="128"/>
      <c r="AY2561" s="128"/>
      <c r="AZ2561" s="128"/>
      <c r="BA2561" s="128"/>
      <c r="BB2561" s="128"/>
      <c r="BC2561" s="128"/>
      <c r="BD2561" s="128"/>
      <c r="BE2561" s="128"/>
      <c r="BF2561" s="128"/>
      <c r="BG2561" s="128"/>
      <c r="BH2561" s="128"/>
      <c r="BI2561" s="128"/>
      <c r="BJ2561" s="128"/>
      <c r="BK2561" s="128"/>
      <c r="BL2561" s="128"/>
      <c r="BM2561" s="151"/>
      <c r="BN2561" s="128"/>
      <c r="BO2561" s="128"/>
      <c r="BP2561" s="128"/>
      <c r="BQ2561" s="128"/>
      <c r="BR2561" s="128"/>
      <c r="BS2561" s="128"/>
      <c r="BT2561" s="128"/>
      <c r="BU2561" s="128"/>
      <c r="BV2561" s="128"/>
      <c r="BW2561" s="128"/>
      <c r="BX2561" s="128"/>
      <c r="BY2561" s="128"/>
      <c r="BZ2561" s="128"/>
      <c r="CA2561" s="128"/>
      <c r="CB2561" s="128"/>
      <c r="CC2561" s="128"/>
      <c r="CD2561" s="128"/>
      <c r="CE2561" s="128"/>
      <c r="CF2561" s="128"/>
      <c r="CG2561" s="128"/>
      <c r="CI2561" s="128"/>
      <c r="CJ2561" s="128"/>
      <c r="CK2561" s="128"/>
      <c r="CL2561" s="128"/>
      <c r="CM2561" s="128"/>
      <c r="CN2561" s="128"/>
      <c r="CO2561" s="128"/>
      <c r="CP2561" s="128"/>
      <c r="CQ2561" s="128"/>
      <c r="CR2561" s="128"/>
      <c r="CS2561" s="128"/>
      <c r="CT2561" s="128"/>
      <c r="CU2561" s="128"/>
      <c r="CV2561" s="128"/>
      <c r="CW2561" s="128"/>
      <c r="CX2561" s="128"/>
      <c r="CY2561" s="128"/>
      <c r="CZ2561" s="165"/>
    </row>
    <row r="2562" spans="1:104">
      <c r="A2562" s="149"/>
      <c r="B2562" s="149"/>
      <c r="C2562" s="150"/>
      <c r="D2562" s="102"/>
      <c r="E2562" s="149"/>
      <c r="F2562" s="149"/>
      <c r="G2562" s="149"/>
      <c r="H2562" s="149"/>
      <c r="I2562" s="149"/>
      <c r="J2562" s="149"/>
      <c r="K2562" s="149"/>
      <c r="L2562" s="149"/>
      <c r="M2562" s="149"/>
      <c r="N2562" s="149"/>
      <c r="O2562" s="149"/>
      <c r="P2562" s="149"/>
      <c r="Q2562" s="149"/>
      <c r="R2562" s="149"/>
      <c r="S2562" s="149"/>
      <c r="T2562" s="149"/>
      <c r="U2562" s="149"/>
      <c r="V2562" s="149"/>
      <c r="W2562" s="149"/>
      <c r="X2562" s="149"/>
      <c r="Y2562" s="149"/>
      <c r="Z2562" s="149"/>
      <c r="AA2562" s="149"/>
      <c r="AB2562" s="149"/>
      <c r="AC2562" s="149"/>
      <c r="AD2562" s="149"/>
      <c r="AE2562" s="149"/>
      <c r="AF2562" s="149"/>
      <c r="AG2562" s="149"/>
      <c r="AH2562" s="149"/>
      <c r="AI2562" s="149"/>
      <c r="AJ2562" s="149"/>
      <c r="AK2562" s="149"/>
      <c r="AL2562" s="149"/>
      <c r="AM2562" s="149"/>
      <c r="AN2562" s="149"/>
      <c r="AO2562" s="128"/>
      <c r="AP2562" s="128"/>
      <c r="AQ2562" s="128"/>
      <c r="AR2562" s="128"/>
      <c r="AS2562" s="128"/>
      <c r="AT2562" s="128"/>
      <c r="AU2562" s="128"/>
      <c r="AV2562" s="128"/>
      <c r="AW2562" s="128"/>
      <c r="AX2562" s="128"/>
      <c r="AY2562" s="128"/>
      <c r="AZ2562" s="128"/>
      <c r="BA2562" s="128"/>
      <c r="BB2562" s="128"/>
      <c r="BC2562" s="128"/>
      <c r="BD2562" s="128"/>
      <c r="BE2562" s="128"/>
      <c r="BF2562" s="128"/>
      <c r="BG2562" s="128"/>
      <c r="BH2562" s="128"/>
      <c r="BI2562" s="128"/>
      <c r="BJ2562" s="128"/>
      <c r="BK2562" s="128"/>
      <c r="BL2562" s="128"/>
      <c r="BM2562" s="151"/>
      <c r="BN2562" s="128"/>
      <c r="BO2562" s="128"/>
      <c r="BP2562" s="128"/>
      <c r="BQ2562" s="128"/>
      <c r="BR2562" s="128"/>
      <c r="BS2562" s="128"/>
      <c r="BT2562" s="128"/>
      <c r="BU2562" s="128"/>
      <c r="BV2562" s="128"/>
      <c r="BW2562" s="128"/>
      <c r="BX2562" s="128"/>
      <c r="BY2562" s="128"/>
      <c r="BZ2562" s="128"/>
      <c r="CA2562" s="128"/>
      <c r="CB2562" s="128"/>
      <c r="CC2562" s="128"/>
      <c r="CD2562" s="128"/>
      <c r="CE2562" s="128"/>
      <c r="CF2562" s="128"/>
      <c r="CG2562" s="128"/>
      <c r="CI2562" s="128"/>
      <c r="CJ2562" s="128"/>
      <c r="CK2562" s="128"/>
      <c r="CL2562" s="128"/>
      <c r="CM2562" s="128"/>
      <c r="CN2562" s="128"/>
      <c r="CO2562" s="128"/>
      <c r="CP2562" s="128"/>
      <c r="CQ2562" s="128"/>
      <c r="CR2562" s="128"/>
      <c r="CS2562" s="128"/>
      <c r="CT2562" s="128"/>
      <c r="CU2562" s="128"/>
      <c r="CV2562" s="128"/>
      <c r="CW2562" s="128"/>
      <c r="CX2562" s="128"/>
      <c r="CY2562" s="128"/>
      <c r="CZ2562" s="165"/>
    </row>
    <row r="2563" spans="1:104">
      <c r="A2563" s="149"/>
      <c r="B2563" s="149"/>
      <c r="C2563" s="150"/>
      <c r="D2563" s="102"/>
      <c r="E2563" s="149"/>
      <c r="F2563" s="149"/>
      <c r="G2563" s="149"/>
      <c r="H2563" s="149"/>
      <c r="I2563" s="149"/>
      <c r="J2563" s="149"/>
      <c r="K2563" s="149"/>
      <c r="L2563" s="149"/>
      <c r="M2563" s="149"/>
      <c r="N2563" s="149"/>
      <c r="O2563" s="149"/>
      <c r="P2563" s="149"/>
      <c r="Q2563" s="149"/>
      <c r="R2563" s="149"/>
      <c r="S2563" s="149"/>
      <c r="T2563" s="149"/>
      <c r="U2563" s="149"/>
      <c r="V2563" s="149"/>
      <c r="W2563" s="149"/>
      <c r="X2563" s="149"/>
      <c r="Y2563" s="149"/>
      <c r="Z2563" s="149"/>
      <c r="AA2563" s="149"/>
      <c r="AB2563" s="149"/>
      <c r="AC2563" s="149"/>
      <c r="AD2563" s="149"/>
      <c r="AE2563" s="149"/>
      <c r="AF2563" s="149"/>
      <c r="AG2563" s="149"/>
      <c r="AH2563" s="149"/>
      <c r="AI2563" s="149"/>
      <c r="AJ2563" s="149"/>
      <c r="AK2563" s="149"/>
      <c r="AL2563" s="149"/>
      <c r="AM2563" s="149"/>
      <c r="AN2563" s="149"/>
      <c r="AO2563" s="128"/>
      <c r="AP2563" s="128"/>
      <c r="AQ2563" s="128"/>
      <c r="AR2563" s="128"/>
      <c r="AS2563" s="128"/>
      <c r="AT2563" s="128"/>
      <c r="AU2563" s="128"/>
      <c r="AV2563" s="128"/>
      <c r="AW2563" s="128"/>
      <c r="AX2563" s="128"/>
      <c r="AY2563" s="128"/>
      <c r="AZ2563" s="128"/>
      <c r="BA2563" s="128"/>
      <c r="BB2563" s="128"/>
      <c r="BC2563" s="128"/>
      <c r="BD2563" s="128"/>
      <c r="BE2563" s="128"/>
      <c r="BF2563" s="128"/>
      <c r="BG2563" s="128"/>
      <c r="BH2563" s="128"/>
      <c r="BI2563" s="128"/>
      <c r="BJ2563" s="128"/>
      <c r="BK2563" s="128"/>
      <c r="BL2563" s="128"/>
      <c r="BM2563" s="151"/>
      <c r="BN2563" s="128"/>
      <c r="BO2563" s="128"/>
      <c r="BP2563" s="128"/>
      <c r="BQ2563" s="128"/>
      <c r="BR2563" s="128"/>
      <c r="BS2563" s="128"/>
      <c r="BT2563" s="128"/>
      <c r="BU2563" s="128"/>
      <c r="BV2563" s="128"/>
      <c r="BW2563" s="128"/>
      <c r="BX2563" s="128"/>
      <c r="BY2563" s="128"/>
      <c r="BZ2563" s="128"/>
      <c r="CA2563" s="128"/>
      <c r="CB2563" s="128"/>
      <c r="CC2563" s="128"/>
      <c r="CD2563" s="128"/>
      <c r="CE2563" s="128"/>
      <c r="CF2563" s="128"/>
      <c r="CG2563" s="128"/>
      <c r="CI2563" s="128"/>
      <c r="CJ2563" s="128"/>
      <c r="CK2563" s="128"/>
      <c r="CL2563" s="128"/>
      <c r="CM2563" s="128"/>
      <c r="CN2563" s="128"/>
      <c r="CO2563" s="128"/>
      <c r="CP2563" s="128"/>
      <c r="CQ2563" s="128"/>
      <c r="CR2563" s="128"/>
      <c r="CS2563" s="128"/>
      <c r="CT2563" s="128"/>
      <c r="CU2563" s="128"/>
      <c r="CV2563" s="128"/>
      <c r="CW2563" s="128"/>
      <c r="CX2563" s="128"/>
      <c r="CY2563" s="128"/>
      <c r="CZ2563" s="165"/>
    </row>
    <row r="2564" spans="1:104">
      <c r="A2564" s="149"/>
      <c r="B2564" s="149"/>
      <c r="C2564" s="150"/>
      <c r="D2564" s="102"/>
      <c r="E2564" s="149"/>
      <c r="F2564" s="149"/>
      <c r="G2564" s="149"/>
      <c r="H2564" s="149"/>
      <c r="I2564" s="149"/>
      <c r="J2564" s="149"/>
      <c r="K2564" s="149"/>
      <c r="L2564" s="149"/>
      <c r="M2564" s="149"/>
      <c r="N2564" s="149"/>
      <c r="O2564" s="149"/>
      <c r="P2564" s="149"/>
      <c r="Q2564" s="149"/>
      <c r="R2564" s="149"/>
      <c r="S2564" s="149"/>
      <c r="T2564" s="149"/>
      <c r="U2564" s="149"/>
      <c r="V2564" s="149"/>
      <c r="W2564" s="149"/>
      <c r="X2564" s="149"/>
      <c r="Y2564" s="149"/>
      <c r="Z2564" s="149"/>
      <c r="AA2564" s="149"/>
      <c r="AB2564" s="149"/>
      <c r="AC2564" s="149"/>
      <c r="AD2564" s="149"/>
      <c r="AE2564" s="149"/>
      <c r="AF2564" s="149"/>
      <c r="AG2564" s="149"/>
      <c r="AH2564" s="149"/>
      <c r="AI2564" s="149"/>
      <c r="AJ2564" s="149"/>
      <c r="AK2564" s="149"/>
      <c r="AL2564" s="149"/>
      <c r="AM2564" s="149"/>
      <c r="AN2564" s="149"/>
      <c r="AO2564" s="128"/>
      <c r="AP2564" s="128"/>
      <c r="AQ2564" s="128"/>
      <c r="AR2564" s="128"/>
      <c r="AS2564" s="128"/>
      <c r="AT2564" s="128"/>
      <c r="AU2564" s="128"/>
      <c r="AV2564" s="128"/>
      <c r="AW2564" s="128"/>
      <c r="AX2564" s="128"/>
      <c r="AY2564" s="128"/>
      <c r="AZ2564" s="128"/>
      <c r="BA2564" s="128"/>
      <c r="BB2564" s="128"/>
      <c r="BC2564" s="128"/>
      <c r="BD2564" s="128"/>
      <c r="BE2564" s="128"/>
      <c r="BF2564" s="128"/>
      <c r="BG2564" s="128"/>
      <c r="BH2564" s="128"/>
      <c r="BI2564" s="128"/>
      <c r="BJ2564" s="128"/>
      <c r="BK2564" s="128"/>
      <c r="BL2564" s="128"/>
      <c r="BM2564" s="151"/>
      <c r="BN2564" s="128"/>
      <c r="BO2564" s="128"/>
      <c r="BP2564" s="128"/>
      <c r="BQ2564" s="128"/>
      <c r="BR2564" s="128"/>
      <c r="BS2564" s="128"/>
      <c r="BT2564" s="128"/>
      <c r="BU2564" s="128"/>
      <c r="BV2564" s="128"/>
      <c r="BW2564" s="128"/>
      <c r="BX2564" s="128"/>
      <c r="BY2564" s="128"/>
      <c r="BZ2564" s="128"/>
      <c r="CA2564" s="128"/>
      <c r="CB2564" s="128"/>
      <c r="CC2564" s="128"/>
      <c r="CD2564" s="128"/>
      <c r="CE2564" s="128"/>
      <c r="CF2564" s="128"/>
      <c r="CG2564" s="128"/>
      <c r="CI2564" s="128"/>
      <c r="CJ2564" s="128"/>
      <c r="CK2564" s="128"/>
      <c r="CL2564" s="128"/>
      <c r="CM2564" s="128"/>
      <c r="CN2564" s="128"/>
      <c r="CO2564" s="128"/>
      <c r="CP2564" s="128"/>
      <c r="CQ2564" s="128"/>
      <c r="CR2564" s="128"/>
      <c r="CS2564" s="128"/>
      <c r="CT2564" s="128"/>
      <c r="CU2564" s="128"/>
      <c r="CV2564" s="128"/>
      <c r="CW2564" s="128"/>
      <c r="CX2564" s="128"/>
      <c r="CY2564" s="128"/>
      <c r="CZ2564" s="165"/>
    </row>
    <row r="2565" spans="1:104">
      <c r="A2565" s="149"/>
      <c r="B2565" s="149"/>
      <c r="C2565" s="150"/>
      <c r="D2565" s="102"/>
      <c r="E2565" s="149"/>
      <c r="F2565" s="149"/>
      <c r="G2565" s="149"/>
      <c r="H2565" s="149"/>
      <c r="I2565" s="149"/>
      <c r="J2565" s="149"/>
      <c r="K2565" s="149"/>
      <c r="L2565" s="149"/>
      <c r="M2565" s="149"/>
      <c r="N2565" s="149"/>
      <c r="O2565" s="149"/>
      <c r="P2565" s="149"/>
      <c r="Q2565" s="149"/>
      <c r="R2565" s="149"/>
      <c r="S2565" s="149"/>
      <c r="T2565" s="149"/>
      <c r="U2565" s="149"/>
      <c r="V2565" s="149"/>
      <c r="W2565" s="149"/>
      <c r="X2565" s="149"/>
      <c r="Y2565" s="149"/>
      <c r="Z2565" s="149"/>
      <c r="AA2565" s="149"/>
      <c r="AB2565" s="149"/>
      <c r="AC2565" s="149"/>
      <c r="AD2565" s="149"/>
      <c r="AE2565" s="149"/>
      <c r="AF2565" s="149"/>
      <c r="AG2565" s="149"/>
      <c r="AH2565" s="149"/>
      <c r="AI2565" s="149"/>
      <c r="AJ2565" s="149"/>
      <c r="AK2565" s="149"/>
      <c r="AL2565" s="149"/>
      <c r="AM2565" s="149"/>
      <c r="AN2565" s="149"/>
      <c r="AO2565" s="128"/>
      <c r="AP2565" s="128"/>
      <c r="AQ2565" s="128"/>
      <c r="AR2565" s="128"/>
      <c r="AS2565" s="128"/>
      <c r="AT2565" s="128"/>
      <c r="AU2565" s="128"/>
      <c r="AV2565" s="128"/>
      <c r="AW2565" s="128"/>
      <c r="AX2565" s="128"/>
      <c r="AY2565" s="128"/>
      <c r="AZ2565" s="128"/>
      <c r="BA2565" s="128"/>
      <c r="BB2565" s="128"/>
      <c r="BC2565" s="128"/>
      <c r="BD2565" s="128"/>
      <c r="BE2565" s="128"/>
      <c r="BF2565" s="128"/>
      <c r="BG2565" s="128"/>
      <c r="BH2565" s="128"/>
      <c r="BI2565" s="128"/>
      <c r="BJ2565" s="128"/>
      <c r="BK2565" s="128"/>
      <c r="BL2565" s="128"/>
      <c r="BM2565" s="151"/>
      <c r="BN2565" s="128"/>
      <c r="BO2565" s="128"/>
      <c r="BP2565" s="128"/>
      <c r="BQ2565" s="128"/>
      <c r="BR2565" s="128"/>
      <c r="BS2565" s="128"/>
      <c r="BT2565" s="128"/>
      <c r="BU2565" s="128"/>
      <c r="BV2565" s="128"/>
      <c r="BW2565" s="128"/>
      <c r="BX2565" s="128"/>
      <c r="BY2565" s="128"/>
      <c r="BZ2565" s="128"/>
      <c r="CA2565" s="128"/>
      <c r="CB2565" s="128"/>
      <c r="CC2565" s="128"/>
      <c r="CD2565" s="128"/>
      <c r="CE2565" s="128"/>
      <c r="CF2565" s="128"/>
      <c r="CG2565" s="128"/>
      <c r="CI2565" s="128"/>
      <c r="CJ2565" s="128"/>
      <c r="CK2565" s="128"/>
      <c r="CL2565" s="128"/>
      <c r="CM2565" s="128"/>
      <c r="CN2565" s="128"/>
      <c r="CO2565" s="128"/>
      <c r="CP2565" s="128"/>
      <c r="CQ2565" s="128"/>
      <c r="CR2565" s="128"/>
      <c r="CS2565" s="128"/>
      <c r="CT2565" s="128"/>
      <c r="CU2565" s="128"/>
      <c r="CV2565" s="128"/>
      <c r="CW2565" s="128"/>
      <c r="CX2565" s="128"/>
      <c r="CY2565" s="128"/>
      <c r="CZ2565" s="165"/>
    </row>
    <row r="2566" spans="1:104">
      <c r="A2566" s="149"/>
      <c r="B2566" s="149"/>
      <c r="C2566" s="150"/>
      <c r="D2566" s="102"/>
      <c r="E2566" s="149"/>
      <c r="F2566" s="149"/>
      <c r="G2566" s="149"/>
      <c r="H2566" s="149"/>
      <c r="I2566" s="149"/>
      <c r="J2566" s="149"/>
      <c r="K2566" s="149"/>
      <c r="L2566" s="149"/>
      <c r="M2566" s="149"/>
      <c r="N2566" s="149"/>
      <c r="O2566" s="149"/>
      <c r="P2566" s="149"/>
      <c r="Q2566" s="149"/>
      <c r="R2566" s="149"/>
      <c r="S2566" s="149"/>
      <c r="T2566" s="149"/>
      <c r="U2566" s="149"/>
      <c r="V2566" s="149"/>
      <c r="W2566" s="149"/>
      <c r="X2566" s="149"/>
      <c r="Y2566" s="149"/>
      <c r="Z2566" s="149"/>
      <c r="AA2566" s="149"/>
      <c r="AB2566" s="149"/>
      <c r="AC2566" s="149"/>
      <c r="AD2566" s="149"/>
      <c r="AE2566" s="149"/>
      <c r="AF2566" s="149"/>
      <c r="AG2566" s="149"/>
      <c r="AH2566" s="149"/>
      <c r="AI2566" s="149"/>
      <c r="AJ2566" s="149"/>
      <c r="AK2566" s="149"/>
      <c r="AL2566" s="149"/>
      <c r="AM2566" s="149"/>
      <c r="AN2566" s="149"/>
      <c r="AO2566" s="128"/>
      <c r="AP2566" s="128"/>
      <c r="AQ2566" s="128"/>
      <c r="AR2566" s="128"/>
      <c r="AS2566" s="128"/>
      <c r="AT2566" s="128"/>
      <c r="AU2566" s="128"/>
      <c r="AV2566" s="128"/>
      <c r="AW2566" s="128"/>
      <c r="AX2566" s="128"/>
      <c r="AY2566" s="128"/>
      <c r="AZ2566" s="128"/>
      <c r="BA2566" s="128"/>
      <c r="BB2566" s="128"/>
      <c r="BC2566" s="128"/>
      <c r="BD2566" s="128"/>
      <c r="BE2566" s="128"/>
      <c r="BF2566" s="128"/>
      <c r="BG2566" s="128"/>
      <c r="BH2566" s="128"/>
      <c r="BI2566" s="128"/>
      <c r="BJ2566" s="128"/>
      <c r="BK2566" s="128"/>
      <c r="BL2566" s="128"/>
      <c r="BM2566" s="151"/>
      <c r="BN2566" s="128"/>
      <c r="BO2566" s="128"/>
      <c r="BP2566" s="128"/>
      <c r="BQ2566" s="128"/>
      <c r="BR2566" s="128"/>
      <c r="BS2566" s="128"/>
      <c r="BT2566" s="128"/>
      <c r="BU2566" s="128"/>
      <c r="BV2566" s="128"/>
      <c r="BW2566" s="128"/>
      <c r="BX2566" s="128"/>
      <c r="BY2566" s="128"/>
      <c r="BZ2566" s="128"/>
      <c r="CA2566" s="128"/>
      <c r="CB2566" s="128"/>
      <c r="CC2566" s="128"/>
      <c r="CD2566" s="128"/>
      <c r="CE2566" s="128"/>
      <c r="CF2566" s="128"/>
      <c r="CG2566" s="128"/>
      <c r="CI2566" s="128"/>
      <c r="CJ2566" s="128"/>
      <c r="CK2566" s="128"/>
      <c r="CL2566" s="128"/>
      <c r="CM2566" s="128"/>
      <c r="CN2566" s="128"/>
      <c r="CO2566" s="128"/>
      <c r="CP2566" s="128"/>
      <c r="CQ2566" s="128"/>
      <c r="CR2566" s="128"/>
      <c r="CS2566" s="128"/>
      <c r="CT2566" s="128"/>
      <c r="CU2566" s="128"/>
      <c r="CV2566" s="128"/>
      <c r="CW2566" s="128"/>
      <c r="CX2566" s="128"/>
      <c r="CY2566" s="128"/>
      <c r="CZ2566" s="165"/>
    </row>
    <row r="2567" spans="1:104">
      <c r="A2567" s="149"/>
      <c r="B2567" s="149"/>
      <c r="C2567" s="150"/>
      <c r="D2567" s="102"/>
      <c r="E2567" s="149"/>
      <c r="F2567" s="149"/>
      <c r="G2567" s="149"/>
      <c r="H2567" s="149"/>
      <c r="I2567" s="149"/>
      <c r="J2567" s="149"/>
      <c r="K2567" s="149"/>
      <c r="L2567" s="149"/>
      <c r="M2567" s="149"/>
      <c r="N2567" s="149"/>
      <c r="O2567" s="149"/>
      <c r="P2567" s="149"/>
      <c r="Q2567" s="149"/>
      <c r="R2567" s="149"/>
      <c r="S2567" s="149"/>
      <c r="T2567" s="149"/>
      <c r="U2567" s="149"/>
      <c r="V2567" s="149"/>
      <c r="W2567" s="149"/>
      <c r="X2567" s="149"/>
      <c r="Y2567" s="149"/>
      <c r="Z2567" s="149"/>
      <c r="AA2567" s="149"/>
      <c r="AB2567" s="149"/>
      <c r="AC2567" s="149"/>
      <c r="AD2567" s="149"/>
      <c r="AE2567" s="149"/>
      <c r="AF2567" s="149"/>
      <c r="AG2567" s="149"/>
      <c r="AH2567" s="149"/>
      <c r="AI2567" s="149"/>
      <c r="AJ2567" s="149"/>
      <c r="AK2567" s="149"/>
      <c r="AL2567" s="149"/>
      <c r="AM2567" s="149"/>
      <c r="AN2567" s="149"/>
      <c r="AO2567" s="128"/>
      <c r="AP2567" s="128"/>
      <c r="AQ2567" s="128"/>
      <c r="AR2567" s="128"/>
      <c r="AS2567" s="128"/>
      <c r="AT2567" s="128"/>
      <c r="AU2567" s="128"/>
      <c r="AV2567" s="128"/>
      <c r="AW2567" s="128"/>
      <c r="AX2567" s="128"/>
      <c r="AY2567" s="128"/>
      <c r="AZ2567" s="128"/>
      <c r="BA2567" s="128"/>
      <c r="BB2567" s="128"/>
      <c r="BC2567" s="128"/>
      <c r="BD2567" s="128"/>
      <c r="BE2567" s="128"/>
      <c r="BF2567" s="128"/>
      <c r="BG2567" s="128"/>
      <c r="BH2567" s="128"/>
      <c r="BI2567" s="128"/>
      <c r="BJ2567" s="128"/>
      <c r="BK2567" s="128"/>
      <c r="BL2567" s="128"/>
      <c r="BM2567" s="151"/>
      <c r="BN2567" s="128"/>
      <c r="BO2567" s="128"/>
      <c r="BP2567" s="128"/>
      <c r="BQ2567" s="128"/>
      <c r="BR2567" s="128"/>
      <c r="BS2567" s="128"/>
      <c r="BT2567" s="128"/>
      <c r="BU2567" s="128"/>
      <c r="BV2567" s="128"/>
      <c r="BW2567" s="128"/>
      <c r="BX2567" s="128"/>
      <c r="BY2567" s="128"/>
      <c r="BZ2567" s="128"/>
      <c r="CA2567" s="128"/>
      <c r="CB2567" s="128"/>
      <c r="CC2567" s="128"/>
      <c r="CD2567" s="128"/>
      <c r="CE2567" s="128"/>
      <c r="CF2567" s="128"/>
      <c r="CG2567" s="128"/>
      <c r="CI2567" s="128"/>
      <c r="CJ2567" s="128"/>
      <c r="CK2567" s="128"/>
      <c r="CL2567" s="128"/>
      <c r="CM2567" s="128"/>
      <c r="CN2567" s="128"/>
      <c r="CO2567" s="128"/>
      <c r="CP2567" s="128"/>
      <c r="CQ2567" s="128"/>
      <c r="CR2567" s="128"/>
      <c r="CS2567" s="128"/>
      <c r="CT2567" s="128"/>
      <c r="CU2567" s="128"/>
      <c r="CV2567" s="128"/>
      <c r="CW2567" s="128"/>
      <c r="CX2567" s="128"/>
      <c r="CY2567" s="128"/>
      <c r="CZ2567" s="165"/>
    </row>
    <row r="2568" spans="1:104">
      <c r="A2568" s="149"/>
      <c r="B2568" s="149"/>
      <c r="C2568" s="150"/>
      <c r="D2568" s="102"/>
      <c r="E2568" s="149"/>
      <c r="F2568" s="149"/>
      <c r="G2568" s="149"/>
      <c r="H2568" s="149"/>
      <c r="I2568" s="149"/>
      <c r="J2568" s="149"/>
      <c r="K2568" s="149"/>
      <c r="L2568" s="149"/>
      <c r="M2568" s="149"/>
      <c r="N2568" s="149"/>
      <c r="O2568" s="149"/>
      <c r="P2568" s="149"/>
      <c r="Q2568" s="149"/>
      <c r="R2568" s="149"/>
      <c r="S2568" s="149"/>
      <c r="T2568" s="149"/>
      <c r="U2568" s="149"/>
      <c r="V2568" s="149"/>
      <c r="W2568" s="149"/>
      <c r="X2568" s="149"/>
      <c r="Y2568" s="149"/>
      <c r="Z2568" s="149"/>
      <c r="AA2568" s="149"/>
      <c r="AB2568" s="149"/>
      <c r="AC2568" s="149"/>
      <c r="AD2568" s="149"/>
      <c r="AE2568" s="149"/>
      <c r="AF2568" s="149"/>
      <c r="AG2568" s="149"/>
      <c r="AH2568" s="149"/>
      <c r="AI2568" s="149"/>
      <c r="AJ2568" s="149"/>
      <c r="AK2568" s="149"/>
      <c r="AL2568" s="149"/>
      <c r="AM2568" s="149"/>
      <c r="AN2568" s="149"/>
      <c r="AO2568" s="128"/>
      <c r="AP2568" s="128"/>
      <c r="AQ2568" s="128"/>
      <c r="AR2568" s="128"/>
      <c r="AS2568" s="128"/>
      <c r="AT2568" s="128"/>
      <c r="AU2568" s="128"/>
      <c r="AV2568" s="128"/>
      <c r="AW2568" s="128"/>
      <c r="AX2568" s="128"/>
      <c r="AY2568" s="128"/>
      <c r="AZ2568" s="128"/>
      <c r="BA2568" s="128"/>
      <c r="BB2568" s="128"/>
      <c r="BC2568" s="128"/>
      <c r="BD2568" s="128"/>
      <c r="BE2568" s="128"/>
      <c r="BF2568" s="128"/>
      <c r="BG2568" s="128"/>
      <c r="BH2568" s="128"/>
      <c r="BI2568" s="128"/>
      <c r="BJ2568" s="128"/>
      <c r="BK2568" s="128"/>
      <c r="BL2568" s="128"/>
      <c r="BM2568" s="151"/>
      <c r="BN2568" s="128"/>
      <c r="BO2568" s="128"/>
      <c r="BP2568" s="128"/>
      <c r="BQ2568" s="128"/>
      <c r="BR2568" s="128"/>
      <c r="BS2568" s="128"/>
      <c r="BT2568" s="128"/>
      <c r="BU2568" s="128"/>
      <c r="BV2568" s="128"/>
      <c r="BW2568" s="128"/>
      <c r="BX2568" s="128"/>
      <c r="BY2568" s="128"/>
      <c r="BZ2568" s="128"/>
      <c r="CA2568" s="128"/>
      <c r="CB2568" s="128"/>
      <c r="CC2568" s="128"/>
      <c r="CD2568" s="128"/>
      <c r="CE2568" s="128"/>
      <c r="CF2568" s="128"/>
      <c r="CG2568" s="128"/>
      <c r="CI2568" s="128"/>
      <c r="CJ2568" s="128"/>
      <c r="CK2568" s="128"/>
      <c r="CL2568" s="128"/>
      <c r="CM2568" s="128"/>
      <c r="CN2568" s="128"/>
      <c r="CO2568" s="128"/>
      <c r="CP2568" s="128"/>
      <c r="CQ2568" s="128"/>
      <c r="CR2568" s="128"/>
      <c r="CS2568" s="128"/>
      <c r="CT2568" s="128"/>
      <c r="CU2568" s="128"/>
      <c r="CV2568" s="128"/>
      <c r="CW2568" s="128"/>
      <c r="CX2568" s="128"/>
      <c r="CY2568" s="128"/>
      <c r="CZ2568" s="165"/>
    </row>
    <row r="2569" spans="1:104">
      <c r="A2569" s="149"/>
      <c r="B2569" s="149"/>
      <c r="C2569" s="150"/>
      <c r="D2569" s="102"/>
      <c r="E2569" s="149"/>
      <c r="F2569" s="149"/>
      <c r="G2569" s="149"/>
      <c r="H2569" s="149"/>
      <c r="I2569" s="149"/>
      <c r="J2569" s="149"/>
      <c r="K2569" s="149"/>
      <c r="L2569" s="149"/>
      <c r="M2569" s="149"/>
      <c r="N2569" s="149"/>
      <c r="O2569" s="149"/>
      <c r="P2569" s="149"/>
      <c r="Q2569" s="149"/>
      <c r="R2569" s="149"/>
      <c r="S2569" s="149"/>
      <c r="T2569" s="149"/>
      <c r="U2569" s="149"/>
      <c r="V2569" s="149"/>
      <c r="W2569" s="149"/>
      <c r="X2569" s="149"/>
      <c r="Y2569" s="149"/>
      <c r="Z2569" s="149"/>
      <c r="AA2569" s="149"/>
      <c r="AB2569" s="149"/>
      <c r="AC2569" s="149"/>
      <c r="AD2569" s="149"/>
      <c r="AE2569" s="149"/>
      <c r="AF2569" s="149"/>
      <c r="AG2569" s="149"/>
      <c r="AH2569" s="149"/>
      <c r="AI2569" s="149"/>
      <c r="AJ2569" s="149"/>
      <c r="AK2569" s="149"/>
      <c r="AL2569" s="149"/>
      <c r="AM2569" s="149"/>
      <c r="AN2569" s="149"/>
      <c r="AO2569" s="128"/>
      <c r="AP2569" s="128"/>
      <c r="AQ2569" s="128"/>
      <c r="AR2569" s="128"/>
      <c r="AS2569" s="128"/>
      <c r="AT2569" s="128"/>
      <c r="AU2569" s="128"/>
      <c r="AV2569" s="128"/>
      <c r="AW2569" s="128"/>
      <c r="AX2569" s="128"/>
      <c r="AY2569" s="128"/>
      <c r="AZ2569" s="128"/>
      <c r="BA2569" s="128"/>
      <c r="BB2569" s="128"/>
      <c r="BC2569" s="128"/>
      <c r="BD2569" s="128"/>
      <c r="BE2569" s="128"/>
      <c r="BF2569" s="128"/>
      <c r="BG2569" s="128"/>
      <c r="BH2569" s="128"/>
      <c r="BI2569" s="128"/>
      <c r="BJ2569" s="128"/>
      <c r="BK2569" s="128"/>
      <c r="BL2569" s="128"/>
      <c r="BM2569" s="151"/>
      <c r="BN2569" s="128"/>
      <c r="BO2569" s="128"/>
      <c r="BP2569" s="128"/>
      <c r="BQ2569" s="128"/>
      <c r="BR2569" s="128"/>
      <c r="BS2569" s="128"/>
      <c r="BT2569" s="128"/>
      <c r="BU2569" s="128"/>
      <c r="BV2569" s="128"/>
      <c r="BW2569" s="128"/>
      <c r="BX2569" s="128"/>
      <c r="BY2569" s="128"/>
      <c r="BZ2569" s="128"/>
      <c r="CA2569" s="128"/>
      <c r="CB2569" s="128"/>
      <c r="CC2569" s="128"/>
      <c r="CD2569" s="128"/>
      <c r="CE2569" s="128"/>
      <c r="CF2569" s="128"/>
      <c r="CG2569" s="128"/>
      <c r="CI2569" s="128"/>
      <c r="CJ2569" s="128"/>
      <c r="CK2569" s="128"/>
      <c r="CL2569" s="128"/>
      <c r="CM2569" s="128"/>
      <c r="CN2569" s="128"/>
      <c r="CO2569" s="128"/>
      <c r="CP2569" s="128"/>
      <c r="CQ2569" s="128"/>
      <c r="CR2569" s="128"/>
      <c r="CS2569" s="128"/>
      <c r="CT2569" s="128"/>
      <c r="CU2569" s="128"/>
      <c r="CV2569" s="128"/>
      <c r="CW2569" s="128"/>
      <c r="CX2569" s="128"/>
      <c r="CY2569" s="128"/>
      <c r="CZ2569" s="165"/>
    </row>
    <row r="2570" spans="1:104">
      <c r="A2570" s="149"/>
      <c r="B2570" s="149"/>
      <c r="C2570" s="150"/>
      <c r="D2570" s="102"/>
      <c r="E2570" s="149"/>
      <c r="F2570" s="149"/>
      <c r="G2570" s="149"/>
      <c r="H2570" s="149"/>
      <c r="I2570" s="149"/>
      <c r="J2570" s="149"/>
      <c r="K2570" s="149"/>
      <c r="L2570" s="149"/>
      <c r="M2570" s="149"/>
      <c r="N2570" s="149"/>
      <c r="O2570" s="149"/>
      <c r="P2570" s="149"/>
      <c r="Q2570" s="149"/>
      <c r="R2570" s="149"/>
      <c r="S2570" s="149"/>
      <c r="T2570" s="149"/>
      <c r="U2570" s="149"/>
      <c r="V2570" s="149"/>
      <c r="W2570" s="149"/>
      <c r="X2570" s="149"/>
      <c r="Y2570" s="149"/>
      <c r="Z2570" s="149"/>
      <c r="AA2570" s="149"/>
      <c r="AB2570" s="149"/>
      <c r="AC2570" s="149"/>
      <c r="AD2570" s="149"/>
      <c r="AE2570" s="149"/>
      <c r="AF2570" s="149"/>
      <c r="AG2570" s="149"/>
      <c r="AH2570" s="149"/>
      <c r="AI2570" s="149"/>
      <c r="AJ2570" s="149"/>
      <c r="AK2570" s="149"/>
      <c r="AL2570" s="149"/>
      <c r="AM2570" s="149"/>
      <c r="AN2570" s="149"/>
      <c r="AO2570" s="128"/>
      <c r="AP2570" s="128"/>
      <c r="AQ2570" s="128"/>
      <c r="AR2570" s="128"/>
      <c r="AS2570" s="128"/>
      <c r="AT2570" s="128"/>
      <c r="AU2570" s="128"/>
      <c r="AV2570" s="128"/>
      <c r="AW2570" s="128"/>
      <c r="AX2570" s="128"/>
      <c r="AY2570" s="128"/>
      <c r="AZ2570" s="128"/>
      <c r="BA2570" s="128"/>
      <c r="BB2570" s="128"/>
      <c r="BC2570" s="128"/>
      <c r="BD2570" s="128"/>
      <c r="BE2570" s="128"/>
      <c r="BF2570" s="128"/>
      <c r="BG2570" s="128"/>
      <c r="BH2570" s="128"/>
      <c r="BI2570" s="128"/>
      <c r="BJ2570" s="128"/>
      <c r="BK2570" s="128"/>
      <c r="BL2570" s="128"/>
      <c r="BM2570" s="151"/>
      <c r="BN2570" s="128"/>
      <c r="BO2570" s="128"/>
      <c r="BP2570" s="128"/>
      <c r="BQ2570" s="128"/>
      <c r="BR2570" s="128"/>
      <c r="BS2570" s="128"/>
      <c r="BT2570" s="128"/>
      <c r="BU2570" s="128"/>
      <c r="BV2570" s="128"/>
      <c r="BW2570" s="128"/>
      <c r="BX2570" s="128"/>
      <c r="BY2570" s="128"/>
      <c r="BZ2570" s="128"/>
      <c r="CA2570" s="128"/>
      <c r="CB2570" s="128"/>
      <c r="CC2570" s="128"/>
      <c r="CD2570" s="128"/>
      <c r="CE2570" s="128"/>
      <c r="CF2570" s="128"/>
      <c r="CG2570" s="128"/>
      <c r="CI2570" s="128"/>
      <c r="CJ2570" s="128"/>
      <c r="CK2570" s="128"/>
      <c r="CL2570" s="128"/>
      <c r="CM2570" s="128"/>
      <c r="CN2570" s="128"/>
      <c r="CO2570" s="128"/>
      <c r="CP2570" s="128"/>
      <c r="CQ2570" s="128"/>
      <c r="CR2570" s="128"/>
      <c r="CS2570" s="128"/>
      <c r="CT2570" s="128"/>
      <c r="CU2570" s="128"/>
      <c r="CV2570" s="128"/>
      <c r="CW2570" s="128"/>
      <c r="CX2570" s="128"/>
      <c r="CY2570" s="128"/>
      <c r="CZ2570" s="165"/>
    </row>
    <row r="2571" spans="1:104">
      <c r="A2571" s="149"/>
      <c r="B2571" s="149"/>
      <c r="C2571" s="150"/>
      <c r="D2571" s="102"/>
      <c r="E2571" s="149"/>
      <c r="F2571" s="149"/>
      <c r="G2571" s="149"/>
      <c r="H2571" s="149"/>
      <c r="I2571" s="149"/>
      <c r="J2571" s="149"/>
      <c r="K2571" s="149"/>
      <c r="L2571" s="149"/>
      <c r="M2571" s="149"/>
      <c r="N2571" s="149"/>
      <c r="O2571" s="149"/>
      <c r="P2571" s="149"/>
      <c r="Q2571" s="149"/>
      <c r="R2571" s="149"/>
      <c r="S2571" s="149"/>
      <c r="T2571" s="149"/>
      <c r="U2571" s="149"/>
      <c r="V2571" s="149"/>
      <c r="W2571" s="149"/>
      <c r="X2571" s="149"/>
      <c r="Y2571" s="149"/>
      <c r="Z2571" s="149"/>
      <c r="AA2571" s="149"/>
      <c r="AB2571" s="149"/>
      <c r="AC2571" s="149"/>
      <c r="AD2571" s="149"/>
      <c r="AE2571" s="149"/>
      <c r="AF2571" s="149"/>
      <c r="AG2571" s="149"/>
      <c r="AH2571" s="149"/>
      <c r="AI2571" s="149"/>
      <c r="AJ2571" s="149"/>
      <c r="AK2571" s="149"/>
      <c r="AL2571" s="149"/>
      <c r="AM2571" s="149"/>
      <c r="AN2571" s="149"/>
      <c r="AO2571" s="128"/>
      <c r="AP2571" s="128"/>
      <c r="AQ2571" s="128"/>
      <c r="AR2571" s="128"/>
      <c r="AS2571" s="128"/>
      <c r="AT2571" s="128"/>
      <c r="AU2571" s="128"/>
      <c r="AV2571" s="128"/>
      <c r="AW2571" s="128"/>
      <c r="AX2571" s="128"/>
      <c r="AY2571" s="128"/>
      <c r="AZ2571" s="128"/>
      <c r="BA2571" s="128"/>
      <c r="BB2571" s="128"/>
      <c r="BC2571" s="128"/>
      <c r="BD2571" s="128"/>
      <c r="BE2571" s="128"/>
      <c r="BF2571" s="128"/>
      <c r="BG2571" s="128"/>
      <c r="BH2571" s="128"/>
      <c r="BI2571" s="128"/>
      <c r="BJ2571" s="128"/>
      <c r="BK2571" s="128"/>
      <c r="BL2571" s="128"/>
      <c r="BM2571" s="151"/>
      <c r="BN2571" s="128"/>
      <c r="BO2571" s="128"/>
      <c r="BP2571" s="128"/>
      <c r="BQ2571" s="128"/>
      <c r="BR2571" s="128"/>
      <c r="BS2571" s="128"/>
      <c r="BT2571" s="128"/>
      <c r="BU2571" s="128"/>
      <c r="BV2571" s="128"/>
      <c r="BW2571" s="128"/>
      <c r="BX2571" s="128"/>
      <c r="BY2571" s="128"/>
      <c r="BZ2571" s="128"/>
      <c r="CA2571" s="128"/>
      <c r="CB2571" s="128"/>
      <c r="CC2571" s="128"/>
      <c r="CD2571" s="128"/>
      <c r="CE2571" s="128"/>
      <c r="CF2571" s="128"/>
      <c r="CG2571" s="128"/>
      <c r="CI2571" s="128"/>
      <c r="CJ2571" s="128"/>
      <c r="CK2571" s="128"/>
      <c r="CL2571" s="128"/>
      <c r="CM2571" s="128"/>
      <c r="CN2571" s="128"/>
      <c r="CO2571" s="128"/>
      <c r="CP2571" s="128"/>
      <c r="CQ2571" s="128"/>
      <c r="CR2571" s="128"/>
      <c r="CS2571" s="128"/>
      <c r="CT2571" s="128"/>
      <c r="CU2571" s="128"/>
      <c r="CV2571" s="128"/>
      <c r="CW2571" s="128"/>
      <c r="CX2571" s="128"/>
      <c r="CY2571" s="128"/>
      <c r="CZ2571" s="165"/>
    </row>
    <row r="2572" spans="1:104">
      <c r="A2572" s="149"/>
      <c r="B2572" s="149"/>
      <c r="C2572" s="150"/>
      <c r="D2572" s="102"/>
      <c r="E2572" s="149"/>
      <c r="F2572" s="149"/>
      <c r="G2572" s="149"/>
      <c r="H2572" s="149"/>
      <c r="I2572" s="149"/>
      <c r="J2572" s="149"/>
      <c r="K2572" s="149"/>
      <c r="L2572" s="149"/>
      <c r="M2572" s="149"/>
      <c r="N2572" s="149"/>
      <c r="O2572" s="149"/>
      <c r="P2572" s="149"/>
      <c r="Q2572" s="149"/>
      <c r="R2572" s="149"/>
      <c r="S2572" s="149"/>
      <c r="T2572" s="149"/>
      <c r="U2572" s="149"/>
      <c r="V2572" s="149"/>
      <c r="W2572" s="149"/>
      <c r="X2572" s="149"/>
      <c r="Y2572" s="149"/>
      <c r="Z2572" s="149"/>
      <c r="AA2572" s="149"/>
      <c r="AB2572" s="149"/>
      <c r="AC2572" s="149"/>
      <c r="AD2572" s="149"/>
      <c r="AE2572" s="149"/>
      <c r="AF2572" s="149"/>
      <c r="AG2572" s="149"/>
      <c r="AH2572" s="149"/>
      <c r="AI2572" s="149"/>
      <c r="AJ2572" s="149"/>
      <c r="AK2572" s="149"/>
      <c r="AL2572" s="149"/>
      <c r="AM2572" s="149"/>
      <c r="AN2572" s="149"/>
      <c r="AO2572" s="128"/>
      <c r="AP2572" s="128"/>
      <c r="AQ2572" s="128"/>
      <c r="AR2572" s="128"/>
      <c r="AS2572" s="128"/>
      <c r="AT2572" s="128"/>
      <c r="AU2572" s="128"/>
      <c r="AV2572" s="128"/>
      <c r="AW2572" s="128"/>
      <c r="AX2572" s="128"/>
      <c r="AY2572" s="128"/>
      <c r="AZ2572" s="128"/>
      <c r="BA2572" s="128"/>
      <c r="BB2572" s="128"/>
      <c r="BC2572" s="128"/>
      <c r="BD2572" s="128"/>
      <c r="BE2572" s="128"/>
      <c r="BF2572" s="128"/>
      <c r="BG2572" s="128"/>
      <c r="BH2572" s="128"/>
      <c r="BI2572" s="128"/>
      <c r="BJ2572" s="128"/>
      <c r="BK2572" s="128"/>
      <c r="BL2572" s="128"/>
      <c r="BM2572" s="151"/>
      <c r="BN2572" s="128"/>
      <c r="BO2572" s="128"/>
      <c r="BP2572" s="128"/>
      <c r="BQ2572" s="128"/>
      <c r="BR2572" s="128"/>
      <c r="BS2572" s="128"/>
      <c r="BT2572" s="128"/>
      <c r="BU2572" s="128"/>
      <c r="BV2572" s="128"/>
      <c r="BW2572" s="128"/>
      <c r="BX2572" s="128"/>
      <c r="BY2572" s="128"/>
      <c r="BZ2572" s="128"/>
      <c r="CA2572" s="128"/>
      <c r="CB2572" s="128"/>
      <c r="CC2572" s="128"/>
      <c r="CD2572" s="128"/>
      <c r="CE2572" s="128"/>
      <c r="CF2572" s="128"/>
      <c r="CG2572" s="128"/>
      <c r="CI2572" s="128"/>
      <c r="CJ2572" s="128"/>
      <c r="CK2572" s="128"/>
      <c r="CL2572" s="128"/>
      <c r="CM2572" s="128"/>
      <c r="CN2572" s="128"/>
      <c r="CO2572" s="128"/>
      <c r="CP2572" s="128"/>
      <c r="CQ2572" s="128"/>
      <c r="CR2572" s="128"/>
      <c r="CS2572" s="128"/>
      <c r="CT2572" s="128"/>
      <c r="CU2572" s="128"/>
      <c r="CV2572" s="128"/>
      <c r="CW2572" s="128"/>
      <c r="CX2572" s="128"/>
      <c r="CY2572" s="128"/>
      <c r="CZ2572" s="165"/>
    </row>
    <row r="2573" spans="1:104">
      <c r="A2573" s="149"/>
      <c r="B2573" s="149"/>
      <c r="C2573" s="150"/>
      <c r="D2573" s="102"/>
      <c r="E2573" s="149"/>
      <c r="F2573" s="149"/>
      <c r="G2573" s="149"/>
      <c r="H2573" s="149"/>
      <c r="I2573" s="149"/>
      <c r="J2573" s="149"/>
      <c r="K2573" s="149"/>
      <c r="L2573" s="149"/>
      <c r="M2573" s="149"/>
      <c r="N2573" s="149"/>
      <c r="O2573" s="149"/>
      <c r="P2573" s="149"/>
      <c r="Q2573" s="149"/>
      <c r="R2573" s="149"/>
      <c r="S2573" s="149"/>
      <c r="T2573" s="149"/>
      <c r="U2573" s="149"/>
      <c r="V2573" s="149"/>
      <c r="W2573" s="149"/>
      <c r="X2573" s="149"/>
      <c r="Y2573" s="149"/>
      <c r="Z2573" s="149"/>
      <c r="AA2573" s="149"/>
      <c r="AB2573" s="149"/>
      <c r="AC2573" s="149"/>
      <c r="AD2573" s="149"/>
      <c r="AE2573" s="149"/>
      <c r="AF2573" s="149"/>
      <c r="AG2573" s="149"/>
      <c r="AH2573" s="149"/>
      <c r="AI2573" s="149"/>
      <c r="AJ2573" s="149"/>
      <c r="AK2573" s="149"/>
      <c r="AL2573" s="149"/>
      <c r="AM2573" s="149"/>
      <c r="AN2573" s="149"/>
      <c r="AO2573" s="128"/>
      <c r="AP2573" s="128"/>
      <c r="AQ2573" s="128"/>
      <c r="AR2573" s="128"/>
      <c r="AS2573" s="128"/>
      <c r="AT2573" s="128"/>
      <c r="AU2573" s="128"/>
      <c r="AV2573" s="128"/>
      <c r="AW2573" s="128"/>
      <c r="AX2573" s="128"/>
      <c r="AY2573" s="128"/>
      <c r="AZ2573" s="128"/>
      <c r="BA2573" s="128"/>
      <c r="BB2573" s="128"/>
      <c r="BC2573" s="128"/>
      <c r="BD2573" s="128"/>
      <c r="BE2573" s="128"/>
      <c r="BF2573" s="128"/>
      <c r="BG2573" s="128"/>
      <c r="BH2573" s="128"/>
      <c r="BI2573" s="128"/>
      <c r="BJ2573" s="128"/>
      <c r="BK2573" s="128"/>
      <c r="BL2573" s="128"/>
      <c r="BM2573" s="151"/>
      <c r="BN2573" s="128"/>
      <c r="BO2573" s="128"/>
      <c r="BP2573" s="128"/>
      <c r="BQ2573" s="128"/>
      <c r="BR2573" s="128"/>
      <c r="BS2573" s="128"/>
      <c r="BT2573" s="128"/>
      <c r="BU2573" s="128"/>
      <c r="BV2573" s="128"/>
      <c r="BW2573" s="128"/>
      <c r="BX2573" s="128"/>
      <c r="BY2573" s="128"/>
      <c r="BZ2573" s="128"/>
      <c r="CA2573" s="128"/>
      <c r="CB2573" s="128"/>
      <c r="CC2573" s="128"/>
      <c r="CD2573" s="128"/>
      <c r="CE2573" s="128"/>
      <c r="CF2573" s="128"/>
      <c r="CG2573" s="128"/>
      <c r="CI2573" s="128"/>
      <c r="CJ2573" s="128"/>
      <c r="CK2573" s="128"/>
      <c r="CL2573" s="128"/>
      <c r="CM2573" s="128"/>
      <c r="CN2573" s="128"/>
      <c r="CO2573" s="128"/>
      <c r="CP2573" s="128"/>
      <c r="CQ2573" s="128"/>
      <c r="CR2573" s="128"/>
      <c r="CS2573" s="128"/>
      <c r="CT2573" s="128"/>
      <c r="CU2573" s="128"/>
      <c r="CV2573" s="128"/>
      <c r="CW2573" s="128"/>
      <c r="CX2573" s="128"/>
      <c r="CY2573" s="128"/>
      <c r="CZ2573" s="165"/>
    </row>
    <row r="2574" spans="1:104">
      <c r="A2574" s="149"/>
      <c r="B2574" s="149"/>
      <c r="C2574" s="150"/>
      <c r="D2574" s="102"/>
      <c r="E2574" s="149"/>
      <c r="F2574" s="149"/>
      <c r="G2574" s="149"/>
      <c r="H2574" s="149"/>
      <c r="I2574" s="149"/>
      <c r="J2574" s="149"/>
      <c r="K2574" s="149"/>
      <c r="L2574" s="149"/>
      <c r="M2574" s="149"/>
      <c r="N2574" s="149"/>
      <c r="O2574" s="149"/>
      <c r="P2574" s="149"/>
      <c r="Q2574" s="149"/>
      <c r="R2574" s="149"/>
      <c r="S2574" s="149"/>
      <c r="T2574" s="149"/>
      <c r="U2574" s="149"/>
      <c r="V2574" s="149"/>
      <c r="W2574" s="149"/>
      <c r="X2574" s="149"/>
      <c r="Y2574" s="149"/>
      <c r="Z2574" s="149"/>
      <c r="AA2574" s="149"/>
      <c r="AB2574" s="149"/>
      <c r="AC2574" s="149"/>
      <c r="AD2574" s="149"/>
      <c r="AE2574" s="149"/>
      <c r="AF2574" s="149"/>
      <c r="AG2574" s="149"/>
      <c r="AH2574" s="149"/>
      <c r="AI2574" s="149"/>
      <c r="AJ2574" s="149"/>
      <c r="AK2574" s="149"/>
      <c r="AL2574" s="149"/>
      <c r="AM2574" s="149"/>
      <c r="AN2574" s="149"/>
      <c r="AO2574" s="128"/>
      <c r="AP2574" s="128"/>
      <c r="AQ2574" s="128"/>
      <c r="AR2574" s="128"/>
      <c r="AS2574" s="128"/>
      <c r="AT2574" s="128"/>
      <c r="AU2574" s="128"/>
      <c r="AV2574" s="128"/>
      <c r="AW2574" s="128"/>
      <c r="AX2574" s="128"/>
      <c r="AY2574" s="128"/>
      <c r="AZ2574" s="128"/>
      <c r="BA2574" s="128"/>
      <c r="BB2574" s="128"/>
      <c r="BC2574" s="128"/>
      <c r="BD2574" s="128"/>
      <c r="BE2574" s="128"/>
      <c r="BF2574" s="128"/>
      <c r="BG2574" s="128"/>
      <c r="BH2574" s="128"/>
      <c r="BI2574" s="128"/>
      <c r="BJ2574" s="128"/>
      <c r="BK2574" s="128"/>
      <c r="BL2574" s="128"/>
      <c r="BM2574" s="151"/>
      <c r="BN2574" s="128"/>
      <c r="BO2574" s="128"/>
      <c r="BP2574" s="128"/>
      <c r="BQ2574" s="128"/>
      <c r="BR2574" s="128"/>
      <c r="BS2574" s="128"/>
      <c r="BT2574" s="128"/>
      <c r="BU2574" s="128"/>
      <c r="BV2574" s="128"/>
      <c r="BW2574" s="128"/>
      <c r="BX2574" s="128"/>
      <c r="BY2574" s="128"/>
      <c r="BZ2574" s="128"/>
      <c r="CA2574" s="128"/>
      <c r="CB2574" s="128"/>
      <c r="CC2574" s="128"/>
      <c r="CD2574" s="128"/>
      <c r="CE2574" s="128"/>
      <c r="CF2574" s="128"/>
      <c r="CG2574" s="128"/>
      <c r="CI2574" s="128"/>
      <c r="CJ2574" s="128"/>
      <c r="CK2574" s="128"/>
      <c r="CL2574" s="128"/>
      <c r="CM2574" s="128"/>
      <c r="CN2574" s="128"/>
      <c r="CO2574" s="128"/>
      <c r="CP2574" s="128"/>
      <c r="CQ2574" s="128"/>
      <c r="CR2574" s="128"/>
      <c r="CS2574" s="128"/>
      <c r="CT2574" s="128"/>
      <c r="CU2574" s="128"/>
      <c r="CV2574" s="128"/>
      <c r="CW2574" s="128"/>
      <c r="CX2574" s="128"/>
      <c r="CY2574" s="128"/>
      <c r="CZ2574" s="165"/>
    </row>
    <row r="2575" spans="1:104">
      <c r="A2575" s="149"/>
      <c r="B2575" s="149"/>
      <c r="C2575" s="150"/>
      <c r="D2575" s="102"/>
      <c r="E2575" s="149"/>
      <c r="F2575" s="149"/>
      <c r="G2575" s="149"/>
      <c r="H2575" s="149"/>
      <c r="I2575" s="149"/>
      <c r="J2575" s="149"/>
      <c r="K2575" s="149"/>
      <c r="L2575" s="149"/>
      <c r="M2575" s="149"/>
      <c r="N2575" s="149"/>
      <c r="O2575" s="149"/>
      <c r="P2575" s="149"/>
      <c r="Q2575" s="149"/>
      <c r="R2575" s="149"/>
      <c r="S2575" s="149"/>
      <c r="T2575" s="149"/>
      <c r="U2575" s="149"/>
      <c r="V2575" s="149"/>
      <c r="W2575" s="149"/>
      <c r="X2575" s="149"/>
      <c r="Y2575" s="149"/>
      <c r="Z2575" s="149"/>
      <c r="AA2575" s="149"/>
      <c r="AB2575" s="149"/>
      <c r="AC2575" s="149"/>
      <c r="AD2575" s="149"/>
      <c r="AE2575" s="149"/>
      <c r="AF2575" s="149"/>
      <c r="AG2575" s="149"/>
      <c r="AH2575" s="149"/>
      <c r="AI2575" s="149"/>
      <c r="AJ2575" s="149"/>
      <c r="AK2575" s="149"/>
      <c r="AL2575" s="149"/>
      <c r="AM2575" s="149"/>
      <c r="AN2575" s="149"/>
      <c r="AO2575" s="128"/>
      <c r="AP2575" s="128"/>
      <c r="AQ2575" s="128"/>
      <c r="AR2575" s="128"/>
      <c r="AS2575" s="128"/>
      <c r="AT2575" s="128"/>
      <c r="AU2575" s="128"/>
      <c r="AV2575" s="128"/>
      <c r="AW2575" s="128"/>
      <c r="AX2575" s="128"/>
      <c r="AY2575" s="128"/>
      <c r="AZ2575" s="128"/>
      <c r="BA2575" s="128"/>
      <c r="BB2575" s="128"/>
      <c r="BC2575" s="128"/>
      <c r="BD2575" s="128"/>
      <c r="BE2575" s="128"/>
      <c r="BF2575" s="128"/>
      <c r="BG2575" s="128"/>
      <c r="BH2575" s="128"/>
      <c r="BI2575" s="128"/>
      <c r="BJ2575" s="128"/>
      <c r="BK2575" s="128"/>
      <c r="BL2575" s="128"/>
      <c r="BM2575" s="151"/>
      <c r="BN2575" s="128"/>
      <c r="BO2575" s="128"/>
      <c r="BP2575" s="128"/>
      <c r="BQ2575" s="128"/>
      <c r="BR2575" s="128"/>
      <c r="BS2575" s="128"/>
      <c r="BT2575" s="128"/>
      <c r="BU2575" s="128"/>
      <c r="BV2575" s="128"/>
      <c r="BW2575" s="128"/>
      <c r="BX2575" s="128"/>
      <c r="BY2575" s="128"/>
      <c r="BZ2575" s="128"/>
      <c r="CA2575" s="128"/>
      <c r="CB2575" s="128"/>
      <c r="CC2575" s="128"/>
      <c r="CD2575" s="128"/>
      <c r="CE2575" s="128"/>
      <c r="CF2575" s="128"/>
      <c r="CG2575" s="128"/>
      <c r="CI2575" s="128"/>
      <c r="CJ2575" s="128"/>
      <c r="CK2575" s="128"/>
      <c r="CL2575" s="128"/>
      <c r="CM2575" s="128"/>
      <c r="CN2575" s="128"/>
      <c r="CO2575" s="128"/>
      <c r="CP2575" s="128"/>
      <c r="CQ2575" s="128"/>
      <c r="CR2575" s="128"/>
      <c r="CS2575" s="128"/>
      <c r="CT2575" s="128"/>
      <c r="CU2575" s="128"/>
      <c r="CV2575" s="128"/>
      <c r="CW2575" s="128"/>
      <c r="CX2575" s="128"/>
      <c r="CY2575" s="128"/>
      <c r="CZ2575" s="165"/>
    </row>
    <row r="2576" spans="1:104">
      <c r="A2576" s="149"/>
      <c r="B2576" s="149"/>
      <c r="C2576" s="150"/>
      <c r="D2576" s="102"/>
      <c r="E2576" s="149"/>
      <c r="F2576" s="149"/>
      <c r="G2576" s="149"/>
      <c r="H2576" s="149"/>
      <c r="I2576" s="149"/>
      <c r="J2576" s="149"/>
      <c r="K2576" s="149"/>
      <c r="L2576" s="149"/>
      <c r="M2576" s="149"/>
      <c r="N2576" s="149"/>
      <c r="O2576" s="149"/>
      <c r="P2576" s="149"/>
      <c r="Q2576" s="149"/>
      <c r="R2576" s="149"/>
      <c r="S2576" s="149"/>
      <c r="T2576" s="149"/>
      <c r="U2576" s="149"/>
      <c r="V2576" s="149"/>
      <c r="W2576" s="149"/>
      <c r="X2576" s="149"/>
      <c r="Y2576" s="149"/>
      <c r="Z2576" s="149"/>
      <c r="AA2576" s="149"/>
      <c r="AB2576" s="149"/>
      <c r="AC2576" s="149"/>
      <c r="AD2576" s="149"/>
      <c r="AE2576" s="149"/>
      <c r="AF2576" s="149"/>
      <c r="AG2576" s="149"/>
      <c r="AH2576" s="149"/>
      <c r="AI2576" s="149"/>
      <c r="AJ2576" s="149"/>
      <c r="AK2576" s="149"/>
      <c r="AL2576" s="149"/>
      <c r="AM2576" s="149"/>
      <c r="AN2576" s="149"/>
      <c r="AO2576" s="128"/>
      <c r="AP2576" s="128"/>
      <c r="AQ2576" s="128"/>
      <c r="AR2576" s="128"/>
      <c r="AS2576" s="128"/>
      <c r="AT2576" s="128"/>
      <c r="AU2576" s="128"/>
      <c r="AV2576" s="128"/>
      <c r="AW2576" s="128"/>
      <c r="AX2576" s="128"/>
      <c r="AY2576" s="128"/>
      <c r="AZ2576" s="128"/>
      <c r="BA2576" s="128"/>
      <c r="BB2576" s="128"/>
      <c r="BC2576" s="128"/>
      <c r="BD2576" s="128"/>
      <c r="BE2576" s="128"/>
      <c r="BF2576" s="128"/>
      <c r="BG2576" s="128"/>
      <c r="BH2576" s="128"/>
      <c r="BI2576" s="128"/>
      <c r="BJ2576" s="128"/>
      <c r="BK2576" s="128"/>
      <c r="BL2576" s="128"/>
      <c r="BM2576" s="151"/>
      <c r="BN2576" s="128"/>
      <c r="BO2576" s="128"/>
      <c r="BP2576" s="128"/>
      <c r="BQ2576" s="128"/>
      <c r="BR2576" s="128"/>
      <c r="BS2576" s="128"/>
      <c r="BT2576" s="128"/>
      <c r="BU2576" s="128"/>
      <c r="BV2576" s="128"/>
      <c r="BW2576" s="128"/>
      <c r="BX2576" s="128"/>
      <c r="BY2576" s="128"/>
      <c r="BZ2576" s="128"/>
      <c r="CA2576" s="128"/>
      <c r="CB2576" s="128"/>
      <c r="CC2576" s="128"/>
      <c r="CD2576" s="128"/>
      <c r="CE2576" s="128"/>
      <c r="CF2576" s="128"/>
      <c r="CG2576" s="128"/>
      <c r="CI2576" s="128"/>
      <c r="CJ2576" s="128"/>
      <c r="CK2576" s="128"/>
      <c r="CL2576" s="128"/>
      <c r="CM2576" s="128"/>
      <c r="CN2576" s="128"/>
      <c r="CO2576" s="128"/>
      <c r="CP2576" s="128"/>
      <c r="CQ2576" s="128"/>
      <c r="CR2576" s="128"/>
      <c r="CS2576" s="128"/>
      <c r="CT2576" s="128"/>
      <c r="CU2576" s="128"/>
      <c r="CV2576" s="128"/>
      <c r="CW2576" s="128"/>
      <c r="CX2576" s="128"/>
      <c r="CY2576" s="128"/>
      <c r="CZ2576" s="165"/>
    </row>
    <row r="2577" spans="1:104">
      <c r="A2577" s="149"/>
      <c r="B2577" s="149"/>
      <c r="C2577" s="150"/>
      <c r="D2577" s="102"/>
      <c r="E2577" s="149"/>
      <c r="F2577" s="149"/>
      <c r="G2577" s="149"/>
      <c r="H2577" s="149"/>
      <c r="I2577" s="149"/>
      <c r="J2577" s="149"/>
      <c r="K2577" s="149"/>
      <c r="L2577" s="149"/>
      <c r="M2577" s="149"/>
      <c r="N2577" s="149"/>
      <c r="O2577" s="149"/>
      <c r="P2577" s="149"/>
      <c r="Q2577" s="149"/>
      <c r="R2577" s="149"/>
      <c r="S2577" s="149"/>
      <c r="T2577" s="149"/>
      <c r="U2577" s="149"/>
      <c r="V2577" s="149"/>
      <c r="W2577" s="149"/>
      <c r="X2577" s="149"/>
      <c r="Y2577" s="149"/>
      <c r="Z2577" s="149"/>
      <c r="AA2577" s="149"/>
      <c r="AB2577" s="149"/>
      <c r="AC2577" s="149"/>
      <c r="AD2577" s="149"/>
      <c r="AE2577" s="149"/>
      <c r="AF2577" s="149"/>
      <c r="AG2577" s="149"/>
      <c r="AH2577" s="149"/>
      <c r="AI2577" s="149"/>
      <c r="AJ2577" s="149"/>
      <c r="AK2577" s="149"/>
      <c r="AL2577" s="149"/>
      <c r="AM2577" s="149"/>
      <c r="AN2577" s="149"/>
      <c r="AO2577" s="128"/>
      <c r="AP2577" s="128"/>
      <c r="AQ2577" s="128"/>
      <c r="AR2577" s="128"/>
      <c r="AS2577" s="128"/>
      <c r="AT2577" s="128"/>
      <c r="AU2577" s="128"/>
      <c r="AV2577" s="128"/>
      <c r="AW2577" s="128"/>
      <c r="AX2577" s="128"/>
      <c r="AY2577" s="128"/>
      <c r="AZ2577" s="128"/>
      <c r="BA2577" s="128"/>
      <c r="BB2577" s="128"/>
      <c r="BC2577" s="128"/>
      <c r="BD2577" s="128"/>
      <c r="BE2577" s="128"/>
      <c r="BF2577" s="128"/>
      <c r="BG2577" s="128"/>
      <c r="BH2577" s="128"/>
      <c r="BI2577" s="128"/>
      <c r="BJ2577" s="128"/>
      <c r="BK2577" s="128"/>
      <c r="BL2577" s="128"/>
      <c r="BM2577" s="151"/>
      <c r="BN2577" s="128"/>
      <c r="BO2577" s="128"/>
      <c r="BP2577" s="128"/>
      <c r="BQ2577" s="128"/>
      <c r="BR2577" s="128"/>
      <c r="BS2577" s="128"/>
      <c r="BT2577" s="128"/>
      <c r="BU2577" s="128"/>
      <c r="BV2577" s="128"/>
      <c r="BW2577" s="128"/>
      <c r="BX2577" s="128"/>
      <c r="BY2577" s="128"/>
      <c r="BZ2577" s="128"/>
      <c r="CA2577" s="128"/>
      <c r="CB2577" s="128"/>
      <c r="CC2577" s="128"/>
      <c r="CD2577" s="128"/>
      <c r="CE2577" s="128"/>
      <c r="CF2577" s="128"/>
      <c r="CG2577" s="128"/>
      <c r="CI2577" s="128"/>
      <c r="CJ2577" s="128"/>
      <c r="CK2577" s="128"/>
      <c r="CL2577" s="128"/>
      <c r="CM2577" s="128"/>
      <c r="CN2577" s="128"/>
      <c r="CO2577" s="128"/>
      <c r="CP2577" s="128"/>
      <c r="CQ2577" s="128"/>
      <c r="CR2577" s="128"/>
      <c r="CS2577" s="128"/>
      <c r="CT2577" s="128"/>
      <c r="CU2577" s="128"/>
      <c r="CV2577" s="128"/>
      <c r="CW2577" s="128"/>
      <c r="CX2577" s="128"/>
      <c r="CY2577" s="128"/>
      <c r="CZ2577" s="165"/>
    </row>
    <row r="2578" spans="1:104">
      <c r="A2578" s="149"/>
      <c r="B2578" s="149"/>
      <c r="C2578" s="150"/>
      <c r="D2578" s="102"/>
      <c r="E2578" s="149"/>
      <c r="F2578" s="149"/>
      <c r="G2578" s="149"/>
      <c r="H2578" s="149"/>
      <c r="I2578" s="149"/>
      <c r="J2578" s="149"/>
      <c r="K2578" s="149"/>
      <c r="L2578" s="149"/>
      <c r="M2578" s="149"/>
      <c r="N2578" s="149"/>
      <c r="O2578" s="149"/>
      <c r="P2578" s="149"/>
      <c r="Q2578" s="149"/>
      <c r="R2578" s="149"/>
      <c r="S2578" s="149"/>
      <c r="T2578" s="149"/>
      <c r="U2578" s="149"/>
      <c r="V2578" s="149"/>
      <c r="W2578" s="149"/>
      <c r="X2578" s="149"/>
      <c r="Y2578" s="149"/>
      <c r="Z2578" s="149"/>
      <c r="AA2578" s="149"/>
      <c r="AB2578" s="149"/>
      <c r="AC2578" s="149"/>
      <c r="AD2578" s="149"/>
      <c r="AE2578" s="149"/>
      <c r="AF2578" s="149"/>
      <c r="AG2578" s="149"/>
      <c r="AH2578" s="149"/>
      <c r="AI2578" s="149"/>
      <c r="AJ2578" s="149"/>
      <c r="AK2578" s="149"/>
      <c r="AL2578" s="149"/>
      <c r="AM2578" s="149"/>
      <c r="AN2578" s="149"/>
      <c r="AO2578" s="128"/>
      <c r="AP2578" s="128"/>
      <c r="AQ2578" s="128"/>
      <c r="AR2578" s="128"/>
      <c r="AS2578" s="128"/>
      <c r="AT2578" s="128"/>
      <c r="AU2578" s="128"/>
      <c r="AV2578" s="128"/>
      <c r="AW2578" s="128"/>
      <c r="AX2578" s="128"/>
      <c r="AY2578" s="128"/>
      <c r="AZ2578" s="128"/>
      <c r="BA2578" s="128"/>
      <c r="BB2578" s="128"/>
      <c r="BC2578" s="128"/>
      <c r="BD2578" s="128"/>
      <c r="BE2578" s="128"/>
      <c r="BF2578" s="128"/>
      <c r="BG2578" s="128"/>
      <c r="BH2578" s="128"/>
      <c r="BI2578" s="128"/>
      <c r="BJ2578" s="128"/>
      <c r="BK2578" s="128"/>
      <c r="BL2578" s="128"/>
      <c r="BM2578" s="151"/>
      <c r="BN2578" s="128"/>
      <c r="BO2578" s="128"/>
      <c r="BP2578" s="128"/>
      <c r="BQ2578" s="128"/>
      <c r="BR2578" s="128"/>
      <c r="BS2578" s="128"/>
      <c r="BT2578" s="128"/>
      <c r="BU2578" s="128"/>
      <c r="BV2578" s="128"/>
      <c r="BW2578" s="128"/>
      <c r="BX2578" s="128"/>
      <c r="BY2578" s="128"/>
      <c r="BZ2578" s="128"/>
      <c r="CA2578" s="128"/>
      <c r="CB2578" s="128"/>
      <c r="CC2578" s="128"/>
      <c r="CD2578" s="128"/>
      <c r="CE2578" s="128"/>
      <c r="CF2578" s="128"/>
      <c r="CG2578" s="128"/>
      <c r="CI2578" s="128"/>
      <c r="CJ2578" s="128"/>
      <c r="CK2578" s="128"/>
      <c r="CL2578" s="128"/>
      <c r="CM2578" s="128"/>
      <c r="CN2578" s="128"/>
      <c r="CO2578" s="128"/>
      <c r="CP2578" s="128"/>
      <c r="CQ2578" s="128"/>
      <c r="CR2578" s="128"/>
      <c r="CS2578" s="128"/>
      <c r="CT2578" s="128"/>
      <c r="CU2578" s="128"/>
      <c r="CV2578" s="128"/>
      <c r="CW2578" s="128"/>
      <c r="CX2578" s="128"/>
      <c r="CY2578" s="128"/>
      <c r="CZ2578" s="165"/>
    </row>
    <row r="2579" spans="1:104">
      <c r="A2579" s="149"/>
      <c r="B2579" s="149"/>
      <c r="C2579" s="150"/>
      <c r="D2579" s="102"/>
      <c r="E2579" s="149"/>
      <c r="F2579" s="149"/>
      <c r="G2579" s="149"/>
      <c r="H2579" s="149"/>
      <c r="I2579" s="149"/>
      <c r="J2579" s="149"/>
      <c r="K2579" s="149"/>
      <c r="L2579" s="149"/>
      <c r="M2579" s="149"/>
      <c r="N2579" s="149"/>
      <c r="O2579" s="149"/>
      <c r="P2579" s="149"/>
      <c r="Q2579" s="149"/>
      <c r="R2579" s="149"/>
      <c r="S2579" s="149"/>
      <c r="T2579" s="149"/>
      <c r="U2579" s="149"/>
      <c r="V2579" s="149"/>
      <c r="W2579" s="149"/>
      <c r="X2579" s="149"/>
      <c r="Y2579" s="149"/>
      <c r="Z2579" s="149"/>
      <c r="AA2579" s="149"/>
      <c r="AB2579" s="149"/>
      <c r="AC2579" s="149"/>
      <c r="AD2579" s="149"/>
      <c r="AE2579" s="149"/>
      <c r="AF2579" s="149"/>
      <c r="AG2579" s="149"/>
      <c r="AH2579" s="149"/>
      <c r="AI2579" s="149"/>
      <c r="AJ2579" s="149"/>
      <c r="AK2579" s="149"/>
      <c r="AL2579" s="149"/>
      <c r="AM2579" s="149"/>
      <c r="AN2579" s="149"/>
      <c r="AO2579" s="128"/>
      <c r="AP2579" s="128"/>
      <c r="AQ2579" s="128"/>
      <c r="AR2579" s="128"/>
      <c r="AS2579" s="128"/>
      <c r="AT2579" s="128"/>
      <c r="AU2579" s="128"/>
      <c r="AV2579" s="128"/>
      <c r="AW2579" s="128"/>
      <c r="AX2579" s="128"/>
      <c r="AY2579" s="128"/>
      <c r="AZ2579" s="128"/>
      <c r="BA2579" s="128"/>
      <c r="BB2579" s="128"/>
      <c r="BC2579" s="128"/>
      <c r="BD2579" s="128"/>
      <c r="BE2579" s="128"/>
      <c r="BF2579" s="128"/>
      <c r="BG2579" s="128"/>
      <c r="BH2579" s="128"/>
      <c r="BI2579" s="128"/>
      <c r="BJ2579" s="128"/>
      <c r="BK2579" s="128"/>
      <c r="BL2579" s="128"/>
      <c r="BM2579" s="151"/>
      <c r="BN2579" s="128"/>
      <c r="BO2579" s="128"/>
      <c r="BP2579" s="128"/>
      <c r="BQ2579" s="128"/>
      <c r="BR2579" s="128"/>
      <c r="BS2579" s="128"/>
      <c r="BT2579" s="128"/>
      <c r="BU2579" s="128"/>
      <c r="BV2579" s="128"/>
      <c r="BW2579" s="128"/>
      <c r="BX2579" s="128"/>
      <c r="BY2579" s="128"/>
      <c r="BZ2579" s="128"/>
      <c r="CA2579" s="128"/>
      <c r="CB2579" s="128"/>
      <c r="CC2579" s="128"/>
      <c r="CD2579" s="128"/>
      <c r="CE2579" s="128"/>
      <c r="CF2579" s="128"/>
      <c r="CG2579" s="128"/>
      <c r="CI2579" s="128"/>
      <c r="CJ2579" s="128"/>
      <c r="CK2579" s="128"/>
      <c r="CL2579" s="128"/>
      <c r="CM2579" s="128"/>
      <c r="CN2579" s="128"/>
      <c r="CO2579" s="128"/>
      <c r="CP2579" s="128"/>
      <c r="CQ2579" s="128"/>
      <c r="CR2579" s="128"/>
      <c r="CS2579" s="128"/>
      <c r="CT2579" s="128"/>
      <c r="CU2579" s="128"/>
      <c r="CV2579" s="128"/>
      <c r="CW2579" s="128"/>
      <c r="CX2579" s="128"/>
      <c r="CY2579" s="128"/>
      <c r="CZ2579" s="165"/>
    </row>
    <row r="2580" spans="1:104">
      <c r="A2580" s="149"/>
      <c r="B2580" s="149"/>
      <c r="C2580" s="150"/>
      <c r="D2580" s="102"/>
      <c r="E2580" s="149"/>
      <c r="F2580" s="149"/>
      <c r="G2580" s="149"/>
      <c r="H2580" s="149"/>
      <c r="I2580" s="149"/>
      <c r="J2580" s="149"/>
      <c r="K2580" s="149"/>
      <c r="L2580" s="149"/>
      <c r="M2580" s="149"/>
      <c r="N2580" s="149"/>
      <c r="O2580" s="149"/>
      <c r="P2580" s="149"/>
      <c r="Q2580" s="149"/>
      <c r="R2580" s="149"/>
      <c r="S2580" s="149"/>
      <c r="T2580" s="149"/>
      <c r="U2580" s="149"/>
      <c r="V2580" s="149"/>
      <c r="W2580" s="149"/>
      <c r="X2580" s="149"/>
      <c r="Y2580" s="149"/>
      <c r="Z2580" s="149"/>
      <c r="AA2580" s="149"/>
      <c r="AB2580" s="149"/>
      <c r="AC2580" s="149"/>
      <c r="AD2580" s="149"/>
      <c r="AE2580" s="149"/>
      <c r="AF2580" s="149"/>
      <c r="AG2580" s="149"/>
      <c r="AH2580" s="149"/>
      <c r="AI2580" s="149"/>
      <c r="AJ2580" s="149"/>
      <c r="AK2580" s="149"/>
      <c r="AL2580" s="149"/>
      <c r="AM2580" s="149"/>
      <c r="AN2580" s="149"/>
      <c r="AO2580" s="128"/>
      <c r="AP2580" s="128"/>
      <c r="AQ2580" s="128"/>
      <c r="AR2580" s="128"/>
      <c r="AS2580" s="128"/>
      <c r="AT2580" s="128"/>
      <c r="AU2580" s="128"/>
      <c r="AV2580" s="128"/>
      <c r="AW2580" s="128"/>
      <c r="AX2580" s="128"/>
      <c r="AY2580" s="128"/>
      <c r="AZ2580" s="128"/>
      <c r="BA2580" s="128"/>
      <c r="BB2580" s="128"/>
      <c r="BC2580" s="128"/>
      <c r="BD2580" s="128"/>
      <c r="BE2580" s="128"/>
      <c r="BF2580" s="128"/>
      <c r="BG2580" s="128"/>
      <c r="BH2580" s="128"/>
      <c r="BI2580" s="128"/>
      <c r="BJ2580" s="128"/>
      <c r="BK2580" s="128"/>
      <c r="BL2580" s="128"/>
      <c r="BM2580" s="151"/>
      <c r="BN2580" s="128"/>
      <c r="BO2580" s="128"/>
      <c r="BP2580" s="128"/>
      <c r="BQ2580" s="128"/>
      <c r="BR2580" s="128"/>
      <c r="BS2580" s="128"/>
      <c r="BT2580" s="128"/>
      <c r="BU2580" s="128"/>
      <c r="BV2580" s="128"/>
      <c r="BW2580" s="128"/>
      <c r="BX2580" s="128"/>
      <c r="BY2580" s="128"/>
      <c r="BZ2580" s="128"/>
      <c r="CA2580" s="128"/>
      <c r="CB2580" s="128"/>
      <c r="CC2580" s="128"/>
      <c r="CD2580" s="128"/>
      <c r="CE2580" s="128"/>
      <c r="CF2580" s="128"/>
      <c r="CG2580" s="128"/>
      <c r="CI2580" s="128"/>
      <c r="CJ2580" s="128"/>
      <c r="CK2580" s="128"/>
      <c r="CL2580" s="128"/>
      <c r="CM2580" s="128"/>
      <c r="CN2580" s="128"/>
      <c r="CO2580" s="128"/>
      <c r="CP2580" s="128"/>
      <c r="CQ2580" s="128"/>
      <c r="CR2580" s="128"/>
      <c r="CS2580" s="128"/>
      <c r="CT2580" s="128"/>
      <c r="CU2580" s="128"/>
      <c r="CV2580" s="128"/>
      <c r="CW2580" s="128"/>
      <c r="CX2580" s="128"/>
      <c r="CY2580" s="128"/>
      <c r="CZ2580" s="165"/>
    </row>
    <row r="2581" spans="1:104">
      <c r="A2581" s="149"/>
      <c r="B2581" s="149"/>
      <c r="C2581" s="150"/>
      <c r="D2581" s="102"/>
      <c r="E2581" s="149"/>
      <c r="F2581" s="149"/>
      <c r="G2581" s="149"/>
      <c r="H2581" s="149"/>
      <c r="I2581" s="149"/>
      <c r="J2581" s="149"/>
      <c r="K2581" s="149"/>
      <c r="L2581" s="149"/>
      <c r="M2581" s="149"/>
      <c r="N2581" s="149"/>
      <c r="O2581" s="149"/>
      <c r="P2581" s="149"/>
      <c r="Q2581" s="149"/>
      <c r="R2581" s="149"/>
      <c r="S2581" s="149"/>
      <c r="T2581" s="149"/>
      <c r="U2581" s="149"/>
      <c r="V2581" s="149"/>
      <c r="W2581" s="149"/>
      <c r="X2581" s="149"/>
      <c r="Y2581" s="149"/>
      <c r="Z2581" s="149"/>
      <c r="AA2581" s="149"/>
      <c r="AB2581" s="149"/>
      <c r="AC2581" s="149"/>
      <c r="AD2581" s="149"/>
      <c r="AE2581" s="149"/>
      <c r="AF2581" s="149"/>
      <c r="AG2581" s="149"/>
      <c r="AH2581" s="149"/>
      <c r="AI2581" s="149"/>
      <c r="AJ2581" s="149"/>
      <c r="AK2581" s="149"/>
      <c r="AL2581" s="149"/>
      <c r="AM2581" s="149"/>
      <c r="AN2581" s="149"/>
      <c r="AO2581" s="128"/>
      <c r="AP2581" s="128"/>
      <c r="AQ2581" s="128"/>
      <c r="AR2581" s="128"/>
      <c r="AS2581" s="128"/>
      <c r="AT2581" s="128"/>
      <c r="AU2581" s="128"/>
      <c r="AV2581" s="128"/>
      <c r="AW2581" s="128"/>
      <c r="AX2581" s="128"/>
      <c r="AY2581" s="128"/>
      <c r="AZ2581" s="128"/>
      <c r="BA2581" s="128"/>
      <c r="BB2581" s="128"/>
      <c r="BC2581" s="128"/>
      <c r="BD2581" s="128"/>
      <c r="BE2581" s="128"/>
      <c r="BF2581" s="128"/>
      <c r="BG2581" s="128"/>
      <c r="BH2581" s="128"/>
      <c r="BI2581" s="128"/>
      <c r="BJ2581" s="128"/>
      <c r="BK2581" s="128"/>
      <c r="BL2581" s="128"/>
      <c r="BM2581" s="151"/>
      <c r="BN2581" s="128"/>
      <c r="BO2581" s="128"/>
      <c r="BP2581" s="128"/>
      <c r="BQ2581" s="128"/>
      <c r="BR2581" s="128"/>
      <c r="BS2581" s="128"/>
      <c r="BT2581" s="128"/>
      <c r="BU2581" s="128"/>
      <c r="BV2581" s="128"/>
      <c r="BW2581" s="128"/>
      <c r="BX2581" s="128"/>
      <c r="BY2581" s="128"/>
      <c r="BZ2581" s="128"/>
      <c r="CA2581" s="128"/>
      <c r="CB2581" s="128"/>
      <c r="CC2581" s="128"/>
      <c r="CD2581" s="128"/>
      <c r="CE2581" s="128"/>
      <c r="CF2581" s="128"/>
      <c r="CG2581" s="128"/>
      <c r="CI2581" s="128"/>
      <c r="CJ2581" s="128"/>
      <c r="CK2581" s="128"/>
      <c r="CL2581" s="128"/>
      <c r="CM2581" s="128"/>
      <c r="CN2581" s="128"/>
      <c r="CO2581" s="128"/>
      <c r="CP2581" s="128"/>
      <c r="CQ2581" s="128"/>
      <c r="CR2581" s="128"/>
      <c r="CS2581" s="128"/>
      <c r="CT2581" s="128"/>
      <c r="CU2581" s="128"/>
      <c r="CV2581" s="128"/>
      <c r="CW2581" s="128"/>
      <c r="CX2581" s="128"/>
      <c r="CY2581" s="128"/>
      <c r="CZ2581" s="165"/>
    </row>
    <row r="2582" spans="1:104">
      <c r="A2582" s="149"/>
      <c r="B2582" s="149"/>
      <c r="C2582" s="150"/>
      <c r="D2582" s="102"/>
      <c r="E2582" s="149"/>
      <c r="F2582" s="149"/>
      <c r="G2582" s="149"/>
      <c r="H2582" s="149"/>
      <c r="I2582" s="149"/>
      <c r="J2582" s="149"/>
      <c r="K2582" s="149"/>
      <c r="L2582" s="149"/>
      <c r="M2582" s="149"/>
      <c r="N2582" s="149"/>
      <c r="O2582" s="149"/>
      <c r="P2582" s="149"/>
      <c r="Q2582" s="149"/>
      <c r="R2582" s="149"/>
      <c r="S2582" s="149"/>
      <c r="T2582" s="149"/>
      <c r="U2582" s="149"/>
      <c r="V2582" s="149"/>
      <c r="W2582" s="149"/>
      <c r="X2582" s="149"/>
      <c r="Y2582" s="149"/>
      <c r="Z2582" s="149"/>
      <c r="AA2582" s="149"/>
      <c r="AB2582" s="149"/>
      <c r="AC2582" s="149"/>
      <c r="AD2582" s="149"/>
      <c r="AE2582" s="149"/>
      <c r="AF2582" s="149"/>
      <c r="AG2582" s="149"/>
      <c r="AH2582" s="149"/>
      <c r="AI2582" s="149"/>
      <c r="AJ2582" s="149"/>
      <c r="AK2582" s="149"/>
      <c r="AL2582" s="149"/>
      <c r="AM2582" s="149"/>
      <c r="AN2582" s="149"/>
      <c r="AO2582" s="128"/>
      <c r="AP2582" s="128"/>
      <c r="AQ2582" s="128"/>
      <c r="AR2582" s="128"/>
      <c r="AS2582" s="128"/>
      <c r="AT2582" s="128"/>
      <c r="AU2582" s="128"/>
      <c r="AV2582" s="128"/>
      <c r="AW2582" s="128"/>
      <c r="AX2582" s="128"/>
      <c r="AY2582" s="128"/>
      <c r="AZ2582" s="128"/>
      <c r="BA2582" s="128"/>
      <c r="BB2582" s="128"/>
      <c r="BC2582" s="128"/>
      <c r="BD2582" s="128"/>
      <c r="BE2582" s="128"/>
      <c r="BF2582" s="128"/>
      <c r="BG2582" s="128"/>
      <c r="BH2582" s="128"/>
      <c r="BI2582" s="128"/>
      <c r="BJ2582" s="128"/>
      <c r="BK2582" s="128"/>
      <c r="BL2582" s="128"/>
      <c r="BM2582" s="151"/>
      <c r="BN2582" s="128"/>
      <c r="BO2582" s="128"/>
      <c r="BP2582" s="128"/>
      <c r="BQ2582" s="128"/>
      <c r="BR2582" s="128"/>
      <c r="BS2582" s="128"/>
      <c r="BT2582" s="128"/>
      <c r="BU2582" s="128"/>
      <c r="BV2582" s="128"/>
      <c r="BW2582" s="128"/>
      <c r="BX2582" s="128"/>
      <c r="BY2582" s="128"/>
      <c r="BZ2582" s="128"/>
      <c r="CA2582" s="128"/>
      <c r="CB2582" s="128"/>
      <c r="CC2582" s="128"/>
      <c r="CD2582" s="128"/>
      <c r="CE2582" s="128"/>
      <c r="CF2582" s="128"/>
      <c r="CG2582" s="128"/>
      <c r="CI2582" s="128"/>
      <c r="CJ2582" s="128"/>
      <c r="CK2582" s="128"/>
      <c r="CL2582" s="128"/>
      <c r="CM2582" s="128"/>
      <c r="CN2582" s="128"/>
      <c r="CO2582" s="128"/>
      <c r="CP2582" s="128"/>
      <c r="CQ2582" s="128"/>
      <c r="CR2582" s="128"/>
      <c r="CS2582" s="128"/>
      <c r="CT2582" s="128"/>
      <c r="CU2582" s="128"/>
      <c r="CV2582" s="128"/>
      <c r="CW2582" s="128"/>
      <c r="CX2582" s="128"/>
      <c r="CY2582" s="128"/>
      <c r="CZ2582" s="165"/>
    </row>
    <row r="2583" spans="1:104">
      <c r="A2583" s="149"/>
      <c r="B2583" s="149"/>
      <c r="C2583" s="150"/>
      <c r="D2583" s="102"/>
      <c r="E2583" s="149"/>
      <c r="F2583" s="149"/>
      <c r="G2583" s="149"/>
      <c r="H2583" s="149"/>
      <c r="I2583" s="149"/>
      <c r="J2583" s="149"/>
      <c r="K2583" s="149"/>
      <c r="L2583" s="149"/>
      <c r="M2583" s="149"/>
      <c r="N2583" s="149"/>
      <c r="O2583" s="149"/>
      <c r="P2583" s="149"/>
      <c r="Q2583" s="149"/>
      <c r="R2583" s="149"/>
      <c r="S2583" s="149"/>
      <c r="T2583" s="149"/>
      <c r="U2583" s="149"/>
      <c r="V2583" s="149"/>
      <c r="W2583" s="149"/>
      <c r="X2583" s="149"/>
      <c r="Y2583" s="149"/>
      <c r="Z2583" s="149"/>
      <c r="AA2583" s="149"/>
      <c r="AB2583" s="149"/>
      <c r="AC2583" s="149"/>
      <c r="AD2583" s="149"/>
      <c r="AE2583" s="149"/>
      <c r="AF2583" s="149"/>
      <c r="AG2583" s="149"/>
      <c r="AH2583" s="149"/>
      <c r="AI2583" s="149"/>
      <c r="AJ2583" s="149"/>
      <c r="AK2583" s="149"/>
      <c r="AL2583" s="149"/>
      <c r="AM2583" s="149"/>
      <c r="AN2583" s="149"/>
      <c r="AO2583" s="128"/>
      <c r="AP2583" s="128"/>
      <c r="AQ2583" s="128"/>
      <c r="AR2583" s="128"/>
      <c r="AS2583" s="128"/>
      <c r="AT2583" s="128"/>
      <c r="AU2583" s="128"/>
      <c r="AV2583" s="128"/>
      <c r="AW2583" s="128"/>
      <c r="AX2583" s="128"/>
      <c r="AY2583" s="128"/>
      <c r="AZ2583" s="128"/>
      <c r="BA2583" s="128"/>
      <c r="BB2583" s="128"/>
      <c r="BC2583" s="128"/>
      <c r="BD2583" s="128"/>
      <c r="BE2583" s="128"/>
      <c r="BF2583" s="128"/>
      <c r="BG2583" s="128"/>
      <c r="BH2583" s="128"/>
      <c r="BI2583" s="128"/>
      <c r="BJ2583" s="128"/>
      <c r="BK2583" s="128"/>
      <c r="BL2583" s="128"/>
      <c r="BM2583" s="151"/>
      <c r="BN2583" s="128"/>
      <c r="BO2583" s="128"/>
      <c r="BP2583" s="128"/>
      <c r="BQ2583" s="128"/>
      <c r="BR2583" s="128"/>
      <c r="BS2583" s="128"/>
      <c r="BT2583" s="128"/>
      <c r="BU2583" s="128"/>
      <c r="BV2583" s="128"/>
      <c r="BW2583" s="128"/>
      <c r="BX2583" s="128"/>
      <c r="BY2583" s="128"/>
      <c r="BZ2583" s="128"/>
      <c r="CA2583" s="128"/>
      <c r="CB2583" s="128"/>
      <c r="CC2583" s="128"/>
      <c r="CD2583" s="128"/>
      <c r="CE2583" s="128"/>
      <c r="CF2583" s="128"/>
      <c r="CG2583" s="128"/>
      <c r="CI2583" s="128"/>
      <c r="CJ2583" s="128"/>
      <c r="CK2583" s="128"/>
      <c r="CL2583" s="128"/>
      <c r="CM2583" s="128"/>
      <c r="CN2583" s="128"/>
      <c r="CO2583" s="128"/>
      <c r="CP2583" s="128"/>
      <c r="CQ2583" s="128"/>
      <c r="CR2583" s="128"/>
      <c r="CS2583" s="128"/>
      <c r="CT2583" s="128"/>
      <c r="CU2583" s="128"/>
      <c r="CV2583" s="128"/>
      <c r="CW2583" s="128"/>
      <c r="CX2583" s="128"/>
      <c r="CY2583" s="128"/>
      <c r="CZ2583" s="165"/>
    </row>
    <row r="2584" spans="1:104">
      <c r="A2584" s="149"/>
      <c r="B2584" s="149"/>
      <c r="C2584" s="150"/>
      <c r="D2584" s="102"/>
      <c r="E2584" s="149"/>
      <c r="F2584" s="149"/>
      <c r="G2584" s="149"/>
      <c r="H2584" s="149"/>
      <c r="I2584" s="149"/>
      <c r="J2584" s="149"/>
      <c r="K2584" s="149"/>
      <c r="L2584" s="149"/>
      <c r="M2584" s="149"/>
      <c r="N2584" s="149"/>
      <c r="O2584" s="149"/>
      <c r="P2584" s="149"/>
      <c r="Q2584" s="149"/>
      <c r="R2584" s="149"/>
      <c r="S2584" s="149"/>
      <c r="T2584" s="149"/>
      <c r="U2584" s="149"/>
      <c r="V2584" s="149"/>
      <c r="W2584" s="149"/>
      <c r="X2584" s="149"/>
      <c r="Y2584" s="149"/>
      <c r="Z2584" s="149"/>
      <c r="AA2584" s="149"/>
      <c r="AB2584" s="149"/>
      <c r="AC2584" s="149"/>
      <c r="AD2584" s="149"/>
      <c r="AE2584" s="149"/>
      <c r="AF2584" s="149"/>
      <c r="AG2584" s="149"/>
      <c r="AH2584" s="149"/>
      <c r="AI2584" s="149"/>
      <c r="AJ2584" s="149"/>
      <c r="AK2584" s="149"/>
      <c r="AL2584" s="149"/>
      <c r="AM2584" s="149"/>
      <c r="AN2584" s="149"/>
      <c r="AO2584" s="128"/>
      <c r="AP2584" s="128"/>
      <c r="AQ2584" s="128"/>
      <c r="AR2584" s="128"/>
      <c r="AS2584" s="128"/>
      <c r="AT2584" s="128"/>
      <c r="AU2584" s="128"/>
      <c r="AV2584" s="128"/>
      <c r="AW2584" s="128"/>
      <c r="AX2584" s="128"/>
      <c r="AY2584" s="128"/>
      <c r="AZ2584" s="128"/>
      <c r="BA2584" s="128"/>
      <c r="BB2584" s="128"/>
      <c r="BC2584" s="128"/>
      <c r="BD2584" s="128"/>
      <c r="BE2584" s="128"/>
      <c r="BF2584" s="128"/>
      <c r="BG2584" s="128"/>
      <c r="BH2584" s="128"/>
      <c r="BI2584" s="128"/>
      <c r="BJ2584" s="128"/>
      <c r="BK2584" s="128"/>
      <c r="BL2584" s="128"/>
      <c r="BM2584" s="151"/>
      <c r="BN2584" s="128"/>
      <c r="BO2584" s="128"/>
      <c r="BP2584" s="128"/>
      <c r="BQ2584" s="128"/>
      <c r="BR2584" s="128"/>
      <c r="BS2584" s="128"/>
      <c r="BT2584" s="128"/>
      <c r="BU2584" s="128"/>
      <c r="BV2584" s="128"/>
      <c r="BW2584" s="128"/>
      <c r="BX2584" s="128"/>
      <c r="BY2584" s="128"/>
      <c r="BZ2584" s="128"/>
      <c r="CA2584" s="128"/>
      <c r="CB2584" s="128"/>
      <c r="CC2584" s="128"/>
      <c r="CD2584" s="128"/>
      <c r="CE2584" s="128"/>
      <c r="CF2584" s="128"/>
      <c r="CG2584" s="128"/>
      <c r="CI2584" s="128"/>
      <c r="CJ2584" s="128"/>
      <c r="CK2584" s="128"/>
      <c r="CL2584" s="128"/>
      <c r="CM2584" s="128"/>
      <c r="CN2584" s="128"/>
      <c r="CO2584" s="128"/>
      <c r="CP2584" s="128"/>
      <c r="CQ2584" s="128"/>
      <c r="CR2584" s="128"/>
      <c r="CS2584" s="128"/>
      <c r="CT2584" s="128"/>
      <c r="CU2584" s="128"/>
      <c r="CV2584" s="128"/>
      <c r="CW2584" s="128"/>
      <c r="CX2584" s="128"/>
      <c r="CY2584" s="128"/>
      <c r="CZ2584" s="165"/>
    </row>
    <row r="2585" spans="1:104">
      <c r="A2585" s="149"/>
      <c r="B2585" s="149"/>
      <c r="C2585" s="150"/>
      <c r="D2585" s="102"/>
      <c r="E2585" s="149"/>
      <c r="F2585" s="149"/>
      <c r="G2585" s="149"/>
      <c r="H2585" s="149"/>
      <c r="I2585" s="149"/>
      <c r="J2585" s="149"/>
      <c r="K2585" s="149"/>
      <c r="L2585" s="149"/>
      <c r="M2585" s="149"/>
      <c r="N2585" s="149"/>
      <c r="O2585" s="149"/>
      <c r="P2585" s="149"/>
      <c r="Q2585" s="149"/>
      <c r="R2585" s="149"/>
      <c r="S2585" s="149"/>
      <c r="T2585" s="149"/>
      <c r="U2585" s="149"/>
      <c r="V2585" s="149"/>
      <c r="W2585" s="149"/>
      <c r="X2585" s="149"/>
      <c r="Y2585" s="149"/>
      <c r="Z2585" s="149"/>
      <c r="AA2585" s="149"/>
      <c r="AB2585" s="149"/>
      <c r="AC2585" s="149"/>
      <c r="AD2585" s="149"/>
      <c r="AE2585" s="149"/>
      <c r="AF2585" s="149"/>
      <c r="AG2585" s="149"/>
      <c r="AH2585" s="149"/>
      <c r="AI2585" s="149"/>
      <c r="AJ2585" s="149"/>
      <c r="AK2585" s="149"/>
      <c r="AL2585" s="149"/>
      <c r="AM2585" s="149"/>
      <c r="AN2585" s="149"/>
      <c r="AO2585" s="128"/>
      <c r="AP2585" s="128"/>
      <c r="AQ2585" s="128"/>
      <c r="AR2585" s="128"/>
      <c r="AS2585" s="128"/>
      <c r="AT2585" s="128"/>
      <c r="AU2585" s="128"/>
      <c r="AV2585" s="128"/>
      <c r="AW2585" s="128"/>
      <c r="AX2585" s="128"/>
      <c r="AY2585" s="128"/>
      <c r="AZ2585" s="128"/>
      <c r="BA2585" s="128"/>
      <c r="BB2585" s="128"/>
      <c r="BC2585" s="128"/>
      <c r="BD2585" s="128"/>
      <c r="BE2585" s="128"/>
      <c r="BF2585" s="128"/>
      <c r="BG2585" s="128"/>
      <c r="BH2585" s="128"/>
      <c r="BI2585" s="128"/>
      <c r="BJ2585" s="128"/>
      <c r="BK2585" s="128"/>
      <c r="BL2585" s="128"/>
      <c r="BM2585" s="151"/>
      <c r="BN2585" s="128"/>
      <c r="BO2585" s="128"/>
      <c r="BP2585" s="128"/>
      <c r="BQ2585" s="128"/>
      <c r="BR2585" s="128"/>
      <c r="BS2585" s="128"/>
      <c r="BT2585" s="128"/>
      <c r="BU2585" s="128"/>
      <c r="BV2585" s="128"/>
      <c r="BW2585" s="128"/>
      <c r="BX2585" s="128"/>
      <c r="BY2585" s="128"/>
      <c r="BZ2585" s="128"/>
      <c r="CA2585" s="128"/>
      <c r="CB2585" s="128"/>
      <c r="CC2585" s="128"/>
      <c r="CD2585" s="128"/>
      <c r="CE2585" s="128"/>
      <c r="CF2585" s="128"/>
      <c r="CG2585" s="128"/>
      <c r="CI2585" s="128"/>
      <c r="CJ2585" s="128"/>
      <c r="CK2585" s="128"/>
      <c r="CL2585" s="128"/>
      <c r="CM2585" s="128"/>
      <c r="CN2585" s="128"/>
      <c r="CO2585" s="128"/>
      <c r="CP2585" s="128"/>
      <c r="CQ2585" s="128"/>
      <c r="CR2585" s="128"/>
      <c r="CS2585" s="128"/>
      <c r="CT2585" s="128"/>
      <c r="CU2585" s="128"/>
      <c r="CV2585" s="128"/>
      <c r="CW2585" s="128"/>
      <c r="CX2585" s="128"/>
      <c r="CY2585" s="128"/>
      <c r="CZ2585" s="165"/>
    </row>
    <row r="2586" spans="1:104">
      <c r="A2586" s="149"/>
      <c r="B2586" s="149"/>
      <c r="C2586" s="150"/>
      <c r="D2586" s="102"/>
      <c r="E2586" s="149"/>
      <c r="F2586" s="149"/>
      <c r="G2586" s="149"/>
      <c r="H2586" s="149"/>
      <c r="I2586" s="149"/>
      <c r="J2586" s="149"/>
      <c r="K2586" s="149"/>
      <c r="L2586" s="149"/>
      <c r="M2586" s="149"/>
      <c r="N2586" s="149"/>
      <c r="O2586" s="149"/>
      <c r="P2586" s="149"/>
      <c r="Q2586" s="149"/>
      <c r="R2586" s="149"/>
      <c r="S2586" s="149"/>
      <c r="T2586" s="149"/>
      <c r="U2586" s="149"/>
      <c r="V2586" s="149"/>
      <c r="W2586" s="149"/>
      <c r="X2586" s="149"/>
      <c r="Y2586" s="149"/>
      <c r="Z2586" s="149"/>
      <c r="AA2586" s="149"/>
      <c r="AB2586" s="149"/>
      <c r="AC2586" s="149"/>
      <c r="AD2586" s="149"/>
      <c r="AE2586" s="149"/>
      <c r="AF2586" s="149"/>
      <c r="AG2586" s="149"/>
      <c r="AH2586" s="149"/>
      <c r="AI2586" s="149"/>
      <c r="AJ2586" s="149"/>
      <c r="AK2586" s="149"/>
      <c r="AL2586" s="149"/>
      <c r="AM2586" s="149"/>
      <c r="AN2586" s="149"/>
      <c r="AO2586" s="128"/>
      <c r="AP2586" s="128"/>
      <c r="AQ2586" s="128"/>
      <c r="AR2586" s="128"/>
      <c r="AS2586" s="128"/>
      <c r="AT2586" s="128"/>
      <c r="AU2586" s="128"/>
      <c r="AV2586" s="128"/>
      <c r="AW2586" s="128"/>
      <c r="AX2586" s="128"/>
      <c r="AY2586" s="128"/>
      <c r="AZ2586" s="128"/>
      <c r="BA2586" s="128"/>
      <c r="BB2586" s="128"/>
      <c r="BC2586" s="128"/>
      <c r="BD2586" s="128"/>
      <c r="BE2586" s="128"/>
      <c r="BF2586" s="128"/>
      <c r="BG2586" s="128"/>
      <c r="BH2586" s="128"/>
      <c r="BI2586" s="128"/>
      <c r="BJ2586" s="128"/>
      <c r="BK2586" s="128"/>
      <c r="BL2586" s="128"/>
      <c r="BM2586" s="151"/>
      <c r="BN2586" s="128"/>
      <c r="BO2586" s="128"/>
      <c r="BP2586" s="128"/>
      <c r="BQ2586" s="128"/>
      <c r="BR2586" s="128"/>
      <c r="BS2586" s="128"/>
      <c r="BT2586" s="128"/>
      <c r="BU2586" s="128"/>
      <c r="BV2586" s="128"/>
      <c r="BW2586" s="128"/>
      <c r="BX2586" s="128"/>
      <c r="BY2586" s="128"/>
      <c r="BZ2586" s="128"/>
      <c r="CA2586" s="128"/>
      <c r="CB2586" s="128"/>
      <c r="CC2586" s="128"/>
      <c r="CD2586" s="128"/>
      <c r="CE2586" s="128"/>
      <c r="CF2586" s="128"/>
      <c r="CG2586" s="128"/>
      <c r="CI2586" s="128"/>
      <c r="CJ2586" s="128"/>
      <c r="CK2586" s="128"/>
      <c r="CL2586" s="128"/>
      <c r="CM2586" s="128"/>
      <c r="CN2586" s="128"/>
      <c r="CO2586" s="128"/>
      <c r="CP2586" s="128"/>
      <c r="CQ2586" s="128"/>
      <c r="CR2586" s="128"/>
      <c r="CS2586" s="128"/>
      <c r="CT2586" s="128"/>
      <c r="CU2586" s="128"/>
      <c r="CV2586" s="128"/>
      <c r="CW2586" s="128"/>
      <c r="CX2586" s="128"/>
      <c r="CY2586" s="128"/>
      <c r="CZ2586" s="165"/>
    </row>
    <row r="2587" spans="1:104">
      <c r="A2587" s="149"/>
      <c r="B2587" s="149"/>
      <c r="C2587" s="150"/>
      <c r="D2587" s="102"/>
      <c r="E2587" s="149"/>
      <c r="F2587" s="149"/>
      <c r="G2587" s="149"/>
      <c r="H2587" s="149"/>
      <c r="I2587" s="149"/>
      <c r="J2587" s="149"/>
      <c r="K2587" s="149"/>
      <c r="L2587" s="149"/>
      <c r="M2587" s="149"/>
      <c r="N2587" s="149"/>
      <c r="O2587" s="149"/>
      <c r="P2587" s="149"/>
      <c r="Q2587" s="149"/>
      <c r="R2587" s="149"/>
      <c r="S2587" s="149"/>
      <c r="T2587" s="149"/>
      <c r="U2587" s="149"/>
      <c r="V2587" s="149"/>
      <c r="W2587" s="149"/>
      <c r="X2587" s="149"/>
      <c r="Y2587" s="149"/>
      <c r="Z2587" s="149"/>
      <c r="AA2587" s="149"/>
      <c r="AB2587" s="149"/>
      <c r="AC2587" s="149"/>
      <c r="AD2587" s="149"/>
      <c r="AE2587" s="149"/>
      <c r="AF2587" s="149"/>
      <c r="AG2587" s="149"/>
      <c r="AH2587" s="149"/>
      <c r="AI2587" s="149"/>
      <c r="AJ2587" s="149"/>
      <c r="AK2587" s="149"/>
      <c r="AL2587" s="149"/>
      <c r="AM2587" s="149"/>
      <c r="AN2587" s="149"/>
      <c r="AO2587" s="128"/>
      <c r="AP2587" s="128"/>
      <c r="AQ2587" s="128"/>
      <c r="AR2587" s="128"/>
      <c r="AS2587" s="128"/>
      <c r="AT2587" s="128"/>
      <c r="AU2587" s="128"/>
      <c r="AV2587" s="128"/>
      <c r="AW2587" s="128"/>
      <c r="AX2587" s="128"/>
      <c r="AY2587" s="128"/>
      <c r="AZ2587" s="128"/>
      <c r="BA2587" s="128"/>
      <c r="BB2587" s="128"/>
      <c r="BC2587" s="128"/>
      <c r="BD2587" s="128"/>
      <c r="BE2587" s="128"/>
      <c r="BF2587" s="128"/>
      <c r="BG2587" s="128"/>
      <c r="BH2587" s="128"/>
      <c r="BI2587" s="128"/>
      <c r="BJ2587" s="128"/>
      <c r="BK2587" s="128"/>
      <c r="BL2587" s="128"/>
      <c r="BM2587" s="151"/>
      <c r="BN2587" s="128"/>
      <c r="BO2587" s="128"/>
      <c r="BP2587" s="128"/>
      <c r="BQ2587" s="128"/>
      <c r="BR2587" s="128"/>
      <c r="BS2587" s="128"/>
      <c r="BT2587" s="128"/>
      <c r="BU2587" s="128"/>
      <c r="BV2587" s="128"/>
      <c r="BW2587" s="128"/>
      <c r="BX2587" s="128"/>
      <c r="BY2587" s="128"/>
      <c r="BZ2587" s="128"/>
      <c r="CA2587" s="128"/>
      <c r="CB2587" s="128"/>
      <c r="CC2587" s="128"/>
      <c r="CD2587" s="128"/>
      <c r="CE2587" s="128"/>
      <c r="CF2587" s="128"/>
      <c r="CG2587" s="128"/>
      <c r="CI2587" s="128"/>
      <c r="CJ2587" s="128"/>
      <c r="CK2587" s="128"/>
      <c r="CL2587" s="128"/>
      <c r="CM2587" s="128"/>
      <c r="CN2587" s="128"/>
      <c r="CO2587" s="128"/>
      <c r="CP2587" s="128"/>
      <c r="CQ2587" s="128"/>
      <c r="CR2587" s="128"/>
      <c r="CS2587" s="128"/>
      <c r="CT2587" s="128"/>
      <c r="CU2587" s="128"/>
      <c r="CV2587" s="128"/>
      <c r="CW2587" s="128"/>
      <c r="CX2587" s="128"/>
      <c r="CY2587" s="128"/>
      <c r="CZ2587" s="165"/>
    </row>
    <row r="2588" spans="1:104">
      <c r="A2588" s="149"/>
      <c r="B2588" s="149"/>
      <c r="C2588" s="150"/>
      <c r="D2588" s="102"/>
      <c r="E2588" s="149"/>
      <c r="F2588" s="149"/>
      <c r="G2588" s="149"/>
      <c r="H2588" s="149"/>
      <c r="I2588" s="149"/>
      <c r="J2588" s="149"/>
      <c r="K2588" s="149"/>
      <c r="L2588" s="149"/>
      <c r="M2588" s="149"/>
      <c r="N2588" s="149"/>
      <c r="O2588" s="149"/>
      <c r="P2588" s="149"/>
      <c r="Q2588" s="149"/>
      <c r="R2588" s="149"/>
      <c r="S2588" s="149"/>
      <c r="T2588" s="149"/>
      <c r="U2588" s="149"/>
      <c r="V2588" s="149"/>
      <c r="W2588" s="149"/>
      <c r="X2588" s="149"/>
      <c r="Y2588" s="149"/>
      <c r="Z2588" s="149"/>
      <c r="AA2588" s="149"/>
      <c r="AB2588" s="149"/>
      <c r="AC2588" s="149"/>
      <c r="AD2588" s="149"/>
      <c r="AE2588" s="149"/>
      <c r="AF2588" s="149"/>
      <c r="AG2588" s="149"/>
      <c r="AH2588" s="149"/>
      <c r="AI2588" s="149"/>
      <c r="AJ2588" s="149"/>
      <c r="AK2588" s="149"/>
      <c r="AL2588" s="149"/>
      <c r="AM2588" s="149"/>
      <c r="AN2588" s="149"/>
      <c r="AO2588" s="128"/>
      <c r="AP2588" s="128"/>
      <c r="AQ2588" s="128"/>
      <c r="AR2588" s="128"/>
      <c r="AS2588" s="128"/>
      <c r="AT2588" s="128"/>
      <c r="AU2588" s="128"/>
      <c r="AV2588" s="128"/>
      <c r="AW2588" s="128"/>
      <c r="AX2588" s="128"/>
      <c r="AY2588" s="128"/>
      <c r="AZ2588" s="128"/>
      <c r="BA2588" s="128"/>
      <c r="BB2588" s="128"/>
      <c r="BC2588" s="128"/>
      <c r="BD2588" s="128"/>
      <c r="BE2588" s="128"/>
      <c r="BF2588" s="128"/>
      <c r="BG2588" s="128"/>
      <c r="BH2588" s="128"/>
      <c r="BI2588" s="128"/>
      <c r="BJ2588" s="128"/>
      <c r="BK2588" s="128"/>
      <c r="BL2588" s="128"/>
      <c r="BM2588" s="151"/>
      <c r="BN2588" s="128"/>
      <c r="BO2588" s="128"/>
      <c r="BP2588" s="128"/>
      <c r="BQ2588" s="128"/>
      <c r="BR2588" s="128"/>
      <c r="BS2588" s="128"/>
      <c r="BT2588" s="128"/>
      <c r="BU2588" s="128"/>
      <c r="BV2588" s="128"/>
      <c r="BW2588" s="128"/>
      <c r="BX2588" s="128"/>
      <c r="BY2588" s="128"/>
      <c r="BZ2588" s="128"/>
      <c r="CA2588" s="128"/>
      <c r="CB2588" s="128"/>
      <c r="CC2588" s="128"/>
      <c r="CD2588" s="128"/>
      <c r="CE2588" s="128"/>
      <c r="CF2588" s="128"/>
      <c r="CG2588" s="128"/>
      <c r="CI2588" s="128"/>
      <c r="CJ2588" s="128"/>
      <c r="CK2588" s="128"/>
      <c r="CL2588" s="128"/>
      <c r="CM2588" s="128"/>
      <c r="CN2588" s="128"/>
      <c r="CO2588" s="128"/>
      <c r="CP2588" s="128"/>
      <c r="CQ2588" s="128"/>
      <c r="CR2588" s="128"/>
      <c r="CS2588" s="128"/>
      <c r="CT2588" s="128"/>
      <c r="CU2588" s="128"/>
      <c r="CV2588" s="128"/>
      <c r="CW2588" s="128"/>
      <c r="CX2588" s="128"/>
      <c r="CY2588" s="128"/>
      <c r="CZ2588" s="165"/>
    </row>
    <row r="2589" spans="1:104">
      <c r="A2589" s="149"/>
      <c r="B2589" s="149"/>
      <c r="C2589" s="150"/>
      <c r="D2589" s="102"/>
      <c r="E2589" s="149"/>
      <c r="F2589" s="149"/>
      <c r="G2589" s="149"/>
      <c r="H2589" s="149"/>
      <c r="I2589" s="149"/>
      <c r="J2589" s="149"/>
      <c r="K2589" s="149"/>
      <c r="L2589" s="149"/>
      <c r="M2589" s="149"/>
      <c r="N2589" s="149"/>
      <c r="O2589" s="149"/>
      <c r="P2589" s="149"/>
      <c r="Q2589" s="149"/>
      <c r="R2589" s="149"/>
      <c r="S2589" s="149"/>
      <c r="T2589" s="149"/>
      <c r="U2589" s="149"/>
      <c r="V2589" s="149"/>
      <c r="W2589" s="149"/>
      <c r="X2589" s="149"/>
      <c r="Y2589" s="149"/>
      <c r="Z2589" s="149"/>
      <c r="AA2589" s="149"/>
      <c r="AB2589" s="149"/>
      <c r="AC2589" s="149"/>
      <c r="AD2589" s="149"/>
      <c r="AE2589" s="149"/>
      <c r="AF2589" s="149"/>
      <c r="AG2589" s="149"/>
      <c r="AH2589" s="149"/>
      <c r="AI2589" s="149"/>
      <c r="AJ2589" s="149"/>
      <c r="AK2589" s="149"/>
      <c r="AL2589" s="149"/>
      <c r="AM2589" s="149"/>
      <c r="AN2589" s="149"/>
      <c r="AO2589" s="128"/>
      <c r="AP2589" s="128"/>
      <c r="AQ2589" s="128"/>
      <c r="AR2589" s="128"/>
      <c r="AS2589" s="128"/>
      <c r="AT2589" s="128"/>
      <c r="AU2589" s="128"/>
      <c r="AV2589" s="128"/>
      <c r="AW2589" s="128"/>
      <c r="AX2589" s="128"/>
      <c r="AY2589" s="128"/>
      <c r="AZ2589" s="128"/>
      <c r="BA2589" s="128"/>
      <c r="BB2589" s="128"/>
      <c r="BC2589" s="128"/>
      <c r="BD2589" s="128"/>
      <c r="BE2589" s="128"/>
      <c r="BF2589" s="128"/>
      <c r="BG2589" s="128"/>
      <c r="BH2589" s="128"/>
      <c r="BI2589" s="128"/>
      <c r="BJ2589" s="128"/>
      <c r="BK2589" s="128"/>
      <c r="BL2589" s="128"/>
      <c r="BM2589" s="151"/>
      <c r="BN2589" s="128"/>
      <c r="BO2589" s="128"/>
      <c r="BP2589" s="128"/>
      <c r="BQ2589" s="128"/>
      <c r="BR2589" s="128"/>
      <c r="BS2589" s="128"/>
      <c r="BT2589" s="128"/>
      <c r="BU2589" s="128"/>
      <c r="BV2589" s="128"/>
      <c r="BW2589" s="128"/>
      <c r="BX2589" s="128"/>
      <c r="BY2589" s="128"/>
      <c r="BZ2589" s="128"/>
      <c r="CA2589" s="128"/>
      <c r="CB2589" s="128"/>
      <c r="CC2589" s="128"/>
      <c r="CD2589" s="128"/>
      <c r="CE2589" s="128"/>
      <c r="CF2589" s="128"/>
      <c r="CG2589" s="128"/>
      <c r="CI2589" s="128"/>
      <c r="CJ2589" s="128"/>
      <c r="CK2589" s="128"/>
      <c r="CL2589" s="128"/>
      <c r="CM2589" s="128"/>
      <c r="CN2589" s="128"/>
      <c r="CO2589" s="128"/>
      <c r="CP2589" s="128"/>
      <c r="CQ2589" s="128"/>
      <c r="CR2589" s="128"/>
      <c r="CS2589" s="128"/>
      <c r="CT2589" s="128"/>
      <c r="CU2589" s="128"/>
      <c r="CV2589" s="128"/>
      <c r="CW2589" s="128"/>
      <c r="CX2589" s="128"/>
      <c r="CY2589" s="128"/>
      <c r="CZ2589" s="165"/>
    </row>
    <row r="2590" spans="1:104">
      <c r="A2590" s="149"/>
      <c r="B2590" s="149"/>
      <c r="C2590" s="150"/>
      <c r="D2590" s="102"/>
      <c r="E2590" s="149"/>
      <c r="F2590" s="149"/>
      <c r="G2590" s="149"/>
      <c r="H2590" s="149"/>
      <c r="I2590" s="149"/>
      <c r="J2590" s="149"/>
      <c r="K2590" s="149"/>
      <c r="L2590" s="149"/>
      <c r="M2590" s="149"/>
      <c r="N2590" s="149"/>
      <c r="O2590" s="149"/>
      <c r="P2590" s="149"/>
      <c r="Q2590" s="149"/>
      <c r="R2590" s="149"/>
      <c r="S2590" s="149"/>
      <c r="T2590" s="149"/>
      <c r="U2590" s="149"/>
      <c r="V2590" s="149"/>
      <c r="W2590" s="149"/>
      <c r="X2590" s="149"/>
      <c r="Y2590" s="149"/>
      <c r="Z2590" s="149"/>
      <c r="AA2590" s="149"/>
      <c r="AB2590" s="149"/>
      <c r="AC2590" s="149"/>
      <c r="AD2590" s="149"/>
      <c r="AE2590" s="149"/>
      <c r="AF2590" s="149"/>
      <c r="AG2590" s="149"/>
      <c r="AH2590" s="149"/>
      <c r="AI2590" s="149"/>
      <c r="AJ2590" s="149"/>
      <c r="AK2590" s="149"/>
      <c r="AL2590" s="149"/>
      <c r="AM2590" s="149"/>
      <c r="AN2590" s="149"/>
      <c r="AO2590" s="128"/>
      <c r="AP2590" s="128"/>
      <c r="AQ2590" s="128"/>
      <c r="AR2590" s="128"/>
      <c r="AS2590" s="128"/>
      <c r="AT2590" s="128"/>
      <c r="AU2590" s="128"/>
      <c r="AV2590" s="128"/>
      <c r="AW2590" s="128"/>
      <c r="AX2590" s="128"/>
      <c r="AY2590" s="128"/>
      <c r="AZ2590" s="128"/>
      <c r="BA2590" s="128"/>
      <c r="BB2590" s="128"/>
      <c r="BC2590" s="128"/>
      <c r="BD2590" s="128"/>
      <c r="BE2590" s="128"/>
      <c r="BF2590" s="128"/>
      <c r="BG2590" s="128"/>
      <c r="BH2590" s="128"/>
      <c r="BI2590" s="128"/>
      <c r="BJ2590" s="128"/>
      <c r="BK2590" s="128"/>
      <c r="BL2590" s="128"/>
      <c r="BM2590" s="151"/>
      <c r="BN2590" s="128"/>
      <c r="BO2590" s="128"/>
      <c r="BP2590" s="128"/>
      <c r="BQ2590" s="128"/>
      <c r="BR2590" s="128"/>
      <c r="BS2590" s="128"/>
      <c r="BT2590" s="128"/>
      <c r="BU2590" s="128"/>
      <c r="BV2590" s="128"/>
      <c r="BW2590" s="128"/>
      <c r="BX2590" s="128"/>
      <c r="BY2590" s="128"/>
      <c r="BZ2590" s="128"/>
      <c r="CA2590" s="128"/>
      <c r="CB2590" s="128"/>
      <c r="CC2590" s="128"/>
      <c r="CD2590" s="128"/>
      <c r="CE2590" s="128"/>
      <c r="CF2590" s="128"/>
      <c r="CG2590" s="128"/>
      <c r="CI2590" s="128"/>
      <c r="CJ2590" s="128"/>
      <c r="CK2590" s="128"/>
      <c r="CL2590" s="128"/>
      <c r="CM2590" s="128"/>
      <c r="CN2590" s="128"/>
      <c r="CO2590" s="128"/>
      <c r="CP2590" s="128"/>
      <c r="CQ2590" s="128"/>
      <c r="CR2590" s="128"/>
      <c r="CS2590" s="128"/>
      <c r="CT2590" s="128"/>
      <c r="CU2590" s="128"/>
      <c r="CV2590" s="128"/>
      <c r="CW2590" s="128"/>
      <c r="CX2590" s="128"/>
      <c r="CY2590" s="128"/>
      <c r="CZ2590" s="165"/>
    </row>
    <row r="2591" spans="1:104">
      <c r="A2591" s="149"/>
      <c r="B2591" s="149"/>
      <c r="C2591" s="150"/>
      <c r="D2591" s="102"/>
      <c r="E2591" s="149"/>
      <c r="F2591" s="149"/>
      <c r="G2591" s="149"/>
      <c r="H2591" s="149"/>
      <c r="I2591" s="149"/>
      <c r="J2591" s="149"/>
      <c r="K2591" s="149"/>
      <c r="L2591" s="149"/>
      <c r="M2591" s="149"/>
      <c r="N2591" s="149"/>
      <c r="O2591" s="149"/>
      <c r="P2591" s="149"/>
      <c r="Q2591" s="149"/>
      <c r="R2591" s="149"/>
      <c r="S2591" s="149"/>
      <c r="T2591" s="149"/>
      <c r="U2591" s="149"/>
      <c r="V2591" s="149"/>
      <c r="W2591" s="149"/>
      <c r="X2591" s="149"/>
      <c r="Y2591" s="149"/>
      <c r="Z2591" s="149"/>
      <c r="AA2591" s="149"/>
      <c r="AB2591" s="149"/>
      <c r="AC2591" s="149"/>
      <c r="AD2591" s="149"/>
      <c r="AE2591" s="149"/>
      <c r="AF2591" s="149"/>
      <c r="AG2591" s="149"/>
      <c r="AH2591" s="149"/>
      <c r="AI2591" s="149"/>
      <c r="AJ2591" s="149"/>
      <c r="AK2591" s="149"/>
      <c r="AL2591" s="149"/>
      <c r="AM2591" s="149"/>
      <c r="AN2591" s="149"/>
      <c r="AO2591" s="128"/>
      <c r="AP2591" s="128"/>
      <c r="AQ2591" s="128"/>
      <c r="AR2591" s="128"/>
      <c r="AS2591" s="128"/>
      <c r="AT2591" s="128"/>
      <c r="AU2591" s="128"/>
      <c r="AV2591" s="128"/>
      <c r="AW2591" s="128"/>
      <c r="AX2591" s="128"/>
      <c r="AY2591" s="128"/>
      <c r="AZ2591" s="128"/>
      <c r="BA2591" s="128"/>
      <c r="BB2591" s="128"/>
      <c r="BC2591" s="128"/>
      <c r="BD2591" s="128"/>
      <c r="BE2591" s="128"/>
      <c r="BF2591" s="128"/>
      <c r="BG2591" s="128"/>
      <c r="BH2591" s="128"/>
      <c r="BI2591" s="128"/>
      <c r="BJ2591" s="128"/>
      <c r="BK2591" s="128"/>
      <c r="BL2591" s="128"/>
      <c r="BM2591" s="151"/>
      <c r="BN2591" s="128"/>
      <c r="BO2591" s="128"/>
      <c r="BP2591" s="128"/>
      <c r="BQ2591" s="128"/>
      <c r="BR2591" s="128"/>
      <c r="BS2591" s="128"/>
      <c r="BT2591" s="128"/>
      <c r="BU2591" s="128"/>
      <c r="BV2591" s="128"/>
      <c r="BW2591" s="128"/>
      <c r="BX2591" s="128"/>
      <c r="BY2591" s="128"/>
      <c r="BZ2591" s="128"/>
      <c r="CA2591" s="128"/>
      <c r="CB2591" s="128"/>
      <c r="CC2591" s="128"/>
      <c r="CD2591" s="128"/>
      <c r="CE2591" s="128"/>
      <c r="CF2591" s="128"/>
      <c r="CG2591" s="128"/>
      <c r="CI2591" s="128"/>
      <c r="CJ2591" s="128"/>
      <c r="CK2591" s="128"/>
      <c r="CL2591" s="128"/>
      <c r="CM2591" s="128"/>
      <c r="CN2591" s="128"/>
      <c r="CO2591" s="128"/>
      <c r="CP2591" s="128"/>
      <c r="CQ2591" s="128"/>
      <c r="CR2591" s="128"/>
      <c r="CS2591" s="128"/>
      <c r="CT2591" s="128"/>
      <c r="CU2591" s="128"/>
      <c r="CV2591" s="128"/>
      <c r="CW2591" s="128"/>
      <c r="CX2591" s="128"/>
      <c r="CY2591" s="128"/>
      <c r="CZ2591" s="165"/>
    </row>
    <row r="2592" spans="1:104">
      <c r="A2592" s="149"/>
      <c r="B2592" s="149"/>
      <c r="C2592" s="150"/>
      <c r="D2592" s="102"/>
      <c r="E2592" s="149"/>
      <c r="F2592" s="149"/>
      <c r="G2592" s="149"/>
      <c r="H2592" s="149"/>
      <c r="I2592" s="149"/>
      <c r="J2592" s="149"/>
      <c r="K2592" s="149"/>
      <c r="L2592" s="149"/>
      <c r="M2592" s="149"/>
      <c r="N2592" s="149"/>
      <c r="O2592" s="149"/>
      <c r="P2592" s="149"/>
      <c r="Q2592" s="149"/>
      <c r="R2592" s="149"/>
      <c r="S2592" s="149"/>
      <c r="T2592" s="149"/>
      <c r="U2592" s="149"/>
      <c r="V2592" s="149"/>
      <c r="W2592" s="149"/>
      <c r="X2592" s="149"/>
      <c r="Y2592" s="149"/>
      <c r="Z2592" s="149"/>
      <c r="AA2592" s="149"/>
      <c r="AB2592" s="149"/>
      <c r="AC2592" s="149"/>
      <c r="AD2592" s="149"/>
      <c r="AE2592" s="149"/>
      <c r="AF2592" s="149"/>
      <c r="AG2592" s="149"/>
      <c r="AH2592" s="149"/>
      <c r="AI2592" s="149"/>
      <c r="AJ2592" s="149"/>
      <c r="AK2592" s="149"/>
      <c r="AL2592" s="149"/>
      <c r="AM2592" s="149"/>
      <c r="AN2592" s="149"/>
      <c r="AO2592" s="128"/>
      <c r="AP2592" s="128"/>
      <c r="AQ2592" s="128"/>
      <c r="AR2592" s="128"/>
      <c r="AS2592" s="128"/>
      <c r="AT2592" s="128"/>
      <c r="AU2592" s="128"/>
      <c r="AV2592" s="128"/>
      <c r="AW2592" s="128"/>
      <c r="AX2592" s="128"/>
      <c r="AY2592" s="128"/>
      <c r="AZ2592" s="128"/>
      <c r="BA2592" s="128"/>
      <c r="BB2592" s="128"/>
      <c r="BC2592" s="128"/>
      <c r="BD2592" s="128"/>
      <c r="BE2592" s="128"/>
      <c r="BF2592" s="128"/>
      <c r="BG2592" s="128"/>
      <c r="BH2592" s="128"/>
      <c r="BI2592" s="128"/>
      <c r="BJ2592" s="128"/>
      <c r="BK2592" s="128"/>
      <c r="BL2592" s="128"/>
      <c r="BM2592" s="151"/>
      <c r="BN2592" s="128"/>
      <c r="BO2592" s="128"/>
      <c r="BP2592" s="128"/>
      <c r="BQ2592" s="128"/>
      <c r="BR2592" s="128"/>
      <c r="BS2592" s="128"/>
      <c r="BT2592" s="128"/>
      <c r="BU2592" s="128"/>
      <c r="BV2592" s="128"/>
      <c r="BW2592" s="128"/>
      <c r="BX2592" s="128"/>
      <c r="BY2592" s="128"/>
      <c r="BZ2592" s="128"/>
      <c r="CA2592" s="128"/>
      <c r="CB2592" s="128"/>
      <c r="CC2592" s="128"/>
      <c r="CD2592" s="128"/>
      <c r="CE2592" s="128"/>
      <c r="CF2592" s="128"/>
      <c r="CG2592" s="128"/>
      <c r="CI2592" s="128"/>
      <c r="CJ2592" s="128"/>
      <c r="CK2592" s="128"/>
      <c r="CL2592" s="128"/>
      <c r="CM2592" s="128"/>
      <c r="CN2592" s="128"/>
      <c r="CO2592" s="128"/>
      <c r="CP2592" s="128"/>
      <c r="CQ2592" s="128"/>
      <c r="CR2592" s="128"/>
      <c r="CS2592" s="128"/>
      <c r="CT2592" s="128"/>
      <c r="CU2592" s="128"/>
      <c r="CV2592" s="128"/>
      <c r="CW2592" s="128"/>
      <c r="CX2592" s="128"/>
      <c r="CY2592" s="128"/>
      <c r="CZ2592" s="165"/>
    </row>
    <row r="2593" spans="1:104">
      <c r="A2593" s="149"/>
      <c r="B2593" s="149"/>
      <c r="C2593" s="150"/>
      <c r="D2593" s="102"/>
      <c r="E2593" s="149"/>
      <c r="F2593" s="149"/>
      <c r="G2593" s="149"/>
      <c r="H2593" s="149"/>
      <c r="I2593" s="149"/>
      <c r="J2593" s="149"/>
      <c r="K2593" s="149"/>
      <c r="L2593" s="149"/>
      <c r="M2593" s="149"/>
      <c r="N2593" s="149"/>
      <c r="O2593" s="149"/>
      <c r="P2593" s="149"/>
      <c r="Q2593" s="149"/>
      <c r="R2593" s="149"/>
      <c r="S2593" s="149"/>
      <c r="T2593" s="149"/>
      <c r="U2593" s="149"/>
      <c r="V2593" s="149"/>
      <c r="W2593" s="149"/>
      <c r="X2593" s="149"/>
      <c r="Y2593" s="149"/>
      <c r="Z2593" s="149"/>
      <c r="AA2593" s="149"/>
      <c r="AB2593" s="149"/>
      <c r="AC2593" s="149"/>
      <c r="AD2593" s="149"/>
      <c r="AE2593" s="149"/>
      <c r="AF2593" s="149"/>
      <c r="AG2593" s="149"/>
      <c r="AH2593" s="149"/>
      <c r="AI2593" s="149"/>
      <c r="AJ2593" s="149"/>
      <c r="AK2593" s="149"/>
      <c r="AL2593" s="149"/>
      <c r="AM2593" s="149"/>
      <c r="AN2593" s="149"/>
      <c r="AO2593" s="128"/>
      <c r="AP2593" s="128"/>
      <c r="AQ2593" s="128"/>
      <c r="AR2593" s="128"/>
      <c r="AS2593" s="128"/>
      <c r="AT2593" s="128"/>
      <c r="AU2593" s="128"/>
      <c r="AV2593" s="128"/>
      <c r="AW2593" s="128"/>
      <c r="AX2593" s="128"/>
      <c r="AY2593" s="128"/>
      <c r="AZ2593" s="128"/>
      <c r="BA2593" s="128"/>
      <c r="BB2593" s="128"/>
      <c r="BC2593" s="128"/>
      <c r="BD2593" s="128"/>
      <c r="BE2593" s="128"/>
      <c r="BF2593" s="128"/>
      <c r="BG2593" s="128"/>
      <c r="BH2593" s="128"/>
      <c r="BI2593" s="128"/>
      <c r="BJ2593" s="128"/>
      <c r="BK2593" s="128"/>
      <c r="BL2593" s="128"/>
      <c r="BM2593" s="151"/>
      <c r="BN2593" s="128"/>
      <c r="BO2593" s="128"/>
      <c r="BP2593" s="128"/>
      <c r="BQ2593" s="128"/>
      <c r="BR2593" s="128"/>
      <c r="BS2593" s="128"/>
      <c r="BT2593" s="128"/>
      <c r="BU2593" s="128"/>
      <c r="BV2593" s="128"/>
      <c r="BW2593" s="128"/>
      <c r="BX2593" s="128"/>
      <c r="BY2593" s="128"/>
      <c r="BZ2593" s="128"/>
      <c r="CA2593" s="128"/>
      <c r="CB2593" s="128"/>
      <c r="CC2593" s="128"/>
      <c r="CD2593" s="128"/>
      <c r="CE2593" s="128"/>
      <c r="CF2593" s="128"/>
      <c r="CG2593" s="128"/>
      <c r="CI2593" s="128"/>
      <c r="CJ2593" s="128"/>
      <c r="CK2593" s="128"/>
      <c r="CL2593" s="128"/>
      <c r="CM2593" s="128"/>
      <c r="CN2593" s="128"/>
      <c r="CO2593" s="128"/>
      <c r="CP2593" s="128"/>
      <c r="CQ2593" s="128"/>
      <c r="CR2593" s="128"/>
      <c r="CS2593" s="128"/>
      <c r="CT2593" s="128"/>
      <c r="CU2593" s="128"/>
      <c r="CV2593" s="128"/>
      <c r="CW2593" s="128"/>
      <c r="CX2593" s="128"/>
      <c r="CY2593" s="128"/>
      <c r="CZ2593" s="165"/>
    </row>
    <row r="2594" spans="1:104">
      <c r="A2594" s="149"/>
      <c r="B2594" s="149"/>
      <c r="C2594" s="150"/>
      <c r="D2594" s="102"/>
      <c r="E2594" s="149"/>
      <c r="F2594" s="149"/>
      <c r="G2594" s="149"/>
      <c r="H2594" s="149"/>
      <c r="I2594" s="149"/>
      <c r="J2594" s="149"/>
      <c r="K2594" s="149"/>
      <c r="L2594" s="149"/>
      <c r="M2594" s="149"/>
      <c r="N2594" s="149"/>
      <c r="O2594" s="149"/>
      <c r="P2594" s="149"/>
      <c r="Q2594" s="149"/>
      <c r="R2594" s="149"/>
      <c r="S2594" s="149"/>
      <c r="T2594" s="149"/>
      <c r="U2594" s="149"/>
      <c r="V2594" s="149"/>
      <c r="W2594" s="149"/>
      <c r="X2594" s="149"/>
      <c r="Y2594" s="149"/>
      <c r="Z2594" s="149"/>
      <c r="AA2594" s="149"/>
      <c r="AB2594" s="149"/>
      <c r="AC2594" s="149"/>
      <c r="AD2594" s="149"/>
      <c r="AE2594" s="149"/>
      <c r="AF2594" s="149"/>
      <c r="AG2594" s="149"/>
      <c r="AH2594" s="149"/>
      <c r="AI2594" s="149"/>
      <c r="AJ2594" s="149"/>
      <c r="AK2594" s="149"/>
      <c r="AL2594" s="149"/>
      <c r="AM2594" s="149"/>
      <c r="AN2594" s="149"/>
      <c r="AO2594" s="128"/>
      <c r="AP2594" s="128"/>
      <c r="AQ2594" s="128"/>
      <c r="AR2594" s="128"/>
      <c r="AS2594" s="128"/>
      <c r="AT2594" s="128"/>
      <c r="AU2594" s="128"/>
      <c r="AV2594" s="128"/>
      <c r="AW2594" s="128"/>
      <c r="AX2594" s="128"/>
      <c r="AY2594" s="128"/>
      <c r="AZ2594" s="128"/>
      <c r="BA2594" s="128"/>
      <c r="BB2594" s="128"/>
      <c r="BC2594" s="128"/>
      <c r="BD2594" s="128"/>
      <c r="BE2594" s="128"/>
      <c r="BF2594" s="128"/>
      <c r="BG2594" s="128"/>
      <c r="BH2594" s="128"/>
      <c r="BI2594" s="128"/>
      <c r="BJ2594" s="128"/>
      <c r="BK2594" s="128"/>
      <c r="BL2594" s="128"/>
      <c r="BM2594" s="151"/>
      <c r="BN2594" s="128"/>
      <c r="BO2594" s="128"/>
      <c r="BP2594" s="128"/>
      <c r="BQ2594" s="128"/>
      <c r="BR2594" s="128"/>
      <c r="BS2594" s="128"/>
      <c r="BT2594" s="128"/>
      <c r="BU2594" s="128"/>
      <c r="BV2594" s="128"/>
      <c r="BW2594" s="128"/>
      <c r="BX2594" s="128"/>
      <c r="BY2594" s="128"/>
      <c r="BZ2594" s="128"/>
      <c r="CA2594" s="128"/>
      <c r="CB2594" s="128"/>
      <c r="CC2594" s="128"/>
      <c r="CD2594" s="128"/>
      <c r="CE2594" s="128"/>
      <c r="CF2594" s="128"/>
      <c r="CG2594" s="128"/>
      <c r="CI2594" s="128"/>
      <c r="CJ2594" s="128"/>
      <c r="CK2594" s="128"/>
      <c r="CL2594" s="128"/>
      <c r="CM2594" s="128"/>
      <c r="CN2594" s="128"/>
      <c r="CO2594" s="128"/>
      <c r="CP2594" s="128"/>
      <c r="CQ2594" s="128"/>
      <c r="CR2594" s="128"/>
      <c r="CS2594" s="128"/>
      <c r="CT2594" s="128"/>
      <c r="CU2594" s="128"/>
      <c r="CV2594" s="128"/>
      <c r="CW2594" s="128"/>
      <c r="CX2594" s="128"/>
      <c r="CY2594" s="128"/>
      <c r="CZ2594" s="165"/>
    </row>
    <row r="2595" spans="1:104">
      <c r="A2595" s="149"/>
      <c r="B2595" s="149"/>
      <c r="C2595" s="150"/>
      <c r="D2595" s="102"/>
      <c r="E2595" s="149"/>
      <c r="F2595" s="149"/>
      <c r="G2595" s="149"/>
      <c r="H2595" s="149"/>
      <c r="I2595" s="149"/>
      <c r="J2595" s="149"/>
      <c r="K2595" s="149"/>
      <c r="L2595" s="149"/>
      <c r="M2595" s="149"/>
      <c r="N2595" s="149"/>
      <c r="O2595" s="149"/>
      <c r="P2595" s="149"/>
      <c r="Q2595" s="149"/>
      <c r="R2595" s="149"/>
      <c r="S2595" s="149"/>
      <c r="T2595" s="149"/>
      <c r="U2595" s="149"/>
      <c r="V2595" s="149"/>
      <c r="W2595" s="149"/>
      <c r="X2595" s="149"/>
      <c r="Y2595" s="149"/>
      <c r="Z2595" s="149"/>
      <c r="AA2595" s="149"/>
      <c r="AB2595" s="149"/>
      <c r="AC2595" s="149"/>
      <c r="AD2595" s="149"/>
      <c r="AE2595" s="149"/>
      <c r="AF2595" s="149"/>
      <c r="AG2595" s="149"/>
      <c r="AH2595" s="149"/>
      <c r="AI2595" s="149"/>
      <c r="AJ2595" s="149"/>
      <c r="AK2595" s="149"/>
      <c r="AL2595" s="149"/>
      <c r="AM2595" s="149"/>
      <c r="AN2595" s="149"/>
      <c r="AO2595" s="128"/>
      <c r="AP2595" s="128"/>
      <c r="AQ2595" s="128"/>
      <c r="AR2595" s="128"/>
      <c r="AS2595" s="128"/>
      <c r="AT2595" s="128"/>
      <c r="AU2595" s="128"/>
      <c r="AV2595" s="128"/>
      <c r="AW2595" s="128"/>
      <c r="AX2595" s="128"/>
      <c r="AY2595" s="128"/>
      <c r="AZ2595" s="128"/>
      <c r="BA2595" s="128"/>
      <c r="BB2595" s="128"/>
      <c r="BC2595" s="128"/>
      <c r="BD2595" s="128"/>
      <c r="BE2595" s="128"/>
      <c r="BF2595" s="128"/>
      <c r="BG2595" s="128"/>
      <c r="BH2595" s="128"/>
      <c r="BI2595" s="128"/>
      <c r="BJ2595" s="128"/>
      <c r="BK2595" s="128"/>
      <c r="BL2595" s="128"/>
      <c r="BM2595" s="151"/>
      <c r="BN2595" s="128"/>
      <c r="BO2595" s="128"/>
      <c r="BP2595" s="128"/>
      <c r="BQ2595" s="128"/>
      <c r="BR2595" s="128"/>
      <c r="BS2595" s="128"/>
      <c r="BT2595" s="128"/>
      <c r="BU2595" s="128"/>
      <c r="BV2595" s="128"/>
      <c r="BW2595" s="128"/>
      <c r="BX2595" s="128"/>
      <c r="BY2595" s="128"/>
      <c r="BZ2595" s="128"/>
      <c r="CA2595" s="128"/>
      <c r="CB2595" s="128"/>
      <c r="CC2595" s="128"/>
      <c r="CD2595" s="128"/>
      <c r="CE2595" s="128"/>
      <c r="CF2595" s="128"/>
      <c r="CG2595" s="128"/>
      <c r="CI2595" s="128"/>
      <c r="CJ2595" s="128"/>
      <c r="CK2595" s="128"/>
      <c r="CL2595" s="128"/>
      <c r="CM2595" s="128"/>
      <c r="CN2595" s="128"/>
      <c r="CO2595" s="128"/>
      <c r="CP2595" s="128"/>
      <c r="CQ2595" s="128"/>
      <c r="CR2595" s="128"/>
      <c r="CS2595" s="128"/>
      <c r="CT2595" s="128"/>
      <c r="CU2595" s="128"/>
      <c r="CV2595" s="128"/>
      <c r="CW2595" s="128"/>
      <c r="CX2595" s="128"/>
      <c r="CY2595" s="128"/>
      <c r="CZ2595" s="165"/>
    </row>
    <row r="2596" spans="1:104">
      <c r="A2596" s="149"/>
      <c r="B2596" s="149"/>
      <c r="C2596" s="150"/>
      <c r="D2596" s="102"/>
      <c r="E2596" s="149"/>
      <c r="F2596" s="149"/>
      <c r="G2596" s="149"/>
      <c r="H2596" s="149"/>
      <c r="I2596" s="149"/>
      <c r="J2596" s="149"/>
      <c r="K2596" s="149"/>
      <c r="L2596" s="149"/>
      <c r="M2596" s="149"/>
      <c r="N2596" s="149"/>
      <c r="O2596" s="149"/>
      <c r="P2596" s="149"/>
      <c r="Q2596" s="149"/>
      <c r="R2596" s="149"/>
      <c r="S2596" s="149"/>
      <c r="T2596" s="149"/>
      <c r="U2596" s="149"/>
      <c r="V2596" s="149"/>
      <c r="W2596" s="149"/>
      <c r="X2596" s="149"/>
      <c r="Y2596" s="149"/>
      <c r="Z2596" s="149"/>
      <c r="AA2596" s="149"/>
      <c r="AB2596" s="149"/>
      <c r="AC2596" s="149"/>
      <c r="AD2596" s="149"/>
      <c r="AE2596" s="149"/>
      <c r="AF2596" s="149"/>
      <c r="AG2596" s="149"/>
      <c r="AH2596" s="149"/>
      <c r="AI2596" s="149"/>
      <c r="AJ2596" s="149"/>
      <c r="AK2596" s="149"/>
      <c r="AL2596" s="149"/>
      <c r="AM2596" s="149"/>
      <c r="AN2596" s="149"/>
      <c r="AO2596" s="128"/>
      <c r="AP2596" s="128"/>
      <c r="AQ2596" s="128"/>
      <c r="AR2596" s="128"/>
      <c r="AS2596" s="128"/>
      <c r="AT2596" s="128"/>
      <c r="AU2596" s="128"/>
      <c r="AV2596" s="128"/>
      <c r="AW2596" s="128"/>
      <c r="AX2596" s="128"/>
      <c r="AY2596" s="128"/>
      <c r="AZ2596" s="128"/>
      <c r="BA2596" s="128"/>
      <c r="BB2596" s="128"/>
      <c r="BC2596" s="128"/>
      <c r="BD2596" s="128"/>
      <c r="BE2596" s="128"/>
      <c r="BF2596" s="128"/>
      <c r="BG2596" s="128"/>
      <c r="BH2596" s="128"/>
      <c r="BI2596" s="128"/>
      <c r="BJ2596" s="128"/>
      <c r="BK2596" s="128"/>
      <c r="BL2596" s="128"/>
      <c r="BM2596" s="151"/>
      <c r="BN2596" s="128"/>
      <c r="BO2596" s="128"/>
      <c r="BP2596" s="128"/>
      <c r="BQ2596" s="128"/>
      <c r="BR2596" s="128"/>
      <c r="BS2596" s="128"/>
      <c r="BT2596" s="128"/>
      <c r="BU2596" s="128"/>
      <c r="BV2596" s="128"/>
      <c r="BW2596" s="128"/>
      <c r="BX2596" s="128"/>
      <c r="BY2596" s="128"/>
      <c r="BZ2596" s="128"/>
      <c r="CA2596" s="128"/>
      <c r="CB2596" s="128"/>
      <c r="CC2596" s="128"/>
      <c r="CD2596" s="128"/>
      <c r="CE2596" s="128"/>
      <c r="CF2596" s="128"/>
      <c r="CG2596" s="128"/>
      <c r="CI2596" s="128"/>
      <c r="CJ2596" s="128"/>
      <c r="CK2596" s="128"/>
      <c r="CL2596" s="128"/>
      <c r="CM2596" s="128"/>
      <c r="CN2596" s="128"/>
      <c r="CO2596" s="128"/>
      <c r="CP2596" s="128"/>
      <c r="CQ2596" s="128"/>
      <c r="CR2596" s="128"/>
      <c r="CS2596" s="128"/>
      <c r="CT2596" s="128"/>
      <c r="CU2596" s="128"/>
      <c r="CV2596" s="128"/>
      <c r="CW2596" s="128"/>
      <c r="CX2596" s="128"/>
      <c r="CY2596" s="128"/>
      <c r="CZ2596" s="165"/>
    </row>
    <row r="2597" spans="1:104">
      <c r="A2597" s="149"/>
      <c r="B2597" s="149"/>
      <c r="C2597" s="150"/>
      <c r="D2597" s="102"/>
      <c r="E2597" s="149"/>
      <c r="F2597" s="149"/>
      <c r="G2597" s="149"/>
      <c r="H2597" s="149"/>
      <c r="I2597" s="149"/>
      <c r="J2597" s="149"/>
      <c r="K2597" s="149"/>
      <c r="L2597" s="149"/>
      <c r="M2597" s="149"/>
      <c r="N2597" s="149"/>
      <c r="O2597" s="149"/>
      <c r="P2597" s="149"/>
      <c r="Q2597" s="149"/>
      <c r="R2597" s="149"/>
      <c r="S2597" s="149"/>
      <c r="T2597" s="149"/>
      <c r="U2597" s="149"/>
      <c r="V2597" s="149"/>
      <c r="W2597" s="149"/>
      <c r="X2597" s="149"/>
      <c r="Y2597" s="149"/>
      <c r="Z2597" s="149"/>
      <c r="AA2597" s="149"/>
      <c r="AB2597" s="149"/>
      <c r="AC2597" s="149"/>
      <c r="AD2597" s="149"/>
      <c r="AE2597" s="149"/>
      <c r="AF2597" s="149"/>
      <c r="AG2597" s="149"/>
      <c r="AH2597" s="149"/>
      <c r="AI2597" s="149"/>
      <c r="AJ2597" s="149"/>
      <c r="AK2597" s="149"/>
      <c r="AL2597" s="149"/>
      <c r="AM2597" s="149"/>
      <c r="AN2597" s="149"/>
      <c r="AO2597" s="128"/>
      <c r="AP2597" s="128"/>
      <c r="AQ2597" s="128"/>
      <c r="AR2597" s="128"/>
      <c r="AS2597" s="128"/>
      <c r="AT2597" s="128"/>
      <c r="AU2597" s="128"/>
      <c r="AV2597" s="128"/>
      <c r="AW2597" s="128"/>
      <c r="AX2597" s="128"/>
      <c r="AY2597" s="128"/>
      <c r="AZ2597" s="128"/>
      <c r="BA2597" s="128"/>
      <c r="BB2597" s="128"/>
      <c r="BC2597" s="128"/>
      <c r="BD2597" s="128"/>
      <c r="BE2597" s="128"/>
      <c r="BF2597" s="128"/>
      <c r="BG2597" s="128"/>
      <c r="BH2597" s="128"/>
      <c r="BI2597" s="128"/>
      <c r="BJ2597" s="128"/>
      <c r="BK2597" s="128"/>
      <c r="BL2597" s="128"/>
      <c r="BM2597" s="151"/>
      <c r="BN2597" s="128"/>
      <c r="BO2597" s="128"/>
      <c r="BP2597" s="128"/>
      <c r="BQ2597" s="128"/>
      <c r="BR2597" s="128"/>
      <c r="BS2597" s="128"/>
      <c r="BT2597" s="128"/>
      <c r="BU2597" s="128"/>
      <c r="BV2597" s="128"/>
      <c r="BW2597" s="128"/>
      <c r="BX2597" s="128"/>
      <c r="BY2597" s="128"/>
      <c r="BZ2597" s="128"/>
      <c r="CA2597" s="128"/>
      <c r="CB2597" s="128"/>
      <c r="CC2597" s="128"/>
      <c r="CD2597" s="128"/>
      <c r="CE2597" s="128"/>
      <c r="CF2597" s="128"/>
      <c r="CG2597" s="128"/>
      <c r="CI2597" s="128"/>
      <c r="CJ2597" s="128"/>
      <c r="CK2597" s="128"/>
      <c r="CL2597" s="128"/>
      <c r="CM2597" s="128"/>
      <c r="CN2597" s="128"/>
      <c r="CO2597" s="128"/>
      <c r="CP2597" s="128"/>
      <c r="CQ2597" s="128"/>
      <c r="CR2597" s="128"/>
      <c r="CS2597" s="128"/>
      <c r="CT2597" s="128"/>
      <c r="CU2597" s="128"/>
      <c r="CV2597" s="128"/>
      <c r="CW2597" s="128"/>
      <c r="CX2597" s="128"/>
      <c r="CY2597" s="128"/>
      <c r="CZ2597" s="165"/>
    </row>
    <row r="2598" spans="1:104">
      <c r="A2598" s="149"/>
      <c r="B2598" s="149"/>
      <c r="C2598" s="150"/>
      <c r="D2598" s="102"/>
      <c r="E2598" s="149"/>
      <c r="F2598" s="149"/>
      <c r="G2598" s="149"/>
      <c r="H2598" s="149"/>
      <c r="I2598" s="149"/>
      <c r="J2598" s="149"/>
      <c r="K2598" s="149"/>
      <c r="L2598" s="149"/>
      <c r="M2598" s="149"/>
      <c r="N2598" s="149"/>
      <c r="O2598" s="149"/>
      <c r="P2598" s="149"/>
      <c r="Q2598" s="149"/>
      <c r="R2598" s="149"/>
      <c r="S2598" s="149"/>
      <c r="T2598" s="149"/>
      <c r="U2598" s="149"/>
      <c r="V2598" s="149"/>
      <c r="W2598" s="149"/>
      <c r="X2598" s="149"/>
      <c r="Y2598" s="149"/>
      <c r="Z2598" s="149"/>
      <c r="AA2598" s="149"/>
      <c r="AB2598" s="149"/>
      <c r="AC2598" s="149"/>
      <c r="AD2598" s="149"/>
      <c r="AE2598" s="149"/>
      <c r="AF2598" s="149"/>
      <c r="AG2598" s="149"/>
      <c r="AH2598" s="149"/>
      <c r="AI2598" s="149"/>
      <c r="AJ2598" s="149"/>
      <c r="AK2598" s="149"/>
      <c r="AL2598" s="149"/>
      <c r="AM2598" s="149"/>
      <c r="AN2598" s="149"/>
      <c r="AO2598" s="128"/>
      <c r="AP2598" s="128"/>
      <c r="AQ2598" s="128"/>
      <c r="AR2598" s="128"/>
      <c r="AS2598" s="128"/>
      <c r="AT2598" s="128"/>
      <c r="AU2598" s="128"/>
      <c r="AV2598" s="128"/>
      <c r="AW2598" s="128"/>
      <c r="AX2598" s="128"/>
      <c r="AY2598" s="128"/>
      <c r="AZ2598" s="128"/>
      <c r="BA2598" s="128"/>
      <c r="BB2598" s="128"/>
      <c r="BC2598" s="128"/>
      <c r="BD2598" s="128"/>
      <c r="BE2598" s="128"/>
      <c r="BF2598" s="128"/>
      <c r="BG2598" s="128"/>
      <c r="BH2598" s="128"/>
      <c r="BI2598" s="128"/>
      <c r="BJ2598" s="128"/>
      <c r="BK2598" s="128"/>
      <c r="BL2598" s="128"/>
      <c r="BM2598" s="151"/>
      <c r="BN2598" s="128"/>
      <c r="BO2598" s="128"/>
      <c r="BP2598" s="128"/>
      <c r="BQ2598" s="128"/>
      <c r="BR2598" s="128"/>
      <c r="BS2598" s="128"/>
      <c r="BT2598" s="128"/>
      <c r="BU2598" s="128"/>
      <c r="BV2598" s="128"/>
      <c r="BW2598" s="128"/>
      <c r="BX2598" s="128"/>
      <c r="BY2598" s="128"/>
      <c r="BZ2598" s="128"/>
      <c r="CA2598" s="128"/>
      <c r="CB2598" s="128"/>
      <c r="CC2598" s="128"/>
      <c r="CD2598" s="128"/>
      <c r="CE2598" s="128"/>
      <c r="CF2598" s="128"/>
      <c r="CG2598" s="128"/>
      <c r="CI2598" s="128"/>
      <c r="CJ2598" s="128"/>
      <c r="CK2598" s="128"/>
      <c r="CL2598" s="128"/>
      <c r="CM2598" s="128"/>
      <c r="CN2598" s="128"/>
      <c r="CO2598" s="128"/>
      <c r="CP2598" s="128"/>
      <c r="CQ2598" s="128"/>
      <c r="CR2598" s="128"/>
      <c r="CS2598" s="128"/>
      <c r="CT2598" s="128"/>
      <c r="CU2598" s="128"/>
      <c r="CV2598" s="128"/>
      <c r="CW2598" s="128"/>
      <c r="CX2598" s="128"/>
      <c r="CY2598" s="128"/>
      <c r="CZ2598" s="165"/>
    </row>
    <row r="2599" spans="1:104">
      <c r="A2599" s="149"/>
      <c r="B2599" s="149"/>
      <c r="C2599" s="150"/>
      <c r="D2599" s="102"/>
      <c r="E2599" s="149"/>
      <c r="F2599" s="149"/>
      <c r="G2599" s="149"/>
      <c r="H2599" s="149"/>
      <c r="I2599" s="149"/>
      <c r="J2599" s="149"/>
      <c r="K2599" s="149"/>
      <c r="L2599" s="149"/>
      <c r="M2599" s="149"/>
      <c r="N2599" s="149"/>
      <c r="O2599" s="149"/>
      <c r="P2599" s="149"/>
      <c r="Q2599" s="149"/>
      <c r="R2599" s="149"/>
      <c r="S2599" s="149"/>
      <c r="T2599" s="149"/>
      <c r="U2599" s="149"/>
      <c r="V2599" s="149"/>
      <c r="W2599" s="149"/>
      <c r="X2599" s="149"/>
      <c r="Y2599" s="149"/>
      <c r="Z2599" s="149"/>
      <c r="AA2599" s="149"/>
      <c r="AB2599" s="149"/>
      <c r="AC2599" s="149"/>
      <c r="AD2599" s="149"/>
      <c r="AE2599" s="149"/>
      <c r="AF2599" s="149"/>
      <c r="AG2599" s="149"/>
      <c r="AH2599" s="149"/>
      <c r="AI2599" s="149"/>
      <c r="AJ2599" s="149"/>
      <c r="AK2599" s="149"/>
      <c r="AL2599" s="149"/>
      <c r="AM2599" s="149"/>
      <c r="AN2599" s="149"/>
      <c r="AO2599" s="128"/>
      <c r="AP2599" s="128"/>
      <c r="AQ2599" s="128"/>
      <c r="AR2599" s="128"/>
      <c r="AS2599" s="128"/>
      <c r="AT2599" s="128"/>
      <c r="AU2599" s="128"/>
      <c r="AV2599" s="128"/>
      <c r="AW2599" s="128"/>
      <c r="AX2599" s="128"/>
      <c r="AY2599" s="128"/>
      <c r="AZ2599" s="128"/>
      <c r="BA2599" s="128"/>
      <c r="BB2599" s="128"/>
      <c r="BC2599" s="128"/>
      <c r="BD2599" s="128"/>
      <c r="BE2599" s="128"/>
      <c r="BF2599" s="128"/>
      <c r="BG2599" s="128"/>
      <c r="BH2599" s="128"/>
      <c r="BI2599" s="128"/>
      <c r="BJ2599" s="128"/>
      <c r="BK2599" s="128"/>
      <c r="BL2599" s="128"/>
      <c r="BM2599" s="151"/>
      <c r="BN2599" s="128"/>
      <c r="BO2599" s="128"/>
      <c r="BP2599" s="128"/>
      <c r="BQ2599" s="128"/>
      <c r="BR2599" s="128"/>
      <c r="BS2599" s="128"/>
      <c r="BT2599" s="128"/>
      <c r="BU2599" s="128"/>
      <c r="BV2599" s="128"/>
      <c r="BW2599" s="128"/>
      <c r="BX2599" s="128"/>
      <c r="BY2599" s="128"/>
      <c r="BZ2599" s="128"/>
      <c r="CA2599" s="128"/>
      <c r="CB2599" s="128"/>
      <c r="CC2599" s="128"/>
      <c r="CD2599" s="128"/>
      <c r="CE2599" s="128"/>
      <c r="CF2599" s="128"/>
      <c r="CG2599" s="128"/>
      <c r="CI2599" s="128"/>
      <c r="CJ2599" s="128"/>
      <c r="CK2599" s="128"/>
      <c r="CL2599" s="128"/>
      <c r="CM2599" s="128"/>
      <c r="CN2599" s="128"/>
      <c r="CO2599" s="128"/>
      <c r="CP2599" s="128"/>
      <c r="CQ2599" s="128"/>
      <c r="CR2599" s="128"/>
      <c r="CS2599" s="128"/>
      <c r="CT2599" s="128"/>
      <c r="CU2599" s="128"/>
      <c r="CV2599" s="128"/>
      <c r="CW2599" s="128"/>
      <c r="CX2599" s="128"/>
      <c r="CY2599" s="128"/>
      <c r="CZ2599" s="165"/>
    </row>
    <row r="2600" spans="1:104">
      <c r="A2600" s="149"/>
      <c r="B2600" s="149"/>
      <c r="C2600" s="150"/>
      <c r="D2600" s="102"/>
      <c r="E2600" s="149"/>
      <c r="F2600" s="149"/>
      <c r="G2600" s="149"/>
      <c r="H2600" s="149"/>
      <c r="I2600" s="149"/>
      <c r="J2600" s="149"/>
      <c r="K2600" s="149"/>
      <c r="L2600" s="149"/>
      <c r="M2600" s="149"/>
      <c r="N2600" s="149"/>
      <c r="O2600" s="149"/>
      <c r="P2600" s="149"/>
      <c r="Q2600" s="149"/>
      <c r="R2600" s="149"/>
      <c r="S2600" s="149"/>
      <c r="T2600" s="149"/>
      <c r="U2600" s="149"/>
      <c r="V2600" s="149"/>
      <c r="W2600" s="149"/>
      <c r="X2600" s="149"/>
      <c r="Y2600" s="149"/>
      <c r="Z2600" s="149"/>
      <c r="AA2600" s="149"/>
      <c r="AB2600" s="149"/>
      <c r="AC2600" s="149"/>
      <c r="AD2600" s="149"/>
      <c r="AE2600" s="149"/>
      <c r="AF2600" s="149"/>
      <c r="AG2600" s="149"/>
      <c r="AH2600" s="149"/>
      <c r="AI2600" s="149"/>
      <c r="AJ2600" s="149"/>
      <c r="AK2600" s="149"/>
      <c r="AL2600" s="149"/>
      <c r="AM2600" s="149"/>
      <c r="AN2600" s="149"/>
      <c r="AO2600" s="128"/>
      <c r="AP2600" s="128"/>
      <c r="AQ2600" s="128"/>
      <c r="AR2600" s="128"/>
      <c r="AS2600" s="128"/>
      <c r="AT2600" s="128"/>
      <c r="AU2600" s="128"/>
      <c r="AV2600" s="128"/>
      <c r="AW2600" s="128"/>
      <c r="AX2600" s="128"/>
      <c r="AY2600" s="128"/>
      <c r="AZ2600" s="128"/>
      <c r="BA2600" s="128"/>
      <c r="BB2600" s="128"/>
      <c r="BC2600" s="128"/>
      <c r="BD2600" s="128"/>
      <c r="BE2600" s="128"/>
      <c r="BF2600" s="128"/>
      <c r="BG2600" s="128"/>
      <c r="BH2600" s="128"/>
      <c r="BI2600" s="128"/>
      <c r="BJ2600" s="128"/>
      <c r="BK2600" s="128"/>
      <c r="BL2600" s="128"/>
      <c r="BM2600" s="151"/>
      <c r="BN2600" s="128"/>
      <c r="BO2600" s="128"/>
      <c r="BP2600" s="128"/>
      <c r="BQ2600" s="128"/>
      <c r="BR2600" s="128"/>
      <c r="BS2600" s="128"/>
      <c r="BT2600" s="128"/>
      <c r="BU2600" s="128"/>
      <c r="BV2600" s="128"/>
      <c r="BW2600" s="128"/>
      <c r="BX2600" s="128"/>
      <c r="BY2600" s="128"/>
      <c r="BZ2600" s="128"/>
      <c r="CA2600" s="128"/>
      <c r="CB2600" s="128"/>
      <c r="CC2600" s="128"/>
      <c r="CD2600" s="128"/>
      <c r="CE2600" s="128"/>
      <c r="CF2600" s="128"/>
      <c r="CG2600" s="128"/>
      <c r="CI2600" s="128"/>
      <c r="CJ2600" s="128"/>
      <c r="CK2600" s="128"/>
      <c r="CL2600" s="128"/>
      <c r="CM2600" s="128"/>
      <c r="CN2600" s="128"/>
      <c r="CO2600" s="128"/>
      <c r="CP2600" s="128"/>
      <c r="CQ2600" s="128"/>
      <c r="CR2600" s="128"/>
      <c r="CS2600" s="128"/>
      <c r="CT2600" s="128"/>
      <c r="CU2600" s="128"/>
      <c r="CV2600" s="128"/>
      <c r="CW2600" s="128"/>
      <c r="CX2600" s="128"/>
      <c r="CY2600" s="128"/>
      <c r="CZ2600" s="165"/>
    </row>
    <row r="2601" spans="1:104">
      <c r="A2601" s="149"/>
      <c r="B2601" s="149"/>
      <c r="C2601" s="150"/>
      <c r="D2601" s="102"/>
      <c r="E2601" s="149"/>
      <c r="F2601" s="149"/>
      <c r="G2601" s="149"/>
      <c r="H2601" s="149"/>
      <c r="I2601" s="149"/>
      <c r="J2601" s="149"/>
      <c r="K2601" s="149"/>
      <c r="L2601" s="149"/>
      <c r="M2601" s="149"/>
      <c r="N2601" s="149"/>
      <c r="O2601" s="149"/>
      <c r="P2601" s="149"/>
      <c r="Q2601" s="149"/>
      <c r="R2601" s="149"/>
      <c r="S2601" s="149"/>
      <c r="T2601" s="149"/>
      <c r="U2601" s="149"/>
      <c r="V2601" s="149"/>
      <c r="W2601" s="149"/>
      <c r="X2601" s="149"/>
      <c r="Y2601" s="149"/>
      <c r="Z2601" s="149"/>
      <c r="AA2601" s="149"/>
      <c r="AB2601" s="149"/>
      <c r="AC2601" s="149"/>
      <c r="AD2601" s="149"/>
      <c r="AE2601" s="149"/>
      <c r="AF2601" s="149"/>
      <c r="AG2601" s="149"/>
      <c r="AH2601" s="149"/>
      <c r="AI2601" s="149"/>
      <c r="AJ2601" s="149"/>
      <c r="AK2601" s="149"/>
      <c r="AL2601" s="149"/>
      <c r="AM2601" s="149"/>
      <c r="AN2601" s="149"/>
      <c r="AO2601" s="128"/>
      <c r="AP2601" s="128"/>
      <c r="AQ2601" s="128"/>
      <c r="AR2601" s="128"/>
      <c r="AS2601" s="128"/>
      <c r="AT2601" s="128"/>
      <c r="AU2601" s="128"/>
      <c r="AV2601" s="128"/>
      <c r="AW2601" s="128"/>
      <c r="AX2601" s="128"/>
      <c r="AY2601" s="128"/>
      <c r="AZ2601" s="128"/>
      <c r="BA2601" s="128"/>
      <c r="BB2601" s="128"/>
      <c r="BC2601" s="128"/>
      <c r="BD2601" s="128"/>
      <c r="BE2601" s="128"/>
      <c r="BF2601" s="128"/>
      <c r="BG2601" s="128"/>
      <c r="BH2601" s="128"/>
      <c r="BI2601" s="128"/>
      <c r="BJ2601" s="128"/>
      <c r="BK2601" s="128"/>
      <c r="BL2601" s="128"/>
      <c r="BM2601" s="151"/>
      <c r="BN2601" s="128"/>
      <c r="BO2601" s="128"/>
      <c r="BP2601" s="128"/>
      <c r="BQ2601" s="128"/>
      <c r="BR2601" s="128"/>
      <c r="BS2601" s="128"/>
      <c r="BT2601" s="128"/>
      <c r="BU2601" s="128"/>
      <c r="BV2601" s="128"/>
      <c r="BW2601" s="128"/>
      <c r="BX2601" s="128"/>
      <c r="BY2601" s="128"/>
      <c r="BZ2601" s="128"/>
      <c r="CA2601" s="128"/>
      <c r="CB2601" s="128"/>
      <c r="CC2601" s="128"/>
      <c r="CD2601" s="128"/>
      <c r="CE2601" s="128"/>
      <c r="CF2601" s="128"/>
      <c r="CG2601" s="128"/>
      <c r="CI2601" s="128"/>
      <c r="CJ2601" s="128"/>
      <c r="CK2601" s="128"/>
      <c r="CL2601" s="128"/>
      <c r="CM2601" s="128"/>
      <c r="CN2601" s="128"/>
      <c r="CO2601" s="128"/>
      <c r="CP2601" s="128"/>
      <c r="CQ2601" s="128"/>
      <c r="CR2601" s="128"/>
      <c r="CS2601" s="128"/>
      <c r="CT2601" s="128"/>
      <c r="CU2601" s="128"/>
      <c r="CV2601" s="128"/>
      <c r="CW2601" s="128"/>
      <c r="CX2601" s="128"/>
      <c r="CY2601" s="128"/>
      <c r="CZ2601" s="165"/>
    </row>
    <row r="2602" spans="1:104">
      <c r="A2602" s="149"/>
      <c r="B2602" s="149"/>
      <c r="C2602" s="150"/>
      <c r="D2602" s="102"/>
      <c r="E2602" s="149"/>
      <c r="F2602" s="149"/>
      <c r="G2602" s="149"/>
      <c r="H2602" s="149"/>
      <c r="I2602" s="149"/>
      <c r="J2602" s="149"/>
      <c r="K2602" s="149"/>
      <c r="L2602" s="149"/>
      <c r="M2602" s="149"/>
      <c r="N2602" s="149"/>
      <c r="O2602" s="149"/>
      <c r="P2602" s="149"/>
      <c r="Q2602" s="149"/>
      <c r="R2602" s="149"/>
      <c r="S2602" s="149"/>
      <c r="T2602" s="149"/>
      <c r="U2602" s="149"/>
      <c r="V2602" s="149"/>
      <c r="W2602" s="149"/>
      <c r="X2602" s="149"/>
      <c r="Y2602" s="149"/>
      <c r="Z2602" s="149"/>
      <c r="AA2602" s="149"/>
      <c r="AB2602" s="149"/>
      <c r="AC2602" s="149"/>
      <c r="AD2602" s="149"/>
      <c r="AE2602" s="149"/>
      <c r="AF2602" s="149"/>
      <c r="AG2602" s="149"/>
      <c r="AH2602" s="149"/>
      <c r="AI2602" s="149"/>
      <c r="AJ2602" s="149"/>
      <c r="AK2602" s="149"/>
      <c r="AL2602" s="149"/>
      <c r="AM2602" s="149"/>
      <c r="AN2602" s="149"/>
      <c r="AO2602" s="128"/>
      <c r="AP2602" s="128"/>
      <c r="AQ2602" s="128"/>
      <c r="AR2602" s="128"/>
      <c r="AS2602" s="128"/>
      <c r="AT2602" s="128"/>
      <c r="AU2602" s="128"/>
      <c r="AV2602" s="128"/>
      <c r="AW2602" s="128"/>
      <c r="AX2602" s="128"/>
      <c r="AY2602" s="128"/>
      <c r="AZ2602" s="128"/>
      <c r="BA2602" s="128"/>
      <c r="BB2602" s="128"/>
      <c r="BC2602" s="128"/>
      <c r="BD2602" s="128"/>
      <c r="BE2602" s="128"/>
      <c r="BF2602" s="128"/>
      <c r="BG2602" s="128"/>
      <c r="BH2602" s="128"/>
      <c r="BI2602" s="128"/>
      <c r="BJ2602" s="128"/>
      <c r="BK2602" s="128"/>
      <c r="BL2602" s="128"/>
      <c r="BM2602" s="151"/>
      <c r="BN2602" s="128"/>
      <c r="BO2602" s="128"/>
      <c r="BP2602" s="128"/>
      <c r="BQ2602" s="128"/>
      <c r="BR2602" s="128"/>
      <c r="BS2602" s="128"/>
      <c r="BT2602" s="128"/>
      <c r="BU2602" s="128"/>
      <c r="BV2602" s="128"/>
      <c r="BW2602" s="128"/>
      <c r="BX2602" s="128"/>
      <c r="BY2602" s="128"/>
      <c r="BZ2602" s="128"/>
      <c r="CA2602" s="128"/>
      <c r="CB2602" s="128"/>
      <c r="CC2602" s="128"/>
      <c r="CD2602" s="128"/>
      <c r="CE2602" s="128"/>
      <c r="CF2602" s="128"/>
      <c r="CG2602" s="128"/>
      <c r="CI2602" s="128"/>
      <c r="CJ2602" s="128"/>
      <c r="CK2602" s="128"/>
      <c r="CL2602" s="128"/>
      <c r="CM2602" s="128"/>
      <c r="CN2602" s="128"/>
      <c r="CO2602" s="128"/>
      <c r="CP2602" s="128"/>
      <c r="CQ2602" s="128"/>
      <c r="CR2602" s="128"/>
      <c r="CS2602" s="128"/>
      <c r="CT2602" s="128"/>
      <c r="CU2602" s="128"/>
      <c r="CV2602" s="128"/>
      <c r="CW2602" s="128"/>
      <c r="CX2602" s="128"/>
      <c r="CY2602" s="128"/>
      <c r="CZ2602" s="165"/>
    </row>
    <row r="2603" spans="1:104">
      <c r="A2603" s="149"/>
      <c r="B2603" s="149"/>
      <c r="C2603" s="150"/>
      <c r="D2603" s="102"/>
      <c r="E2603" s="149"/>
      <c r="F2603" s="149"/>
      <c r="G2603" s="149"/>
      <c r="H2603" s="149"/>
      <c r="I2603" s="149"/>
      <c r="J2603" s="149"/>
      <c r="K2603" s="149"/>
      <c r="L2603" s="149"/>
      <c r="M2603" s="149"/>
      <c r="N2603" s="149"/>
      <c r="O2603" s="149"/>
      <c r="P2603" s="149"/>
      <c r="Q2603" s="149"/>
      <c r="R2603" s="149"/>
      <c r="S2603" s="149"/>
      <c r="T2603" s="149"/>
      <c r="U2603" s="149"/>
      <c r="V2603" s="149"/>
      <c r="W2603" s="149"/>
      <c r="X2603" s="149"/>
      <c r="Y2603" s="149"/>
      <c r="Z2603" s="149"/>
      <c r="AA2603" s="149"/>
      <c r="AB2603" s="149"/>
      <c r="AC2603" s="149"/>
      <c r="AD2603" s="149"/>
      <c r="AE2603" s="149"/>
      <c r="AF2603" s="149"/>
      <c r="AG2603" s="149"/>
      <c r="AH2603" s="149"/>
      <c r="AI2603" s="149"/>
      <c r="AJ2603" s="149"/>
      <c r="AK2603" s="149"/>
      <c r="AL2603" s="149"/>
      <c r="AM2603" s="149"/>
      <c r="AN2603" s="149"/>
      <c r="AO2603" s="128"/>
      <c r="AP2603" s="128"/>
      <c r="AQ2603" s="128"/>
      <c r="AR2603" s="128"/>
      <c r="AS2603" s="128"/>
      <c r="AT2603" s="128"/>
      <c r="AU2603" s="128"/>
      <c r="AV2603" s="128"/>
      <c r="AW2603" s="128"/>
      <c r="AX2603" s="128"/>
      <c r="AY2603" s="128"/>
      <c r="AZ2603" s="128"/>
      <c r="BA2603" s="128"/>
      <c r="BB2603" s="128"/>
      <c r="BC2603" s="128"/>
      <c r="BD2603" s="128"/>
      <c r="BE2603" s="128"/>
      <c r="BF2603" s="128"/>
      <c r="BG2603" s="128"/>
      <c r="BH2603" s="128"/>
      <c r="BI2603" s="128"/>
      <c r="BJ2603" s="128"/>
      <c r="BK2603" s="128"/>
      <c r="BL2603" s="128"/>
      <c r="BM2603" s="151"/>
      <c r="BN2603" s="128"/>
      <c r="BO2603" s="128"/>
      <c r="BP2603" s="128"/>
      <c r="BQ2603" s="128"/>
      <c r="BR2603" s="128"/>
      <c r="BS2603" s="128"/>
      <c r="BT2603" s="128"/>
      <c r="BU2603" s="128"/>
      <c r="BV2603" s="128"/>
      <c r="BW2603" s="128"/>
      <c r="BX2603" s="128"/>
      <c r="BY2603" s="128"/>
      <c r="BZ2603" s="128"/>
      <c r="CA2603" s="128"/>
      <c r="CB2603" s="128"/>
      <c r="CC2603" s="128"/>
      <c r="CD2603" s="128"/>
      <c r="CE2603" s="128"/>
      <c r="CF2603" s="128"/>
      <c r="CG2603" s="128"/>
      <c r="CI2603" s="128"/>
      <c r="CJ2603" s="128"/>
      <c r="CK2603" s="128"/>
      <c r="CL2603" s="128"/>
      <c r="CM2603" s="128"/>
      <c r="CN2603" s="128"/>
      <c r="CO2603" s="128"/>
      <c r="CP2603" s="128"/>
      <c r="CQ2603" s="128"/>
      <c r="CR2603" s="128"/>
      <c r="CS2603" s="128"/>
      <c r="CT2603" s="128"/>
      <c r="CU2603" s="128"/>
      <c r="CV2603" s="128"/>
      <c r="CW2603" s="128"/>
      <c r="CX2603" s="128"/>
      <c r="CY2603" s="128"/>
      <c r="CZ2603" s="165"/>
    </row>
    <row r="2604" spans="1:104">
      <c r="A2604" s="149"/>
      <c r="B2604" s="149"/>
      <c r="C2604" s="150"/>
      <c r="D2604" s="102"/>
      <c r="E2604" s="149"/>
      <c r="F2604" s="149"/>
      <c r="G2604" s="149"/>
      <c r="H2604" s="149"/>
      <c r="I2604" s="149"/>
      <c r="J2604" s="149"/>
      <c r="K2604" s="149"/>
      <c r="L2604" s="149"/>
      <c r="M2604" s="149"/>
      <c r="N2604" s="149"/>
      <c r="O2604" s="149"/>
      <c r="P2604" s="149"/>
      <c r="Q2604" s="149"/>
      <c r="R2604" s="149"/>
      <c r="S2604" s="149"/>
      <c r="T2604" s="149"/>
      <c r="U2604" s="149"/>
      <c r="V2604" s="149"/>
      <c r="W2604" s="149"/>
      <c r="X2604" s="149"/>
      <c r="Y2604" s="149"/>
      <c r="Z2604" s="149"/>
      <c r="AA2604" s="149"/>
      <c r="AB2604" s="149"/>
      <c r="AC2604" s="149"/>
      <c r="AD2604" s="149"/>
      <c r="AE2604" s="149"/>
      <c r="AF2604" s="149"/>
      <c r="AG2604" s="149"/>
      <c r="AH2604" s="149"/>
      <c r="AI2604" s="149"/>
      <c r="AJ2604" s="149"/>
      <c r="AK2604" s="149"/>
      <c r="AL2604" s="149"/>
      <c r="AM2604" s="149"/>
      <c r="AN2604" s="149"/>
      <c r="AO2604" s="128"/>
      <c r="AP2604" s="128"/>
      <c r="AQ2604" s="128"/>
      <c r="AR2604" s="128"/>
      <c r="AS2604" s="128"/>
      <c r="AT2604" s="128"/>
      <c r="AU2604" s="128"/>
      <c r="AV2604" s="128"/>
      <c r="AW2604" s="128"/>
      <c r="AX2604" s="128"/>
      <c r="AY2604" s="128"/>
      <c r="AZ2604" s="128"/>
      <c r="BA2604" s="128"/>
      <c r="BB2604" s="128"/>
      <c r="BC2604" s="128"/>
      <c r="BD2604" s="128"/>
      <c r="BE2604" s="128"/>
      <c r="BF2604" s="128"/>
      <c r="BG2604" s="128"/>
      <c r="BH2604" s="128"/>
      <c r="BI2604" s="128"/>
      <c r="BJ2604" s="128"/>
      <c r="BK2604" s="128"/>
      <c r="BL2604" s="128"/>
      <c r="BM2604" s="151"/>
      <c r="BN2604" s="128"/>
      <c r="BO2604" s="128"/>
      <c r="BP2604" s="128"/>
      <c r="BQ2604" s="128"/>
      <c r="BR2604" s="128"/>
      <c r="BS2604" s="128"/>
      <c r="BT2604" s="128"/>
      <c r="BU2604" s="128"/>
      <c r="BV2604" s="128"/>
      <c r="BW2604" s="128"/>
      <c r="BX2604" s="128"/>
      <c r="BY2604" s="128"/>
      <c r="BZ2604" s="128"/>
      <c r="CA2604" s="128"/>
      <c r="CB2604" s="128"/>
      <c r="CC2604" s="128"/>
      <c r="CD2604" s="128"/>
      <c r="CE2604" s="128"/>
      <c r="CF2604" s="128"/>
      <c r="CG2604" s="128"/>
      <c r="CI2604" s="128"/>
      <c r="CJ2604" s="128"/>
      <c r="CK2604" s="128"/>
      <c r="CL2604" s="128"/>
      <c r="CM2604" s="128"/>
      <c r="CN2604" s="128"/>
      <c r="CO2604" s="128"/>
      <c r="CP2604" s="128"/>
      <c r="CQ2604" s="128"/>
      <c r="CR2604" s="128"/>
      <c r="CS2604" s="128"/>
      <c r="CT2604" s="128"/>
      <c r="CU2604" s="128"/>
      <c r="CV2604" s="128"/>
      <c r="CW2604" s="128"/>
      <c r="CX2604" s="128"/>
      <c r="CY2604" s="128"/>
      <c r="CZ2604" s="165"/>
    </row>
    <row r="2605" spans="1:104">
      <c r="A2605" s="149"/>
      <c r="B2605" s="149"/>
      <c r="C2605" s="150"/>
      <c r="D2605" s="102"/>
      <c r="E2605" s="149"/>
      <c r="F2605" s="149"/>
      <c r="G2605" s="149"/>
      <c r="H2605" s="149"/>
      <c r="I2605" s="149"/>
      <c r="J2605" s="149"/>
      <c r="K2605" s="149"/>
      <c r="L2605" s="149"/>
      <c r="M2605" s="149"/>
      <c r="N2605" s="149"/>
      <c r="O2605" s="149"/>
      <c r="P2605" s="149"/>
      <c r="Q2605" s="149"/>
      <c r="R2605" s="149"/>
      <c r="S2605" s="149"/>
      <c r="T2605" s="149"/>
      <c r="U2605" s="149"/>
      <c r="V2605" s="149"/>
      <c r="W2605" s="149"/>
      <c r="X2605" s="149"/>
      <c r="Y2605" s="149"/>
      <c r="Z2605" s="149"/>
      <c r="AA2605" s="149"/>
      <c r="AB2605" s="149"/>
      <c r="AC2605" s="149"/>
      <c r="AD2605" s="149"/>
      <c r="AE2605" s="149"/>
      <c r="AF2605" s="149"/>
      <c r="AG2605" s="149"/>
      <c r="AH2605" s="149"/>
      <c r="AI2605" s="149"/>
      <c r="AJ2605" s="149"/>
      <c r="AK2605" s="149"/>
      <c r="AL2605" s="149"/>
      <c r="AM2605" s="149"/>
      <c r="AN2605" s="149"/>
      <c r="AO2605" s="128"/>
      <c r="AP2605" s="128"/>
      <c r="AQ2605" s="128"/>
      <c r="AR2605" s="128"/>
      <c r="AS2605" s="128"/>
      <c r="AT2605" s="128"/>
      <c r="AU2605" s="128"/>
      <c r="AV2605" s="128"/>
      <c r="AW2605" s="128"/>
      <c r="AX2605" s="128"/>
      <c r="AY2605" s="128"/>
      <c r="AZ2605" s="128"/>
      <c r="BA2605" s="128"/>
      <c r="BB2605" s="128"/>
      <c r="BC2605" s="128"/>
      <c r="BD2605" s="128"/>
      <c r="BE2605" s="128"/>
      <c r="BF2605" s="128"/>
      <c r="BG2605" s="128"/>
      <c r="BH2605" s="128"/>
      <c r="BI2605" s="128"/>
      <c r="BJ2605" s="128"/>
      <c r="BK2605" s="128"/>
      <c r="BL2605" s="128"/>
      <c r="BM2605" s="151"/>
      <c r="BN2605" s="128"/>
      <c r="BO2605" s="128"/>
      <c r="BP2605" s="128"/>
      <c r="BQ2605" s="128"/>
      <c r="BR2605" s="128"/>
      <c r="BS2605" s="128"/>
      <c r="BT2605" s="128"/>
      <c r="BU2605" s="128"/>
      <c r="BV2605" s="128"/>
      <c r="BW2605" s="128"/>
      <c r="BX2605" s="128"/>
      <c r="BY2605" s="128"/>
      <c r="BZ2605" s="128"/>
      <c r="CA2605" s="128"/>
      <c r="CB2605" s="128"/>
      <c r="CC2605" s="128"/>
      <c r="CD2605" s="128"/>
      <c r="CE2605" s="128"/>
      <c r="CF2605" s="128"/>
      <c r="CG2605" s="128"/>
      <c r="CI2605" s="128"/>
      <c r="CJ2605" s="128"/>
      <c r="CK2605" s="128"/>
      <c r="CL2605" s="128"/>
      <c r="CM2605" s="128"/>
      <c r="CN2605" s="128"/>
      <c r="CO2605" s="128"/>
      <c r="CP2605" s="128"/>
      <c r="CQ2605" s="128"/>
      <c r="CR2605" s="128"/>
      <c r="CS2605" s="128"/>
      <c r="CT2605" s="128"/>
      <c r="CU2605" s="128"/>
      <c r="CV2605" s="128"/>
      <c r="CW2605" s="128"/>
      <c r="CX2605" s="128"/>
      <c r="CY2605" s="128"/>
      <c r="CZ2605" s="165"/>
    </row>
    <row r="2606" spans="1:104">
      <c r="A2606" s="149"/>
      <c r="B2606" s="149"/>
      <c r="C2606" s="150"/>
      <c r="D2606" s="102"/>
      <c r="E2606" s="149"/>
      <c r="F2606" s="149"/>
      <c r="G2606" s="149"/>
      <c r="H2606" s="149"/>
      <c r="I2606" s="149"/>
      <c r="J2606" s="149"/>
      <c r="K2606" s="149"/>
      <c r="L2606" s="149"/>
      <c r="M2606" s="149"/>
      <c r="N2606" s="149"/>
      <c r="O2606" s="149"/>
      <c r="P2606" s="149"/>
      <c r="Q2606" s="149"/>
      <c r="R2606" s="149"/>
      <c r="S2606" s="149"/>
      <c r="T2606" s="149"/>
      <c r="U2606" s="149"/>
      <c r="V2606" s="149"/>
      <c r="W2606" s="149"/>
      <c r="X2606" s="149"/>
      <c r="Y2606" s="149"/>
      <c r="Z2606" s="149"/>
      <c r="AA2606" s="149"/>
      <c r="AB2606" s="149"/>
      <c r="AC2606" s="149"/>
      <c r="AD2606" s="149"/>
      <c r="AE2606" s="149"/>
      <c r="AF2606" s="149"/>
      <c r="AG2606" s="149"/>
      <c r="AH2606" s="149"/>
      <c r="AI2606" s="149"/>
      <c r="AJ2606" s="149"/>
      <c r="AK2606" s="149"/>
      <c r="AL2606" s="149"/>
      <c r="AM2606" s="149"/>
      <c r="AN2606" s="149"/>
      <c r="AO2606" s="128"/>
      <c r="AP2606" s="128"/>
      <c r="AQ2606" s="128"/>
      <c r="AR2606" s="128"/>
      <c r="AS2606" s="128"/>
      <c r="AT2606" s="128"/>
      <c r="AU2606" s="128"/>
      <c r="AV2606" s="128"/>
      <c r="AW2606" s="128"/>
      <c r="AX2606" s="128"/>
      <c r="AY2606" s="128"/>
      <c r="AZ2606" s="128"/>
      <c r="BA2606" s="128"/>
      <c r="BB2606" s="128"/>
      <c r="BC2606" s="128"/>
      <c r="BD2606" s="128"/>
      <c r="BE2606" s="128"/>
      <c r="BF2606" s="128"/>
      <c r="BG2606" s="128"/>
      <c r="BH2606" s="128"/>
      <c r="BI2606" s="128"/>
      <c r="BJ2606" s="128"/>
      <c r="BK2606" s="128"/>
      <c r="BL2606" s="128"/>
      <c r="BM2606" s="151"/>
      <c r="BN2606" s="128"/>
      <c r="BO2606" s="128"/>
      <c r="BP2606" s="128"/>
      <c r="BQ2606" s="128"/>
      <c r="BR2606" s="128"/>
      <c r="BS2606" s="128"/>
      <c r="BT2606" s="128"/>
      <c r="BU2606" s="128"/>
      <c r="BV2606" s="128"/>
      <c r="BW2606" s="128"/>
      <c r="BX2606" s="128"/>
      <c r="BY2606" s="128"/>
      <c r="BZ2606" s="128"/>
      <c r="CA2606" s="128"/>
      <c r="CB2606" s="128"/>
      <c r="CC2606" s="128"/>
      <c r="CD2606" s="128"/>
      <c r="CE2606" s="128"/>
      <c r="CF2606" s="128"/>
      <c r="CG2606" s="128"/>
      <c r="CI2606" s="128"/>
      <c r="CJ2606" s="128"/>
      <c r="CK2606" s="128"/>
      <c r="CL2606" s="128"/>
      <c r="CM2606" s="128"/>
      <c r="CN2606" s="128"/>
      <c r="CO2606" s="128"/>
      <c r="CP2606" s="128"/>
      <c r="CQ2606" s="128"/>
      <c r="CR2606" s="128"/>
      <c r="CS2606" s="128"/>
      <c r="CT2606" s="128"/>
      <c r="CU2606" s="128"/>
      <c r="CV2606" s="128"/>
      <c r="CW2606" s="128"/>
      <c r="CX2606" s="128"/>
      <c r="CY2606" s="128"/>
      <c r="CZ2606" s="165"/>
    </row>
    <row r="2607" spans="1:104">
      <c r="A2607" s="149"/>
      <c r="B2607" s="149"/>
      <c r="C2607" s="150"/>
      <c r="D2607" s="102"/>
      <c r="E2607" s="149"/>
      <c r="F2607" s="149"/>
      <c r="G2607" s="149"/>
      <c r="H2607" s="149"/>
      <c r="I2607" s="149"/>
      <c r="J2607" s="149"/>
      <c r="K2607" s="149"/>
      <c r="L2607" s="149"/>
      <c r="M2607" s="149"/>
      <c r="N2607" s="149"/>
      <c r="O2607" s="149"/>
      <c r="P2607" s="149"/>
      <c r="Q2607" s="149"/>
      <c r="R2607" s="149"/>
      <c r="S2607" s="149"/>
      <c r="T2607" s="149"/>
      <c r="U2607" s="149"/>
      <c r="V2607" s="149"/>
      <c r="W2607" s="149"/>
      <c r="X2607" s="149"/>
      <c r="Y2607" s="149"/>
      <c r="Z2607" s="149"/>
      <c r="AA2607" s="149"/>
      <c r="AB2607" s="149"/>
      <c r="AC2607" s="149"/>
      <c r="AD2607" s="149"/>
      <c r="AE2607" s="149"/>
      <c r="AF2607" s="149"/>
      <c r="AG2607" s="149"/>
      <c r="AH2607" s="149"/>
      <c r="AI2607" s="149"/>
      <c r="AJ2607" s="149"/>
      <c r="AK2607" s="149"/>
      <c r="AL2607" s="149"/>
      <c r="AM2607" s="149"/>
      <c r="AN2607" s="149"/>
      <c r="AO2607" s="128"/>
      <c r="AP2607" s="128"/>
      <c r="AQ2607" s="128"/>
      <c r="AR2607" s="128"/>
      <c r="AS2607" s="128"/>
      <c r="AT2607" s="128"/>
      <c r="AU2607" s="128"/>
      <c r="AV2607" s="128"/>
      <c r="AW2607" s="128"/>
      <c r="AX2607" s="128"/>
      <c r="AY2607" s="128"/>
      <c r="AZ2607" s="128"/>
      <c r="BA2607" s="128"/>
      <c r="BB2607" s="128"/>
      <c r="BC2607" s="128"/>
      <c r="BD2607" s="128"/>
      <c r="BE2607" s="128"/>
      <c r="BF2607" s="128"/>
      <c r="BG2607" s="128"/>
      <c r="BH2607" s="128"/>
      <c r="BI2607" s="128"/>
      <c r="BJ2607" s="128"/>
      <c r="BK2607" s="128"/>
      <c r="BL2607" s="128"/>
      <c r="BM2607" s="151"/>
      <c r="BN2607" s="128"/>
      <c r="BO2607" s="128"/>
      <c r="BP2607" s="128"/>
      <c r="BQ2607" s="128"/>
      <c r="BR2607" s="128"/>
      <c r="BS2607" s="128"/>
      <c r="BT2607" s="128"/>
      <c r="BU2607" s="128"/>
      <c r="BV2607" s="128"/>
      <c r="BW2607" s="128"/>
      <c r="BX2607" s="128"/>
      <c r="BY2607" s="128"/>
      <c r="BZ2607" s="128"/>
      <c r="CA2607" s="128"/>
      <c r="CB2607" s="128"/>
      <c r="CC2607" s="128"/>
      <c r="CD2607" s="128"/>
      <c r="CE2607" s="128"/>
      <c r="CF2607" s="128"/>
      <c r="CG2607" s="128"/>
      <c r="CI2607" s="128"/>
      <c r="CJ2607" s="128"/>
      <c r="CK2607" s="128"/>
      <c r="CL2607" s="128"/>
      <c r="CM2607" s="128"/>
      <c r="CN2607" s="128"/>
      <c r="CO2607" s="128"/>
      <c r="CP2607" s="128"/>
      <c r="CQ2607" s="128"/>
      <c r="CR2607" s="128"/>
      <c r="CS2607" s="128"/>
      <c r="CT2607" s="128"/>
      <c r="CU2607" s="128"/>
      <c r="CV2607" s="128"/>
      <c r="CW2607" s="128"/>
      <c r="CX2607" s="128"/>
      <c r="CY2607" s="128"/>
      <c r="CZ2607" s="165"/>
    </row>
    <row r="2608" spans="1:104">
      <c r="A2608" s="149"/>
      <c r="B2608" s="149"/>
      <c r="C2608" s="150"/>
      <c r="D2608" s="102"/>
      <c r="E2608" s="149"/>
      <c r="F2608" s="149"/>
      <c r="G2608" s="149"/>
      <c r="H2608" s="149"/>
      <c r="I2608" s="149"/>
      <c r="J2608" s="149"/>
      <c r="K2608" s="149"/>
      <c r="L2608" s="149"/>
      <c r="M2608" s="149"/>
      <c r="N2608" s="149"/>
      <c r="O2608" s="149"/>
      <c r="P2608" s="149"/>
      <c r="Q2608" s="149"/>
      <c r="R2608" s="149"/>
      <c r="S2608" s="149"/>
      <c r="T2608" s="149"/>
      <c r="U2608" s="149"/>
      <c r="V2608" s="149"/>
      <c r="W2608" s="149"/>
      <c r="X2608" s="149"/>
      <c r="Y2608" s="149"/>
      <c r="Z2608" s="149"/>
      <c r="AA2608" s="149"/>
      <c r="AB2608" s="149"/>
      <c r="AC2608" s="149"/>
      <c r="AD2608" s="149"/>
      <c r="AE2608" s="149"/>
      <c r="AF2608" s="149"/>
      <c r="AG2608" s="149"/>
      <c r="AH2608" s="149"/>
      <c r="AI2608" s="149"/>
      <c r="AJ2608" s="149"/>
      <c r="AK2608" s="149"/>
      <c r="AL2608" s="149"/>
      <c r="AM2608" s="149"/>
      <c r="AN2608" s="149"/>
      <c r="AO2608" s="128"/>
      <c r="AP2608" s="128"/>
      <c r="AQ2608" s="128"/>
      <c r="AR2608" s="128"/>
      <c r="AS2608" s="128"/>
      <c r="AT2608" s="128"/>
      <c r="AU2608" s="128"/>
      <c r="AV2608" s="128"/>
      <c r="AW2608" s="128"/>
      <c r="AX2608" s="128"/>
      <c r="AY2608" s="128"/>
      <c r="AZ2608" s="128"/>
      <c r="BA2608" s="128"/>
      <c r="BB2608" s="128"/>
      <c r="BC2608" s="128"/>
      <c r="BD2608" s="128"/>
      <c r="BE2608" s="128"/>
      <c r="BF2608" s="128"/>
      <c r="BG2608" s="128"/>
      <c r="BH2608" s="128"/>
      <c r="BI2608" s="128"/>
      <c r="BJ2608" s="128"/>
      <c r="BK2608" s="128"/>
      <c r="BL2608" s="128"/>
      <c r="BM2608" s="151"/>
      <c r="BN2608" s="128"/>
      <c r="BO2608" s="128"/>
      <c r="BP2608" s="128"/>
      <c r="BQ2608" s="128"/>
      <c r="BR2608" s="128"/>
      <c r="BS2608" s="128"/>
      <c r="BT2608" s="128"/>
      <c r="BU2608" s="128"/>
      <c r="BV2608" s="128"/>
      <c r="BW2608" s="128"/>
      <c r="BX2608" s="128"/>
      <c r="BY2608" s="128"/>
      <c r="BZ2608" s="128"/>
      <c r="CA2608" s="128"/>
      <c r="CB2608" s="128"/>
      <c r="CC2608" s="128"/>
      <c r="CD2608" s="128"/>
      <c r="CE2608" s="128"/>
      <c r="CF2608" s="128"/>
      <c r="CG2608" s="128"/>
      <c r="CI2608" s="128"/>
      <c r="CJ2608" s="128"/>
      <c r="CK2608" s="128"/>
      <c r="CL2608" s="128"/>
      <c r="CM2608" s="128"/>
      <c r="CN2608" s="128"/>
      <c r="CO2608" s="128"/>
      <c r="CP2608" s="128"/>
      <c r="CQ2608" s="128"/>
      <c r="CR2608" s="128"/>
      <c r="CS2608" s="128"/>
      <c r="CT2608" s="128"/>
      <c r="CU2608" s="128"/>
      <c r="CV2608" s="128"/>
      <c r="CW2608" s="128"/>
      <c r="CX2608" s="128"/>
      <c r="CY2608" s="128"/>
      <c r="CZ2608" s="165"/>
    </row>
    <row r="2609" spans="1:104">
      <c r="A2609" s="149"/>
      <c r="B2609" s="149"/>
      <c r="C2609" s="150"/>
      <c r="D2609" s="102"/>
      <c r="E2609" s="149"/>
      <c r="F2609" s="149"/>
      <c r="G2609" s="149"/>
      <c r="H2609" s="149"/>
      <c r="I2609" s="149"/>
      <c r="J2609" s="149"/>
      <c r="K2609" s="149"/>
      <c r="L2609" s="149"/>
      <c r="M2609" s="149"/>
      <c r="N2609" s="149"/>
      <c r="O2609" s="149"/>
      <c r="P2609" s="149"/>
      <c r="Q2609" s="149"/>
      <c r="R2609" s="149"/>
      <c r="S2609" s="149"/>
      <c r="T2609" s="149"/>
      <c r="U2609" s="149"/>
      <c r="V2609" s="149"/>
      <c r="W2609" s="149"/>
      <c r="X2609" s="149"/>
      <c r="Y2609" s="149"/>
      <c r="Z2609" s="149"/>
      <c r="AA2609" s="149"/>
      <c r="AB2609" s="149"/>
      <c r="AC2609" s="149"/>
      <c r="AD2609" s="149"/>
      <c r="AE2609" s="149"/>
      <c r="AF2609" s="149"/>
      <c r="AG2609" s="149"/>
      <c r="AH2609" s="149"/>
      <c r="AI2609" s="149"/>
      <c r="AJ2609" s="149"/>
      <c r="AK2609" s="149"/>
      <c r="AL2609" s="149"/>
      <c r="AM2609" s="149"/>
      <c r="AN2609" s="149"/>
      <c r="AO2609" s="128"/>
      <c r="AP2609" s="128"/>
      <c r="AQ2609" s="128"/>
      <c r="AR2609" s="128"/>
      <c r="AS2609" s="128"/>
      <c r="AT2609" s="128"/>
      <c r="AU2609" s="128"/>
      <c r="AV2609" s="128"/>
      <c r="AW2609" s="128"/>
      <c r="AX2609" s="128"/>
      <c r="AY2609" s="128"/>
      <c r="AZ2609" s="128"/>
      <c r="BA2609" s="128"/>
      <c r="BB2609" s="128"/>
      <c r="BC2609" s="128"/>
      <c r="BD2609" s="128"/>
      <c r="BE2609" s="128"/>
      <c r="BF2609" s="128"/>
      <c r="BG2609" s="128"/>
      <c r="BH2609" s="128"/>
      <c r="BI2609" s="128"/>
      <c r="BJ2609" s="128"/>
      <c r="BK2609" s="128"/>
      <c r="BL2609" s="128"/>
      <c r="BM2609" s="151"/>
      <c r="BN2609" s="128"/>
      <c r="BO2609" s="128"/>
      <c r="BP2609" s="128"/>
      <c r="BQ2609" s="128"/>
      <c r="BR2609" s="128"/>
      <c r="BS2609" s="128"/>
      <c r="BT2609" s="128"/>
      <c r="BU2609" s="128"/>
      <c r="BV2609" s="128"/>
      <c r="BW2609" s="128"/>
      <c r="BX2609" s="128"/>
      <c r="BY2609" s="128"/>
      <c r="BZ2609" s="128"/>
      <c r="CA2609" s="128"/>
      <c r="CB2609" s="128"/>
      <c r="CC2609" s="128"/>
      <c r="CD2609" s="128"/>
      <c r="CE2609" s="128"/>
      <c r="CF2609" s="128"/>
      <c r="CG2609" s="128"/>
      <c r="CI2609" s="128"/>
      <c r="CJ2609" s="128"/>
      <c r="CK2609" s="128"/>
      <c r="CL2609" s="128"/>
      <c r="CM2609" s="128"/>
      <c r="CN2609" s="128"/>
      <c r="CO2609" s="128"/>
      <c r="CP2609" s="128"/>
      <c r="CQ2609" s="128"/>
      <c r="CR2609" s="128"/>
      <c r="CS2609" s="128"/>
      <c r="CT2609" s="128"/>
      <c r="CU2609" s="128"/>
      <c r="CV2609" s="128"/>
      <c r="CW2609" s="128"/>
      <c r="CX2609" s="128"/>
      <c r="CY2609" s="128"/>
      <c r="CZ2609" s="165"/>
    </row>
    <row r="2610" spans="1:104">
      <c r="A2610" s="149"/>
      <c r="B2610" s="149"/>
      <c r="C2610" s="150"/>
      <c r="D2610" s="102"/>
      <c r="E2610" s="149"/>
      <c r="F2610" s="149"/>
      <c r="G2610" s="149"/>
      <c r="H2610" s="149"/>
      <c r="I2610" s="149"/>
      <c r="J2610" s="149"/>
      <c r="K2610" s="149"/>
      <c r="L2610" s="149"/>
      <c r="M2610" s="149"/>
      <c r="N2610" s="149"/>
      <c r="O2610" s="149"/>
      <c r="P2610" s="149"/>
      <c r="Q2610" s="149"/>
      <c r="R2610" s="149"/>
      <c r="S2610" s="149"/>
      <c r="T2610" s="149"/>
      <c r="U2610" s="149"/>
      <c r="V2610" s="149"/>
      <c r="W2610" s="149"/>
      <c r="X2610" s="149"/>
      <c r="Y2610" s="149"/>
      <c r="Z2610" s="149"/>
      <c r="AA2610" s="149"/>
      <c r="AB2610" s="149"/>
      <c r="AC2610" s="149"/>
      <c r="AD2610" s="149"/>
      <c r="AE2610" s="149"/>
      <c r="AF2610" s="149"/>
      <c r="AG2610" s="149"/>
      <c r="AH2610" s="149"/>
      <c r="AI2610" s="149"/>
      <c r="AJ2610" s="149"/>
      <c r="AK2610" s="149"/>
      <c r="AL2610" s="149"/>
      <c r="AM2610" s="149"/>
      <c r="AN2610" s="149"/>
      <c r="AO2610" s="128"/>
      <c r="AP2610" s="128"/>
      <c r="AQ2610" s="128"/>
      <c r="AR2610" s="128"/>
      <c r="AS2610" s="128"/>
      <c r="AT2610" s="128"/>
      <c r="AU2610" s="128"/>
      <c r="AV2610" s="128"/>
      <c r="AW2610" s="128"/>
      <c r="AX2610" s="128"/>
      <c r="AY2610" s="128"/>
      <c r="AZ2610" s="128"/>
      <c r="BA2610" s="128"/>
      <c r="BB2610" s="128"/>
      <c r="BC2610" s="128"/>
      <c r="BD2610" s="128"/>
      <c r="BE2610" s="128"/>
      <c r="BF2610" s="128"/>
      <c r="BG2610" s="128"/>
      <c r="BH2610" s="128"/>
      <c r="BI2610" s="128"/>
      <c r="BJ2610" s="128"/>
      <c r="BK2610" s="128"/>
      <c r="BL2610" s="128"/>
      <c r="BM2610" s="151"/>
      <c r="BN2610" s="128"/>
      <c r="BO2610" s="128"/>
      <c r="BP2610" s="128"/>
      <c r="BQ2610" s="128"/>
      <c r="BR2610" s="128"/>
      <c r="BS2610" s="128"/>
      <c r="BT2610" s="128"/>
      <c r="BU2610" s="128"/>
      <c r="BV2610" s="128"/>
      <c r="BW2610" s="128"/>
      <c r="BX2610" s="128"/>
      <c r="BY2610" s="128"/>
      <c r="BZ2610" s="128"/>
      <c r="CA2610" s="128"/>
      <c r="CB2610" s="128"/>
      <c r="CC2610" s="128"/>
      <c r="CD2610" s="128"/>
      <c r="CE2610" s="128"/>
      <c r="CF2610" s="128"/>
      <c r="CG2610" s="128"/>
      <c r="CI2610" s="128"/>
      <c r="CJ2610" s="128"/>
      <c r="CK2610" s="128"/>
      <c r="CL2610" s="128"/>
      <c r="CM2610" s="128"/>
      <c r="CN2610" s="128"/>
      <c r="CO2610" s="128"/>
      <c r="CP2610" s="128"/>
      <c r="CQ2610" s="128"/>
      <c r="CR2610" s="128"/>
      <c r="CS2610" s="128"/>
      <c r="CT2610" s="128"/>
      <c r="CU2610" s="128"/>
      <c r="CV2610" s="128"/>
      <c r="CW2610" s="128"/>
      <c r="CX2610" s="128"/>
      <c r="CY2610" s="128"/>
      <c r="CZ2610" s="165"/>
    </row>
    <row r="2611" spans="1:104">
      <c r="A2611" s="149"/>
      <c r="B2611" s="149"/>
      <c r="C2611" s="150"/>
      <c r="D2611" s="102"/>
      <c r="E2611" s="149"/>
      <c r="F2611" s="149"/>
      <c r="G2611" s="149"/>
      <c r="H2611" s="149"/>
      <c r="I2611" s="149"/>
      <c r="J2611" s="149"/>
      <c r="K2611" s="149"/>
      <c r="L2611" s="149"/>
      <c r="M2611" s="149"/>
      <c r="N2611" s="149"/>
      <c r="O2611" s="149"/>
      <c r="P2611" s="149"/>
      <c r="Q2611" s="149"/>
      <c r="R2611" s="149"/>
      <c r="S2611" s="149"/>
      <c r="T2611" s="149"/>
      <c r="U2611" s="149"/>
      <c r="V2611" s="149"/>
      <c r="W2611" s="149"/>
      <c r="X2611" s="149"/>
      <c r="Y2611" s="149"/>
      <c r="Z2611" s="149"/>
      <c r="AA2611" s="149"/>
      <c r="AB2611" s="149"/>
      <c r="AC2611" s="149"/>
      <c r="AD2611" s="149"/>
      <c r="AE2611" s="149"/>
      <c r="AF2611" s="149"/>
      <c r="AG2611" s="149"/>
      <c r="AH2611" s="149"/>
      <c r="AI2611" s="149"/>
      <c r="AJ2611" s="149"/>
      <c r="AK2611" s="149"/>
      <c r="AL2611" s="149"/>
      <c r="AM2611" s="149"/>
      <c r="AN2611" s="149"/>
      <c r="AO2611" s="128"/>
      <c r="AP2611" s="128"/>
      <c r="AQ2611" s="128"/>
      <c r="AR2611" s="128"/>
      <c r="AS2611" s="128"/>
      <c r="AT2611" s="128"/>
      <c r="AU2611" s="128"/>
      <c r="AV2611" s="128"/>
      <c r="AW2611" s="128"/>
      <c r="AX2611" s="128"/>
      <c r="AY2611" s="128"/>
      <c r="AZ2611" s="128"/>
      <c r="BA2611" s="128"/>
      <c r="BB2611" s="128"/>
      <c r="BC2611" s="128"/>
      <c r="BD2611" s="128"/>
      <c r="BE2611" s="128"/>
      <c r="BF2611" s="128"/>
      <c r="BG2611" s="128"/>
      <c r="BH2611" s="128"/>
      <c r="BI2611" s="128"/>
      <c r="BJ2611" s="128"/>
      <c r="BK2611" s="128"/>
      <c r="BL2611" s="128"/>
      <c r="BM2611" s="151"/>
      <c r="BN2611" s="128"/>
      <c r="BO2611" s="128"/>
      <c r="BP2611" s="128"/>
      <c r="BQ2611" s="128"/>
      <c r="BR2611" s="128"/>
      <c r="BS2611" s="128"/>
      <c r="BT2611" s="128"/>
      <c r="BU2611" s="128"/>
      <c r="BV2611" s="128"/>
      <c r="BW2611" s="128"/>
      <c r="BX2611" s="128"/>
      <c r="BY2611" s="128"/>
      <c r="BZ2611" s="128"/>
      <c r="CA2611" s="128"/>
      <c r="CB2611" s="128"/>
      <c r="CC2611" s="128"/>
      <c r="CD2611" s="128"/>
      <c r="CE2611" s="128"/>
      <c r="CF2611" s="128"/>
      <c r="CG2611" s="128"/>
      <c r="CI2611" s="128"/>
      <c r="CJ2611" s="128"/>
      <c r="CK2611" s="128"/>
      <c r="CL2611" s="128"/>
      <c r="CM2611" s="128"/>
      <c r="CN2611" s="128"/>
      <c r="CO2611" s="128"/>
      <c r="CP2611" s="128"/>
      <c r="CQ2611" s="128"/>
      <c r="CR2611" s="128"/>
      <c r="CS2611" s="128"/>
      <c r="CT2611" s="128"/>
      <c r="CU2611" s="128"/>
      <c r="CV2611" s="128"/>
      <c r="CW2611" s="128"/>
      <c r="CX2611" s="128"/>
      <c r="CY2611" s="128"/>
      <c r="CZ2611" s="165"/>
    </row>
    <row r="2612" spans="1:104">
      <c r="A2612" s="149"/>
      <c r="B2612" s="149"/>
      <c r="C2612" s="150"/>
      <c r="D2612" s="102"/>
      <c r="E2612" s="149"/>
      <c r="F2612" s="149"/>
      <c r="G2612" s="149"/>
      <c r="H2612" s="149"/>
      <c r="I2612" s="149"/>
      <c r="J2612" s="149"/>
      <c r="K2612" s="149"/>
      <c r="L2612" s="149"/>
      <c r="M2612" s="149"/>
      <c r="N2612" s="149"/>
      <c r="O2612" s="149"/>
      <c r="P2612" s="149"/>
      <c r="Q2612" s="149"/>
      <c r="R2612" s="149"/>
      <c r="S2612" s="149"/>
      <c r="T2612" s="149"/>
      <c r="U2612" s="149"/>
      <c r="V2612" s="149"/>
      <c r="W2612" s="149"/>
      <c r="X2612" s="149"/>
      <c r="Y2612" s="149"/>
      <c r="Z2612" s="149"/>
      <c r="AA2612" s="149"/>
      <c r="AB2612" s="149"/>
      <c r="AC2612" s="149"/>
      <c r="AD2612" s="149"/>
      <c r="AE2612" s="149"/>
      <c r="AF2612" s="149"/>
      <c r="AG2612" s="149"/>
      <c r="AH2612" s="149"/>
      <c r="AI2612" s="149"/>
      <c r="AJ2612" s="149"/>
      <c r="AK2612" s="149"/>
      <c r="AL2612" s="149"/>
      <c r="AM2612" s="149"/>
      <c r="AN2612" s="149"/>
      <c r="AO2612" s="128"/>
      <c r="AP2612" s="128"/>
      <c r="AQ2612" s="128"/>
      <c r="AR2612" s="128"/>
      <c r="AS2612" s="128"/>
      <c r="AT2612" s="128"/>
      <c r="AU2612" s="128"/>
      <c r="AV2612" s="128"/>
      <c r="AW2612" s="128"/>
      <c r="AX2612" s="128"/>
      <c r="AY2612" s="128"/>
      <c r="AZ2612" s="128"/>
      <c r="BA2612" s="128"/>
      <c r="BB2612" s="128"/>
      <c r="BC2612" s="128"/>
      <c r="BD2612" s="128"/>
      <c r="BE2612" s="128"/>
      <c r="BF2612" s="128"/>
      <c r="BG2612" s="128"/>
      <c r="BH2612" s="128"/>
      <c r="BI2612" s="128"/>
      <c r="BJ2612" s="128"/>
      <c r="BK2612" s="128"/>
      <c r="BL2612" s="128"/>
      <c r="BM2612" s="151"/>
      <c r="BN2612" s="128"/>
      <c r="BO2612" s="128"/>
      <c r="BP2612" s="128"/>
      <c r="BQ2612" s="128"/>
      <c r="BR2612" s="128"/>
      <c r="BS2612" s="128"/>
      <c r="BT2612" s="128"/>
      <c r="BU2612" s="128"/>
      <c r="BV2612" s="128"/>
      <c r="BW2612" s="128"/>
      <c r="BX2612" s="128"/>
      <c r="BY2612" s="128"/>
      <c r="BZ2612" s="128"/>
      <c r="CA2612" s="128"/>
      <c r="CB2612" s="128"/>
      <c r="CC2612" s="128"/>
      <c r="CD2612" s="128"/>
      <c r="CE2612" s="128"/>
      <c r="CF2612" s="128"/>
      <c r="CG2612" s="128"/>
      <c r="CI2612" s="128"/>
      <c r="CJ2612" s="128"/>
      <c r="CK2612" s="128"/>
      <c r="CL2612" s="128"/>
      <c r="CM2612" s="128"/>
      <c r="CN2612" s="128"/>
      <c r="CO2612" s="128"/>
      <c r="CP2612" s="128"/>
      <c r="CQ2612" s="128"/>
      <c r="CR2612" s="128"/>
      <c r="CS2612" s="128"/>
      <c r="CT2612" s="128"/>
      <c r="CU2612" s="128"/>
      <c r="CV2612" s="128"/>
      <c r="CW2612" s="128"/>
      <c r="CX2612" s="128"/>
      <c r="CY2612" s="128"/>
      <c r="CZ2612" s="165"/>
    </row>
    <row r="2613" spans="1:104">
      <c r="A2613" s="149"/>
      <c r="B2613" s="149"/>
      <c r="C2613" s="150"/>
      <c r="D2613" s="102"/>
      <c r="E2613" s="149"/>
      <c r="F2613" s="149"/>
      <c r="G2613" s="149"/>
      <c r="H2613" s="149"/>
      <c r="I2613" s="149"/>
      <c r="J2613" s="149"/>
      <c r="K2613" s="149"/>
      <c r="L2613" s="149"/>
      <c r="M2613" s="149"/>
      <c r="N2613" s="149"/>
      <c r="O2613" s="149"/>
      <c r="P2613" s="149"/>
      <c r="Q2613" s="149"/>
      <c r="R2613" s="149"/>
      <c r="S2613" s="149"/>
      <c r="T2613" s="149"/>
      <c r="U2613" s="149"/>
      <c r="V2613" s="149"/>
      <c r="W2613" s="149"/>
      <c r="X2613" s="149"/>
      <c r="Y2613" s="149"/>
      <c r="Z2613" s="149"/>
      <c r="AA2613" s="149"/>
      <c r="AB2613" s="149"/>
      <c r="AC2613" s="149"/>
      <c r="AD2613" s="149"/>
      <c r="AE2613" s="149"/>
      <c r="AF2613" s="149"/>
      <c r="AG2613" s="149"/>
      <c r="AH2613" s="149"/>
      <c r="AI2613" s="149"/>
      <c r="AJ2613" s="149"/>
      <c r="AK2613" s="149"/>
      <c r="AL2613" s="149"/>
      <c r="AM2613" s="149"/>
      <c r="AN2613" s="149"/>
      <c r="AO2613" s="128"/>
      <c r="AP2613" s="128"/>
      <c r="AQ2613" s="128"/>
      <c r="AR2613" s="128"/>
      <c r="AS2613" s="128"/>
      <c r="AT2613" s="128"/>
      <c r="AU2613" s="128"/>
      <c r="AV2613" s="128"/>
      <c r="AW2613" s="128"/>
      <c r="AX2613" s="128"/>
      <c r="AY2613" s="128"/>
      <c r="AZ2613" s="128"/>
      <c r="BA2613" s="128"/>
      <c r="BB2613" s="128"/>
      <c r="BC2613" s="128"/>
      <c r="BD2613" s="128"/>
      <c r="BE2613" s="128"/>
      <c r="BF2613" s="128"/>
      <c r="BG2613" s="128"/>
      <c r="BH2613" s="128"/>
      <c r="BI2613" s="128"/>
      <c r="BJ2613" s="128"/>
      <c r="BK2613" s="128"/>
      <c r="BL2613" s="128"/>
      <c r="BM2613" s="151"/>
      <c r="BN2613" s="128"/>
      <c r="BO2613" s="128"/>
      <c r="BP2613" s="128"/>
      <c r="BQ2613" s="128"/>
      <c r="BR2613" s="128"/>
      <c r="BS2613" s="128"/>
      <c r="BT2613" s="128"/>
      <c r="BU2613" s="128"/>
      <c r="BV2613" s="128"/>
      <c r="BW2613" s="128"/>
      <c r="BX2613" s="128"/>
      <c r="BY2613" s="128"/>
      <c r="BZ2613" s="128"/>
      <c r="CA2613" s="128"/>
      <c r="CB2613" s="128"/>
      <c r="CC2613" s="128"/>
      <c r="CD2613" s="128"/>
      <c r="CE2613" s="128"/>
      <c r="CF2613" s="128"/>
      <c r="CG2613" s="128"/>
      <c r="CI2613" s="128"/>
      <c r="CJ2613" s="128"/>
      <c r="CK2613" s="128"/>
      <c r="CL2613" s="128"/>
      <c r="CM2613" s="128"/>
      <c r="CN2613" s="128"/>
      <c r="CO2613" s="128"/>
      <c r="CP2613" s="128"/>
      <c r="CQ2613" s="128"/>
      <c r="CR2613" s="128"/>
      <c r="CS2613" s="128"/>
      <c r="CT2613" s="128"/>
      <c r="CU2613" s="128"/>
      <c r="CV2613" s="128"/>
      <c r="CW2613" s="128"/>
      <c r="CX2613" s="128"/>
      <c r="CY2613" s="128"/>
      <c r="CZ2613" s="165"/>
    </row>
    <row r="2614" spans="1:104">
      <c r="A2614" s="149"/>
      <c r="B2614" s="149"/>
      <c r="C2614" s="150"/>
      <c r="D2614" s="102"/>
      <c r="E2614" s="149"/>
      <c r="F2614" s="149"/>
      <c r="G2614" s="149"/>
      <c r="H2614" s="149"/>
      <c r="I2614" s="149"/>
      <c r="J2614" s="149"/>
      <c r="K2614" s="149"/>
      <c r="L2614" s="149"/>
      <c r="M2614" s="149"/>
      <c r="N2614" s="149"/>
      <c r="O2614" s="149"/>
      <c r="P2614" s="149"/>
      <c r="Q2614" s="149"/>
      <c r="R2614" s="149"/>
      <c r="S2614" s="149"/>
      <c r="T2614" s="149"/>
      <c r="U2614" s="149"/>
      <c r="V2614" s="149"/>
      <c r="W2614" s="149"/>
      <c r="X2614" s="149"/>
      <c r="Y2614" s="149"/>
      <c r="Z2614" s="149"/>
      <c r="AA2614" s="149"/>
      <c r="AB2614" s="149"/>
      <c r="AC2614" s="149"/>
      <c r="AD2614" s="149"/>
      <c r="AE2614" s="149"/>
      <c r="AF2614" s="149"/>
      <c r="AG2614" s="149"/>
      <c r="AH2614" s="149"/>
      <c r="AI2614" s="149"/>
      <c r="AJ2614" s="149"/>
      <c r="AK2614" s="149"/>
      <c r="AL2614" s="149"/>
      <c r="AM2614" s="149"/>
      <c r="AN2614" s="149"/>
      <c r="AO2614" s="128"/>
      <c r="AP2614" s="128"/>
      <c r="AQ2614" s="128"/>
      <c r="AR2614" s="128"/>
      <c r="AS2614" s="128"/>
      <c r="AT2614" s="128"/>
      <c r="AU2614" s="128"/>
      <c r="AV2614" s="128"/>
      <c r="AW2614" s="128"/>
      <c r="AX2614" s="128"/>
      <c r="AY2614" s="128"/>
      <c r="AZ2614" s="128"/>
      <c r="BA2614" s="128"/>
      <c r="BB2614" s="128"/>
      <c r="BC2614" s="128"/>
      <c r="BD2614" s="128"/>
      <c r="BE2614" s="128"/>
      <c r="BF2614" s="128"/>
      <c r="BG2614" s="128"/>
      <c r="BH2614" s="128"/>
      <c r="BI2614" s="128"/>
      <c r="BJ2614" s="128"/>
      <c r="BK2614" s="128"/>
      <c r="BL2614" s="128"/>
      <c r="BM2614" s="151"/>
      <c r="BN2614" s="128"/>
      <c r="BO2614" s="128"/>
      <c r="BP2614" s="128"/>
      <c r="BQ2614" s="128"/>
      <c r="BR2614" s="128"/>
      <c r="BS2614" s="128"/>
      <c r="BT2614" s="128"/>
      <c r="BU2614" s="128"/>
      <c r="BV2614" s="128"/>
      <c r="BW2614" s="128"/>
      <c r="BX2614" s="128"/>
      <c r="BY2614" s="128"/>
      <c r="BZ2614" s="128"/>
      <c r="CA2614" s="128"/>
      <c r="CB2614" s="128"/>
      <c r="CC2614" s="128"/>
      <c r="CD2614" s="128"/>
      <c r="CE2614" s="128"/>
      <c r="CF2614" s="128"/>
      <c r="CG2614" s="128"/>
      <c r="CI2614" s="128"/>
      <c r="CJ2614" s="128"/>
      <c r="CK2614" s="128"/>
      <c r="CL2614" s="128"/>
      <c r="CM2614" s="128"/>
      <c r="CN2614" s="128"/>
      <c r="CO2614" s="128"/>
      <c r="CP2614" s="128"/>
      <c r="CQ2614" s="128"/>
      <c r="CR2614" s="128"/>
      <c r="CS2614" s="128"/>
      <c r="CT2614" s="128"/>
      <c r="CU2614" s="128"/>
      <c r="CV2614" s="128"/>
      <c r="CW2614" s="128"/>
      <c r="CX2614" s="128"/>
      <c r="CY2614" s="128"/>
      <c r="CZ2614" s="165"/>
    </row>
    <row r="2615" spans="1:104">
      <c r="A2615" s="149"/>
      <c r="B2615" s="149"/>
      <c r="C2615" s="150"/>
      <c r="D2615" s="102"/>
      <c r="E2615" s="149"/>
      <c r="F2615" s="149"/>
      <c r="G2615" s="149"/>
      <c r="H2615" s="149"/>
      <c r="I2615" s="149"/>
      <c r="J2615" s="149"/>
      <c r="K2615" s="149"/>
      <c r="L2615" s="149"/>
      <c r="M2615" s="149"/>
      <c r="N2615" s="149"/>
      <c r="O2615" s="149"/>
      <c r="P2615" s="149"/>
      <c r="Q2615" s="149"/>
      <c r="R2615" s="149"/>
      <c r="S2615" s="149"/>
      <c r="T2615" s="149"/>
      <c r="U2615" s="149"/>
      <c r="V2615" s="149"/>
      <c r="W2615" s="149"/>
      <c r="X2615" s="149"/>
      <c r="Y2615" s="149"/>
      <c r="Z2615" s="149"/>
      <c r="AA2615" s="149"/>
      <c r="AB2615" s="149"/>
      <c r="AC2615" s="149"/>
      <c r="AD2615" s="149"/>
      <c r="AE2615" s="149"/>
      <c r="AF2615" s="149"/>
      <c r="AG2615" s="149"/>
      <c r="AH2615" s="149"/>
      <c r="AI2615" s="149"/>
      <c r="AJ2615" s="149"/>
      <c r="AK2615" s="149"/>
      <c r="AL2615" s="149"/>
      <c r="AM2615" s="149"/>
      <c r="AN2615" s="149"/>
      <c r="AO2615" s="128"/>
      <c r="AP2615" s="128"/>
      <c r="AQ2615" s="128"/>
      <c r="AR2615" s="128"/>
      <c r="AS2615" s="128"/>
      <c r="AT2615" s="128"/>
      <c r="AU2615" s="128"/>
      <c r="AV2615" s="128"/>
      <c r="AW2615" s="128"/>
      <c r="AX2615" s="128"/>
      <c r="AY2615" s="128"/>
      <c r="AZ2615" s="128"/>
      <c r="BA2615" s="128"/>
      <c r="BB2615" s="128"/>
      <c r="BC2615" s="128"/>
      <c r="BD2615" s="128"/>
      <c r="BE2615" s="128"/>
      <c r="BF2615" s="128"/>
      <c r="BG2615" s="128"/>
      <c r="BH2615" s="128"/>
      <c r="BI2615" s="128"/>
      <c r="BJ2615" s="128"/>
      <c r="BK2615" s="128"/>
      <c r="BL2615" s="128"/>
      <c r="BM2615" s="151"/>
      <c r="BN2615" s="128"/>
      <c r="BO2615" s="128"/>
      <c r="BP2615" s="128"/>
      <c r="BQ2615" s="128"/>
      <c r="BR2615" s="128"/>
      <c r="BS2615" s="128"/>
      <c r="BT2615" s="128"/>
      <c r="BU2615" s="128"/>
      <c r="BV2615" s="128"/>
      <c r="BW2615" s="128"/>
      <c r="BX2615" s="128"/>
      <c r="BY2615" s="128"/>
      <c r="BZ2615" s="128"/>
      <c r="CA2615" s="128"/>
      <c r="CB2615" s="128"/>
      <c r="CC2615" s="128"/>
      <c r="CD2615" s="128"/>
      <c r="CE2615" s="128"/>
      <c r="CF2615" s="128"/>
      <c r="CG2615" s="128"/>
      <c r="CI2615" s="128"/>
      <c r="CJ2615" s="128"/>
      <c r="CK2615" s="128"/>
      <c r="CL2615" s="128"/>
      <c r="CM2615" s="128"/>
      <c r="CN2615" s="128"/>
      <c r="CO2615" s="128"/>
      <c r="CP2615" s="128"/>
      <c r="CQ2615" s="128"/>
      <c r="CR2615" s="128"/>
      <c r="CS2615" s="128"/>
      <c r="CT2615" s="128"/>
      <c r="CU2615" s="128"/>
      <c r="CV2615" s="128"/>
      <c r="CW2615" s="128"/>
      <c r="CX2615" s="128"/>
      <c r="CY2615" s="128"/>
      <c r="CZ2615" s="165"/>
    </row>
    <row r="2616" spans="1:104">
      <c r="A2616" s="149"/>
      <c r="B2616" s="149"/>
      <c r="C2616" s="150"/>
      <c r="D2616" s="102"/>
      <c r="E2616" s="149"/>
      <c r="F2616" s="149"/>
      <c r="G2616" s="149"/>
      <c r="H2616" s="149"/>
      <c r="I2616" s="149"/>
      <c r="J2616" s="149"/>
      <c r="K2616" s="149"/>
      <c r="L2616" s="149"/>
      <c r="M2616" s="149"/>
      <c r="N2616" s="149"/>
      <c r="O2616" s="149"/>
      <c r="P2616" s="149"/>
      <c r="Q2616" s="149"/>
      <c r="R2616" s="149"/>
      <c r="S2616" s="149"/>
      <c r="T2616" s="149"/>
      <c r="U2616" s="149"/>
      <c r="V2616" s="149"/>
      <c r="W2616" s="149"/>
      <c r="X2616" s="149"/>
      <c r="Y2616" s="149"/>
      <c r="Z2616" s="149"/>
      <c r="AA2616" s="149"/>
      <c r="AB2616" s="149"/>
      <c r="AC2616" s="149"/>
      <c r="AD2616" s="149"/>
      <c r="AE2616" s="149"/>
      <c r="AF2616" s="149"/>
      <c r="AG2616" s="149"/>
      <c r="AH2616" s="149"/>
      <c r="AI2616" s="149"/>
      <c r="AJ2616" s="149"/>
      <c r="AK2616" s="149"/>
      <c r="AL2616" s="149"/>
      <c r="AM2616" s="149"/>
      <c r="AN2616" s="149"/>
      <c r="AO2616" s="128"/>
      <c r="AP2616" s="128"/>
      <c r="AQ2616" s="128"/>
      <c r="AR2616" s="128"/>
      <c r="AS2616" s="128"/>
      <c r="AT2616" s="128"/>
      <c r="AU2616" s="128"/>
      <c r="AV2616" s="128"/>
      <c r="AW2616" s="128"/>
      <c r="AX2616" s="128"/>
      <c r="AY2616" s="128"/>
      <c r="AZ2616" s="128"/>
      <c r="BA2616" s="128"/>
      <c r="BB2616" s="128"/>
      <c r="BC2616" s="128"/>
      <c r="BD2616" s="128"/>
      <c r="BE2616" s="128"/>
      <c r="BF2616" s="128"/>
      <c r="BG2616" s="128"/>
      <c r="BH2616" s="128"/>
      <c r="BI2616" s="128"/>
      <c r="BJ2616" s="128"/>
      <c r="BK2616" s="128"/>
      <c r="BL2616" s="128"/>
      <c r="BM2616" s="151"/>
      <c r="BN2616" s="128"/>
      <c r="BO2616" s="128"/>
      <c r="BP2616" s="128"/>
      <c r="BQ2616" s="128"/>
      <c r="BR2616" s="128"/>
      <c r="BS2616" s="128"/>
      <c r="BT2616" s="128"/>
      <c r="BU2616" s="128"/>
      <c r="BV2616" s="128"/>
      <c r="BW2616" s="128"/>
      <c r="BX2616" s="128"/>
      <c r="BY2616" s="128"/>
      <c r="BZ2616" s="128"/>
      <c r="CA2616" s="128"/>
      <c r="CB2616" s="128"/>
      <c r="CC2616" s="128"/>
      <c r="CD2616" s="128"/>
      <c r="CE2616" s="128"/>
      <c r="CF2616" s="128"/>
      <c r="CG2616" s="128"/>
      <c r="CI2616" s="128"/>
      <c r="CJ2616" s="128"/>
      <c r="CK2616" s="128"/>
      <c r="CL2616" s="128"/>
      <c r="CM2616" s="128"/>
      <c r="CN2616" s="128"/>
      <c r="CO2616" s="128"/>
      <c r="CP2616" s="128"/>
      <c r="CQ2616" s="128"/>
      <c r="CR2616" s="128"/>
      <c r="CS2616" s="128"/>
      <c r="CT2616" s="128"/>
      <c r="CU2616" s="128"/>
      <c r="CV2616" s="128"/>
      <c r="CW2616" s="128"/>
      <c r="CX2616" s="128"/>
      <c r="CY2616" s="128"/>
      <c r="CZ2616" s="165"/>
    </row>
    <row r="2617" spans="1:104">
      <c r="A2617" s="149"/>
      <c r="B2617" s="149"/>
      <c r="C2617" s="150"/>
      <c r="D2617" s="102"/>
      <c r="E2617" s="149"/>
      <c r="F2617" s="149"/>
      <c r="G2617" s="149"/>
      <c r="H2617" s="149"/>
      <c r="I2617" s="149"/>
      <c r="J2617" s="149"/>
      <c r="K2617" s="149"/>
      <c r="L2617" s="149"/>
      <c r="M2617" s="149"/>
      <c r="N2617" s="149"/>
      <c r="O2617" s="149"/>
      <c r="P2617" s="149"/>
      <c r="Q2617" s="149"/>
      <c r="R2617" s="149"/>
      <c r="S2617" s="149"/>
      <c r="T2617" s="149"/>
      <c r="U2617" s="149"/>
      <c r="V2617" s="149"/>
      <c r="W2617" s="149"/>
      <c r="X2617" s="149"/>
      <c r="Y2617" s="149"/>
      <c r="Z2617" s="149"/>
      <c r="AA2617" s="149"/>
      <c r="AB2617" s="149"/>
      <c r="AC2617" s="149"/>
      <c r="AD2617" s="149"/>
      <c r="AE2617" s="149"/>
      <c r="AF2617" s="149"/>
      <c r="AG2617" s="149"/>
      <c r="AH2617" s="149"/>
      <c r="AI2617" s="149"/>
      <c r="AJ2617" s="149"/>
      <c r="AK2617" s="149"/>
      <c r="AL2617" s="149"/>
      <c r="AM2617" s="149"/>
      <c r="AN2617" s="149"/>
      <c r="AO2617" s="128"/>
      <c r="AP2617" s="128"/>
      <c r="AQ2617" s="128"/>
      <c r="AR2617" s="128"/>
      <c r="AS2617" s="128"/>
      <c r="AT2617" s="128"/>
      <c r="AU2617" s="128"/>
      <c r="AV2617" s="128"/>
      <c r="AW2617" s="128"/>
      <c r="AX2617" s="128"/>
      <c r="AY2617" s="128"/>
      <c r="AZ2617" s="128"/>
      <c r="BA2617" s="128"/>
      <c r="BB2617" s="128"/>
      <c r="BC2617" s="128"/>
      <c r="BD2617" s="128"/>
      <c r="BE2617" s="128"/>
      <c r="BF2617" s="128"/>
      <c r="BG2617" s="128"/>
      <c r="BH2617" s="128"/>
      <c r="BI2617" s="128"/>
      <c r="BJ2617" s="128"/>
      <c r="BK2617" s="128"/>
      <c r="BL2617" s="128"/>
      <c r="BM2617" s="151"/>
      <c r="BN2617" s="128"/>
      <c r="BO2617" s="128"/>
      <c r="BP2617" s="128"/>
      <c r="BQ2617" s="128"/>
      <c r="BR2617" s="128"/>
      <c r="BS2617" s="128"/>
      <c r="BT2617" s="128"/>
      <c r="BU2617" s="128"/>
      <c r="BV2617" s="128"/>
      <c r="BW2617" s="128"/>
      <c r="BX2617" s="128"/>
      <c r="BY2617" s="128"/>
      <c r="BZ2617" s="128"/>
      <c r="CA2617" s="128"/>
      <c r="CB2617" s="128"/>
      <c r="CC2617" s="128"/>
      <c r="CD2617" s="128"/>
      <c r="CE2617" s="128"/>
      <c r="CF2617" s="128"/>
      <c r="CG2617" s="128"/>
      <c r="CI2617" s="128"/>
      <c r="CJ2617" s="128"/>
      <c r="CK2617" s="128"/>
      <c r="CL2617" s="128"/>
      <c r="CM2617" s="128"/>
      <c r="CN2617" s="128"/>
      <c r="CO2617" s="128"/>
      <c r="CP2617" s="128"/>
      <c r="CQ2617" s="128"/>
      <c r="CR2617" s="128"/>
      <c r="CS2617" s="128"/>
      <c r="CT2617" s="128"/>
      <c r="CU2617" s="128"/>
      <c r="CV2617" s="128"/>
      <c r="CW2617" s="128"/>
      <c r="CX2617" s="128"/>
      <c r="CY2617" s="128"/>
      <c r="CZ2617" s="165"/>
    </row>
    <row r="2618" spans="1:104">
      <c r="A2618" s="149"/>
      <c r="B2618" s="149"/>
      <c r="C2618" s="150"/>
      <c r="D2618" s="102"/>
      <c r="E2618" s="149"/>
      <c r="F2618" s="149"/>
      <c r="G2618" s="149"/>
      <c r="H2618" s="149"/>
      <c r="I2618" s="149"/>
      <c r="J2618" s="149"/>
      <c r="K2618" s="149"/>
      <c r="L2618" s="149"/>
      <c r="M2618" s="149"/>
      <c r="N2618" s="149"/>
      <c r="O2618" s="149"/>
      <c r="P2618" s="149"/>
      <c r="Q2618" s="149"/>
      <c r="R2618" s="149"/>
      <c r="S2618" s="149"/>
      <c r="T2618" s="149"/>
      <c r="U2618" s="149"/>
      <c r="V2618" s="149"/>
      <c r="W2618" s="149"/>
      <c r="X2618" s="149"/>
      <c r="Y2618" s="149"/>
      <c r="Z2618" s="149"/>
      <c r="AA2618" s="149"/>
      <c r="AB2618" s="149"/>
      <c r="AC2618" s="149"/>
      <c r="AD2618" s="149"/>
      <c r="AE2618" s="149"/>
      <c r="AF2618" s="149"/>
      <c r="AG2618" s="149"/>
      <c r="AH2618" s="149"/>
      <c r="AI2618" s="149"/>
      <c r="AJ2618" s="149"/>
      <c r="AK2618" s="149"/>
      <c r="AL2618" s="149"/>
      <c r="AM2618" s="149"/>
      <c r="AN2618" s="149"/>
      <c r="AO2618" s="128"/>
      <c r="AP2618" s="128"/>
      <c r="AQ2618" s="128"/>
      <c r="AR2618" s="128"/>
      <c r="AS2618" s="128"/>
      <c r="AT2618" s="128"/>
      <c r="AU2618" s="128"/>
      <c r="AV2618" s="128"/>
      <c r="AW2618" s="128"/>
      <c r="AX2618" s="128"/>
      <c r="AY2618" s="128"/>
      <c r="AZ2618" s="128"/>
      <c r="BA2618" s="128"/>
      <c r="BB2618" s="128"/>
      <c r="BC2618" s="128"/>
      <c r="BD2618" s="128"/>
      <c r="BE2618" s="128"/>
      <c r="BF2618" s="128"/>
      <c r="BG2618" s="128"/>
      <c r="BH2618" s="128"/>
      <c r="BI2618" s="128"/>
      <c r="BJ2618" s="128"/>
      <c r="BK2618" s="128"/>
      <c r="BL2618" s="128"/>
      <c r="BM2618" s="151"/>
      <c r="BN2618" s="128"/>
      <c r="BO2618" s="128"/>
      <c r="BP2618" s="128"/>
      <c r="BQ2618" s="128"/>
      <c r="BR2618" s="128"/>
      <c r="BS2618" s="128"/>
      <c r="BT2618" s="128"/>
      <c r="BU2618" s="128"/>
      <c r="BV2618" s="128"/>
      <c r="BW2618" s="128"/>
      <c r="BX2618" s="128"/>
      <c r="BY2618" s="128"/>
      <c r="BZ2618" s="128"/>
      <c r="CA2618" s="128"/>
      <c r="CB2618" s="128"/>
      <c r="CC2618" s="128"/>
      <c r="CD2618" s="128"/>
      <c r="CE2618" s="128"/>
      <c r="CF2618" s="128"/>
      <c r="CG2618" s="128"/>
      <c r="CI2618" s="128"/>
      <c r="CJ2618" s="128"/>
      <c r="CK2618" s="128"/>
      <c r="CL2618" s="128"/>
      <c r="CM2618" s="128"/>
      <c r="CN2618" s="128"/>
      <c r="CO2618" s="128"/>
      <c r="CP2618" s="128"/>
      <c r="CQ2618" s="128"/>
      <c r="CR2618" s="128"/>
      <c r="CS2618" s="128"/>
      <c r="CT2618" s="128"/>
      <c r="CU2618" s="128"/>
      <c r="CV2618" s="128"/>
      <c r="CW2618" s="128"/>
      <c r="CX2618" s="128"/>
      <c r="CY2618" s="128"/>
      <c r="CZ2618" s="165"/>
    </row>
    <row r="2619" spans="1:104">
      <c r="A2619" s="149"/>
      <c r="B2619" s="149"/>
      <c r="C2619" s="150"/>
      <c r="D2619" s="102"/>
      <c r="E2619" s="149"/>
      <c r="F2619" s="149"/>
      <c r="G2619" s="149"/>
      <c r="H2619" s="149"/>
      <c r="I2619" s="149"/>
      <c r="J2619" s="149"/>
      <c r="K2619" s="149"/>
      <c r="L2619" s="149"/>
      <c r="M2619" s="149"/>
      <c r="N2619" s="149"/>
      <c r="O2619" s="149"/>
      <c r="P2619" s="149"/>
      <c r="Q2619" s="149"/>
      <c r="R2619" s="149"/>
      <c r="S2619" s="149"/>
      <c r="T2619" s="149"/>
      <c r="U2619" s="149"/>
      <c r="V2619" s="149"/>
      <c r="W2619" s="149"/>
      <c r="X2619" s="149"/>
      <c r="Y2619" s="149"/>
      <c r="Z2619" s="149"/>
      <c r="AA2619" s="149"/>
      <c r="AB2619" s="149"/>
      <c r="AC2619" s="149"/>
      <c r="AD2619" s="149"/>
      <c r="AE2619" s="149"/>
      <c r="AF2619" s="149"/>
      <c r="AG2619" s="149"/>
      <c r="AH2619" s="149"/>
      <c r="AI2619" s="149"/>
      <c r="AJ2619" s="149"/>
      <c r="AK2619" s="149"/>
      <c r="AL2619" s="149"/>
      <c r="AM2619" s="149"/>
      <c r="AN2619" s="149"/>
      <c r="AO2619" s="128"/>
      <c r="AP2619" s="128"/>
      <c r="AQ2619" s="128"/>
      <c r="AR2619" s="128"/>
      <c r="AS2619" s="128"/>
      <c r="AT2619" s="128"/>
      <c r="AU2619" s="128"/>
      <c r="AV2619" s="128"/>
      <c r="AW2619" s="128"/>
      <c r="AX2619" s="128"/>
      <c r="AY2619" s="128"/>
      <c r="AZ2619" s="128"/>
      <c r="BA2619" s="128"/>
      <c r="BB2619" s="128"/>
      <c r="BC2619" s="128"/>
      <c r="BD2619" s="128"/>
      <c r="BE2619" s="128"/>
      <c r="BF2619" s="128"/>
      <c r="BG2619" s="128"/>
      <c r="BH2619" s="128"/>
      <c r="BI2619" s="128"/>
      <c r="BJ2619" s="128"/>
      <c r="BK2619" s="128"/>
      <c r="BL2619" s="128"/>
      <c r="BM2619" s="151"/>
      <c r="BN2619" s="128"/>
      <c r="BO2619" s="128"/>
      <c r="BP2619" s="128"/>
      <c r="BQ2619" s="128"/>
      <c r="BR2619" s="128"/>
      <c r="BS2619" s="128"/>
      <c r="BT2619" s="128"/>
      <c r="BU2619" s="128"/>
      <c r="BV2619" s="128"/>
      <c r="BW2619" s="128"/>
      <c r="BX2619" s="128"/>
      <c r="BY2619" s="128"/>
      <c r="BZ2619" s="128"/>
      <c r="CA2619" s="128"/>
      <c r="CB2619" s="128"/>
      <c r="CC2619" s="128"/>
      <c r="CD2619" s="128"/>
      <c r="CE2619" s="128"/>
      <c r="CF2619" s="128"/>
      <c r="CG2619" s="128"/>
      <c r="CI2619" s="128"/>
      <c r="CJ2619" s="128"/>
      <c r="CK2619" s="128"/>
      <c r="CL2619" s="128"/>
      <c r="CM2619" s="128"/>
      <c r="CN2619" s="128"/>
      <c r="CO2619" s="128"/>
      <c r="CP2619" s="128"/>
      <c r="CQ2619" s="128"/>
      <c r="CR2619" s="128"/>
      <c r="CS2619" s="128"/>
      <c r="CT2619" s="128"/>
      <c r="CU2619" s="128"/>
      <c r="CV2619" s="128"/>
      <c r="CW2619" s="128"/>
      <c r="CX2619" s="128"/>
      <c r="CY2619" s="128"/>
      <c r="CZ2619" s="165"/>
    </row>
    <row r="2620" spans="1:104">
      <c r="A2620" s="149"/>
      <c r="B2620" s="149"/>
      <c r="C2620" s="150"/>
      <c r="D2620" s="102"/>
      <c r="E2620" s="149"/>
      <c r="F2620" s="149"/>
      <c r="G2620" s="149"/>
      <c r="H2620" s="149"/>
      <c r="I2620" s="149"/>
      <c r="J2620" s="149"/>
      <c r="K2620" s="149"/>
      <c r="L2620" s="149"/>
      <c r="M2620" s="149"/>
      <c r="N2620" s="149"/>
      <c r="O2620" s="149"/>
      <c r="P2620" s="149"/>
      <c r="Q2620" s="149"/>
      <c r="R2620" s="149"/>
      <c r="S2620" s="149"/>
      <c r="T2620" s="149"/>
      <c r="U2620" s="149"/>
      <c r="V2620" s="149"/>
      <c r="W2620" s="149"/>
      <c r="X2620" s="149"/>
      <c r="Y2620" s="149"/>
      <c r="Z2620" s="149"/>
      <c r="AA2620" s="149"/>
      <c r="AB2620" s="149"/>
      <c r="AC2620" s="149"/>
      <c r="AD2620" s="149"/>
      <c r="AE2620" s="149"/>
      <c r="AF2620" s="149"/>
      <c r="AG2620" s="149"/>
      <c r="AH2620" s="149"/>
      <c r="AI2620" s="149"/>
      <c r="AJ2620" s="149"/>
      <c r="AK2620" s="149"/>
      <c r="AL2620" s="149"/>
      <c r="AM2620" s="149"/>
      <c r="AN2620" s="149"/>
      <c r="AO2620" s="128"/>
      <c r="AP2620" s="128"/>
      <c r="AQ2620" s="128"/>
      <c r="AR2620" s="128"/>
      <c r="AS2620" s="128"/>
      <c r="AT2620" s="128"/>
      <c r="AU2620" s="128"/>
      <c r="AV2620" s="128"/>
      <c r="AW2620" s="128"/>
      <c r="AX2620" s="128"/>
      <c r="AY2620" s="128"/>
      <c r="AZ2620" s="128"/>
      <c r="BA2620" s="128"/>
      <c r="BB2620" s="128"/>
      <c r="BC2620" s="128"/>
      <c r="BD2620" s="128"/>
      <c r="BE2620" s="128"/>
      <c r="BF2620" s="128"/>
      <c r="BG2620" s="128"/>
      <c r="BH2620" s="128"/>
      <c r="BI2620" s="128"/>
      <c r="BJ2620" s="128"/>
      <c r="BK2620" s="128"/>
      <c r="BL2620" s="128"/>
      <c r="BM2620" s="151"/>
      <c r="BN2620" s="128"/>
      <c r="BO2620" s="128"/>
      <c r="BP2620" s="128"/>
      <c r="BQ2620" s="128"/>
      <c r="BR2620" s="128"/>
      <c r="BS2620" s="128"/>
      <c r="BT2620" s="128"/>
      <c r="BU2620" s="128"/>
      <c r="BV2620" s="128"/>
      <c r="BW2620" s="128"/>
      <c r="BX2620" s="128"/>
      <c r="BY2620" s="128"/>
      <c r="BZ2620" s="128"/>
      <c r="CA2620" s="128"/>
      <c r="CB2620" s="128"/>
      <c r="CC2620" s="128"/>
      <c r="CD2620" s="128"/>
      <c r="CE2620" s="128"/>
      <c r="CF2620" s="128"/>
      <c r="CG2620" s="128"/>
      <c r="CI2620" s="128"/>
      <c r="CJ2620" s="128"/>
      <c r="CK2620" s="128"/>
      <c r="CL2620" s="128"/>
      <c r="CM2620" s="128"/>
      <c r="CN2620" s="128"/>
      <c r="CO2620" s="128"/>
      <c r="CP2620" s="128"/>
      <c r="CQ2620" s="128"/>
      <c r="CR2620" s="128"/>
      <c r="CS2620" s="128"/>
      <c r="CT2620" s="128"/>
      <c r="CU2620" s="128"/>
      <c r="CV2620" s="128"/>
      <c r="CW2620" s="128"/>
      <c r="CX2620" s="128"/>
      <c r="CY2620" s="128"/>
      <c r="CZ2620" s="165"/>
    </row>
    <row r="2621" spans="1:104">
      <c r="A2621" s="149"/>
      <c r="B2621" s="149"/>
      <c r="C2621" s="150"/>
      <c r="D2621" s="102"/>
      <c r="E2621" s="149"/>
      <c r="F2621" s="149"/>
      <c r="G2621" s="149"/>
      <c r="H2621" s="149"/>
      <c r="I2621" s="149"/>
      <c r="J2621" s="149"/>
      <c r="K2621" s="149"/>
      <c r="L2621" s="149"/>
      <c r="M2621" s="149"/>
      <c r="N2621" s="149"/>
      <c r="O2621" s="149"/>
      <c r="P2621" s="149"/>
      <c r="Q2621" s="149"/>
      <c r="R2621" s="149"/>
      <c r="S2621" s="149"/>
      <c r="T2621" s="149"/>
      <c r="U2621" s="149"/>
      <c r="V2621" s="149"/>
      <c r="W2621" s="149"/>
      <c r="X2621" s="149"/>
      <c r="Y2621" s="149"/>
      <c r="Z2621" s="149"/>
      <c r="AA2621" s="149"/>
      <c r="AB2621" s="149"/>
      <c r="AC2621" s="149"/>
      <c r="AD2621" s="149"/>
      <c r="AE2621" s="149"/>
      <c r="AF2621" s="149"/>
      <c r="AG2621" s="149"/>
      <c r="AH2621" s="149"/>
      <c r="AI2621" s="149"/>
      <c r="AJ2621" s="149"/>
      <c r="AK2621" s="149"/>
      <c r="AL2621" s="149"/>
      <c r="AM2621" s="149"/>
      <c r="AN2621" s="149"/>
      <c r="AO2621" s="128"/>
      <c r="AP2621" s="128"/>
      <c r="AQ2621" s="128"/>
      <c r="AR2621" s="128"/>
      <c r="AS2621" s="128"/>
      <c r="AT2621" s="128"/>
      <c r="AU2621" s="128"/>
      <c r="AV2621" s="128"/>
      <c r="AW2621" s="128"/>
      <c r="AX2621" s="128"/>
      <c r="AY2621" s="128"/>
      <c r="AZ2621" s="128"/>
      <c r="BA2621" s="128"/>
      <c r="BB2621" s="128"/>
      <c r="BC2621" s="128"/>
      <c r="BD2621" s="128"/>
      <c r="BE2621" s="128"/>
      <c r="BF2621" s="128"/>
      <c r="BG2621" s="128"/>
      <c r="BH2621" s="128"/>
      <c r="BI2621" s="128"/>
      <c r="BJ2621" s="128"/>
      <c r="BK2621" s="128"/>
      <c r="BL2621" s="128"/>
      <c r="BM2621" s="151"/>
      <c r="BN2621" s="128"/>
      <c r="BO2621" s="128"/>
      <c r="BP2621" s="128"/>
      <c r="BQ2621" s="128"/>
      <c r="BR2621" s="128"/>
      <c r="BS2621" s="128"/>
      <c r="BT2621" s="128"/>
      <c r="BU2621" s="128"/>
      <c r="BV2621" s="128"/>
      <c r="BW2621" s="128"/>
      <c r="BX2621" s="128"/>
      <c r="BY2621" s="128"/>
      <c r="BZ2621" s="128"/>
      <c r="CA2621" s="128"/>
      <c r="CB2621" s="128"/>
      <c r="CC2621" s="128"/>
      <c r="CD2621" s="128"/>
      <c r="CE2621" s="128"/>
      <c r="CF2621" s="128"/>
      <c r="CG2621" s="128"/>
      <c r="CI2621" s="128"/>
      <c r="CJ2621" s="128"/>
      <c r="CK2621" s="128"/>
      <c r="CL2621" s="128"/>
      <c r="CM2621" s="128"/>
      <c r="CN2621" s="128"/>
      <c r="CO2621" s="128"/>
      <c r="CP2621" s="128"/>
      <c r="CQ2621" s="128"/>
      <c r="CR2621" s="128"/>
      <c r="CS2621" s="128"/>
      <c r="CT2621" s="128"/>
      <c r="CU2621" s="128"/>
      <c r="CV2621" s="128"/>
      <c r="CW2621" s="128"/>
      <c r="CX2621" s="128"/>
      <c r="CY2621" s="128"/>
      <c r="CZ2621" s="165"/>
    </row>
    <row r="2622" spans="1:104">
      <c r="A2622" s="149"/>
      <c r="B2622" s="149"/>
      <c r="C2622" s="150"/>
      <c r="D2622" s="102"/>
      <c r="E2622" s="149"/>
      <c r="F2622" s="149"/>
      <c r="G2622" s="149"/>
      <c r="H2622" s="149"/>
      <c r="I2622" s="149"/>
      <c r="J2622" s="149"/>
      <c r="K2622" s="149"/>
      <c r="L2622" s="149"/>
      <c r="M2622" s="149"/>
      <c r="N2622" s="149"/>
      <c r="O2622" s="149"/>
      <c r="P2622" s="149"/>
      <c r="Q2622" s="149"/>
      <c r="R2622" s="149"/>
      <c r="S2622" s="149"/>
      <c r="T2622" s="149"/>
      <c r="U2622" s="149"/>
      <c r="V2622" s="149"/>
      <c r="W2622" s="149"/>
      <c r="X2622" s="149"/>
      <c r="Y2622" s="149"/>
      <c r="Z2622" s="149"/>
      <c r="AA2622" s="149"/>
      <c r="AB2622" s="149"/>
      <c r="AC2622" s="149"/>
      <c r="AD2622" s="149"/>
      <c r="AE2622" s="149"/>
      <c r="AF2622" s="149"/>
      <c r="AG2622" s="149"/>
      <c r="AH2622" s="149"/>
      <c r="AI2622" s="149"/>
      <c r="AJ2622" s="149"/>
      <c r="AK2622" s="149"/>
      <c r="AL2622" s="149"/>
      <c r="AM2622" s="149"/>
      <c r="AN2622" s="149"/>
      <c r="AO2622" s="128"/>
      <c r="AP2622" s="128"/>
      <c r="AQ2622" s="128"/>
      <c r="AR2622" s="128"/>
      <c r="AS2622" s="128"/>
      <c r="AT2622" s="128"/>
      <c r="AU2622" s="128"/>
      <c r="AV2622" s="128"/>
      <c r="AW2622" s="128"/>
      <c r="AX2622" s="128"/>
      <c r="AY2622" s="128"/>
      <c r="AZ2622" s="128"/>
      <c r="BA2622" s="128"/>
      <c r="BB2622" s="128"/>
      <c r="BC2622" s="128"/>
      <c r="BD2622" s="128"/>
      <c r="BE2622" s="128"/>
      <c r="BF2622" s="128"/>
      <c r="BG2622" s="128"/>
      <c r="BH2622" s="128"/>
      <c r="BI2622" s="128"/>
      <c r="BJ2622" s="128"/>
      <c r="BK2622" s="128"/>
      <c r="BL2622" s="128"/>
      <c r="BM2622" s="151"/>
      <c r="BN2622" s="128"/>
      <c r="BO2622" s="128"/>
      <c r="BP2622" s="128"/>
      <c r="BQ2622" s="128"/>
      <c r="BR2622" s="128"/>
      <c r="BS2622" s="128"/>
      <c r="BT2622" s="128"/>
      <c r="BU2622" s="128"/>
      <c r="BV2622" s="128"/>
      <c r="BW2622" s="128"/>
      <c r="BX2622" s="128"/>
      <c r="BY2622" s="128"/>
      <c r="BZ2622" s="128"/>
      <c r="CA2622" s="128"/>
      <c r="CB2622" s="128"/>
      <c r="CC2622" s="128"/>
      <c r="CD2622" s="128"/>
      <c r="CE2622" s="128"/>
      <c r="CF2622" s="128"/>
      <c r="CG2622" s="128"/>
      <c r="CI2622" s="128"/>
      <c r="CJ2622" s="128"/>
      <c r="CK2622" s="128"/>
      <c r="CL2622" s="128"/>
      <c r="CM2622" s="128"/>
      <c r="CN2622" s="128"/>
      <c r="CO2622" s="128"/>
      <c r="CP2622" s="128"/>
      <c r="CQ2622" s="128"/>
      <c r="CR2622" s="128"/>
      <c r="CS2622" s="128"/>
      <c r="CT2622" s="128"/>
      <c r="CU2622" s="128"/>
      <c r="CV2622" s="128"/>
      <c r="CW2622" s="128"/>
      <c r="CX2622" s="128"/>
      <c r="CY2622" s="128"/>
      <c r="CZ2622" s="165"/>
    </row>
    <row r="2623" spans="1:104">
      <c r="A2623" s="149"/>
      <c r="B2623" s="149"/>
      <c r="C2623" s="150"/>
      <c r="D2623" s="102"/>
      <c r="E2623" s="149"/>
      <c r="F2623" s="149"/>
      <c r="G2623" s="149"/>
      <c r="H2623" s="149"/>
      <c r="I2623" s="149"/>
      <c r="J2623" s="149"/>
      <c r="K2623" s="149"/>
      <c r="L2623" s="149"/>
      <c r="M2623" s="149"/>
      <c r="N2623" s="149"/>
      <c r="O2623" s="149"/>
      <c r="P2623" s="149"/>
      <c r="Q2623" s="149"/>
      <c r="R2623" s="149"/>
      <c r="S2623" s="149"/>
      <c r="T2623" s="149"/>
      <c r="U2623" s="149"/>
      <c r="V2623" s="149"/>
      <c r="W2623" s="149"/>
      <c r="X2623" s="149"/>
      <c r="Y2623" s="149"/>
      <c r="Z2623" s="149"/>
      <c r="AA2623" s="149"/>
      <c r="AB2623" s="149"/>
      <c r="AC2623" s="149"/>
      <c r="AD2623" s="149"/>
      <c r="AE2623" s="149"/>
      <c r="AF2623" s="149"/>
      <c r="AG2623" s="149"/>
      <c r="AH2623" s="149"/>
      <c r="AI2623" s="149"/>
      <c r="AJ2623" s="149"/>
      <c r="AK2623" s="149"/>
      <c r="AL2623" s="149"/>
      <c r="AM2623" s="149"/>
      <c r="AN2623" s="149"/>
      <c r="AO2623" s="128"/>
      <c r="AP2623" s="128"/>
      <c r="AQ2623" s="128"/>
      <c r="AR2623" s="128"/>
      <c r="AS2623" s="128"/>
      <c r="AT2623" s="128"/>
      <c r="AU2623" s="128"/>
      <c r="AV2623" s="128"/>
      <c r="AW2623" s="128"/>
      <c r="AX2623" s="128"/>
      <c r="AY2623" s="128"/>
      <c r="AZ2623" s="128"/>
      <c r="BA2623" s="128"/>
      <c r="BB2623" s="128"/>
      <c r="BC2623" s="128"/>
      <c r="BD2623" s="128"/>
      <c r="BE2623" s="128"/>
      <c r="BF2623" s="128"/>
      <c r="BG2623" s="128"/>
      <c r="BH2623" s="128"/>
      <c r="BI2623" s="128"/>
      <c r="BJ2623" s="128"/>
      <c r="BK2623" s="128"/>
      <c r="BL2623" s="128"/>
      <c r="BM2623" s="151"/>
      <c r="BN2623" s="128"/>
      <c r="BO2623" s="128"/>
      <c r="BP2623" s="128"/>
      <c r="BQ2623" s="128"/>
      <c r="BR2623" s="128"/>
      <c r="BS2623" s="128"/>
      <c r="BT2623" s="128"/>
      <c r="BU2623" s="128"/>
      <c r="BV2623" s="128"/>
      <c r="BW2623" s="128"/>
      <c r="BX2623" s="128"/>
      <c r="BY2623" s="128"/>
      <c r="BZ2623" s="128"/>
      <c r="CA2623" s="128"/>
      <c r="CB2623" s="128"/>
      <c r="CC2623" s="128"/>
      <c r="CD2623" s="128"/>
      <c r="CE2623" s="128"/>
      <c r="CF2623" s="128"/>
      <c r="CG2623" s="128"/>
      <c r="CI2623" s="128"/>
      <c r="CJ2623" s="128"/>
      <c r="CK2623" s="128"/>
      <c r="CL2623" s="128"/>
      <c r="CM2623" s="128"/>
      <c r="CN2623" s="128"/>
      <c r="CO2623" s="128"/>
      <c r="CP2623" s="128"/>
      <c r="CQ2623" s="128"/>
      <c r="CR2623" s="128"/>
      <c r="CS2623" s="128"/>
      <c r="CT2623" s="128"/>
      <c r="CU2623" s="128"/>
      <c r="CV2623" s="128"/>
      <c r="CW2623" s="128"/>
      <c r="CX2623" s="128"/>
      <c r="CY2623" s="128"/>
      <c r="CZ2623" s="165"/>
    </row>
    <row r="2624" spans="1:104">
      <c r="A2624" s="149"/>
      <c r="B2624" s="149"/>
      <c r="C2624" s="150"/>
      <c r="D2624" s="102"/>
      <c r="E2624" s="149"/>
      <c r="F2624" s="149"/>
      <c r="G2624" s="149"/>
      <c r="H2624" s="149"/>
      <c r="I2624" s="149"/>
      <c r="J2624" s="149"/>
      <c r="K2624" s="149"/>
      <c r="L2624" s="149"/>
      <c r="M2624" s="149"/>
      <c r="N2624" s="149"/>
      <c r="O2624" s="149"/>
      <c r="P2624" s="149"/>
      <c r="Q2624" s="149"/>
      <c r="R2624" s="149"/>
      <c r="S2624" s="149"/>
      <c r="T2624" s="149"/>
      <c r="U2624" s="149"/>
      <c r="V2624" s="149"/>
      <c r="W2624" s="149"/>
      <c r="X2624" s="149"/>
      <c r="Y2624" s="149"/>
      <c r="Z2624" s="149"/>
      <c r="AA2624" s="149"/>
      <c r="AB2624" s="149"/>
      <c r="AC2624" s="149"/>
      <c r="AD2624" s="149"/>
      <c r="AE2624" s="149"/>
      <c r="AF2624" s="149"/>
      <c r="AG2624" s="149"/>
      <c r="AH2624" s="149"/>
      <c r="AI2624" s="149"/>
      <c r="AJ2624" s="149"/>
      <c r="AK2624" s="149"/>
      <c r="AL2624" s="149"/>
      <c r="AM2624" s="149"/>
      <c r="AN2624" s="149"/>
      <c r="AO2624" s="128"/>
      <c r="AP2624" s="128"/>
      <c r="AQ2624" s="128"/>
      <c r="AR2624" s="128"/>
      <c r="AS2624" s="128"/>
      <c r="AT2624" s="128"/>
      <c r="AU2624" s="128"/>
      <c r="AV2624" s="128"/>
      <c r="AW2624" s="128"/>
      <c r="AX2624" s="128"/>
      <c r="AY2624" s="128"/>
      <c r="AZ2624" s="128"/>
      <c r="BA2624" s="128"/>
      <c r="BB2624" s="128"/>
      <c r="BC2624" s="128"/>
      <c r="BD2624" s="128"/>
      <c r="BE2624" s="128"/>
      <c r="BF2624" s="128"/>
      <c r="BG2624" s="128"/>
      <c r="BH2624" s="128"/>
      <c r="BI2624" s="128"/>
      <c r="BJ2624" s="128"/>
      <c r="BK2624" s="128"/>
      <c r="BL2624" s="128"/>
      <c r="BM2624" s="151"/>
      <c r="BN2624" s="128"/>
      <c r="BO2624" s="128"/>
      <c r="BP2624" s="128"/>
      <c r="BQ2624" s="128"/>
      <c r="BR2624" s="128"/>
      <c r="BS2624" s="128"/>
      <c r="BT2624" s="128"/>
      <c r="BU2624" s="128"/>
      <c r="BV2624" s="128"/>
      <c r="BW2624" s="128"/>
      <c r="BX2624" s="128"/>
      <c r="BY2624" s="128"/>
      <c r="BZ2624" s="128"/>
      <c r="CA2624" s="128"/>
      <c r="CB2624" s="128"/>
      <c r="CC2624" s="128"/>
      <c r="CD2624" s="128"/>
      <c r="CE2624" s="128"/>
      <c r="CF2624" s="128"/>
      <c r="CG2624" s="128"/>
      <c r="CI2624" s="128"/>
      <c r="CJ2624" s="128"/>
      <c r="CK2624" s="128"/>
      <c r="CL2624" s="128"/>
      <c r="CM2624" s="128"/>
      <c r="CN2624" s="128"/>
      <c r="CO2624" s="128"/>
      <c r="CP2624" s="128"/>
      <c r="CQ2624" s="128"/>
      <c r="CR2624" s="128"/>
      <c r="CS2624" s="128"/>
      <c r="CT2624" s="128"/>
      <c r="CU2624" s="128"/>
      <c r="CV2624" s="128"/>
      <c r="CW2624" s="128"/>
      <c r="CX2624" s="128"/>
      <c r="CY2624" s="128"/>
      <c r="CZ2624" s="165"/>
    </row>
    <row r="2625" spans="1:104">
      <c r="A2625" s="149"/>
      <c r="B2625" s="149"/>
      <c r="C2625" s="150"/>
      <c r="D2625" s="102"/>
      <c r="E2625" s="149"/>
      <c r="F2625" s="149"/>
      <c r="G2625" s="149"/>
      <c r="H2625" s="149"/>
      <c r="I2625" s="149"/>
      <c r="J2625" s="149"/>
      <c r="K2625" s="149"/>
      <c r="L2625" s="149"/>
      <c r="M2625" s="149"/>
      <c r="N2625" s="149"/>
      <c r="O2625" s="149"/>
      <c r="P2625" s="149"/>
      <c r="Q2625" s="149"/>
      <c r="R2625" s="149"/>
      <c r="S2625" s="149"/>
      <c r="T2625" s="149"/>
      <c r="U2625" s="149"/>
      <c r="V2625" s="149"/>
      <c r="W2625" s="149"/>
      <c r="X2625" s="149"/>
      <c r="Y2625" s="149"/>
      <c r="Z2625" s="149"/>
      <c r="AA2625" s="149"/>
      <c r="AB2625" s="149"/>
      <c r="AC2625" s="149"/>
      <c r="AD2625" s="149"/>
      <c r="AE2625" s="149"/>
      <c r="AF2625" s="149"/>
      <c r="AG2625" s="149"/>
      <c r="AH2625" s="149"/>
      <c r="AI2625" s="149"/>
      <c r="AJ2625" s="149"/>
      <c r="AK2625" s="149"/>
      <c r="AL2625" s="149"/>
      <c r="AM2625" s="149"/>
      <c r="AN2625" s="149"/>
      <c r="AO2625" s="128"/>
      <c r="AP2625" s="128"/>
      <c r="AQ2625" s="128"/>
      <c r="AR2625" s="128"/>
      <c r="AS2625" s="128"/>
      <c r="AT2625" s="128"/>
      <c r="AU2625" s="128"/>
      <c r="AV2625" s="128"/>
      <c r="AW2625" s="128"/>
      <c r="AX2625" s="128"/>
      <c r="AY2625" s="128"/>
      <c r="AZ2625" s="128"/>
      <c r="BA2625" s="128"/>
      <c r="BB2625" s="128"/>
      <c r="BC2625" s="128"/>
      <c r="BD2625" s="128"/>
      <c r="BE2625" s="128"/>
      <c r="BF2625" s="128"/>
      <c r="BG2625" s="128"/>
      <c r="BH2625" s="128"/>
      <c r="BI2625" s="128"/>
      <c r="BJ2625" s="128"/>
      <c r="BK2625" s="128"/>
      <c r="BL2625" s="128"/>
      <c r="BM2625" s="151"/>
      <c r="BN2625" s="128"/>
      <c r="BO2625" s="128"/>
      <c r="BP2625" s="128"/>
      <c r="BQ2625" s="128"/>
      <c r="BR2625" s="128"/>
      <c r="BS2625" s="128"/>
      <c r="BT2625" s="128"/>
      <c r="BU2625" s="128"/>
      <c r="BV2625" s="128"/>
      <c r="BW2625" s="128"/>
      <c r="BX2625" s="128"/>
      <c r="BY2625" s="128"/>
      <c r="BZ2625" s="128"/>
      <c r="CA2625" s="128"/>
      <c r="CB2625" s="128"/>
      <c r="CC2625" s="128"/>
      <c r="CD2625" s="128"/>
      <c r="CE2625" s="128"/>
      <c r="CF2625" s="128"/>
      <c r="CG2625" s="128"/>
      <c r="CI2625" s="128"/>
      <c r="CJ2625" s="128"/>
      <c r="CK2625" s="128"/>
      <c r="CL2625" s="128"/>
      <c r="CM2625" s="128"/>
      <c r="CN2625" s="128"/>
      <c r="CO2625" s="128"/>
      <c r="CP2625" s="128"/>
      <c r="CQ2625" s="128"/>
      <c r="CR2625" s="128"/>
      <c r="CS2625" s="128"/>
      <c r="CT2625" s="128"/>
      <c r="CU2625" s="128"/>
      <c r="CV2625" s="128"/>
      <c r="CW2625" s="128"/>
      <c r="CX2625" s="128"/>
      <c r="CY2625" s="128"/>
      <c r="CZ2625" s="165"/>
    </row>
    <row r="2626" spans="1:104">
      <c r="A2626" s="149"/>
      <c r="B2626" s="149"/>
      <c r="C2626" s="150"/>
      <c r="D2626" s="102"/>
      <c r="E2626" s="149"/>
      <c r="F2626" s="149"/>
      <c r="G2626" s="149"/>
      <c r="H2626" s="149"/>
      <c r="I2626" s="149"/>
      <c r="J2626" s="149"/>
      <c r="K2626" s="149"/>
      <c r="L2626" s="149"/>
      <c r="M2626" s="149"/>
      <c r="N2626" s="149"/>
      <c r="O2626" s="149"/>
      <c r="P2626" s="149"/>
      <c r="Q2626" s="149"/>
      <c r="R2626" s="149"/>
      <c r="S2626" s="149"/>
      <c r="T2626" s="149"/>
      <c r="U2626" s="149"/>
      <c r="V2626" s="149"/>
      <c r="W2626" s="149"/>
      <c r="X2626" s="149"/>
      <c r="Y2626" s="149"/>
      <c r="Z2626" s="149"/>
      <c r="AA2626" s="149"/>
      <c r="AB2626" s="149"/>
      <c r="AC2626" s="149"/>
      <c r="AD2626" s="149"/>
      <c r="AE2626" s="149"/>
      <c r="AF2626" s="149"/>
      <c r="AG2626" s="149"/>
      <c r="AH2626" s="149"/>
      <c r="AI2626" s="149"/>
      <c r="AJ2626" s="149"/>
      <c r="AK2626" s="149"/>
      <c r="AL2626" s="149"/>
      <c r="AM2626" s="149"/>
      <c r="AN2626" s="149"/>
      <c r="AO2626" s="128"/>
      <c r="AP2626" s="128"/>
      <c r="AQ2626" s="128"/>
      <c r="AR2626" s="128"/>
      <c r="AS2626" s="128"/>
      <c r="AT2626" s="128"/>
      <c r="AU2626" s="128"/>
      <c r="AV2626" s="128"/>
      <c r="AW2626" s="128"/>
      <c r="AX2626" s="128"/>
      <c r="AY2626" s="128"/>
      <c r="AZ2626" s="128"/>
      <c r="BA2626" s="128"/>
      <c r="BB2626" s="128"/>
      <c r="BC2626" s="128"/>
      <c r="BD2626" s="128"/>
      <c r="BE2626" s="128"/>
      <c r="BF2626" s="128"/>
      <c r="BG2626" s="128"/>
      <c r="BH2626" s="128"/>
      <c r="BI2626" s="128"/>
      <c r="BJ2626" s="128"/>
      <c r="BK2626" s="128"/>
      <c r="BL2626" s="128"/>
      <c r="BM2626" s="151"/>
      <c r="BN2626" s="128"/>
      <c r="BO2626" s="128"/>
      <c r="BP2626" s="128"/>
      <c r="BQ2626" s="128"/>
      <c r="BR2626" s="128"/>
      <c r="BS2626" s="128"/>
      <c r="BT2626" s="128"/>
      <c r="BU2626" s="128"/>
      <c r="BV2626" s="128"/>
      <c r="BW2626" s="128"/>
      <c r="BX2626" s="128"/>
      <c r="BY2626" s="128"/>
      <c r="BZ2626" s="128"/>
      <c r="CA2626" s="128"/>
      <c r="CB2626" s="128"/>
      <c r="CC2626" s="128"/>
      <c r="CD2626" s="128"/>
      <c r="CE2626" s="128"/>
      <c r="CF2626" s="128"/>
      <c r="CG2626" s="128"/>
      <c r="CI2626" s="128"/>
      <c r="CJ2626" s="128"/>
      <c r="CK2626" s="128"/>
      <c r="CL2626" s="128"/>
      <c r="CM2626" s="128"/>
      <c r="CN2626" s="128"/>
      <c r="CO2626" s="128"/>
      <c r="CP2626" s="128"/>
      <c r="CQ2626" s="128"/>
      <c r="CR2626" s="128"/>
      <c r="CS2626" s="128"/>
      <c r="CT2626" s="128"/>
      <c r="CU2626" s="128"/>
      <c r="CV2626" s="128"/>
      <c r="CW2626" s="128"/>
      <c r="CX2626" s="128"/>
      <c r="CY2626" s="128"/>
      <c r="CZ2626" s="165"/>
    </row>
    <row r="2627" spans="1:104">
      <c r="A2627" s="149"/>
      <c r="B2627" s="149"/>
      <c r="C2627" s="150"/>
      <c r="D2627" s="102"/>
      <c r="E2627" s="149"/>
      <c r="F2627" s="149"/>
      <c r="G2627" s="149"/>
      <c r="H2627" s="149"/>
      <c r="I2627" s="149"/>
      <c r="J2627" s="149"/>
      <c r="K2627" s="149"/>
      <c r="L2627" s="149"/>
      <c r="M2627" s="149"/>
      <c r="N2627" s="149"/>
      <c r="O2627" s="149"/>
      <c r="P2627" s="149"/>
      <c r="Q2627" s="149"/>
      <c r="R2627" s="149"/>
      <c r="S2627" s="149"/>
      <c r="T2627" s="149"/>
      <c r="U2627" s="149"/>
      <c r="V2627" s="149"/>
      <c r="W2627" s="149"/>
      <c r="X2627" s="149"/>
      <c r="Y2627" s="149"/>
      <c r="Z2627" s="149"/>
      <c r="AA2627" s="149"/>
      <c r="AB2627" s="149"/>
      <c r="AC2627" s="149"/>
      <c r="AD2627" s="149"/>
      <c r="AE2627" s="149"/>
      <c r="AF2627" s="149"/>
      <c r="AG2627" s="149"/>
      <c r="AH2627" s="149"/>
      <c r="AI2627" s="149"/>
      <c r="AJ2627" s="149"/>
      <c r="AK2627" s="149"/>
      <c r="AL2627" s="149"/>
      <c r="AM2627" s="149"/>
      <c r="AN2627" s="149"/>
      <c r="AO2627" s="128"/>
      <c r="AP2627" s="128"/>
      <c r="AQ2627" s="128"/>
      <c r="AR2627" s="128"/>
      <c r="AS2627" s="128"/>
      <c r="AT2627" s="128"/>
      <c r="AU2627" s="128"/>
      <c r="AV2627" s="128"/>
      <c r="AW2627" s="128"/>
      <c r="AX2627" s="128"/>
      <c r="AY2627" s="128"/>
      <c r="AZ2627" s="128"/>
      <c r="BA2627" s="128"/>
      <c r="BB2627" s="128"/>
      <c r="BC2627" s="128"/>
      <c r="BD2627" s="128"/>
      <c r="BE2627" s="128"/>
      <c r="BF2627" s="128"/>
      <c r="BG2627" s="128"/>
      <c r="BH2627" s="128"/>
      <c r="BI2627" s="128"/>
      <c r="BJ2627" s="128"/>
      <c r="BK2627" s="128"/>
      <c r="BL2627" s="128"/>
      <c r="BM2627" s="151"/>
      <c r="BN2627" s="128"/>
      <c r="BO2627" s="128"/>
      <c r="BP2627" s="128"/>
      <c r="BQ2627" s="128"/>
      <c r="BR2627" s="128"/>
      <c r="BS2627" s="128"/>
      <c r="BT2627" s="128"/>
      <c r="BU2627" s="128"/>
      <c r="BV2627" s="128"/>
      <c r="BW2627" s="128"/>
      <c r="BX2627" s="128"/>
      <c r="BY2627" s="128"/>
      <c r="BZ2627" s="128"/>
      <c r="CA2627" s="128"/>
      <c r="CB2627" s="128"/>
      <c r="CC2627" s="128"/>
      <c r="CD2627" s="128"/>
      <c r="CE2627" s="128"/>
      <c r="CF2627" s="128"/>
      <c r="CG2627" s="128"/>
      <c r="CI2627" s="128"/>
      <c r="CJ2627" s="128"/>
      <c r="CK2627" s="128"/>
      <c r="CL2627" s="128"/>
      <c r="CM2627" s="128"/>
      <c r="CN2627" s="128"/>
      <c r="CO2627" s="128"/>
      <c r="CP2627" s="128"/>
      <c r="CQ2627" s="128"/>
      <c r="CR2627" s="128"/>
      <c r="CS2627" s="128"/>
      <c r="CT2627" s="128"/>
      <c r="CU2627" s="128"/>
      <c r="CV2627" s="128"/>
      <c r="CW2627" s="128"/>
      <c r="CX2627" s="128"/>
      <c r="CY2627" s="128"/>
      <c r="CZ2627" s="165"/>
    </row>
    <row r="2628" spans="1:104">
      <c r="A2628" s="149"/>
      <c r="B2628" s="149"/>
      <c r="C2628" s="150"/>
      <c r="D2628" s="102"/>
      <c r="E2628" s="149"/>
      <c r="F2628" s="149"/>
      <c r="G2628" s="149"/>
      <c r="H2628" s="149"/>
      <c r="I2628" s="149"/>
      <c r="J2628" s="149"/>
      <c r="K2628" s="149"/>
      <c r="L2628" s="149"/>
      <c r="M2628" s="149"/>
      <c r="N2628" s="149"/>
      <c r="O2628" s="149"/>
      <c r="P2628" s="149"/>
      <c r="Q2628" s="149"/>
      <c r="R2628" s="149"/>
      <c r="S2628" s="149"/>
      <c r="T2628" s="149"/>
      <c r="U2628" s="149"/>
      <c r="V2628" s="149"/>
      <c r="W2628" s="149"/>
      <c r="X2628" s="149"/>
      <c r="Y2628" s="149"/>
      <c r="Z2628" s="149"/>
      <c r="AA2628" s="149"/>
      <c r="AB2628" s="149"/>
      <c r="AC2628" s="149"/>
      <c r="AD2628" s="149"/>
      <c r="AE2628" s="149"/>
      <c r="AF2628" s="149"/>
      <c r="AG2628" s="149"/>
      <c r="AH2628" s="149"/>
      <c r="AI2628" s="149"/>
      <c r="AJ2628" s="149"/>
      <c r="AK2628" s="149"/>
      <c r="AL2628" s="149"/>
      <c r="AM2628" s="149"/>
      <c r="AN2628" s="149"/>
      <c r="AO2628" s="128"/>
      <c r="AP2628" s="128"/>
      <c r="AQ2628" s="128"/>
      <c r="AR2628" s="128"/>
      <c r="AS2628" s="128"/>
      <c r="AT2628" s="128"/>
      <c r="AU2628" s="128"/>
      <c r="AV2628" s="128"/>
      <c r="AW2628" s="128"/>
      <c r="AX2628" s="128"/>
      <c r="AY2628" s="128"/>
      <c r="AZ2628" s="128"/>
      <c r="BA2628" s="128"/>
      <c r="BB2628" s="128"/>
      <c r="BC2628" s="128"/>
      <c r="BD2628" s="128"/>
      <c r="BE2628" s="128"/>
      <c r="BF2628" s="128"/>
      <c r="BG2628" s="128"/>
      <c r="BH2628" s="128"/>
      <c r="BI2628" s="128"/>
      <c r="BJ2628" s="128"/>
      <c r="BK2628" s="128"/>
      <c r="BL2628" s="128"/>
      <c r="BM2628" s="151"/>
      <c r="BN2628" s="128"/>
      <c r="BO2628" s="128"/>
      <c r="BP2628" s="128"/>
      <c r="BQ2628" s="128"/>
      <c r="BR2628" s="128"/>
      <c r="BS2628" s="128"/>
      <c r="BT2628" s="128"/>
      <c r="BU2628" s="128"/>
      <c r="BV2628" s="128"/>
      <c r="BW2628" s="128"/>
      <c r="BX2628" s="128"/>
      <c r="BY2628" s="128"/>
      <c r="BZ2628" s="128"/>
      <c r="CA2628" s="128"/>
      <c r="CB2628" s="128"/>
      <c r="CC2628" s="128"/>
      <c r="CD2628" s="128"/>
      <c r="CE2628" s="128"/>
      <c r="CF2628" s="128"/>
      <c r="CG2628" s="128"/>
      <c r="CI2628" s="128"/>
      <c r="CJ2628" s="128"/>
      <c r="CK2628" s="128"/>
      <c r="CL2628" s="128"/>
      <c r="CM2628" s="128"/>
      <c r="CN2628" s="128"/>
      <c r="CO2628" s="128"/>
      <c r="CP2628" s="128"/>
      <c r="CQ2628" s="128"/>
      <c r="CR2628" s="128"/>
      <c r="CS2628" s="128"/>
      <c r="CT2628" s="128"/>
      <c r="CU2628" s="128"/>
      <c r="CV2628" s="128"/>
      <c r="CW2628" s="128"/>
      <c r="CX2628" s="128"/>
      <c r="CY2628" s="128"/>
      <c r="CZ2628" s="165"/>
    </row>
    <row r="2629" spans="1:104">
      <c r="A2629" s="149"/>
      <c r="B2629" s="149"/>
      <c r="C2629" s="150"/>
      <c r="D2629" s="102"/>
      <c r="E2629" s="149"/>
      <c r="F2629" s="149"/>
      <c r="G2629" s="149"/>
      <c r="H2629" s="149"/>
      <c r="I2629" s="149"/>
      <c r="J2629" s="149"/>
      <c r="K2629" s="149"/>
      <c r="L2629" s="149"/>
      <c r="M2629" s="149"/>
      <c r="N2629" s="149"/>
      <c r="O2629" s="149"/>
      <c r="P2629" s="149"/>
      <c r="Q2629" s="149"/>
      <c r="R2629" s="149"/>
      <c r="S2629" s="149"/>
      <c r="T2629" s="149"/>
      <c r="U2629" s="149"/>
      <c r="V2629" s="149"/>
      <c r="W2629" s="149"/>
      <c r="X2629" s="149"/>
      <c r="Y2629" s="149"/>
      <c r="Z2629" s="149"/>
      <c r="AA2629" s="149"/>
      <c r="AB2629" s="149"/>
      <c r="AC2629" s="149"/>
      <c r="AD2629" s="149"/>
      <c r="AE2629" s="149"/>
      <c r="AF2629" s="149"/>
      <c r="AG2629" s="149"/>
      <c r="AH2629" s="149"/>
      <c r="AI2629" s="149"/>
      <c r="AJ2629" s="149"/>
      <c r="AK2629" s="149"/>
      <c r="AL2629" s="149"/>
      <c r="AM2629" s="149"/>
      <c r="AN2629" s="149"/>
      <c r="AO2629" s="128"/>
      <c r="AP2629" s="128"/>
      <c r="AQ2629" s="128"/>
      <c r="AR2629" s="128"/>
      <c r="AS2629" s="128"/>
      <c r="AT2629" s="128"/>
      <c r="AU2629" s="128"/>
      <c r="AV2629" s="128"/>
      <c r="AW2629" s="128"/>
      <c r="AX2629" s="128"/>
      <c r="AY2629" s="128"/>
      <c r="AZ2629" s="128"/>
      <c r="BA2629" s="128"/>
      <c r="BB2629" s="128"/>
      <c r="BC2629" s="128"/>
      <c r="BD2629" s="128"/>
      <c r="BE2629" s="128"/>
      <c r="BF2629" s="128"/>
      <c r="BG2629" s="128"/>
      <c r="BH2629" s="128"/>
      <c r="BI2629" s="128"/>
      <c r="BJ2629" s="128"/>
      <c r="BK2629" s="128"/>
      <c r="BL2629" s="128"/>
      <c r="BM2629" s="151"/>
      <c r="BN2629" s="128"/>
      <c r="BO2629" s="128"/>
      <c r="BP2629" s="128"/>
      <c r="BQ2629" s="128"/>
      <c r="BR2629" s="128"/>
      <c r="BS2629" s="128"/>
      <c r="BT2629" s="128"/>
      <c r="BU2629" s="128"/>
      <c r="BV2629" s="128"/>
      <c r="BW2629" s="128"/>
      <c r="BX2629" s="128"/>
      <c r="BY2629" s="128"/>
      <c r="BZ2629" s="128"/>
      <c r="CA2629" s="128"/>
      <c r="CB2629" s="128"/>
      <c r="CC2629" s="128"/>
      <c r="CD2629" s="128"/>
      <c r="CE2629" s="128"/>
      <c r="CF2629" s="128"/>
      <c r="CG2629" s="128"/>
      <c r="CI2629" s="128"/>
      <c r="CJ2629" s="128"/>
      <c r="CK2629" s="128"/>
      <c r="CL2629" s="128"/>
      <c r="CM2629" s="128"/>
      <c r="CN2629" s="128"/>
      <c r="CO2629" s="128"/>
      <c r="CP2629" s="128"/>
      <c r="CQ2629" s="128"/>
      <c r="CR2629" s="128"/>
      <c r="CS2629" s="128"/>
      <c r="CT2629" s="128"/>
      <c r="CU2629" s="128"/>
      <c r="CV2629" s="128"/>
      <c r="CW2629" s="128"/>
      <c r="CX2629" s="128"/>
      <c r="CY2629" s="128"/>
      <c r="CZ2629" s="165"/>
    </row>
    <row r="2630" spans="1:104">
      <c r="A2630" s="149"/>
      <c r="B2630" s="149"/>
      <c r="C2630" s="150"/>
      <c r="D2630" s="102"/>
      <c r="E2630" s="149"/>
      <c r="F2630" s="149"/>
      <c r="G2630" s="149"/>
      <c r="H2630" s="149"/>
      <c r="I2630" s="149"/>
      <c r="J2630" s="149"/>
      <c r="K2630" s="149"/>
      <c r="L2630" s="149"/>
      <c r="M2630" s="149"/>
      <c r="N2630" s="149"/>
      <c r="O2630" s="149"/>
      <c r="P2630" s="149"/>
      <c r="Q2630" s="149"/>
      <c r="R2630" s="149"/>
      <c r="S2630" s="149"/>
      <c r="T2630" s="149"/>
      <c r="U2630" s="149"/>
      <c r="V2630" s="149"/>
      <c r="W2630" s="149"/>
      <c r="X2630" s="149"/>
      <c r="Y2630" s="149"/>
      <c r="Z2630" s="149"/>
      <c r="AA2630" s="149"/>
      <c r="AB2630" s="149"/>
      <c r="AC2630" s="149"/>
      <c r="AD2630" s="149"/>
      <c r="AE2630" s="149"/>
      <c r="AF2630" s="149"/>
      <c r="AG2630" s="149"/>
      <c r="AH2630" s="149"/>
      <c r="AI2630" s="149"/>
      <c r="AJ2630" s="149"/>
      <c r="AK2630" s="149"/>
      <c r="AL2630" s="149"/>
      <c r="AM2630" s="149"/>
      <c r="AN2630" s="149"/>
      <c r="AO2630" s="128"/>
      <c r="AP2630" s="128"/>
      <c r="AQ2630" s="128"/>
      <c r="AR2630" s="128"/>
      <c r="AS2630" s="128"/>
      <c r="AT2630" s="128"/>
      <c r="AU2630" s="128"/>
      <c r="AV2630" s="128"/>
      <c r="AW2630" s="128"/>
      <c r="AX2630" s="128"/>
      <c r="AY2630" s="128"/>
      <c r="AZ2630" s="128"/>
      <c r="BA2630" s="128"/>
      <c r="BB2630" s="128"/>
      <c r="BC2630" s="128"/>
      <c r="BD2630" s="128"/>
      <c r="BE2630" s="128"/>
      <c r="BF2630" s="128"/>
      <c r="BG2630" s="128"/>
      <c r="BH2630" s="128"/>
      <c r="BI2630" s="128"/>
      <c r="BJ2630" s="128"/>
      <c r="BK2630" s="128"/>
      <c r="BL2630" s="128"/>
      <c r="BM2630" s="151"/>
      <c r="BN2630" s="128"/>
      <c r="BO2630" s="128"/>
      <c r="BP2630" s="128"/>
      <c r="BQ2630" s="128"/>
      <c r="BR2630" s="128"/>
      <c r="BS2630" s="128"/>
      <c r="BT2630" s="128"/>
      <c r="BU2630" s="128"/>
      <c r="BV2630" s="128"/>
      <c r="BW2630" s="128"/>
      <c r="BX2630" s="128"/>
      <c r="BY2630" s="128"/>
      <c r="BZ2630" s="128"/>
      <c r="CA2630" s="128"/>
      <c r="CB2630" s="128"/>
      <c r="CC2630" s="128"/>
      <c r="CD2630" s="128"/>
      <c r="CE2630" s="128"/>
      <c r="CF2630" s="128"/>
      <c r="CG2630" s="128"/>
      <c r="CI2630" s="128"/>
      <c r="CJ2630" s="128"/>
      <c r="CK2630" s="128"/>
      <c r="CL2630" s="128"/>
      <c r="CM2630" s="128"/>
      <c r="CN2630" s="128"/>
      <c r="CO2630" s="128"/>
      <c r="CP2630" s="128"/>
      <c r="CQ2630" s="128"/>
      <c r="CR2630" s="128"/>
      <c r="CS2630" s="128"/>
      <c r="CT2630" s="128"/>
      <c r="CU2630" s="128"/>
      <c r="CV2630" s="128"/>
      <c r="CW2630" s="128"/>
      <c r="CX2630" s="128"/>
      <c r="CY2630" s="128"/>
      <c r="CZ2630" s="165"/>
    </row>
    <row r="2631" spans="1:104">
      <c r="A2631" s="149"/>
      <c r="B2631" s="149"/>
      <c r="C2631" s="150"/>
      <c r="D2631" s="102"/>
      <c r="E2631" s="149"/>
      <c r="F2631" s="149"/>
      <c r="G2631" s="149"/>
      <c r="H2631" s="149"/>
      <c r="I2631" s="149"/>
      <c r="J2631" s="149"/>
      <c r="K2631" s="149"/>
      <c r="L2631" s="149"/>
      <c r="M2631" s="149"/>
      <c r="N2631" s="149"/>
      <c r="O2631" s="149"/>
      <c r="P2631" s="149"/>
      <c r="Q2631" s="149"/>
      <c r="R2631" s="149"/>
      <c r="S2631" s="149"/>
      <c r="T2631" s="149"/>
      <c r="U2631" s="149"/>
      <c r="V2631" s="149"/>
      <c r="W2631" s="149"/>
      <c r="X2631" s="149"/>
      <c r="Y2631" s="149"/>
      <c r="Z2631" s="149"/>
      <c r="AA2631" s="149"/>
      <c r="AB2631" s="149"/>
      <c r="AC2631" s="149"/>
      <c r="AD2631" s="149"/>
      <c r="AE2631" s="149"/>
      <c r="AF2631" s="149"/>
      <c r="AG2631" s="149"/>
      <c r="AH2631" s="149"/>
      <c r="AI2631" s="149"/>
      <c r="AJ2631" s="149"/>
      <c r="AK2631" s="149"/>
      <c r="AL2631" s="149"/>
      <c r="AM2631" s="149"/>
      <c r="AN2631" s="149"/>
      <c r="AO2631" s="128"/>
      <c r="AP2631" s="128"/>
      <c r="AQ2631" s="128"/>
      <c r="AR2631" s="128"/>
      <c r="AS2631" s="128"/>
      <c r="AT2631" s="128"/>
      <c r="AU2631" s="128"/>
      <c r="AV2631" s="128"/>
      <c r="AW2631" s="128"/>
      <c r="AX2631" s="128"/>
      <c r="AY2631" s="128"/>
      <c r="AZ2631" s="128"/>
      <c r="BA2631" s="128"/>
      <c r="BB2631" s="128"/>
      <c r="BC2631" s="128"/>
      <c r="BD2631" s="128"/>
      <c r="BE2631" s="128"/>
      <c r="BF2631" s="128"/>
      <c r="BG2631" s="128"/>
      <c r="BH2631" s="128"/>
      <c r="BI2631" s="128"/>
      <c r="BJ2631" s="128"/>
      <c r="BK2631" s="128"/>
      <c r="BL2631" s="128"/>
      <c r="BM2631" s="151"/>
      <c r="BN2631" s="128"/>
      <c r="BO2631" s="128"/>
      <c r="BP2631" s="128"/>
      <c r="BQ2631" s="128"/>
      <c r="BR2631" s="128"/>
      <c r="BS2631" s="128"/>
      <c r="BT2631" s="128"/>
      <c r="BU2631" s="128"/>
      <c r="BV2631" s="128"/>
      <c r="BW2631" s="128"/>
      <c r="BX2631" s="128"/>
      <c r="BY2631" s="128"/>
      <c r="BZ2631" s="128"/>
      <c r="CA2631" s="128"/>
      <c r="CB2631" s="128"/>
      <c r="CC2631" s="128"/>
      <c r="CD2631" s="128"/>
      <c r="CE2631" s="128"/>
      <c r="CF2631" s="128"/>
      <c r="CG2631" s="128"/>
      <c r="CI2631" s="128"/>
      <c r="CJ2631" s="128"/>
      <c r="CK2631" s="128"/>
      <c r="CL2631" s="128"/>
      <c r="CM2631" s="128"/>
      <c r="CN2631" s="128"/>
      <c r="CO2631" s="128"/>
      <c r="CP2631" s="128"/>
      <c r="CQ2631" s="128"/>
      <c r="CR2631" s="128"/>
      <c r="CS2631" s="128"/>
      <c r="CT2631" s="128"/>
      <c r="CU2631" s="128"/>
      <c r="CV2631" s="128"/>
      <c r="CW2631" s="128"/>
      <c r="CX2631" s="128"/>
      <c r="CY2631" s="128"/>
      <c r="CZ2631" s="165"/>
    </row>
    <row r="2632" spans="1:104">
      <c r="A2632" s="149"/>
      <c r="B2632" s="149"/>
      <c r="C2632" s="150"/>
      <c r="D2632" s="102"/>
      <c r="E2632" s="149"/>
      <c r="F2632" s="149"/>
      <c r="G2632" s="149"/>
      <c r="H2632" s="149"/>
      <c r="I2632" s="149"/>
      <c r="J2632" s="149"/>
      <c r="K2632" s="149"/>
      <c r="L2632" s="149"/>
      <c r="M2632" s="149"/>
      <c r="N2632" s="149"/>
      <c r="O2632" s="149"/>
      <c r="P2632" s="149"/>
      <c r="Q2632" s="149"/>
      <c r="R2632" s="149"/>
      <c r="S2632" s="149"/>
      <c r="T2632" s="149"/>
      <c r="U2632" s="149"/>
      <c r="V2632" s="149"/>
      <c r="W2632" s="149"/>
      <c r="X2632" s="149"/>
      <c r="Y2632" s="149"/>
      <c r="Z2632" s="149"/>
      <c r="AA2632" s="149"/>
      <c r="AB2632" s="149"/>
      <c r="AC2632" s="149"/>
      <c r="AD2632" s="149"/>
      <c r="AE2632" s="149"/>
      <c r="AF2632" s="149"/>
      <c r="AG2632" s="149"/>
      <c r="AH2632" s="149"/>
      <c r="AI2632" s="149"/>
      <c r="AJ2632" s="149"/>
      <c r="AK2632" s="149"/>
      <c r="AL2632" s="149"/>
      <c r="AM2632" s="149"/>
      <c r="AN2632" s="149"/>
      <c r="AO2632" s="128"/>
      <c r="AP2632" s="128"/>
      <c r="AQ2632" s="128"/>
      <c r="AR2632" s="128"/>
      <c r="AS2632" s="128"/>
      <c r="AT2632" s="128"/>
      <c r="AU2632" s="128"/>
      <c r="AV2632" s="128"/>
      <c r="AW2632" s="128"/>
      <c r="AX2632" s="128"/>
      <c r="AY2632" s="128"/>
      <c r="AZ2632" s="128"/>
      <c r="BA2632" s="128"/>
      <c r="BB2632" s="128"/>
      <c r="BC2632" s="128"/>
      <c r="BD2632" s="128"/>
      <c r="BE2632" s="128"/>
      <c r="BF2632" s="128"/>
      <c r="BG2632" s="128"/>
      <c r="BH2632" s="128"/>
      <c r="BI2632" s="128"/>
      <c r="BJ2632" s="128"/>
      <c r="BK2632" s="128"/>
      <c r="BL2632" s="128"/>
      <c r="BM2632" s="151"/>
      <c r="BN2632" s="128"/>
      <c r="BO2632" s="128"/>
      <c r="BP2632" s="128"/>
      <c r="BQ2632" s="128"/>
      <c r="BR2632" s="128"/>
      <c r="BS2632" s="128"/>
      <c r="BT2632" s="128"/>
      <c r="BU2632" s="128"/>
      <c r="BV2632" s="128"/>
      <c r="BW2632" s="128"/>
      <c r="BX2632" s="128"/>
      <c r="BY2632" s="128"/>
      <c r="BZ2632" s="128"/>
      <c r="CA2632" s="128"/>
      <c r="CB2632" s="128"/>
      <c r="CC2632" s="128"/>
      <c r="CD2632" s="128"/>
      <c r="CE2632" s="128"/>
      <c r="CF2632" s="128"/>
      <c r="CG2632" s="128"/>
      <c r="CI2632" s="128"/>
      <c r="CJ2632" s="128"/>
      <c r="CK2632" s="128"/>
      <c r="CL2632" s="128"/>
      <c r="CM2632" s="128"/>
      <c r="CN2632" s="128"/>
      <c r="CO2632" s="128"/>
      <c r="CP2632" s="128"/>
      <c r="CQ2632" s="128"/>
      <c r="CR2632" s="128"/>
      <c r="CS2632" s="128"/>
      <c r="CT2632" s="128"/>
      <c r="CU2632" s="128"/>
      <c r="CV2632" s="128"/>
      <c r="CW2632" s="128"/>
      <c r="CX2632" s="128"/>
      <c r="CY2632" s="128"/>
      <c r="CZ2632" s="165"/>
    </row>
    <row r="2633" spans="1:104">
      <c r="A2633" s="149"/>
      <c r="B2633" s="149"/>
      <c r="C2633" s="150"/>
      <c r="D2633" s="102"/>
      <c r="E2633" s="149"/>
      <c r="F2633" s="149"/>
      <c r="G2633" s="149"/>
      <c r="H2633" s="149"/>
      <c r="I2633" s="149"/>
      <c r="J2633" s="149"/>
      <c r="K2633" s="149"/>
      <c r="L2633" s="149"/>
      <c r="M2633" s="149"/>
      <c r="N2633" s="149"/>
      <c r="O2633" s="149"/>
      <c r="P2633" s="149"/>
      <c r="Q2633" s="149"/>
      <c r="R2633" s="149"/>
      <c r="S2633" s="149"/>
      <c r="T2633" s="149"/>
      <c r="U2633" s="149"/>
      <c r="V2633" s="149"/>
      <c r="W2633" s="149"/>
      <c r="X2633" s="149"/>
      <c r="Y2633" s="149"/>
      <c r="Z2633" s="149"/>
      <c r="AA2633" s="149"/>
      <c r="AB2633" s="149"/>
      <c r="AC2633" s="149"/>
      <c r="AD2633" s="149"/>
      <c r="AE2633" s="149"/>
      <c r="AF2633" s="149"/>
      <c r="AG2633" s="149"/>
      <c r="AH2633" s="149"/>
      <c r="AI2633" s="149"/>
      <c r="AJ2633" s="149"/>
      <c r="AK2633" s="149"/>
      <c r="AL2633" s="149"/>
      <c r="AM2633" s="149"/>
      <c r="AN2633" s="149"/>
      <c r="AO2633" s="128"/>
      <c r="AP2633" s="128"/>
      <c r="AQ2633" s="128"/>
      <c r="AR2633" s="128"/>
      <c r="AS2633" s="128"/>
      <c r="AT2633" s="128"/>
      <c r="AU2633" s="128"/>
      <c r="AV2633" s="128"/>
      <c r="AW2633" s="128"/>
      <c r="AX2633" s="128"/>
      <c r="AY2633" s="128"/>
      <c r="AZ2633" s="128"/>
      <c r="BA2633" s="128"/>
      <c r="BB2633" s="128"/>
      <c r="BC2633" s="128"/>
      <c r="BD2633" s="128"/>
      <c r="BE2633" s="128"/>
      <c r="BF2633" s="128"/>
      <c r="BG2633" s="128"/>
      <c r="BH2633" s="128"/>
      <c r="BI2633" s="128"/>
      <c r="BJ2633" s="128"/>
      <c r="BK2633" s="128"/>
      <c r="BL2633" s="128"/>
      <c r="BM2633" s="151"/>
      <c r="BN2633" s="128"/>
      <c r="BO2633" s="128"/>
      <c r="BP2633" s="128"/>
      <c r="BQ2633" s="128"/>
      <c r="BR2633" s="128"/>
      <c r="BS2633" s="128"/>
      <c r="BT2633" s="128"/>
      <c r="BU2633" s="128"/>
      <c r="BV2633" s="128"/>
      <c r="BW2633" s="128"/>
      <c r="BX2633" s="128"/>
      <c r="BY2633" s="128"/>
      <c r="BZ2633" s="128"/>
      <c r="CA2633" s="128"/>
      <c r="CB2633" s="128"/>
      <c r="CC2633" s="128"/>
      <c r="CD2633" s="128"/>
      <c r="CE2633" s="128"/>
      <c r="CF2633" s="128"/>
      <c r="CG2633" s="128"/>
      <c r="CI2633" s="128"/>
      <c r="CJ2633" s="128"/>
      <c r="CK2633" s="128"/>
      <c r="CL2633" s="128"/>
      <c r="CM2633" s="128"/>
      <c r="CN2633" s="128"/>
      <c r="CO2633" s="128"/>
      <c r="CP2633" s="128"/>
      <c r="CQ2633" s="128"/>
      <c r="CR2633" s="128"/>
      <c r="CS2633" s="128"/>
      <c r="CT2633" s="128"/>
      <c r="CU2633" s="128"/>
      <c r="CV2633" s="128"/>
      <c r="CW2633" s="128"/>
      <c r="CX2633" s="128"/>
      <c r="CY2633" s="128"/>
      <c r="CZ2633" s="165"/>
    </row>
    <row r="2634" spans="1:104">
      <c r="A2634" s="149"/>
      <c r="B2634" s="149"/>
      <c r="C2634" s="150"/>
      <c r="D2634" s="102"/>
      <c r="E2634" s="149"/>
      <c r="F2634" s="149"/>
      <c r="G2634" s="149"/>
      <c r="H2634" s="149"/>
      <c r="I2634" s="149"/>
      <c r="J2634" s="149"/>
      <c r="K2634" s="149"/>
      <c r="L2634" s="149"/>
      <c r="M2634" s="149"/>
      <c r="N2634" s="149"/>
      <c r="O2634" s="149"/>
      <c r="P2634" s="149"/>
      <c r="Q2634" s="149"/>
      <c r="R2634" s="149"/>
      <c r="S2634" s="149"/>
      <c r="T2634" s="149"/>
      <c r="U2634" s="149"/>
      <c r="V2634" s="149"/>
      <c r="W2634" s="149"/>
      <c r="X2634" s="149"/>
      <c r="Y2634" s="149"/>
      <c r="Z2634" s="149"/>
      <c r="AA2634" s="149"/>
      <c r="AB2634" s="149"/>
      <c r="AC2634" s="149"/>
      <c r="AD2634" s="149"/>
      <c r="AE2634" s="149"/>
      <c r="AF2634" s="149"/>
      <c r="AG2634" s="149"/>
      <c r="AH2634" s="149"/>
      <c r="AI2634" s="149"/>
      <c r="AJ2634" s="149"/>
      <c r="AK2634" s="149"/>
      <c r="AL2634" s="149"/>
      <c r="AM2634" s="149"/>
      <c r="AN2634" s="149"/>
      <c r="AO2634" s="128"/>
      <c r="AP2634" s="128"/>
      <c r="AQ2634" s="128"/>
      <c r="AR2634" s="128"/>
      <c r="AS2634" s="128"/>
      <c r="AT2634" s="128"/>
      <c r="AU2634" s="128"/>
      <c r="AV2634" s="128"/>
      <c r="AW2634" s="128"/>
      <c r="AX2634" s="128"/>
      <c r="AY2634" s="128"/>
      <c r="AZ2634" s="128"/>
      <c r="BA2634" s="128"/>
      <c r="BB2634" s="128"/>
      <c r="BC2634" s="128"/>
      <c r="BD2634" s="128"/>
      <c r="BE2634" s="128"/>
      <c r="BF2634" s="128"/>
      <c r="BG2634" s="128"/>
      <c r="BH2634" s="128"/>
      <c r="BI2634" s="128"/>
      <c r="BJ2634" s="128"/>
      <c r="BK2634" s="128"/>
      <c r="BL2634" s="128"/>
      <c r="BM2634" s="151"/>
      <c r="BN2634" s="128"/>
      <c r="BO2634" s="128"/>
      <c r="BP2634" s="128"/>
      <c r="BQ2634" s="128"/>
      <c r="BR2634" s="128"/>
      <c r="BS2634" s="128"/>
      <c r="BT2634" s="128"/>
      <c r="BU2634" s="128"/>
      <c r="BV2634" s="128"/>
      <c r="BW2634" s="128"/>
      <c r="BX2634" s="128"/>
      <c r="BY2634" s="128"/>
      <c r="BZ2634" s="128"/>
      <c r="CA2634" s="128"/>
      <c r="CB2634" s="128"/>
      <c r="CC2634" s="128"/>
      <c r="CD2634" s="128"/>
      <c r="CE2634" s="128"/>
      <c r="CF2634" s="128"/>
      <c r="CG2634" s="128"/>
      <c r="CI2634" s="128"/>
      <c r="CJ2634" s="128"/>
      <c r="CK2634" s="128"/>
      <c r="CL2634" s="128"/>
      <c r="CM2634" s="128"/>
      <c r="CN2634" s="128"/>
      <c r="CO2634" s="128"/>
      <c r="CP2634" s="128"/>
      <c r="CQ2634" s="128"/>
      <c r="CR2634" s="128"/>
      <c r="CS2634" s="128"/>
      <c r="CT2634" s="128"/>
      <c r="CU2634" s="128"/>
      <c r="CV2634" s="128"/>
      <c r="CW2634" s="128"/>
      <c r="CX2634" s="128"/>
      <c r="CY2634" s="128"/>
      <c r="CZ2634" s="165"/>
    </row>
    <row r="2635" spans="1:104">
      <c r="A2635" s="149"/>
      <c r="B2635" s="149"/>
      <c r="C2635" s="150"/>
      <c r="D2635" s="102"/>
      <c r="E2635" s="149"/>
      <c r="F2635" s="149"/>
      <c r="G2635" s="149"/>
      <c r="H2635" s="149"/>
      <c r="I2635" s="149"/>
      <c r="J2635" s="149"/>
      <c r="K2635" s="149"/>
      <c r="L2635" s="149"/>
      <c r="M2635" s="149"/>
      <c r="N2635" s="149"/>
      <c r="O2635" s="149"/>
      <c r="P2635" s="149"/>
      <c r="Q2635" s="149"/>
      <c r="R2635" s="149"/>
      <c r="S2635" s="149"/>
      <c r="T2635" s="149"/>
      <c r="U2635" s="149"/>
      <c r="V2635" s="149"/>
      <c r="W2635" s="149"/>
      <c r="X2635" s="149"/>
      <c r="Y2635" s="149"/>
      <c r="Z2635" s="149"/>
      <c r="AA2635" s="149"/>
      <c r="AB2635" s="149"/>
      <c r="AC2635" s="149"/>
      <c r="AD2635" s="149"/>
      <c r="AE2635" s="149"/>
      <c r="AF2635" s="149"/>
      <c r="AG2635" s="149"/>
      <c r="AH2635" s="149"/>
      <c r="AI2635" s="149"/>
      <c r="AJ2635" s="149"/>
      <c r="AK2635" s="149"/>
      <c r="AL2635" s="149"/>
      <c r="AM2635" s="149"/>
      <c r="AN2635" s="149"/>
      <c r="AO2635" s="128"/>
      <c r="AP2635" s="128"/>
      <c r="AQ2635" s="128"/>
      <c r="AR2635" s="128"/>
      <c r="AS2635" s="128"/>
      <c r="AT2635" s="128"/>
      <c r="AU2635" s="128"/>
      <c r="AV2635" s="128"/>
      <c r="AW2635" s="128"/>
      <c r="AX2635" s="128"/>
      <c r="AY2635" s="128"/>
      <c r="AZ2635" s="128"/>
      <c r="BA2635" s="128"/>
      <c r="BB2635" s="128"/>
      <c r="BC2635" s="128"/>
      <c r="BD2635" s="128"/>
      <c r="BE2635" s="128"/>
      <c r="BF2635" s="128"/>
      <c r="BG2635" s="128"/>
      <c r="BH2635" s="128"/>
      <c r="BI2635" s="128"/>
      <c r="BJ2635" s="128"/>
      <c r="BK2635" s="128"/>
      <c r="BL2635" s="128"/>
      <c r="BM2635" s="151"/>
      <c r="BN2635" s="128"/>
      <c r="BO2635" s="128"/>
      <c r="BP2635" s="128"/>
      <c r="BQ2635" s="128"/>
      <c r="BR2635" s="128"/>
      <c r="BS2635" s="128"/>
      <c r="BT2635" s="128"/>
      <c r="BU2635" s="128"/>
      <c r="BV2635" s="128"/>
      <c r="BW2635" s="128"/>
      <c r="BX2635" s="128"/>
      <c r="BY2635" s="128"/>
      <c r="BZ2635" s="128"/>
      <c r="CA2635" s="128"/>
      <c r="CB2635" s="128"/>
      <c r="CC2635" s="128"/>
      <c r="CD2635" s="128"/>
      <c r="CE2635" s="128"/>
      <c r="CF2635" s="128"/>
      <c r="CG2635" s="128"/>
      <c r="CI2635" s="128"/>
      <c r="CJ2635" s="128"/>
      <c r="CK2635" s="128"/>
      <c r="CL2635" s="128"/>
      <c r="CM2635" s="128"/>
      <c r="CN2635" s="128"/>
      <c r="CO2635" s="128"/>
      <c r="CP2635" s="128"/>
      <c r="CQ2635" s="128"/>
      <c r="CR2635" s="128"/>
      <c r="CS2635" s="128"/>
      <c r="CT2635" s="128"/>
      <c r="CU2635" s="128"/>
      <c r="CV2635" s="128"/>
      <c r="CW2635" s="128"/>
      <c r="CX2635" s="128"/>
      <c r="CY2635" s="128"/>
      <c r="CZ2635" s="165"/>
    </row>
    <row r="2636" spans="1:104">
      <c r="A2636" s="149"/>
      <c r="B2636" s="149"/>
      <c r="C2636" s="150"/>
      <c r="D2636" s="102"/>
      <c r="E2636" s="149"/>
      <c r="F2636" s="149"/>
      <c r="G2636" s="149"/>
      <c r="H2636" s="149"/>
      <c r="I2636" s="149"/>
      <c r="J2636" s="149"/>
      <c r="K2636" s="149"/>
      <c r="L2636" s="149"/>
      <c r="M2636" s="149"/>
      <c r="N2636" s="149"/>
      <c r="O2636" s="149"/>
      <c r="P2636" s="149"/>
      <c r="Q2636" s="149"/>
      <c r="R2636" s="149"/>
      <c r="S2636" s="149"/>
      <c r="T2636" s="149"/>
      <c r="U2636" s="149"/>
      <c r="V2636" s="149"/>
      <c r="W2636" s="149"/>
      <c r="X2636" s="149"/>
      <c r="Y2636" s="149"/>
      <c r="Z2636" s="149"/>
      <c r="AA2636" s="149"/>
      <c r="AB2636" s="149"/>
      <c r="AC2636" s="149"/>
      <c r="AD2636" s="149"/>
      <c r="AE2636" s="149"/>
      <c r="AF2636" s="149"/>
      <c r="AG2636" s="149"/>
      <c r="AH2636" s="149"/>
      <c r="AI2636" s="149"/>
      <c r="AJ2636" s="149"/>
      <c r="AK2636" s="149"/>
      <c r="AL2636" s="149"/>
      <c r="AM2636" s="149"/>
      <c r="AN2636" s="149"/>
      <c r="AO2636" s="128"/>
      <c r="AP2636" s="128"/>
      <c r="AQ2636" s="128"/>
      <c r="AR2636" s="128"/>
      <c r="AS2636" s="128"/>
      <c r="AT2636" s="128"/>
      <c r="AU2636" s="128"/>
      <c r="AV2636" s="128"/>
      <c r="AW2636" s="128"/>
      <c r="AX2636" s="128"/>
      <c r="AY2636" s="128"/>
      <c r="AZ2636" s="128"/>
      <c r="BA2636" s="128"/>
      <c r="BB2636" s="128"/>
      <c r="BC2636" s="128"/>
      <c r="BD2636" s="128"/>
      <c r="BE2636" s="128"/>
      <c r="BF2636" s="128"/>
      <c r="BG2636" s="128"/>
      <c r="BH2636" s="128"/>
      <c r="BI2636" s="128"/>
      <c r="BJ2636" s="128"/>
      <c r="BK2636" s="128"/>
      <c r="BL2636" s="128"/>
      <c r="BM2636" s="151"/>
      <c r="BN2636" s="128"/>
      <c r="BO2636" s="128"/>
      <c r="BP2636" s="128"/>
      <c r="BQ2636" s="128"/>
      <c r="BR2636" s="128"/>
      <c r="BS2636" s="128"/>
      <c r="BT2636" s="128"/>
      <c r="BU2636" s="128"/>
      <c r="BV2636" s="128"/>
      <c r="BW2636" s="128"/>
      <c r="BX2636" s="128"/>
      <c r="BY2636" s="128"/>
      <c r="BZ2636" s="128"/>
      <c r="CA2636" s="128"/>
      <c r="CB2636" s="128"/>
      <c r="CC2636" s="128"/>
      <c r="CD2636" s="128"/>
      <c r="CE2636" s="128"/>
      <c r="CF2636" s="128"/>
      <c r="CG2636" s="128"/>
      <c r="CI2636" s="128"/>
      <c r="CJ2636" s="128"/>
      <c r="CK2636" s="128"/>
      <c r="CL2636" s="128"/>
      <c r="CM2636" s="128"/>
      <c r="CN2636" s="128"/>
      <c r="CO2636" s="128"/>
      <c r="CP2636" s="128"/>
      <c r="CQ2636" s="128"/>
      <c r="CR2636" s="128"/>
      <c r="CS2636" s="128"/>
      <c r="CT2636" s="128"/>
      <c r="CU2636" s="128"/>
      <c r="CV2636" s="128"/>
      <c r="CW2636" s="128"/>
      <c r="CX2636" s="128"/>
      <c r="CY2636" s="128"/>
      <c r="CZ2636" s="165"/>
    </row>
    <row r="2637" spans="1:104">
      <c r="A2637" s="149"/>
      <c r="B2637" s="149"/>
      <c r="C2637" s="150"/>
      <c r="D2637" s="102"/>
      <c r="E2637" s="149"/>
      <c r="F2637" s="149"/>
      <c r="G2637" s="149"/>
      <c r="H2637" s="149"/>
      <c r="I2637" s="149"/>
      <c r="J2637" s="149"/>
      <c r="K2637" s="149"/>
      <c r="L2637" s="149"/>
      <c r="M2637" s="149"/>
      <c r="N2637" s="149"/>
      <c r="O2637" s="149"/>
      <c r="P2637" s="149"/>
      <c r="Q2637" s="149"/>
      <c r="R2637" s="149"/>
      <c r="S2637" s="149"/>
      <c r="T2637" s="149"/>
      <c r="U2637" s="149"/>
      <c r="V2637" s="149"/>
      <c r="W2637" s="149"/>
      <c r="X2637" s="149"/>
      <c r="Y2637" s="149"/>
      <c r="Z2637" s="149"/>
      <c r="AA2637" s="149"/>
      <c r="AB2637" s="149"/>
      <c r="AC2637" s="149"/>
      <c r="AD2637" s="149"/>
      <c r="AE2637" s="149"/>
      <c r="AF2637" s="149"/>
      <c r="AG2637" s="149"/>
      <c r="AH2637" s="149"/>
      <c r="AI2637" s="149"/>
      <c r="AJ2637" s="149"/>
      <c r="AK2637" s="149"/>
      <c r="AL2637" s="149"/>
      <c r="AM2637" s="149"/>
      <c r="AN2637" s="149"/>
      <c r="AO2637" s="128"/>
      <c r="AP2637" s="128"/>
      <c r="AQ2637" s="128"/>
      <c r="AR2637" s="128"/>
      <c r="AS2637" s="128"/>
      <c r="AT2637" s="128"/>
      <c r="AU2637" s="128"/>
      <c r="AV2637" s="128"/>
      <c r="AW2637" s="128"/>
      <c r="AX2637" s="128"/>
      <c r="AY2637" s="128"/>
      <c r="AZ2637" s="128"/>
      <c r="BA2637" s="128"/>
      <c r="BB2637" s="128"/>
      <c r="BC2637" s="128"/>
      <c r="BD2637" s="128"/>
      <c r="BE2637" s="128"/>
      <c r="BF2637" s="128"/>
      <c r="BG2637" s="128"/>
      <c r="BH2637" s="128"/>
      <c r="BI2637" s="128"/>
      <c r="BJ2637" s="128"/>
      <c r="BK2637" s="128"/>
      <c r="BL2637" s="128"/>
      <c r="BM2637" s="151"/>
      <c r="BN2637" s="128"/>
      <c r="BO2637" s="128"/>
      <c r="BP2637" s="128"/>
      <c r="BQ2637" s="128"/>
      <c r="BR2637" s="128"/>
      <c r="BS2637" s="128"/>
      <c r="BT2637" s="128"/>
      <c r="BU2637" s="128"/>
      <c r="BV2637" s="128"/>
      <c r="BW2637" s="128"/>
      <c r="BX2637" s="128"/>
      <c r="BY2637" s="128"/>
      <c r="BZ2637" s="128"/>
      <c r="CA2637" s="128"/>
      <c r="CB2637" s="128"/>
      <c r="CC2637" s="128"/>
      <c r="CD2637" s="128"/>
      <c r="CE2637" s="128"/>
      <c r="CF2637" s="128"/>
      <c r="CG2637" s="128"/>
      <c r="CI2637" s="128"/>
      <c r="CJ2637" s="128"/>
      <c r="CK2637" s="128"/>
      <c r="CL2637" s="128"/>
      <c r="CM2637" s="128"/>
      <c r="CN2637" s="128"/>
      <c r="CO2637" s="128"/>
      <c r="CP2637" s="128"/>
      <c r="CQ2637" s="128"/>
      <c r="CR2637" s="128"/>
      <c r="CS2637" s="128"/>
      <c r="CT2637" s="128"/>
      <c r="CU2637" s="128"/>
      <c r="CV2637" s="128"/>
      <c r="CW2637" s="128"/>
      <c r="CX2637" s="128"/>
      <c r="CY2637" s="128"/>
      <c r="CZ2637" s="165"/>
    </row>
    <row r="2638" spans="1:104">
      <c r="A2638" s="149"/>
      <c r="B2638" s="149"/>
      <c r="C2638" s="150"/>
      <c r="D2638" s="102"/>
      <c r="E2638" s="149"/>
      <c r="F2638" s="149"/>
      <c r="G2638" s="149"/>
      <c r="H2638" s="149"/>
      <c r="I2638" s="149"/>
      <c r="J2638" s="149"/>
      <c r="K2638" s="149"/>
      <c r="L2638" s="149"/>
      <c r="M2638" s="149"/>
      <c r="N2638" s="149"/>
      <c r="O2638" s="149"/>
      <c r="P2638" s="149"/>
      <c r="Q2638" s="149"/>
      <c r="R2638" s="149"/>
      <c r="S2638" s="149"/>
      <c r="T2638" s="149"/>
      <c r="U2638" s="149"/>
      <c r="V2638" s="149"/>
      <c r="W2638" s="149"/>
      <c r="X2638" s="149"/>
      <c r="Y2638" s="149"/>
      <c r="Z2638" s="149"/>
      <c r="AA2638" s="149"/>
      <c r="AB2638" s="149"/>
      <c r="AC2638" s="149"/>
      <c r="AD2638" s="149"/>
      <c r="AE2638" s="149"/>
      <c r="AF2638" s="149"/>
      <c r="AG2638" s="149"/>
      <c r="AH2638" s="149"/>
      <c r="AI2638" s="149"/>
      <c r="AJ2638" s="149"/>
      <c r="AK2638" s="149"/>
      <c r="AL2638" s="149"/>
      <c r="AM2638" s="149"/>
      <c r="AN2638" s="149"/>
      <c r="AO2638" s="128"/>
      <c r="AP2638" s="128"/>
      <c r="AQ2638" s="128"/>
      <c r="AR2638" s="128"/>
      <c r="AS2638" s="128"/>
      <c r="AT2638" s="128"/>
      <c r="AU2638" s="128"/>
      <c r="AV2638" s="128"/>
      <c r="AW2638" s="128"/>
      <c r="AX2638" s="128"/>
      <c r="AY2638" s="128"/>
      <c r="AZ2638" s="128"/>
      <c r="BA2638" s="128"/>
      <c r="BB2638" s="128"/>
      <c r="BC2638" s="128"/>
      <c r="BD2638" s="128"/>
      <c r="BE2638" s="128"/>
      <c r="BF2638" s="128"/>
      <c r="BG2638" s="128"/>
      <c r="BH2638" s="128"/>
      <c r="BI2638" s="128"/>
      <c r="BJ2638" s="128"/>
      <c r="BK2638" s="128"/>
      <c r="BL2638" s="128"/>
      <c r="BM2638" s="151"/>
      <c r="BN2638" s="128"/>
      <c r="BO2638" s="128"/>
      <c r="BP2638" s="128"/>
      <c r="BQ2638" s="128"/>
      <c r="BR2638" s="128"/>
      <c r="BS2638" s="128"/>
      <c r="BT2638" s="128"/>
      <c r="BU2638" s="128"/>
      <c r="BV2638" s="128"/>
      <c r="BW2638" s="128"/>
      <c r="BX2638" s="128"/>
      <c r="BY2638" s="128"/>
      <c r="BZ2638" s="128"/>
      <c r="CA2638" s="128"/>
      <c r="CB2638" s="128"/>
      <c r="CC2638" s="128"/>
      <c r="CD2638" s="128"/>
      <c r="CE2638" s="128"/>
      <c r="CF2638" s="128"/>
      <c r="CG2638" s="128"/>
      <c r="CI2638" s="128"/>
      <c r="CJ2638" s="128"/>
      <c r="CK2638" s="128"/>
      <c r="CL2638" s="128"/>
      <c r="CM2638" s="128"/>
      <c r="CN2638" s="128"/>
      <c r="CO2638" s="128"/>
      <c r="CP2638" s="128"/>
      <c r="CQ2638" s="128"/>
      <c r="CR2638" s="128"/>
      <c r="CS2638" s="128"/>
      <c r="CT2638" s="128"/>
      <c r="CU2638" s="128"/>
      <c r="CV2638" s="128"/>
      <c r="CW2638" s="128"/>
      <c r="CX2638" s="128"/>
      <c r="CY2638" s="128"/>
      <c r="CZ2638" s="165"/>
    </row>
    <row r="2639" spans="1:104">
      <c r="A2639" s="149"/>
      <c r="B2639" s="149"/>
      <c r="C2639" s="150"/>
      <c r="D2639" s="102"/>
      <c r="E2639" s="149"/>
      <c r="F2639" s="149"/>
      <c r="G2639" s="149"/>
      <c r="H2639" s="149"/>
      <c r="I2639" s="149"/>
      <c r="J2639" s="149"/>
      <c r="K2639" s="149"/>
      <c r="L2639" s="149"/>
      <c r="M2639" s="149"/>
      <c r="N2639" s="149"/>
      <c r="O2639" s="149"/>
      <c r="P2639" s="149"/>
      <c r="Q2639" s="149"/>
      <c r="R2639" s="149"/>
      <c r="S2639" s="149"/>
      <c r="T2639" s="149"/>
      <c r="U2639" s="149"/>
      <c r="V2639" s="149"/>
      <c r="W2639" s="149"/>
      <c r="X2639" s="149"/>
      <c r="Y2639" s="149"/>
      <c r="Z2639" s="149"/>
      <c r="AA2639" s="149"/>
      <c r="AB2639" s="149"/>
      <c r="AC2639" s="149"/>
      <c r="AD2639" s="149"/>
      <c r="AE2639" s="149"/>
      <c r="AF2639" s="149"/>
      <c r="AG2639" s="149"/>
      <c r="AH2639" s="149"/>
      <c r="AI2639" s="149"/>
      <c r="AJ2639" s="149"/>
      <c r="AK2639" s="149"/>
      <c r="AL2639" s="149"/>
      <c r="AM2639" s="149"/>
      <c r="AN2639" s="149"/>
      <c r="AO2639" s="128"/>
      <c r="AP2639" s="128"/>
      <c r="AQ2639" s="128"/>
      <c r="AR2639" s="128"/>
      <c r="AS2639" s="128"/>
      <c r="AT2639" s="128"/>
      <c r="AU2639" s="128"/>
      <c r="AV2639" s="128"/>
      <c r="AW2639" s="128"/>
      <c r="AX2639" s="128"/>
      <c r="AY2639" s="128"/>
      <c r="AZ2639" s="128"/>
      <c r="BA2639" s="128"/>
      <c r="BB2639" s="128"/>
      <c r="BC2639" s="128"/>
      <c r="BD2639" s="128"/>
      <c r="BE2639" s="128"/>
      <c r="BF2639" s="128"/>
      <c r="BG2639" s="128"/>
      <c r="BH2639" s="128"/>
      <c r="BI2639" s="128"/>
      <c r="BJ2639" s="128"/>
      <c r="BK2639" s="128"/>
      <c r="BL2639" s="128"/>
      <c r="BM2639" s="151"/>
      <c r="BN2639" s="128"/>
      <c r="BO2639" s="128"/>
      <c r="BP2639" s="128"/>
      <c r="BQ2639" s="128"/>
      <c r="BR2639" s="128"/>
      <c r="BS2639" s="128"/>
      <c r="BT2639" s="128"/>
      <c r="BU2639" s="128"/>
      <c r="BV2639" s="128"/>
      <c r="BW2639" s="128"/>
      <c r="BX2639" s="128"/>
      <c r="BY2639" s="128"/>
      <c r="BZ2639" s="128"/>
      <c r="CA2639" s="128"/>
      <c r="CB2639" s="128"/>
      <c r="CC2639" s="128"/>
      <c r="CD2639" s="128"/>
      <c r="CE2639" s="128"/>
      <c r="CF2639" s="128"/>
      <c r="CG2639" s="128"/>
      <c r="CI2639" s="128"/>
      <c r="CJ2639" s="128"/>
      <c r="CK2639" s="128"/>
      <c r="CL2639" s="128"/>
      <c r="CM2639" s="128"/>
      <c r="CN2639" s="128"/>
      <c r="CO2639" s="128"/>
      <c r="CP2639" s="128"/>
      <c r="CQ2639" s="128"/>
      <c r="CR2639" s="128"/>
      <c r="CS2639" s="128"/>
      <c r="CT2639" s="128"/>
      <c r="CU2639" s="128"/>
      <c r="CV2639" s="128"/>
      <c r="CW2639" s="128"/>
      <c r="CX2639" s="128"/>
      <c r="CY2639" s="128"/>
      <c r="CZ2639" s="165"/>
    </row>
    <row r="2640" spans="1:104">
      <c r="A2640" s="149"/>
      <c r="B2640" s="149"/>
      <c r="C2640" s="150"/>
      <c r="D2640" s="102"/>
      <c r="E2640" s="149"/>
      <c r="F2640" s="149"/>
      <c r="G2640" s="149"/>
      <c r="H2640" s="149"/>
      <c r="I2640" s="149"/>
      <c r="J2640" s="149"/>
      <c r="K2640" s="149"/>
      <c r="L2640" s="149"/>
      <c r="M2640" s="149"/>
      <c r="N2640" s="149"/>
      <c r="O2640" s="149"/>
      <c r="P2640" s="149"/>
      <c r="Q2640" s="149"/>
      <c r="R2640" s="149"/>
      <c r="S2640" s="149"/>
      <c r="T2640" s="149"/>
      <c r="U2640" s="149"/>
      <c r="V2640" s="149"/>
      <c r="W2640" s="149"/>
      <c r="X2640" s="149"/>
      <c r="Y2640" s="149"/>
      <c r="Z2640" s="149"/>
      <c r="AA2640" s="149"/>
      <c r="AB2640" s="149"/>
      <c r="AC2640" s="149"/>
      <c r="AD2640" s="149"/>
      <c r="AE2640" s="149"/>
      <c r="AF2640" s="149"/>
      <c r="AG2640" s="149"/>
      <c r="AH2640" s="149"/>
      <c r="AI2640" s="149"/>
      <c r="AJ2640" s="149"/>
      <c r="AK2640" s="149"/>
      <c r="AL2640" s="149"/>
      <c r="AM2640" s="149"/>
      <c r="AN2640" s="149"/>
      <c r="AO2640" s="128"/>
      <c r="AP2640" s="128"/>
      <c r="AQ2640" s="128"/>
      <c r="AR2640" s="128"/>
      <c r="AS2640" s="128"/>
      <c r="AT2640" s="128"/>
      <c r="AU2640" s="128"/>
      <c r="AV2640" s="128"/>
      <c r="AW2640" s="128"/>
      <c r="AX2640" s="128"/>
      <c r="AY2640" s="128"/>
      <c r="AZ2640" s="128"/>
      <c r="BA2640" s="128"/>
      <c r="BB2640" s="128"/>
      <c r="BC2640" s="128"/>
      <c r="BD2640" s="128"/>
      <c r="BE2640" s="128"/>
      <c r="BF2640" s="128"/>
      <c r="BG2640" s="128"/>
      <c r="BH2640" s="128"/>
      <c r="BI2640" s="128"/>
      <c r="BJ2640" s="128"/>
      <c r="BK2640" s="128"/>
      <c r="BL2640" s="128"/>
      <c r="BM2640" s="151"/>
      <c r="BN2640" s="128"/>
      <c r="BO2640" s="128"/>
      <c r="BP2640" s="128"/>
      <c r="BQ2640" s="128"/>
      <c r="BR2640" s="128"/>
      <c r="BS2640" s="128"/>
      <c r="BT2640" s="128"/>
      <c r="BU2640" s="128"/>
      <c r="BV2640" s="128"/>
      <c r="BW2640" s="128"/>
      <c r="BX2640" s="128"/>
      <c r="BY2640" s="128"/>
      <c r="BZ2640" s="128"/>
      <c r="CA2640" s="128"/>
      <c r="CB2640" s="128"/>
      <c r="CC2640" s="128"/>
      <c r="CD2640" s="128"/>
      <c r="CE2640" s="128"/>
      <c r="CF2640" s="128"/>
      <c r="CG2640" s="128"/>
      <c r="CI2640" s="128"/>
      <c r="CJ2640" s="128"/>
      <c r="CK2640" s="128"/>
      <c r="CL2640" s="128"/>
      <c r="CM2640" s="128"/>
      <c r="CN2640" s="128"/>
      <c r="CO2640" s="128"/>
      <c r="CP2640" s="128"/>
      <c r="CQ2640" s="128"/>
      <c r="CR2640" s="128"/>
      <c r="CS2640" s="128"/>
      <c r="CT2640" s="128"/>
      <c r="CU2640" s="128"/>
      <c r="CV2640" s="128"/>
      <c r="CW2640" s="128"/>
      <c r="CX2640" s="128"/>
      <c r="CY2640" s="128"/>
      <c r="CZ2640" s="165"/>
    </row>
    <row r="2641" spans="1:104">
      <c r="A2641" s="149"/>
      <c r="B2641" s="149"/>
      <c r="C2641" s="150"/>
      <c r="D2641" s="102"/>
      <c r="E2641" s="149"/>
      <c r="F2641" s="149"/>
      <c r="G2641" s="149"/>
      <c r="H2641" s="149"/>
      <c r="I2641" s="149"/>
      <c r="J2641" s="149"/>
      <c r="K2641" s="149"/>
      <c r="L2641" s="149"/>
      <c r="M2641" s="149"/>
      <c r="N2641" s="149"/>
      <c r="O2641" s="149"/>
      <c r="P2641" s="149"/>
      <c r="Q2641" s="149"/>
      <c r="R2641" s="149"/>
      <c r="S2641" s="149"/>
      <c r="T2641" s="149"/>
      <c r="U2641" s="149"/>
      <c r="V2641" s="149"/>
      <c r="W2641" s="149"/>
      <c r="X2641" s="149"/>
      <c r="Y2641" s="149"/>
      <c r="Z2641" s="149"/>
      <c r="AA2641" s="149"/>
      <c r="AB2641" s="149"/>
      <c r="AC2641" s="149"/>
      <c r="AD2641" s="149"/>
      <c r="AE2641" s="149"/>
      <c r="AF2641" s="149"/>
      <c r="AG2641" s="149"/>
      <c r="AH2641" s="149"/>
      <c r="AI2641" s="149"/>
      <c r="AJ2641" s="149"/>
      <c r="AK2641" s="149"/>
      <c r="AL2641" s="149"/>
      <c r="AM2641" s="149"/>
      <c r="AN2641" s="149"/>
      <c r="AO2641" s="128"/>
      <c r="AP2641" s="128"/>
      <c r="AQ2641" s="128"/>
      <c r="AR2641" s="128"/>
      <c r="AS2641" s="128"/>
      <c r="AT2641" s="128"/>
      <c r="AU2641" s="128"/>
      <c r="AV2641" s="128"/>
      <c r="AW2641" s="128"/>
      <c r="AX2641" s="128"/>
      <c r="AY2641" s="128"/>
      <c r="AZ2641" s="128"/>
      <c r="BA2641" s="128"/>
      <c r="BB2641" s="128"/>
      <c r="BC2641" s="128"/>
      <c r="BD2641" s="128"/>
      <c r="BE2641" s="128"/>
      <c r="BF2641" s="128"/>
      <c r="BG2641" s="128"/>
      <c r="BH2641" s="128"/>
      <c r="BI2641" s="128"/>
      <c r="BJ2641" s="128"/>
      <c r="BK2641" s="128"/>
      <c r="BL2641" s="128"/>
      <c r="BM2641" s="151"/>
      <c r="BN2641" s="128"/>
      <c r="BO2641" s="128"/>
      <c r="BP2641" s="128"/>
      <c r="BQ2641" s="128"/>
      <c r="BR2641" s="128"/>
      <c r="BS2641" s="128"/>
      <c r="BT2641" s="128"/>
      <c r="BU2641" s="128"/>
      <c r="BV2641" s="128"/>
      <c r="BW2641" s="128"/>
      <c r="BX2641" s="128"/>
      <c r="BY2641" s="128"/>
      <c r="BZ2641" s="128"/>
      <c r="CA2641" s="128"/>
      <c r="CB2641" s="128"/>
      <c r="CC2641" s="128"/>
      <c r="CD2641" s="128"/>
      <c r="CE2641" s="128"/>
      <c r="CF2641" s="128"/>
      <c r="CG2641" s="128"/>
      <c r="CI2641" s="128"/>
      <c r="CJ2641" s="128"/>
      <c r="CK2641" s="128"/>
      <c r="CL2641" s="128"/>
      <c r="CM2641" s="128"/>
      <c r="CN2641" s="128"/>
      <c r="CO2641" s="128"/>
      <c r="CP2641" s="128"/>
      <c r="CQ2641" s="128"/>
      <c r="CR2641" s="128"/>
      <c r="CS2641" s="128"/>
      <c r="CT2641" s="128"/>
      <c r="CU2641" s="128"/>
      <c r="CV2641" s="128"/>
      <c r="CW2641" s="128"/>
      <c r="CX2641" s="128"/>
      <c r="CY2641" s="128"/>
      <c r="CZ2641" s="165"/>
    </row>
    <row r="2642" spans="1:104">
      <c r="A2642" s="149"/>
      <c r="B2642" s="149"/>
      <c r="C2642" s="150"/>
      <c r="D2642" s="102"/>
      <c r="E2642" s="149"/>
      <c r="F2642" s="149"/>
      <c r="G2642" s="149"/>
      <c r="H2642" s="149"/>
      <c r="I2642" s="149"/>
      <c r="J2642" s="149"/>
      <c r="K2642" s="149"/>
      <c r="L2642" s="149"/>
      <c r="M2642" s="149"/>
      <c r="N2642" s="149"/>
      <c r="O2642" s="149"/>
      <c r="P2642" s="149"/>
      <c r="Q2642" s="149"/>
      <c r="R2642" s="149"/>
      <c r="S2642" s="149"/>
      <c r="T2642" s="149"/>
      <c r="U2642" s="149"/>
      <c r="V2642" s="149"/>
      <c r="W2642" s="149"/>
      <c r="X2642" s="149"/>
      <c r="Y2642" s="149"/>
      <c r="Z2642" s="149"/>
      <c r="AA2642" s="149"/>
      <c r="AB2642" s="149"/>
      <c r="AC2642" s="149"/>
      <c r="AD2642" s="149"/>
      <c r="AE2642" s="149"/>
      <c r="AF2642" s="149"/>
      <c r="AG2642" s="149"/>
      <c r="AH2642" s="149"/>
      <c r="AI2642" s="149"/>
      <c r="AJ2642" s="149"/>
      <c r="AK2642" s="149"/>
      <c r="AL2642" s="149"/>
      <c r="AM2642" s="149"/>
      <c r="AN2642" s="149"/>
      <c r="AO2642" s="128"/>
      <c r="AP2642" s="128"/>
      <c r="AQ2642" s="128"/>
      <c r="AR2642" s="128"/>
      <c r="AS2642" s="128"/>
      <c r="AT2642" s="128"/>
      <c r="AU2642" s="128"/>
      <c r="AV2642" s="128"/>
      <c r="AW2642" s="128"/>
      <c r="AX2642" s="128"/>
      <c r="AY2642" s="128"/>
      <c r="AZ2642" s="128"/>
      <c r="BA2642" s="128"/>
      <c r="BB2642" s="128"/>
      <c r="BC2642" s="128"/>
      <c r="BD2642" s="128"/>
      <c r="BE2642" s="128"/>
      <c r="BF2642" s="128"/>
      <c r="BG2642" s="128"/>
      <c r="BH2642" s="128"/>
      <c r="BI2642" s="128"/>
      <c r="BJ2642" s="128"/>
      <c r="BK2642" s="128"/>
      <c r="BL2642" s="128"/>
      <c r="BM2642" s="151"/>
      <c r="BN2642" s="128"/>
      <c r="BO2642" s="128"/>
      <c r="BP2642" s="128"/>
      <c r="BQ2642" s="128"/>
      <c r="BR2642" s="128"/>
      <c r="BS2642" s="128"/>
      <c r="BT2642" s="128"/>
      <c r="BU2642" s="128"/>
      <c r="BV2642" s="128"/>
      <c r="BW2642" s="128"/>
      <c r="BX2642" s="128"/>
      <c r="BY2642" s="128"/>
      <c r="BZ2642" s="128"/>
      <c r="CA2642" s="128"/>
      <c r="CB2642" s="128"/>
      <c r="CC2642" s="128"/>
      <c r="CD2642" s="128"/>
      <c r="CE2642" s="128"/>
      <c r="CF2642" s="128"/>
      <c r="CG2642" s="128"/>
      <c r="CI2642" s="128"/>
      <c r="CJ2642" s="128"/>
      <c r="CK2642" s="128"/>
      <c r="CL2642" s="128"/>
      <c r="CM2642" s="128"/>
      <c r="CN2642" s="128"/>
      <c r="CO2642" s="128"/>
      <c r="CP2642" s="128"/>
      <c r="CQ2642" s="128"/>
      <c r="CR2642" s="128"/>
      <c r="CS2642" s="128"/>
      <c r="CT2642" s="128"/>
      <c r="CU2642" s="128"/>
      <c r="CV2642" s="128"/>
      <c r="CW2642" s="128"/>
      <c r="CX2642" s="128"/>
      <c r="CY2642" s="128"/>
      <c r="CZ2642" s="165"/>
    </row>
    <row r="2643" spans="1:104">
      <c r="A2643" s="149"/>
      <c r="B2643" s="149"/>
      <c r="C2643" s="150"/>
      <c r="D2643" s="102"/>
      <c r="E2643" s="149"/>
      <c r="F2643" s="149"/>
      <c r="G2643" s="149"/>
      <c r="H2643" s="149"/>
      <c r="I2643" s="149"/>
      <c r="J2643" s="149"/>
      <c r="K2643" s="149"/>
      <c r="L2643" s="149"/>
      <c r="M2643" s="149"/>
      <c r="N2643" s="149"/>
      <c r="O2643" s="149"/>
      <c r="P2643" s="149"/>
      <c r="Q2643" s="149"/>
      <c r="R2643" s="149"/>
      <c r="S2643" s="149"/>
      <c r="T2643" s="149"/>
      <c r="U2643" s="149"/>
      <c r="V2643" s="149"/>
      <c r="W2643" s="149"/>
      <c r="X2643" s="149"/>
      <c r="Y2643" s="149"/>
      <c r="Z2643" s="149"/>
      <c r="AA2643" s="149"/>
      <c r="AB2643" s="149"/>
      <c r="AC2643" s="149"/>
      <c r="AD2643" s="149"/>
      <c r="AE2643" s="149"/>
      <c r="AF2643" s="149"/>
      <c r="AG2643" s="149"/>
      <c r="AH2643" s="149"/>
      <c r="AI2643" s="149"/>
      <c r="AJ2643" s="149"/>
      <c r="AK2643" s="149"/>
      <c r="AL2643" s="149"/>
      <c r="AM2643" s="149"/>
      <c r="AN2643" s="149"/>
      <c r="AO2643" s="128"/>
      <c r="AP2643" s="128"/>
      <c r="AQ2643" s="128"/>
      <c r="AR2643" s="128"/>
      <c r="AS2643" s="128"/>
      <c r="AT2643" s="128"/>
      <c r="AU2643" s="128"/>
      <c r="AV2643" s="128"/>
      <c r="AW2643" s="128"/>
      <c r="AX2643" s="128"/>
      <c r="AY2643" s="128"/>
      <c r="AZ2643" s="128"/>
      <c r="BA2643" s="128"/>
      <c r="BB2643" s="128"/>
      <c r="BC2643" s="128"/>
      <c r="BD2643" s="128"/>
      <c r="BE2643" s="128"/>
      <c r="BF2643" s="128"/>
      <c r="BG2643" s="128"/>
      <c r="BH2643" s="128"/>
      <c r="BI2643" s="128"/>
      <c r="BJ2643" s="128"/>
      <c r="BK2643" s="128"/>
      <c r="BL2643" s="128"/>
      <c r="BM2643" s="151"/>
      <c r="BN2643" s="128"/>
      <c r="BO2643" s="128"/>
      <c r="BP2643" s="128"/>
      <c r="BQ2643" s="128"/>
      <c r="BR2643" s="128"/>
      <c r="BS2643" s="128"/>
      <c r="BT2643" s="128"/>
      <c r="BU2643" s="128"/>
      <c r="BV2643" s="128"/>
      <c r="BW2643" s="128"/>
      <c r="BX2643" s="128"/>
      <c r="BY2643" s="128"/>
      <c r="BZ2643" s="128"/>
      <c r="CA2643" s="128"/>
      <c r="CB2643" s="128"/>
      <c r="CC2643" s="128"/>
      <c r="CD2643" s="128"/>
      <c r="CE2643" s="128"/>
      <c r="CF2643" s="128"/>
      <c r="CG2643" s="128"/>
      <c r="CI2643" s="128"/>
      <c r="CJ2643" s="128"/>
      <c r="CK2643" s="128"/>
      <c r="CL2643" s="128"/>
      <c r="CM2643" s="128"/>
      <c r="CN2643" s="128"/>
      <c r="CO2643" s="128"/>
      <c r="CP2643" s="128"/>
      <c r="CQ2643" s="128"/>
      <c r="CR2643" s="128"/>
      <c r="CS2643" s="128"/>
      <c r="CT2643" s="128"/>
      <c r="CU2643" s="128"/>
      <c r="CV2643" s="128"/>
      <c r="CW2643" s="128"/>
      <c r="CX2643" s="128"/>
      <c r="CY2643" s="128"/>
      <c r="CZ2643" s="165"/>
    </row>
    <row r="2644" spans="1:104">
      <c r="A2644" s="149"/>
      <c r="B2644" s="149"/>
      <c r="C2644" s="150"/>
      <c r="D2644" s="102"/>
      <c r="E2644" s="149"/>
      <c r="F2644" s="149"/>
      <c r="G2644" s="149"/>
      <c r="H2644" s="149"/>
      <c r="I2644" s="149"/>
      <c r="J2644" s="149"/>
      <c r="K2644" s="149"/>
      <c r="L2644" s="149"/>
      <c r="M2644" s="149"/>
      <c r="N2644" s="149"/>
      <c r="O2644" s="149"/>
      <c r="P2644" s="149"/>
      <c r="Q2644" s="149"/>
      <c r="R2644" s="149"/>
      <c r="S2644" s="149"/>
      <c r="T2644" s="149"/>
      <c r="U2644" s="149"/>
      <c r="V2644" s="149"/>
      <c r="W2644" s="149"/>
      <c r="X2644" s="149"/>
      <c r="Y2644" s="149"/>
      <c r="Z2644" s="149"/>
      <c r="AA2644" s="149"/>
      <c r="AB2644" s="149"/>
      <c r="AC2644" s="149"/>
      <c r="AD2644" s="149"/>
      <c r="AE2644" s="149"/>
      <c r="AF2644" s="149"/>
      <c r="AG2644" s="149"/>
      <c r="AH2644" s="149"/>
      <c r="AI2644" s="149"/>
      <c r="AJ2644" s="149"/>
      <c r="AK2644" s="149"/>
      <c r="AL2644" s="149"/>
      <c r="AM2644" s="149"/>
      <c r="AN2644" s="149"/>
      <c r="AO2644" s="128"/>
      <c r="AP2644" s="128"/>
      <c r="AQ2644" s="128"/>
      <c r="AR2644" s="128"/>
      <c r="AS2644" s="128"/>
      <c r="AT2644" s="128"/>
      <c r="AU2644" s="128"/>
      <c r="AV2644" s="128"/>
      <c r="AW2644" s="128"/>
      <c r="AX2644" s="128"/>
      <c r="AY2644" s="128"/>
      <c r="AZ2644" s="128"/>
      <c r="BA2644" s="128"/>
      <c r="BB2644" s="128"/>
      <c r="BC2644" s="128"/>
      <c r="BD2644" s="128"/>
      <c r="BE2644" s="128"/>
      <c r="BF2644" s="128"/>
      <c r="BG2644" s="128"/>
      <c r="BH2644" s="128"/>
      <c r="BI2644" s="128"/>
      <c r="BJ2644" s="128"/>
      <c r="BK2644" s="128"/>
      <c r="BL2644" s="128"/>
      <c r="BM2644" s="151"/>
      <c r="BN2644" s="128"/>
      <c r="BO2644" s="128"/>
      <c r="BP2644" s="128"/>
      <c r="BQ2644" s="128"/>
      <c r="BR2644" s="128"/>
      <c r="BS2644" s="128"/>
      <c r="BT2644" s="128"/>
      <c r="BU2644" s="128"/>
      <c r="BV2644" s="128"/>
      <c r="BW2644" s="128"/>
      <c r="BX2644" s="128"/>
      <c r="BY2644" s="128"/>
      <c r="BZ2644" s="128"/>
      <c r="CA2644" s="128"/>
      <c r="CB2644" s="128"/>
      <c r="CC2644" s="128"/>
      <c r="CD2644" s="128"/>
      <c r="CE2644" s="128"/>
      <c r="CF2644" s="128"/>
      <c r="CG2644" s="128"/>
      <c r="CI2644" s="128"/>
      <c r="CJ2644" s="128"/>
      <c r="CK2644" s="128"/>
      <c r="CL2644" s="128"/>
      <c r="CM2644" s="128"/>
      <c r="CN2644" s="128"/>
      <c r="CO2644" s="128"/>
      <c r="CP2644" s="128"/>
      <c r="CQ2644" s="128"/>
      <c r="CR2644" s="128"/>
      <c r="CS2644" s="128"/>
      <c r="CT2644" s="128"/>
      <c r="CU2644" s="128"/>
      <c r="CV2644" s="128"/>
      <c r="CW2644" s="128"/>
      <c r="CX2644" s="128"/>
      <c r="CY2644" s="128"/>
      <c r="CZ2644" s="165"/>
    </row>
    <row r="2645" spans="1:104">
      <c r="A2645" s="149"/>
      <c r="B2645" s="149"/>
      <c r="C2645" s="150"/>
      <c r="D2645" s="102"/>
      <c r="E2645" s="149"/>
      <c r="F2645" s="149"/>
      <c r="G2645" s="149"/>
      <c r="H2645" s="149"/>
      <c r="I2645" s="149"/>
      <c r="J2645" s="149"/>
      <c r="K2645" s="149"/>
      <c r="L2645" s="149"/>
      <c r="M2645" s="149"/>
      <c r="N2645" s="149"/>
      <c r="O2645" s="149"/>
      <c r="P2645" s="149"/>
      <c r="Q2645" s="149"/>
      <c r="R2645" s="149"/>
      <c r="S2645" s="149"/>
      <c r="T2645" s="149"/>
      <c r="U2645" s="149"/>
      <c r="V2645" s="149"/>
      <c r="W2645" s="149"/>
      <c r="X2645" s="149"/>
      <c r="Y2645" s="149"/>
      <c r="Z2645" s="149"/>
      <c r="AA2645" s="149"/>
      <c r="AB2645" s="149"/>
      <c r="AC2645" s="149"/>
      <c r="AD2645" s="149"/>
      <c r="AE2645" s="149"/>
      <c r="AF2645" s="149"/>
      <c r="AG2645" s="149"/>
      <c r="AH2645" s="149"/>
      <c r="AI2645" s="149"/>
      <c r="AJ2645" s="149"/>
      <c r="AK2645" s="149"/>
      <c r="AL2645" s="149"/>
      <c r="AM2645" s="149"/>
      <c r="AN2645" s="149"/>
      <c r="AO2645" s="128"/>
      <c r="AP2645" s="128"/>
      <c r="AQ2645" s="128"/>
      <c r="AR2645" s="128"/>
      <c r="AS2645" s="128"/>
      <c r="AT2645" s="128"/>
      <c r="AU2645" s="128"/>
      <c r="AV2645" s="128"/>
      <c r="AW2645" s="128"/>
      <c r="AX2645" s="128"/>
      <c r="AY2645" s="128"/>
      <c r="AZ2645" s="128"/>
      <c r="BA2645" s="128"/>
      <c r="BB2645" s="128"/>
      <c r="BC2645" s="128"/>
      <c r="BD2645" s="128"/>
      <c r="BE2645" s="128"/>
      <c r="BF2645" s="128"/>
      <c r="BG2645" s="128"/>
      <c r="BH2645" s="128"/>
      <c r="BI2645" s="128"/>
      <c r="BJ2645" s="128"/>
      <c r="BK2645" s="128"/>
      <c r="BL2645" s="128"/>
      <c r="BM2645" s="151"/>
      <c r="BN2645" s="128"/>
      <c r="BO2645" s="128"/>
      <c r="BP2645" s="128"/>
      <c r="BQ2645" s="128"/>
      <c r="BR2645" s="128"/>
      <c r="BS2645" s="128"/>
      <c r="BT2645" s="128"/>
      <c r="BU2645" s="128"/>
      <c r="BV2645" s="128"/>
      <c r="BW2645" s="128"/>
      <c r="BX2645" s="128"/>
      <c r="BY2645" s="128"/>
      <c r="BZ2645" s="128"/>
      <c r="CA2645" s="128"/>
      <c r="CB2645" s="128"/>
      <c r="CC2645" s="128"/>
      <c r="CD2645" s="128"/>
      <c r="CE2645" s="128"/>
      <c r="CF2645" s="128"/>
      <c r="CG2645" s="128"/>
      <c r="CI2645" s="128"/>
      <c r="CJ2645" s="128"/>
      <c r="CK2645" s="128"/>
      <c r="CL2645" s="128"/>
      <c r="CM2645" s="128"/>
      <c r="CN2645" s="128"/>
      <c r="CO2645" s="128"/>
      <c r="CP2645" s="128"/>
      <c r="CQ2645" s="128"/>
      <c r="CR2645" s="128"/>
      <c r="CS2645" s="128"/>
      <c r="CT2645" s="128"/>
      <c r="CU2645" s="128"/>
      <c r="CV2645" s="128"/>
      <c r="CW2645" s="128"/>
      <c r="CX2645" s="128"/>
      <c r="CY2645" s="128"/>
      <c r="CZ2645" s="165"/>
    </row>
    <row r="2646" spans="1:104">
      <c r="A2646" s="149"/>
      <c r="B2646" s="149"/>
      <c r="C2646" s="150"/>
      <c r="D2646" s="102"/>
      <c r="E2646" s="149"/>
      <c r="F2646" s="149"/>
      <c r="G2646" s="149"/>
      <c r="H2646" s="149"/>
      <c r="I2646" s="149"/>
      <c r="J2646" s="149"/>
      <c r="K2646" s="149"/>
      <c r="L2646" s="149"/>
      <c r="M2646" s="149"/>
      <c r="N2646" s="149"/>
      <c r="O2646" s="149"/>
      <c r="P2646" s="149"/>
      <c r="Q2646" s="149"/>
      <c r="R2646" s="149"/>
      <c r="S2646" s="149"/>
      <c r="T2646" s="149"/>
      <c r="U2646" s="149"/>
      <c r="V2646" s="149"/>
      <c r="W2646" s="149"/>
      <c r="X2646" s="149"/>
      <c r="Y2646" s="149"/>
      <c r="Z2646" s="149"/>
      <c r="AA2646" s="149"/>
      <c r="AB2646" s="149"/>
      <c r="AC2646" s="149"/>
      <c r="AD2646" s="149"/>
      <c r="AE2646" s="149"/>
      <c r="AF2646" s="149"/>
      <c r="AG2646" s="149"/>
      <c r="AH2646" s="149"/>
      <c r="AI2646" s="149"/>
      <c r="AJ2646" s="149"/>
      <c r="AK2646" s="149"/>
      <c r="AL2646" s="149"/>
      <c r="AM2646" s="149"/>
      <c r="AN2646" s="149"/>
      <c r="AO2646" s="128"/>
      <c r="AP2646" s="128"/>
      <c r="AQ2646" s="128"/>
      <c r="AR2646" s="128"/>
      <c r="AS2646" s="128"/>
      <c r="AT2646" s="128"/>
      <c r="AU2646" s="128"/>
      <c r="AV2646" s="128"/>
      <c r="AW2646" s="128"/>
      <c r="AX2646" s="128"/>
      <c r="AY2646" s="128"/>
      <c r="AZ2646" s="128"/>
      <c r="BA2646" s="128"/>
      <c r="BB2646" s="128"/>
      <c r="BC2646" s="128"/>
      <c r="BD2646" s="128"/>
      <c r="BE2646" s="128"/>
      <c r="BF2646" s="128"/>
      <c r="BG2646" s="128"/>
      <c r="BH2646" s="128"/>
      <c r="BI2646" s="128"/>
      <c r="BJ2646" s="128"/>
      <c r="BK2646" s="128"/>
      <c r="BL2646" s="128"/>
      <c r="BM2646" s="151"/>
      <c r="BN2646" s="128"/>
      <c r="BO2646" s="128"/>
      <c r="BP2646" s="128"/>
      <c r="BQ2646" s="128"/>
      <c r="BR2646" s="128"/>
      <c r="BS2646" s="128"/>
      <c r="BT2646" s="128"/>
      <c r="BU2646" s="128"/>
      <c r="BV2646" s="128"/>
      <c r="BW2646" s="128"/>
      <c r="BX2646" s="128"/>
      <c r="BY2646" s="128"/>
      <c r="BZ2646" s="128"/>
      <c r="CA2646" s="128"/>
      <c r="CB2646" s="128"/>
      <c r="CC2646" s="128"/>
      <c r="CD2646" s="128"/>
      <c r="CE2646" s="128"/>
      <c r="CF2646" s="128"/>
      <c r="CG2646" s="128"/>
      <c r="CI2646" s="128"/>
      <c r="CJ2646" s="128"/>
      <c r="CK2646" s="128"/>
      <c r="CL2646" s="128"/>
      <c r="CM2646" s="128"/>
      <c r="CN2646" s="128"/>
      <c r="CO2646" s="128"/>
      <c r="CP2646" s="128"/>
      <c r="CQ2646" s="128"/>
      <c r="CR2646" s="128"/>
      <c r="CS2646" s="128"/>
      <c r="CT2646" s="128"/>
      <c r="CU2646" s="128"/>
      <c r="CV2646" s="128"/>
      <c r="CW2646" s="128"/>
      <c r="CX2646" s="128"/>
      <c r="CY2646" s="128"/>
      <c r="CZ2646" s="165"/>
    </row>
    <row r="2647" spans="1:104">
      <c r="A2647" s="149"/>
      <c r="B2647" s="149"/>
      <c r="C2647" s="150"/>
      <c r="D2647" s="102"/>
      <c r="E2647" s="149"/>
      <c r="F2647" s="149"/>
      <c r="G2647" s="149"/>
      <c r="H2647" s="149"/>
      <c r="I2647" s="149"/>
      <c r="J2647" s="149"/>
      <c r="K2647" s="149"/>
      <c r="L2647" s="149"/>
      <c r="M2647" s="149"/>
      <c r="N2647" s="149"/>
      <c r="O2647" s="149"/>
      <c r="P2647" s="149"/>
      <c r="Q2647" s="149"/>
      <c r="R2647" s="149"/>
      <c r="S2647" s="149"/>
      <c r="T2647" s="149"/>
      <c r="U2647" s="149"/>
      <c r="V2647" s="149"/>
      <c r="W2647" s="149"/>
      <c r="X2647" s="149"/>
      <c r="Y2647" s="149"/>
      <c r="Z2647" s="149"/>
      <c r="AA2647" s="149"/>
      <c r="AB2647" s="149"/>
      <c r="AC2647" s="149"/>
      <c r="AD2647" s="149"/>
      <c r="AE2647" s="149"/>
      <c r="AF2647" s="149"/>
      <c r="AG2647" s="149"/>
      <c r="AH2647" s="149"/>
      <c r="AI2647" s="149"/>
      <c r="AJ2647" s="149"/>
      <c r="AK2647" s="149"/>
      <c r="AL2647" s="149"/>
      <c r="AM2647" s="149"/>
      <c r="AN2647" s="149"/>
      <c r="AO2647" s="128"/>
      <c r="AP2647" s="128"/>
      <c r="AQ2647" s="128"/>
      <c r="AR2647" s="128"/>
      <c r="AS2647" s="128"/>
      <c r="AT2647" s="128"/>
      <c r="AU2647" s="128"/>
      <c r="AV2647" s="128"/>
      <c r="AW2647" s="128"/>
      <c r="AX2647" s="128"/>
      <c r="AY2647" s="128"/>
      <c r="AZ2647" s="128"/>
      <c r="BA2647" s="128"/>
      <c r="BB2647" s="128"/>
      <c r="BC2647" s="128"/>
      <c r="BD2647" s="128"/>
      <c r="BE2647" s="128"/>
      <c r="BF2647" s="128"/>
      <c r="BG2647" s="128"/>
      <c r="BH2647" s="128"/>
      <c r="BI2647" s="128"/>
      <c r="BJ2647" s="128"/>
      <c r="BK2647" s="128"/>
      <c r="BL2647" s="128"/>
      <c r="BM2647" s="151"/>
      <c r="BN2647" s="128"/>
      <c r="BO2647" s="128"/>
      <c r="BP2647" s="128"/>
      <c r="BQ2647" s="128"/>
      <c r="BR2647" s="128"/>
      <c r="BS2647" s="128"/>
      <c r="BT2647" s="128"/>
      <c r="BU2647" s="128"/>
      <c r="BV2647" s="128"/>
      <c r="BW2647" s="128"/>
      <c r="BX2647" s="128"/>
      <c r="BY2647" s="128"/>
      <c r="BZ2647" s="128"/>
      <c r="CA2647" s="128"/>
      <c r="CB2647" s="128"/>
      <c r="CC2647" s="128"/>
      <c r="CD2647" s="128"/>
      <c r="CE2647" s="128"/>
      <c r="CF2647" s="128"/>
      <c r="CG2647" s="128"/>
      <c r="CI2647" s="128"/>
      <c r="CJ2647" s="128"/>
      <c r="CK2647" s="128"/>
      <c r="CL2647" s="128"/>
      <c r="CM2647" s="128"/>
      <c r="CN2647" s="128"/>
      <c r="CO2647" s="128"/>
      <c r="CP2647" s="128"/>
      <c r="CQ2647" s="128"/>
      <c r="CR2647" s="128"/>
      <c r="CS2647" s="128"/>
      <c r="CT2647" s="128"/>
      <c r="CU2647" s="128"/>
      <c r="CV2647" s="128"/>
      <c r="CW2647" s="128"/>
      <c r="CX2647" s="128"/>
      <c r="CY2647" s="128"/>
      <c r="CZ2647" s="165"/>
    </row>
    <row r="2648" spans="1:104">
      <c r="A2648" s="149"/>
      <c r="B2648" s="149"/>
      <c r="C2648" s="150"/>
      <c r="D2648" s="102"/>
      <c r="E2648" s="149"/>
      <c r="F2648" s="149"/>
      <c r="G2648" s="149"/>
      <c r="H2648" s="149"/>
      <c r="I2648" s="149"/>
      <c r="J2648" s="149"/>
      <c r="K2648" s="149"/>
      <c r="L2648" s="149"/>
      <c r="M2648" s="149"/>
      <c r="N2648" s="149"/>
      <c r="O2648" s="149"/>
      <c r="P2648" s="149"/>
      <c r="Q2648" s="149"/>
      <c r="R2648" s="149"/>
      <c r="S2648" s="149"/>
      <c r="T2648" s="149"/>
      <c r="U2648" s="149"/>
      <c r="V2648" s="149"/>
      <c r="W2648" s="149"/>
      <c r="X2648" s="149"/>
      <c r="Y2648" s="149"/>
      <c r="Z2648" s="149"/>
      <c r="AA2648" s="149"/>
      <c r="AB2648" s="149"/>
      <c r="AC2648" s="149"/>
      <c r="AD2648" s="149"/>
      <c r="AE2648" s="149"/>
      <c r="AF2648" s="149"/>
      <c r="AG2648" s="149"/>
      <c r="AH2648" s="149"/>
      <c r="AI2648" s="149"/>
      <c r="AJ2648" s="149"/>
      <c r="AK2648" s="149"/>
      <c r="AL2648" s="149"/>
      <c r="AM2648" s="149"/>
      <c r="AN2648" s="149"/>
      <c r="AO2648" s="128"/>
      <c r="AP2648" s="128"/>
      <c r="AQ2648" s="128"/>
      <c r="AR2648" s="128"/>
      <c r="AS2648" s="128"/>
      <c r="AT2648" s="128"/>
      <c r="AU2648" s="128"/>
      <c r="AV2648" s="128"/>
      <c r="AW2648" s="128"/>
      <c r="AX2648" s="128"/>
      <c r="AY2648" s="128"/>
      <c r="AZ2648" s="128"/>
      <c r="BA2648" s="128"/>
      <c r="BB2648" s="128"/>
      <c r="BC2648" s="128"/>
      <c r="BD2648" s="128"/>
      <c r="BE2648" s="128"/>
      <c r="BF2648" s="128"/>
      <c r="BG2648" s="128"/>
      <c r="BH2648" s="128"/>
      <c r="BI2648" s="128"/>
      <c r="BJ2648" s="128"/>
      <c r="BK2648" s="128"/>
      <c r="BL2648" s="128"/>
      <c r="BM2648" s="151"/>
      <c r="BN2648" s="128"/>
      <c r="BO2648" s="128"/>
      <c r="BP2648" s="128"/>
      <c r="BQ2648" s="128"/>
      <c r="BR2648" s="128"/>
      <c r="BS2648" s="128"/>
      <c r="BT2648" s="128"/>
      <c r="BU2648" s="128"/>
      <c r="BV2648" s="128"/>
      <c r="BW2648" s="128"/>
      <c r="BX2648" s="128"/>
      <c r="BY2648" s="128"/>
      <c r="BZ2648" s="128"/>
      <c r="CA2648" s="128"/>
      <c r="CB2648" s="128"/>
      <c r="CC2648" s="128"/>
      <c r="CD2648" s="128"/>
      <c r="CE2648" s="128"/>
      <c r="CF2648" s="128"/>
      <c r="CG2648" s="128"/>
      <c r="CI2648" s="128"/>
      <c r="CJ2648" s="128"/>
      <c r="CK2648" s="128"/>
      <c r="CL2648" s="128"/>
      <c r="CM2648" s="128"/>
      <c r="CN2648" s="128"/>
      <c r="CO2648" s="128"/>
      <c r="CP2648" s="128"/>
      <c r="CQ2648" s="128"/>
      <c r="CR2648" s="128"/>
      <c r="CS2648" s="128"/>
      <c r="CT2648" s="128"/>
      <c r="CU2648" s="128"/>
      <c r="CV2648" s="128"/>
      <c r="CW2648" s="128"/>
      <c r="CX2648" s="128"/>
      <c r="CY2648" s="128"/>
      <c r="CZ2648" s="165"/>
    </row>
    <row r="2649" spans="1:104">
      <c r="A2649" s="149"/>
      <c r="B2649" s="149"/>
      <c r="C2649" s="150"/>
      <c r="D2649" s="102"/>
      <c r="E2649" s="149"/>
      <c r="F2649" s="149"/>
      <c r="G2649" s="149"/>
      <c r="H2649" s="149"/>
      <c r="I2649" s="149"/>
      <c r="J2649" s="149"/>
      <c r="K2649" s="149"/>
      <c r="L2649" s="149"/>
      <c r="M2649" s="149"/>
      <c r="N2649" s="149"/>
      <c r="O2649" s="149"/>
      <c r="P2649" s="149"/>
      <c r="Q2649" s="149"/>
      <c r="R2649" s="149"/>
      <c r="S2649" s="149"/>
      <c r="T2649" s="149"/>
      <c r="U2649" s="149"/>
      <c r="V2649" s="149"/>
      <c r="W2649" s="149"/>
      <c r="X2649" s="149"/>
      <c r="Y2649" s="149"/>
      <c r="Z2649" s="149"/>
      <c r="AA2649" s="149"/>
      <c r="AB2649" s="149"/>
      <c r="AC2649" s="149"/>
      <c r="AD2649" s="149"/>
      <c r="AE2649" s="149"/>
      <c r="AF2649" s="149"/>
      <c r="AG2649" s="149"/>
      <c r="AH2649" s="149"/>
      <c r="AI2649" s="149"/>
      <c r="AJ2649" s="149"/>
      <c r="AK2649" s="149"/>
      <c r="AL2649" s="149"/>
      <c r="AM2649" s="149"/>
      <c r="AN2649" s="149"/>
      <c r="AO2649" s="128"/>
      <c r="AP2649" s="128"/>
      <c r="AQ2649" s="128"/>
      <c r="AR2649" s="128"/>
      <c r="AS2649" s="128"/>
      <c r="AT2649" s="128"/>
      <c r="AU2649" s="128"/>
      <c r="AV2649" s="128"/>
      <c r="AW2649" s="128"/>
      <c r="AX2649" s="128"/>
      <c r="AY2649" s="128"/>
      <c r="AZ2649" s="128"/>
      <c r="BA2649" s="128"/>
      <c r="BB2649" s="128"/>
      <c r="BC2649" s="128"/>
      <c r="BD2649" s="128"/>
      <c r="BE2649" s="128"/>
      <c r="BF2649" s="128"/>
      <c r="BG2649" s="128"/>
      <c r="BH2649" s="128"/>
      <c r="BI2649" s="128"/>
      <c r="BJ2649" s="128"/>
      <c r="BK2649" s="128"/>
      <c r="BL2649" s="128"/>
      <c r="BM2649" s="151"/>
      <c r="BN2649" s="128"/>
      <c r="BO2649" s="128"/>
      <c r="BP2649" s="128"/>
      <c r="BQ2649" s="128"/>
      <c r="BR2649" s="128"/>
      <c r="BS2649" s="128"/>
      <c r="BT2649" s="128"/>
      <c r="BU2649" s="128"/>
      <c r="BV2649" s="128"/>
      <c r="BW2649" s="128"/>
      <c r="BX2649" s="128"/>
      <c r="BY2649" s="128"/>
      <c r="BZ2649" s="128"/>
      <c r="CA2649" s="128"/>
      <c r="CB2649" s="128"/>
      <c r="CC2649" s="128"/>
      <c r="CD2649" s="128"/>
      <c r="CE2649" s="128"/>
      <c r="CF2649" s="128"/>
      <c r="CG2649" s="128"/>
      <c r="CI2649" s="128"/>
      <c r="CJ2649" s="128"/>
      <c r="CK2649" s="128"/>
      <c r="CL2649" s="128"/>
      <c r="CM2649" s="128"/>
      <c r="CN2649" s="128"/>
      <c r="CO2649" s="128"/>
      <c r="CP2649" s="128"/>
      <c r="CQ2649" s="128"/>
      <c r="CR2649" s="128"/>
      <c r="CS2649" s="128"/>
      <c r="CT2649" s="128"/>
      <c r="CU2649" s="128"/>
      <c r="CV2649" s="128"/>
      <c r="CW2649" s="128"/>
      <c r="CX2649" s="128"/>
      <c r="CY2649" s="128"/>
      <c r="CZ2649" s="165"/>
    </row>
    <row r="2650" spans="1:104">
      <c r="A2650" s="149"/>
      <c r="B2650" s="149"/>
      <c r="C2650" s="150"/>
      <c r="D2650" s="102"/>
      <c r="E2650" s="149"/>
      <c r="F2650" s="149"/>
      <c r="G2650" s="149"/>
      <c r="H2650" s="149"/>
      <c r="I2650" s="149"/>
      <c r="J2650" s="149"/>
      <c r="K2650" s="149"/>
      <c r="L2650" s="149"/>
      <c r="M2650" s="149"/>
      <c r="N2650" s="149"/>
      <c r="O2650" s="149"/>
      <c r="P2650" s="149"/>
      <c r="Q2650" s="149"/>
      <c r="R2650" s="149"/>
      <c r="S2650" s="149"/>
      <c r="T2650" s="149"/>
      <c r="U2650" s="149"/>
      <c r="V2650" s="149"/>
      <c r="W2650" s="149"/>
      <c r="X2650" s="149"/>
      <c r="Y2650" s="149"/>
      <c r="Z2650" s="149"/>
      <c r="AA2650" s="149"/>
      <c r="AB2650" s="149"/>
      <c r="AC2650" s="149"/>
      <c r="AD2650" s="149"/>
      <c r="AE2650" s="149"/>
      <c r="AF2650" s="149"/>
      <c r="AG2650" s="149"/>
      <c r="AH2650" s="149"/>
      <c r="AI2650" s="149"/>
      <c r="AJ2650" s="149"/>
      <c r="AK2650" s="149"/>
      <c r="AL2650" s="149"/>
      <c r="AM2650" s="149"/>
      <c r="AN2650" s="149"/>
      <c r="AO2650" s="128"/>
      <c r="AP2650" s="128"/>
      <c r="AQ2650" s="128"/>
      <c r="AR2650" s="128"/>
      <c r="AS2650" s="128"/>
      <c r="AT2650" s="128"/>
      <c r="AU2650" s="128"/>
      <c r="AV2650" s="128"/>
      <c r="AW2650" s="128"/>
      <c r="AX2650" s="128"/>
      <c r="AY2650" s="128"/>
      <c r="AZ2650" s="128"/>
      <c r="BA2650" s="128"/>
      <c r="BB2650" s="128"/>
      <c r="BC2650" s="128"/>
      <c r="BD2650" s="128"/>
      <c r="BE2650" s="128"/>
      <c r="BF2650" s="128"/>
      <c r="BG2650" s="128"/>
      <c r="BH2650" s="128"/>
      <c r="BI2650" s="128"/>
      <c r="BJ2650" s="128"/>
      <c r="BK2650" s="128"/>
      <c r="BL2650" s="128"/>
      <c r="BM2650" s="151"/>
      <c r="BN2650" s="128"/>
      <c r="BO2650" s="128"/>
      <c r="BP2650" s="128"/>
      <c r="BQ2650" s="128"/>
      <c r="BR2650" s="128"/>
      <c r="BS2650" s="128"/>
      <c r="BT2650" s="128"/>
      <c r="BU2650" s="128"/>
      <c r="BV2650" s="128"/>
      <c r="BW2650" s="128"/>
      <c r="BX2650" s="128"/>
      <c r="BY2650" s="128"/>
      <c r="BZ2650" s="128"/>
      <c r="CA2650" s="128"/>
      <c r="CB2650" s="128"/>
      <c r="CC2650" s="128"/>
      <c r="CD2650" s="128"/>
      <c r="CE2650" s="128"/>
      <c r="CF2650" s="128"/>
      <c r="CG2650" s="128"/>
      <c r="CI2650" s="128"/>
      <c r="CJ2650" s="128"/>
      <c r="CK2650" s="128"/>
      <c r="CL2650" s="128"/>
      <c r="CM2650" s="128"/>
      <c r="CN2650" s="128"/>
      <c r="CO2650" s="128"/>
      <c r="CP2650" s="128"/>
      <c r="CQ2650" s="128"/>
      <c r="CR2650" s="128"/>
      <c r="CS2650" s="128"/>
      <c r="CT2650" s="128"/>
      <c r="CU2650" s="128"/>
      <c r="CV2650" s="128"/>
      <c r="CW2650" s="128"/>
      <c r="CX2650" s="128"/>
      <c r="CY2650" s="128"/>
      <c r="CZ2650" s="165"/>
    </row>
    <row r="2651" spans="1:104">
      <c r="A2651" s="149"/>
      <c r="B2651" s="149"/>
      <c r="C2651" s="150"/>
      <c r="D2651" s="102"/>
      <c r="E2651" s="149"/>
      <c r="F2651" s="149"/>
      <c r="G2651" s="149"/>
      <c r="H2651" s="149"/>
      <c r="I2651" s="149"/>
      <c r="J2651" s="149"/>
      <c r="K2651" s="149"/>
      <c r="L2651" s="149"/>
      <c r="M2651" s="149"/>
      <c r="N2651" s="149"/>
      <c r="O2651" s="149"/>
      <c r="P2651" s="149"/>
      <c r="Q2651" s="149"/>
      <c r="R2651" s="149"/>
      <c r="S2651" s="149"/>
      <c r="T2651" s="149"/>
      <c r="U2651" s="149"/>
      <c r="V2651" s="149"/>
      <c r="W2651" s="149"/>
      <c r="X2651" s="149"/>
      <c r="Y2651" s="149"/>
      <c r="Z2651" s="149"/>
      <c r="AA2651" s="149"/>
      <c r="AB2651" s="149"/>
      <c r="AC2651" s="149"/>
      <c r="AD2651" s="149"/>
      <c r="AE2651" s="149"/>
      <c r="AF2651" s="149"/>
      <c r="AG2651" s="149"/>
      <c r="AH2651" s="149"/>
      <c r="AI2651" s="149"/>
      <c r="AJ2651" s="149"/>
      <c r="AK2651" s="149"/>
      <c r="AL2651" s="149"/>
      <c r="AM2651" s="149"/>
      <c r="AN2651" s="149"/>
      <c r="AO2651" s="128"/>
      <c r="AP2651" s="128"/>
      <c r="AQ2651" s="128"/>
      <c r="AR2651" s="128"/>
      <c r="AS2651" s="128"/>
      <c r="AT2651" s="128"/>
      <c r="AU2651" s="128"/>
      <c r="AV2651" s="128"/>
      <c r="AW2651" s="128"/>
      <c r="AX2651" s="128"/>
      <c r="AY2651" s="128"/>
      <c r="AZ2651" s="128"/>
      <c r="BA2651" s="128"/>
      <c r="BB2651" s="128"/>
      <c r="BC2651" s="128"/>
      <c r="BD2651" s="128"/>
      <c r="BE2651" s="128"/>
      <c r="BF2651" s="128"/>
      <c r="BG2651" s="128"/>
      <c r="BH2651" s="128"/>
      <c r="BI2651" s="128"/>
      <c r="BJ2651" s="128"/>
      <c r="BK2651" s="128"/>
      <c r="BL2651" s="128"/>
      <c r="BM2651" s="151"/>
      <c r="BN2651" s="128"/>
      <c r="BO2651" s="128"/>
      <c r="BP2651" s="128"/>
      <c r="BQ2651" s="128"/>
      <c r="BR2651" s="128"/>
      <c r="BS2651" s="128"/>
      <c r="BT2651" s="128"/>
      <c r="BU2651" s="128"/>
      <c r="BV2651" s="128"/>
      <c r="BW2651" s="128"/>
      <c r="BX2651" s="128"/>
      <c r="BY2651" s="128"/>
      <c r="BZ2651" s="128"/>
      <c r="CA2651" s="128"/>
      <c r="CB2651" s="128"/>
      <c r="CC2651" s="128"/>
      <c r="CD2651" s="128"/>
      <c r="CE2651" s="128"/>
      <c r="CF2651" s="128"/>
      <c r="CG2651" s="128"/>
      <c r="CI2651" s="128"/>
      <c r="CJ2651" s="128"/>
      <c r="CK2651" s="128"/>
      <c r="CL2651" s="128"/>
      <c r="CM2651" s="128"/>
      <c r="CN2651" s="128"/>
      <c r="CO2651" s="128"/>
      <c r="CP2651" s="128"/>
      <c r="CQ2651" s="128"/>
      <c r="CR2651" s="128"/>
      <c r="CS2651" s="128"/>
      <c r="CT2651" s="128"/>
      <c r="CU2651" s="128"/>
      <c r="CV2651" s="128"/>
      <c r="CW2651" s="128"/>
      <c r="CX2651" s="128"/>
      <c r="CY2651" s="128"/>
      <c r="CZ2651" s="165"/>
    </row>
    <row r="2652" spans="1:104">
      <c r="A2652" s="149"/>
      <c r="B2652" s="149"/>
      <c r="C2652" s="150"/>
      <c r="D2652" s="102"/>
      <c r="E2652" s="149"/>
      <c r="F2652" s="149"/>
      <c r="G2652" s="149"/>
      <c r="H2652" s="149"/>
      <c r="I2652" s="149"/>
      <c r="J2652" s="149"/>
      <c r="K2652" s="149"/>
      <c r="L2652" s="149"/>
      <c r="M2652" s="149"/>
      <c r="N2652" s="149"/>
      <c r="O2652" s="149"/>
      <c r="P2652" s="149"/>
      <c r="Q2652" s="149"/>
      <c r="R2652" s="149"/>
      <c r="S2652" s="149"/>
      <c r="T2652" s="149"/>
      <c r="U2652" s="149"/>
      <c r="V2652" s="149"/>
      <c r="W2652" s="149"/>
      <c r="X2652" s="149"/>
      <c r="Y2652" s="149"/>
      <c r="Z2652" s="149"/>
      <c r="AA2652" s="149"/>
      <c r="AB2652" s="149"/>
      <c r="AC2652" s="149"/>
      <c r="AD2652" s="149"/>
      <c r="AE2652" s="149"/>
      <c r="AF2652" s="149"/>
      <c r="AG2652" s="149"/>
      <c r="AH2652" s="149"/>
      <c r="AI2652" s="149"/>
      <c r="AJ2652" s="149"/>
      <c r="AK2652" s="149"/>
      <c r="AL2652" s="149"/>
      <c r="AM2652" s="149"/>
      <c r="AN2652" s="149"/>
      <c r="AO2652" s="128"/>
      <c r="AP2652" s="128"/>
      <c r="AQ2652" s="128"/>
      <c r="AR2652" s="128"/>
      <c r="AS2652" s="128"/>
      <c r="AT2652" s="128"/>
      <c r="AU2652" s="128"/>
      <c r="AV2652" s="128"/>
      <c r="AW2652" s="128"/>
      <c r="AX2652" s="128"/>
      <c r="AY2652" s="128"/>
      <c r="AZ2652" s="128"/>
      <c r="BA2652" s="128"/>
      <c r="BB2652" s="128"/>
      <c r="BC2652" s="128"/>
      <c r="BD2652" s="128"/>
      <c r="BE2652" s="128"/>
      <c r="BF2652" s="128"/>
      <c r="BG2652" s="128"/>
      <c r="BH2652" s="128"/>
      <c r="BI2652" s="128"/>
      <c r="BJ2652" s="128"/>
      <c r="BK2652" s="128"/>
      <c r="BL2652" s="128"/>
      <c r="BM2652" s="151"/>
      <c r="BN2652" s="128"/>
      <c r="BO2652" s="128"/>
      <c r="BP2652" s="128"/>
      <c r="BQ2652" s="128"/>
      <c r="BR2652" s="128"/>
      <c r="BS2652" s="128"/>
      <c r="BT2652" s="128"/>
      <c r="BU2652" s="128"/>
      <c r="BV2652" s="128"/>
      <c r="BW2652" s="128"/>
      <c r="BX2652" s="128"/>
      <c r="BY2652" s="128"/>
      <c r="BZ2652" s="128"/>
      <c r="CA2652" s="128"/>
      <c r="CB2652" s="128"/>
      <c r="CC2652" s="128"/>
      <c r="CD2652" s="128"/>
      <c r="CE2652" s="128"/>
      <c r="CF2652" s="128"/>
      <c r="CG2652" s="128"/>
      <c r="CI2652" s="128"/>
      <c r="CJ2652" s="128"/>
      <c r="CK2652" s="128"/>
      <c r="CL2652" s="128"/>
      <c r="CM2652" s="128"/>
      <c r="CN2652" s="128"/>
      <c r="CO2652" s="128"/>
      <c r="CP2652" s="128"/>
      <c r="CQ2652" s="128"/>
      <c r="CR2652" s="128"/>
      <c r="CS2652" s="128"/>
      <c r="CT2652" s="128"/>
      <c r="CU2652" s="128"/>
      <c r="CV2652" s="128"/>
      <c r="CW2652" s="128"/>
      <c r="CX2652" s="128"/>
      <c r="CY2652" s="128"/>
      <c r="CZ2652" s="165"/>
    </row>
    <row r="2653" spans="1:104">
      <c r="A2653" s="149"/>
      <c r="B2653" s="149"/>
      <c r="C2653" s="150"/>
      <c r="D2653" s="102"/>
      <c r="E2653" s="149"/>
      <c r="F2653" s="149"/>
      <c r="G2653" s="149"/>
      <c r="H2653" s="149"/>
      <c r="I2653" s="149"/>
      <c r="J2653" s="149"/>
      <c r="K2653" s="149"/>
      <c r="L2653" s="149"/>
      <c r="M2653" s="149"/>
      <c r="N2653" s="149"/>
      <c r="O2653" s="149"/>
      <c r="P2653" s="149"/>
      <c r="Q2653" s="149"/>
      <c r="R2653" s="149"/>
      <c r="S2653" s="149"/>
      <c r="T2653" s="149"/>
      <c r="U2653" s="149"/>
      <c r="V2653" s="149"/>
      <c r="W2653" s="149"/>
      <c r="X2653" s="149"/>
      <c r="Y2653" s="149"/>
      <c r="Z2653" s="149"/>
      <c r="AA2653" s="149"/>
      <c r="AB2653" s="149"/>
      <c r="AC2653" s="149"/>
      <c r="AD2653" s="149"/>
      <c r="AE2653" s="149"/>
      <c r="AF2653" s="149"/>
      <c r="AG2653" s="149"/>
      <c r="AH2653" s="149"/>
      <c r="AI2653" s="149"/>
      <c r="AJ2653" s="149"/>
      <c r="AK2653" s="149"/>
      <c r="AL2653" s="149"/>
      <c r="AM2653" s="149"/>
      <c r="AN2653" s="149"/>
      <c r="AO2653" s="128"/>
      <c r="AP2653" s="128"/>
      <c r="AQ2653" s="128"/>
      <c r="AR2653" s="128"/>
      <c r="AS2653" s="128"/>
      <c r="AT2653" s="128"/>
      <c r="AU2653" s="128"/>
      <c r="AV2653" s="128"/>
      <c r="AW2653" s="128"/>
      <c r="AX2653" s="128"/>
      <c r="AY2653" s="128"/>
      <c r="AZ2653" s="128"/>
      <c r="BA2653" s="128"/>
      <c r="BB2653" s="128"/>
      <c r="BC2653" s="128"/>
      <c r="BD2653" s="128"/>
      <c r="BE2653" s="128"/>
      <c r="BF2653" s="128"/>
      <c r="BG2653" s="128"/>
      <c r="BH2653" s="128"/>
      <c r="BI2653" s="128"/>
      <c r="BJ2653" s="128"/>
      <c r="BK2653" s="128"/>
      <c r="BL2653" s="128"/>
      <c r="BM2653" s="151"/>
      <c r="BN2653" s="128"/>
      <c r="BO2653" s="128"/>
      <c r="BP2653" s="128"/>
      <c r="BQ2653" s="128"/>
      <c r="BR2653" s="128"/>
      <c r="BS2653" s="128"/>
      <c r="BT2653" s="128"/>
      <c r="BU2653" s="128"/>
      <c r="BV2653" s="128"/>
      <c r="BW2653" s="128"/>
      <c r="BX2653" s="128"/>
      <c r="BY2653" s="128"/>
      <c r="BZ2653" s="128"/>
      <c r="CA2653" s="128"/>
      <c r="CB2653" s="128"/>
      <c r="CC2653" s="128"/>
      <c r="CD2653" s="128"/>
      <c r="CE2653" s="128"/>
      <c r="CF2653" s="128"/>
      <c r="CG2653" s="128"/>
      <c r="CI2653" s="128"/>
      <c r="CJ2653" s="128"/>
      <c r="CK2653" s="128"/>
      <c r="CL2653" s="128"/>
      <c r="CM2653" s="128"/>
      <c r="CN2653" s="128"/>
      <c r="CO2653" s="128"/>
      <c r="CP2653" s="128"/>
      <c r="CQ2653" s="128"/>
      <c r="CR2653" s="128"/>
      <c r="CS2653" s="128"/>
      <c r="CT2653" s="128"/>
      <c r="CU2653" s="128"/>
      <c r="CV2653" s="128"/>
      <c r="CW2653" s="128"/>
      <c r="CX2653" s="128"/>
      <c r="CY2653" s="128"/>
      <c r="CZ2653" s="165"/>
    </row>
    <row r="2654" spans="1:104">
      <c r="A2654" s="149"/>
      <c r="B2654" s="149"/>
      <c r="C2654" s="150"/>
      <c r="D2654" s="102"/>
      <c r="E2654" s="149"/>
      <c r="F2654" s="149"/>
      <c r="G2654" s="149"/>
      <c r="H2654" s="149"/>
      <c r="I2654" s="149"/>
      <c r="J2654" s="149"/>
      <c r="K2654" s="149"/>
      <c r="L2654" s="149"/>
      <c r="M2654" s="149"/>
      <c r="N2654" s="149"/>
      <c r="O2654" s="149"/>
      <c r="P2654" s="149"/>
      <c r="Q2654" s="149"/>
      <c r="R2654" s="149"/>
      <c r="S2654" s="149"/>
      <c r="T2654" s="149"/>
      <c r="U2654" s="149"/>
      <c r="V2654" s="149"/>
      <c r="W2654" s="149"/>
      <c r="X2654" s="149"/>
      <c r="Y2654" s="149"/>
      <c r="Z2654" s="149"/>
      <c r="AA2654" s="149"/>
      <c r="AB2654" s="149"/>
      <c r="AC2654" s="149"/>
      <c r="AD2654" s="149"/>
      <c r="AE2654" s="149"/>
      <c r="AF2654" s="149"/>
      <c r="AG2654" s="149"/>
      <c r="AH2654" s="149"/>
      <c r="AI2654" s="149"/>
      <c r="AJ2654" s="149"/>
      <c r="AK2654" s="149"/>
      <c r="AL2654" s="149"/>
      <c r="AM2654" s="149"/>
      <c r="AN2654" s="149"/>
      <c r="AO2654" s="128"/>
      <c r="AP2654" s="128"/>
      <c r="AQ2654" s="128"/>
      <c r="AR2654" s="128"/>
      <c r="AS2654" s="128"/>
      <c r="AT2654" s="128"/>
      <c r="AU2654" s="128"/>
      <c r="AV2654" s="128"/>
      <c r="AW2654" s="128"/>
      <c r="AX2654" s="128"/>
      <c r="AY2654" s="128"/>
      <c r="AZ2654" s="128"/>
      <c r="BA2654" s="128"/>
      <c r="BB2654" s="128"/>
      <c r="BC2654" s="128"/>
      <c r="BD2654" s="128"/>
      <c r="BE2654" s="128"/>
      <c r="BF2654" s="128"/>
      <c r="BG2654" s="128"/>
      <c r="BH2654" s="128"/>
      <c r="BI2654" s="128"/>
      <c r="BJ2654" s="128"/>
      <c r="BK2654" s="128"/>
      <c r="BL2654" s="128"/>
      <c r="BM2654" s="151"/>
      <c r="BN2654" s="128"/>
      <c r="BO2654" s="128"/>
      <c r="BP2654" s="128"/>
      <c r="BQ2654" s="128"/>
      <c r="BR2654" s="128"/>
      <c r="BS2654" s="128"/>
      <c r="BT2654" s="128"/>
      <c r="BU2654" s="128"/>
      <c r="BV2654" s="128"/>
      <c r="BW2654" s="128"/>
      <c r="BX2654" s="128"/>
      <c r="BY2654" s="128"/>
      <c r="BZ2654" s="128"/>
      <c r="CA2654" s="128"/>
      <c r="CB2654" s="128"/>
      <c r="CC2654" s="128"/>
      <c r="CD2654" s="128"/>
      <c r="CE2654" s="128"/>
      <c r="CF2654" s="128"/>
      <c r="CG2654" s="128"/>
      <c r="CI2654" s="128"/>
      <c r="CJ2654" s="128"/>
      <c r="CK2654" s="128"/>
      <c r="CL2654" s="128"/>
      <c r="CM2654" s="128"/>
      <c r="CN2654" s="128"/>
      <c r="CO2654" s="128"/>
      <c r="CP2654" s="128"/>
      <c r="CQ2654" s="128"/>
      <c r="CR2654" s="128"/>
      <c r="CS2654" s="128"/>
      <c r="CT2654" s="128"/>
      <c r="CU2654" s="128"/>
      <c r="CV2654" s="128"/>
      <c r="CW2654" s="128"/>
      <c r="CX2654" s="128"/>
      <c r="CY2654" s="128"/>
      <c r="CZ2654" s="165"/>
    </row>
    <row r="2655" spans="1:104">
      <c r="A2655" s="149"/>
      <c r="B2655" s="149"/>
      <c r="C2655" s="150"/>
      <c r="D2655" s="102"/>
      <c r="E2655" s="149"/>
      <c r="F2655" s="149"/>
      <c r="G2655" s="149"/>
      <c r="H2655" s="149"/>
      <c r="I2655" s="149"/>
      <c r="J2655" s="149"/>
      <c r="K2655" s="149"/>
      <c r="L2655" s="149"/>
      <c r="M2655" s="149"/>
      <c r="N2655" s="149"/>
      <c r="O2655" s="149"/>
      <c r="P2655" s="149"/>
      <c r="Q2655" s="149"/>
      <c r="R2655" s="149"/>
      <c r="S2655" s="149"/>
      <c r="T2655" s="149"/>
      <c r="U2655" s="149"/>
      <c r="V2655" s="149"/>
      <c r="W2655" s="149"/>
      <c r="X2655" s="149"/>
      <c r="Y2655" s="149"/>
      <c r="Z2655" s="149"/>
      <c r="AA2655" s="149"/>
      <c r="AB2655" s="149"/>
      <c r="AC2655" s="149"/>
      <c r="AD2655" s="149"/>
      <c r="AE2655" s="149"/>
      <c r="AF2655" s="149"/>
      <c r="AG2655" s="149"/>
      <c r="AH2655" s="149"/>
      <c r="AI2655" s="149"/>
      <c r="AJ2655" s="149"/>
      <c r="AK2655" s="149"/>
      <c r="AL2655" s="149"/>
      <c r="AM2655" s="149"/>
      <c r="AN2655" s="149"/>
      <c r="AO2655" s="128"/>
      <c r="AP2655" s="128"/>
      <c r="AQ2655" s="128"/>
      <c r="AR2655" s="128"/>
      <c r="AS2655" s="128"/>
      <c r="AT2655" s="128"/>
      <c r="AU2655" s="128"/>
      <c r="AV2655" s="128"/>
      <c r="AW2655" s="128"/>
      <c r="AX2655" s="128"/>
      <c r="AY2655" s="128"/>
      <c r="AZ2655" s="128"/>
      <c r="BA2655" s="128"/>
      <c r="BB2655" s="128"/>
      <c r="BC2655" s="128"/>
      <c r="BD2655" s="128"/>
      <c r="BE2655" s="128"/>
      <c r="BF2655" s="128"/>
      <c r="BG2655" s="128"/>
      <c r="BH2655" s="128"/>
      <c r="BI2655" s="128"/>
      <c r="BJ2655" s="128"/>
      <c r="BK2655" s="128"/>
      <c r="BL2655" s="128"/>
      <c r="BM2655" s="151"/>
      <c r="BN2655" s="128"/>
      <c r="BO2655" s="128"/>
      <c r="BP2655" s="128"/>
      <c r="BQ2655" s="128"/>
      <c r="BR2655" s="128"/>
      <c r="BS2655" s="128"/>
      <c r="BT2655" s="128"/>
      <c r="BU2655" s="128"/>
      <c r="BV2655" s="128"/>
      <c r="BW2655" s="128"/>
      <c r="BX2655" s="128"/>
      <c r="BY2655" s="128"/>
      <c r="BZ2655" s="128"/>
      <c r="CA2655" s="128"/>
      <c r="CB2655" s="128"/>
      <c r="CC2655" s="128"/>
      <c r="CD2655" s="128"/>
      <c r="CE2655" s="128"/>
      <c r="CF2655" s="128"/>
      <c r="CG2655" s="128"/>
      <c r="CI2655" s="128"/>
      <c r="CJ2655" s="128"/>
      <c r="CK2655" s="128"/>
      <c r="CL2655" s="128"/>
      <c r="CM2655" s="128"/>
      <c r="CN2655" s="128"/>
      <c r="CO2655" s="128"/>
      <c r="CP2655" s="128"/>
      <c r="CQ2655" s="128"/>
      <c r="CR2655" s="128"/>
      <c r="CS2655" s="128"/>
      <c r="CT2655" s="128"/>
      <c r="CU2655" s="128"/>
      <c r="CV2655" s="128"/>
      <c r="CW2655" s="128"/>
      <c r="CX2655" s="128"/>
      <c r="CY2655" s="128"/>
      <c r="CZ2655" s="165"/>
    </row>
    <row r="2656" spans="1:104">
      <c r="A2656" s="149"/>
      <c r="B2656" s="149"/>
      <c r="C2656" s="150"/>
      <c r="D2656" s="102"/>
      <c r="E2656" s="149"/>
      <c r="F2656" s="149"/>
      <c r="G2656" s="149"/>
      <c r="H2656" s="149"/>
      <c r="I2656" s="149"/>
      <c r="J2656" s="149"/>
      <c r="K2656" s="149"/>
      <c r="L2656" s="149"/>
      <c r="M2656" s="149"/>
      <c r="N2656" s="149"/>
      <c r="O2656" s="149"/>
      <c r="P2656" s="149"/>
      <c r="Q2656" s="149"/>
      <c r="R2656" s="149"/>
      <c r="S2656" s="149"/>
      <c r="T2656" s="149"/>
      <c r="U2656" s="149"/>
      <c r="V2656" s="149"/>
      <c r="W2656" s="149"/>
      <c r="X2656" s="149"/>
      <c r="Y2656" s="149"/>
      <c r="Z2656" s="149"/>
      <c r="AA2656" s="149"/>
      <c r="AB2656" s="149"/>
      <c r="AC2656" s="149"/>
      <c r="AD2656" s="149"/>
      <c r="AE2656" s="149"/>
      <c r="AF2656" s="149"/>
      <c r="AG2656" s="149"/>
      <c r="AH2656" s="149"/>
      <c r="AI2656" s="149"/>
      <c r="AJ2656" s="149"/>
      <c r="AK2656" s="149"/>
      <c r="AL2656" s="149"/>
      <c r="AM2656" s="149"/>
      <c r="AN2656" s="149"/>
      <c r="AO2656" s="128"/>
      <c r="AP2656" s="128"/>
      <c r="AQ2656" s="128"/>
      <c r="AR2656" s="128"/>
      <c r="AS2656" s="128"/>
      <c r="AT2656" s="128"/>
      <c r="AU2656" s="128"/>
      <c r="AV2656" s="128"/>
      <c r="AW2656" s="128"/>
      <c r="AX2656" s="128"/>
      <c r="AY2656" s="128"/>
      <c r="AZ2656" s="128"/>
      <c r="BA2656" s="128"/>
      <c r="BB2656" s="128"/>
      <c r="BC2656" s="128"/>
      <c r="BD2656" s="128"/>
      <c r="BE2656" s="128"/>
      <c r="BF2656" s="128"/>
      <c r="BG2656" s="128"/>
      <c r="BH2656" s="128"/>
      <c r="BI2656" s="128"/>
      <c r="BJ2656" s="128"/>
      <c r="BK2656" s="128"/>
      <c r="BL2656" s="128"/>
      <c r="BM2656" s="151"/>
      <c r="BN2656" s="128"/>
      <c r="BO2656" s="128"/>
      <c r="BP2656" s="128"/>
      <c r="BQ2656" s="128"/>
      <c r="BR2656" s="128"/>
      <c r="BS2656" s="128"/>
      <c r="BT2656" s="128"/>
      <c r="BU2656" s="128"/>
      <c r="BV2656" s="128"/>
      <c r="BW2656" s="128"/>
      <c r="BX2656" s="128"/>
      <c r="BY2656" s="128"/>
      <c r="BZ2656" s="128"/>
      <c r="CA2656" s="128"/>
      <c r="CB2656" s="128"/>
      <c r="CC2656" s="128"/>
      <c r="CD2656" s="128"/>
      <c r="CE2656" s="128"/>
      <c r="CF2656" s="128"/>
      <c r="CG2656" s="128"/>
      <c r="CI2656" s="128"/>
      <c r="CJ2656" s="128"/>
      <c r="CK2656" s="128"/>
      <c r="CL2656" s="128"/>
      <c r="CM2656" s="128"/>
      <c r="CN2656" s="128"/>
      <c r="CO2656" s="128"/>
      <c r="CP2656" s="128"/>
      <c r="CQ2656" s="128"/>
      <c r="CR2656" s="128"/>
      <c r="CS2656" s="128"/>
      <c r="CT2656" s="128"/>
      <c r="CU2656" s="128"/>
      <c r="CV2656" s="128"/>
      <c r="CW2656" s="128"/>
      <c r="CX2656" s="128"/>
      <c r="CY2656" s="128"/>
      <c r="CZ2656" s="165"/>
    </row>
    <row r="2657" spans="1:104">
      <c r="A2657" s="149"/>
      <c r="B2657" s="149"/>
      <c r="C2657" s="150"/>
      <c r="D2657" s="102"/>
      <c r="E2657" s="149"/>
      <c r="F2657" s="149"/>
      <c r="G2657" s="149"/>
      <c r="H2657" s="149"/>
      <c r="I2657" s="149"/>
      <c r="J2657" s="149"/>
      <c r="K2657" s="149"/>
      <c r="L2657" s="149"/>
      <c r="M2657" s="149"/>
      <c r="N2657" s="149"/>
      <c r="O2657" s="149"/>
      <c r="P2657" s="149"/>
      <c r="Q2657" s="149"/>
      <c r="R2657" s="149"/>
      <c r="S2657" s="149"/>
      <c r="T2657" s="149"/>
      <c r="U2657" s="149"/>
      <c r="V2657" s="149"/>
      <c r="W2657" s="149"/>
      <c r="X2657" s="149"/>
      <c r="Y2657" s="149"/>
      <c r="Z2657" s="149"/>
      <c r="AA2657" s="149"/>
      <c r="AB2657" s="149"/>
      <c r="AC2657" s="149"/>
      <c r="AD2657" s="149"/>
      <c r="AE2657" s="149"/>
      <c r="AF2657" s="149"/>
      <c r="AG2657" s="149"/>
      <c r="AH2657" s="149"/>
      <c r="AI2657" s="149"/>
      <c r="AJ2657" s="149"/>
      <c r="AK2657" s="149"/>
      <c r="AL2657" s="149"/>
      <c r="AM2657" s="149"/>
      <c r="AN2657" s="149"/>
      <c r="AO2657" s="128"/>
      <c r="AP2657" s="128"/>
      <c r="AQ2657" s="128"/>
      <c r="AR2657" s="128"/>
      <c r="AS2657" s="128"/>
      <c r="AT2657" s="128"/>
      <c r="AU2657" s="128"/>
      <c r="AV2657" s="128"/>
      <c r="AW2657" s="128"/>
      <c r="AX2657" s="128"/>
      <c r="AY2657" s="128"/>
      <c r="AZ2657" s="128"/>
      <c r="BA2657" s="128"/>
      <c r="BB2657" s="128"/>
      <c r="BC2657" s="128"/>
      <c r="BD2657" s="128"/>
      <c r="BE2657" s="128"/>
      <c r="BF2657" s="128"/>
      <c r="BG2657" s="128"/>
      <c r="BH2657" s="128"/>
      <c r="BI2657" s="128"/>
      <c r="BJ2657" s="128"/>
      <c r="BK2657" s="128"/>
      <c r="BL2657" s="128"/>
      <c r="BM2657" s="151"/>
      <c r="BN2657" s="128"/>
      <c r="BO2657" s="128"/>
      <c r="BP2657" s="128"/>
      <c r="BQ2657" s="128"/>
      <c r="BR2657" s="128"/>
      <c r="BS2657" s="128"/>
      <c r="BT2657" s="128"/>
      <c r="BU2657" s="128"/>
      <c r="BV2657" s="128"/>
      <c r="BW2657" s="128"/>
      <c r="BX2657" s="128"/>
      <c r="BY2657" s="128"/>
      <c r="BZ2657" s="128"/>
      <c r="CA2657" s="128"/>
      <c r="CB2657" s="128"/>
      <c r="CC2657" s="128"/>
      <c r="CD2657" s="128"/>
      <c r="CE2657" s="128"/>
      <c r="CF2657" s="128"/>
      <c r="CG2657" s="128"/>
      <c r="CI2657" s="128"/>
      <c r="CJ2657" s="128"/>
      <c r="CK2657" s="128"/>
      <c r="CL2657" s="128"/>
      <c r="CM2657" s="128"/>
      <c r="CN2657" s="128"/>
      <c r="CO2657" s="128"/>
      <c r="CP2657" s="128"/>
      <c r="CQ2657" s="128"/>
      <c r="CR2657" s="128"/>
      <c r="CS2657" s="128"/>
      <c r="CT2657" s="128"/>
      <c r="CU2657" s="128"/>
      <c r="CV2657" s="128"/>
      <c r="CW2657" s="128"/>
      <c r="CX2657" s="128"/>
      <c r="CY2657" s="128"/>
      <c r="CZ2657" s="165"/>
    </row>
    <row r="2658" spans="1:104">
      <c r="A2658" s="149"/>
      <c r="B2658" s="149"/>
      <c r="C2658" s="150"/>
      <c r="D2658" s="102"/>
      <c r="E2658" s="149"/>
      <c r="F2658" s="149"/>
      <c r="G2658" s="149"/>
      <c r="H2658" s="149"/>
      <c r="I2658" s="149"/>
      <c r="J2658" s="149"/>
      <c r="K2658" s="149"/>
      <c r="L2658" s="149"/>
      <c r="M2658" s="149"/>
      <c r="N2658" s="149"/>
      <c r="O2658" s="149"/>
      <c r="P2658" s="149"/>
      <c r="Q2658" s="149"/>
      <c r="R2658" s="149"/>
      <c r="S2658" s="149"/>
      <c r="T2658" s="149"/>
      <c r="U2658" s="149"/>
      <c r="V2658" s="149"/>
      <c r="W2658" s="149"/>
      <c r="X2658" s="149"/>
      <c r="Y2658" s="149"/>
      <c r="Z2658" s="149"/>
      <c r="AA2658" s="149"/>
      <c r="AB2658" s="149"/>
      <c r="AC2658" s="149"/>
      <c r="AD2658" s="149"/>
      <c r="AE2658" s="149"/>
      <c r="AF2658" s="149"/>
      <c r="AG2658" s="149"/>
      <c r="AH2658" s="149"/>
      <c r="AI2658" s="149"/>
      <c r="AJ2658" s="149"/>
      <c r="AK2658" s="149"/>
      <c r="AL2658" s="149"/>
      <c r="AM2658" s="149"/>
      <c r="AN2658" s="149"/>
      <c r="AO2658" s="128"/>
      <c r="AP2658" s="128"/>
      <c r="AQ2658" s="128"/>
      <c r="AR2658" s="128"/>
      <c r="AS2658" s="128"/>
      <c r="AT2658" s="128"/>
      <c r="AU2658" s="128"/>
      <c r="AV2658" s="128"/>
      <c r="AW2658" s="128"/>
      <c r="AX2658" s="128"/>
      <c r="AY2658" s="128"/>
      <c r="AZ2658" s="128"/>
      <c r="BA2658" s="128"/>
      <c r="BB2658" s="128"/>
      <c r="BC2658" s="128"/>
      <c r="BD2658" s="128"/>
      <c r="BE2658" s="128"/>
      <c r="BF2658" s="128"/>
      <c r="BG2658" s="128"/>
      <c r="BH2658" s="128"/>
      <c r="BI2658" s="128"/>
      <c r="BJ2658" s="128"/>
      <c r="BK2658" s="128"/>
      <c r="BL2658" s="128"/>
      <c r="BM2658" s="151"/>
      <c r="BN2658" s="128"/>
      <c r="BO2658" s="128"/>
      <c r="BP2658" s="128"/>
      <c r="BQ2658" s="128"/>
      <c r="BR2658" s="128"/>
      <c r="BS2658" s="128"/>
      <c r="BT2658" s="128"/>
      <c r="BU2658" s="128"/>
      <c r="BV2658" s="128"/>
      <c r="BW2658" s="128"/>
      <c r="BX2658" s="128"/>
      <c r="BY2658" s="128"/>
      <c r="BZ2658" s="128"/>
      <c r="CA2658" s="128"/>
      <c r="CB2658" s="128"/>
      <c r="CC2658" s="128"/>
      <c r="CD2658" s="128"/>
      <c r="CE2658" s="128"/>
      <c r="CF2658" s="128"/>
      <c r="CG2658" s="128"/>
      <c r="CI2658" s="128"/>
      <c r="CJ2658" s="128"/>
      <c r="CK2658" s="128"/>
      <c r="CL2658" s="128"/>
      <c r="CM2658" s="128"/>
      <c r="CN2658" s="128"/>
      <c r="CO2658" s="128"/>
      <c r="CP2658" s="128"/>
      <c r="CQ2658" s="128"/>
      <c r="CR2658" s="128"/>
      <c r="CS2658" s="128"/>
      <c r="CT2658" s="128"/>
      <c r="CU2658" s="128"/>
      <c r="CV2658" s="128"/>
      <c r="CW2658" s="128"/>
      <c r="CX2658" s="128"/>
      <c r="CY2658" s="128"/>
      <c r="CZ2658" s="165"/>
    </row>
    <row r="2659" spans="1:104">
      <c r="A2659" s="149"/>
      <c r="B2659" s="149"/>
      <c r="C2659" s="150"/>
      <c r="D2659" s="102"/>
      <c r="E2659" s="149"/>
      <c r="F2659" s="149"/>
      <c r="G2659" s="149"/>
      <c r="H2659" s="149"/>
      <c r="I2659" s="149"/>
      <c r="J2659" s="149"/>
      <c r="K2659" s="149"/>
      <c r="L2659" s="149"/>
      <c r="M2659" s="149"/>
      <c r="N2659" s="149"/>
      <c r="O2659" s="149"/>
      <c r="P2659" s="149"/>
      <c r="Q2659" s="149"/>
      <c r="R2659" s="149"/>
      <c r="S2659" s="149"/>
      <c r="T2659" s="149"/>
      <c r="U2659" s="149"/>
      <c r="V2659" s="149"/>
      <c r="W2659" s="149"/>
      <c r="X2659" s="149"/>
      <c r="Y2659" s="149"/>
      <c r="Z2659" s="149"/>
      <c r="AA2659" s="149"/>
      <c r="AB2659" s="149"/>
      <c r="AC2659" s="149"/>
      <c r="AD2659" s="149"/>
      <c r="AE2659" s="149"/>
      <c r="AF2659" s="149"/>
      <c r="AG2659" s="149"/>
      <c r="AH2659" s="149"/>
      <c r="AI2659" s="149"/>
      <c r="AJ2659" s="149"/>
      <c r="AK2659" s="149"/>
      <c r="AL2659" s="149"/>
      <c r="AM2659" s="149"/>
      <c r="AN2659" s="149"/>
      <c r="AO2659" s="128"/>
      <c r="AP2659" s="128"/>
      <c r="AQ2659" s="128"/>
      <c r="AR2659" s="128"/>
      <c r="AS2659" s="128"/>
      <c r="AT2659" s="128"/>
      <c r="AU2659" s="128"/>
      <c r="AV2659" s="128"/>
      <c r="AW2659" s="128"/>
      <c r="AX2659" s="128"/>
      <c r="AY2659" s="128"/>
      <c r="AZ2659" s="128"/>
      <c r="BA2659" s="128"/>
      <c r="BB2659" s="128"/>
      <c r="BC2659" s="128"/>
      <c r="BD2659" s="128"/>
      <c r="BE2659" s="128"/>
      <c r="BF2659" s="128"/>
      <c r="BG2659" s="128"/>
      <c r="BH2659" s="128"/>
      <c r="BI2659" s="128"/>
      <c r="BJ2659" s="128"/>
      <c r="BK2659" s="128"/>
      <c r="BL2659" s="128"/>
      <c r="BM2659" s="151"/>
      <c r="BN2659" s="128"/>
      <c r="BO2659" s="128"/>
      <c r="BP2659" s="128"/>
      <c r="BQ2659" s="128"/>
      <c r="BR2659" s="128"/>
      <c r="BS2659" s="128"/>
      <c r="BT2659" s="128"/>
      <c r="BU2659" s="128"/>
      <c r="BV2659" s="128"/>
      <c r="BW2659" s="128"/>
      <c r="BX2659" s="128"/>
      <c r="BY2659" s="128"/>
      <c r="BZ2659" s="128"/>
      <c r="CA2659" s="128"/>
      <c r="CB2659" s="128"/>
      <c r="CC2659" s="128"/>
      <c r="CD2659" s="128"/>
      <c r="CE2659" s="128"/>
      <c r="CF2659" s="128"/>
      <c r="CG2659" s="128"/>
      <c r="CI2659" s="128"/>
      <c r="CJ2659" s="128"/>
      <c r="CK2659" s="128"/>
      <c r="CL2659" s="128"/>
      <c r="CM2659" s="128"/>
      <c r="CN2659" s="128"/>
      <c r="CO2659" s="128"/>
      <c r="CP2659" s="128"/>
      <c r="CQ2659" s="128"/>
      <c r="CR2659" s="128"/>
      <c r="CS2659" s="128"/>
      <c r="CT2659" s="128"/>
      <c r="CU2659" s="128"/>
      <c r="CV2659" s="128"/>
      <c r="CW2659" s="128"/>
      <c r="CX2659" s="128"/>
      <c r="CY2659" s="128"/>
      <c r="CZ2659" s="165"/>
    </row>
    <row r="2660" spans="1:104">
      <c r="A2660" s="149"/>
      <c r="B2660" s="149"/>
      <c r="C2660" s="150"/>
      <c r="D2660" s="102"/>
      <c r="E2660" s="149"/>
      <c r="F2660" s="149"/>
      <c r="G2660" s="149"/>
      <c r="H2660" s="149"/>
      <c r="I2660" s="149"/>
      <c r="J2660" s="149"/>
      <c r="K2660" s="149"/>
      <c r="L2660" s="149"/>
      <c r="M2660" s="149"/>
      <c r="N2660" s="149"/>
      <c r="O2660" s="149"/>
      <c r="P2660" s="149"/>
      <c r="Q2660" s="149"/>
      <c r="R2660" s="149"/>
      <c r="S2660" s="149"/>
      <c r="T2660" s="149"/>
      <c r="U2660" s="149"/>
      <c r="V2660" s="149"/>
      <c r="W2660" s="149"/>
      <c r="X2660" s="149"/>
      <c r="Y2660" s="149"/>
      <c r="Z2660" s="149"/>
      <c r="AA2660" s="149"/>
      <c r="AB2660" s="149"/>
      <c r="AC2660" s="149"/>
      <c r="AD2660" s="149"/>
      <c r="AE2660" s="149"/>
      <c r="AF2660" s="149"/>
      <c r="AG2660" s="149"/>
      <c r="AH2660" s="149"/>
      <c r="AI2660" s="149"/>
      <c r="AJ2660" s="149"/>
      <c r="AK2660" s="149"/>
      <c r="AL2660" s="149"/>
      <c r="AM2660" s="149"/>
      <c r="AN2660" s="149"/>
      <c r="AO2660" s="128"/>
      <c r="AP2660" s="128"/>
      <c r="AQ2660" s="128"/>
      <c r="AR2660" s="128"/>
      <c r="AS2660" s="128"/>
      <c r="AT2660" s="128"/>
      <c r="AU2660" s="128"/>
      <c r="AV2660" s="128"/>
      <c r="AW2660" s="128"/>
      <c r="AX2660" s="128"/>
      <c r="AY2660" s="128"/>
      <c r="AZ2660" s="128"/>
      <c r="BA2660" s="128"/>
      <c r="BB2660" s="128"/>
      <c r="BC2660" s="128"/>
      <c r="BD2660" s="128"/>
      <c r="BE2660" s="128"/>
      <c r="BF2660" s="128"/>
      <c r="BG2660" s="128"/>
      <c r="BH2660" s="128"/>
      <c r="BI2660" s="128"/>
      <c r="BJ2660" s="128"/>
      <c r="BK2660" s="128"/>
      <c r="BL2660" s="128"/>
      <c r="BM2660" s="151"/>
      <c r="BN2660" s="128"/>
      <c r="BO2660" s="128"/>
      <c r="BP2660" s="128"/>
      <c r="BQ2660" s="128"/>
      <c r="BR2660" s="128"/>
      <c r="BS2660" s="128"/>
      <c r="BT2660" s="128"/>
      <c r="BU2660" s="128"/>
      <c r="BV2660" s="128"/>
      <c r="BW2660" s="128"/>
      <c r="BX2660" s="128"/>
      <c r="BY2660" s="128"/>
      <c r="BZ2660" s="128"/>
      <c r="CA2660" s="128"/>
      <c r="CB2660" s="128"/>
      <c r="CC2660" s="128"/>
      <c r="CD2660" s="128"/>
      <c r="CE2660" s="128"/>
      <c r="CF2660" s="128"/>
      <c r="CG2660" s="128"/>
      <c r="CI2660" s="128"/>
      <c r="CJ2660" s="128"/>
      <c r="CK2660" s="128"/>
      <c r="CL2660" s="128"/>
      <c r="CM2660" s="128"/>
      <c r="CN2660" s="128"/>
      <c r="CO2660" s="128"/>
      <c r="CP2660" s="128"/>
      <c r="CQ2660" s="128"/>
      <c r="CR2660" s="128"/>
      <c r="CS2660" s="128"/>
      <c r="CT2660" s="128"/>
      <c r="CU2660" s="128"/>
      <c r="CV2660" s="128"/>
      <c r="CW2660" s="128"/>
      <c r="CX2660" s="128"/>
      <c r="CY2660" s="128"/>
      <c r="CZ2660" s="165"/>
    </row>
    <row r="2661" spans="1:104">
      <c r="A2661" s="149"/>
      <c r="B2661" s="149"/>
      <c r="C2661" s="150"/>
      <c r="D2661" s="102"/>
      <c r="E2661" s="149"/>
      <c r="F2661" s="149"/>
      <c r="G2661" s="149"/>
      <c r="H2661" s="149"/>
      <c r="I2661" s="149"/>
      <c r="J2661" s="149"/>
      <c r="K2661" s="149"/>
      <c r="L2661" s="149"/>
      <c r="M2661" s="149"/>
      <c r="N2661" s="149"/>
      <c r="O2661" s="149"/>
      <c r="P2661" s="149"/>
      <c r="Q2661" s="149"/>
      <c r="R2661" s="149"/>
      <c r="S2661" s="149"/>
      <c r="T2661" s="149"/>
      <c r="U2661" s="149"/>
      <c r="V2661" s="149"/>
      <c r="W2661" s="149"/>
      <c r="X2661" s="149"/>
      <c r="Y2661" s="149"/>
      <c r="Z2661" s="149"/>
      <c r="AA2661" s="149"/>
      <c r="AB2661" s="149"/>
      <c r="AC2661" s="149"/>
      <c r="AD2661" s="149"/>
      <c r="AE2661" s="149"/>
      <c r="AF2661" s="149"/>
      <c r="AG2661" s="149"/>
      <c r="AH2661" s="149"/>
      <c r="AI2661" s="149"/>
      <c r="AJ2661" s="149"/>
      <c r="AK2661" s="149"/>
      <c r="AL2661" s="149"/>
      <c r="AM2661" s="149"/>
      <c r="AN2661" s="149"/>
      <c r="AO2661" s="128"/>
      <c r="AP2661" s="128"/>
      <c r="AQ2661" s="128"/>
      <c r="AR2661" s="128"/>
      <c r="AS2661" s="128"/>
      <c r="AT2661" s="128"/>
      <c r="AU2661" s="128"/>
      <c r="AV2661" s="128"/>
      <c r="AW2661" s="128"/>
      <c r="AX2661" s="128"/>
      <c r="AY2661" s="128"/>
      <c r="AZ2661" s="128"/>
      <c r="BA2661" s="128"/>
      <c r="BB2661" s="128"/>
      <c r="BC2661" s="128"/>
      <c r="BD2661" s="128"/>
      <c r="BE2661" s="128"/>
      <c r="BF2661" s="128"/>
      <c r="BG2661" s="128"/>
      <c r="BH2661" s="128"/>
      <c r="BI2661" s="128"/>
      <c r="BJ2661" s="128"/>
      <c r="BK2661" s="128"/>
      <c r="BL2661" s="128"/>
      <c r="BM2661" s="151"/>
      <c r="BN2661" s="128"/>
      <c r="BO2661" s="128"/>
      <c r="BP2661" s="128"/>
      <c r="BQ2661" s="128"/>
      <c r="BR2661" s="128"/>
      <c r="BS2661" s="128"/>
      <c r="BT2661" s="128"/>
      <c r="BU2661" s="128"/>
      <c r="BV2661" s="128"/>
      <c r="BW2661" s="128"/>
      <c r="BX2661" s="128"/>
      <c r="BY2661" s="128"/>
      <c r="BZ2661" s="128"/>
      <c r="CA2661" s="128"/>
      <c r="CB2661" s="128"/>
      <c r="CC2661" s="128"/>
      <c r="CD2661" s="128"/>
      <c r="CE2661" s="128"/>
      <c r="CF2661" s="128"/>
      <c r="CG2661" s="128"/>
      <c r="CI2661" s="128"/>
      <c r="CJ2661" s="128"/>
      <c r="CK2661" s="128"/>
      <c r="CL2661" s="128"/>
      <c r="CM2661" s="128"/>
      <c r="CN2661" s="128"/>
      <c r="CO2661" s="128"/>
      <c r="CP2661" s="128"/>
      <c r="CQ2661" s="128"/>
      <c r="CR2661" s="128"/>
      <c r="CS2661" s="128"/>
      <c r="CT2661" s="128"/>
      <c r="CU2661" s="128"/>
      <c r="CV2661" s="128"/>
      <c r="CW2661" s="128"/>
      <c r="CX2661" s="128"/>
      <c r="CY2661" s="128"/>
      <c r="CZ2661" s="165"/>
    </row>
    <row r="2662" spans="1:104">
      <c r="A2662" s="149"/>
      <c r="B2662" s="149"/>
      <c r="C2662" s="150"/>
      <c r="D2662" s="102"/>
      <c r="E2662" s="149"/>
      <c r="F2662" s="149"/>
      <c r="G2662" s="149"/>
      <c r="H2662" s="149"/>
      <c r="I2662" s="149"/>
      <c r="J2662" s="149"/>
      <c r="K2662" s="149"/>
      <c r="L2662" s="149"/>
      <c r="M2662" s="149"/>
      <c r="N2662" s="149"/>
      <c r="O2662" s="149"/>
      <c r="P2662" s="149"/>
      <c r="Q2662" s="149"/>
      <c r="R2662" s="149"/>
      <c r="S2662" s="149"/>
      <c r="T2662" s="149"/>
      <c r="U2662" s="149"/>
      <c r="V2662" s="149"/>
      <c r="W2662" s="149"/>
      <c r="X2662" s="149"/>
      <c r="Y2662" s="149"/>
      <c r="Z2662" s="149"/>
      <c r="AA2662" s="149"/>
      <c r="AB2662" s="149"/>
      <c r="AC2662" s="149"/>
      <c r="AD2662" s="149"/>
      <c r="AE2662" s="149"/>
      <c r="AF2662" s="149"/>
      <c r="AG2662" s="149"/>
      <c r="AH2662" s="149"/>
      <c r="AI2662" s="149"/>
      <c r="AJ2662" s="149"/>
      <c r="AK2662" s="149"/>
      <c r="AL2662" s="149"/>
      <c r="AM2662" s="149"/>
      <c r="AN2662" s="149"/>
      <c r="AO2662" s="128"/>
      <c r="AP2662" s="128"/>
      <c r="AQ2662" s="128"/>
      <c r="AR2662" s="128"/>
      <c r="AS2662" s="128"/>
      <c r="AT2662" s="128"/>
      <c r="AU2662" s="128"/>
      <c r="AV2662" s="128"/>
      <c r="AW2662" s="128"/>
      <c r="AX2662" s="128"/>
      <c r="AY2662" s="128"/>
      <c r="AZ2662" s="128"/>
      <c r="BA2662" s="128"/>
      <c r="BB2662" s="128"/>
      <c r="BC2662" s="128"/>
      <c r="BD2662" s="128"/>
      <c r="BE2662" s="128"/>
      <c r="BF2662" s="128"/>
      <c r="BG2662" s="128"/>
      <c r="BH2662" s="128"/>
      <c r="BI2662" s="128"/>
      <c r="BJ2662" s="128"/>
      <c r="BK2662" s="128"/>
      <c r="BL2662" s="128"/>
      <c r="BM2662" s="151"/>
      <c r="BN2662" s="128"/>
      <c r="BO2662" s="128"/>
      <c r="BP2662" s="128"/>
      <c r="BQ2662" s="128"/>
      <c r="BR2662" s="128"/>
      <c r="BS2662" s="128"/>
      <c r="BT2662" s="128"/>
      <c r="BU2662" s="128"/>
      <c r="BV2662" s="128"/>
      <c r="BW2662" s="128"/>
      <c r="BX2662" s="128"/>
      <c r="BY2662" s="128"/>
      <c r="BZ2662" s="128"/>
      <c r="CA2662" s="128"/>
      <c r="CB2662" s="128"/>
      <c r="CC2662" s="128"/>
      <c r="CD2662" s="128"/>
      <c r="CE2662" s="128"/>
      <c r="CF2662" s="128"/>
      <c r="CG2662" s="128"/>
      <c r="CI2662" s="128"/>
      <c r="CJ2662" s="128"/>
      <c r="CK2662" s="128"/>
      <c r="CL2662" s="128"/>
      <c r="CM2662" s="128"/>
      <c r="CN2662" s="128"/>
      <c r="CO2662" s="128"/>
      <c r="CP2662" s="128"/>
      <c r="CQ2662" s="128"/>
      <c r="CR2662" s="128"/>
      <c r="CS2662" s="128"/>
      <c r="CT2662" s="128"/>
      <c r="CU2662" s="128"/>
      <c r="CV2662" s="128"/>
      <c r="CW2662" s="128"/>
      <c r="CX2662" s="128"/>
      <c r="CY2662" s="128"/>
      <c r="CZ2662" s="165"/>
    </row>
    <row r="2663" spans="1:104">
      <c r="A2663" s="149"/>
      <c r="B2663" s="149"/>
      <c r="C2663" s="150"/>
      <c r="D2663" s="102"/>
      <c r="E2663" s="149"/>
      <c r="F2663" s="149"/>
      <c r="G2663" s="149"/>
      <c r="H2663" s="149"/>
      <c r="I2663" s="149"/>
      <c r="J2663" s="149"/>
      <c r="K2663" s="149"/>
      <c r="L2663" s="149"/>
      <c r="M2663" s="149"/>
      <c r="N2663" s="149"/>
      <c r="O2663" s="149"/>
      <c r="P2663" s="149"/>
      <c r="Q2663" s="149"/>
      <c r="R2663" s="149"/>
      <c r="S2663" s="149"/>
      <c r="T2663" s="149"/>
      <c r="U2663" s="149"/>
      <c r="V2663" s="149"/>
      <c r="W2663" s="149"/>
      <c r="X2663" s="149"/>
      <c r="Y2663" s="149"/>
      <c r="Z2663" s="149"/>
      <c r="AA2663" s="149"/>
      <c r="AB2663" s="149"/>
      <c r="AC2663" s="149"/>
      <c r="AD2663" s="149"/>
      <c r="AE2663" s="149"/>
      <c r="AF2663" s="149"/>
      <c r="AG2663" s="149"/>
      <c r="AH2663" s="149"/>
      <c r="AI2663" s="149"/>
      <c r="AJ2663" s="149"/>
      <c r="AK2663" s="149"/>
      <c r="AL2663" s="149"/>
      <c r="AM2663" s="149"/>
      <c r="AN2663" s="149"/>
      <c r="AO2663" s="128"/>
      <c r="AP2663" s="128"/>
      <c r="AQ2663" s="128"/>
      <c r="AR2663" s="128"/>
      <c r="AS2663" s="128"/>
      <c r="AT2663" s="128"/>
      <c r="AU2663" s="128"/>
      <c r="AV2663" s="128"/>
      <c r="AW2663" s="128"/>
      <c r="AX2663" s="128"/>
      <c r="AY2663" s="128"/>
      <c r="AZ2663" s="128"/>
      <c r="BA2663" s="128"/>
      <c r="BB2663" s="128"/>
      <c r="BC2663" s="128"/>
      <c r="BD2663" s="128"/>
      <c r="BE2663" s="128"/>
      <c r="BF2663" s="128"/>
      <c r="BG2663" s="128"/>
      <c r="BH2663" s="128"/>
      <c r="BI2663" s="128"/>
      <c r="BJ2663" s="128"/>
      <c r="BK2663" s="128"/>
      <c r="BL2663" s="128"/>
      <c r="BM2663" s="151"/>
      <c r="BN2663" s="128"/>
      <c r="BO2663" s="128"/>
      <c r="BP2663" s="128"/>
      <c r="BQ2663" s="128"/>
      <c r="BR2663" s="128"/>
      <c r="BS2663" s="128"/>
      <c r="BT2663" s="128"/>
      <c r="BU2663" s="128"/>
      <c r="BV2663" s="128"/>
      <c r="BW2663" s="128"/>
      <c r="BX2663" s="128"/>
      <c r="BY2663" s="128"/>
      <c r="BZ2663" s="128"/>
      <c r="CA2663" s="128"/>
      <c r="CB2663" s="128"/>
      <c r="CC2663" s="128"/>
      <c r="CD2663" s="128"/>
      <c r="CE2663" s="128"/>
      <c r="CF2663" s="128"/>
      <c r="CG2663" s="128"/>
      <c r="CI2663" s="128"/>
      <c r="CJ2663" s="128"/>
      <c r="CK2663" s="128"/>
      <c r="CL2663" s="128"/>
      <c r="CM2663" s="128"/>
      <c r="CN2663" s="128"/>
      <c r="CO2663" s="128"/>
      <c r="CP2663" s="128"/>
      <c r="CQ2663" s="128"/>
      <c r="CR2663" s="128"/>
      <c r="CS2663" s="128"/>
      <c r="CT2663" s="128"/>
      <c r="CU2663" s="128"/>
      <c r="CV2663" s="128"/>
      <c r="CW2663" s="128"/>
      <c r="CX2663" s="128"/>
      <c r="CY2663" s="128"/>
      <c r="CZ2663" s="165"/>
    </row>
    <row r="2664" spans="1:104">
      <c r="A2664" s="149"/>
      <c r="B2664" s="149"/>
      <c r="C2664" s="150"/>
      <c r="D2664" s="102"/>
      <c r="E2664" s="149"/>
      <c r="F2664" s="149"/>
      <c r="G2664" s="149"/>
      <c r="H2664" s="149"/>
      <c r="I2664" s="149"/>
      <c r="J2664" s="149"/>
      <c r="K2664" s="149"/>
      <c r="L2664" s="149"/>
      <c r="M2664" s="149"/>
      <c r="N2664" s="149"/>
      <c r="O2664" s="149"/>
      <c r="P2664" s="149"/>
      <c r="Q2664" s="149"/>
      <c r="R2664" s="149"/>
      <c r="S2664" s="149"/>
      <c r="T2664" s="149"/>
      <c r="U2664" s="149"/>
      <c r="V2664" s="149"/>
      <c r="W2664" s="149"/>
      <c r="X2664" s="149"/>
      <c r="Y2664" s="149"/>
      <c r="Z2664" s="149"/>
      <c r="AA2664" s="149"/>
      <c r="AB2664" s="149"/>
      <c r="AC2664" s="149"/>
      <c r="AD2664" s="149"/>
      <c r="AE2664" s="149"/>
      <c r="AF2664" s="149"/>
      <c r="AG2664" s="149"/>
      <c r="AH2664" s="149"/>
      <c r="AI2664" s="149"/>
      <c r="AJ2664" s="149"/>
      <c r="AK2664" s="149"/>
      <c r="AL2664" s="149"/>
      <c r="AM2664" s="149"/>
      <c r="AN2664" s="149"/>
      <c r="AO2664" s="128"/>
      <c r="AP2664" s="128"/>
      <c r="AQ2664" s="128"/>
      <c r="AR2664" s="128"/>
      <c r="AS2664" s="128"/>
      <c r="AT2664" s="128"/>
      <c r="AU2664" s="128"/>
      <c r="AV2664" s="128"/>
      <c r="AW2664" s="128"/>
      <c r="AX2664" s="128"/>
      <c r="AY2664" s="128"/>
      <c r="AZ2664" s="128"/>
      <c r="BA2664" s="128"/>
      <c r="BB2664" s="128"/>
      <c r="BC2664" s="128"/>
      <c r="BD2664" s="128"/>
      <c r="BE2664" s="128"/>
      <c r="BF2664" s="128"/>
      <c r="BG2664" s="128"/>
      <c r="BH2664" s="128"/>
      <c r="BI2664" s="128"/>
      <c r="BJ2664" s="128"/>
      <c r="BK2664" s="128"/>
      <c r="BL2664" s="128"/>
      <c r="BM2664" s="151"/>
      <c r="BN2664" s="128"/>
      <c r="BO2664" s="128"/>
      <c r="BP2664" s="128"/>
      <c r="BQ2664" s="128"/>
      <c r="BR2664" s="128"/>
      <c r="BS2664" s="128"/>
      <c r="BT2664" s="128"/>
      <c r="BU2664" s="128"/>
      <c r="BV2664" s="128"/>
      <c r="BW2664" s="128"/>
      <c r="BX2664" s="128"/>
      <c r="BY2664" s="128"/>
      <c r="BZ2664" s="128"/>
      <c r="CA2664" s="128"/>
      <c r="CB2664" s="128"/>
      <c r="CC2664" s="128"/>
      <c r="CD2664" s="128"/>
      <c r="CE2664" s="128"/>
      <c r="CF2664" s="128"/>
      <c r="CG2664" s="128"/>
      <c r="CI2664" s="128"/>
      <c r="CJ2664" s="128"/>
      <c r="CK2664" s="128"/>
      <c r="CL2664" s="128"/>
      <c r="CM2664" s="128"/>
      <c r="CN2664" s="128"/>
      <c r="CO2664" s="128"/>
      <c r="CP2664" s="128"/>
      <c r="CQ2664" s="128"/>
      <c r="CR2664" s="128"/>
      <c r="CS2664" s="128"/>
      <c r="CT2664" s="128"/>
      <c r="CU2664" s="128"/>
      <c r="CV2664" s="128"/>
      <c r="CW2664" s="128"/>
      <c r="CX2664" s="128"/>
      <c r="CY2664" s="128"/>
      <c r="CZ2664" s="165"/>
    </row>
    <row r="2665" spans="1:104">
      <c r="A2665" s="149"/>
      <c r="B2665" s="149"/>
      <c r="C2665" s="150"/>
      <c r="D2665" s="102"/>
      <c r="E2665" s="149"/>
      <c r="F2665" s="149"/>
      <c r="G2665" s="149"/>
      <c r="H2665" s="149"/>
      <c r="I2665" s="149"/>
      <c r="J2665" s="149"/>
      <c r="K2665" s="149"/>
      <c r="L2665" s="149"/>
      <c r="M2665" s="149"/>
      <c r="N2665" s="149"/>
      <c r="O2665" s="149"/>
      <c r="P2665" s="149"/>
      <c r="Q2665" s="149"/>
      <c r="R2665" s="149"/>
      <c r="S2665" s="149"/>
      <c r="T2665" s="149"/>
      <c r="U2665" s="149"/>
      <c r="V2665" s="149"/>
      <c r="W2665" s="149"/>
      <c r="X2665" s="149"/>
      <c r="Y2665" s="149"/>
      <c r="Z2665" s="149"/>
      <c r="AA2665" s="149"/>
      <c r="AB2665" s="149"/>
      <c r="AC2665" s="149"/>
      <c r="AD2665" s="149"/>
      <c r="AE2665" s="149"/>
      <c r="AF2665" s="149"/>
      <c r="AG2665" s="149"/>
      <c r="AH2665" s="149"/>
      <c r="AI2665" s="149"/>
      <c r="AJ2665" s="149"/>
      <c r="AK2665" s="149"/>
      <c r="AL2665" s="149"/>
      <c r="AM2665" s="149"/>
      <c r="AN2665" s="149"/>
      <c r="AO2665" s="128"/>
      <c r="AP2665" s="128"/>
      <c r="AQ2665" s="128"/>
      <c r="AR2665" s="128"/>
      <c r="AS2665" s="128"/>
      <c r="AT2665" s="128"/>
      <c r="AU2665" s="128"/>
      <c r="AV2665" s="128"/>
      <c r="AW2665" s="128"/>
      <c r="AX2665" s="128"/>
      <c r="AY2665" s="128"/>
      <c r="AZ2665" s="128"/>
      <c r="BA2665" s="128"/>
      <c r="BB2665" s="128"/>
      <c r="BC2665" s="128"/>
      <c r="BD2665" s="128"/>
      <c r="BE2665" s="128"/>
      <c r="BF2665" s="128"/>
      <c r="BG2665" s="128"/>
      <c r="BH2665" s="128"/>
      <c r="BI2665" s="128"/>
      <c r="BJ2665" s="128"/>
      <c r="BK2665" s="128"/>
      <c r="BL2665" s="128"/>
      <c r="BM2665" s="151"/>
      <c r="BN2665" s="128"/>
      <c r="BO2665" s="128"/>
      <c r="BP2665" s="128"/>
      <c r="BQ2665" s="128"/>
      <c r="BR2665" s="128"/>
      <c r="BS2665" s="128"/>
      <c r="BT2665" s="128"/>
      <c r="BU2665" s="128"/>
      <c r="BV2665" s="128"/>
      <c r="BW2665" s="128"/>
      <c r="BX2665" s="128"/>
      <c r="BY2665" s="128"/>
      <c r="BZ2665" s="128"/>
      <c r="CA2665" s="128"/>
      <c r="CB2665" s="128"/>
      <c r="CC2665" s="128"/>
      <c r="CD2665" s="128"/>
      <c r="CE2665" s="128"/>
      <c r="CF2665" s="128"/>
      <c r="CG2665" s="128"/>
      <c r="CI2665" s="128"/>
      <c r="CJ2665" s="128"/>
      <c r="CK2665" s="128"/>
      <c r="CL2665" s="128"/>
      <c r="CM2665" s="128"/>
      <c r="CN2665" s="128"/>
      <c r="CO2665" s="128"/>
      <c r="CP2665" s="128"/>
      <c r="CQ2665" s="128"/>
      <c r="CR2665" s="128"/>
      <c r="CS2665" s="128"/>
      <c r="CT2665" s="128"/>
      <c r="CU2665" s="128"/>
      <c r="CV2665" s="128"/>
      <c r="CW2665" s="128"/>
      <c r="CX2665" s="128"/>
      <c r="CY2665" s="128"/>
      <c r="CZ2665" s="165"/>
    </row>
    <row r="2666" spans="1:104">
      <c r="A2666" s="149"/>
      <c r="B2666" s="149"/>
      <c r="C2666" s="150"/>
      <c r="D2666" s="102"/>
      <c r="E2666" s="149"/>
      <c r="F2666" s="149"/>
      <c r="G2666" s="149"/>
      <c r="H2666" s="149"/>
      <c r="I2666" s="149"/>
      <c r="J2666" s="149"/>
      <c r="K2666" s="149"/>
      <c r="L2666" s="149"/>
      <c r="M2666" s="149"/>
      <c r="N2666" s="149"/>
      <c r="O2666" s="149"/>
      <c r="P2666" s="149"/>
      <c r="Q2666" s="149"/>
      <c r="R2666" s="149"/>
      <c r="S2666" s="149"/>
      <c r="T2666" s="149"/>
      <c r="U2666" s="149"/>
      <c r="V2666" s="149"/>
      <c r="W2666" s="149"/>
      <c r="X2666" s="149"/>
      <c r="Y2666" s="149"/>
      <c r="Z2666" s="149"/>
      <c r="AA2666" s="149"/>
      <c r="AB2666" s="149"/>
      <c r="AC2666" s="149"/>
      <c r="AD2666" s="149"/>
      <c r="AE2666" s="149"/>
      <c r="AF2666" s="149"/>
      <c r="AG2666" s="149"/>
      <c r="AH2666" s="149"/>
      <c r="AI2666" s="149"/>
      <c r="AJ2666" s="149"/>
      <c r="AK2666" s="149"/>
      <c r="AL2666" s="149"/>
      <c r="AM2666" s="149"/>
      <c r="AN2666" s="149"/>
      <c r="AO2666" s="128"/>
      <c r="AP2666" s="128"/>
      <c r="AQ2666" s="128"/>
      <c r="AR2666" s="128"/>
      <c r="AS2666" s="128"/>
      <c r="AT2666" s="128"/>
      <c r="AU2666" s="128"/>
      <c r="AV2666" s="128"/>
      <c r="AW2666" s="128"/>
      <c r="AX2666" s="128"/>
      <c r="AY2666" s="128"/>
      <c r="AZ2666" s="128"/>
      <c r="BA2666" s="128"/>
      <c r="BB2666" s="128"/>
      <c r="BC2666" s="128"/>
      <c r="BD2666" s="128"/>
      <c r="BE2666" s="128"/>
      <c r="BF2666" s="128"/>
      <c r="BG2666" s="128"/>
      <c r="BH2666" s="128"/>
      <c r="BI2666" s="128"/>
      <c r="BJ2666" s="128"/>
      <c r="BK2666" s="128"/>
      <c r="BL2666" s="128"/>
      <c r="BM2666" s="151"/>
      <c r="BN2666" s="128"/>
      <c r="BO2666" s="128"/>
      <c r="BP2666" s="128"/>
      <c r="BQ2666" s="128"/>
      <c r="BR2666" s="128"/>
      <c r="BS2666" s="128"/>
      <c r="BT2666" s="128"/>
      <c r="BU2666" s="128"/>
      <c r="BV2666" s="128"/>
      <c r="BW2666" s="128"/>
      <c r="BX2666" s="128"/>
      <c r="BY2666" s="128"/>
      <c r="BZ2666" s="128"/>
      <c r="CA2666" s="128"/>
      <c r="CB2666" s="128"/>
      <c r="CC2666" s="128"/>
      <c r="CD2666" s="128"/>
      <c r="CE2666" s="128"/>
      <c r="CF2666" s="128"/>
      <c r="CG2666" s="128"/>
      <c r="CI2666" s="128"/>
      <c r="CJ2666" s="128"/>
      <c r="CK2666" s="128"/>
      <c r="CL2666" s="128"/>
      <c r="CM2666" s="128"/>
      <c r="CN2666" s="128"/>
      <c r="CO2666" s="128"/>
      <c r="CP2666" s="128"/>
      <c r="CQ2666" s="128"/>
      <c r="CR2666" s="128"/>
      <c r="CS2666" s="128"/>
      <c r="CT2666" s="128"/>
      <c r="CU2666" s="128"/>
      <c r="CV2666" s="128"/>
      <c r="CW2666" s="128"/>
      <c r="CX2666" s="128"/>
      <c r="CY2666" s="128"/>
      <c r="CZ2666" s="165"/>
    </row>
    <row r="2667" spans="1:104">
      <c r="A2667" s="149"/>
      <c r="B2667" s="149"/>
      <c r="C2667" s="150"/>
      <c r="D2667" s="102"/>
      <c r="E2667" s="149"/>
      <c r="F2667" s="149"/>
      <c r="G2667" s="149"/>
      <c r="H2667" s="149"/>
      <c r="I2667" s="149"/>
      <c r="J2667" s="149"/>
      <c r="K2667" s="149"/>
      <c r="L2667" s="149"/>
      <c r="M2667" s="149"/>
      <c r="N2667" s="149"/>
      <c r="O2667" s="149"/>
      <c r="P2667" s="149"/>
      <c r="Q2667" s="149"/>
      <c r="R2667" s="149"/>
      <c r="S2667" s="149"/>
      <c r="T2667" s="149"/>
      <c r="U2667" s="149"/>
      <c r="V2667" s="149"/>
      <c r="W2667" s="149"/>
      <c r="X2667" s="149"/>
      <c r="Y2667" s="149"/>
      <c r="Z2667" s="149"/>
      <c r="AA2667" s="149"/>
      <c r="AB2667" s="149"/>
      <c r="AC2667" s="149"/>
      <c r="AD2667" s="149"/>
      <c r="AE2667" s="149"/>
      <c r="AF2667" s="149"/>
      <c r="AG2667" s="149"/>
      <c r="AH2667" s="149"/>
      <c r="AI2667" s="149"/>
      <c r="AJ2667" s="149"/>
      <c r="AK2667" s="149"/>
      <c r="AL2667" s="149"/>
      <c r="AM2667" s="149"/>
      <c r="AN2667" s="149"/>
      <c r="AO2667" s="128"/>
      <c r="AP2667" s="128"/>
      <c r="AQ2667" s="128"/>
      <c r="AR2667" s="128"/>
      <c r="AS2667" s="128"/>
      <c r="AT2667" s="128"/>
      <c r="AU2667" s="128"/>
      <c r="AV2667" s="128"/>
      <c r="AW2667" s="128"/>
      <c r="AX2667" s="128"/>
      <c r="AY2667" s="128"/>
      <c r="AZ2667" s="128"/>
      <c r="BA2667" s="128"/>
      <c r="BB2667" s="128"/>
      <c r="BC2667" s="128"/>
      <c r="BD2667" s="128"/>
      <c r="BE2667" s="128"/>
      <c r="BF2667" s="128"/>
      <c r="BG2667" s="128"/>
      <c r="BH2667" s="128"/>
      <c r="BI2667" s="128"/>
      <c r="BJ2667" s="128"/>
      <c r="BK2667" s="128"/>
      <c r="BL2667" s="128"/>
      <c r="BM2667" s="151"/>
      <c r="BN2667" s="128"/>
      <c r="BO2667" s="128"/>
      <c r="BP2667" s="128"/>
      <c r="BQ2667" s="128"/>
      <c r="BR2667" s="128"/>
      <c r="BS2667" s="128"/>
      <c r="BT2667" s="128"/>
      <c r="BU2667" s="128"/>
      <c r="BV2667" s="128"/>
      <c r="BW2667" s="128"/>
      <c r="BX2667" s="128"/>
      <c r="BY2667" s="128"/>
      <c r="BZ2667" s="128"/>
      <c r="CA2667" s="128"/>
      <c r="CB2667" s="128"/>
      <c r="CC2667" s="128"/>
      <c r="CD2667" s="128"/>
      <c r="CE2667" s="128"/>
      <c r="CF2667" s="128"/>
      <c r="CG2667" s="128"/>
      <c r="CI2667" s="128"/>
      <c r="CJ2667" s="128"/>
      <c r="CK2667" s="128"/>
      <c r="CL2667" s="128"/>
      <c r="CM2667" s="128"/>
      <c r="CN2667" s="128"/>
      <c r="CO2667" s="128"/>
      <c r="CP2667" s="128"/>
      <c r="CQ2667" s="128"/>
      <c r="CR2667" s="128"/>
      <c r="CS2667" s="128"/>
      <c r="CT2667" s="128"/>
      <c r="CU2667" s="128"/>
      <c r="CV2667" s="128"/>
      <c r="CW2667" s="128"/>
      <c r="CX2667" s="128"/>
      <c r="CY2667" s="128"/>
      <c r="CZ2667" s="165"/>
    </row>
    <row r="2668" spans="1:104">
      <c r="A2668" s="149"/>
      <c r="B2668" s="149"/>
      <c r="C2668" s="150"/>
      <c r="D2668" s="102"/>
      <c r="E2668" s="149"/>
      <c r="F2668" s="149"/>
      <c r="G2668" s="149"/>
      <c r="H2668" s="149"/>
      <c r="I2668" s="149"/>
      <c r="J2668" s="149"/>
      <c r="K2668" s="149"/>
      <c r="L2668" s="149"/>
      <c r="M2668" s="149"/>
      <c r="N2668" s="149"/>
      <c r="O2668" s="149"/>
      <c r="P2668" s="149"/>
      <c r="Q2668" s="149"/>
      <c r="R2668" s="149"/>
      <c r="S2668" s="149"/>
      <c r="T2668" s="149"/>
      <c r="U2668" s="149"/>
      <c r="V2668" s="149"/>
      <c r="W2668" s="149"/>
      <c r="X2668" s="149"/>
      <c r="Y2668" s="149"/>
      <c r="Z2668" s="149"/>
      <c r="AA2668" s="149"/>
      <c r="AB2668" s="149"/>
      <c r="AC2668" s="149"/>
      <c r="AD2668" s="149"/>
      <c r="AE2668" s="149"/>
      <c r="AF2668" s="149"/>
      <c r="AG2668" s="149"/>
      <c r="AH2668" s="149"/>
      <c r="AI2668" s="149"/>
      <c r="AJ2668" s="149"/>
      <c r="AK2668" s="149"/>
      <c r="AL2668" s="149"/>
      <c r="AM2668" s="149"/>
      <c r="AN2668" s="149"/>
      <c r="AO2668" s="128"/>
      <c r="AP2668" s="128"/>
      <c r="AQ2668" s="128"/>
      <c r="AR2668" s="128"/>
      <c r="AS2668" s="128"/>
      <c r="AT2668" s="128"/>
      <c r="AU2668" s="128"/>
      <c r="AV2668" s="128"/>
      <c r="AW2668" s="128"/>
      <c r="AX2668" s="128"/>
      <c r="AY2668" s="128"/>
      <c r="AZ2668" s="128"/>
      <c r="BA2668" s="128"/>
      <c r="BB2668" s="128"/>
      <c r="BC2668" s="128"/>
      <c r="BD2668" s="128"/>
      <c r="BE2668" s="128"/>
      <c r="BF2668" s="128"/>
      <c r="BG2668" s="128"/>
      <c r="BH2668" s="128"/>
      <c r="BI2668" s="128"/>
      <c r="BJ2668" s="128"/>
      <c r="BK2668" s="128"/>
      <c r="BL2668" s="128"/>
      <c r="BM2668" s="151"/>
      <c r="BN2668" s="128"/>
      <c r="BO2668" s="128"/>
      <c r="BP2668" s="128"/>
      <c r="BQ2668" s="128"/>
      <c r="BR2668" s="128"/>
      <c r="BS2668" s="128"/>
      <c r="BT2668" s="128"/>
      <c r="BU2668" s="128"/>
      <c r="BV2668" s="128"/>
      <c r="BW2668" s="128"/>
      <c r="BX2668" s="128"/>
      <c r="BY2668" s="128"/>
      <c r="BZ2668" s="128"/>
      <c r="CA2668" s="128"/>
      <c r="CB2668" s="128"/>
      <c r="CC2668" s="128"/>
      <c r="CD2668" s="128"/>
      <c r="CE2668" s="128"/>
      <c r="CF2668" s="128"/>
      <c r="CG2668" s="128"/>
      <c r="CI2668" s="128"/>
      <c r="CJ2668" s="128"/>
      <c r="CK2668" s="128"/>
      <c r="CL2668" s="128"/>
      <c r="CM2668" s="128"/>
      <c r="CN2668" s="128"/>
      <c r="CO2668" s="128"/>
      <c r="CP2668" s="128"/>
      <c r="CQ2668" s="128"/>
      <c r="CR2668" s="128"/>
      <c r="CS2668" s="128"/>
      <c r="CT2668" s="128"/>
      <c r="CU2668" s="128"/>
      <c r="CV2668" s="128"/>
      <c r="CW2668" s="128"/>
      <c r="CX2668" s="128"/>
      <c r="CY2668" s="128"/>
      <c r="CZ2668" s="165"/>
    </row>
    <row r="2669" spans="1:104">
      <c r="A2669" s="149"/>
      <c r="B2669" s="149"/>
      <c r="C2669" s="150"/>
      <c r="D2669" s="102"/>
      <c r="E2669" s="149"/>
      <c r="F2669" s="149"/>
      <c r="G2669" s="149"/>
      <c r="H2669" s="149"/>
      <c r="I2669" s="149"/>
      <c r="J2669" s="149"/>
      <c r="K2669" s="149"/>
      <c r="L2669" s="149"/>
      <c r="M2669" s="149"/>
      <c r="N2669" s="149"/>
      <c r="O2669" s="149"/>
      <c r="P2669" s="149"/>
      <c r="Q2669" s="149"/>
      <c r="R2669" s="149"/>
      <c r="S2669" s="149"/>
      <c r="T2669" s="149"/>
      <c r="U2669" s="149"/>
      <c r="V2669" s="149"/>
      <c r="W2669" s="149"/>
      <c r="X2669" s="149"/>
      <c r="Y2669" s="149"/>
      <c r="Z2669" s="149"/>
      <c r="AA2669" s="149"/>
      <c r="AB2669" s="149"/>
      <c r="AC2669" s="149"/>
      <c r="AD2669" s="149"/>
      <c r="AE2669" s="149"/>
      <c r="AF2669" s="149"/>
      <c r="AG2669" s="149"/>
      <c r="AH2669" s="149"/>
      <c r="AI2669" s="149"/>
      <c r="AJ2669" s="149"/>
      <c r="AK2669" s="149"/>
      <c r="AL2669" s="149"/>
      <c r="AM2669" s="149"/>
      <c r="AN2669" s="149"/>
      <c r="AO2669" s="128"/>
      <c r="AP2669" s="128"/>
      <c r="AQ2669" s="128"/>
      <c r="AR2669" s="128"/>
      <c r="AS2669" s="128"/>
      <c r="AT2669" s="128"/>
      <c r="AU2669" s="128"/>
      <c r="AV2669" s="128"/>
      <c r="AW2669" s="128"/>
      <c r="AX2669" s="128"/>
      <c r="AY2669" s="128"/>
      <c r="AZ2669" s="128"/>
      <c r="BA2669" s="128"/>
      <c r="BB2669" s="128"/>
      <c r="BC2669" s="128"/>
      <c r="BD2669" s="128"/>
      <c r="BE2669" s="128"/>
      <c r="BF2669" s="128"/>
      <c r="BG2669" s="128"/>
      <c r="BH2669" s="128"/>
      <c r="BI2669" s="128"/>
      <c r="BJ2669" s="128"/>
      <c r="BK2669" s="128"/>
      <c r="BL2669" s="128"/>
      <c r="BM2669" s="151"/>
      <c r="BN2669" s="128"/>
      <c r="BO2669" s="128"/>
      <c r="BP2669" s="128"/>
      <c r="BQ2669" s="128"/>
      <c r="BR2669" s="128"/>
      <c r="BS2669" s="128"/>
      <c r="BT2669" s="128"/>
      <c r="BU2669" s="128"/>
      <c r="BV2669" s="128"/>
      <c r="BW2669" s="128"/>
      <c r="BX2669" s="128"/>
      <c r="BY2669" s="128"/>
      <c r="BZ2669" s="128"/>
      <c r="CA2669" s="128"/>
      <c r="CB2669" s="128"/>
      <c r="CC2669" s="128"/>
      <c r="CD2669" s="128"/>
      <c r="CE2669" s="128"/>
      <c r="CF2669" s="128"/>
      <c r="CG2669" s="128"/>
      <c r="CI2669" s="128"/>
      <c r="CJ2669" s="128"/>
      <c r="CK2669" s="128"/>
      <c r="CL2669" s="128"/>
      <c r="CM2669" s="128"/>
      <c r="CN2669" s="128"/>
      <c r="CO2669" s="128"/>
      <c r="CP2669" s="128"/>
      <c r="CQ2669" s="128"/>
      <c r="CR2669" s="128"/>
      <c r="CS2669" s="128"/>
      <c r="CT2669" s="128"/>
      <c r="CU2669" s="128"/>
      <c r="CV2669" s="128"/>
      <c r="CW2669" s="128"/>
      <c r="CX2669" s="128"/>
      <c r="CY2669" s="128"/>
      <c r="CZ2669" s="165"/>
    </row>
    <row r="2670" spans="1:104">
      <c r="A2670" s="149"/>
      <c r="B2670" s="149"/>
      <c r="C2670" s="150"/>
      <c r="D2670" s="102"/>
      <c r="E2670" s="149"/>
      <c r="F2670" s="149"/>
      <c r="G2670" s="149"/>
      <c r="H2670" s="149"/>
      <c r="I2670" s="149"/>
      <c r="J2670" s="149"/>
      <c r="K2670" s="149"/>
      <c r="L2670" s="149"/>
      <c r="M2670" s="149"/>
      <c r="N2670" s="149"/>
      <c r="O2670" s="149"/>
      <c r="P2670" s="149"/>
      <c r="Q2670" s="149"/>
      <c r="R2670" s="149"/>
      <c r="S2670" s="149"/>
      <c r="T2670" s="149"/>
      <c r="U2670" s="149"/>
      <c r="V2670" s="149"/>
      <c r="W2670" s="149"/>
      <c r="X2670" s="149"/>
      <c r="Y2670" s="149"/>
      <c r="Z2670" s="149"/>
      <c r="AA2670" s="149"/>
      <c r="AB2670" s="149"/>
      <c r="AC2670" s="149"/>
      <c r="AD2670" s="149"/>
      <c r="AE2670" s="149"/>
      <c r="AF2670" s="149"/>
      <c r="AG2670" s="149"/>
      <c r="AH2670" s="149"/>
      <c r="AI2670" s="149"/>
      <c r="AJ2670" s="149"/>
      <c r="AK2670" s="149"/>
      <c r="AL2670" s="149"/>
      <c r="AM2670" s="149"/>
      <c r="AN2670" s="149"/>
      <c r="AO2670" s="128"/>
      <c r="AP2670" s="128"/>
      <c r="AQ2670" s="128"/>
      <c r="AR2670" s="128"/>
      <c r="AS2670" s="128"/>
      <c r="AT2670" s="128"/>
      <c r="AU2670" s="128"/>
      <c r="AV2670" s="128"/>
      <c r="AW2670" s="128"/>
      <c r="AX2670" s="128"/>
      <c r="AY2670" s="128"/>
      <c r="AZ2670" s="128"/>
      <c r="BA2670" s="128"/>
      <c r="BB2670" s="128"/>
      <c r="BC2670" s="128"/>
      <c r="BD2670" s="128"/>
      <c r="BE2670" s="128"/>
      <c r="BF2670" s="128"/>
      <c r="BG2670" s="128"/>
      <c r="BH2670" s="128"/>
      <c r="BI2670" s="128"/>
      <c r="BJ2670" s="128"/>
      <c r="BK2670" s="128"/>
      <c r="BL2670" s="128"/>
      <c r="BM2670" s="151"/>
      <c r="BN2670" s="128"/>
      <c r="BO2670" s="128"/>
      <c r="BP2670" s="128"/>
      <c r="BQ2670" s="128"/>
      <c r="BR2670" s="128"/>
      <c r="BS2670" s="128"/>
      <c r="BT2670" s="128"/>
      <c r="BU2670" s="128"/>
      <c r="BV2670" s="128"/>
      <c r="BW2670" s="128"/>
      <c r="BX2670" s="128"/>
      <c r="BY2670" s="128"/>
      <c r="BZ2670" s="128"/>
      <c r="CA2670" s="128"/>
      <c r="CB2670" s="128"/>
      <c r="CC2670" s="128"/>
      <c r="CD2670" s="128"/>
      <c r="CE2670" s="128"/>
      <c r="CF2670" s="128"/>
      <c r="CG2670" s="128"/>
      <c r="CI2670" s="128"/>
      <c r="CJ2670" s="128"/>
      <c r="CK2670" s="128"/>
      <c r="CL2670" s="128"/>
      <c r="CM2670" s="128"/>
      <c r="CN2670" s="128"/>
      <c r="CO2670" s="128"/>
      <c r="CP2670" s="128"/>
      <c r="CQ2670" s="128"/>
      <c r="CR2670" s="128"/>
      <c r="CS2670" s="128"/>
      <c r="CT2670" s="128"/>
      <c r="CU2670" s="128"/>
      <c r="CV2670" s="128"/>
      <c r="CW2670" s="128"/>
      <c r="CX2670" s="128"/>
      <c r="CY2670" s="128"/>
      <c r="CZ2670" s="165"/>
    </row>
    <row r="2671" spans="1:104">
      <c r="A2671" s="149"/>
      <c r="B2671" s="149"/>
      <c r="C2671" s="150"/>
      <c r="D2671" s="102"/>
      <c r="E2671" s="149"/>
      <c r="F2671" s="149"/>
      <c r="G2671" s="149"/>
      <c r="H2671" s="149"/>
      <c r="I2671" s="149"/>
      <c r="J2671" s="149"/>
      <c r="K2671" s="149"/>
      <c r="L2671" s="149"/>
      <c r="M2671" s="149"/>
      <c r="N2671" s="149"/>
      <c r="O2671" s="149"/>
      <c r="P2671" s="149"/>
      <c r="Q2671" s="149"/>
      <c r="R2671" s="149"/>
      <c r="S2671" s="149"/>
      <c r="T2671" s="149"/>
      <c r="U2671" s="149"/>
      <c r="V2671" s="149"/>
      <c r="W2671" s="149"/>
      <c r="X2671" s="149"/>
      <c r="Y2671" s="149"/>
      <c r="Z2671" s="149"/>
      <c r="AA2671" s="149"/>
      <c r="AB2671" s="149"/>
      <c r="AC2671" s="149"/>
      <c r="AD2671" s="149"/>
      <c r="AE2671" s="149"/>
      <c r="AF2671" s="149"/>
      <c r="AG2671" s="149"/>
      <c r="AH2671" s="149"/>
      <c r="AI2671" s="149"/>
      <c r="AJ2671" s="149"/>
      <c r="AK2671" s="149"/>
      <c r="AL2671" s="149"/>
      <c r="AM2671" s="149"/>
      <c r="AN2671" s="149"/>
      <c r="AO2671" s="128"/>
      <c r="AP2671" s="128"/>
      <c r="AQ2671" s="128"/>
      <c r="AR2671" s="128"/>
      <c r="AS2671" s="128"/>
      <c r="AT2671" s="128"/>
      <c r="AU2671" s="128"/>
      <c r="AV2671" s="128"/>
      <c r="AW2671" s="128"/>
      <c r="AX2671" s="128"/>
      <c r="AY2671" s="128"/>
      <c r="AZ2671" s="128"/>
      <c r="BA2671" s="128"/>
      <c r="BB2671" s="128"/>
      <c r="BC2671" s="128"/>
      <c r="BD2671" s="128"/>
      <c r="BE2671" s="128"/>
      <c r="BF2671" s="128"/>
      <c r="BG2671" s="128"/>
      <c r="BH2671" s="128"/>
      <c r="BI2671" s="128"/>
      <c r="BJ2671" s="128"/>
      <c r="BK2671" s="128"/>
      <c r="BL2671" s="128"/>
      <c r="BM2671" s="151"/>
      <c r="BN2671" s="128"/>
      <c r="BO2671" s="128"/>
      <c r="BP2671" s="128"/>
      <c r="BQ2671" s="128"/>
      <c r="BR2671" s="128"/>
      <c r="BS2671" s="128"/>
      <c r="BT2671" s="128"/>
      <c r="BU2671" s="128"/>
      <c r="BV2671" s="128"/>
      <c r="BW2671" s="128"/>
      <c r="BX2671" s="128"/>
      <c r="BY2671" s="128"/>
      <c r="BZ2671" s="128"/>
      <c r="CA2671" s="128"/>
      <c r="CB2671" s="128"/>
      <c r="CC2671" s="128"/>
      <c r="CD2671" s="128"/>
      <c r="CE2671" s="128"/>
      <c r="CF2671" s="128"/>
      <c r="CG2671" s="128"/>
      <c r="CI2671" s="128"/>
      <c r="CJ2671" s="128"/>
      <c r="CK2671" s="128"/>
      <c r="CL2671" s="128"/>
      <c r="CM2671" s="128"/>
      <c r="CN2671" s="128"/>
      <c r="CO2671" s="128"/>
      <c r="CP2671" s="128"/>
      <c r="CQ2671" s="128"/>
      <c r="CR2671" s="128"/>
      <c r="CS2671" s="128"/>
      <c r="CT2671" s="128"/>
      <c r="CU2671" s="128"/>
      <c r="CV2671" s="128"/>
      <c r="CW2671" s="128"/>
      <c r="CX2671" s="128"/>
      <c r="CY2671" s="128"/>
      <c r="CZ2671" s="165"/>
    </row>
    <row r="2672" spans="1:104">
      <c r="A2672" s="149"/>
      <c r="B2672" s="149"/>
      <c r="C2672" s="150"/>
      <c r="D2672" s="102"/>
      <c r="E2672" s="149"/>
      <c r="F2672" s="149"/>
      <c r="G2672" s="149"/>
      <c r="H2672" s="149"/>
      <c r="I2672" s="149"/>
      <c r="J2672" s="149"/>
      <c r="K2672" s="149"/>
      <c r="L2672" s="149"/>
      <c r="M2672" s="149"/>
      <c r="N2672" s="149"/>
      <c r="O2672" s="149"/>
      <c r="P2672" s="149"/>
      <c r="Q2672" s="149"/>
      <c r="R2672" s="149"/>
      <c r="S2672" s="149"/>
      <c r="T2672" s="149"/>
      <c r="U2672" s="149"/>
      <c r="V2672" s="149"/>
      <c r="W2672" s="149"/>
      <c r="X2672" s="149"/>
      <c r="Y2672" s="149"/>
      <c r="Z2672" s="149"/>
      <c r="AA2672" s="149"/>
      <c r="AB2672" s="149"/>
      <c r="AC2672" s="149"/>
      <c r="AD2672" s="149"/>
      <c r="AE2672" s="149"/>
      <c r="AF2672" s="149"/>
      <c r="AG2672" s="149"/>
      <c r="AH2672" s="149"/>
      <c r="AI2672" s="149"/>
      <c r="AJ2672" s="149"/>
      <c r="AK2672" s="149"/>
      <c r="AL2672" s="149"/>
      <c r="AM2672" s="149"/>
      <c r="AN2672" s="149"/>
      <c r="AO2672" s="128"/>
      <c r="AP2672" s="128"/>
      <c r="AQ2672" s="128"/>
      <c r="AR2672" s="128"/>
      <c r="AS2672" s="128"/>
      <c r="AT2672" s="128"/>
      <c r="AU2672" s="128"/>
      <c r="AV2672" s="128"/>
      <c r="AW2672" s="128"/>
      <c r="AX2672" s="128"/>
      <c r="AY2672" s="128"/>
      <c r="AZ2672" s="128"/>
      <c r="BA2672" s="128"/>
      <c r="BB2672" s="128"/>
      <c r="BC2672" s="128"/>
      <c r="BD2672" s="128"/>
      <c r="BE2672" s="128"/>
      <c r="BF2672" s="128"/>
      <c r="BG2672" s="128"/>
      <c r="BH2672" s="128"/>
      <c r="BI2672" s="128"/>
      <c r="BJ2672" s="128"/>
      <c r="BK2672" s="128"/>
      <c r="BL2672" s="128"/>
      <c r="BM2672" s="151"/>
      <c r="BN2672" s="128"/>
      <c r="BO2672" s="128"/>
      <c r="BP2672" s="128"/>
      <c r="BQ2672" s="128"/>
      <c r="BR2672" s="128"/>
      <c r="BS2672" s="128"/>
      <c r="BT2672" s="128"/>
      <c r="BU2672" s="128"/>
      <c r="BV2672" s="128"/>
      <c r="BW2672" s="128"/>
      <c r="BX2672" s="128"/>
      <c r="BY2672" s="128"/>
      <c r="BZ2672" s="128"/>
      <c r="CA2672" s="128"/>
      <c r="CB2672" s="128"/>
      <c r="CC2672" s="128"/>
      <c r="CD2672" s="128"/>
      <c r="CE2672" s="128"/>
      <c r="CF2672" s="128"/>
      <c r="CG2672" s="128"/>
      <c r="CI2672" s="128"/>
      <c r="CJ2672" s="128"/>
      <c r="CK2672" s="128"/>
      <c r="CL2672" s="128"/>
      <c r="CM2672" s="128"/>
      <c r="CN2672" s="128"/>
      <c r="CO2672" s="128"/>
      <c r="CP2672" s="128"/>
      <c r="CQ2672" s="128"/>
      <c r="CR2672" s="128"/>
      <c r="CS2672" s="128"/>
      <c r="CT2672" s="128"/>
      <c r="CU2672" s="128"/>
      <c r="CV2672" s="128"/>
      <c r="CW2672" s="128"/>
      <c r="CX2672" s="128"/>
      <c r="CY2672" s="128"/>
      <c r="CZ2672" s="165"/>
    </row>
    <row r="2673" spans="1:104">
      <c r="A2673" s="149"/>
      <c r="B2673" s="149"/>
      <c r="C2673" s="150"/>
      <c r="D2673" s="102"/>
      <c r="E2673" s="149"/>
      <c r="F2673" s="149"/>
      <c r="G2673" s="149"/>
      <c r="H2673" s="149"/>
      <c r="I2673" s="149"/>
      <c r="J2673" s="149"/>
      <c r="K2673" s="149"/>
      <c r="L2673" s="149"/>
      <c r="M2673" s="149"/>
      <c r="N2673" s="149"/>
      <c r="O2673" s="149"/>
      <c r="P2673" s="149"/>
      <c r="Q2673" s="149"/>
      <c r="R2673" s="149"/>
      <c r="S2673" s="149"/>
      <c r="T2673" s="149"/>
      <c r="U2673" s="149"/>
      <c r="V2673" s="149"/>
      <c r="W2673" s="149"/>
      <c r="X2673" s="149"/>
      <c r="Y2673" s="149"/>
      <c r="Z2673" s="149"/>
      <c r="AA2673" s="149"/>
      <c r="AB2673" s="149"/>
      <c r="AC2673" s="149"/>
      <c r="AD2673" s="149"/>
      <c r="AE2673" s="149"/>
      <c r="AF2673" s="149"/>
      <c r="AG2673" s="149"/>
      <c r="AH2673" s="149"/>
      <c r="AI2673" s="149"/>
      <c r="AJ2673" s="149"/>
      <c r="AK2673" s="149"/>
      <c r="AL2673" s="149"/>
      <c r="AM2673" s="149"/>
      <c r="AN2673" s="149"/>
      <c r="AO2673" s="128"/>
      <c r="AP2673" s="128"/>
      <c r="AQ2673" s="128"/>
      <c r="AR2673" s="128"/>
      <c r="AS2673" s="128"/>
      <c r="AT2673" s="128"/>
      <c r="AU2673" s="128"/>
      <c r="AV2673" s="128"/>
      <c r="AW2673" s="128"/>
      <c r="AX2673" s="128"/>
      <c r="AY2673" s="128"/>
      <c r="AZ2673" s="128"/>
      <c r="BA2673" s="128"/>
      <c r="BB2673" s="128"/>
      <c r="BC2673" s="128"/>
      <c r="BD2673" s="128"/>
      <c r="BE2673" s="128"/>
      <c r="BF2673" s="128"/>
      <c r="BG2673" s="128"/>
      <c r="BH2673" s="128"/>
      <c r="BI2673" s="128"/>
      <c r="BJ2673" s="128"/>
      <c r="BK2673" s="128"/>
      <c r="BL2673" s="128"/>
      <c r="BM2673" s="151"/>
      <c r="BN2673" s="128"/>
      <c r="BO2673" s="128"/>
      <c r="BP2673" s="128"/>
      <c r="BQ2673" s="128"/>
      <c r="BR2673" s="128"/>
      <c r="BS2673" s="128"/>
      <c r="BT2673" s="128"/>
      <c r="BU2673" s="128"/>
      <c r="BV2673" s="128"/>
      <c r="BW2673" s="128"/>
      <c r="BX2673" s="128"/>
      <c r="BY2673" s="128"/>
      <c r="BZ2673" s="128"/>
      <c r="CA2673" s="128"/>
      <c r="CB2673" s="128"/>
      <c r="CC2673" s="128"/>
      <c r="CD2673" s="128"/>
      <c r="CE2673" s="128"/>
      <c r="CF2673" s="128"/>
      <c r="CG2673" s="128"/>
      <c r="CI2673" s="128"/>
      <c r="CJ2673" s="128"/>
      <c r="CK2673" s="128"/>
      <c r="CL2673" s="128"/>
      <c r="CM2673" s="128"/>
      <c r="CN2673" s="128"/>
      <c r="CO2673" s="128"/>
      <c r="CP2673" s="128"/>
      <c r="CQ2673" s="128"/>
      <c r="CR2673" s="128"/>
      <c r="CS2673" s="128"/>
      <c r="CT2673" s="128"/>
      <c r="CU2673" s="128"/>
      <c r="CV2673" s="128"/>
      <c r="CW2673" s="128"/>
      <c r="CX2673" s="128"/>
      <c r="CY2673" s="128"/>
      <c r="CZ2673" s="165"/>
    </row>
    <row r="2674" spans="1:104">
      <c r="A2674" s="149"/>
      <c r="B2674" s="149"/>
      <c r="C2674" s="150"/>
      <c r="D2674" s="102"/>
      <c r="E2674" s="149"/>
      <c r="F2674" s="149"/>
      <c r="G2674" s="149"/>
      <c r="H2674" s="149"/>
      <c r="I2674" s="149"/>
      <c r="J2674" s="149"/>
      <c r="K2674" s="149"/>
      <c r="L2674" s="149"/>
      <c r="M2674" s="149"/>
      <c r="N2674" s="149"/>
      <c r="O2674" s="149"/>
      <c r="P2674" s="149"/>
      <c r="Q2674" s="149"/>
      <c r="R2674" s="149"/>
      <c r="S2674" s="149"/>
      <c r="T2674" s="149"/>
      <c r="U2674" s="149"/>
      <c r="V2674" s="149"/>
      <c r="W2674" s="149"/>
      <c r="X2674" s="149"/>
      <c r="Y2674" s="149"/>
      <c r="Z2674" s="149"/>
      <c r="AA2674" s="149"/>
      <c r="AB2674" s="149"/>
      <c r="AC2674" s="149"/>
      <c r="AD2674" s="149"/>
      <c r="AE2674" s="149"/>
      <c r="AF2674" s="149"/>
      <c r="AG2674" s="149"/>
      <c r="AH2674" s="149"/>
      <c r="AI2674" s="149"/>
      <c r="AJ2674" s="149"/>
      <c r="AK2674" s="149"/>
      <c r="AL2674" s="149"/>
      <c r="AM2674" s="149"/>
      <c r="AN2674" s="149"/>
      <c r="AO2674" s="128"/>
      <c r="AP2674" s="128"/>
      <c r="AQ2674" s="128"/>
      <c r="AR2674" s="128"/>
      <c r="AS2674" s="128"/>
      <c r="AT2674" s="128"/>
      <c r="AU2674" s="128"/>
      <c r="AV2674" s="128"/>
      <c r="AW2674" s="128"/>
      <c r="AX2674" s="128"/>
      <c r="AY2674" s="128"/>
      <c r="AZ2674" s="128"/>
      <c r="BA2674" s="128"/>
      <c r="BB2674" s="128"/>
      <c r="BC2674" s="128"/>
      <c r="BD2674" s="128"/>
      <c r="BE2674" s="128"/>
      <c r="BF2674" s="128"/>
      <c r="BG2674" s="128"/>
      <c r="BH2674" s="128"/>
      <c r="BI2674" s="128"/>
      <c r="BJ2674" s="128"/>
      <c r="BK2674" s="128"/>
      <c r="BL2674" s="128"/>
      <c r="BM2674" s="151"/>
      <c r="BN2674" s="128"/>
      <c r="BO2674" s="128"/>
      <c r="BP2674" s="128"/>
      <c r="BQ2674" s="128"/>
      <c r="BR2674" s="128"/>
      <c r="BS2674" s="128"/>
      <c r="BT2674" s="128"/>
      <c r="BU2674" s="128"/>
      <c r="BV2674" s="128"/>
      <c r="BW2674" s="128"/>
      <c r="BX2674" s="128"/>
      <c r="BY2674" s="128"/>
      <c r="BZ2674" s="128"/>
      <c r="CA2674" s="128"/>
      <c r="CB2674" s="128"/>
      <c r="CC2674" s="128"/>
      <c r="CD2674" s="128"/>
      <c r="CE2674" s="128"/>
      <c r="CF2674" s="128"/>
      <c r="CG2674" s="128"/>
      <c r="CI2674" s="128"/>
      <c r="CJ2674" s="128"/>
      <c r="CK2674" s="128"/>
      <c r="CL2674" s="128"/>
      <c r="CM2674" s="128"/>
      <c r="CN2674" s="128"/>
      <c r="CO2674" s="128"/>
      <c r="CP2674" s="128"/>
      <c r="CQ2674" s="128"/>
      <c r="CR2674" s="128"/>
      <c r="CS2674" s="128"/>
      <c r="CT2674" s="128"/>
      <c r="CU2674" s="128"/>
      <c r="CV2674" s="128"/>
      <c r="CW2674" s="128"/>
      <c r="CX2674" s="128"/>
      <c r="CY2674" s="128"/>
      <c r="CZ2674" s="165"/>
    </row>
    <row r="2675" spans="1:104">
      <c r="A2675" s="149"/>
      <c r="B2675" s="149"/>
      <c r="C2675" s="150"/>
      <c r="D2675" s="102"/>
      <c r="E2675" s="149"/>
      <c r="F2675" s="149"/>
      <c r="G2675" s="149"/>
      <c r="H2675" s="149"/>
      <c r="I2675" s="149"/>
      <c r="J2675" s="149"/>
      <c r="K2675" s="149"/>
      <c r="L2675" s="149"/>
      <c r="M2675" s="149"/>
      <c r="N2675" s="149"/>
      <c r="O2675" s="149"/>
      <c r="P2675" s="149"/>
      <c r="Q2675" s="149"/>
      <c r="R2675" s="149"/>
      <c r="S2675" s="149"/>
      <c r="T2675" s="149"/>
      <c r="U2675" s="149"/>
      <c r="V2675" s="149"/>
      <c r="W2675" s="149"/>
      <c r="X2675" s="149"/>
      <c r="Y2675" s="149"/>
      <c r="Z2675" s="149"/>
      <c r="AA2675" s="149"/>
      <c r="AB2675" s="149"/>
      <c r="AC2675" s="149"/>
      <c r="AD2675" s="149"/>
      <c r="AE2675" s="149"/>
      <c r="AF2675" s="149"/>
      <c r="AG2675" s="149"/>
      <c r="AH2675" s="149"/>
      <c r="AI2675" s="149"/>
      <c r="AJ2675" s="149"/>
      <c r="AK2675" s="149"/>
      <c r="AL2675" s="149"/>
      <c r="AM2675" s="149"/>
      <c r="AN2675" s="149"/>
      <c r="AO2675" s="128"/>
      <c r="AP2675" s="128"/>
      <c r="AQ2675" s="128"/>
      <c r="AR2675" s="128"/>
      <c r="AS2675" s="128"/>
      <c r="AT2675" s="128"/>
      <c r="AU2675" s="128"/>
      <c r="AV2675" s="128"/>
      <c r="AW2675" s="128"/>
      <c r="AX2675" s="128"/>
      <c r="AY2675" s="128"/>
      <c r="AZ2675" s="128"/>
      <c r="BA2675" s="128"/>
      <c r="BB2675" s="128"/>
      <c r="BC2675" s="128"/>
      <c r="BD2675" s="128"/>
      <c r="BE2675" s="128"/>
      <c r="BF2675" s="128"/>
      <c r="BG2675" s="128"/>
      <c r="BH2675" s="128"/>
      <c r="BI2675" s="128"/>
      <c r="BJ2675" s="128"/>
      <c r="BK2675" s="128"/>
      <c r="BL2675" s="128"/>
      <c r="BM2675" s="151"/>
      <c r="BN2675" s="128"/>
      <c r="BO2675" s="128"/>
      <c r="BP2675" s="128"/>
      <c r="BQ2675" s="128"/>
      <c r="BR2675" s="128"/>
      <c r="BS2675" s="128"/>
      <c r="BT2675" s="128"/>
      <c r="BU2675" s="128"/>
      <c r="BV2675" s="128"/>
      <c r="BW2675" s="128"/>
      <c r="BX2675" s="128"/>
      <c r="BY2675" s="128"/>
      <c r="BZ2675" s="128"/>
      <c r="CA2675" s="128"/>
      <c r="CB2675" s="128"/>
      <c r="CC2675" s="128"/>
      <c r="CD2675" s="128"/>
      <c r="CE2675" s="128"/>
      <c r="CF2675" s="128"/>
      <c r="CG2675" s="128"/>
      <c r="CI2675" s="128"/>
      <c r="CJ2675" s="128"/>
      <c r="CK2675" s="128"/>
      <c r="CL2675" s="128"/>
      <c r="CM2675" s="128"/>
      <c r="CN2675" s="128"/>
      <c r="CO2675" s="128"/>
      <c r="CP2675" s="128"/>
      <c r="CQ2675" s="128"/>
      <c r="CR2675" s="128"/>
      <c r="CS2675" s="128"/>
      <c r="CT2675" s="128"/>
      <c r="CU2675" s="128"/>
      <c r="CV2675" s="128"/>
      <c r="CW2675" s="128"/>
      <c r="CX2675" s="128"/>
      <c r="CY2675" s="128"/>
      <c r="CZ2675" s="165"/>
    </row>
    <row r="2676" spans="1:104">
      <c r="A2676" s="149"/>
      <c r="B2676" s="149"/>
      <c r="C2676" s="150"/>
      <c r="D2676" s="102"/>
      <c r="E2676" s="149"/>
      <c r="F2676" s="149"/>
      <c r="G2676" s="149"/>
      <c r="H2676" s="149"/>
      <c r="I2676" s="149"/>
      <c r="J2676" s="149"/>
      <c r="K2676" s="149"/>
      <c r="L2676" s="149"/>
      <c r="M2676" s="149"/>
      <c r="N2676" s="149"/>
      <c r="O2676" s="149"/>
      <c r="P2676" s="149"/>
      <c r="Q2676" s="149"/>
      <c r="R2676" s="149"/>
      <c r="S2676" s="149"/>
      <c r="T2676" s="149"/>
      <c r="U2676" s="149"/>
      <c r="V2676" s="149"/>
      <c r="W2676" s="149"/>
      <c r="X2676" s="149"/>
      <c r="Y2676" s="149"/>
      <c r="Z2676" s="149"/>
      <c r="AA2676" s="149"/>
      <c r="AB2676" s="149"/>
      <c r="AC2676" s="149"/>
      <c r="AD2676" s="149"/>
      <c r="AE2676" s="149"/>
      <c r="AF2676" s="149"/>
      <c r="AG2676" s="149"/>
      <c r="AH2676" s="149"/>
      <c r="AI2676" s="149"/>
      <c r="AJ2676" s="149"/>
      <c r="AK2676" s="149"/>
      <c r="AL2676" s="149"/>
      <c r="AM2676" s="149"/>
      <c r="AN2676" s="149"/>
      <c r="AO2676" s="128"/>
      <c r="AP2676" s="128"/>
      <c r="AQ2676" s="128"/>
      <c r="AR2676" s="128"/>
      <c r="AS2676" s="128"/>
      <c r="AT2676" s="128"/>
      <c r="AU2676" s="128"/>
      <c r="AV2676" s="128"/>
      <c r="AW2676" s="128"/>
      <c r="AX2676" s="128"/>
      <c r="AY2676" s="128"/>
      <c r="AZ2676" s="128"/>
      <c r="BA2676" s="128"/>
      <c r="BB2676" s="128"/>
      <c r="BC2676" s="128"/>
      <c r="BD2676" s="128"/>
      <c r="BE2676" s="128"/>
      <c r="BF2676" s="128"/>
      <c r="BG2676" s="128"/>
      <c r="BH2676" s="128"/>
      <c r="BI2676" s="128"/>
      <c r="BJ2676" s="128"/>
      <c r="BK2676" s="128"/>
      <c r="BL2676" s="128"/>
      <c r="BM2676" s="151"/>
      <c r="BN2676" s="128"/>
      <c r="BO2676" s="128"/>
      <c r="BP2676" s="128"/>
      <c r="BQ2676" s="128"/>
      <c r="BR2676" s="128"/>
      <c r="BS2676" s="128"/>
      <c r="BT2676" s="128"/>
      <c r="BU2676" s="128"/>
      <c r="BV2676" s="128"/>
      <c r="BW2676" s="128"/>
      <c r="BX2676" s="128"/>
      <c r="BY2676" s="128"/>
      <c r="BZ2676" s="128"/>
      <c r="CA2676" s="128"/>
      <c r="CB2676" s="128"/>
      <c r="CC2676" s="128"/>
      <c r="CD2676" s="128"/>
      <c r="CE2676" s="128"/>
      <c r="CF2676" s="128"/>
      <c r="CG2676" s="128"/>
      <c r="CI2676" s="128"/>
      <c r="CJ2676" s="128"/>
      <c r="CK2676" s="128"/>
      <c r="CL2676" s="128"/>
      <c r="CM2676" s="128"/>
      <c r="CN2676" s="128"/>
      <c r="CO2676" s="128"/>
      <c r="CP2676" s="128"/>
      <c r="CQ2676" s="128"/>
      <c r="CR2676" s="128"/>
      <c r="CS2676" s="128"/>
      <c r="CT2676" s="128"/>
      <c r="CU2676" s="128"/>
      <c r="CV2676" s="128"/>
      <c r="CW2676" s="128"/>
      <c r="CX2676" s="128"/>
      <c r="CY2676" s="128"/>
      <c r="CZ2676" s="165"/>
    </row>
    <row r="2677" spans="1:104">
      <c r="A2677" s="149"/>
      <c r="B2677" s="149"/>
      <c r="C2677" s="150"/>
      <c r="D2677" s="102"/>
      <c r="E2677" s="149"/>
      <c r="F2677" s="149"/>
      <c r="G2677" s="149"/>
      <c r="H2677" s="149"/>
      <c r="I2677" s="149"/>
      <c r="J2677" s="149"/>
      <c r="K2677" s="149"/>
      <c r="L2677" s="149"/>
      <c r="M2677" s="149"/>
      <c r="N2677" s="149"/>
      <c r="O2677" s="149"/>
      <c r="P2677" s="149"/>
      <c r="Q2677" s="149"/>
      <c r="R2677" s="149"/>
      <c r="S2677" s="149"/>
      <c r="T2677" s="149"/>
      <c r="U2677" s="149"/>
      <c r="V2677" s="149"/>
      <c r="W2677" s="149"/>
      <c r="X2677" s="149"/>
      <c r="Y2677" s="149"/>
      <c r="Z2677" s="149"/>
      <c r="AA2677" s="149"/>
      <c r="AB2677" s="149"/>
      <c r="AC2677" s="149"/>
      <c r="AD2677" s="149"/>
      <c r="AE2677" s="149"/>
      <c r="AF2677" s="149"/>
      <c r="AG2677" s="149"/>
      <c r="AH2677" s="149"/>
      <c r="AI2677" s="149"/>
      <c r="AJ2677" s="149"/>
      <c r="AK2677" s="149"/>
      <c r="AL2677" s="149"/>
      <c r="AM2677" s="149"/>
      <c r="AN2677" s="149"/>
      <c r="AO2677" s="128"/>
      <c r="AP2677" s="128"/>
      <c r="AQ2677" s="128"/>
      <c r="AR2677" s="128"/>
      <c r="AS2677" s="128"/>
      <c r="AT2677" s="128"/>
      <c r="AU2677" s="128"/>
      <c r="AV2677" s="128"/>
      <c r="AW2677" s="128"/>
      <c r="AX2677" s="128"/>
      <c r="AY2677" s="128"/>
      <c r="AZ2677" s="128"/>
      <c r="BA2677" s="128"/>
      <c r="BB2677" s="128"/>
      <c r="BC2677" s="128"/>
      <c r="BD2677" s="128"/>
      <c r="BE2677" s="128"/>
      <c r="BF2677" s="128"/>
      <c r="BG2677" s="128"/>
      <c r="BH2677" s="128"/>
      <c r="BI2677" s="128"/>
      <c r="BJ2677" s="128"/>
      <c r="BK2677" s="128"/>
      <c r="BL2677" s="128"/>
      <c r="BM2677" s="151"/>
      <c r="BN2677" s="128"/>
      <c r="BO2677" s="128"/>
      <c r="BP2677" s="128"/>
      <c r="BQ2677" s="128"/>
      <c r="BR2677" s="128"/>
      <c r="BS2677" s="128"/>
      <c r="BT2677" s="128"/>
      <c r="BU2677" s="128"/>
      <c r="BV2677" s="128"/>
      <c r="BW2677" s="128"/>
      <c r="BX2677" s="128"/>
      <c r="BY2677" s="128"/>
      <c r="BZ2677" s="128"/>
      <c r="CA2677" s="128"/>
      <c r="CB2677" s="128"/>
      <c r="CC2677" s="128"/>
      <c r="CD2677" s="128"/>
      <c r="CE2677" s="128"/>
      <c r="CF2677" s="128"/>
      <c r="CG2677" s="128"/>
      <c r="CI2677" s="128"/>
      <c r="CJ2677" s="128"/>
      <c r="CK2677" s="128"/>
      <c r="CL2677" s="128"/>
      <c r="CM2677" s="128"/>
      <c r="CN2677" s="128"/>
      <c r="CO2677" s="128"/>
      <c r="CP2677" s="128"/>
      <c r="CQ2677" s="128"/>
      <c r="CR2677" s="128"/>
      <c r="CS2677" s="128"/>
      <c r="CT2677" s="128"/>
      <c r="CU2677" s="128"/>
      <c r="CV2677" s="128"/>
      <c r="CW2677" s="128"/>
      <c r="CX2677" s="128"/>
      <c r="CY2677" s="128"/>
      <c r="CZ2677" s="165"/>
    </row>
    <row r="2678" spans="1:104">
      <c r="A2678" s="149"/>
      <c r="B2678" s="149"/>
      <c r="C2678" s="150"/>
      <c r="D2678" s="102"/>
      <c r="E2678" s="149"/>
      <c r="F2678" s="149"/>
      <c r="G2678" s="149"/>
      <c r="H2678" s="149"/>
      <c r="I2678" s="149"/>
      <c r="J2678" s="149"/>
      <c r="K2678" s="149"/>
      <c r="L2678" s="149"/>
      <c r="M2678" s="149"/>
      <c r="N2678" s="149"/>
      <c r="O2678" s="149"/>
      <c r="P2678" s="149"/>
      <c r="Q2678" s="149"/>
      <c r="R2678" s="149"/>
      <c r="S2678" s="149"/>
      <c r="T2678" s="149"/>
      <c r="U2678" s="149"/>
      <c r="V2678" s="149"/>
      <c r="W2678" s="149"/>
      <c r="X2678" s="149"/>
      <c r="Y2678" s="149"/>
      <c r="Z2678" s="149"/>
      <c r="AA2678" s="149"/>
      <c r="AB2678" s="149"/>
      <c r="AC2678" s="149"/>
      <c r="AD2678" s="149"/>
      <c r="AE2678" s="149"/>
      <c r="AF2678" s="149"/>
      <c r="AG2678" s="149"/>
      <c r="AH2678" s="149"/>
      <c r="AI2678" s="149"/>
      <c r="AJ2678" s="149"/>
      <c r="AK2678" s="149"/>
      <c r="AL2678" s="149"/>
      <c r="AM2678" s="149"/>
      <c r="AN2678" s="149"/>
      <c r="AO2678" s="128"/>
      <c r="AP2678" s="128"/>
      <c r="AQ2678" s="128"/>
      <c r="AR2678" s="128"/>
      <c r="AS2678" s="128"/>
      <c r="AT2678" s="128"/>
      <c r="AU2678" s="128"/>
      <c r="AV2678" s="128"/>
      <c r="AW2678" s="128"/>
      <c r="AX2678" s="128"/>
      <c r="AY2678" s="128"/>
      <c r="AZ2678" s="128"/>
      <c r="BA2678" s="128"/>
      <c r="BB2678" s="128"/>
      <c r="BC2678" s="128"/>
      <c r="BD2678" s="128"/>
      <c r="BE2678" s="128"/>
      <c r="BF2678" s="128"/>
      <c r="BG2678" s="128"/>
      <c r="BH2678" s="128"/>
      <c r="BI2678" s="128"/>
      <c r="BJ2678" s="128"/>
      <c r="BK2678" s="128"/>
      <c r="BL2678" s="128"/>
      <c r="BM2678" s="151"/>
      <c r="BN2678" s="128"/>
      <c r="BO2678" s="128"/>
      <c r="BP2678" s="128"/>
      <c r="BQ2678" s="128"/>
      <c r="BR2678" s="128"/>
      <c r="BS2678" s="128"/>
      <c r="BT2678" s="128"/>
      <c r="BU2678" s="128"/>
      <c r="BV2678" s="128"/>
      <c r="BW2678" s="128"/>
      <c r="BX2678" s="128"/>
      <c r="BY2678" s="128"/>
      <c r="BZ2678" s="128"/>
      <c r="CA2678" s="128"/>
      <c r="CB2678" s="128"/>
      <c r="CC2678" s="128"/>
      <c r="CD2678" s="128"/>
      <c r="CE2678" s="128"/>
      <c r="CF2678" s="128"/>
      <c r="CG2678" s="128"/>
      <c r="CI2678" s="128"/>
      <c r="CJ2678" s="128"/>
      <c r="CK2678" s="128"/>
      <c r="CL2678" s="128"/>
      <c r="CM2678" s="128"/>
      <c r="CN2678" s="128"/>
      <c r="CO2678" s="128"/>
      <c r="CP2678" s="128"/>
      <c r="CQ2678" s="128"/>
      <c r="CR2678" s="128"/>
      <c r="CS2678" s="128"/>
      <c r="CT2678" s="128"/>
      <c r="CU2678" s="128"/>
      <c r="CV2678" s="128"/>
      <c r="CW2678" s="128"/>
      <c r="CX2678" s="128"/>
      <c r="CY2678" s="128"/>
      <c r="CZ2678" s="165"/>
    </row>
    <row r="2679" spans="1:104">
      <c r="A2679" s="149"/>
      <c r="B2679" s="149"/>
      <c r="C2679" s="150"/>
      <c r="D2679" s="102"/>
      <c r="E2679" s="149"/>
      <c r="F2679" s="149"/>
      <c r="G2679" s="149"/>
      <c r="H2679" s="149"/>
      <c r="I2679" s="149"/>
      <c r="J2679" s="149"/>
      <c r="K2679" s="149"/>
      <c r="L2679" s="149"/>
      <c r="M2679" s="149"/>
      <c r="N2679" s="149"/>
      <c r="O2679" s="149"/>
      <c r="P2679" s="149"/>
      <c r="Q2679" s="149"/>
      <c r="R2679" s="149"/>
      <c r="S2679" s="149"/>
      <c r="T2679" s="149"/>
      <c r="U2679" s="149"/>
      <c r="V2679" s="149"/>
      <c r="W2679" s="149"/>
      <c r="X2679" s="149"/>
      <c r="Y2679" s="149"/>
      <c r="Z2679" s="149"/>
      <c r="AA2679" s="149"/>
      <c r="AB2679" s="149"/>
      <c r="AC2679" s="149"/>
      <c r="AD2679" s="149"/>
      <c r="AE2679" s="149"/>
      <c r="AF2679" s="149"/>
      <c r="AG2679" s="149"/>
      <c r="AH2679" s="149"/>
      <c r="AI2679" s="149"/>
      <c r="AJ2679" s="149"/>
      <c r="AK2679" s="149"/>
      <c r="AL2679" s="149"/>
      <c r="AM2679" s="149"/>
      <c r="AN2679" s="149"/>
      <c r="AO2679" s="128"/>
      <c r="AP2679" s="128"/>
      <c r="AQ2679" s="128"/>
      <c r="AR2679" s="128"/>
      <c r="AS2679" s="128"/>
      <c r="AT2679" s="128"/>
      <c r="AU2679" s="128"/>
      <c r="AV2679" s="128"/>
      <c r="AW2679" s="128"/>
      <c r="AX2679" s="128"/>
      <c r="AY2679" s="128"/>
      <c r="AZ2679" s="128"/>
      <c r="BA2679" s="128"/>
      <c r="BB2679" s="128"/>
      <c r="BC2679" s="128"/>
      <c r="BD2679" s="128"/>
      <c r="BE2679" s="128"/>
      <c r="BF2679" s="128"/>
      <c r="BG2679" s="128"/>
      <c r="BH2679" s="128"/>
      <c r="BI2679" s="128"/>
      <c r="BJ2679" s="128"/>
      <c r="BK2679" s="128"/>
      <c r="BL2679" s="128"/>
      <c r="BM2679" s="151"/>
      <c r="BN2679" s="128"/>
      <c r="BO2679" s="128"/>
      <c r="BP2679" s="128"/>
      <c r="BQ2679" s="128"/>
      <c r="BR2679" s="128"/>
      <c r="BS2679" s="128"/>
      <c r="BT2679" s="128"/>
      <c r="BU2679" s="128"/>
      <c r="BV2679" s="128"/>
      <c r="BW2679" s="128"/>
      <c r="BX2679" s="128"/>
      <c r="BY2679" s="128"/>
      <c r="BZ2679" s="128"/>
      <c r="CA2679" s="128"/>
      <c r="CB2679" s="128"/>
      <c r="CC2679" s="128"/>
      <c r="CD2679" s="128"/>
      <c r="CE2679" s="128"/>
      <c r="CF2679" s="128"/>
      <c r="CG2679" s="128"/>
      <c r="CI2679" s="128"/>
      <c r="CJ2679" s="128"/>
      <c r="CK2679" s="128"/>
      <c r="CL2679" s="128"/>
      <c r="CM2679" s="128"/>
      <c r="CN2679" s="128"/>
      <c r="CO2679" s="128"/>
      <c r="CP2679" s="128"/>
      <c r="CQ2679" s="128"/>
      <c r="CR2679" s="128"/>
      <c r="CS2679" s="128"/>
      <c r="CT2679" s="128"/>
      <c r="CU2679" s="128"/>
      <c r="CV2679" s="128"/>
      <c r="CW2679" s="128"/>
      <c r="CX2679" s="128"/>
      <c r="CY2679" s="128"/>
      <c r="CZ2679" s="165"/>
    </row>
    <row r="2680" spans="1:104">
      <c r="A2680" s="149"/>
      <c r="B2680" s="149"/>
      <c r="C2680" s="150"/>
      <c r="D2680" s="102"/>
      <c r="E2680" s="149"/>
      <c r="F2680" s="149"/>
      <c r="G2680" s="149"/>
      <c r="H2680" s="149"/>
      <c r="I2680" s="149"/>
      <c r="J2680" s="149"/>
      <c r="K2680" s="149"/>
      <c r="L2680" s="149"/>
      <c r="M2680" s="149"/>
      <c r="N2680" s="149"/>
      <c r="O2680" s="149"/>
      <c r="P2680" s="149"/>
      <c r="Q2680" s="149"/>
      <c r="R2680" s="149"/>
      <c r="S2680" s="149"/>
      <c r="T2680" s="149"/>
      <c r="U2680" s="149"/>
      <c r="V2680" s="149"/>
      <c r="W2680" s="149"/>
      <c r="X2680" s="149"/>
      <c r="Y2680" s="149"/>
      <c r="Z2680" s="149"/>
      <c r="AA2680" s="149"/>
      <c r="AB2680" s="149"/>
      <c r="AC2680" s="149"/>
      <c r="AD2680" s="149"/>
      <c r="AE2680" s="149"/>
      <c r="AF2680" s="149"/>
      <c r="AG2680" s="149"/>
      <c r="AH2680" s="149"/>
      <c r="AI2680" s="149"/>
      <c r="AJ2680" s="149"/>
      <c r="AK2680" s="149"/>
      <c r="AL2680" s="149"/>
      <c r="AM2680" s="149"/>
      <c r="AN2680" s="149"/>
      <c r="AO2680" s="128"/>
      <c r="AP2680" s="128"/>
      <c r="AQ2680" s="128"/>
      <c r="AR2680" s="128"/>
      <c r="AS2680" s="128"/>
      <c r="AT2680" s="128"/>
      <c r="AU2680" s="128"/>
      <c r="AV2680" s="128"/>
      <c r="AW2680" s="128"/>
      <c r="AX2680" s="128"/>
      <c r="AY2680" s="128"/>
      <c r="AZ2680" s="128"/>
      <c r="BA2680" s="128"/>
      <c r="BB2680" s="128"/>
      <c r="BC2680" s="128"/>
      <c r="BD2680" s="128"/>
      <c r="BE2680" s="128"/>
      <c r="BF2680" s="128"/>
      <c r="BG2680" s="128"/>
      <c r="BH2680" s="128"/>
      <c r="BI2680" s="128"/>
      <c r="BJ2680" s="128"/>
      <c r="BK2680" s="128"/>
      <c r="BL2680" s="128"/>
      <c r="BM2680" s="151"/>
      <c r="BN2680" s="128"/>
      <c r="BO2680" s="128"/>
      <c r="BP2680" s="128"/>
      <c r="BQ2680" s="128"/>
      <c r="BR2680" s="128"/>
      <c r="BS2680" s="128"/>
      <c r="BT2680" s="128"/>
      <c r="BU2680" s="128"/>
      <c r="BV2680" s="128"/>
      <c r="BW2680" s="128"/>
      <c r="BX2680" s="128"/>
      <c r="BY2680" s="128"/>
      <c r="BZ2680" s="128"/>
      <c r="CA2680" s="128"/>
      <c r="CB2680" s="128"/>
      <c r="CC2680" s="128"/>
      <c r="CD2680" s="128"/>
      <c r="CE2680" s="128"/>
      <c r="CF2680" s="128"/>
      <c r="CG2680" s="128"/>
      <c r="CI2680" s="128"/>
      <c r="CJ2680" s="128"/>
      <c r="CK2680" s="128"/>
      <c r="CL2680" s="128"/>
      <c r="CM2680" s="128"/>
      <c r="CN2680" s="128"/>
      <c r="CO2680" s="128"/>
      <c r="CP2680" s="128"/>
      <c r="CQ2680" s="128"/>
      <c r="CR2680" s="128"/>
      <c r="CS2680" s="128"/>
      <c r="CT2680" s="128"/>
      <c r="CU2680" s="128"/>
      <c r="CV2680" s="128"/>
      <c r="CW2680" s="128"/>
      <c r="CX2680" s="128"/>
      <c r="CY2680" s="128"/>
      <c r="CZ2680" s="165"/>
    </row>
    <row r="2681" spans="1:104">
      <c r="A2681" s="149"/>
      <c r="B2681" s="149"/>
      <c r="C2681" s="150"/>
      <c r="D2681" s="102"/>
      <c r="E2681" s="149"/>
      <c r="F2681" s="149"/>
      <c r="G2681" s="149"/>
      <c r="H2681" s="149"/>
      <c r="I2681" s="149"/>
      <c r="J2681" s="149"/>
      <c r="K2681" s="149"/>
      <c r="L2681" s="149"/>
      <c r="M2681" s="149"/>
      <c r="N2681" s="149"/>
      <c r="O2681" s="149"/>
      <c r="P2681" s="149"/>
      <c r="Q2681" s="149"/>
      <c r="R2681" s="149"/>
      <c r="S2681" s="149"/>
      <c r="T2681" s="149"/>
      <c r="U2681" s="149"/>
      <c r="V2681" s="149"/>
      <c r="W2681" s="149"/>
      <c r="X2681" s="149"/>
      <c r="Y2681" s="149"/>
      <c r="Z2681" s="149"/>
      <c r="AA2681" s="149"/>
      <c r="AB2681" s="149"/>
      <c r="AC2681" s="149"/>
      <c r="AD2681" s="149"/>
      <c r="AE2681" s="149"/>
      <c r="AF2681" s="149"/>
      <c r="AG2681" s="149"/>
      <c r="AH2681" s="149"/>
      <c r="AI2681" s="149"/>
      <c r="AJ2681" s="149"/>
      <c r="AK2681" s="149"/>
      <c r="AL2681" s="149"/>
      <c r="AM2681" s="149"/>
      <c r="AN2681" s="149"/>
      <c r="AO2681" s="128"/>
      <c r="AP2681" s="128"/>
      <c r="AQ2681" s="128"/>
      <c r="AR2681" s="128"/>
      <c r="AS2681" s="128"/>
      <c r="AT2681" s="128"/>
      <c r="AU2681" s="128"/>
      <c r="AV2681" s="128"/>
      <c r="AW2681" s="128"/>
      <c r="AX2681" s="128"/>
      <c r="AY2681" s="128"/>
      <c r="AZ2681" s="128"/>
      <c r="BA2681" s="128"/>
      <c r="BB2681" s="128"/>
      <c r="BC2681" s="128"/>
      <c r="BD2681" s="128"/>
      <c r="BE2681" s="128"/>
      <c r="BF2681" s="128"/>
      <c r="BG2681" s="128"/>
      <c r="BH2681" s="128"/>
      <c r="BI2681" s="128"/>
      <c r="BJ2681" s="128"/>
      <c r="BK2681" s="128"/>
      <c r="BL2681" s="128"/>
      <c r="BM2681" s="151"/>
      <c r="BN2681" s="128"/>
      <c r="BO2681" s="128"/>
      <c r="BP2681" s="128"/>
      <c r="BQ2681" s="128"/>
      <c r="BR2681" s="128"/>
      <c r="BS2681" s="128"/>
      <c r="BT2681" s="128"/>
      <c r="BU2681" s="128"/>
      <c r="BV2681" s="128"/>
      <c r="BW2681" s="128"/>
      <c r="BX2681" s="128"/>
      <c r="BY2681" s="128"/>
      <c r="BZ2681" s="128"/>
      <c r="CA2681" s="128"/>
      <c r="CB2681" s="128"/>
      <c r="CC2681" s="128"/>
      <c r="CD2681" s="128"/>
      <c r="CE2681" s="128"/>
      <c r="CF2681" s="128"/>
      <c r="CG2681" s="128"/>
      <c r="CI2681" s="128"/>
      <c r="CJ2681" s="128"/>
      <c r="CK2681" s="128"/>
      <c r="CL2681" s="128"/>
      <c r="CM2681" s="128"/>
      <c r="CN2681" s="128"/>
      <c r="CO2681" s="128"/>
      <c r="CP2681" s="128"/>
      <c r="CQ2681" s="128"/>
      <c r="CR2681" s="128"/>
      <c r="CS2681" s="128"/>
      <c r="CT2681" s="128"/>
      <c r="CU2681" s="128"/>
      <c r="CV2681" s="128"/>
      <c r="CW2681" s="128"/>
      <c r="CX2681" s="128"/>
      <c r="CY2681" s="128"/>
      <c r="CZ2681" s="165"/>
    </row>
    <row r="2682" spans="1:104">
      <c r="A2682" s="149"/>
      <c r="B2682" s="149"/>
      <c r="C2682" s="150"/>
      <c r="D2682" s="102"/>
      <c r="E2682" s="149"/>
      <c r="F2682" s="149"/>
      <c r="G2682" s="149"/>
      <c r="H2682" s="149"/>
      <c r="I2682" s="149"/>
      <c r="J2682" s="149"/>
      <c r="K2682" s="149"/>
      <c r="L2682" s="149"/>
      <c r="M2682" s="149"/>
      <c r="N2682" s="149"/>
      <c r="O2682" s="149"/>
      <c r="P2682" s="149"/>
      <c r="Q2682" s="149"/>
      <c r="R2682" s="149"/>
      <c r="S2682" s="149"/>
      <c r="T2682" s="149"/>
      <c r="U2682" s="149"/>
      <c r="V2682" s="149"/>
      <c r="W2682" s="149"/>
      <c r="X2682" s="149"/>
      <c r="Y2682" s="149"/>
      <c r="Z2682" s="149"/>
      <c r="AA2682" s="149"/>
      <c r="AB2682" s="149"/>
      <c r="AC2682" s="149"/>
      <c r="AD2682" s="149"/>
      <c r="AE2682" s="149"/>
      <c r="AF2682" s="149"/>
      <c r="AG2682" s="149"/>
      <c r="AH2682" s="149"/>
      <c r="AI2682" s="149"/>
      <c r="AJ2682" s="149"/>
      <c r="AK2682" s="149"/>
      <c r="AL2682" s="149"/>
      <c r="AM2682" s="149"/>
      <c r="AN2682" s="149"/>
      <c r="AO2682" s="128"/>
      <c r="AP2682" s="128"/>
      <c r="AQ2682" s="128"/>
      <c r="AR2682" s="128"/>
      <c r="AS2682" s="128"/>
      <c r="AT2682" s="128"/>
      <c r="AU2682" s="128"/>
      <c r="AV2682" s="128"/>
      <c r="AW2682" s="128"/>
      <c r="AX2682" s="128"/>
      <c r="AY2682" s="128"/>
      <c r="AZ2682" s="128"/>
      <c r="BA2682" s="128"/>
      <c r="BB2682" s="128"/>
      <c r="BC2682" s="128"/>
      <c r="BD2682" s="128"/>
      <c r="BE2682" s="128"/>
      <c r="BF2682" s="128"/>
      <c r="BG2682" s="128"/>
      <c r="BH2682" s="128"/>
      <c r="BI2682" s="128"/>
      <c r="BJ2682" s="128"/>
      <c r="BK2682" s="128"/>
      <c r="BL2682" s="128"/>
      <c r="BM2682" s="151"/>
      <c r="BN2682" s="128"/>
      <c r="BO2682" s="128"/>
      <c r="BP2682" s="128"/>
      <c r="BQ2682" s="128"/>
      <c r="BR2682" s="128"/>
      <c r="BS2682" s="128"/>
      <c r="BT2682" s="128"/>
      <c r="BU2682" s="128"/>
      <c r="BV2682" s="128"/>
      <c r="BW2682" s="128"/>
      <c r="BX2682" s="128"/>
      <c r="BY2682" s="128"/>
      <c r="BZ2682" s="128"/>
      <c r="CA2682" s="128"/>
      <c r="CB2682" s="128"/>
      <c r="CC2682" s="128"/>
      <c r="CD2682" s="128"/>
      <c r="CE2682" s="128"/>
      <c r="CF2682" s="128"/>
      <c r="CG2682" s="128"/>
      <c r="CI2682" s="128"/>
      <c r="CJ2682" s="128"/>
      <c r="CK2682" s="128"/>
      <c r="CL2682" s="128"/>
      <c r="CM2682" s="128"/>
      <c r="CN2682" s="128"/>
      <c r="CO2682" s="128"/>
      <c r="CP2682" s="128"/>
      <c r="CQ2682" s="128"/>
      <c r="CR2682" s="128"/>
      <c r="CS2682" s="128"/>
      <c r="CT2682" s="128"/>
      <c r="CU2682" s="128"/>
      <c r="CV2682" s="128"/>
      <c r="CW2682" s="128"/>
      <c r="CX2682" s="128"/>
      <c r="CY2682" s="128"/>
      <c r="CZ2682" s="165"/>
    </row>
    <row r="2683" spans="1:104">
      <c r="A2683" s="149"/>
      <c r="B2683" s="149"/>
      <c r="C2683" s="150"/>
      <c r="D2683" s="102"/>
      <c r="E2683" s="149"/>
      <c r="F2683" s="149"/>
      <c r="G2683" s="149"/>
      <c r="H2683" s="149"/>
      <c r="I2683" s="149"/>
      <c r="J2683" s="149"/>
      <c r="K2683" s="149"/>
      <c r="L2683" s="149"/>
      <c r="M2683" s="149"/>
      <c r="N2683" s="149"/>
      <c r="O2683" s="149"/>
      <c r="P2683" s="149"/>
      <c r="Q2683" s="149"/>
      <c r="R2683" s="149"/>
      <c r="S2683" s="149"/>
      <c r="T2683" s="149"/>
      <c r="U2683" s="149"/>
      <c r="V2683" s="149"/>
      <c r="W2683" s="149"/>
      <c r="X2683" s="149"/>
      <c r="Y2683" s="149"/>
      <c r="Z2683" s="149"/>
      <c r="AA2683" s="149"/>
      <c r="AB2683" s="149"/>
      <c r="AC2683" s="149"/>
      <c r="AD2683" s="149"/>
      <c r="AE2683" s="149"/>
      <c r="AF2683" s="149"/>
      <c r="AG2683" s="149"/>
      <c r="AH2683" s="149"/>
      <c r="AI2683" s="149"/>
      <c r="AJ2683" s="149"/>
      <c r="AK2683" s="149"/>
      <c r="AL2683" s="149"/>
      <c r="AM2683" s="149"/>
      <c r="AN2683" s="149"/>
      <c r="AO2683" s="128"/>
      <c r="AP2683" s="128"/>
      <c r="AQ2683" s="128"/>
      <c r="AR2683" s="128"/>
      <c r="AS2683" s="128"/>
      <c r="AT2683" s="128"/>
      <c r="AU2683" s="128"/>
      <c r="AV2683" s="128"/>
      <c r="AW2683" s="128"/>
      <c r="AX2683" s="128"/>
      <c r="AY2683" s="128"/>
      <c r="AZ2683" s="128"/>
      <c r="BA2683" s="128"/>
      <c r="BB2683" s="128"/>
      <c r="BC2683" s="128"/>
      <c r="BD2683" s="128"/>
      <c r="BE2683" s="128"/>
      <c r="BF2683" s="128"/>
      <c r="BG2683" s="128"/>
      <c r="BH2683" s="128"/>
      <c r="BI2683" s="128"/>
      <c r="BJ2683" s="128"/>
      <c r="BK2683" s="128"/>
      <c r="BL2683" s="128"/>
      <c r="BM2683" s="151"/>
      <c r="BN2683" s="128"/>
      <c r="BO2683" s="128"/>
      <c r="BP2683" s="128"/>
      <c r="BQ2683" s="128"/>
      <c r="BR2683" s="128"/>
      <c r="BS2683" s="128"/>
      <c r="BT2683" s="128"/>
      <c r="BU2683" s="128"/>
      <c r="BV2683" s="128"/>
      <c r="BW2683" s="128"/>
      <c r="BX2683" s="128"/>
      <c r="BY2683" s="128"/>
      <c r="BZ2683" s="128"/>
      <c r="CA2683" s="128"/>
      <c r="CB2683" s="128"/>
      <c r="CC2683" s="128"/>
      <c r="CD2683" s="128"/>
      <c r="CE2683" s="128"/>
      <c r="CF2683" s="128"/>
      <c r="CG2683" s="128"/>
      <c r="CI2683" s="128"/>
      <c r="CJ2683" s="128"/>
      <c r="CK2683" s="128"/>
      <c r="CL2683" s="128"/>
      <c r="CM2683" s="128"/>
      <c r="CN2683" s="128"/>
      <c r="CO2683" s="128"/>
      <c r="CP2683" s="128"/>
      <c r="CQ2683" s="128"/>
      <c r="CR2683" s="128"/>
      <c r="CS2683" s="128"/>
      <c r="CT2683" s="128"/>
      <c r="CU2683" s="128"/>
      <c r="CV2683" s="128"/>
      <c r="CW2683" s="128"/>
      <c r="CX2683" s="128"/>
      <c r="CY2683" s="128"/>
      <c r="CZ2683" s="165"/>
    </row>
    <row r="2684" spans="1:104">
      <c r="A2684" s="149"/>
      <c r="B2684" s="149"/>
      <c r="C2684" s="150"/>
      <c r="D2684" s="102"/>
      <c r="E2684" s="149"/>
      <c r="F2684" s="149"/>
      <c r="G2684" s="149"/>
      <c r="H2684" s="149"/>
      <c r="I2684" s="149"/>
      <c r="J2684" s="149"/>
      <c r="K2684" s="149"/>
      <c r="L2684" s="149"/>
      <c r="M2684" s="149"/>
      <c r="N2684" s="149"/>
      <c r="O2684" s="149"/>
      <c r="P2684" s="149"/>
      <c r="Q2684" s="149"/>
      <c r="R2684" s="149"/>
      <c r="S2684" s="149"/>
      <c r="T2684" s="149"/>
      <c r="U2684" s="149"/>
      <c r="V2684" s="149"/>
      <c r="W2684" s="149"/>
      <c r="X2684" s="149"/>
      <c r="Y2684" s="149"/>
      <c r="Z2684" s="149"/>
      <c r="AA2684" s="149"/>
      <c r="AB2684" s="149"/>
      <c r="AC2684" s="149"/>
      <c r="AD2684" s="149"/>
      <c r="AE2684" s="149"/>
      <c r="AF2684" s="149"/>
      <c r="AG2684" s="149"/>
      <c r="AH2684" s="149"/>
      <c r="AI2684" s="149"/>
      <c r="AJ2684" s="149"/>
      <c r="AK2684" s="149"/>
      <c r="AL2684" s="149"/>
      <c r="AM2684" s="149"/>
      <c r="AN2684" s="149"/>
      <c r="AO2684" s="128"/>
      <c r="AP2684" s="128"/>
      <c r="AQ2684" s="128"/>
      <c r="AR2684" s="128"/>
      <c r="AS2684" s="128"/>
      <c r="AT2684" s="128"/>
      <c r="AU2684" s="128"/>
      <c r="AV2684" s="128"/>
      <c r="AW2684" s="128"/>
      <c r="AX2684" s="128"/>
      <c r="AY2684" s="128"/>
      <c r="AZ2684" s="128"/>
      <c r="BA2684" s="128"/>
      <c r="BB2684" s="128"/>
      <c r="BC2684" s="128"/>
      <c r="BD2684" s="128"/>
      <c r="BE2684" s="128"/>
      <c r="BF2684" s="128"/>
      <c r="BG2684" s="128"/>
      <c r="BH2684" s="128"/>
      <c r="BI2684" s="128"/>
      <c r="BJ2684" s="128"/>
      <c r="BK2684" s="128"/>
      <c r="BL2684" s="128"/>
      <c r="BM2684" s="151"/>
      <c r="BN2684" s="128"/>
      <c r="BO2684" s="128"/>
      <c r="BP2684" s="128"/>
      <c r="BQ2684" s="128"/>
      <c r="BR2684" s="128"/>
      <c r="BS2684" s="128"/>
      <c r="BT2684" s="128"/>
      <c r="BU2684" s="128"/>
      <c r="BV2684" s="128"/>
      <c r="BW2684" s="128"/>
      <c r="BX2684" s="128"/>
      <c r="BY2684" s="128"/>
      <c r="BZ2684" s="128"/>
      <c r="CA2684" s="128"/>
      <c r="CB2684" s="128"/>
      <c r="CC2684" s="128"/>
      <c r="CD2684" s="128"/>
      <c r="CE2684" s="128"/>
      <c r="CF2684" s="128"/>
      <c r="CG2684" s="128"/>
      <c r="CI2684" s="128"/>
      <c r="CJ2684" s="128"/>
      <c r="CK2684" s="128"/>
      <c r="CL2684" s="128"/>
      <c r="CM2684" s="128"/>
      <c r="CN2684" s="128"/>
      <c r="CO2684" s="128"/>
      <c r="CP2684" s="128"/>
      <c r="CQ2684" s="128"/>
      <c r="CR2684" s="128"/>
      <c r="CS2684" s="128"/>
      <c r="CT2684" s="128"/>
      <c r="CU2684" s="128"/>
      <c r="CV2684" s="128"/>
      <c r="CW2684" s="128"/>
      <c r="CX2684" s="128"/>
      <c r="CY2684" s="128"/>
      <c r="CZ2684" s="165"/>
    </row>
    <row r="2685" spans="1:104">
      <c r="A2685" s="149"/>
      <c r="B2685" s="149"/>
      <c r="C2685" s="150"/>
      <c r="D2685" s="102"/>
      <c r="E2685" s="149"/>
      <c r="F2685" s="149"/>
      <c r="G2685" s="149"/>
      <c r="H2685" s="149"/>
      <c r="I2685" s="149"/>
      <c r="J2685" s="149"/>
      <c r="K2685" s="149"/>
      <c r="L2685" s="149"/>
      <c r="M2685" s="149"/>
      <c r="N2685" s="149"/>
      <c r="O2685" s="149"/>
      <c r="P2685" s="149"/>
      <c r="Q2685" s="149"/>
      <c r="R2685" s="149"/>
      <c r="S2685" s="149"/>
      <c r="T2685" s="149"/>
      <c r="U2685" s="149"/>
      <c r="V2685" s="149"/>
      <c r="W2685" s="149"/>
      <c r="X2685" s="149"/>
      <c r="Y2685" s="149"/>
      <c r="Z2685" s="149"/>
      <c r="AA2685" s="149"/>
      <c r="AB2685" s="149"/>
      <c r="AC2685" s="149"/>
      <c r="AD2685" s="149"/>
      <c r="AE2685" s="149"/>
      <c r="AF2685" s="149"/>
      <c r="AG2685" s="149"/>
      <c r="AH2685" s="149"/>
      <c r="AI2685" s="149"/>
      <c r="AJ2685" s="149"/>
      <c r="AK2685" s="149"/>
      <c r="AL2685" s="149"/>
      <c r="AM2685" s="149"/>
      <c r="AN2685" s="149"/>
      <c r="AO2685" s="128"/>
      <c r="AP2685" s="128"/>
      <c r="AQ2685" s="128"/>
      <c r="AR2685" s="128"/>
      <c r="AS2685" s="128"/>
      <c r="AT2685" s="128"/>
      <c r="AU2685" s="128"/>
      <c r="AV2685" s="128"/>
      <c r="AW2685" s="128"/>
      <c r="AX2685" s="128"/>
      <c r="AY2685" s="128"/>
      <c r="AZ2685" s="128"/>
      <c r="BA2685" s="128"/>
      <c r="BB2685" s="128"/>
      <c r="BC2685" s="128"/>
      <c r="BD2685" s="128"/>
      <c r="BE2685" s="128"/>
      <c r="BF2685" s="128"/>
      <c r="BG2685" s="128"/>
      <c r="BH2685" s="128"/>
      <c r="BI2685" s="128"/>
      <c r="BJ2685" s="128"/>
      <c r="BK2685" s="128"/>
      <c r="BL2685" s="128"/>
      <c r="BM2685" s="151"/>
      <c r="BN2685" s="128"/>
      <c r="BO2685" s="128"/>
      <c r="BP2685" s="128"/>
      <c r="BQ2685" s="128"/>
      <c r="BR2685" s="128"/>
      <c r="BS2685" s="128"/>
      <c r="BT2685" s="128"/>
      <c r="BU2685" s="128"/>
      <c r="BV2685" s="128"/>
      <c r="BW2685" s="128"/>
      <c r="BX2685" s="128"/>
      <c r="BY2685" s="128"/>
      <c r="BZ2685" s="128"/>
      <c r="CA2685" s="128"/>
      <c r="CB2685" s="128"/>
      <c r="CC2685" s="128"/>
      <c r="CD2685" s="128"/>
      <c r="CE2685" s="128"/>
      <c r="CF2685" s="128"/>
      <c r="CG2685" s="128"/>
      <c r="CI2685" s="128"/>
      <c r="CJ2685" s="128"/>
      <c r="CK2685" s="128"/>
      <c r="CL2685" s="128"/>
      <c r="CM2685" s="128"/>
      <c r="CN2685" s="128"/>
      <c r="CO2685" s="128"/>
      <c r="CP2685" s="128"/>
      <c r="CQ2685" s="128"/>
      <c r="CR2685" s="128"/>
      <c r="CS2685" s="128"/>
      <c r="CT2685" s="128"/>
      <c r="CU2685" s="128"/>
      <c r="CV2685" s="128"/>
      <c r="CW2685" s="128"/>
      <c r="CX2685" s="128"/>
      <c r="CY2685" s="128"/>
      <c r="CZ2685" s="165"/>
    </row>
    <row r="2686" spans="1:104">
      <c r="A2686" s="149"/>
      <c r="B2686" s="149"/>
      <c r="C2686" s="150"/>
      <c r="D2686" s="102"/>
      <c r="E2686" s="149"/>
      <c r="F2686" s="149"/>
      <c r="G2686" s="149"/>
      <c r="H2686" s="149"/>
      <c r="I2686" s="149"/>
      <c r="J2686" s="149"/>
      <c r="K2686" s="149"/>
      <c r="L2686" s="149"/>
      <c r="M2686" s="149"/>
      <c r="N2686" s="149"/>
      <c r="O2686" s="149"/>
      <c r="P2686" s="149"/>
      <c r="Q2686" s="149"/>
      <c r="R2686" s="149"/>
      <c r="S2686" s="149"/>
      <c r="T2686" s="149"/>
      <c r="U2686" s="149"/>
      <c r="V2686" s="149"/>
      <c r="W2686" s="149"/>
      <c r="X2686" s="149"/>
      <c r="Y2686" s="149"/>
      <c r="Z2686" s="149"/>
      <c r="AA2686" s="149"/>
      <c r="AB2686" s="149"/>
      <c r="AC2686" s="149"/>
      <c r="AD2686" s="149"/>
      <c r="AE2686" s="149"/>
      <c r="AF2686" s="149"/>
      <c r="AG2686" s="149"/>
      <c r="AH2686" s="149"/>
      <c r="AI2686" s="149"/>
      <c r="AJ2686" s="149"/>
      <c r="AK2686" s="149"/>
      <c r="AL2686" s="149"/>
      <c r="AM2686" s="149"/>
      <c r="AN2686" s="149"/>
      <c r="AO2686" s="128"/>
      <c r="AP2686" s="128"/>
      <c r="AQ2686" s="128"/>
      <c r="AR2686" s="128"/>
      <c r="AS2686" s="128"/>
      <c r="AT2686" s="128"/>
      <c r="AU2686" s="128"/>
      <c r="AV2686" s="128"/>
      <c r="AW2686" s="128"/>
      <c r="AX2686" s="128"/>
      <c r="AY2686" s="128"/>
      <c r="AZ2686" s="128"/>
      <c r="BA2686" s="128"/>
      <c r="BB2686" s="128"/>
      <c r="BC2686" s="128"/>
      <c r="BD2686" s="128"/>
      <c r="BE2686" s="128"/>
      <c r="BF2686" s="128"/>
      <c r="BG2686" s="128"/>
      <c r="BH2686" s="128"/>
      <c r="BI2686" s="128"/>
      <c r="BJ2686" s="128"/>
      <c r="BK2686" s="128"/>
      <c r="BL2686" s="128"/>
      <c r="BM2686" s="151"/>
      <c r="BN2686" s="128"/>
      <c r="BO2686" s="128"/>
      <c r="BP2686" s="128"/>
      <c r="BQ2686" s="128"/>
      <c r="BR2686" s="128"/>
      <c r="BS2686" s="128"/>
      <c r="BT2686" s="128"/>
      <c r="BU2686" s="128"/>
      <c r="BV2686" s="128"/>
      <c r="BW2686" s="128"/>
      <c r="BX2686" s="128"/>
      <c r="BY2686" s="128"/>
      <c r="BZ2686" s="128"/>
      <c r="CA2686" s="128"/>
      <c r="CB2686" s="128"/>
      <c r="CC2686" s="128"/>
      <c r="CD2686" s="128"/>
      <c r="CE2686" s="128"/>
      <c r="CF2686" s="128"/>
      <c r="CG2686" s="128"/>
      <c r="CI2686" s="128"/>
      <c r="CJ2686" s="128"/>
      <c r="CK2686" s="128"/>
      <c r="CL2686" s="128"/>
      <c r="CM2686" s="128"/>
      <c r="CN2686" s="128"/>
      <c r="CO2686" s="128"/>
      <c r="CP2686" s="128"/>
      <c r="CQ2686" s="128"/>
      <c r="CR2686" s="128"/>
      <c r="CS2686" s="128"/>
      <c r="CT2686" s="128"/>
      <c r="CU2686" s="128"/>
      <c r="CV2686" s="128"/>
      <c r="CW2686" s="128"/>
      <c r="CX2686" s="128"/>
      <c r="CY2686" s="128"/>
      <c r="CZ2686" s="165"/>
    </row>
    <row r="2687" spans="1:104">
      <c r="A2687" s="149"/>
      <c r="B2687" s="149"/>
      <c r="C2687" s="150"/>
      <c r="D2687" s="102"/>
      <c r="E2687" s="149"/>
      <c r="F2687" s="149"/>
      <c r="G2687" s="149"/>
      <c r="H2687" s="149"/>
      <c r="I2687" s="149"/>
      <c r="J2687" s="149"/>
      <c r="K2687" s="149"/>
      <c r="L2687" s="149"/>
      <c r="M2687" s="149"/>
      <c r="N2687" s="149"/>
      <c r="O2687" s="149"/>
      <c r="P2687" s="149"/>
      <c r="Q2687" s="149"/>
      <c r="R2687" s="149"/>
      <c r="S2687" s="149"/>
      <c r="T2687" s="149"/>
      <c r="U2687" s="149"/>
      <c r="V2687" s="149"/>
      <c r="W2687" s="149"/>
      <c r="X2687" s="149"/>
      <c r="Y2687" s="149"/>
      <c r="Z2687" s="149"/>
      <c r="AA2687" s="149"/>
      <c r="AB2687" s="149"/>
      <c r="AC2687" s="149"/>
      <c r="AD2687" s="149"/>
      <c r="AE2687" s="149"/>
      <c r="AF2687" s="149"/>
      <c r="AG2687" s="149"/>
      <c r="AH2687" s="149"/>
      <c r="AI2687" s="149"/>
      <c r="AJ2687" s="149"/>
      <c r="AK2687" s="149"/>
      <c r="AL2687" s="149"/>
      <c r="AM2687" s="149"/>
      <c r="AN2687" s="149"/>
      <c r="AO2687" s="128"/>
      <c r="AP2687" s="128"/>
      <c r="AQ2687" s="128"/>
      <c r="AR2687" s="128"/>
      <c r="AS2687" s="128"/>
      <c r="AT2687" s="128"/>
      <c r="AU2687" s="128"/>
      <c r="AV2687" s="128"/>
      <c r="AW2687" s="128"/>
      <c r="AX2687" s="128"/>
      <c r="AY2687" s="128"/>
      <c r="AZ2687" s="128"/>
      <c r="BA2687" s="128"/>
      <c r="BB2687" s="128"/>
      <c r="BC2687" s="128"/>
      <c r="BD2687" s="128"/>
      <c r="BE2687" s="128"/>
      <c r="BF2687" s="128"/>
      <c r="BG2687" s="128"/>
      <c r="BH2687" s="128"/>
      <c r="BI2687" s="128"/>
      <c r="BJ2687" s="128"/>
      <c r="BK2687" s="128"/>
      <c r="BL2687" s="128"/>
      <c r="BM2687" s="151"/>
      <c r="BN2687" s="128"/>
      <c r="BO2687" s="128"/>
      <c r="BP2687" s="128"/>
      <c r="BQ2687" s="128"/>
      <c r="BR2687" s="128"/>
      <c r="BS2687" s="128"/>
      <c r="BT2687" s="128"/>
      <c r="BU2687" s="128"/>
      <c r="BV2687" s="128"/>
      <c r="BW2687" s="128"/>
      <c r="BX2687" s="128"/>
      <c r="BY2687" s="128"/>
      <c r="BZ2687" s="128"/>
      <c r="CA2687" s="128"/>
      <c r="CB2687" s="128"/>
      <c r="CC2687" s="128"/>
      <c r="CD2687" s="128"/>
      <c r="CE2687" s="128"/>
      <c r="CF2687" s="128"/>
      <c r="CG2687" s="128"/>
      <c r="CI2687" s="128"/>
      <c r="CJ2687" s="128"/>
      <c r="CK2687" s="128"/>
      <c r="CL2687" s="128"/>
      <c r="CM2687" s="128"/>
      <c r="CN2687" s="128"/>
      <c r="CO2687" s="128"/>
      <c r="CP2687" s="128"/>
      <c r="CQ2687" s="128"/>
      <c r="CR2687" s="128"/>
      <c r="CS2687" s="128"/>
      <c r="CT2687" s="128"/>
      <c r="CU2687" s="128"/>
      <c r="CV2687" s="128"/>
      <c r="CW2687" s="128"/>
      <c r="CX2687" s="128"/>
      <c r="CY2687" s="128"/>
      <c r="CZ2687" s="165"/>
    </row>
    <row r="2688" spans="1:104">
      <c r="A2688" s="149"/>
      <c r="B2688" s="149"/>
      <c r="C2688" s="150"/>
      <c r="D2688" s="102"/>
      <c r="E2688" s="149"/>
      <c r="F2688" s="149"/>
      <c r="G2688" s="149"/>
      <c r="H2688" s="149"/>
      <c r="I2688" s="149"/>
      <c r="J2688" s="149"/>
      <c r="K2688" s="149"/>
      <c r="L2688" s="149"/>
      <c r="M2688" s="149"/>
      <c r="N2688" s="149"/>
      <c r="O2688" s="149"/>
      <c r="P2688" s="149"/>
      <c r="Q2688" s="149"/>
      <c r="R2688" s="149"/>
      <c r="S2688" s="149"/>
      <c r="T2688" s="149"/>
      <c r="U2688" s="149"/>
      <c r="V2688" s="149"/>
      <c r="W2688" s="149"/>
      <c r="X2688" s="149"/>
      <c r="Y2688" s="149"/>
      <c r="Z2688" s="149"/>
      <c r="AA2688" s="149"/>
      <c r="AB2688" s="149"/>
      <c r="AC2688" s="149"/>
      <c r="AD2688" s="149"/>
      <c r="AE2688" s="149"/>
      <c r="AF2688" s="149"/>
      <c r="AG2688" s="149"/>
      <c r="AH2688" s="149"/>
      <c r="AI2688" s="149"/>
      <c r="AJ2688" s="149"/>
      <c r="AK2688" s="149"/>
      <c r="AL2688" s="149"/>
      <c r="AM2688" s="149"/>
      <c r="AN2688" s="149"/>
      <c r="AO2688" s="128"/>
      <c r="AP2688" s="128"/>
      <c r="AQ2688" s="128"/>
      <c r="AR2688" s="128"/>
      <c r="AS2688" s="128"/>
      <c r="AT2688" s="128"/>
      <c r="AU2688" s="128"/>
      <c r="AV2688" s="128"/>
      <c r="AW2688" s="128"/>
      <c r="AX2688" s="128"/>
      <c r="AY2688" s="128"/>
      <c r="AZ2688" s="128"/>
      <c r="BA2688" s="128"/>
      <c r="BB2688" s="128"/>
      <c r="BC2688" s="128"/>
      <c r="BD2688" s="128"/>
      <c r="BE2688" s="128"/>
      <c r="BF2688" s="128"/>
      <c r="BG2688" s="128"/>
      <c r="BH2688" s="128"/>
      <c r="BI2688" s="128"/>
      <c r="BJ2688" s="128"/>
      <c r="BK2688" s="128"/>
      <c r="BL2688" s="128"/>
      <c r="BM2688" s="151"/>
      <c r="BN2688" s="128"/>
      <c r="BO2688" s="128"/>
      <c r="BP2688" s="128"/>
      <c r="BQ2688" s="128"/>
      <c r="BR2688" s="128"/>
      <c r="BS2688" s="128"/>
      <c r="BT2688" s="128"/>
      <c r="BU2688" s="128"/>
      <c r="BV2688" s="128"/>
      <c r="BW2688" s="128"/>
      <c r="BX2688" s="128"/>
      <c r="BY2688" s="128"/>
      <c r="BZ2688" s="128"/>
      <c r="CA2688" s="128"/>
      <c r="CB2688" s="128"/>
      <c r="CC2688" s="128"/>
      <c r="CD2688" s="128"/>
      <c r="CE2688" s="128"/>
      <c r="CF2688" s="128"/>
      <c r="CG2688" s="128"/>
      <c r="CI2688" s="128"/>
      <c r="CJ2688" s="128"/>
      <c r="CK2688" s="128"/>
      <c r="CL2688" s="128"/>
      <c r="CM2688" s="128"/>
      <c r="CN2688" s="128"/>
      <c r="CO2688" s="128"/>
      <c r="CP2688" s="128"/>
      <c r="CQ2688" s="128"/>
      <c r="CR2688" s="128"/>
      <c r="CS2688" s="128"/>
      <c r="CT2688" s="128"/>
      <c r="CU2688" s="128"/>
      <c r="CV2688" s="128"/>
      <c r="CW2688" s="128"/>
      <c r="CX2688" s="128"/>
      <c r="CY2688" s="128"/>
      <c r="CZ2688" s="165"/>
    </row>
    <row r="2689" spans="1:104">
      <c r="A2689" s="149"/>
      <c r="B2689" s="149"/>
      <c r="C2689" s="150"/>
      <c r="D2689" s="102"/>
      <c r="E2689" s="149"/>
      <c r="F2689" s="149"/>
      <c r="G2689" s="149"/>
      <c r="H2689" s="149"/>
      <c r="I2689" s="149"/>
      <c r="J2689" s="149"/>
      <c r="K2689" s="149"/>
      <c r="L2689" s="149"/>
      <c r="M2689" s="149"/>
      <c r="N2689" s="149"/>
      <c r="O2689" s="149"/>
      <c r="P2689" s="149"/>
      <c r="Q2689" s="149"/>
      <c r="R2689" s="149"/>
      <c r="S2689" s="149"/>
      <c r="T2689" s="149"/>
      <c r="U2689" s="149"/>
      <c r="V2689" s="149"/>
      <c r="W2689" s="149"/>
      <c r="X2689" s="149"/>
      <c r="Y2689" s="149"/>
      <c r="Z2689" s="149"/>
      <c r="AA2689" s="149"/>
      <c r="AB2689" s="149"/>
      <c r="AC2689" s="149"/>
      <c r="AD2689" s="149"/>
      <c r="AE2689" s="149"/>
      <c r="AF2689" s="149"/>
      <c r="AG2689" s="149"/>
      <c r="AH2689" s="149"/>
      <c r="AI2689" s="149"/>
      <c r="AJ2689" s="149"/>
      <c r="AK2689" s="149"/>
      <c r="AL2689" s="149"/>
      <c r="AM2689" s="149"/>
      <c r="AN2689" s="149"/>
      <c r="AO2689" s="128"/>
      <c r="AP2689" s="128"/>
      <c r="AQ2689" s="128"/>
      <c r="AR2689" s="128"/>
      <c r="AS2689" s="128"/>
      <c r="AT2689" s="128"/>
      <c r="AU2689" s="128"/>
      <c r="AV2689" s="128"/>
      <c r="AW2689" s="128"/>
      <c r="AX2689" s="128"/>
      <c r="AY2689" s="128"/>
      <c r="AZ2689" s="128"/>
      <c r="BA2689" s="128"/>
      <c r="BB2689" s="128"/>
      <c r="BC2689" s="128"/>
      <c r="BD2689" s="128"/>
      <c r="BE2689" s="128"/>
      <c r="BF2689" s="128"/>
      <c r="BG2689" s="128"/>
      <c r="BH2689" s="128"/>
      <c r="BI2689" s="128"/>
      <c r="BJ2689" s="128"/>
      <c r="BK2689" s="128"/>
      <c r="BL2689" s="128"/>
      <c r="BM2689" s="151"/>
      <c r="BN2689" s="128"/>
      <c r="BO2689" s="128"/>
      <c r="BP2689" s="128"/>
      <c r="BQ2689" s="128"/>
      <c r="BR2689" s="128"/>
      <c r="BS2689" s="128"/>
      <c r="BT2689" s="128"/>
      <c r="BU2689" s="128"/>
      <c r="BV2689" s="128"/>
      <c r="BW2689" s="128"/>
      <c r="BX2689" s="128"/>
      <c r="BY2689" s="128"/>
      <c r="BZ2689" s="128"/>
      <c r="CA2689" s="128"/>
      <c r="CB2689" s="128"/>
      <c r="CC2689" s="128"/>
      <c r="CD2689" s="128"/>
      <c r="CE2689" s="128"/>
      <c r="CF2689" s="128"/>
      <c r="CG2689" s="128"/>
      <c r="CI2689" s="128"/>
      <c r="CJ2689" s="128"/>
      <c r="CK2689" s="128"/>
      <c r="CL2689" s="128"/>
      <c r="CM2689" s="128"/>
      <c r="CN2689" s="128"/>
      <c r="CO2689" s="128"/>
      <c r="CP2689" s="128"/>
      <c r="CQ2689" s="128"/>
      <c r="CR2689" s="128"/>
      <c r="CS2689" s="128"/>
      <c r="CT2689" s="128"/>
      <c r="CU2689" s="128"/>
      <c r="CV2689" s="128"/>
      <c r="CW2689" s="128"/>
      <c r="CX2689" s="128"/>
      <c r="CY2689" s="128"/>
      <c r="CZ2689" s="165"/>
    </row>
    <row r="2690" spans="1:104">
      <c r="A2690" s="149"/>
      <c r="B2690" s="149"/>
      <c r="C2690" s="150"/>
      <c r="D2690" s="102"/>
      <c r="E2690" s="149"/>
      <c r="F2690" s="149"/>
      <c r="G2690" s="149"/>
      <c r="H2690" s="149"/>
      <c r="I2690" s="149"/>
      <c r="J2690" s="149"/>
      <c r="K2690" s="149"/>
      <c r="L2690" s="149"/>
      <c r="M2690" s="149"/>
      <c r="N2690" s="149"/>
      <c r="O2690" s="149"/>
      <c r="P2690" s="149"/>
      <c r="Q2690" s="149"/>
      <c r="R2690" s="149"/>
      <c r="S2690" s="149"/>
      <c r="T2690" s="149"/>
      <c r="U2690" s="149"/>
      <c r="V2690" s="149"/>
      <c r="W2690" s="149"/>
      <c r="X2690" s="149"/>
      <c r="Y2690" s="149"/>
      <c r="Z2690" s="149"/>
      <c r="AA2690" s="149"/>
      <c r="AB2690" s="149"/>
      <c r="AC2690" s="149"/>
      <c r="AD2690" s="149"/>
      <c r="AE2690" s="149"/>
      <c r="AF2690" s="149"/>
      <c r="AG2690" s="149"/>
      <c r="AH2690" s="149"/>
      <c r="AI2690" s="149"/>
      <c r="AJ2690" s="149"/>
      <c r="AK2690" s="149"/>
      <c r="AL2690" s="149"/>
      <c r="AM2690" s="149"/>
      <c r="AN2690" s="149"/>
      <c r="AO2690" s="128"/>
      <c r="AP2690" s="128"/>
      <c r="AQ2690" s="128"/>
      <c r="AR2690" s="128"/>
      <c r="AS2690" s="128"/>
      <c r="AT2690" s="128"/>
      <c r="AU2690" s="128"/>
      <c r="AV2690" s="128"/>
      <c r="AW2690" s="128"/>
      <c r="AX2690" s="128"/>
      <c r="AY2690" s="128"/>
      <c r="AZ2690" s="128"/>
      <c r="BA2690" s="128"/>
      <c r="BB2690" s="128"/>
      <c r="BC2690" s="128"/>
      <c r="BD2690" s="128"/>
      <c r="BE2690" s="128"/>
      <c r="BF2690" s="128"/>
      <c r="BG2690" s="128"/>
      <c r="BH2690" s="128"/>
      <c r="BI2690" s="128"/>
      <c r="BJ2690" s="128"/>
      <c r="BK2690" s="128"/>
      <c r="BL2690" s="128"/>
      <c r="BM2690" s="151"/>
      <c r="BN2690" s="128"/>
      <c r="BO2690" s="128"/>
      <c r="BP2690" s="128"/>
      <c r="BQ2690" s="128"/>
      <c r="BR2690" s="128"/>
      <c r="BS2690" s="128"/>
      <c r="BT2690" s="128"/>
      <c r="BU2690" s="128"/>
      <c r="BV2690" s="128"/>
      <c r="BW2690" s="128"/>
      <c r="BX2690" s="128"/>
      <c r="BY2690" s="128"/>
      <c r="BZ2690" s="128"/>
      <c r="CA2690" s="128"/>
      <c r="CB2690" s="128"/>
      <c r="CC2690" s="128"/>
      <c r="CD2690" s="128"/>
      <c r="CE2690" s="128"/>
      <c r="CF2690" s="128"/>
      <c r="CG2690" s="128"/>
      <c r="CI2690" s="128"/>
      <c r="CJ2690" s="128"/>
      <c r="CK2690" s="128"/>
      <c r="CL2690" s="128"/>
      <c r="CM2690" s="128"/>
      <c r="CN2690" s="128"/>
      <c r="CO2690" s="128"/>
      <c r="CP2690" s="128"/>
      <c r="CQ2690" s="128"/>
      <c r="CR2690" s="128"/>
      <c r="CS2690" s="128"/>
      <c r="CT2690" s="128"/>
      <c r="CU2690" s="128"/>
      <c r="CV2690" s="128"/>
      <c r="CW2690" s="128"/>
      <c r="CX2690" s="128"/>
      <c r="CY2690" s="128"/>
      <c r="CZ2690" s="165"/>
    </row>
    <row r="2691" spans="1:104">
      <c r="A2691" s="149"/>
      <c r="B2691" s="149"/>
      <c r="C2691" s="150"/>
      <c r="D2691" s="102"/>
      <c r="E2691" s="149"/>
      <c r="F2691" s="149"/>
      <c r="G2691" s="149"/>
      <c r="H2691" s="149"/>
      <c r="I2691" s="149"/>
      <c r="J2691" s="149"/>
      <c r="K2691" s="149"/>
      <c r="L2691" s="149"/>
      <c r="M2691" s="149"/>
      <c r="N2691" s="149"/>
      <c r="O2691" s="149"/>
      <c r="P2691" s="149"/>
      <c r="Q2691" s="149"/>
      <c r="R2691" s="149"/>
      <c r="S2691" s="149"/>
      <c r="T2691" s="149"/>
      <c r="U2691" s="149"/>
      <c r="V2691" s="149"/>
      <c r="W2691" s="149"/>
      <c r="X2691" s="149"/>
      <c r="Y2691" s="149"/>
      <c r="Z2691" s="149"/>
      <c r="AA2691" s="149"/>
      <c r="AB2691" s="149"/>
      <c r="AC2691" s="149"/>
      <c r="AD2691" s="149"/>
      <c r="AE2691" s="149"/>
      <c r="AF2691" s="149"/>
      <c r="AG2691" s="149"/>
      <c r="AH2691" s="149"/>
      <c r="AI2691" s="149"/>
      <c r="AJ2691" s="149"/>
      <c r="AK2691" s="149"/>
      <c r="AL2691" s="149"/>
      <c r="AM2691" s="149"/>
      <c r="AN2691" s="149"/>
      <c r="AO2691" s="128"/>
      <c r="AP2691" s="128"/>
      <c r="AQ2691" s="128"/>
      <c r="AR2691" s="128"/>
      <c r="AS2691" s="128"/>
      <c r="AT2691" s="128"/>
      <c r="AU2691" s="128"/>
      <c r="AV2691" s="128"/>
      <c r="AW2691" s="128"/>
      <c r="AX2691" s="128"/>
      <c r="AY2691" s="128"/>
      <c r="AZ2691" s="128"/>
      <c r="BA2691" s="128"/>
      <c r="BB2691" s="128"/>
      <c r="BC2691" s="128"/>
      <c r="BD2691" s="128"/>
      <c r="BE2691" s="128"/>
      <c r="BF2691" s="128"/>
      <c r="BG2691" s="128"/>
      <c r="BH2691" s="128"/>
      <c r="BI2691" s="128"/>
      <c r="BJ2691" s="128"/>
      <c r="BK2691" s="128"/>
      <c r="BL2691" s="128"/>
      <c r="BM2691" s="151"/>
      <c r="BN2691" s="128"/>
      <c r="BO2691" s="128"/>
      <c r="BP2691" s="128"/>
      <c r="BQ2691" s="128"/>
      <c r="BR2691" s="128"/>
      <c r="BS2691" s="128"/>
      <c r="BT2691" s="128"/>
      <c r="BU2691" s="128"/>
      <c r="BV2691" s="128"/>
      <c r="BW2691" s="128"/>
      <c r="BX2691" s="128"/>
      <c r="BY2691" s="128"/>
      <c r="BZ2691" s="128"/>
      <c r="CA2691" s="128"/>
      <c r="CB2691" s="128"/>
      <c r="CC2691" s="128"/>
      <c r="CD2691" s="128"/>
      <c r="CE2691" s="128"/>
      <c r="CF2691" s="128"/>
      <c r="CG2691" s="128"/>
      <c r="CI2691" s="128"/>
      <c r="CJ2691" s="128"/>
      <c r="CK2691" s="128"/>
      <c r="CL2691" s="128"/>
      <c r="CM2691" s="128"/>
      <c r="CN2691" s="128"/>
      <c r="CO2691" s="128"/>
      <c r="CP2691" s="128"/>
      <c r="CQ2691" s="128"/>
      <c r="CR2691" s="128"/>
      <c r="CS2691" s="128"/>
      <c r="CT2691" s="128"/>
      <c r="CU2691" s="128"/>
      <c r="CV2691" s="128"/>
      <c r="CW2691" s="128"/>
      <c r="CX2691" s="128"/>
      <c r="CY2691" s="128"/>
      <c r="CZ2691" s="165"/>
    </row>
    <row r="2692" spans="1:104">
      <c r="A2692" s="149"/>
      <c r="B2692" s="149"/>
      <c r="C2692" s="150"/>
      <c r="D2692" s="102"/>
      <c r="E2692" s="149"/>
      <c r="F2692" s="149"/>
      <c r="G2692" s="149"/>
      <c r="H2692" s="149"/>
      <c r="I2692" s="149"/>
      <c r="J2692" s="149"/>
      <c r="K2692" s="149"/>
      <c r="L2692" s="149"/>
      <c r="M2692" s="149"/>
      <c r="N2692" s="149"/>
      <c r="O2692" s="149"/>
      <c r="P2692" s="149"/>
      <c r="Q2692" s="149"/>
      <c r="R2692" s="149"/>
      <c r="S2692" s="149"/>
      <c r="T2692" s="149"/>
      <c r="U2692" s="149"/>
      <c r="V2692" s="149"/>
      <c r="W2692" s="149"/>
      <c r="X2692" s="149"/>
      <c r="Y2692" s="149"/>
      <c r="Z2692" s="149"/>
      <c r="AA2692" s="149"/>
      <c r="AB2692" s="149"/>
      <c r="AC2692" s="149"/>
      <c r="AD2692" s="149"/>
      <c r="AE2692" s="149"/>
      <c r="AF2692" s="149"/>
      <c r="AG2692" s="149"/>
      <c r="AH2692" s="149"/>
      <c r="AI2692" s="149"/>
      <c r="AJ2692" s="149"/>
      <c r="AK2692" s="149"/>
      <c r="AL2692" s="149"/>
      <c r="AM2692" s="149"/>
      <c r="AN2692" s="149"/>
      <c r="AO2692" s="128"/>
      <c r="AP2692" s="128"/>
      <c r="AQ2692" s="128"/>
      <c r="AR2692" s="128"/>
      <c r="AS2692" s="128"/>
      <c r="AT2692" s="128"/>
      <c r="AU2692" s="128"/>
      <c r="AV2692" s="128"/>
      <c r="AW2692" s="128"/>
      <c r="AX2692" s="128"/>
      <c r="AY2692" s="128"/>
      <c r="AZ2692" s="128"/>
      <c r="BA2692" s="128"/>
      <c r="BB2692" s="128"/>
      <c r="BC2692" s="128"/>
      <c r="BD2692" s="128"/>
      <c r="BE2692" s="128"/>
      <c r="BF2692" s="128"/>
      <c r="BG2692" s="128"/>
      <c r="BH2692" s="128"/>
      <c r="BI2692" s="128"/>
      <c r="BJ2692" s="128"/>
      <c r="BK2692" s="128"/>
      <c r="BL2692" s="128"/>
      <c r="BM2692" s="151"/>
      <c r="BN2692" s="128"/>
      <c r="BO2692" s="128"/>
      <c r="BP2692" s="128"/>
      <c r="BQ2692" s="128"/>
      <c r="BR2692" s="128"/>
      <c r="BS2692" s="128"/>
      <c r="BT2692" s="128"/>
      <c r="BU2692" s="128"/>
      <c r="BV2692" s="128"/>
      <c r="BW2692" s="128"/>
      <c r="BX2692" s="128"/>
      <c r="BY2692" s="128"/>
      <c r="BZ2692" s="128"/>
      <c r="CA2692" s="128"/>
      <c r="CB2692" s="128"/>
      <c r="CC2692" s="128"/>
      <c r="CD2692" s="128"/>
      <c r="CE2692" s="128"/>
      <c r="CF2692" s="128"/>
      <c r="CG2692" s="128"/>
      <c r="CI2692" s="128"/>
      <c r="CJ2692" s="128"/>
      <c r="CK2692" s="128"/>
      <c r="CL2692" s="128"/>
      <c r="CM2692" s="128"/>
      <c r="CN2692" s="128"/>
      <c r="CO2692" s="128"/>
      <c r="CP2692" s="128"/>
      <c r="CQ2692" s="128"/>
      <c r="CR2692" s="128"/>
      <c r="CS2692" s="128"/>
      <c r="CT2692" s="128"/>
      <c r="CU2692" s="128"/>
      <c r="CV2692" s="128"/>
      <c r="CW2692" s="128"/>
      <c r="CX2692" s="128"/>
      <c r="CY2692" s="128"/>
      <c r="CZ2692" s="165"/>
    </row>
    <row r="2693" spans="1:104">
      <c r="A2693" s="149"/>
      <c r="B2693" s="149"/>
      <c r="C2693" s="150"/>
      <c r="D2693" s="102"/>
      <c r="E2693" s="149"/>
      <c r="F2693" s="149"/>
      <c r="G2693" s="149"/>
      <c r="H2693" s="149"/>
      <c r="I2693" s="149"/>
      <c r="J2693" s="149"/>
      <c r="K2693" s="149"/>
      <c r="L2693" s="149"/>
      <c r="M2693" s="149"/>
      <c r="N2693" s="149"/>
      <c r="O2693" s="149"/>
      <c r="P2693" s="149"/>
      <c r="Q2693" s="149"/>
      <c r="R2693" s="149"/>
      <c r="S2693" s="149"/>
      <c r="T2693" s="149"/>
      <c r="U2693" s="149"/>
      <c r="V2693" s="149"/>
      <c r="W2693" s="149"/>
      <c r="X2693" s="149"/>
      <c r="Y2693" s="149"/>
      <c r="Z2693" s="149"/>
      <c r="AA2693" s="149"/>
      <c r="AB2693" s="149"/>
      <c r="AC2693" s="149"/>
      <c r="AD2693" s="149"/>
      <c r="AE2693" s="149"/>
      <c r="AF2693" s="149"/>
      <c r="AG2693" s="149"/>
      <c r="AH2693" s="149"/>
      <c r="AI2693" s="149"/>
      <c r="AJ2693" s="149"/>
      <c r="AK2693" s="149"/>
      <c r="AL2693" s="149"/>
      <c r="AM2693" s="149"/>
      <c r="AN2693" s="149"/>
      <c r="AO2693" s="128"/>
      <c r="AP2693" s="128"/>
      <c r="AQ2693" s="128"/>
      <c r="AR2693" s="128"/>
      <c r="AS2693" s="128"/>
      <c r="AT2693" s="128"/>
      <c r="AU2693" s="128"/>
      <c r="AV2693" s="128"/>
      <c r="AW2693" s="128"/>
      <c r="AX2693" s="128"/>
      <c r="AY2693" s="128"/>
      <c r="AZ2693" s="128"/>
      <c r="BA2693" s="128"/>
      <c r="BB2693" s="128"/>
      <c r="BC2693" s="128"/>
      <c r="BD2693" s="128"/>
      <c r="BE2693" s="128"/>
      <c r="BF2693" s="128"/>
      <c r="BG2693" s="128"/>
      <c r="BH2693" s="128"/>
      <c r="BI2693" s="128"/>
      <c r="BJ2693" s="128"/>
      <c r="BK2693" s="128"/>
      <c r="BL2693" s="128"/>
      <c r="BM2693" s="151"/>
      <c r="BN2693" s="128"/>
      <c r="BO2693" s="128"/>
      <c r="BP2693" s="128"/>
      <c r="BQ2693" s="128"/>
      <c r="BR2693" s="128"/>
      <c r="BS2693" s="128"/>
      <c r="BT2693" s="128"/>
      <c r="BU2693" s="128"/>
      <c r="BV2693" s="128"/>
      <c r="BW2693" s="128"/>
      <c r="BX2693" s="128"/>
      <c r="BY2693" s="128"/>
      <c r="BZ2693" s="128"/>
      <c r="CA2693" s="128"/>
      <c r="CB2693" s="128"/>
      <c r="CC2693" s="128"/>
      <c r="CD2693" s="128"/>
      <c r="CE2693" s="128"/>
      <c r="CF2693" s="128"/>
      <c r="CG2693" s="128"/>
      <c r="CI2693" s="128"/>
      <c r="CJ2693" s="128"/>
      <c r="CK2693" s="128"/>
      <c r="CL2693" s="128"/>
      <c r="CM2693" s="128"/>
      <c r="CN2693" s="128"/>
      <c r="CO2693" s="128"/>
      <c r="CP2693" s="128"/>
      <c r="CQ2693" s="128"/>
      <c r="CR2693" s="128"/>
      <c r="CS2693" s="128"/>
      <c r="CT2693" s="128"/>
      <c r="CU2693" s="128"/>
      <c r="CV2693" s="128"/>
      <c r="CW2693" s="128"/>
      <c r="CX2693" s="128"/>
      <c r="CY2693" s="128"/>
      <c r="CZ2693" s="165"/>
    </row>
    <row r="2694" spans="1:104">
      <c r="A2694" s="149"/>
      <c r="B2694" s="149"/>
      <c r="C2694" s="150"/>
      <c r="D2694" s="102"/>
      <c r="E2694" s="149"/>
      <c r="F2694" s="149"/>
      <c r="G2694" s="149"/>
      <c r="H2694" s="149"/>
      <c r="I2694" s="149"/>
      <c r="J2694" s="149"/>
      <c r="K2694" s="149"/>
      <c r="L2694" s="149"/>
      <c r="M2694" s="149"/>
      <c r="N2694" s="149"/>
      <c r="O2694" s="149"/>
      <c r="P2694" s="149"/>
      <c r="Q2694" s="149"/>
      <c r="R2694" s="149"/>
      <c r="S2694" s="149"/>
      <c r="T2694" s="149"/>
      <c r="U2694" s="149"/>
      <c r="V2694" s="149"/>
      <c r="W2694" s="149"/>
      <c r="X2694" s="149"/>
      <c r="Y2694" s="149"/>
      <c r="Z2694" s="149"/>
      <c r="AA2694" s="149"/>
      <c r="AB2694" s="149"/>
      <c r="AC2694" s="149"/>
      <c r="AD2694" s="149"/>
      <c r="AE2694" s="149"/>
      <c r="AF2694" s="149"/>
      <c r="AG2694" s="149"/>
      <c r="AH2694" s="149"/>
      <c r="AI2694" s="149"/>
      <c r="AJ2694" s="149"/>
      <c r="AK2694" s="149"/>
      <c r="AL2694" s="149"/>
      <c r="AM2694" s="149"/>
      <c r="AN2694" s="149"/>
      <c r="AO2694" s="128"/>
      <c r="AP2694" s="128"/>
      <c r="AQ2694" s="128"/>
      <c r="AR2694" s="128"/>
      <c r="AS2694" s="128"/>
      <c r="AT2694" s="128"/>
      <c r="AU2694" s="128"/>
      <c r="AV2694" s="128"/>
      <c r="AW2694" s="128"/>
      <c r="AX2694" s="128"/>
      <c r="AY2694" s="128"/>
      <c r="AZ2694" s="128"/>
      <c r="BA2694" s="128"/>
      <c r="BB2694" s="128"/>
      <c r="BC2694" s="128"/>
      <c r="BD2694" s="128"/>
      <c r="BE2694" s="128"/>
      <c r="BF2694" s="128"/>
      <c r="BG2694" s="128"/>
      <c r="BH2694" s="128"/>
      <c r="BI2694" s="128"/>
      <c r="BJ2694" s="128"/>
      <c r="BK2694" s="128"/>
      <c r="BL2694" s="128"/>
      <c r="BM2694" s="151"/>
      <c r="BN2694" s="128"/>
      <c r="BO2694" s="128"/>
      <c r="BP2694" s="128"/>
      <c r="BQ2694" s="128"/>
      <c r="BR2694" s="128"/>
      <c r="BS2694" s="128"/>
      <c r="BT2694" s="128"/>
      <c r="BU2694" s="128"/>
      <c r="BV2694" s="128"/>
      <c r="BW2694" s="128"/>
      <c r="BX2694" s="128"/>
      <c r="BY2694" s="128"/>
      <c r="BZ2694" s="128"/>
      <c r="CA2694" s="128"/>
      <c r="CB2694" s="128"/>
      <c r="CC2694" s="128"/>
      <c r="CD2694" s="128"/>
      <c r="CE2694" s="128"/>
      <c r="CF2694" s="128"/>
      <c r="CG2694" s="128"/>
      <c r="CI2694" s="128"/>
      <c r="CJ2694" s="128"/>
      <c r="CK2694" s="128"/>
      <c r="CL2694" s="128"/>
      <c r="CM2694" s="128"/>
      <c r="CN2694" s="128"/>
      <c r="CO2694" s="128"/>
      <c r="CP2694" s="128"/>
      <c r="CQ2694" s="128"/>
      <c r="CR2694" s="128"/>
      <c r="CS2694" s="128"/>
      <c r="CT2694" s="128"/>
      <c r="CU2694" s="128"/>
      <c r="CV2694" s="128"/>
      <c r="CW2694" s="128"/>
      <c r="CX2694" s="128"/>
      <c r="CY2694" s="128"/>
      <c r="CZ2694" s="165"/>
    </row>
    <row r="2695" spans="1:104">
      <c r="A2695" s="149"/>
      <c r="B2695" s="149"/>
      <c r="C2695" s="150"/>
      <c r="D2695" s="102"/>
      <c r="E2695" s="149"/>
      <c r="F2695" s="149"/>
      <c r="G2695" s="149"/>
      <c r="H2695" s="149"/>
      <c r="I2695" s="149"/>
      <c r="J2695" s="149"/>
      <c r="K2695" s="149"/>
      <c r="L2695" s="149"/>
      <c r="M2695" s="149"/>
      <c r="N2695" s="149"/>
      <c r="O2695" s="149"/>
      <c r="P2695" s="149"/>
      <c r="Q2695" s="149"/>
      <c r="R2695" s="149"/>
      <c r="S2695" s="149"/>
      <c r="T2695" s="149"/>
      <c r="U2695" s="149"/>
      <c r="V2695" s="149"/>
      <c r="W2695" s="149"/>
      <c r="X2695" s="149"/>
      <c r="Y2695" s="149"/>
      <c r="Z2695" s="149"/>
      <c r="AA2695" s="149"/>
      <c r="AB2695" s="149"/>
      <c r="AC2695" s="149"/>
      <c r="AD2695" s="149"/>
      <c r="AE2695" s="149"/>
      <c r="AF2695" s="149"/>
      <c r="AG2695" s="149"/>
      <c r="AH2695" s="149"/>
      <c r="AI2695" s="149"/>
      <c r="AJ2695" s="149"/>
      <c r="AK2695" s="149"/>
      <c r="AL2695" s="149"/>
      <c r="AM2695" s="149"/>
      <c r="AN2695" s="149"/>
      <c r="AO2695" s="128"/>
      <c r="AP2695" s="128"/>
      <c r="AQ2695" s="128"/>
      <c r="AR2695" s="128"/>
      <c r="AS2695" s="128"/>
      <c r="AT2695" s="128"/>
      <c r="AU2695" s="128"/>
      <c r="AV2695" s="128"/>
      <c r="AW2695" s="128"/>
      <c r="AX2695" s="128"/>
      <c r="AY2695" s="128"/>
      <c r="AZ2695" s="128"/>
      <c r="BA2695" s="128"/>
      <c r="BB2695" s="128"/>
      <c r="BC2695" s="128"/>
      <c r="BD2695" s="128"/>
      <c r="BE2695" s="128"/>
      <c r="BF2695" s="128"/>
      <c r="BG2695" s="128"/>
      <c r="BH2695" s="128"/>
      <c r="BI2695" s="128"/>
      <c r="BJ2695" s="128"/>
      <c r="BK2695" s="128"/>
      <c r="BL2695" s="128"/>
      <c r="BM2695" s="151"/>
      <c r="BN2695" s="128"/>
      <c r="BO2695" s="128"/>
      <c r="BP2695" s="128"/>
      <c r="BQ2695" s="128"/>
      <c r="BR2695" s="128"/>
      <c r="BS2695" s="128"/>
      <c r="BT2695" s="128"/>
      <c r="BU2695" s="128"/>
      <c r="BV2695" s="128"/>
      <c r="BW2695" s="128"/>
      <c r="BX2695" s="128"/>
      <c r="BY2695" s="128"/>
      <c r="BZ2695" s="128"/>
      <c r="CA2695" s="128"/>
      <c r="CB2695" s="128"/>
      <c r="CC2695" s="128"/>
      <c r="CD2695" s="128"/>
      <c r="CE2695" s="128"/>
      <c r="CF2695" s="128"/>
      <c r="CG2695" s="128"/>
      <c r="CI2695" s="128"/>
      <c r="CJ2695" s="128"/>
      <c r="CK2695" s="128"/>
      <c r="CL2695" s="128"/>
      <c r="CM2695" s="128"/>
      <c r="CN2695" s="128"/>
      <c r="CO2695" s="128"/>
      <c r="CP2695" s="128"/>
      <c r="CQ2695" s="128"/>
      <c r="CR2695" s="128"/>
      <c r="CS2695" s="128"/>
      <c r="CT2695" s="128"/>
      <c r="CU2695" s="128"/>
      <c r="CV2695" s="128"/>
      <c r="CW2695" s="128"/>
      <c r="CX2695" s="128"/>
      <c r="CY2695" s="128"/>
      <c r="CZ2695" s="165"/>
    </row>
    <row r="2696" spans="1:104">
      <c r="A2696" s="149"/>
      <c r="B2696" s="149"/>
      <c r="C2696" s="150"/>
      <c r="D2696" s="102"/>
      <c r="E2696" s="149"/>
      <c r="F2696" s="149"/>
      <c r="G2696" s="149"/>
      <c r="H2696" s="149"/>
      <c r="I2696" s="149"/>
      <c r="J2696" s="149"/>
      <c r="K2696" s="149"/>
      <c r="L2696" s="149"/>
      <c r="M2696" s="149"/>
      <c r="N2696" s="149"/>
      <c r="O2696" s="149"/>
      <c r="P2696" s="149"/>
      <c r="Q2696" s="149"/>
      <c r="R2696" s="149"/>
      <c r="S2696" s="149"/>
      <c r="T2696" s="149"/>
      <c r="U2696" s="149"/>
      <c r="V2696" s="149"/>
      <c r="W2696" s="149"/>
      <c r="X2696" s="149"/>
      <c r="Y2696" s="149"/>
      <c r="Z2696" s="149"/>
      <c r="AA2696" s="149"/>
      <c r="AB2696" s="149"/>
      <c r="AC2696" s="149"/>
      <c r="AD2696" s="149"/>
      <c r="AE2696" s="149"/>
      <c r="AF2696" s="149"/>
      <c r="AG2696" s="149"/>
      <c r="AH2696" s="149"/>
      <c r="AI2696" s="149"/>
      <c r="AJ2696" s="149"/>
      <c r="AK2696" s="149"/>
      <c r="AL2696" s="149"/>
      <c r="AM2696" s="149"/>
      <c r="AN2696" s="149"/>
      <c r="AO2696" s="128"/>
      <c r="AP2696" s="128"/>
      <c r="AQ2696" s="128"/>
      <c r="AR2696" s="128"/>
      <c r="AS2696" s="128"/>
      <c r="AT2696" s="128"/>
      <c r="AU2696" s="128"/>
      <c r="AV2696" s="128"/>
      <c r="AW2696" s="128"/>
      <c r="AX2696" s="128"/>
      <c r="AY2696" s="128"/>
      <c r="AZ2696" s="128"/>
      <c r="BA2696" s="128"/>
      <c r="BB2696" s="128"/>
      <c r="BC2696" s="128"/>
      <c r="BD2696" s="128"/>
      <c r="BE2696" s="128"/>
      <c r="BF2696" s="128"/>
      <c r="BG2696" s="128"/>
      <c r="BH2696" s="128"/>
      <c r="BI2696" s="128"/>
      <c r="BJ2696" s="128"/>
      <c r="BK2696" s="128"/>
      <c r="BL2696" s="128"/>
      <c r="BM2696" s="151"/>
      <c r="BN2696" s="128"/>
      <c r="BO2696" s="128"/>
      <c r="BP2696" s="128"/>
      <c r="BQ2696" s="128"/>
      <c r="BR2696" s="128"/>
      <c r="BS2696" s="128"/>
      <c r="BT2696" s="128"/>
      <c r="BU2696" s="128"/>
      <c r="BV2696" s="128"/>
      <c r="BW2696" s="128"/>
      <c r="BX2696" s="128"/>
      <c r="BY2696" s="128"/>
      <c r="BZ2696" s="128"/>
      <c r="CA2696" s="128"/>
      <c r="CB2696" s="128"/>
      <c r="CC2696" s="128"/>
      <c r="CD2696" s="128"/>
      <c r="CE2696" s="128"/>
      <c r="CF2696" s="128"/>
      <c r="CG2696" s="128"/>
      <c r="CI2696" s="128"/>
      <c r="CJ2696" s="128"/>
      <c r="CK2696" s="128"/>
      <c r="CL2696" s="128"/>
      <c r="CM2696" s="128"/>
      <c r="CN2696" s="128"/>
      <c r="CO2696" s="128"/>
      <c r="CP2696" s="128"/>
      <c r="CQ2696" s="128"/>
      <c r="CR2696" s="128"/>
      <c r="CS2696" s="128"/>
      <c r="CT2696" s="128"/>
      <c r="CU2696" s="128"/>
      <c r="CV2696" s="128"/>
      <c r="CW2696" s="128"/>
      <c r="CX2696" s="128"/>
      <c r="CY2696" s="128"/>
      <c r="CZ2696" s="165"/>
    </row>
    <row r="2697" spans="1:104">
      <c r="A2697" s="149"/>
      <c r="B2697" s="149"/>
      <c r="C2697" s="150"/>
      <c r="D2697" s="102"/>
      <c r="E2697" s="149"/>
      <c r="F2697" s="149"/>
      <c r="G2697" s="149"/>
      <c r="H2697" s="149"/>
      <c r="I2697" s="149"/>
      <c r="J2697" s="149"/>
      <c r="K2697" s="149"/>
      <c r="L2697" s="149"/>
      <c r="M2697" s="149"/>
      <c r="N2697" s="149"/>
      <c r="O2697" s="149"/>
      <c r="P2697" s="149"/>
      <c r="Q2697" s="149"/>
      <c r="R2697" s="149"/>
      <c r="S2697" s="149"/>
      <c r="T2697" s="149"/>
      <c r="U2697" s="149"/>
      <c r="V2697" s="149"/>
      <c r="W2697" s="149"/>
      <c r="X2697" s="149"/>
      <c r="Y2697" s="149"/>
      <c r="Z2697" s="149"/>
      <c r="AA2697" s="149"/>
      <c r="AB2697" s="149"/>
      <c r="AC2697" s="149"/>
      <c r="AD2697" s="149"/>
      <c r="AE2697" s="149"/>
      <c r="AF2697" s="149"/>
      <c r="AG2697" s="149"/>
      <c r="AH2697" s="149"/>
      <c r="AI2697" s="149"/>
      <c r="AJ2697" s="149"/>
      <c r="AK2697" s="149"/>
      <c r="AL2697" s="149"/>
      <c r="AM2697" s="149"/>
      <c r="AN2697" s="149"/>
      <c r="AO2697" s="128"/>
      <c r="AP2697" s="128"/>
      <c r="AQ2697" s="128"/>
      <c r="AR2697" s="128"/>
      <c r="AS2697" s="128"/>
      <c r="AT2697" s="128"/>
      <c r="AU2697" s="128"/>
      <c r="AV2697" s="128"/>
      <c r="AW2697" s="128"/>
      <c r="AX2697" s="128"/>
      <c r="AY2697" s="128"/>
      <c r="AZ2697" s="128"/>
      <c r="BA2697" s="128"/>
      <c r="BB2697" s="128"/>
      <c r="BC2697" s="128"/>
      <c r="BD2697" s="128"/>
      <c r="BE2697" s="128"/>
      <c r="BF2697" s="128"/>
      <c r="BG2697" s="128"/>
      <c r="BH2697" s="128"/>
      <c r="BI2697" s="128"/>
      <c r="BJ2697" s="128"/>
      <c r="BK2697" s="128"/>
      <c r="BL2697" s="128"/>
      <c r="BM2697" s="151"/>
      <c r="BN2697" s="128"/>
      <c r="BO2697" s="128"/>
      <c r="BP2697" s="128"/>
      <c r="BQ2697" s="128"/>
      <c r="BR2697" s="128"/>
      <c r="BS2697" s="128"/>
      <c r="BT2697" s="128"/>
      <c r="BU2697" s="128"/>
      <c r="BV2697" s="128"/>
      <c r="BW2697" s="128"/>
      <c r="BX2697" s="128"/>
      <c r="BY2697" s="128"/>
      <c r="BZ2697" s="128"/>
      <c r="CA2697" s="128"/>
      <c r="CB2697" s="128"/>
      <c r="CC2697" s="128"/>
      <c r="CD2697" s="128"/>
      <c r="CE2697" s="128"/>
      <c r="CF2697" s="128"/>
      <c r="CG2697" s="128"/>
      <c r="CI2697" s="128"/>
      <c r="CJ2697" s="128"/>
      <c r="CK2697" s="128"/>
      <c r="CL2697" s="128"/>
      <c r="CM2697" s="128"/>
      <c r="CN2697" s="128"/>
      <c r="CO2697" s="128"/>
      <c r="CP2697" s="128"/>
      <c r="CQ2697" s="128"/>
      <c r="CR2697" s="128"/>
      <c r="CS2697" s="128"/>
      <c r="CT2697" s="128"/>
      <c r="CU2697" s="128"/>
      <c r="CV2697" s="128"/>
      <c r="CW2697" s="128"/>
      <c r="CX2697" s="128"/>
      <c r="CY2697" s="128"/>
      <c r="CZ2697" s="165"/>
    </row>
    <row r="2698" spans="1:104">
      <c r="A2698" s="149"/>
      <c r="B2698" s="149"/>
      <c r="C2698" s="150"/>
      <c r="D2698" s="102"/>
      <c r="E2698" s="149"/>
      <c r="F2698" s="149"/>
      <c r="G2698" s="149"/>
      <c r="H2698" s="149"/>
      <c r="I2698" s="149"/>
      <c r="J2698" s="149"/>
      <c r="K2698" s="149"/>
      <c r="L2698" s="149"/>
      <c r="M2698" s="149"/>
      <c r="N2698" s="149"/>
      <c r="O2698" s="149"/>
      <c r="P2698" s="149"/>
      <c r="Q2698" s="149"/>
      <c r="R2698" s="149"/>
      <c r="S2698" s="149"/>
      <c r="T2698" s="149"/>
      <c r="U2698" s="149"/>
      <c r="V2698" s="149"/>
      <c r="W2698" s="149"/>
      <c r="X2698" s="149"/>
      <c r="Y2698" s="149"/>
      <c r="Z2698" s="149"/>
      <c r="AA2698" s="149"/>
      <c r="AB2698" s="149"/>
      <c r="AC2698" s="149"/>
      <c r="AD2698" s="149"/>
      <c r="AE2698" s="149"/>
      <c r="AF2698" s="149"/>
      <c r="AG2698" s="149"/>
      <c r="AH2698" s="149"/>
      <c r="AI2698" s="149"/>
      <c r="AJ2698" s="149"/>
      <c r="AK2698" s="149"/>
      <c r="AL2698" s="149"/>
      <c r="AM2698" s="149"/>
      <c r="AN2698" s="149"/>
      <c r="AO2698" s="128"/>
      <c r="AP2698" s="128"/>
      <c r="AQ2698" s="128"/>
      <c r="AR2698" s="128"/>
      <c r="AS2698" s="128"/>
      <c r="AT2698" s="128"/>
      <c r="AU2698" s="128"/>
      <c r="AV2698" s="128"/>
      <c r="AW2698" s="128"/>
      <c r="AX2698" s="128"/>
      <c r="AY2698" s="128"/>
      <c r="AZ2698" s="128"/>
      <c r="BA2698" s="128"/>
      <c r="BB2698" s="128"/>
      <c r="BC2698" s="128"/>
      <c r="BD2698" s="128"/>
      <c r="BE2698" s="128"/>
      <c r="BF2698" s="128"/>
      <c r="BG2698" s="128"/>
      <c r="BH2698" s="128"/>
      <c r="BI2698" s="128"/>
      <c r="BJ2698" s="128"/>
      <c r="BK2698" s="128"/>
      <c r="BL2698" s="128"/>
      <c r="BM2698" s="151"/>
      <c r="BN2698" s="128"/>
      <c r="BO2698" s="128"/>
      <c r="BP2698" s="128"/>
      <c r="BQ2698" s="128"/>
      <c r="BR2698" s="128"/>
      <c r="BS2698" s="128"/>
      <c r="BT2698" s="128"/>
      <c r="BU2698" s="128"/>
      <c r="BV2698" s="128"/>
      <c r="BW2698" s="128"/>
      <c r="BX2698" s="128"/>
      <c r="BY2698" s="128"/>
      <c r="BZ2698" s="128"/>
      <c r="CA2698" s="128"/>
      <c r="CB2698" s="128"/>
      <c r="CC2698" s="128"/>
      <c r="CD2698" s="128"/>
      <c r="CE2698" s="128"/>
      <c r="CF2698" s="128"/>
      <c r="CG2698" s="128"/>
      <c r="CI2698" s="128"/>
      <c r="CJ2698" s="128"/>
      <c r="CK2698" s="128"/>
      <c r="CL2698" s="128"/>
      <c r="CM2698" s="128"/>
      <c r="CN2698" s="128"/>
      <c r="CO2698" s="128"/>
      <c r="CP2698" s="128"/>
      <c r="CQ2698" s="128"/>
      <c r="CR2698" s="128"/>
      <c r="CS2698" s="128"/>
      <c r="CT2698" s="128"/>
      <c r="CU2698" s="128"/>
      <c r="CV2698" s="128"/>
      <c r="CW2698" s="128"/>
      <c r="CX2698" s="128"/>
      <c r="CY2698" s="128"/>
      <c r="CZ2698" s="165"/>
    </row>
    <row r="2699" spans="1:104">
      <c r="A2699" s="149"/>
      <c r="B2699" s="149"/>
      <c r="C2699" s="150"/>
      <c r="D2699" s="102"/>
      <c r="E2699" s="149"/>
      <c r="F2699" s="149"/>
      <c r="G2699" s="149"/>
      <c r="H2699" s="149"/>
      <c r="I2699" s="149"/>
      <c r="J2699" s="149"/>
      <c r="K2699" s="149"/>
      <c r="L2699" s="149"/>
      <c r="M2699" s="149"/>
      <c r="N2699" s="149"/>
      <c r="O2699" s="149"/>
      <c r="P2699" s="149"/>
      <c r="Q2699" s="149"/>
      <c r="R2699" s="149"/>
      <c r="S2699" s="149"/>
      <c r="T2699" s="149"/>
      <c r="U2699" s="149"/>
      <c r="V2699" s="149"/>
      <c r="W2699" s="149"/>
      <c r="X2699" s="149"/>
      <c r="Y2699" s="149"/>
      <c r="Z2699" s="149"/>
      <c r="AA2699" s="149"/>
      <c r="AB2699" s="149"/>
      <c r="AC2699" s="149"/>
      <c r="AD2699" s="149"/>
      <c r="AE2699" s="149"/>
      <c r="AF2699" s="149"/>
      <c r="AG2699" s="149"/>
      <c r="AH2699" s="149"/>
      <c r="AI2699" s="149"/>
      <c r="AJ2699" s="149"/>
      <c r="AK2699" s="149"/>
      <c r="AL2699" s="149"/>
      <c r="AM2699" s="149"/>
      <c r="AN2699" s="149"/>
      <c r="AO2699" s="128"/>
      <c r="AP2699" s="128"/>
      <c r="AQ2699" s="128"/>
      <c r="AR2699" s="128"/>
      <c r="AS2699" s="128"/>
      <c r="AT2699" s="128"/>
      <c r="AU2699" s="128"/>
      <c r="AV2699" s="128"/>
      <c r="AW2699" s="128"/>
      <c r="AX2699" s="128"/>
      <c r="AY2699" s="128"/>
      <c r="AZ2699" s="128"/>
      <c r="BA2699" s="128"/>
      <c r="BB2699" s="128"/>
      <c r="BC2699" s="128"/>
      <c r="BD2699" s="128"/>
      <c r="BE2699" s="128"/>
      <c r="BF2699" s="128"/>
      <c r="BG2699" s="128"/>
      <c r="BH2699" s="128"/>
      <c r="BI2699" s="128"/>
      <c r="BJ2699" s="128"/>
      <c r="BK2699" s="128"/>
      <c r="BL2699" s="128"/>
      <c r="BM2699" s="151"/>
      <c r="BN2699" s="128"/>
      <c r="BO2699" s="128"/>
      <c r="BP2699" s="128"/>
      <c r="BQ2699" s="128"/>
      <c r="BR2699" s="128"/>
      <c r="BS2699" s="128"/>
      <c r="BT2699" s="128"/>
      <c r="BU2699" s="128"/>
      <c r="BV2699" s="128"/>
      <c r="BW2699" s="128"/>
      <c r="BX2699" s="128"/>
      <c r="BY2699" s="128"/>
      <c r="BZ2699" s="128"/>
      <c r="CA2699" s="128"/>
      <c r="CB2699" s="128"/>
      <c r="CC2699" s="128"/>
      <c r="CD2699" s="128"/>
      <c r="CE2699" s="128"/>
      <c r="CF2699" s="128"/>
      <c r="CG2699" s="128"/>
      <c r="CI2699" s="128"/>
      <c r="CJ2699" s="128"/>
      <c r="CK2699" s="128"/>
      <c r="CL2699" s="128"/>
      <c r="CM2699" s="128"/>
      <c r="CN2699" s="128"/>
      <c r="CO2699" s="128"/>
      <c r="CP2699" s="128"/>
      <c r="CQ2699" s="128"/>
      <c r="CR2699" s="128"/>
      <c r="CS2699" s="128"/>
      <c r="CT2699" s="128"/>
      <c r="CU2699" s="128"/>
      <c r="CV2699" s="128"/>
      <c r="CW2699" s="128"/>
      <c r="CX2699" s="128"/>
      <c r="CY2699" s="128"/>
      <c r="CZ2699" s="165"/>
    </row>
    <row r="2700" spans="1:104">
      <c r="A2700" s="149"/>
      <c r="B2700" s="149"/>
      <c r="C2700" s="150"/>
      <c r="D2700" s="102"/>
      <c r="E2700" s="149"/>
      <c r="F2700" s="149"/>
      <c r="G2700" s="149"/>
      <c r="H2700" s="149"/>
      <c r="I2700" s="149"/>
      <c r="J2700" s="149"/>
      <c r="K2700" s="149"/>
      <c r="L2700" s="149"/>
      <c r="M2700" s="149"/>
      <c r="N2700" s="149"/>
      <c r="O2700" s="149"/>
      <c r="P2700" s="149"/>
      <c r="Q2700" s="149"/>
      <c r="R2700" s="149"/>
      <c r="S2700" s="149"/>
      <c r="T2700" s="149"/>
      <c r="U2700" s="149"/>
      <c r="V2700" s="149"/>
      <c r="W2700" s="149"/>
      <c r="X2700" s="149"/>
      <c r="Y2700" s="149"/>
      <c r="Z2700" s="149"/>
      <c r="AA2700" s="149"/>
      <c r="AB2700" s="149"/>
      <c r="AC2700" s="149"/>
      <c r="AD2700" s="149"/>
      <c r="AE2700" s="149"/>
      <c r="AF2700" s="149"/>
      <c r="AG2700" s="149"/>
      <c r="AH2700" s="149"/>
      <c r="AI2700" s="149"/>
      <c r="AJ2700" s="149"/>
      <c r="AK2700" s="149"/>
      <c r="AL2700" s="149"/>
      <c r="AM2700" s="149"/>
      <c r="AN2700" s="149"/>
      <c r="AO2700" s="128"/>
      <c r="AP2700" s="128"/>
      <c r="AQ2700" s="128"/>
      <c r="AR2700" s="128"/>
      <c r="AS2700" s="128"/>
      <c r="AT2700" s="128"/>
      <c r="AU2700" s="128"/>
      <c r="AV2700" s="128"/>
      <c r="AW2700" s="128"/>
      <c r="AX2700" s="128"/>
      <c r="AY2700" s="128"/>
      <c r="AZ2700" s="128"/>
      <c r="BA2700" s="128"/>
      <c r="BB2700" s="128"/>
      <c r="BC2700" s="128"/>
      <c r="BD2700" s="128"/>
      <c r="BE2700" s="128"/>
      <c r="BF2700" s="128"/>
      <c r="BG2700" s="128"/>
      <c r="BH2700" s="128"/>
      <c r="BI2700" s="128"/>
      <c r="BJ2700" s="128"/>
      <c r="BK2700" s="128"/>
      <c r="BL2700" s="128"/>
      <c r="BM2700" s="151"/>
      <c r="BN2700" s="128"/>
      <c r="BO2700" s="128"/>
      <c r="BP2700" s="128"/>
      <c r="BQ2700" s="128"/>
      <c r="BR2700" s="128"/>
      <c r="BS2700" s="128"/>
      <c r="BT2700" s="128"/>
      <c r="BU2700" s="128"/>
      <c r="BV2700" s="128"/>
      <c r="BW2700" s="128"/>
      <c r="BX2700" s="128"/>
      <c r="BY2700" s="128"/>
      <c r="BZ2700" s="128"/>
      <c r="CA2700" s="128"/>
      <c r="CB2700" s="128"/>
      <c r="CC2700" s="128"/>
      <c r="CD2700" s="128"/>
      <c r="CE2700" s="128"/>
      <c r="CF2700" s="128"/>
      <c r="CG2700" s="128"/>
      <c r="CI2700" s="128"/>
      <c r="CJ2700" s="128"/>
      <c r="CK2700" s="128"/>
      <c r="CL2700" s="128"/>
      <c r="CM2700" s="128"/>
      <c r="CN2700" s="128"/>
      <c r="CO2700" s="128"/>
      <c r="CP2700" s="128"/>
      <c r="CQ2700" s="128"/>
      <c r="CR2700" s="128"/>
      <c r="CS2700" s="128"/>
      <c r="CT2700" s="128"/>
      <c r="CU2700" s="128"/>
      <c r="CV2700" s="128"/>
      <c r="CW2700" s="128"/>
      <c r="CX2700" s="128"/>
      <c r="CY2700" s="128"/>
      <c r="CZ2700" s="165"/>
    </row>
    <row r="2701" spans="1:104">
      <c r="A2701" s="149"/>
      <c r="B2701" s="149"/>
      <c r="C2701" s="150"/>
      <c r="D2701" s="102"/>
      <c r="E2701" s="149"/>
      <c r="F2701" s="149"/>
      <c r="G2701" s="149"/>
      <c r="H2701" s="149"/>
      <c r="I2701" s="149"/>
      <c r="J2701" s="149"/>
      <c r="K2701" s="149"/>
      <c r="L2701" s="149"/>
      <c r="M2701" s="149"/>
      <c r="N2701" s="149"/>
      <c r="O2701" s="149"/>
      <c r="P2701" s="149"/>
      <c r="Q2701" s="149"/>
      <c r="R2701" s="149"/>
      <c r="S2701" s="149"/>
      <c r="T2701" s="149"/>
      <c r="U2701" s="149"/>
      <c r="V2701" s="149"/>
      <c r="W2701" s="149"/>
      <c r="X2701" s="149"/>
      <c r="Y2701" s="149"/>
      <c r="Z2701" s="149"/>
      <c r="AA2701" s="149"/>
      <c r="AB2701" s="149"/>
      <c r="AC2701" s="149"/>
      <c r="AD2701" s="149"/>
      <c r="AE2701" s="149"/>
      <c r="AF2701" s="149"/>
      <c r="AG2701" s="149"/>
      <c r="AH2701" s="149"/>
      <c r="AI2701" s="149"/>
      <c r="AJ2701" s="149"/>
      <c r="AK2701" s="149"/>
      <c r="AL2701" s="149"/>
      <c r="AM2701" s="149"/>
      <c r="AN2701" s="149"/>
      <c r="AO2701" s="128"/>
      <c r="AP2701" s="128"/>
      <c r="AQ2701" s="128"/>
      <c r="AR2701" s="128"/>
      <c r="AS2701" s="128"/>
      <c r="AT2701" s="128"/>
      <c r="AU2701" s="128"/>
      <c r="AV2701" s="128"/>
      <c r="AW2701" s="128"/>
      <c r="AX2701" s="128"/>
      <c r="AY2701" s="128"/>
      <c r="AZ2701" s="128"/>
      <c r="BA2701" s="128"/>
      <c r="BB2701" s="128"/>
      <c r="BC2701" s="128"/>
      <c r="BD2701" s="128"/>
      <c r="BE2701" s="128"/>
      <c r="BF2701" s="128"/>
      <c r="BG2701" s="128"/>
      <c r="BH2701" s="128"/>
      <c r="BI2701" s="128"/>
      <c r="BJ2701" s="128"/>
      <c r="BK2701" s="128"/>
      <c r="BL2701" s="128"/>
      <c r="BM2701" s="151"/>
      <c r="BN2701" s="128"/>
      <c r="BO2701" s="128"/>
      <c r="BP2701" s="128"/>
      <c r="BQ2701" s="128"/>
      <c r="BR2701" s="128"/>
      <c r="BS2701" s="128"/>
      <c r="BT2701" s="128"/>
      <c r="BU2701" s="128"/>
      <c r="BV2701" s="128"/>
      <c r="BW2701" s="128"/>
      <c r="BX2701" s="128"/>
      <c r="BY2701" s="128"/>
      <c r="BZ2701" s="128"/>
      <c r="CA2701" s="128"/>
      <c r="CB2701" s="128"/>
      <c r="CC2701" s="128"/>
      <c r="CD2701" s="128"/>
      <c r="CE2701" s="128"/>
      <c r="CF2701" s="128"/>
      <c r="CG2701" s="128"/>
      <c r="CI2701" s="128"/>
      <c r="CJ2701" s="128"/>
      <c r="CK2701" s="128"/>
      <c r="CL2701" s="128"/>
      <c r="CM2701" s="128"/>
      <c r="CN2701" s="128"/>
      <c r="CO2701" s="128"/>
      <c r="CP2701" s="128"/>
      <c r="CQ2701" s="128"/>
      <c r="CR2701" s="128"/>
      <c r="CS2701" s="128"/>
      <c r="CT2701" s="128"/>
      <c r="CU2701" s="128"/>
      <c r="CV2701" s="128"/>
      <c r="CW2701" s="128"/>
      <c r="CX2701" s="128"/>
      <c r="CY2701" s="128"/>
      <c r="CZ2701" s="165"/>
    </row>
    <row r="2702" spans="1:104">
      <c r="A2702" s="149"/>
      <c r="B2702" s="149"/>
      <c r="C2702" s="150"/>
      <c r="D2702" s="102"/>
      <c r="E2702" s="149"/>
      <c r="F2702" s="149"/>
      <c r="G2702" s="149"/>
      <c r="H2702" s="149"/>
      <c r="I2702" s="149"/>
      <c r="J2702" s="149"/>
      <c r="K2702" s="149"/>
      <c r="L2702" s="149"/>
      <c r="M2702" s="149"/>
      <c r="N2702" s="149"/>
      <c r="O2702" s="149"/>
      <c r="P2702" s="149"/>
      <c r="Q2702" s="149"/>
      <c r="R2702" s="149"/>
      <c r="S2702" s="149"/>
      <c r="T2702" s="149"/>
      <c r="U2702" s="149"/>
      <c r="V2702" s="149"/>
      <c r="W2702" s="149"/>
      <c r="X2702" s="149"/>
      <c r="Y2702" s="149"/>
      <c r="Z2702" s="149"/>
      <c r="AA2702" s="149"/>
      <c r="AB2702" s="149"/>
      <c r="AC2702" s="149"/>
      <c r="AD2702" s="149"/>
      <c r="AE2702" s="149"/>
      <c r="AF2702" s="149"/>
      <c r="AG2702" s="149"/>
      <c r="AH2702" s="149"/>
      <c r="AI2702" s="149"/>
      <c r="AJ2702" s="149"/>
      <c r="AK2702" s="149"/>
      <c r="AL2702" s="149"/>
      <c r="AM2702" s="149"/>
      <c r="AN2702" s="149"/>
      <c r="AO2702" s="128"/>
      <c r="AP2702" s="128"/>
      <c r="AQ2702" s="128"/>
      <c r="AR2702" s="128"/>
      <c r="AS2702" s="128"/>
      <c r="AT2702" s="128"/>
      <c r="AU2702" s="128"/>
      <c r="AV2702" s="128"/>
      <c r="AW2702" s="128"/>
      <c r="AX2702" s="128"/>
      <c r="AY2702" s="128"/>
      <c r="AZ2702" s="128"/>
      <c r="BA2702" s="128"/>
      <c r="BB2702" s="128"/>
      <c r="BC2702" s="128"/>
      <c r="BD2702" s="128"/>
      <c r="BE2702" s="128"/>
      <c r="BF2702" s="128"/>
      <c r="BG2702" s="128"/>
      <c r="BH2702" s="128"/>
      <c r="BI2702" s="128"/>
      <c r="BJ2702" s="128"/>
      <c r="BK2702" s="128"/>
      <c r="BL2702" s="128"/>
      <c r="BM2702" s="151"/>
      <c r="BN2702" s="128"/>
      <c r="BO2702" s="128"/>
      <c r="BP2702" s="128"/>
      <c r="BQ2702" s="128"/>
      <c r="BR2702" s="128"/>
      <c r="BS2702" s="128"/>
      <c r="BT2702" s="128"/>
      <c r="BU2702" s="128"/>
      <c r="BV2702" s="128"/>
      <c r="BW2702" s="128"/>
      <c r="BX2702" s="128"/>
      <c r="BY2702" s="128"/>
      <c r="BZ2702" s="128"/>
      <c r="CA2702" s="128"/>
      <c r="CB2702" s="128"/>
      <c r="CC2702" s="128"/>
      <c r="CD2702" s="128"/>
      <c r="CE2702" s="128"/>
      <c r="CF2702" s="128"/>
      <c r="CG2702" s="128"/>
      <c r="CI2702" s="128"/>
      <c r="CJ2702" s="128"/>
      <c r="CK2702" s="128"/>
      <c r="CL2702" s="128"/>
      <c r="CM2702" s="128"/>
      <c r="CN2702" s="128"/>
      <c r="CO2702" s="128"/>
      <c r="CP2702" s="128"/>
      <c r="CQ2702" s="128"/>
      <c r="CR2702" s="128"/>
      <c r="CS2702" s="128"/>
      <c r="CT2702" s="128"/>
      <c r="CU2702" s="128"/>
      <c r="CV2702" s="128"/>
      <c r="CW2702" s="128"/>
      <c r="CX2702" s="128"/>
      <c r="CY2702" s="128"/>
      <c r="CZ2702" s="165"/>
    </row>
    <row r="2703" spans="1:104">
      <c r="A2703" s="149"/>
      <c r="B2703" s="149"/>
      <c r="C2703" s="150"/>
      <c r="D2703" s="102"/>
      <c r="E2703" s="149"/>
      <c r="F2703" s="149"/>
      <c r="G2703" s="149"/>
      <c r="H2703" s="149"/>
      <c r="I2703" s="149"/>
      <c r="J2703" s="149"/>
      <c r="K2703" s="149"/>
      <c r="L2703" s="149"/>
      <c r="M2703" s="149"/>
      <c r="N2703" s="149"/>
      <c r="O2703" s="149"/>
      <c r="P2703" s="149"/>
      <c r="Q2703" s="149"/>
      <c r="R2703" s="149"/>
      <c r="S2703" s="149"/>
      <c r="T2703" s="149"/>
      <c r="U2703" s="149"/>
      <c r="V2703" s="149"/>
      <c r="W2703" s="149"/>
      <c r="X2703" s="149"/>
      <c r="Y2703" s="149"/>
      <c r="Z2703" s="149"/>
      <c r="AA2703" s="149"/>
      <c r="AB2703" s="149"/>
      <c r="AC2703" s="149"/>
      <c r="AD2703" s="149"/>
      <c r="AE2703" s="149"/>
      <c r="AF2703" s="149"/>
      <c r="AG2703" s="149"/>
      <c r="AH2703" s="149"/>
      <c r="AI2703" s="149"/>
      <c r="AJ2703" s="149"/>
      <c r="AK2703" s="149"/>
      <c r="AL2703" s="149"/>
      <c r="AM2703" s="149"/>
      <c r="AN2703" s="149"/>
      <c r="AO2703" s="128"/>
      <c r="AP2703" s="128"/>
      <c r="AQ2703" s="128"/>
      <c r="AR2703" s="128"/>
      <c r="AS2703" s="128"/>
      <c r="AT2703" s="128"/>
      <c r="AU2703" s="128"/>
      <c r="AV2703" s="128"/>
      <c r="AW2703" s="128"/>
      <c r="AX2703" s="128"/>
      <c r="AY2703" s="128"/>
      <c r="AZ2703" s="128"/>
      <c r="BA2703" s="128"/>
      <c r="BB2703" s="128"/>
      <c r="BC2703" s="128"/>
      <c r="BD2703" s="128"/>
      <c r="BE2703" s="128"/>
      <c r="BF2703" s="128"/>
      <c r="BG2703" s="128"/>
      <c r="BH2703" s="128"/>
      <c r="BI2703" s="128"/>
      <c r="BJ2703" s="128"/>
      <c r="BK2703" s="128"/>
      <c r="BL2703" s="128"/>
      <c r="BM2703" s="151"/>
      <c r="BN2703" s="128"/>
      <c r="BO2703" s="128"/>
      <c r="BP2703" s="128"/>
      <c r="BQ2703" s="128"/>
      <c r="BR2703" s="128"/>
      <c r="BS2703" s="128"/>
      <c r="BT2703" s="128"/>
      <c r="BU2703" s="128"/>
      <c r="BV2703" s="128"/>
      <c r="BW2703" s="128"/>
      <c r="BX2703" s="128"/>
      <c r="BY2703" s="128"/>
      <c r="BZ2703" s="128"/>
      <c r="CA2703" s="128"/>
      <c r="CB2703" s="128"/>
      <c r="CC2703" s="128"/>
      <c r="CD2703" s="128"/>
      <c r="CE2703" s="128"/>
      <c r="CF2703" s="128"/>
      <c r="CG2703" s="128"/>
      <c r="CI2703" s="128"/>
      <c r="CJ2703" s="128"/>
      <c r="CK2703" s="128"/>
      <c r="CL2703" s="128"/>
      <c r="CM2703" s="128"/>
      <c r="CN2703" s="128"/>
      <c r="CO2703" s="128"/>
      <c r="CP2703" s="128"/>
      <c r="CQ2703" s="128"/>
      <c r="CR2703" s="128"/>
      <c r="CS2703" s="128"/>
      <c r="CT2703" s="128"/>
      <c r="CU2703" s="128"/>
      <c r="CV2703" s="128"/>
      <c r="CW2703" s="128"/>
      <c r="CX2703" s="128"/>
      <c r="CY2703" s="128"/>
      <c r="CZ2703" s="165"/>
    </row>
    <row r="2704" spans="1:104">
      <c r="A2704" s="149"/>
      <c r="B2704" s="149"/>
      <c r="C2704" s="150"/>
      <c r="D2704" s="102"/>
      <c r="E2704" s="149"/>
      <c r="F2704" s="149"/>
      <c r="G2704" s="149"/>
      <c r="H2704" s="149"/>
      <c r="I2704" s="149"/>
      <c r="J2704" s="149"/>
      <c r="K2704" s="149"/>
      <c r="L2704" s="149"/>
      <c r="M2704" s="149"/>
      <c r="N2704" s="149"/>
      <c r="O2704" s="149"/>
      <c r="P2704" s="149"/>
      <c r="Q2704" s="149"/>
      <c r="R2704" s="149"/>
      <c r="S2704" s="149"/>
      <c r="T2704" s="149"/>
      <c r="U2704" s="149"/>
      <c r="V2704" s="149"/>
      <c r="W2704" s="149"/>
      <c r="X2704" s="149"/>
      <c r="Y2704" s="149"/>
      <c r="Z2704" s="149"/>
      <c r="AA2704" s="149"/>
      <c r="AB2704" s="149"/>
      <c r="AC2704" s="149"/>
      <c r="AD2704" s="149"/>
      <c r="AE2704" s="149"/>
      <c r="AF2704" s="149"/>
      <c r="AG2704" s="149"/>
      <c r="AH2704" s="149"/>
      <c r="AI2704" s="149"/>
      <c r="AJ2704" s="149"/>
      <c r="AK2704" s="149"/>
      <c r="AL2704" s="149"/>
      <c r="AM2704" s="149"/>
      <c r="AN2704" s="149"/>
      <c r="AO2704" s="128"/>
      <c r="AP2704" s="128"/>
      <c r="AQ2704" s="128"/>
      <c r="AR2704" s="128"/>
      <c r="AS2704" s="128"/>
      <c r="AT2704" s="128"/>
      <c r="AU2704" s="128"/>
      <c r="AV2704" s="128"/>
      <c r="AW2704" s="128"/>
      <c r="AX2704" s="128"/>
      <c r="AY2704" s="128"/>
      <c r="AZ2704" s="128"/>
      <c r="BA2704" s="128"/>
      <c r="BB2704" s="128"/>
      <c r="BC2704" s="128"/>
      <c r="BD2704" s="128"/>
      <c r="BE2704" s="128"/>
      <c r="BF2704" s="128"/>
      <c r="BG2704" s="128"/>
      <c r="BH2704" s="128"/>
      <c r="BI2704" s="128"/>
      <c r="BJ2704" s="128"/>
      <c r="BK2704" s="128"/>
      <c r="BL2704" s="128"/>
      <c r="BM2704" s="151"/>
      <c r="BN2704" s="128"/>
      <c r="BO2704" s="128"/>
      <c r="BP2704" s="128"/>
      <c r="BQ2704" s="128"/>
      <c r="BR2704" s="128"/>
      <c r="BS2704" s="128"/>
      <c r="BT2704" s="128"/>
      <c r="BU2704" s="128"/>
      <c r="BV2704" s="128"/>
      <c r="BW2704" s="128"/>
      <c r="BX2704" s="128"/>
      <c r="BY2704" s="128"/>
      <c r="BZ2704" s="128"/>
      <c r="CA2704" s="128"/>
      <c r="CB2704" s="128"/>
      <c r="CC2704" s="128"/>
      <c r="CD2704" s="128"/>
      <c r="CE2704" s="128"/>
      <c r="CF2704" s="128"/>
      <c r="CG2704" s="128"/>
      <c r="CI2704" s="128"/>
      <c r="CJ2704" s="128"/>
      <c r="CK2704" s="128"/>
      <c r="CL2704" s="128"/>
      <c r="CM2704" s="128"/>
      <c r="CN2704" s="128"/>
      <c r="CO2704" s="128"/>
      <c r="CP2704" s="128"/>
      <c r="CQ2704" s="128"/>
      <c r="CR2704" s="128"/>
      <c r="CS2704" s="128"/>
      <c r="CT2704" s="128"/>
      <c r="CU2704" s="128"/>
      <c r="CV2704" s="128"/>
      <c r="CW2704" s="128"/>
      <c r="CX2704" s="128"/>
      <c r="CY2704" s="128"/>
      <c r="CZ2704" s="165"/>
    </row>
    <row r="2705" spans="1:104">
      <c r="A2705" s="149"/>
      <c r="B2705" s="149"/>
      <c r="C2705" s="150"/>
      <c r="D2705" s="102"/>
      <c r="E2705" s="149"/>
      <c r="F2705" s="149"/>
      <c r="G2705" s="149"/>
      <c r="H2705" s="149"/>
      <c r="I2705" s="149"/>
      <c r="J2705" s="149"/>
      <c r="K2705" s="149"/>
      <c r="L2705" s="149"/>
      <c r="M2705" s="149"/>
      <c r="N2705" s="149"/>
      <c r="O2705" s="149"/>
      <c r="P2705" s="149"/>
      <c r="Q2705" s="149"/>
      <c r="R2705" s="149"/>
      <c r="S2705" s="149"/>
      <c r="T2705" s="149"/>
      <c r="U2705" s="149"/>
      <c r="V2705" s="149"/>
      <c r="W2705" s="149"/>
      <c r="X2705" s="149"/>
      <c r="Y2705" s="149"/>
      <c r="Z2705" s="149"/>
      <c r="AA2705" s="149"/>
      <c r="AB2705" s="149"/>
      <c r="AC2705" s="149"/>
      <c r="AD2705" s="149"/>
      <c r="AE2705" s="149"/>
      <c r="AF2705" s="149"/>
      <c r="AG2705" s="149"/>
      <c r="AH2705" s="149"/>
      <c r="AI2705" s="149"/>
      <c r="AJ2705" s="149"/>
      <c r="AK2705" s="149"/>
      <c r="AL2705" s="149"/>
      <c r="AM2705" s="149"/>
      <c r="AN2705" s="149"/>
      <c r="AO2705" s="128"/>
      <c r="AP2705" s="128"/>
      <c r="AQ2705" s="128"/>
      <c r="AR2705" s="128"/>
      <c r="AS2705" s="128"/>
      <c r="AT2705" s="128"/>
      <c r="AU2705" s="128"/>
      <c r="AV2705" s="128"/>
      <c r="AW2705" s="128"/>
      <c r="AX2705" s="128"/>
      <c r="AY2705" s="128"/>
      <c r="AZ2705" s="128"/>
      <c r="BA2705" s="128"/>
      <c r="BB2705" s="128"/>
      <c r="BC2705" s="128"/>
      <c r="BD2705" s="128"/>
      <c r="BE2705" s="128"/>
      <c r="BF2705" s="128"/>
      <c r="BG2705" s="128"/>
      <c r="BH2705" s="128"/>
      <c r="BI2705" s="128"/>
      <c r="BJ2705" s="128"/>
      <c r="BK2705" s="128"/>
      <c r="BL2705" s="128"/>
      <c r="BM2705" s="151"/>
      <c r="BN2705" s="128"/>
      <c r="BO2705" s="128"/>
      <c r="BP2705" s="128"/>
      <c r="BQ2705" s="128"/>
      <c r="BR2705" s="128"/>
      <c r="BS2705" s="128"/>
      <c r="BT2705" s="128"/>
      <c r="BU2705" s="128"/>
      <c r="BV2705" s="128"/>
      <c r="BW2705" s="128"/>
      <c r="BX2705" s="128"/>
      <c r="BY2705" s="128"/>
      <c r="BZ2705" s="128"/>
      <c r="CA2705" s="128"/>
      <c r="CB2705" s="128"/>
      <c r="CC2705" s="128"/>
      <c r="CD2705" s="128"/>
      <c r="CE2705" s="128"/>
      <c r="CF2705" s="128"/>
      <c r="CG2705" s="128"/>
      <c r="CI2705" s="128"/>
      <c r="CJ2705" s="128"/>
      <c r="CK2705" s="128"/>
      <c r="CL2705" s="128"/>
      <c r="CM2705" s="128"/>
      <c r="CN2705" s="128"/>
      <c r="CO2705" s="128"/>
      <c r="CP2705" s="128"/>
      <c r="CQ2705" s="128"/>
      <c r="CR2705" s="128"/>
      <c r="CS2705" s="128"/>
      <c r="CT2705" s="128"/>
      <c r="CU2705" s="128"/>
      <c r="CV2705" s="128"/>
      <c r="CW2705" s="128"/>
      <c r="CX2705" s="128"/>
      <c r="CY2705" s="128"/>
      <c r="CZ2705" s="165"/>
    </row>
    <row r="2706" spans="1:104">
      <c r="A2706" s="149"/>
      <c r="B2706" s="149"/>
      <c r="C2706" s="150"/>
      <c r="D2706" s="102"/>
      <c r="E2706" s="149"/>
      <c r="F2706" s="149"/>
      <c r="G2706" s="149"/>
      <c r="H2706" s="149"/>
      <c r="I2706" s="149"/>
      <c r="J2706" s="149"/>
      <c r="K2706" s="149"/>
      <c r="L2706" s="149"/>
      <c r="M2706" s="149"/>
      <c r="N2706" s="149"/>
      <c r="O2706" s="149"/>
      <c r="P2706" s="149"/>
      <c r="Q2706" s="149"/>
      <c r="R2706" s="149"/>
      <c r="S2706" s="149"/>
      <c r="T2706" s="149"/>
      <c r="U2706" s="149"/>
      <c r="V2706" s="149"/>
      <c r="W2706" s="149"/>
      <c r="X2706" s="149"/>
      <c r="Y2706" s="149"/>
      <c r="Z2706" s="149"/>
      <c r="AA2706" s="149"/>
      <c r="AB2706" s="149"/>
      <c r="AC2706" s="149"/>
      <c r="AD2706" s="149"/>
      <c r="AE2706" s="149"/>
      <c r="AF2706" s="149"/>
      <c r="AG2706" s="149"/>
      <c r="AH2706" s="149"/>
      <c r="AI2706" s="149"/>
      <c r="AJ2706" s="149"/>
      <c r="AK2706" s="149"/>
      <c r="AL2706" s="149"/>
      <c r="AM2706" s="149"/>
      <c r="AN2706" s="149"/>
      <c r="AO2706" s="128"/>
      <c r="AP2706" s="128"/>
      <c r="AQ2706" s="128"/>
      <c r="AR2706" s="128"/>
      <c r="AS2706" s="128"/>
      <c r="AT2706" s="128"/>
      <c r="AU2706" s="128"/>
      <c r="AV2706" s="128"/>
      <c r="AW2706" s="128"/>
      <c r="AX2706" s="128"/>
      <c r="AY2706" s="128"/>
      <c r="AZ2706" s="128"/>
      <c r="BA2706" s="128"/>
      <c r="BB2706" s="128"/>
      <c r="BC2706" s="128"/>
      <c r="BD2706" s="128"/>
      <c r="BE2706" s="128"/>
      <c r="BF2706" s="128"/>
      <c r="BG2706" s="128"/>
      <c r="BH2706" s="128"/>
      <c r="BI2706" s="128"/>
      <c r="BJ2706" s="128"/>
      <c r="BK2706" s="128"/>
      <c r="BL2706" s="128"/>
      <c r="BM2706" s="151"/>
      <c r="BN2706" s="128"/>
      <c r="BO2706" s="128"/>
      <c r="BP2706" s="128"/>
      <c r="BQ2706" s="128"/>
      <c r="BR2706" s="128"/>
      <c r="BS2706" s="128"/>
      <c r="BT2706" s="128"/>
      <c r="BU2706" s="128"/>
      <c r="BV2706" s="128"/>
      <c r="BW2706" s="128"/>
      <c r="BX2706" s="128"/>
      <c r="BY2706" s="128"/>
      <c r="BZ2706" s="128"/>
      <c r="CA2706" s="128"/>
      <c r="CB2706" s="128"/>
      <c r="CC2706" s="128"/>
      <c r="CD2706" s="128"/>
      <c r="CE2706" s="128"/>
      <c r="CF2706" s="128"/>
      <c r="CG2706" s="128"/>
      <c r="CI2706" s="128"/>
      <c r="CJ2706" s="128"/>
      <c r="CK2706" s="128"/>
      <c r="CL2706" s="128"/>
      <c r="CM2706" s="128"/>
      <c r="CN2706" s="128"/>
      <c r="CO2706" s="128"/>
      <c r="CP2706" s="128"/>
      <c r="CQ2706" s="128"/>
      <c r="CR2706" s="128"/>
      <c r="CS2706" s="128"/>
      <c r="CT2706" s="128"/>
      <c r="CU2706" s="128"/>
      <c r="CV2706" s="128"/>
      <c r="CW2706" s="128"/>
      <c r="CX2706" s="128"/>
      <c r="CY2706" s="128"/>
      <c r="CZ2706" s="165"/>
    </row>
    <row r="2707" spans="1:104">
      <c r="A2707" s="149"/>
      <c r="B2707" s="149"/>
      <c r="C2707" s="150"/>
      <c r="D2707" s="102"/>
      <c r="E2707" s="149"/>
      <c r="F2707" s="149"/>
      <c r="G2707" s="149"/>
      <c r="H2707" s="149"/>
      <c r="I2707" s="149"/>
      <c r="J2707" s="149"/>
      <c r="K2707" s="149"/>
      <c r="L2707" s="149"/>
      <c r="M2707" s="149"/>
      <c r="N2707" s="149"/>
      <c r="O2707" s="149"/>
      <c r="P2707" s="149"/>
      <c r="Q2707" s="149"/>
      <c r="R2707" s="149"/>
      <c r="S2707" s="149"/>
      <c r="T2707" s="149"/>
      <c r="U2707" s="149"/>
      <c r="V2707" s="149"/>
      <c r="W2707" s="149"/>
      <c r="X2707" s="149"/>
      <c r="Y2707" s="149"/>
      <c r="Z2707" s="149"/>
      <c r="AA2707" s="149"/>
      <c r="AB2707" s="149"/>
      <c r="AC2707" s="149"/>
      <c r="AD2707" s="149"/>
      <c r="AE2707" s="149"/>
      <c r="AF2707" s="149"/>
      <c r="AG2707" s="149"/>
      <c r="AH2707" s="149"/>
      <c r="AI2707" s="149"/>
      <c r="AJ2707" s="149"/>
      <c r="AK2707" s="149"/>
      <c r="AL2707" s="149"/>
      <c r="AM2707" s="149"/>
      <c r="AN2707" s="149"/>
      <c r="AO2707" s="128"/>
      <c r="AP2707" s="128"/>
      <c r="AQ2707" s="128"/>
      <c r="AR2707" s="128"/>
      <c r="AS2707" s="128"/>
      <c r="AT2707" s="128"/>
      <c r="AU2707" s="128"/>
      <c r="AV2707" s="128"/>
      <c r="AW2707" s="128"/>
      <c r="AX2707" s="128"/>
      <c r="AY2707" s="128"/>
      <c r="AZ2707" s="128"/>
      <c r="BA2707" s="128"/>
      <c r="BB2707" s="128"/>
      <c r="BC2707" s="128"/>
      <c r="BD2707" s="128"/>
      <c r="BE2707" s="128"/>
      <c r="BF2707" s="128"/>
      <c r="BG2707" s="128"/>
      <c r="BH2707" s="128"/>
      <c r="BI2707" s="128"/>
      <c r="BJ2707" s="128"/>
      <c r="BK2707" s="128"/>
      <c r="BL2707" s="128"/>
      <c r="BM2707" s="151"/>
      <c r="BN2707" s="128"/>
      <c r="BO2707" s="128"/>
      <c r="BP2707" s="128"/>
      <c r="BQ2707" s="128"/>
      <c r="BR2707" s="128"/>
      <c r="BS2707" s="128"/>
      <c r="BT2707" s="128"/>
      <c r="BU2707" s="128"/>
      <c r="BV2707" s="128"/>
      <c r="BW2707" s="128"/>
      <c r="BX2707" s="128"/>
      <c r="BY2707" s="128"/>
      <c r="BZ2707" s="128"/>
      <c r="CA2707" s="128"/>
      <c r="CB2707" s="128"/>
      <c r="CC2707" s="128"/>
      <c r="CD2707" s="128"/>
      <c r="CE2707" s="128"/>
      <c r="CF2707" s="128"/>
      <c r="CG2707" s="128"/>
      <c r="CI2707" s="128"/>
      <c r="CJ2707" s="128"/>
      <c r="CK2707" s="128"/>
      <c r="CL2707" s="128"/>
      <c r="CM2707" s="128"/>
      <c r="CN2707" s="128"/>
      <c r="CO2707" s="128"/>
      <c r="CP2707" s="128"/>
      <c r="CQ2707" s="128"/>
      <c r="CR2707" s="128"/>
      <c r="CS2707" s="128"/>
      <c r="CT2707" s="128"/>
      <c r="CU2707" s="128"/>
      <c r="CV2707" s="128"/>
      <c r="CW2707" s="128"/>
      <c r="CX2707" s="128"/>
      <c r="CY2707" s="128"/>
      <c r="CZ2707" s="165"/>
    </row>
    <row r="2708" spans="1:104">
      <c r="A2708" s="149"/>
      <c r="B2708" s="149"/>
      <c r="C2708" s="150"/>
      <c r="D2708" s="102"/>
      <c r="E2708" s="149"/>
      <c r="F2708" s="149"/>
      <c r="G2708" s="149"/>
      <c r="H2708" s="149"/>
      <c r="I2708" s="149"/>
      <c r="J2708" s="149"/>
      <c r="K2708" s="149"/>
      <c r="L2708" s="149"/>
      <c r="M2708" s="149"/>
      <c r="N2708" s="149"/>
      <c r="O2708" s="149"/>
      <c r="P2708" s="149"/>
      <c r="Q2708" s="149"/>
      <c r="R2708" s="149"/>
      <c r="S2708" s="149"/>
      <c r="T2708" s="149"/>
      <c r="U2708" s="149"/>
      <c r="V2708" s="149"/>
      <c r="W2708" s="149"/>
      <c r="X2708" s="149"/>
      <c r="Y2708" s="149"/>
      <c r="Z2708" s="149"/>
      <c r="AA2708" s="149"/>
      <c r="AB2708" s="149"/>
      <c r="AC2708" s="149"/>
      <c r="AD2708" s="149"/>
      <c r="AE2708" s="149"/>
      <c r="AF2708" s="149"/>
      <c r="AG2708" s="149"/>
      <c r="AH2708" s="149"/>
      <c r="AI2708" s="149"/>
      <c r="AJ2708" s="149"/>
      <c r="AK2708" s="149"/>
      <c r="AL2708" s="149"/>
      <c r="AM2708" s="149"/>
      <c r="AN2708" s="149"/>
      <c r="AO2708" s="128"/>
      <c r="AP2708" s="128"/>
      <c r="AQ2708" s="128"/>
      <c r="AR2708" s="128"/>
      <c r="AS2708" s="128"/>
      <c r="AT2708" s="128"/>
      <c r="AU2708" s="128"/>
      <c r="AV2708" s="128"/>
      <c r="AW2708" s="128"/>
      <c r="AX2708" s="128"/>
      <c r="AY2708" s="128"/>
      <c r="AZ2708" s="128"/>
      <c r="BA2708" s="128"/>
      <c r="BB2708" s="128"/>
      <c r="BC2708" s="128"/>
      <c r="BD2708" s="128"/>
      <c r="BE2708" s="128"/>
      <c r="BF2708" s="128"/>
      <c r="BG2708" s="128"/>
      <c r="BH2708" s="128"/>
      <c r="BI2708" s="128"/>
      <c r="BJ2708" s="128"/>
      <c r="BK2708" s="128"/>
      <c r="BL2708" s="128"/>
      <c r="BM2708" s="151"/>
      <c r="BN2708" s="128"/>
      <c r="BO2708" s="128"/>
      <c r="BP2708" s="128"/>
      <c r="BQ2708" s="128"/>
      <c r="BR2708" s="128"/>
      <c r="BS2708" s="128"/>
      <c r="BT2708" s="128"/>
      <c r="BU2708" s="128"/>
      <c r="BV2708" s="128"/>
      <c r="BW2708" s="128"/>
      <c r="BX2708" s="128"/>
      <c r="BY2708" s="128"/>
      <c r="BZ2708" s="128"/>
      <c r="CA2708" s="128"/>
      <c r="CB2708" s="128"/>
      <c r="CC2708" s="128"/>
      <c r="CD2708" s="128"/>
      <c r="CE2708" s="128"/>
      <c r="CF2708" s="128"/>
      <c r="CG2708" s="128"/>
      <c r="CI2708" s="128"/>
      <c r="CJ2708" s="128"/>
      <c r="CK2708" s="128"/>
      <c r="CL2708" s="128"/>
      <c r="CM2708" s="128"/>
      <c r="CN2708" s="128"/>
      <c r="CO2708" s="128"/>
      <c r="CP2708" s="128"/>
      <c r="CQ2708" s="128"/>
      <c r="CR2708" s="128"/>
      <c r="CS2708" s="128"/>
      <c r="CT2708" s="128"/>
      <c r="CU2708" s="128"/>
      <c r="CV2708" s="128"/>
      <c r="CW2708" s="128"/>
      <c r="CX2708" s="128"/>
      <c r="CY2708" s="128"/>
      <c r="CZ2708" s="165"/>
    </row>
    <row r="2709" spans="1:104">
      <c r="A2709" s="149"/>
      <c r="B2709" s="149"/>
      <c r="C2709" s="150"/>
      <c r="D2709" s="102"/>
      <c r="E2709" s="149"/>
      <c r="F2709" s="149"/>
      <c r="G2709" s="149"/>
      <c r="H2709" s="149"/>
      <c r="I2709" s="149"/>
      <c r="J2709" s="149"/>
      <c r="K2709" s="149"/>
      <c r="L2709" s="149"/>
      <c r="M2709" s="149"/>
      <c r="N2709" s="149"/>
      <c r="O2709" s="149"/>
      <c r="P2709" s="149"/>
      <c r="Q2709" s="149"/>
      <c r="R2709" s="149"/>
      <c r="S2709" s="149"/>
      <c r="T2709" s="149"/>
      <c r="U2709" s="149"/>
      <c r="V2709" s="149"/>
      <c r="W2709" s="149"/>
      <c r="X2709" s="149"/>
      <c r="Y2709" s="149"/>
      <c r="Z2709" s="149"/>
      <c r="AA2709" s="149"/>
      <c r="AB2709" s="149"/>
      <c r="AC2709" s="149"/>
      <c r="AD2709" s="149"/>
      <c r="AE2709" s="149"/>
      <c r="AF2709" s="149"/>
      <c r="AG2709" s="149"/>
      <c r="AH2709" s="149"/>
      <c r="AI2709" s="149"/>
      <c r="AJ2709" s="149"/>
      <c r="AK2709" s="149"/>
      <c r="AL2709" s="149"/>
      <c r="AM2709" s="149"/>
      <c r="AN2709" s="149"/>
      <c r="AO2709" s="128"/>
      <c r="AP2709" s="128"/>
      <c r="AQ2709" s="128"/>
      <c r="AR2709" s="128"/>
      <c r="AS2709" s="128"/>
      <c r="AT2709" s="128"/>
      <c r="AU2709" s="128"/>
      <c r="AV2709" s="128"/>
      <c r="AW2709" s="128"/>
      <c r="AX2709" s="128"/>
      <c r="AY2709" s="128"/>
      <c r="AZ2709" s="128"/>
      <c r="BA2709" s="128"/>
      <c r="BB2709" s="128"/>
      <c r="BC2709" s="128"/>
      <c r="BD2709" s="128"/>
      <c r="BE2709" s="128"/>
      <c r="BF2709" s="128"/>
      <c r="BG2709" s="128"/>
      <c r="BH2709" s="128"/>
      <c r="BI2709" s="128"/>
      <c r="BJ2709" s="128"/>
      <c r="BK2709" s="128"/>
      <c r="BL2709" s="128"/>
      <c r="BM2709" s="151"/>
      <c r="BN2709" s="128"/>
      <c r="BO2709" s="128"/>
      <c r="BP2709" s="128"/>
      <c r="BQ2709" s="128"/>
      <c r="BR2709" s="128"/>
      <c r="BS2709" s="128"/>
      <c r="BT2709" s="128"/>
      <c r="BU2709" s="128"/>
      <c r="BV2709" s="128"/>
      <c r="BW2709" s="128"/>
      <c r="BX2709" s="128"/>
      <c r="BY2709" s="128"/>
      <c r="BZ2709" s="128"/>
      <c r="CA2709" s="128"/>
      <c r="CB2709" s="128"/>
      <c r="CC2709" s="128"/>
      <c r="CD2709" s="128"/>
      <c r="CE2709" s="128"/>
      <c r="CF2709" s="128"/>
      <c r="CG2709" s="128"/>
      <c r="CI2709" s="128"/>
      <c r="CJ2709" s="128"/>
      <c r="CK2709" s="128"/>
      <c r="CL2709" s="128"/>
      <c r="CM2709" s="128"/>
      <c r="CN2709" s="128"/>
      <c r="CO2709" s="128"/>
      <c r="CP2709" s="128"/>
      <c r="CQ2709" s="128"/>
      <c r="CR2709" s="128"/>
      <c r="CS2709" s="128"/>
      <c r="CT2709" s="128"/>
      <c r="CU2709" s="128"/>
      <c r="CV2709" s="128"/>
      <c r="CW2709" s="128"/>
      <c r="CX2709" s="128"/>
      <c r="CY2709" s="128"/>
      <c r="CZ2709" s="165"/>
    </row>
    <row r="2710" spans="1:104">
      <c r="A2710" s="149"/>
      <c r="B2710" s="149"/>
      <c r="C2710" s="150"/>
      <c r="D2710" s="102"/>
      <c r="E2710" s="149"/>
      <c r="F2710" s="149"/>
      <c r="G2710" s="149"/>
      <c r="H2710" s="149"/>
      <c r="I2710" s="149"/>
      <c r="J2710" s="149"/>
      <c r="K2710" s="149"/>
      <c r="L2710" s="149"/>
      <c r="M2710" s="149"/>
      <c r="N2710" s="149"/>
      <c r="O2710" s="149"/>
      <c r="P2710" s="149"/>
      <c r="Q2710" s="149"/>
      <c r="R2710" s="149"/>
      <c r="S2710" s="149"/>
      <c r="T2710" s="149"/>
      <c r="U2710" s="149"/>
      <c r="V2710" s="149"/>
      <c r="W2710" s="149"/>
      <c r="X2710" s="149"/>
      <c r="Y2710" s="149"/>
      <c r="Z2710" s="149"/>
      <c r="AA2710" s="149"/>
      <c r="AB2710" s="149"/>
      <c r="AC2710" s="149"/>
      <c r="AD2710" s="149"/>
      <c r="AE2710" s="149"/>
      <c r="AF2710" s="149"/>
      <c r="AG2710" s="149"/>
      <c r="AH2710" s="149"/>
      <c r="AI2710" s="149"/>
      <c r="AJ2710" s="149"/>
      <c r="AK2710" s="149"/>
      <c r="AL2710" s="149"/>
      <c r="AM2710" s="149"/>
      <c r="AN2710" s="149"/>
      <c r="AO2710" s="128"/>
      <c r="AP2710" s="128"/>
      <c r="AQ2710" s="128"/>
      <c r="AR2710" s="128"/>
      <c r="AS2710" s="128"/>
      <c r="AT2710" s="128"/>
      <c r="AU2710" s="128"/>
      <c r="AV2710" s="128"/>
      <c r="AW2710" s="128"/>
      <c r="AX2710" s="128"/>
      <c r="AY2710" s="128"/>
      <c r="AZ2710" s="128"/>
      <c r="BA2710" s="128"/>
      <c r="BB2710" s="128"/>
      <c r="BC2710" s="128"/>
      <c r="BD2710" s="128"/>
      <c r="BE2710" s="128"/>
      <c r="BF2710" s="128"/>
      <c r="BG2710" s="128"/>
      <c r="BH2710" s="128"/>
      <c r="BI2710" s="128"/>
      <c r="BJ2710" s="128"/>
      <c r="BK2710" s="128"/>
      <c r="BL2710" s="128"/>
      <c r="BM2710" s="151"/>
      <c r="BN2710" s="128"/>
      <c r="BO2710" s="128"/>
      <c r="BP2710" s="128"/>
      <c r="BQ2710" s="128"/>
      <c r="BR2710" s="128"/>
      <c r="BS2710" s="128"/>
      <c r="BT2710" s="128"/>
      <c r="BU2710" s="128"/>
      <c r="BV2710" s="128"/>
      <c r="BW2710" s="128"/>
      <c r="BX2710" s="128"/>
      <c r="BY2710" s="128"/>
      <c r="BZ2710" s="128"/>
      <c r="CA2710" s="128"/>
      <c r="CB2710" s="128"/>
      <c r="CC2710" s="128"/>
      <c r="CD2710" s="128"/>
      <c r="CE2710" s="128"/>
      <c r="CF2710" s="128"/>
      <c r="CG2710" s="128"/>
      <c r="CI2710" s="128"/>
      <c r="CJ2710" s="128"/>
      <c r="CK2710" s="128"/>
      <c r="CL2710" s="128"/>
      <c r="CM2710" s="128"/>
      <c r="CN2710" s="128"/>
      <c r="CO2710" s="128"/>
      <c r="CP2710" s="128"/>
      <c r="CQ2710" s="128"/>
      <c r="CR2710" s="128"/>
      <c r="CS2710" s="128"/>
      <c r="CT2710" s="128"/>
      <c r="CU2710" s="128"/>
      <c r="CV2710" s="128"/>
      <c r="CW2710" s="128"/>
      <c r="CX2710" s="128"/>
      <c r="CY2710" s="128"/>
      <c r="CZ2710" s="165"/>
    </row>
    <row r="2711" spans="1:104">
      <c r="A2711" s="149"/>
      <c r="B2711" s="149"/>
      <c r="C2711" s="150"/>
      <c r="D2711" s="102"/>
      <c r="E2711" s="149"/>
      <c r="F2711" s="149"/>
      <c r="G2711" s="149"/>
      <c r="H2711" s="149"/>
      <c r="I2711" s="149"/>
      <c r="J2711" s="149"/>
      <c r="K2711" s="149"/>
      <c r="L2711" s="149"/>
      <c r="M2711" s="149"/>
      <c r="N2711" s="149"/>
      <c r="O2711" s="149"/>
      <c r="P2711" s="149"/>
      <c r="Q2711" s="149"/>
      <c r="R2711" s="149"/>
      <c r="S2711" s="149"/>
      <c r="T2711" s="149"/>
      <c r="U2711" s="149"/>
      <c r="V2711" s="149"/>
      <c r="W2711" s="149"/>
      <c r="X2711" s="149"/>
      <c r="Y2711" s="149"/>
      <c r="Z2711" s="149"/>
      <c r="AA2711" s="149"/>
      <c r="AB2711" s="149"/>
      <c r="AC2711" s="149"/>
      <c r="AD2711" s="149"/>
      <c r="AE2711" s="149"/>
      <c r="AF2711" s="149"/>
      <c r="AG2711" s="149"/>
      <c r="AH2711" s="149"/>
      <c r="AI2711" s="149"/>
      <c r="AJ2711" s="149"/>
      <c r="AK2711" s="149"/>
      <c r="AL2711" s="149"/>
      <c r="AM2711" s="149"/>
      <c r="AN2711" s="149"/>
      <c r="AO2711" s="128"/>
      <c r="AP2711" s="128"/>
      <c r="AQ2711" s="128"/>
      <c r="AR2711" s="128"/>
      <c r="AS2711" s="128"/>
      <c r="AT2711" s="128"/>
      <c r="AU2711" s="128"/>
      <c r="AV2711" s="128"/>
      <c r="AW2711" s="128"/>
      <c r="AX2711" s="128"/>
      <c r="AY2711" s="128"/>
      <c r="AZ2711" s="128"/>
      <c r="BA2711" s="128"/>
      <c r="BB2711" s="128"/>
      <c r="BC2711" s="128"/>
      <c r="BD2711" s="128"/>
      <c r="BE2711" s="128"/>
      <c r="BF2711" s="128"/>
      <c r="BG2711" s="128"/>
      <c r="BH2711" s="128"/>
      <c r="BI2711" s="128"/>
      <c r="BJ2711" s="128"/>
      <c r="BK2711" s="128"/>
      <c r="BL2711" s="128"/>
      <c r="BM2711" s="151"/>
      <c r="BN2711" s="128"/>
      <c r="BO2711" s="128"/>
      <c r="BP2711" s="128"/>
      <c r="BQ2711" s="128"/>
      <c r="BR2711" s="128"/>
      <c r="BS2711" s="128"/>
      <c r="BT2711" s="128"/>
      <c r="BU2711" s="128"/>
      <c r="BV2711" s="128"/>
      <c r="BW2711" s="128"/>
      <c r="BX2711" s="128"/>
      <c r="BY2711" s="128"/>
      <c r="BZ2711" s="128"/>
      <c r="CA2711" s="128"/>
      <c r="CB2711" s="128"/>
      <c r="CC2711" s="128"/>
      <c r="CD2711" s="128"/>
      <c r="CE2711" s="128"/>
      <c r="CF2711" s="128"/>
      <c r="CG2711" s="128"/>
      <c r="CI2711" s="128"/>
      <c r="CJ2711" s="128"/>
      <c r="CK2711" s="128"/>
      <c r="CL2711" s="128"/>
      <c r="CM2711" s="128"/>
      <c r="CN2711" s="128"/>
      <c r="CO2711" s="128"/>
      <c r="CP2711" s="128"/>
      <c r="CQ2711" s="128"/>
      <c r="CR2711" s="128"/>
      <c r="CS2711" s="128"/>
      <c r="CT2711" s="128"/>
      <c r="CU2711" s="128"/>
      <c r="CV2711" s="128"/>
      <c r="CW2711" s="128"/>
      <c r="CX2711" s="128"/>
      <c r="CY2711" s="128"/>
      <c r="CZ2711" s="165"/>
    </row>
    <row r="2712" spans="1:104">
      <c r="A2712" s="149"/>
      <c r="B2712" s="149"/>
      <c r="C2712" s="150"/>
      <c r="D2712" s="102"/>
      <c r="E2712" s="149"/>
      <c r="F2712" s="149"/>
      <c r="G2712" s="149"/>
      <c r="H2712" s="149"/>
      <c r="I2712" s="149"/>
      <c r="J2712" s="149"/>
      <c r="K2712" s="149"/>
      <c r="L2712" s="149"/>
      <c r="M2712" s="149"/>
      <c r="N2712" s="149"/>
      <c r="O2712" s="149"/>
      <c r="P2712" s="149"/>
      <c r="Q2712" s="149"/>
      <c r="R2712" s="149"/>
      <c r="S2712" s="149"/>
      <c r="T2712" s="149"/>
      <c r="U2712" s="149"/>
      <c r="V2712" s="149"/>
      <c r="W2712" s="149"/>
      <c r="X2712" s="149"/>
      <c r="Y2712" s="149"/>
      <c r="Z2712" s="149"/>
      <c r="AA2712" s="149"/>
      <c r="AB2712" s="149"/>
      <c r="AC2712" s="149"/>
      <c r="AD2712" s="149"/>
      <c r="AE2712" s="149"/>
      <c r="AF2712" s="149"/>
      <c r="AG2712" s="149"/>
      <c r="AH2712" s="149"/>
      <c r="AI2712" s="149"/>
      <c r="AJ2712" s="149"/>
      <c r="AK2712" s="149"/>
      <c r="AL2712" s="149"/>
      <c r="AM2712" s="149"/>
      <c r="AN2712" s="149"/>
      <c r="AO2712" s="128"/>
      <c r="AP2712" s="128"/>
      <c r="AQ2712" s="128"/>
      <c r="AR2712" s="128"/>
      <c r="AS2712" s="128"/>
      <c r="AT2712" s="128"/>
      <c r="AU2712" s="128"/>
      <c r="AV2712" s="128"/>
      <c r="AW2712" s="128"/>
      <c r="AX2712" s="128"/>
      <c r="AY2712" s="128"/>
      <c r="AZ2712" s="128"/>
      <c r="BA2712" s="128"/>
      <c r="BB2712" s="128"/>
      <c r="BC2712" s="128"/>
      <c r="BD2712" s="128"/>
      <c r="BE2712" s="128"/>
      <c r="BF2712" s="128"/>
      <c r="BG2712" s="128"/>
      <c r="BH2712" s="128"/>
      <c r="BI2712" s="128"/>
      <c r="BJ2712" s="128"/>
      <c r="BK2712" s="128"/>
      <c r="BL2712" s="128"/>
      <c r="BM2712" s="151"/>
      <c r="BN2712" s="128"/>
      <c r="BO2712" s="128"/>
      <c r="BP2712" s="128"/>
      <c r="BQ2712" s="128"/>
      <c r="BR2712" s="128"/>
      <c r="BS2712" s="128"/>
      <c r="BT2712" s="128"/>
      <c r="BU2712" s="128"/>
      <c r="BV2712" s="128"/>
      <c r="BW2712" s="128"/>
      <c r="BX2712" s="128"/>
      <c r="BY2712" s="128"/>
      <c r="BZ2712" s="128"/>
      <c r="CA2712" s="128"/>
      <c r="CB2712" s="128"/>
      <c r="CC2712" s="128"/>
      <c r="CD2712" s="128"/>
      <c r="CE2712" s="128"/>
      <c r="CF2712" s="128"/>
      <c r="CG2712" s="128"/>
      <c r="CI2712" s="128"/>
      <c r="CJ2712" s="128"/>
      <c r="CK2712" s="128"/>
      <c r="CL2712" s="128"/>
      <c r="CM2712" s="128"/>
      <c r="CN2712" s="128"/>
      <c r="CO2712" s="128"/>
      <c r="CP2712" s="128"/>
      <c r="CQ2712" s="128"/>
      <c r="CR2712" s="128"/>
      <c r="CS2712" s="128"/>
      <c r="CT2712" s="128"/>
      <c r="CU2712" s="128"/>
      <c r="CV2712" s="128"/>
      <c r="CW2712" s="128"/>
      <c r="CX2712" s="128"/>
      <c r="CY2712" s="128"/>
      <c r="CZ2712" s="165"/>
    </row>
    <row r="2713" spans="1:104">
      <c r="A2713" s="149"/>
      <c r="B2713" s="149"/>
      <c r="C2713" s="150"/>
      <c r="D2713" s="102"/>
      <c r="E2713" s="149"/>
      <c r="F2713" s="149"/>
      <c r="G2713" s="149"/>
      <c r="H2713" s="149"/>
      <c r="I2713" s="149"/>
      <c r="J2713" s="149"/>
      <c r="K2713" s="149"/>
      <c r="L2713" s="149"/>
      <c r="M2713" s="149"/>
      <c r="N2713" s="149"/>
      <c r="O2713" s="149"/>
      <c r="P2713" s="149"/>
      <c r="Q2713" s="149"/>
      <c r="R2713" s="149"/>
      <c r="S2713" s="149"/>
      <c r="T2713" s="149"/>
      <c r="U2713" s="149"/>
      <c r="V2713" s="149"/>
      <c r="W2713" s="149"/>
      <c r="X2713" s="149"/>
      <c r="Y2713" s="149"/>
      <c r="Z2713" s="149"/>
      <c r="AA2713" s="149"/>
      <c r="AB2713" s="149"/>
      <c r="AC2713" s="149"/>
      <c r="AD2713" s="149"/>
      <c r="AE2713" s="149"/>
      <c r="AF2713" s="149"/>
      <c r="AG2713" s="149"/>
      <c r="AH2713" s="149"/>
      <c r="AI2713" s="149"/>
      <c r="AJ2713" s="149"/>
      <c r="AK2713" s="149"/>
      <c r="AL2713" s="149"/>
      <c r="AM2713" s="149"/>
      <c r="AN2713" s="149"/>
      <c r="AO2713" s="128"/>
      <c r="AP2713" s="128"/>
      <c r="AQ2713" s="128"/>
      <c r="AR2713" s="128"/>
      <c r="AS2713" s="128"/>
      <c r="AT2713" s="128"/>
      <c r="AU2713" s="128"/>
      <c r="AV2713" s="128"/>
      <c r="AW2713" s="128"/>
      <c r="AX2713" s="128"/>
      <c r="AY2713" s="128"/>
      <c r="AZ2713" s="128"/>
      <c r="BA2713" s="128"/>
      <c r="BB2713" s="128"/>
      <c r="BC2713" s="128"/>
      <c r="BD2713" s="128"/>
      <c r="BE2713" s="128"/>
      <c r="BF2713" s="128"/>
      <c r="BG2713" s="128"/>
      <c r="BH2713" s="128"/>
      <c r="BI2713" s="128"/>
      <c r="BJ2713" s="128"/>
      <c r="BK2713" s="128"/>
      <c r="BL2713" s="128"/>
      <c r="BM2713" s="151"/>
      <c r="BN2713" s="128"/>
      <c r="BO2713" s="128"/>
      <c r="BP2713" s="128"/>
      <c r="BQ2713" s="128"/>
      <c r="BR2713" s="128"/>
      <c r="BS2713" s="128"/>
      <c r="BT2713" s="128"/>
      <c r="BU2713" s="128"/>
      <c r="BV2713" s="128"/>
      <c r="BW2713" s="128"/>
      <c r="BX2713" s="128"/>
      <c r="BY2713" s="128"/>
      <c r="BZ2713" s="128"/>
      <c r="CA2713" s="128"/>
      <c r="CB2713" s="128"/>
      <c r="CC2713" s="128"/>
      <c r="CD2713" s="128"/>
      <c r="CE2713" s="128"/>
      <c r="CF2713" s="128"/>
      <c r="CG2713" s="128"/>
      <c r="CI2713" s="128"/>
      <c r="CJ2713" s="128"/>
      <c r="CK2713" s="128"/>
      <c r="CL2713" s="128"/>
      <c r="CM2713" s="128"/>
      <c r="CN2713" s="128"/>
      <c r="CO2713" s="128"/>
      <c r="CP2713" s="128"/>
      <c r="CQ2713" s="128"/>
      <c r="CR2713" s="128"/>
      <c r="CS2713" s="128"/>
      <c r="CT2713" s="128"/>
      <c r="CU2713" s="128"/>
      <c r="CV2713" s="128"/>
      <c r="CW2713" s="128"/>
      <c r="CX2713" s="128"/>
      <c r="CY2713" s="128"/>
      <c r="CZ2713" s="165"/>
    </row>
    <row r="2714" spans="1:104">
      <c r="A2714" s="149"/>
      <c r="B2714" s="149"/>
      <c r="C2714" s="150"/>
      <c r="D2714" s="102"/>
      <c r="E2714" s="149"/>
      <c r="F2714" s="149"/>
      <c r="G2714" s="149"/>
      <c r="H2714" s="149"/>
      <c r="I2714" s="149"/>
      <c r="J2714" s="149"/>
      <c r="K2714" s="149"/>
      <c r="L2714" s="149"/>
      <c r="M2714" s="149"/>
      <c r="N2714" s="149"/>
      <c r="O2714" s="149"/>
      <c r="P2714" s="149"/>
      <c r="Q2714" s="149"/>
      <c r="R2714" s="149"/>
      <c r="S2714" s="149"/>
      <c r="T2714" s="149"/>
      <c r="U2714" s="149"/>
      <c r="V2714" s="149"/>
      <c r="W2714" s="149"/>
      <c r="X2714" s="149"/>
      <c r="Y2714" s="149"/>
      <c r="Z2714" s="149"/>
      <c r="AA2714" s="149"/>
      <c r="AB2714" s="149"/>
      <c r="AC2714" s="149"/>
      <c r="AD2714" s="149"/>
      <c r="AE2714" s="149"/>
      <c r="AF2714" s="149"/>
      <c r="AG2714" s="149"/>
      <c r="AH2714" s="149"/>
      <c r="AI2714" s="149"/>
      <c r="AJ2714" s="149"/>
      <c r="AK2714" s="149"/>
      <c r="AL2714" s="149"/>
      <c r="AM2714" s="149"/>
      <c r="AN2714" s="149"/>
      <c r="AO2714" s="128"/>
      <c r="AP2714" s="128"/>
      <c r="AQ2714" s="128"/>
      <c r="AR2714" s="128"/>
      <c r="AS2714" s="128"/>
      <c r="AT2714" s="128"/>
      <c r="AU2714" s="128"/>
      <c r="AV2714" s="128"/>
      <c r="AW2714" s="128"/>
      <c r="AX2714" s="128"/>
      <c r="AY2714" s="128"/>
      <c r="AZ2714" s="128"/>
      <c r="BA2714" s="128"/>
      <c r="BB2714" s="128"/>
      <c r="BC2714" s="128"/>
      <c r="BD2714" s="128"/>
      <c r="BE2714" s="128"/>
      <c r="BF2714" s="128"/>
      <c r="BG2714" s="128"/>
      <c r="BH2714" s="128"/>
      <c r="BI2714" s="128"/>
      <c r="BJ2714" s="128"/>
      <c r="BK2714" s="128"/>
      <c r="BL2714" s="128"/>
      <c r="BM2714" s="151"/>
      <c r="BN2714" s="128"/>
      <c r="BO2714" s="128"/>
      <c r="BP2714" s="128"/>
      <c r="BQ2714" s="128"/>
      <c r="BR2714" s="128"/>
      <c r="BS2714" s="128"/>
      <c r="BT2714" s="128"/>
      <c r="BU2714" s="128"/>
      <c r="BV2714" s="128"/>
      <c r="BW2714" s="128"/>
      <c r="BX2714" s="128"/>
      <c r="BY2714" s="128"/>
      <c r="BZ2714" s="128"/>
      <c r="CA2714" s="128"/>
      <c r="CB2714" s="128"/>
      <c r="CC2714" s="128"/>
      <c r="CD2714" s="128"/>
      <c r="CE2714" s="128"/>
      <c r="CF2714" s="128"/>
      <c r="CG2714" s="128"/>
      <c r="CI2714" s="128"/>
      <c r="CJ2714" s="128"/>
      <c r="CK2714" s="128"/>
      <c r="CL2714" s="128"/>
      <c r="CM2714" s="128"/>
      <c r="CN2714" s="128"/>
      <c r="CO2714" s="128"/>
      <c r="CP2714" s="128"/>
      <c r="CQ2714" s="128"/>
      <c r="CR2714" s="128"/>
      <c r="CS2714" s="128"/>
      <c r="CT2714" s="128"/>
      <c r="CU2714" s="128"/>
      <c r="CV2714" s="128"/>
      <c r="CW2714" s="128"/>
      <c r="CX2714" s="128"/>
      <c r="CY2714" s="128"/>
      <c r="CZ2714" s="165"/>
    </row>
    <row r="2715" spans="1:104">
      <c r="A2715" s="149"/>
      <c r="B2715" s="149"/>
      <c r="C2715" s="150"/>
      <c r="D2715" s="102"/>
      <c r="E2715" s="149"/>
      <c r="F2715" s="149"/>
      <c r="G2715" s="149"/>
      <c r="H2715" s="149"/>
      <c r="I2715" s="149"/>
      <c r="J2715" s="149"/>
      <c r="K2715" s="149"/>
      <c r="L2715" s="149"/>
      <c r="M2715" s="149"/>
      <c r="N2715" s="149"/>
      <c r="O2715" s="149"/>
      <c r="P2715" s="149"/>
      <c r="Q2715" s="149"/>
      <c r="R2715" s="149"/>
      <c r="S2715" s="149"/>
      <c r="T2715" s="149"/>
      <c r="U2715" s="149"/>
      <c r="V2715" s="149"/>
      <c r="W2715" s="149"/>
      <c r="X2715" s="149"/>
      <c r="Y2715" s="149"/>
      <c r="Z2715" s="149"/>
      <c r="AA2715" s="149"/>
      <c r="AB2715" s="149"/>
      <c r="AC2715" s="149"/>
      <c r="AD2715" s="149"/>
      <c r="AE2715" s="149"/>
      <c r="AF2715" s="149"/>
      <c r="AG2715" s="149"/>
      <c r="AH2715" s="149"/>
      <c r="AI2715" s="149"/>
      <c r="AJ2715" s="149"/>
      <c r="AK2715" s="149"/>
      <c r="AL2715" s="149"/>
      <c r="AM2715" s="149"/>
      <c r="AN2715" s="149"/>
      <c r="AO2715" s="128"/>
      <c r="AP2715" s="128"/>
      <c r="AQ2715" s="128"/>
      <c r="AR2715" s="128"/>
      <c r="AS2715" s="128"/>
      <c r="AT2715" s="128"/>
      <c r="AU2715" s="128"/>
      <c r="AV2715" s="128"/>
      <c r="AW2715" s="128"/>
      <c r="AX2715" s="128"/>
      <c r="AY2715" s="128"/>
      <c r="AZ2715" s="128"/>
      <c r="BA2715" s="128"/>
      <c r="BB2715" s="128"/>
      <c r="BC2715" s="128"/>
      <c r="BD2715" s="128"/>
      <c r="BE2715" s="128"/>
      <c r="BF2715" s="128"/>
      <c r="BG2715" s="128"/>
      <c r="BH2715" s="128"/>
      <c r="BI2715" s="128"/>
      <c r="BJ2715" s="128"/>
      <c r="BK2715" s="128"/>
      <c r="BL2715" s="128"/>
      <c r="BM2715" s="151"/>
      <c r="BN2715" s="128"/>
      <c r="BO2715" s="128"/>
      <c r="BP2715" s="128"/>
      <c r="BQ2715" s="128"/>
      <c r="BR2715" s="128"/>
      <c r="BS2715" s="128"/>
      <c r="BT2715" s="128"/>
      <c r="BU2715" s="128"/>
      <c r="BV2715" s="128"/>
      <c r="BW2715" s="128"/>
      <c r="BX2715" s="128"/>
      <c r="BY2715" s="128"/>
      <c r="BZ2715" s="128"/>
      <c r="CA2715" s="128"/>
      <c r="CB2715" s="128"/>
      <c r="CC2715" s="128"/>
      <c r="CD2715" s="128"/>
      <c r="CE2715" s="128"/>
      <c r="CF2715" s="128"/>
      <c r="CG2715" s="128"/>
      <c r="CI2715" s="128"/>
      <c r="CJ2715" s="128"/>
      <c r="CK2715" s="128"/>
      <c r="CL2715" s="128"/>
      <c r="CM2715" s="128"/>
      <c r="CN2715" s="128"/>
      <c r="CO2715" s="128"/>
      <c r="CP2715" s="128"/>
      <c r="CQ2715" s="128"/>
      <c r="CR2715" s="128"/>
      <c r="CS2715" s="128"/>
      <c r="CT2715" s="128"/>
      <c r="CU2715" s="128"/>
      <c r="CV2715" s="128"/>
      <c r="CW2715" s="128"/>
      <c r="CX2715" s="128"/>
      <c r="CY2715" s="128"/>
      <c r="CZ2715" s="165"/>
    </row>
    <row r="2716" spans="1:104">
      <c r="A2716" s="149"/>
      <c r="B2716" s="149"/>
      <c r="C2716" s="150"/>
      <c r="D2716" s="102"/>
      <c r="E2716" s="149"/>
      <c r="F2716" s="149"/>
      <c r="G2716" s="149"/>
      <c r="H2716" s="149"/>
      <c r="I2716" s="149"/>
      <c r="J2716" s="149"/>
      <c r="K2716" s="149"/>
      <c r="L2716" s="149"/>
      <c r="M2716" s="149"/>
      <c r="N2716" s="149"/>
      <c r="O2716" s="149"/>
      <c r="P2716" s="149"/>
      <c r="Q2716" s="149"/>
      <c r="R2716" s="149"/>
      <c r="S2716" s="149"/>
      <c r="T2716" s="149"/>
      <c r="U2716" s="149"/>
      <c r="V2716" s="149"/>
      <c r="W2716" s="149"/>
      <c r="X2716" s="149"/>
      <c r="Y2716" s="149"/>
      <c r="Z2716" s="149"/>
      <c r="AA2716" s="149"/>
      <c r="AB2716" s="149"/>
      <c r="AC2716" s="149"/>
      <c r="AD2716" s="149"/>
      <c r="AE2716" s="149"/>
      <c r="AF2716" s="149"/>
      <c r="AG2716" s="149"/>
      <c r="AH2716" s="149"/>
      <c r="AI2716" s="149"/>
      <c r="AJ2716" s="149"/>
      <c r="AK2716" s="149"/>
      <c r="AL2716" s="149"/>
      <c r="AM2716" s="149"/>
      <c r="AN2716" s="149"/>
      <c r="AO2716" s="128"/>
      <c r="AP2716" s="128"/>
      <c r="AQ2716" s="128"/>
      <c r="AR2716" s="128"/>
      <c r="AS2716" s="128"/>
      <c r="AT2716" s="128"/>
      <c r="AU2716" s="128"/>
      <c r="AV2716" s="128"/>
      <c r="AW2716" s="128"/>
      <c r="AX2716" s="128"/>
      <c r="AY2716" s="128"/>
      <c r="AZ2716" s="128"/>
      <c r="BA2716" s="128"/>
      <c r="BB2716" s="128"/>
      <c r="BC2716" s="128"/>
      <c r="BD2716" s="128"/>
      <c r="BE2716" s="128"/>
      <c r="BF2716" s="128"/>
      <c r="BG2716" s="128"/>
      <c r="BH2716" s="128"/>
      <c r="BI2716" s="128"/>
      <c r="BJ2716" s="128"/>
      <c r="BK2716" s="128"/>
      <c r="BL2716" s="128"/>
      <c r="BM2716" s="151"/>
      <c r="BN2716" s="128"/>
      <c r="BO2716" s="128"/>
      <c r="BP2716" s="128"/>
      <c r="BQ2716" s="128"/>
      <c r="BR2716" s="128"/>
      <c r="BS2716" s="128"/>
      <c r="BT2716" s="128"/>
      <c r="BU2716" s="128"/>
      <c r="BV2716" s="128"/>
      <c r="BW2716" s="128"/>
      <c r="BX2716" s="128"/>
      <c r="BY2716" s="128"/>
      <c r="BZ2716" s="128"/>
      <c r="CA2716" s="128"/>
      <c r="CB2716" s="128"/>
      <c r="CC2716" s="128"/>
      <c r="CD2716" s="128"/>
      <c r="CE2716" s="128"/>
      <c r="CF2716" s="128"/>
      <c r="CG2716" s="128"/>
      <c r="CI2716" s="128"/>
      <c r="CJ2716" s="128"/>
      <c r="CK2716" s="128"/>
      <c r="CL2716" s="128"/>
      <c r="CM2716" s="128"/>
      <c r="CN2716" s="128"/>
      <c r="CO2716" s="128"/>
      <c r="CP2716" s="128"/>
      <c r="CQ2716" s="128"/>
      <c r="CR2716" s="128"/>
      <c r="CS2716" s="128"/>
      <c r="CT2716" s="128"/>
      <c r="CU2716" s="128"/>
      <c r="CV2716" s="128"/>
      <c r="CW2716" s="128"/>
      <c r="CX2716" s="128"/>
      <c r="CY2716" s="128"/>
      <c r="CZ2716" s="165"/>
    </row>
    <row r="2717" spans="1:104">
      <c r="A2717" s="149"/>
      <c r="B2717" s="149"/>
      <c r="C2717" s="150"/>
      <c r="D2717" s="102"/>
      <c r="E2717" s="149"/>
      <c r="F2717" s="149"/>
      <c r="G2717" s="149"/>
      <c r="H2717" s="149"/>
      <c r="I2717" s="149"/>
      <c r="J2717" s="149"/>
      <c r="K2717" s="149"/>
      <c r="L2717" s="149"/>
      <c r="M2717" s="149"/>
      <c r="N2717" s="149"/>
      <c r="O2717" s="149"/>
      <c r="P2717" s="149"/>
      <c r="Q2717" s="149"/>
      <c r="R2717" s="149"/>
      <c r="S2717" s="149"/>
      <c r="T2717" s="149"/>
      <c r="U2717" s="149"/>
      <c r="V2717" s="149"/>
      <c r="W2717" s="149"/>
      <c r="X2717" s="149"/>
      <c r="Y2717" s="149"/>
      <c r="Z2717" s="149"/>
      <c r="AA2717" s="149"/>
      <c r="AB2717" s="149"/>
      <c r="AC2717" s="149"/>
      <c r="AD2717" s="149"/>
      <c r="AE2717" s="149"/>
      <c r="AF2717" s="149"/>
      <c r="AG2717" s="149"/>
      <c r="AH2717" s="149"/>
      <c r="AI2717" s="149"/>
      <c r="AJ2717" s="149"/>
      <c r="AK2717" s="149"/>
      <c r="AL2717" s="149"/>
      <c r="AM2717" s="149"/>
      <c r="AN2717" s="149"/>
      <c r="AO2717" s="128"/>
      <c r="AP2717" s="128"/>
      <c r="AQ2717" s="128"/>
      <c r="AR2717" s="128"/>
      <c r="AS2717" s="128"/>
      <c r="AT2717" s="128"/>
      <c r="AU2717" s="128"/>
      <c r="AV2717" s="128"/>
      <c r="AW2717" s="128"/>
      <c r="AX2717" s="128"/>
      <c r="AY2717" s="128"/>
      <c r="AZ2717" s="128"/>
      <c r="BA2717" s="128"/>
      <c r="BB2717" s="128"/>
      <c r="BC2717" s="128"/>
      <c r="BD2717" s="128"/>
      <c r="BE2717" s="128"/>
      <c r="BF2717" s="128"/>
      <c r="BG2717" s="128"/>
      <c r="BH2717" s="128"/>
      <c r="BI2717" s="128"/>
      <c r="BJ2717" s="128"/>
      <c r="BK2717" s="128"/>
      <c r="BL2717" s="128"/>
      <c r="BM2717" s="151"/>
      <c r="BN2717" s="128"/>
      <c r="BO2717" s="128"/>
      <c r="BP2717" s="128"/>
      <c r="BQ2717" s="128"/>
      <c r="BR2717" s="128"/>
      <c r="BS2717" s="128"/>
      <c r="BT2717" s="128"/>
      <c r="BU2717" s="128"/>
      <c r="BV2717" s="128"/>
      <c r="BW2717" s="128"/>
      <c r="BX2717" s="128"/>
      <c r="BY2717" s="128"/>
      <c r="BZ2717" s="128"/>
      <c r="CA2717" s="128"/>
      <c r="CB2717" s="128"/>
      <c r="CC2717" s="128"/>
      <c r="CD2717" s="128"/>
      <c r="CE2717" s="128"/>
      <c r="CF2717" s="128"/>
      <c r="CG2717" s="128"/>
      <c r="CI2717" s="128"/>
      <c r="CJ2717" s="128"/>
      <c r="CK2717" s="128"/>
      <c r="CL2717" s="128"/>
      <c r="CM2717" s="128"/>
      <c r="CN2717" s="128"/>
      <c r="CO2717" s="128"/>
      <c r="CP2717" s="128"/>
      <c r="CQ2717" s="128"/>
      <c r="CR2717" s="128"/>
      <c r="CS2717" s="128"/>
      <c r="CT2717" s="128"/>
      <c r="CU2717" s="128"/>
      <c r="CV2717" s="128"/>
      <c r="CW2717" s="128"/>
      <c r="CX2717" s="128"/>
      <c r="CY2717" s="128"/>
      <c r="CZ2717" s="165"/>
    </row>
    <row r="2718" spans="1:104">
      <c r="A2718" s="149"/>
      <c r="B2718" s="149"/>
      <c r="C2718" s="150"/>
      <c r="D2718" s="102"/>
      <c r="E2718" s="149"/>
      <c r="F2718" s="149"/>
      <c r="G2718" s="149"/>
      <c r="H2718" s="149"/>
      <c r="I2718" s="149"/>
      <c r="J2718" s="149"/>
      <c r="K2718" s="149"/>
      <c r="L2718" s="149"/>
      <c r="M2718" s="149"/>
      <c r="N2718" s="149"/>
      <c r="O2718" s="149"/>
      <c r="P2718" s="149"/>
      <c r="Q2718" s="149"/>
      <c r="R2718" s="149"/>
      <c r="S2718" s="149"/>
      <c r="T2718" s="149"/>
      <c r="U2718" s="149"/>
      <c r="V2718" s="149"/>
      <c r="W2718" s="149"/>
      <c r="X2718" s="149"/>
      <c r="Y2718" s="149"/>
      <c r="Z2718" s="149"/>
      <c r="AA2718" s="149"/>
      <c r="AB2718" s="149"/>
      <c r="AC2718" s="149"/>
      <c r="AD2718" s="149"/>
      <c r="AE2718" s="149"/>
      <c r="AF2718" s="149"/>
      <c r="AG2718" s="149"/>
      <c r="AH2718" s="149"/>
      <c r="AI2718" s="149"/>
      <c r="AJ2718" s="149"/>
      <c r="AK2718" s="149"/>
      <c r="AL2718" s="149"/>
      <c r="AM2718" s="149"/>
      <c r="AN2718" s="149"/>
      <c r="AO2718" s="128"/>
      <c r="AP2718" s="128"/>
      <c r="AQ2718" s="128"/>
      <c r="AR2718" s="128"/>
      <c r="AS2718" s="128"/>
      <c r="AT2718" s="128"/>
      <c r="AU2718" s="128"/>
      <c r="AV2718" s="128"/>
      <c r="AW2718" s="128"/>
      <c r="AX2718" s="128"/>
      <c r="AY2718" s="128"/>
      <c r="AZ2718" s="128"/>
      <c r="BA2718" s="128"/>
      <c r="BB2718" s="128"/>
      <c r="BC2718" s="128"/>
      <c r="BD2718" s="128"/>
      <c r="BE2718" s="128"/>
      <c r="BF2718" s="128"/>
      <c r="BG2718" s="128"/>
      <c r="BH2718" s="128"/>
      <c r="BI2718" s="128"/>
      <c r="BJ2718" s="128"/>
      <c r="BK2718" s="128"/>
      <c r="BL2718" s="128"/>
      <c r="BM2718" s="151"/>
      <c r="BN2718" s="128"/>
      <c r="BO2718" s="128"/>
      <c r="BP2718" s="128"/>
      <c r="BQ2718" s="128"/>
      <c r="BR2718" s="128"/>
      <c r="BS2718" s="128"/>
      <c r="BT2718" s="128"/>
      <c r="BU2718" s="128"/>
      <c r="BV2718" s="128"/>
      <c r="BW2718" s="128"/>
      <c r="BX2718" s="128"/>
      <c r="BY2718" s="128"/>
      <c r="BZ2718" s="128"/>
      <c r="CA2718" s="128"/>
      <c r="CB2718" s="128"/>
      <c r="CC2718" s="128"/>
      <c r="CD2718" s="128"/>
      <c r="CE2718" s="128"/>
      <c r="CF2718" s="128"/>
      <c r="CG2718" s="128"/>
      <c r="CI2718" s="128"/>
      <c r="CJ2718" s="128"/>
      <c r="CK2718" s="128"/>
      <c r="CL2718" s="128"/>
      <c r="CM2718" s="128"/>
      <c r="CN2718" s="128"/>
      <c r="CO2718" s="128"/>
      <c r="CP2718" s="128"/>
      <c r="CQ2718" s="128"/>
      <c r="CR2718" s="128"/>
      <c r="CS2718" s="128"/>
      <c r="CT2718" s="128"/>
      <c r="CU2718" s="128"/>
      <c r="CV2718" s="128"/>
      <c r="CW2718" s="128"/>
      <c r="CX2718" s="128"/>
      <c r="CY2718" s="128"/>
      <c r="CZ2718" s="165"/>
    </row>
    <row r="2719" spans="1:104">
      <c r="A2719" s="149"/>
      <c r="B2719" s="149"/>
      <c r="C2719" s="150"/>
      <c r="D2719" s="102"/>
      <c r="E2719" s="149"/>
      <c r="F2719" s="149"/>
      <c r="G2719" s="149"/>
      <c r="H2719" s="149"/>
      <c r="I2719" s="149"/>
      <c r="J2719" s="149"/>
      <c r="K2719" s="149"/>
      <c r="L2719" s="149"/>
      <c r="M2719" s="149"/>
      <c r="N2719" s="149"/>
      <c r="O2719" s="149"/>
      <c r="P2719" s="149"/>
      <c r="Q2719" s="149"/>
      <c r="R2719" s="149"/>
      <c r="S2719" s="149"/>
      <c r="T2719" s="149"/>
      <c r="U2719" s="149"/>
      <c r="V2719" s="149"/>
      <c r="W2719" s="149"/>
      <c r="X2719" s="149"/>
      <c r="Y2719" s="149"/>
      <c r="Z2719" s="149"/>
      <c r="AA2719" s="149"/>
      <c r="AB2719" s="149"/>
      <c r="AC2719" s="149"/>
      <c r="AD2719" s="149"/>
      <c r="AE2719" s="149"/>
      <c r="AF2719" s="149"/>
      <c r="AG2719" s="149"/>
      <c r="AH2719" s="149"/>
      <c r="AI2719" s="149"/>
      <c r="AJ2719" s="149"/>
      <c r="AK2719" s="149"/>
      <c r="AL2719" s="149"/>
      <c r="AM2719" s="149"/>
      <c r="AN2719" s="149"/>
      <c r="AO2719" s="128"/>
      <c r="AP2719" s="128"/>
      <c r="AQ2719" s="128"/>
      <c r="AR2719" s="128"/>
      <c r="AS2719" s="128"/>
      <c r="AT2719" s="128"/>
      <c r="AU2719" s="128"/>
      <c r="AV2719" s="128"/>
      <c r="AW2719" s="128"/>
      <c r="AX2719" s="128"/>
      <c r="AY2719" s="128"/>
      <c r="AZ2719" s="128"/>
      <c r="BA2719" s="128"/>
      <c r="BB2719" s="128"/>
      <c r="BC2719" s="128"/>
      <c r="BD2719" s="128"/>
      <c r="BE2719" s="128"/>
      <c r="BF2719" s="128"/>
      <c r="BG2719" s="128"/>
      <c r="BH2719" s="128"/>
      <c r="BI2719" s="128"/>
      <c r="BJ2719" s="128"/>
      <c r="BK2719" s="128"/>
      <c r="BL2719" s="128"/>
      <c r="BM2719" s="151"/>
      <c r="BN2719" s="128"/>
      <c r="BO2719" s="128"/>
      <c r="BP2719" s="128"/>
      <c r="BQ2719" s="128"/>
      <c r="BR2719" s="128"/>
      <c r="BS2719" s="128"/>
      <c r="BT2719" s="128"/>
      <c r="BU2719" s="128"/>
      <c r="BV2719" s="128"/>
      <c r="BW2719" s="128"/>
      <c r="BX2719" s="128"/>
      <c r="BY2719" s="128"/>
      <c r="BZ2719" s="128"/>
      <c r="CA2719" s="128"/>
      <c r="CB2719" s="128"/>
      <c r="CC2719" s="128"/>
      <c r="CD2719" s="128"/>
      <c r="CE2719" s="128"/>
      <c r="CF2719" s="128"/>
      <c r="CG2719" s="128"/>
      <c r="CI2719" s="128"/>
      <c r="CJ2719" s="128"/>
      <c r="CK2719" s="128"/>
      <c r="CL2719" s="128"/>
      <c r="CM2719" s="128"/>
      <c r="CN2719" s="128"/>
      <c r="CO2719" s="128"/>
      <c r="CP2719" s="128"/>
      <c r="CQ2719" s="128"/>
      <c r="CR2719" s="128"/>
      <c r="CS2719" s="128"/>
      <c r="CT2719" s="128"/>
      <c r="CU2719" s="128"/>
      <c r="CV2719" s="128"/>
      <c r="CW2719" s="128"/>
      <c r="CX2719" s="128"/>
      <c r="CY2719" s="128"/>
      <c r="CZ2719" s="165"/>
    </row>
    <row r="2720" spans="1:104">
      <c r="A2720" s="149"/>
      <c r="B2720" s="149"/>
      <c r="C2720" s="150"/>
      <c r="D2720" s="102"/>
      <c r="E2720" s="149"/>
      <c r="F2720" s="149"/>
      <c r="G2720" s="149"/>
      <c r="H2720" s="149"/>
      <c r="I2720" s="149"/>
      <c r="J2720" s="149"/>
      <c r="K2720" s="149"/>
      <c r="L2720" s="149"/>
      <c r="M2720" s="149"/>
      <c r="N2720" s="149"/>
      <c r="O2720" s="149"/>
      <c r="P2720" s="149"/>
      <c r="Q2720" s="149"/>
      <c r="R2720" s="149"/>
      <c r="S2720" s="149"/>
      <c r="T2720" s="149"/>
      <c r="U2720" s="149"/>
      <c r="V2720" s="149"/>
      <c r="W2720" s="149"/>
      <c r="X2720" s="149"/>
      <c r="Y2720" s="149"/>
      <c r="Z2720" s="149"/>
      <c r="AA2720" s="149"/>
      <c r="AB2720" s="149"/>
      <c r="AC2720" s="149"/>
      <c r="AD2720" s="149"/>
      <c r="AE2720" s="149"/>
      <c r="AF2720" s="149"/>
      <c r="AG2720" s="149"/>
      <c r="AH2720" s="149"/>
      <c r="AI2720" s="149"/>
      <c r="AJ2720" s="149"/>
      <c r="AK2720" s="149"/>
      <c r="AL2720" s="149"/>
      <c r="AM2720" s="149"/>
      <c r="AN2720" s="149"/>
      <c r="AO2720" s="128"/>
      <c r="AP2720" s="128"/>
      <c r="AQ2720" s="128"/>
      <c r="AR2720" s="128"/>
      <c r="AS2720" s="128"/>
      <c r="AT2720" s="128"/>
      <c r="AU2720" s="128"/>
      <c r="AV2720" s="128"/>
      <c r="AW2720" s="128"/>
      <c r="AX2720" s="128"/>
      <c r="AY2720" s="128"/>
      <c r="AZ2720" s="128"/>
      <c r="BA2720" s="128"/>
      <c r="BB2720" s="128"/>
      <c r="BC2720" s="128"/>
      <c r="BD2720" s="128"/>
      <c r="BE2720" s="128"/>
      <c r="BF2720" s="128"/>
      <c r="BG2720" s="128"/>
      <c r="BH2720" s="128"/>
      <c r="BI2720" s="128"/>
      <c r="BJ2720" s="128"/>
      <c r="BK2720" s="128"/>
      <c r="BL2720" s="128"/>
      <c r="BM2720" s="151"/>
      <c r="BN2720" s="128"/>
      <c r="BO2720" s="128"/>
      <c r="BP2720" s="128"/>
      <c r="BQ2720" s="128"/>
      <c r="BR2720" s="128"/>
      <c r="BS2720" s="128"/>
      <c r="BT2720" s="128"/>
      <c r="BU2720" s="128"/>
      <c r="BV2720" s="128"/>
      <c r="BW2720" s="128"/>
      <c r="BX2720" s="128"/>
      <c r="BY2720" s="128"/>
      <c r="BZ2720" s="128"/>
      <c r="CA2720" s="128"/>
      <c r="CB2720" s="128"/>
      <c r="CC2720" s="128"/>
      <c r="CD2720" s="128"/>
      <c r="CE2720" s="128"/>
      <c r="CF2720" s="128"/>
      <c r="CG2720" s="128"/>
      <c r="CI2720" s="128"/>
      <c r="CJ2720" s="128"/>
      <c r="CK2720" s="128"/>
      <c r="CL2720" s="128"/>
      <c r="CM2720" s="128"/>
      <c r="CN2720" s="128"/>
      <c r="CO2720" s="128"/>
      <c r="CP2720" s="128"/>
      <c r="CQ2720" s="128"/>
      <c r="CR2720" s="128"/>
      <c r="CS2720" s="128"/>
      <c r="CT2720" s="128"/>
      <c r="CU2720" s="128"/>
      <c r="CV2720" s="128"/>
      <c r="CW2720" s="128"/>
      <c r="CX2720" s="128"/>
      <c r="CY2720" s="128"/>
      <c r="CZ2720" s="165"/>
    </row>
    <row r="2721" spans="1:104">
      <c r="A2721" s="149"/>
      <c r="B2721" s="149"/>
      <c r="C2721" s="150"/>
      <c r="D2721" s="102"/>
      <c r="E2721" s="149"/>
      <c r="F2721" s="149"/>
      <c r="G2721" s="149"/>
      <c r="H2721" s="149"/>
      <c r="I2721" s="149"/>
      <c r="J2721" s="149"/>
      <c r="K2721" s="149"/>
      <c r="L2721" s="149"/>
      <c r="M2721" s="149"/>
      <c r="N2721" s="149"/>
      <c r="O2721" s="149"/>
      <c r="P2721" s="149"/>
      <c r="Q2721" s="149"/>
      <c r="R2721" s="149"/>
      <c r="S2721" s="149"/>
      <c r="T2721" s="149"/>
      <c r="U2721" s="149"/>
      <c r="V2721" s="149"/>
      <c r="W2721" s="149"/>
      <c r="X2721" s="149"/>
      <c r="Y2721" s="149"/>
      <c r="Z2721" s="149"/>
      <c r="AA2721" s="149"/>
      <c r="AB2721" s="149"/>
      <c r="AC2721" s="149"/>
      <c r="AD2721" s="149"/>
      <c r="AE2721" s="149"/>
      <c r="AF2721" s="149"/>
      <c r="AG2721" s="149"/>
      <c r="AH2721" s="149"/>
      <c r="AI2721" s="149"/>
      <c r="AJ2721" s="149"/>
      <c r="AK2721" s="149"/>
      <c r="AL2721" s="149"/>
      <c r="AM2721" s="149"/>
      <c r="AN2721" s="149"/>
      <c r="AO2721" s="128"/>
      <c r="AP2721" s="128"/>
      <c r="AQ2721" s="128"/>
      <c r="AR2721" s="128"/>
      <c r="AS2721" s="128"/>
      <c r="AT2721" s="128"/>
      <c r="AU2721" s="128"/>
      <c r="AV2721" s="128"/>
      <c r="AW2721" s="128"/>
      <c r="AX2721" s="128"/>
      <c r="AY2721" s="128"/>
      <c r="AZ2721" s="128"/>
      <c r="BA2721" s="128"/>
      <c r="BB2721" s="128"/>
      <c r="BC2721" s="128"/>
      <c r="BD2721" s="128"/>
      <c r="BE2721" s="128"/>
      <c r="BF2721" s="128"/>
      <c r="BG2721" s="128"/>
      <c r="BH2721" s="128"/>
      <c r="BI2721" s="128"/>
      <c r="BJ2721" s="128"/>
      <c r="BK2721" s="128"/>
      <c r="BL2721" s="128"/>
      <c r="BM2721" s="151"/>
      <c r="BN2721" s="128"/>
      <c r="BO2721" s="128"/>
      <c r="BP2721" s="128"/>
      <c r="BQ2721" s="128"/>
      <c r="BR2721" s="128"/>
      <c r="BS2721" s="128"/>
      <c r="BT2721" s="128"/>
      <c r="BU2721" s="128"/>
      <c r="BV2721" s="128"/>
      <c r="BW2721" s="128"/>
      <c r="BX2721" s="128"/>
      <c r="BY2721" s="128"/>
      <c r="BZ2721" s="128"/>
      <c r="CA2721" s="128"/>
      <c r="CB2721" s="128"/>
      <c r="CC2721" s="128"/>
      <c r="CD2721" s="128"/>
      <c r="CE2721" s="128"/>
      <c r="CF2721" s="128"/>
      <c r="CG2721" s="128"/>
      <c r="CI2721" s="128"/>
      <c r="CJ2721" s="128"/>
      <c r="CK2721" s="128"/>
      <c r="CL2721" s="128"/>
      <c r="CM2721" s="128"/>
      <c r="CN2721" s="128"/>
      <c r="CO2721" s="128"/>
      <c r="CP2721" s="128"/>
      <c r="CQ2721" s="128"/>
      <c r="CR2721" s="128"/>
      <c r="CS2721" s="128"/>
      <c r="CT2721" s="128"/>
      <c r="CU2721" s="128"/>
      <c r="CV2721" s="128"/>
      <c r="CW2721" s="128"/>
      <c r="CX2721" s="128"/>
      <c r="CY2721" s="128"/>
      <c r="CZ2721" s="165"/>
    </row>
    <row r="2722" spans="1:104">
      <c r="A2722" s="149"/>
      <c r="B2722" s="149"/>
      <c r="C2722" s="150"/>
      <c r="D2722" s="102"/>
      <c r="E2722" s="149"/>
      <c r="F2722" s="149"/>
      <c r="G2722" s="149"/>
      <c r="H2722" s="149"/>
      <c r="I2722" s="149"/>
      <c r="J2722" s="149"/>
      <c r="K2722" s="149"/>
      <c r="L2722" s="149"/>
      <c r="M2722" s="149"/>
      <c r="N2722" s="149"/>
      <c r="O2722" s="149"/>
      <c r="P2722" s="149"/>
      <c r="Q2722" s="149"/>
      <c r="R2722" s="149"/>
      <c r="S2722" s="149"/>
      <c r="T2722" s="149"/>
      <c r="U2722" s="149"/>
      <c r="V2722" s="149"/>
      <c r="W2722" s="149"/>
      <c r="X2722" s="149"/>
      <c r="Y2722" s="149"/>
      <c r="Z2722" s="149"/>
      <c r="AA2722" s="149"/>
      <c r="AB2722" s="149"/>
      <c r="AC2722" s="149"/>
      <c r="AD2722" s="149"/>
      <c r="AE2722" s="149"/>
      <c r="AF2722" s="149"/>
      <c r="AG2722" s="149"/>
      <c r="AH2722" s="149"/>
      <c r="AI2722" s="149"/>
      <c r="AJ2722" s="149"/>
      <c r="AK2722" s="149"/>
      <c r="AL2722" s="149"/>
      <c r="AM2722" s="149"/>
      <c r="AN2722" s="149"/>
      <c r="AO2722" s="128"/>
      <c r="AP2722" s="128"/>
      <c r="AQ2722" s="128"/>
      <c r="AR2722" s="128"/>
      <c r="AS2722" s="128"/>
      <c r="AT2722" s="128"/>
      <c r="AU2722" s="128"/>
      <c r="AV2722" s="128"/>
      <c r="AW2722" s="128"/>
      <c r="AX2722" s="128"/>
      <c r="AY2722" s="128"/>
      <c r="AZ2722" s="128"/>
      <c r="BA2722" s="128"/>
      <c r="BB2722" s="128"/>
      <c r="BC2722" s="128"/>
      <c r="BD2722" s="128"/>
      <c r="BE2722" s="128"/>
      <c r="BF2722" s="128"/>
      <c r="BG2722" s="128"/>
      <c r="BH2722" s="128"/>
      <c r="BI2722" s="128"/>
      <c r="BJ2722" s="128"/>
      <c r="BK2722" s="128"/>
      <c r="BL2722" s="128"/>
      <c r="BM2722" s="151"/>
      <c r="BN2722" s="128"/>
      <c r="BO2722" s="128"/>
      <c r="BP2722" s="128"/>
      <c r="BQ2722" s="128"/>
      <c r="BR2722" s="128"/>
      <c r="BS2722" s="128"/>
      <c r="BT2722" s="128"/>
      <c r="BU2722" s="128"/>
      <c r="BV2722" s="128"/>
      <c r="BW2722" s="128"/>
      <c r="BX2722" s="128"/>
      <c r="BY2722" s="128"/>
      <c r="BZ2722" s="128"/>
      <c r="CA2722" s="128"/>
      <c r="CB2722" s="128"/>
      <c r="CC2722" s="128"/>
      <c r="CD2722" s="128"/>
      <c r="CE2722" s="128"/>
      <c r="CF2722" s="128"/>
      <c r="CG2722" s="128"/>
      <c r="CI2722" s="128"/>
      <c r="CJ2722" s="128"/>
      <c r="CK2722" s="128"/>
      <c r="CL2722" s="128"/>
      <c r="CM2722" s="128"/>
      <c r="CN2722" s="128"/>
      <c r="CO2722" s="128"/>
      <c r="CP2722" s="128"/>
      <c r="CQ2722" s="128"/>
      <c r="CR2722" s="128"/>
      <c r="CS2722" s="128"/>
      <c r="CT2722" s="128"/>
      <c r="CU2722" s="128"/>
      <c r="CV2722" s="128"/>
      <c r="CW2722" s="128"/>
      <c r="CX2722" s="128"/>
      <c r="CY2722" s="128"/>
      <c r="CZ2722" s="165"/>
    </row>
    <row r="2723" spans="1:104">
      <c r="A2723" s="149"/>
      <c r="B2723" s="149"/>
      <c r="C2723" s="150"/>
      <c r="D2723" s="102"/>
      <c r="E2723" s="149"/>
      <c r="F2723" s="149"/>
      <c r="G2723" s="149"/>
      <c r="H2723" s="149"/>
      <c r="I2723" s="149"/>
      <c r="J2723" s="149"/>
      <c r="K2723" s="149"/>
      <c r="L2723" s="149"/>
      <c r="M2723" s="149"/>
      <c r="N2723" s="149"/>
      <c r="O2723" s="149"/>
      <c r="P2723" s="149"/>
      <c r="Q2723" s="149"/>
      <c r="R2723" s="149"/>
      <c r="S2723" s="149"/>
      <c r="T2723" s="149"/>
      <c r="U2723" s="149"/>
      <c r="V2723" s="149"/>
      <c r="W2723" s="149"/>
      <c r="X2723" s="149"/>
      <c r="Y2723" s="149"/>
      <c r="Z2723" s="149"/>
      <c r="AA2723" s="149"/>
      <c r="AB2723" s="149"/>
      <c r="AC2723" s="149"/>
      <c r="AD2723" s="149"/>
      <c r="AE2723" s="149"/>
      <c r="AF2723" s="149"/>
      <c r="AG2723" s="149"/>
      <c r="AH2723" s="149"/>
      <c r="AI2723" s="149"/>
      <c r="AJ2723" s="149"/>
      <c r="AK2723" s="149"/>
      <c r="AL2723" s="149"/>
      <c r="AM2723" s="149"/>
      <c r="AN2723" s="149"/>
      <c r="AO2723" s="128"/>
      <c r="AP2723" s="128"/>
      <c r="AQ2723" s="128"/>
      <c r="AR2723" s="128"/>
      <c r="AS2723" s="128"/>
      <c r="AT2723" s="128"/>
      <c r="AU2723" s="128"/>
      <c r="AV2723" s="128"/>
      <c r="AW2723" s="128"/>
      <c r="AX2723" s="128"/>
      <c r="AY2723" s="128"/>
      <c r="AZ2723" s="128"/>
      <c r="BA2723" s="128"/>
      <c r="BB2723" s="128"/>
      <c r="BC2723" s="128"/>
      <c r="BD2723" s="128"/>
      <c r="BE2723" s="128"/>
      <c r="BF2723" s="128"/>
      <c r="BG2723" s="128"/>
      <c r="BH2723" s="128"/>
      <c r="BI2723" s="128"/>
      <c r="BJ2723" s="128"/>
      <c r="BK2723" s="128"/>
      <c r="BL2723" s="128"/>
      <c r="BM2723" s="151"/>
      <c r="BN2723" s="128"/>
      <c r="BO2723" s="128"/>
      <c r="BP2723" s="128"/>
      <c r="BQ2723" s="128"/>
      <c r="BR2723" s="128"/>
      <c r="BS2723" s="128"/>
      <c r="BT2723" s="128"/>
      <c r="BU2723" s="128"/>
      <c r="BV2723" s="128"/>
      <c r="BW2723" s="128"/>
      <c r="BX2723" s="128"/>
      <c r="BY2723" s="128"/>
      <c r="BZ2723" s="128"/>
      <c r="CA2723" s="128"/>
      <c r="CB2723" s="128"/>
      <c r="CC2723" s="128"/>
      <c r="CD2723" s="128"/>
      <c r="CE2723" s="128"/>
      <c r="CF2723" s="128"/>
      <c r="CG2723" s="128"/>
      <c r="CI2723" s="128"/>
      <c r="CJ2723" s="128"/>
      <c r="CK2723" s="128"/>
      <c r="CL2723" s="128"/>
      <c r="CM2723" s="128"/>
      <c r="CN2723" s="128"/>
      <c r="CO2723" s="128"/>
      <c r="CP2723" s="128"/>
      <c r="CQ2723" s="128"/>
      <c r="CR2723" s="128"/>
      <c r="CS2723" s="128"/>
      <c r="CT2723" s="128"/>
      <c r="CU2723" s="128"/>
      <c r="CV2723" s="128"/>
      <c r="CW2723" s="128"/>
      <c r="CX2723" s="128"/>
      <c r="CY2723" s="128"/>
      <c r="CZ2723" s="165"/>
    </row>
    <row r="2724" spans="1:104">
      <c r="A2724" s="149"/>
      <c r="B2724" s="149"/>
      <c r="C2724" s="150"/>
      <c r="D2724" s="102"/>
      <c r="E2724" s="149"/>
      <c r="F2724" s="149"/>
      <c r="G2724" s="149"/>
      <c r="H2724" s="149"/>
      <c r="I2724" s="149"/>
      <c r="J2724" s="149"/>
      <c r="K2724" s="149"/>
      <c r="L2724" s="149"/>
      <c r="M2724" s="149"/>
      <c r="N2724" s="149"/>
      <c r="O2724" s="149"/>
      <c r="P2724" s="149"/>
      <c r="Q2724" s="149"/>
      <c r="R2724" s="149"/>
      <c r="S2724" s="149"/>
      <c r="T2724" s="149"/>
      <c r="U2724" s="149"/>
      <c r="V2724" s="149"/>
      <c r="W2724" s="149"/>
      <c r="X2724" s="149"/>
      <c r="Y2724" s="149"/>
      <c r="Z2724" s="149"/>
      <c r="AA2724" s="149"/>
      <c r="AB2724" s="149"/>
      <c r="AC2724" s="149"/>
      <c r="AD2724" s="149"/>
      <c r="AE2724" s="149"/>
      <c r="AF2724" s="149"/>
      <c r="AG2724" s="149"/>
      <c r="AH2724" s="149"/>
      <c r="AI2724" s="149"/>
      <c r="AJ2724" s="149"/>
      <c r="AK2724" s="149"/>
      <c r="AL2724" s="149"/>
      <c r="AM2724" s="149"/>
      <c r="AN2724" s="149"/>
      <c r="AO2724" s="128"/>
      <c r="AP2724" s="128"/>
      <c r="AQ2724" s="128"/>
      <c r="AR2724" s="128"/>
      <c r="AS2724" s="128"/>
      <c r="AT2724" s="128"/>
      <c r="AU2724" s="128"/>
      <c r="AV2724" s="128"/>
      <c r="AW2724" s="128"/>
      <c r="AX2724" s="128"/>
      <c r="AY2724" s="128"/>
      <c r="AZ2724" s="128"/>
      <c r="BA2724" s="128"/>
      <c r="BB2724" s="128"/>
      <c r="BC2724" s="128"/>
      <c r="BD2724" s="128"/>
      <c r="BE2724" s="128"/>
      <c r="BF2724" s="128"/>
      <c r="BG2724" s="128"/>
      <c r="BH2724" s="128"/>
      <c r="BI2724" s="128"/>
      <c r="BJ2724" s="128"/>
      <c r="BK2724" s="128"/>
      <c r="BL2724" s="128"/>
      <c r="BM2724" s="151"/>
      <c r="BN2724" s="128"/>
      <c r="BO2724" s="128"/>
      <c r="BP2724" s="128"/>
      <c r="BQ2724" s="128"/>
      <c r="BR2724" s="128"/>
      <c r="BS2724" s="128"/>
      <c r="BT2724" s="128"/>
      <c r="BU2724" s="128"/>
      <c r="BV2724" s="128"/>
      <c r="BW2724" s="128"/>
      <c r="BX2724" s="128"/>
      <c r="BY2724" s="128"/>
      <c r="BZ2724" s="128"/>
      <c r="CA2724" s="128"/>
      <c r="CB2724" s="128"/>
      <c r="CC2724" s="128"/>
      <c r="CD2724" s="128"/>
      <c r="CE2724" s="128"/>
      <c r="CF2724" s="128"/>
      <c r="CG2724" s="128"/>
      <c r="CI2724" s="128"/>
      <c r="CJ2724" s="128"/>
      <c r="CK2724" s="128"/>
      <c r="CL2724" s="128"/>
      <c r="CM2724" s="128"/>
      <c r="CN2724" s="128"/>
      <c r="CO2724" s="128"/>
      <c r="CP2724" s="128"/>
      <c r="CQ2724" s="128"/>
      <c r="CR2724" s="128"/>
      <c r="CS2724" s="128"/>
      <c r="CT2724" s="128"/>
      <c r="CU2724" s="128"/>
      <c r="CV2724" s="128"/>
      <c r="CW2724" s="128"/>
      <c r="CX2724" s="128"/>
      <c r="CY2724" s="128"/>
      <c r="CZ2724" s="165"/>
    </row>
    <row r="2725" spans="1:104">
      <c r="A2725" s="149"/>
      <c r="B2725" s="149"/>
      <c r="C2725" s="150"/>
      <c r="D2725" s="102"/>
      <c r="E2725" s="149"/>
      <c r="F2725" s="149"/>
      <c r="G2725" s="149"/>
      <c r="H2725" s="149"/>
      <c r="I2725" s="149"/>
      <c r="J2725" s="149"/>
      <c r="K2725" s="149"/>
      <c r="L2725" s="149"/>
      <c r="M2725" s="149"/>
      <c r="N2725" s="149"/>
      <c r="O2725" s="149"/>
      <c r="P2725" s="149"/>
      <c r="Q2725" s="149"/>
      <c r="R2725" s="149"/>
      <c r="S2725" s="149"/>
      <c r="T2725" s="149"/>
      <c r="U2725" s="149"/>
      <c r="V2725" s="149"/>
      <c r="W2725" s="149"/>
      <c r="X2725" s="149"/>
      <c r="Y2725" s="149"/>
      <c r="Z2725" s="149"/>
      <c r="AA2725" s="149"/>
      <c r="AB2725" s="149"/>
      <c r="AC2725" s="149"/>
      <c r="AD2725" s="149"/>
      <c r="AE2725" s="149"/>
      <c r="AF2725" s="149"/>
      <c r="AG2725" s="149"/>
      <c r="AH2725" s="149"/>
      <c r="AI2725" s="149"/>
      <c r="AJ2725" s="149"/>
      <c r="AK2725" s="149"/>
      <c r="AL2725" s="149"/>
      <c r="AM2725" s="149"/>
      <c r="AN2725" s="149"/>
      <c r="AO2725" s="128"/>
      <c r="AP2725" s="128"/>
      <c r="AQ2725" s="128"/>
      <c r="AR2725" s="128"/>
      <c r="AS2725" s="128"/>
      <c r="AT2725" s="128"/>
      <c r="AU2725" s="128"/>
      <c r="AV2725" s="128"/>
      <c r="AW2725" s="128"/>
      <c r="AX2725" s="128"/>
      <c r="AY2725" s="128"/>
      <c r="AZ2725" s="128"/>
      <c r="BA2725" s="128"/>
      <c r="BB2725" s="128"/>
      <c r="BC2725" s="128"/>
      <c r="BD2725" s="128"/>
      <c r="BE2725" s="128"/>
      <c r="BF2725" s="128"/>
      <c r="BG2725" s="128"/>
      <c r="BH2725" s="128"/>
      <c r="BI2725" s="128"/>
      <c r="BJ2725" s="128"/>
      <c r="BK2725" s="128"/>
      <c r="BL2725" s="128"/>
      <c r="BM2725" s="151"/>
      <c r="BN2725" s="128"/>
      <c r="BO2725" s="128"/>
      <c r="BP2725" s="128"/>
      <c r="BQ2725" s="128"/>
      <c r="BR2725" s="128"/>
      <c r="BS2725" s="128"/>
      <c r="BT2725" s="128"/>
      <c r="BU2725" s="128"/>
      <c r="BV2725" s="128"/>
      <c r="BW2725" s="128"/>
      <c r="BX2725" s="128"/>
      <c r="BY2725" s="128"/>
      <c r="BZ2725" s="128"/>
      <c r="CA2725" s="128"/>
      <c r="CB2725" s="128"/>
      <c r="CC2725" s="128"/>
      <c r="CD2725" s="128"/>
      <c r="CE2725" s="128"/>
      <c r="CF2725" s="128"/>
      <c r="CG2725" s="128"/>
      <c r="CI2725" s="128"/>
      <c r="CJ2725" s="128"/>
      <c r="CK2725" s="128"/>
      <c r="CL2725" s="128"/>
      <c r="CM2725" s="128"/>
      <c r="CN2725" s="128"/>
      <c r="CO2725" s="128"/>
      <c r="CP2725" s="128"/>
      <c r="CQ2725" s="128"/>
      <c r="CR2725" s="128"/>
      <c r="CS2725" s="128"/>
      <c r="CT2725" s="128"/>
      <c r="CU2725" s="128"/>
      <c r="CV2725" s="128"/>
      <c r="CW2725" s="128"/>
      <c r="CX2725" s="128"/>
      <c r="CY2725" s="128"/>
      <c r="CZ2725" s="165"/>
    </row>
    <row r="2726" spans="1:104">
      <c r="A2726" s="149"/>
      <c r="B2726" s="149"/>
      <c r="C2726" s="150"/>
      <c r="D2726" s="102"/>
      <c r="E2726" s="149"/>
      <c r="F2726" s="149"/>
      <c r="G2726" s="149"/>
      <c r="H2726" s="149"/>
      <c r="I2726" s="149"/>
      <c r="J2726" s="149"/>
      <c r="K2726" s="149"/>
      <c r="L2726" s="149"/>
      <c r="M2726" s="149"/>
      <c r="N2726" s="149"/>
      <c r="O2726" s="149"/>
      <c r="P2726" s="149"/>
      <c r="Q2726" s="149"/>
      <c r="R2726" s="149"/>
      <c r="S2726" s="149"/>
      <c r="T2726" s="149"/>
      <c r="U2726" s="149"/>
      <c r="V2726" s="149"/>
      <c r="W2726" s="149"/>
      <c r="X2726" s="149"/>
      <c r="Y2726" s="149"/>
      <c r="Z2726" s="149"/>
      <c r="AA2726" s="149"/>
      <c r="AB2726" s="149"/>
      <c r="AC2726" s="149"/>
      <c r="AD2726" s="149"/>
      <c r="AE2726" s="149"/>
      <c r="AF2726" s="149"/>
      <c r="AG2726" s="149"/>
      <c r="AH2726" s="149"/>
      <c r="AI2726" s="149"/>
      <c r="AJ2726" s="149"/>
      <c r="AK2726" s="149"/>
      <c r="AL2726" s="149"/>
      <c r="AM2726" s="149"/>
      <c r="AN2726" s="149"/>
      <c r="AO2726" s="128"/>
      <c r="AP2726" s="128"/>
      <c r="AQ2726" s="128"/>
      <c r="AR2726" s="128"/>
      <c r="AS2726" s="128"/>
      <c r="AT2726" s="128"/>
      <c r="AU2726" s="128"/>
      <c r="AV2726" s="128"/>
      <c r="AW2726" s="128"/>
      <c r="AX2726" s="128"/>
      <c r="AY2726" s="128"/>
      <c r="AZ2726" s="128"/>
      <c r="BA2726" s="128"/>
      <c r="BB2726" s="128"/>
      <c r="BC2726" s="128"/>
      <c r="BD2726" s="128"/>
      <c r="BE2726" s="128"/>
      <c r="BF2726" s="128"/>
      <c r="BG2726" s="128"/>
      <c r="BH2726" s="128"/>
      <c r="BI2726" s="128"/>
      <c r="BJ2726" s="128"/>
      <c r="BK2726" s="128"/>
      <c r="BL2726" s="128"/>
      <c r="BM2726" s="151"/>
      <c r="BN2726" s="128"/>
      <c r="BO2726" s="128"/>
      <c r="BP2726" s="128"/>
      <c r="BQ2726" s="128"/>
      <c r="BR2726" s="128"/>
      <c r="BS2726" s="128"/>
      <c r="BT2726" s="128"/>
      <c r="BU2726" s="128"/>
      <c r="BV2726" s="128"/>
      <c r="BW2726" s="128"/>
      <c r="BX2726" s="128"/>
      <c r="BY2726" s="128"/>
      <c r="BZ2726" s="128"/>
      <c r="CA2726" s="128"/>
      <c r="CB2726" s="128"/>
      <c r="CC2726" s="128"/>
      <c r="CD2726" s="128"/>
      <c r="CE2726" s="128"/>
      <c r="CF2726" s="128"/>
      <c r="CG2726" s="128"/>
      <c r="CI2726" s="128"/>
      <c r="CJ2726" s="128"/>
      <c r="CK2726" s="128"/>
      <c r="CL2726" s="128"/>
      <c r="CM2726" s="128"/>
      <c r="CN2726" s="128"/>
      <c r="CO2726" s="128"/>
      <c r="CP2726" s="128"/>
      <c r="CQ2726" s="128"/>
      <c r="CR2726" s="128"/>
      <c r="CS2726" s="128"/>
      <c r="CT2726" s="128"/>
      <c r="CU2726" s="128"/>
      <c r="CV2726" s="128"/>
      <c r="CW2726" s="128"/>
      <c r="CX2726" s="128"/>
      <c r="CY2726" s="128"/>
      <c r="CZ2726" s="165"/>
    </row>
    <row r="2727" spans="1:104">
      <c r="A2727" s="149"/>
      <c r="B2727" s="149"/>
      <c r="C2727" s="150"/>
      <c r="D2727" s="102"/>
      <c r="E2727" s="149"/>
      <c r="F2727" s="149"/>
      <c r="G2727" s="149"/>
      <c r="H2727" s="149"/>
      <c r="I2727" s="149"/>
      <c r="J2727" s="149"/>
      <c r="K2727" s="149"/>
      <c r="L2727" s="149"/>
      <c r="M2727" s="149"/>
      <c r="N2727" s="149"/>
      <c r="O2727" s="149"/>
      <c r="P2727" s="149"/>
      <c r="Q2727" s="149"/>
      <c r="R2727" s="149"/>
      <c r="S2727" s="149"/>
      <c r="T2727" s="149"/>
      <c r="U2727" s="149"/>
      <c r="V2727" s="149"/>
      <c r="W2727" s="149"/>
      <c r="X2727" s="149"/>
      <c r="Y2727" s="149"/>
      <c r="Z2727" s="149"/>
      <c r="AA2727" s="149"/>
      <c r="AB2727" s="149"/>
      <c r="AC2727" s="149"/>
      <c r="AD2727" s="149"/>
      <c r="AE2727" s="149"/>
      <c r="AF2727" s="149"/>
      <c r="AG2727" s="149"/>
      <c r="AH2727" s="149"/>
      <c r="AI2727" s="149"/>
      <c r="AJ2727" s="149"/>
      <c r="AK2727" s="149"/>
      <c r="AL2727" s="149"/>
      <c r="AM2727" s="149"/>
      <c r="AN2727" s="149"/>
      <c r="AO2727" s="128"/>
      <c r="AP2727" s="128"/>
      <c r="AQ2727" s="128"/>
      <c r="AR2727" s="128"/>
      <c r="AS2727" s="128"/>
      <c r="AT2727" s="128"/>
      <c r="AU2727" s="128"/>
      <c r="AV2727" s="128"/>
      <c r="AW2727" s="128"/>
      <c r="AX2727" s="128"/>
      <c r="AY2727" s="128"/>
      <c r="AZ2727" s="128"/>
      <c r="BA2727" s="128"/>
      <c r="BB2727" s="128"/>
      <c r="BC2727" s="128"/>
      <c r="BD2727" s="128"/>
      <c r="BE2727" s="128"/>
      <c r="BF2727" s="128"/>
      <c r="BG2727" s="128"/>
      <c r="BH2727" s="128"/>
      <c r="BI2727" s="128"/>
      <c r="BJ2727" s="128"/>
      <c r="BK2727" s="128"/>
      <c r="BL2727" s="128"/>
      <c r="BM2727" s="151"/>
      <c r="BN2727" s="128"/>
      <c r="BO2727" s="128"/>
      <c r="BP2727" s="128"/>
      <c r="BQ2727" s="128"/>
      <c r="BR2727" s="128"/>
      <c r="BS2727" s="128"/>
      <c r="BT2727" s="128"/>
      <c r="BU2727" s="128"/>
      <c r="BV2727" s="128"/>
      <c r="BW2727" s="128"/>
      <c r="BX2727" s="128"/>
      <c r="BY2727" s="128"/>
      <c r="BZ2727" s="128"/>
      <c r="CA2727" s="128"/>
      <c r="CB2727" s="128"/>
      <c r="CC2727" s="128"/>
      <c r="CD2727" s="128"/>
      <c r="CE2727" s="128"/>
      <c r="CF2727" s="128"/>
      <c r="CG2727" s="128"/>
      <c r="CI2727" s="128"/>
      <c r="CJ2727" s="128"/>
      <c r="CK2727" s="128"/>
      <c r="CL2727" s="128"/>
      <c r="CM2727" s="128"/>
      <c r="CN2727" s="128"/>
      <c r="CO2727" s="128"/>
      <c r="CP2727" s="128"/>
      <c r="CQ2727" s="128"/>
      <c r="CR2727" s="128"/>
      <c r="CS2727" s="128"/>
      <c r="CT2727" s="128"/>
      <c r="CU2727" s="128"/>
      <c r="CV2727" s="128"/>
      <c r="CW2727" s="128"/>
      <c r="CX2727" s="128"/>
      <c r="CY2727" s="128"/>
      <c r="CZ2727" s="165"/>
    </row>
    <row r="2728" spans="1:104">
      <c r="A2728" s="149"/>
      <c r="B2728" s="149"/>
      <c r="C2728" s="150"/>
      <c r="D2728" s="102"/>
      <c r="E2728" s="149"/>
      <c r="F2728" s="149"/>
      <c r="G2728" s="149"/>
      <c r="H2728" s="149"/>
      <c r="I2728" s="149"/>
      <c r="J2728" s="149"/>
      <c r="K2728" s="149"/>
      <c r="L2728" s="149"/>
      <c r="M2728" s="149"/>
      <c r="N2728" s="149"/>
      <c r="O2728" s="149"/>
      <c r="P2728" s="149"/>
      <c r="Q2728" s="149"/>
      <c r="R2728" s="149"/>
      <c r="S2728" s="149"/>
      <c r="T2728" s="149"/>
      <c r="U2728" s="149"/>
      <c r="V2728" s="149"/>
      <c r="W2728" s="149"/>
      <c r="X2728" s="149"/>
      <c r="Y2728" s="149"/>
      <c r="Z2728" s="149"/>
      <c r="AA2728" s="149"/>
      <c r="AB2728" s="149"/>
      <c r="AC2728" s="149"/>
      <c r="AD2728" s="149"/>
      <c r="AE2728" s="149"/>
      <c r="AF2728" s="149"/>
      <c r="AG2728" s="149"/>
      <c r="AH2728" s="149"/>
      <c r="AI2728" s="149"/>
      <c r="AJ2728" s="149"/>
      <c r="AK2728" s="149"/>
      <c r="AL2728" s="149"/>
      <c r="AM2728" s="149"/>
      <c r="AN2728" s="149"/>
      <c r="AO2728" s="128"/>
      <c r="AP2728" s="128"/>
      <c r="AQ2728" s="128"/>
      <c r="AR2728" s="128"/>
      <c r="AS2728" s="128"/>
      <c r="AT2728" s="128"/>
      <c r="AU2728" s="128"/>
      <c r="AV2728" s="128"/>
      <c r="AW2728" s="128"/>
      <c r="AX2728" s="128"/>
      <c r="AY2728" s="128"/>
      <c r="AZ2728" s="128"/>
      <c r="BA2728" s="128"/>
      <c r="BB2728" s="128"/>
      <c r="BC2728" s="128"/>
      <c r="BD2728" s="128"/>
      <c r="BE2728" s="128"/>
      <c r="BF2728" s="128"/>
      <c r="BG2728" s="128"/>
      <c r="BH2728" s="128"/>
      <c r="BI2728" s="128"/>
      <c r="BJ2728" s="128"/>
      <c r="BK2728" s="128"/>
      <c r="BL2728" s="128"/>
      <c r="BM2728" s="151"/>
      <c r="BN2728" s="128"/>
      <c r="BO2728" s="128"/>
      <c r="BP2728" s="128"/>
      <c r="BQ2728" s="128"/>
      <c r="BR2728" s="128"/>
      <c r="BS2728" s="128"/>
      <c r="BT2728" s="128"/>
      <c r="BU2728" s="128"/>
      <c r="BV2728" s="128"/>
      <c r="BW2728" s="128"/>
      <c r="BX2728" s="128"/>
      <c r="BY2728" s="128"/>
      <c r="BZ2728" s="128"/>
      <c r="CA2728" s="128"/>
      <c r="CB2728" s="128"/>
      <c r="CC2728" s="128"/>
      <c r="CD2728" s="128"/>
      <c r="CE2728" s="128"/>
      <c r="CF2728" s="128"/>
      <c r="CG2728" s="128"/>
      <c r="CI2728" s="128"/>
      <c r="CJ2728" s="128"/>
      <c r="CK2728" s="128"/>
      <c r="CL2728" s="128"/>
      <c r="CM2728" s="128"/>
      <c r="CN2728" s="128"/>
      <c r="CO2728" s="128"/>
      <c r="CP2728" s="128"/>
      <c r="CQ2728" s="128"/>
      <c r="CR2728" s="128"/>
      <c r="CS2728" s="128"/>
      <c r="CT2728" s="128"/>
      <c r="CU2728" s="128"/>
      <c r="CV2728" s="128"/>
      <c r="CW2728" s="128"/>
      <c r="CX2728" s="128"/>
      <c r="CY2728" s="128"/>
      <c r="CZ2728" s="165"/>
    </row>
    <row r="2729" spans="1:104">
      <c r="A2729" s="149"/>
      <c r="B2729" s="149"/>
      <c r="C2729" s="150"/>
      <c r="D2729" s="102"/>
      <c r="E2729" s="149"/>
      <c r="F2729" s="149"/>
      <c r="G2729" s="149"/>
      <c r="H2729" s="149"/>
      <c r="I2729" s="149"/>
      <c r="J2729" s="149"/>
      <c r="K2729" s="149"/>
      <c r="L2729" s="149"/>
      <c r="M2729" s="149"/>
      <c r="N2729" s="149"/>
      <c r="O2729" s="149"/>
      <c r="P2729" s="149"/>
      <c r="Q2729" s="149"/>
      <c r="R2729" s="149"/>
      <c r="S2729" s="149"/>
      <c r="T2729" s="149"/>
      <c r="U2729" s="149"/>
      <c r="V2729" s="149"/>
      <c r="W2729" s="149"/>
      <c r="X2729" s="149"/>
      <c r="Y2729" s="149"/>
      <c r="Z2729" s="149"/>
      <c r="AA2729" s="149"/>
      <c r="AB2729" s="149"/>
      <c r="AC2729" s="149"/>
      <c r="AD2729" s="149"/>
      <c r="AE2729" s="149"/>
      <c r="AF2729" s="149"/>
      <c r="AG2729" s="149"/>
      <c r="AH2729" s="149"/>
      <c r="AI2729" s="149"/>
      <c r="AJ2729" s="149"/>
      <c r="AK2729" s="149"/>
      <c r="AL2729" s="149"/>
      <c r="AM2729" s="149"/>
      <c r="AN2729" s="149"/>
      <c r="AO2729" s="128"/>
      <c r="AP2729" s="128"/>
      <c r="AQ2729" s="128"/>
      <c r="AR2729" s="128"/>
      <c r="AS2729" s="128"/>
      <c r="AT2729" s="128"/>
      <c r="AU2729" s="128"/>
      <c r="AV2729" s="128"/>
      <c r="AW2729" s="128"/>
      <c r="AX2729" s="128"/>
      <c r="AY2729" s="128"/>
      <c r="AZ2729" s="128"/>
      <c r="BA2729" s="128"/>
      <c r="BB2729" s="128"/>
      <c r="BC2729" s="128"/>
      <c r="BD2729" s="128"/>
      <c r="BE2729" s="128"/>
      <c r="BF2729" s="128"/>
      <c r="BG2729" s="128"/>
      <c r="BH2729" s="128"/>
      <c r="BI2729" s="128"/>
      <c r="BJ2729" s="128"/>
      <c r="BK2729" s="128"/>
      <c r="BL2729" s="128"/>
      <c r="BM2729" s="151"/>
      <c r="BN2729" s="128"/>
      <c r="BO2729" s="128"/>
      <c r="BP2729" s="128"/>
      <c r="BQ2729" s="128"/>
      <c r="BR2729" s="128"/>
      <c r="BS2729" s="128"/>
      <c r="BT2729" s="128"/>
      <c r="BU2729" s="128"/>
      <c r="BV2729" s="128"/>
      <c r="BW2729" s="128"/>
      <c r="BX2729" s="128"/>
      <c r="BY2729" s="128"/>
      <c r="BZ2729" s="128"/>
      <c r="CA2729" s="128"/>
      <c r="CB2729" s="128"/>
      <c r="CC2729" s="128"/>
      <c r="CD2729" s="128"/>
      <c r="CE2729" s="128"/>
      <c r="CF2729" s="128"/>
      <c r="CG2729" s="128"/>
      <c r="CI2729" s="128"/>
      <c r="CJ2729" s="128"/>
      <c r="CK2729" s="128"/>
      <c r="CL2729" s="128"/>
      <c r="CM2729" s="128"/>
      <c r="CN2729" s="128"/>
      <c r="CO2729" s="128"/>
      <c r="CP2729" s="128"/>
      <c r="CQ2729" s="128"/>
      <c r="CR2729" s="128"/>
      <c r="CS2729" s="128"/>
      <c r="CT2729" s="128"/>
      <c r="CU2729" s="128"/>
      <c r="CV2729" s="128"/>
      <c r="CW2729" s="128"/>
      <c r="CX2729" s="128"/>
      <c r="CY2729" s="128"/>
      <c r="CZ2729" s="165"/>
    </row>
    <row r="2730" spans="1:104">
      <c r="A2730" s="149"/>
      <c r="B2730" s="149"/>
      <c r="C2730" s="150"/>
      <c r="D2730" s="102"/>
      <c r="E2730" s="149"/>
      <c r="F2730" s="149"/>
      <c r="G2730" s="149"/>
      <c r="H2730" s="149"/>
      <c r="I2730" s="149"/>
      <c r="J2730" s="149"/>
      <c r="K2730" s="149"/>
      <c r="L2730" s="149"/>
      <c r="M2730" s="149"/>
      <c r="N2730" s="149"/>
      <c r="O2730" s="149"/>
      <c r="P2730" s="149"/>
      <c r="Q2730" s="149"/>
      <c r="R2730" s="149"/>
      <c r="S2730" s="149"/>
      <c r="T2730" s="149"/>
      <c r="U2730" s="149"/>
      <c r="V2730" s="149"/>
      <c r="W2730" s="149"/>
      <c r="X2730" s="149"/>
      <c r="Y2730" s="149"/>
      <c r="Z2730" s="149"/>
      <c r="AA2730" s="149"/>
      <c r="AB2730" s="149"/>
      <c r="AC2730" s="149"/>
      <c r="AD2730" s="149"/>
      <c r="AE2730" s="149"/>
      <c r="AF2730" s="149"/>
      <c r="AG2730" s="149"/>
      <c r="AH2730" s="149"/>
      <c r="AI2730" s="149"/>
      <c r="AJ2730" s="149"/>
      <c r="AK2730" s="149"/>
      <c r="AL2730" s="149"/>
      <c r="AM2730" s="149"/>
      <c r="AN2730" s="149"/>
      <c r="AO2730" s="128"/>
      <c r="AP2730" s="128"/>
      <c r="AQ2730" s="128"/>
      <c r="AR2730" s="128"/>
      <c r="AS2730" s="128"/>
      <c r="AT2730" s="128"/>
      <c r="AU2730" s="128"/>
      <c r="AV2730" s="128"/>
      <c r="AW2730" s="128"/>
      <c r="AX2730" s="128"/>
      <c r="AY2730" s="128"/>
      <c r="AZ2730" s="128"/>
      <c r="BA2730" s="128"/>
      <c r="BB2730" s="128"/>
      <c r="BC2730" s="128"/>
      <c r="BD2730" s="128"/>
      <c r="BE2730" s="128"/>
      <c r="BF2730" s="128"/>
      <c r="BG2730" s="128"/>
      <c r="BH2730" s="128"/>
      <c r="BI2730" s="128"/>
      <c r="BJ2730" s="128"/>
      <c r="BK2730" s="128"/>
      <c r="BL2730" s="128"/>
      <c r="BM2730" s="151"/>
      <c r="BN2730" s="128"/>
      <c r="BO2730" s="128"/>
      <c r="BP2730" s="128"/>
      <c r="BQ2730" s="128"/>
      <c r="BR2730" s="128"/>
      <c r="BS2730" s="128"/>
      <c r="BT2730" s="128"/>
      <c r="BU2730" s="128"/>
      <c r="BV2730" s="128"/>
      <c r="BW2730" s="128"/>
      <c r="BX2730" s="128"/>
      <c r="BY2730" s="128"/>
      <c r="BZ2730" s="128"/>
      <c r="CA2730" s="128"/>
      <c r="CB2730" s="128"/>
      <c r="CC2730" s="128"/>
      <c r="CD2730" s="128"/>
      <c r="CE2730" s="128"/>
      <c r="CF2730" s="128"/>
      <c r="CG2730" s="128"/>
      <c r="CI2730" s="128"/>
      <c r="CJ2730" s="128"/>
      <c r="CK2730" s="128"/>
      <c r="CL2730" s="128"/>
      <c r="CM2730" s="128"/>
      <c r="CN2730" s="128"/>
      <c r="CO2730" s="128"/>
      <c r="CP2730" s="128"/>
      <c r="CQ2730" s="128"/>
      <c r="CR2730" s="128"/>
      <c r="CS2730" s="128"/>
      <c r="CT2730" s="128"/>
      <c r="CU2730" s="128"/>
      <c r="CV2730" s="128"/>
      <c r="CW2730" s="128"/>
      <c r="CX2730" s="128"/>
      <c r="CY2730" s="128"/>
      <c r="CZ2730" s="165"/>
    </row>
    <row r="2731" spans="1:104">
      <c r="A2731" s="149"/>
      <c r="B2731" s="149"/>
      <c r="C2731" s="150"/>
      <c r="D2731" s="102"/>
      <c r="E2731" s="149"/>
      <c r="F2731" s="149"/>
      <c r="G2731" s="149"/>
      <c r="H2731" s="149"/>
      <c r="I2731" s="149"/>
      <c r="J2731" s="149"/>
      <c r="K2731" s="149"/>
      <c r="L2731" s="149"/>
      <c r="M2731" s="149"/>
      <c r="N2731" s="149"/>
      <c r="O2731" s="149"/>
      <c r="P2731" s="149"/>
      <c r="Q2731" s="149"/>
      <c r="R2731" s="149"/>
      <c r="S2731" s="149"/>
      <c r="T2731" s="149"/>
      <c r="U2731" s="149"/>
      <c r="V2731" s="149"/>
      <c r="W2731" s="149"/>
      <c r="X2731" s="149"/>
      <c r="Y2731" s="149"/>
      <c r="Z2731" s="149"/>
      <c r="AA2731" s="149"/>
      <c r="AB2731" s="149"/>
      <c r="AC2731" s="149"/>
      <c r="AD2731" s="149"/>
      <c r="AE2731" s="149"/>
      <c r="AF2731" s="149"/>
      <c r="AG2731" s="149"/>
      <c r="AH2731" s="149"/>
      <c r="AI2731" s="149"/>
      <c r="AJ2731" s="149"/>
      <c r="AK2731" s="149"/>
      <c r="AL2731" s="149"/>
      <c r="AM2731" s="149"/>
      <c r="AN2731" s="149"/>
      <c r="AO2731" s="128"/>
      <c r="AP2731" s="128"/>
      <c r="AQ2731" s="128"/>
      <c r="AR2731" s="128"/>
      <c r="AS2731" s="128"/>
      <c r="AT2731" s="128"/>
      <c r="AU2731" s="128"/>
      <c r="AV2731" s="128"/>
      <c r="AW2731" s="128"/>
      <c r="AX2731" s="128"/>
      <c r="AY2731" s="128"/>
      <c r="AZ2731" s="128"/>
      <c r="BA2731" s="128"/>
      <c r="BB2731" s="128"/>
      <c r="BC2731" s="128"/>
      <c r="BD2731" s="128"/>
      <c r="BE2731" s="128"/>
      <c r="BF2731" s="128"/>
      <c r="BG2731" s="128"/>
      <c r="BH2731" s="128"/>
      <c r="BI2731" s="128"/>
      <c r="BJ2731" s="128"/>
      <c r="BK2731" s="128"/>
      <c r="BL2731" s="128"/>
      <c r="BM2731" s="151"/>
      <c r="BN2731" s="128"/>
      <c r="BO2731" s="128"/>
      <c r="BP2731" s="128"/>
      <c r="BQ2731" s="128"/>
      <c r="BR2731" s="128"/>
      <c r="BS2731" s="128"/>
      <c r="BT2731" s="128"/>
      <c r="BU2731" s="128"/>
      <c r="BV2731" s="128"/>
      <c r="BW2731" s="128"/>
      <c r="BX2731" s="128"/>
      <c r="BY2731" s="128"/>
      <c r="BZ2731" s="128"/>
      <c r="CA2731" s="128"/>
      <c r="CB2731" s="128"/>
      <c r="CC2731" s="128"/>
      <c r="CD2731" s="128"/>
      <c r="CE2731" s="128"/>
      <c r="CF2731" s="128"/>
      <c r="CG2731" s="128"/>
      <c r="CI2731" s="128"/>
      <c r="CJ2731" s="128"/>
      <c r="CK2731" s="128"/>
      <c r="CL2731" s="128"/>
      <c r="CM2731" s="128"/>
      <c r="CN2731" s="128"/>
      <c r="CO2731" s="128"/>
      <c r="CP2731" s="128"/>
      <c r="CQ2731" s="128"/>
      <c r="CR2731" s="128"/>
      <c r="CS2731" s="128"/>
      <c r="CT2731" s="128"/>
      <c r="CU2731" s="128"/>
      <c r="CV2731" s="128"/>
      <c r="CW2731" s="128"/>
      <c r="CX2731" s="128"/>
      <c r="CY2731" s="128"/>
      <c r="CZ2731" s="165"/>
    </row>
    <row r="2732" spans="1:104">
      <c r="A2732" s="149"/>
      <c r="B2732" s="149"/>
      <c r="C2732" s="150"/>
      <c r="D2732" s="102"/>
      <c r="E2732" s="149"/>
      <c r="F2732" s="149"/>
      <c r="G2732" s="149"/>
      <c r="H2732" s="149"/>
      <c r="I2732" s="149"/>
      <c r="J2732" s="149"/>
      <c r="K2732" s="149"/>
      <c r="L2732" s="149"/>
      <c r="M2732" s="149"/>
      <c r="N2732" s="149"/>
      <c r="O2732" s="149"/>
      <c r="P2732" s="149"/>
      <c r="Q2732" s="149"/>
      <c r="R2732" s="149"/>
      <c r="S2732" s="149"/>
      <c r="T2732" s="149"/>
      <c r="U2732" s="149"/>
      <c r="V2732" s="149"/>
      <c r="W2732" s="149"/>
      <c r="X2732" s="149"/>
      <c r="Y2732" s="149"/>
      <c r="Z2732" s="149"/>
      <c r="AA2732" s="149"/>
      <c r="AB2732" s="149"/>
      <c r="AC2732" s="149"/>
      <c r="AD2732" s="149"/>
      <c r="AE2732" s="149"/>
      <c r="AF2732" s="149"/>
      <c r="AG2732" s="149"/>
      <c r="AH2732" s="149"/>
      <c r="AI2732" s="149"/>
      <c r="AJ2732" s="149"/>
      <c r="AK2732" s="149"/>
      <c r="AL2732" s="149"/>
      <c r="AM2732" s="149"/>
      <c r="AN2732" s="149"/>
      <c r="AO2732" s="128"/>
      <c r="AP2732" s="128"/>
      <c r="AQ2732" s="128"/>
      <c r="AR2732" s="128"/>
      <c r="AS2732" s="128"/>
      <c r="AT2732" s="128"/>
      <c r="AU2732" s="128"/>
      <c r="AV2732" s="128"/>
      <c r="AW2732" s="128"/>
      <c r="AX2732" s="128"/>
      <c r="AY2732" s="128"/>
      <c r="AZ2732" s="128"/>
      <c r="BA2732" s="128"/>
      <c r="BB2732" s="128"/>
      <c r="BC2732" s="128"/>
      <c r="BD2732" s="128"/>
      <c r="BE2732" s="128"/>
      <c r="BF2732" s="128"/>
      <c r="BG2732" s="128"/>
      <c r="BH2732" s="128"/>
      <c r="BI2732" s="128"/>
      <c r="BJ2732" s="128"/>
      <c r="BK2732" s="128"/>
      <c r="BL2732" s="128"/>
      <c r="BM2732" s="151"/>
      <c r="BN2732" s="128"/>
      <c r="BO2732" s="128"/>
      <c r="BP2732" s="128"/>
      <c r="BQ2732" s="128"/>
      <c r="BR2732" s="128"/>
      <c r="BS2732" s="128"/>
      <c r="BT2732" s="128"/>
      <c r="BU2732" s="128"/>
      <c r="BV2732" s="128"/>
      <c r="BW2732" s="128"/>
      <c r="BX2732" s="128"/>
      <c r="BY2732" s="128"/>
      <c r="BZ2732" s="128"/>
      <c r="CA2732" s="128"/>
      <c r="CB2732" s="128"/>
      <c r="CC2732" s="128"/>
      <c r="CD2732" s="128"/>
      <c r="CE2732" s="128"/>
      <c r="CF2732" s="128"/>
      <c r="CG2732" s="128"/>
      <c r="CI2732" s="128"/>
      <c r="CJ2732" s="128"/>
      <c r="CK2732" s="128"/>
      <c r="CL2732" s="128"/>
      <c r="CM2732" s="128"/>
      <c r="CN2732" s="128"/>
      <c r="CO2732" s="128"/>
      <c r="CP2732" s="128"/>
      <c r="CQ2732" s="128"/>
      <c r="CR2732" s="128"/>
      <c r="CS2732" s="128"/>
      <c r="CT2732" s="128"/>
      <c r="CU2732" s="128"/>
      <c r="CV2732" s="128"/>
      <c r="CW2732" s="128"/>
      <c r="CX2732" s="128"/>
      <c r="CY2732" s="128"/>
      <c r="CZ2732" s="165"/>
    </row>
    <row r="2733" spans="1:104">
      <c r="A2733" s="149"/>
      <c r="B2733" s="149"/>
      <c r="C2733" s="150"/>
      <c r="D2733" s="102"/>
      <c r="E2733" s="149"/>
      <c r="F2733" s="149"/>
      <c r="G2733" s="149"/>
      <c r="H2733" s="149"/>
      <c r="I2733" s="149"/>
      <c r="J2733" s="149"/>
      <c r="K2733" s="149"/>
      <c r="L2733" s="149"/>
      <c r="M2733" s="149"/>
      <c r="N2733" s="149"/>
      <c r="O2733" s="149"/>
      <c r="P2733" s="149"/>
      <c r="Q2733" s="149"/>
      <c r="R2733" s="149"/>
      <c r="S2733" s="149"/>
      <c r="T2733" s="149"/>
      <c r="U2733" s="149"/>
      <c r="V2733" s="149"/>
      <c r="W2733" s="149"/>
      <c r="X2733" s="149"/>
      <c r="Y2733" s="149"/>
      <c r="Z2733" s="149"/>
      <c r="AA2733" s="149"/>
      <c r="AB2733" s="149"/>
      <c r="AC2733" s="149"/>
      <c r="AD2733" s="149"/>
      <c r="AE2733" s="149"/>
      <c r="AF2733" s="149"/>
      <c r="AG2733" s="149"/>
      <c r="AH2733" s="149"/>
      <c r="AI2733" s="149"/>
      <c r="AJ2733" s="149"/>
      <c r="AK2733" s="149"/>
      <c r="AL2733" s="149"/>
      <c r="AM2733" s="149"/>
      <c r="AN2733" s="149"/>
      <c r="AO2733" s="128"/>
      <c r="AP2733" s="128"/>
      <c r="AQ2733" s="128"/>
      <c r="AR2733" s="128"/>
      <c r="AS2733" s="128"/>
      <c r="AT2733" s="128"/>
      <c r="AU2733" s="128"/>
      <c r="AV2733" s="128"/>
      <c r="AW2733" s="128"/>
      <c r="AX2733" s="128"/>
      <c r="AY2733" s="128"/>
      <c r="AZ2733" s="128"/>
      <c r="BA2733" s="128"/>
      <c r="BB2733" s="128"/>
      <c r="BC2733" s="128"/>
      <c r="BD2733" s="128"/>
      <c r="BE2733" s="128"/>
      <c r="BF2733" s="128"/>
      <c r="BG2733" s="128"/>
      <c r="BH2733" s="128"/>
      <c r="BI2733" s="128"/>
      <c r="BJ2733" s="128"/>
      <c r="BK2733" s="128"/>
      <c r="BL2733" s="128"/>
      <c r="BM2733" s="151"/>
      <c r="BN2733" s="128"/>
      <c r="BO2733" s="128"/>
      <c r="BP2733" s="128"/>
      <c r="BQ2733" s="128"/>
      <c r="BR2733" s="128"/>
      <c r="BS2733" s="128"/>
      <c r="BT2733" s="128"/>
      <c r="BU2733" s="128"/>
      <c r="BV2733" s="128"/>
      <c r="BW2733" s="128"/>
      <c r="BX2733" s="128"/>
      <c r="BY2733" s="128"/>
      <c r="BZ2733" s="128"/>
      <c r="CA2733" s="128"/>
      <c r="CB2733" s="128"/>
      <c r="CC2733" s="128"/>
      <c r="CD2733" s="128"/>
      <c r="CE2733" s="128"/>
      <c r="CF2733" s="128"/>
      <c r="CG2733" s="128"/>
      <c r="CI2733" s="128"/>
      <c r="CJ2733" s="128"/>
      <c r="CK2733" s="128"/>
      <c r="CL2733" s="128"/>
      <c r="CM2733" s="128"/>
      <c r="CN2733" s="128"/>
      <c r="CO2733" s="128"/>
      <c r="CP2733" s="128"/>
      <c r="CQ2733" s="128"/>
      <c r="CR2733" s="128"/>
      <c r="CS2733" s="128"/>
      <c r="CT2733" s="128"/>
      <c r="CU2733" s="128"/>
      <c r="CV2733" s="128"/>
      <c r="CW2733" s="128"/>
      <c r="CX2733" s="128"/>
      <c r="CY2733" s="128"/>
      <c r="CZ2733" s="165"/>
    </row>
    <row r="2734" spans="1:104">
      <c r="A2734" s="149"/>
      <c r="B2734" s="149"/>
      <c r="C2734" s="150"/>
      <c r="D2734" s="102"/>
      <c r="E2734" s="149"/>
      <c r="F2734" s="149"/>
      <c r="G2734" s="149"/>
      <c r="H2734" s="149"/>
      <c r="I2734" s="149"/>
      <c r="J2734" s="149"/>
      <c r="K2734" s="149"/>
      <c r="L2734" s="149"/>
      <c r="M2734" s="149"/>
      <c r="N2734" s="149"/>
      <c r="O2734" s="149"/>
      <c r="P2734" s="149"/>
      <c r="Q2734" s="149"/>
      <c r="R2734" s="149"/>
      <c r="S2734" s="149"/>
      <c r="T2734" s="149"/>
      <c r="U2734" s="149"/>
      <c r="V2734" s="149"/>
      <c r="W2734" s="149"/>
      <c r="X2734" s="149"/>
      <c r="Y2734" s="149"/>
      <c r="Z2734" s="149"/>
      <c r="AA2734" s="149"/>
      <c r="AB2734" s="149"/>
      <c r="AC2734" s="149"/>
      <c r="AD2734" s="149"/>
      <c r="AE2734" s="149"/>
      <c r="AF2734" s="149"/>
      <c r="AG2734" s="149"/>
      <c r="AH2734" s="149"/>
      <c r="AI2734" s="149"/>
      <c r="AJ2734" s="149"/>
      <c r="AK2734" s="149"/>
      <c r="AL2734" s="149"/>
      <c r="AM2734" s="149"/>
      <c r="AN2734" s="149"/>
      <c r="AO2734" s="128"/>
      <c r="AP2734" s="128"/>
      <c r="AQ2734" s="128"/>
      <c r="AR2734" s="128"/>
      <c r="AS2734" s="128"/>
      <c r="AT2734" s="128"/>
      <c r="AU2734" s="128"/>
      <c r="AV2734" s="128"/>
      <c r="AW2734" s="128"/>
      <c r="AX2734" s="128"/>
      <c r="AY2734" s="128"/>
      <c r="AZ2734" s="128"/>
      <c r="BA2734" s="128"/>
      <c r="BB2734" s="128"/>
      <c r="BC2734" s="128"/>
      <c r="BD2734" s="128"/>
      <c r="BE2734" s="128"/>
      <c r="BF2734" s="128"/>
      <c r="BG2734" s="128"/>
      <c r="BH2734" s="128"/>
      <c r="BI2734" s="128"/>
      <c r="BJ2734" s="128"/>
      <c r="BK2734" s="128"/>
      <c r="BL2734" s="128"/>
      <c r="BM2734" s="151"/>
      <c r="BN2734" s="128"/>
      <c r="BO2734" s="128"/>
      <c r="BP2734" s="128"/>
      <c r="BQ2734" s="128"/>
      <c r="BR2734" s="128"/>
      <c r="BS2734" s="128"/>
      <c r="BT2734" s="128"/>
      <c r="BU2734" s="128"/>
      <c r="BV2734" s="128"/>
      <c r="BW2734" s="128"/>
      <c r="BX2734" s="128"/>
      <c r="BY2734" s="128"/>
      <c r="BZ2734" s="128"/>
      <c r="CA2734" s="128"/>
      <c r="CB2734" s="128"/>
      <c r="CC2734" s="128"/>
      <c r="CD2734" s="128"/>
      <c r="CE2734" s="128"/>
      <c r="CF2734" s="128"/>
      <c r="CG2734" s="128"/>
      <c r="CI2734" s="128"/>
      <c r="CJ2734" s="128"/>
      <c r="CK2734" s="128"/>
      <c r="CL2734" s="128"/>
      <c r="CM2734" s="128"/>
      <c r="CN2734" s="128"/>
      <c r="CO2734" s="128"/>
      <c r="CP2734" s="128"/>
      <c r="CQ2734" s="128"/>
      <c r="CR2734" s="128"/>
      <c r="CS2734" s="128"/>
      <c r="CT2734" s="128"/>
      <c r="CU2734" s="128"/>
      <c r="CV2734" s="128"/>
      <c r="CW2734" s="128"/>
      <c r="CX2734" s="128"/>
      <c r="CY2734" s="128"/>
      <c r="CZ2734" s="165"/>
    </row>
    <row r="2735" spans="1:104">
      <c r="A2735" s="149"/>
      <c r="B2735" s="149"/>
      <c r="C2735" s="150"/>
      <c r="D2735" s="102"/>
      <c r="E2735" s="149"/>
      <c r="F2735" s="149"/>
      <c r="G2735" s="149"/>
      <c r="H2735" s="149"/>
      <c r="I2735" s="149"/>
      <c r="J2735" s="149"/>
      <c r="K2735" s="149"/>
      <c r="L2735" s="149"/>
      <c r="M2735" s="149"/>
      <c r="N2735" s="149"/>
      <c r="O2735" s="149"/>
      <c r="P2735" s="149"/>
      <c r="Q2735" s="149"/>
      <c r="R2735" s="149"/>
      <c r="S2735" s="149"/>
      <c r="T2735" s="149"/>
      <c r="U2735" s="149"/>
      <c r="V2735" s="149"/>
      <c r="W2735" s="149"/>
      <c r="X2735" s="149"/>
      <c r="Y2735" s="149"/>
      <c r="Z2735" s="149"/>
      <c r="AA2735" s="149"/>
      <c r="AB2735" s="149"/>
      <c r="AC2735" s="149"/>
      <c r="AD2735" s="149"/>
      <c r="AE2735" s="149"/>
      <c r="AF2735" s="149"/>
      <c r="AG2735" s="149"/>
      <c r="AH2735" s="149"/>
      <c r="AI2735" s="149"/>
      <c r="AJ2735" s="149"/>
      <c r="AK2735" s="149"/>
      <c r="AL2735" s="149"/>
      <c r="AM2735" s="149"/>
      <c r="AN2735" s="149"/>
      <c r="AO2735" s="128"/>
      <c r="AP2735" s="128"/>
      <c r="AQ2735" s="128"/>
      <c r="AR2735" s="128"/>
      <c r="AS2735" s="128"/>
      <c r="AT2735" s="128"/>
      <c r="AU2735" s="128"/>
      <c r="AV2735" s="128"/>
      <c r="AW2735" s="128"/>
      <c r="AX2735" s="128"/>
      <c r="AY2735" s="128"/>
      <c r="AZ2735" s="128"/>
      <c r="BA2735" s="128"/>
      <c r="BB2735" s="128"/>
      <c r="BC2735" s="128"/>
      <c r="BD2735" s="128"/>
      <c r="BE2735" s="128"/>
      <c r="BF2735" s="128"/>
      <c r="BG2735" s="128"/>
      <c r="BH2735" s="128"/>
      <c r="BI2735" s="128"/>
      <c r="BJ2735" s="128"/>
      <c r="BK2735" s="128"/>
      <c r="BL2735" s="128"/>
      <c r="BM2735" s="151"/>
      <c r="BN2735" s="128"/>
      <c r="BO2735" s="128"/>
      <c r="BP2735" s="128"/>
      <c r="BQ2735" s="128"/>
      <c r="BR2735" s="128"/>
      <c r="BS2735" s="128"/>
      <c r="BT2735" s="128"/>
      <c r="BU2735" s="128"/>
      <c r="BV2735" s="128"/>
      <c r="BW2735" s="128"/>
      <c r="BX2735" s="128"/>
      <c r="BY2735" s="128"/>
      <c r="BZ2735" s="128"/>
      <c r="CA2735" s="128"/>
      <c r="CB2735" s="128"/>
      <c r="CC2735" s="128"/>
      <c r="CD2735" s="128"/>
      <c r="CE2735" s="128"/>
      <c r="CF2735" s="128"/>
      <c r="CG2735" s="128"/>
      <c r="CI2735" s="128"/>
      <c r="CJ2735" s="128"/>
      <c r="CK2735" s="128"/>
      <c r="CL2735" s="128"/>
      <c r="CM2735" s="128"/>
      <c r="CN2735" s="128"/>
      <c r="CO2735" s="128"/>
      <c r="CP2735" s="128"/>
      <c r="CQ2735" s="128"/>
      <c r="CR2735" s="128"/>
      <c r="CS2735" s="128"/>
      <c r="CT2735" s="128"/>
      <c r="CU2735" s="128"/>
      <c r="CV2735" s="128"/>
      <c r="CW2735" s="128"/>
      <c r="CX2735" s="128"/>
      <c r="CY2735" s="128"/>
      <c r="CZ2735" s="165"/>
    </row>
    <row r="2736" spans="1:104">
      <c r="A2736" s="149"/>
      <c r="B2736" s="149"/>
      <c r="C2736" s="150"/>
      <c r="D2736" s="102"/>
      <c r="E2736" s="149"/>
      <c r="F2736" s="149"/>
      <c r="G2736" s="149"/>
      <c r="H2736" s="149"/>
      <c r="I2736" s="149"/>
      <c r="J2736" s="149"/>
      <c r="K2736" s="149"/>
      <c r="L2736" s="149"/>
      <c r="M2736" s="149"/>
      <c r="N2736" s="149"/>
      <c r="O2736" s="149"/>
      <c r="P2736" s="149"/>
      <c r="Q2736" s="149"/>
      <c r="R2736" s="149"/>
      <c r="S2736" s="149"/>
      <c r="T2736" s="149"/>
      <c r="U2736" s="149"/>
      <c r="V2736" s="149"/>
      <c r="W2736" s="149"/>
      <c r="X2736" s="149"/>
      <c r="Y2736" s="149"/>
      <c r="Z2736" s="149"/>
      <c r="AA2736" s="149"/>
      <c r="AB2736" s="149"/>
      <c r="AC2736" s="149"/>
      <c r="AD2736" s="149"/>
      <c r="AE2736" s="149"/>
      <c r="AF2736" s="149"/>
      <c r="AG2736" s="149"/>
      <c r="AH2736" s="149"/>
      <c r="AI2736" s="149"/>
      <c r="AJ2736" s="149"/>
      <c r="AK2736" s="149"/>
      <c r="AL2736" s="149"/>
      <c r="AM2736" s="149"/>
      <c r="AN2736" s="149"/>
      <c r="AO2736" s="128"/>
      <c r="AP2736" s="128"/>
      <c r="AQ2736" s="128"/>
      <c r="AR2736" s="128"/>
      <c r="AS2736" s="128"/>
      <c r="AT2736" s="128"/>
      <c r="AU2736" s="128"/>
      <c r="AV2736" s="128"/>
      <c r="AW2736" s="128"/>
      <c r="AX2736" s="128"/>
      <c r="AY2736" s="128"/>
      <c r="AZ2736" s="128"/>
      <c r="BA2736" s="128"/>
      <c r="BB2736" s="128"/>
      <c r="BC2736" s="128"/>
      <c r="BD2736" s="128"/>
      <c r="BE2736" s="128"/>
      <c r="BF2736" s="128"/>
      <c r="BG2736" s="128"/>
      <c r="BH2736" s="128"/>
      <c r="BI2736" s="128"/>
      <c r="BJ2736" s="128"/>
      <c r="BK2736" s="128"/>
      <c r="BL2736" s="128"/>
      <c r="BM2736" s="151"/>
      <c r="BN2736" s="128"/>
      <c r="BO2736" s="128"/>
      <c r="BP2736" s="128"/>
      <c r="BQ2736" s="128"/>
      <c r="BR2736" s="128"/>
      <c r="BS2736" s="128"/>
      <c r="BT2736" s="128"/>
      <c r="BU2736" s="128"/>
      <c r="BV2736" s="128"/>
      <c r="BW2736" s="128"/>
      <c r="BX2736" s="128"/>
      <c r="BY2736" s="128"/>
      <c r="BZ2736" s="128"/>
      <c r="CA2736" s="128"/>
      <c r="CB2736" s="128"/>
      <c r="CC2736" s="128"/>
      <c r="CD2736" s="128"/>
      <c r="CE2736" s="128"/>
      <c r="CF2736" s="128"/>
      <c r="CG2736" s="128"/>
      <c r="CI2736" s="128"/>
      <c r="CJ2736" s="128"/>
      <c r="CK2736" s="128"/>
      <c r="CL2736" s="128"/>
      <c r="CM2736" s="128"/>
      <c r="CN2736" s="128"/>
      <c r="CO2736" s="128"/>
      <c r="CP2736" s="128"/>
      <c r="CQ2736" s="128"/>
      <c r="CR2736" s="128"/>
      <c r="CS2736" s="128"/>
      <c r="CT2736" s="128"/>
      <c r="CU2736" s="128"/>
      <c r="CV2736" s="128"/>
      <c r="CW2736" s="128"/>
      <c r="CX2736" s="128"/>
      <c r="CY2736" s="128"/>
      <c r="CZ2736" s="165"/>
    </row>
    <row r="2737" spans="1:104">
      <c r="A2737" s="149"/>
      <c r="B2737" s="149"/>
      <c r="C2737" s="150"/>
      <c r="D2737" s="102"/>
      <c r="E2737" s="149"/>
      <c r="F2737" s="149"/>
      <c r="G2737" s="149"/>
      <c r="H2737" s="149"/>
      <c r="I2737" s="149"/>
      <c r="J2737" s="149"/>
      <c r="K2737" s="149"/>
      <c r="L2737" s="149"/>
      <c r="M2737" s="149"/>
      <c r="N2737" s="149"/>
      <c r="O2737" s="149"/>
      <c r="P2737" s="149"/>
      <c r="Q2737" s="149"/>
      <c r="R2737" s="149"/>
      <c r="S2737" s="149"/>
      <c r="T2737" s="149"/>
      <c r="U2737" s="149"/>
      <c r="V2737" s="149"/>
      <c r="W2737" s="149"/>
      <c r="X2737" s="149"/>
      <c r="Y2737" s="149"/>
      <c r="Z2737" s="149"/>
      <c r="AA2737" s="149"/>
      <c r="AB2737" s="149"/>
      <c r="AC2737" s="149"/>
      <c r="AD2737" s="149"/>
      <c r="AE2737" s="149"/>
      <c r="AF2737" s="149"/>
      <c r="AG2737" s="149"/>
      <c r="AH2737" s="149"/>
      <c r="AI2737" s="149"/>
      <c r="AJ2737" s="149"/>
      <c r="AK2737" s="149"/>
      <c r="AL2737" s="149"/>
      <c r="AM2737" s="149"/>
      <c r="AN2737" s="149"/>
      <c r="AO2737" s="128"/>
      <c r="AP2737" s="128"/>
      <c r="AQ2737" s="128"/>
      <c r="AR2737" s="128"/>
      <c r="AS2737" s="128"/>
      <c r="AT2737" s="128"/>
      <c r="AU2737" s="128"/>
      <c r="AV2737" s="128"/>
      <c r="AW2737" s="128"/>
      <c r="AX2737" s="128"/>
      <c r="AY2737" s="128"/>
      <c r="AZ2737" s="128"/>
      <c r="BA2737" s="128"/>
      <c r="BB2737" s="128"/>
      <c r="BC2737" s="128"/>
      <c r="BD2737" s="128"/>
      <c r="BE2737" s="128"/>
      <c r="BF2737" s="128"/>
      <c r="BG2737" s="128"/>
      <c r="BH2737" s="128"/>
      <c r="BI2737" s="128"/>
      <c r="BJ2737" s="128"/>
      <c r="BK2737" s="128"/>
      <c r="BL2737" s="128"/>
      <c r="BM2737" s="151"/>
      <c r="BN2737" s="128"/>
      <c r="BO2737" s="128"/>
      <c r="BP2737" s="128"/>
      <c r="BQ2737" s="128"/>
      <c r="BR2737" s="128"/>
      <c r="BS2737" s="128"/>
      <c r="BT2737" s="128"/>
      <c r="BU2737" s="128"/>
      <c r="BV2737" s="128"/>
      <c r="BW2737" s="128"/>
      <c r="BX2737" s="128"/>
      <c r="BY2737" s="128"/>
      <c r="BZ2737" s="128"/>
      <c r="CA2737" s="128"/>
      <c r="CB2737" s="128"/>
      <c r="CC2737" s="128"/>
      <c r="CD2737" s="128"/>
      <c r="CE2737" s="128"/>
      <c r="CF2737" s="128"/>
      <c r="CG2737" s="128"/>
      <c r="CI2737" s="128"/>
      <c r="CJ2737" s="128"/>
      <c r="CK2737" s="128"/>
      <c r="CL2737" s="128"/>
      <c r="CM2737" s="128"/>
      <c r="CN2737" s="128"/>
      <c r="CO2737" s="128"/>
      <c r="CP2737" s="128"/>
      <c r="CQ2737" s="128"/>
      <c r="CR2737" s="128"/>
      <c r="CS2737" s="128"/>
      <c r="CT2737" s="128"/>
      <c r="CU2737" s="128"/>
      <c r="CV2737" s="128"/>
      <c r="CW2737" s="128"/>
      <c r="CX2737" s="128"/>
      <c r="CY2737" s="128"/>
      <c r="CZ2737" s="165"/>
    </row>
    <row r="2738" spans="1:104">
      <c r="A2738" s="149"/>
      <c r="B2738" s="149"/>
      <c r="C2738" s="150"/>
      <c r="D2738" s="102"/>
      <c r="E2738" s="149"/>
      <c r="F2738" s="149"/>
      <c r="G2738" s="149"/>
      <c r="H2738" s="149"/>
      <c r="I2738" s="149"/>
      <c r="J2738" s="149"/>
      <c r="K2738" s="149"/>
      <c r="L2738" s="149"/>
      <c r="M2738" s="149"/>
      <c r="N2738" s="149"/>
      <c r="O2738" s="149"/>
      <c r="P2738" s="149"/>
      <c r="Q2738" s="149"/>
      <c r="R2738" s="149"/>
      <c r="S2738" s="149"/>
      <c r="T2738" s="149"/>
      <c r="U2738" s="149"/>
      <c r="V2738" s="149"/>
      <c r="W2738" s="149"/>
      <c r="X2738" s="149"/>
      <c r="Y2738" s="149"/>
      <c r="Z2738" s="149"/>
      <c r="AA2738" s="149"/>
      <c r="AB2738" s="149"/>
      <c r="AC2738" s="149"/>
      <c r="AD2738" s="149"/>
      <c r="AE2738" s="149"/>
      <c r="AF2738" s="149"/>
      <c r="AG2738" s="149"/>
      <c r="AH2738" s="149"/>
      <c r="AI2738" s="149"/>
      <c r="AJ2738" s="149"/>
      <c r="AK2738" s="149"/>
      <c r="AL2738" s="149"/>
      <c r="AM2738" s="149"/>
      <c r="AN2738" s="149"/>
      <c r="AO2738" s="128"/>
      <c r="AP2738" s="128"/>
      <c r="AQ2738" s="128"/>
      <c r="AR2738" s="128"/>
      <c r="AS2738" s="128"/>
      <c r="AT2738" s="128"/>
      <c r="AU2738" s="128"/>
      <c r="AV2738" s="128"/>
      <c r="AW2738" s="128"/>
      <c r="AX2738" s="128"/>
      <c r="AY2738" s="128"/>
      <c r="AZ2738" s="128"/>
      <c r="BA2738" s="128"/>
      <c r="BB2738" s="128"/>
      <c r="BC2738" s="128"/>
      <c r="BD2738" s="128"/>
      <c r="BE2738" s="128"/>
      <c r="BF2738" s="128"/>
      <c r="BG2738" s="128"/>
      <c r="BH2738" s="128"/>
      <c r="BI2738" s="128"/>
      <c r="BJ2738" s="128"/>
      <c r="BK2738" s="128"/>
      <c r="BL2738" s="128"/>
      <c r="BM2738" s="151"/>
      <c r="BN2738" s="128"/>
      <c r="BO2738" s="128"/>
      <c r="BP2738" s="128"/>
      <c r="BQ2738" s="128"/>
      <c r="BR2738" s="128"/>
      <c r="BS2738" s="128"/>
      <c r="BT2738" s="128"/>
      <c r="BU2738" s="128"/>
      <c r="BV2738" s="128"/>
      <c r="BW2738" s="128"/>
      <c r="BX2738" s="128"/>
      <c r="BY2738" s="128"/>
      <c r="BZ2738" s="128"/>
      <c r="CA2738" s="128"/>
      <c r="CB2738" s="128"/>
      <c r="CC2738" s="128"/>
      <c r="CD2738" s="128"/>
      <c r="CE2738" s="128"/>
      <c r="CF2738" s="128"/>
      <c r="CG2738" s="128"/>
      <c r="CI2738" s="128"/>
      <c r="CJ2738" s="128"/>
      <c r="CK2738" s="128"/>
      <c r="CL2738" s="128"/>
      <c r="CM2738" s="128"/>
      <c r="CN2738" s="128"/>
      <c r="CO2738" s="128"/>
      <c r="CP2738" s="128"/>
      <c r="CQ2738" s="128"/>
      <c r="CR2738" s="128"/>
      <c r="CS2738" s="128"/>
      <c r="CT2738" s="128"/>
      <c r="CU2738" s="128"/>
      <c r="CV2738" s="128"/>
      <c r="CW2738" s="128"/>
      <c r="CX2738" s="128"/>
      <c r="CY2738" s="128"/>
      <c r="CZ2738" s="165"/>
    </row>
    <row r="2739" spans="1:104">
      <c r="A2739" s="149"/>
      <c r="B2739" s="149"/>
      <c r="C2739" s="150"/>
      <c r="D2739" s="102"/>
      <c r="E2739" s="149"/>
      <c r="F2739" s="149"/>
      <c r="G2739" s="149"/>
      <c r="H2739" s="149"/>
      <c r="I2739" s="149"/>
      <c r="J2739" s="149"/>
      <c r="K2739" s="149"/>
      <c r="L2739" s="149"/>
      <c r="M2739" s="149"/>
      <c r="N2739" s="149"/>
      <c r="O2739" s="149"/>
      <c r="P2739" s="149"/>
      <c r="Q2739" s="149"/>
      <c r="R2739" s="149"/>
      <c r="S2739" s="149"/>
      <c r="T2739" s="149"/>
      <c r="U2739" s="149"/>
      <c r="V2739" s="149"/>
      <c r="W2739" s="149"/>
      <c r="X2739" s="149"/>
      <c r="Y2739" s="149"/>
      <c r="Z2739" s="149"/>
      <c r="AA2739" s="149"/>
      <c r="AB2739" s="149"/>
      <c r="AC2739" s="149"/>
      <c r="AD2739" s="149"/>
      <c r="AE2739" s="149"/>
      <c r="AF2739" s="149"/>
      <c r="AG2739" s="149"/>
      <c r="AH2739" s="149"/>
      <c r="AI2739" s="149"/>
      <c r="AJ2739" s="149"/>
      <c r="AK2739" s="149"/>
      <c r="AL2739" s="149"/>
      <c r="AM2739" s="149"/>
      <c r="AN2739" s="149"/>
      <c r="AO2739" s="128"/>
      <c r="AP2739" s="128"/>
      <c r="AQ2739" s="128"/>
      <c r="AR2739" s="128"/>
      <c r="AS2739" s="128"/>
      <c r="AT2739" s="128"/>
      <c r="AU2739" s="128"/>
      <c r="AV2739" s="128"/>
      <c r="AW2739" s="128"/>
      <c r="AX2739" s="128"/>
      <c r="AY2739" s="128"/>
      <c r="AZ2739" s="128"/>
      <c r="BA2739" s="128"/>
      <c r="BB2739" s="128"/>
      <c r="BC2739" s="128"/>
      <c r="BD2739" s="128"/>
      <c r="BE2739" s="128"/>
      <c r="BF2739" s="128"/>
      <c r="BG2739" s="128"/>
      <c r="BH2739" s="128"/>
      <c r="BI2739" s="128"/>
      <c r="BJ2739" s="128"/>
      <c r="BK2739" s="128"/>
      <c r="BL2739" s="128"/>
      <c r="BM2739" s="151"/>
      <c r="BN2739" s="128"/>
      <c r="BO2739" s="128"/>
      <c r="BP2739" s="128"/>
      <c r="BQ2739" s="128"/>
      <c r="BR2739" s="128"/>
      <c r="BS2739" s="128"/>
      <c r="BT2739" s="128"/>
      <c r="BU2739" s="128"/>
      <c r="BV2739" s="128"/>
      <c r="BW2739" s="128"/>
      <c r="BX2739" s="128"/>
      <c r="BY2739" s="128"/>
      <c r="BZ2739" s="128"/>
      <c r="CA2739" s="128"/>
      <c r="CB2739" s="128"/>
      <c r="CC2739" s="128"/>
      <c r="CD2739" s="128"/>
      <c r="CE2739" s="128"/>
      <c r="CF2739" s="128"/>
      <c r="CG2739" s="128"/>
      <c r="CI2739" s="128"/>
      <c r="CJ2739" s="128"/>
      <c r="CK2739" s="128"/>
      <c r="CL2739" s="128"/>
      <c r="CM2739" s="128"/>
      <c r="CN2739" s="128"/>
      <c r="CO2739" s="128"/>
      <c r="CP2739" s="128"/>
      <c r="CQ2739" s="128"/>
      <c r="CR2739" s="128"/>
      <c r="CS2739" s="128"/>
      <c r="CT2739" s="128"/>
      <c r="CU2739" s="128"/>
      <c r="CV2739" s="128"/>
      <c r="CW2739" s="128"/>
      <c r="CX2739" s="128"/>
      <c r="CY2739" s="128"/>
      <c r="CZ2739" s="165"/>
    </row>
    <row r="2740" spans="1:104">
      <c r="A2740" s="149"/>
      <c r="B2740" s="149"/>
      <c r="C2740" s="150"/>
      <c r="D2740" s="102"/>
      <c r="E2740" s="149"/>
      <c r="F2740" s="149"/>
      <c r="G2740" s="149"/>
      <c r="H2740" s="149"/>
      <c r="I2740" s="149"/>
      <c r="J2740" s="149"/>
      <c r="K2740" s="149"/>
      <c r="L2740" s="149"/>
      <c r="M2740" s="149"/>
      <c r="N2740" s="149"/>
      <c r="O2740" s="149"/>
      <c r="P2740" s="149"/>
      <c r="Q2740" s="149"/>
      <c r="R2740" s="149"/>
      <c r="S2740" s="149"/>
      <c r="T2740" s="149"/>
      <c r="U2740" s="149"/>
      <c r="V2740" s="149"/>
      <c r="W2740" s="149"/>
      <c r="X2740" s="149"/>
      <c r="Y2740" s="149"/>
      <c r="Z2740" s="149"/>
      <c r="AA2740" s="149"/>
      <c r="AB2740" s="149"/>
      <c r="AC2740" s="149"/>
      <c r="AD2740" s="149"/>
      <c r="AE2740" s="149"/>
      <c r="AF2740" s="149"/>
      <c r="AG2740" s="149"/>
      <c r="AH2740" s="149"/>
      <c r="AI2740" s="149"/>
      <c r="AJ2740" s="149"/>
      <c r="AK2740" s="149"/>
      <c r="AL2740" s="149"/>
      <c r="AM2740" s="149"/>
      <c r="AN2740" s="149"/>
      <c r="AO2740" s="128"/>
      <c r="AP2740" s="128"/>
      <c r="AQ2740" s="128"/>
      <c r="AR2740" s="128"/>
      <c r="AS2740" s="128"/>
      <c r="AT2740" s="128"/>
      <c r="AU2740" s="128"/>
      <c r="AV2740" s="128"/>
      <c r="AW2740" s="128"/>
      <c r="AX2740" s="128"/>
      <c r="AY2740" s="128"/>
      <c r="AZ2740" s="128"/>
      <c r="BA2740" s="128"/>
      <c r="BB2740" s="128"/>
      <c r="BC2740" s="128"/>
      <c r="BD2740" s="128"/>
      <c r="BE2740" s="128"/>
      <c r="BF2740" s="128"/>
      <c r="BG2740" s="128"/>
      <c r="BH2740" s="128"/>
      <c r="BI2740" s="128"/>
      <c r="BJ2740" s="128"/>
      <c r="BK2740" s="128"/>
      <c r="BL2740" s="128"/>
      <c r="BM2740" s="151"/>
      <c r="BN2740" s="128"/>
      <c r="BO2740" s="128"/>
      <c r="BP2740" s="128"/>
      <c r="BQ2740" s="128"/>
      <c r="BR2740" s="128"/>
      <c r="BS2740" s="128"/>
      <c r="BT2740" s="128"/>
      <c r="BU2740" s="128"/>
      <c r="BV2740" s="128"/>
      <c r="BW2740" s="128"/>
      <c r="BX2740" s="128"/>
      <c r="BY2740" s="128"/>
      <c r="BZ2740" s="128"/>
      <c r="CA2740" s="128"/>
      <c r="CB2740" s="128"/>
      <c r="CC2740" s="128"/>
      <c r="CD2740" s="128"/>
      <c r="CE2740" s="128"/>
      <c r="CF2740" s="128"/>
      <c r="CG2740" s="128"/>
      <c r="CI2740" s="128"/>
      <c r="CJ2740" s="128"/>
      <c r="CK2740" s="128"/>
      <c r="CL2740" s="128"/>
      <c r="CM2740" s="128"/>
      <c r="CN2740" s="128"/>
      <c r="CO2740" s="128"/>
      <c r="CP2740" s="128"/>
      <c r="CQ2740" s="128"/>
      <c r="CR2740" s="128"/>
      <c r="CS2740" s="128"/>
      <c r="CT2740" s="128"/>
      <c r="CU2740" s="128"/>
      <c r="CV2740" s="128"/>
      <c r="CW2740" s="128"/>
      <c r="CX2740" s="128"/>
      <c r="CY2740" s="128"/>
      <c r="CZ2740" s="165"/>
    </row>
    <row r="2741" spans="1:104">
      <c r="A2741" s="149"/>
      <c r="B2741" s="149"/>
      <c r="C2741" s="150"/>
      <c r="D2741" s="102"/>
      <c r="E2741" s="149"/>
      <c r="F2741" s="149"/>
      <c r="G2741" s="149"/>
      <c r="H2741" s="149"/>
      <c r="I2741" s="149"/>
      <c r="J2741" s="149"/>
      <c r="K2741" s="149"/>
      <c r="L2741" s="149"/>
      <c r="M2741" s="149"/>
      <c r="N2741" s="149"/>
      <c r="O2741" s="149"/>
      <c r="P2741" s="149"/>
      <c r="Q2741" s="149"/>
      <c r="R2741" s="149"/>
      <c r="S2741" s="149"/>
      <c r="T2741" s="149"/>
      <c r="U2741" s="149"/>
      <c r="V2741" s="149"/>
      <c r="W2741" s="149"/>
      <c r="X2741" s="149"/>
      <c r="Y2741" s="149"/>
      <c r="Z2741" s="149"/>
      <c r="AA2741" s="149"/>
      <c r="AB2741" s="149"/>
      <c r="AC2741" s="149"/>
      <c r="AD2741" s="149"/>
      <c r="AE2741" s="149"/>
      <c r="AF2741" s="149"/>
      <c r="AG2741" s="149"/>
      <c r="AH2741" s="149"/>
      <c r="AI2741" s="149"/>
      <c r="AJ2741" s="149"/>
      <c r="AK2741" s="149"/>
      <c r="AL2741" s="149"/>
      <c r="AM2741" s="149"/>
      <c r="AN2741" s="149"/>
      <c r="AO2741" s="128"/>
      <c r="AP2741" s="128"/>
      <c r="AQ2741" s="128"/>
      <c r="AR2741" s="128"/>
      <c r="AS2741" s="128"/>
      <c r="AT2741" s="128"/>
      <c r="AU2741" s="128"/>
      <c r="AV2741" s="128"/>
      <c r="AW2741" s="128"/>
      <c r="AX2741" s="128"/>
      <c r="AY2741" s="128"/>
      <c r="AZ2741" s="128"/>
      <c r="BA2741" s="128"/>
      <c r="BB2741" s="128"/>
      <c r="BC2741" s="128"/>
      <c r="BD2741" s="128"/>
      <c r="BE2741" s="128"/>
      <c r="BF2741" s="128"/>
      <c r="BG2741" s="128"/>
      <c r="BH2741" s="128"/>
      <c r="BI2741" s="128"/>
      <c r="BJ2741" s="128"/>
      <c r="BK2741" s="128"/>
      <c r="BL2741" s="128"/>
      <c r="BM2741" s="151"/>
      <c r="BN2741" s="128"/>
      <c r="BO2741" s="128"/>
      <c r="BP2741" s="128"/>
      <c r="BQ2741" s="128"/>
      <c r="BR2741" s="128"/>
      <c r="BS2741" s="128"/>
      <c r="BT2741" s="128"/>
      <c r="BU2741" s="128"/>
      <c r="BV2741" s="128"/>
      <c r="BW2741" s="128"/>
      <c r="BX2741" s="128"/>
      <c r="BY2741" s="128"/>
      <c r="BZ2741" s="128"/>
      <c r="CA2741" s="128"/>
      <c r="CB2741" s="128"/>
      <c r="CC2741" s="128"/>
      <c r="CD2741" s="128"/>
      <c r="CE2741" s="128"/>
      <c r="CF2741" s="128"/>
      <c r="CG2741" s="128"/>
      <c r="CI2741" s="128"/>
      <c r="CJ2741" s="128"/>
      <c r="CK2741" s="128"/>
      <c r="CL2741" s="128"/>
      <c r="CM2741" s="128"/>
      <c r="CN2741" s="128"/>
      <c r="CO2741" s="128"/>
      <c r="CP2741" s="128"/>
      <c r="CQ2741" s="128"/>
      <c r="CR2741" s="128"/>
      <c r="CS2741" s="128"/>
      <c r="CT2741" s="128"/>
      <c r="CU2741" s="128"/>
      <c r="CV2741" s="128"/>
      <c r="CW2741" s="128"/>
      <c r="CX2741" s="128"/>
      <c r="CY2741" s="128"/>
      <c r="CZ2741" s="165"/>
    </row>
    <row r="2742" spans="1:104">
      <c r="A2742" s="149"/>
      <c r="B2742" s="149"/>
      <c r="C2742" s="150"/>
      <c r="D2742" s="102"/>
      <c r="E2742" s="149"/>
      <c r="F2742" s="149"/>
      <c r="G2742" s="149"/>
      <c r="H2742" s="149"/>
      <c r="I2742" s="149"/>
      <c r="J2742" s="149"/>
      <c r="K2742" s="149"/>
      <c r="L2742" s="149"/>
      <c r="M2742" s="149"/>
      <c r="N2742" s="149"/>
      <c r="O2742" s="149"/>
      <c r="P2742" s="149"/>
      <c r="Q2742" s="149"/>
      <c r="R2742" s="149"/>
      <c r="S2742" s="149"/>
      <c r="T2742" s="149"/>
      <c r="U2742" s="149"/>
      <c r="V2742" s="149"/>
      <c r="W2742" s="149"/>
      <c r="X2742" s="149"/>
      <c r="Y2742" s="149"/>
      <c r="Z2742" s="149"/>
      <c r="AA2742" s="149"/>
      <c r="AB2742" s="149"/>
      <c r="AC2742" s="149"/>
      <c r="AD2742" s="149"/>
      <c r="AE2742" s="149"/>
      <c r="AF2742" s="149"/>
      <c r="AG2742" s="149"/>
      <c r="AH2742" s="149"/>
      <c r="AI2742" s="149"/>
      <c r="AJ2742" s="149"/>
      <c r="AK2742" s="149"/>
      <c r="AL2742" s="149"/>
      <c r="AM2742" s="149"/>
      <c r="AN2742" s="149"/>
      <c r="AO2742" s="128"/>
      <c r="AP2742" s="128"/>
      <c r="AQ2742" s="128"/>
      <c r="AR2742" s="128"/>
      <c r="AS2742" s="128"/>
      <c r="AT2742" s="128"/>
      <c r="AU2742" s="128"/>
      <c r="AV2742" s="128"/>
      <c r="AW2742" s="128"/>
      <c r="AX2742" s="128"/>
      <c r="AY2742" s="128"/>
      <c r="AZ2742" s="128"/>
      <c r="BA2742" s="128"/>
      <c r="BB2742" s="128"/>
      <c r="BC2742" s="128"/>
      <c r="BD2742" s="128"/>
      <c r="BE2742" s="128"/>
      <c r="BF2742" s="128"/>
      <c r="BG2742" s="128"/>
      <c r="BH2742" s="128"/>
      <c r="BI2742" s="128"/>
      <c r="BJ2742" s="128"/>
      <c r="BK2742" s="128"/>
      <c r="BL2742" s="128"/>
      <c r="BM2742" s="151"/>
      <c r="BN2742" s="128"/>
      <c r="BO2742" s="128"/>
      <c r="BP2742" s="128"/>
      <c r="BQ2742" s="128"/>
      <c r="BR2742" s="128"/>
      <c r="BS2742" s="128"/>
      <c r="BT2742" s="128"/>
      <c r="BU2742" s="128"/>
      <c r="BV2742" s="128"/>
      <c r="BW2742" s="128"/>
      <c r="BX2742" s="128"/>
      <c r="BY2742" s="128"/>
      <c r="BZ2742" s="128"/>
      <c r="CA2742" s="128"/>
      <c r="CB2742" s="128"/>
      <c r="CC2742" s="128"/>
      <c r="CD2742" s="128"/>
      <c r="CE2742" s="128"/>
      <c r="CF2742" s="128"/>
      <c r="CG2742" s="128"/>
      <c r="CI2742" s="128"/>
      <c r="CJ2742" s="128"/>
      <c r="CK2742" s="128"/>
      <c r="CL2742" s="128"/>
      <c r="CM2742" s="128"/>
      <c r="CN2742" s="128"/>
      <c r="CO2742" s="128"/>
      <c r="CP2742" s="128"/>
      <c r="CQ2742" s="128"/>
      <c r="CR2742" s="128"/>
      <c r="CS2742" s="128"/>
      <c r="CT2742" s="128"/>
      <c r="CU2742" s="128"/>
      <c r="CV2742" s="128"/>
      <c r="CW2742" s="128"/>
      <c r="CX2742" s="128"/>
      <c r="CY2742" s="128"/>
      <c r="CZ2742" s="165"/>
    </row>
    <row r="2743" spans="1:104">
      <c r="A2743" s="149"/>
      <c r="B2743" s="149"/>
      <c r="C2743" s="150"/>
      <c r="D2743" s="102"/>
      <c r="E2743" s="149"/>
      <c r="F2743" s="149"/>
      <c r="G2743" s="149"/>
      <c r="H2743" s="149"/>
      <c r="I2743" s="149"/>
      <c r="J2743" s="149"/>
      <c r="K2743" s="149"/>
      <c r="L2743" s="149"/>
      <c r="M2743" s="149"/>
      <c r="N2743" s="149"/>
      <c r="O2743" s="149"/>
      <c r="P2743" s="149"/>
      <c r="Q2743" s="149"/>
      <c r="R2743" s="149"/>
      <c r="S2743" s="149"/>
      <c r="T2743" s="149"/>
      <c r="U2743" s="149"/>
      <c r="V2743" s="149"/>
      <c r="W2743" s="149"/>
      <c r="X2743" s="149"/>
      <c r="Y2743" s="149"/>
      <c r="Z2743" s="149"/>
      <c r="AA2743" s="149"/>
      <c r="AB2743" s="149"/>
      <c r="AC2743" s="149"/>
      <c r="AD2743" s="149"/>
      <c r="AE2743" s="149"/>
      <c r="AF2743" s="149"/>
      <c r="AG2743" s="149"/>
      <c r="AH2743" s="149"/>
      <c r="AI2743" s="149"/>
      <c r="AJ2743" s="149"/>
      <c r="AK2743" s="149"/>
      <c r="AL2743" s="149"/>
      <c r="AM2743" s="149"/>
      <c r="AN2743" s="149"/>
      <c r="AO2743" s="128"/>
      <c r="AP2743" s="128"/>
      <c r="AQ2743" s="128"/>
      <c r="AR2743" s="128"/>
      <c r="AS2743" s="128"/>
      <c r="AT2743" s="128"/>
      <c r="AU2743" s="128"/>
      <c r="AV2743" s="128"/>
      <c r="AW2743" s="128"/>
      <c r="AX2743" s="128"/>
      <c r="AY2743" s="128"/>
      <c r="AZ2743" s="128"/>
      <c r="BA2743" s="128"/>
      <c r="BB2743" s="128"/>
      <c r="BC2743" s="128"/>
      <c r="BD2743" s="128"/>
      <c r="BE2743" s="128"/>
      <c r="BF2743" s="128"/>
      <c r="BG2743" s="128"/>
      <c r="BH2743" s="128"/>
      <c r="BI2743" s="128"/>
      <c r="BJ2743" s="128"/>
      <c r="BK2743" s="128"/>
      <c r="BL2743" s="128"/>
      <c r="BM2743" s="151"/>
      <c r="BN2743" s="128"/>
      <c r="BO2743" s="128"/>
      <c r="BP2743" s="128"/>
      <c r="BQ2743" s="128"/>
      <c r="BR2743" s="128"/>
      <c r="BS2743" s="128"/>
      <c r="BT2743" s="128"/>
      <c r="BU2743" s="128"/>
      <c r="BV2743" s="128"/>
      <c r="BW2743" s="128"/>
      <c r="BX2743" s="128"/>
      <c r="BY2743" s="128"/>
      <c r="BZ2743" s="128"/>
      <c r="CA2743" s="128"/>
      <c r="CB2743" s="128"/>
      <c r="CC2743" s="128"/>
      <c r="CD2743" s="128"/>
      <c r="CE2743" s="128"/>
      <c r="CF2743" s="128"/>
      <c r="CG2743" s="128"/>
      <c r="CI2743" s="128"/>
      <c r="CJ2743" s="128"/>
      <c r="CK2743" s="128"/>
      <c r="CL2743" s="128"/>
      <c r="CM2743" s="128"/>
      <c r="CN2743" s="128"/>
      <c r="CO2743" s="128"/>
      <c r="CP2743" s="128"/>
      <c r="CQ2743" s="128"/>
      <c r="CR2743" s="128"/>
      <c r="CS2743" s="128"/>
      <c r="CT2743" s="128"/>
      <c r="CU2743" s="128"/>
      <c r="CV2743" s="128"/>
      <c r="CW2743" s="128"/>
      <c r="CX2743" s="128"/>
      <c r="CY2743" s="128"/>
      <c r="CZ2743" s="165"/>
    </row>
    <row r="2744" spans="1:104">
      <c r="A2744" s="149"/>
      <c r="B2744" s="149"/>
      <c r="C2744" s="150"/>
      <c r="D2744" s="102"/>
      <c r="E2744" s="149"/>
      <c r="F2744" s="149"/>
      <c r="G2744" s="149"/>
      <c r="H2744" s="149"/>
      <c r="I2744" s="149"/>
      <c r="J2744" s="149"/>
      <c r="K2744" s="149"/>
      <c r="L2744" s="149"/>
      <c r="M2744" s="149"/>
      <c r="N2744" s="149"/>
      <c r="O2744" s="149"/>
      <c r="P2744" s="149"/>
      <c r="Q2744" s="149"/>
      <c r="R2744" s="149"/>
      <c r="S2744" s="149"/>
      <c r="T2744" s="149"/>
      <c r="U2744" s="149"/>
      <c r="V2744" s="149"/>
      <c r="W2744" s="149"/>
      <c r="X2744" s="149"/>
      <c r="Y2744" s="149"/>
      <c r="Z2744" s="149"/>
      <c r="AA2744" s="149"/>
      <c r="AB2744" s="149"/>
      <c r="AC2744" s="149"/>
      <c r="AD2744" s="149"/>
      <c r="AE2744" s="149"/>
      <c r="AF2744" s="149"/>
      <c r="AG2744" s="149"/>
      <c r="AH2744" s="149"/>
      <c r="AI2744" s="149"/>
      <c r="AJ2744" s="149"/>
      <c r="AK2744" s="149"/>
      <c r="AL2744" s="149"/>
      <c r="AM2744" s="149"/>
      <c r="AN2744" s="149"/>
      <c r="AO2744" s="128"/>
      <c r="AP2744" s="128"/>
      <c r="AQ2744" s="128"/>
      <c r="AR2744" s="128"/>
      <c r="AS2744" s="128"/>
      <c r="AT2744" s="128"/>
      <c r="AU2744" s="128"/>
      <c r="AV2744" s="128"/>
      <c r="AW2744" s="128"/>
      <c r="AX2744" s="128"/>
      <c r="AY2744" s="128"/>
      <c r="AZ2744" s="128"/>
      <c r="BA2744" s="128"/>
      <c r="BB2744" s="128"/>
      <c r="BC2744" s="128"/>
      <c r="BD2744" s="128"/>
      <c r="BE2744" s="128"/>
      <c r="BF2744" s="128"/>
      <c r="BG2744" s="128"/>
      <c r="BH2744" s="128"/>
      <c r="BI2744" s="128"/>
      <c r="BJ2744" s="128"/>
      <c r="BK2744" s="128"/>
      <c r="BL2744" s="128"/>
      <c r="BM2744" s="151"/>
      <c r="BN2744" s="128"/>
      <c r="BO2744" s="128"/>
      <c r="BP2744" s="128"/>
      <c r="BQ2744" s="128"/>
      <c r="BR2744" s="128"/>
      <c r="BS2744" s="128"/>
      <c r="BT2744" s="128"/>
      <c r="BU2744" s="128"/>
      <c r="BV2744" s="128"/>
      <c r="BW2744" s="128"/>
      <c r="BX2744" s="128"/>
      <c r="BY2744" s="128"/>
      <c r="BZ2744" s="128"/>
      <c r="CA2744" s="128"/>
      <c r="CB2744" s="128"/>
      <c r="CC2744" s="128"/>
      <c r="CD2744" s="128"/>
      <c r="CE2744" s="128"/>
      <c r="CF2744" s="128"/>
      <c r="CG2744" s="128"/>
      <c r="CI2744" s="128"/>
      <c r="CJ2744" s="128"/>
      <c r="CK2744" s="128"/>
      <c r="CL2744" s="128"/>
      <c r="CM2744" s="128"/>
      <c r="CN2744" s="128"/>
      <c r="CO2744" s="128"/>
      <c r="CP2744" s="128"/>
      <c r="CQ2744" s="128"/>
      <c r="CR2744" s="128"/>
      <c r="CS2744" s="128"/>
      <c r="CT2744" s="128"/>
      <c r="CU2744" s="128"/>
      <c r="CV2744" s="128"/>
      <c r="CW2744" s="128"/>
      <c r="CX2744" s="128"/>
      <c r="CY2744" s="128"/>
      <c r="CZ2744" s="165"/>
    </row>
    <row r="2745" spans="1:104">
      <c r="A2745" s="149"/>
      <c r="B2745" s="149"/>
      <c r="C2745" s="150"/>
      <c r="D2745" s="102"/>
      <c r="E2745" s="149"/>
      <c r="F2745" s="149"/>
      <c r="G2745" s="149"/>
      <c r="H2745" s="149"/>
      <c r="I2745" s="149"/>
      <c r="J2745" s="149"/>
      <c r="K2745" s="149"/>
      <c r="L2745" s="149"/>
      <c r="M2745" s="149"/>
      <c r="N2745" s="149"/>
      <c r="O2745" s="149"/>
      <c r="P2745" s="149"/>
      <c r="Q2745" s="149"/>
      <c r="R2745" s="149"/>
      <c r="S2745" s="149"/>
      <c r="T2745" s="149"/>
      <c r="U2745" s="149"/>
      <c r="V2745" s="149"/>
      <c r="W2745" s="149"/>
      <c r="X2745" s="149"/>
      <c r="Y2745" s="149"/>
      <c r="Z2745" s="149"/>
      <c r="AA2745" s="149"/>
      <c r="AB2745" s="149"/>
      <c r="AC2745" s="149"/>
      <c r="AD2745" s="149"/>
      <c r="AE2745" s="149"/>
      <c r="AF2745" s="149"/>
      <c r="AG2745" s="149"/>
      <c r="AH2745" s="149"/>
      <c r="AI2745" s="149"/>
      <c r="AJ2745" s="149"/>
      <c r="AK2745" s="149"/>
      <c r="AL2745" s="149"/>
      <c r="AM2745" s="149"/>
      <c r="AN2745" s="149"/>
      <c r="AO2745" s="128"/>
      <c r="AP2745" s="128"/>
      <c r="AQ2745" s="128"/>
      <c r="AR2745" s="128"/>
      <c r="AS2745" s="128"/>
      <c r="AT2745" s="128"/>
      <c r="AU2745" s="128"/>
      <c r="AV2745" s="128"/>
      <c r="AW2745" s="128"/>
      <c r="AX2745" s="128"/>
      <c r="AY2745" s="128"/>
      <c r="AZ2745" s="128"/>
      <c r="BA2745" s="128"/>
      <c r="BB2745" s="128"/>
      <c r="BC2745" s="128"/>
      <c r="BD2745" s="128"/>
      <c r="BE2745" s="128"/>
      <c r="BF2745" s="128"/>
      <c r="BG2745" s="128"/>
      <c r="BH2745" s="128"/>
      <c r="BI2745" s="128"/>
      <c r="BJ2745" s="128"/>
      <c r="BK2745" s="128"/>
      <c r="BL2745" s="128"/>
      <c r="BM2745" s="151"/>
      <c r="BN2745" s="128"/>
      <c r="BO2745" s="128"/>
      <c r="BP2745" s="128"/>
      <c r="BQ2745" s="128"/>
      <c r="BR2745" s="128"/>
      <c r="BS2745" s="128"/>
      <c r="BT2745" s="128"/>
      <c r="BU2745" s="128"/>
      <c r="BV2745" s="128"/>
      <c r="BW2745" s="128"/>
      <c r="BX2745" s="128"/>
      <c r="BY2745" s="128"/>
      <c r="BZ2745" s="128"/>
      <c r="CA2745" s="128"/>
      <c r="CB2745" s="128"/>
      <c r="CC2745" s="128"/>
      <c r="CD2745" s="128"/>
      <c r="CE2745" s="128"/>
      <c r="CF2745" s="128"/>
      <c r="CG2745" s="128"/>
      <c r="CI2745" s="128"/>
      <c r="CJ2745" s="128"/>
      <c r="CK2745" s="128"/>
      <c r="CL2745" s="128"/>
      <c r="CM2745" s="128"/>
      <c r="CN2745" s="128"/>
      <c r="CO2745" s="128"/>
      <c r="CP2745" s="128"/>
      <c r="CQ2745" s="128"/>
      <c r="CR2745" s="128"/>
      <c r="CS2745" s="128"/>
      <c r="CT2745" s="128"/>
      <c r="CU2745" s="128"/>
      <c r="CV2745" s="128"/>
      <c r="CW2745" s="128"/>
      <c r="CX2745" s="128"/>
      <c r="CY2745" s="128"/>
      <c r="CZ2745" s="165"/>
    </row>
    <row r="2746" spans="1:104">
      <c r="A2746" s="149"/>
      <c r="B2746" s="149"/>
      <c r="C2746" s="150"/>
      <c r="D2746" s="102"/>
      <c r="E2746" s="149"/>
      <c r="F2746" s="149"/>
      <c r="G2746" s="149"/>
      <c r="H2746" s="149"/>
      <c r="I2746" s="149"/>
      <c r="J2746" s="149"/>
      <c r="K2746" s="149"/>
      <c r="L2746" s="149"/>
      <c r="M2746" s="149"/>
      <c r="N2746" s="149"/>
      <c r="O2746" s="149"/>
      <c r="P2746" s="149"/>
      <c r="Q2746" s="149"/>
      <c r="R2746" s="149"/>
      <c r="S2746" s="149"/>
      <c r="T2746" s="149"/>
      <c r="U2746" s="149"/>
      <c r="V2746" s="149"/>
      <c r="W2746" s="149"/>
      <c r="X2746" s="149"/>
      <c r="Y2746" s="149"/>
      <c r="Z2746" s="149"/>
      <c r="AA2746" s="149"/>
      <c r="AB2746" s="149"/>
      <c r="AC2746" s="149"/>
      <c r="AD2746" s="149"/>
      <c r="AE2746" s="149"/>
      <c r="AF2746" s="149"/>
      <c r="AG2746" s="149"/>
      <c r="AH2746" s="149"/>
      <c r="AI2746" s="149"/>
      <c r="AJ2746" s="149"/>
      <c r="AK2746" s="149"/>
      <c r="AL2746" s="149"/>
      <c r="AM2746" s="149"/>
      <c r="AN2746" s="149"/>
      <c r="AO2746" s="128"/>
      <c r="AP2746" s="128"/>
      <c r="AQ2746" s="128"/>
      <c r="AR2746" s="128"/>
      <c r="AS2746" s="128"/>
      <c r="AT2746" s="128"/>
      <c r="AU2746" s="128"/>
      <c r="AV2746" s="128"/>
      <c r="AW2746" s="128"/>
      <c r="AX2746" s="128"/>
      <c r="AY2746" s="128"/>
      <c r="AZ2746" s="128"/>
      <c r="BA2746" s="128"/>
      <c r="BB2746" s="128"/>
      <c r="BC2746" s="128"/>
      <c r="BD2746" s="128"/>
      <c r="BE2746" s="128"/>
      <c r="BF2746" s="128"/>
      <c r="BG2746" s="128"/>
      <c r="BH2746" s="128"/>
      <c r="BI2746" s="128"/>
      <c r="BJ2746" s="128"/>
      <c r="BK2746" s="128"/>
      <c r="BL2746" s="128"/>
      <c r="BM2746" s="151"/>
      <c r="BN2746" s="128"/>
      <c r="BO2746" s="128"/>
      <c r="BP2746" s="128"/>
      <c r="BQ2746" s="128"/>
      <c r="BR2746" s="128"/>
      <c r="BS2746" s="128"/>
      <c r="BT2746" s="128"/>
      <c r="BU2746" s="128"/>
      <c r="BV2746" s="128"/>
      <c r="BW2746" s="128"/>
      <c r="BX2746" s="128"/>
      <c r="BY2746" s="128"/>
      <c r="BZ2746" s="128"/>
      <c r="CA2746" s="128"/>
      <c r="CB2746" s="128"/>
      <c r="CC2746" s="128"/>
      <c r="CD2746" s="128"/>
      <c r="CE2746" s="128"/>
      <c r="CF2746" s="128"/>
      <c r="CG2746" s="128"/>
      <c r="CI2746" s="128"/>
      <c r="CJ2746" s="128"/>
      <c r="CK2746" s="128"/>
      <c r="CL2746" s="128"/>
      <c r="CM2746" s="128"/>
      <c r="CN2746" s="128"/>
      <c r="CO2746" s="128"/>
      <c r="CP2746" s="128"/>
      <c r="CQ2746" s="128"/>
      <c r="CR2746" s="128"/>
      <c r="CS2746" s="128"/>
      <c r="CT2746" s="128"/>
      <c r="CU2746" s="128"/>
      <c r="CV2746" s="128"/>
      <c r="CW2746" s="128"/>
      <c r="CX2746" s="128"/>
      <c r="CY2746" s="128"/>
      <c r="CZ2746" s="165"/>
    </row>
    <row r="2747" spans="1:104">
      <c r="A2747" s="149"/>
      <c r="B2747" s="149"/>
      <c r="C2747" s="150"/>
      <c r="D2747" s="102"/>
      <c r="E2747" s="149"/>
      <c r="F2747" s="149"/>
      <c r="G2747" s="149"/>
      <c r="H2747" s="149"/>
      <c r="I2747" s="149"/>
      <c r="J2747" s="149"/>
      <c r="K2747" s="149"/>
      <c r="L2747" s="149"/>
      <c r="M2747" s="149"/>
      <c r="N2747" s="149"/>
      <c r="O2747" s="149"/>
      <c r="P2747" s="149"/>
      <c r="Q2747" s="149"/>
      <c r="R2747" s="149"/>
      <c r="S2747" s="149"/>
      <c r="T2747" s="149"/>
      <c r="U2747" s="149"/>
      <c r="V2747" s="149"/>
      <c r="W2747" s="149"/>
      <c r="X2747" s="149"/>
      <c r="Y2747" s="149"/>
      <c r="Z2747" s="149"/>
      <c r="AA2747" s="149"/>
      <c r="AB2747" s="149"/>
      <c r="AC2747" s="149"/>
      <c r="AD2747" s="149"/>
      <c r="AE2747" s="149"/>
      <c r="AF2747" s="149"/>
      <c r="AG2747" s="149"/>
      <c r="AH2747" s="149"/>
      <c r="AI2747" s="149"/>
      <c r="AJ2747" s="149"/>
      <c r="AK2747" s="149"/>
      <c r="AL2747" s="149"/>
      <c r="AM2747" s="149"/>
      <c r="AN2747" s="149"/>
      <c r="AO2747" s="128"/>
      <c r="AP2747" s="128"/>
      <c r="AQ2747" s="128"/>
      <c r="AR2747" s="128"/>
      <c r="AS2747" s="128"/>
      <c r="AT2747" s="128"/>
      <c r="AU2747" s="128"/>
      <c r="AV2747" s="128"/>
      <c r="AW2747" s="128"/>
      <c r="AX2747" s="128"/>
      <c r="AY2747" s="128"/>
      <c r="AZ2747" s="128"/>
      <c r="BA2747" s="128"/>
      <c r="BB2747" s="128"/>
      <c r="BC2747" s="128"/>
      <c r="BD2747" s="128"/>
      <c r="BE2747" s="128"/>
      <c r="BF2747" s="128"/>
      <c r="BG2747" s="128"/>
      <c r="BH2747" s="128"/>
      <c r="BI2747" s="128"/>
      <c r="BJ2747" s="128"/>
      <c r="BK2747" s="128"/>
      <c r="BL2747" s="128"/>
      <c r="BM2747" s="151"/>
      <c r="BN2747" s="128"/>
      <c r="BO2747" s="128"/>
      <c r="BP2747" s="128"/>
      <c r="BQ2747" s="128"/>
      <c r="BR2747" s="128"/>
      <c r="BS2747" s="128"/>
      <c r="BT2747" s="128"/>
      <c r="BU2747" s="128"/>
      <c r="BV2747" s="128"/>
      <c r="BW2747" s="128"/>
      <c r="BX2747" s="128"/>
      <c r="BY2747" s="128"/>
      <c r="BZ2747" s="128"/>
      <c r="CA2747" s="128"/>
      <c r="CB2747" s="128"/>
      <c r="CC2747" s="128"/>
      <c r="CD2747" s="128"/>
      <c r="CE2747" s="128"/>
      <c r="CF2747" s="128"/>
      <c r="CG2747" s="128"/>
      <c r="CI2747" s="128"/>
      <c r="CJ2747" s="128"/>
      <c r="CK2747" s="128"/>
      <c r="CL2747" s="128"/>
      <c r="CM2747" s="128"/>
      <c r="CN2747" s="128"/>
      <c r="CO2747" s="128"/>
      <c r="CP2747" s="128"/>
      <c r="CQ2747" s="128"/>
      <c r="CR2747" s="128"/>
      <c r="CS2747" s="128"/>
      <c r="CT2747" s="128"/>
      <c r="CU2747" s="128"/>
      <c r="CV2747" s="128"/>
      <c r="CW2747" s="128"/>
      <c r="CX2747" s="128"/>
      <c r="CY2747" s="128"/>
      <c r="CZ2747" s="165"/>
    </row>
    <row r="2748" spans="1:104">
      <c r="A2748" s="149"/>
      <c r="B2748" s="149"/>
      <c r="C2748" s="150"/>
      <c r="D2748" s="102"/>
      <c r="E2748" s="149"/>
      <c r="F2748" s="149"/>
      <c r="G2748" s="149"/>
      <c r="H2748" s="149"/>
      <c r="I2748" s="149"/>
      <c r="J2748" s="149"/>
      <c r="K2748" s="149"/>
      <c r="L2748" s="149"/>
      <c r="M2748" s="149"/>
      <c r="N2748" s="149"/>
      <c r="O2748" s="149"/>
      <c r="P2748" s="149"/>
      <c r="Q2748" s="149"/>
      <c r="R2748" s="149"/>
      <c r="S2748" s="149"/>
      <c r="T2748" s="149"/>
      <c r="U2748" s="149"/>
      <c r="V2748" s="149"/>
      <c r="W2748" s="149"/>
      <c r="X2748" s="149"/>
      <c r="Y2748" s="149"/>
      <c r="Z2748" s="149"/>
      <c r="AA2748" s="149"/>
      <c r="AB2748" s="149"/>
      <c r="AC2748" s="149"/>
      <c r="AD2748" s="149"/>
      <c r="AE2748" s="149"/>
      <c r="AF2748" s="149"/>
      <c r="AG2748" s="149"/>
      <c r="AH2748" s="149"/>
      <c r="AI2748" s="149"/>
      <c r="AJ2748" s="149"/>
      <c r="AK2748" s="149"/>
      <c r="AL2748" s="149"/>
      <c r="AM2748" s="149"/>
      <c r="AN2748" s="149"/>
      <c r="AO2748" s="128"/>
      <c r="AP2748" s="128"/>
      <c r="AQ2748" s="128"/>
      <c r="AR2748" s="128"/>
      <c r="AS2748" s="128"/>
      <c r="AT2748" s="128"/>
      <c r="AU2748" s="128"/>
      <c r="AV2748" s="128"/>
      <c r="AW2748" s="128"/>
      <c r="AX2748" s="128"/>
      <c r="AY2748" s="128"/>
      <c r="AZ2748" s="128"/>
      <c r="BA2748" s="128"/>
      <c r="BB2748" s="128"/>
      <c r="BC2748" s="128"/>
      <c r="BD2748" s="128"/>
      <c r="BE2748" s="128"/>
      <c r="BF2748" s="128"/>
      <c r="BG2748" s="128"/>
      <c r="BH2748" s="128"/>
      <c r="BI2748" s="128"/>
      <c r="BJ2748" s="128"/>
      <c r="BK2748" s="128"/>
      <c r="BL2748" s="128"/>
      <c r="BM2748" s="151"/>
      <c r="BN2748" s="128"/>
      <c r="BO2748" s="128"/>
      <c r="BP2748" s="128"/>
      <c r="BQ2748" s="128"/>
      <c r="BR2748" s="128"/>
      <c r="BS2748" s="128"/>
      <c r="BT2748" s="128"/>
      <c r="BU2748" s="128"/>
      <c r="BV2748" s="128"/>
      <c r="BW2748" s="128"/>
      <c r="BX2748" s="128"/>
      <c r="BY2748" s="128"/>
      <c r="BZ2748" s="128"/>
      <c r="CA2748" s="128"/>
      <c r="CB2748" s="128"/>
      <c r="CC2748" s="128"/>
      <c r="CD2748" s="128"/>
      <c r="CE2748" s="128"/>
      <c r="CF2748" s="128"/>
      <c r="CG2748" s="128"/>
      <c r="CI2748" s="128"/>
      <c r="CJ2748" s="128"/>
      <c r="CK2748" s="128"/>
      <c r="CL2748" s="128"/>
      <c r="CM2748" s="128"/>
      <c r="CN2748" s="128"/>
      <c r="CO2748" s="128"/>
      <c r="CP2748" s="128"/>
      <c r="CQ2748" s="128"/>
      <c r="CR2748" s="128"/>
      <c r="CS2748" s="128"/>
      <c r="CT2748" s="128"/>
      <c r="CU2748" s="128"/>
      <c r="CV2748" s="128"/>
      <c r="CW2748" s="128"/>
      <c r="CX2748" s="128"/>
      <c r="CY2748" s="128"/>
      <c r="CZ2748" s="165"/>
    </row>
    <row r="2749" spans="1:104">
      <c r="A2749" s="149"/>
      <c r="B2749" s="149"/>
      <c r="C2749" s="150"/>
      <c r="D2749" s="102"/>
      <c r="E2749" s="149"/>
      <c r="F2749" s="149"/>
      <c r="G2749" s="149"/>
      <c r="H2749" s="149"/>
      <c r="I2749" s="149"/>
      <c r="J2749" s="149"/>
      <c r="K2749" s="149"/>
      <c r="L2749" s="149"/>
      <c r="M2749" s="149"/>
      <c r="N2749" s="149"/>
      <c r="O2749" s="149"/>
      <c r="P2749" s="149"/>
      <c r="Q2749" s="149"/>
      <c r="R2749" s="149"/>
      <c r="S2749" s="149"/>
      <c r="T2749" s="149"/>
      <c r="U2749" s="149"/>
      <c r="V2749" s="149"/>
      <c r="W2749" s="149"/>
      <c r="X2749" s="149"/>
      <c r="Y2749" s="149"/>
      <c r="Z2749" s="149"/>
      <c r="AA2749" s="149"/>
      <c r="AB2749" s="149"/>
      <c r="AC2749" s="149"/>
      <c r="AD2749" s="149"/>
      <c r="AE2749" s="149"/>
      <c r="AF2749" s="149"/>
      <c r="AG2749" s="149"/>
      <c r="AH2749" s="149"/>
      <c r="AI2749" s="149"/>
      <c r="AJ2749" s="149"/>
      <c r="AK2749" s="149"/>
      <c r="AL2749" s="149"/>
      <c r="AM2749" s="149"/>
      <c r="AN2749" s="149"/>
      <c r="AO2749" s="128"/>
      <c r="AP2749" s="128"/>
      <c r="AQ2749" s="128"/>
      <c r="AR2749" s="128"/>
      <c r="AS2749" s="128"/>
      <c r="AT2749" s="128"/>
      <c r="AU2749" s="128"/>
      <c r="AV2749" s="128"/>
      <c r="AW2749" s="128"/>
      <c r="AX2749" s="128"/>
      <c r="AY2749" s="128"/>
      <c r="AZ2749" s="128"/>
      <c r="BA2749" s="128"/>
      <c r="BB2749" s="128"/>
      <c r="BC2749" s="128"/>
      <c r="BD2749" s="128"/>
      <c r="BE2749" s="128"/>
      <c r="BF2749" s="128"/>
      <c r="BG2749" s="128"/>
      <c r="BH2749" s="128"/>
      <c r="BI2749" s="128"/>
      <c r="BJ2749" s="128"/>
      <c r="BK2749" s="128"/>
      <c r="BL2749" s="128"/>
      <c r="BM2749" s="151"/>
      <c r="BN2749" s="128"/>
      <c r="BO2749" s="128"/>
      <c r="BP2749" s="128"/>
      <c r="BQ2749" s="128"/>
      <c r="BR2749" s="128"/>
      <c r="BS2749" s="128"/>
      <c r="BT2749" s="128"/>
      <c r="BU2749" s="128"/>
      <c r="BV2749" s="128"/>
      <c r="BW2749" s="128"/>
      <c r="BX2749" s="128"/>
      <c r="BY2749" s="128"/>
      <c r="BZ2749" s="128"/>
      <c r="CA2749" s="128"/>
      <c r="CB2749" s="128"/>
      <c r="CC2749" s="128"/>
      <c r="CD2749" s="128"/>
      <c r="CE2749" s="128"/>
      <c r="CF2749" s="128"/>
      <c r="CG2749" s="128"/>
      <c r="CI2749" s="128"/>
      <c r="CJ2749" s="128"/>
      <c r="CK2749" s="128"/>
      <c r="CL2749" s="128"/>
      <c r="CM2749" s="128"/>
      <c r="CN2749" s="128"/>
      <c r="CO2749" s="128"/>
      <c r="CP2749" s="128"/>
      <c r="CQ2749" s="128"/>
      <c r="CR2749" s="128"/>
      <c r="CS2749" s="128"/>
      <c r="CT2749" s="128"/>
      <c r="CU2749" s="128"/>
      <c r="CV2749" s="128"/>
      <c r="CW2749" s="128"/>
      <c r="CX2749" s="128"/>
      <c r="CY2749" s="128"/>
      <c r="CZ2749" s="165"/>
    </row>
    <row r="2750" spans="1:104">
      <c r="A2750" s="149"/>
      <c r="B2750" s="149"/>
      <c r="C2750" s="150"/>
      <c r="D2750" s="102"/>
      <c r="E2750" s="149"/>
      <c r="F2750" s="149"/>
      <c r="G2750" s="149"/>
      <c r="H2750" s="149"/>
      <c r="I2750" s="149"/>
      <c r="J2750" s="149"/>
      <c r="K2750" s="149"/>
      <c r="L2750" s="149"/>
      <c r="M2750" s="149"/>
      <c r="N2750" s="149"/>
      <c r="O2750" s="149"/>
      <c r="P2750" s="149"/>
      <c r="Q2750" s="149"/>
      <c r="R2750" s="149"/>
      <c r="S2750" s="149"/>
      <c r="T2750" s="149"/>
      <c r="U2750" s="149"/>
      <c r="V2750" s="149"/>
      <c r="W2750" s="149"/>
      <c r="X2750" s="149"/>
      <c r="Y2750" s="149"/>
      <c r="Z2750" s="149"/>
      <c r="AA2750" s="149"/>
      <c r="AB2750" s="149"/>
      <c r="AC2750" s="149"/>
      <c r="AD2750" s="149"/>
      <c r="AE2750" s="149"/>
      <c r="AF2750" s="149"/>
      <c r="AG2750" s="149"/>
      <c r="AH2750" s="149"/>
      <c r="AI2750" s="149"/>
      <c r="AJ2750" s="149"/>
      <c r="AK2750" s="149"/>
      <c r="AL2750" s="149"/>
      <c r="AM2750" s="149"/>
      <c r="AN2750" s="149"/>
      <c r="AO2750" s="128"/>
      <c r="AP2750" s="128"/>
      <c r="AQ2750" s="128"/>
      <c r="AR2750" s="128"/>
      <c r="AS2750" s="128"/>
      <c r="AT2750" s="128"/>
      <c r="AU2750" s="128"/>
      <c r="AV2750" s="128"/>
      <c r="AW2750" s="128"/>
      <c r="AX2750" s="128"/>
      <c r="AY2750" s="128"/>
      <c r="AZ2750" s="128"/>
      <c r="BA2750" s="128"/>
      <c r="BB2750" s="128"/>
      <c r="BC2750" s="128"/>
      <c r="BD2750" s="128"/>
      <c r="BE2750" s="128"/>
      <c r="BF2750" s="128"/>
      <c r="BG2750" s="128"/>
      <c r="BH2750" s="128"/>
      <c r="BI2750" s="128"/>
      <c r="BJ2750" s="128"/>
      <c r="BK2750" s="128"/>
      <c r="BL2750" s="128"/>
      <c r="BM2750" s="151"/>
      <c r="BN2750" s="128"/>
      <c r="BO2750" s="128"/>
      <c r="BP2750" s="128"/>
      <c r="BQ2750" s="128"/>
      <c r="BR2750" s="128"/>
      <c r="BS2750" s="128"/>
      <c r="BT2750" s="128"/>
      <c r="BU2750" s="128"/>
      <c r="BV2750" s="128"/>
      <c r="BW2750" s="128"/>
      <c r="BX2750" s="128"/>
      <c r="BY2750" s="128"/>
      <c r="BZ2750" s="128"/>
      <c r="CA2750" s="128"/>
      <c r="CB2750" s="128"/>
      <c r="CC2750" s="128"/>
      <c r="CD2750" s="128"/>
      <c r="CE2750" s="128"/>
      <c r="CF2750" s="128"/>
      <c r="CG2750" s="128"/>
      <c r="CI2750" s="128"/>
      <c r="CJ2750" s="128"/>
      <c r="CK2750" s="128"/>
      <c r="CL2750" s="128"/>
      <c r="CM2750" s="128"/>
      <c r="CN2750" s="128"/>
      <c r="CO2750" s="128"/>
      <c r="CP2750" s="128"/>
      <c r="CQ2750" s="128"/>
      <c r="CR2750" s="128"/>
      <c r="CS2750" s="128"/>
      <c r="CT2750" s="128"/>
      <c r="CU2750" s="128"/>
      <c r="CV2750" s="128"/>
      <c r="CW2750" s="128"/>
      <c r="CX2750" s="128"/>
      <c r="CY2750" s="128"/>
      <c r="CZ2750" s="165"/>
    </row>
    <row r="2751" spans="1:104">
      <c r="A2751" s="149"/>
      <c r="B2751" s="149"/>
      <c r="C2751" s="150"/>
      <c r="D2751" s="102"/>
      <c r="E2751" s="149"/>
      <c r="F2751" s="149"/>
      <c r="G2751" s="149"/>
      <c r="H2751" s="149"/>
      <c r="I2751" s="149"/>
      <c r="J2751" s="149"/>
      <c r="K2751" s="149"/>
      <c r="L2751" s="149"/>
      <c r="M2751" s="149"/>
      <c r="N2751" s="149"/>
      <c r="O2751" s="149"/>
      <c r="P2751" s="149"/>
      <c r="Q2751" s="149"/>
      <c r="R2751" s="149"/>
      <c r="S2751" s="149"/>
      <c r="T2751" s="149"/>
      <c r="U2751" s="149"/>
      <c r="V2751" s="149"/>
      <c r="W2751" s="149"/>
      <c r="X2751" s="149"/>
      <c r="Y2751" s="149"/>
      <c r="Z2751" s="149"/>
      <c r="AA2751" s="149"/>
      <c r="AB2751" s="149"/>
      <c r="AC2751" s="149"/>
      <c r="AD2751" s="149"/>
      <c r="AE2751" s="149"/>
      <c r="AF2751" s="149"/>
      <c r="AG2751" s="149"/>
      <c r="AH2751" s="149"/>
      <c r="AI2751" s="149"/>
      <c r="AJ2751" s="149"/>
      <c r="AK2751" s="149"/>
      <c r="AL2751" s="149"/>
      <c r="AM2751" s="149"/>
      <c r="AN2751" s="149"/>
      <c r="AO2751" s="128"/>
      <c r="AP2751" s="128"/>
      <c r="AQ2751" s="128"/>
      <c r="AR2751" s="128"/>
      <c r="AS2751" s="128"/>
      <c r="AT2751" s="128"/>
      <c r="AU2751" s="128"/>
      <c r="AV2751" s="128"/>
      <c r="AW2751" s="128"/>
      <c r="AX2751" s="128"/>
      <c r="AY2751" s="128"/>
      <c r="AZ2751" s="128"/>
      <c r="BA2751" s="128"/>
      <c r="BB2751" s="128"/>
      <c r="BC2751" s="128"/>
      <c r="BD2751" s="128"/>
      <c r="BE2751" s="128"/>
      <c r="BF2751" s="128"/>
      <c r="BG2751" s="128"/>
      <c r="BH2751" s="128"/>
      <c r="BI2751" s="128"/>
      <c r="BJ2751" s="128"/>
      <c r="BK2751" s="128"/>
      <c r="BL2751" s="128"/>
      <c r="BM2751" s="151"/>
      <c r="BN2751" s="128"/>
      <c r="BO2751" s="128"/>
      <c r="BP2751" s="128"/>
      <c r="BQ2751" s="128"/>
      <c r="BR2751" s="128"/>
      <c r="BS2751" s="128"/>
      <c r="BT2751" s="128"/>
      <c r="BU2751" s="128"/>
      <c r="BV2751" s="128"/>
      <c r="BW2751" s="128"/>
      <c r="BX2751" s="128"/>
      <c r="BY2751" s="128"/>
      <c r="BZ2751" s="128"/>
      <c r="CA2751" s="128"/>
      <c r="CB2751" s="128"/>
      <c r="CC2751" s="128"/>
      <c r="CD2751" s="128"/>
      <c r="CE2751" s="128"/>
      <c r="CF2751" s="128"/>
      <c r="CG2751" s="128"/>
      <c r="CI2751" s="128"/>
      <c r="CJ2751" s="128"/>
      <c r="CK2751" s="128"/>
      <c r="CL2751" s="128"/>
      <c r="CM2751" s="128"/>
      <c r="CN2751" s="128"/>
      <c r="CO2751" s="128"/>
      <c r="CP2751" s="128"/>
      <c r="CQ2751" s="128"/>
      <c r="CR2751" s="128"/>
      <c r="CS2751" s="128"/>
      <c r="CT2751" s="128"/>
      <c r="CU2751" s="128"/>
      <c r="CV2751" s="128"/>
      <c r="CW2751" s="128"/>
      <c r="CX2751" s="128"/>
      <c r="CY2751" s="128"/>
      <c r="CZ2751" s="165"/>
    </row>
    <row r="2752" spans="1:104">
      <c r="A2752" s="149"/>
      <c r="B2752" s="149"/>
      <c r="C2752" s="150"/>
      <c r="D2752" s="102"/>
      <c r="E2752" s="149"/>
      <c r="F2752" s="149"/>
      <c r="G2752" s="149"/>
      <c r="H2752" s="149"/>
      <c r="I2752" s="149"/>
      <c r="J2752" s="149"/>
      <c r="K2752" s="149"/>
      <c r="L2752" s="149"/>
      <c r="M2752" s="149"/>
      <c r="N2752" s="149"/>
      <c r="O2752" s="149"/>
      <c r="P2752" s="149"/>
      <c r="Q2752" s="149"/>
      <c r="R2752" s="149"/>
      <c r="S2752" s="149"/>
      <c r="T2752" s="149"/>
      <c r="U2752" s="149"/>
      <c r="V2752" s="149"/>
      <c r="W2752" s="149"/>
      <c r="X2752" s="149"/>
      <c r="Y2752" s="149"/>
      <c r="Z2752" s="149"/>
      <c r="AA2752" s="149"/>
      <c r="AB2752" s="149"/>
      <c r="AC2752" s="149"/>
      <c r="AD2752" s="149"/>
      <c r="AE2752" s="149"/>
      <c r="AF2752" s="149"/>
      <c r="AG2752" s="149"/>
      <c r="AH2752" s="149"/>
      <c r="AI2752" s="149"/>
      <c r="AJ2752" s="149"/>
      <c r="AK2752" s="149"/>
      <c r="AL2752" s="149"/>
      <c r="AM2752" s="149"/>
      <c r="AN2752" s="149"/>
      <c r="AO2752" s="128"/>
      <c r="AP2752" s="128"/>
      <c r="AQ2752" s="128"/>
      <c r="AR2752" s="128"/>
      <c r="AS2752" s="128"/>
      <c r="AT2752" s="128"/>
      <c r="AU2752" s="128"/>
      <c r="AV2752" s="128"/>
      <c r="AW2752" s="128"/>
      <c r="AX2752" s="128"/>
      <c r="AY2752" s="128"/>
      <c r="AZ2752" s="128"/>
      <c r="BA2752" s="128"/>
      <c r="BB2752" s="128"/>
      <c r="BC2752" s="128"/>
      <c r="BD2752" s="128"/>
      <c r="BE2752" s="128"/>
      <c r="BF2752" s="128"/>
      <c r="BG2752" s="128"/>
      <c r="BH2752" s="128"/>
      <c r="BI2752" s="128"/>
      <c r="BJ2752" s="128"/>
      <c r="BK2752" s="128"/>
      <c r="BL2752" s="128"/>
      <c r="BM2752" s="151"/>
      <c r="BN2752" s="128"/>
      <c r="BO2752" s="128"/>
      <c r="BP2752" s="128"/>
      <c r="BQ2752" s="128"/>
      <c r="BR2752" s="128"/>
      <c r="BS2752" s="128"/>
      <c r="BT2752" s="128"/>
      <c r="BU2752" s="128"/>
      <c r="BV2752" s="128"/>
      <c r="BW2752" s="128"/>
      <c r="BX2752" s="128"/>
      <c r="BY2752" s="128"/>
      <c r="BZ2752" s="128"/>
      <c r="CA2752" s="128"/>
      <c r="CB2752" s="128"/>
      <c r="CC2752" s="128"/>
      <c r="CD2752" s="128"/>
      <c r="CE2752" s="128"/>
      <c r="CF2752" s="128"/>
      <c r="CG2752" s="128"/>
      <c r="CI2752" s="128"/>
      <c r="CJ2752" s="128"/>
      <c r="CK2752" s="128"/>
      <c r="CL2752" s="128"/>
      <c r="CM2752" s="128"/>
      <c r="CN2752" s="128"/>
      <c r="CO2752" s="128"/>
      <c r="CP2752" s="128"/>
      <c r="CQ2752" s="128"/>
      <c r="CR2752" s="128"/>
      <c r="CS2752" s="128"/>
      <c r="CT2752" s="128"/>
      <c r="CU2752" s="128"/>
      <c r="CV2752" s="128"/>
      <c r="CW2752" s="128"/>
      <c r="CX2752" s="128"/>
      <c r="CY2752" s="128"/>
      <c r="CZ2752" s="165"/>
    </row>
    <row r="2753" spans="1:104">
      <c r="A2753" s="149"/>
      <c r="B2753" s="149"/>
      <c r="C2753" s="150"/>
      <c r="D2753" s="102"/>
      <c r="E2753" s="149"/>
      <c r="F2753" s="149"/>
      <c r="G2753" s="149"/>
      <c r="H2753" s="149"/>
      <c r="I2753" s="149"/>
      <c r="J2753" s="149"/>
      <c r="K2753" s="149"/>
      <c r="L2753" s="149"/>
      <c r="M2753" s="149"/>
      <c r="N2753" s="149"/>
      <c r="O2753" s="149"/>
      <c r="P2753" s="149"/>
      <c r="Q2753" s="149"/>
      <c r="R2753" s="149"/>
      <c r="S2753" s="149"/>
      <c r="T2753" s="149"/>
      <c r="U2753" s="149"/>
      <c r="V2753" s="149"/>
      <c r="W2753" s="149"/>
      <c r="X2753" s="149"/>
      <c r="Y2753" s="149"/>
      <c r="Z2753" s="149"/>
      <c r="AA2753" s="149"/>
      <c r="AB2753" s="149"/>
      <c r="AC2753" s="149"/>
      <c r="AD2753" s="149"/>
      <c r="AE2753" s="149"/>
      <c r="AF2753" s="149"/>
      <c r="AG2753" s="149"/>
      <c r="AH2753" s="149"/>
      <c r="AI2753" s="149"/>
      <c r="AJ2753" s="149"/>
      <c r="AK2753" s="149"/>
      <c r="AL2753" s="149"/>
      <c r="AM2753" s="149"/>
      <c r="AN2753" s="149"/>
      <c r="AO2753" s="128"/>
      <c r="AP2753" s="128"/>
      <c r="AQ2753" s="128"/>
      <c r="AR2753" s="128"/>
      <c r="AS2753" s="128"/>
      <c r="AT2753" s="128"/>
      <c r="AU2753" s="128"/>
      <c r="AV2753" s="128"/>
      <c r="AW2753" s="128"/>
      <c r="AX2753" s="128"/>
      <c r="AY2753" s="128"/>
      <c r="AZ2753" s="128"/>
      <c r="BA2753" s="128"/>
      <c r="BB2753" s="128"/>
      <c r="BC2753" s="128"/>
      <c r="BD2753" s="128"/>
      <c r="BE2753" s="128"/>
      <c r="BF2753" s="128"/>
      <c r="BG2753" s="128"/>
      <c r="BH2753" s="128"/>
      <c r="BI2753" s="128"/>
      <c r="BJ2753" s="128"/>
      <c r="BK2753" s="128"/>
      <c r="BL2753" s="128"/>
      <c r="BM2753" s="151"/>
      <c r="BN2753" s="128"/>
      <c r="BO2753" s="128"/>
      <c r="BP2753" s="128"/>
      <c r="BQ2753" s="128"/>
      <c r="BR2753" s="128"/>
      <c r="BS2753" s="128"/>
      <c r="BT2753" s="128"/>
      <c r="BU2753" s="128"/>
      <c r="BV2753" s="128"/>
      <c r="BW2753" s="128"/>
      <c r="BX2753" s="128"/>
      <c r="BY2753" s="128"/>
      <c r="BZ2753" s="128"/>
      <c r="CA2753" s="128"/>
      <c r="CB2753" s="128"/>
      <c r="CC2753" s="128"/>
      <c r="CD2753" s="128"/>
      <c r="CE2753" s="128"/>
      <c r="CF2753" s="128"/>
      <c r="CG2753" s="128"/>
      <c r="CI2753" s="128"/>
      <c r="CJ2753" s="128"/>
      <c r="CK2753" s="128"/>
      <c r="CL2753" s="128"/>
      <c r="CM2753" s="128"/>
      <c r="CN2753" s="128"/>
      <c r="CO2753" s="128"/>
      <c r="CP2753" s="128"/>
      <c r="CQ2753" s="128"/>
      <c r="CR2753" s="128"/>
      <c r="CS2753" s="128"/>
      <c r="CT2753" s="128"/>
      <c r="CU2753" s="128"/>
      <c r="CV2753" s="128"/>
      <c r="CW2753" s="128"/>
      <c r="CX2753" s="128"/>
      <c r="CY2753" s="128"/>
      <c r="CZ2753" s="165"/>
    </row>
    <row r="2754" spans="1:104">
      <c r="A2754" s="149"/>
      <c r="B2754" s="149"/>
      <c r="C2754" s="150"/>
      <c r="D2754" s="102"/>
      <c r="E2754" s="149"/>
      <c r="F2754" s="149"/>
      <c r="G2754" s="149"/>
      <c r="H2754" s="149"/>
      <c r="I2754" s="149"/>
      <c r="J2754" s="149"/>
      <c r="K2754" s="149"/>
      <c r="L2754" s="149"/>
      <c r="M2754" s="149"/>
      <c r="N2754" s="149"/>
      <c r="O2754" s="149"/>
      <c r="P2754" s="149"/>
      <c r="Q2754" s="149"/>
      <c r="R2754" s="149"/>
      <c r="S2754" s="149"/>
      <c r="T2754" s="149"/>
      <c r="U2754" s="149"/>
      <c r="V2754" s="149"/>
      <c r="W2754" s="149"/>
      <c r="X2754" s="149"/>
      <c r="Y2754" s="149"/>
      <c r="Z2754" s="149"/>
      <c r="AA2754" s="149"/>
      <c r="AB2754" s="149"/>
      <c r="AC2754" s="149"/>
      <c r="AD2754" s="149"/>
      <c r="AE2754" s="149"/>
      <c r="AF2754" s="149"/>
      <c r="AG2754" s="149"/>
      <c r="AH2754" s="149"/>
      <c r="AI2754" s="149"/>
      <c r="AJ2754" s="149"/>
      <c r="AK2754" s="149"/>
      <c r="AL2754" s="149"/>
      <c r="AM2754" s="149"/>
      <c r="AN2754" s="149"/>
      <c r="AO2754" s="128"/>
      <c r="AP2754" s="128"/>
      <c r="AQ2754" s="128"/>
      <c r="AR2754" s="128"/>
      <c r="AS2754" s="128"/>
      <c r="AT2754" s="128"/>
      <c r="AU2754" s="128"/>
      <c r="AV2754" s="128"/>
      <c r="AW2754" s="128"/>
      <c r="AX2754" s="128"/>
      <c r="AY2754" s="128"/>
      <c r="AZ2754" s="128"/>
      <c r="BA2754" s="128"/>
      <c r="BB2754" s="128"/>
      <c r="BC2754" s="128"/>
      <c r="BD2754" s="128"/>
      <c r="BE2754" s="128"/>
      <c r="BF2754" s="128"/>
      <c r="BG2754" s="128"/>
      <c r="BH2754" s="128"/>
      <c r="BI2754" s="128"/>
      <c r="BJ2754" s="128"/>
      <c r="BK2754" s="128"/>
      <c r="BL2754" s="128"/>
      <c r="BM2754" s="151"/>
      <c r="BN2754" s="128"/>
      <c r="BO2754" s="128"/>
      <c r="BP2754" s="128"/>
      <c r="BQ2754" s="128"/>
      <c r="BR2754" s="128"/>
      <c r="BS2754" s="128"/>
      <c r="BT2754" s="128"/>
      <c r="BU2754" s="128"/>
      <c r="BV2754" s="128"/>
      <c r="BW2754" s="128"/>
      <c r="BX2754" s="128"/>
      <c r="BY2754" s="128"/>
      <c r="BZ2754" s="128"/>
      <c r="CA2754" s="128"/>
      <c r="CB2754" s="128"/>
      <c r="CC2754" s="128"/>
      <c r="CD2754" s="128"/>
      <c r="CE2754" s="128"/>
      <c r="CF2754" s="128"/>
      <c r="CG2754" s="128"/>
      <c r="CI2754" s="128"/>
      <c r="CJ2754" s="128"/>
      <c r="CK2754" s="128"/>
      <c r="CL2754" s="128"/>
      <c r="CM2754" s="128"/>
      <c r="CN2754" s="128"/>
      <c r="CO2754" s="128"/>
      <c r="CP2754" s="128"/>
      <c r="CQ2754" s="128"/>
      <c r="CR2754" s="128"/>
      <c r="CS2754" s="128"/>
      <c r="CT2754" s="128"/>
      <c r="CU2754" s="128"/>
      <c r="CV2754" s="128"/>
      <c r="CW2754" s="128"/>
      <c r="CX2754" s="128"/>
      <c r="CY2754" s="128"/>
      <c r="CZ2754" s="165"/>
    </row>
    <row r="2755" spans="1:104">
      <c r="A2755" s="149"/>
      <c r="B2755" s="149"/>
      <c r="C2755" s="150"/>
      <c r="D2755" s="102"/>
      <c r="E2755" s="149"/>
      <c r="F2755" s="149"/>
      <c r="G2755" s="149"/>
      <c r="H2755" s="149"/>
      <c r="I2755" s="149"/>
      <c r="J2755" s="149"/>
      <c r="K2755" s="149"/>
      <c r="L2755" s="149"/>
      <c r="M2755" s="149"/>
      <c r="N2755" s="149"/>
      <c r="O2755" s="149"/>
      <c r="P2755" s="149"/>
      <c r="Q2755" s="149"/>
      <c r="R2755" s="149"/>
      <c r="S2755" s="149"/>
      <c r="T2755" s="149"/>
      <c r="U2755" s="149"/>
      <c r="V2755" s="149"/>
      <c r="W2755" s="149"/>
      <c r="X2755" s="149"/>
      <c r="Y2755" s="149"/>
      <c r="Z2755" s="149"/>
      <c r="AA2755" s="149"/>
      <c r="AB2755" s="149"/>
      <c r="AC2755" s="149"/>
      <c r="AD2755" s="149"/>
      <c r="AE2755" s="149"/>
      <c r="AF2755" s="149"/>
      <c r="AG2755" s="149"/>
      <c r="AH2755" s="149"/>
      <c r="AI2755" s="149"/>
      <c r="AJ2755" s="149"/>
      <c r="AK2755" s="149"/>
      <c r="AL2755" s="149"/>
      <c r="AM2755" s="149"/>
      <c r="AN2755" s="149"/>
      <c r="AO2755" s="128"/>
      <c r="AP2755" s="128"/>
      <c r="AQ2755" s="128"/>
      <c r="AR2755" s="128"/>
      <c r="AS2755" s="128"/>
      <c r="AT2755" s="128"/>
      <c r="AU2755" s="128"/>
      <c r="AV2755" s="128"/>
      <c r="AW2755" s="128"/>
      <c r="AX2755" s="128"/>
      <c r="AY2755" s="128"/>
      <c r="AZ2755" s="128"/>
      <c r="BA2755" s="128"/>
      <c r="BB2755" s="128"/>
      <c r="BC2755" s="128"/>
      <c r="BD2755" s="128"/>
      <c r="BE2755" s="128"/>
      <c r="BF2755" s="128"/>
      <c r="BG2755" s="128"/>
      <c r="BH2755" s="128"/>
      <c r="BI2755" s="128"/>
      <c r="BJ2755" s="128"/>
      <c r="BK2755" s="128"/>
      <c r="BL2755" s="128"/>
      <c r="BM2755" s="151"/>
      <c r="BN2755" s="128"/>
      <c r="BO2755" s="128"/>
      <c r="BP2755" s="128"/>
      <c r="BQ2755" s="128"/>
      <c r="BR2755" s="128"/>
      <c r="BS2755" s="128"/>
      <c r="BT2755" s="128"/>
      <c r="BU2755" s="128"/>
      <c r="BV2755" s="128"/>
      <c r="BW2755" s="128"/>
      <c r="BX2755" s="128"/>
      <c r="BY2755" s="128"/>
      <c r="BZ2755" s="128"/>
      <c r="CA2755" s="128"/>
      <c r="CB2755" s="128"/>
      <c r="CC2755" s="128"/>
      <c r="CD2755" s="128"/>
      <c r="CE2755" s="128"/>
      <c r="CF2755" s="128"/>
      <c r="CG2755" s="128"/>
      <c r="CI2755" s="128"/>
      <c r="CJ2755" s="128"/>
      <c r="CK2755" s="128"/>
      <c r="CL2755" s="128"/>
      <c r="CM2755" s="128"/>
      <c r="CN2755" s="128"/>
      <c r="CO2755" s="128"/>
      <c r="CP2755" s="128"/>
      <c r="CQ2755" s="128"/>
      <c r="CR2755" s="128"/>
      <c r="CS2755" s="128"/>
      <c r="CT2755" s="128"/>
      <c r="CU2755" s="128"/>
      <c r="CV2755" s="128"/>
      <c r="CW2755" s="128"/>
      <c r="CX2755" s="128"/>
      <c r="CY2755" s="128"/>
      <c r="CZ2755" s="165"/>
    </row>
    <row r="2756" spans="1:104">
      <c r="A2756" s="149"/>
      <c r="B2756" s="149"/>
      <c r="C2756" s="150"/>
      <c r="D2756" s="102"/>
      <c r="E2756" s="149"/>
      <c r="F2756" s="149"/>
      <c r="G2756" s="149"/>
      <c r="H2756" s="149"/>
      <c r="I2756" s="149"/>
      <c r="J2756" s="149"/>
      <c r="K2756" s="149"/>
      <c r="L2756" s="149"/>
      <c r="M2756" s="149"/>
      <c r="N2756" s="149"/>
      <c r="O2756" s="149"/>
      <c r="P2756" s="149"/>
      <c r="Q2756" s="149"/>
      <c r="R2756" s="149"/>
      <c r="S2756" s="149"/>
      <c r="T2756" s="149"/>
      <c r="U2756" s="149"/>
      <c r="V2756" s="149"/>
      <c r="W2756" s="149"/>
      <c r="X2756" s="149"/>
      <c r="Y2756" s="149"/>
      <c r="Z2756" s="149"/>
      <c r="AA2756" s="149"/>
      <c r="AB2756" s="149"/>
      <c r="AC2756" s="149"/>
      <c r="AD2756" s="149"/>
      <c r="AE2756" s="149"/>
      <c r="AF2756" s="149"/>
      <c r="AG2756" s="149"/>
      <c r="AH2756" s="149"/>
      <c r="AI2756" s="149"/>
      <c r="AJ2756" s="149"/>
      <c r="AK2756" s="149"/>
      <c r="AL2756" s="149"/>
      <c r="AM2756" s="149"/>
      <c r="AN2756" s="149"/>
      <c r="AO2756" s="128"/>
      <c r="AP2756" s="128"/>
      <c r="AQ2756" s="128"/>
      <c r="AR2756" s="128"/>
      <c r="AS2756" s="128"/>
      <c r="AT2756" s="128"/>
      <c r="AU2756" s="128"/>
      <c r="AV2756" s="128"/>
      <c r="AW2756" s="128"/>
      <c r="AX2756" s="128"/>
      <c r="AY2756" s="128"/>
      <c r="AZ2756" s="128"/>
      <c r="BA2756" s="128"/>
      <c r="BB2756" s="128"/>
      <c r="BC2756" s="128"/>
      <c r="BD2756" s="128"/>
      <c r="BE2756" s="128"/>
      <c r="BF2756" s="128"/>
      <c r="BG2756" s="128"/>
      <c r="BH2756" s="128"/>
      <c r="BI2756" s="128"/>
      <c r="BJ2756" s="128"/>
      <c r="BK2756" s="128"/>
      <c r="BL2756" s="128"/>
      <c r="BM2756" s="151"/>
      <c r="BN2756" s="128"/>
      <c r="BO2756" s="128"/>
      <c r="BP2756" s="128"/>
      <c r="BQ2756" s="128"/>
      <c r="BR2756" s="128"/>
      <c r="BS2756" s="128"/>
      <c r="BT2756" s="128"/>
      <c r="BU2756" s="128"/>
      <c r="BV2756" s="128"/>
      <c r="BW2756" s="128"/>
      <c r="BX2756" s="128"/>
      <c r="BY2756" s="128"/>
      <c r="BZ2756" s="128"/>
      <c r="CA2756" s="128"/>
      <c r="CB2756" s="128"/>
      <c r="CC2756" s="128"/>
      <c r="CD2756" s="128"/>
      <c r="CE2756" s="128"/>
      <c r="CF2756" s="128"/>
      <c r="CG2756" s="128"/>
      <c r="CI2756" s="128"/>
      <c r="CJ2756" s="128"/>
      <c r="CK2756" s="128"/>
      <c r="CL2756" s="128"/>
      <c r="CM2756" s="128"/>
      <c r="CN2756" s="128"/>
      <c r="CO2756" s="128"/>
      <c r="CP2756" s="128"/>
      <c r="CQ2756" s="128"/>
      <c r="CR2756" s="128"/>
      <c r="CS2756" s="128"/>
      <c r="CT2756" s="128"/>
      <c r="CU2756" s="128"/>
      <c r="CV2756" s="128"/>
      <c r="CW2756" s="128"/>
      <c r="CX2756" s="128"/>
      <c r="CY2756" s="128"/>
      <c r="CZ2756" s="165"/>
    </row>
    <row r="2757" spans="1:104">
      <c r="A2757" s="149"/>
      <c r="B2757" s="149"/>
      <c r="C2757" s="150"/>
      <c r="D2757" s="102"/>
      <c r="E2757" s="149"/>
      <c r="F2757" s="149"/>
      <c r="G2757" s="149"/>
      <c r="H2757" s="149"/>
      <c r="I2757" s="149"/>
      <c r="J2757" s="149"/>
      <c r="K2757" s="149"/>
      <c r="L2757" s="149"/>
      <c r="M2757" s="149"/>
      <c r="N2757" s="149"/>
      <c r="O2757" s="149"/>
      <c r="P2757" s="149"/>
      <c r="Q2757" s="149"/>
      <c r="R2757" s="149"/>
      <c r="S2757" s="149"/>
      <c r="T2757" s="149"/>
      <c r="U2757" s="149"/>
      <c r="V2757" s="149"/>
      <c r="W2757" s="149"/>
      <c r="X2757" s="149"/>
      <c r="Y2757" s="149"/>
      <c r="Z2757" s="149"/>
      <c r="AA2757" s="149"/>
      <c r="AB2757" s="149"/>
      <c r="AC2757" s="149"/>
      <c r="AD2757" s="149"/>
      <c r="AE2757" s="149"/>
      <c r="AF2757" s="149"/>
      <c r="AG2757" s="149"/>
      <c r="AH2757" s="149"/>
      <c r="AI2757" s="149"/>
      <c r="AJ2757" s="149"/>
      <c r="AK2757" s="149"/>
      <c r="AL2757" s="149"/>
      <c r="AM2757" s="149"/>
      <c r="AN2757" s="149"/>
      <c r="AO2757" s="128"/>
      <c r="AP2757" s="128"/>
      <c r="AQ2757" s="128"/>
      <c r="AR2757" s="128"/>
      <c r="AS2757" s="128"/>
      <c r="AT2757" s="128"/>
      <c r="AU2757" s="128"/>
      <c r="AV2757" s="128"/>
      <c r="AW2757" s="128"/>
      <c r="AX2757" s="128"/>
      <c r="AY2757" s="128"/>
      <c r="AZ2757" s="128"/>
      <c r="BA2757" s="128"/>
      <c r="BB2757" s="128"/>
      <c r="BC2757" s="128"/>
      <c r="BD2757" s="128"/>
      <c r="BE2757" s="128"/>
      <c r="BF2757" s="128"/>
      <c r="BG2757" s="128"/>
      <c r="BH2757" s="128"/>
      <c r="BI2757" s="128"/>
      <c r="BJ2757" s="128"/>
      <c r="BK2757" s="128"/>
      <c r="BL2757" s="128"/>
      <c r="BM2757" s="151"/>
      <c r="BN2757" s="128"/>
      <c r="BO2757" s="128"/>
      <c r="BP2757" s="128"/>
      <c r="BQ2757" s="128"/>
      <c r="BR2757" s="128"/>
      <c r="BS2757" s="128"/>
      <c r="BT2757" s="128"/>
      <c r="BU2757" s="128"/>
      <c r="BV2757" s="128"/>
      <c r="BW2757" s="128"/>
      <c r="BX2757" s="128"/>
      <c r="BY2757" s="128"/>
      <c r="BZ2757" s="128"/>
      <c r="CA2757" s="128"/>
      <c r="CB2757" s="128"/>
      <c r="CC2757" s="128"/>
      <c r="CD2757" s="128"/>
      <c r="CE2757" s="128"/>
      <c r="CF2757" s="128"/>
      <c r="CG2757" s="128"/>
      <c r="CI2757" s="128"/>
      <c r="CJ2757" s="128"/>
      <c r="CK2757" s="128"/>
      <c r="CL2757" s="128"/>
      <c r="CM2757" s="128"/>
      <c r="CN2757" s="128"/>
      <c r="CO2757" s="128"/>
      <c r="CP2757" s="128"/>
      <c r="CQ2757" s="128"/>
      <c r="CR2757" s="128"/>
      <c r="CS2757" s="128"/>
      <c r="CT2757" s="128"/>
      <c r="CU2757" s="128"/>
      <c r="CV2757" s="128"/>
      <c r="CW2757" s="128"/>
      <c r="CX2757" s="128"/>
      <c r="CY2757" s="128"/>
      <c r="CZ2757" s="165"/>
    </row>
    <row r="2758" spans="1:104">
      <c r="A2758" s="149"/>
      <c r="B2758" s="149"/>
      <c r="C2758" s="150"/>
      <c r="D2758" s="102"/>
      <c r="E2758" s="149"/>
      <c r="F2758" s="149"/>
      <c r="G2758" s="149"/>
      <c r="H2758" s="149"/>
      <c r="I2758" s="149"/>
      <c r="J2758" s="149"/>
      <c r="K2758" s="149"/>
      <c r="L2758" s="149"/>
      <c r="M2758" s="149"/>
      <c r="N2758" s="149"/>
      <c r="O2758" s="149"/>
      <c r="P2758" s="149"/>
      <c r="Q2758" s="149"/>
      <c r="R2758" s="149"/>
      <c r="S2758" s="149"/>
      <c r="T2758" s="149"/>
      <c r="U2758" s="149"/>
      <c r="V2758" s="149"/>
      <c r="W2758" s="149"/>
      <c r="X2758" s="149"/>
      <c r="Y2758" s="149"/>
      <c r="Z2758" s="149"/>
      <c r="AA2758" s="149"/>
      <c r="AB2758" s="149"/>
      <c r="AC2758" s="149"/>
      <c r="AD2758" s="149"/>
      <c r="AE2758" s="149"/>
      <c r="AF2758" s="149"/>
      <c r="AG2758" s="149"/>
      <c r="AH2758" s="149"/>
      <c r="AI2758" s="149"/>
      <c r="AJ2758" s="149"/>
      <c r="AK2758" s="149"/>
      <c r="AL2758" s="149"/>
      <c r="AM2758" s="149"/>
      <c r="AN2758" s="149"/>
      <c r="AO2758" s="128"/>
      <c r="AP2758" s="128"/>
      <c r="AQ2758" s="128"/>
      <c r="AR2758" s="128"/>
      <c r="AS2758" s="128"/>
      <c r="AT2758" s="128"/>
      <c r="AU2758" s="128"/>
      <c r="AV2758" s="128"/>
      <c r="AW2758" s="128"/>
      <c r="AX2758" s="128"/>
      <c r="AY2758" s="128"/>
      <c r="AZ2758" s="128"/>
      <c r="BA2758" s="128"/>
      <c r="BB2758" s="128"/>
      <c r="BC2758" s="128"/>
      <c r="BD2758" s="128"/>
      <c r="BE2758" s="128"/>
      <c r="BF2758" s="128"/>
      <c r="BG2758" s="128"/>
      <c r="BH2758" s="128"/>
      <c r="BI2758" s="128"/>
      <c r="BJ2758" s="128"/>
      <c r="BK2758" s="128"/>
      <c r="BL2758" s="128"/>
      <c r="BM2758" s="151"/>
      <c r="BN2758" s="128"/>
      <c r="BO2758" s="128"/>
      <c r="BP2758" s="128"/>
      <c r="BQ2758" s="128"/>
      <c r="BR2758" s="128"/>
      <c r="BS2758" s="128"/>
      <c r="BT2758" s="128"/>
      <c r="BU2758" s="128"/>
      <c r="BV2758" s="128"/>
      <c r="BW2758" s="128"/>
      <c r="BX2758" s="128"/>
      <c r="BY2758" s="128"/>
      <c r="BZ2758" s="128"/>
      <c r="CA2758" s="128"/>
      <c r="CB2758" s="128"/>
      <c r="CC2758" s="128"/>
      <c r="CD2758" s="128"/>
      <c r="CE2758" s="128"/>
      <c r="CF2758" s="128"/>
      <c r="CG2758" s="128"/>
      <c r="CI2758" s="128"/>
      <c r="CJ2758" s="128"/>
      <c r="CK2758" s="128"/>
      <c r="CL2758" s="128"/>
      <c r="CM2758" s="128"/>
      <c r="CN2758" s="128"/>
      <c r="CO2758" s="128"/>
      <c r="CP2758" s="128"/>
      <c r="CQ2758" s="128"/>
      <c r="CR2758" s="128"/>
      <c r="CS2758" s="128"/>
      <c r="CT2758" s="128"/>
      <c r="CU2758" s="128"/>
      <c r="CV2758" s="128"/>
      <c r="CW2758" s="128"/>
      <c r="CX2758" s="128"/>
      <c r="CY2758" s="128"/>
      <c r="CZ2758" s="165"/>
    </row>
    <row r="2759" spans="1:104">
      <c r="A2759" s="149"/>
      <c r="B2759" s="149"/>
      <c r="C2759" s="150"/>
      <c r="D2759" s="102"/>
      <c r="E2759" s="149"/>
      <c r="F2759" s="149"/>
      <c r="G2759" s="149"/>
      <c r="H2759" s="149"/>
      <c r="I2759" s="149"/>
      <c r="J2759" s="149"/>
      <c r="K2759" s="149"/>
      <c r="L2759" s="149"/>
      <c r="M2759" s="149"/>
      <c r="N2759" s="149"/>
      <c r="O2759" s="149"/>
      <c r="P2759" s="149"/>
      <c r="Q2759" s="149"/>
      <c r="R2759" s="149"/>
      <c r="S2759" s="149"/>
      <c r="T2759" s="149"/>
      <c r="U2759" s="149"/>
      <c r="V2759" s="149"/>
      <c r="W2759" s="149"/>
      <c r="X2759" s="149"/>
      <c r="Y2759" s="149"/>
      <c r="Z2759" s="149"/>
      <c r="AA2759" s="149"/>
      <c r="AB2759" s="149"/>
      <c r="AC2759" s="149"/>
      <c r="AD2759" s="149"/>
      <c r="AE2759" s="149"/>
      <c r="AF2759" s="149"/>
      <c r="AG2759" s="149"/>
      <c r="AH2759" s="149"/>
      <c r="AI2759" s="149"/>
      <c r="AJ2759" s="149"/>
      <c r="AK2759" s="149"/>
      <c r="AL2759" s="149"/>
      <c r="AM2759" s="149"/>
      <c r="AN2759" s="149"/>
      <c r="AO2759" s="128"/>
      <c r="AP2759" s="128"/>
      <c r="AQ2759" s="128"/>
      <c r="AR2759" s="128"/>
      <c r="AS2759" s="128"/>
      <c r="AT2759" s="128"/>
      <c r="AU2759" s="128"/>
      <c r="AV2759" s="128"/>
      <c r="AW2759" s="128"/>
      <c r="AX2759" s="128"/>
      <c r="AY2759" s="128"/>
      <c r="AZ2759" s="128"/>
      <c r="BA2759" s="128"/>
      <c r="BB2759" s="128"/>
      <c r="BC2759" s="128"/>
      <c r="BD2759" s="128"/>
      <c r="BE2759" s="128"/>
      <c r="BF2759" s="128"/>
      <c r="BG2759" s="128"/>
      <c r="BH2759" s="128"/>
      <c r="BI2759" s="128"/>
      <c r="BJ2759" s="128"/>
      <c r="BK2759" s="128"/>
      <c r="BL2759" s="128"/>
      <c r="BM2759" s="151"/>
      <c r="BN2759" s="128"/>
      <c r="BO2759" s="128"/>
      <c r="BP2759" s="128"/>
      <c r="BQ2759" s="128"/>
      <c r="BR2759" s="128"/>
      <c r="BS2759" s="128"/>
      <c r="BT2759" s="128"/>
      <c r="BU2759" s="128"/>
      <c r="BV2759" s="128"/>
      <c r="BW2759" s="128"/>
      <c r="BX2759" s="128"/>
      <c r="BY2759" s="128"/>
      <c r="BZ2759" s="128"/>
      <c r="CA2759" s="128"/>
      <c r="CB2759" s="128"/>
      <c r="CC2759" s="128"/>
      <c r="CD2759" s="128"/>
      <c r="CE2759" s="128"/>
      <c r="CF2759" s="128"/>
      <c r="CG2759" s="128"/>
      <c r="CI2759" s="128"/>
      <c r="CJ2759" s="128"/>
      <c r="CK2759" s="128"/>
      <c r="CL2759" s="128"/>
      <c r="CM2759" s="128"/>
      <c r="CN2759" s="128"/>
      <c r="CO2759" s="128"/>
      <c r="CP2759" s="128"/>
      <c r="CQ2759" s="128"/>
      <c r="CR2759" s="128"/>
      <c r="CS2759" s="128"/>
      <c r="CT2759" s="128"/>
      <c r="CU2759" s="128"/>
      <c r="CV2759" s="128"/>
      <c r="CW2759" s="128"/>
      <c r="CX2759" s="128"/>
      <c r="CY2759" s="128"/>
      <c r="CZ2759" s="165"/>
    </row>
    <row r="2760" spans="1:104">
      <c r="A2760" s="149"/>
      <c r="B2760" s="149"/>
      <c r="C2760" s="150"/>
      <c r="D2760" s="102"/>
      <c r="E2760" s="149"/>
      <c r="F2760" s="149"/>
      <c r="G2760" s="149"/>
      <c r="H2760" s="149"/>
      <c r="I2760" s="149"/>
      <c r="J2760" s="149"/>
      <c r="K2760" s="149"/>
      <c r="L2760" s="149"/>
      <c r="M2760" s="149"/>
      <c r="N2760" s="149"/>
      <c r="O2760" s="149"/>
      <c r="P2760" s="149"/>
      <c r="Q2760" s="149"/>
      <c r="R2760" s="149"/>
      <c r="S2760" s="149"/>
      <c r="T2760" s="149"/>
      <c r="U2760" s="149"/>
      <c r="V2760" s="149"/>
      <c r="W2760" s="149"/>
      <c r="X2760" s="149"/>
      <c r="Y2760" s="149"/>
      <c r="Z2760" s="149"/>
      <c r="AA2760" s="149"/>
      <c r="AB2760" s="149"/>
      <c r="AC2760" s="149"/>
      <c r="AD2760" s="149"/>
      <c r="AE2760" s="149"/>
      <c r="AF2760" s="149"/>
      <c r="AG2760" s="149"/>
      <c r="AH2760" s="149"/>
      <c r="AI2760" s="149"/>
      <c r="AJ2760" s="149"/>
      <c r="AK2760" s="149"/>
      <c r="AL2760" s="149"/>
      <c r="AM2760" s="149"/>
      <c r="AN2760" s="149"/>
      <c r="AO2760" s="128"/>
      <c r="AP2760" s="128"/>
      <c r="AQ2760" s="128"/>
      <c r="AR2760" s="128"/>
      <c r="AS2760" s="128"/>
      <c r="AT2760" s="128"/>
      <c r="AU2760" s="128"/>
      <c r="AV2760" s="128"/>
      <c r="AW2760" s="128"/>
      <c r="AX2760" s="128"/>
      <c r="AY2760" s="128"/>
      <c r="AZ2760" s="128"/>
      <c r="BA2760" s="128"/>
      <c r="BB2760" s="128"/>
      <c r="BC2760" s="128"/>
      <c r="BD2760" s="128"/>
      <c r="BE2760" s="128"/>
      <c r="BF2760" s="128"/>
      <c r="BG2760" s="128"/>
      <c r="BH2760" s="128"/>
      <c r="BI2760" s="128"/>
      <c r="BJ2760" s="128"/>
      <c r="BK2760" s="128"/>
      <c r="BL2760" s="128"/>
      <c r="BM2760" s="151"/>
      <c r="BN2760" s="128"/>
      <c r="BO2760" s="128"/>
      <c r="BP2760" s="128"/>
      <c r="BQ2760" s="128"/>
      <c r="BR2760" s="128"/>
      <c r="BS2760" s="128"/>
      <c r="BT2760" s="128"/>
      <c r="BU2760" s="128"/>
      <c r="BV2760" s="128"/>
      <c r="BW2760" s="128"/>
      <c r="BX2760" s="128"/>
      <c r="BY2760" s="128"/>
      <c r="BZ2760" s="128"/>
      <c r="CA2760" s="128"/>
      <c r="CB2760" s="128"/>
      <c r="CC2760" s="128"/>
      <c r="CD2760" s="128"/>
      <c r="CE2760" s="128"/>
      <c r="CF2760" s="128"/>
      <c r="CG2760" s="128"/>
      <c r="CI2760" s="128"/>
      <c r="CJ2760" s="128"/>
      <c r="CK2760" s="128"/>
      <c r="CL2760" s="128"/>
      <c r="CM2760" s="128"/>
      <c r="CN2760" s="128"/>
      <c r="CO2760" s="128"/>
      <c r="CP2760" s="128"/>
      <c r="CQ2760" s="128"/>
      <c r="CR2760" s="128"/>
      <c r="CS2760" s="128"/>
      <c r="CT2760" s="128"/>
      <c r="CU2760" s="128"/>
      <c r="CV2760" s="128"/>
      <c r="CW2760" s="128"/>
      <c r="CX2760" s="128"/>
      <c r="CY2760" s="128"/>
      <c r="CZ2760" s="165"/>
    </row>
    <row r="2761" spans="1:104">
      <c r="A2761" s="149"/>
      <c r="B2761" s="149"/>
      <c r="C2761" s="150"/>
      <c r="D2761" s="102"/>
      <c r="E2761" s="149"/>
      <c r="F2761" s="149"/>
      <c r="G2761" s="149"/>
      <c r="H2761" s="149"/>
      <c r="I2761" s="149"/>
      <c r="J2761" s="149"/>
      <c r="K2761" s="149"/>
      <c r="L2761" s="149"/>
      <c r="M2761" s="149"/>
      <c r="N2761" s="149"/>
      <c r="O2761" s="149"/>
      <c r="P2761" s="149"/>
      <c r="Q2761" s="149"/>
      <c r="R2761" s="149"/>
      <c r="S2761" s="149"/>
      <c r="T2761" s="149"/>
      <c r="U2761" s="149"/>
      <c r="V2761" s="149"/>
      <c r="W2761" s="149"/>
      <c r="X2761" s="149"/>
      <c r="Y2761" s="149"/>
      <c r="Z2761" s="149"/>
      <c r="AA2761" s="149"/>
      <c r="AB2761" s="149"/>
      <c r="AC2761" s="149"/>
      <c r="AD2761" s="149"/>
      <c r="AE2761" s="149"/>
      <c r="AF2761" s="149"/>
      <c r="AG2761" s="149"/>
      <c r="AH2761" s="149"/>
      <c r="AI2761" s="149"/>
      <c r="AJ2761" s="149"/>
      <c r="AK2761" s="149"/>
      <c r="AL2761" s="149"/>
      <c r="AM2761" s="149"/>
      <c r="AN2761" s="149"/>
      <c r="AO2761" s="128"/>
      <c r="AP2761" s="128"/>
      <c r="AQ2761" s="128"/>
      <c r="AR2761" s="128"/>
      <c r="AS2761" s="128"/>
      <c r="AT2761" s="128"/>
      <c r="AU2761" s="128"/>
      <c r="AV2761" s="128"/>
      <c r="AW2761" s="128"/>
      <c r="AX2761" s="128"/>
      <c r="AY2761" s="128"/>
      <c r="AZ2761" s="128"/>
      <c r="BA2761" s="128"/>
      <c r="BB2761" s="128"/>
      <c r="BC2761" s="128"/>
      <c r="BD2761" s="128"/>
      <c r="BE2761" s="128"/>
      <c r="BF2761" s="128"/>
      <c r="BG2761" s="128"/>
      <c r="BH2761" s="128"/>
      <c r="BI2761" s="128"/>
      <c r="BJ2761" s="128"/>
      <c r="BK2761" s="128"/>
      <c r="BL2761" s="128"/>
      <c r="BM2761" s="151"/>
      <c r="BN2761" s="128"/>
      <c r="BO2761" s="128"/>
      <c r="BP2761" s="128"/>
      <c r="BQ2761" s="128"/>
      <c r="BR2761" s="128"/>
      <c r="BS2761" s="128"/>
      <c r="BT2761" s="128"/>
      <c r="BU2761" s="128"/>
      <c r="BV2761" s="128"/>
      <c r="BW2761" s="128"/>
      <c r="BX2761" s="128"/>
      <c r="BY2761" s="128"/>
      <c r="BZ2761" s="128"/>
      <c r="CA2761" s="128"/>
      <c r="CB2761" s="128"/>
      <c r="CC2761" s="128"/>
      <c r="CD2761" s="128"/>
      <c r="CE2761" s="128"/>
      <c r="CF2761" s="128"/>
      <c r="CG2761" s="128"/>
      <c r="CI2761" s="128"/>
      <c r="CJ2761" s="128"/>
      <c r="CK2761" s="128"/>
      <c r="CL2761" s="128"/>
      <c r="CM2761" s="128"/>
      <c r="CN2761" s="128"/>
      <c r="CO2761" s="128"/>
      <c r="CP2761" s="128"/>
      <c r="CQ2761" s="128"/>
      <c r="CR2761" s="128"/>
      <c r="CS2761" s="128"/>
      <c r="CT2761" s="128"/>
      <c r="CU2761" s="128"/>
      <c r="CV2761" s="128"/>
      <c r="CW2761" s="128"/>
      <c r="CX2761" s="128"/>
      <c r="CY2761" s="128"/>
      <c r="CZ2761" s="165"/>
    </row>
    <row r="2762" spans="1:104">
      <c r="A2762" s="149"/>
      <c r="B2762" s="149"/>
      <c r="C2762" s="150"/>
      <c r="D2762" s="102"/>
      <c r="E2762" s="149"/>
      <c r="F2762" s="149"/>
      <c r="G2762" s="149"/>
      <c r="H2762" s="149"/>
      <c r="I2762" s="149"/>
      <c r="J2762" s="149"/>
      <c r="K2762" s="149"/>
      <c r="L2762" s="149"/>
      <c r="M2762" s="149"/>
      <c r="N2762" s="149"/>
      <c r="O2762" s="149"/>
      <c r="P2762" s="149"/>
      <c r="Q2762" s="149"/>
      <c r="R2762" s="149"/>
      <c r="S2762" s="149"/>
      <c r="T2762" s="149"/>
      <c r="U2762" s="149"/>
      <c r="V2762" s="149"/>
      <c r="W2762" s="149"/>
      <c r="X2762" s="149"/>
      <c r="Y2762" s="149"/>
      <c r="Z2762" s="149"/>
      <c r="AA2762" s="149"/>
      <c r="AB2762" s="149"/>
      <c r="AC2762" s="149"/>
      <c r="AD2762" s="149"/>
      <c r="AE2762" s="149"/>
      <c r="AF2762" s="149"/>
      <c r="AG2762" s="149"/>
      <c r="AH2762" s="149"/>
      <c r="AI2762" s="149"/>
      <c r="AJ2762" s="149"/>
      <c r="AK2762" s="149"/>
      <c r="AL2762" s="149"/>
      <c r="AM2762" s="149"/>
      <c r="AN2762" s="149"/>
      <c r="AO2762" s="128"/>
      <c r="AP2762" s="128"/>
      <c r="AQ2762" s="128"/>
      <c r="AR2762" s="128"/>
      <c r="AS2762" s="128"/>
      <c r="AT2762" s="128"/>
      <c r="AU2762" s="128"/>
      <c r="AV2762" s="128"/>
      <c r="AW2762" s="128"/>
      <c r="AX2762" s="128"/>
      <c r="AY2762" s="128"/>
      <c r="AZ2762" s="128"/>
      <c r="BA2762" s="128"/>
      <c r="BB2762" s="128"/>
      <c r="BC2762" s="128"/>
      <c r="BD2762" s="128"/>
      <c r="BE2762" s="128"/>
      <c r="BF2762" s="128"/>
      <c r="BG2762" s="128"/>
      <c r="BH2762" s="128"/>
      <c r="BI2762" s="128"/>
      <c r="BJ2762" s="128"/>
      <c r="BK2762" s="128"/>
      <c r="BL2762" s="128"/>
      <c r="BM2762" s="151"/>
      <c r="BN2762" s="128"/>
      <c r="BO2762" s="128"/>
      <c r="BP2762" s="128"/>
      <c r="BQ2762" s="128"/>
      <c r="BR2762" s="128"/>
      <c r="BS2762" s="128"/>
      <c r="BT2762" s="128"/>
      <c r="BU2762" s="128"/>
      <c r="BV2762" s="128"/>
      <c r="BW2762" s="128"/>
      <c r="BX2762" s="128"/>
      <c r="BY2762" s="128"/>
      <c r="BZ2762" s="128"/>
      <c r="CA2762" s="128"/>
      <c r="CB2762" s="128"/>
      <c r="CC2762" s="128"/>
      <c r="CD2762" s="128"/>
      <c r="CE2762" s="128"/>
      <c r="CF2762" s="128"/>
      <c r="CG2762" s="128"/>
      <c r="CI2762" s="128"/>
      <c r="CJ2762" s="128"/>
      <c r="CK2762" s="128"/>
      <c r="CL2762" s="128"/>
      <c r="CM2762" s="128"/>
      <c r="CN2762" s="128"/>
      <c r="CO2762" s="128"/>
      <c r="CP2762" s="128"/>
      <c r="CQ2762" s="128"/>
      <c r="CR2762" s="128"/>
      <c r="CS2762" s="128"/>
      <c r="CT2762" s="128"/>
      <c r="CU2762" s="128"/>
      <c r="CV2762" s="128"/>
      <c r="CW2762" s="128"/>
      <c r="CX2762" s="128"/>
      <c r="CY2762" s="128"/>
      <c r="CZ2762" s="165"/>
    </row>
    <row r="2763" spans="1:104">
      <c r="A2763" s="149"/>
      <c r="B2763" s="149"/>
      <c r="C2763" s="150"/>
      <c r="D2763" s="102"/>
      <c r="E2763" s="149"/>
      <c r="F2763" s="149"/>
      <c r="G2763" s="149"/>
      <c r="H2763" s="149"/>
      <c r="I2763" s="149"/>
      <c r="J2763" s="149"/>
      <c r="K2763" s="149"/>
      <c r="L2763" s="149"/>
      <c r="M2763" s="149"/>
      <c r="N2763" s="149"/>
      <c r="O2763" s="149"/>
      <c r="P2763" s="149"/>
      <c r="Q2763" s="149"/>
      <c r="R2763" s="149"/>
      <c r="S2763" s="149"/>
      <c r="T2763" s="149"/>
      <c r="U2763" s="149"/>
      <c r="V2763" s="149"/>
      <c r="W2763" s="149"/>
      <c r="X2763" s="149"/>
      <c r="Y2763" s="149"/>
      <c r="Z2763" s="149"/>
      <c r="AA2763" s="149"/>
      <c r="AB2763" s="149"/>
      <c r="AC2763" s="149"/>
      <c r="AD2763" s="149"/>
      <c r="AE2763" s="149"/>
      <c r="AF2763" s="149"/>
      <c r="AG2763" s="149"/>
      <c r="AH2763" s="149"/>
      <c r="AI2763" s="149"/>
      <c r="AJ2763" s="149"/>
      <c r="AK2763" s="149"/>
      <c r="AL2763" s="149"/>
      <c r="AM2763" s="149"/>
      <c r="AN2763" s="149"/>
      <c r="AO2763" s="128"/>
      <c r="AP2763" s="128"/>
      <c r="AQ2763" s="128"/>
      <c r="AR2763" s="128"/>
      <c r="AS2763" s="128"/>
      <c r="AT2763" s="128"/>
      <c r="AU2763" s="128"/>
      <c r="AV2763" s="128"/>
      <c r="AW2763" s="128"/>
      <c r="AX2763" s="128"/>
      <c r="AY2763" s="128"/>
      <c r="AZ2763" s="128"/>
      <c r="BA2763" s="128"/>
      <c r="BB2763" s="128"/>
      <c r="BC2763" s="128"/>
      <c r="BD2763" s="128"/>
      <c r="BE2763" s="128"/>
      <c r="BF2763" s="128"/>
      <c r="BG2763" s="128"/>
      <c r="BH2763" s="128"/>
      <c r="BI2763" s="128"/>
      <c r="BJ2763" s="128"/>
      <c r="BK2763" s="128"/>
      <c r="BL2763" s="128"/>
      <c r="BM2763" s="151"/>
      <c r="BN2763" s="128"/>
      <c r="BO2763" s="128"/>
      <c r="BP2763" s="128"/>
      <c r="BQ2763" s="128"/>
      <c r="BR2763" s="128"/>
      <c r="BS2763" s="128"/>
      <c r="BT2763" s="128"/>
      <c r="BU2763" s="128"/>
      <c r="BV2763" s="128"/>
      <c r="BW2763" s="128"/>
      <c r="BX2763" s="128"/>
      <c r="BY2763" s="128"/>
      <c r="BZ2763" s="128"/>
      <c r="CA2763" s="128"/>
      <c r="CB2763" s="128"/>
      <c r="CC2763" s="128"/>
      <c r="CD2763" s="128"/>
      <c r="CE2763" s="128"/>
      <c r="CF2763" s="128"/>
      <c r="CG2763" s="128"/>
      <c r="CI2763" s="128"/>
      <c r="CJ2763" s="128"/>
      <c r="CK2763" s="128"/>
      <c r="CL2763" s="128"/>
      <c r="CM2763" s="128"/>
      <c r="CN2763" s="128"/>
      <c r="CO2763" s="128"/>
      <c r="CP2763" s="128"/>
      <c r="CQ2763" s="128"/>
      <c r="CR2763" s="128"/>
      <c r="CS2763" s="128"/>
      <c r="CT2763" s="128"/>
      <c r="CU2763" s="128"/>
      <c r="CV2763" s="128"/>
      <c r="CW2763" s="128"/>
      <c r="CX2763" s="128"/>
      <c r="CY2763" s="128"/>
      <c r="CZ2763" s="165"/>
    </row>
    <row r="2764" spans="1:104">
      <c r="A2764" s="149"/>
      <c r="B2764" s="149"/>
      <c r="C2764" s="150"/>
      <c r="D2764" s="102"/>
      <c r="E2764" s="149"/>
      <c r="F2764" s="149"/>
      <c r="G2764" s="149"/>
      <c r="H2764" s="149"/>
      <c r="I2764" s="149"/>
      <c r="J2764" s="149"/>
      <c r="K2764" s="149"/>
      <c r="L2764" s="149"/>
      <c r="M2764" s="149"/>
      <c r="N2764" s="149"/>
      <c r="O2764" s="149"/>
      <c r="P2764" s="149"/>
      <c r="Q2764" s="149"/>
      <c r="R2764" s="149"/>
      <c r="S2764" s="149"/>
      <c r="T2764" s="149"/>
      <c r="U2764" s="149"/>
      <c r="V2764" s="149"/>
      <c r="W2764" s="149"/>
      <c r="X2764" s="149"/>
      <c r="Y2764" s="149"/>
      <c r="Z2764" s="149"/>
      <c r="AA2764" s="149"/>
      <c r="AB2764" s="149"/>
      <c r="AC2764" s="149"/>
      <c r="AD2764" s="149"/>
      <c r="AE2764" s="149"/>
      <c r="AF2764" s="149"/>
      <c r="AG2764" s="149"/>
      <c r="AH2764" s="149"/>
      <c r="AI2764" s="149"/>
      <c r="AJ2764" s="149"/>
      <c r="AK2764" s="149"/>
      <c r="AL2764" s="149"/>
      <c r="AM2764" s="149"/>
      <c r="AN2764" s="149"/>
      <c r="AO2764" s="128"/>
      <c r="AP2764" s="128"/>
      <c r="AQ2764" s="128"/>
      <c r="AR2764" s="128"/>
      <c r="AS2764" s="128"/>
      <c r="AT2764" s="128"/>
      <c r="AU2764" s="128"/>
      <c r="AV2764" s="128"/>
      <c r="AW2764" s="128"/>
      <c r="AX2764" s="128"/>
      <c r="AY2764" s="128"/>
      <c r="AZ2764" s="128"/>
      <c r="BA2764" s="128"/>
      <c r="BB2764" s="128"/>
      <c r="BC2764" s="128"/>
      <c r="BD2764" s="128"/>
      <c r="BE2764" s="128"/>
      <c r="BF2764" s="128"/>
      <c r="BG2764" s="128"/>
      <c r="BH2764" s="128"/>
      <c r="BI2764" s="128"/>
      <c r="BJ2764" s="128"/>
      <c r="BK2764" s="128"/>
      <c r="BL2764" s="128"/>
      <c r="BM2764" s="151"/>
      <c r="BN2764" s="128"/>
      <c r="BO2764" s="128"/>
      <c r="BP2764" s="128"/>
      <c r="BQ2764" s="128"/>
      <c r="BR2764" s="128"/>
      <c r="BS2764" s="128"/>
      <c r="BT2764" s="128"/>
      <c r="BU2764" s="128"/>
      <c r="BV2764" s="128"/>
      <c r="BW2764" s="128"/>
      <c r="BX2764" s="128"/>
      <c r="BY2764" s="128"/>
      <c r="BZ2764" s="128"/>
      <c r="CA2764" s="128"/>
      <c r="CB2764" s="128"/>
      <c r="CC2764" s="128"/>
      <c r="CD2764" s="128"/>
      <c r="CE2764" s="128"/>
      <c r="CF2764" s="128"/>
      <c r="CG2764" s="128"/>
      <c r="CI2764" s="128"/>
      <c r="CJ2764" s="128"/>
      <c r="CK2764" s="128"/>
      <c r="CL2764" s="128"/>
      <c r="CM2764" s="128"/>
      <c r="CN2764" s="128"/>
      <c r="CO2764" s="128"/>
      <c r="CP2764" s="128"/>
      <c r="CQ2764" s="128"/>
      <c r="CR2764" s="128"/>
      <c r="CS2764" s="128"/>
      <c r="CT2764" s="128"/>
      <c r="CU2764" s="128"/>
      <c r="CV2764" s="128"/>
      <c r="CW2764" s="128"/>
      <c r="CX2764" s="128"/>
      <c r="CY2764" s="128"/>
      <c r="CZ2764" s="165"/>
    </row>
    <row r="2765" spans="1:104">
      <c r="A2765" s="149"/>
      <c r="B2765" s="149"/>
      <c r="C2765" s="150"/>
      <c r="D2765" s="102"/>
      <c r="E2765" s="149"/>
      <c r="F2765" s="149"/>
      <c r="G2765" s="149"/>
      <c r="H2765" s="149"/>
      <c r="I2765" s="149"/>
      <c r="J2765" s="149"/>
      <c r="K2765" s="149"/>
      <c r="L2765" s="149"/>
      <c r="M2765" s="149"/>
      <c r="N2765" s="149"/>
      <c r="O2765" s="149"/>
      <c r="P2765" s="149"/>
      <c r="Q2765" s="149"/>
      <c r="R2765" s="149"/>
      <c r="S2765" s="149"/>
      <c r="T2765" s="149"/>
      <c r="U2765" s="149"/>
      <c r="V2765" s="149"/>
      <c r="W2765" s="149"/>
      <c r="X2765" s="149"/>
      <c r="Y2765" s="149"/>
      <c r="Z2765" s="149"/>
      <c r="AA2765" s="149"/>
      <c r="AB2765" s="149"/>
      <c r="AC2765" s="149"/>
      <c r="AD2765" s="149"/>
      <c r="AE2765" s="149"/>
      <c r="AF2765" s="149"/>
      <c r="AG2765" s="149"/>
      <c r="AH2765" s="149"/>
      <c r="AI2765" s="149"/>
      <c r="AJ2765" s="149"/>
      <c r="AK2765" s="149"/>
      <c r="AL2765" s="149"/>
      <c r="AM2765" s="149"/>
      <c r="AN2765" s="149"/>
      <c r="AO2765" s="128"/>
      <c r="AP2765" s="128"/>
      <c r="AQ2765" s="128"/>
      <c r="AR2765" s="128"/>
      <c r="AS2765" s="128"/>
      <c r="AT2765" s="128"/>
      <c r="AU2765" s="128"/>
      <c r="AV2765" s="128"/>
      <c r="AW2765" s="128"/>
      <c r="AX2765" s="128"/>
      <c r="AY2765" s="128"/>
      <c r="AZ2765" s="128"/>
      <c r="BA2765" s="128"/>
      <c r="BB2765" s="128"/>
      <c r="BC2765" s="128"/>
      <c r="BD2765" s="128"/>
      <c r="BE2765" s="128"/>
      <c r="BF2765" s="128"/>
      <c r="BG2765" s="128"/>
      <c r="BH2765" s="128"/>
      <c r="BI2765" s="128"/>
      <c r="BJ2765" s="128"/>
      <c r="BK2765" s="128"/>
      <c r="BL2765" s="128"/>
      <c r="BM2765" s="151"/>
      <c r="BN2765" s="128"/>
      <c r="BO2765" s="128"/>
      <c r="BP2765" s="128"/>
      <c r="BQ2765" s="128"/>
      <c r="BR2765" s="128"/>
      <c r="BS2765" s="128"/>
      <c r="BT2765" s="128"/>
      <c r="BU2765" s="128"/>
      <c r="BV2765" s="128"/>
      <c r="BW2765" s="128"/>
      <c r="BX2765" s="128"/>
      <c r="BY2765" s="128"/>
      <c r="BZ2765" s="128"/>
      <c r="CA2765" s="128"/>
      <c r="CB2765" s="128"/>
      <c r="CC2765" s="128"/>
      <c r="CD2765" s="128"/>
      <c r="CE2765" s="128"/>
      <c r="CF2765" s="128"/>
      <c r="CG2765" s="128"/>
      <c r="CI2765" s="128"/>
      <c r="CJ2765" s="128"/>
      <c r="CK2765" s="128"/>
      <c r="CL2765" s="128"/>
      <c r="CM2765" s="128"/>
      <c r="CN2765" s="128"/>
      <c r="CO2765" s="128"/>
      <c r="CP2765" s="128"/>
      <c r="CQ2765" s="128"/>
      <c r="CR2765" s="128"/>
      <c r="CS2765" s="128"/>
      <c r="CT2765" s="128"/>
      <c r="CU2765" s="128"/>
      <c r="CV2765" s="128"/>
      <c r="CW2765" s="128"/>
      <c r="CX2765" s="128"/>
      <c r="CY2765" s="128"/>
      <c r="CZ2765" s="165"/>
    </row>
    <row r="2766" spans="1:104">
      <c r="A2766" s="149"/>
      <c r="B2766" s="149"/>
      <c r="C2766" s="150"/>
      <c r="D2766" s="102"/>
      <c r="E2766" s="149"/>
      <c r="F2766" s="149"/>
      <c r="G2766" s="149"/>
      <c r="H2766" s="149"/>
      <c r="I2766" s="149"/>
      <c r="J2766" s="149"/>
      <c r="K2766" s="149"/>
      <c r="L2766" s="149"/>
      <c r="M2766" s="149"/>
      <c r="N2766" s="149"/>
      <c r="O2766" s="149"/>
      <c r="P2766" s="149"/>
      <c r="Q2766" s="149"/>
      <c r="R2766" s="149"/>
      <c r="S2766" s="149"/>
      <c r="T2766" s="149"/>
      <c r="U2766" s="149"/>
      <c r="V2766" s="149"/>
      <c r="W2766" s="149"/>
      <c r="X2766" s="149"/>
      <c r="Y2766" s="149"/>
      <c r="Z2766" s="149"/>
      <c r="AA2766" s="149"/>
      <c r="AB2766" s="149"/>
      <c r="AC2766" s="149"/>
      <c r="AD2766" s="149"/>
      <c r="AE2766" s="149"/>
      <c r="AF2766" s="149"/>
      <c r="AG2766" s="149"/>
      <c r="AH2766" s="149"/>
      <c r="AI2766" s="149"/>
      <c r="AJ2766" s="149"/>
      <c r="AK2766" s="149"/>
      <c r="AL2766" s="149"/>
      <c r="AM2766" s="149"/>
      <c r="AN2766" s="149"/>
      <c r="AO2766" s="128"/>
      <c r="AP2766" s="128"/>
      <c r="AQ2766" s="128"/>
      <c r="AR2766" s="128"/>
      <c r="AS2766" s="128"/>
      <c r="AT2766" s="128"/>
      <c r="AU2766" s="128"/>
      <c r="AV2766" s="128"/>
      <c r="AW2766" s="128"/>
      <c r="AX2766" s="128"/>
      <c r="AY2766" s="128"/>
      <c r="AZ2766" s="128"/>
      <c r="BA2766" s="128"/>
      <c r="BB2766" s="128"/>
      <c r="BC2766" s="128"/>
      <c r="BD2766" s="128"/>
      <c r="BE2766" s="128"/>
      <c r="BF2766" s="128"/>
      <c r="BG2766" s="128"/>
      <c r="BH2766" s="128"/>
      <c r="BI2766" s="128"/>
      <c r="BJ2766" s="128"/>
      <c r="BK2766" s="128"/>
      <c r="BL2766" s="128"/>
      <c r="BM2766" s="151"/>
      <c r="BN2766" s="128"/>
      <c r="BO2766" s="128"/>
      <c r="BP2766" s="128"/>
      <c r="BQ2766" s="128"/>
      <c r="BR2766" s="128"/>
      <c r="BS2766" s="128"/>
      <c r="BT2766" s="128"/>
      <c r="BU2766" s="128"/>
      <c r="BV2766" s="128"/>
      <c r="BW2766" s="128"/>
      <c r="BX2766" s="128"/>
      <c r="BY2766" s="128"/>
      <c r="BZ2766" s="128"/>
      <c r="CA2766" s="128"/>
      <c r="CB2766" s="128"/>
      <c r="CC2766" s="128"/>
      <c r="CD2766" s="128"/>
      <c r="CE2766" s="128"/>
      <c r="CF2766" s="128"/>
      <c r="CG2766" s="128"/>
      <c r="CI2766" s="128"/>
      <c r="CJ2766" s="128"/>
      <c r="CK2766" s="128"/>
      <c r="CL2766" s="128"/>
      <c r="CM2766" s="128"/>
      <c r="CN2766" s="128"/>
      <c r="CO2766" s="128"/>
      <c r="CP2766" s="128"/>
      <c r="CQ2766" s="128"/>
      <c r="CR2766" s="128"/>
      <c r="CS2766" s="128"/>
      <c r="CT2766" s="128"/>
      <c r="CU2766" s="128"/>
      <c r="CV2766" s="128"/>
      <c r="CW2766" s="128"/>
      <c r="CX2766" s="128"/>
      <c r="CY2766" s="128"/>
      <c r="CZ2766" s="165"/>
    </row>
    <row r="2767" spans="1:104">
      <c r="A2767" s="149"/>
      <c r="B2767" s="149"/>
      <c r="C2767" s="150"/>
      <c r="D2767" s="102"/>
      <c r="E2767" s="149"/>
      <c r="F2767" s="149"/>
      <c r="G2767" s="149"/>
      <c r="H2767" s="149"/>
      <c r="I2767" s="149"/>
      <c r="J2767" s="149"/>
      <c r="K2767" s="149"/>
      <c r="L2767" s="149"/>
      <c r="M2767" s="149"/>
      <c r="N2767" s="149"/>
      <c r="O2767" s="149"/>
      <c r="P2767" s="149"/>
      <c r="Q2767" s="149"/>
      <c r="R2767" s="149"/>
      <c r="S2767" s="149"/>
      <c r="T2767" s="149"/>
      <c r="U2767" s="149"/>
      <c r="V2767" s="149"/>
      <c r="W2767" s="149"/>
      <c r="X2767" s="149"/>
      <c r="Y2767" s="149"/>
      <c r="Z2767" s="149"/>
      <c r="AA2767" s="149"/>
      <c r="AB2767" s="149"/>
      <c r="AC2767" s="149"/>
      <c r="AD2767" s="149"/>
      <c r="AE2767" s="149"/>
      <c r="AF2767" s="149"/>
      <c r="AG2767" s="149"/>
      <c r="AH2767" s="149"/>
      <c r="AI2767" s="149"/>
      <c r="AJ2767" s="149"/>
      <c r="AK2767" s="149"/>
      <c r="AL2767" s="149"/>
      <c r="AM2767" s="149"/>
      <c r="AN2767" s="149"/>
      <c r="AO2767" s="128"/>
      <c r="AP2767" s="128"/>
      <c r="AQ2767" s="128"/>
      <c r="AR2767" s="128"/>
      <c r="AS2767" s="128"/>
      <c r="AT2767" s="128"/>
      <c r="AU2767" s="128"/>
      <c r="AV2767" s="128"/>
      <c r="AW2767" s="128"/>
      <c r="AX2767" s="128"/>
      <c r="AY2767" s="128"/>
      <c r="AZ2767" s="128"/>
      <c r="BA2767" s="128"/>
      <c r="BB2767" s="128"/>
      <c r="BC2767" s="128"/>
      <c r="BD2767" s="128"/>
      <c r="BE2767" s="128"/>
      <c r="BF2767" s="128"/>
      <c r="BG2767" s="128"/>
      <c r="BH2767" s="128"/>
      <c r="BI2767" s="128"/>
      <c r="BJ2767" s="128"/>
      <c r="BK2767" s="128"/>
      <c r="BL2767" s="128"/>
      <c r="BM2767" s="151"/>
      <c r="BN2767" s="128"/>
      <c r="BO2767" s="128"/>
      <c r="BP2767" s="128"/>
      <c r="BQ2767" s="128"/>
      <c r="BR2767" s="128"/>
      <c r="BS2767" s="128"/>
      <c r="BT2767" s="128"/>
      <c r="BU2767" s="128"/>
      <c r="BV2767" s="128"/>
      <c r="BW2767" s="128"/>
      <c r="BX2767" s="128"/>
      <c r="BY2767" s="128"/>
      <c r="BZ2767" s="128"/>
      <c r="CA2767" s="128"/>
      <c r="CB2767" s="128"/>
      <c r="CC2767" s="128"/>
      <c r="CD2767" s="128"/>
      <c r="CE2767" s="128"/>
      <c r="CF2767" s="128"/>
      <c r="CG2767" s="128"/>
      <c r="CI2767" s="128"/>
      <c r="CJ2767" s="128"/>
      <c r="CK2767" s="128"/>
      <c r="CL2767" s="128"/>
      <c r="CM2767" s="128"/>
      <c r="CN2767" s="128"/>
      <c r="CO2767" s="128"/>
      <c r="CP2767" s="128"/>
      <c r="CQ2767" s="128"/>
      <c r="CR2767" s="128"/>
      <c r="CS2767" s="128"/>
      <c r="CT2767" s="128"/>
      <c r="CU2767" s="128"/>
      <c r="CV2767" s="128"/>
      <c r="CW2767" s="128"/>
      <c r="CX2767" s="128"/>
      <c r="CY2767" s="128"/>
      <c r="CZ2767" s="165"/>
    </row>
    <row r="2768" spans="1:104">
      <c r="A2768" s="149"/>
      <c r="B2768" s="149"/>
      <c r="C2768" s="150"/>
      <c r="D2768" s="102"/>
      <c r="E2768" s="149"/>
      <c r="F2768" s="149"/>
      <c r="G2768" s="149"/>
      <c r="H2768" s="149"/>
      <c r="I2768" s="149"/>
      <c r="J2768" s="149"/>
      <c r="K2768" s="149"/>
      <c r="L2768" s="149"/>
      <c r="M2768" s="149"/>
      <c r="N2768" s="149"/>
      <c r="O2768" s="149"/>
      <c r="P2768" s="149"/>
      <c r="Q2768" s="149"/>
      <c r="R2768" s="149"/>
      <c r="S2768" s="149"/>
      <c r="T2768" s="149"/>
      <c r="U2768" s="149"/>
      <c r="V2768" s="149"/>
      <c r="W2768" s="149"/>
      <c r="X2768" s="149"/>
      <c r="Y2768" s="149"/>
      <c r="Z2768" s="149"/>
      <c r="AA2768" s="149"/>
      <c r="AB2768" s="149"/>
      <c r="AC2768" s="149"/>
      <c r="AD2768" s="149"/>
      <c r="AE2768" s="149"/>
      <c r="AF2768" s="149"/>
      <c r="AG2768" s="149"/>
      <c r="AH2768" s="149"/>
      <c r="AI2768" s="149"/>
      <c r="AJ2768" s="149"/>
      <c r="AK2768" s="149"/>
      <c r="AL2768" s="149"/>
      <c r="AM2768" s="149"/>
      <c r="AN2768" s="149"/>
      <c r="AO2768" s="128"/>
      <c r="AP2768" s="128"/>
      <c r="AQ2768" s="128"/>
      <c r="AR2768" s="128"/>
      <c r="AS2768" s="128"/>
      <c r="AT2768" s="128"/>
      <c r="AU2768" s="128"/>
      <c r="AV2768" s="128"/>
      <c r="AW2768" s="128"/>
      <c r="AX2768" s="128"/>
      <c r="AY2768" s="128"/>
      <c r="AZ2768" s="128"/>
      <c r="BA2768" s="128"/>
      <c r="BB2768" s="128"/>
      <c r="BC2768" s="128"/>
      <c r="BD2768" s="128"/>
      <c r="BE2768" s="128"/>
      <c r="BF2768" s="128"/>
      <c r="BG2768" s="128"/>
      <c r="BH2768" s="128"/>
      <c r="BI2768" s="128"/>
      <c r="BJ2768" s="128"/>
      <c r="BK2768" s="128"/>
      <c r="BL2768" s="128"/>
      <c r="BM2768" s="151"/>
      <c r="BN2768" s="128"/>
      <c r="BO2768" s="128"/>
      <c r="BP2768" s="128"/>
      <c r="BQ2768" s="128"/>
      <c r="BR2768" s="128"/>
      <c r="BS2768" s="128"/>
      <c r="BT2768" s="128"/>
      <c r="BU2768" s="128"/>
      <c r="BV2768" s="128"/>
      <c r="BW2768" s="128"/>
      <c r="BX2768" s="128"/>
      <c r="BY2768" s="128"/>
      <c r="BZ2768" s="128"/>
      <c r="CA2768" s="128"/>
      <c r="CB2768" s="128"/>
      <c r="CC2768" s="128"/>
      <c r="CD2768" s="128"/>
      <c r="CE2768" s="128"/>
      <c r="CF2768" s="128"/>
      <c r="CG2768" s="128"/>
      <c r="CI2768" s="128"/>
      <c r="CJ2768" s="128"/>
      <c r="CK2768" s="128"/>
      <c r="CL2768" s="128"/>
      <c r="CM2768" s="128"/>
      <c r="CN2768" s="128"/>
      <c r="CO2768" s="128"/>
      <c r="CP2768" s="128"/>
      <c r="CQ2768" s="128"/>
      <c r="CR2768" s="128"/>
      <c r="CS2768" s="128"/>
      <c r="CT2768" s="128"/>
      <c r="CU2768" s="128"/>
      <c r="CV2768" s="128"/>
      <c r="CW2768" s="128"/>
      <c r="CX2768" s="128"/>
      <c r="CY2768" s="128"/>
      <c r="CZ2768" s="165"/>
    </row>
    <row r="2769" spans="1:104">
      <c r="A2769" s="149"/>
      <c r="B2769" s="149"/>
      <c r="C2769" s="150"/>
      <c r="D2769" s="102"/>
      <c r="E2769" s="149"/>
      <c r="F2769" s="149"/>
      <c r="G2769" s="149"/>
      <c r="H2769" s="149"/>
      <c r="I2769" s="149"/>
      <c r="J2769" s="149"/>
      <c r="K2769" s="149"/>
      <c r="L2769" s="149"/>
      <c r="M2769" s="149"/>
      <c r="N2769" s="149"/>
      <c r="O2769" s="149"/>
      <c r="P2769" s="149"/>
      <c r="Q2769" s="149"/>
      <c r="R2769" s="149"/>
      <c r="S2769" s="149"/>
      <c r="T2769" s="149"/>
      <c r="U2769" s="149"/>
      <c r="V2769" s="149"/>
      <c r="W2769" s="149"/>
      <c r="X2769" s="149"/>
      <c r="Y2769" s="149"/>
      <c r="Z2769" s="149"/>
      <c r="AA2769" s="149"/>
      <c r="AB2769" s="149"/>
      <c r="AC2769" s="149"/>
      <c r="AD2769" s="149"/>
      <c r="AE2769" s="149"/>
      <c r="AF2769" s="149"/>
      <c r="AG2769" s="149"/>
      <c r="AH2769" s="149"/>
      <c r="AI2769" s="149"/>
      <c r="AJ2769" s="149"/>
      <c r="AK2769" s="149"/>
      <c r="AL2769" s="149"/>
      <c r="AM2769" s="149"/>
      <c r="AN2769" s="149"/>
      <c r="AO2769" s="128"/>
      <c r="AP2769" s="128"/>
      <c r="AQ2769" s="128"/>
      <c r="AR2769" s="128"/>
      <c r="AS2769" s="128"/>
      <c r="AT2769" s="128"/>
      <c r="AU2769" s="128"/>
      <c r="AV2769" s="128"/>
      <c r="AW2769" s="128"/>
      <c r="AX2769" s="128"/>
      <c r="AY2769" s="128"/>
      <c r="AZ2769" s="128"/>
      <c r="BA2769" s="128"/>
      <c r="BB2769" s="128"/>
      <c r="BC2769" s="128"/>
      <c r="BD2769" s="128"/>
      <c r="BE2769" s="128"/>
      <c r="BF2769" s="128"/>
      <c r="BG2769" s="128"/>
      <c r="BH2769" s="128"/>
      <c r="BI2769" s="128"/>
      <c r="BJ2769" s="128"/>
      <c r="BK2769" s="128"/>
      <c r="BL2769" s="128"/>
      <c r="BM2769" s="151"/>
      <c r="BN2769" s="128"/>
      <c r="BO2769" s="128"/>
      <c r="BP2769" s="128"/>
      <c r="BQ2769" s="128"/>
      <c r="BR2769" s="128"/>
      <c r="BS2769" s="128"/>
      <c r="BT2769" s="128"/>
      <c r="BU2769" s="128"/>
      <c r="BV2769" s="128"/>
      <c r="BW2769" s="128"/>
      <c r="BX2769" s="128"/>
      <c r="BY2769" s="128"/>
      <c r="BZ2769" s="128"/>
      <c r="CA2769" s="128"/>
      <c r="CB2769" s="128"/>
      <c r="CC2769" s="128"/>
      <c r="CD2769" s="128"/>
      <c r="CE2769" s="128"/>
      <c r="CF2769" s="128"/>
      <c r="CG2769" s="128"/>
      <c r="CI2769" s="128"/>
      <c r="CJ2769" s="128"/>
      <c r="CK2769" s="128"/>
      <c r="CL2769" s="128"/>
      <c r="CM2769" s="128"/>
      <c r="CN2769" s="128"/>
      <c r="CO2769" s="128"/>
      <c r="CP2769" s="128"/>
      <c r="CQ2769" s="128"/>
      <c r="CR2769" s="128"/>
      <c r="CS2769" s="128"/>
      <c r="CT2769" s="128"/>
      <c r="CU2769" s="128"/>
      <c r="CV2769" s="128"/>
      <c r="CW2769" s="128"/>
      <c r="CX2769" s="128"/>
      <c r="CY2769" s="128"/>
      <c r="CZ2769" s="165"/>
    </row>
    <row r="2770" spans="1:104">
      <c r="A2770" s="149"/>
      <c r="B2770" s="149"/>
      <c r="C2770" s="150"/>
      <c r="D2770" s="102"/>
      <c r="E2770" s="149"/>
      <c r="F2770" s="149"/>
      <c r="G2770" s="149"/>
      <c r="H2770" s="149"/>
      <c r="I2770" s="149"/>
      <c r="J2770" s="149"/>
      <c r="K2770" s="149"/>
      <c r="L2770" s="149"/>
      <c r="M2770" s="149"/>
      <c r="N2770" s="149"/>
      <c r="O2770" s="149"/>
      <c r="P2770" s="149"/>
      <c r="Q2770" s="149"/>
      <c r="R2770" s="149"/>
      <c r="S2770" s="149"/>
      <c r="T2770" s="149"/>
      <c r="U2770" s="149"/>
      <c r="V2770" s="149"/>
      <c r="W2770" s="149"/>
      <c r="X2770" s="149"/>
      <c r="Y2770" s="149"/>
      <c r="Z2770" s="149"/>
      <c r="AA2770" s="149"/>
      <c r="AB2770" s="149"/>
      <c r="AC2770" s="149"/>
      <c r="AD2770" s="149"/>
      <c r="AE2770" s="149"/>
      <c r="AF2770" s="149"/>
      <c r="AG2770" s="149"/>
      <c r="AH2770" s="149"/>
      <c r="AI2770" s="149"/>
      <c r="AJ2770" s="149"/>
      <c r="AK2770" s="149"/>
      <c r="AL2770" s="149"/>
      <c r="AM2770" s="149"/>
      <c r="AN2770" s="149"/>
      <c r="AO2770" s="128"/>
      <c r="AP2770" s="128"/>
      <c r="AQ2770" s="128"/>
      <c r="AR2770" s="128"/>
      <c r="AS2770" s="128"/>
      <c r="AT2770" s="128"/>
      <c r="AU2770" s="128"/>
      <c r="AV2770" s="128"/>
      <c r="AW2770" s="128"/>
      <c r="AX2770" s="128"/>
      <c r="AY2770" s="128"/>
      <c r="AZ2770" s="128"/>
      <c r="BA2770" s="128"/>
      <c r="BB2770" s="128"/>
      <c r="BC2770" s="128"/>
      <c r="BD2770" s="128"/>
      <c r="BE2770" s="128"/>
      <c r="BF2770" s="128"/>
      <c r="BG2770" s="128"/>
      <c r="BH2770" s="128"/>
      <c r="BI2770" s="128"/>
      <c r="BJ2770" s="128"/>
      <c r="BK2770" s="128"/>
      <c r="BL2770" s="128"/>
      <c r="BM2770" s="151"/>
      <c r="BN2770" s="128"/>
      <c r="BO2770" s="128"/>
      <c r="BP2770" s="128"/>
      <c r="BQ2770" s="128"/>
      <c r="BR2770" s="128"/>
      <c r="BS2770" s="128"/>
      <c r="BT2770" s="128"/>
      <c r="BU2770" s="128"/>
      <c r="BV2770" s="128"/>
      <c r="BW2770" s="128"/>
      <c r="BX2770" s="128"/>
      <c r="BY2770" s="128"/>
      <c r="BZ2770" s="128"/>
      <c r="CA2770" s="128"/>
      <c r="CB2770" s="128"/>
      <c r="CC2770" s="128"/>
      <c r="CD2770" s="128"/>
      <c r="CE2770" s="128"/>
      <c r="CF2770" s="128"/>
      <c r="CG2770" s="128"/>
      <c r="CI2770" s="128"/>
      <c r="CJ2770" s="128"/>
      <c r="CK2770" s="128"/>
      <c r="CL2770" s="128"/>
      <c r="CM2770" s="128"/>
      <c r="CN2770" s="128"/>
      <c r="CO2770" s="128"/>
      <c r="CP2770" s="128"/>
      <c r="CQ2770" s="128"/>
      <c r="CR2770" s="128"/>
      <c r="CS2770" s="128"/>
      <c r="CT2770" s="128"/>
      <c r="CU2770" s="128"/>
      <c r="CV2770" s="128"/>
      <c r="CW2770" s="128"/>
      <c r="CX2770" s="128"/>
      <c r="CY2770" s="128"/>
      <c r="CZ2770" s="165"/>
    </row>
    <row r="2771" spans="1:104">
      <c r="A2771" s="149"/>
      <c r="B2771" s="149"/>
      <c r="C2771" s="150"/>
      <c r="D2771" s="102"/>
      <c r="E2771" s="149"/>
      <c r="F2771" s="149"/>
      <c r="G2771" s="149"/>
      <c r="H2771" s="149"/>
      <c r="I2771" s="149"/>
      <c r="J2771" s="149"/>
      <c r="K2771" s="149"/>
      <c r="L2771" s="149"/>
      <c r="M2771" s="149"/>
      <c r="N2771" s="149"/>
      <c r="O2771" s="149"/>
      <c r="P2771" s="149"/>
      <c r="Q2771" s="149"/>
      <c r="R2771" s="149"/>
      <c r="S2771" s="149"/>
      <c r="T2771" s="149"/>
      <c r="U2771" s="149"/>
      <c r="V2771" s="149"/>
      <c r="W2771" s="149"/>
      <c r="X2771" s="149"/>
      <c r="Y2771" s="149"/>
      <c r="Z2771" s="149"/>
      <c r="AA2771" s="149"/>
      <c r="AB2771" s="149"/>
      <c r="AC2771" s="149"/>
      <c r="AD2771" s="149"/>
      <c r="AE2771" s="149"/>
      <c r="AF2771" s="149"/>
      <c r="AG2771" s="149"/>
      <c r="AH2771" s="149"/>
      <c r="AI2771" s="149"/>
      <c r="AJ2771" s="149"/>
      <c r="AK2771" s="149"/>
      <c r="AL2771" s="149"/>
      <c r="AM2771" s="149"/>
      <c r="AN2771" s="149"/>
      <c r="AO2771" s="128"/>
      <c r="AP2771" s="128"/>
      <c r="AQ2771" s="128"/>
      <c r="AR2771" s="128"/>
      <c r="AS2771" s="128"/>
      <c r="AT2771" s="128"/>
      <c r="AU2771" s="128"/>
      <c r="AV2771" s="128"/>
      <c r="AW2771" s="128"/>
      <c r="AX2771" s="128"/>
      <c r="AY2771" s="128"/>
      <c r="AZ2771" s="128"/>
      <c r="BA2771" s="128"/>
      <c r="BB2771" s="128"/>
      <c r="BC2771" s="128"/>
      <c r="BD2771" s="128"/>
      <c r="BE2771" s="128"/>
      <c r="BF2771" s="128"/>
      <c r="BG2771" s="128"/>
      <c r="BH2771" s="128"/>
      <c r="BI2771" s="128"/>
      <c r="BJ2771" s="128"/>
      <c r="BK2771" s="128"/>
      <c r="BL2771" s="128"/>
      <c r="BM2771" s="151"/>
      <c r="BN2771" s="128"/>
      <c r="BO2771" s="128"/>
      <c r="BP2771" s="128"/>
      <c r="BQ2771" s="128"/>
      <c r="BR2771" s="128"/>
      <c r="BS2771" s="128"/>
      <c r="BT2771" s="128"/>
      <c r="BU2771" s="128"/>
      <c r="BV2771" s="128"/>
      <c r="BW2771" s="128"/>
      <c r="BX2771" s="128"/>
      <c r="BY2771" s="128"/>
      <c r="BZ2771" s="128"/>
      <c r="CA2771" s="128"/>
      <c r="CB2771" s="128"/>
      <c r="CC2771" s="128"/>
      <c r="CD2771" s="128"/>
      <c r="CE2771" s="128"/>
      <c r="CF2771" s="128"/>
      <c r="CG2771" s="128"/>
      <c r="CI2771" s="128"/>
      <c r="CJ2771" s="128"/>
      <c r="CK2771" s="128"/>
      <c r="CL2771" s="128"/>
      <c r="CM2771" s="128"/>
      <c r="CN2771" s="128"/>
      <c r="CO2771" s="128"/>
      <c r="CP2771" s="128"/>
      <c r="CQ2771" s="128"/>
      <c r="CR2771" s="128"/>
      <c r="CS2771" s="128"/>
      <c r="CT2771" s="128"/>
      <c r="CU2771" s="128"/>
      <c r="CV2771" s="128"/>
      <c r="CW2771" s="128"/>
      <c r="CX2771" s="128"/>
      <c r="CY2771" s="128"/>
      <c r="CZ2771" s="165"/>
    </row>
    <row r="2772" spans="1:104">
      <c r="A2772" s="149"/>
      <c r="B2772" s="149"/>
      <c r="C2772" s="150"/>
      <c r="D2772" s="102"/>
      <c r="E2772" s="149"/>
      <c r="F2772" s="149"/>
      <c r="G2772" s="149"/>
      <c r="H2772" s="149"/>
      <c r="I2772" s="149"/>
      <c r="J2772" s="149"/>
      <c r="K2772" s="149"/>
      <c r="L2772" s="149"/>
      <c r="M2772" s="149"/>
      <c r="N2772" s="149"/>
      <c r="O2772" s="149"/>
      <c r="P2772" s="149"/>
      <c r="Q2772" s="149"/>
      <c r="R2772" s="149"/>
      <c r="S2772" s="149"/>
      <c r="T2772" s="149"/>
      <c r="U2772" s="149"/>
      <c r="V2772" s="149"/>
      <c r="W2772" s="149"/>
      <c r="X2772" s="149"/>
      <c r="Y2772" s="149"/>
      <c r="Z2772" s="149"/>
      <c r="AA2772" s="149"/>
      <c r="AB2772" s="149"/>
      <c r="AC2772" s="149"/>
      <c r="AD2772" s="149"/>
      <c r="AE2772" s="149"/>
      <c r="AF2772" s="149"/>
      <c r="AG2772" s="149"/>
      <c r="AH2772" s="149"/>
      <c r="AI2772" s="149"/>
      <c r="AJ2772" s="149"/>
      <c r="AK2772" s="149"/>
      <c r="AL2772" s="149"/>
      <c r="AM2772" s="149"/>
      <c r="AN2772" s="149"/>
      <c r="AO2772" s="128"/>
      <c r="AP2772" s="128"/>
      <c r="AQ2772" s="128"/>
      <c r="AR2772" s="128"/>
      <c r="AS2772" s="128"/>
      <c r="AT2772" s="128"/>
      <c r="AU2772" s="128"/>
      <c r="AV2772" s="128"/>
      <c r="AW2772" s="128"/>
      <c r="AX2772" s="128"/>
      <c r="AY2772" s="128"/>
      <c r="AZ2772" s="128"/>
      <c r="BA2772" s="128"/>
      <c r="BB2772" s="128"/>
      <c r="BC2772" s="128"/>
      <c r="BD2772" s="128"/>
      <c r="BE2772" s="128"/>
      <c r="BF2772" s="128"/>
      <c r="BG2772" s="128"/>
      <c r="BH2772" s="128"/>
      <c r="BI2772" s="128"/>
      <c r="BJ2772" s="128"/>
      <c r="BK2772" s="128"/>
      <c r="BL2772" s="128"/>
      <c r="BM2772" s="151"/>
      <c r="BN2772" s="128"/>
      <c r="BO2772" s="128"/>
      <c r="BP2772" s="128"/>
      <c r="BQ2772" s="128"/>
      <c r="BR2772" s="128"/>
      <c r="BS2772" s="128"/>
      <c r="BT2772" s="128"/>
      <c r="BU2772" s="128"/>
      <c r="BV2772" s="128"/>
      <c r="BW2772" s="128"/>
      <c r="BX2772" s="128"/>
      <c r="BY2772" s="128"/>
      <c r="BZ2772" s="128"/>
      <c r="CA2772" s="128"/>
      <c r="CB2772" s="128"/>
      <c r="CC2772" s="128"/>
      <c r="CD2772" s="128"/>
      <c r="CE2772" s="128"/>
      <c r="CF2772" s="128"/>
      <c r="CG2772" s="128"/>
      <c r="CI2772" s="128"/>
      <c r="CJ2772" s="128"/>
      <c r="CK2772" s="128"/>
      <c r="CL2772" s="128"/>
      <c r="CM2772" s="128"/>
      <c r="CN2772" s="128"/>
      <c r="CO2772" s="128"/>
      <c r="CP2772" s="128"/>
      <c r="CQ2772" s="128"/>
      <c r="CR2772" s="128"/>
      <c r="CS2772" s="128"/>
      <c r="CT2772" s="128"/>
      <c r="CU2772" s="128"/>
      <c r="CV2772" s="128"/>
      <c r="CW2772" s="128"/>
      <c r="CX2772" s="128"/>
      <c r="CY2772" s="128"/>
      <c r="CZ2772" s="165"/>
    </row>
    <row r="2773" spans="1:104">
      <c r="A2773" s="149"/>
      <c r="B2773" s="149"/>
      <c r="C2773" s="150"/>
      <c r="D2773" s="102"/>
      <c r="E2773" s="149"/>
      <c r="F2773" s="149"/>
      <c r="G2773" s="149"/>
      <c r="H2773" s="149"/>
      <c r="I2773" s="149"/>
      <c r="J2773" s="149"/>
      <c r="K2773" s="149"/>
      <c r="L2773" s="149"/>
      <c r="M2773" s="149"/>
      <c r="N2773" s="149"/>
      <c r="O2773" s="149"/>
      <c r="P2773" s="149"/>
      <c r="Q2773" s="149"/>
      <c r="R2773" s="149"/>
      <c r="S2773" s="149"/>
      <c r="T2773" s="149"/>
      <c r="U2773" s="149"/>
      <c r="V2773" s="149"/>
      <c r="W2773" s="149"/>
      <c r="X2773" s="149"/>
      <c r="Y2773" s="149"/>
      <c r="Z2773" s="149"/>
      <c r="AA2773" s="149"/>
      <c r="AB2773" s="149"/>
      <c r="AC2773" s="149"/>
      <c r="AD2773" s="149"/>
      <c r="AE2773" s="149"/>
      <c r="AF2773" s="149"/>
      <c r="AG2773" s="149"/>
      <c r="AH2773" s="149"/>
      <c r="AI2773" s="149"/>
      <c r="AJ2773" s="149"/>
      <c r="AK2773" s="149"/>
      <c r="AL2773" s="149"/>
      <c r="AM2773" s="149"/>
      <c r="AN2773" s="149"/>
      <c r="AO2773" s="128"/>
      <c r="AP2773" s="128"/>
      <c r="AQ2773" s="128"/>
      <c r="AR2773" s="128"/>
      <c r="AS2773" s="128"/>
      <c r="AT2773" s="128"/>
      <c r="AU2773" s="128"/>
      <c r="AV2773" s="128"/>
      <c r="AW2773" s="128"/>
      <c r="AX2773" s="128"/>
      <c r="AY2773" s="128"/>
      <c r="AZ2773" s="128"/>
      <c r="BA2773" s="128"/>
      <c r="BB2773" s="128"/>
      <c r="BC2773" s="128"/>
      <c r="BD2773" s="128"/>
      <c r="BE2773" s="128"/>
      <c r="BF2773" s="128"/>
      <c r="BG2773" s="128"/>
      <c r="BH2773" s="128"/>
      <c r="BI2773" s="128"/>
      <c r="BJ2773" s="128"/>
      <c r="BK2773" s="128"/>
      <c r="BL2773" s="128"/>
      <c r="BM2773" s="151"/>
      <c r="BN2773" s="128"/>
      <c r="BO2773" s="128"/>
      <c r="BP2773" s="128"/>
      <c r="BQ2773" s="128"/>
      <c r="BR2773" s="128"/>
      <c r="BS2773" s="128"/>
      <c r="BT2773" s="128"/>
      <c r="BU2773" s="128"/>
      <c r="BV2773" s="128"/>
      <c r="BW2773" s="128"/>
      <c r="BX2773" s="128"/>
      <c r="BY2773" s="128"/>
      <c r="BZ2773" s="128"/>
      <c r="CA2773" s="128"/>
      <c r="CB2773" s="128"/>
      <c r="CC2773" s="128"/>
      <c r="CD2773" s="128"/>
      <c r="CE2773" s="128"/>
      <c r="CF2773" s="128"/>
      <c r="CG2773" s="128"/>
      <c r="CI2773" s="128"/>
      <c r="CJ2773" s="128"/>
      <c r="CK2773" s="128"/>
      <c r="CL2773" s="128"/>
      <c r="CM2773" s="128"/>
      <c r="CN2773" s="128"/>
      <c r="CO2773" s="128"/>
      <c r="CP2773" s="128"/>
      <c r="CQ2773" s="128"/>
      <c r="CR2773" s="128"/>
      <c r="CS2773" s="128"/>
      <c r="CT2773" s="128"/>
      <c r="CU2773" s="128"/>
      <c r="CV2773" s="128"/>
      <c r="CW2773" s="128"/>
      <c r="CX2773" s="128"/>
      <c r="CY2773" s="128"/>
      <c r="CZ2773" s="165"/>
    </row>
    <row r="2774" spans="1:104">
      <c r="A2774" s="149"/>
      <c r="B2774" s="149"/>
      <c r="C2774" s="150"/>
      <c r="D2774" s="102"/>
      <c r="E2774" s="149"/>
      <c r="F2774" s="149"/>
      <c r="G2774" s="149"/>
      <c r="H2774" s="149"/>
      <c r="I2774" s="149"/>
      <c r="J2774" s="149"/>
      <c r="K2774" s="149"/>
      <c r="L2774" s="149"/>
      <c r="M2774" s="149"/>
      <c r="N2774" s="149"/>
      <c r="O2774" s="149"/>
      <c r="P2774" s="149"/>
      <c r="Q2774" s="149"/>
      <c r="R2774" s="149"/>
      <c r="S2774" s="149"/>
      <c r="T2774" s="149"/>
      <c r="U2774" s="149"/>
      <c r="V2774" s="149"/>
      <c r="W2774" s="149"/>
      <c r="X2774" s="149"/>
      <c r="Y2774" s="149"/>
      <c r="Z2774" s="149"/>
      <c r="AA2774" s="149"/>
      <c r="AB2774" s="149"/>
      <c r="AC2774" s="149"/>
      <c r="AD2774" s="149"/>
      <c r="AE2774" s="149"/>
      <c r="AF2774" s="149"/>
      <c r="AG2774" s="149"/>
      <c r="AH2774" s="149"/>
      <c r="AI2774" s="149"/>
      <c r="AJ2774" s="149"/>
      <c r="AK2774" s="149"/>
      <c r="AL2774" s="149"/>
      <c r="AM2774" s="149"/>
      <c r="AN2774" s="149"/>
      <c r="AO2774" s="128"/>
      <c r="AP2774" s="128"/>
      <c r="AQ2774" s="128"/>
      <c r="AR2774" s="128"/>
      <c r="AS2774" s="128"/>
      <c r="AT2774" s="128"/>
      <c r="AU2774" s="128"/>
      <c r="AV2774" s="128"/>
      <c r="AW2774" s="128"/>
      <c r="AX2774" s="128"/>
      <c r="AY2774" s="128"/>
      <c r="AZ2774" s="128"/>
      <c r="BA2774" s="128"/>
      <c r="BB2774" s="128"/>
      <c r="BC2774" s="128"/>
      <c r="BD2774" s="128"/>
      <c r="BE2774" s="128"/>
      <c r="BF2774" s="128"/>
      <c r="BG2774" s="128"/>
      <c r="BH2774" s="128"/>
      <c r="BI2774" s="128"/>
      <c r="BJ2774" s="128"/>
      <c r="BK2774" s="128"/>
      <c r="BL2774" s="128"/>
      <c r="BM2774" s="151"/>
      <c r="BN2774" s="128"/>
      <c r="BO2774" s="128"/>
      <c r="BP2774" s="128"/>
      <c r="BQ2774" s="128"/>
      <c r="BR2774" s="128"/>
      <c r="BS2774" s="128"/>
      <c r="BT2774" s="128"/>
      <c r="BU2774" s="128"/>
      <c r="BV2774" s="128"/>
      <c r="BW2774" s="128"/>
      <c r="BX2774" s="128"/>
      <c r="BY2774" s="128"/>
      <c r="BZ2774" s="128"/>
      <c r="CA2774" s="128"/>
      <c r="CB2774" s="128"/>
      <c r="CC2774" s="128"/>
      <c r="CD2774" s="128"/>
      <c r="CE2774" s="128"/>
      <c r="CF2774" s="128"/>
      <c r="CG2774" s="128"/>
      <c r="CI2774" s="128"/>
      <c r="CJ2774" s="128"/>
      <c r="CK2774" s="128"/>
      <c r="CL2774" s="128"/>
      <c r="CM2774" s="128"/>
      <c r="CN2774" s="128"/>
      <c r="CO2774" s="128"/>
      <c r="CP2774" s="128"/>
      <c r="CQ2774" s="128"/>
      <c r="CR2774" s="128"/>
      <c r="CS2774" s="128"/>
      <c r="CT2774" s="128"/>
      <c r="CU2774" s="128"/>
      <c r="CV2774" s="128"/>
      <c r="CW2774" s="128"/>
      <c r="CX2774" s="128"/>
      <c r="CY2774" s="128"/>
      <c r="CZ2774" s="165"/>
    </row>
    <row r="2775" spans="1:104">
      <c r="A2775" s="149"/>
      <c r="B2775" s="149"/>
      <c r="C2775" s="150"/>
      <c r="D2775" s="102"/>
      <c r="E2775" s="149"/>
      <c r="F2775" s="149"/>
      <c r="G2775" s="149"/>
      <c r="H2775" s="149"/>
      <c r="I2775" s="149"/>
      <c r="J2775" s="149"/>
      <c r="K2775" s="149"/>
      <c r="L2775" s="149"/>
      <c r="M2775" s="149"/>
      <c r="N2775" s="149"/>
      <c r="O2775" s="149"/>
      <c r="P2775" s="149"/>
      <c r="Q2775" s="149"/>
      <c r="R2775" s="149"/>
      <c r="S2775" s="149"/>
      <c r="T2775" s="149"/>
      <c r="U2775" s="149"/>
      <c r="V2775" s="149"/>
      <c r="W2775" s="149"/>
      <c r="X2775" s="149"/>
      <c r="Y2775" s="149"/>
      <c r="Z2775" s="149"/>
      <c r="AA2775" s="149"/>
      <c r="AB2775" s="149"/>
      <c r="AC2775" s="149"/>
      <c r="AD2775" s="149"/>
      <c r="AE2775" s="149"/>
      <c r="AF2775" s="149"/>
      <c r="AG2775" s="149"/>
      <c r="AH2775" s="149"/>
      <c r="AI2775" s="149"/>
      <c r="AJ2775" s="149"/>
      <c r="AK2775" s="149"/>
      <c r="AL2775" s="149"/>
      <c r="AM2775" s="149"/>
      <c r="AN2775" s="149"/>
      <c r="AO2775" s="128"/>
      <c r="AP2775" s="128"/>
      <c r="AQ2775" s="128"/>
      <c r="AR2775" s="128"/>
      <c r="AS2775" s="128"/>
      <c r="AT2775" s="128"/>
      <c r="AU2775" s="128"/>
      <c r="AV2775" s="128"/>
      <c r="AW2775" s="128"/>
      <c r="AX2775" s="128"/>
      <c r="AY2775" s="128"/>
      <c r="AZ2775" s="128"/>
      <c r="BA2775" s="128"/>
      <c r="BB2775" s="128"/>
      <c r="BC2775" s="128"/>
      <c r="BD2775" s="128"/>
      <c r="BE2775" s="128"/>
      <c r="BF2775" s="128"/>
      <c r="BG2775" s="128"/>
      <c r="BH2775" s="128"/>
      <c r="BI2775" s="128"/>
      <c r="BJ2775" s="128"/>
      <c r="BK2775" s="128"/>
      <c r="BL2775" s="128"/>
      <c r="BM2775" s="151"/>
      <c r="BN2775" s="128"/>
      <c r="BO2775" s="128"/>
      <c r="BP2775" s="128"/>
      <c r="BQ2775" s="128"/>
      <c r="BR2775" s="128"/>
      <c r="BS2775" s="128"/>
      <c r="BT2775" s="128"/>
      <c r="BU2775" s="128"/>
      <c r="BV2775" s="128"/>
      <c r="BW2775" s="128"/>
      <c r="BX2775" s="128"/>
      <c r="BY2775" s="128"/>
      <c r="BZ2775" s="128"/>
      <c r="CA2775" s="128"/>
      <c r="CB2775" s="128"/>
      <c r="CC2775" s="128"/>
      <c r="CD2775" s="128"/>
      <c r="CE2775" s="128"/>
      <c r="CF2775" s="128"/>
      <c r="CG2775" s="128"/>
      <c r="CI2775" s="128"/>
      <c r="CJ2775" s="128"/>
      <c r="CK2775" s="128"/>
      <c r="CL2775" s="128"/>
      <c r="CM2775" s="128"/>
      <c r="CN2775" s="128"/>
      <c r="CO2775" s="128"/>
      <c r="CP2775" s="128"/>
      <c r="CQ2775" s="128"/>
      <c r="CR2775" s="128"/>
      <c r="CS2775" s="128"/>
      <c r="CT2775" s="128"/>
      <c r="CU2775" s="128"/>
      <c r="CV2775" s="128"/>
      <c r="CW2775" s="128"/>
      <c r="CX2775" s="128"/>
      <c r="CY2775" s="128"/>
      <c r="CZ2775" s="165"/>
    </row>
    <row r="2776" spans="1:104">
      <c r="A2776" s="149"/>
      <c r="B2776" s="149"/>
      <c r="C2776" s="150"/>
      <c r="D2776" s="102"/>
      <c r="E2776" s="149"/>
      <c r="F2776" s="149"/>
      <c r="G2776" s="149"/>
      <c r="H2776" s="149"/>
      <c r="I2776" s="149"/>
      <c r="J2776" s="149"/>
      <c r="K2776" s="149"/>
      <c r="L2776" s="149"/>
      <c r="M2776" s="149"/>
      <c r="N2776" s="149"/>
      <c r="O2776" s="149"/>
      <c r="P2776" s="149"/>
      <c r="Q2776" s="149"/>
      <c r="R2776" s="149"/>
      <c r="S2776" s="149"/>
      <c r="T2776" s="149"/>
      <c r="U2776" s="149"/>
      <c r="V2776" s="149"/>
      <c r="W2776" s="149"/>
      <c r="X2776" s="149"/>
      <c r="Y2776" s="149"/>
      <c r="Z2776" s="149"/>
      <c r="AA2776" s="149"/>
      <c r="AB2776" s="149"/>
      <c r="AC2776" s="149"/>
      <c r="AD2776" s="149"/>
      <c r="AE2776" s="149"/>
      <c r="AF2776" s="149"/>
      <c r="AG2776" s="149"/>
      <c r="AH2776" s="149"/>
      <c r="AI2776" s="149"/>
      <c r="AJ2776" s="149"/>
      <c r="AK2776" s="149"/>
      <c r="AL2776" s="149"/>
      <c r="AM2776" s="149"/>
      <c r="AN2776" s="149"/>
      <c r="AO2776" s="128"/>
      <c r="AP2776" s="128"/>
      <c r="AQ2776" s="128"/>
      <c r="AR2776" s="128"/>
      <c r="AS2776" s="128"/>
      <c r="AT2776" s="128"/>
      <c r="AU2776" s="128"/>
      <c r="AV2776" s="128"/>
      <c r="AW2776" s="128"/>
      <c r="AX2776" s="128"/>
      <c r="AY2776" s="128"/>
      <c r="AZ2776" s="128"/>
      <c r="BA2776" s="128"/>
      <c r="BB2776" s="128"/>
      <c r="BC2776" s="128"/>
      <c r="BD2776" s="128"/>
      <c r="BE2776" s="128"/>
      <c r="BF2776" s="128"/>
      <c r="BG2776" s="128"/>
      <c r="BH2776" s="128"/>
      <c r="BI2776" s="128"/>
      <c r="BJ2776" s="128"/>
      <c r="BK2776" s="128"/>
      <c r="BL2776" s="128"/>
      <c r="BM2776" s="151"/>
      <c r="BN2776" s="128"/>
      <c r="BO2776" s="128"/>
      <c r="BP2776" s="128"/>
      <c r="BQ2776" s="128"/>
      <c r="BR2776" s="128"/>
      <c r="BS2776" s="128"/>
      <c r="BT2776" s="128"/>
      <c r="BU2776" s="128"/>
      <c r="BV2776" s="128"/>
      <c r="BW2776" s="128"/>
      <c r="BX2776" s="128"/>
      <c r="BY2776" s="128"/>
      <c r="BZ2776" s="128"/>
      <c r="CA2776" s="128"/>
      <c r="CB2776" s="128"/>
      <c r="CC2776" s="128"/>
      <c r="CD2776" s="128"/>
      <c r="CE2776" s="128"/>
      <c r="CF2776" s="128"/>
      <c r="CG2776" s="128"/>
      <c r="CI2776" s="128"/>
      <c r="CJ2776" s="128"/>
      <c r="CK2776" s="128"/>
      <c r="CL2776" s="128"/>
      <c r="CM2776" s="128"/>
      <c r="CN2776" s="128"/>
      <c r="CO2776" s="128"/>
      <c r="CP2776" s="128"/>
      <c r="CQ2776" s="128"/>
      <c r="CR2776" s="128"/>
      <c r="CS2776" s="128"/>
      <c r="CT2776" s="128"/>
      <c r="CU2776" s="128"/>
      <c r="CV2776" s="128"/>
      <c r="CW2776" s="128"/>
      <c r="CX2776" s="128"/>
      <c r="CY2776" s="128"/>
      <c r="CZ2776" s="165"/>
    </row>
    <row r="2777" spans="1:104">
      <c r="A2777" s="149"/>
      <c r="B2777" s="149"/>
      <c r="C2777" s="150"/>
      <c r="D2777" s="102"/>
      <c r="E2777" s="149"/>
      <c r="F2777" s="149"/>
      <c r="G2777" s="149"/>
      <c r="H2777" s="149"/>
      <c r="I2777" s="149"/>
      <c r="J2777" s="149"/>
      <c r="K2777" s="149"/>
      <c r="L2777" s="149"/>
      <c r="M2777" s="149"/>
      <c r="N2777" s="149"/>
      <c r="O2777" s="149"/>
      <c r="P2777" s="149"/>
      <c r="Q2777" s="149"/>
      <c r="R2777" s="149"/>
      <c r="S2777" s="149"/>
      <c r="T2777" s="149"/>
      <c r="U2777" s="149"/>
      <c r="V2777" s="149"/>
      <c r="W2777" s="149"/>
      <c r="X2777" s="149"/>
      <c r="Y2777" s="149"/>
      <c r="Z2777" s="149"/>
      <c r="AA2777" s="149"/>
      <c r="AB2777" s="149"/>
      <c r="AC2777" s="149"/>
      <c r="AD2777" s="149"/>
      <c r="AE2777" s="149"/>
      <c r="AF2777" s="149"/>
      <c r="AG2777" s="149"/>
      <c r="AH2777" s="149"/>
      <c r="AI2777" s="149"/>
      <c r="AJ2777" s="149"/>
      <c r="AK2777" s="149"/>
      <c r="AL2777" s="149"/>
      <c r="AM2777" s="149"/>
      <c r="AN2777" s="149"/>
      <c r="AO2777" s="128"/>
      <c r="AP2777" s="128"/>
      <c r="AQ2777" s="128"/>
      <c r="AR2777" s="128"/>
      <c r="AS2777" s="128"/>
      <c r="AT2777" s="128"/>
      <c r="AU2777" s="128"/>
      <c r="AV2777" s="128"/>
      <c r="AW2777" s="128"/>
      <c r="AX2777" s="128"/>
      <c r="AY2777" s="128"/>
      <c r="AZ2777" s="128"/>
      <c r="BA2777" s="128"/>
      <c r="BB2777" s="128"/>
      <c r="BC2777" s="128"/>
      <c r="BD2777" s="128"/>
      <c r="BE2777" s="128"/>
      <c r="BF2777" s="128"/>
      <c r="BG2777" s="128"/>
      <c r="BH2777" s="128"/>
      <c r="BI2777" s="128"/>
      <c r="BJ2777" s="128"/>
      <c r="BK2777" s="128"/>
      <c r="BL2777" s="128"/>
      <c r="BM2777" s="151"/>
      <c r="BN2777" s="128"/>
      <c r="BO2777" s="128"/>
      <c r="BP2777" s="128"/>
      <c r="BQ2777" s="128"/>
      <c r="BR2777" s="128"/>
      <c r="BS2777" s="128"/>
      <c r="BT2777" s="128"/>
      <c r="BU2777" s="128"/>
      <c r="BV2777" s="128"/>
      <c r="BW2777" s="128"/>
      <c r="BX2777" s="128"/>
      <c r="BY2777" s="128"/>
      <c r="BZ2777" s="128"/>
      <c r="CA2777" s="128"/>
      <c r="CB2777" s="128"/>
      <c r="CC2777" s="128"/>
      <c r="CD2777" s="128"/>
      <c r="CE2777" s="128"/>
      <c r="CF2777" s="128"/>
      <c r="CG2777" s="128"/>
      <c r="CI2777" s="128"/>
      <c r="CJ2777" s="128"/>
      <c r="CK2777" s="128"/>
      <c r="CL2777" s="128"/>
      <c r="CM2777" s="128"/>
      <c r="CN2777" s="128"/>
      <c r="CO2777" s="128"/>
      <c r="CP2777" s="128"/>
      <c r="CQ2777" s="128"/>
      <c r="CR2777" s="128"/>
      <c r="CS2777" s="128"/>
      <c r="CT2777" s="128"/>
      <c r="CU2777" s="128"/>
      <c r="CV2777" s="128"/>
      <c r="CW2777" s="128"/>
      <c r="CX2777" s="128"/>
      <c r="CY2777" s="128"/>
      <c r="CZ2777" s="165"/>
    </row>
    <row r="2778" spans="1:104">
      <c r="A2778" s="149"/>
      <c r="B2778" s="149"/>
      <c r="C2778" s="150"/>
      <c r="D2778" s="102"/>
      <c r="E2778" s="149"/>
      <c r="F2778" s="149"/>
      <c r="G2778" s="149"/>
      <c r="H2778" s="149"/>
      <c r="I2778" s="149"/>
      <c r="J2778" s="149"/>
      <c r="K2778" s="149"/>
      <c r="L2778" s="149"/>
      <c r="M2778" s="149"/>
      <c r="N2778" s="149"/>
      <c r="O2778" s="149"/>
      <c r="P2778" s="149"/>
      <c r="Q2778" s="149"/>
      <c r="R2778" s="149"/>
      <c r="S2778" s="149"/>
      <c r="T2778" s="149"/>
      <c r="U2778" s="149"/>
      <c r="V2778" s="149"/>
      <c r="W2778" s="149"/>
      <c r="X2778" s="149"/>
      <c r="Y2778" s="149"/>
      <c r="Z2778" s="149"/>
      <c r="AA2778" s="149"/>
      <c r="AB2778" s="149"/>
      <c r="AC2778" s="149"/>
      <c r="AD2778" s="149"/>
      <c r="AE2778" s="149"/>
      <c r="AF2778" s="149"/>
      <c r="AG2778" s="149"/>
      <c r="AH2778" s="149"/>
      <c r="AI2778" s="149"/>
      <c r="AJ2778" s="149"/>
      <c r="AK2778" s="149"/>
      <c r="AL2778" s="149"/>
      <c r="AM2778" s="149"/>
      <c r="AN2778" s="149"/>
      <c r="AO2778" s="128"/>
      <c r="AP2778" s="128"/>
      <c r="AQ2778" s="128"/>
      <c r="AR2778" s="128"/>
      <c r="AS2778" s="128"/>
      <c r="AT2778" s="128"/>
      <c r="AU2778" s="128"/>
      <c r="AV2778" s="128"/>
      <c r="AW2778" s="128"/>
      <c r="AX2778" s="128"/>
      <c r="AY2778" s="128"/>
      <c r="AZ2778" s="128"/>
      <c r="BA2778" s="128"/>
      <c r="BB2778" s="128"/>
      <c r="BC2778" s="128"/>
      <c r="BD2778" s="128"/>
      <c r="BE2778" s="128"/>
      <c r="BF2778" s="128"/>
      <c r="BG2778" s="128"/>
      <c r="BH2778" s="128"/>
      <c r="BI2778" s="128"/>
      <c r="BJ2778" s="128"/>
      <c r="BK2778" s="128"/>
      <c r="BL2778" s="128"/>
      <c r="BM2778" s="151"/>
      <c r="BN2778" s="128"/>
      <c r="BO2778" s="128"/>
      <c r="BP2778" s="128"/>
      <c r="BQ2778" s="128"/>
      <c r="BR2778" s="128"/>
      <c r="BS2778" s="128"/>
      <c r="BT2778" s="128"/>
      <c r="BU2778" s="128"/>
      <c r="BV2778" s="128"/>
      <c r="BW2778" s="128"/>
      <c r="BX2778" s="128"/>
      <c r="BY2778" s="128"/>
      <c r="BZ2778" s="128"/>
      <c r="CA2778" s="128"/>
      <c r="CB2778" s="128"/>
      <c r="CC2778" s="128"/>
      <c r="CD2778" s="128"/>
      <c r="CE2778" s="128"/>
      <c r="CF2778" s="128"/>
      <c r="CG2778" s="128"/>
      <c r="CI2778" s="128"/>
      <c r="CJ2778" s="128"/>
      <c r="CK2778" s="128"/>
      <c r="CL2778" s="128"/>
      <c r="CM2778" s="128"/>
      <c r="CN2778" s="128"/>
      <c r="CO2778" s="128"/>
      <c r="CP2778" s="128"/>
      <c r="CQ2778" s="128"/>
      <c r="CR2778" s="128"/>
      <c r="CS2778" s="128"/>
      <c r="CT2778" s="128"/>
      <c r="CU2778" s="128"/>
      <c r="CV2778" s="128"/>
      <c r="CW2778" s="128"/>
      <c r="CX2778" s="128"/>
      <c r="CY2778" s="128"/>
      <c r="CZ2778" s="165"/>
    </row>
    <row r="2779" spans="1:104">
      <c r="A2779" s="149"/>
      <c r="B2779" s="149"/>
      <c r="C2779" s="150"/>
      <c r="D2779" s="102"/>
      <c r="E2779" s="149"/>
      <c r="F2779" s="149"/>
      <c r="G2779" s="149"/>
      <c r="H2779" s="149"/>
      <c r="I2779" s="149"/>
      <c r="J2779" s="149"/>
      <c r="K2779" s="149"/>
      <c r="L2779" s="149"/>
      <c r="M2779" s="149"/>
      <c r="N2779" s="149"/>
      <c r="O2779" s="149"/>
      <c r="P2779" s="149"/>
      <c r="Q2779" s="149"/>
      <c r="R2779" s="149"/>
      <c r="S2779" s="149"/>
      <c r="T2779" s="149"/>
      <c r="U2779" s="149"/>
      <c r="V2779" s="149"/>
      <c r="W2779" s="149"/>
      <c r="X2779" s="149"/>
      <c r="Y2779" s="149"/>
      <c r="Z2779" s="149"/>
      <c r="AA2779" s="149"/>
      <c r="AB2779" s="149"/>
      <c r="AC2779" s="149"/>
      <c r="AD2779" s="149"/>
      <c r="AE2779" s="149"/>
      <c r="AF2779" s="149"/>
      <c r="AG2779" s="149"/>
      <c r="AH2779" s="149"/>
      <c r="AI2779" s="149"/>
      <c r="AJ2779" s="149"/>
      <c r="AK2779" s="149"/>
      <c r="AL2779" s="149"/>
      <c r="AM2779" s="149"/>
      <c r="AN2779" s="149"/>
      <c r="AO2779" s="128"/>
      <c r="AP2779" s="128"/>
      <c r="AQ2779" s="128"/>
      <c r="AR2779" s="128"/>
      <c r="AS2779" s="128"/>
      <c r="AT2779" s="128"/>
      <c r="AU2779" s="128"/>
      <c r="AV2779" s="128"/>
      <c r="AW2779" s="128"/>
      <c r="AX2779" s="128"/>
      <c r="AY2779" s="128"/>
      <c r="AZ2779" s="128"/>
      <c r="BA2779" s="128"/>
      <c r="BB2779" s="128"/>
      <c r="BC2779" s="128"/>
      <c r="BD2779" s="128"/>
      <c r="BE2779" s="128"/>
      <c r="BF2779" s="128"/>
      <c r="BG2779" s="128"/>
      <c r="BH2779" s="128"/>
      <c r="BI2779" s="128"/>
      <c r="BJ2779" s="128"/>
      <c r="BK2779" s="128"/>
      <c r="BL2779" s="128"/>
      <c r="BM2779" s="151"/>
      <c r="BN2779" s="128"/>
      <c r="BO2779" s="128"/>
      <c r="BP2779" s="128"/>
      <c r="BQ2779" s="128"/>
      <c r="BR2779" s="128"/>
      <c r="BS2779" s="128"/>
      <c r="BT2779" s="128"/>
      <c r="BU2779" s="128"/>
      <c r="BV2779" s="128"/>
      <c r="BW2779" s="128"/>
      <c r="BX2779" s="128"/>
      <c r="BY2779" s="128"/>
      <c r="BZ2779" s="128"/>
      <c r="CA2779" s="128"/>
      <c r="CB2779" s="128"/>
      <c r="CC2779" s="128"/>
      <c r="CD2779" s="128"/>
      <c r="CE2779" s="128"/>
      <c r="CF2779" s="128"/>
      <c r="CG2779" s="128"/>
      <c r="CI2779" s="128"/>
      <c r="CJ2779" s="128"/>
      <c r="CK2779" s="128"/>
      <c r="CL2779" s="128"/>
      <c r="CM2779" s="128"/>
      <c r="CN2779" s="128"/>
      <c r="CO2779" s="128"/>
      <c r="CP2779" s="128"/>
      <c r="CQ2779" s="128"/>
      <c r="CR2779" s="128"/>
      <c r="CS2779" s="128"/>
      <c r="CT2779" s="128"/>
      <c r="CU2779" s="128"/>
      <c r="CV2779" s="128"/>
      <c r="CW2779" s="128"/>
      <c r="CX2779" s="128"/>
      <c r="CY2779" s="128"/>
      <c r="CZ2779" s="165"/>
    </row>
    <row r="2780" spans="1:104">
      <c r="A2780" s="149"/>
      <c r="B2780" s="149"/>
      <c r="C2780" s="150"/>
      <c r="D2780" s="102"/>
      <c r="E2780" s="149"/>
      <c r="F2780" s="149"/>
      <c r="G2780" s="149"/>
      <c r="H2780" s="149"/>
      <c r="I2780" s="149"/>
      <c r="J2780" s="149"/>
      <c r="K2780" s="149"/>
      <c r="L2780" s="149"/>
      <c r="M2780" s="149"/>
      <c r="N2780" s="149"/>
      <c r="O2780" s="149"/>
      <c r="P2780" s="149"/>
      <c r="Q2780" s="149"/>
      <c r="R2780" s="149"/>
      <c r="S2780" s="149"/>
      <c r="T2780" s="149"/>
      <c r="U2780" s="149"/>
      <c r="V2780" s="149"/>
      <c r="W2780" s="149"/>
      <c r="X2780" s="149"/>
      <c r="Y2780" s="149"/>
      <c r="Z2780" s="149"/>
      <c r="AA2780" s="149"/>
      <c r="AB2780" s="149"/>
      <c r="AC2780" s="149"/>
      <c r="AD2780" s="149"/>
      <c r="AE2780" s="149"/>
      <c r="AF2780" s="149"/>
      <c r="AG2780" s="149"/>
      <c r="AH2780" s="149"/>
      <c r="AI2780" s="149"/>
      <c r="AJ2780" s="149"/>
      <c r="AK2780" s="149"/>
      <c r="AL2780" s="149"/>
      <c r="AM2780" s="149"/>
      <c r="AN2780" s="149"/>
      <c r="AO2780" s="128"/>
      <c r="AP2780" s="128"/>
      <c r="AQ2780" s="128"/>
      <c r="AR2780" s="128"/>
      <c r="AS2780" s="128"/>
      <c r="AT2780" s="128"/>
      <c r="AU2780" s="128"/>
      <c r="AV2780" s="128"/>
      <c r="AW2780" s="128"/>
      <c r="AX2780" s="128"/>
      <c r="AY2780" s="128"/>
      <c r="AZ2780" s="128"/>
      <c r="BA2780" s="128"/>
      <c r="BB2780" s="128"/>
      <c r="BC2780" s="128"/>
      <c r="BD2780" s="128"/>
      <c r="BE2780" s="128"/>
      <c r="BF2780" s="128"/>
      <c r="BG2780" s="128"/>
      <c r="BH2780" s="128"/>
      <c r="BI2780" s="128"/>
      <c r="BJ2780" s="128"/>
      <c r="BK2780" s="128"/>
      <c r="BL2780" s="128"/>
      <c r="BM2780" s="151"/>
      <c r="BN2780" s="128"/>
      <c r="BO2780" s="128"/>
      <c r="BP2780" s="128"/>
      <c r="BQ2780" s="128"/>
      <c r="BR2780" s="128"/>
      <c r="BS2780" s="128"/>
      <c r="BT2780" s="128"/>
      <c r="BU2780" s="128"/>
      <c r="BV2780" s="128"/>
      <c r="BW2780" s="128"/>
      <c r="BX2780" s="128"/>
      <c r="BY2780" s="128"/>
      <c r="BZ2780" s="128"/>
      <c r="CA2780" s="128"/>
      <c r="CB2780" s="128"/>
      <c r="CC2780" s="128"/>
      <c r="CD2780" s="128"/>
      <c r="CE2780" s="128"/>
      <c r="CF2780" s="128"/>
      <c r="CG2780" s="128"/>
      <c r="CI2780" s="128"/>
      <c r="CJ2780" s="128"/>
      <c r="CK2780" s="128"/>
      <c r="CL2780" s="128"/>
      <c r="CM2780" s="128"/>
      <c r="CN2780" s="128"/>
      <c r="CO2780" s="128"/>
      <c r="CP2780" s="128"/>
      <c r="CQ2780" s="128"/>
      <c r="CR2780" s="128"/>
      <c r="CS2780" s="128"/>
      <c r="CT2780" s="128"/>
      <c r="CU2780" s="128"/>
      <c r="CV2780" s="128"/>
      <c r="CW2780" s="128"/>
      <c r="CX2780" s="128"/>
      <c r="CY2780" s="128"/>
      <c r="CZ2780" s="165"/>
    </row>
    <row r="2781" spans="1:104">
      <c r="A2781" s="149"/>
      <c r="B2781" s="149"/>
      <c r="C2781" s="150"/>
      <c r="D2781" s="102"/>
      <c r="E2781" s="149"/>
      <c r="F2781" s="149"/>
      <c r="G2781" s="149"/>
      <c r="H2781" s="149"/>
      <c r="I2781" s="149"/>
      <c r="J2781" s="149"/>
      <c r="K2781" s="149"/>
      <c r="L2781" s="149"/>
      <c r="M2781" s="149"/>
      <c r="N2781" s="149"/>
      <c r="O2781" s="149"/>
      <c r="P2781" s="149"/>
      <c r="Q2781" s="149"/>
      <c r="R2781" s="149"/>
      <c r="S2781" s="149"/>
      <c r="T2781" s="149"/>
      <c r="U2781" s="149"/>
      <c r="V2781" s="149"/>
      <c r="W2781" s="149"/>
      <c r="X2781" s="149"/>
      <c r="Y2781" s="149"/>
      <c r="Z2781" s="149"/>
      <c r="AA2781" s="149"/>
      <c r="AB2781" s="149"/>
      <c r="AC2781" s="149"/>
      <c r="AD2781" s="149"/>
      <c r="AE2781" s="149"/>
      <c r="AF2781" s="149"/>
      <c r="AG2781" s="149"/>
      <c r="AH2781" s="149"/>
      <c r="AI2781" s="149"/>
      <c r="AJ2781" s="149"/>
      <c r="AK2781" s="149"/>
      <c r="AL2781" s="149"/>
      <c r="AM2781" s="149"/>
      <c r="AN2781" s="149"/>
      <c r="AO2781" s="128"/>
      <c r="AP2781" s="128"/>
      <c r="AQ2781" s="128"/>
      <c r="AR2781" s="128"/>
      <c r="AS2781" s="128"/>
      <c r="AT2781" s="128"/>
      <c r="AU2781" s="128"/>
      <c r="AV2781" s="128"/>
      <c r="AW2781" s="128"/>
      <c r="AX2781" s="128"/>
      <c r="AY2781" s="128"/>
      <c r="AZ2781" s="128"/>
      <c r="BA2781" s="128"/>
      <c r="BB2781" s="128"/>
      <c r="BC2781" s="128"/>
      <c r="BD2781" s="128"/>
      <c r="BE2781" s="128"/>
      <c r="BF2781" s="128"/>
      <c r="BG2781" s="128"/>
      <c r="BH2781" s="128"/>
      <c r="BI2781" s="128"/>
      <c r="BJ2781" s="128"/>
      <c r="BK2781" s="128"/>
      <c r="BL2781" s="128"/>
      <c r="BM2781" s="151"/>
      <c r="BN2781" s="128"/>
      <c r="BO2781" s="128"/>
      <c r="BP2781" s="128"/>
      <c r="BQ2781" s="128"/>
      <c r="BR2781" s="128"/>
      <c r="BS2781" s="128"/>
      <c r="BT2781" s="128"/>
      <c r="BU2781" s="128"/>
      <c r="BV2781" s="128"/>
      <c r="BW2781" s="128"/>
      <c r="BX2781" s="128"/>
      <c r="BY2781" s="128"/>
      <c r="BZ2781" s="128"/>
      <c r="CA2781" s="128"/>
      <c r="CB2781" s="128"/>
      <c r="CC2781" s="128"/>
      <c r="CD2781" s="128"/>
      <c r="CE2781" s="128"/>
      <c r="CF2781" s="128"/>
      <c r="CG2781" s="128"/>
      <c r="CI2781" s="128"/>
      <c r="CJ2781" s="128"/>
      <c r="CK2781" s="128"/>
      <c r="CL2781" s="128"/>
      <c r="CM2781" s="128"/>
      <c r="CN2781" s="128"/>
      <c r="CO2781" s="128"/>
      <c r="CP2781" s="128"/>
      <c r="CQ2781" s="128"/>
      <c r="CR2781" s="128"/>
      <c r="CS2781" s="128"/>
      <c r="CT2781" s="128"/>
      <c r="CU2781" s="128"/>
      <c r="CV2781" s="128"/>
      <c r="CW2781" s="128"/>
      <c r="CX2781" s="128"/>
      <c r="CY2781" s="128"/>
      <c r="CZ2781" s="165"/>
    </row>
    <row r="2782" spans="1:104">
      <c r="A2782" s="149"/>
      <c r="B2782" s="149"/>
      <c r="C2782" s="150"/>
      <c r="D2782" s="102"/>
      <c r="E2782" s="149"/>
      <c r="F2782" s="149"/>
      <c r="G2782" s="149"/>
      <c r="H2782" s="149"/>
      <c r="I2782" s="149"/>
      <c r="J2782" s="149"/>
      <c r="K2782" s="149"/>
      <c r="L2782" s="149"/>
      <c r="M2782" s="149"/>
      <c r="N2782" s="149"/>
      <c r="O2782" s="149"/>
      <c r="P2782" s="149"/>
      <c r="Q2782" s="149"/>
      <c r="R2782" s="149"/>
      <c r="S2782" s="149"/>
      <c r="T2782" s="149"/>
      <c r="U2782" s="149"/>
      <c r="V2782" s="149"/>
      <c r="W2782" s="149"/>
      <c r="X2782" s="149"/>
      <c r="Y2782" s="149"/>
      <c r="Z2782" s="149"/>
      <c r="AA2782" s="149"/>
      <c r="AB2782" s="149"/>
      <c r="AC2782" s="149"/>
      <c r="AD2782" s="149"/>
      <c r="AE2782" s="149"/>
      <c r="AF2782" s="149"/>
      <c r="AG2782" s="149"/>
      <c r="AH2782" s="149"/>
      <c r="AI2782" s="149"/>
      <c r="AJ2782" s="149"/>
      <c r="AK2782" s="149"/>
      <c r="AL2782" s="149"/>
      <c r="AM2782" s="149"/>
      <c r="AN2782" s="149"/>
      <c r="AO2782" s="128"/>
      <c r="AP2782" s="128"/>
      <c r="AQ2782" s="128"/>
      <c r="AR2782" s="128"/>
      <c r="AS2782" s="128"/>
      <c r="AT2782" s="128"/>
      <c r="AU2782" s="128"/>
      <c r="AV2782" s="128"/>
      <c r="AW2782" s="128"/>
      <c r="AX2782" s="128"/>
      <c r="AY2782" s="128"/>
      <c r="AZ2782" s="128"/>
      <c r="BA2782" s="128"/>
      <c r="BB2782" s="128"/>
      <c r="BC2782" s="128"/>
      <c r="BD2782" s="128"/>
      <c r="BE2782" s="128"/>
      <c r="BF2782" s="128"/>
      <c r="BG2782" s="128"/>
      <c r="BH2782" s="128"/>
      <c r="BI2782" s="128"/>
      <c r="BJ2782" s="128"/>
      <c r="BK2782" s="128"/>
      <c r="BL2782" s="128"/>
      <c r="BM2782" s="151"/>
      <c r="BN2782" s="128"/>
      <c r="BO2782" s="128"/>
      <c r="BP2782" s="128"/>
      <c r="BQ2782" s="128"/>
      <c r="BR2782" s="128"/>
      <c r="BS2782" s="128"/>
      <c r="BT2782" s="128"/>
      <c r="BU2782" s="128"/>
      <c r="BV2782" s="128"/>
      <c r="BW2782" s="128"/>
      <c r="BX2782" s="128"/>
      <c r="BY2782" s="128"/>
      <c r="BZ2782" s="128"/>
      <c r="CA2782" s="128"/>
      <c r="CB2782" s="128"/>
      <c r="CC2782" s="128"/>
      <c r="CD2782" s="128"/>
      <c r="CE2782" s="128"/>
      <c r="CF2782" s="128"/>
      <c r="CG2782" s="128"/>
      <c r="CI2782" s="128"/>
      <c r="CJ2782" s="128"/>
      <c r="CK2782" s="128"/>
      <c r="CL2782" s="128"/>
      <c r="CM2782" s="128"/>
      <c r="CN2782" s="128"/>
      <c r="CO2782" s="128"/>
      <c r="CP2782" s="128"/>
      <c r="CQ2782" s="128"/>
      <c r="CR2782" s="128"/>
      <c r="CS2782" s="128"/>
      <c r="CT2782" s="128"/>
      <c r="CU2782" s="128"/>
      <c r="CV2782" s="128"/>
      <c r="CW2782" s="128"/>
      <c r="CX2782" s="128"/>
      <c r="CY2782" s="128"/>
      <c r="CZ2782" s="165"/>
    </row>
    <row r="2783" spans="1:104">
      <c r="A2783" s="149"/>
      <c r="B2783" s="149"/>
      <c r="C2783" s="150"/>
      <c r="D2783" s="102"/>
      <c r="E2783" s="149"/>
      <c r="F2783" s="149"/>
      <c r="G2783" s="149"/>
      <c r="H2783" s="149"/>
      <c r="I2783" s="149"/>
      <c r="J2783" s="149"/>
      <c r="K2783" s="149"/>
      <c r="L2783" s="149"/>
      <c r="M2783" s="149"/>
      <c r="N2783" s="149"/>
      <c r="O2783" s="149"/>
      <c r="P2783" s="149"/>
      <c r="Q2783" s="149"/>
      <c r="R2783" s="149"/>
      <c r="S2783" s="149"/>
      <c r="T2783" s="149"/>
      <c r="U2783" s="149"/>
      <c r="V2783" s="149"/>
      <c r="W2783" s="149"/>
      <c r="X2783" s="149"/>
      <c r="Y2783" s="149"/>
      <c r="Z2783" s="149"/>
      <c r="AA2783" s="149"/>
      <c r="AB2783" s="149"/>
      <c r="AC2783" s="149"/>
      <c r="AD2783" s="149"/>
      <c r="AE2783" s="149"/>
      <c r="AF2783" s="149"/>
      <c r="AG2783" s="149"/>
      <c r="AH2783" s="149"/>
      <c r="AI2783" s="149"/>
      <c r="AJ2783" s="149"/>
      <c r="AK2783" s="149"/>
      <c r="AL2783" s="149"/>
      <c r="AM2783" s="149"/>
      <c r="AN2783" s="149"/>
      <c r="AO2783" s="128"/>
      <c r="AP2783" s="128"/>
      <c r="AQ2783" s="128"/>
      <c r="AR2783" s="128"/>
      <c r="AS2783" s="128"/>
      <c r="AT2783" s="128"/>
      <c r="AU2783" s="128"/>
      <c r="AV2783" s="128"/>
      <c r="AW2783" s="128"/>
      <c r="AX2783" s="128"/>
      <c r="AY2783" s="128"/>
      <c r="AZ2783" s="128"/>
      <c r="BA2783" s="128"/>
      <c r="BB2783" s="128"/>
      <c r="BC2783" s="128"/>
      <c r="BD2783" s="128"/>
      <c r="BE2783" s="128"/>
      <c r="BF2783" s="128"/>
      <c r="BG2783" s="128"/>
      <c r="BH2783" s="128"/>
      <c r="BI2783" s="128"/>
      <c r="BJ2783" s="128"/>
      <c r="BK2783" s="128"/>
      <c r="BL2783" s="128"/>
      <c r="BM2783" s="151"/>
      <c r="BN2783" s="128"/>
      <c r="BO2783" s="128"/>
      <c r="BP2783" s="128"/>
      <c r="BQ2783" s="128"/>
      <c r="BR2783" s="128"/>
      <c r="BS2783" s="128"/>
      <c r="BT2783" s="128"/>
      <c r="BU2783" s="128"/>
      <c r="BV2783" s="128"/>
      <c r="BW2783" s="128"/>
      <c r="BX2783" s="128"/>
      <c r="BY2783" s="128"/>
      <c r="BZ2783" s="128"/>
      <c r="CA2783" s="128"/>
      <c r="CB2783" s="128"/>
      <c r="CC2783" s="128"/>
      <c r="CD2783" s="128"/>
      <c r="CE2783" s="128"/>
      <c r="CF2783" s="128"/>
      <c r="CG2783" s="128"/>
      <c r="CI2783" s="128"/>
      <c r="CJ2783" s="128"/>
      <c r="CK2783" s="128"/>
      <c r="CL2783" s="128"/>
      <c r="CM2783" s="128"/>
      <c r="CN2783" s="128"/>
      <c r="CO2783" s="128"/>
      <c r="CP2783" s="128"/>
      <c r="CQ2783" s="128"/>
      <c r="CR2783" s="128"/>
      <c r="CS2783" s="128"/>
      <c r="CT2783" s="128"/>
      <c r="CU2783" s="128"/>
      <c r="CV2783" s="128"/>
      <c r="CW2783" s="128"/>
      <c r="CX2783" s="128"/>
      <c r="CY2783" s="128"/>
      <c r="CZ2783" s="165"/>
    </row>
    <row r="2784" spans="1:104">
      <c r="A2784" s="149"/>
      <c r="B2784" s="149"/>
      <c r="C2784" s="150"/>
      <c r="D2784" s="102"/>
      <c r="E2784" s="149"/>
      <c r="F2784" s="149"/>
      <c r="G2784" s="149"/>
      <c r="H2784" s="149"/>
      <c r="I2784" s="149"/>
      <c r="J2784" s="149"/>
      <c r="K2784" s="149"/>
      <c r="L2784" s="149"/>
      <c r="M2784" s="149"/>
      <c r="N2784" s="149"/>
      <c r="O2784" s="149"/>
      <c r="P2784" s="149"/>
      <c r="Q2784" s="149"/>
      <c r="R2784" s="149"/>
      <c r="S2784" s="149"/>
      <c r="T2784" s="149"/>
      <c r="U2784" s="149"/>
      <c r="V2784" s="149"/>
      <c r="W2784" s="149"/>
      <c r="X2784" s="149"/>
      <c r="Y2784" s="149"/>
      <c r="Z2784" s="149"/>
      <c r="AA2784" s="149"/>
      <c r="AB2784" s="149"/>
      <c r="AC2784" s="149"/>
      <c r="AD2784" s="149"/>
      <c r="AE2784" s="149"/>
      <c r="AF2784" s="149"/>
      <c r="AG2784" s="149"/>
      <c r="AH2784" s="149"/>
      <c r="AI2784" s="149"/>
      <c r="AJ2784" s="149"/>
      <c r="AK2784" s="149"/>
      <c r="AL2784" s="149"/>
      <c r="AM2784" s="149"/>
      <c r="AN2784" s="149"/>
      <c r="AO2784" s="128"/>
      <c r="AP2784" s="128"/>
      <c r="AQ2784" s="128"/>
      <c r="AR2784" s="128"/>
      <c r="AS2784" s="128"/>
      <c r="AT2784" s="128"/>
      <c r="AU2784" s="128"/>
      <c r="AV2784" s="128"/>
      <c r="AW2784" s="128"/>
      <c r="AX2784" s="128"/>
      <c r="AY2784" s="128"/>
      <c r="AZ2784" s="128"/>
      <c r="BA2784" s="128"/>
      <c r="BB2784" s="128"/>
      <c r="BC2784" s="128"/>
      <c r="BD2784" s="128"/>
      <c r="BE2784" s="128"/>
      <c r="BF2784" s="128"/>
      <c r="BG2784" s="128"/>
      <c r="BH2784" s="128"/>
      <c r="BI2784" s="128"/>
      <c r="BJ2784" s="128"/>
      <c r="BK2784" s="128"/>
      <c r="BL2784" s="128"/>
      <c r="BM2784" s="151"/>
      <c r="BN2784" s="128"/>
      <c r="BO2784" s="128"/>
      <c r="BP2784" s="128"/>
      <c r="BQ2784" s="128"/>
      <c r="BR2784" s="128"/>
      <c r="BS2784" s="128"/>
      <c r="BT2784" s="128"/>
      <c r="BU2784" s="128"/>
      <c r="BV2784" s="128"/>
      <c r="BW2784" s="128"/>
      <c r="BX2784" s="128"/>
      <c r="BY2784" s="128"/>
      <c r="BZ2784" s="128"/>
      <c r="CA2784" s="128"/>
      <c r="CB2784" s="128"/>
      <c r="CC2784" s="128"/>
      <c r="CD2784" s="128"/>
      <c r="CE2784" s="128"/>
      <c r="CF2784" s="128"/>
      <c r="CG2784" s="128"/>
      <c r="CI2784" s="128"/>
      <c r="CJ2784" s="128"/>
      <c r="CK2784" s="128"/>
      <c r="CL2784" s="128"/>
      <c r="CM2784" s="128"/>
      <c r="CN2784" s="128"/>
      <c r="CO2784" s="128"/>
      <c r="CP2784" s="128"/>
      <c r="CQ2784" s="128"/>
      <c r="CR2784" s="128"/>
      <c r="CS2784" s="128"/>
      <c r="CT2784" s="128"/>
      <c r="CU2784" s="128"/>
      <c r="CV2784" s="128"/>
      <c r="CW2784" s="128"/>
      <c r="CX2784" s="128"/>
      <c r="CY2784" s="128"/>
      <c r="CZ2784" s="165"/>
    </row>
    <row r="2785" spans="1:104">
      <c r="A2785" s="149"/>
      <c r="B2785" s="149"/>
      <c r="C2785" s="150"/>
      <c r="D2785" s="102"/>
      <c r="E2785" s="149"/>
      <c r="F2785" s="149"/>
      <c r="G2785" s="149"/>
      <c r="H2785" s="149"/>
      <c r="I2785" s="149"/>
      <c r="J2785" s="149"/>
      <c r="K2785" s="149"/>
      <c r="L2785" s="149"/>
      <c r="M2785" s="149"/>
      <c r="N2785" s="149"/>
      <c r="O2785" s="149"/>
      <c r="P2785" s="149"/>
      <c r="Q2785" s="149"/>
      <c r="R2785" s="149"/>
      <c r="S2785" s="149"/>
      <c r="T2785" s="149"/>
      <c r="U2785" s="149"/>
      <c r="V2785" s="149"/>
      <c r="W2785" s="149"/>
      <c r="X2785" s="149"/>
      <c r="Y2785" s="149"/>
      <c r="Z2785" s="149"/>
      <c r="AA2785" s="149"/>
      <c r="AB2785" s="149"/>
      <c r="AC2785" s="149"/>
      <c r="AD2785" s="149"/>
      <c r="AE2785" s="149"/>
      <c r="AF2785" s="149"/>
      <c r="AG2785" s="149"/>
      <c r="AH2785" s="149"/>
      <c r="AI2785" s="149"/>
      <c r="AJ2785" s="149"/>
      <c r="AK2785" s="149"/>
      <c r="AL2785" s="149"/>
      <c r="AM2785" s="149"/>
      <c r="AN2785" s="149"/>
      <c r="AO2785" s="128"/>
      <c r="AP2785" s="128"/>
      <c r="AQ2785" s="128"/>
      <c r="AR2785" s="128"/>
      <c r="AS2785" s="128"/>
      <c r="AT2785" s="128"/>
      <c r="AU2785" s="128"/>
      <c r="AV2785" s="128"/>
      <c r="AW2785" s="128"/>
      <c r="AX2785" s="128"/>
      <c r="AY2785" s="128"/>
      <c r="AZ2785" s="128"/>
      <c r="BA2785" s="128"/>
      <c r="BB2785" s="128"/>
      <c r="BC2785" s="128"/>
      <c r="BD2785" s="128"/>
      <c r="BE2785" s="128"/>
      <c r="BF2785" s="128"/>
      <c r="BG2785" s="128"/>
      <c r="BH2785" s="128"/>
      <c r="BI2785" s="128"/>
      <c r="BJ2785" s="128"/>
      <c r="BK2785" s="128"/>
      <c r="BL2785" s="128"/>
      <c r="BM2785" s="151"/>
      <c r="BN2785" s="128"/>
      <c r="BO2785" s="128"/>
      <c r="BP2785" s="128"/>
      <c r="BQ2785" s="128"/>
      <c r="BR2785" s="128"/>
      <c r="BS2785" s="128"/>
      <c r="BT2785" s="128"/>
      <c r="BU2785" s="128"/>
      <c r="BV2785" s="128"/>
      <c r="BW2785" s="128"/>
      <c r="BX2785" s="128"/>
      <c r="BY2785" s="128"/>
      <c r="BZ2785" s="128"/>
      <c r="CA2785" s="128"/>
      <c r="CB2785" s="128"/>
      <c r="CC2785" s="128"/>
      <c r="CD2785" s="128"/>
      <c r="CE2785" s="128"/>
      <c r="CF2785" s="128"/>
      <c r="CG2785" s="128"/>
      <c r="CI2785" s="128"/>
      <c r="CJ2785" s="128"/>
      <c r="CK2785" s="128"/>
      <c r="CL2785" s="128"/>
      <c r="CM2785" s="128"/>
      <c r="CN2785" s="128"/>
      <c r="CO2785" s="128"/>
      <c r="CP2785" s="128"/>
      <c r="CQ2785" s="128"/>
      <c r="CR2785" s="128"/>
      <c r="CS2785" s="128"/>
      <c r="CT2785" s="128"/>
      <c r="CU2785" s="128"/>
      <c r="CV2785" s="128"/>
      <c r="CW2785" s="128"/>
      <c r="CX2785" s="128"/>
      <c r="CY2785" s="128"/>
      <c r="CZ2785" s="165"/>
    </row>
    <row r="2786" spans="1:104">
      <c r="A2786" s="149"/>
      <c r="B2786" s="149"/>
      <c r="C2786" s="150"/>
      <c r="D2786" s="102"/>
      <c r="E2786" s="149"/>
      <c r="F2786" s="149"/>
      <c r="G2786" s="149"/>
      <c r="H2786" s="149"/>
      <c r="I2786" s="149"/>
      <c r="J2786" s="149"/>
      <c r="K2786" s="149"/>
      <c r="L2786" s="149"/>
      <c r="M2786" s="149"/>
      <c r="N2786" s="149"/>
      <c r="O2786" s="149"/>
      <c r="P2786" s="149"/>
      <c r="Q2786" s="149"/>
      <c r="R2786" s="149"/>
      <c r="S2786" s="149"/>
      <c r="T2786" s="149"/>
      <c r="U2786" s="149"/>
      <c r="V2786" s="149"/>
      <c r="W2786" s="149"/>
      <c r="X2786" s="149"/>
      <c r="Y2786" s="149"/>
      <c r="Z2786" s="149"/>
      <c r="AA2786" s="149"/>
      <c r="AB2786" s="149"/>
      <c r="AC2786" s="149"/>
      <c r="AD2786" s="149"/>
      <c r="AE2786" s="149"/>
      <c r="AF2786" s="149"/>
      <c r="AG2786" s="149"/>
      <c r="AH2786" s="149"/>
      <c r="AI2786" s="149"/>
      <c r="AJ2786" s="149"/>
      <c r="AK2786" s="149"/>
      <c r="AL2786" s="149"/>
      <c r="AM2786" s="149"/>
      <c r="AN2786" s="149"/>
      <c r="AO2786" s="128"/>
      <c r="AP2786" s="128"/>
      <c r="AQ2786" s="128"/>
      <c r="AR2786" s="128"/>
      <c r="AS2786" s="128"/>
      <c r="AT2786" s="128"/>
      <c r="AU2786" s="128"/>
      <c r="AV2786" s="128"/>
      <c r="AW2786" s="128"/>
      <c r="AX2786" s="128"/>
      <c r="AY2786" s="128"/>
      <c r="AZ2786" s="128"/>
      <c r="BA2786" s="128"/>
      <c r="BB2786" s="128"/>
      <c r="BC2786" s="128"/>
      <c r="BD2786" s="128"/>
      <c r="BE2786" s="128"/>
      <c r="BF2786" s="128"/>
      <c r="BG2786" s="128"/>
      <c r="BH2786" s="128"/>
      <c r="BI2786" s="128"/>
      <c r="BJ2786" s="128"/>
      <c r="BK2786" s="128"/>
      <c r="BL2786" s="128"/>
      <c r="BM2786" s="151"/>
      <c r="BN2786" s="128"/>
      <c r="BO2786" s="128"/>
      <c r="BP2786" s="128"/>
      <c r="BQ2786" s="128"/>
      <c r="BR2786" s="128"/>
      <c r="BS2786" s="128"/>
      <c r="BT2786" s="128"/>
      <c r="BU2786" s="128"/>
      <c r="BV2786" s="128"/>
      <c r="BW2786" s="128"/>
      <c r="BX2786" s="128"/>
      <c r="BY2786" s="128"/>
      <c r="BZ2786" s="128"/>
      <c r="CA2786" s="128"/>
      <c r="CB2786" s="128"/>
      <c r="CC2786" s="128"/>
      <c r="CD2786" s="128"/>
      <c r="CE2786" s="128"/>
      <c r="CF2786" s="128"/>
      <c r="CG2786" s="128"/>
      <c r="CI2786" s="128"/>
      <c r="CJ2786" s="128"/>
      <c r="CK2786" s="128"/>
      <c r="CL2786" s="128"/>
      <c r="CM2786" s="128"/>
      <c r="CN2786" s="128"/>
      <c r="CO2786" s="128"/>
      <c r="CP2786" s="128"/>
      <c r="CQ2786" s="128"/>
      <c r="CR2786" s="128"/>
      <c r="CS2786" s="128"/>
      <c r="CT2786" s="128"/>
      <c r="CU2786" s="128"/>
      <c r="CV2786" s="128"/>
      <c r="CW2786" s="128"/>
      <c r="CX2786" s="128"/>
      <c r="CY2786" s="128"/>
      <c r="CZ2786" s="165"/>
    </row>
    <row r="2787" spans="1:104">
      <c r="A2787" s="149"/>
      <c r="B2787" s="149"/>
      <c r="C2787" s="150"/>
      <c r="D2787" s="102"/>
      <c r="E2787" s="149"/>
      <c r="F2787" s="149"/>
      <c r="G2787" s="149"/>
      <c r="H2787" s="149"/>
      <c r="I2787" s="149"/>
      <c r="J2787" s="149"/>
      <c r="K2787" s="149"/>
      <c r="L2787" s="149"/>
      <c r="M2787" s="149"/>
      <c r="N2787" s="149"/>
      <c r="O2787" s="149"/>
      <c r="P2787" s="149"/>
      <c r="Q2787" s="149"/>
      <c r="R2787" s="149"/>
      <c r="S2787" s="149"/>
      <c r="T2787" s="149"/>
      <c r="U2787" s="149"/>
      <c r="V2787" s="149"/>
      <c r="W2787" s="149"/>
      <c r="X2787" s="149"/>
      <c r="Y2787" s="149"/>
      <c r="Z2787" s="149"/>
      <c r="AA2787" s="149"/>
      <c r="AB2787" s="149"/>
      <c r="AC2787" s="149"/>
      <c r="AD2787" s="149"/>
      <c r="AE2787" s="149"/>
      <c r="AF2787" s="149"/>
      <c r="AG2787" s="149"/>
      <c r="AH2787" s="149"/>
      <c r="AI2787" s="149"/>
      <c r="AJ2787" s="149"/>
      <c r="AK2787" s="149"/>
      <c r="AL2787" s="149"/>
      <c r="AM2787" s="149"/>
      <c r="AN2787" s="149"/>
      <c r="AO2787" s="128"/>
      <c r="AP2787" s="128"/>
      <c r="AQ2787" s="128"/>
      <c r="AR2787" s="128"/>
      <c r="AS2787" s="128"/>
      <c r="AT2787" s="128"/>
      <c r="AU2787" s="128"/>
      <c r="AV2787" s="128"/>
      <c r="AW2787" s="128"/>
      <c r="AX2787" s="128"/>
      <c r="AY2787" s="128"/>
      <c r="AZ2787" s="128"/>
      <c r="BA2787" s="128"/>
      <c r="BB2787" s="128"/>
      <c r="BC2787" s="128"/>
      <c r="BD2787" s="128"/>
      <c r="BE2787" s="128"/>
      <c r="BF2787" s="128"/>
      <c r="BG2787" s="128"/>
      <c r="BH2787" s="128"/>
      <c r="BI2787" s="128"/>
      <c r="BJ2787" s="128"/>
      <c r="BK2787" s="128"/>
      <c r="BL2787" s="128"/>
      <c r="BM2787" s="151"/>
      <c r="BN2787" s="128"/>
      <c r="BO2787" s="128"/>
      <c r="BP2787" s="128"/>
      <c r="BQ2787" s="128"/>
      <c r="BR2787" s="128"/>
      <c r="BS2787" s="128"/>
      <c r="BT2787" s="128"/>
      <c r="BU2787" s="128"/>
      <c r="BV2787" s="128"/>
      <c r="BW2787" s="128"/>
      <c r="BX2787" s="128"/>
      <c r="BY2787" s="128"/>
      <c r="BZ2787" s="128"/>
      <c r="CA2787" s="128"/>
      <c r="CB2787" s="128"/>
      <c r="CC2787" s="128"/>
      <c r="CD2787" s="128"/>
      <c r="CE2787" s="128"/>
      <c r="CF2787" s="128"/>
      <c r="CG2787" s="128"/>
      <c r="CI2787" s="128"/>
      <c r="CJ2787" s="128"/>
      <c r="CK2787" s="128"/>
      <c r="CL2787" s="128"/>
      <c r="CM2787" s="128"/>
      <c r="CN2787" s="128"/>
      <c r="CO2787" s="128"/>
      <c r="CP2787" s="128"/>
      <c r="CQ2787" s="128"/>
      <c r="CR2787" s="128"/>
      <c r="CS2787" s="128"/>
      <c r="CT2787" s="128"/>
      <c r="CU2787" s="128"/>
      <c r="CV2787" s="128"/>
      <c r="CW2787" s="128"/>
      <c r="CX2787" s="128"/>
      <c r="CY2787" s="128"/>
      <c r="CZ2787" s="165"/>
    </row>
    <row r="2788" spans="1:104">
      <c r="A2788" s="149"/>
      <c r="B2788" s="149"/>
      <c r="C2788" s="150"/>
      <c r="D2788" s="102"/>
      <c r="E2788" s="149"/>
      <c r="F2788" s="149"/>
      <c r="G2788" s="149"/>
      <c r="H2788" s="149"/>
      <c r="I2788" s="149"/>
      <c r="J2788" s="149"/>
      <c r="K2788" s="149"/>
      <c r="L2788" s="149"/>
      <c r="M2788" s="149"/>
      <c r="N2788" s="149"/>
      <c r="O2788" s="149"/>
      <c r="P2788" s="149"/>
      <c r="Q2788" s="149"/>
      <c r="R2788" s="149"/>
      <c r="S2788" s="149"/>
      <c r="T2788" s="149"/>
      <c r="U2788" s="149"/>
      <c r="V2788" s="149"/>
      <c r="W2788" s="149"/>
      <c r="X2788" s="149"/>
      <c r="Y2788" s="149"/>
      <c r="Z2788" s="149"/>
      <c r="AA2788" s="149"/>
      <c r="AB2788" s="149"/>
      <c r="AC2788" s="149"/>
      <c r="AD2788" s="149"/>
      <c r="AE2788" s="149"/>
      <c r="AF2788" s="149"/>
      <c r="AG2788" s="149"/>
      <c r="AH2788" s="149"/>
      <c r="AI2788" s="149"/>
      <c r="AJ2788" s="149"/>
      <c r="AK2788" s="149"/>
      <c r="AL2788" s="149"/>
      <c r="AM2788" s="149"/>
      <c r="AN2788" s="149"/>
      <c r="AO2788" s="128"/>
      <c r="AP2788" s="128"/>
      <c r="AQ2788" s="128"/>
      <c r="AR2788" s="128"/>
      <c r="AS2788" s="128"/>
      <c r="AT2788" s="128"/>
      <c r="AU2788" s="128"/>
      <c r="AV2788" s="128"/>
      <c r="AW2788" s="128"/>
      <c r="AX2788" s="128"/>
      <c r="AY2788" s="128"/>
      <c r="AZ2788" s="128"/>
      <c r="BA2788" s="128"/>
      <c r="BB2788" s="128"/>
      <c r="BC2788" s="128"/>
      <c r="BD2788" s="128"/>
      <c r="BE2788" s="128"/>
      <c r="BF2788" s="128"/>
      <c r="BG2788" s="128"/>
      <c r="BH2788" s="128"/>
      <c r="BI2788" s="128"/>
      <c r="BJ2788" s="128"/>
      <c r="BK2788" s="128"/>
      <c r="BL2788" s="128"/>
      <c r="BM2788" s="151"/>
      <c r="BN2788" s="128"/>
      <c r="BO2788" s="128"/>
      <c r="BP2788" s="128"/>
      <c r="BQ2788" s="128"/>
      <c r="BR2788" s="128"/>
      <c r="BS2788" s="128"/>
      <c r="BT2788" s="128"/>
      <c r="BU2788" s="128"/>
      <c r="BV2788" s="128"/>
      <c r="BW2788" s="128"/>
      <c r="BX2788" s="128"/>
      <c r="BY2788" s="128"/>
      <c r="BZ2788" s="128"/>
      <c r="CA2788" s="128"/>
      <c r="CB2788" s="128"/>
      <c r="CC2788" s="128"/>
      <c r="CD2788" s="128"/>
      <c r="CE2788" s="128"/>
      <c r="CF2788" s="128"/>
      <c r="CG2788" s="128"/>
      <c r="CI2788" s="128"/>
      <c r="CJ2788" s="128"/>
      <c r="CK2788" s="128"/>
      <c r="CL2788" s="128"/>
      <c r="CM2788" s="128"/>
      <c r="CN2788" s="128"/>
      <c r="CO2788" s="128"/>
      <c r="CP2788" s="128"/>
      <c r="CQ2788" s="128"/>
      <c r="CR2788" s="128"/>
      <c r="CS2788" s="128"/>
      <c r="CT2788" s="128"/>
      <c r="CU2788" s="128"/>
      <c r="CV2788" s="128"/>
      <c r="CW2788" s="128"/>
      <c r="CX2788" s="128"/>
      <c r="CY2788" s="128"/>
      <c r="CZ2788" s="165"/>
    </row>
    <row r="2789" spans="1:104">
      <c r="A2789" s="149"/>
      <c r="B2789" s="149"/>
      <c r="C2789" s="150"/>
      <c r="D2789" s="102"/>
      <c r="E2789" s="149"/>
      <c r="F2789" s="149"/>
      <c r="G2789" s="149"/>
      <c r="H2789" s="149"/>
      <c r="I2789" s="149"/>
      <c r="J2789" s="149"/>
      <c r="K2789" s="149"/>
      <c r="L2789" s="149"/>
      <c r="M2789" s="149"/>
      <c r="N2789" s="149"/>
      <c r="O2789" s="149"/>
      <c r="P2789" s="149"/>
      <c r="Q2789" s="149"/>
      <c r="R2789" s="149"/>
      <c r="S2789" s="149"/>
      <c r="T2789" s="149"/>
      <c r="U2789" s="149"/>
      <c r="V2789" s="149"/>
      <c r="W2789" s="149"/>
      <c r="X2789" s="149"/>
      <c r="Y2789" s="149"/>
      <c r="Z2789" s="149"/>
      <c r="AA2789" s="149"/>
      <c r="AB2789" s="149"/>
      <c r="AC2789" s="149"/>
      <c r="AD2789" s="149"/>
      <c r="AE2789" s="149"/>
      <c r="AF2789" s="149"/>
      <c r="AG2789" s="149"/>
      <c r="AH2789" s="149"/>
      <c r="AI2789" s="149"/>
      <c r="AJ2789" s="149"/>
      <c r="AK2789" s="149"/>
      <c r="AL2789" s="149"/>
      <c r="AM2789" s="149"/>
      <c r="AN2789" s="149"/>
      <c r="AO2789" s="128"/>
      <c r="AP2789" s="128"/>
      <c r="AQ2789" s="128"/>
      <c r="AR2789" s="128"/>
      <c r="AS2789" s="128"/>
      <c r="AT2789" s="128"/>
      <c r="AU2789" s="128"/>
      <c r="AV2789" s="128"/>
      <c r="AW2789" s="128"/>
      <c r="AX2789" s="128"/>
      <c r="AY2789" s="128"/>
      <c r="AZ2789" s="128"/>
      <c r="BA2789" s="128"/>
      <c r="BB2789" s="128"/>
      <c r="BC2789" s="128"/>
      <c r="BD2789" s="128"/>
      <c r="BE2789" s="128"/>
      <c r="BF2789" s="128"/>
      <c r="BG2789" s="128"/>
      <c r="BH2789" s="128"/>
      <c r="BI2789" s="128"/>
      <c r="BJ2789" s="128"/>
      <c r="BK2789" s="128"/>
      <c r="BL2789" s="128"/>
      <c r="BM2789" s="151"/>
      <c r="BN2789" s="128"/>
      <c r="BO2789" s="128"/>
      <c r="BP2789" s="128"/>
      <c r="BQ2789" s="128"/>
      <c r="BR2789" s="128"/>
      <c r="BS2789" s="128"/>
      <c r="BT2789" s="128"/>
      <c r="BU2789" s="128"/>
      <c r="BV2789" s="128"/>
      <c r="BW2789" s="128"/>
      <c r="BX2789" s="128"/>
      <c r="BY2789" s="128"/>
      <c r="BZ2789" s="128"/>
      <c r="CA2789" s="128"/>
      <c r="CB2789" s="128"/>
      <c r="CC2789" s="128"/>
      <c r="CD2789" s="128"/>
      <c r="CE2789" s="128"/>
      <c r="CF2789" s="128"/>
      <c r="CG2789" s="128"/>
      <c r="CI2789" s="128"/>
      <c r="CJ2789" s="128"/>
      <c r="CK2789" s="128"/>
      <c r="CL2789" s="128"/>
      <c r="CM2789" s="128"/>
      <c r="CN2789" s="128"/>
      <c r="CO2789" s="128"/>
      <c r="CP2789" s="128"/>
      <c r="CQ2789" s="128"/>
      <c r="CR2789" s="128"/>
      <c r="CS2789" s="128"/>
      <c r="CT2789" s="128"/>
      <c r="CU2789" s="128"/>
      <c r="CV2789" s="128"/>
      <c r="CW2789" s="128"/>
      <c r="CX2789" s="128"/>
      <c r="CY2789" s="128"/>
      <c r="CZ2789" s="165"/>
    </row>
    <row r="2790" spans="1:104">
      <c r="A2790" s="149"/>
      <c r="B2790" s="149"/>
      <c r="C2790" s="150"/>
      <c r="D2790" s="102"/>
      <c r="E2790" s="149"/>
      <c r="F2790" s="149"/>
      <c r="G2790" s="149"/>
      <c r="H2790" s="149"/>
      <c r="I2790" s="149"/>
      <c r="J2790" s="149"/>
      <c r="K2790" s="149"/>
      <c r="L2790" s="149"/>
      <c r="M2790" s="149"/>
      <c r="N2790" s="149"/>
      <c r="O2790" s="149"/>
      <c r="P2790" s="149"/>
      <c r="Q2790" s="149"/>
      <c r="R2790" s="149"/>
      <c r="S2790" s="149"/>
      <c r="T2790" s="149"/>
      <c r="U2790" s="149"/>
      <c r="V2790" s="149"/>
      <c r="W2790" s="149"/>
      <c r="X2790" s="149"/>
      <c r="Y2790" s="149"/>
      <c r="Z2790" s="149"/>
      <c r="AA2790" s="149"/>
      <c r="AB2790" s="149"/>
      <c r="AC2790" s="149"/>
      <c r="AD2790" s="149"/>
      <c r="AE2790" s="149"/>
      <c r="AF2790" s="149"/>
      <c r="AG2790" s="149"/>
      <c r="AH2790" s="149"/>
      <c r="AI2790" s="149"/>
      <c r="AJ2790" s="149"/>
      <c r="AK2790" s="149"/>
      <c r="AL2790" s="149"/>
      <c r="AM2790" s="149"/>
      <c r="AN2790" s="149"/>
      <c r="AO2790" s="128"/>
      <c r="AP2790" s="128"/>
      <c r="AQ2790" s="128"/>
      <c r="AR2790" s="128"/>
      <c r="AS2790" s="128"/>
      <c r="AT2790" s="128"/>
      <c r="AU2790" s="128"/>
      <c r="AV2790" s="128"/>
      <c r="AW2790" s="128"/>
      <c r="AX2790" s="128"/>
      <c r="AY2790" s="128"/>
      <c r="AZ2790" s="128"/>
      <c r="BA2790" s="128"/>
      <c r="BB2790" s="128"/>
      <c r="BC2790" s="128"/>
      <c r="BD2790" s="128"/>
      <c r="BE2790" s="128"/>
      <c r="BF2790" s="128"/>
      <c r="BG2790" s="128"/>
      <c r="BH2790" s="128"/>
      <c r="BI2790" s="128"/>
      <c r="BJ2790" s="128"/>
      <c r="BK2790" s="128"/>
      <c r="BL2790" s="128"/>
      <c r="BM2790" s="151"/>
      <c r="BN2790" s="128"/>
      <c r="BO2790" s="128"/>
      <c r="BP2790" s="128"/>
      <c r="BQ2790" s="128"/>
      <c r="BR2790" s="128"/>
      <c r="BS2790" s="128"/>
      <c r="BT2790" s="128"/>
      <c r="BU2790" s="128"/>
      <c r="BV2790" s="128"/>
      <c r="BW2790" s="128"/>
      <c r="BX2790" s="128"/>
      <c r="BY2790" s="128"/>
      <c r="BZ2790" s="128"/>
      <c r="CA2790" s="128"/>
      <c r="CB2790" s="128"/>
      <c r="CC2790" s="128"/>
      <c r="CD2790" s="128"/>
      <c r="CE2790" s="128"/>
      <c r="CF2790" s="128"/>
      <c r="CG2790" s="128"/>
      <c r="CI2790" s="128"/>
      <c r="CJ2790" s="128"/>
      <c r="CK2790" s="128"/>
      <c r="CL2790" s="128"/>
      <c r="CM2790" s="128"/>
      <c r="CN2790" s="128"/>
      <c r="CO2790" s="128"/>
      <c r="CP2790" s="128"/>
      <c r="CQ2790" s="128"/>
      <c r="CR2790" s="128"/>
      <c r="CS2790" s="128"/>
      <c r="CT2790" s="128"/>
      <c r="CU2790" s="128"/>
      <c r="CV2790" s="128"/>
      <c r="CW2790" s="128"/>
      <c r="CX2790" s="128"/>
      <c r="CY2790" s="128"/>
      <c r="CZ2790" s="165"/>
    </row>
    <row r="2791" spans="1:104">
      <c r="A2791" s="149"/>
      <c r="B2791" s="149"/>
      <c r="C2791" s="150"/>
      <c r="D2791" s="102"/>
      <c r="E2791" s="149"/>
      <c r="F2791" s="149"/>
      <c r="G2791" s="149"/>
      <c r="H2791" s="149"/>
      <c r="I2791" s="149"/>
      <c r="J2791" s="149"/>
      <c r="K2791" s="149"/>
      <c r="L2791" s="149"/>
      <c r="M2791" s="149"/>
      <c r="N2791" s="149"/>
      <c r="O2791" s="149"/>
      <c r="P2791" s="149"/>
      <c r="Q2791" s="149"/>
      <c r="R2791" s="149"/>
      <c r="S2791" s="149"/>
      <c r="T2791" s="149"/>
      <c r="U2791" s="149"/>
      <c r="V2791" s="149"/>
      <c r="W2791" s="149"/>
      <c r="X2791" s="149"/>
      <c r="Y2791" s="149"/>
      <c r="Z2791" s="149"/>
      <c r="AA2791" s="149"/>
      <c r="AB2791" s="149"/>
      <c r="AC2791" s="149"/>
      <c r="AD2791" s="149"/>
      <c r="AE2791" s="149"/>
      <c r="AF2791" s="149"/>
      <c r="AG2791" s="149"/>
      <c r="AH2791" s="149"/>
      <c r="AI2791" s="149"/>
      <c r="AJ2791" s="149"/>
      <c r="AK2791" s="149"/>
      <c r="AL2791" s="149"/>
      <c r="AM2791" s="149"/>
      <c r="AN2791" s="149"/>
      <c r="AO2791" s="128"/>
      <c r="AP2791" s="128"/>
      <c r="AQ2791" s="128"/>
      <c r="AR2791" s="128"/>
      <c r="AS2791" s="128"/>
      <c r="AT2791" s="128"/>
      <c r="AU2791" s="128"/>
      <c r="AV2791" s="128"/>
      <c r="AW2791" s="128"/>
      <c r="AX2791" s="128"/>
      <c r="AY2791" s="128"/>
      <c r="AZ2791" s="128"/>
      <c r="BA2791" s="128"/>
      <c r="BB2791" s="128"/>
      <c r="BC2791" s="128"/>
      <c r="BD2791" s="128"/>
      <c r="BE2791" s="128"/>
      <c r="BF2791" s="128"/>
      <c r="BG2791" s="128"/>
      <c r="BH2791" s="128"/>
      <c r="BI2791" s="128"/>
      <c r="BJ2791" s="128"/>
      <c r="BK2791" s="128"/>
      <c r="BL2791" s="128"/>
      <c r="BM2791" s="151"/>
      <c r="BN2791" s="128"/>
      <c r="BO2791" s="128"/>
      <c r="BP2791" s="128"/>
      <c r="BQ2791" s="128"/>
      <c r="BR2791" s="128"/>
      <c r="BS2791" s="128"/>
      <c r="BT2791" s="128"/>
      <c r="BU2791" s="128"/>
      <c r="BV2791" s="128"/>
      <c r="BW2791" s="128"/>
      <c r="BX2791" s="128"/>
      <c r="BY2791" s="128"/>
      <c r="BZ2791" s="128"/>
      <c r="CA2791" s="128"/>
      <c r="CB2791" s="128"/>
      <c r="CC2791" s="128"/>
      <c r="CD2791" s="128"/>
      <c r="CE2791" s="128"/>
      <c r="CF2791" s="128"/>
      <c r="CG2791" s="128"/>
      <c r="CI2791" s="128"/>
      <c r="CJ2791" s="128"/>
      <c r="CK2791" s="128"/>
      <c r="CL2791" s="128"/>
      <c r="CM2791" s="128"/>
      <c r="CN2791" s="128"/>
      <c r="CO2791" s="128"/>
      <c r="CP2791" s="128"/>
      <c r="CQ2791" s="128"/>
      <c r="CR2791" s="128"/>
      <c r="CS2791" s="128"/>
      <c r="CT2791" s="128"/>
      <c r="CU2791" s="128"/>
      <c r="CV2791" s="128"/>
      <c r="CW2791" s="128"/>
      <c r="CX2791" s="128"/>
      <c r="CY2791" s="128"/>
      <c r="CZ2791" s="165"/>
    </row>
    <row r="2792" spans="1:104">
      <c r="A2792" s="149"/>
      <c r="B2792" s="149"/>
      <c r="C2792" s="150"/>
      <c r="D2792" s="102"/>
      <c r="E2792" s="149"/>
      <c r="F2792" s="149"/>
      <c r="G2792" s="149"/>
      <c r="H2792" s="149"/>
      <c r="I2792" s="149"/>
      <c r="J2792" s="149"/>
      <c r="K2792" s="149"/>
      <c r="L2792" s="149"/>
      <c r="M2792" s="149"/>
      <c r="N2792" s="149"/>
      <c r="O2792" s="149"/>
      <c r="P2792" s="149"/>
      <c r="Q2792" s="149"/>
      <c r="R2792" s="149"/>
      <c r="S2792" s="149"/>
      <c r="T2792" s="149"/>
      <c r="U2792" s="149"/>
      <c r="V2792" s="149"/>
      <c r="W2792" s="149"/>
      <c r="X2792" s="149"/>
      <c r="Y2792" s="149"/>
      <c r="Z2792" s="149"/>
      <c r="AA2792" s="149"/>
      <c r="AB2792" s="149"/>
      <c r="AC2792" s="149"/>
      <c r="AD2792" s="149"/>
      <c r="AE2792" s="149"/>
      <c r="AF2792" s="149"/>
      <c r="AG2792" s="149"/>
      <c r="AH2792" s="149"/>
      <c r="AI2792" s="149"/>
      <c r="AJ2792" s="149"/>
      <c r="AK2792" s="149"/>
      <c r="AL2792" s="149"/>
      <c r="AM2792" s="149"/>
      <c r="AN2792" s="149"/>
      <c r="AO2792" s="128"/>
      <c r="AP2792" s="128"/>
      <c r="AQ2792" s="128"/>
      <c r="AR2792" s="128"/>
      <c r="AS2792" s="128"/>
      <c r="AT2792" s="128"/>
      <c r="AU2792" s="128"/>
      <c r="AV2792" s="128"/>
      <c r="AW2792" s="128"/>
      <c r="AX2792" s="128"/>
      <c r="AY2792" s="128"/>
      <c r="AZ2792" s="128"/>
      <c r="BA2792" s="128"/>
      <c r="BB2792" s="128"/>
      <c r="BC2792" s="128"/>
      <c r="BD2792" s="128"/>
      <c r="BE2792" s="128"/>
      <c r="BF2792" s="128"/>
      <c r="BG2792" s="128"/>
      <c r="BH2792" s="128"/>
      <c r="BI2792" s="128"/>
      <c r="BJ2792" s="128"/>
      <c r="BK2792" s="128"/>
      <c r="BL2792" s="128"/>
      <c r="BM2792" s="151"/>
      <c r="BN2792" s="128"/>
      <c r="BO2792" s="128"/>
      <c r="BP2792" s="128"/>
      <c r="BQ2792" s="128"/>
      <c r="BR2792" s="128"/>
      <c r="BS2792" s="128"/>
      <c r="BT2792" s="128"/>
      <c r="BU2792" s="128"/>
      <c r="BV2792" s="128"/>
      <c r="BW2792" s="128"/>
      <c r="BX2792" s="128"/>
      <c r="BY2792" s="128"/>
      <c r="BZ2792" s="128"/>
      <c r="CA2792" s="128"/>
      <c r="CB2792" s="128"/>
      <c r="CC2792" s="128"/>
      <c r="CD2792" s="128"/>
      <c r="CE2792" s="128"/>
      <c r="CF2792" s="128"/>
      <c r="CG2792" s="128"/>
      <c r="CI2792" s="128"/>
      <c r="CJ2792" s="128"/>
      <c r="CK2792" s="128"/>
      <c r="CL2792" s="128"/>
      <c r="CM2792" s="128"/>
      <c r="CN2792" s="128"/>
      <c r="CO2792" s="128"/>
      <c r="CP2792" s="128"/>
      <c r="CQ2792" s="128"/>
      <c r="CR2792" s="128"/>
      <c r="CS2792" s="128"/>
      <c r="CT2792" s="128"/>
      <c r="CU2792" s="128"/>
      <c r="CV2792" s="128"/>
      <c r="CW2792" s="128"/>
      <c r="CX2792" s="128"/>
      <c r="CY2792" s="128"/>
      <c r="CZ2792" s="165"/>
    </row>
    <row r="2793" spans="1:104">
      <c r="A2793" s="149"/>
      <c r="B2793" s="149"/>
      <c r="C2793" s="150"/>
      <c r="D2793" s="102"/>
      <c r="E2793" s="149"/>
      <c r="F2793" s="149"/>
      <c r="G2793" s="149"/>
      <c r="H2793" s="149"/>
      <c r="I2793" s="149"/>
      <c r="J2793" s="149"/>
      <c r="K2793" s="149"/>
      <c r="L2793" s="149"/>
      <c r="M2793" s="149"/>
      <c r="N2793" s="149"/>
      <c r="O2793" s="149"/>
      <c r="P2793" s="149"/>
      <c r="Q2793" s="149"/>
      <c r="R2793" s="149"/>
      <c r="S2793" s="149"/>
      <c r="T2793" s="149"/>
      <c r="U2793" s="149"/>
      <c r="V2793" s="149"/>
      <c r="W2793" s="149"/>
      <c r="X2793" s="149"/>
      <c r="Y2793" s="149"/>
      <c r="Z2793" s="149"/>
      <c r="AA2793" s="149"/>
      <c r="AB2793" s="149"/>
      <c r="AC2793" s="149"/>
      <c r="AD2793" s="149"/>
      <c r="AE2793" s="149"/>
      <c r="AF2793" s="149"/>
      <c r="AG2793" s="149"/>
      <c r="AH2793" s="149"/>
      <c r="AI2793" s="149"/>
      <c r="AJ2793" s="149"/>
      <c r="AK2793" s="149"/>
      <c r="AL2793" s="149"/>
      <c r="AM2793" s="149"/>
      <c r="AN2793" s="149"/>
      <c r="AO2793" s="128"/>
      <c r="AP2793" s="128"/>
      <c r="AQ2793" s="128"/>
      <c r="AR2793" s="128"/>
      <c r="AS2793" s="128"/>
      <c r="AT2793" s="128"/>
      <c r="AU2793" s="128"/>
      <c r="AV2793" s="128"/>
      <c r="AW2793" s="128"/>
      <c r="AX2793" s="128"/>
      <c r="AY2793" s="128"/>
      <c r="AZ2793" s="128"/>
      <c r="BA2793" s="128"/>
      <c r="BB2793" s="128"/>
      <c r="BC2793" s="128"/>
      <c r="BD2793" s="128"/>
      <c r="BE2793" s="128"/>
      <c r="BF2793" s="128"/>
      <c r="BG2793" s="128"/>
      <c r="BH2793" s="128"/>
      <c r="BI2793" s="128"/>
      <c r="BJ2793" s="128"/>
      <c r="BK2793" s="128"/>
      <c r="BL2793" s="128"/>
      <c r="BM2793" s="151"/>
      <c r="BN2793" s="128"/>
      <c r="BO2793" s="128"/>
      <c r="BP2793" s="128"/>
      <c r="BQ2793" s="128"/>
      <c r="BR2793" s="128"/>
      <c r="BS2793" s="128"/>
      <c r="BT2793" s="128"/>
      <c r="BU2793" s="128"/>
      <c r="BV2793" s="128"/>
      <c r="BW2793" s="128"/>
      <c r="BX2793" s="128"/>
      <c r="BY2793" s="128"/>
      <c r="BZ2793" s="128"/>
      <c r="CA2793" s="128"/>
      <c r="CB2793" s="128"/>
      <c r="CC2793" s="128"/>
      <c r="CD2793" s="128"/>
      <c r="CE2793" s="128"/>
      <c r="CF2793" s="128"/>
      <c r="CG2793" s="128"/>
      <c r="CI2793" s="128"/>
      <c r="CJ2793" s="128"/>
      <c r="CK2793" s="128"/>
      <c r="CL2793" s="128"/>
      <c r="CM2793" s="128"/>
      <c r="CN2793" s="128"/>
      <c r="CO2793" s="128"/>
      <c r="CP2793" s="128"/>
      <c r="CQ2793" s="128"/>
      <c r="CR2793" s="128"/>
      <c r="CS2793" s="128"/>
      <c r="CT2793" s="128"/>
      <c r="CU2793" s="128"/>
      <c r="CV2793" s="128"/>
      <c r="CW2793" s="128"/>
      <c r="CX2793" s="128"/>
      <c r="CY2793" s="128"/>
      <c r="CZ2793" s="165"/>
    </row>
    <row r="2794" spans="1:104">
      <c r="A2794" s="149"/>
      <c r="B2794" s="149"/>
      <c r="C2794" s="150"/>
      <c r="D2794" s="102"/>
      <c r="E2794" s="149"/>
      <c r="F2794" s="149"/>
      <c r="G2794" s="149"/>
      <c r="H2794" s="149"/>
      <c r="I2794" s="149"/>
      <c r="J2794" s="149"/>
      <c r="K2794" s="149"/>
      <c r="L2794" s="149"/>
      <c r="M2794" s="149"/>
      <c r="N2794" s="149"/>
      <c r="O2794" s="149"/>
      <c r="P2794" s="149"/>
      <c r="Q2794" s="149"/>
      <c r="R2794" s="149"/>
      <c r="S2794" s="149"/>
      <c r="T2794" s="149"/>
      <c r="U2794" s="149"/>
      <c r="V2794" s="149"/>
      <c r="W2794" s="149"/>
      <c r="X2794" s="149"/>
      <c r="Y2794" s="149"/>
      <c r="Z2794" s="149"/>
      <c r="AA2794" s="149"/>
      <c r="AB2794" s="149"/>
      <c r="AC2794" s="149"/>
      <c r="AD2794" s="149"/>
      <c r="AE2794" s="149"/>
      <c r="AF2794" s="149"/>
      <c r="AG2794" s="149"/>
      <c r="AH2794" s="149"/>
      <c r="AI2794" s="149"/>
      <c r="AJ2794" s="149"/>
      <c r="AK2794" s="149"/>
      <c r="AL2794" s="149"/>
      <c r="AM2794" s="149"/>
      <c r="AN2794" s="149"/>
      <c r="AO2794" s="128"/>
      <c r="AP2794" s="128"/>
      <c r="AQ2794" s="128"/>
      <c r="AR2794" s="128"/>
      <c r="AS2794" s="128"/>
      <c r="AT2794" s="128"/>
      <c r="AU2794" s="128"/>
      <c r="AV2794" s="128"/>
      <c r="AW2794" s="128"/>
      <c r="AX2794" s="128"/>
      <c r="AY2794" s="128"/>
      <c r="AZ2794" s="128"/>
      <c r="BA2794" s="128"/>
      <c r="BB2794" s="128"/>
      <c r="BC2794" s="128"/>
      <c r="BD2794" s="128"/>
      <c r="BE2794" s="128"/>
      <c r="BF2794" s="128"/>
      <c r="BG2794" s="128"/>
      <c r="BH2794" s="128"/>
      <c r="BI2794" s="128"/>
      <c r="BJ2794" s="128"/>
      <c r="BK2794" s="128"/>
      <c r="BL2794" s="128"/>
      <c r="BM2794" s="151"/>
      <c r="BN2794" s="128"/>
      <c r="BO2794" s="128"/>
      <c r="BP2794" s="128"/>
      <c r="BQ2794" s="128"/>
      <c r="BR2794" s="128"/>
      <c r="BS2794" s="128"/>
      <c r="BT2794" s="128"/>
      <c r="BU2794" s="128"/>
      <c r="BV2794" s="128"/>
      <c r="BW2794" s="128"/>
      <c r="BX2794" s="128"/>
      <c r="BY2794" s="128"/>
      <c r="BZ2794" s="128"/>
      <c r="CA2794" s="128"/>
      <c r="CB2794" s="128"/>
      <c r="CC2794" s="128"/>
      <c r="CD2794" s="128"/>
      <c r="CE2794" s="128"/>
      <c r="CF2794" s="128"/>
      <c r="CG2794" s="128"/>
      <c r="CI2794" s="128"/>
      <c r="CJ2794" s="128"/>
      <c r="CK2794" s="128"/>
      <c r="CL2794" s="128"/>
      <c r="CM2794" s="128"/>
      <c r="CN2794" s="128"/>
      <c r="CO2794" s="128"/>
      <c r="CP2794" s="128"/>
      <c r="CQ2794" s="128"/>
      <c r="CR2794" s="128"/>
      <c r="CS2794" s="128"/>
      <c r="CT2794" s="128"/>
      <c r="CU2794" s="128"/>
      <c r="CV2794" s="128"/>
      <c r="CW2794" s="128"/>
      <c r="CX2794" s="128"/>
      <c r="CY2794" s="128"/>
      <c r="CZ2794" s="165"/>
    </row>
    <row r="2795" spans="1:104">
      <c r="A2795" s="149"/>
      <c r="B2795" s="149"/>
      <c r="C2795" s="150"/>
      <c r="D2795" s="102"/>
      <c r="E2795" s="149"/>
      <c r="F2795" s="149"/>
      <c r="G2795" s="149"/>
      <c r="H2795" s="149"/>
      <c r="I2795" s="149"/>
      <c r="J2795" s="149"/>
      <c r="K2795" s="149"/>
      <c r="L2795" s="149"/>
      <c r="M2795" s="149"/>
      <c r="N2795" s="149"/>
      <c r="O2795" s="149"/>
      <c r="P2795" s="149"/>
      <c r="Q2795" s="149"/>
      <c r="R2795" s="149"/>
      <c r="S2795" s="149"/>
      <c r="T2795" s="149"/>
      <c r="U2795" s="149"/>
      <c r="V2795" s="149"/>
      <c r="W2795" s="149"/>
      <c r="X2795" s="149"/>
      <c r="Y2795" s="149"/>
      <c r="Z2795" s="149"/>
      <c r="AA2795" s="149"/>
      <c r="AB2795" s="149"/>
      <c r="AC2795" s="149"/>
      <c r="AD2795" s="149"/>
      <c r="AE2795" s="149"/>
      <c r="AF2795" s="149"/>
      <c r="AG2795" s="149"/>
      <c r="AH2795" s="149"/>
      <c r="AI2795" s="149"/>
      <c r="AJ2795" s="149"/>
      <c r="AK2795" s="149"/>
      <c r="AL2795" s="149"/>
      <c r="AM2795" s="149"/>
      <c r="AN2795" s="149"/>
      <c r="AO2795" s="128"/>
      <c r="AP2795" s="128"/>
      <c r="AQ2795" s="128"/>
      <c r="AR2795" s="128"/>
      <c r="AS2795" s="128"/>
      <c r="AT2795" s="128"/>
      <c r="AU2795" s="128"/>
      <c r="AV2795" s="128"/>
      <c r="AW2795" s="128"/>
      <c r="AX2795" s="128"/>
      <c r="AY2795" s="128"/>
      <c r="AZ2795" s="128"/>
      <c r="BA2795" s="128"/>
      <c r="BB2795" s="128"/>
      <c r="BC2795" s="128"/>
      <c r="BD2795" s="128"/>
      <c r="BE2795" s="128"/>
      <c r="BF2795" s="128"/>
      <c r="BG2795" s="128"/>
      <c r="BH2795" s="128"/>
      <c r="BI2795" s="128"/>
      <c r="BJ2795" s="128"/>
      <c r="BK2795" s="128"/>
      <c r="BL2795" s="128"/>
      <c r="BM2795" s="151"/>
      <c r="BN2795" s="128"/>
      <c r="BO2795" s="128"/>
      <c r="BP2795" s="128"/>
      <c r="BQ2795" s="128"/>
      <c r="BR2795" s="128"/>
      <c r="BS2795" s="128"/>
      <c r="BT2795" s="128"/>
      <c r="BU2795" s="128"/>
      <c r="BV2795" s="128"/>
      <c r="BW2795" s="128"/>
      <c r="BX2795" s="128"/>
      <c r="BY2795" s="128"/>
      <c r="BZ2795" s="128"/>
      <c r="CA2795" s="128"/>
      <c r="CB2795" s="128"/>
      <c r="CC2795" s="128"/>
      <c r="CD2795" s="128"/>
      <c r="CE2795" s="128"/>
      <c r="CF2795" s="128"/>
      <c r="CG2795" s="128"/>
      <c r="CI2795" s="128"/>
      <c r="CJ2795" s="128"/>
      <c r="CK2795" s="128"/>
      <c r="CL2795" s="128"/>
      <c r="CM2795" s="128"/>
      <c r="CN2795" s="128"/>
      <c r="CO2795" s="128"/>
      <c r="CP2795" s="128"/>
      <c r="CQ2795" s="128"/>
      <c r="CR2795" s="128"/>
      <c r="CS2795" s="128"/>
      <c r="CT2795" s="128"/>
      <c r="CU2795" s="128"/>
      <c r="CV2795" s="128"/>
      <c r="CW2795" s="128"/>
      <c r="CX2795" s="128"/>
      <c r="CY2795" s="128"/>
      <c r="CZ2795" s="165"/>
    </row>
    <row r="2796" spans="1:104">
      <c r="A2796" s="149"/>
      <c r="B2796" s="149"/>
      <c r="C2796" s="150"/>
      <c r="D2796" s="102"/>
      <c r="E2796" s="149"/>
      <c r="F2796" s="149"/>
      <c r="G2796" s="149"/>
      <c r="H2796" s="149"/>
      <c r="I2796" s="149"/>
      <c r="J2796" s="149"/>
      <c r="K2796" s="149"/>
      <c r="L2796" s="149"/>
      <c r="M2796" s="149"/>
      <c r="N2796" s="149"/>
      <c r="O2796" s="149"/>
      <c r="P2796" s="149"/>
      <c r="Q2796" s="149"/>
      <c r="R2796" s="149"/>
      <c r="S2796" s="149"/>
      <c r="T2796" s="149"/>
      <c r="U2796" s="149"/>
      <c r="V2796" s="149"/>
      <c r="W2796" s="149"/>
      <c r="X2796" s="149"/>
      <c r="Y2796" s="149"/>
      <c r="Z2796" s="149"/>
      <c r="AA2796" s="149"/>
      <c r="AB2796" s="149"/>
      <c r="AC2796" s="149"/>
      <c r="AD2796" s="149"/>
      <c r="AE2796" s="149"/>
      <c r="AF2796" s="149"/>
      <c r="AG2796" s="149"/>
      <c r="AH2796" s="149"/>
      <c r="AI2796" s="149"/>
      <c r="AJ2796" s="149"/>
      <c r="AK2796" s="149"/>
      <c r="AL2796" s="149"/>
      <c r="AM2796" s="149"/>
      <c r="AN2796" s="149"/>
      <c r="AO2796" s="128"/>
      <c r="AP2796" s="128"/>
      <c r="AQ2796" s="128"/>
      <c r="AR2796" s="128"/>
      <c r="AS2796" s="128"/>
      <c r="AT2796" s="128"/>
      <c r="AU2796" s="128"/>
      <c r="AV2796" s="128"/>
      <c r="AW2796" s="128"/>
      <c r="AX2796" s="128"/>
      <c r="AY2796" s="128"/>
      <c r="AZ2796" s="128"/>
      <c r="BA2796" s="128"/>
      <c r="BB2796" s="128"/>
      <c r="BC2796" s="128"/>
      <c r="BD2796" s="128"/>
      <c r="BE2796" s="128"/>
      <c r="BF2796" s="128"/>
      <c r="BG2796" s="128"/>
      <c r="BH2796" s="128"/>
      <c r="BI2796" s="128"/>
      <c r="BJ2796" s="128"/>
      <c r="BK2796" s="128"/>
      <c r="BL2796" s="128"/>
      <c r="BM2796" s="151"/>
      <c r="BN2796" s="128"/>
      <c r="BO2796" s="128"/>
      <c r="BP2796" s="128"/>
      <c r="BQ2796" s="128"/>
      <c r="BR2796" s="128"/>
      <c r="BS2796" s="128"/>
      <c r="BT2796" s="128"/>
      <c r="BU2796" s="128"/>
      <c r="BV2796" s="128"/>
      <c r="BW2796" s="128"/>
      <c r="BX2796" s="128"/>
      <c r="BY2796" s="128"/>
      <c r="BZ2796" s="128"/>
      <c r="CA2796" s="128"/>
      <c r="CB2796" s="128"/>
      <c r="CC2796" s="128"/>
      <c r="CD2796" s="128"/>
      <c r="CE2796" s="128"/>
      <c r="CF2796" s="128"/>
      <c r="CG2796" s="128"/>
      <c r="CI2796" s="128"/>
      <c r="CJ2796" s="128"/>
      <c r="CK2796" s="128"/>
      <c r="CL2796" s="128"/>
      <c r="CM2796" s="128"/>
      <c r="CN2796" s="128"/>
      <c r="CO2796" s="128"/>
      <c r="CP2796" s="128"/>
      <c r="CQ2796" s="128"/>
      <c r="CR2796" s="128"/>
      <c r="CS2796" s="128"/>
      <c r="CT2796" s="128"/>
      <c r="CU2796" s="128"/>
      <c r="CV2796" s="128"/>
      <c r="CW2796" s="128"/>
      <c r="CX2796" s="128"/>
      <c r="CY2796" s="128"/>
      <c r="CZ2796" s="165"/>
    </row>
    <row r="2797" spans="1:104">
      <c r="A2797" s="149"/>
      <c r="B2797" s="149"/>
      <c r="C2797" s="150"/>
      <c r="D2797" s="102"/>
      <c r="E2797" s="149"/>
      <c r="F2797" s="149"/>
      <c r="G2797" s="149"/>
      <c r="H2797" s="149"/>
      <c r="I2797" s="149"/>
      <c r="J2797" s="149"/>
      <c r="K2797" s="149"/>
      <c r="L2797" s="149"/>
      <c r="M2797" s="149"/>
      <c r="N2797" s="149"/>
      <c r="O2797" s="149"/>
      <c r="P2797" s="149"/>
      <c r="Q2797" s="149"/>
      <c r="R2797" s="149"/>
      <c r="S2797" s="149"/>
      <c r="T2797" s="149"/>
      <c r="U2797" s="149"/>
      <c r="V2797" s="149"/>
      <c r="W2797" s="149"/>
      <c r="X2797" s="149"/>
      <c r="Y2797" s="149"/>
      <c r="Z2797" s="149"/>
      <c r="AA2797" s="149"/>
      <c r="AB2797" s="149"/>
      <c r="AC2797" s="149"/>
      <c r="AD2797" s="149"/>
      <c r="AE2797" s="149"/>
      <c r="AF2797" s="149"/>
      <c r="AG2797" s="149"/>
      <c r="AH2797" s="149"/>
      <c r="AI2797" s="149"/>
      <c r="AJ2797" s="149"/>
      <c r="AK2797" s="149"/>
      <c r="AL2797" s="149"/>
      <c r="AM2797" s="149"/>
      <c r="AN2797" s="149"/>
      <c r="AO2797" s="128"/>
      <c r="AP2797" s="128"/>
      <c r="AQ2797" s="128"/>
      <c r="AR2797" s="128"/>
      <c r="AS2797" s="128"/>
      <c r="AT2797" s="128"/>
      <c r="AU2797" s="128"/>
      <c r="AV2797" s="128"/>
      <c r="AW2797" s="128"/>
      <c r="AX2797" s="128"/>
      <c r="AY2797" s="128"/>
      <c r="AZ2797" s="128"/>
      <c r="BA2797" s="128"/>
      <c r="BB2797" s="128"/>
      <c r="BC2797" s="128"/>
      <c r="BD2797" s="128"/>
      <c r="BE2797" s="128"/>
      <c r="BF2797" s="128"/>
      <c r="BG2797" s="128"/>
      <c r="BH2797" s="128"/>
      <c r="BI2797" s="128"/>
      <c r="BJ2797" s="128"/>
      <c r="BK2797" s="128"/>
      <c r="BL2797" s="128"/>
      <c r="BM2797" s="151"/>
      <c r="BN2797" s="128"/>
      <c r="BO2797" s="128"/>
      <c r="BP2797" s="128"/>
      <c r="BQ2797" s="128"/>
      <c r="BR2797" s="128"/>
      <c r="BS2797" s="128"/>
      <c r="BT2797" s="128"/>
      <c r="BU2797" s="128"/>
      <c r="BV2797" s="128"/>
      <c r="BW2797" s="128"/>
      <c r="BX2797" s="128"/>
      <c r="BY2797" s="128"/>
      <c r="BZ2797" s="128"/>
      <c r="CA2797" s="128"/>
      <c r="CB2797" s="128"/>
      <c r="CC2797" s="128"/>
      <c r="CD2797" s="128"/>
      <c r="CE2797" s="128"/>
      <c r="CF2797" s="128"/>
      <c r="CG2797" s="128"/>
      <c r="CI2797" s="128"/>
      <c r="CJ2797" s="128"/>
      <c r="CK2797" s="128"/>
      <c r="CL2797" s="128"/>
      <c r="CM2797" s="128"/>
      <c r="CN2797" s="128"/>
      <c r="CO2797" s="128"/>
      <c r="CP2797" s="128"/>
      <c r="CQ2797" s="128"/>
      <c r="CR2797" s="128"/>
      <c r="CS2797" s="128"/>
      <c r="CT2797" s="128"/>
      <c r="CU2797" s="128"/>
      <c r="CV2797" s="128"/>
      <c r="CW2797" s="128"/>
      <c r="CX2797" s="128"/>
      <c r="CY2797" s="128"/>
      <c r="CZ2797" s="165"/>
    </row>
    <row r="2798" spans="1:104">
      <c r="A2798" s="149"/>
      <c r="B2798" s="149"/>
      <c r="C2798" s="150"/>
      <c r="D2798" s="102"/>
      <c r="E2798" s="149"/>
      <c r="F2798" s="149"/>
      <c r="G2798" s="149"/>
      <c r="H2798" s="149"/>
      <c r="I2798" s="149"/>
      <c r="J2798" s="149"/>
      <c r="K2798" s="149"/>
      <c r="L2798" s="149"/>
      <c r="M2798" s="149"/>
      <c r="N2798" s="149"/>
      <c r="O2798" s="149"/>
      <c r="P2798" s="149"/>
      <c r="Q2798" s="149"/>
      <c r="R2798" s="149"/>
      <c r="S2798" s="149"/>
      <c r="T2798" s="149"/>
      <c r="U2798" s="149"/>
      <c r="V2798" s="149"/>
      <c r="W2798" s="149"/>
      <c r="X2798" s="149"/>
      <c r="Y2798" s="149"/>
      <c r="Z2798" s="149"/>
      <c r="AA2798" s="149"/>
      <c r="AB2798" s="149"/>
      <c r="AC2798" s="149"/>
      <c r="AD2798" s="149"/>
      <c r="AE2798" s="149"/>
      <c r="AF2798" s="149"/>
      <c r="AG2798" s="149"/>
      <c r="AH2798" s="149"/>
      <c r="AI2798" s="149"/>
      <c r="AJ2798" s="149"/>
      <c r="AK2798" s="149"/>
      <c r="AL2798" s="149"/>
      <c r="AM2798" s="149"/>
      <c r="AN2798" s="149"/>
      <c r="AO2798" s="128"/>
      <c r="AP2798" s="128"/>
      <c r="AQ2798" s="128"/>
      <c r="AR2798" s="128"/>
      <c r="AS2798" s="128"/>
      <c r="AT2798" s="128"/>
      <c r="AU2798" s="128"/>
      <c r="AV2798" s="128"/>
      <c r="AW2798" s="128"/>
      <c r="AX2798" s="128"/>
      <c r="AY2798" s="128"/>
      <c r="AZ2798" s="128"/>
      <c r="BA2798" s="128"/>
      <c r="BB2798" s="128"/>
      <c r="BC2798" s="128"/>
      <c r="BD2798" s="128"/>
      <c r="BE2798" s="128"/>
      <c r="BF2798" s="128"/>
      <c r="BG2798" s="128"/>
      <c r="BH2798" s="128"/>
      <c r="BI2798" s="128"/>
      <c r="BJ2798" s="128"/>
      <c r="BK2798" s="128"/>
      <c r="BL2798" s="128"/>
      <c r="BM2798" s="151"/>
      <c r="BN2798" s="128"/>
      <c r="BO2798" s="128"/>
      <c r="BP2798" s="128"/>
      <c r="BQ2798" s="128"/>
      <c r="BR2798" s="128"/>
      <c r="BS2798" s="128"/>
      <c r="BT2798" s="128"/>
      <c r="BU2798" s="128"/>
      <c r="BV2798" s="128"/>
      <c r="BW2798" s="128"/>
      <c r="BX2798" s="128"/>
      <c r="BY2798" s="128"/>
      <c r="BZ2798" s="128"/>
      <c r="CA2798" s="128"/>
      <c r="CB2798" s="128"/>
      <c r="CC2798" s="128"/>
      <c r="CD2798" s="128"/>
      <c r="CE2798" s="128"/>
      <c r="CF2798" s="128"/>
      <c r="CG2798" s="128"/>
      <c r="CI2798" s="128"/>
      <c r="CJ2798" s="128"/>
      <c r="CK2798" s="128"/>
      <c r="CL2798" s="128"/>
      <c r="CM2798" s="128"/>
      <c r="CN2798" s="128"/>
      <c r="CO2798" s="128"/>
      <c r="CP2798" s="128"/>
      <c r="CQ2798" s="128"/>
      <c r="CR2798" s="128"/>
      <c r="CS2798" s="128"/>
      <c r="CT2798" s="128"/>
      <c r="CU2798" s="128"/>
      <c r="CV2798" s="128"/>
      <c r="CW2798" s="128"/>
      <c r="CX2798" s="128"/>
      <c r="CY2798" s="128"/>
      <c r="CZ2798" s="165"/>
    </row>
    <row r="2799" spans="1:104">
      <c r="A2799" s="149"/>
      <c r="B2799" s="149"/>
      <c r="C2799" s="150"/>
      <c r="D2799" s="102"/>
      <c r="E2799" s="149"/>
      <c r="F2799" s="149"/>
      <c r="G2799" s="149"/>
      <c r="H2799" s="149"/>
      <c r="I2799" s="149"/>
      <c r="J2799" s="149"/>
      <c r="K2799" s="149"/>
      <c r="L2799" s="149"/>
      <c r="M2799" s="149"/>
      <c r="N2799" s="149"/>
      <c r="O2799" s="149"/>
      <c r="P2799" s="149"/>
      <c r="Q2799" s="149"/>
      <c r="R2799" s="149"/>
      <c r="S2799" s="149"/>
      <c r="T2799" s="149"/>
      <c r="U2799" s="149"/>
      <c r="V2799" s="149"/>
      <c r="W2799" s="149"/>
      <c r="X2799" s="149"/>
      <c r="Y2799" s="149"/>
      <c r="Z2799" s="149"/>
      <c r="AA2799" s="149"/>
      <c r="AB2799" s="149"/>
      <c r="AC2799" s="149"/>
      <c r="AD2799" s="149"/>
      <c r="AE2799" s="149"/>
      <c r="AF2799" s="149"/>
      <c r="AG2799" s="149"/>
      <c r="AH2799" s="149"/>
      <c r="AI2799" s="149"/>
      <c r="AJ2799" s="149"/>
      <c r="AK2799" s="149"/>
      <c r="AL2799" s="149"/>
      <c r="AM2799" s="149"/>
      <c r="AN2799" s="149"/>
      <c r="AO2799" s="128"/>
      <c r="AP2799" s="128"/>
      <c r="AQ2799" s="128"/>
      <c r="AR2799" s="128"/>
      <c r="AS2799" s="128"/>
      <c r="AT2799" s="128"/>
      <c r="AU2799" s="128"/>
      <c r="AV2799" s="128"/>
      <c r="AW2799" s="128"/>
      <c r="AX2799" s="128"/>
      <c r="AY2799" s="128"/>
      <c r="AZ2799" s="128"/>
      <c r="BA2799" s="128"/>
      <c r="BB2799" s="128"/>
      <c r="BC2799" s="128"/>
      <c r="BD2799" s="128"/>
      <c r="BE2799" s="128"/>
      <c r="BF2799" s="128"/>
      <c r="BG2799" s="128"/>
      <c r="BH2799" s="128"/>
      <c r="BI2799" s="128"/>
      <c r="BJ2799" s="128"/>
      <c r="BK2799" s="128"/>
      <c r="BL2799" s="128"/>
      <c r="BM2799" s="151"/>
      <c r="BN2799" s="128"/>
      <c r="BO2799" s="128"/>
      <c r="BP2799" s="128"/>
      <c r="BQ2799" s="128"/>
      <c r="BR2799" s="128"/>
      <c r="BS2799" s="128"/>
      <c r="BT2799" s="128"/>
      <c r="BU2799" s="128"/>
      <c r="BV2799" s="128"/>
      <c r="BW2799" s="128"/>
      <c r="BX2799" s="128"/>
      <c r="BY2799" s="128"/>
      <c r="BZ2799" s="128"/>
      <c r="CA2799" s="128"/>
      <c r="CB2799" s="128"/>
      <c r="CC2799" s="128"/>
      <c r="CD2799" s="128"/>
      <c r="CE2799" s="128"/>
      <c r="CF2799" s="128"/>
      <c r="CG2799" s="128"/>
      <c r="CI2799" s="128"/>
      <c r="CJ2799" s="128"/>
      <c r="CK2799" s="128"/>
      <c r="CL2799" s="128"/>
      <c r="CM2799" s="128"/>
      <c r="CN2799" s="128"/>
      <c r="CO2799" s="128"/>
      <c r="CP2799" s="128"/>
      <c r="CQ2799" s="128"/>
      <c r="CR2799" s="128"/>
      <c r="CS2799" s="128"/>
      <c r="CT2799" s="128"/>
      <c r="CU2799" s="128"/>
      <c r="CV2799" s="128"/>
      <c r="CW2799" s="128"/>
      <c r="CX2799" s="128"/>
      <c r="CY2799" s="128"/>
      <c r="CZ2799" s="165"/>
    </row>
    <row r="2800" spans="1:104">
      <c r="A2800" s="149"/>
      <c r="B2800" s="149"/>
      <c r="C2800" s="150"/>
      <c r="D2800" s="102"/>
      <c r="E2800" s="149"/>
      <c r="F2800" s="149"/>
      <c r="G2800" s="149"/>
      <c r="H2800" s="149"/>
      <c r="I2800" s="149"/>
      <c r="J2800" s="149"/>
      <c r="K2800" s="149"/>
      <c r="L2800" s="149"/>
      <c r="M2800" s="149"/>
      <c r="N2800" s="149"/>
      <c r="O2800" s="149"/>
      <c r="P2800" s="149"/>
      <c r="Q2800" s="149"/>
      <c r="R2800" s="149"/>
      <c r="S2800" s="149"/>
      <c r="T2800" s="149"/>
      <c r="U2800" s="149"/>
      <c r="V2800" s="149"/>
      <c r="W2800" s="149"/>
      <c r="X2800" s="149"/>
      <c r="Y2800" s="149"/>
      <c r="Z2800" s="149"/>
      <c r="AA2800" s="149"/>
      <c r="AB2800" s="149"/>
      <c r="AC2800" s="149"/>
      <c r="AD2800" s="149"/>
      <c r="AE2800" s="149"/>
      <c r="AF2800" s="149"/>
      <c r="AG2800" s="149"/>
      <c r="AH2800" s="149"/>
      <c r="AI2800" s="149"/>
      <c r="AJ2800" s="149"/>
      <c r="AK2800" s="149"/>
      <c r="AL2800" s="149"/>
      <c r="AM2800" s="149"/>
      <c r="AN2800" s="149"/>
      <c r="AO2800" s="128"/>
      <c r="AP2800" s="128"/>
      <c r="AQ2800" s="128"/>
      <c r="AR2800" s="128"/>
      <c r="AS2800" s="128"/>
      <c r="AT2800" s="128"/>
      <c r="AU2800" s="128"/>
      <c r="AV2800" s="128"/>
      <c r="AW2800" s="128"/>
      <c r="AX2800" s="128"/>
      <c r="AY2800" s="128"/>
      <c r="AZ2800" s="128"/>
      <c r="BA2800" s="128"/>
      <c r="BB2800" s="128"/>
      <c r="BC2800" s="128"/>
      <c r="BD2800" s="128"/>
      <c r="BE2800" s="128"/>
      <c r="BF2800" s="128"/>
      <c r="BG2800" s="128"/>
      <c r="BH2800" s="128"/>
      <c r="BI2800" s="128"/>
      <c r="BJ2800" s="128"/>
      <c r="BK2800" s="128"/>
      <c r="BL2800" s="128"/>
      <c r="BM2800" s="151"/>
      <c r="BN2800" s="128"/>
      <c r="BO2800" s="128"/>
      <c r="BP2800" s="128"/>
      <c r="BQ2800" s="128"/>
      <c r="BR2800" s="128"/>
      <c r="BS2800" s="128"/>
      <c r="BT2800" s="128"/>
      <c r="BU2800" s="128"/>
      <c r="BV2800" s="128"/>
      <c r="BW2800" s="128"/>
      <c r="BX2800" s="128"/>
      <c r="BY2800" s="128"/>
      <c r="BZ2800" s="128"/>
      <c r="CA2800" s="128"/>
      <c r="CB2800" s="128"/>
      <c r="CC2800" s="128"/>
      <c r="CD2800" s="128"/>
      <c r="CE2800" s="128"/>
      <c r="CF2800" s="128"/>
      <c r="CG2800" s="128"/>
      <c r="CI2800" s="128"/>
      <c r="CJ2800" s="128"/>
      <c r="CK2800" s="128"/>
      <c r="CL2800" s="128"/>
      <c r="CM2800" s="128"/>
      <c r="CN2800" s="128"/>
      <c r="CO2800" s="128"/>
      <c r="CP2800" s="128"/>
      <c r="CQ2800" s="128"/>
      <c r="CR2800" s="128"/>
      <c r="CS2800" s="128"/>
      <c r="CT2800" s="128"/>
      <c r="CU2800" s="128"/>
      <c r="CV2800" s="128"/>
      <c r="CW2800" s="128"/>
      <c r="CX2800" s="128"/>
      <c r="CY2800" s="128"/>
      <c r="CZ2800" s="165"/>
    </row>
    <row r="2801" spans="1:104">
      <c r="A2801" s="149"/>
      <c r="B2801" s="149"/>
      <c r="C2801" s="150"/>
      <c r="D2801" s="102"/>
      <c r="E2801" s="149"/>
      <c r="F2801" s="149"/>
      <c r="G2801" s="149"/>
      <c r="H2801" s="149"/>
      <c r="I2801" s="149"/>
      <c r="J2801" s="149"/>
      <c r="K2801" s="149"/>
      <c r="L2801" s="149"/>
      <c r="M2801" s="149"/>
      <c r="N2801" s="149"/>
      <c r="O2801" s="149"/>
      <c r="P2801" s="149"/>
      <c r="Q2801" s="149"/>
      <c r="R2801" s="149"/>
      <c r="S2801" s="149"/>
      <c r="T2801" s="149"/>
      <c r="U2801" s="149"/>
      <c r="V2801" s="149"/>
      <c r="W2801" s="149"/>
      <c r="X2801" s="149"/>
      <c r="Y2801" s="149"/>
      <c r="Z2801" s="149"/>
      <c r="AA2801" s="149"/>
      <c r="AB2801" s="149"/>
      <c r="AC2801" s="149"/>
      <c r="AD2801" s="149"/>
      <c r="AE2801" s="149"/>
      <c r="AF2801" s="149"/>
      <c r="AG2801" s="149"/>
      <c r="AH2801" s="149"/>
      <c r="AI2801" s="149"/>
      <c r="AJ2801" s="149"/>
      <c r="AK2801" s="149"/>
      <c r="AL2801" s="149"/>
      <c r="AM2801" s="149"/>
      <c r="AN2801" s="149"/>
      <c r="AO2801" s="128"/>
      <c r="AP2801" s="128"/>
      <c r="AQ2801" s="128"/>
      <c r="AR2801" s="128"/>
      <c r="AS2801" s="128"/>
      <c r="AT2801" s="128"/>
      <c r="AU2801" s="128"/>
      <c r="AV2801" s="128"/>
      <c r="AW2801" s="128"/>
      <c r="AX2801" s="128"/>
      <c r="AY2801" s="128"/>
      <c r="AZ2801" s="128"/>
      <c r="BA2801" s="128"/>
      <c r="BB2801" s="128"/>
      <c r="BC2801" s="128"/>
      <c r="BD2801" s="128"/>
      <c r="BE2801" s="128"/>
      <c r="BF2801" s="128"/>
      <c r="BG2801" s="128"/>
      <c r="BH2801" s="128"/>
      <c r="BI2801" s="128"/>
      <c r="BJ2801" s="128"/>
      <c r="BK2801" s="128"/>
      <c r="BL2801" s="128"/>
      <c r="BM2801" s="151"/>
      <c r="BN2801" s="128"/>
      <c r="BO2801" s="128"/>
      <c r="BP2801" s="128"/>
      <c r="BQ2801" s="128"/>
      <c r="BR2801" s="128"/>
      <c r="BS2801" s="128"/>
      <c r="BT2801" s="128"/>
      <c r="BU2801" s="128"/>
      <c r="BV2801" s="128"/>
      <c r="BW2801" s="128"/>
      <c r="BX2801" s="128"/>
      <c r="BY2801" s="128"/>
      <c r="BZ2801" s="128"/>
      <c r="CA2801" s="128"/>
      <c r="CB2801" s="128"/>
      <c r="CC2801" s="128"/>
      <c r="CD2801" s="128"/>
      <c r="CE2801" s="128"/>
      <c r="CF2801" s="128"/>
      <c r="CG2801" s="128"/>
      <c r="CI2801" s="128"/>
      <c r="CJ2801" s="128"/>
      <c r="CK2801" s="128"/>
      <c r="CL2801" s="128"/>
      <c r="CM2801" s="128"/>
      <c r="CN2801" s="128"/>
      <c r="CO2801" s="128"/>
      <c r="CP2801" s="128"/>
      <c r="CQ2801" s="128"/>
      <c r="CR2801" s="128"/>
      <c r="CS2801" s="128"/>
      <c r="CT2801" s="128"/>
      <c r="CU2801" s="128"/>
      <c r="CV2801" s="128"/>
      <c r="CW2801" s="128"/>
      <c r="CX2801" s="128"/>
      <c r="CY2801" s="128"/>
      <c r="CZ2801" s="165"/>
    </row>
    <row r="2802" spans="1:104">
      <c r="A2802" s="149"/>
      <c r="B2802" s="149"/>
      <c r="C2802" s="150"/>
      <c r="D2802" s="102"/>
      <c r="E2802" s="149"/>
      <c r="F2802" s="149"/>
      <c r="G2802" s="149"/>
      <c r="H2802" s="149"/>
      <c r="I2802" s="149"/>
      <c r="J2802" s="149"/>
      <c r="K2802" s="149"/>
      <c r="L2802" s="149"/>
      <c r="M2802" s="149"/>
      <c r="N2802" s="149"/>
      <c r="O2802" s="149"/>
      <c r="P2802" s="149"/>
      <c r="Q2802" s="149"/>
      <c r="R2802" s="149"/>
      <c r="S2802" s="149"/>
      <c r="T2802" s="149"/>
      <c r="U2802" s="149"/>
      <c r="V2802" s="149"/>
      <c r="W2802" s="149"/>
      <c r="X2802" s="149"/>
      <c r="Y2802" s="149"/>
      <c r="Z2802" s="149"/>
      <c r="AA2802" s="149"/>
      <c r="AB2802" s="149"/>
      <c r="AC2802" s="149"/>
      <c r="AD2802" s="149"/>
      <c r="AE2802" s="149"/>
      <c r="AF2802" s="149"/>
      <c r="AG2802" s="149"/>
      <c r="AH2802" s="149"/>
      <c r="AI2802" s="149"/>
      <c r="AJ2802" s="149"/>
      <c r="AK2802" s="149"/>
      <c r="AL2802" s="149"/>
      <c r="AM2802" s="149"/>
      <c r="AN2802" s="149"/>
      <c r="AO2802" s="128"/>
      <c r="AP2802" s="128"/>
      <c r="AQ2802" s="128"/>
      <c r="AR2802" s="128"/>
      <c r="AS2802" s="128"/>
      <c r="AT2802" s="128"/>
      <c r="AU2802" s="128"/>
      <c r="AV2802" s="128"/>
      <c r="AW2802" s="128"/>
      <c r="AX2802" s="128"/>
      <c r="AY2802" s="128"/>
      <c r="AZ2802" s="128"/>
      <c r="BA2802" s="128"/>
      <c r="BB2802" s="128"/>
      <c r="BC2802" s="128"/>
      <c r="BD2802" s="128"/>
      <c r="BE2802" s="128"/>
      <c r="BF2802" s="128"/>
      <c r="BG2802" s="128"/>
      <c r="BH2802" s="128"/>
      <c r="BI2802" s="128"/>
      <c r="BJ2802" s="128"/>
      <c r="BK2802" s="128"/>
      <c r="BL2802" s="128"/>
      <c r="BM2802" s="151"/>
      <c r="BN2802" s="128"/>
      <c r="BO2802" s="128"/>
      <c r="BP2802" s="128"/>
      <c r="BQ2802" s="128"/>
      <c r="BR2802" s="128"/>
      <c r="BS2802" s="128"/>
      <c r="BT2802" s="128"/>
      <c r="BU2802" s="128"/>
      <c r="BV2802" s="128"/>
      <c r="BW2802" s="128"/>
      <c r="BX2802" s="128"/>
      <c r="BY2802" s="128"/>
      <c r="BZ2802" s="128"/>
      <c r="CA2802" s="128"/>
      <c r="CB2802" s="128"/>
      <c r="CC2802" s="128"/>
      <c r="CD2802" s="128"/>
      <c r="CE2802" s="128"/>
      <c r="CF2802" s="128"/>
      <c r="CG2802" s="128"/>
      <c r="CI2802" s="128"/>
      <c r="CJ2802" s="128"/>
      <c r="CK2802" s="128"/>
      <c r="CL2802" s="128"/>
      <c r="CM2802" s="128"/>
      <c r="CN2802" s="128"/>
      <c r="CO2802" s="128"/>
      <c r="CP2802" s="128"/>
      <c r="CQ2802" s="128"/>
      <c r="CR2802" s="128"/>
      <c r="CS2802" s="128"/>
      <c r="CT2802" s="128"/>
      <c r="CU2802" s="128"/>
      <c r="CV2802" s="128"/>
      <c r="CW2802" s="128"/>
      <c r="CX2802" s="128"/>
      <c r="CY2802" s="128"/>
      <c r="CZ2802" s="165"/>
    </row>
    <row r="2803" spans="1:104">
      <c r="A2803" s="149"/>
      <c r="B2803" s="149"/>
      <c r="C2803" s="150"/>
      <c r="D2803" s="102"/>
      <c r="E2803" s="149"/>
      <c r="F2803" s="149"/>
      <c r="G2803" s="149"/>
      <c r="H2803" s="149"/>
      <c r="I2803" s="149"/>
      <c r="J2803" s="149"/>
      <c r="K2803" s="149"/>
      <c r="L2803" s="149"/>
      <c r="M2803" s="149"/>
      <c r="N2803" s="149"/>
      <c r="O2803" s="149"/>
      <c r="P2803" s="149"/>
      <c r="Q2803" s="149"/>
      <c r="R2803" s="149"/>
      <c r="S2803" s="149"/>
      <c r="T2803" s="149"/>
      <c r="U2803" s="149"/>
      <c r="V2803" s="149"/>
      <c r="W2803" s="149"/>
      <c r="X2803" s="149"/>
      <c r="Y2803" s="149"/>
      <c r="Z2803" s="149"/>
      <c r="AA2803" s="149"/>
      <c r="AB2803" s="149"/>
      <c r="AC2803" s="149"/>
      <c r="AD2803" s="149"/>
      <c r="AE2803" s="149"/>
      <c r="AF2803" s="149"/>
      <c r="AG2803" s="149"/>
      <c r="AH2803" s="149"/>
      <c r="AI2803" s="149"/>
      <c r="AJ2803" s="149"/>
      <c r="AK2803" s="149"/>
      <c r="AL2803" s="149"/>
      <c r="AM2803" s="149"/>
      <c r="AN2803" s="149"/>
      <c r="AO2803" s="128"/>
      <c r="AP2803" s="128"/>
      <c r="AQ2803" s="128"/>
      <c r="AR2803" s="128"/>
      <c r="AS2803" s="128"/>
      <c r="AT2803" s="128"/>
      <c r="AU2803" s="128"/>
      <c r="AV2803" s="128"/>
      <c r="AW2803" s="128"/>
      <c r="AX2803" s="128"/>
      <c r="AY2803" s="128"/>
      <c r="AZ2803" s="128"/>
      <c r="BA2803" s="128"/>
      <c r="BB2803" s="128"/>
      <c r="BC2803" s="128"/>
      <c r="BD2803" s="128"/>
      <c r="BE2803" s="128"/>
      <c r="BF2803" s="128"/>
      <c r="BG2803" s="128"/>
      <c r="BH2803" s="128"/>
      <c r="BI2803" s="128"/>
      <c r="BJ2803" s="128"/>
      <c r="BK2803" s="128"/>
      <c r="BL2803" s="128"/>
      <c r="BM2803" s="151"/>
      <c r="BN2803" s="128"/>
      <c r="BO2803" s="128"/>
      <c r="BP2803" s="128"/>
      <c r="BQ2803" s="128"/>
      <c r="BR2803" s="128"/>
      <c r="BS2803" s="128"/>
      <c r="BT2803" s="128"/>
      <c r="BU2803" s="128"/>
      <c r="BV2803" s="128"/>
      <c r="BW2803" s="128"/>
      <c r="BX2803" s="128"/>
      <c r="BY2803" s="128"/>
      <c r="BZ2803" s="128"/>
      <c r="CA2803" s="128"/>
      <c r="CB2803" s="128"/>
      <c r="CC2803" s="128"/>
      <c r="CD2803" s="128"/>
      <c r="CE2803" s="128"/>
      <c r="CF2803" s="128"/>
      <c r="CG2803" s="128"/>
      <c r="CI2803" s="128"/>
      <c r="CJ2803" s="128"/>
      <c r="CK2803" s="128"/>
      <c r="CL2803" s="128"/>
      <c r="CM2803" s="128"/>
      <c r="CN2803" s="128"/>
      <c r="CO2803" s="128"/>
      <c r="CP2803" s="128"/>
      <c r="CQ2803" s="128"/>
      <c r="CR2803" s="128"/>
      <c r="CS2803" s="128"/>
      <c r="CT2803" s="128"/>
      <c r="CU2803" s="128"/>
      <c r="CV2803" s="128"/>
      <c r="CW2803" s="128"/>
      <c r="CX2803" s="128"/>
      <c r="CY2803" s="128"/>
      <c r="CZ2803" s="165"/>
    </row>
    <row r="2804" spans="1:104">
      <c r="A2804" s="149"/>
      <c r="B2804" s="149"/>
      <c r="C2804" s="150"/>
      <c r="D2804" s="102"/>
      <c r="E2804" s="149"/>
      <c r="F2804" s="149"/>
      <c r="G2804" s="149"/>
      <c r="H2804" s="149"/>
      <c r="I2804" s="149"/>
      <c r="J2804" s="149"/>
      <c r="K2804" s="149"/>
      <c r="L2804" s="149"/>
      <c r="M2804" s="149"/>
      <c r="N2804" s="149"/>
      <c r="O2804" s="149"/>
      <c r="P2804" s="149"/>
      <c r="Q2804" s="149"/>
      <c r="R2804" s="149"/>
      <c r="S2804" s="149"/>
      <c r="T2804" s="149"/>
      <c r="U2804" s="149"/>
      <c r="V2804" s="149"/>
      <c r="W2804" s="149"/>
      <c r="X2804" s="149"/>
      <c r="Y2804" s="149"/>
      <c r="Z2804" s="149"/>
      <c r="AA2804" s="149"/>
      <c r="AB2804" s="149"/>
      <c r="AC2804" s="149"/>
      <c r="AD2804" s="149"/>
      <c r="AE2804" s="149"/>
      <c r="AF2804" s="149"/>
      <c r="AG2804" s="149"/>
      <c r="AH2804" s="149"/>
      <c r="AI2804" s="149"/>
      <c r="AJ2804" s="149"/>
      <c r="AK2804" s="149"/>
      <c r="AL2804" s="149"/>
      <c r="AM2804" s="149"/>
      <c r="AN2804" s="149"/>
      <c r="AO2804" s="128"/>
      <c r="AP2804" s="128"/>
      <c r="AQ2804" s="128"/>
      <c r="AR2804" s="128"/>
      <c r="AS2804" s="128"/>
      <c r="AT2804" s="128"/>
      <c r="AU2804" s="128"/>
      <c r="AV2804" s="128"/>
      <c r="AW2804" s="128"/>
      <c r="AX2804" s="128"/>
      <c r="AY2804" s="128"/>
      <c r="AZ2804" s="128"/>
      <c r="BA2804" s="128"/>
      <c r="BB2804" s="128"/>
      <c r="BC2804" s="128"/>
      <c r="BD2804" s="128"/>
      <c r="BE2804" s="128"/>
      <c r="BF2804" s="128"/>
      <c r="BG2804" s="128"/>
      <c r="BH2804" s="128"/>
      <c r="BI2804" s="128"/>
      <c r="BJ2804" s="128"/>
      <c r="BK2804" s="128"/>
      <c r="BL2804" s="128"/>
      <c r="BM2804" s="151"/>
      <c r="BN2804" s="128"/>
      <c r="BO2804" s="128"/>
      <c r="BP2804" s="128"/>
      <c r="BQ2804" s="128"/>
      <c r="BR2804" s="128"/>
      <c r="BS2804" s="128"/>
      <c r="BT2804" s="128"/>
      <c r="BU2804" s="128"/>
      <c r="BV2804" s="128"/>
      <c r="BW2804" s="128"/>
      <c r="BX2804" s="128"/>
      <c r="BY2804" s="128"/>
      <c r="BZ2804" s="128"/>
      <c r="CA2804" s="128"/>
      <c r="CB2804" s="128"/>
      <c r="CC2804" s="128"/>
      <c r="CD2804" s="128"/>
      <c r="CE2804" s="128"/>
      <c r="CF2804" s="128"/>
      <c r="CG2804" s="128"/>
      <c r="CI2804" s="128"/>
      <c r="CJ2804" s="128"/>
      <c r="CK2804" s="128"/>
      <c r="CL2804" s="128"/>
      <c r="CM2804" s="128"/>
      <c r="CN2804" s="128"/>
      <c r="CO2804" s="128"/>
      <c r="CP2804" s="128"/>
      <c r="CQ2804" s="128"/>
      <c r="CR2804" s="128"/>
      <c r="CS2804" s="128"/>
      <c r="CT2804" s="128"/>
      <c r="CU2804" s="128"/>
      <c r="CV2804" s="128"/>
      <c r="CW2804" s="128"/>
      <c r="CX2804" s="128"/>
      <c r="CY2804" s="128"/>
      <c r="CZ2804" s="165"/>
    </row>
    <row r="2805" spans="1:104">
      <c r="A2805" s="149"/>
      <c r="B2805" s="149"/>
      <c r="C2805" s="150"/>
      <c r="D2805" s="102"/>
      <c r="E2805" s="149"/>
      <c r="F2805" s="149"/>
      <c r="G2805" s="149"/>
      <c r="H2805" s="149"/>
      <c r="I2805" s="149"/>
      <c r="J2805" s="149"/>
      <c r="K2805" s="149"/>
      <c r="L2805" s="149"/>
      <c r="M2805" s="149"/>
      <c r="N2805" s="149"/>
      <c r="O2805" s="149"/>
      <c r="P2805" s="149"/>
      <c r="Q2805" s="149"/>
      <c r="R2805" s="149"/>
      <c r="S2805" s="149"/>
      <c r="T2805" s="149"/>
      <c r="U2805" s="149"/>
      <c r="V2805" s="149"/>
      <c r="W2805" s="149"/>
      <c r="X2805" s="149"/>
      <c r="Y2805" s="149"/>
      <c r="Z2805" s="149"/>
      <c r="AA2805" s="149"/>
      <c r="AB2805" s="149"/>
      <c r="AC2805" s="149"/>
      <c r="AD2805" s="149"/>
      <c r="AE2805" s="149"/>
      <c r="AF2805" s="149"/>
      <c r="AG2805" s="149"/>
      <c r="AH2805" s="149"/>
      <c r="AI2805" s="149"/>
      <c r="AJ2805" s="149"/>
      <c r="AK2805" s="149"/>
      <c r="AL2805" s="149"/>
      <c r="AM2805" s="149"/>
      <c r="AN2805" s="149"/>
      <c r="AO2805" s="128"/>
      <c r="AP2805" s="128"/>
      <c r="AQ2805" s="128"/>
      <c r="AR2805" s="128"/>
      <c r="AS2805" s="128"/>
      <c r="AT2805" s="128"/>
      <c r="AU2805" s="128"/>
      <c r="AV2805" s="128"/>
      <c r="AW2805" s="128"/>
      <c r="AX2805" s="128"/>
      <c r="AY2805" s="128"/>
      <c r="AZ2805" s="128"/>
      <c r="BA2805" s="128"/>
      <c r="BB2805" s="128"/>
      <c r="BC2805" s="128"/>
      <c r="BD2805" s="128"/>
      <c r="BE2805" s="128"/>
      <c r="BF2805" s="128"/>
      <c r="BG2805" s="128"/>
      <c r="BH2805" s="128"/>
      <c r="BI2805" s="128"/>
      <c r="BJ2805" s="128"/>
      <c r="BK2805" s="128"/>
      <c r="BL2805" s="128"/>
      <c r="BM2805" s="151"/>
      <c r="BN2805" s="128"/>
      <c r="BO2805" s="128"/>
      <c r="BP2805" s="128"/>
      <c r="BQ2805" s="128"/>
      <c r="BR2805" s="128"/>
      <c r="BS2805" s="128"/>
      <c r="BT2805" s="128"/>
      <c r="BU2805" s="128"/>
      <c r="BV2805" s="128"/>
      <c r="BW2805" s="128"/>
      <c r="BX2805" s="128"/>
      <c r="BY2805" s="128"/>
      <c r="BZ2805" s="128"/>
      <c r="CA2805" s="128"/>
      <c r="CB2805" s="128"/>
      <c r="CC2805" s="128"/>
      <c r="CD2805" s="128"/>
      <c r="CE2805" s="128"/>
      <c r="CF2805" s="128"/>
      <c r="CG2805" s="128"/>
      <c r="CI2805" s="128"/>
      <c r="CJ2805" s="128"/>
      <c r="CK2805" s="128"/>
      <c r="CL2805" s="128"/>
      <c r="CM2805" s="128"/>
      <c r="CN2805" s="128"/>
      <c r="CO2805" s="128"/>
      <c r="CP2805" s="128"/>
      <c r="CQ2805" s="128"/>
      <c r="CR2805" s="128"/>
      <c r="CS2805" s="128"/>
      <c r="CT2805" s="128"/>
      <c r="CU2805" s="128"/>
      <c r="CV2805" s="128"/>
      <c r="CW2805" s="128"/>
      <c r="CX2805" s="128"/>
      <c r="CY2805" s="128"/>
      <c r="CZ2805" s="165"/>
    </row>
    <row r="2806" spans="1:104">
      <c r="A2806" s="149"/>
      <c r="B2806" s="149"/>
      <c r="C2806" s="150"/>
      <c r="D2806" s="102"/>
      <c r="E2806" s="149"/>
      <c r="F2806" s="149"/>
      <c r="G2806" s="149"/>
      <c r="H2806" s="149"/>
      <c r="I2806" s="149"/>
      <c r="J2806" s="149"/>
      <c r="K2806" s="149"/>
      <c r="L2806" s="149"/>
      <c r="M2806" s="149"/>
      <c r="N2806" s="149"/>
      <c r="O2806" s="149"/>
      <c r="P2806" s="149"/>
      <c r="Q2806" s="149"/>
      <c r="R2806" s="149"/>
      <c r="S2806" s="149"/>
      <c r="T2806" s="149"/>
      <c r="U2806" s="149"/>
      <c r="V2806" s="149"/>
      <c r="W2806" s="149"/>
      <c r="X2806" s="149"/>
      <c r="Y2806" s="149"/>
      <c r="Z2806" s="149"/>
      <c r="AA2806" s="149"/>
      <c r="AB2806" s="149"/>
      <c r="AC2806" s="149"/>
      <c r="AD2806" s="149"/>
      <c r="AE2806" s="149"/>
      <c r="AF2806" s="149"/>
      <c r="AG2806" s="149"/>
      <c r="AH2806" s="149"/>
      <c r="AI2806" s="149"/>
      <c r="AJ2806" s="149"/>
      <c r="AK2806" s="149"/>
      <c r="AL2806" s="149"/>
      <c r="AM2806" s="149"/>
      <c r="AN2806" s="149"/>
      <c r="AO2806" s="128"/>
      <c r="AP2806" s="128"/>
      <c r="AQ2806" s="128"/>
      <c r="AR2806" s="128"/>
      <c r="AS2806" s="128"/>
      <c r="AT2806" s="128"/>
      <c r="AU2806" s="128"/>
      <c r="AV2806" s="128"/>
      <c r="AW2806" s="128"/>
      <c r="AX2806" s="128"/>
      <c r="AY2806" s="128"/>
      <c r="AZ2806" s="128"/>
      <c r="BA2806" s="128"/>
      <c r="BB2806" s="128"/>
      <c r="BC2806" s="128"/>
      <c r="BD2806" s="128"/>
      <c r="BE2806" s="128"/>
      <c r="BF2806" s="128"/>
      <c r="BG2806" s="128"/>
      <c r="BH2806" s="128"/>
      <c r="BI2806" s="128"/>
      <c r="BJ2806" s="128"/>
      <c r="BK2806" s="128"/>
      <c r="BL2806" s="128"/>
      <c r="BM2806" s="151"/>
      <c r="BN2806" s="128"/>
      <c r="BO2806" s="128"/>
      <c r="BP2806" s="128"/>
      <c r="BQ2806" s="128"/>
      <c r="BR2806" s="128"/>
      <c r="BS2806" s="128"/>
      <c r="BT2806" s="128"/>
      <c r="BU2806" s="128"/>
      <c r="BV2806" s="128"/>
      <c r="BW2806" s="128"/>
      <c r="BX2806" s="128"/>
      <c r="BY2806" s="128"/>
      <c r="BZ2806" s="128"/>
      <c r="CA2806" s="128"/>
      <c r="CB2806" s="128"/>
      <c r="CC2806" s="128"/>
      <c r="CD2806" s="128"/>
      <c r="CE2806" s="128"/>
      <c r="CF2806" s="128"/>
      <c r="CG2806" s="128"/>
      <c r="CI2806" s="128"/>
      <c r="CJ2806" s="128"/>
      <c r="CK2806" s="128"/>
      <c r="CL2806" s="128"/>
      <c r="CM2806" s="128"/>
      <c r="CN2806" s="128"/>
      <c r="CO2806" s="128"/>
      <c r="CP2806" s="128"/>
      <c r="CQ2806" s="128"/>
      <c r="CR2806" s="128"/>
      <c r="CS2806" s="128"/>
      <c r="CT2806" s="128"/>
      <c r="CU2806" s="128"/>
      <c r="CV2806" s="128"/>
      <c r="CW2806" s="128"/>
      <c r="CX2806" s="128"/>
      <c r="CY2806" s="128"/>
      <c r="CZ2806" s="165"/>
    </row>
    <row r="2807" spans="1:104">
      <c r="A2807" s="149"/>
      <c r="B2807" s="149"/>
      <c r="C2807" s="150"/>
      <c r="D2807" s="102"/>
      <c r="E2807" s="149"/>
      <c r="F2807" s="149"/>
      <c r="G2807" s="149"/>
      <c r="H2807" s="149"/>
      <c r="I2807" s="149"/>
      <c r="J2807" s="149"/>
      <c r="K2807" s="149"/>
      <c r="L2807" s="149"/>
      <c r="M2807" s="149"/>
      <c r="N2807" s="149"/>
      <c r="O2807" s="149"/>
      <c r="P2807" s="149"/>
      <c r="Q2807" s="149"/>
      <c r="R2807" s="149"/>
      <c r="S2807" s="149"/>
      <c r="T2807" s="149"/>
      <c r="U2807" s="149"/>
      <c r="V2807" s="149"/>
      <c r="W2807" s="149"/>
      <c r="X2807" s="149"/>
      <c r="Y2807" s="149"/>
      <c r="Z2807" s="149"/>
      <c r="AA2807" s="149"/>
      <c r="AB2807" s="149"/>
      <c r="AC2807" s="149"/>
      <c r="AD2807" s="149"/>
      <c r="AE2807" s="149"/>
      <c r="AF2807" s="149"/>
      <c r="AG2807" s="149"/>
      <c r="AH2807" s="149"/>
      <c r="AI2807" s="149"/>
      <c r="AJ2807" s="149"/>
      <c r="AK2807" s="149"/>
      <c r="AL2807" s="149"/>
      <c r="AM2807" s="149"/>
      <c r="AN2807" s="149"/>
      <c r="AO2807" s="128"/>
      <c r="AP2807" s="128"/>
      <c r="AQ2807" s="128"/>
      <c r="AR2807" s="128"/>
      <c r="AS2807" s="128"/>
      <c r="AT2807" s="128"/>
      <c r="AU2807" s="128"/>
      <c r="AV2807" s="128"/>
      <c r="AW2807" s="128"/>
      <c r="AX2807" s="128"/>
      <c r="AY2807" s="128"/>
      <c r="AZ2807" s="128"/>
      <c r="BA2807" s="128"/>
      <c r="BB2807" s="128"/>
      <c r="BC2807" s="128"/>
      <c r="BD2807" s="128"/>
      <c r="BE2807" s="128"/>
      <c r="BF2807" s="128"/>
      <c r="BG2807" s="128"/>
      <c r="BH2807" s="128"/>
      <c r="BI2807" s="128"/>
      <c r="BJ2807" s="128"/>
      <c r="BK2807" s="128"/>
      <c r="BL2807" s="128"/>
      <c r="BM2807" s="151"/>
      <c r="BN2807" s="128"/>
      <c r="BO2807" s="128"/>
      <c r="BP2807" s="128"/>
      <c r="BQ2807" s="128"/>
      <c r="BR2807" s="128"/>
      <c r="BS2807" s="128"/>
      <c r="BT2807" s="128"/>
      <c r="BU2807" s="128"/>
      <c r="BV2807" s="128"/>
      <c r="BW2807" s="128"/>
      <c r="BX2807" s="128"/>
      <c r="BY2807" s="128"/>
      <c r="BZ2807" s="128"/>
      <c r="CA2807" s="128"/>
      <c r="CB2807" s="128"/>
      <c r="CC2807" s="128"/>
      <c r="CD2807" s="128"/>
      <c r="CE2807" s="128"/>
      <c r="CF2807" s="128"/>
      <c r="CG2807" s="128"/>
      <c r="CI2807" s="128"/>
      <c r="CJ2807" s="128"/>
      <c r="CK2807" s="128"/>
      <c r="CL2807" s="128"/>
      <c r="CM2807" s="128"/>
      <c r="CN2807" s="128"/>
      <c r="CO2807" s="128"/>
      <c r="CP2807" s="128"/>
      <c r="CQ2807" s="128"/>
      <c r="CR2807" s="128"/>
      <c r="CS2807" s="128"/>
      <c r="CT2807" s="128"/>
      <c r="CU2807" s="128"/>
      <c r="CV2807" s="128"/>
      <c r="CW2807" s="128"/>
      <c r="CX2807" s="128"/>
      <c r="CY2807" s="128"/>
      <c r="CZ2807" s="165"/>
    </row>
    <row r="2808" spans="1:104">
      <c r="A2808" s="149"/>
      <c r="B2808" s="149"/>
      <c r="C2808" s="150"/>
      <c r="D2808" s="102"/>
      <c r="E2808" s="149"/>
      <c r="F2808" s="149"/>
      <c r="G2808" s="149"/>
      <c r="H2808" s="149"/>
      <c r="I2808" s="149"/>
      <c r="J2808" s="149"/>
      <c r="K2808" s="149"/>
      <c r="L2808" s="149"/>
      <c r="M2808" s="149"/>
      <c r="N2808" s="149"/>
      <c r="O2808" s="149"/>
      <c r="P2808" s="149"/>
      <c r="Q2808" s="149"/>
      <c r="R2808" s="149"/>
      <c r="S2808" s="149"/>
      <c r="T2808" s="149"/>
      <c r="U2808" s="149"/>
      <c r="V2808" s="149"/>
      <c r="W2808" s="149"/>
      <c r="X2808" s="149"/>
      <c r="Y2808" s="149"/>
      <c r="Z2808" s="149"/>
      <c r="AA2808" s="149"/>
      <c r="AB2808" s="149"/>
      <c r="AC2808" s="149"/>
      <c r="AD2808" s="149"/>
      <c r="AE2808" s="149"/>
      <c r="AF2808" s="149"/>
      <c r="AG2808" s="149"/>
      <c r="AH2808" s="149"/>
      <c r="AI2808" s="149"/>
      <c r="AJ2808" s="149"/>
      <c r="AK2808" s="149"/>
      <c r="AL2808" s="149"/>
      <c r="AM2808" s="149"/>
      <c r="AN2808" s="149"/>
      <c r="AO2808" s="128"/>
      <c r="AP2808" s="128"/>
      <c r="AQ2808" s="128"/>
      <c r="AR2808" s="128"/>
      <c r="AS2808" s="128"/>
      <c r="AT2808" s="128"/>
      <c r="AU2808" s="128"/>
      <c r="AV2808" s="128"/>
      <c r="AW2808" s="128"/>
      <c r="AX2808" s="128"/>
      <c r="AY2808" s="128"/>
      <c r="AZ2808" s="128"/>
      <c r="BA2808" s="128"/>
      <c r="BB2808" s="128"/>
      <c r="BC2808" s="128"/>
      <c r="BD2808" s="128"/>
      <c r="BE2808" s="128"/>
      <c r="BF2808" s="128"/>
      <c r="BG2808" s="128"/>
      <c r="BH2808" s="128"/>
      <c r="BI2808" s="128"/>
      <c r="BJ2808" s="128"/>
      <c r="BK2808" s="128"/>
      <c r="BL2808" s="128"/>
      <c r="BM2808" s="151"/>
      <c r="BN2808" s="128"/>
      <c r="BO2808" s="128"/>
      <c r="BP2808" s="128"/>
      <c r="BQ2808" s="128"/>
      <c r="BR2808" s="128"/>
      <c r="BS2808" s="128"/>
      <c r="BT2808" s="128"/>
      <c r="BU2808" s="128"/>
      <c r="BV2808" s="128"/>
      <c r="BW2808" s="128"/>
      <c r="BX2808" s="128"/>
      <c r="BY2808" s="128"/>
      <c r="BZ2808" s="128"/>
      <c r="CA2808" s="128"/>
      <c r="CB2808" s="128"/>
      <c r="CC2808" s="128"/>
      <c r="CD2808" s="128"/>
      <c r="CE2808" s="128"/>
      <c r="CF2808" s="128"/>
      <c r="CG2808" s="128"/>
      <c r="CI2808" s="128"/>
      <c r="CJ2808" s="128"/>
      <c r="CK2808" s="128"/>
      <c r="CL2808" s="128"/>
      <c r="CM2808" s="128"/>
      <c r="CN2808" s="128"/>
      <c r="CO2808" s="128"/>
      <c r="CP2808" s="128"/>
      <c r="CQ2808" s="128"/>
      <c r="CR2808" s="128"/>
      <c r="CS2808" s="128"/>
      <c r="CT2808" s="128"/>
      <c r="CU2808" s="128"/>
      <c r="CV2808" s="128"/>
      <c r="CW2808" s="128"/>
      <c r="CX2808" s="128"/>
      <c r="CY2808" s="128"/>
      <c r="CZ2808" s="165"/>
    </row>
    <row r="2809" spans="1:104">
      <c r="A2809" s="149"/>
      <c r="B2809" s="149"/>
      <c r="C2809" s="150"/>
      <c r="D2809" s="102"/>
      <c r="E2809" s="149"/>
      <c r="F2809" s="149"/>
      <c r="G2809" s="149"/>
      <c r="H2809" s="149"/>
      <c r="I2809" s="149"/>
      <c r="J2809" s="149"/>
      <c r="K2809" s="149"/>
      <c r="L2809" s="149"/>
      <c r="M2809" s="149"/>
      <c r="N2809" s="149"/>
      <c r="O2809" s="149"/>
      <c r="P2809" s="149"/>
      <c r="Q2809" s="149"/>
      <c r="R2809" s="149"/>
      <c r="S2809" s="149"/>
      <c r="T2809" s="149"/>
      <c r="U2809" s="149"/>
      <c r="V2809" s="149"/>
      <c r="W2809" s="149"/>
      <c r="X2809" s="149"/>
      <c r="Y2809" s="149"/>
      <c r="Z2809" s="149"/>
      <c r="AA2809" s="149"/>
      <c r="AB2809" s="149"/>
      <c r="AC2809" s="149"/>
      <c r="AD2809" s="149"/>
      <c r="AE2809" s="149"/>
      <c r="AF2809" s="149"/>
      <c r="AG2809" s="149"/>
      <c r="AH2809" s="149"/>
      <c r="AI2809" s="149"/>
      <c r="AJ2809" s="149"/>
      <c r="AK2809" s="149"/>
      <c r="AL2809" s="149"/>
      <c r="AM2809" s="149"/>
      <c r="AN2809" s="149"/>
      <c r="AO2809" s="128"/>
      <c r="AP2809" s="128"/>
      <c r="AQ2809" s="128"/>
      <c r="AR2809" s="128"/>
      <c r="AS2809" s="128"/>
      <c r="AT2809" s="128"/>
      <c r="AU2809" s="128"/>
      <c r="AV2809" s="128"/>
      <c r="AW2809" s="128"/>
      <c r="AX2809" s="128"/>
      <c r="AY2809" s="128"/>
      <c r="AZ2809" s="128"/>
      <c r="BA2809" s="128"/>
      <c r="BB2809" s="128"/>
      <c r="BC2809" s="128"/>
      <c r="BD2809" s="128"/>
      <c r="BE2809" s="128"/>
      <c r="BF2809" s="128"/>
      <c r="BG2809" s="128"/>
      <c r="BH2809" s="128"/>
      <c r="BI2809" s="128"/>
      <c r="BJ2809" s="128"/>
      <c r="BK2809" s="128"/>
      <c r="BL2809" s="128"/>
      <c r="BM2809" s="151"/>
      <c r="BN2809" s="128"/>
      <c r="BO2809" s="128"/>
      <c r="BP2809" s="128"/>
      <c r="BQ2809" s="128"/>
      <c r="BR2809" s="128"/>
      <c r="BS2809" s="128"/>
      <c r="BT2809" s="128"/>
      <c r="BU2809" s="128"/>
      <c r="BV2809" s="128"/>
      <c r="BW2809" s="128"/>
      <c r="BX2809" s="128"/>
      <c r="BY2809" s="128"/>
      <c r="BZ2809" s="128"/>
      <c r="CA2809" s="128"/>
      <c r="CB2809" s="128"/>
      <c r="CC2809" s="128"/>
      <c r="CD2809" s="128"/>
      <c r="CE2809" s="128"/>
      <c r="CF2809" s="128"/>
      <c r="CG2809" s="128"/>
      <c r="CI2809" s="128"/>
      <c r="CJ2809" s="128"/>
      <c r="CK2809" s="128"/>
      <c r="CL2809" s="128"/>
      <c r="CM2809" s="128"/>
      <c r="CN2809" s="128"/>
      <c r="CO2809" s="128"/>
      <c r="CP2809" s="128"/>
      <c r="CQ2809" s="128"/>
      <c r="CR2809" s="128"/>
      <c r="CS2809" s="128"/>
      <c r="CT2809" s="128"/>
      <c r="CU2809" s="128"/>
      <c r="CV2809" s="128"/>
      <c r="CW2809" s="128"/>
      <c r="CX2809" s="128"/>
      <c r="CY2809" s="128"/>
      <c r="CZ2809" s="165"/>
    </row>
    <row r="2810" spans="1:104">
      <c r="A2810" s="149"/>
      <c r="B2810" s="149"/>
      <c r="C2810" s="150"/>
      <c r="D2810" s="102"/>
      <c r="E2810" s="149"/>
      <c r="F2810" s="149"/>
      <c r="G2810" s="149"/>
      <c r="H2810" s="149"/>
      <c r="I2810" s="149"/>
      <c r="J2810" s="149"/>
      <c r="K2810" s="149"/>
      <c r="L2810" s="149"/>
      <c r="M2810" s="149"/>
      <c r="N2810" s="149"/>
      <c r="O2810" s="149"/>
      <c r="P2810" s="149"/>
      <c r="Q2810" s="149"/>
      <c r="R2810" s="149"/>
      <c r="S2810" s="149"/>
      <c r="T2810" s="149"/>
      <c r="U2810" s="149"/>
      <c r="V2810" s="149"/>
      <c r="W2810" s="149"/>
      <c r="X2810" s="149"/>
      <c r="Y2810" s="149"/>
      <c r="Z2810" s="149"/>
      <c r="AA2810" s="149"/>
      <c r="AB2810" s="149"/>
      <c r="AC2810" s="149"/>
      <c r="AD2810" s="149"/>
      <c r="AE2810" s="149"/>
      <c r="AF2810" s="149"/>
      <c r="AG2810" s="149"/>
      <c r="AH2810" s="149"/>
      <c r="AI2810" s="149"/>
      <c r="AJ2810" s="149"/>
      <c r="AK2810" s="149"/>
      <c r="AL2810" s="149"/>
      <c r="AM2810" s="149"/>
      <c r="AN2810" s="149"/>
      <c r="AO2810" s="128"/>
      <c r="AP2810" s="128"/>
      <c r="AQ2810" s="128"/>
      <c r="AR2810" s="128"/>
      <c r="AS2810" s="128"/>
      <c r="AT2810" s="128"/>
      <c r="AU2810" s="128"/>
      <c r="AV2810" s="128"/>
      <c r="AW2810" s="128"/>
      <c r="AX2810" s="128"/>
      <c r="AY2810" s="128"/>
      <c r="AZ2810" s="128"/>
      <c r="BA2810" s="128"/>
      <c r="BB2810" s="128"/>
      <c r="BC2810" s="128"/>
      <c r="BD2810" s="128"/>
      <c r="BE2810" s="128"/>
      <c r="BF2810" s="128"/>
      <c r="BG2810" s="128"/>
      <c r="BH2810" s="128"/>
      <c r="BI2810" s="128"/>
      <c r="BJ2810" s="128"/>
      <c r="BK2810" s="128"/>
      <c r="BL2810" s="128"/>
      <c r="BM2810" s="151"/>
      <c r="BN2810" s="128"/>
      <c r="BO2810" s="128"/>
      <c r="BP2810" s="128"/>
      <c r="BQ2810" s="128"/>
      <c r="BR2810" s="128"/>
      <c r="BS2810" s="128"/>
      <c r="BT2810" s="128"/>
      <c r="BU2810" s="128"/>
      <c r="BV2810" s="128"/>
      <c r="BW2810" s="128"/>
      <c r="BX2810" s="128"/>
      <c r="BY2810" s="128"/>
      <c r="BZ2810" s="128"/>
      <c r="CA2810" s="128"/>
      <c r="CB2810" s="128"/>
      <c r="CC2810" s="128"/>
      <c r="CD2810" s="128"/>
      <c r="CE2810" s="128"/>
      <c r="CF2810" s="128"/>
      <c r="CG2810" s="128"/>
      <c r="CI2810" s="128"/>
      <c r="CJ2810" s="128"/>
      <c r="CK2810" s="128"/>
      <c r="CL2810" s="128"/>
      <c r="CM2810" s="128"/>
      <c r="CN2810" s="128"/>
      <c r="CO2810" s="128"/>
      <c r="CP2810" s="128"/>
      <c r="CQ2810" s="128"/>
      <c r="CR2810" s="128"/>
      <c r="CS2810" s="128"/>
      <c r="CT2810" s="128"/>
      <c r="CU2810" s="128"/>
      <c r="CV2810" s="128"/>
      <c r="CW2810" s="128"/>
      <c r="CX2810" s="128"/>
      <c r="CY2810" s="128"/>
      <c r="CZ2810" s="165"/>
    </row>
    <row r="2811" spans="1:104">
      <c r="A2811" s="149"/>
      <c r="B2811" s="149"/>
      <c r="C2811" s="150"/>
      <c r="D2811" s="102"/>
      <c r="E2811" s="149"/>
      <c r="F2811" s="149"/>
      <c r="G2811" s="149"/>
      <c r="H2811" s="149"/>
      <c r="I2811" s="149"/>
      <c r="J2811" s="149"/>
      <c r="K2811" s="149"/>
      <c r="L2811" s="149"/>
      <c r="M2811" s="149"/>
      <c r="N2811" s="149"/>
      <c r="O2811" s="149"/>
      <c r="P2811" s="149"/>
      <c r="Q2811" s="149"/>
      <c r="R2811" s="149"/>
      <c r="S2811" s="149"/>
      <c r="T2811" s="149"/>
      <c r="U2811" s="149"/>
      <c r="V2811" s="149"/>
      <c r="W2811" s="149"/>
      <c r="X2811" s="149"/>
      <c r="Y2811" s="149"/>
      <c r="Z2811" s="149"/>
      <c r="AA2811" s="149"/>
      <c r="AB2811" s="149"/>
      <c r="AC2811" s="149"/>
      <c r="AD2811" s="149"/>
      <c r="AE2811" s="149"/>
      <c r="AF2811" s="149"/>
      <c r="AG2811" s="149"/>
      <c r="AH2811" s="149"/>
      <c r="AI2811" s="149"/>
      <c r="AJ2811" s="149"/>
      <c r="AK2811" s="149"/>
      <c r="AL2811" s="149"/>
      <c r="AM2811" s="149"/>
      <c r="AN2811" s="149"/>
      <c r="AO2811" s="128"/>
      <c r="AP2811" s="128"/>
      <c r="AQ2811" s="128"/>
      <c r="AR2811" s="128"/>
      <c r="AS2811" s="128"/>
      <c r="AT2811" s="128"/>
      <c r="AU2811" s="128"/>
      <c r="AV2811" s="128"/>
      <c r="AW2811" s="128"/>
      <c r="AX2811" s="128"/>
      <c r="AY2811" s="128"/>
      <c r="AZ2811" s="128"/>
      <c r="BA2811" s="128"/>
      <c r="BB2811" s="128"/>
      <c r="BC2811" s="128"/>
      <c r="BD2811" s="128"/>
      <c r="BE2811" s="128"/>
      <c r="BF2811" s="128"/>
      <c r="BG2811" s="128"/>
      <c r="BH2811" s="128"/>
      <c r="BI2811" s="128"/>
      <c r="BJ2811" s="128"/>
      <c r="BK2811" s="128"/>
      <c r="BL2811" s="128"/>
      <c r="BM2811" s="151"/>
      <c r="BN2811" s="128"/>
      <c r="BO2811" s="128"/>
      <c r="BP2811" s="128"/>
      <c r="BQ2811" s="128"/>
      <c r="BR2811" s="128"/>
      <c r="BS2811" s="128"/>
      <c r="BT2811" s="128"/>
      <c r="BU2811" s="128"/>
      <c r="BV2811" s="128"/>
      <c r="BW2811" s="128"/>
      <c r="BX2811" s="128"/>
      <c r="BY2811" s="128"/>
      <c r="BZ2811" s="128"/>
      <c r="CA2811" s="128"/>
      <c r="CB2811" s="128"/>
      <c r="CC2811" s="128"/>
      <c r="CD2811" s="128"/>
      <c r="CE2811" s="128"/>
      <c r="CF2811" s="128"/>
      <c r="CG2811" s="128"/>
      <c r="CI2811" s="128"/>
      <c r="CJ2811" s="128"/>
      <c r="CK2811" s="128"/>
      <c r="CL2811" s="128"/>
      <c r="CM2811" s="128"/>
      <c r="CN2811" s="128"/>
      <c r="CO2811" s="128"/>
      <c r="CP2811" s="128"/>
      <c r="CQ2811" s="128"/>
      <c r="CR2811" s="128"/>
      <c r="CS2811" s="128"/>
      <c r="CT2811" s="128"/>
      <c r="CU2811" s="128"/>
      <c r="CV2811" s="128"/>
      <c r="CW2811" s="128"/>
      <c r="CX2811" s="128"/>
      <c r="CY2811" s="128"/>
      <c r="CZ2811" s="165"/>
    </row>
    <row r="2812" spans="1:104">
      <c r="A2812" s="149"/>
      <c r="B2812" s="149"/>
      <c r="C2812" s="150"/>
      <c r="D2812" s="102"/>
      <c r="E2812" s="149"/>
      <c r="F2812" s="149"/>
      <c r="G2812" s="149"/>
      <c r="H2812" s="149"/>
      <c r="I2812" s="149"/>
      <c r="J2812" s="149"/>
      <c r="K2812" s="149"/>
      <c r="L2812" s="149"/>
      <c r="M2812" s="149"/>
      <c r="N2812" s="149"/>
      <c r="O2812" s="149"/>
      <c r="P2812" s="149"/>
      <c r="Q2812" s="149"/>
      <c r="R2812" s="149"/>
      <c r="S2812" s="149"/>
      <c r="T2812" s="149"/>
      <c r="U2812" s="149"/>
      <c r="V2812" s="149"/>
      <c r="W2812" s="149"/>
      <c r="X2812" s="149"/>
      <c r="Y2812" s="149"/>
      <c r="Z2812" s="149"/>
      <c r="AA2812" s="149"/>
      <c r="AB2812" s="149"/>
      <c r="AC2812" s="149"/>
      <c r="AD2812" s="149"/>
      <c r="AE2812" s="149"/>
      <c r="AF2812" s="149"/>
      <c r="AG2812" s="149"/>
      <c r="AH2812" s="149"/>
      <c r="AI2812" s="149"/>
      <c r="AJ2812" s="149"/>
      <c r="AK2812" s="149"/>
      <c r="AL2812" s="149"/>
      <c r="AM2812" s="149"/>
      <c r="AN2812" s="149"/>
      <c r="AO2812" s="128"/>
      <c r="AP2812" s="128"/>
      <c r="AQ2812" s="128"/>
      <c r="AR2812" s="128"/>
      <c r="AS2812" s="128"/>
      <c r="AT2812" s="128"/>
      <c r="AU2812" s="128"/>
      <c r="AV2812" s="128"/>
      <c r="AW2812" s="128"/>
      <c r="AX2812" s="128"/>
      <c r="AY2812" s="128"/>
      <c r="AZ2812" s="128"/>
      <c r="BA2812" s="128"/>
      <c r="BB2812" s="128"/>
      <c r="BC2812" s="128"/>
      <c r="BD2812" s="128"/>
      <c r="BE2812" s="128"/>
      <c r="BF2812" s="128"/>
      <c r="BG2812" s="128"/>
      <c r="BH2812" s="128"/>
      <c r="BI2812" s="128"/>
      <c r="BJ2812" s="128"/>
      <c r="BK2812" s="128"/>
      <c r="BL2812" s="128"/>
      <c r="BM2812" s="151"/>
      <c r="BN2812" s="128"/>
      <c r="BO2812" s="128"/>
      <c r="BP2812" s="128"/>
      <c r="BQ2812" s="128"/>
      <c r="BR2812" s="128"/>
      <c r="BS2812" s="128"/>
      <c r="BT2812" s="128"/>
      <c r="BU2812" s="128"/>
      <c r="BV2812" s="128"/>
      <c r="BW2812" s="128"/>
      <c r="BX2812" s="128"/>
      <c r="BY2812" s="128"/>
      <c r="BZ2812" s="128"/>
      <c r="CA2812" s="128"/>
      <c r="CB2812" s="128"/>
      <c r="CC2812" s="128"/>
      <c r="CD2812" s="128"/>
      <c r="CE2812" s="128"/>
      <c r="CF2812" s="128"/>
      <c r="CG2812" s="128"/>
      <c r="CI2812" s="128"/>
      <c r="CJ2812" s="128"/>
      <c r="CK2812" s="128"/>
      <c r="CL2812" s="128"/>
      <c r="CM2812" s="128"/>
      <c r="CN2812" s="128"/>
      <c r="CO2812" s="128"/>
      <c r="CP2812" s="128"/>
      <c r="CQ2812" s="128"/>
      <c r="CR2812" s="128"/>
      <c r="CS2812" s="128"/>
      <c r="CT2812" s="128"/>
      <c r="CU2812" s="128"/>
      <c r="CV2812" s="128"/>
      <c r="CW2812" s="128"/>
      <c r="CX2812" s="128"/>
      <c r="CY2812" s="128"/>
      <c r="CZ2812" s="165"/>
    </row>
    <row r="2813" spans="1:104">
      <c r="A2813" s="149"/>
      <c r="B2813" s="149"/>
      <c r="C2813" s="150"/>
      <c r="D2813" s="102"/>
      <c r="E2813" s="149"/>
      <c r="F2813" s="149"/>
      <c r="G2813" s="149"/>
      <c r="H2813" s="149"/>
      <c r="I2813" s="149"/>
      <c r="J2813" s="149"/>
      <c r="K2813" s="149"/>
      <c r="L2813" s="149"/>
      <c r="M2813" s="149"/>
      <c r="N2813" s="149"/>
      <c r="O2813" s="149"/>
      <c r="P2813" s="149"/>
      <c r="Q2813" s="149"/>
      <c r="R2813" s="149"/>
      <c r="S2813" s="149"/>
      <c r="T2813" s="149"/>
      <c r="U2813" s="149"/>
      <c r="V2813" s="149"/>
      <c r="W2813" s="149"/>
      <c r="X2813" s="149"/>
      <c r="Y2813" s="149"/>
      <c r="Z2813" s="149"/>
      <c r="AA2813" s="149"/>
      <c r="AB2813" s="149"/>
      <c r="AC2813" s="149"/>
      <c r="AD2813" s="149"/>
      <c r="AE2813" s="149"/>
      <c r="AF2813" s="149"/>
      <c r="AG2813" s="149"/>
      <c r="AH2813" s="149"/>
      <c r="AI2813" s="149"/>
      <c r="AJ2813" s="149"/>
      <c r="AK2813" s="149"/>
      <c r="AL2813" s="149"/>
      <c r="AM2813" s="149"/>
      <c r="AN2813" s="149"/>
      <c r="AO2813" s="128"/>
      <c r="AP2813" s="128"/>
      <c r="AQ2813" s="128"/>
      <c r="AR2813" s="128"/>
      <c r="AS2813" s="128"/>
      <c r="AT2813" s="128"/>
      <c r="AU2813" s="128"/>
      <c r="AV2813" s="128"/>
      <c r="AW2813" s="128"/>
      <c r="AX2813" s="128"/>
      <c r="AY2813" s="128"/>
      <c r="AZ2813" s="128"/>
      <c r="BA2813" s="128"/>
      <c r="BB2813" s="128"/>
      <c r="BC2813" s="128"/>
      <c r="BD2813" s="128"/>
      <c r="BE2813" s="128"/>
      <c r="BF2813" s="128"/>
      <c r="BG2813" s="128"/>
      <c r="BH2813" s="128"/>
      <c r="BI2813" s="128"/>
      <c r="BJ2813" s="128"/>
      <c r="BK2813" s="128"/>
      <c r="BL2813" s="128"/>
      <c r="BM2813" s="151"/>
      <c r="BN2813" s="128"/>
      <c r="BO2813" s="128"/>
      <c r="BP2813" s="128"/>
      <c r="BQ2813" s="128"/>
      <c r="BR2813" s="128"/>
      <c r="BS2813" s="128"/>
      <c r="BT2813" s="128"/>
      <c r="BU2813" s="128"/>
      <c r="BV2813" s="128"/>
      <c r="BW2813" s="128"/>
      <c r="BX2813" s="128"/>
      <c r="BY2813" s="128"/>
      <c r="BZ2813" s="128"/>
      <c r="CA2813" s="128"/>
      <c r="CB2813" s="128"/>
      <c r="CC2813" s="128"/>
      <c r="CD2813" s="128"/>
      <c r="CE2813" s="128"/>
      <c r="CF2813" s="128"/>
      <c r="CG2813" s="128"/>
      <c r="CI2813" s="128"/>
      <c r="CJ2813" s="128"/>
      <c r="CK2813" s="128"/>
      <c r="CL2813" s="128"/>
      <c r="CM2813" s="128"/>
      <c r="CN2813" s="128"/>
      <c r="CO2813" s="128"/>
      <c r="CP2813" s="128"/>
      <c r="CQ2813" s="128"/>
      <c r="CR2813" s="128"/>
      <c r="CS2813" s="128"/>
      <c r="CT2813" s="128"/>
      <c r="CU2813" s="128"/>
      <c r="CV2813" s="128"/>
      <c r="CW2813" s="128"/>
      <c r="CX2813" s="128"/>
      <c r="CY2813" s="128"/>
      <c r="CZ2813" s="165"/>
    </row>
    <row r="2814" spans="1:104">
      <c r="A2814" s="149"/>
      <c r="B2814" s="149"/>
      <c r="C2814" s="150"/>
      <c r="D2814" s="102"/>
      <c r="E2814" s="149"/>
      <c r="F2814" s="149"/>
      <c r="G2814" s="149"/>
      <c r="H2814" s="149"/>
      <c r="I2814" s="149"/>
      <c r="J2814" s="149"/>
      <c r="K2814" s="149"/>
      <c r="L2814" s="149"/>
      <c r="M2814" s="149"/>
      <c r="N2814" s="149"/>
      <c r="O2814" s="149"/>
      <c r="P2814" s="149"/>
      <c r="Q2814" s="149"/>
      <c r="R2814" s="149"/>
      <c r="S2814" s="149"/>
      <c r="T2814" s="149"/>
      <c r="U2814" s="149"/>
      <c r="V2814" s="149"/>
      <c r="W2814" s="149"/>
      <c r="X2814" s="149"/>
      <c r="Y2814" s="149"/>
      <c r="Z2814" s="149"/>
      <c r="AA2814" s="149"/>
      <c r="AB2814" s="149"/>
      <c r="AC2814" s="149"/>
      <c r="AD2814" s="149"/>
      <c r="AE2814" s="149"/>
      <c r="AF2814" s="149"/>
      <c r="AG2814" s="149"/>
      <c r="AH2814" s="149"/>
      <c r="AI2814" s="149"/>
      <c r="AJ2814" s="149"/>
      <c r="AK2814" s="149"/>
      <c r="AL2814" s="149"/>
      <c r="AM2814" s="149"/>
      <c r="AN2814" s="149"/>
      <c r="AO2814" s="128"/>
      <c r="AP2814" s="128"/>
      <c r="AQ2814" s="128"/>
      <c r="AR2814" s="128"/>
      <c r="AS2814" s="128"/>
      <c r="AT2814" s="128"/>
      <c r="AU2814" s="128"/>
      <c r="AV2814" s="128"/>
      <c r="AW2814" s="128"/>
      <c r="AX2814" s="128"/>
      <c r="AY2814" s="128"/>
      <c r="AZ2814" s="128"/>
      <c r="BA2814" s="128"/>
      <c r="BB2814" s="128"/>
      <c r="BC2814" s="128"/>
      <c r="BD2814" s="128"/>
      <c r="BE2814" s="128"/>
      <c r="BF2814" s="128"/>
      <c r="BG2814" s="128"/>
      <c r="BH2814" s="128"/>
      <c r="BI2814" s="128"/>
      <c r="BJ2814" s="128"/>
      <c r="BK2814" s="128"/>
      <c r="BL2814" s="128"/>
      <c r="BM2814" s="151"/>
      <c r="BN2814" s="128"/>
      <c r="BO2814" s="128"/>
      <c r="BP2814" s="128"/>
      <c r="BQ2814" s="128"/>
      <c r="BR2814" s="128"/>
      <c r="BS2814" s="128"/>
      <c r="BT2814" s="128"/>
      <c r="BU2814" s="128"/>
      <c r="BV2814" s="128"/>
      <c r="BW2814" s="128"/>
      <c r="BX2814" s="128"/>
      <c r="BY2814" s="128"/>
      <c r="BZ2814" s="128"/>
      <c r="CA2814" s="128"/>
      <c r="CB2814" s="128"/>
      <c r="CC2814" s="128"/>
      <c r="CD2814" s="128"/>
      <c r="CE2814" s="128"/>
      <c r="CF2814" s="128"/>
      <c r="CG2814" s="128"/>
      <c r="CI2814" s="128"/>
      <c r="CJ2814" s="128"/>
      <c r="CK2814" s="128"/>
      <c r="CL2814" s="128"/>
      <c r="CM2814" s="128"/>
      <c r="CN2814" s="128"/>
      <c r="CO2814" s="128"/>
      <c r="CP2814" s="128"/>
      <c r="CQ2814" s="128"/>
      <c r="CR2814" s="128"/>
      <c r="CS2814" s="128"/>
      <c r="CT2814" s="128"/>
      <c r="CU2814" s="128"/>
      <c r="CV2814" s="128"/>
      <c r="CW2814" s="128"/>
      <c r="CX2814" s="128"/>
      <c r="CY2814" s="128"/>
      <c r="CZ2814" s="165"/>
    </row>
    <row r="2815" spans="1:104">
      <c r="A2815" s="149"/>
      <c r="B2815" s="149"/>
      <c r="C2815" s="150"/>
      <c r="D2815" s="102"/>
      <c r="E2815" s="149"/>
      <c r="F2815" s="149"/>
      <c r="G2815" s="149"/>
      <c r="H2815" s="149"/>
      <c r="I2815" s="149"/>
      <c r="J2815" s="149"/>
      <c r="K2815" s="149"/>
      <c r="L2815" s="149"/>
      <c r="M2815" s="149"/>
      <c r="N2815" s="149"/>
      <c r="O2815" s="149"/>
      <c r="P2815" s="149"/>
      <c r="Q2815" s="149"/>
      <c r="R2815" s="149"/>
      <c r="S2815" s="149"/>
      <c r="T2815" s="149"/>
      <c r="U2815" s="149"/>
      <c r="V2815" s="149"/>
      <c r="W2815" s="149"/>
      <c r="X2815" s="149"/>
      <c r="Y2815" s="149"/>
      <c r="Z2815" s="149"/>
      <c r="AA2815" s="149"/>
      <c r="AB2815" s="149"/>
      <c r="AC2815" s="149"/>
      <c r="AD2815" s="149"/>
      <c r="AE2815" s="149"/>
      <c r="AF2815" s="149"/>
      <c r="AG2815" s="149"/>
      <c r="AH2815" s="149"/>
      <c r="AI2815" s="149"/>
      <c r="AJ2815" s="149"/>
      <c r="AK2815" s="149"/>
      <c r="AL2815" s="149"/>
      <c r="AM2815" s="149"/>
      <c r="AN2815" s="149"/>
      <c r="AO2815" s="128"/>
      <c r="AP2815" s="128"/>
      <c r="AQ2815" s="128"/>
      <c r="AR2815" s="128"/>
      <c r="AS2815" s="128"/>
      <c r="AT2815" s="128"/>
      <c r="AU2815" s="128"/>
      <c r="AV2815" s="128"/>
      <c r="AW2815" s="128"/>
      <c r="AX2815" s="128"/>
      <c r="AY2815" s="128"/>
      <c r="AZ2815" s="128"/>
      <c r="BA2815" s="128"/>
      <c r="BB2815" s="128"/>
      <c r="BC2815" s="128"/>
      <c r="BD2815" s="128"/>
      <c r="BE2815" s="128"/>
      <c r="BF2815" s="128"/>
      <c r="BG2815" s="128"/>
      <c r="BH2815" s="128"/>
      <c r="BI2815" s="128"/>
      <c r="BJ2815" s="128"/>
      <c r="BK2815" s="128"/>
      <c r="BL2815" s="128"/>
      <c r="BM2815" s="151"/>
      <c r="BN2815" s="128"/>
      <c r="BO2815" s="128"/>
      <c r="BP2815" s="128"/>
      <c r="BQ2815" s="128"/>
      <c r="BR2815" s="128"/>
      <c r="BS2815" s="128"/>
      <c r="BT2815" s="128"/>
      <c r="BU2815" s="128"/>
      <c r="BV2815" s="128"/>
      <c r="BW2815" s="128"/>
      <c r="BX2815" s="128"/>
      <c r="BY2815" s="128"/>
      <c r="BZ2815" s="128"/>
      <c r="CA2815" s="128"/>
      <c r="CB2815" s="128"/>
      <c r="CC2815" s="128"/>
      <c r="CD2815" s="128"/>
      <c r="CE2815" s="128"/>
      <c r="CF2815" s="128"/>
      <c r="CG2815" s="128"/>
      <c r="CI2815" s="128"/>
      <c r="CJ2815" s="128"/>
      <c r="CK2815" s="128"/>
      <c r="CL2815" s="128"/>
      <c r="CM2815" s="128"/>
      <c r="CN2815" s="128"/>
      <c r="CO2815" s="128"/>
      <c r="CP2815" s="128"/>
      <c r="CQ2815" s="128"/>
      <c r="CR2815" s="128"/>
      <c r="CS2815" s="128"/>
      <c r="CT2815" s="128"/>
      <c r="CU2815" s="128"/>
      <c r="CV2815" s="128"/>
      <c r="CW2815" s="128"/>
      <c r="CX2815" s="128"/>
      <c r="CY2815" s="128"/>
      <c r="CZ2815" s="165"/>
    </row>
    <row r="2816" spans="1:104">
      <c r="A2816" s="149"/>
      <c r="B2816" s="149"/>
      <c r="C2816" s="150"/>
      <c r="D2816" s="102"/>
      <c r="E2816" s="149"/>
      <c r="F2816" s="149"/>
      <c r="G2816" s="149"/>
      <c r="H2816" s="149"/>
      <c r="I2816" s="149"/>
      <c r="J2816" s="149"/>
      <c r="K2816" s="149"/>
      <c r="L2816" s="149"/>
      <c r="M2816" s="149"/>
      <c r="N2816" s="149"/>
      <c r="O2816" s="149"/>
      <c r="P2816" s="149"/>
      <c r="Q2816" s="149"/>
      <c r="R2816" s="149"/>
      <c r="S2816" s="149"/>
      <c r="T2816" s="149"/>
      <c r="U2816" s="149"/>
      <c r="V2816" s="149"/>
      <c r="W2816" s="149"/>
      <c r="X2816" s="149"/>
      <c r="Y2816" s="149"/>
      <c r="Z2816" s="149"/>
      <c r="AA2816" s="149"/>
      <c r="AB2816" s="149"/>
      <c r="AC2816" s="149"/>
      <c r="AD2816" s="149"/>
      <c r="AE2816" s="149"/>
      <c r="AF2816" s="149"/>
      <c r="AG2816" s="149"/>
      <c r="AH2816" s="149"/>
      <c r="AI2816" s="149"/>
      <c r="AJ2816" s="149"/>
      <c r="AK2816" s="149"/>
      <c r="AL2816" s="149"/>
      <c r="AM2816" s="149"/>
      <c r="AN2816" s="149"/>
      <c r="AO2816" s="128"/>
      <c r="AP2816" s="128"/>
      <c r="AQ2816" s="128"/>
      <c r="AR2816" s="128"/>
      <c r="AS2816" s="128"/>
      <c r="AT2816" s="128"/>
      <c r="AU2816" s="128"/>
      <c r="AV2816" s="128"/>
      <c r="AW2816" s="128"/>
      <c r="AX2816" s="128"/>
      <c r="AY2816" s="128"/>
      <c r="AZ2816" s="128"/>
      <c r="BA2816" s="128"/>
      <c r="BB2816" s="128"/>
      <c r="BC2816" s="128"/>
      <c r="BD2816" s="128"/>
      <c r="BE2816" s="128"/>
      <c r="BF2816" s="128"/>
      <c r="BG2816" s="128"/>
      <c r="BH2816" s="128"/>
      <c r="BI2816" s="128"/>
      <c r="BJ2816" s="128"/>
      <c r="BK2816" s="128"/>
      <c r="BL2816" s="128"/>
      <c r="BM2816" s="151"/>
      <c r="BN2816" s="128"/>
      <c r="BO2816" s="128"/>
      <c r="BP2816" s="128"/>
      <c r="BQ2816" s="128"/>
      <c r="BR2816" s="128"/>
      <c r="BS2816" s="128"/>
      <c r="BT2816" s="128"/>
      <c r="BU2816" s="128"/>
      <c r="BV2816" s="128"/>
      <c r="BW2816" s="128"/>
      <c r="BX2816" s="128"/>
      <c r="BY2816" s="128"/>
      <c r="BZ2816" s="128"/>
      <c r="CA2816" s="128"/>
      <c r="CB2816" s="128"/>
      <c r="CC2816" s="128"/>
      <c r="CD2816" s="128"/>
      <c r="CE2816" s="128"/>
      <c r="CF2816" s="128"/>
      <c r="CG2816" s="128"/>
      <c r="CI2816" s="128"/>
      <c r="CJ2816" s="128"/>
      <c r="CK2816" s="128"/>
      <c r="CL2816" s="128"/>
      <c r="CM2816" s="128"/>
      <c r="CN2816" s="128"/>
      <c r="CO2816" s="128"/>
      <c r="CP2816" s="128"/>
      <c r="CQ2816" s="128"/>
      <c r="CR2816" s="128"/>
      <c r="CS2816" s="128"/>
      <c r="CT2816" s="128"/>
      <c r="CU2816" s="128"/>
      <c r="CV2816" s="128"/>
      <c r="CW2816" s="128"/>
      <c r="CX2816" s="128"/>
      <c r="CY2816" s="128"/>
      <c r="CZ2816" s="165"/>
    </row>
    <row r="2817" spans="1:104">
      <c r="A2817" s="149"/>
      <c r="B2817" s="149"/>
      <c r="C2817" s="150"/>
      <c r="D2817" s="102"/>
      <c r="E2817" s="149"/>
      <c r="F2817" s="149"/>
      <c r="G2817" s="149"/>
      <c r="H2817" s="149"/>
      <c r="I2817" s="149"/>
      <c r="J2817" s="149"/>
      <c r="K2817" s="149"/>
      <c r="L2817" s="149"/>
      <c r="M2817" s="149"/>
      <c r="N2817" s="149"/>
      <c r="O2817" s="149"/>
      <c r="P2817" s="149"/>
      <c r="Q2817" s="149"/>
      <c r="R2817" s="149"/>
      <c r="S2817" s="149"/>
      <c r="T2817" s="149"/>
      <c r="U2817" s="149"/>
      <c r="V2817" s="149"/>
      <c r="W2817" s="149"/>
      <c r="X2817" s="149"/>
      <c r="Y2817" s="149"/>
      <c r="Z2817" s="149"/>
      <c r="AA2817" s="149"/>
      <c r="AB2817" s="149"/>
      <c r="AC2817" s="149"/>
      <c r="AD2817" s="149"/>
      <c r="AE2817" s="149"/>
      <c r="AF2817" s="149"/>
      <c r="AG2817" s="149"/>
      <c r="AH2817" s="149"/>
      <c r="AI2817" s="149"/>
      <c r="AJ2817" s="149"/>
      <c r="AK2817" s="149"/>
      <c r="AL2817" s="149"/>
      <c r="AM2817" s="149"/>
      <c r="AN2817" s="149"/>
      <c r="AO2817" s="128"/>
      <c r="AP2817" s="128"/>
      <c r="AQ2817" s="128"/>
      <c r="AR2817" s="128"/>
      <c r="AS2817" s="128"/>
      <c r="AT2817" s="128"/>
      <c r="AU2817" s="128"/>
      <c r="AV2817" s="128"/>
      <c r="AW2817" s="128"/>
      <c r="AX2817" s="128"/>
      <c r="AY2817" s="128"/>
      <c r="AZ2817" s="128"/>
      <c r="BA2817" s="128"/>
      <c r="BB2817" s="128"/>
      <c r="BC2817" s="128"/>
      <c r="BD2817" s="128"/>
      <c r="BE2817" s="128"/>
      <c r="BF2817" s="128"/>
      <c r="BG2817" s="128"/>
      <c r="BH2817" s="128"/>
      <c r="BI2817" s="128"/>
      <c r="BJ2817" s="128"/>
      <c r="BK2817" s="128"/>
      <c r="BL2817" s="128"/>
      <c r="BM2817" s="151"/>
      <c r="BN2817" s="128"/>
      <c r="BO2817" s="128"/>
      <c r="BP2817" s="128"/>
      <c r="BQ2817" s="128"/>
      <c r="BR2817" s="128"/>
      <c r="BS2817" s="128"/>
      <c r="BT2817" s="128"/>
      <c r="BU2817" s="128"/>
      <c r="BV2817" s="128"/>
      <c r="BW2817" s="128"/>
      <c r="BX2817" s="128"/>
      <c r="BY2817" s="128"/>
      <c r="BZ2817" s="128"/>
      <c r="CA2817" s="128"/>
      <c r="CB2817" s="128"/>
      <c r="CC2817" s="128"/>
      <c r="CD2817" s="128"/>
      <c r="CE2817" s="128"/>
      <c r="CF2817" s="128"/>
      <c r="CG2817" s="128"/>
      <c r="CI2817" s="128"/>
      <c r="CJ2817" s="128"/>
      <c r="CK2817" s="128"/>
      <c r="CL2817" s="128"/>
      <c r="CM2817" s="128"/>
      <c r="CN2817" s="128"/>
      <c r="CO2817" s="128"/>
      <c r="CP2817" s="128"/>
      <c r="CQ2817" s="128"/>
      <c r="CR2817" s="128"/>
      <c r="CS2817" s="128"/>
      <c r="CT2817" s="128"/>
      <c r="CU2817" s="128"/>
      <c r="CV2817" s="128"/>
      <c r="CW2817" s="128"/>
      <c r="CX2817" s="128"/>
      <c r="CY2817" s="128"/>
      <c r="CZ2817" s="165"/>
    </row>
    <row r="2818" spans="1:104">
      <c r="A2818" s="149"/>
      <c r="B2818" s="149"/>
      <c r="C2818" s="150"/>
      <c r="D2818" s="102"/>
      <c r="E2818" s="149"/>
      <c r="F2818" s="149"/>
      <c r="G2818" s="149"/>
      <c r="H2818" s="149"/>
      <c r="I2818" s="149"/>
      <c r="J2818" s="149"/>
      <c r="K2818" s="149"/>
      <c r="L2818" s="149"/>
      <c r="M2818" s="149"/>
      <c r="N2818" s="149"/>
      <c r="O2818" s="149"/>
      <c r="P2818" s="149"/>
      <c r="Q2818" s="149"/>
      <c r="R2818" s="149"/>
      <c r="S2818" s="149"/>
      <c r="T2818" s="149"/>
      <c r="U2818" s="149"/>
      <c r="V2818" s="149"/>
      <c r="W2818" s="149"/>
      <c r="X2818" s="149"/>
      <c r="Y2818" s="149"/>
      <c r="Z2818" s="149"/>
      <c r="AA2818" s="149"/>
      <c r="AB2818" s="149"/>
      <c r="AC2818" s="149"/>
      <c r="AD2818" s="149"/>
      <c r="AE2818" s="149"/>
      <c r="AF2818" s="149"/>
      <c r="AG2818" s="149"/>
      <c r="AH2818" s="149"/>
      <c r="AI2818" s="149"/>
      <c r="AJ2818" s="149"/>
      <c r="AK2818" s="149"/>
      <c r="AL2818" s="149"/>
      <c r="AM2818" s="149"/>
      <c r="AN2818" s="149"/>
      <c r="AO2818" s="128"/>
      <c r="AP2818" s="128"/>
      <c r="AQ2818" s="128"/>
      <c r="AR2818" s="128"/>
      <c r="AS2818" s="128"/>
      <c r="AT2818" s="128"/>
      <c r="AU2818" s="128"/>
      <c r="AV2818" s="128"/>
      <c r="AW2818" s="128"/>
      <c r="AX2818" s="128"/>
      <c r="AY2818" s="128"/>
      <c r="AZ2818" s="128"/>
      <c r="BA2818" s="128"/>
      <c r="BB2818" s="128"/>
      <c r="BC2818" s="128"/>
      <c r="BD2818" s="128"/>
      <c r="BE2818" s="128"/>
      <c r="BF2818" s="128"/>
      <c r="BG2818" s="128"/>
      <c r="BH2818" s="128"/>
      <c r="BI2818" s="128"/>
      <c r="BJ2818" s="128"/>
      <c r="BK2818" s="128"/>
      <c r="BL2818" s="128"/>
      <c r="BM2818" s="151"/>
      <c r="BN2818" s="128"/>
      <c r="BO2818" s="128"/>
      <c r="BP2818" s="128"/>
      <c r="BQ2818" s="128"/>
      <c r="BR2818" s="128"/>
      <c r="BS2818" s="128"/>
      <c r="BT2818" s="128"/>
      <c r="BU2818" s="128"/>
      <c r="BV2818" s="128"/>
      <c r="BW2818" s="128"/>
      <c r="BX2818" s="128"/>
      <c r="BY2818" s="128"/>
      <c r="BZ2818" s="128"/>
      <c r="CA2818" s="128"/>
      <c r="CB2818" s="128"/>
      <c r="CC2818" s="128"/>
      <c r="CD2818" s="128"/>
      <c r="CE2818" s="128"/>
      <c r="CF2818" s="128"/>
      <c r="CG2818" s="128"/>
      <c r="CI2818" s="128"/>
      <c r="CJ2818" s="128"/>
      <c r="CK2818" s="128"/>
      <c r="CL2818" s="128"/>
      <c r="CM2818" s="128"/>
      <c r="CN2818" s="128"/>
      <c r="CO2818" s="128"/>
      <c r="CP2818" s="128"/>
      <c r="CQ2818" s="128"/>
      <c r="CR2818" s="128"/>
      <c r="CS2818" s="128"/>
      <c r="CT2818" s="128"/>
      <c r="CU2818" s="128"/>
      <c r="CV2818" s="128"/>
      <c r="CW2818" s="128"/>
      <c r="CX2818" s="128"/>
      <c r="CY2818" s="128"/>
      <c r="CZ2818" s="165"/>
    </row>
    <row r="2819" spans="1:104">
      <c r="A2819" s="149"/>
      <c r="B2819" s="149"/>
      <c r="C2819" s="150"/>
      <c r="D2819" s="102"/>
      <c r="E2819" s="149"/>
      <c r="F2819" s="149"/>
      <c r="G2819" s="149"/>
      <c r="H2819" s="149"/>
      <c r="I2819" s="149"/>
      <c r="J2819" s="149"/>
      <c r="K2819" s="149"/>
      <c r="L2819" s="149"/>
      <c r="M2819" s="149"/>
      <c r="N2819" s="149"/>
      <c r="O2819" s="149"/>
      <c r="P2819" s="149"/>
      <c r="Q2819" s="149"/>
      <c r="R2819" s="149"/>
      <c r="S2819" s="149"/>
      <c r="T2819" s="149"/>
      <c r="U2819" s="149"/>
      <c r="V2819" s="149"/>
      <c r="W2819" s="149"/>
      <c r="X2819" s="149"/>
      <c r="Y2819" s="149"/>
      <c r="Z2819" s="149"/>
      <c r="AA2819" s="149"/>
      <c r="AB2819" s="149"/>
      <c r="AC2819" s="149"/>
      <c r="AD2819" s="149"/>
      <c r="AE2819" s="149"/>
      <c r="AF2819" s="149"/>
      <c r="AG2819" s="149"/>
      <c r="AH2819" s="149"/>
      <c r="AI2819" s="149"/>
      <c r="AJ2819" s="149"/>
      <c r="AK2819" s="149"/>
      <c r="AL2819" s="149"/>
      <c r="AM2819" s="149"/>
      <c r="AN2819" s="149"/>
      <c r="AO2819" s="128"/>
      <c r="AP2819" s="128"/>
      <c r="AQ2819" s="128"/>
      <c r="AR2819" s="128"/>
      <c r="AS2819" s="128"/>
      <c r="AT2819" s="128"/>
      <c r="AU2819" s="128"/>
      <c r="AV2819" s="128"/>
      <c r="AW2819" s="128"/>
      <c r="AX2819" s="128"/>
      <c r="AY2819" s="128"/>
      <c r="AZ2819" s="128"/>
      <c r="BA2819" s="128"/>
      <c r="BB2819" s="128"/>
      <c r="BC2819" s="128"/>
      <c r="BD2819" s="128"/>
      <c r="BE2819" s="128"/>
      <c r="BF2819" s="128"/>
      <c r="BG2819" s="128"/>
      <c r="BH2819" s="128"/>
      <c r="BI2819" s="128"/>
      <c r="BJ2819" s="128"/>
      <c r="BK2819" s="128"/>
      <c r="BL2819" s="128"/>
      <c r="BM2819" s="151"/>
      <c r="BN2819" s="128"/>
      <c r="BO2819" s="128"/>
      <c r="BP2819" s="128"/>
      <c r="BQ2819" s="128"/>
      <c r="BR2819" s="128"/>
      <c r="BS2819" s="128"/>
      <c r="BT2819" s="128"/>
      <c r="BU2819" s="128"/>
      <c r="BV2819" s="128"/>
      <c r="BW2819" s="128"/>
      <c r="BX2819" s="128"/>
      <c r="BY2819" s="128"/>
      <c r="BZ2819" s="128"/>
      <c r="CA2819" s="128"/>
      <c r="CB2819" s="128"/>
      <c r="CC2819" s="128"/>
      <c r="CD2819" s="128"/>
      <c r="CE2819" s="128"/>
      <c r="CF2819" s="128"/>
      <c r="CG2819" s="128"/>
      <c r="CI2819" s="128"/>
      <c r="CJ2819" s="128"/>
      <c r="CK2819" s="128"/>
      <c r="CL2819" s="128"/>
      <c r="CM2819" s="128"/>
      <c r="CN2819" s="128"/>
      <c r="CO2819" s="128"/>
      <c r="CP2819" s="128"/>
      <c r="CQ2819" s="128"/>
      <c r="CR2819" s="128"/>
      <c r="CS2819" s="128"/>
      <c r="CT2819" s="128"/>
      <c r="CU2819" s="128"/>
      <c r="CV2819" s="128"/>
      <c r="CW2819" s="128"/>
      <c r="CX2819" s="128"/>
      <c r="CY2819" s="128"/>
      <c r="CZ2819" s="165"/>
    </row>
    <row r="2820" spans="1:104">
      <c r="A2820" s="149"/>
      <c r="B2820" s="149"/>
      <c r="C2820" s="150"/>
      <c r="D2820" s="102"/>
      <c r="E2820" s="149"/>
      <c r="F2820" s="149"/>
      <c r="G2820" s="149"/>
      <c r="H2820" s="149"/>
      <c r="I2820" s="149"/>
      <c r="J2820" s="149"/>
      <c r="K2820" s="149"/>
      <c r="L2820" s="149"/>
      <c r="M2820" s="149"/>
      <c r="N2820" s="149"/>
      <c r="O2820" s="149"/>
      <c r="P2820" s="149"/>
      <c r="Q2820" s="149"/>
      <c r="R2820" s="149"/>
      <c r="S2820" s="149"/>
      <c r="T2820" s="149"/>
      <c r="U2820" s="149"/>
      <c r="V2820" s="149"/>
      <c r="W2820" s="149"/>
      <c r="X2820" s="149"/>
      <c r="Y2820" s="149"/>
      <c r="Z2820" s="149"/>
      <c r="AA2820" s="149"/>
      <c r="AB2820" s="149"/>
      <c r="AC2820" s="149"/>
      <c r="AD2820" s="149"/>
      <c r="AE2820" s="149"/>
      <c r="AF2820" s="149"/>
      <c r="AG2820" s="149"/>
      <c r="AH2820" s="149"/>
      <c r="AI2820" s="149"/>
      <c r="AJ2820" s="149"/>
      <c r="AK2820" s="149"/>
      <c r="AL2820" s="149"/>
      <c r="AM2820" s="149"/>
      <c r="AN2820" s="149"/>
      <c r="AO2820" s="128"/>
      <c r="AP2820" s="128"/>
      <c r="AQ2820" s="128"/>
      <c r="AR2820" s="128"/>
      <c r="AS2820" s="128"/>
      <c r="AT2820" s="128"/>
      <c r="AU2820" s="128"/>
      <c r="AV2820" s="128"/>
      <c r="AW2820" s="128"/>
      <c r="AX2820" s="128"/>
      <c r="AY2820" s="128"/>
      <c r="AZ2820" s="128"/>
      <c r="BA2820" s="128"/>
      <c r="BB2820" s="128"/>
      <c r="BC2820" s="128"/>
      <c r="BD2820" s="128"/>
      <c r="BE2820" s="128"/>
      <c r="BF2820" s="128"/>
      <c r="BG2820" s="128"/>
      <c r="BH2820" s="128"/>
      <c r="BI2820" s="128"/>
      <c r="BJ2820" s="128"/>
      <c r="BK2820" s="128"/>
      <c r="BL2820" s="128"/>
      <c r="BM2820" s="151"/>
      <c r="BN2820" s="128"/>
      <c r="BO2820" s="128"/>
      <c r="BP2820" s="128"/>
      <c r="BQ2820" s="128"/>
      <c r="BR2820" s="128"/>
      <c r="BS2820" s="128"/>
      <c r="BT2820" s="128"/>
      <c r="BU2820" s="128"/>
      <c r="BV2820" s="128"/>
      <c r="BW2820" s="128"/>
      <c r="BX2820" s="128"/>
      <c r="BY2820" s="128"/>
      <c r="BZ2820" s="128"/>
      <c r="CA2820" s="128"/>
      <c r="CB2820" s="128"/>
      <c r="CC2820" s="128"/>
      <c r="CD2820" s="128"/>
      <c r="CE2820" s="128"/>
      <c r="CF2820" s="128"/>
      <c r="CG2820" s="128"/>
      <c r="CI2820" s="128"/>
      <c r="CJ2820" s="128"/>
      <c r="CK2820" s="128"/>
      <c r="CL2820" s="128"/>
      <c r="CM2820" s="128"/>
      <c r="CN2820" s="128"/>
      <c r="CO2820" s="128"/>
      <c r="CP2820" s="128"/>
      <c r="CQ2820" s="128"/>
      <c r="CR2820" s="128"/>
      <c r="CS2820" s="128"/>
      <c r="CT2820" s="128"/>
      <c r="CU2820" s="128"/>
      <c r="CV2820" s="128"/>
      <c r="CW2820" s="128"/>
      <c r="CX2820" s="128"/>
      <c r="CY2820" s="128"/>
      <c r="CZ2820" s="165"/>
    </row>
    <row r="2821" spans="1:104">
      <c r="A2821" s="149"/>
      <c r="B2821" s="149"/>
      <c r="C2821" s="150"/>
      <c r="D2821" s="102"/>
      <c r="E2821" s="149"/>
      <c r="F2821" s="149"/>
      <c r="G2821" s="149"/>
      <c r="H2821" s="149"/>
      <c r="I2821" s="149"/>
      <c r="J2821" s="149"/>
      <c r="K2821" s="149"/>
      <c r="L2821" s="149"/>
      <c r="M2821" s="149"/>
      <c r="N2821" s="149"/>
      <c r="O2821" s="149"/>
      <c r="P2821" s="149"/>
      <c r="Q2821" s="149"/>
      <c r="R2821" s="149"/>
      <c r="S2821" s="149"/>
      <c r="T2821" s="149"/>
      <c r="U2821" s="149"/>
      <c r="V2821" s="149"/>
      <c r="W2821" s="149"/>
      <c r="X2821" s="149"/>
      <c r="Y2821" s="149"/>
      <c r="Z2821" s="149"/>
      <c r="AA2821" s="149"/>
      <c r="AB2821" s="149"/>
      <c r="AC2821" s="149"/>
      <c r="AD2821" s="149"/>
      <c r="AE2821" s="149"/>
      <c r="AF2821" s="149"/>
      <c r="AG2821" s="149"/>
      <c r="AH2821" s="149"/>
      <c r="AI2821" s="149"/>
      <c r="AJ2821" s="149"/>
      <c r="AK2821" s="149"/>
      <c r="AL2821" s="149"/>
      <c r="AM2821" s="149"/>
      <c r="AN2821" s="149"/>
      <c r="AO2821" s="128"/>
      <c r="AP2821" s="128"/>
      <c r="AQ2821" s="128"/>
      <c r="AR2821" s="128"/>
      <c r="AS2821" s="128"/>
      <c r="AT2821" s="128"/>
      <c r="AU2821" s="128"/>
      <c r="AV2821" s="128"/>
      <c r="AW2821" s="128"/>
      <c r="AX2821" s="128"/>
      <c r="AY2821" s="128"/>
      <c r="AZ2821" s="128"/>
      <c r="BA2821" s="128"/>
      <c r="BB2821" s="128"/>
      <c r="BC2821" s="128"/>
      <c r="BD2821" s="128"/>
      <c r="BE2821" s="128"/>
      <c r="BF2821" s="128"/>
      <c r="BG2821" s="128"/>
      <c r="BH2821" s="128"/>
      <c r="BI2821" s="128"/>
      <c r="BJ2821" s="128"/>
      <c r="BK2821" s="128"/>
      <c r="BL2821" s="128"/>
      <c r="BM2821" s="151"/>
      <c r="BN2821" s="128"/>
      <c r="BO2821" s="128"/>
      <c r="BP2821" s="128"/>
      <c r="BQ2821" s="128"/>
      <c r="BR2821" s="128"/>
      <c r="BS2821" s="128"/>
      <c r="BT2821" s="128"/>
      <c r="BU2821" s="128"/>
      <c r="BV2821" s="128"/>
      <c r="BW2821" s="128"/>
      <c r="BX2821" s="128"/>
      <c r="BY2821" s="128"/>
      <c r="BZ2821" s="128"/>
      <c r="CA2821" s="128"/>
      <c r="CB2821" s="128"/>
      <c r="CC2821" s="128"/>
      <c r="CD2821" s="128"/>
      <c r="CE2821" s="128"/>
      <c r="CF2821" s="128"/>
      <c r="CG2821" s="128"/>
      <c r="CI2821" s="128"/>
      <c r="CJ2821" s="128"/>
      <c r="CK2821" s="128"/>
      <c r="CL2821" s="128"/>
      <c r="CM2821" s="128"/>
      <c r="CN2821" s="128"/>
      <c r="CO2821" s="128"/>
      <c r="CP2821" s="128"/>
      <c r="CQ2821" s="128"/>
      <c r="CR2821" s="128"/>
      <c r="CS2821" s="128"/>
      <c r="CT2821" s="128"/>
      <c r="CU2821" s="128"/>
      <c r="CV2821" s="128"/>
      <c r="CW2821" s="128"/>
      <c r="CX2821" s="128"/>
      <c r="CY2821" s="128"/>
      <c r="CZ2821" s="165"/>
    </row>
    <row r="2822" spans="1:104">
      <c r="A2822" s="149"/>
      <c r="B2822" s="149"/>
      <c r="C2822" s="150"/>
      <c r="D2822" s="102"/>
      <c r="E2822" s="149"/>
      <c r="F2822" s="149"/>
      <c r="G2822" s="149"/>
      <c r="H2822" s="149"/>
      <c r="I2822" s="149"/>
      <c r="J2822" s="149"/>
      <c r="K2822" s="149"/>
      <c r="L2822" s="149"/>
      <c r="M2822" s="149"/>
      <c r="N2822" s="149"/>
      <c r="O2822" s="149"/>
      <c r="P2822" s="149"/>
      <c r="Q2822" s="149"/>
      <c r="R2822" s="149"/>
      <c r="S2822" s="149"/>
      <c r="T2822" s="149"/>
      <c r="U2822" s="149"/>
      <c r="V2822" s="149"/>
      <c r="W2822" s="149"/>
      <c r="X2822" s="149"/>
      <c r="Y2822" s="149"/>
      <c r="Z2822" s="149"/>
      <c r="AA2822" s="149"/>
      <c r="AB2822" s="149"/>
      <c r="AC2822" s="149"/>
      <c r="AD2822" s="149"/>
      <c r="AE2822" s="149"/>
      <c r="AF2822" s="149"/>
      <c r="AG2822" s="149"/>
      <c r="AH2822" s="149"/>
      <c r="AI2822" s="149"/>
      <c r="AJ2822" s="149"/>
      <c r="AK2822" s="149"/>
      <c r="AL2822" s="149"/>
      <c r="AM2822" s="149"/>
      <c r="AN2822" s="149"/>
      <c r="AO2822" s="128"/>
      <c r="AP2822" s="128"/>
      <c r="AQ2822" s="128"/>
      <c r="AR2822" s="128"/>
      <c r="AS2822" s="128"/>
      <c r="AT2822" s="128"/>
      <c r="AU2822" s="128"/>
      <c r="AV2822" s="128"/>
      <c r="AW2822" s="128"/>
      <c r="AX2822" s="128"/>
      <c r="AY2822" s="128"/>
      <c r="AZ2822" s="128"/>
      <c r="BA2822" s="128"/>
      <c r="BB2822" s="128"/>
      <c r="BC2822" s="128"/>
      <c r="BD2822" s="128"/>
      <c r="BE2822" s="128"/>
      <c r="BF2822" s="128"/>
      <c r="BG2822" s="128"/>
      <c r="BH2822" s="128"/>
      <c r="BI2822" s="128"/>
      <c r="BJ2822" s="128"/>
      <c r="BK2822" s="128"/>
      <c r="BL2822" s="128"/>
      <c r="BM2822" s="151"/>
      <c r="BN2822" s="128"/>
      <c r="BO2822" s="128"/>
      <c r="BP2822" s="128"/>
      <c r="BQ2822" s="128"/>
      <c r="BR2822" s="128"/>
      <c r="BS2822" s="128"/>
      <c r="BT2822" s="128"/>
      <c r="BU2822" s="128"/>
      <c r="BV2822" s="128"/>
      <c r="BW2822" s="128"/>
      <c r="BX2822" s="128"/>
      <c r="BY2822" s="128"/>
      <c r="BZ2822" s="128"/>
      <c r="CA2822" s="128"/>
      <c r="CB2822" s="128"/>
      <c r="CC2822" s="128"/>
      <c r="CD2822" s="128"/>
      <c r="CE2822" s="128"/>
      <c r="CF2822" s="128"/>
      <c r="CG2822" s="128"/>
      <c r="CI2822" s="128"/>
      <c r="CJ2822" s="128"/>
      <c r="CK2822" s="128"/>
      <c r="CL2822" s="128"/>
      <c r="CM2822" s="128"/>
      <c r="CN2822" s="128"/>
      <c r="CO2822" s="128"/>
      <c r="CP2822" s="128"/>
      <c r="CQ2822" s="128"/>
      <c r="CR2822" s="128"/>
      <c r="CS2822" s="128"/>
      <c r="CT2822" s="128"/>
      <c r="CU2822" s="128"/>
      <c r="CV2822" s="128"/>
      <c r="CW2822" s="128"/>
      <c r="CX2822" s="128"/>
      <c r="CY2822" s="128"/>
      <c r="CZ2822" s="165"/>
    </row>
    <row r="2823" spans="1:104">
      <c r="A2823" s="149"/>
      <c r="B2823" s="149"/>
      <c r="C2823" s="150"/>
      <c r="D2823" s="102"/>
      <c r="E2823" s="149"/>
      <c r="F2823" s="149"/>
      <c r="G2823" s="149"/>
      <c r="H2823" s="149"/>
      <c r="I2823" s="149"/>
      <c r="J2823" s="149"/>
      <c r="K2823" s="149"/>
      <c r="L2823" s="149"/>
      <c r="M2823" s="149"/>
      <c r="N2823" s="149"/>
      <c r="O2823" s="149"/>
      <c r="P2823" s="149"/>
      <c r="Q2823" s="149"/>
      <c r="R2823" s="149"/>
      <c r="S2823" s="149"/>
      <c r="T2823" s="149"/>
      <c r="U2823" s="149"/>
      <c r="V2823" s="149"/>
      <c r="W2823" s="149"/>
      <c r="X2823" s="149"/>
      <c r="Y2823" s="149"/>
      <c r="Z2823" s="149"/>
      <c r="AA2823" s="149"/>
      <c r="AB2823" s="149"/>
      <c r="AC2823" s="149"/>
      <c r="AD2823" s="149"/>
      <c r="AE2823" s="149"/>
      <c r="AF2823" s="149"/>
      <c r="AG2823" s="149"/>
      <c r="AH2823" s="149"/>
      <c r="AI2823" s="149"/>
      <c r="AJ2823" s="149"/>
      <c r="AK2823" s="149"/>
      <c r="AL2823" s="149"/>
      <c r="AM2823" s="149"/>
      <c r="AN2823" s="149"/>
      <c r="AO2823" s="128"/>
      <c r="AP2823" s="128"/>
      <c r="AQ2823" s="128"/>
      <c r="AR2823" s="128"/>
      <c r="AS2823" s="128"/>
      <c r="AT2823" s="128"/>
      <c r="AU2823" s="128"/>
      <c r="AV2823" s="128"/>
      <c r="AW2823" s="128"/>
      <c r="AX2823" s="128"/>
      <c r="AY2823" s="128"/>
      <c r="AZ2823" s="128"/>
      <c r="BA2823" s="128"/>
      <c r="BB2823" s="128"/>
      <c r="BC2823" s="128"/>
      <c r="BD2823" s="128"/>
      <c r="BE2823" s="128"/>
      <c r="BF2823" s="128"/>
      <c r="BG2823" s="128"/>
      <c r="BH2823" s="128"/>
      <c r="BI2823" s="128"/>
      <c r="BJ2823" s="128"/>
      <c r="BK2823" s="128"/>
      <c r="BL2823" s="128"/>
      <c r="BM2823" s="151"/>
      <c r="BN2823" s="128"/>
      <c r="BO2823" s="128"/>
      <c r="BP2823" s="128"/>
      <c r="BQ2823" s="128"/>
      <c r="BR2823" s="128"/>
      <c r="BS2823" s="128"/>
      <c r="BT2823" s="128"/>
      <c r="BU2823" s="128"/>
      <c r="BV2823" s="128"/>
      <c r="BW2823" s="128"/>
      <c r="BX2823" s="128"/>
      <c r="BY2823" s="128"/>
      <c r="BZ2823" s="128"/>
      <c r="CA2823" s="128"/>
      <c r="CB2823" s="128"/>
      <c r="CC2823" s="128"/>
      <c r="CD2823" s="128"/>
      <c r="CE2823" s="128"/>
      <c r="CF2823" s="128"/>
      <c r="CG2823" s="128"/>
      <c r="CI2823" s="128"/>
      <c r="CJ2823" s="128"/>
      <c r="CK2823" s="128"/>
      <c r="CL2823" s="128"/>
      <c r="CM2823" s="128"/>
      <c r="CN2823" s="128"/>
      <c r="CO2823" s="128"/>
      <c r="CP2823" s="128"/>
      <c r="CQ2823" s="128"/>
      <c r="CR2823" s="128"/>
      <c r="CS2823" s="128"/>
      <c r="CT2823" s="128"/>
      <c r="CU2823" s="128"/>
      <c r="CV2823" s="128"/>
      <c r="CW2823" s="128"/>
      <c r="CX2823" s="128"/>
      <c r="CY2823" s="128"/>
      <c r="CZ2823" s="165"/>
    </row>
    <row r="2824" spans="1:104">
      <c r="A2824" s="149"/>
      <c r="B2824" s="149"/>
      <c r="C2824" s="150"/>
      <c r="D2824" s="102"/>
      <c r="E2824" s="149"/>
      <c r="F2824" s="149"/>
      <c r="G2824" s="149"/>
      <c r="H2824" s="149"/>
      <c r="I2824" s="149"/>
      <c r="J2824" s="149"/>
      <c r="K2824" s="149"/>
      <c r="L2824" s="149"/>
      <c r="M2824" s="149"/>
      <c r="N2824" s="149"/>
      <c r="O2824" s="149"/>
      <c r="P2824" s="149"/>
      <c r="Q2824" s="149"/>
      <c r="R2824" s="149"/>
      <c r="S2824" s="149"/>
      <c r="T2824" s="149"/>
      <c r="U2824" s="149"/>
      <c r="V2824" s="149"/>
      <c r="W2824" s="149"/>
      <c r="X2824" s="149"/>
      <c r="Y2824" s="149"/>
      <c r="Z2824" s="149"/>
      <c r="AA2824" s="149"/>
      <c r="AB2824" s="149"/>
      <c r="AC2824" s="149"/>
      <c r="AD2824" s="149"/>
      <c r="AE2824" s="149"/>
      <c r="AF2824" s="149"/>
      <c r="AG2824" s="149"/>
      <c r="AH2824" s="149"/>
      <c r="AI2824" s="149"/>
      <c r="AJ2824" s="149"/>
      <c r="AK2824" s="149"/>
      <c r="AL2824" s="149"/>
      <c r="AM2824" s="149"/>
      <c r="AN2824" s="149"/>
      <c r="AO2824" s="128"/>
      <c r="AP2824" s="128"/>
      <c r="AQ2824" s="128"/>
      <c r="AR2824" s="128"/>
      <c r="AS2824" s="128"/>
      <c r="AT2824" s="128"/>
      <c r="AU2824" s="128"/>
      <c r="AV2824" s="128"/>
      <c r="AW2824" s="128"/>
      <c r="AX2824" s="128"/>
      <c r="AY2824" s="128"/>
      <c r="AZ2824" s="128"/>
      <c r="BA2824" s="128"/>
      <c r="BB2824" s="128"/>
      <c r="BC2824" s="128"/>
      <c r="BD2824" s="128"/>
      <c r="BE2824" s="128"/>
      <c r="BF2824" s="128"/>
      <c r="BG2824" s="128"/>
      <c r="BH2824" s="128"/>
      <c r="BI2824" s="128"/>
      <c r="BJ2824" s="128"/>
      <c r="BK2824" s="128"/>
      <c r="BL2824" s="128"/>
      <c r="BM2824" s="151"/>
      <c r="BN2824" s="128"/>
      <c r="BO2824" s="128"/>
      <c r="BP2824" s="128"/>
      <c r="BQ2824" s="128"/>
      <c r="BR2824" s="128"/>
      <c r="BS2824" s="128"/>
      <c r="BT2824" s="128"/>
      <c r="BU2824" s="128"/>
      <c r="BV2824" s="128"/>
      <c r="BW2824" s="128"/>
      <c r="BX2824" s="128"/>
      <c r="BY2824" s="128"/>
      <c r="BZ2824" s="128"/>
      <c r="CA2824" s="128"/>
      <c r="CB2824" s="128"/>
      <c r="CC2824" s="128"/>
      <c r="CD2824" s="128"/>
      <c r="CE2824" s="128"/>
      <c r="CF2824" s="128"/>
      <c r="CG2824" s="128"/>
      <c r="CI2824" s="128"/>
      <c r="CJ2824" s="128"/>
      <c r="CK2824" s="128"/>
      <c r="CL2824" s="128"/>
      <c r="CM2824" s="128"/>
      <c r="CN2824" s="128"/>
      <c r="CO2824" s="128"/>
      <c r="CP2824" s="128"/>
      <c r="CQ2824" s="128"/>
      <c r="CR2824" s="128"/>
      <c r="CS2824" s="128"/>
      <c r="CT2824" s="128"/>
      <c r="CU2824" s="128"/>
      <c r="CV2824" s="128"/>
      <c r="CW2824" s="128"/>
      <c r="CX2824" s="128"/>
      <c r="CY2824" s="128"/>
      <c r="CZ2824" s="165"/>
    </row>
    <row r="2825" spans="1:104">
      <c r="A2825" s="149"/>
      <c r="B2825" s="149"/>
      <c r="C2825" s="150"/>
      <c r="D2825" s="102"/>
      <c r="E2825" s="149"/>
      <c r="F2825" s="149"/>
      <c r="G2825" s="149"/>
      <c r="H2825" s="149"/>
      <c r="I2825" s="149"/>
      <c r="J2825" s="149"/>
      <c r="K2825" s="149"/>
      <c r="L2825" s="149"/>
      <c r="M2825" s="149"/>
      <c r="N2825" s="149"/>
      <c r="O2825" s="149"/>
      <c r="P2825" s="149"/>
      <c r="Q2825" s="149"/>
      <c r="R2825" s="149"/>
      <c r="S2825" s="149"/>
      <c r="T2825" s="149"/>
      <c r="U2825" s="149"/>
      <c r="V2825" s="149"/>
      <c r="W2825" s="149"/>
      <c r="X2825" s="149"/>
      <c r="Y2825" s="149"/>
      <c r="Z2825" s="149"/>
      <c r="AA2825" s="149"/>
      <c r="AB2825" s="149"/>
      <c r="AC2825" s="149"/>
      <c r="AD2825" s="149"/>
      <c r="AE2825" s="149"/>
      <c r="AF2825" s="149"/>
      <c r="AG2825" s="149"/>
      <c r="AH2825" s="149"/>
      <c r="AI2825" s="149"/>
      <c r="AJ2825" s="149"/>
      <c r="AK2825" s="149"/>
      <c r="AL2825" s="149"/>
      <c r="AM2825" s="149"/>
      <c r="AN2825" s="149"/>
      <c r="AO2825" s="128"/>
      <c r="AP2825" s="128"/>
      <c r="AQ2825" s="128"/>
      <c r="AR2825" s="128"/>
      <c r="AS2825" s="128"/>
      <c r="AT2825" s="128"/>
      <c r="AU2825" s="128"/>
      <c r="AV2825" s="128"/>
      <c r="AW2825" s="128"/>
      <c r="AX2825" s="128"/>
      <c r="AY2825" s="128"/>
      <c r="AZ2825" s="128"/>
      <c r="BA2825" s="128"/>
      <c r="BB2825" s="128"/>
      <c r="BC2825" s="128"/>
      <c r="BD2825" s="128"/>
      <c r="BE2825" s="128"/>
      <c r="BF2825" s="128"/>
      <c r="BG2825" s="128"/>
      <c r="BH2825" s="128"/>
      <c r="BI2825" s="128"/>
      <c r="BJ2825" s="128"/>
      <c r="BK2825" s="128"/>
      <c r="BL2825" s="128"/>
      <c r="BM2825" s="151"/>
      <c r="BN2825" s="128"/>
      <c r="BO2825" s="128"/>
      <c r="BP2825" s="128"/>
      <c r="BQ2825" s="128"/>
      <c r="BR2825" s="128"/>
      <c r="BS2825" s="128"/>
      <c r="BT2825" s="128"/>
      <c r="BU2825" s="128"/>
      <c r="BV2825" s="128"/>
      <c r="BW2825" s="128"/>
      <c r="BX2825" s="128"/>
      <c r="BY2825" s="128"/>
      <c r="BZ2825" s="128"/>
      <c r="CA2825" s="128"/>
      <c r="CB2825" s="128"/>
      <c r="CC2825" s="128"/>
      <c r="CD2825" s="128"/>
      <c r="CE2825" s="128"/>
      <c r="CF2825" s="128"/>
      <c r="CG2825" s="128"/>
      <c r="CI2825" s="128"/>
      <c r="CJ2825" s="128"/>
      <c r="CK2825" s="128"/>
      <c r="CL2825" s="128"/>
      <c r="CM2825" s="128"/>
      <c r="CN2825" s="128"/>
      <c r="CO2825" s="128"/>
      <c r="CP2825" s="128"/>
      <c r="CQ2825" s="128"/>
      <c r="CR2825" s="128"/>
      <c r="CS2825" s="128"/>
      <c r="CT2825" s="128"/>
      <c r="CU2825" s="128"/>
      <c r="CV2825" s="128"/>
      <c r="CW2825" s="128"/>
      <c r="CX2825" s="128"/>
      <c r="CY2825" s="128"/>
      <c r="CZ2825" s="165"/>
    </row>
    <row r="2826" spans="1:104">
      <c r="A2826" s="149"/>
      <c r="B2826" s="149"/>
      <c r="C2826" s="150"/>
      <c r="D2826" s="102"/>
      <c r="E2826" s="149"/>
      <c r="F2826" s="149"/>
      <c r="G2826" s="149"/>
      <c r="H2826" s="149"/>
      <c r="I2826" s="149"/>
      <c r="J2826" s="149"/>
      <c r="K2826" s="149"/>
      <c r="L2826" s="149"/>
      <c r="M2826" s="149"/>
      <c r="N2826" s="149"/>
      <c r="O2826" s="149"/>
      <c r="P2826" s="149"/>
      <c r="Q2826" s="149"/>
      <c r="R2826" s="149"/>
      <c r="S2826" s="149"/>
      <c r="T2826" s="149"/>
      <c r="U2826" s="149"/>
      <c r="V2826" s="149"/>
      <c r="W2826" s="149"/>
      <c r="X2826" s="149"/>
      <c r="Y2826" s="149"/>
      <c r="Z2826" s="149"/>
      <c r="AA2826" s="149"/>
      <c r="AB2826" s="149"/>
      <c r="AC2826" s="149"/>
      <c r="AD2826" s="149"/>
      <c r="AE2826" s="149"/>
      <c r="AF2826" s="149"/>
      <c r="AG2826" s="149"/>
      <c r="AH2826" s="149"/>
      <c r="AI2826" s="149"/>
      <c r="AJ2826" s="149"/>
      <c r="AK2826" s="149"/>
      <c r="AL2826" s="149"/>
      <c r="AM2826" s="149"/>
      <c r="AN2826" s="149"/>
      <c r="AO2826" s="128"/>
      <c r="AP2826" s="128"/>
      <c r="AQ2826" s="128"/>
      <c r="AR2826" s="128"/>
      <c r="AS2826" s="128"/>
      <c r="AT2826" s="128"/>
      <c r="AU2826" s="128"/>
      <c r="AV2826" s="128"/>
      <c r="AW2826" s="128"/>
      <c r="AX2826" s="128"/>
      <c r="AY2826" s="128"/>
      <c r="AZ2826" s="128"/>
      <c r="BA2826" s="128"/>
      <c r="BB2826" s="128"/>
      <c r="BC2826" s="128"/>
      <c r="BD2826" s="128"/>
      <c r="BE2826" s="128"/>
      <c r="BF2826" s="128"/>
      <c r="BG2826" s="128"/>
      <c r="BH2826" s="128"/>
      <c r="BI2826" s="128"/>
      <c r="BJ2826" s="128"/>
      <c r="BK2826" s="128"/>
      <c r="BL2826" s="128"/>
      <c r="BM2826" s="151"/>
      <c r="BN2826" s="128"/>
      <c r="BO2826" s="128"/>
      <c r="BP2826" s="128"/>
      <c r="BQ2826" s="128"/>
      <c r="BR2826" s="128"/>
      <c r="BS2826" s="128"/>
      <c r="BT2826" s="128"/>
      <c r="BU2826" s="128"/>
      <c r="BV2826" s="128"/>
      <c r="BW2826" s="128"/>
      <c r="BX2826" s="128"/>
      <c r="BY2826" s="128"/>
      <c r="BZ2826" s="128"/>
      <c r="CA2826" s="128"/>
      <c r="CB2826" s="128"/>
      <c r="CC2826" s="128"/>
      <c r="CD2826" s="128"/>
      <c r="CE2826" s="128"/>
      <c r="CF2826" s="128"/>
      <c r="CG2826" s="128"/>
      <c r="CI2826" s="128"/>
      <c r="CJ2826" s="128"/>
      <c r="CK2826" s="128"/>
      <c r="CL2826" s="128"/>
      <c r="CM2826" s="128"/>
      <c r="CN2826" s="128"/>
      <c r="CO2826" s="128"/>
      <c r="CP2826" s="128"/>
      <c r="CQ2826" s="128"/>
      <c r="CR2826" s="128"/>
      <c r="CS2826" s="128"/>
      <c r="CT2826" s="128"/>
      <c r="CU2826" s="128"/>
      <c r="CV2826" s="128"/>
      <c r="CW2826" s="128"/>
      <c r="CX2826" s="128"/>
      <c r="CY2826" s="128"/>
      <c r="CZ2826" s="165"/>
    </row>
    <row r="2827" spans="1:104">
      <c r="A2827" s="149"/>
      <c r="B2827" s="149"/>
      <c r="C2827" s="150"/>
      <c r="D2827" s="102"/>
      <c r="E2827" s="149"/>
      <c r="F2827" s="149"/>
      <c r="G2827" s="149"/>
      <c r="H2827" s="149"/>
      <c r="I2827" s="149"/>
      <c r="J2827" s="149"/>
      <c r="K2827" s="149"/>
      <c r="L2827" s="149"/>
      <c r="M2827" s="149"/>
      <c r="N2827" s="149"/>
      <c r="O2827" s="149"/>
      <c r="P2827" s="149"/>
      <c r="Q2827" s="149"/>
      <c r="R2827" s="149"/>
      <c r="S2827" s="149"/>
      <c r="T2827" s="149"/>
      <c r="U2827" s="149"/>
      <c r="V2827" s="149"/>
      <c r="W2827" s="149"/>
      <c r="X2827" s="149"/>
      <c r="Y2827" s="149"/>
      <c r="Z2827" s="149"/>
      <c r="AA2827" s="149"/>
      <c r="AB2827" s="149"/>
      <c r="AC2827" s="149"/>
      <c r="AD2827" s="149"/>
      <c r="AE2827" s="149"/>
      <c r="AF2827" s="149"/>
      <c r="AG2827" s="149"/>
      <c r="AH2827" s="149"/>
      <c r="AI2827" s="149"/>
      <c r="AJ2827" s="149"/>
      <c r="AK2827" s="149"/>
      <c r="AL2827" s="149"/>
      <c r="AM2827" s="149"/>
      <c r="AN2827" s="149"/>
      <c r="AO2827" s="128"/>
      <c r="AP2827" s="128"/>
      <c r="AQ2827" s="128"/>
      <c r="AR2827" s="128"/>
      <c r="AS2827" s="128"/>
      <c r="AT2827" s="128"/>
      <c r="AU2827" s="128"/>
      <c r="AV2827" s="128"/>
      <c r="AW2827" s="128"/>
      <c r="AX2827" s="128"/>
      <c r="AY2827" s="128"/>
      <c r="AZ2827" s="128"/>
      <c r="BA2827" s="128"/>
      <c r="BB2827" s="128"/>
      <c r="BC2827" s="128"/>
      <c r="BD2827" s="128"/>
      <c r="BE2827" s="128"/>
      <c r="BF2827" s="128"/>
      <c r="BG2827" s="128"/>
      <c r="BH2827" s="128"/>
      <c r="BI2827" s="128"/>
      <c r="BJ2827" s="128"/>
      <c r="BK2827" s="128"/>
      <c r="BL2827" s="128"/>
      <c r="BM2827" s="151"/>
      <c r="BN2827" s="128"/>
      <c r="BO2827" s="128"/>
      <c r="BP2827" s="128"/>
      <c r="BQ2827" s="128"/>
      <c r="BR2827" s="128"/>
      <c r="BS2827" s="128"/>
      <c r="BT2827" s="128"/>
      <c r="BU2827" s="128"/>
      <c r="BV2827" s="128"/>
      <c r="BW2827" s="128"/>
      <c r="BX2827" s="128"/>
      <c r="BY2827" s="128"/>
      <c r="BZ2827" s="128"/>
      <c r="CA2827" s="128"/>
      <c r="CB2827" s="128"/>
      <c r="CC2827" s="128"/>
      <c r="CD2827" s="128"/>
      <c r="CE2827" s="128"/>
      <c r="CF2827" s="128"/>
      <c r="CG2827" s="128"/>
      <c r="CI2827" s="128"/>
      <c r="CJ2827" s="128"/>
      <c r="CK2827" s="128"/>
      <c r="CL2827" s="128"/>
      <c r="CM2827" s="128"/>
      <c r="CN2827" s="128"/>
      <c r="CO2827" s="128"/>
      <c r="CP2827" s="128"/>
      <c r="CQ2827" s="128"/>
      <c r="CR2827" s="128"/>
      <c r="CS2827" s="128"/>
      <c r="CT2827" s="128"/>
      <c r="CU2827" s="128"/>
      <c r="CV2827" s="128"/>
      <c r="CW2827" s="128"/>
      <c r="CX2827" s="128"/>
      <c r="CY2827" s="128"/>
      <c r="CZ2827" s="165"/>
    </row>
    <row r="2828" spans="1:104">
      <c r="A2828" s="149"/>
      <c r="B2828" s="149"/>
      <c r="C2828" s="150"/>
      <c r="D2828" s="102"/>
      <c r="E2828" s="149"/>
      <c r="F2828" s="149"/>
      <c r="G2828" s="149"/>
      <c r="H2828" s="149"/>
      <c r="I2828" s="149"/>
      <c r="J2828" s="149"/>
      <c r="K2828" s="149"/>
      <c r="L2828" s="149"/>
      <c r="M2828" s="149"/>
      <c r="N2828" s="149"/>
      <c r="O2828" s="149"/>
      <c r="P2828" s="149"/>
      <c r="Q2828" s="149"/>
      <c r="R2828" s="149"/>
      <c r="S2828" s="149"/>
      <c r="T2828" s="149"/>
      <c r="U2828" s="149"/>
      <c r="V2828" s="149"/>
      <c r="W2828" s="149"/>
      <c r="X2828" s="149"/>
      <c r="Y2828" s="149"/>
      <c r="Z2828" s="149"/>
      <c r="AA2828" s="149"/>
      <c r="AB2828" s="149"/>
      <c r="AC2828" s="149"/>
      <c r="AD2828" s="149"/>
      <c r="AE2828" s="149"/>
      <c r="AF2828" s="149"/>
      <c r="AG2828" s="149"/>
      <c r="AH2828" s="149"/>
      <c r="AI2828" s="149"/>
      <c r="AJ2828" s="149"/>
      <c r="AK2828" s="149"/>
      <c r="AL2828" s="149"/>
      <c r="AM2828" s="149"/>
      <c r="AN2828" s="149"/>
      <c r="AO2828" s="128"/>
      <c r="AP2828" s="128"/>
      <c r="AQ2828" s="128"/>
      <c r="AR2828" s="128"/>
      <c r="AS2828" s="128"/>
      <c r="AT2828" s="128"/>
      <c r="AU2828" s="128"/>
      <c r="AV2828" s="128"/>
      <c r="AW2828" s="128"/>
      <c r="AX2828" s="128"/>
      <c r="AY2828" s="128"/>
      <c r="AZ2828" s="128"/>
      <c r="BA2828" s="128"/>
      <c r="BB2828" s="128"/>
      <c r="BC2828" s="128"/>
      <c r="BD2828" s="128"/>
      <c r="BE2828" s="128"/>
      <c r="BF2828" s="128"/>
      <c r="BG2828" s="128"/>
      <c r="BH2828" s="128"/>
      <c r="BI2828" s="128"/>
      <c r="BJ2828" s="128"/>
      <c r="BK2828" s="128"/>
      <c r="BL2828" s="128"/>
      <c r="BM2828" s="151"/>
      <c r="BN2828" s="128"/>
      <c r="BO2828" s="128"/>
      <c r="BP2828" s="128"/>
      <c r="BQ2828" s="128"/>
      <c r="BR2828" s="128"/>
      <c r="BS2828" s="128"/>
      <c r="BT2828" s="128"/>
      <c r="BU2828" s="128"/>
      <c r="BV2828" s="128"/>
      <c r="BW2828" s="128"/>
      <c r="BX2828" s="128"/>
      <c r="BY2828" s="128"/>
      <c r="BZ2828" s="128"/>
      <c r="CA2828" s="128"/>
      <c r="CB2828" s="128"/>
      <c r="CC2828" s="128"/>
      <c r="CD2828" s="128"/>
      <c r="CE2828" s="128"/>
      <c r="CF2828" s="128"/>
      <c r="CG2828" s="128"/>
      <c r="CI2828" s="128"/>
      <c r="CJ2828" s="128"/>
      <c r="CK2828" s="128"/>
      <c r="CL2828" s="128"/>
      <c r="CM2828" s="128"/>
      <c r="CN2828" s="128"/>
      <c r="CO2828" s="128"/>
      <c r="CP2828" s="128"/>
      <c r="CQ2828" s="128"/>
      <c r="CR2828" s="128"/>
      <c r="CS2828" s="128"/>
      <c r="CT2828" s="128"/>
      <c r="CU2828" s="128"/>
      <c r="CV2828" s="128"/>
      <c r="CW2828" s="128"/>
      <c r="CX2828" s="128"/>
      <c r="CY2828" s="128"/>
      <c r="CZ2828" s="165"/>
    </row>
    <row r="2829" spans="1:104">
      <c r="A2829" s="149"/>
      <c r="B2829" s="149"/>
      <c r="C2829" s="150"/>
      <c r="D2829" s="102"/>
      <c r="E2829" s="149"/>
      <c r="F2829" s="149"/>
      <c r="G2829" s="149"/>
      <c r="H2829" s="149"/>
      <c r="I2829" s="149"/>
      <c r="J2829" s="149"/>
      <c r="K2829" s="149"/>
      <c r="L2829" s="149"/>
      <c r="M2829" s="149"/>
      <c r="N2829" s="149"/>
      <c r="O2829" s="149"/>
      <c r="P2829" s="149"/>
      <c r="Q2829" s="149"/>
      <c r="R2829" s="149"/>
      <c r="S2829" s="149"/>
      <c r="T2829" s="149"/>
      <c r="U2829" s="149"/>
      <c r="V2829" s="149"/>
      <c r="W2829" s="149"/>
      <c r="X2829" s="149"/>
      <c r="Y2829" s="149"/>
      <c r="Z2829" s="149"/>
      <c r="AA2829" s="149"/>
      <c r="AB2829" s="149"/>
      <c r="AC2829" s="149"/>
      <c r="AD2829" s="149"/>
      <c r="AE2829" s="149"/>
      <c r="AF2829" s="149"/>
      <c r="AG2829" s="149"/>
      <c r="AH2829" s="149"/>
      <c r="AI2829" s="149"/>
      <c r="AJ2829" s="149"/>
      <c r="AK2829" s="149"/>
      <c r="AL2829" s="149"/>
      <c r="AM2829" s="149"/>
      <c r="AN2829" s="149"/>
      <c r="AO2829" s="128"/>
      <c r="AP2829" s="128"/>
      <c r="AQ2829" s="128"/>
      <c r="AR2829" s="128"/>
      <c r="AS2829" s="128"/>
      <c r="AT2829" s="128"/>
      <c r="AU2829" s="128"/>
      <c r="AV2829" s="128"/>
      <c r="AW2829" s="128"/>
      <c r="AX2829" s="128"/>
      <c r="AY2829" s="128"/>
      <c r="AZ2829" s="128"/>
      <c r="BA2829" s="128"/>
      <c r="BB2829" s="128"/>
      <c r="BC2829" s="128"/>
      <c r="BD2829" s="128"/>
      <c r="BE2829" s="128"/>
      <c r="BF2829" s="128"/>
      <c r="BG2829" s="128"/>
      <c r="BH2829" s="128"/>
      <c r="BI2829" s="128"/>
      <c r="BJ2829" s="128"/>
      <c r="BK2829" s="128"/>
      <c r="BL2829" s="128"/>
      <c r="BM2829" s="151"/>
      <c r="BN2829" s="128"/>
      <c r="BO2829" s="128"/>
      <c r="BP2829" s="128"/>
      <c r="BQ2829" s="128"/>
      <c r="BR2829" s="128"/>
      <c r="BS2829" s="128"/>
      <c r="BT2829" s="128"/>
      <c r="BU2829" s="128"/>
      <c r="BV2829" s="128"/>
      <c r="BW2829" s="128"/>
      <c r="BX2829" s="128"/>
      <c r="BY2829" s="128"/>
      <c r="BZ2829" s="128"/>
      <c r="CA2829" s="128"/>
      <c r="CB2829" s="128"/>
      <c r="CC2829" s="128"/>
      <c r="CD2829" s="128"/>
      <c r="CE2829" s="128"/>
      <c r="CF2829" s="128"/>
      <c r="CG2829" s="128"/>
      <c r="CI2829" s="128"/>
      <c r="CJ2829" s="128"/>
      <c r="CK2829" s="128"/>
      <c r="CL2829" s="128"/>
      <c r="CM2829" s="128"/>
      <c r="CN2829" s="128"/>
      <c r="CO2829" s="128"/>
      <c r="CP2829" s="128"/>
      <c r="CQ2829" s="128"/>
      <c r="CR2829" s="128"/>
      <c r="CS2829" s="128"/>
      <c r="CT2829" s="128"/>
      <c r="CU2829" s="128"/>
      <c r="CV2829" s="128"/>
      <c r="CW2829" s="128"/>
      <c r="CX2829" s="128"/>
      <c r="CY2829" s="128"/>
      <c r="CZ2829" s="165"/>
    </row>
    <row r="2830" spans="1:104">
      <c r="A2830" s="149"/>
      <c r="B2830" s="149"/>
      <c r="C2830" s="150"/>
      <c r="D2830" s="102"/>
      <c r="E2830" s="149"/>
      <c r="F2830" s="149"/>
      <c r="G2830" s="149"/>
      <c r="H2830" s="149"/>
      <c r="I2830" s="149"/>
      <c r="J2830" s="149"/>
      <c r="K2830" s="149"/>
      <c r="L2830" s="149"/>
      <c r="M2830" s="149"/>
      <c r="N2830" s="149"/>
      <c r="O2830" s="149"/>
      <c r="P2830" s="149"/>
      <c r="Q2830" s="149"/>
      <c r="R2830" s="149"/>
      <c r="S2830" s="149"/>
      <c r="T2830" s="149"/>
      <c r="U2830" s="149"/>
      <c r="V2830" s="149"/>
      <c r="W2830" s="149"/>
      <c r="X2830" s="149"/>
      <c r="Y2830" s="149"/>
      <c r="Z2830" s="149"/>
      <c r="AA2830" s="149"/>
      <c r="AB2830" s="149"/>
      <c r="AC2830" s="149"/>
      <c r="AD2830" s="149"/>
      <c r="AE2830" s="149"/>
      <c r="AF2830" s="149"/>
      <c r="AG2830" s="149"/>
      <c r="AH2830" s="149"/>
      <c r="AI2830" s="149"/>
      <c r="AJ2830" s="149"/>
      <c r="AK2830" s="149"/>
      <c r="AL2830" s="149"/>
      <c r="AM2830" s="149"/>
      <c r="AN2830" s="149"/>
      <c r="AO2830" s="128"/>
      <c r="AP2830" s="128"/>
      <c r="AQ2830" s="128"/>
      <c r="AR2830" s="128"/>
      <c r="AS2830" s="128"/>
      <c r="AT2830" s="128"/>
      <c r="AU2830" s="128"/>
      <c r="AV2830" s="128"/>
      <c r="AW2830" s="128"/>
      <c r="AX2830" s="128"/>
      <c r="AY2830" s="128"/>
      <c r="AZ2830" s="128"/>
      <c r="BA2830" s="128"/>
      <c r="BB2830" s="128"/>
      <c r="BC2830" s="128"/>
      <c r="BD2830" s="128"/>
      <c r="BE2830" s="128"/>
      <c r="BF2830" s="128"/>
      <c r="BG2830" s="128"/>
      <c r="BH2830" s="128"/>
      <c r="BI2830" s="128"/>
      <c r="BJ2830" s="128"/>
      <c r="BK2830" s="128"/>
      <c r="BL2830" s="128"/>
      <c r="BM2830" s="151"/>
      <c r="BN2830" s="128"/>
      <c r="BO2830" s="128"/>
      <c r="BP2830" s="128"/>
      <c r="BQ2830" s="128"/>
      <c r="BR2830" s="128"/>
      <c r="BS2830" s="128"/>
      <c r="BT2830" s="128"/>
      <c r="BU2830" s="128"/>
      <c r="BV2830" s="128"/>
      <c r="BW2830" s="128"/>
      <c r="BX2830" s="128"/>
      <c r="BY2830" s="128"/>
      <c r="BZ2830" s="128"/>
      <c r="CA2830" s="128"/>
      <c r="CB2830" s="128"/>
      <c r="CC2830" s="128"/>
      <c r="CD2830" s="128"/>
      <c r="CE2830" s="128"/>
      <c r="CF2830" s="128"/>
      <c r="CG2830" s="128"/>
      <c r="CI2830" s="128"/>
      <c r="CJ2830" s="128"/>
      <c r="CK2830" s="128"/>
      <c r="CL2830" s="128"/>
      <c r="CM2830" s="128"/>
      <c r="CN2830" s="128"/>
      <c r="CO2830" s="128"/>
      <c r="CP2830" s="128"/>
      <c r="CQ2830" s="128"/>
      <c r="CR2830" s="128"/>
      <c r="CS2830" s="128"/>
      <c r="CT2830" s="128"/>
      <c r="CU2830" s="128"/>
      <c r="CV2830" s="128"/>
      <c r="CW2830" s="128"/>
      <c r="CX2830" s="128"/>
      <c r="CY2830" s="128"/>
      <c r="CZ2830" s="165"/>
    </row>
    <row r="2831" spans="1:104">
      <c r="A2831" s="149"/>
      <c r="B2831" s="149"/>
      <c r="C2831" s="150"/>
      <c r="D2831" s="102"/>
      <c r="E2831" s="149"/>
      <c r="F2831" s="149"/>
      <c r="G2831" s="149"/>
      <c r="H2831" s="149"/>
      <c r="I2831" s="149"/>
      <c r="J2831" s="149"/>
      <c r="K2831" s="149"/>
      <c r="L2831" s="149"/>
      <c r="M2831" s="149"/>
      <c r="N2831" s="149"/>
      <c r="O2831" s="149"/>
      <c r="P2831" s="149"/>
      <c r="Q2831" s="149"/>
      <c r="R2831" s="149"/>
      <c r="S2831" s="149"/>
      <c r="T2831" s="149"/>
      <c r="U2831" s="149"/>
      <c r="V2831" s="149"/>
      <c r="W2831" s="149"/>
      <c r="X2831" s="149"/>
      <c r="Y2831" s="149"/>
      <c r="Z2831" s="149"/>
      <c r="AA2831" s="149"/>
      <c r="AB2831" s="149"/>
      <c r="AC2831" s="149"/>
      <c r="AD2831" s="149"/>
      <c r="AE2831" s="149"/>
      <c r="AF2831" s="149"/>
      <c r="AG2831" s="149"/>
      <c r="AH2831" s="149"/>
      <c r="AI2831" s="149"/>
      <c r="AJ2831" s="149"/>
      <c r="AK2831" s="149"/>
      <c r="AL2831" s="149"/>
      <c r="AM2831" s="149"/>
      <c r="AN2831" s="149"/>
      <c r="AO2831" s="128"/>
      <c r="AP2831" s="128"/>
      <c r="AQ2831" s="128"/>
      <c r="AR2831" s="128"/>
      <c r="AS2831" s="128"/>
      <c r="AT2831" s="128"/>
      <c r="AU2831" s="128"/>
      <c r="AV2831" s="128"/>
      <c r="AW2831" s="128"/>
      <c r="AX2831" s="128"/>
      <c r="AY2831" s="128"/>
      <c r="AZ2831" s="128"/>
      <c r="BA2831" s="128"/>
      <c r="BB2831" s="128"/>
      <c r="BC2831" s="128"/>
      <c r="BD2831" s="128"/>
      <c r="BE2831" s="128"/>
      <c r="BF2831" s="128"/>
      <c r="BG2831" s="128"/>
      <c r="BH2831" s="128"/>
      <c r="BI2831" s="128"/>
      <c r="BJ2831" s="128"/>
      <c r="BK2831" s="128"/>
      <c r="BL2831" s="128"/>
      <c r="BM2831" s="151"/>
      <c r="BN2831" s="128"/>
      <c r="BO2831" s="128"/>
      <c r="BP2831" s="128"/>
      <c r="BQ2831" s="128"/>
      <c r="BR2831" s="128"/>
      <c r="BS2831" s="128"/>
      <c r="BT2831" s="128"/>
      <c r="BU2831" s="128"/>
      <c r="BV2831" s="128"/>
      <c r="BW2831" s="128"/>
      <c r="BX2831" s="128"/>
      <c r="BY2831" s="128"/>
      <c r="BZ2831" s="128"/>
      <c r="CA2831" s="128"/>
      <c r="CB2831" s="128"/>
      <c r="CC2831" s="128"/>
      <c r="CD2831" s="128"/>
      <c r="CE2831" s="128"/>
      <c r="CF2831" s="128"/>
      <c r="CG2831" s="128"/>
      <c r="CI2831" s="128"/>
      <c r="CJ2831" s="128"/>
      <c r="CK2831" s="128"/>
      <c r="CL2831" s="128"/>
      <c r="CM2831" s="128"/>
      <c r="CN2831" s="128"/>
      <c r="CO2831" s="128"/>
      <c r="CP2831" s="128"/>
      <c r="CQ2831" s="128"/>
      <c r="CR2831" s="128"/>
      <c r="CS2831" s="128"/>
      <c r="CT2831" s="128"/>
      <c r="CU2831" s="128"/>
      <c r="CV2831" s="128"/>
      <c r="CW2831" s="128"/>
      <c r="CX2831" s="128"/>
      <c r="CY2831" s="128"/>
      <c r="CZ2831" s="165"/>
    </row>
    <row r="2832" spans="1:104">
      <c r="A2832" s="149"/>
      <c r="B2832" s="149"/>
      <c r="C2832" s="150"/>
      <c r="D2832" s="102"/>
      <c r="E2832" s="149"/>
      <c r="F2832" s="149"/>
      <c r="G2832" s="149"/>
      <c r="H2832" s="149"/>
      <c r="I2832" s="149"/>
      <c r="J2832" s="149"/>
      <c r="K2832" s="149"/>
      <c r="L2832" s="149"/>
      <c r="M2832" s="149"/>
      <c r="N2832" s="149"/>
      <c r="O2832" s="149"/>
      <c r="P2832" s="149"/>
      <c r="Q2832" s="149"/>
      <c r="R2832" s="149"/>
      <c r="S2832" s="149"/>
      <c r="T2832" s="149"/>
      <c r="U2832" s="149"/>
      <c r="V2832" s="149"/>
      <c r="W2832" s="149"/>
      <c r="X2832" s="149"/>
      <c r="Y2832" s="149"/>
      <c r="Z2832" s="149"/>
      <c r="AA2832" s="149"/>
      <c r="AB2832" s="149"/>
      <c r="AC2832" s="149"/>
      <c r="AD2832" s="149"/>
      <c r="AE2832" s="149"/>
      <c r="AF2832" s="149"/>
      <c r="AG2832" s="149"/>
      <c r="AH2832" s="149"/>
      <c r="AI2832" s="149"/>
      <c r="AJ2832" s="149"/>
      <c r="AK2832" s="149"/>
      <c r="AL2832" s="149"/>
      <c r="AM2832" s="149"/>
      <c r="AN2832" s="149"/>
      <c r="AO2832" s="128"/>
      <c r="AP2832" s="128"/>
      <c r="AQ2832" s="128"/>
      <c r="AR2832" s="128"/>
      <c r="AS2832" s="128"/>
      <c r="AT2832" s="128"/>
      <c r="AU2832" s="128"/>
      <c r="AV2832" s="128"/>
      <c r="AW2832" s="128"/>
      <c r="AX2832" s="128"/>
      <c r="AY2832" s="128"/>
      <c r="AZ2832" s="128"/>
      <c r="BA2832" s="128"/>
      <c r="BB2832" s="128"/>
      <c r="BC2832" s="128"/>
      <c r="BD2832" s="128"/>
      <c r="BE2832" s="128"/>
      <c r="BF2832" s="128"/>
      <c r="BG2832" s="128"/>
      <c r="BH2832" s="128"/>
      <c r="BI2832" s="128"/>
      <c r="BJ2832" s="128"/>
      <c r="BK2832" s="128"/>
      <c r="BL2832" s="128"/>
      <c r="BM2832" s="151"/>
      <c r="BN2832" s="128"/>
      <c r="BO2832" s="128"/>
      <c r="BP2832" s="128"/>
      <c r="BQ2832" s="128"/>
      <c r="BR2832" s="128"/>
      <c r="BS2832" s="128"/>
      <c r="BT2832" s="128"/>
      <c r="BU2832" s="128"/>
      <c r="BV2832" s="128"/>
      <c r="BW2832" s="128"/>
      <c r="BX2832" s="128"/>
      <c r="BY2832" s="128"/>
      <c r="BZ2832" s="128"/>
      <c r="CA2832" s="128"/>
      <c r="CB2832" s="128"/>
      <c r="CC2832" s="128"/>
      <c r="CD2832" s="128"/>
      <c r="CE2832" s="128"/>
      <c r="CF2832" s="128"/>
      <c r="CG2832" s="128"/>
      <c r="CI2832" s="128"/>
      <c r="CJ2832" s="128"/>
      <c r="CK2832" s="128"/>
      <c r="CL2832" s="128"/>
      <c r="CM2832" s="128"/>
      <c r="CN2832" s="128"/>
      <c r="CO2832" s="128"/>
      <c r="CP2832" s="128"/>
      <c r="CQ2832" s="128"/>
      <c r="CR2832" s="128"/>
      <c r="CS2832" s="128"/>
      <c r="CT2832" s="128"/>
      <c r="CU2832" s="128"/>
      <c r="CV2832" s="128"/>
      <c r="CW2832" s="128"/>
      <c r="CX2832" s="128"/>
      <c r="CY2832" s="128"/>
      <c r="CZ2832" s="165"/>
    </row>
    <row r="2833" spans="1:104">
      <c r="A2833" s="149"/>
      <c r="B2833" s="149"/>
      <c r="C2833" s="150"/>
      <c r="D2833" s="102"/>
      <c r="E2833" s="149"/>
      <c r="F2833" s="149"/>
      <c r="G2833" s="149"/>
      <c r="H2833" s="149"/>
      <c r="I2833" s="149"/>
      <c r="J2833" s="149"/>
      <c r="K2833" s="149"/>
      <c r="L2833" s="149"/>
      <c r="M2833" s="149"/>
      <c r="N2833" s="149"/>
      <c r="O2833" s="149"/>
      <c r="P2833" s="149"/>
      <c r="Q2833" s="149"/>
      <c r="R2833" s="149"/>
      <c r="S2833" s="149"/>
      <c r="T2833" s="149"/>
      <c r="U2833" s="149"/>
      <c r="V2833" s="149"/>
      <c r="W2833" s="149"/>
      <c r="X2833" s="149"/>
      <c r="Y2833" s="149"/>
      <c r="Z2833" s="149"/>
      <c r="AA2833" s="149"/>
      <c r="AB2833" s="149"/>
      <c r="AC2833" s="149"/>
      <c r="AD2833" s="149"/>
      <c r="AE2833" s="149"/>
      <c r="AF2833" s="149"/>
      <c r="AG2833" s="149"/>
      <c r="AH2833" s="149"/>
      <c r="AI2833" s="149"/>
      <c r="AJ2833" s="149"/>
      <c r="AK2833" s="149"/>
      <c r="AL2833" s="149"/>
      <c r="AM2833" s="149"/>
      <c r="AN2833" s="149"/>
      <c r="AO2833" s="128"/>
      <c r="AP2833" s="128"/>
      <c r="AQ2833" s="128"/>
      <c r="AR2833" s="128"/>
      <c r="AS2833" s="128"/>
      <c r="AT2833" s="128"/>
      <c r="AU2833" s="128"/>
      <c r="AV2833" s="128"/>
      <c r="AW2833" s="128"/>
      <c r="AX2833" s="128"/>
      <c r="AY2833" s="128"/>
      <c r="AZ2833" s="128"/>
      <c r="BA2833" s="128"/>
      <c r="BB2833" s="128"/>
      <c r="BC2833" s="128"/>
      <c r="BD2833" s="128"/>
      <c r="BE2833" s="128"/>
      <c r="BF2833" s="128"/>
      <c r="BG2833" s="128"/>
      <c r="BH2833" s="128"/>
      <c r="BI2833" s="128"/>
      <c r="BJ2833" s="128"/>
      <c r="BK2833" s="128"/>
      <c r="BL2833" s="128"/>
      <c r="BM2833" s="151"/>
      <c r="BN2833" s="128"/>
      <c r="BO2833" s="128"/>
      <c r="BP2833" s="128"/>
      <c r="BQ2833" s="128"/>
      <c r="BR2833" s="128"/>
      <c r="BS2833" s="128"/>
      <c r="BT2833" s="128"/>
      <c r="BU2833" s="128"/>
      <c r="BV2833" s="128"/>
      <c r="BW2833" s="128"/>
      <c r="BX2833" s="128"/>
      <c r="BY2833" s="128"/>
      <c r="BZ2833" s="128"/>
      <c r="CA2833" s="128"/>
      <c r="CB2833" s="128"/>
      <c r="CC2833" s="128"/>
      <c r="CD2833" s="128"/>
      <c r="CE2833" s="128"/>
      <c r="CF2833" s="128"/>
      <c r="CG2833" s="128"/>
      <c r="CI2833" s="128"/>
      <c r="CJ2833" s="128"/>
      <c r="CK2833" s="128"/>
      <c r="CL2833" s="128"/>
      <c r="CM2833" s="128"/>
      <c r="CN2833" s="128"/>
      <c r="CO2833" s="128"/>
      <c r="CP2833" s="128"/>
      <c r="CQ2833" s="128"/>
      <c r="CR2833" s="128"/>
      <c r="CS2833" s="128"/>
      <c r="CT2833" s="128"/>
      <c r="CU2833" s="128"/>
      <c r="CV2833" s="128"/>
      <c r="CW2833" s="128"/>
      <c r="CX2833" s="128"/>
      <c r="CY2833" s="128"/>
      <c r="CZ2833" s="165"/>
    </row>
    <row r="2834" spans="1:104">
      <c r="A2834" s="149"/>
      <c r="B2834" s="149"/>
      <c r="C2834" s="150"/>
      <c r="D2834" s="102"/>
      <c r="E2834" s="149"/>
      <c r="F2834" s="149"/>
      <c r="G2834" s="149"/>
      <c r="H2834" s="149"/>
      <c r="I2834" s="149"/>
      <c r="J2834" s="149"/>
      <c r="K2834" s="149"/>
      <c r="L2834" s="149"/>
      <c r="M2834" s="149"/>
      <c r="N2834" s="149"/>
      <c r="O2834" s="149"/>
      <c r="P2834" s="149"/>
      <c r="Q2834" s="149"/>
      <c r="R2834" s="149"/>
      <c r="S2834" s="149"/>
      <c r="T2834" s="149"/>
      <c r="U2834" s="149"/>
      <c r="V2834" s="149"/>
      <c r="W2834" s="149"/>
      <c r="X2834" s="149"/>
      <c r="Y2834" s="149"/>
      <c r="Z2834" s="149"/>
      <c r="AA2834" s="149"/>
      <c r="AB2834" s="149"/>
      <c r="AC2834" s="149"/>
      <c r="AD2834" s="149"/>
      <c r="AE2834" s="149"/>
      <c r="AF2834" s="149"/>
      <c r="AG2834" s="149"/>
      <c r="AH2834" s="149"/>
      <c r="AI2834" s="149"/>
      <c r="AJ2834" s="149"/>
      <c r="AK2834" s="149"/>
      <c r="AL2834" s="149"/>
      <c r="AM2834" s="149"/>
      <c r="AN2834" s="149"/>
      <c r="AO2834" s="128"/>
      <c r="AP2834" s="128"/>
      <c r="AQ2834" s="128"/>
      <c r="AR2834" s="128"/>
      <c r="AS2834" s="128"/>
      <c r="AT2834" s="128"/>
      <c r="AU2834" s="128"/>
      <c r="AV2834" s="128"/>
      <c r="AW2834" s="128"/>
      <c r="AX2834" s="128"/>
      <c r="AY2834" s="128"/>
      <c r="AZ2834" s="128"/>
      <c r="BA2834" s="128"/>
      <c r="BB2834" s="128"/>
      <c r="BC2834" s="128"/>
      <c r="BD2834" s="128"/>
      <c r="BE2834" s="128"/>
      <c r="BF2834" s="128"/>
      <c r="BG2834" s="128"/>
      <c r="BH2834" s="128"/>
      <c r="BI2834" s="128"/>
      <c r="BJ2834" s="128"/>
      <c r="BK2834" s="128"/>
      <c r="BL2834" s="128"/>
      <c r="BM2834" s="151"/>
      <c r="BN2834" s="128"/>
      <c r="BO2834" s="128"/>
      <c r="BP2834" s="128"/>
      <c r="BQ2834" s="128"/>
      <c r="BR2834" s="128"/>
      <c r="BS2834" s="128"/>
      <c r="BT2834" s="128"/>
      <c r="BU2834" s="128"/>
      <c r="BV2834" s="128"/>
      <c r="BW2834" s="128"/>
      <c r="BX2834" s="128"/>
      <c r="BY2834" s="128"/>
      <c r="BZ2834" s="128"/>
      <c r="CA2834" s="128"/>
      <c r="CB2834" s="128"/>
      <c r="CC2834" s="128"/>
      <c r="CD2834" s="128"/>
      <c r="CE2834" s="128"/>
      <c r="CF2834" s="128"/>
      <c r="CG2834" s="128"/>
      <c r="CI2834" s="128"/>
      <c r="CJ2834" s="128"/>
      <c r="CK2834" s="128"/>
      <c r="CL2834" s="128"/>
      <c r="CM2834" s="128"/>
      <c r="CN2834" s="128"/>
      <c r="CO2834" s="128"/>
      <c r="CP2834" s="128"/>
      <c r="CQ2834" s="128"/>
      <c r="CR2834" s="128"/>
      <c r="CS2834" s="128"/>
      <c r="CT2834" s="128"/>
      <c r="CU2834" s="128"/>
      <c r="CV2834" s="128"/>
      <c r="CW2834" s="128"/>
      <c r="CX2834" s="128"/>
      <c r="CY2834" s="128"/>
      <c r="CZ2834" s="165"/>
    </row>
    <row r="2835" spans="1:104">
      <c r="A2835" s="149"/>
      <c r="B2835" s="149"/>
      <c r="C2835" s="150"/>
      <c r="D2835" s="102"/>
      <c r="E2835" s="149"/>
      <c r="F2835" s="149"/>
      <c r="G2835" s="149"/>
      <c r="H2835" s="149"/>
      <c r="I2835" s="149"/>
      <c r="J2835" s="149"/>
      <c r="K2835" s="149"/>
      <c r="L2835" s="149"/>
      <c r="M2835" s="149"/>
      <c r="N2835" s="149"/>
      <c r="O2835" s="149"/>
      <c r="P2835" s="149"/>
      <c r="Q2835" s="149"/>
      <c r="R2835" s="149"/>
      <c r="S2835" s="149"/>
      <c r="T2835" s="149"/>
      <c r="U2835" s="149"/>
      <c r="V2835" s="149"/>
      <c r="W2835" s="149"/>
      <c r="X2835" s="149"/>
      <c r="Y2835" s="149"/>
      <c r="Z2835" s="149"/>
      <c r="AA2835" s="149"/>
      <c r="AB2835" s="149"/>
      <c r="AC2835" s="149"/>
      <c r="AD2835" s="149"/>
      <c r="AE2835" s="149"/>
      <c r="AF2835" s="149"/>
      <c r="AG2835" s="149"/>
      <c r="AH2835" s="149"/>
      <c r="AI2835" s="149"/>
      <c r="AJ2835" s="149"/>
      <c r="AK2835" s="149"/>
      <c r="AL2835" s="149"/>
      <c r="AM2835" s="149"/>
      <c r="AN2835" s="149"/>
      <c r="AO2835" s="128"/>
      <c r="AP2835" s="128"/>
      <c r="AQ2835" s="128"/>
      <c r="AR2835" s="128"/>
      <c r="AS2835" s="128"/>
      <c r="AT2835" s="128"/>
      <c r="AU2835" s="128"/>
      <c r="AV2835" s="128"/>
      <c r="AW2835" s="128"/>
      <c r="AX2835" s="128"/>
      <c r="AY2835" s="128"/>
      <c r="AZ2835" s="128"/>
      <c r="BA2835" s="128"/>
      <c r="BB2835" s="128"/>
      <c r="BC2835" s="128"/>
      <c r="BD2835" s="128"/>
      <c r="BE2835" s="128"/>
      <c r="BF2835" s="128"/>
      <c r="BG2835" s="128"/>
      <c r="BH2835" s="128"/>
      <c r="BI2835" s="128"/>
      <c r="BJ2835" s="128"/>
      <c r="BK2835" s="128"/>
      <c r="BL2835" s="128"/>
      <c r="BM2835" s="151"/>
      <c r="BN2835" s="128"/>
      <c r="BO2835" s="128"/>
      <c r="BP2835" s="128"/>
      <c r="BQ2835" s="128"/>
      <c r="BR2835" s="128"/>
      <c r="BS2835" s="128"/>
      <c r="BT2835" s="128"/>
      <c r="BU2835" s="128"/>
      <c r="BV2835" s="128"/>
      <c r="BW2835" s="128"/>
      <c r="BX2835" s="128"/>
      <c r="BY2835" s="128"/>
      <c r="BZ2835" s="128"/>
      <c r="CA2835" s="128"/>
      <c r="CB2835" s="128"/>
      <c r="CC2835" s="128"/>
      <c r="CD2835" s="128"/>
      <c r="CE2835" s="128"/>
      <c r="CF2835" s="128"/>
      <c r="CG2835" s="128"/>
      <c r="CI2835" s="128"/>
      <c r="CJ2835" s="128"/>
      <c r="CK2835" s="128"/>
      <c r="CL2835" s="128"/>
      <c r="CM2835" s="128"/>
      <c r="CN2835" s="128"/>
      <c r="CO2835" s="128"/>
      <c r="CP2835" s="128"/>
      <c r="CQ2835" s="128"/>
      <c r="CR2835" s="128"/>
      <c r="CS2835" s="128"/>
      <c r="CT2835" s="128"/>
      <c r="CU2835" s="128"/>
      <c r="CV2835" s="128"/>
      <c r="CW2835" s="128"/>
      <c r="CX2835" s="128"/>
      <c r="CY2835" s="128"/>
      <c r="CZ2835" s="165"/>
    </row>
    <row r="2836" spans="1:104">
      <c r="A2836" s="149"/>
      <c r="B2836" s="149"/>
      <c r="C2836" s="150"/>
      <c r="D2836" s="102"/>
      <c r="E2836" s="149"/>
      <c r="F2836" s="149"/>
      <c r="G2836" s="149"/>
      <c r="H2836" s="149"/>
      <c r="I2836" s="149"/>
      <c r="J2836" s="149"/>
      <c r="K2836" s="149"/>
      <c r="L2836" s="149"/>
      <c r="M2836" s="149"/>
      <c r="N2836" s="149"/>
      <c r="O2836" s="149"/>
      <c r="P2836" s="149"/>
      <c r="Q2836" s="149"/>
      <c r="R2836" s="149"/>
      <c r="S2836" s="149"/>
      <c r="T2836" s="149"/>
      <c r="U2836" s="149"/>
      <c r="V2836" s="149"/>
      <c r="W2836" s="149"/>
      <c r="X2836" s="149"/>
      <c r="Y2836" s="149"/>
      <c r="Z2836" s="149"/>
      <c r="AA2836" s="149"/>
      <c r="AB2836" s="149"/>
      <c r="AC2836" s="149"/>
      <c r="AD2836" s="149"/>
      <c r="AE2836" s="149"/>
      <c r="AF2836" s="149"/>
      <c r="AG2836" s="149"/>
      <c r="AH2836" s="149"/>
      <c r="AI2836" s="149"/>
      <c r="AJ2836" s="149"/>
      <c r="AK2836" s="149"/>
      <c r="AL2836" s="149"/>
      <c r="AM2836" s="149"/>
      <c r="AN2836" s="149"/>
      <c r="AO2836" s="128"/>
      <c r="AP2836" s="128"/>
      <c r="AQ2836" s="128"/>
      <c r="AR2836" s="128"/>
      <c r="AS2836" s="128"/>
      <c r="AT2836" s="128"/>
      <c r="AU2836" s="128"/>
      <c r="AV2836" s="128"/>
      <c r="AW2836" s="128"/>
      <c r="AX2836" s="128"/>
      <c r="AY2836" s="128"/>
      <c r="AZ2836" s="128"/>
      <c r="BA2836" s="128"/>
      <c r="BB2836" s="128"/>
      <c r="BC2836" s="128"/>
      <c r="BD2836" s="128"/>
      <c r="BE2836" s="128"/>
      <c r="BF2836" s="128"/>
      <c r="BG2836" s="128"/>
      <c r="BH2836" s="128"/>
      <c r="BI2836" s="128"/>
      <c r="BJ2836" s="128"/>
      <c r="BK2836" s="128"/>
      <c r="BL2836" s="128"/>
      <c r="BM2836" s="151"/>
      <c r="BN2836" s="128"/>
      <c r="BO2836" s="128"/>
      <c r="BP2836" s="128"/>
      <c r="BQ2836" s="128"/>
      <c r="BR2836" s="128"/>
      <c r="BS2836" s="128"/>
      <c r="BT2836" s="128"/>
      <c r="BU2836" s="128"/>
      <c r="BV2836" s="128"/>
      <c r="BW2836" s="128"/>
      <c r="BX2836" s="128"/>
      <c r="BY2836" s="128"/>
      <c r="BZ2836" s="128"/>
      <c r="CA2836" s="128"/>
      <c r="CB2836" s="128"/>
      <c r="CC2836" s="128"/>
      <c r="CD2836" s="128"/>
      <c r="CE2836" s="128"/>
      <c r="CF2836" s="128"/>
      <c r="CG2836" s="128"/>
      <c r="CI2836" s="128"/>
      <c r="CJ2836" s="128"/>
      <c r="CK2836" s="128"/>
      <c r="CL2836" s="128"/>
      <c r="CM2836" s="128"/>
      <c r="CN2836" s="128"/>
      <c r="CO2836" s="128"/>
      <c r="CP2836" s="128"/>
      <c r="CQ2836" s="128"/>
      <c r="CR2836" s="128"/>
      <c r="CS2836" s="128"/>
      <c r="CT2836" s="128"/>
      <c r="CU2836" s="128"/>
      <c r="CV2836" s="128"/>
      <c r="CW2836" s="128"/>
      <c r="CX2836" s="128"/>
      <c r="CY2836" s="128"/>
      <c r="CZ2836" s="165"/>
    </row>
    <row r="2837" spans="1:104">
      <c r="A2837" s="149"/>
      <c r="B2837" s="149"/>
      <c r="C2837" s="150"/>
      <c r="D2837" s="102"/>
      <c r="E2837" s="149"/>
      <c r="F2837" s="149"/>
      <c r="G2837" s="149"/>
      <c r="H2837" s="149"/>
      <c r="I2837" s="149"/>
      <c r="J2837" s="149"/>
      <c r="K2837" s="149"/>
      <c r="L2837" s="149"/>
      <c r="M2837" s="149"/>
      <c r="N2837" s="149"/>
      <c r="O2837" s="149"/>
      <c r="P2837" s="149"/>
      <c r="Q2837" s="149"/>
      <c r="R2837" s="149"/>
      <c r="S2837" s="149"/>
      <c r="T2837" s="149"/>
      <c r="U2837" s="149"/>
      <c r="V2837" s="149"/>
      <c r="W2837" s="149"/>
      <c r="X2837" s="149"/>
      <c r="Y2837" s="149"/>
      <c r="Z2837" s="149"/>
      <c r="AA2837" s="149"/>
      <c r="AB2837" s="149"/>
      <c r="AC2837" s="149"/>
      <c r="AD2837" s="149"/>
      <c r="AE2837" s="149"/>
      <c r="AF2837" s="149"/>
      <c r="AG2837" s="149"/>
      <c r="AH2837" s="149"/>
      <c r="AI2837" s="149"/>
      <c r="AJ2837" s="149"/>
      <c r="AK2837" s="149"/>
      <c r="AL2837" s="149"/>
      <c r="AM2837" s="149"/>
      <c r="AN2837" s="149"/>
      <c r="AO2837" s="128"/>
      <c r="AP2837" s="128"/>
      <c r="AQ2837" s="128"/>
      <c r="AR2837" s="128"/>
      <c r="AS2837" s="128"/>
      <c r="AT2837" s="128"/>
      <c r="AU2837" s="128"/>
      <c r="AV2837" s="128"/>
      <c r="AW2837" s="128"/>
      <c r="AX2837" s="128"/>
      <c r="AY2837" s="128"/>
      <c r="AZ2837" s="128"/>
      <c r="BA2837" s="128"/>
      <c r="BB2837" s="128"/>
      <c r="BC2837" s="128"/>
      <c r="BD2837" s="128"/>
      <c r="BE2837" s="128"/>
      <c r="BF2837" s="128"/>
      <c r="BG2837" s="128"/>
      <c r="BH2837" s="128"/>
      <c r="BI2837" s="128"/>
      <c r="BJ2837" s="128"/>
      <c r="BK2837" s="128"/>
      <c r="BL2837" s="128"/>
      <c r="BM2837" s="151"/>
      <c r="BN2837" s="128"/>
      <c r="BO2837" s="128"/>
      <c r="BP2837" s="128"/>
      <c r="BQ2837" s="128"/>
      <c r="BR2837" s="128"/>
      <c r="BS2837" s="128"/>
      <c r="BT2837" s="128"/>
      <c r="BU2837" s="128"/>
      <c r="BV2837" s="128"/>
      <c r="BW2837" s="128"/>
      <c r="BX2837" s="128"/>
      <c r="BY2837" s="128"/>
      <c r="BZ2837" s="128"/>
      <c r="CA2837" s="128"/>
      <c r="CB2837" s="128"/>
      <c r="CC2837" s="128"/>
      <c r="CD2837" s="128"/>
      <c r="CE2837" s="128"/>
      <c r="CF2837" s="128"/>
      <c r="CG2837" s="128"/>
      <c r="CI2837" s="128"/>
      <c r="CJ2837" s="128"/>
      <c r="CK2837" s="128"/>
      <c r="CL2837" s="128"/>
      <c r="CM2837" s="128"/>
      <c r="CN2837" s="128"/>
      <c r="CO2837" s="128"/>
      <c r="CP2837" s="128"/>
      <c r="CQ2837" s="128"/>
      <c r="CR2837" s="128"/>
      <c r="CS2837" s="128"/>
      <c r="CT2837" s="128"/>
      <c r="CU2837" s="128"/>
      <c r="CV2837" s="128"/>
      <c r="CW2837" s="128"/>
      <c r="CX2837" s="128"/>
      <c r="CY2837" s="128"/>
      <c r="CZ2837" s="165"/>
    </row>
    <row r="2838" spans="1:104">
      <c r="A2838" s="149"/>
      <c r="B2838" s="149"/>
      <c r="C2838" s="150"/>
      <c r="D2838" s="102"/>
      <c r="E2838" s="149"/>
      <c r="F2838" s="149"/>
      <c r="G2838" s="149"/>
      <c r="H2838" s="149"/>
      <c r="I2838" s="149"/>
      <c r="J2838" s="149"/>
      <c r="K2838" s="149"/>
      <c r="L2838" s="149"/>
      <c r="M2838" s="149"/>
      <c r="N2838" s="149"/>
      <c r="O2838" s="149"/>
      <c r="P2838" s="149"/>
      <c r="Q2838" s="149"/>
      <c r="R2838" s="149"/>
      <c r="S2838" s="149"/>
      <c r="T2838" s="149"/>
      <c r="U2838" s="149"/>
      <c r="V2838" s="149"/>
      <c r="W2838" s="149"/>
      <c r="X2838" s="149"/>
      <c r="Y2838" s="149"/>
      <c r="Z2838" s="149"/>
      <c r="AA2838" s="149"/>
      <c r="AB2838" s="149"/>
      <c r="AC2838" s="149"/>
      <c r="AD2838" s="149"/>
      <c r="AE2838" s="149"/>
      <c r="AF2838" s="149"/>
      <c r="AG2838" s="149"/>
      <c r="AH2838" s="149"/>
      <c r="AI2838" s="149"/>
      <c r="AJ2838" s="149"/>
      <c r="AK2838" s="149"/>
      <c r="AL2838" s="149"/>
      <c r="AM2838" s="149"/>
      <c r="AN2838" s="149"/>
      <c r="AO2838" s="128"/>
      <c r="AP2838" s="128"/>
      <c r="AQ2838" s="128"/>
      <c r="AR2838" s="128"/>
      <c r="AS2838" s="128"/>
      <c r="AT2838" s="128"/>
      <c r="AU2838" s="128"/>
      <c r="AV2838" s="128"/>
      <c r="AW2838" s="128"/>
      <c r="AX2838" s="128"/>
      <c r="AY2838" s="128"/>
      <c r="AZ2838" s="128"/>
      <c r="BA2838" s="128"/>
      <c r="BB2838" s="128"/>
      <c r="BC2838" s="128"/>
      <c r="BD2838" s="128"/>
      <c r="BE2838" s="128"/>
      <c r="BF2838" s="128"/>
      <c r="BG2838" s="128"/>
      <c r="BH2838" s="128"/>
      <c r="BI2838" s="128"/>
      <c r="BJ2838" s="128"/>
      <c r="BK2838" s="128"/>
      <c r="BL2838" s="128"/>
      <c r="BM2838" s="151"/>
      <c r="BN2838" s="128"/>
      <c r="BO2838" s="128"/>
      <c r="BP2838" s="128"/>
      <c r="BQ2838" s="128"/>
      <c r="BR2838" s="128"/>
      <c r="BS2838" s="128"/>
      <c r="BT2838" s="128"/>
      <c r="BU2838" s="128"/>
      <c r="BV2838" s="128"/>
      <c r="BW2838" s="128"/>
      <c r="BX2838" s="128"/>
      <c r="BY2838" s="128"/>
      <c r="BZ2838" s="128"/>
      <c r="CA2838" s="128"/>
      <c r="CB2838" s="128"/>
      <c r="CC2838" s="128"/>
      <c r="CD2838" s="128"/>
      <c r="CE2838" s="128"/>
      <c r="CF2838" s="128"/>
      <c r="CG2838" s="128"/>
      <c r="CI2838" s="128"/>
      <c r="CJ2838" s="128"/>
      <c r="CK2838" s="128"/>
      <c r="CL2838" s="128"/>
      <c r="CM2838" s="128"/>
      <c r="CN2838" s="128"/>
      <c r="CO2838" s="128"/>
      <c r="CP2838" s="128"/>
      <c r="CQ2838" s="128"/>
      <c r="CR2838" s="128"/>
      <c r="CS2838" s="128"/>
      <c r="CT2838" s="128"/>
      <c r="CU2838" s="128"/>
      <c r="CV2838" s="128"/>
      <c r="CW2838" s="128"/>
      <c r="CX2838" s="128"/>
      <c r="CY2838" s="128"/>
      <c r="CZ2838" s="165"/>
    </row>
    <row r="2839" spans="1:104">
      <c r="A2839" s="149"/>
      <c r="B2839" s="149"/>
      <c r="C2839" s="150"/>
      <c r="D2839" s="102"/>
      <c r="E2839" s="149"/>
      <c r="F2839" s="149"/>
      <c r="G2839" s="149"/>
      <c r="H2839" s="149"/>
      <c r="I2839" s="149"/>
      <c r="J2839" s="149"/>
      <c r="K2839" s="149"/>
      <c r="L2839" s="149"/>
      <c r="M2839" s="149"/>
      <c r="N2839" s="149"/>
      <c r="O2839" s="149"/>
      <c r="P2839" s="149"/>
      <c r="Q2839" s="149"/>
      <c r="R2839" s="149"/>
      <c r="S2839" s="149"/>
      <c r="T2839" s="149"/>
      <c r="U2839" s="149"/>
      <c r="V2839" s="149"/>
      <c r="W2839" s="149"/>
      <c r="X2839" s="149"/>
      <c r="Y2839" s="149"/>
      <c r="Z2839" s="149"/>
      <c r="AA2839" s="149"/>
      <c r="AB2839" s="149"/>
      <c r="AC2839" s="149"/>
      <c r="AD2839" s="149"/>
      <c r="AE2839" s="149"/>
      <c r="AF2839" s="149"/>
      <c r="AG2839" s="149"/>
      <c r="AH2839" s="149"/>
      <c r="AI2839" s="149"/>
      <c r="AJ2839" s="149"/>
      <c r="AK2839" s="149"/>
      <c r="AL2839" s="149"/>
      <c r="AM2839" s="149"/>
      <c r="AN2839" s="149"/>
      <c r="AO2839" s="128"/>
      <c r="AP2839" s="128"/>
      <c r="AQ2839" s="128"/>
      <c r="AR2839" s="128"/>
      <c r="AS2839" s="128"/>
      <c r="AT2839" s="128"/>
      <c r="AU2839" s="128"/>
      <c r="AV2839" s="128"/>
      <c r="AW2839" s="128"/>
      <c r="AX2839" s="128"/>
      <c r="AY2839" s="128"/>
      <c r="AZ2839" s="128"/>
      <c r="BA2839" s="128"/>
      <c r="BB2839" s="128"/>
      <c r="BC2839" s="128"/>
      <c r="BD2839" s="128"/>
      <c r="BE2839" s="128"/>
      <c r="BF2839" s="128"/>
      <c r="BG2839" s="128"/>
      <c r="BH2839" s="128"/>
      <c r="BI2839" s="128"/>
      <c r="BJ2839" s="128"/>
      <c r="BK2839" s="128"/>
      <c r="BL2839" s="128"/>
      <c r="BM2839" s="151"/>
      <c r="BN2839" s="128"/>
      <c r="BO2839" s="128"/>
      <c r="BP2839" s="128"/>
      <c r="BQ2839" s="128"/>
      <c r="BR2839" s="128"/>
      <c r="BS2839" s="128"/>
      <c r="BT2839" s="128"/>
      <c r="BU2839" s="128"/>
      <c r="BV2839" s="128"/>
      <c r="BW2839" s="128"/>
      <c r="BX2839" s="128"/>
      <c r="BY2839" s="128"/>
      <c r="BZ2839" s="128"/>
      <c r="CA2839" s="128"/>
      <c r="CB2839" s="128"/>
      <c r="CC2839" s="128"/>
      <c r="CD2839" s="128"/>
      <c r="CE2839" s="128"/>
      <c r="CF2839" s="128"/>
      <c r="CG2839" s="128"/>
      <c r="CI2839" s="128"/>
      <c r="CJ2839" s="128"/>
      <c r="CK2839" s="128"/>
      <c r="CL2839" s="128"/>
      <c r="CM2839" s="128"/>
      <c r="CN2839" s="128"/>
      <c r="CO2839" s="128"/>
      <c r="CP2839" s="128"/>
      <c r="CQ2839" s="128"/>
      <c r="CR2839" s="128"/>
      <c r="CS2839" s="128"/>
      <c r="CT2839" s="128"/>
      <c r="CU2839" s="128"/>
      <c r="CV2839" s="128"/>
      <c r="CW2839" s="128"/>
      <c r="CX2839" s="128"/>
      <c r="CY2839" s="128"/>
      <c r="CZ2839" s="165"/>
    </row>
    <row r="2840" spans="1:104">
      <c r="A2840" s="149"/>
      <c r="B2840" s="149"/>
      <c r="C2840" s="150"/>
      <c r="D2840" s="102"/>
      <c r="E2840" s="149"/>
      <c r="F2840" s="149"/>
      <c r="G2840" s="149"/>
      <c r="H2840" s="149"/>
      <c r="I2840" s="149"/>
      <c r="J2840" s="149"/>
      <c r="K2840" s="149"/>
      <c r="L2840" s="149"/>
      <c r="M2840" s="149"/>
      <c r="N2840" s="149"/>
      <c r="O2840" s="149"/>
      <c r="P2840" s="149"/>
      <c r="Q2840" s="149"/>
      <c r="R2840" s="149"/>
      <c r="S2840" s="149"/>
      <c r="T2840" s="149"/>
      <c r="U2840" s="149"/>
      <c r="V2840" s="149"/>
      <c r="W2840" s="149"/>
      <c r="X2840" s="149"/>
      <c r="Y2840" s="149"/>
      <c r="Z2840" s="149"/>
      <c r="AA2840" s="149"/>
      <c r="AB2840" s="149"/>
      <c r="AC2840" s="149"/>
      <c r="AD2840" s="149"/>
      <c r="AE2840" s="149"/>
      <c r="AF2840" s="149"/>
      <c r="AG2840" s="149"/>
      <c r="AH2840" s="149"/>
      <c r="AI2840" s="149"/>
      <c r="AJ2840" s="149"/>
      <c r="AK2840" s="149"/>
      <c r="AL2840" s="149"/>
      <c r="AM2840" s="149"/>
      <c r="AN2840" s="149"/>
      <c r="AO2840" s="128"/>
      <c r="AP2840" s="128"/>
      <c r="AQ2840" s="128"/>
      <c r="AR2840" s="128"/>
      <c r="AS2840" s="128"/>
      <c r="AT2840" s="128"/>
      <c r="AU2840" s="128"/>
      <c r="AV2840" s="128"/>
      <c r="AW2840" s="128"/>
      <c r="AX2840" s="128"/>
      <c r="AY2840" s="128"/>
      <c r="AZ2840" s="128"/>
      <c r="BA2840" s="128"/>
      <c r="BB2840" s="128"/>
      <c r="BC2840" s="128"/>
      <c r="BD2840" s="128"/>
      <c r="BE2840" s="128"/>
      <c r="BF2840" s="128"/>
      <c r="BG2840" s="128"/>
      <c r="BH2840" s="128"/>
      <c r="BI2840" s="128"/>
      <c r="BJ2840" s="128"/>
      <c r="BK2840" s="128"/>
      <c r="BL2840" s="128"/>
      <c r="BM2840" s="151"/>
      <c r="BN2840" s="128"/>
      <c r="BO2840" s="128"/>
      <c r="BP2840" s="128"/>
      <c r="BQ2840" s="128"/>
      <c r="BR2840" s="128"/>
      <c r="BS2840" s="128"/>
      <c r="BT2840" s="128"/>
      <c r="BU2840" s="128"/>
      <c r="BV2840" s="128"/>
      <c r="BW2840" s="128"/>
      <c r="BX2840" s="128"/>
      <c r="BY2840" s="128"/>
      <c r="BZ2840" s="128"/>
      <c r="CA2840" s="128"/>
      <c r="CB2840" s="128"/>
      <c r="CC2840" s="128"/>
      <c r="CD2840" s="128"/>
      <c r="CE2840" s="128"/>
      <c r="CF2840" s="128"/>
      <c r="CG2840" s="128"/>
      <c r="CI2840" s="128"/>
      <c r="CJ2840" s="128"/>
      <c r="CK2840" s="128"/>
      <c r="CL2840" s="128"/>
      <c r="CM2840" s="128"/>
      <c r="CN2840" s="128"/>
      <c r="CO2840" s="128"/>
      <c r="CP2840" s="128"/>
      <c r="CQ2840" s="128"/>
      <c r="CR2840" s="128"/>
      <c r="CS2840" s="128"/>
      <c r="CT2840" s="128"/>
      <c r="CU2840" s="128"/>
      <c r="CV2840" s="128"/>
      <c r="CW2840" s="128"/>
      <c r="CX2840" s="128"/>
      <c r="CY2840" s="128"/>
      <c r="CZ2840" s="165"/>
    </row>
    <row r="2841" spans="1:104">
      <c r="A2841" s="149"/>
      <c r="B2841" s="149"/>
      <c r="C2841" s="150"/>
      <c r="D2841" s="102"/>
      <c r="E2841" s="149"/>
      <c r="F2841" s="149"/>
      <c r="G2841" s="149"/>
      <c r="H2841" s="149"/>
      <c r="I2841" s="149"/>
      <c r="J2841" s="149"/>
      <c r="K2841" s="149"/>
      <c r="L2841" s="149"/>
      <c r="M2841" s="149"/>
      <c r="N2841" s="149"/>
      <c r="O2841" s="149"/>
      <c r="P2841" s="149"/>
      <c r="Q2841" s="149"/>
      <c r="R2841" s="149"/>
      <c r="S2841" s="149"/>
      <c r="T2841" s="149"/>
      <c r="U2841" s="149"/>
      <c r="V2841" s="149"/>
      <c r="W2841" s="149"/>
      <c r="X2841" s="149"/>
      <c r="Y2841" s="149"/>
      <c r="Z2841" s="149"/>
      <c r="AA2841" s="149"/>
      <c r="AB2841" s="149"/>
      <c r="AC2841" s="149"/>
      <c r="AD2841" s="149"/>
      <c r="AE2841" s="149"/>
      <c r="AF2841" s="149"/>
      <c r="AG2841" s="149"/>
      <c r="AH2841" s="149"/>
      <c r="AI2841" s="149"/>
      <c r="AJ2841" s="149"/>
      <c r="AK2841" s="149"/>
      <c r="AL2841" s="149"/>
      <c r="AM2841" s="149"/>
      <c r="AN2841" s="149"/>
      <c r="AO2841" s="128"/>
      <c r="AP2841" s="128"/>
      <c r="AQ2841" s="128"/>
      <c r="AR2841" s="128"/>
      <c r="AS2841" s="128"/>
      <c r="AT2841" s="128"/>
      <c r="AU2841" s="128"/>
      <c r="AV2841" s="128"/>
      <c r="AW2841" s="128"/>
      <c r="AX2841" s="128"/>
      <c r="AY2841" s="128"/>
      <c r="AZ2841" s="128"/>
      <c r="BA2841" s="128"/>
      <c r="BB2841" s="128"/>
      <c r="BC2841" s="128"/>
      <c r="BD2841" s="128"/>
      <c r="BE2841" s="128"/>
      <c r="BF2841" s="128"/>
      <c r="BG2841" s="128"/>
      <c r="BH2841" s="128"/>
      <c r="BI2841" s="128"/>
      <c r="BJ2841" s="128"/>
      <c r="BK2841" s="128"/>
      <c r="BL2841" s="128"/>
      <c r="BM2841" s="151"/>
      <c r="BN2841" s="128"/>
      <c r="BO2841" s="128"/>
      <c r="BP2841" s="128"/>
      <c r="BQ2841" s="128"/>
      <c r="BR2841" s="128"/>
      <c r="BS2841" s="128"/>
      <c r="BT2841" s="128"/>
      <c r="BU2841" s="128"/>
      <c r="BV2841" s="128"/>
      <c r="BW2841" s="128"/>
      <c r="BX2841" s="128"/>
      <c r="BY2841" s="128"/>
      <c r="BZ2841" s="128"/>
      <c r="CA2841" s="128"/>
      <c r="CB2841" s="128"/>
      <c r="CC2841" s="128"/>
      <c r="CD2841" s="128"/>
      <c r="CE2841" s="128"/>
      <c r="CF2841" s="128"/>
      <c r="CG2841" s="128"/>
      <c r="CI2841" s="128"/>
      <c r="CJ2841" s="128"/>
      <c r="CK2841" s="128"/>
      <c r="CL2841" s="128"/>
      <c r="CM2841" s="128"/>
      <c r="CN2841" s="128"/>
      <c r="CO2841" s="128"/>
      <c r="CP2841" s="128"/>
      <c r="CQ2841" s="128"/>
      <c r="CR2841" s="128"/>
      <c r="CS2841" s="128"/>
      <c r="CT2841" s="128"/>
      <c r="CU2841" s="128"/>
      <c r="CV2841" s="128"/>
      <c r="CW2841" s="128"/>
      <c r="CX2841" s="128"/>
      <c r="CY2841" s="128"/>
      <c r="CZ2841" s="165"/>
    </row>
    <row r="2842" spans="1:104">
      <c r="A2842" s="149"/>
      <c r="B2842" s="149"/>
      <c r="C2842" s="150"/>
      <c r="D2842" s="102"/>
      <c r="E2842" s="149"/>
      <c r="F2842" s="149"/>
      <c r="G2842" s="149"/>
      <c r="H2842" s="149"/>
      <c r="I2842" s="149"/>
      <c r="J2842" s="149"/>
      <c r="K2842" s="149"/>
      <c r="L2842" s="149"/>
      <c r="M2842" s="149"/>
      <c r="N2842" s="149"/>
      <c r="O2842" s="149"/>
      <c r="P2842" s="149"/>
      <c r="Q2842" s="149"/>
      <c r="R2842" s="149"/>
      <c r="S2842" s="149"/>
      <c r="T2842" s="149"/>
      <c r="U2842" s="149"/>
      <c r="V2842" s="149"/>
      <c r="W2842" s="149"/>
      <c r="X2842" s="149"/>
      <c r="Y2842" s="149"/>
      <c r="Z2842" s="149"/>
      <c r="AA2842" s="149"/>
      <c r="AB2842" s="149"/>
      <c r="AC2842" s="149"/>
      <c r="AD2842" s="149"/>
      <c r="AE2842" s="149"/>
      <c r="AF2842" s="149"/>
      <c r="AG2842" s="149"/>
      <c r="AH2842" s="149"/>
      <c r="AI2842" s="149"/>
      <c r="AJ2842" s="149"/>
      <c r="AK2842" s="149"/>
      <c r="AL2842" s="149"/>
      <c r="AM2842" s="149"/>
      <c r="AN2842" s="149"/>
      <c r="AO2842" s="128"/>
      <c r="AP2842" s="128"/>
      <c r="AQ2842" s="128"/>
      <c r="AR2842" s="128"/>
      <c r="AS2842" s="128"/>
      <c r="AT2842" s="128"/>
      <c r="AU2842" s="128"/>
      <c r="AV2842" s="128"/>
      <c r="AW2842" s="128"/>
      <c r="AX2842" s="128"/>
      <c r="AY2842" s="128"/>
      <c r="AZ2842" s="128"/>
      <c r="BA2842" s="128"/>
      <c r="BB2842" s="128"/>
      <c r="BC2842" s="128"/>
      <c r="BD2842" s="128"/>
      <c r="BE2842" s="128"/>
      <c r="BF2842" s="128"/>
      <c r="BG2842" s="128"/>
      <c r="BH2842" s="128"/>
      <c r="BI2842" s="128"/>
      <c r="BJ2842" s="128"/>
      <c r="BK2842" s="128"/>
      <c r="BL2842" s="128"/>
      <c r="BM2842" s="151"/>
      <c r="BN2842" s="128"/>
      <c r="BO2842" s="128"/>
      <c r="BP2842" s="128"/>
      <c r="BQ2842" s="128"/>
      <c r="BR2842" s="128"/>
      <c r="BS2842" s="128"/>
      <c r="BT2842" s="128"/>
      <c r="BU2842" s="128"/>
      <c r="BV2842" s="128"/>
      <c r="BW2842" s="128"/>
      <c r="BX2842" s="128"/>
      <c r="BY2842" s="128"/>
      <c r="BZ2842" s="128"/>
      <c r="CA2842" s="128"/>
      <c r="CB2842" s="128"/>
      <c r="CC2842" s="128"/>
      <c r="CD2842" s="128"/>
      <c r="CE2842" s="128"/>
      <c r="CF2842" s="128"/>
      <c r="CG2842" s="128"/>
      <c r="CI2842" s="128"/>
      <c r="CJ2842" s="128"/>
      <c r="CK2842" s="128"/>
      <c r="CL2842" s="128"/>
      <c r="CM2842" s="128"/>
      <c r="CN2842" s="128"/>
      <c r="CO2842" s="128"/>
      <c r="CP2842" s="128"/>
      <c r="CQ2842" s="128"/>
      <c r="CR2842" s="128"/>
      <c r="CS2842" s="128"/>
      <c r="CT2842" s="128"/>
      <c r="CU2842" s="128"/>
      <c r="CV2842" s="128"/>
      <c r="CW2842" s="128"/>
      <c r="CX2842" s="128"/>
      <c r="CY2842" s="128"/>
      <c r="CZ2842" s="165"/>
    </row>
    <row r="2843" spans="1:104">
      <c r="A2843" s="149"/>
      <c r="B2843" s="149"/>
      <c r="C2843" s="150"/>
      <c r="D2843" s="102"/>
      <c r="E2843" s="149"/>
      <c r="F2843" s="149"/>
      <c r="G2843" s="149"/>
      <c r="H2843" s="149"/>
      <c r="I2843" s="149"/>
      <c r="J2843" s="149"/>
      <c r="K2843" s="149"/>
      <c r="L2843" s="149"/>
      <c r="M2843" s="149"/>
      <c r="N2843" s="149"/>
      <c r="O2843" s="149"/>
      <c r="P2843" s="149"/>
      <c r="Q2843" s="149"/>
      <c r="R2843" s="149"/>
      <c r="S2843" s="149"/>
      <c r="T2843" s="149"/>
      <c r="U2843" s="149"/>
      <c r="V2843" s="149"/>
      <c r="W2843" s="149"/>
      <c r="X2843" s="149"/>
      <c r="Y2843" s="149"/>
      <c r="Z2843" s="149"/>
      <c r="AA2843" s="149"/>
      <c r="AB2843" s="149"/>
      <c r="AC2843" s="149"/>
      <c r="AD2843" s="149"/>
      <c r="AE2843" s="149"/>
      <c r="AF2843" s="149"/>
      <c r="AG2843" s="149"/>
      <c r="AH2843" s="149"/>
      <c r="AI2843" s="149"/>
      <c r="AJ2843" s="149"/>
      <c r="AK2843" s="149"/>
      <c r="AL2843" s="149"/>
      <c r="AM2843" s="149"/>
      <c r="AN2843" s="149"/>
      <c r="AO2843" s="128"/>
      <c r="AP2843" s="128"/>
      <c r="AQ2843" s="128"/>
      <c r="AR2843" s="128"/>
      <c r="AS2843" s="128"/>
      <c r="AT2843" s="128"/>
      <c r="AU2843" s="128"/>
      <c r="AV2843" s="128"/>
      <c r="AW2843" s="128"/>
      <c r="AX2843" s="128"/>
      <c r="AY2843" s="128"/>
      <c r="AZ2843" s="128"/>
      <c r="BA2843" s="128"/>
      <c r="BB2843" s="128"/>
      <c r="BC2843" s="128"/>
      <c r="BD2843" s="128"/>
      <c r="BE2843" s="128"/>
      <c r="BF2843" s="128"/>
      <c r="BG2843" s="128"/>
      <c r="BH2843" s="128"/>
      <c r="BI2843" s="128"/>
      <c r="BJ2843" s="128"/>
      <c r="BK2843" s="128"/>
      <c r="BL2843" s="128"/>
      <c r="BM2843" s="151"/>
      <c r="BN2843" s="128"/>
      <c r="BO2843" s="128"/>
      <c r="BP2843" s="128"/>
      <c r="BQ2843" s="128"/>
      <c r="BR2843" s="128"/>
      <c r="BS2843" s="128"/>
      <c r="BT2843" s="128"/>
      <c r="BU2843" s="128"/>
      <c r="BV2843" s="128"/>
      <c r="BW2843" s="128"/>
      <c r="BX2843" s="128"/>
      <c r="BY2843" s="128"/>
      <c r="BZ2843" s="128"/>
      <c r="CA2843" s="128"/>
      <c r="CB2843" s="128"/>
      <c r="CC2843" s="128"/>
      <c r="CD2843" s="128"/>
      <c r="CE2843" s="128"/>
      <c r="CF2843" s="128"/>
      <c r="CG2843" s="128"/>
      <c r="CI2843" s="128"/>
      <c r="CJ2843" s="128"/>
      <c r="CK2843" s="128"/>
      <c r="CL2843" s="128"/>
      <c r="CM2843" s="128"/>
      <c r="CN2843" s="128"/>
      <c r="CO2843" s="128"/>
      <c r="CP2843" s="128"/>
      <c r="CQ2843" s="128"/>
      <c r="CR2843" s="128"/>
      <c r="CS2843" s="128"/>
      <c r="CT2843" s="128"/>
      <c r="CU2843" s="128"/>
      <c r="CV2843" s="128"/>
      <c r="CW2843" s="128"/>
      <c r="CX2843" s="128"/>
      <c r="CY2843" s="128"/>
      <c r="CZ2843" s="165"/>
    </row>
    <row r="2844" spans="1:104">
      <c r="A2844" s="149"/>
      <c r="B2844" s="149"/>
      <c r="C2844" s="150"/>
      <c r="D2844" s="102"/>
      <c r="E2844" s="149"/>
      <c r="F2844" s="149"/>
      <c r="G2844" s="149"/>
      <c r="H2844" s="149"/>
      <c r="I2844" s="149"/>
      <c r="J2844" s="149"/>
      <c r="K2844" s="149"/>
      <c r="L2844" s="149"/>
      <c r="M2844" s="149"/>
      <c r="N2844" s="149"/>
      <c r="O2844" s="149"/>
      <c r="P2844" s="149"/>
      <c r="Q2844" s="149"/>
      <c r="R2844" s="149"/>
      <c r="S2844" s="149"/>
      <c r="T2844" s="149"/>
      <c r="U2844" s="149"/>
      <c r="V2844" s="149"/>
      <c r="W2844" s="149"/>
      <c r="X2844" s="149"/>
      <c r="Y2844" s="149"/>
      <c r="Z2844" s="149"/>
      <c r="AA2844" s="149"/>
      <c r="AB2844" s="149"/>
      <c r="AC2844" s="149"/>
      <c r="AD2844" s="149"/>
      <c r="AE2844" s="149"/>
      <c r="AF2844" s="149"/>
      <c r="AG2844" s="149"/>
      <c r="AH2844" s="149"/>
      <c r="AI2844" s="149"/>
      <c r="AJ2844" s="149"/>
      <c r="AK2844" s="149"/>
      <c r="AL2844" s="149"/>
      <c r="AM2844" s="149"/>
      <c r="AN2844" s="149"/>
      <c r="AO2844" s="128"/>
      <c r="AP2844" s="128"/>
      <c r="AQ2844" s="128"/>
      <c r="AR2844" s="128"/>
      <c r="AS2844" s="128"/>
      <c r="AT2844" s="128"/>
      <c r="AU2844" s="128"/>
      <c r="AV2844" s="128"/>
      <c r="AW2844" s="128"/>
      <c r="AX2844" s="128"/>
      <c r="AY2844" s="128"/>
      <c r="AZ2844" s="128"/>
      <c r="BA2844" s="128"/>
      <c r="BB2844" s="128"/>
      <c r="BC2844" s="128"/>
      <c r="BD2844" s="128"/>
      <c r="BE2844" s="128"/>
      <c r="BF2844" s="128"/>
      <c r="BG2844" s="128"/>
      <c r="BH2844" s="128"/>
      <c r="BI2844" s="128"/>
      <c r="BJ2844" s="128"/>
      <c r="BK2844" s="128"/>
      <c r="BL2844" s="128"/>
      <c r="BM2844" s="151"/>
      <c r="BN2844" s="128"/>
      <c r="BO2844" s="128"/>
      <c r="BP2844" s="128"/>
      <c r="BQ2844" s="128"/>
      <c r="BR2844" s="128"/>
      <c r="BS2844" s="128"/>
      <c r="BT2844" s="128"/>
      <c r="BU2844" s="128"/>
      <c r="BV2844" s="128"/>
      <c r="BW2844" s="128"/>
      <c r="BX2844" s="128"/>
      <c r="BY2844" s="128"/>
      <c r="BZ2844" s="128"/>
      <c r="CA2844" s="128"/>
      <c r="CB2844" s="128"/>
      <c r="CC2844" s="128"/>
      <c r="CD2844" s="128"/>
      <c r="CE2844" s="128"/>
      <c r="CF2844" s="128"/>
      <c r="CG2844" s="128"/>
      <c r="CI2844" s="128"/>
      <c r="CJ2844" s="128"/>
      <c r="CK2844" s="128"/>
      <c r="CL2844" s="128"/>
      <c r="CM2844" s="128"/>
      <c r="CN2844" s="128"/>
      <c r="CO2844" s="128"/>
      <c r="CP2844" s="128"/>
      <c r="CQ2844" s="128"/>
      <c r="CR2844" s="128"/>
      <c r="CS2844" s="128"/>
      <c r="CT2844" s="128"/>
      <c r="CU2844" s="128"/>
      <c r="CV2844" s="128"/>
      <c r="CW2844" s="128"/>
      <c r="CX2844" s="128"/>
      <c r="CY2844" s="128"/>
      <c r="CZ2844" s="165"/>
    </row>
    <row r="2845" spans="1:104">
      <c r="A2845" s="149"/>
      <c r="B2845" s="149"/>
      <c r="C2845" s="150"/>
      <c r="D2845" s="102"/>
      <c r="E2845" s="149"/>
      <c r="F2845" s="149"/>
      <c r="G2845" s="149"/>
      <c r="H2845" s="149"/>
      <c r="I2845" s="149"/>
      <c r="J2845" s="149"/>
      <c r="K2845" s="149"/>
      <c r="L2845" s="149"/>
      <c r="M2845" s="149"/>
      <c r="N2845" s="149"/>
      <c r="O2845" s="149"/>
      <c r="P2845" s="149"/>
      <c r="Q2845" s="149"/>
      <c r="R2845" s="149"/>
      <c r="S2845" s="149"/>
      <c r="T2845" s="149"/>
      <c r="U2845" s="149"/>
      <c r="V2845" s="149"/>
      <c r="W2845" s="149"/>
      <c r="X2845" s="149"/>
      <c r="Y2845" s="149"/>
      <c r="Z2845" s="149"/>
      <c r="AA2845" s="149"/>
      <c r="AB2845" s="149"/>
      <c r="AC2845" s="149"/>
      <c r="AD2845" s="149"/>
      <c r="AE2845" s="149"/>
      <c r="AF2845" s="149"/>
      <c r="AG2845" s="149"/>
      <c r="AH2845" s="149"/>
      <c r="AI2845" s="149"/>
      <c r="AJ2845" s="149"/>
      <c r="AK2845" s="149"/>
      <c r="AL2845" s="149"/>
      <c r="AM2845" s="149"/>
      <c r="AN2845" s="149"/>
      <c r="AO2845" s="128"/>
      <c r="AP2845" s="128"/>
      <c r="AQ2845" s="128"/>
      <c r="AR2845" s="128"/>
      <c r="AS2845" s="128"/>
      <c r="AT2845" s="128"/>
      <c r="AU2845" s="128"/>
      <c r="AV2845" s="128"/>
      <c r="AW2845" s="128"/>
      <c r="AX2845" s="128"/>
      <c r="AY2845" s="128"/>
      <c r="AZ2845" s="128"/>
      <c r="BA2845" s="128"/>
      <c r="BB2845" s="128"/>
      <c r="BC2845" s="128"/>
      <c r="BD2845" s="128"/>
      <c r="BE2845" s="128"/>
      <c r="BF2845" s="128"/>
      <c r="BG2845" s="128"/>
      <c r="BH2845" s="128"/>
      <c r="BI2845" s="128"/>
      <c r="BJ2845" s="128"/>
      <c r="BK2845" s="128"/>
      <c r="BL2845" s="128"/>
      <c r="BM2845" s="151"/>
      <c r="BN2845" s="128"/>
      <c r="BO2845" s="128"/>
      <c r="BP2845" s="128"/>
      <c r="BQ2845" s="128"/>
      <c r="BR2845" s="128"/>
      <c r="BS2845" s="128"/>
      <c r="BT2845" s="128"/>
      <c r="BU2845" s="128"/>
      <c r="BV2845" s="128"/>
      <c r="BW2845" s="128"/>
      <c r="BX2845" s="128"/>
      <c r="BY2845" s="128"/>
      <c r="BZ2845" s="128"/>
      <c r="CA2845" s="128"/>
      <c r="CB2845" s="128"/>
      <c r="CC2845" s="128"/>
      <c r="CD2845" s="128"/>
      <c r="CE2845" s="128"/>
      <c r="CF2845" s="128"/>
      <c r="CG2845" s="128"/>
      <c r="CI2845" s="128"/>
      <c r="CJ2845" s="128"/>
      <c r="CK2845" s="128"/>
      <c r="CL2845" s="128"/>
      <c r="CM2845" s="128"/>
      <c r="CN2845" s="128"/>
      <c r="CO2845" s="128"/>
      <c r="CP2845" s="128"/>
      <c r="CQ2845" s="128"/>
      <c r="CR2845" s="128"/>
      <c r="CS2845" s="128"/>
      <c r="CT2845" s="128"/>
      <c r="CU2845" s="128"/>
      <c r="CV2845" s="128"/>
      <c r="CW2845" s="128"/>
      <c r="CX2845" s="128"/>
      <c r="CY2845" s="128"/>
      <c r="CZ2845" s="165"/>
    </row>
    <row r="2846" spans="1:104">
      <c r="A2846" s="149"/>
      <c r="B2846" s="149"/>
      <c r="C2846" s="150"/>
      <c r="D2846" s="102"/>
      <c r="E2846" s="149"/>
      <c r="F2846" s="149"/>
      <c r="G2846" s="149"/>
      <c r="H2846" s="149"/>
      <c r="I2846" s="149"/>
      <c r="J2846" s="149"/>
      <c r="K2846" s="149"/>
      <c r="L2846" s="149"/>
      <c r="M2846" s="149"/>
      <c r="N2846" s="149"/>
      <c r="O2846" s="149"/>
      <c r="P2846" s="149"/>
      <c r="Q2846" s="149"/>
      <c r="R2846" s="149"/>
      <c r="S2846" s="149"/>
      <c r="T2846" s="149"/>
      <c r="U2846" s="149"/>
      <c r="V2846" s="149"/>
      <c r="W2846" s="149"/>
      <c r="X2846" s="149"/>
      <c r="Y2846" s="149"/>
      <c r="Z2846" s="149"/>
      <c r="AA2846" s="149"/>
      <c r="AB2846" s="149"/>
      <c r="AC2846" s="149"/>
      <c r="AD2846" s="149"/>
      <c r="AE2846" s="149"/>
      <c r="AF2846" s="149"/>
      <c r="AG2846" s="149"/>
      <c r="AH2846" s="149"/>
      <c r="AI2846" s="149"/>
      <c r="AJ2846" s="149"/>
      <c r="AK2846" s="149"/>
      <c r="AL2846" s="149"/>
      <c r="AM2846" s="149"/>
      <c r="AN2846" s="149"/>
      <c r="AO2846" s="128"/>
      <c r="AP2846" s="128"/>
      <c r="AQ2846" s="128"/>
      <c r="AR2846" s="128"/>
      <c r="AS2846" s="128"/>
      <c r="AT2846" s="128"/>
      <c r="AU2846" s="128"/>
      <c r="AV2846" s="128"/>
      <c r="AW2846" s="128"/>
      <c r="AX2846" s="128"/>
      <c r="AY2846" s="128"/>
      <c r="AZ2846" s="128"/>
      <c r="BA2846" s="128"/>
      <c r="BB2846" s="128"/>
      <c r="BC2846" s="128"/>
      <c r="BD2846" s="128"/>
      <c r="BE2846" s="128"/>
      <c r="BF2846" s="128"/>
      <c r="BG2846" s="128"/>
      <c r="BH2846" s="128"/>
      <c r="BI2846" s="128"/>
      <c r="BJ2846" s="128"/>
      <c r="BK2846" s="128"/>
      <c r="BL2846" s="128"/>
      <c r="BM2846" s="151"/>
      <c r="BN2846" s="128"/>
      <c r="BO2846" s="128"/>
      <c r="BP2846" s="128"/>
      <c r="BQ2846" s="128"/>
      <c r="BR2846" s="128"/>
      <c r="BS2846" s="128"/>
      <c r="BT2846" s="128"/>
      <c r="BU2846" s="128"/>
      <c r="BV2846" s="128"/>
      <c r="BW2846" s="128"/>
      <c r="BX2846" s="128"/>
      <c r="BY2846" s="128"/>
      <c r="BZ2846" s="128"/>
      <c r="CA2846" s="128"/>
      <c r="CB2846" s="128"/>
      <c r="CC2846" s="128"/>
      <c r="CD2846" s="128"/>
      <c r="CE2846" s="128"/>
      <c r="CF2846" s="128"/>
      <c r="CG2846" s="128"/>
      <c r="CI2846" s="128"/>
      <c r="CJ2846" s="128"/>
      <c r="CK2846" s="128"/>
      <c r="CL2846" s="128"/>
      <c r="CM2846" s="128"/>
      <c r="CN2846" s="128"/>
      <c r="CO2846" s="128"/>
      <c r="CP2846" s="128"/>
      <c r="CQ2846" s="128"/>
      <c r="CR2846" s="128"/>
      <c r="CS2846" s="128"/>
      <c r="CT2846" s="128"/>
      <c r="CU2846" s="128"/>
      <c r="CV2846" s="128"/>
      <c r="CW2846" s="128"/>
      <c r="CX2846" s="128"/>
      <c r="CY2846" s="128"/>
      <c r="CZ2846" s="165"/>
    </row>
    <row r="2847" spans="1:104">
      <c r="A2847" s="149"/>
      <c r="B2847" s="149"/>
      <c r="C2847" s="150"/>
      <c r="D2847" s="102"/>
      <c r="E2847" s="149"/>
      <c r="F2847" s="149"/>
      <c r="G2847" s="149"/>
      <c r="H2847" s="149"/>
      <c r="I2847" s="149"/>
      <c r="J2847" s="149"/>
      <c r="K2847" s="149"/>
      <c r="L2847" s="149"/>
      <c r="M2847" s="149"/>
      <c r="N2847" s="149"/>
      <c r="O2847" s="149"/>
      <c r="P2847" s="149"/>
      <c r="Q2847" s="149"/>
      <c r="R2847" s="149"/>
      <c r="S2847" s="149"/>
      <c r="T2847" s="149"/>
      <c r="U2847" s="149"/>
      <c r="V2847" s="149"/>
      <c r="W2847" s="149"/>
      <c r="X2847" s="149"/>
      <c r="Y2847" s="149"/>
      <c r="Z2847" s="149"/>
      <c r="AA2847" s="149"/>
      <c r="AB2847" s="149"/>
      <c r="AC2847" s="149"/>
      <c r="AD2847" s="149"/>
      <c r="AE2847" s="149"/>
      <c r="AF2847" s="149"/>
      <c r="AG2847" s="149"/>
      <c r="AH2847" s="149"/>
      <c r="AI2847" s="149"/>
      <c r="AJ2847" s="149"/>
      <c r="AK2847" s="149"/>
      <c r="AL2847" s="149"/>
      <c r="AM2847" s="149"/>
      <c r="AN2847" s="149"/>
      <c r="AO2847" s="128"/>
      <c r="AP2847" s="128"/>
      <c r="AQ2847" s="128"/>
      <c r="AR2847" s="128"/>
      <c r="AS2847" s="128"/>
      <c r="AT2847" s="128"/>
      <c r="AU2847" s="128"/>
      <c r="AV2847" s="128"/>
      <c r="AW2847" s="128"/>
      <c r="AX2847" s="128"/>
      <c r="AY2847" s="128"/>
      <c r="AZ2847" s="128"/>
      <c r="BA2847" s="128"/>
      <c r="BB2847" s="128"/>
      <c r="BC2847" s="128"/>
      <c r="BD2847" s="128"/>
      <c r="BE2847" s="128"/>
      <c r="BF2847" s="128"/>
      <c r="BG2847" s="128"/>
      <c r="BH2847" s="128"/>
      <c r="BI2847" s="128"/>
      <c r="BJ2847" s="128"/>
      <c r="BK2847" s="128"/>
      <c r="BL2847" s="128"/>
      <c r="BM2847" s="151"/>
      <c r="BN2847" s="128"/>
      <c r="BO2847" s="128"/>
      <c r="BP2847" s="128"/>
      <c r="BQ2847" s="128"/>
      <c r="BR2847" s="128"/>
      <c r="BS2847" s="128"/>
      <c r="BT2847" s="128"/>
      <c r="BU2847" s="128"/>
      <c r="BV2847" s="128"/>
      <c r="BW2847" s="128"/>
      <c r="BX2847" s="128"/>
      <c r="BY2847" s="128"/>
      <c r="BZ2847" s="128"/>
      <c r="CA2847" s="128"/>
      <c r="CB2847" s="128"/>
      <c r="CC2847" s="128"/>
      <c r="CD2847" s="128"/>
      <c r="CE2847" s="128"/>
      <c r="CF2847" s="128"/>
      <c r="CG2847" s="128"/>
      <c r="CI2847" s="128"/>
      <c r="CJ2847" s="128"/>
      <c r="CK2847" s="128"/>
      <c r="CL2847" s="128"/>
      <c r="CM2847" s="128"/>
      <c r="CN2847" s="128"/>
      <c r="CO2847" s="128"/>
      <c r="CP2847" s="128"/>
      <c r="CQ2847" s="128"/>
      <c r="CR2847" s="128"/>
      <c r="CS2847" s="128"/>
      <c r="CT2847" s="128"/>
      <c r="CU2847" s="128"/>
      <c r="CV2847" s="128"/>
      <c r="CW2847" s="128"/>
      <c r="CX2847" s="128"/>
      <c r="CY2847" s="128"/>
      <c r="CZ2847" s="165"/>
    </row>
    <row r="2848" spans="1:104">
      <c r="A2848" s="149"/>
      <c r="B2848" s="149"/>
      <c r="C2848" s="150"/>
      <c r="D2848" s="102"/>
      <c r="E2848" s="149"/>
      <c r="F2848" s="149"/>
      <c r="G2848" s="149"/>
      <c r="H2848" s="149"/>
      <c r="I2848" s="149"/>
      <c r="J2848" s="149"/>
      <c r="K2848" s="149"/>
      <c r="L2848" s="149"/>
      <c r="M2848" s="149"/>
      <c r="N2848" s="149"/>
      <c r="O2848" s="149"/>
      <c r="P2848" s="149"/>
      <c r="Q2848" s="149"/>
      <c r="R2848" s="149"/>
      <c r="S2848" s="149"/>
      <c r="T2848" s="149"/>
      <c r="U2848" s="149"/>
      <c r="V2848" s="149"/>
      <c r="W2848" s="149"/>
      <c r="X2848" s="149"/>
      <c r="Y2848" s="149"/>
      <c r="Z2848" s="149"/>
      <c r="AA2848" s="149"/>
      <c r="AB2848" s="149"/>
      <c r="AC2848" s="149"/>
      <c r="AD2848" s="149"/>
      <c r="AE2848" s="149"/>
      <c r="AF2848" s="149"/>
      <c r="AG2848" s="149"/>
      <c r="AH2848" s="149"/>
      <c r="AI2848" s="149"/>
      <c r="AJ2848" s="149"/>
      <c r="AK2848" s="149"/>
      <c r="AL2848" s="149"/>
      <c r="AM2848" s="149"/>
      <c r="AN2848" s="149"/>
      <c r="AO2848" s="128"/>
      <c r="AP2848" s="128"/>
      <c r="AQ2848" s="128"/>
      <c r="AR2848" s="128"/>
      <c r="AS2848" s="128"/>
      <c r="AT2848" s="128"/>
      <c r="AU2848" s="128"/>
      <c r="AV2848" s="128"/>
      <c r="AW2848" s="128"/>
      <c r="AX2848" s="128"/>
      <c r="AY2848" s="128"/>
      <c r="AZ2848" s="128"/>
      <c r="BA2848" s="128"/>
      <c r="BB2848" s="128"/>
      <c r="BC2848" s="128"/>
      <c r="BD2848" s="128"/>
      <c r="BE2848" s="128"/>
      <c r="BF2848" s="128"/>
      <c r="BG2848" s="128"/>
      <c r="BH2848" s="128"/>
      <c r="BI2848" s="128"/>
      <c r="BJ2848" s="128"/>
      <c r="BK2848" s="128"/>
      <c r="BL2848" s="128"/>
      <c r="BM2848" s="151"/>
      <c r="BN2848" s="128"/>
      <c r="BO2848" s="128"/>
      <c r="BP2848" s="128"/>
      <c r="BQ2848" s="128"/>
      <c r="BR2848" s="128"/>
      <c r="BS2848" s="128"/>
      <c r="BT2848" s="128"/>
      <c r="BU2848" s="128"/>
      <c r="BV2848" s="128"/>
      <c r="BW2848" s="128"/>
      <c r="BX2848" s="128"/>
      <c r="BY2848" s="128"/>
      <c r="BZ2848" s="128"/>
      <c r="CA2848" s="128"/>
      <c r="CB2848" s="128"/>
      <c r="CC2848" s="128"/>
      <c r="CD2848" s="128"/>
      <c r="CE2848" s="128"/>
      <c r="CF2848" s="128"/>
      <c r="CG2848" s="128"/>
      <c r="CI2848" s="128"/>
      <c r="CJ2848" s="128"/>
      <c r="CK2848" s="128"/>
      <c r="CL2848" s="128"/>
      <c r="CM2848" s="128"/>
      <c r="CN2848" s="128"/>
      <c r="CO2848" s="128"/>
      <c r="CP2848" s="128"/>
      <c r="CQ2848" s="128"/>
      <c r="CR2848" s="128"/>
      <c r="CS2848" s="128"/>
      <c r="CT2848" s="128"/>
      <c r="CU2848" s="128"/>
      <c r="CV2848" s="128"/>
      <c r="CW2848" s="128"/>
      <c r="CX2848" s="128"/>
      <c r="CY2848" s="128"/>
      <c r="CZ2848" s="165"/>
    </row>
    <row r="2849" spans="1:104">
      <c r="A2849" s="149"/>
      <c r="B2849" s="149"/>
      <c r="C2849" s="150"/>
      <c r="D2849" s="102"/>
      <c r="E2849" s="149"/>
      <c r="F2849" s="149"/>
      <c r="G2849" s="149"/>
      <c r="H2849" s="149"/>
      <c r="I2849" s="149"/>
      <c r="J2849" s="149"/>
      <c r="K2849" s="149"/>
      <c r="L2849" s="149"/>
      <c r="M2849" s="149"/>
      <c r="N2849" s="149"/>
      <c r="O2849" s="149"/>
      <c r="P2849" s="149"/>
      <c r="Q2849" s="149"/>
      <c r="R2849" s="149"/>
      <c r="S2849" s="149"/>
      <c r="T2849" s="149"/>
      <c r="U2849" s="149"/>
      <c r="V2849" s="149"/>
      <c r="W2849" s="149"/>
      <c r="X2849" s="149"/>
      <c r="Y2849" s="149"/>
      <c r="Z2849" s="149"/>
      <c r="AA2849" s="149"/>
      <c r="AB2849" s="149"/>
      <c r="AC2849" s="149"/>
      <c r="AD2849" s="149"/>
      <c r="AE2849" s="149"/>
      <c r="AF2849" s="149"/>
      <c r="AG2849" s="149"/>
      <c r="AH2849" s="149"/>
      <c r="AI2849" s="149"/>
      <c r="AJ2849" s="149"/>
      <c r="AK2849" s="149"/>
      <c r="AL2849" s="149"/>
      <c r="AM2849" s="149"/>
      <c r="AN2849" s="149"/>
      <c r="AO2849" s="128"/>
      <c r="AP2849" s="128"/>
      <c r="AQ2849" s="128"/>
      <c r="AR2849" s="128"/>
      <c r="AS2849" s="128"/>
      <c r="AT2849" s="128"/>
      <c r="AU2849" s="128"/>
      <c r="AV2849" s="128"/>
      <c r="AW2849" s="128"/>
      <c r="AX2849" s="128"/>
      <c r="AY2849" s="128"/>
      <c r="AZ2849" s="128"/>
      <c r="BA2849" s="128"/>
      <c r="BB2849" s="128"/>
      <c r="BC2849" s="128"/>
      <c r="BD2849" s="128"/>
      <c r="BE2849" s="128"/>
      <c r="BF2849" s="128"/>
      <c r="BG2849" s="128"/>
      <c r="BH2849" s="128"/>
      <c r="BI2849" s="128"/>
      <c r="BJ2849" s="128"/>
      <c r="BK2849" s="128"/>
      <c r="BL2849" s="128"/>
      <c r="BM2849" s="151"/>
      <c r="BN2849" s="128"/>
      <c r="BO2849" s="128"/>
      <c r="BP2849" s="128"/>
      <c r="BQ2849" s="128"/>
      <c r="BR2849" s="128"/>
      <c r="BS2849" s="128"/>
      <c r="BT2849" s="128"/>
      <c r="BU2849" s="128"/>
      <c r="BV2849" s="128"/>
      <c r="BW2849" s="128"/>
      <c r="BX2849" s="128"/>
      <c r="BY2849" s="128"/>
      <c r="BZ2849" s="128"/>
      <c r="CA2849" s="128"/>
      <c r="CB2849" s="128"/>
      <c r="CC2849" s="128"/>
      <c r="CD2849" s="128"/>
      <c r="CE2849" s="128"/>
      <c r="CF2849" s="128"/>
      <c r="CG2849" s="128"/>
      <c r="CI2849" s="128"/>
      <c r="CJ2849" s="128"/>
      <c r="CK2849" s="128"/>
      <c r="CL2849" s="128"/>
      <c r="CM2849" s="128"/>
      <c r="CN2849" s="128"/>
      <c r="CO2849" s="128"/>
      <c r="CP2849" s="128"/>
      <c r="CQ2849" s="128"/>
      <c r="CR2849" s="128"/>
      <c r="CS2849" s="128"/>
      <c r="CT2849" s="128"/>
      <c r="CU2849" s="128"/>
      <c r="CV2849" s="128"/>
      <c r="CW2849" s="128"/>
      <c r="CX2849" s="128"/>
      <c r="CY2849" s="128"/>
      <c r="CZ2849" s="165"/>
    </row>
    <row r="2850" spans="1:104">
      <c r="A2850" s="149"/>
      <c r="B2850" s="149"/>
      <c r="C2850" s="150"/>
      <c r="D2850" s="102"/>
      <c r="E2850" s="149"/>
      <c r="F2850" s="149"/>
      <c r="G2850" s="149"/>
      <c r="H2850" s="149"/>
      <c r="I2850" s="149"/>
      <c r="J2850" s="149"/>
      <c r="K2850" s="149"/>
      <c r="L2850" s="149"/>
      <c r="M2850" s="149"/>
      <c r="N2850" s="149"/>
      <c r="O2850" s="149"/>
      <c r="P2850" s="149"/>
      <c r="Q2850" s="149"/>
      <c r="R2850" s="149"/>
      <c r="S2850" s="149"/>
      <c r="T2850" s="149"/>
      <c r="U2850" s="149"/>
      <c r="V2850" s="149"/>
      <c r="W2850" s="149"/>
      <c r="X2850" s="149"/>
      <c r="Y2850" s="149"/>
      <c r="Z2850" s="149"/>
      <c r="AA2850" s="149"/>
      <c r="AB2850" s="149"/>
      <c r="AC2850" s="149"/>
      <c r="AD2850" s="149"/>
      <c r="AE2850" s="149"/>
      <c r="AF2850" s="149"/>
      <c r="AG2850" s="149"/>
      <c r="AH2850" s="149"/>
      <c r="AI2850" s="149"/>
      <c r="AJ2850" s="149"/>
      <c r="AK2850" s="149"/>
      <c r="AL2850" s="149"/>
      <c r="AM2850" s="149"/>
      <c r="AN2850" s="149"/>
      <c r="AO2850" s="128"/>
      <c r="AP2850" s="128"/>
      <c r="AQ2850" s="128"/>
      <c r="AR2850" s="128"/>
      <c r="AS2850" s="128"/>
      <c r="AT2850" s="128"/>
      <c r="AU2850" s="128"/>
      <c r="AV2850" s="128"/>
      <c r="AW2850" s="128"/>
      <c r="AX2850" s="128"/>
      <c r="AY2850" s="128"/>
      <c r="AZ2850" s="128"/>
      <c r="BA2850" s="128"/>
      <c r="BB2850" s="128"/>
      <c r="BC2850" s="128"/>
      <c r="BD2850" s="128"/>
      <c r="BE2850" s="128"/>
      <c r="BF2850" s="128"/>
      <c r="BG2850" s="128"/>
      <c r="BH2850" s="128"/>
      <c r="BI2850" s="128"/>
      <c r="BJ2850" s="128"/>
      <c r="BK2850" s="128"/>
      <c r="BL2850" s="128"/>
      <c r="BM2850" s="151"/>
      <c r="BN2850" s="128"/>
      <c r="BO2850" s="128"/>
      <c r="BP2850" s="128"/>
      <c r="BQ2850" s="128"/>
      <c r="BR2850" s="128"/>
      <c r="BS2850" s="128"/>
      <c r="BT2850" s="128"/>
      <c r="BU2850" s="128"/>
      <c r="BV2850" s="128"/>
      <c r="BW2850" s="128"/>
      <c r="BX2850" s="128"/>
      <c r="BY2850" s="128"/>
      <c r="BZ2850" s="128"/>
      <c r="CA2850" s="128"/>
      <c r="CB2850" s="128"/>
      <c r="CC2850" s="128"/>
      <c r="CD2850" s="128"/>
      <c r="CE2850" s="128"/>
      <c r="CF2850" s="128"/>
      <c r="CG2850" s="128"/>
      <c r="CI2850" s="128"/>
      <c r="CJ2850" s="128"/>
      <c r="CK2850" s="128"/>
      <c r="CL2850" s="128"/>
      <c r="CM2850" s="128"/>
      <c r="CN2850" s="128"/>
      <c r="CO2850" s="128"/>
      <c r="CP2850" s="128"/>
      <c r="CQ2850" s="128"/>
      <c r="CR2850" s="128"/>
      <c r="CS2850" s="128"/>
      <c r="CT2850" s="128"/>
      <c r="CU2850" s="128"/>
      <c r="CV2850" s="128"/>
      <c r="CW2850" s="128"/>
      <c r="CX2850" s="128"/>
      <c r="CY2850" s="128"/>
      <c r="CZ2850" s="165"/>
    </row>
    <row r="2851" spans="1:104">
      <c r="A2851" s="149"/>
      <c r="B2851" s="149"/>
      <c r="C2851" s="150"/>
      <c r="D2851" s="102"/>
      <c r="E2851" s="149"/>
      <c r="F2851" s="149"/>
      <c r="G2851" s="149"/>
      <c r="H2851" s="149"/>
      <c r="I2851" s="149"/>
      <c r="J2851" s="149"/>
      <c r="K2851" s="149"/>
      <c r="L2851" s="149"/>
      <c r="M2851" s="149"/>
      <c r="N2851" s="149"/>
      <c r="O2851" s="149"/>
      <c r="P2851" s="149"/>
      <c r="Q2851" s="149"/>
      <c r="R2851" s="149"/>
      <c r="S2851" s="149"/>
      <c r="T2851" s="149"/>
      <c r="U2851" s="149"/>
      <c r="V2851" s="149"/>
      <c r="W2851" s="149"/>
      <c r="X2851" s="149"/>
      <c r="Y2851" s="149"/>
      <c r="Z2851" s="149"/>
      <c r="AA2851" s="149"/>
      <c r="AB2851" s="149"/>
      <c r="AC2851" s="149"/>
      <c r="AD2851" s="149"/>
      <c r="AE2851" s="149"/>
      <c r="AF2851" s="149"/>
      <c r="AG2851" s="149"/>
      <c r="AH2851" s="149"/>
      <c r="AI2851" s="149"/>
      <c r="AJ2851" s="149"/>
      <c r="AK2851" s="149"/>
      <c r="AL2851" s="149"/>
      <c r="AM2851" s="149"/>
      <c r="AN2851" s="149"/>
      <c r="AO2851" s="128"/>
      <c r="AP2851" s="128"/>
      <c r="AQ2851" s="128"/>
      <c r="AR2851" s="128"/>
      <c r="AS2851" s="128"/>
      <c r="AT2851" s="128"/>
      <c r="AU2851" s="128"/>
      <c r="AV2851" s="128"/>
      <c r="AW2851" s="128"/>
      <c r="AX2851" s="128"/>
      <c r="AY2851" s="128"/>
      <c r="AZ2851" s="128"/>
      <c r="BA2851" s="128"/>
      <c r="BB2851" s="128"/>
      <c r="BC2851" s="128"/>
      <c r="BD2851" s="128"/>
      <c r="BE2851" s="128"/>
      <c r="BF2851" s="128"/>
      <c r="BG2851" s="128"/>
      <c r="BH2851" s="128"/>
      <c r="BI2851" s="128"/>
      <c r="BJ2851" s="128"/>
      <c r="BK2851" s="128"/>
      <c r="BL2851" s="128"/>
      <c r="BM2851" s="151"/>
      <c r="BN2851" s="128"/>
      <c r="BO2851" s="128"/>
      <c r="BP2851" s="128"/>
      <c r="BQ2851" s="128"/>
      <c r="BR2851" s="128"/>
      <c r="BS2851" s="128"/>
      <c r="BT2851" s="128"/>
      <c r="BU2851" s="128"/>
      <c r="BV2851" s="128"/>
      <c r="BW2851" s="128"/>
      <c r="BX2851" s="128"/>
      <c r="BY2851" s="128"/>
      <c r="BZ2851" s="128"/>
      <c r="CA2851" s="128"/>
      <c r="CB2851" s="128"/>
      <c r="CC2851" s="128"/>
      <c r="CD2851" s="128"/>
      <c r="CE2851" s="128"/>
      <c r="CF2851" s="128"/>
      <c r="CG2851" s="128"/>
      <c r="CI2851" s="128"/>
      <c r="CJ2851" s="128"/>
      <c r="CK2851" s="128"/>
      <c r="CL2851" s="128"/>
      <c r="CM2851" s="128"/>
      <c r="CN2851" s="128"/>
      <c r="CO2851" s="128"/>
      <c r="CP2851" s="128"/>
      <c r="CQ2851" s="128"/>
      <c r="CR2851" s="128"/>
      <c r="CS2851" s="128"/>
      <c r="CT2851" s="128"/>
      <c r="CU2851" s="128"/>
      <c r="CV2851" s="128"/>
      <c r="CW2851" s="128"/>
      <c r="CX2851" s="128"/>
      <c r="CY2851" s="128"/>
      <c r="CZ2851" s="165"/>
    </row>
    <row r="2852" spans="1:104">
      <c r="A2852" s="149"/>
      <c r="B2852" s="149"/>
      <c r="C2852" s="150"/>
      <c r="D2852" s="102"/>
      <c r="E2852" s="149"/>
      <c r="F2852" s="149"/>
      <c r="G2852" s="149"/>
      <c r="H2852" s="149"/>
      <c r="I2852" s="149"/>
      <c r="J2852" s="149"/>
      <c r="K2852" s="149"/>
      <c r="L2852" s="149"/>
      <c r="M2852" s="149"/>
      <c r="N2852" s="149"/>
      <c r="O2852" s="149"/>
      <c r="P2852" s="149"/>
      <c r="Q2852" s="149"/>
      <c r="R2852" s="149"/>
      <c r="S2852" s="149"/>
      <c r="T2852" s="149"/>
      <c r="U2852" s="149"/>
      <c r="V2852" s="149"/>
      <c r="W2852" s="149"/>
      <c r="X2852" s="149"/>
      <c r="Y2852" s="149"/>
      <c r="Z2852" s="149"/>
      <c r="AA2852" s="149"/>
      <c r="AB2852" s="149"/>
      <c r="AC2852" s="149"/>
      <c r="AD2852" s="149"/>
      <c r="AE2852" s="149"/>
      <c r="AF2852" s="149"/>
      <c r="AG2852" s="149"/>
      <c r="AH2852" s="149"/>
      <c r="AI2852" s="149"/>
      <c r="AJ2852" s="149"/>
      <c r="AK2852" s="149"/>
      <c r="AL2852" s="149"/>
      <c r="AM2852" s="149"/>
      <c r="AN2852" s="149"/>
      <c r="AO2852" s="128"/>
      <c r="AP2852" s="128"/>
      <c r="AQ2852" s="128"/>
      <c r="AR2852" s="128"/>
      <c r="AS2852" s="128"/>
      <c r="AT2852" s="128"/>
      <c r="AU2852" s="128"/>
      <c r="AV2852" s="128"/>
      <c r="AW2852" s="128"/>
      <c r="AX2852" s="128"/>
      <c r="AY2852" s="128"/>
      <c r="AZ2852" s="128"/>
      <c r="BA2852" s="128"/>
      <c r="BB2852" s="128"/>
      <c r="BC2852" s="128"/>
      <c r="BD2852" s="128"/>
      <c r="BE2852" s="128"/>
      <c r="BF2852" s="128"/>
      <c r="BG2852" s="128"/>
      <c r="BH2852" s="128"/>
      <c r="BI2852" s="128"/>
      <c r="BJ2852" s="128"/>
      <c r="BK2852" s="128"/>
      <c r="BL2852" s="128"/>
      <c r="BM2852" s="151"/>
      <c r="BN2852" s="128"/>
      <c r="BO2852" s="128"/>
      <c r="BP2852" s="128"/>
      <c r="BQ2852" s="128"/>
      <c r="BR2852" s="128"/>
      <c r="BS2852" s="128"/>
      <c r="BT2852" s="128"/>
      <c r="BU2852" s="128"/>
      <c r="BV2852" s="128"/>
      <c r="BW2852" s="128"/>
      <c r="BX2852" s="128"/>
      <c r="BY2852" s="128"/>
      <c r="BZ2852" s="128"/>
      <c r="CA2852" s="128"/>
      <c r="CB2852" s="128"/>
      <c r="CC2852" s="128"/>
      <c r="CD2852" s="128"/>
      <c r="CE2852" s="128"/>
      <c r="CF2852" s="128"/>
      <c r="CG2852" s="128"/>
      <c r="CI2852" s="128"/>
      <c r="CJ2852" s="128"/>
      <c r="CK2852" s="128"/>
      <c r="CL2852" s="128"/>
      <c r="CM2852" s="128"/>
      <c r="CN2852" s="128"/>
      <c r="CO2852" s="128"/>
      <c r="CP2852" s="128"/>
      <c r="CQ2852" s="128"/>
      <c r="CR2852" s="128"/>
      <c r="CS2852" s="128"/>
      <c r="CT2852" s="128"/>
      <c r="CU2852" s="128"/>
      <c r="CV2852" s="128"/>
      <c r="CW2852" s="128"/>
      <c r="CX2852" s="128"/>
      <c r="CY2852" s="128"/>
      <c r="CZ2852" s="165"/>
    </row>
    <row r="2853" spans="1:104">
      <c r="A2853" s="149"/>
      <c r="B2853" s="149"/>
      <c r="C2853" s="150"/>
      <c r="D2853" s="102"/>
      <c r="E2853" s="149"/>
      <c r="F2853" s="149"/>
      <c r="G2853" s="149"/>
      <c r="H2853" s="149"/>
      <c r="I2853" s="149"/>
      <c r="J2853" s="149"/>
      <c r="K2853" s="149"/>
      <c r="L2853" s="149"/>
      <c r="M2853" s="149"/>
      <c r="N2853" s="149"/>
      <c r="O2853" s="149"/>
      <c r="P2853" s="149"/>
      <c r="Q2853" s="149"/>
      <c r="R2853" s="149"/>
      <c r="S2853" s="149"/>
      <c r="T2853" s="149"/>
      <c r="U2853" s="149"/>
      <c r="V2853" s="149"/>
      <c r="W2853" s="149"/>
      <c r="X2853" s="149"/>
      <c r="Y2853" s="149"/>
      <c r="Z2853" s="149"/>
      <c r="AA2853" s="149"/>
      <c r="AB2853" s="149"/>
      <c r="AC2853" s="149"/>
      <c r="AD2853" s="149"/>
      <c r="AE2853" s="149"/>
      <c r="AF2853" s="149"/>
      <c r="AG2853" s="149"/>
      <c r="AH2853" s="149"/>
      <c r="AI2853" s="149"/>
      <c r="AJ2853" s="149"/>
      <c r="AK2853" s="149"/>
      <c r="AL2853" s="149"/>
      <c r="AM2853" s="149"/>
      <c r="AN2853" s="149"/>
      <c r="AO2853" s="128"/>
      <c r="AP2853" s="128"/>
      <c r="AQ2853" s="128"/>
      <c r="AR2853" s="128"/>
      <c r="AS2853" s="128"/>
      <c r="AT2853" s="128"/>
      <c r="AU2853" s="128"/>
      <c r="AV2853" s="128"/>
      <c r="AW2853" s="128"/>
      <c r="AX2853" s="128"/>
      <c r="AY2853" s="128"/>
      <c r="AZ2853" s="128"/>
      <c r="BA2853" s="128"/>
      <c r="BB2853" s="128"/>
      <c r="BC2853" s="128"/>
      <c r="BD2853" s="128"/>
      <c r="BE2853" s="128"/>
      <c r="BF2853" s="128"/>
      <c r="BG2853" s="128"/>
      <c r="BH2853" s="128"/>
      <c r="BI2853" s="128"/>
      <c r="BJ2853" s="128"/>
      <c r="BK2853" s="128"/>
      <c r="BL2853" s="128"/>
      <c r="BM2853" s="151"/>
      <c r="BN2853" s="128"/>
      <c r="BO2853" s="128"/>
      <c r="BP2853" s="128"/>
      <c r="BQ2853" s="128"/>
      <c r="BR2853" s="128"/>
      <c r="BS2853" s="128"/>
      <c r="BT2853" s="128"/>
      <c r="BU2853" s="128"/>
      <c r="BV2853" s="128"/>
      <c r="BW2853" s="128"/>
      <c r="BX2853" s="128"/>
      <c r="BY2853" s="128"/>
      <c r="BZ2853" s="128"/>
      <c r="CA2853" s="128"/>
      <c r="CB2853" s="128"/>
      <c r="CC2853" s="128"/>
      <c r="CD2853" s="128"/>
      <c r="CE2853" s="128"/>
      <c r="CF2853" s="128"/>
      <c r="CG2853" s="128"/>
      <c r="CI2853" s="128"/>
      <c r="CJ2853" s="128"/>
      <c r="CK2853" s="128"/>
      <c r="CL2853" s="128"/>
      <c r="CM2853" s="128"/>
      <c r="CN2853" s="128"/>
      <c r="CO2853" s="128"/>
      <c r="CP2853" s="128"/>
      <c r="CQ2853" s="128"/>
      <c r="CR2853" s="128"/>
      <c r="CS2853" s="128"/>
      <c r="CT2853" s="128"/>
      <c r="CU2853" s="128"/>
      <c r="CV2853" s="128"/>
      <c r="CW2853" s="128"/>
      <c r="CX2853" s="128"/>
      <c r="CY2853" s="128"/>
      <c r="CZ2853" s="165"/>
    </row>
    <row r="2854" spans="1:104">
      <c r="A2854" s="149"/>
      <c r="B2854" s="149"/>
      <c r="C2854" s="150"/>
      <c r="D2854" s="102"/>
      <c r="E2854" s="149"/>
      <c r="F2854" s="149"/>
      <c r="G2854" s="149"/>
      <c r="H2854" s="149"/>
      <c r="I2854" s="149"/>
      <c r="J2854" s="149"/>
      <c r="K2854" s="149"/>
      <c r="L2854" s="149"/>
      <c r="M2854" s="149"/>
      <c r="N2854" s="149"/>
      <c r="O2854" s="149"/>
      <c r="P2854" s="149"/>
      <c r="Q2854" s="149"/>
      <c r="R2854" s="149"/>
      <c r="S2854" s="149"/>
      <c r="T2854" s="149"/>
      <c r="U2854" s="149"/>
      <c r="V2854" s="149"/>
      <c r="W2854" s="149"/>
      <c r="X2854" s="149"/>
      <c r="Y2854" s="149"/>
      <c r="Z2854" s="149"/>
      <c r="AA2854" s="149"/>
      <c r="AB2854" s="149"/>
      <c r="AC2854" s="149"/>
      <c r="AD2854" s="149"/>
      <c r="AE2854" s="149"/>
      <c r="AF2854" s="149"/>
      <c r="AG2854" s="149"/>
      <c r="AH2854" s="149"/>
      <c r="AI2854" s="149"/>
      <c r="AJ2854" s="149"/>
      <c r="AK2854" s="149"/>
      <c r="AL2854" s="149"/>
      <c r="AM2854" s="149"/>
      <c r="AN2854" s="149"/>
      <c r="AO2854" s="128"/>
      <c r="AP2854" s="128"/>
      <c r="AQ2854" s="128"/>
      <c r="AR2854" s="128"/>
      <c r="AS2854" s="128"/>
      <c r="AT2854" s="128"/>
      <c r="AU2854" s="128"/>
      <c r="AV2854" s="128"/>
      <c r="AW2854" s="128"/>
      <c r="AX2854" s="128"/>
      <c r="AY2854" s="128"/>
      <c r="AZ2854" s="128"/>
      <c r="BA2854" s="128"/>
      <c r="BB2854" s="128"/>
      <c r="BC2854" s="128"/>
      <c r="BD2854" s="128"/>
      <c r="BE2854" s="128"/>
      <c r="BF2854" s="128"/>
      <c r="BG2854" s="128"/>
      <c r="BH2854" s="128"/>
      <c r="BI2854" s="128"/>
      <c r="BJ2854" s="128"/>
      <c r="BK2854" s="128"/>
      <c r="BL2854" s="128"/>
      <c r="BM2854" s="151"/>
      <c r="BN2854" s="128"/>
      <c r="BO2854" s="128"/>
      <c r="BP2854" s="128"/>
      <c r="BQ2854" s="128"/>
      <c r="BR2854" s="128"/>
      <c r="BS2854" s="128"/>
      <c r="BT2854" s="128"/>
      <c r="BU2854" s="128"/>
      <c r="BV2854" s="128"/>
      <c r="BW2854" s="128"/>
      <c r="BX2854" s="128"/>
      <c r="BY2854" s="128"/>
      <c r="BZ2854" s="128"/>
      <c r="CA2854" s="128"/>
      <c r="CB2854" s="128"/>
      <c r="CC2854" s="128"/>
      <c r="CD2854" s="128"/>
      <c r="CE2854" s="128"/>
      <c r="CF2854" s="128"/>
      <c r="CG2854" s="128"/>
      <c r="CI2854" s="128"/>
      <c r="CJ2854" s="128"/>
      <c r="CK2854" s="128"/>
      <c r="CL2854" s="128"/>
      <c r="CM2854" s="128"/>
      <c r="CN2854" s="128"/>
      <c r="CO2854" s="128"/>
      <c r="CP2854" s="128"/>
      <c r="CQ2854" s="128"/>
      <c r="CR2854" s="128"/>
      <c r="CS2854" s="128"/>
      <c r="CT2854" s="128"/>
      <c r="CU2854" s="128"/>
      <c r="CV2854" s="128"/>
      <c r="CW2854" s="128"/>
      <c r="CX2854" s="128"/>
      <c r="CY2854" s="128"/>
      <c r="CZ2854" s="165"/>
    </row>
    <row r="2855" spans="1:104">
      <c r="A2855" s="149"/>
      <c r="B2855" s="149"/>
      <c r="C2855" s="150"/>
      <c r="D2855" s="102"/>
      <c r="E2855" s="149"/>
      <c r="F2855" s="149"/>
      <c r="G2855" s="149"/>
      <c r="H2855" s="149"/>
      <c r="I2855" s="149"/>
      <c r="J2855" s="149"/>
      <c r="K2855" s="149"/>
      <c r="L2855" s="149"/>
      <c r="M2855" s="149"/>
      <c r="N2855" s="149"/>
      <c r="O2855" s="149"/>
      <c r="P2855" s="149"/>
      <c r="Q2855" s="149"/>
      <c r="R2855" s="149"/>
      <c r="S2855" s="149"/>
      <c r="T2855" s="149"/>
      <c r="U2855" s="149"/>
      <c r="V2855" s="149"/>
      <c r="W2855" s="149"/>
      <c r="X2855" s="149"/>
      <c r="Y2855" s="149"/>
      <c r="Z2855" s="149"/>
      <c r="AA2855" s="149"/>
      <c r="AB2855" s="149"/>
      <c r="AC2855" s="149"/>
      <c r="AD2855" s="149"/>
      <c r="AE2855" s="149"/>
      <c r="AF2855" s="149"/>
      <c r="AG2855" s="149"/>
      <c r="AH2855" s="149"/>
      <c r="AI2855" s="149"/>
      <c r="AJ2855" s="149"/>
      <c r="AK2855" s="149"/>
      <c r="AL2855" s="149"/>
      <c r="AM2855" s="149"/>
      <c r="AN2855" s="149"/>
      <c r="AO2855" s="128"/>
      <c r="AP2855" s="128"/>
      <c r="AQ2855" s="128"/>
      <c r="AR2855" s="128"/>
      <c r="AS2855" s="128"/>
      <c r="AT2855" s="128"/>
      <c r="AU2855" s="128"/>
      <c r="AV2855" s="128"/>
      <c r="AW2855" s="128"/>
      <c r="AX2855" s="128"/>
      <c r="AY2855" s="128"/>
      <c r="AZ2855" s="128"/>
      <c r="BA2855" s="128"/>
      <c r="BB2855" s="128"/>
      <c r="BC2855" s="128"/>
      <c r="BD2855" s="128"/>
      <c r="BE2855" s="128"/>
      <c r="BF2855" s="128"/>
      <c r="BG2855" s="128"/>
      <c r="BH2855" s="128"/>
      <c r="BI2855" s="128"/>
      <c r="BJ2855" s="128"/>
      <c r="BK2855" s="128"/>
      <c r="BL2855" s="128"/>
      <c r="BM2855" s="151"/>
      <c r="BN2855" s="128"/>
      <c r="BO2855" s="128"/>
      <c r="BP2855" s="128"/>
      <c r="BQ2855" s="128"/>
      <c r="BR2855" s="128"/>
      <c r="BS2855" s="128"/>
      <c r="BT2855" s="128"/>
      <c r="BU2855" s="128"/>
      <c r="BV2855" s="128"/>
      <c r="BW2855" s="128"/>
      <c r="BX2855" s="128"/>
      <c r="BY2855" s="128"/>
      <c r="BZ2855" s="128"/>
      <c r="CA2855" s="128"/>
      <c r="CB2855" s="128"/>
      <c r="CC2855" s="128"/>
      <c r="CD2855" s="128"/>
      <c r="CE2855" s="128"/>
      <c r="CF2855" s="128"/>
      <c r="CG2855" s="128"/>
      <c r="CI2855" s="128"/>
      <c r="CJ2855" s="128"/>
      <c r="CK2855" s="128"/>
      <c r="CL2855" s="128"/>
      <c r="CM2855" s="128"/>
      <c r="CN2855" s="128"/>
      <c r="CO2855" s="128"/>
      <c r="CP2855" s="128"/>
      <c r="CQ2855" s="128"/>
      <c r="CR2855" s="128"/>
      <c r="CS2855" s="128"/>
      <c r="CT2855" s="128"/>
      <c r="CU2855" s="128"/>
      <c r="CV2855" s="128"/>
      <c r="CW2855" s="128"/>
      <c r="CX2855" s="128"/>
      <c r="CY2855" s="128"/>
      <c r="CZ2855" s="165"/>
    </row>
    <row r="2856" spans="1:104">
      <c r="A2856" s="149"/>
      <c r="B2856" s="149"/>
      <c r="C2856" s="150"/>
      <c r="D2856" s="102"/>
      <c r="E2856" s="149"/>
      <c r="F2856" s="149"/>
      <c r="G2856" s="149"/>
      <c r="H2856" s="149"/>
      <c r="I2856" s="149"/>
      <c r="J2856" s="149"/>
      <c r="K2856" s="149"/>
      <c r="L2856" s="149"/>
      <c r="M2856" s="149"/>
      <c r="N2856" s="149"/>
      <c r="O2856" s="149"/>
      <c r="P2856" s="149"/>
      <c r="Q2856" s="149"/>
      <c r="R2856" s="149"/>
      <c r="S2856" s="149"/>
      <c r="T2856" s="149"/>
      <c r="U2856" s="149"/>
      <c r="V2856" s="149"/>
      <c r="W2856" s="149"/>
      <c r="X2856" s="149"/>
      <c r="Y2856" s="149"/>
      <c r="Z2856" s="149"/>
      <c r="AA2856" s="149"/>
      <c r="AB2856" s="149"/>
      <c r="AC2856" s="149"/>
      <c r="AD2856" s="149"/>
      <c r="AE2856" s="149"/>
      <c r="AF2856" s="149"/>
      <c r="AG2856" s="149"/>
      <c r="AH2856" s="149"/>
      <c r="AI2856" s="149"/>
      <c r="AJ2856" s="149"/>
      <c r="AK2856" s="149"/>
      <c r="AL2856" s="149"/>
      <c r="AM2856" s="149"/>
      <c r="AN2856" s="149"/>
      <c r="AO2856" s="128"/>
      <c r="AP2856" s="128"/>
      <c r="AQ2856" s="128"/>
      <c r="AR2856" s="128"/>
      <c r="AS2856" s="128"/>
      <c r="AT2856" s="128"/>
      <c r="AU2856" s="128"/>
      <c r="AV2856" s="128"/>
      <c r="AW2856" s="128"/>
      <c r="AX2856" s="128"/>
      <c r="AY2856" s="128"/>
      <c r="AZ2856" s="128"/>
      <c r="BA2856" s="128"/>
      <c r="BB2856" s="128"/>
      <c r="BC2856" s="128"/>
      <c r="BD2856" s="128"/>
      <c r="BE2856" s="128"/>
      <c r="BF2856" s="128"/>
      <c r="BG2856" s="128"/>
      <c r="BH2856" s="128"/>
      <c r="BI2856" s="128"/>
      <c r="BJ2856" s="128"/>
      <c r="BK2856" s="128"/>
      <c r="BL2856" s="128"/>
      <c r="BM2856" s="151"/>
      <c r="BN2856" s="128"/>
      <c r="BO2856" s="128"/>
      <c r="BP2856" s="128"/>
      <c r="BQ2856" s="128"/>
      <c r="BR2856" s="128"/>
      <c r="BS2856" s="128"/>
      <c r="BT2856" s="128"/>
      <c r="BU2856" s="128"/>
      <c r="BV2856" s="128"/>
      <c r="BW2856" s="128"/>
      <c r="BX2856" s="128"/>
      <c r="BY2856" s="128"/>
      <c r="BZ2856" s="128"/>
      <c r="CA2856" s="128"/>
      <c r="CB2856" s="128"/>
      <c r="CC2856" s="128"/>
      <c r="CD2856" s="128"/>
      <c r="CE2856" s="128"/>
      <c r="CF2856" s="128"/>
      <c r="CG2856" s="128"/>
      <c r="CI2856" s="128"/>
      <c r="CJ2856" s="128"/>
      <c r="CK2856" s="128"/>
      <c r="CL2856" s="128"/>
      <c r="CM2856" s="128"/>
      <c r="CN2856" s="128"/>
      <c r="CO2856" s="128"/>
      <c r="CP2856" s="128"/>
      <c r="CQ2856" s="128"/>
      <c r="CR2856" s="128"/>
      <c r="CS2856" s="128"/>
      <c r="CT2856" s="128"/>
      <c r="CU2856" s="128"/>
      <c r="CV2856" s="128"/>
      <c r="CW2856" s="128"/>
      <c r="CX2856" s="128"/>
      <c r="CY2856" s="128"/>
      <c r="CZ2856" s="165"/>
    </row>
    <row r="2857" spans="1:104">
      <c r="A2857" s="149"/>
      <c r="B2857" s="149"/>
      <c r="C2857" s="150"/>
      <c r="D2857" s="102"/>
      <c r="E2857" s="149"/>
      <c r="F2857" s="149"/>
      <c r="G2857" s="149"/>
      <c r="H2857" s="149"/>
      <c r="I2857" s="149"/>
      <c r="J2857" s="149"/>
      <c r="K2857" s="149"/>
      <c r="L2857" s="149"/>
      <c r="M2857" s="149"/>
      <c r="N2857" s="149"/>
      <c r="O2857" s="149"/>
      <c r="P2857" s="149"/>
      <c r="Q2857" s="149"/>
      <c r="R2857" s="149"/>
      <c r="S2857" s="149"/>
      <c r="T2857" s="149"/>
      <c r="U2857" s="149"/>
      <c r="V2857" s="149"/>
      <c r="W2857" s="149"/>
      <c r="X2857" s="149"/>
      <c r="Y2857" s="149"/>
      <c r="Z2857" s="149"/>
      <c r="AA2857" s="149"/>
      <c r="AB2857" s="149"/>
      <c r="AC2857" s="149"/>
      <c r="AD2857" s="149"/>
      <c r="AE2857" s="149"/>
      <c r="AF2857" s="149"/>
      <c r="AG2857" s="149"/>
      <c r="AH2857" s="149"/>
      <c r="AI2857" s="149"/>
      <c r="AJ2857" s="149"/>
      <c r="AK2857" s="149"/>
      <c r="AL2857" s="149"/>
      <c r="AM2857" s="149"/>
      <c r="AN2857" s="149"/>
      <c r="AO2857" s="128"/>
      <c r="AP2857" s="128"/>
      <c r="AQ2857" s="128"/>
      <c r="AR2857" s="128"/>
      <c r="AS2857" s="128"/>
      <c r="AT2857" s="128"/>
      <c r="AU2857" s="128"/>
      <c r="AV2857" s="128"/>
      <c r="AW2857" s="128"/>
      <c r="AX2857" s="128"/>
      <c r="AY2857" s="128"/>
      <c r="AZ2857" s="128"/>
      <c r="BA2857" s="128"/>
      <c r="BB2857" s="128"/>
      <c r="BC2857" s="128"/>
      <c r="BD2857" s="128"/>
      <c r="BE2857" s="128"/>
      <c r="BF2857" s="128"/>
      <c r="BG2857" s="128"/>
      <c r="BH2857" s="128"/>
      <c r="BI2857" s="128"/>
      <c r="BJ2857" s="128"/>
      <c r="BK2857" s="128"/>
      <c r="BL2857" s="128"/>
      <c r="BM2857" s="151"/>
      <c r="BN2857" s="128"/>
      <c r="BO2857" s="128"/>
      <c r="BP2857" s="128"/>
      <c r="BQ2857" s="128"/>
      <c r="BR2857" s="128"/>
      <c r="BS2857" s="128"/>
      <c r="BT2857" s="128"/>
      <c r="BU2857" s="128"/>
      <c r="BV2857" s="128"/>
      <c r="BW2857" s="128"/>
      <c r="BX2857" s="128"/>
      <c r="BY2857" s="128"/>
      <c r="BZ2857" s="128"/>
      <c r="CA2857" s="128"/>
      <c r="CB2857" s="128"/>
      <c r="CC2857" s="128"/>
      <c r="CD2857" s="128"/>
      <c r="CE2857" s="128"/>
      <c r="CF2857" s="128"/>
      <c r="CG2857" s="128"/>
      <c r="CI2857" s="128"/>
      <c r="CJ2857" s="128"/>
      <c r="CK2857" s="128"/>
      <c r="CL2857" s="128"/>
      <c r="CM2857" s="128"/>
      <c r="CN2857" s="128"/>
      <c r="CO2857" s="128"/>
      <c r="CP2857" s="128"/>
      <c r="CQ2857" s="128"/>
      <c r="CR2857" s="128"/>
      <c r="CS2857" s="128"/>
      <c r="CT2857" s="128"/>
      <c r="CU2857" s="128"/>
      <c r="CV2857" s="128"/>
      <c r="CW2857" s="128"/>
      <c r="CX2857" s="128"/>
      <c r="CY2857" s="128"/>
      <c r="CZ2857" s="165"/>
    </row>
    <row r="2858" spans="1:104">
      <c r="A2858" s="149"/>
      <c r="B2858" s="149"/>
      <c r="C2858" s="150"/>
      <c r="D2858" s="102"/>
      <c r="E2858" s="149"/>
      <c r="F2858" s="149"/>
      <c r="G2858" s="149"/>
      <c r="H2858" s="149"/>
      <c r="I2858" s="149"/>
      <c r="J2858" s="149"/>
      <c r="K2858" s="149"/>
      <c r="L2858" s="149"/>
      <c r="M2858" s="149"/>
      <c r="N2858" s="149"/>
      <c r="O2858" s="149"/>
      <c r="P2858" s="149"/>
      <c r="Q2858" s="149"/>
      <c r="R2858" s="149"/>
      <c r="S2858" s="149"/>
      <c r="T2858" s="149"/>
      <c r="U2858" s="149"/>
      <c r="V2858" s="149"/>
      <c r="W2858" s="149"/>
      <c r="X2858" s="149"/>
      <c r="Y2858" s="149"/>
      <c r="Z2858" s="149"/>
      <c r="AA2858" s="149"/>
      <c r="AB2858" s="149"/>
      <c r="AC2858" s="149"/>
      <c r="AD2858" s="149"/>
      <c r="AE2858" s="149"/>
      <c r="AF2858" s="149"/>
      <c r="AG2858" s="149"/>
      <c r="AH2858" s="149"/>
      <c r="AI2858" s="149"/>
      <c r="AJ2858" s="149"/>
      <c r="AK2858" s="149"/>
      <c r="AL2858" s="149"/>
      <c r="AM2858" s="149"/>
      <c r="AN2858" s="149"/>
      <c r="AO2858" s="128"/>
      <c r="AP2858" s="128"/>
      <c r="AQ2858" s="128"/>
      <c r="AR2858" s="128"/>
      <c r="AS2858" s="128"/>
      <c r="AT2858" s="128"/>
      <c r="AU2858" s="128"/>
      <c r="AV2858" s="128"/>
      <c r="AW2858" s="128"/>
      <c r="AX2858" s="128"/>
      <c r="AY2858" s="128"/>
      <c r="AZ2858" s="128"/>
      <c r="BA2858" s="128"/>
      <c r="BB2858" s="128"/>
      <c r="BC2858" s="128"/>
      <c r="BD2858" s="128"/>
      <c r="BE2858" s="128"/>
      <c r="BF2858" s="128"/>
      <c r="BG2858" s="128"/>
      <c r="BH2858" s="128"/>
      <c r="BI2858" s="128"/>
      <c r="BJ2858" s="128"/>
      <c r="BK2858" s="128"/>
      <c r="BL2858" s="128"/>
      <c r="BM2858" s="151"/>
      <c r="BN2858" s="128"/>
      <c r="BO2858" s="128"/>
      <c r="BP2858" s="128"/>
      <c r="BQ2858" s="128"/>
      <c r="BR2858" s="128"/>
      <c r="BS2858" s="128"/>
      <c r="BT2858" s="128"/>
      <c r="BU2858" s="128"/>
      <c r="BV2858" s="128"/>
      <c r="BW2858" s="128"/>
      <c r="BX2858" s="128"/>
      <c r="BY2858" s="128"/>
      <c r="BZ2858" s="128"/>
      <c r="CA2858" s="128"/>
      <c r="CB2858" s="128"/>
      <c r="CC2858" s="128"/>
      <c r="CD2858" s="128"/>
      <c r="CE2858" s="128"/>
      <c r="CF2858" s="128"/>
      <c r="CG2858" s="128"/>
      <c r="CI2858" s="128"/>
      <c r="CJ2858" s="128"/>
      <c r="CK2858" s="128"/>
      <c r="CL2858" s="128"/>
      <c r="CM2858" s="128"/>
      <c r="CN2858" s="128"/>
      <c r="CO2858" s="128"/>
      <c r="CP2858" s="128"/>
      <c r="CQ2858" s="128"/>
      <c r="CR2858" s="128"/>
      <c r="CS2858" s="128"/>
      <c r="CT2858" s="128"/>
      <c r="CU2858" s="128"/>
      <c r="CV2858" s="128"/>
      <c r="CW2858" s="128"/>
      <c r="CX2858" s="128"/>
      <c r="CY2858" s="128"/>
      <c r="CZ2858" s="165"/>
    </row>
    <row r="2859" spans="1:104">
      <c r="A2859" s="149"/>
      <c r="B2859" s="149"/>
      <c r="C2859" s="150"/>
      <c r="D2859" s="102"/>
      <c r="E2859" s="149"/>
      <c r="F2859" s="149"/>
      <c r="G2859" s="149"/>
      <c r="H2859" s="149"/>
      <c r="I2859" s="149"/>
      <c r="J2859" s="149"/>
      <c r="K2859" s="149"/>
      <c r="L2859" s="149"/>
      <c r="M2859" s="149"/>
      <c r="N2859" s="149"/>
      <c r="O2859" s="149"/>
      <c r="P2859" s="149"/>
      <c r="Q2859" s="149"/>
      <c r="R2859" s="149"/>
      <c r="S2859" s="149"/>
      <c r="T2859" s="149"/>
      <c r="U2859" s="149"/>
      <c r="V2859" s="149"/>
      <c r="W2859" s="149"/>
      <c r="X2859" s="149"/>
      <c r="Y2859" s="149"/>
      <c r="Z2859" s="149"/>
      <c r="AA2859" s="149"/>
      <c r="AB2859" s="149"/>
      <c r="AC2859" s="149"/>
      <c r="AD2859" s="149"/>
      <c r="AE2859" s="149"/>
      <c r="AF2859" s="149"/>
      <c r="AG2859" s="149"/>
      <c r="AH2859" s="149"/>
      <c r="AI2859" s="149"/>
      <c r="AJ2859" s="149"/>
      <c r="AK2859" s="149"/>
      <c r="AL2859" s="149"/>
      <c r="AM2859" s="149"/>
      <c r="AN2859" s="149"/>
      <c r="AO2859" s="128"/>
      <c r="AP2859" s="128"/>
      <c r="AQ2859" s="128"/>
      <c r="AR2859" s="128"/>
      <c r="AS2859" s="128"/>
      <c r="AT2859" s="128"/>
      <c r="AU2859" s="128"/>
      <c r="AV2859" s="128"/>
      <c r="AW2859" s="128"/>
      <c r="AX2859" s="128"/>
      <c r="AY2859" s="128"/>
      <c r="AZ2859" s="128"/>
      <c r="BA2859" s="128"/>
      <c r="BB2859" s="128"/>
      <c r="BC2859" s="128"/>
      <c r="BD2859" s="128"/>
      <c r="BE2859" s="128"/>
      <c r="BF2859" s="128"/>
      <c r="BG2859" s="128"/>
      <c r="BH2859" s="128"/>
      <c r="BI2859" s="128"/>
      <c r="BJ2859" s="128"/>
      <c r="BK2859" s="128"/>
      <c r="BL2859" s="128"/>
      <c r="BM2859" s="151"/>
      <c r="BN2859" s="128"/>
      <c r="BO2859" s="128"/>
      <c r="BP2859" s="128"/>
      <c r="BQ2859" s="128"/>
      <c r="BR2859" s="128"/>
      <c r="BS2859" s="128"/>
      <c r="BT2859" s="128"/>
      <c r="BU2859" s="128"/>
      <c r="BV2859" s="128"/>
      <c r="BW2859" s="128"/>
      <c r="BX2859" s="128"/>
      <c r="BY2859" s="128"/>
      <c r="BZ2859" s="128"/>
      <c r="CA2859" s="128"/>
      <c r="CB2859" s="128"/>
      <c r="CC2859" s="128"/>
      <c r="CD2859" s="128"/>
      <c r="CE2859" s="128"/>
      <c r="CF2859" s="128"/>
      <c r="CG2859" s="128"/>
      <c r="CI2859" s="128"/>
      <c r="CJ2859" s="128"/>
      <c r="CK2859" s="128"/>
      <c r="CL2859" s="128"/>
      <c r="CM2859" s="128"/>
      <c r="CN2859" s="128"/>
      <c r="CO2859" s="128"/>
      <c r="CP2859" s="128"/>
      <c r="CQ2859" s="128"/>
      <c r="CR2859" s="128"/>
      <c r="CS2859" s="128"/>
      <c r="CT2859" s="128"/>
      <c r="CU2859" s="128"/>
      <c r="CV2859" s="128"/>
      <c r="CW2859" s="128"/>
      <c r="CX2859" s="128"/>
      <c r="CY2859" s="128"/>
      <c r="CZ2859" s="165"/>
    </row>
    <row r="2860" spans="1:104">
      <c r="A2860" s="149"/>
      <c r="B2860" s="149"/>
      <c r="C2860" s="150"/>
      <c r="D2860" s="102"/>
      <c r="E2860" s="149"/>
      <c r="F2860" s="149"/>
      <c r="G2860" s="149"/>
      <c r="H2860" s="149"/>
      <c r="I2860" s="149"/>
      <c r="J2860" s="149"/>
      <c r="K2860" s="149"/>
      <c r="L2860" s="149"/>
      <c r="M2860" s="149"/>
      <c r="N2860" s="149"/>
      <c r="O2860" s="149"/>
      <c r="P2860" s="149"/>
      <c r="Q2860" s="149"/>
      <c r="R2860" s="149"/>
      <c r="S2860" s="149"/>
      <c r="T2860" s="149"/>
      <c r="U2860" s="149"/>
      <c r="V2860" s="149"/>
      <c r="W2860" s="149"/>
      <c r="X2860" s="149"/>
      <c r="Y2860" s="149"/>
      <c r="Z2860" s="149"/>
      <c r="AA2860" s="149"/>
      <c r="AB2860" s="149"/>
      <c r="AC2860" s="149"/>
      <c r="AD2860" s="149"/>
      <c r="AE2860" s="149"/>
      <c r="AF2860" s="149"/>
      <c r="AG2860" s="149"/>
      <c r="AH2860" s="149"/>
      <c r="AI2860" s="149"/>
      <c r="AJ2860" s="149"/>
      <c r="AK2860" s="149"/>
      <c r="AL2860" s="149"/>
      <c r="AM2860" s="149"/>
      <c r="AN2860" s="149"/>
      <c r="AO2860" s="128"/>
      <c r="AP2860" s="128"/>
      <c r="AQ2860" s="128"/>
      <c r="AR2860" s="128"/>
      <c r="AS2860" s="128"/>
      <c r="AT2860" s="128"/>
      <c r="AU2860" s="128"/>
      <c r="AV2860" s="128"/>
      <c r="AW2860" s="128"/>
      <c r="AX2860" s="128"/>
      <c r="AY2860" s="128"/>
      <c r="AZ2860" s="128"/>
      <c r="BA2860" s="128"/>
      <c r="BB2860" s="128"/>
      <c r="BC2860" s="128"/>
      <c r="BD2860" s="128"/>
      <c r="BE2860" s="128"/>
      <c r="BF2860" s="128"/>
      <c r="BG2860" s="128"/>
      <c r="BH2860" s="128"/>
      <c r="BI2860" s="128"/>
      <c r="BJ2860" s="128"/>
      <c r="BK2860" s="128"/>
      <c r="BL2860" s="128"/>
      <c r="BM2860" s="151"/>
      <c r="BN2860" s="128"/>
      <c r="BO2860" s="128"/>
      <c r="BP2860" s="128"/>
      <c r="BQ2860" s="128"/>
      <c r="BR2860" s="128"/>
      <c r="BS2860" s="128"/>
      <c r="BT2860" s="128"/>
      <c r="BU2860" s="128"/>
      <c r="BV2860" s="128"/>
      <c r="BW2860" s="128"/>
      <c r="BX2860" s="128"/>
      <c r="BY2860" s="128"/>
      <c r="BZ2860" s="128"/>
      <c r="CA2860" s="128"/>
      <c r="CB2860" s="128"/>
      <c r="CC2860" s="128"/>
      <c r="CD2860" s="128"/>
      <c r="CE2860" s="128"/>
      <c r="CF2860" s="128"/>
      <c r="CG2860" s="128"/>
      <c r="CI2860" s="128"/>
      <c r="CJ2860" s="128"/>
      <c r="CK2860" s="128"/>
      <c r="CL2860" s="128"/>
      <c r="CM2860" s="128"/>
      <c r="CN2860" s="128"/>
      <c r="CO2860" s="128"/>
      <c r="CP2860" s="128"/>
      <c r="CQ2860" s="128"/>
      <c r="CR2860" s="128"/>
      <c r="CS2860" s="128"/>
      <c r="CT2860" s="128"/>
      <c r="CU2860" s="128"/>
      <c r="CV2860" s="128"/>
      <c r="CW2860" s="128"/>
      <c r="CX2860" s="128"/>
      <c r="CY2860" s="128"/>
      <c r="CZ2860" s="165"/>
    </row>
    <row r="2861" spans="1:104">
      <c r="A2861" s="149"/>
      <c r="B2861" s="149"/>
      <c r="C2861" s="150"/>
      <c r="D2861" s="102"/>
      <c r="E2861" s="149"/>
      <c r="F2861" s="149"/>
      <c r="G2861" s="149"/>
      <c r="H2861" s="149"/>
      <c r="I2861" s="149"/>
      <c r="J2861" s="149"/>
      <c r="K2861" s="149"/>
      <c r="L2861" s="149"/>
      <c r="M2861" s="149"/>
      <c r="N2861" s="149"/>
      <c r="O2861" s="149"/>
      <c r="P2861" s="149"/>
      <c r="Q2861" s="149"/>
      <c r="R2861" s="149"/>
      <c r="S2861" s="149"/>
      <c r="T2861" s="149"/>
      <c r="U2861" s="149"/>
      <c r="V2861" s="149"/>
      <c r="W2861" s="149"/>
      <c r="X2861" s="149"/>
      <c r="Y2861" s="149"/>
      <c r="Z2861" s="149"/>
      <c r="AA2861" s="149"/>
      <c r="AB2861" s="149"/>
      <c r="AC2861" s="149"/>
      <c r="AD2861" s="149"/>
      <c r="AE2861" s="149"/>
      <c r="AF2861" s="149"/>
      <c r="AG2861" s="149"/>
      <c r="AH2861" s="149"/>
      <c r="AI2861" s="149"/>
      <c r="AJ2861" s="149"/>
      <c r="AK2861" s="149"/>
      <c r="AL2861" s="149"/>
      <c r="AM2861" s="149"/>
      <c r="AN2861" s="149"/>
      <c r="AO2861" s="128"/>
      <c r="AP2861" s="128"/>
      <c r="AQ2861" s="128"/>
      <c r="AR2861" s="128"/>
      <c r="AS2861" s="128"/>
      <c r="AT2861" s="128"/>
      <c r="AU2861" s="128"/>
      <c r="AV2861" s="128"/>
      <c r="AW2861" s="128"/>
      <c r="AX2861" s="128"/>
      <c r="AY2861" s="128"/>
      <c r="AZ2861" s="128"/>
      <c r="BA2861" s="128"/>
      <c r="BB2861" s="128"/>
      <c r="BC2861" s="128"/>
      <c r="BD2861" s="128"/>
      <c r="BE2861" s="128"/>
      <c r="BF2861" s="128"/>
      <c r="BG2861" s="128"/>
      <c r="BH2861" s="128"/>
      <c r="BI2861" s="128"/>
      <c r="BJ2861" s="128"/>
      <c r="BK2861" s="128"/>
      <c r="BL2861" s="128"/>
      <c r="BM2861" s="151"/>
      <c r="BN2861" s="128"/>
      <c r="BO2861" s="128"/>
      <c r="BP2861" s="128"/>
      <c r="BQ2861" s="128"/>
      <c r="BR2861" s="128"/>
      <c r="BS2861" s="128"/>
      <c r="BT2861" s="128"/>
      <c r="BU2861" s="128"/>
      <c r="BV2861" s="128"/>
      <c r="BW2861" s="128"/>
      <c r="BX2861" s="128"/>
      <c r="BY2861" s="128"/>
      <c r="BZ2861" s="128"/>
      <c r="CA2861" s="128"/>
      <c r="CB2861" s="128"/>
      <c r="CC2861" s="128"/>
      <c r="CD2861" s="128"/>
      <c r="CE2861" s="128"/>
      <c r="CF2861" s="128"/>
      <c r="CG2861" s="128"/>
      <c r="CI2861" s="128"/>
      <c r="CJ2861" s="128"/>
      <c r="CK2861" s="128"/>
      <c r="CL2861" s="128"/>
      <c r="CM2861" s="128"/>
      <c r="CN2861" s="128"/>
      <c r="CO2861" s="128"/>
      <c r="CP2861" s="128"/>
      <c r="CQ2861" s="128"/>
      <c r="CR2861" s="128"/>
      <c r="CS2861" s="128"/>
      <c r="CT2861" s="128"/>
      <c r="CU2861" s="128"/>
      <c r="CV2861" s="128"/>
      <c r="CW2861" s="128"/>
      <c r="CX2861" s="128"/>
      <c r="CY2861" s="128"/>
      <c r="CZ2861" s="165"/>
    </row>
    <row r="2862" spans="1:104">
      <c r="A2862" s="149"/>
      <c r="B2862" s="149"/>
      <c r="C2862" s="150"/>
      <c r="D2862" s="102"/>
      <c r="E2862" s="149"/>
      <c r="F2862" s="149"/>
      <c r="G2862" s="149"/>
      <c r="H2862" s="149"/>
      <c r="I2862" s="149"/>
      <c r="J2862" s="149"/>
      <c r="K2862" s="149"/>
      <c r="L2862" s="149"/>
      <c r="M2862" s="149"/>
      <c r="N2862" s="149"/>
      <c r="O2862" s="149"/>
      <c r="P2862" s="149"/>
      <c r="Q2862" s="149"/>
      <c r="R2862" s="149"/>
      <c r="S2862" s="149"/>
      <c r="T2862" s="149"/>
      <c r="U2862" s="149"/>
      <c r="V2862" s="149"/>
      <c r="W2862" s="149"/>
      <c r="X2862" s="149"/>
      <c r="Y2862" s="149"/>
      <c r="Z2862" s="149"/>
      <c r="AA2862" s="149"/>
      <c r="AB2862" s="149"/>
      <c r="AC2862" s="149"/>
      <c r="AD2862" s="149"/>
      <c r="AE2862" s="149"/>
      <c r="AF2862" s="149"/>
      <c r="AG2862" s="149"/>
      <c r="AH2862" s="149"/>
      <c r="AI2862" s="149"/>
      <c r="AJ2862" s="149"/>
      <c r="AK2862" s="149"/>
      <c r="AL2862" s="149"/>
      <c r="AM2862" s="149"/>
      <c r="AN2862" s="149"/>
      <c r="AO2862" s="128"/>
      <c r="AP2862" s="128"/>
      <c r="AQ2862" s="128"/>
      <c r="AR2862" s="128"/>
      <c r="AS2862" s="128"/>
      <c r="AT2862" s="128"/>
      <c r="AU2862" s="128"/>
      <c r="AV2862" s="128"/>
      <c r="AW2862" s="128"/>
      <c r="AX2862" s="128"/>
      <c r="AY2862" s="128"/>
      <c r="AZ2862" s="128"/>
      <c r="BA2862" s="128"/>
      <c r="BB2862" s="128"/>
      <c r="BC2862" s="128"/>
      <c r="BD2862" s="128"/>
      <c r="BE2862" s="128"/>
      <c r="BF2862" s="128"/>
      <c r="BG2862" s="128"/>
      <c r="BH2862" s="128"/>
      <c r="BI2862" s="128"/>
      <c r="BJ2862" s="128"/>
      <c r="BK2862" s="128"/>
      <c r="BL2862" s="128"/>
      <c r="BM2862" s="151"/>
      <c r="BN2862" s="128"/>
      <c r="BO2862" s="128"/>
      <c r="BP2862" s="128"/>
      <c r="BQ2862" s="128"/>
      <c r="BR2862" s="128"/>
      <c r="BS2862" s="128"/>
      <c r="BT2862" s="128"/>
      <c r="BU2862" s="128"/>
      <c r="BV2862" s="128"/>
      <c r="BW2862" s="128"/>
      <c r="BX2862" s="128"/>
      <c r="BY2862" s="128"/>
      <c r="BZ2862" s="128"/>
      <c r="CA2862" s="128"/>
      <c r="CB2862" s="128"/>
      <c r="CC2862" s="128"/>
      <c r="CD2862" s="128"/>
      <c r="CE2862" s="128"/>
      <c r="CF2862" s="128"/>
      <c r="CG2862" s="128"/>
      <c r="CI2862" s="128"/>
      <c r="CJ2862" s="128"/>
      <c r="CK2862" s="128"/>
      <c r="CL2862" s="128"/>
      <c r="CM2862" s="128"/>
      <c r="CN2862" s="128"/>
      <c r="CO2862" s="128"/>
      <c r="CP2862" s="128"/>
      <c r="CQ2862" s="128"/>
      <c r="CR2862" s="128"/>
      <c r="CS2862" s="128"/>
      <c r="CT2862" s="128"/>
      <c r="CU2862" s="128"/>
      <c r="CV2862" s="128"/>
      <c r="CW2862" s="128"/>
      <c r="CX2862" s="128"/>
      <c r="CY2862" s="128"/>
      <c r="CZ2862" s="165"/>
    </row>
    <row r="2863" spans="1:104">
      <c r="A2863" s="149"/>
      <c r="B2863" s="149"/>
      <c r="C2863" s="150"/>
      <c r="D2863" s="102"/>
      <c r="E2863" s="149"/>
      <c r="F2863" s="149"/>
      <c r="G2863" s="149"/>
      <c r="H2863" s="149"/>
      <c r="I2863" s="149"/>
      <c r="J2863" s="149"/>
      <c r="K2863" s="149"/>
      <c r="L2863" s="149"/>
      <c r="M2863" s="149"/>
      <c r="N2863" s="149"/>
      <c r="O2863" s="149"/>
      <c r="P2863" s="149"/>
      <c r="Q2863" s="149"/>
      <c r="R2863" s="149"/>
      <c r="S2863" s="149"/>
      <c r="T2863" s="149"/>
      <c r="U2863" s="149"/>
      <c r="V2863" s="149"/>
      <c r="W2863" s="149"/>
      <c r="X2863" s="149"/>
      <c r="Y2863" s="149"/>
      <c r="Z2863" s="149"/>
      <c r="AA2863" s="149"/>
      <c r="AB2863" s="149"/>
      <c r="AC2863" s="149"/>
      <c r="AD2863" s="149"/>
      <c r="AE2863" s="149"/>
      <c r="AF2863" s="149"/>
      <c r="AG2863" s="149"/>
      <c r="AH2863" s="149"/>
      <c r="AI2863" s="149"/>
      <c r="AJ2863" s="149"/>
      <c r="AK2863" s="149"/>
      <c r="AL2863" s="149"/>
      <c r="AM2863" s="149"/>
      <c r="AN2863" s="149"/>
      <c r="AO2863" s="128"/>
      <c r="AP2863" s="128"/>
      <c r="AQ2863" s="128"/>
      <c r="AR2863" s="128"/>
      <c r="AS2863" s="128"/>
      <c r="AT2863" s="128"/>
      <c r="AU2863" s="128"/>
      <c r="AV2863" s="128"/>
      <c r="AW2863" s="128"/>
      <c r="AX2863" s="128"/>
      <c r="AY2863" s="128"/>
      <c r="AZ2863" s="128"/>
      <c r="BA2863" s="128"/>
      <c r="BB2863" s="128"/>
      <c r="BC2863" s="128"/>
      <c r="BD2863" s="128"/>
      <c r="BE2863" s="128"/>
      <c r="BF2863" s="128"/>
      <c r="BG2863" s="128"/>
      <c r="BH2863" s="128"/>
      <c r="BI2863" s="128"/>
      <c r="BJ2863" s="128"/>
      <c r="BK2863" s="128"/>
      <c r="BL2863" s="128"/>
      <c r="BM2863" s="151"/>
      <c r="BN2863" s="128"/>
      <c r="BO2863" s="128"/>
      <c r="BP2863" s="128"/>
      <c r="BQ2863" s="128"/>
      <c r="BR2863" s="128"/>
      <c r="BS2863" s="128"/>
      <c r="BT2863" s="128"/>
      <c r="BU2863" s="128"/>
      <c r="BV2863" s="128"/>
      <c r="BW2863" s="128"/>
      <c r="BX2863" s="128"/>
      <c r="BY2863" s="128"/>
      <c r="BZ2863" s="128"/>
      <c r="CA2863" s="128"/>
      <c r="CB2863" s="128"/>
      <c r="CC2863" s="128"/>
      <c r="CD2863" s="128"/>
      <c r="CE2863" s="128"/>
      <c r="CF2863" s="128"/>
      <c r="CG2863" s="128"/>
      <c r="CI2863" s="128"/>
      <c r="CJ2863" s="128"/>
      <c r="CK2863" s="128"/>
      <c r="CL2863" s="128"/>
      <c r="CM2863" s="128"/>
      <c r="CN2863" s="128"/>
      <c r="CO2863" s="128"/>
      <c r="CP2863" s="128"/>
      <c r="CQ2863" s="128"/>
      <c r="CR2863" s="128"/>
      <c r="CS2863" s="128"/>
      <c r="CT2863" s="128"/>
      <c r="CU2863" s="128"/>
      <c r="CV2863" s="128"/>
      <c r="CW2863" s="128"/>
      <c r="CX2863" s="128"/>
      <c r="CY2863" s="128"/>
      <c r="CZ2863" s="165"/>
    </row>
    <row r="2864" spans="1:104">
      <c r="A2864" s="149"/>
      <c r="B2864" s="149"/>
      <c r="C2864" s="150"/>
      <c r="D2864" s="102"/>
      <c r="E2864" s="149"/>
      <c r="F2864" s="149"/>
      <c r="G2864" s="149"/>
      <c r="H2864" s="149"/>
      <c r="I2864" s="149"/>
      <c r="J2864" s="149"/>
      <c r="K2864" s="149"/>
      <c r="L2864" s="149"/>
      <c r="M2864" s="149"/>
      <c r="N2864" s="149"/>
      <c r="O2864" s="149"/>
      <c r="P2864" s="149"/>
      <c r="Q2864" s="149"/>
      <c r="R2864" s="149"/>
      <c r="S2864" s="149"/>
      <c r="T2864" s="149"/>
      <c r="U2864" s="149"/>
      <c r="V2864" s="149"/>
      <c r="W2864" s="149"/>
      <c r="X2864" s="149"/>
      <c r="Y2864" s="149"/>
      <c r="Z2864" s="149"/>
      <c r="AA2864" s="149"/>
      <c r="AB2864" s="149"/>
      <c r="AC2864" s="149"/>
      <c r="AD2864" s="149"/>
      <c r="AE2864" s="149"/>
      <c r="AF2864" s="149"/>
      <c r="AG2864" s="149"/>
      <c r="AH2864" s="149"/>
      <c r="AI2864" s="149"/>
      <c r="AJ2864" s="149"/>
      <c r="AK2864" s="149"/>
      <c r="AL2864" s="149"/>
      <c r="AM2864" s="149"/>
      <c r="AN2864" s="149"/>
      <c r="AO2864" s="128"/>
      <c r="AP2864" s="128"/>
      <c r="AQ2864" s="128"/>
      <c r="AR2864" s="128"/>
      <c r="AS2864" s="128"/>
      <c r="AT2864" s="128"/>
      <c r="AU2864" s="128"/>
      <c r="AV2864" s="128"/>
      <c r="AW2864" s="128"/>
      <c r="AX2864" s="128"/>
      <c r="AY2864" s="128"/>
      <c r="AZ2864" s="128"/>
      <c r="BA2864" s="128"/>
      <c r="BB2864" s="128"/>
      <c r="BC2864" s="128"/>
      <c r="BD2864" s="128"/>
      <c r="BE2864" s="128"/>
      <c r="BF2864" s="128"/>
      <c r="BG2864" s="128"/>
      <c r="BH2864" s="128"/>
      <c r="BI2864" s="128"/>
      <c r="BJ2864" s="128"/>
      <c r="BK2864" s="128"/>
      <c r="BL2864" s="128"/>
      <c r="BM2864" s="151"/>
      <c r="BN2864" s="128"/>
      <c r="BO2864" s="128"/>
      <c r="BP2864" s="128"/>
      <c r="BQ2864" s="128"/>
      <c r="BR2864" s="128"/>
      <c r="BS2864" s="128"/>
      <c r="BT2864" s="128"/>
      <c r="BU2864" s="128"/>
      <c r="BV2864" s="128"/>
      <c r="BW2864" s="128"/>
      <c r="BX2864" s="128"/>
      <c r="BY2864" s="128"/>
      <c r="BZ2864" s="128"/>
      <c r="CA2864" s="128"/>
      <c r="CB2864" s="128"/>
      <c r="CC2864" s="128"/>
      <c r="CD2864" s="128"/>
      <c r="CE2864" s="128"/>
      <c r="CF2864" s="128"/>
      <c r="CG2864" s="128"/>
      <c r="CI2864" s="128"/>
      <c r="CJ2864" s="128"/>
      <c r="CK2864" s="128"/>
      <c r="CL2864" s="128"/>
      <c r="CM2864" s="128"/>
      <c r="CN2864" s="128"/>
      <c r="CO2864" s="128"/>
      <c r="CP2864" s="128"/>
      <c r="CQ2864" s="128"/>
      <c r="CR2864" s="128"/>
      <c r="CS2864" s="128"/>
      <c r="CT2864" s="128"/>
      <c r="CU2864" s="128"/>
      <c r="CV2864" s="128"/>
      <c r="CW2864" s="128"/>
      <c r="CX2864" s="128"/>
      <c r="CY2864" s="128"/>
      <c r="CZ2864" s="165"/>
    </row>
    <row r="2865" spans="1:104">
      <c r="A2865" s="149"/>
      <c r="B2865" s="149"/>
      <c r="C2865" s="150"/>
      <c r="D2865" s="102"/>
      <c r="E2865" s="149"/>
      <c r="F2865" s="149"/>
      <c r="G2865" s="149"/>
      <c r="H2865" s="149"/>
      <c r="I2865" s="149"/>
      <c r="J2865" s="149"/>
      <c r="K2865" s="149"/>
      <c r="L2865" s="149"/>
      <c r="M2865" s="149"/>
      <c r="N2865" s="149"/>
      <c r="O2865" s="149"/>
      <c r="P2865" s="149"/>
      <c r="Q2865" s="149"/>
      <c r="R2865" s="149"/>
      <c r="S2865" s="149"/>
      <c r="T2865" s="149"/>
      <c r="U2865" s="149"/>
      <c r="V2865" s="149"/>
      <c r="W2865" s="149"/>
      <c r="X2865" s="149"/>
      <c r="Y2865" s="149"/>
      <c r="Z2865" s="149"/>
      <c r="AA2865" s="149"/>
      <c r="AB2865" s="149"/>
      <c r="AC2865" s="149"/>
      <c r="AD2865" s="149"/>
      <c r="AE2865" s="149"/>
      <c r="AF2865" s="149"/>
      <c r="AG2865" s="149"/>
      <c r="AH2865" s="149"/>
      <c r="AI2865" s="149"/>
      <c r="AJ2865" s="149"/>
      <c r="AK2865" s="149"/>
      <c r="AL2865" s="149"/>
      <c r="AM2865" s="149"/>
      <c r="AN2865" s="149"/>
      <c r="AO2865" s="128"/>
      <c r="AP2865" s="128"/>
      <c r="AQ2865" s="128"/>
      <c r="AR2865" s="128"/>
      <c r="AS2865" s="128"/>
      <c r="AT2865" s="128"/>
      <c r="AU2865" s="128"/>
      <c r="AV2865" s="128"/>
      <c r="AW2865" s="128"/>
      <c r="AX2865" s="128"/>
      <c r="AY2865" s="128"/>
      <c r="AZ2865" s="128"/>
      <c r="BA2865" s="128"/>
      <c r="BB2865" s="128"/>
      <c r="BC2865" s="128"/>
      <c r="BD2865" s="128"/>
      <c r="BE2865" s="128"/>
      <c r="BF2865" s="128"/>
      <c r="BG2865" s="128"/>
      <c r="BH2865" s="128"/>
      <c r="BI2865" s="128"/>
      <c r="BJ2865" s="128"/>
      <c r="BK2865" s="128"/>
      <c r="BL2865" s="128"/>
      <c r="BM2865" s="151"/>
      <c r="BN2865" s="128"/>
      <c r="BO2865" s="128"/>
      <c r="BP2865" s="128"/>
      <c r="BQ2865" s="128"/>
      <c r="BR2865" s="128"/>
      <c r="BS2865" s="128"/>
      <c r="BT2865" s="128"/>
      <c r="BU2865" s="128"/>
      <c r="BV2865" s="128"/>
      <c r="BW2865" s="128"/>
      <c r="BX2865" s="128"/>
      <c r="BY2865" s="128"/>
      <c r="BZ2865" s="128"/>
      <c r="CA2865" s="128"/>
      <c r="CB2865" s="128"/>
      <c r="CC2865" s="128"/>
      <c r="CD2865" s="128"/>
      <c r="CE2865" s="128"/>
      <c r="CF2865" s="128"/>
      <c r="CG2865" s="128"/>
      <c r="CI2865" s="128"/>
      <c r="CJ2865" s="128"/>
      <c r="CK2865" s="128"/>
      <c r="CL2865" s="128"/>
      <c r="CM2865" s="128"/>
      <c r="CN2865" s="128"/>
      <c r="CO2865" s="128"/>
      <c r="CP2865" s="128"/>
      <c r="CQ2865" s="128"/>
      <c r="CR2865" s="128"/>
      <c r="CS2865" s="128"/>
      <c r="CT2865" s="128"/>
      <c r="CU2865" s="128"/>
      <c r="CV2865" s="128"/>
      <c r="CW2865" s="128"/>
      <c r="CX2865" s="128"/>
      <c r="CY2865" s="128"/>
      <c r="CZ2865" s="165"/>
    </row>
    <row r="2866" spans="1:104">
      <c r="A2866" s="149"/>
      <c r="B2866" s="149"/>
      <c r="C2866" s="150"/>
      <c r="D2866" s="102"/>
      <c r="E2866" s="149"/>
      <c r="F2866" s="149"/>
      <c r="G2866" s="149"/>
      <c r="H2866" s="149"/>
      <c r="I2866" s="149"/>
      <c r="J2866" s="149"/>
      <c r="K2866" s="149"/>
      <c r="L2866" s="149"/>
      <c r="M2866" s="149"/>
      <c r="N2866" s="149"/>
      <c r="O2866" s="149"/>
      <c r="P2866" s="149"/>
      <c r="Q2866" s="149"/>
      <c r="R2866" s="149"/>
      <c r="S2866" s="149"/>
      <c r="T2866" s="149"/>
      <c r="U2866" s="149"/>
      <c r="V2866" s="149"/>
      <c r="W2866" s="149"/>
      <c r="X2866" s="149"/>
      <c r="Y2866" s="149"/>
      <c r="Z2866" s="149"/>
      <c r="AA2866" s="149"/>
      <c r="AB2866" s="149"/>
      <c r="AC2866" s="149"/>
      <c r="AD2866" s="149"/>
      <c r="AE2866" s="149"/>
      <c r="AF2866" s="149"/>
      <c r="AG2866" s="149"/>
      <c r="AH2866" s="149"/>
      <c r="AI2866" s="149"/>
      <c r="AJ2866" s="149"/>
      <c r="AK2866" s="149"/>
      <c r="AL2866" s="149"/>
      <c r="AM2866" s="149"/>
      <c r="AN2866" s="149"/>
      <c r="AO2866" s="128"/>
      <c r="AP2866" s="128"/>
      <c r="AQ2866" s="128"/>
      <c r="AR2866" s="128"/>
      <c r="AS2866" s="128"/>
      <c r="AT2866" s="128"/>
      <c r="AU2866" s="128"/>
      <c r="AV2866" s="128"/>
      <c r="AW2866" s="128"/>
      <c r="AX2866" s="128"/>
      <c r="AY2866" s="128"/>
      <c r="AZ2866" s="128"/>
      <c r="BA2866" s="128"/>
      <c r="BB2866" s="128"/>
      <c r="BC2866" s="128"/>
      <c r="BD2866" s="128"/>
      <c r="BE2866" s="128"/>
      <c r="BF2866" s="128"/>
      <c r="BG2866" s="128"/>
      <c r="BH2866" s="128"/>
      <c r="BI2866" s="128"/>
      <c r="BJ2866" s="128"/>
      <c r="BK2866" s="128"/>
      <c r="BL2866" s="128"/>
      <c r="BM2866" s="151"/>
      <c r="BN2866" s="128"/>
      <c r="BO2866" s="128"/>
      <c r="BP2866" s="128"/>
      <c r="BQ2866" s="128"/>
      <c r="BR2866" s="128"/>
      <c r="BS2866" s="128"/>
      <c r="BT2866" s="128"/>
      <c r="BU2866" s="128"/>
      <c r="BV2866" s="128"/>
      <c r="BW2866" s="128"/>
      <c r="BX2866" s="128"/>
      <c r="BY2866" s="128"/>
      <c r="BZ2866" s="128"/>
      <c r="CA2866" s="128"/>
      <c r="CB2866" s="128"/>
      <c r="CC2866" s="128"/>
      <c r="CD2866" s="128"/>
      <c r="CE2866" s="128"/>
      <c r="CF2866" s="128"/>
      <c r="CG2866" s="128"/>
      <c r="CI2866" s="128"/>
      <c r="CJ2866" s="128"/>
      <c r="CK2866" s="128"/>
      <c r="CL2866" s="128"/>
      <c r="CM2866" s="128"/>
      <c r="CN2866" s="128"/>
      <c r="CO2866" s="128"/>
      <c r="CP2866" s="128"/>
      <c r="CQ2866" s="128"/>
      <c r="CR2866" s="128"/>
      <c r="CS2866" s="128"/>
      <c r="CT2866" s="128"/>
      <c r="CU2866" s="128"/>
      <c r="CV2866" s="128"/>
      <c r="CW2866" s="128"/>
      <c r="CX2866" s="128"/>
      <c r="CY2866" s="128"/>
      <c r="CZ2866" s="165"/>
    </row>
    <row r="2867" spans="1:104">
      <c r="A2867" s="149"/>
      <c r="B2867" s="149"/>
      <c r="C2867" s="150"/>
      <c r="D2867" s="102"/>
      <c r="E2867" s="149"/>
      <c r="F2867" s="149"/>
      <c r="G2867" s="149"/>
      <c r="H2867" s="149"/>
      <c r="I2867" s="149"/>
      <c r="J2867" s="149"/>
      <c r="K2867" s="149"/>
      <c r="L2867" s="149"/>
      <c r="M2867" s="149"/>
      <c r="N2867" s="149"/>
      <c r="O2867" s="149"/>
      <c r="P2867" s="149"/>
      <c r="Q2867" s="149"/>
      <c r="R2867" s="149"/>
      <c r="S2867" s="149"/>
      <c r="T2867" s="149"/>
      <c r="U2867" s="149"/>
      <c r="V2867" s="149"/>
      <c r="W2867" s="149"/>
      <c r="X2867" s="149"/>
      <c r="Y2867" s="149"/>
      <c r="Z2867" s="149"/>
      <c r="AA2867" s="149"/>
      <c r="AB2867" s="149"/>
      <c r="AC2867" s="149"/>
      <c r="AD2867" s="149"/>
      <c r="AE2867" s="149"/>
      <c r="AF2867" s="149"/>
      <c r="AG2867" s="149"/>
      <c r="AH2867" s="149"/>
      <c r="AI2867" s="149"/>
      <c r="AJ2867" s="149"/>
      <c r="AK2867" s="149"/>
      <c r="AL2867" s="149"/>
      <c r="AM2867" s="149"/>
      <c r="AN2867" s="149"/>
      <c r="AO2867" s="128"/>
      <c r="AP2867" s="128"/>
      <c r="AQ2867" s="128"/>
      <c r="AR2867" s="128"/>
      <c r="AS2867" s="128"/>
      <c r="AT2867" s="128"/>
      <c r="AU2867" s="128"/>
      <c r="AV2867" s="128"/>
      <c r="AW2867" s="128"/>
      <c r="AX2867" s="128"/>
      <c r="AY2867" s="128"/>
      <c r="AZ2867" s="128"/>
      <c r="BA2867" s="128"/>
      <c r="BB2867" s="128"/>
      <c r="BC2867" s="128"/>
      <c r="BD2867" s="128"/>
      <c r="BE2867" s="128"/>
      <c r="BF2867" s="128"/>
      <c r="BG2867" s="128"/>
      <c r="BH2867" s="128"/>
      <c r="BI2867" s="128"/>
      <c r="BJ2867" s="128"/>
      <c r="BK2867" s="128"/>
      <c r="BL2867" s="128"/>
      <c r="BM2867" s="151"/>
      <c r="BN2867" s="128"/>
      <c r="BO2867" s="128"/>
      <c r="BP2867" s="128"/>
      <c r="BQ2867" s="128"/>
      <c r="BR2867" s="128"/>
      <c r="BS2867" s="128"/>
      <c r="BT2867" s="128"/>
      <c r="BU2867" s="128"/>
      <c r="BV2867" s="128"/>
      <c r="BW2867" s="128"/>
      <c r="BX2867" s="128"/>
      <c r="BY2867" s="128"/>
      <c r="BZ2867" s="128"/>
      <c r="CA2867" s="128"/>
      <c r="CB2867" s="128"/>
      <c r="CC2867" s="128"/>
      <c r="CD2867" s="128"/>
      <c r="CE2867" s="128"/>
      <c r="CF2867" s="128"/>
      <c r="CG2867" s="128"/>
      <c r="CI2867" s="128"/>
      <c r="CJ2867" s="128"/>
      <c r="CK2867" s="128"/>
      <c r="CL2867" s="128"/>
      <c r="CM2867" s="128"/>
      <c r="CN2867" s="128"/>
      <c r="CO2867" s="128"/>
      <c r="CP2867" s="128"/>
      <c r="CQ2867" s="128"/>
      <c r="CR2867" s="128"/>
      <c r="CS2867" s="128"/>
      <c r="CT2867" s="128"/>
      <c r="CU2867" s="128"/>
      <c r="CV2867" s="128"/>
      <c r="CW2867" s="128"/>
      <c r="CX2867" s="128"/>
      <c r="CY2867" s="128"/>
      <c r="CZ2867" s="165"/>
    </row>
    <row r="2868" spans="1:104">
      <c r="A2868" s="149"/>
      <c r="B2868" s="149"/>
      <c r="C2868" s="150"/>
      <c r="D2868" s="102"/>
      <c r="E2868" s="149"/>
      <c r="F2868" s="149"/>
      <c r="G2868" s="149"/>
      <c r="H2868" s="149"/>
      <c r="I2868" s="149"/>
      <c r="J2868" s="149"/>
      <c r="K2868" s="149"/>
      <c r="L2868" s="149"/>
      <c r="M2868" s="149"/>
      <c r="N2868" s="149"/>
      <c r="O2868" s="149"/>
      <c r="P2868" s="149"/>
      <c r="Q2868" s="149"/>
      <c r="R2868" s="149"/>
      <c r="S2868" s="149"/>
      <c r="T2868" s="149"/>
      <c r="U2868" s="149"/>
      <c r="V2868" s="149"/>
      <c r="W2868" s="149"/>
      <c r="X2868" s="149"/>
      <c r="Y2868" s="149"/>
      <c r="Z2868" s="149"/>
      <c r="AA2868" s="149"/>
      <c r="AB2868" s="149"/>
      <c r="AC2868" s="149"/>
      <c r="AD2868" s="149"/>
      <c r="AE2868" s="149"/>
      <c r="AF2868" s="149"/>
      <c r="AG2868" s="149"/>
      <c r="AH2868" s="149"/>
      <c r="AI2868" s="149"/>
      <c r="AJ2868" s="149"/>
      <c r="AK2868" s="149"/>
      <c r="AL2868" s="149"/>
      <c r="AM2868" s="149"/>
      <c r="AN2868" s="149"/>
      <c r="AO2868" s="128"/>
      <c r="AP2868" s="128"/>
      <c r="AQ2868" s="128"/>
      <c r="AR2868" s="128"/>
      <c r="AS2868" s="128"/>
      <c r="AT2868" s="128"/>
      <c r="AU2868" s="128"/>
      <c r="AV2868" s="128"/>
      <c r="AW2868" s="128"/>
      <c r="AX2868" s="128"/>
      <c r="AY2868" s="128"/>
      <c r="AZ2868" s="128"/>
      <c r="BA2868" s="128"/>
      <c r="BB2868" s="128"/>
      <c r="BC2868" s="128"/>
      <c r="BD2868" s="128"/>
      <c r="BE2868" s="128"/>
      <c r="BF2868" s="128"/>
      <c r="BG2868" s="128"/>
      <c r="BH2868" s="128"/>
      <c r="BI2868" s="128"/>
      <c r="BJ2868" s="128"/>
      <c r="BK2868" s="128"/>
      <c r="BL2868" s="128"/>
      <c r="BM2868" s="151"/>
      <c r="BN2868" s="128"/>
      <c r="BO2868" s="128"/>
      <c r="BP2868" s="128"/>
      <c r="BQ2868" s="128"/>
      <c r="BR2868" s="128"/>
      <c r="BS2868" s="128"/>
      <c r="BT2868" s="128"/>
      <c r="BU2868" s="128"/>
      <c r="BV2868" s="128"/>
      <c r="BW2868" s="128"/>
      <c r="BX2868" s="128"/>
      <c r="BY2868" s="128"/>
      <c r="BZ2868" s="128"/>
      <c r="CA2868" s="128"/>
      <c r="CB2868" s="128"/>
      <c r="CC2868" s="128"/>
      <c r="CD2868" s="128"/>
      <c r="CE2868" s="128"/>
      <c r="CF2868" s="128"/>
      <c r="CG2868" s="128"/>
      <c r="CI2868" s="128"/>
      <c r="CJ2868" s="128"/>
      <c r="CK2868" s="128"/>
      <c r="CL2868" s="128"/>
      <c r="CM2868" s="128"/>
      <c r="CN2868" s="128"/>
      <c r="CO2868" s="128"/>
      <c r="CP2868" s="128"/>
      <c r="CQ2868" s="128"/>
      <c r="CR2868" s="128"/>
      <c r="CS2868" s="128"/>
      <c r="CT2868" s="128"/>
      <c r="CU2868" s="128"/>
      <c r="CV2868" s="128"/>
      <c r="CW2868" s="128"/>
      <c r="CX2868" s="128"/>
      <c r="CY2868" s="128"/>
      <c r="CZ2868" s="165"/>
    </row>
    <row r="2869" spans="1:104">
      <c r="A2869" s="149"/>
      <c r="B2869" s="149"/>
      <c r="C2869" s="150"/>
      <c r="D2869" s="102"/>
      <c r="E2869" s="149"/>
      <c r="F2869" s="149"/>
      <c r="G2869" s="149"/>
      <c r="H2869" s="149"/>
      <c r="I2869" s="149"/>
      <c r="J2869" s="149"/>
      <c r="K2869" s="149"/>
      <c r="L2869" s="149"/>
      <c r="M2869" s="149"/>
      <c r="N2869" s="149"/>
      <c r="O2869" s="149"/>
      <c r="P2869" s="149"/>
      <c r="Q2869" s="149"/>
      <c r="R2869" s="149"/>
      <c r="S2869" s="149"/>
      <c r="T2869" s="149"/>
      <c r="U2869" s="149"/>
      <c r="V2869" s="149"/>
      <c r="W2869" s="149"/>
      <c r="X2869" s="149"/>
      <c r="Y2869" s="149"/>
      <c r="Z2869" s="149"/>
      <c r="AA2869" s="149"/>
      <c r="AB2869" s="149"/>
      <c r="AC2869" s="149"/>
      <c r="AD2869" s="149"/>
      <c r="AE2869" s="149"/>
      <c r="AF2869" s="149"/>
      <c r="AG2869" s="149"/>
      <c r="AH2869" s="149"/>
      <c r="AI2869" s="149"/>
      <c r="AJ2869" s="149"/>
      <c r="AK2869" s="149"/>
      <c r="AL2869" s="149"/>
      <c r="AM2869" s="149"/>
      <c r="AN2869" s="149"/>
      <c r="AO2869" s="128"/>
      <c r="AP2869" s="128"/>
      <c r="AQ2869" s="128"/>
      <c r="AR2869" s="128"/>
      <c r="AS2869" s="128"/>
      <c r="AT2869" s="128"/>
      <c r="AU2869" s="128"/>
      <c r="AV2869" s="128"/>
      <c r="AW2869" s="128"/>
      <c r="AX2869" s="128"/>
      <c r="AY2869" s="128"/>
      <c r="AZ2869" s="128"/>
      <c r="BA2869" s="128"/>
      <c r="BB2869" s="128"/>
      <c r="BC2869" s="128"/>
      <c r="BD2869" s="128"/>
      <c r="BE2869" s="128"/>
      <c r="BF2869" s="128"/>
      <c r="BG2869" s="128"/>
      <c r="BH2869" s="128"/>
      <c r="BI2869" s="128"/>
      <c r="BJ2869" s="128"/>
      <c r="BK2869" s="128"/>
      <c r="BL2869" s="128"/>
      <c r="BM2869" s="151"/>
      <c r="BN2869" s="128"/>
      <c r="BO2869" s="128"/>
      <c r="BP2869" s="128"/>
      <c r="BQ2869" s="128"/>
      <c r="BR2869" s="128"/>
      <c r="BS2869" s="128"/>
      <c r="BT2869" s="128"/>
      <c r="BU2869" s="128"/>
      <c r="BV2869" s="128"/>
      <c r="BW2869" s="128"/>
      <c r="BX2869" s="128"/>
      <c r="BY2869" s="128"/>
      <c r="BZ2869" s="128"/>
      <c r="CA2869" s="128"/>
      <c r="CB2869" s="128"/>
      <c r="CC2869" s="128"/>
      <c r="CD2869" s="128"/>
      <c r="CE2869" s="128"/>
      <c r="CF2869" s="128"/>
      <c r="CG2869" s="128"/>
      <c r="CI2869" s="128"/>
      <c r="CJ2869" s="128"/>
      <c r="CK2869" s="128"/>
      <c r="CL2869" s="128"/>
      <c r="CM2869" s="128"/>
      <c r="CN2869" s="128"/>
      <c r="CO2869" s="128"/>
      <c r="CP2869" s="128"/>
      <c r="CQ2869" s="128"/>
      <c r="CR2869" s="128"/>
      <c r="CS2869" s="128"/>
      <c r="CT2869" s="128"/>
      <c r="CU2869" s="128"/>
      <c r="CV2869" s="128"/>
      <c r="CW2869" s="128"/>
      <c r="CX2869" s="128"/>
      <c r="CY2869" s="128"/>
      <c r="CZ2869" s="165"/>
    </row>
    <row r="2870" spans="1:104">
      <c r="A2870" s="149"/>
      <c r="B2870" s="149"/>
      <c r="C2870" s="150"/>
      <c r="D2870" s="102"/>
      <c r="E2870" s="149"/>
      <c r="F2870" s="149"/>
      <c r="G2870" s="149"/>
      <c r="H2870" s="149"/>
      <c r="I2870" s="149"/>
      <c r="J2870" s="149"/>
      <c r="K2870" s="149"/>
      <c r="L2870" s="149"/>
      <c r="M2870" s="149"/>
      <c r="N2870" s="149"/>
      <c r="O2870" s="149"/>
      <c r="P2870" s="149"/>
      <c r="Q2870" s="149"/>
      <c r="R2870" s="149"/>
      <c r="S2870" s="149"/>
      <c r="T2870" s="149"/>
      <c r="U2870" s="149"/>
      <c r="V2870" s="149"/>
      <c r="W2870" s="149"/>
      <c r="X2870" s="149"/>
      <c r="Y2870" s="149"/>
      <c r="Z2870" s="149"/>
      <c r="AA2870" s="149"/>
      <c r="AB2870" s="149"/>
      <c r="AC2870" s="149"/>
      <c r="AD2870" s="149"/>
      <c r="AE2870" s="149"/>
      <c r="AF2870" s="149"/>
      <c r="AG2870" s="149"/>
      <c r="AH2870" s="149"/>
      <c r="AI2870" s="149"/>
      <c r="AJ2870" s="149"/>
      <c r="AK2870" s="149"/>
      <c r="AL2870" s="149"/>
      <c r="AM2870" s="149"/>
      <c r="AN2870" s="149"/>
      <c r="AO2870" s="128"/>
      <c r="AP2870" s="128"/>
      <c r="AQ2870" s="128"/>
      <c r="AR2870" s="128"/>
      <c r="AS2870" s="128"/>
      <c r="AT2870" s="128"/>
      <c r="AU2870" s="128"/>
      <c r="AV2870" s="128"/>
      <c r="AW2870" s="128"/>
      <c r="AX2870" s="128"/>
      <c r="AY2870" s="128"/>
      <c r="AZ2870" s="128"/>
      <c r="BA2870" s="128"/>
      <c r="BB2870" s="128"/>
      <c r="BC2870" s="128"/>
      <c r="BD2870" s="128"/>
      <c r="BE2870" s="128"/>
      <c r="BF2870" s="128"/>
      <c r="BG2870" s="128"/>
      <c r="BH2870" s="128"/>
      <c r="BI2870" s="128"/>
      <c r="BJ2870" s="128"/>
      <c r="BK2870" s="128"/>
      <c r="BL2870" s="128"/>
      <c r="BM2870" s="151"/>
      <c r="BN2870" s="128"/>
      <c r="BO2870" s="128"/>
      <c r="BP2870" s="128"/>
      <c r="BQ2870" s="128"/>
      <c r="BR2870" s="128"/>
      <c r="BS2870" s="128"/>
      <c r="BT2870" s="128"/>
      <c r="BU2870" s="128"/>
      <c r="BV2870" s="128"/>
      <c r="BW2870" s="128"/>
      <c r="BX2870" s="128"/>
      <c r="BY2870" s="128"/>
      <c r="BZ2870" s="128"/>
      <c r="CA2870" s="128"/>
      <c r="CB2870" s="128"/>
      <c r="CC2870" s="128"/>
      <c r="CD2870" s="128"/>
      <c r="CE2870" s="128"/>
      <c r="CF2870" s="128"/>
      <c r="CG2870" s="128"/>
      <c r="CI2870" s="128"/>
      <c r="CJ2870" s="128"/>
      <c r="CK2870" s="128"/>
      <c r="CL2870" s="128"/>
      <c r="CM2870" s="128"/>
      <c r="CN2870" s="128"/>
      <c r="CO2870" s="128"/>
      <c r="CP2870" s="128"/>
      <c r="CQ2870" s="128"/>
      <c r="CR2870" s="128"/>
      <c r="CS2870" s="128"/>
      <c r="CT2870" s="128"/>
      <c r="CU2870" s="128"/>
      <c r="CV2870" s="128"/>
      <c r="CW2870" s="128"/>
      <c r="CX2870" s="128"/>
      <c r="CY2870" s="128"/>
      <c r="CZ2870" s="165"/>
    </row>
    <row r="2871" spans="1:104">
      <c r="A2871" s="149"/>
      <c r="B2871" s="149"/>
      <c r="C2871" s="150"/>
      <c r="D2871" s="102"/>
      <c r="E2871" s="149"/>
      <c r="F2871" s="149"/>
      <c r="G2871" s="149"/>
      <c r="H2871" s="149"/>
      <c r="I2871" s="149"/>
      <c r="J2871" s="149"/>
      <c r="K2871" s="149"/>
      <c r="L2871" s="149"/>
      <c r="M2871" s="149"/>
      <c r="N2871" s="149"/>
      <c r="O2871" s="149"/>
      <c r="P2871" s="149"/>
      <c r="Q2871" s="149"/>
      <c r="R2871" s="149"/>
      <c r="S2871" s="149"/>
      <c r="T2871" s="149"/>
      <c r="U2871" s="149"/>
      <c r="V2871" s="149"/>
      <c r="W2871" s="149"/>
      <c r="X2871" s="149"/>
      <c r="Y2871" s="149"/>
      <c r="Z2871" s="149"/>
      <c r="AA2871" s="149"/>
      <c r="AB2871" s="149"/>
      <c r="AC2871" s="149"/>
      <c r="AD2871" s="149"/>
      <c r="AE2871" s="149"/>
      <c r="AF2871" s="149"/>
      <c r="AG2871" s="149"/>
      <c r="AH2871" s="149"/>
      <c r="AI2871" s="149"/>
      <c r="AJ2871" s="149"/>
      <c r="AK2871" s="149"/>
      <c r="AL2871" s="149"/>
      <c r="AM2871" s="149"/>
      <c r="AN2871" s="149"/>
      <c r="AO2871" s="128"/>
      <c r="AP2871" s="128"/>
      <c r="AQ2871" s="128"/>
      <c r="AR2871" s="128"/>
      <c r="AS2871" s="128"/>
      <c r="AT2871" s="128"/>
      <c r="AU2871" s="128"/>
      <c r="AV2871" s="128"/>
      <c r="AW2871" s="128"/>
      <c r="AX2871" s="128"/>
      <c r="AY2871" s="128"/>
      <c r="AZ2871" s="128"/>
      <c r="BA2871" s="128"/>
      <c r="BB2871" s="128"/>
      <c r="BC2871" s="128"/>
      <c r="BD2871" s="128"/>
      <c r="BE2871" s="128"/>
      <c r="BF2871" s="128"/>
      <c r="BG2871" s="128"/>
      <c r="BH2871" s="128"/>
      <c r="BI2871" s="128"/>
      <c r="BJ2871" s="128"/>
      <c r="BK2871" s="128"/>
      <c r="BL2871" s="128"/>
      <c r="BM2871" s="151"/>
      <c r="BN2871" s="128"/>
      <c r="BO2871" s="128"/>
      <c r="BP2871" s="128"/>
      <c r="BQ2871" s="128"/>
      <c r="BR2871" s="128"/>
      <c r="BS2871" s="128"/>
      <c r="BT2871" s="128"/>
      <c r="BU2871" s="128"/>
      <c r="BV2871" s="128"/>
      <c r="BW2871" s="128"/>
      <c r="BX2871" s="128"/>
      <c r="BY2871" s="128"/>
      <c r="BZ2871" s="128"/>
      <c r="CA2871" s="128"/>
      <c r="CB2871" s="128"/>
      <c r="CC2871" s="128"/>
      <c r="CD2871" s="128"/>
      <c r="CE2871" s="128"/>
      <c r="CF2871" s="128"/>
      <c r="CG2871" s="128"/>
      <c r="CI2871" s="128"/>
      <c r="CJ2871" s="128"/>
      <c r="CK2871" s="128"/>
      <c r="CL2871" s="128"/>
      <c r="CM2871" s="128"/>
      <c r="CN2871" s="128"/>
      <c r="CO2871" s="128"/>
      <c r="CP2871" s="128"/>
      <c r="CQ2871" s="128"/>
      <c r="CR2871" s="128"/>
      <c r="CS2871" s="128"/>
      <c r="CT2871" s="128"/>
      <c r="CU2871" s="128"/>
      <c r="CV2871" s="128"/>
      <c r="CW2871" s="128"/>
      <c r="CX2871" s="128"/>
      <c r="CY2871" s="128"/>
      <c r="CZ2871" s="165"/>
    </row>
    <row r="2872" spans="1:104">
      <c r="A2872" s="149"/>
      <c r="B2872" s="149"/>
      <c r="C2872" s="150"/>
      <c r="D2872" s="102"/>
      <c r="E2872" s="149"/>
      <c r="F2872" s="149"/>
      <c r="G2872" s="149"/>
      <c r="H2872" s="149"/>
      <c r="I2872" s="149"/>
      <c r="J2872" s="149"/>
      <c r="K2872" s="149"/>
      <c r="L2872" s="149"/>
      <c r="M2872" s="149"/>
      <c r="N2872" s="149"/>
      <c r="O2872" s="149"/>
      <c r="P2872" s="149"/>
      <c r="Q2872" s="149"/>
      <c r="R2872" s="149"/>
      <c r="S2872" s="149"/>
      <c r="T2872" s="149"/>
      <c r="U2872" s="149"/>
      <c r="V2872" s="149"/>
      <c r="W2872" s="149"/>
      <c r="X2872" s="149"/>
      <c r="Y2872" s="149"/>
      <c r="Z2872" s="149"/>
      <c r="AA2872" s="149"/>
      <c r="AB2872" s="149"/>
      <c r="AC2872" s="149"/>
      <c r="AD2872" s="149"/>
      <c r="AE2872" s="149"/>
      <c r="AF2872" s="149"/>
      <c r="AG2872" s="149"/>
      <c r="AH2872" s="149"/>
      <c r="AI2872" s="149"/>
      <c r="AJ2872" s="149"/>
      <c r="AK2872" s="149"/>
      <c r="AL2872" s="149"/>
      <c r="AM2872" s="149"/>
      <c r="AN2872" s="149"/>
      <c r="AO2872" s="128"/>
      <c r="AP2872" s="128"/>
      <c r="AQ2872" s="128"/>
      <c r="AR2872" s="128"/>
      <c r="AS2872" s="128"/>
      <c r="AT2872" s="128"/>
      <c r="AU2872" s="128"/>
      <c r="AV2872" s="128"/>
      <c r="AW2872" s="128"/>
      <c r="AX2872" s="128"/>
      <c r="AY2872" s="128"/>
      <c r="AZ2872" s="128"/>
      <c r="BA2872" s="128"/>
      <c r="BB2872" s="128"/>
      <c r="BC2872" s="128"/>
      <c r="BD2872" s="128"/>
      <c r="BE2872" s="128"/>
      <c r="BF2872" s="128"/>
      <c r="BG2872" s="128"/>
      <c r="BH2872" s="128"/>
      <c r="BI2872" s="128"/>
      <c r="BJ2872" s="128"/>
      <c r="BK2872" s="128"/>
      <c r="BL2872" s="128"/>
      <c r="BM2872" s="151"/>
      <c r="BN2872" s="128"/>
      <c r="BO2872" s="128"/>
      <c r="BP2872" s="128"/>
      <c r="BQ2872" s="128"/>
      <c r="BR2872" s="128"/>
      <c r="BS2872" s="128"/>
      <c r="BT2872" s="128"/>
      <c r="BU2872" s="128"/>
      <c r="BV2872" s="128"/>
      <c r="BW2872" s="128"/>
      <c r="BX2872" s="128"/>
      <c r="BY2872" s="128"/>
      <c r="BZ2872" s="128"/>
      <c r="CA2872" s="128"/>
      <c r="CB2872" s="128"/>
      <c r="CC2872" s="128"/>
      <c r="CD2872" s="128"/>
      <c r="CE2872" s="128"/>
      <c r="CF2872" s="128"/>
      <c r="CG2872" s="128"/>
      <c r="CI2872" s="128"/>
      <c r="CJ2872" s="128"/>
      <c r="CK2872" s="128"/>
      <c r="CL2872" s="128"/>
      <c r="CM2872" s="128"/>
      <c r="CN2872" s="128"/>
      <c r="CO2872" s="128"/>
      <c r="CP2872" s="128"/>
      <c r="CQ2872" s="128"/>
      <c r="CR2872" s="128"/>
      <c r="CS2872" s="128"/>
      <c r="CT2872" s="128"/>
      <c r="CU2872" s="128"/>
      <c r="CV2872" s="128"/>
      <c r="CW2872" s="128"/>
      <c r="CX2872" s="128"/>
      <c r="CY2872" s="128"/>
      <c r="CZ2872" s="165"/>
    </row>
    <row r="2873" spans="1:104">
      <c r="A2873" s="149"/>
      <c r="B2873" s="149"/>
      <c r="C2873" s="150"/>
      <c r="D2873" s="102"/>
      <c r="E2873" s="149"/>
      <c r="F2873" s="149"/>
      <c r="G2873" s="149"/>
      <c r="H2873" s="149"/>
      <c r="I2873" s="149"/>
      <c r="J2873" s="149"/>
      <c r="K2873" s="149"/>
      <c r="L2873" s="149"/>
      <c r="M2873" s="149"/>
      <c r="N2873" s="149"/>
      <c r="O2873" s="149"/>
      <c r="P2873" s="149"/>
      <c r="Q2873" s="149"/>
      <c r="R2873" s="149"/>
      <c r="S2873" s="149"/>
      <c r="T2873" s="149"/>
      <c r="U2873" s="149"/>
      <c r="V2873" s="149"/>
      <c r="W2873" s="149"/>
      <c r="X2873" s="149"/>
      <c r="Y2873" s="149"/>
      <c r="Z2873" s="149"/>
      <c r="AA2873" s="149"/>
      <c r="AB2873" s="149"/>
      <c r="AC2873" s="149"/>
      <c r="AD2873" s="149"/>
      <c r="AE2873" s="149"/>
      <c r="AF2873" s="149"/>
      <c r="AG2873" s="149"/>
      <c r="AH2873" s="149"/>
      <c r="AI2873" s="149"/>
      <c r="AJ2873" s="149"/>
      <c r="AK2873" s="149"/>
      <c r="AL2873" s="149"/>
      <c r="AM2873" s="149"/>
      <c r="AN2873" s="149"/>
      <c r="AO2873" s="128"/>
      <c r="AP2873" s="128"/>
      <c r="AQ2873" s="128"/>
      <c r="AR2873" s="128"/>
      <c r="AS2873" s="128"/>
      <c r="AT2873" s="128"/>
      <c r="AU2873" s="128"/>
      <c r="AV2873" s="128"/>
      <c r="AW2873" s="128"/>
      <c r="AX2873" s="128"/>
      <c r="AY2873" s="128"/>
      <c r="AZ2873" s="128"/>
      <c r="BA2873" s="128"/>
      <c r="BB2873" s="128"/>
      <c r="BC2873" s="128"/>
      <c r="BD2873" s="128"/>
      <c r="BE2873" s="128"/>
      <c r="BF2873" s="128"/>
      <c r="BG2873" s="128"/>
      <c r="BH2873" s="128"/>
      <c r="BI2873" s="128"/>
      <c r="BJ2873" s="128"/>
      <c r="BK2873" s="128"/>
      <c r="BL2873" s="128"/>
      <c r="BM2873" s="151"/>
      <c r="BN2873" s="128"/>
      <c r="BO2873" s="128"/>
      <c r="BP2873" s="128"/>
      <c r="BQ2873" s="128"/>
      <c r="BR2873" s="128"/>
      <c r="BS2873" s="128"/>
      <c r="BT2873" s="128"/>
      <c r="BU2873" s="128"/>
      <c r="BV2873" s="128"/>
      <c r="BW2873" s="128"/>
      <c r="BX2873" s="128"/>
      <c r="BY2873" s="128"/>
      <c r="BZ2873" s="128"/>
      <c r="CA2873" s="128"/>
      <c r="CB2873" s="128"/>
      <c r="CC2873" s="128"/>
      <c r="CD2873" s="128"/>
      <c r="CE2873" s="128"/>
      <c r="CF2873" s="128"/>
      <c r="CG2873" s="128"/>
      <c r="CI2873" s="128"/>
      <c r="CJ2873" s="128"/>
      <c r="CK2873" s="128"/>
      <c r="CL2873" s="128"/>
      <c r="CM2873" s="128"/>
      <c r="CN2873" s="128"/>
      <c r="CO2873" s="128"/>
      <c r="CP2873" s="128"/>
      <c r="CQ2873" s="128"/>
      <c r="CR2873" s="128"/>
      <c r="CS2873" s="128"/>
      <c r="CT2873" s="128"/>
      <c r="CU2873" s="128"/>
      <c r="CV2873" s="128"/>
      <c r="CW2873" s="128"/>
      <c r="CX2873" s="128"/>
      <c r="CY2873" s="128"/>
      <c r="CZ2873" s="165"/>
    </row>
    <row r="2874" spans="1:104">
      <c r="A2874" s="149"/>
      <c r="B2874" s="149"/>
      <c r="C2874" s="150"/>
      <c r="D2874" s="102"/>
      <c r="E2874" s="149"/>
      <c r="F2874" s="149"/>
      <c r="G2874" s="149"/>
      <c r="H2874" s="149"/>
      <c r="I2874" s="149"/>
      <c r="J2874" s="149"/>
      <c r="K2874" s="149"/>
      <c r="L2874" s="149"/>
      <c r="M2874" s="149"/>
      <c r="N2874" s="149"/>
      <c r="O2874" s="149"/>
      <c r="P2874" s="149"/>
      <c r="Q2874" s="149"/>
      <c r="R2874" s="149"/>
      <c r="S2874" s="149"/>
      <c r="T2874" s="149"/>
      <c r="U2874" s="149"/>
      <c r="V2874" s="149"/>
      <c r="W2874" s="149"/>
      <c r="X2874" s="149"/>
      <c r="Y2874" s="149"/>
      <c r="Z2874" s="149"/>
      <c r="AA2874" s="149"/>
      <c r="AB2874" s="149"/>
      <c r="AC2874" s="149"/>
      <c r="AD2874" s="149"/>
      <c r="AE2874" s="149"/>
      <c r="AF2874" s="149"/>
      <c r="AG2874" s="149"/>
      <c r="AH2874" s="149"/>
      <c r="AI2874" s="149"/>
      <c r="AJ2874" s="149"/>
      <c r="AK2874" s="149"/>
      <c r="AL2874" s="149"/>
      <c r="AM2874" s="149"/>
      <c r="AN2874" s="149"/>
      <c r="AO2874" s="128"/>
      <c r="AP2874" s="128"/>
      <c r="AQ2874" s="128"/>
      <c r="AR2874" s="128"/>
      <c r="AS2874" s="128"/>
      <c r="AT2874" s="128"/>
      <c r="AU2874" s="128"/>
      <c r="AV2874" s="128"/>
      <c r="AW2874" s="128"/>
      <c r="AX2874" s="128"/>
      <c r="AY2874" s="128"/>
      <c r="AZ2874" s="128"/>
      <c r="BA2874" s="128"/>
      <c r="BB2874" s="128"/>
      <c r="BC2874" s="128"/>
      <c r="BD2874" s="128"/>
      <c r="BE2874" s="128"/>
      <c r="BF2874" s="128"/>
      <c r="BG2874" s="128"/>
      <c r="BH2874" s="128"/>
      <c r="BI2874" s="128"/>
      <c r="BJ2874" s="128"/>
      <c r="BK2874" s="128"/>
      <c r="BL2874" s="128"/>
      <c r="BM2874" s="151"/>
      <c r="BN2874" s="128"/>
      <c r="BO2874" s="128"/>
      <c r="BP2874" s="128"/>
      <c r="BQ2874" s="128"/>
      <c r="BR2874" s="128"/>
      <c r="BS2874" s="128"/>
      <c r="BT2874" s="128"/>
      <c r="BU2874" s="128"/>
      <c r="BV2874" s="128"/>
      <c r="BW2874" s="128"/>
      <c r="BX2874" s="128"/>
      <c r="BY2874" s="128"/>
      <c r="BZ2874" s="128"/>
      <c r="CA2874" s="128"/>
      <c r="CB2874" s="128"/>
      <c r="CC2874" s="128"/>
      <c r="CD2874" s="128"/>
      <c r="CE2874" s="128"/>
      <c r="CF2874" s="128"/>
      <c r="CG2874" s="128"/>
      <c r="CI2874" s="128"/>
      <c r="CJ2874" s="128"/>
      <c r="CK2874" s="128"/>
      <c r="CL2874" s="128"/>
      <c r="CM2874" s="128"/>
      <c r="CN2874" s="128"/>
      <c r="CO2874" s="128"/>
      <c r="CP2874" s="128"/>
      <c r="CQ2874" s="128"/>
      <c r="CR2874" s="128"/>
      <c r="CS2874" s="128"/>
      <c r="CT2874" s="128"/>
      <c r="CU2874" s="128"/>
      <c r="CV2874" s="128"/>
      <c r="CW2874" s="128"/>
      <c r="CX2874" s="128"/>
      <c r="CY2874" s="128"/>
      <c r="CZ2874" s="165"/>
    </row>
    <row r="2875" spans="1:104">
      <c r="A2875" s="149"/>
      <c r="B2875" s="149"/>
      <c r="C2875" s="150"/>
      <c r="D2875" s="102"/>
      <c r="E2875" s="149"/>
      <c r="F2875" s="149"/>
      <c r="G2875" s="149"/>
      <c r="H2875" s="149"/>
      <c r="I2875" s="149"/>
      <c r="J2875" s="149"/>
      <c r="K2875" s="149"/>
      <c r="L2875" s="149"/>
      <c r="M2875" s="149"/>
      <c r="N2875" s="149"/>
      <c r="O2875" s="149"/>
      <c r="P2875" s="149"/>
      <c r="Q2875" s="149"/>
      <c r="R2875" s="149"/>
      <c r="S2875" s="149"/>
      <c r="T2875" s="149"/>
      <c r="U2875" s="149"/>
      <c r="V2875" s="149"/>
      <c r="W2875" s="149"/>
      <c r="X2875" s="149"/>
      <c r="Y2875" s="149"/>
      <c r="Z2875" s="149"/>
      <c r="AA2875" s="149"/>
      <c r="AB2875" s="149"/>
      <c r="AC2875" s="149"/>
      <c r="AD2875" s="149"/>
      <c r="AE2875" s="149"/>
      <c r="AF2875" s="149"/>
      <c r="AG2875" s="149"/>
      <c r="AH2875" s="149"/>
      <c r="AI2875" s="149"/>
      <c r="AJ2875" s="149"/>
      <c r="AK2875" s="149"/>
      <c r="AL2875" s="149"/>
      <c r="AM2875" s="149"/>
      <c r="AN2875" s="149"/>
      <c r="AO2875" s="128"/>
      <c r="AP2875" s="128"/>
      <c r="AQ2875" s="128"/>
      <c r="AR2875" s="128"/>
      <c r="AS2875" s="128"/>
      <c r="AT2875" s="128"/>
      <c r="AU2875" s="128"/>
      <c r="AV2875" s="128"/>
      <c r="AW2875" s="128"/>
      <c r="AX2875" s="128"/>
      <c r="AY2875" s="128"/>
      <c r="AZ2875" s="128"/>
      <c r="BA2875" s="128"/>
      <c r="BB2875" s="128"/>
      <c r="BC2875" s="128"/>
      <c r="BD2875" s="128"/>
      <c r="BE2875" s="128"/>
      <c r="BF2875" s="128"/>
      <c r="BG2875" s="128"/>
      <c r="BH2875" s="128"/>
      <c r="BI2875" s="128"/>
      <c r="BJ2875" s="128"/>
      <c r="BK2875" s="128"/>
      <c r="BL2875" s="128"/>
      <c r="BM2875" s="151"/>
      <c r="BN2875" s="128"/>
      <c r="BO2875" s="128"/>
      <c r="BP2875" s="128"/>
      <c r="BQ2875" s="128"/>
      <c r="BR2875" s="128"/>
      <c r="BS2875" s="128"/>
      <c r="BT2875" s="128"/>
      <c r="BU2875" s="128"/>
      <c r="BV2875" s="128"/>
      <c r="BW2875" s="128"/>
      <c r="BX2875" s="128"/>
      <c r="BY2875" s="128"/>
      <c r="BZ2875" s="128"/>
      <c r="CA2875" s="128"/>
      <c r="CB2875" s="128"/>
      <c r="CC2875" s="128"/>
      <c r="CD2875" s="128"/>
      <c r="CE2875" s="128"/>
      <c r="CF2875" s="128"/>
      <c r="CG2875" s="128"/>
      <c r="CI2875" s="128"/>
      <c r="CJ2875" s="128"/>
      <c r="CK2875" s="128"/>
      <c r="CL2875" s="128"/>
      <c r="CM2875" s="128"/>
      <c r="CN2875" s="128"/>
      <c r="CO2875" s="128"/>
      <c r="CP2875" s="128"/>
      <c r="CQ2875" s="128"/>
      <c r="CR2875" s="128"/>
      <c r="CS2875" s="128"/>
      <c r="CT2875" s="128"/>
      <c r="CU2875" s="128"/>
      <c r="CV2875" s="128"/>
      <c r="CW2875" s="128"/>
      <c r="CX2875" s="128"/>
      <c r="CY2875" s="128"/>
      <c r="CZ2875" s="165"/>
    </row>
    <row r="2876" spans="1:104">
      <c r="A2876" s="149"/>
      <c r="B2876" s="149"/>
      <c r="C2876" s="150"/>
      <c r="D2876" s="102"/>
      <c r="E2876" s="149"/>
      <c r="F2876" s="149"/>
      <c r="G2876" s="149"/>
      <c r="H2876" s="149"/>
      <c r="I2876" s="149"/>
      <c r="J2876" s="149"/>
      <c r="K2876" s="149"/>
      <c r="L2876" s="149"/>
      <c r="M2876" s="149"/>
      <c r="N2876" s="149"/>
      <c r="O2876" s="149"/>
      <c r="P2876" s="149"/>
      <c r="Q2876" s="149"/>
      <c r="R2876" s="149"/>
      <c r="S2876" s="149"/>
      <c r="T2876" s="149"/>
      <c r="U2876" s="149"/>
      <c r="V2876" s="149"/>
      <c r="W2876" s="149"/>
      <c r="X2876" s="149"/>
      <c r="Y2876" s="149"/>
      <c r="Z2876" s="149"/>
      <c r="AA2876" s="149"/>
      <c r="AB2876" s="149"/>
      <c r="AC2876" s="149"/>
      <c r="AD2876" s="149"/>
      <c r="AE2876" s="149"/>
      <c r="AF2876" s="149"/>
      <c r="AG2876" s="149"/>
      <c r="AH2876" s="149"/>
      <c r="AI2876" s="149"/>
      <c r="AJ2876" s="149"/>
      <c r="AK2876" s="149"/>
      <c r="AL2876" s="149"/>
      <c r="AM2876" s="149"/>
      <c r="AN2876" s="149"/>
      <c r="AO2876" s="128"/>
      <c r="AP2876" s="128"/>
      <c r="AQ2876" s="128"/>
      <c r="AR2876" s="128"/>
      <c r="AS2876" s="128"/>
      <c r="AT2876" s="128"/>
      <c r="AU2876" s="128"/>
      <c r="AV2876" s="128"/>
      <c r="AW2876" s="128"/>
      <c r="AX2876" s="128"/>
      <c r="AY2876" s="128"/>
      <c r="AZ2876" s="128"/>
      <c r="BA2876" s="128"/>
      <c r="BB2876" s="128"/>
      <c r="BC2876" s="128"/>
      <c r="BD2876" s="128"/>
      <c r="BE2876" s="128"/>
      <c r="BF2876" s="128"/>
      <c r="BG2876" s="128"/>
      <c r="BH2876" s="128"/>
      <c r="BI2876" s="128"/>
      <c r="BJ2876" s="128"/>
      <c r="BK2876" s="128"/>
      <c r="BL2876" s="128"/>
      <c r="BM2876" s="151"/>
      <c r="BN2876" s="128"/>
      <c r="BO2876" s="128"/>
      <c r="BP2876" s="128"/>
      <c r="BQ2876" s="128"/>
      <c r="BR2876" s="128"/>
      <c r="BS2876" s="128"/>
      <c r="BT2876" s="128"/>
      <c r="BU2876" s="128"/>
      <c r="BV2876" s="128"/>
      <c r="BW2876" s="128"/>
      <c r="BX2876" s="128"/>
      <c r="BY2876" s="128"/>
      <c r="BZ2876" s="128"/>
      <c r="CA2876" s="128"/>
      <c r="CB2876" s="128"/>
      <c r="CC2876" s="128"/>
      <c r="CD2876" s="128"/>
      <c r="CE2876" s="128"/>
      <c r="CF2876" s="128"/>
      <c r="CG2876" s="128"/>
      <c r="CI2876" s="128"/>
      <c r="CJ2876" s="128"/>
      <c r="CK2876" s="128"/>
      <c r="CL2876" s="128"/>
      <c r="CM2876" s="128"/>
      <c r="CN2876" s="128"/>
      <c r="CO2876" s="128"/>
      <c r="CP2876" s="128"/>
      <c r="CQ2876" s="128"/>
      <c r="CR2876" s="128"/>
      <c r="CS2876" s="128"/>
      <c r="CT2876" s="128"/>
      <c r="CU2876" s="128"/>
      <c r="CV2876" s="128"/>
      <c r="CW2876" s="128"/>
      <c r="CX2876" s="128"/>
      <c r="CY2876" s="128"/>
      <c r="CZ2876" s="165"/>
    </row>
    <row r="2877" spans="1:104">
      <c r="A2877" s="149"/>
      <c r="B2877" s="149"/>
      <c r="C2877" s="150"/>
      <c r="D2877" s="102"/>
      <c r="E2877" s="149"/>
      <c r="F2877" s="149"/>
      <c r="G2877" s="149"/>
      <c r="H2877" s="149"/>
      <c r="I2877" s="149"/>
      <c r="J2877" s="149"/>
      <c r="K2877" s="149"/>
      <c r="L2877" s="149"/>
      <c r="M2877" s="149"/>
      <c r="N2877" s="149"/>
      <c r="O2877" s="149"/>
      <c r="P2877" s="149"/>
      <c r="Q2877" s="149"/>
      <c r="R2877" s="149"/>
      <c r="S2877" s="149"/>
      <c r="T2877" s="149"/>
      <c r="U2877" s="149"/>
      <c r="V2877" s="149"/>
      <c r="W2877" s="149"/>
      <c r="X2877" s="149"/>
      <c r="Y2877" s="149"/>
      <c r="Z2877" s="149"/>
      <c r="AA2877" s="149"/>
      <c r="AB2877" s="149"/>
      <c r="AC2877" s="149"/>
      <c r="AD2877" s="149"/>
      <c r="AE2877" s="149"/>
      <c r="AF2877" s="149"/>
      <c r="AG2877" s="149"/>
      <c r="AH2877" s="149"/>
      <c r="AI2877" s="149"/>
      <c r="AJ2877" s="149"/>
      <c r="AK2877" s="149"/>
      <c r="AL2877" s="149"/>
      <c r="AM2877" s="149"/>
      <c r="AN2877" s="149"/>
      <c r="AO2877" s="128"/>
      <c r="AP2877" s="128"/>
      <c r="AQ2877" s="128"/>
      <c r="AR2877" s="128"/>
      <c r="AS2877" s="128"/>
      <c r="AT2877" s="128"/>
      <c r="AU2877" s="128"/>
      <c r="AV2877" s="128"/>
      <c r="AW2877" s="128"/>
      <c r="AX2877" s="128"/>
      <c r="AY2877" s="128"/>
      <c r="AZ2877" s="128"/>
      <c r="BA2877" s="128"/>
      <c r="BB2877" s="128"/>
      <c r="BC2877" s="128"/>
      <c r="BD2877" s="128"/>
      <c r="BE2877" s="128"/>
      <c r="BF2877" s="128"/>
      <c r="BG2877" s="128"/>
      <c r="BH2877" s="128"/>
      <c r="BI2877" s="128"/>
      <c r="BJ2877" s="128"/>
      <c r="BK2877" s="128"/>
      <c r="BL2877" s="128"/>
      <c r="BM2877" s="151"/>
      <c r="BN2877" s="128"/>
      <c r="BO2877" s="128"/>
      <c r="BP2877" s="128"/>
      <c r="BQ2877" s="128"/>
      <c r="BR2877" s="128"/>
      <c r="BS2877" s="128"/>
      <c r="BT2877" s="128"/>
      <c r="BU2877" s="128"/>
      <c r="BV2877" s="128"/>
      <c r="BW2877" s="128"/>
      <c r="BX2877" s="128"/>
      <c r="BY2877" s="128"/>
      <c r="BZ2877" s="128"/>
      <c r="CA2877" s="128"/>
      <c r="CB2877" s="128"/>
      <c r="CC2877" s="128"/>
      <c r="CD2877" s="128"/>
      <c r="CE2877" s="128"/>
      <c r="CF2877" s="128"/>
      <c r="CG2877" s="128"/>
      <c r="CI2877" s="128"/>
      <c r="CJ2877" s="128"/>
      <c r="CK2877" s="128"/>
      <c r="CL2877" s="128"/>
      <c r="CM2877" s="128"/>
      <c r="CN2877" s="128"/>
      <c r="CO2877" s="128"/>
      <c r="CP2877" s="128"/>
      <c r="CQ2877" s="128"/>
      <c r="CR2877" s="128"/>
      <c r="CS2877" s="128"/>
      <c r="CT2877" s="128"/>
      <c r="CU2877" s="128"/>
      <c r="CV2877" s="128"/>
      <c r="CW2877" s="128"/>
      <c r="CX2877" s="128"/>
      <c r="CY2877" s="128"/>
      <c r="CZ2877" s="165"/>
    </row>
    <row r="2878" spans="1:104">
      <c r="A2878" s="149"/>
      <c r="B2878" s="149"/>
      <c r="C2878" s="150"/>
      <c r="D2878" s="102"/>
      <c r="E2878" s="149"/>
      <c r="F2878" s="149"/>
      <c r="G2878" s="149"/>
      <c r="H2878" s="149"/>
      <c r="I2878" s="149"/>
      <c r="J2878" s="149"/>
      <c r="K2878" s="149"/>
      <c r="L2878" s="149"/>
      <c r="M2878" s="149"/>
      <c r="N2878" s="149"/>
      <c r="O2878" s="149"/>
      <c r="P2878" s="149"/>
      <c r="Q2878" s="149"/>
      <c r="R2878" s="149"/>
      <c r="S2878" s="149"/>
      <c r="T2878" s="149"/>
      <c r="U2878" s="149"/>
      <c r="V2878" s="149"/>
      <c r="W2878" s="149"/>
      <c r="X2878" s="149"/>
      <c r="Y2878" s="149"/>
      <c r="Z2878" s="149"/>
      <c r="AA2878" s="149"/>
      <c r="AB2878" s="149"/>
      <c r="AC2878" s="149"/>
      <c r="AD2878" s="149"/>
      <c r="AE2878" s="149"/>
      <c r="AF2878" s="149"/>
      <c r="AG2878" s="149"/>
      <c r="AH2878" s="149"/>
      <c r="AI2878" s="149"/>
      <c r="AJ2878" s="149"/>
      <c r="AK2878" s="149"/>
      <c r="AL2878" s="149"/>
      <c r="AM2878" s="149"/>
      <c r="AN2878" s="149"/>
      <c r="AO2878" s="128"/>
      <c r="AP2878" s="128"/>
      <c r="AQ2878" s="128"/>
      <c r="AR2878" s="128"/>
      <c r="AS2878" s="128"/>
      <c r="AT2878" s="128"/>
      <c r="AU2878" s="128"/>
      <c r="AV2878" s="128"/>
      <c r="AW2878" s="128"/>
      <c r="AX2878" s="128"/>
      <c r="AY2878" s="128"/>
      <c r="AZ2878" s="128"/>
      <c r="BA2878" s="128"/>
      <c r="BB2878" s="128"/>
      <c r="BC2878" s="128"/>
      <c r="BD2878" s="128"/>
      <c r="BE2878" s="128"/>
      <c r="BF2878" s="128"/>
      <c r="BG2878" s="128"/>
      <c r="BH2878" s="128"/>
      <c r="BI2878" s="128"/>
      <c r="BJ2878" s="128"/>
      <c r="BK2878" s="128"/>
      <c r="BL2878" s="128"/>
      <c r="BM2878" s="151"/>
      <c r="BN2878" s="128"/>
      <c r="BO2878" s="128"/>
      <c r="BP2878" s="128"/>
      <c r="BQ2878" s="128"/>
      <c r="BR2878" s="128"/>
      <c r="BS2878" s="128"/>
      <c r="BT2878" s="128"/>
      <c r="BU2878" s="128"/>
      <c r="BV2878" s="128"/>
      <c r="BW2878" s="128"/>
      <c r="BX2878" s="128"/>
      <c r="BY2878" s="128"/>
      <c r="BZ2878" s="128"/>
      <c r="CA2878" s="128"/>
      <c r="CB2878" s="128"/>
      <c r="CC2878" s="128"/>
      <c r="CD2878" s="128"/>
      <c r="CE2878" s="128"/>
      <c r="CF2878" s="128"/>
      <c r="CG2878" s="128"/>
      <c r="CI2878" s="128"/>
      <c r="CJ2878" s="128"/>
      <c r="CK2878" s="128"/>
      <c r="CL2878" s="128"/>
      <c r="CM2878" s="128"/>
      <c r="CN2878" s="128"/>
      <c r="CO2878" s="128"/>
      <c r="CP2878" s="128"/>
      <c r="CQ2878" s="128"/>
      <c r="CR2878" s="128"/>
      <c r="CS2878" s="128"/>
      <c r="CT2878" s="128"/>
      <c r="CU2878" s="128"/>
      <c r="CV2878" s="128"/>
      <c r="CW2878" s="128"/>
      <c r="CX2878" s="128"/>
      <c r="CY2878" s="128"/>
      <c r="CZ2878" s="165"/>
    </row>
    <row r="2879" spans="1:104">
      <c r="A2879" s="149"/>
      <c r="B2879" s="149"/>
      <c r="C2879" s="150"/>
      <c r="D2879" s="102"/>
      <c r="E2879" s="149"/>
      <c r="F2879" s="149"/>
      <c r="G2879" s="149"/>
      <c r="H2879" s="149"/>
      <c r="I2879" s="149"/>
      <c r="J2879" s="149"/>
      <c r="K2879" s="149"/>
      <c r="L2879" s="149"/>
      <c r="M2879" s="149"/>
      <c r="N2879" s="149"/>
      <c r="O2879" s="149"/>
      <c r="P2879" s="149"/>
      <c r="Q2879" s="149"/>
      <c r="R2879" s="149"/>
      <c r="S2879" s="149"/>
      <c r="T2879" s="149"/>
      <c r="U2879" s="149"/>
      <c r="V2879" s="149"/>
      <c r="W2879" s="149"/>
      <c r="X2879" s="149"/>
      <c r="Y2879" s="149"/>
      <c r="Z2879" s="149"/>
      <c r="AA2879" s="149"/>
      <c r="AB2879" s="149"/>
      <c r="AC2879" s="149"/>
      <c r="AD2879" s="149"/>
      <c r="AE2879" s="149"/>
      <c r="AF2879" s="149"/>
      <c r="AG2879" s="149"/>
      <c r="AH2879" s="149"/>
      <c r="AI2879" s="149"/>
      <c r="AJ2879" s="149"/>
      <c r="AK2879" s="149"/>
      <c r="AL2879" s="149"/>
      <c r="AM2879" s="149"/>
      <c r="AN2879" s="149"/>
      <c r="AO2879" s="128"/>
      <c r="AP2879" s="128"/>
      <c r="AQ2879" s="128"/>
      <c r="AR2879" s="128"/>
      <c r="AS2879" s="128"/>
      <c r="AT2879" s="128"/>
      <c r="AU2879" s="128"/>
      <c r="AV2879" s="128"/>
      <c r="AW2879" s="128"/>
      <c r="AX2879" s="128"/>
      <c r="AY2879" s="128"/>
      <c r="AZ2879" s="128"/>
      <c r="BA2879" s="128"/>
      <c r="BB2879" s="128"/>
      <c r="BC2879" s="128"/>
      <c r="BD2879" s="128"/>
      <c r="BE2879" s="128"/>
      <c r="BF2879" s="128"/>
      <c r="BG2879" s="128"/>
      <c r="BH2879" s="128"/>
      <c r="BI2879" s="128"/>
      <c r="BJ2879" s="128"/>
      <c r="BK2879" s="128"/>
      <c r="BL2879" s="128"/>
      <c r="BM2879" s="151"/>
      <c r="BN2879" s="128"/>
      <c r="BO2879" s="128"/>
      <c r="BP2879" s="128"/>
      <c r="BQ2879" s="128"/>
      <c r="BR2879" s="128"/>
      <c r="BS2879" s="128"/>
      <c r="BT2879" s="128"/>
      <c r="BU2879" s="128"/>
      <c r="BV2879" s="128"/>
      <c r="BW2879" s="128"/>
      <c r="BX2879" s="128"/>
      <c r="BY2879" s="128"/>
      <c r="BZ2879" s="128"/>
      <c r="CA2879" s="128"/>
      <c r="CB2879" s="128"/>
      <c r="CC2879" s="128"/>
      <c r="CD2879" s="128"/>
      <c r="CE2879" s="128"/>
      <c r="CF2879" s="128"/>
      <c r="CG2879" s="128"/>
      <c r="CI2879" s="128"/>
      <c r="CJ2879" s="128"/>
      <c r="CK2879" s="128"/>
      <c r="CL2879" s="128"/>
      <c r="CM2879" s="128"/>
      <c r="CN2879" s="128"/>
      <c r="CO2879" s="128"/>
      <c r="CP2879" s="128"/>
      <c r="CQ2879" s="128"/>
      <c r="CR2879" s="128"/>
      <c r="CS2879" s="128"/>
      <c r="CT2879" s="128"/>
      <c r="CU2879" s="128"/>
      <c r="CV2879" s="128"/>
      <c r="CW2879" s="128"/>
      <c r="CX2879" s="128"/>
      <c r="CY2879" s="128"/>
      <c r="CZ2879" s="165"/>
    </row>
    <row r="2880" spans="1:104">
      <c r="A2880" s="149"/>
      <c r="B2880" s="149"/>
      <c r="C2880" s="150"/>
      <c r="D2880" s="102"/>
      <c r="E2880" s="149"/>
      <c r="F2880" s="149"/>
      <c r="G2880" s="149"/>
      <c r="H2880" s="149"/>
      <c r="I2880" s="149"/>
      <c r="J2880" s="149"/>
      <c r="K2880" s="149"/>
      <c r="L2880" s="149"/>
      <c r="M2880" s="149"/>
      <c r="N2880" s="149"/>
      <c r="O2880" s="149"/>
      <c r="P2880" s="149"/>
      <c r="Q2880" s="149"/>
      <c r="R2880" s="149"/>
      <c r="S2880" s="149"/>
      <c r="T2880" s="149"/>
      <c r="U2880" s="149"/>
      <c r="V2880" s="149"/>
      <c r="W2880" s="149"/>
      <c r="X2880" s="149"/>
      <c r="Y2880" s="149"/>
      <c r="Z2880" s="149"/>
      <c r="AA2880" s="149"/>
      <c r="AB2880" s="149"/>
      <c r="AC2880" s="149"/>
      <c r="AD2880" s="149"/>
      <c r="AE2880" s="149"/>
      <c r="AF2880" s="149"/>
      <c r="AG2880" s="149"/>
      <c r="AH2880" s="149"/>
      <c r="AI2880" s="149"/>
      <c r="AJ2880" s="149"/>
      <c r="AK2880" s="149"/>
      <c r="AL2880" s="149"/>
      <c r="AM2880" s="149"/>
      <c r="AN2880" s="149"/>
      <c r="AO2880" s="128"/>
      <c r="AP2880" s="128"/>
      <c r="AQ2880" s="128"/>
      <c r="AR2880" s="128"/>
      <c r="AS2880" s="128"/>
      <c r="AT2880" s="128"/>
      <c r="AU2880" s="128"/>
      <c r="AV2880" s="128"/>
      <c r="AW2880" s="128"/>
      <c r="AX2880" s="128"/>
      <c r="AY2880" s="128"/>
      <c r="AZ2880" s="128"/>
      <c r="BA2880" s="128"/>
      <c r="BB2880" s="128"/>
      <c r="BC2880" s="128"/>
      <c r="BD2880" s="128"/>
      <c r="BE2880" s="128"/>
      <c r="BF2880" s="128"/>
      <c r="BG2880" s="128"/>
      <c r="BH2880" s="128"/>
      <c r="BI2880" s="128"/>
      <c r="BJ2880" s="128"/>
      <c r="BK2880" s="128"/>
      <c r="BL2880" s="128"/>
      <c r="BM2880" s="151"/>
      <c r="BN2880" s="128"/>
      <c r="BO2880" s="128"/>
      <c r="BP2880" s="128"/>
      <c r="BQ2880" s="128"/>
      <c r="BR2880" s="128"/>
      <c r="BS2880" s="128"/>
      <c r="BT2880" s="128"/>
      <c r="BU2880" s="128"/>
      <c r="BV2880" s="128"/>
      <c r="BW2880" s="128"/>
      <c r="BX2880" s="128"/>
      <c r="BY2880" s="128"/>
      <c r="BZ2880" s="128"/>
      <c r="CA2880" s="128"/>
      <c r="CB2880" s="128"/>
      <c r="CC2880" s="128"/>
      <c r="CD2880" s="128"/>
      <c r="CE2880" s="128"/>
      <c r="CF2880" s="128"/>
      <c r="CG2880" s="128"/>
      <c r="CI2880" s="128"/>
      <c r="CJ2880" s="128"/>
      <c r="CK2880" s="128"/>
      <c r="CL2880" s="128"/>
      <c r="CM2880" s="128"/>
      <c r="CN2880" s="128"/>
      <c r="CO2880" s="128"/>
      <c r="CP2880" s="128"/>
      <c r="CQ2880" s="128"/>
      <c r="CR2880" s="128"/>
      <c r="CS2880" s="128"/>
      <c r="CT2880" s="128"/>
      <c r="CU2880" s="128"/>
      <c r="CV2880" s="128"/>
      <c r="CW2880" s="128"/>
      <c r="CX2880" s="128"/>
      <c r="CY2880" s="128"/>
      <c r="CZ2880" s="165"/>
    </row>
    <row r="2881" spans="1:104">
      <c r="A2881" s="149"/>
      <c r="B2881" s="149"/>
      <c r="C2881" s="150"/>
      <c r="D2881" s="102"/>
      <c r="E2881" s="149"/>
      <c r="F2881" s="149"/>
      <c r="G2881" s="149"/>
      <c r="H2881" s="149"/>
      <c r="I2881" s="149"/>
      <c r="J2881" s="149"/>
      <c r="K2881" s="149"/>
      <c r="L2881" s="149"/>
      <c r="M2881" s="149"/>
      <c r="N2881" s="149"/>
      <c r="O2881" s="149"/>
      <c r="P2881" s="149"/>
      <c r="Q2881" s="149"/>
      <c r="R2881" s="149"/>
      <c r="S2881" s="149"/>
      <c r="T2881" s="149"/>
      <c r="U2881" s="149"/>
      <c r="V2881" s="149"/>
      <c r="W2881" s="149"/>
      <c r="X2881" s="149"/>
      <c r="Y2881" s="149"/>
      <c r="Z2881" s="149"/>
      <c r="AA2881" s="149"/>
      <c r="AB2881" s="149"/>
      <c r="AC2881" s="149"/>
      <c r="AD2881" s="149"/>
      <c r="AE2881" s="149"/>
      <c r="AF2881" s="149"/>
      <c r="AG2881" s="149"/>
      <c r="AH2881" s="149"/>
      <c r="AI2881" s="149"/>
      <c r="AJ2881" s="149"/>
      <c r="AK2881" s="149"/>
      <c r="AL2881" s="149"/>
      <c r="AM2881" s="149"/>
      <c r="AN2881" s="149"/>
      <c r="AO2881" s="128"/>
      <c r="AP2881" s="128"/>
      <c r="AQ2881" s="128"/>
      <c r="AR2881" s="128"/>
      <c r="AS2881" s="128"/>
      <c r="AT2881" s="128"/>
      <c r="AU2881" s="128"/>
      <c r="AV2881" s="128"/>
      <c r="AW2881" s="128"/>
      <c r="AX2881" s="128"/>
      <c r="AY2881" s="128"/>
      <c r="AZ2881" s="128"/>
      <c r="BA2881" s="128"/>
      <c r="BB2881" s="128"/>
      <c r="BC2881" s="128"/>
      <c r="BD2881" s="128"/>
      <c r="BE2881" s="128"/>
      <c r="BF2881" s="128"/>
      <c r="BG2881" s="128"/>
      <c r="BH2881" s="128"/>
      <c r="BI2881" s="128"/>
      <c r="BJ2881" s="128"/>
      <c r="BK2881" s="128"/>
      <c r="BL2881" s="128"/>
      <c r="BM2881" s="151"/>
      <c r="BN2881" s="128"/>
      <c r="BO2881" s="128"/>
      <c r="BP2881" s="128"/>
      <c r="BQ2881" s="128"/>
      <c r="BR2881" s="128"/>
      <c r="BS2881" s="128"/>
      <c r="BT2881" s="128"/>
      <c r="BU2881" s="128"/>
      <c r="BV2881" s="128"/>
      <c r="BW2881" s="128"/>
      <c r="BX2881" s="128"/>
      <c r="BY2881" s="128"/>
      <c r="BZ2881" s="128"/>
      <c r="CA2881" s="128"/>
      <c r="CB2881" s="128"/>
      <c r="CC2881" s="128"/>
      <c r="CD2881" s="128"/>
      <c r="CE2881" s="128"/>
      <c r="CF2881" s="128"/>
      <c r="CG2881" s="128"/>
      <c r="CI2881" s="128"/>
      <c r="CJ2881" s="128"/>
      <c r="CK2881" s="128"/>
      <c r="CL2881" s="128"/>
      <c r="CM2881" s="128"/>
      <c r="CN2881" s="128"/>
      <c r="CO2881" s="128"/>
      <c r="CP2881" s="128"/>
      <c r="CQ2881" s="128"/>
      <c r="CR2881" s="128"/>
      <c r="CS2881" s="128"/>
      <c r="CT2881" s="128"/>
      <c r="CU2881" s="128"/>
      <c r="CV2881" s="128"/>
      <c r="CW2881" s="128"/>
      <c r="CX2881" s="128"/>
      <c r="CY2881" s="128"/>
      <c r="CZ2881" s="165"/>
    </row>
    <row r="2882" spans="1:104">
      <c r="A2882" s="149"/>
      <c r="B2882" s="149"/>
      <c r="C2882" s="150"/>
      <c r="D2882" s="102"/>
      <c r="E2882" s="149"/>
      <c r="F2882" s="149"/>
      <c r="G2882" s="149"/>
      <c r="H2882" s="149"/>
      <c r="I2882" s="149"/>
      <c r="J2882" s="149"/>
      <c r="K2882" s="149"/>
      <c r="L2882" s="149"/>
      <c r="M2882" s="149"/>
      <c r="N2882" s="149"/>
      <c r="O2882" s="149"/>
      <c r="P2882" s="149"/>
      <c r="Q2882" s="149"/>
      <c r="R2882" s="149"/>
      <c r="S2882" s="149"/>
      <c r="T2882" s="149"/>
      <c r="U2882" s="149"/>
      <c r="V2882" s="149"/>
      <c r="W2882" s="149"/>
      <c r="X2882" s="149"/>
      <c r="Y2882" s="149"/>
      <c r="Z2882" s="149"/>
      <c r="AA2882" s="149"/>
      <c r="AB2882" s="149"/>
      <c r="AC2882" s="149"/>
      <c r="AD2882" s="149"/>
      <c r="AE2882" s="149"/>
      <c r="AF2882" s="149"/>
      <c r="AG2882" s="149"/>
      <c r="AH2882" s="149"/>
      <c r="AI2882" s="149"/>
      <c r="AJ2882" s="149"/>
      <c r="AK2882" s="149"/>
      <c r="AL2882" s="149"/>
      <c r="AM2882" s="149"/>
      <c r="AN2882" s="149"/>
      <c r="AO2882" s="128"/>
      <c r="AP2882" s="128"/>
      <c r="AQ2882" s="128"/>
      <c r="AR2882" s="128"/>
      <c r="AS2882" s="128"/>
      <c r="AT2882" s="128"/>
      <c r="AU2882" s="128"/>
      <c r="AV2882" s="128"/>
      <c r="AW2882" s="128"/>
      <c r="AX2882" s="128"/>
      <c r="AY2882" s="128"/>
      <c r="AZ2882" s="128"/>
      <c r="BA2882" s="128"/>
      <c r="BB2882" s="128"/>
      <c r="BC2882" s="128"/>
      <c r="BD2882" s="128"/>
      <c r="BE2882" s="128"/>
      <c r="BF2882" s="128"/>
      <c r="BG2882" s="128"/>
      <c r="BH2882" s="128"/>
      <c r="BI2882" s="128"/>
      <c r="BJ2882" s="128"/>
      <c r="BK2882" s="128"/>
      <c r="BL2882" s="128"/>
      <c r="BM2882" s="151"/>
      <c r="BN2882" s="128"/>
      <c r="BO2882" s="128"/>
      <c r="BP2882" s="128"/>
      <c r="BQ2882" s="128"/>
      <c r="BR2882" s="128"/>
      <c r="BS2882" s="128"/>
      <c r="BT2882" s="128"/>
      <c r="BU2882" s="128"/>
      <c r="BV2882" s="128"/>
      <c r="BW2882" s="128"/>
      <c r="BX2882" s="128"/>
      <c r="BY2882" s="128"/>
      <c r="BZ2882" s="128"/>
      <c r="CA2882" s="128"/>
      <c r="CB2882" s="128"/>
      <c r="CC2882" s="128"/>
      <c r="CD2882" s="128"/>
      <c r="CE2882" s="128"/>
      <c r="CF2882" s="128"/>
      <c r="CG2882" s="128"/>
      <c r="CI2882" s="128"/>
      <c r="CJ2882" s="128"/>
      <c r="CK2882" s="128"/>
      <c r="CL2882" s="128"/>
      <c r="CM2882" s="128"/>
      <c r="CN2882" s="128"/>
      <c r="CO2882" s="128"/>
      <c r="CP2882" s="128"/>
      <c r="CQ2882" s="128"/>
      <c r="CR2882" s="128"/>
      <c r="CS2882" s="128"/>
      <c r="CT2882" s="128"/>
      <c r="CU2882" s="128"/>
      <c r="CV2882" s="128"/>
      <c r="CW2882" s="128"/>
      <c r="CX2882" s="128"/>
      <c r="CY2882" s="128"/>
      <c r="CZ2882" s="165"/>
    </row>
    <row r="2883" spans="1:104">
      <c r="A2883" s="149"/>
      <c r="B2883" s="149"/>
      <c r="C2883" s="150"/>
      <c r="D2883" s="102"/>
      <c r="E2883" s="149"/>
      <c r="F2883" s="149"/>
      <c r="G2883" s="149"/>
      <c r="H2883" s="149"/>
      <c r="I2883" s="149"/>
      <c r="J2883" s="149"/>
      <c r="K2883" s="149"/>
      <c r="L2883" s="149"/>
      <c r="M2883" s="149"/>
      <c r="N2883" s="149"/>
      <c r="O2883" s="149"/>
      <c r="P2883" s="149"/>
      <c r="Q2883" s="149"/>
      <c r="R2883" s="149"/>
      <c r="S2883" s="149"/>
      <c r="T2883" s="149"/>
      <c r="U2883" s="149"/>
      <c r="V2883" s="149"/>
      <c r="W2883" s="149"/>
      <c r="X2883" s="149"/>
      <c r="Y2883" s="149"/>
      <c r="Z2883" s="149"/>
      <c r="AA2883" s="149"/>
      <c r="AB2883" s="149"/>
      <c r="AC2883" s="149"/>
      <c r="AD2883" s="149"/>
      <c r="AE2883" s="149"/>
      <c r="AF2883" s="149"/>
      <c r="AG2883" s="149"/>
      <c r="AH2883" s="149"/>
      <c r="AI2883" s="149"/>
      <c r="AJ2883" s="149"/>
      <c r="AK2883" s="149"/>
      <c r="AL2883" s="149"/>
      <c r="AM2883" s="149"/>
      <c r="AN2883" s="149"/>
      <c r="AO2883" s="128"/>
      <c r="AP2883" s="128"/>
      <c r="AQ2883" s="128"/>
      <c r="AR2883" s="128"/>
      <c r="AS2883" s="128"/>
      <c r="AT2883" s="128"/>
      <c r="AU2883" s="128"/>
      <c r="AV2883" s="128"/>
      <c r="AW2883" s="128"/>
      <c r="AX2883" s="128"/>
      <c r="AY2883" s="128"/>
      <c r="AZ2883" s="128"/>
      <c r="BA2883" s="128"/>
      <c r="BB2883" s="128"/>
      <c r="BC2883" s="128"/>
      <c r="BD2883" s="128"/>
      <c r="BE2883" s="128"/>
      <c r="BF2883" s="128"/>
      <c r="BG2883" s="128"/>
      <c r="BH2883" s="128"/>
      <c r="BI2883" s="128"/>
      <c r="BJ2883" s="128"/>
      <c r="BK2883" s="128"/>
      <c r="BL2883" s="128"/>
      <c r="BM2883" s="151"/>
      <c r="BN2883" s="128"/>
      <c r="BO2883" s="128"/>
      <c r="BP2883" s="128"/>
      <c r="BQ2883" s="128"/>
      <c r="BR2883" s="128"/>
      <c r="BS2883" s="128"/>
      <c r="BT2883" s="128"/>
      <c r="BU2883" s="128"/>
      <c r="BV2883" s="128"/>
      <c r="BW2883" s="128"/>
      <c r="BX2883" s="128"/>
      <c r="BY2883" s="128"/>
      <c r="BZ2883" s="128"/>
      <c r="CA2883" s="128"/>
      <c r="CB2883" s="128"/>
      <c r="CC2883" s="128"/>
      <c r="CD2883" s="128"/>
      <c r="CE2883" s="128"/>
      <c r="CF2883" s="128"/>
      <c r="CG2883" s="128"/>
      <c r="CI2883" s="128"/>
      <c r="CJ2883" s="128"/>
      <c r="CK2883" s="128"/>
      <c r="CL2883" s="128"/>
      <c r="CM2883" s="128"/>
      <c r="CN2883" s="128"/>
      <c r="CO2883" s="128"/>
      <c r="CP2883" s="128"/>
      <c r="CQ2883" s="128"/>
      <c r="CR2883" s="128"/>
      <c r="CS2883" s="128"/>
      <c r="CT2883" s="128"/>
      <c r="CU2883" s="128"/>
      <c r="CV2883" s="128"/>
      <c r="CW2883" s="128"/>
      <c r="CX2883" s="128"/>
      <c r="CY2883" s="128"/>
      <c r="CZ2883" s="165"/>
    </row>
    <row r="2884" spans="1:104">
      <c r="A2884" s="149"/>
      <c r="B2884" s="149"/>
      <c r="C2884" s="150"/>
      <c r="D2884" s="102"/>
      <c r="E2884" s="149"/>
      <c r="F2884" s="149"/>
      <c r="G2884" s="149"/>
      <c r="H2884" s="149"/>
      <c r="I2884" s="149"/>
      <c r="J2884" s="149"/>
      <c r="K2884" s="149"/>
      <c r="L2884" s="149"/>
      <c r="M2884" s="149"/>
      <c r="N2884" s="149"/>
      <c r="O2884" s="149"/>
      <c r="P2884" s="149"/>
      <c r="Q2884" s="149"/>
      <c r="R2884" s="149"/>
      <c r="S2884" s="149"/>
      <c r="T2884" s="149"/>
      <c r="U2884" s="149"/>
      <c r="V2884" s="149"/>
      <c r="W2884" s="149"/>
      <c r="X2884" s="149"/>
      <c r="Y2884" s="149"/>
      <c r="Z2884" s="149"/>
      <c r="AA2884" s="149"/>
      <c r="AB2884" s="149"/>
      <c r="AC2884" s="149"/>
      <c r="AD2884" s="149"/>
      <c r="AE2884" s="149"/>
      <c r="AF2884" s="149"/>
      <c r="AG2884" s="149"/>
      <c r="AH2884" s="149"/>
      <c r="AI2884" s="149"/>
      <c r="AJ2884" s="149"/>
      <c r="AK2884" s="149"/>
      <c r="AL2884" s="149"/>
      <c r="AM2884" s="149"/>
      <c r="AN2884" s="149"/>
      <c r="AO2884" s="128"/>
      <c r="AP2884" s="128"/>
      <c r="AQ2884" s="128"/>
      <c r="AR2884" s="128"/>
      <c r="AS2884" s="128"/>
      <c r="AT2884" s="128"/>
      <c r="AU2884" s="128"/>
      <c r="AV2884" s="128"/>
      <c r="AW2884" s="128"/>
      <c r="AX2884" s="128"/>
      <c r="AY2884" s="128"/>
      <c r="AZ2884" s="128"/>
      <c r="BA2884" s="128"/>
      <c r="BB2884" s="128"/>
      <c r="BC2884" s="128"/>
      <c r="BD2884" s="128"/>
      <c r="BE2884" s="128"/>
      <c r="BF2884" s="128"/>
      <c r="BG2884" s="128"/>
      <c r="BH2884" s="128"/>
      <c r="BI2884" s="128"/>
      <c r="BJ2884" s="128"/>
      <c r="BK2884" s="128"/>
      <c r="BL2884" s="128"/>
      <c r="BM2884" s="151"/>
      <c r="BN2884" s="128"/>
      <c r="BO2884" s="128"/>
      <c r="BP2884" s="128"/>
      <c r="BQ2884" s="128"/>
      <c r="BR2884" s="128"/>
      <c r="BS2884" s="128"/>
      <c r="BT2884" s="128"/>
      <c r="BU2884" s="128"/>
      <c r="BV2884" s="128"/>
      <c r="BW2884" s="128"/>
      <c r="BX2884" s="128"/>
      <c r="BY2884" s="128"/>
      <c r="BZ2884" s="128"/>
      <c r="CA2884" s="128"/>
      <c r="CB2884" s="128"/>
      <c r="CC2884" s="128"/>
      <c r="CD2884" s="128"/>
      <c r="CE2884" s="128"/>
      <c r="CF2884" s="128"/>
      <c r="CG2884" s="128"/>
      <c r="CI2884" s="128"/>
      <c r="CJ2884" s="128"/>
      <c r="CK2884" s="128"/>
      <c r="CL2884" s="128"/>
      <c r="CM2884" s="128"/>
      <c r="CN2884" s="128"/>
      <c r="CO2884" s="128"/>
      <c r="CP2884" s="128"/>
      <c r="CQ2884" s="128"/>
      <c r="CR2884" s="128"/>
      <c r="CS2884" s="128"/>
      <c r="CT2884" s="128"/>
      <c r="CU2884" s="128"/>
      <c r="CV2884" s="128"/>
      <c r="CW2884" s="128"/>
      <c r="CX2884" s="128"/>
      <c r="CY2884" s="128"/>
      <c r="CZ2884" s="165"/>
    </row>
    <row r="2885" spans="1:104">
      <c r="A2885" s="149"/>
      <c r="B2885" s="149"/>
      <c r="C2885" s="150"/>
      <c r="D2885" s="102"/>
      <c r="E2885" s="149"/>
      <c r="F2885" s="149"/>
      <c r="G2885" s="149"/>
      <c r="H2885" s="149"/>
      <c r="I2885" s="149"/>
      <c r="J2885" s="149"/>
      <c r="K2885" s="149"/>
      <c r="L2885" s="149"/>
      <c r="M2885" s="149"/>
      <c r="N2885" s="149"/>
      <c r="O2885" s="149"/>
      <c r="P2885" s="149"/>
      <c r="Q2885" s="149"/>
      <c r="R2885" s="149"/>
      <c r="S2885" s="149"/>
      <c r="T2885" s="149"/>
      <c r="U2885" s="149"/>
      <c r="V2885" s="149"/>
      <c r="W2885" s="149"/>
      <c r="X2885" s="149"/>
      <c r="Y2885" s="149"/>
      <c r="Z2885" s="149"/>
      <c r="AA2885" s="149"/>
      <c r="AB2885" s="149"/>
      <c r="AC2885" s="149"/>
      <c r="AD2885" s="149"/>
      <c r="AE2885" s="149"/>
      <c r="AF2885" s="149"/>
      <c r="AG2885" s="149"/>
      <c r="AH2885" s="149"/>
      <c r="AI2885" s="149"/>
      <c r="AJ2885" s="149"/>
      <c r="AK2885" s="149"/>
      <c r="AL2885" s="149"/>
      <c r="AM2885" s="149"/>
      <c r="AN2885" s="149"/>
      <c r="AO2885" s="128"/>
      <c r="AP2885" s="128"/>
      <c r="AQ2885" s="128"/>
      <c r="AR2885" s="128"/>
      <c r="AS2885" s="128"/>
      <c r="AT2885" s="128"/>
      <c r="AU2885" s="128"/>
      <c r="AV2885" s="128"/>
      <c r="AW2885" s="128"/>
      <c r="AX2885" s="128"/>
      <c r="AY2885" s="128"/>
      <c r="AZ2885" s="128"/>
      <c r="BA2885" s="128"/>
      <c r="BB2885" s="128"/>
      <c r="BC2885" s="128"/>
      <c r="BD2885" s="128"/>
      <c r="BE2885" s="128"/>
      <c r="BF2885" s="128"/>
      <c r="BG2885" s="128"/>
      <c r="BH2885" s="128"/>
      <c r="BI2885" s="128"/>
      <c r="BJ2885" s="128"/>
      <c r="BK2885" s="128"/>
      <c r="BL2885" s="128"/>
      <c r="BM2885" s="151"/>
      <c r="BN2885" s="128"/>
      <c r="BO2885" s="128"/>
      <c r="BP2885" s="128"/>
      <c r="BQ2885" s="128"/>
      <c r="BR2885" s="128"/>
      <c r="BS2885" s="128"/>
      <c r="BT2885" s="128"/>
      <c r="BU2885" s="128"/>
      <c r="BV2885" s="128"/>
      <c r="BW2885" s="128"/>
      <c r="BX2885" s="128"/>
      <c r="BY2885" s="128"/>
      <c r="BZ2885" s="128"/>
      <c r="CA2885" s="128"/>
      <c r="CB2885" s="128"/>
      <c r="CC2885" s="128"/>
      <c r="CD2885" s="128"/>
      <c r="CE2885" s="128"/>
      <c r="CF2885" s="128"/>
      <c r="CG2885" s="128"/>
      <c r="CI2885" s="128"/>
      <c r="CJ2885" s="128"/>
      <c r="CK2885" s="128"/>
      <c r="CL2885" s="128"/>
      <c r="CM2885" s="128"/>
      <c r="CN2885" s="128"/>
      <c r="CO2885" s="128"/>
      <c r="CP2885" s="128"/>
      <c r="CQ2885" s="128"/>
      <c r="CR2885" s="128"/>
      <c r="CS2885" s="128"/>
      <c r="CT2885" s="128"/>
      <c r="CU2885" s="128"/>
      <c r="CV2885" s="128"/>
      <c r="CW2885" s="128"/>
      <c r="CX2885" s="128"/>
      <c r="CY2885" s="128"/>
      <c r="CZ2885" s="165"/>
    </row>
    <row r="2886" spans="1:104">
      <c r="A2886" s="149"/>
      <c r="B2886" s="149"/>
      <c r="C2886" s="150"/>
      <c r="D2886" s="102"/>
      <c r="E2886" s="149"/>
      <c r="F2886" s="149"/>
      <c r="G2886" s="149"/>
      <c r="H2886" s="149"/>
      <c r="I2886" s="149"/>
      <c r="J2886" s="149"/>
      <c r="K2886" s="149"/>
      <c r="L2886" s="149"/>
      <c r="M2886" s="149"/>
      <c r="N2886" s="149"/>
      <c r="O2886" s="149"/>
      <c r="P2886" s="149"/>
      <c r="Q2886" s="149"/>
      <c r="R2886" s="149"/>
      <c r="S2886" s="149"/>
      <c r="T2886" s="149"/>
      <c r="U2886" s="149"/>
      <c r="V2886" s="149"/>
      <c r="W2886" s="149"/>
      <c r="X2886" s="149"/>
      <c r="Y2886" s="149"/>
      <c r="Z2886" s="149"/>
      <c r="AA2886" s="149"/>
      <c r="AB2886" s="149"/>
      <c r="AC2886" s="149"/>
      <c r="AD2886" s="149"/>
      <c r="AE2886" s="149"/>
      <c r="AF2886" s="149"/>
      <c r="AG2886" s="149"/>
      <c r="AH2886" s="149"/>
      <c r="AI2886" s="149"/>
      <c r="AJ2886" s="149"/>
      <c r="AK2886" s="149"/>
      <c r="AL2886" s="149"/>
      <c r="AM2886" s="149"/>
      <c r="AN2886" s="149"/>
      <c r="AO2886" s="128"/>
      <c r="AP2886" s="128"/>
      <c r="AQ2886" s="128"/>
      <c r="AR2886" s="128"/>
      <c r="AS2886" s="128"/>
      <c r="AT2886" s="128"/>
      <c r="AU2886" s="128"/>
      <c r="AV2886" s="128"/>
      <c r="AW2886" s="128"/>
      <c r="AX2886" s="128"/>
      <c r="AY2886" s="128"/>
      <c r="AZ2886" s="128"/>
      <c r="BA2886" s="128"/>
      <c r="BB2886" s="128"/>
      <c r="BC2886" s="128"/>
      <c r="BD2886" s="128"/>
      <c r="BE2886" s="128"/>
      <c r="BF2886" s="128"/>
      <c r="BG2886" s="128"/>
      <c r="BH2886" s="128"/>
      <c r="BI2886" s="128"/>
      <c r="BJ2886" s="128"/>
      <c r="BK2886" s="128"/>
      <c r="BL2886" s="128"/>
      <c r="BM2886" s="151"/>
      <c r="BN2886" s="128"/>
      <c r="BO2886" s="128"/>
      <c r="BP2886" s="128"/>
      <c r="BQ2886" s="128"/>
      <c r="BR2886" s="128"/>
      <c r="BS2886" s="128"/>
      <c r="BT2886" s="128"/>
      <c r="BU2886" s="128"/>
      <c r="BV2886" s="128"/>
      <c r="BW2886" s="128"/>
      <c r="BX2886" s="128"/>
      <c r="BY2886" s="128"/>
      <c r="BZ2886" s="128"/>
      <c r="CA2886" s="128"/>
      <c r="CB2886" s="128"/>
      <c r="CC2886" s="128"/>
      <c r="CD2886" s="128"/>
      <c r="CE2886" s="128"/>
      <c r="CF2886" s="128"/>
      <c r="CG2886" s="128"/>
      <c r="CI2886" s="128"/>
      <c r="CJ2886" s="128"/>
      <c r="CK2886" s="128"/>
      <c r="CL2886" s="128"/>
      <c r="CM2886" s="128"/>
      <c r="CN2886" s="128"/>
      <c r="CO2886" s="128"/>
      <c r="CP2886" s="128"/>
      <c r="CQ2886" s="128"/>
      <c r="CR2886" s="128"/>
      <c r="CS2886" s="128"/>
      <c r="CT2886" s="128"/>
      <c r="CU2886" s="128"/>
      <c r="CV2886" s="128"/>
      <c r="CW2886" s="128"/>
      <c r="CX2886" s="128"/>
      <c r="CY2886" s="128"/>
      <c r="CZ2886" s="165"/>
    </row>
    <row r="2887" spans="1:104">
      <c r="A2887" s="149"/>
      <c r="B2887" s="149"/>
      <c r="C2887" s="150"/>
      <c r="D2887" s="102"/>
      <c r="E2887" s="149"/>
      <c r="F2887" s="149"/>
      <c r="G2887" s="149"/>
      <c r="H2887" s="149"/>
      <c r="I2887" s="149"/>
      <c r="J2887" s="149"/>
      <c r="K2887" s="149"/>
      <c r="L2887" s="149"/>
      <c r="M2887" s="149"/>
      <c r="N2887" s="149"/>
      <c r="O2887" s="149"/>
      <c r="P2887" s="149"/>
      <c r="Q2887" s="149"/>
      <c r="R2887" s="149"/>
      <c r="S2887" s="149"/>
      <c r="T2887" s="149"/>
      <c r="U2887" s="149"/>
      <c r="V2887" s="149"/>
      <c r="W2887" s="149"/>
      <c r="X2887" s="149"/>
      <c r="Y2887" s="149"/>
      <c r="Z2887" s="149"/>
      <c r="AA2887" s="149"/>
      <c r="AB2887" s="149"/>
      <c r="AC2887" s="149"/>
      <c r="AD2887" s="149"/>
      <c r="AE2887" s="149"/>
      <c r="AF2887" s="149"/>
      <c r="AG2887" s="149"/>
      <c r="AH2887" s="149"/>
      <c r="AI2887" s="149"/>
      <c r="AJ2887" s="149"/>
      <c r="AK2887" s="149"/>
      <c r="AL2887" s="149"/>
      <c r="AM2887" s="149"/>
      <c r="AN2887" s="149"/>
      <c r="AO2887" s="128"/>
      <c r="AP2887" s="128"/>
      <c r="AQ2887" s="128"/>
      <c r="AR2887" s="128"/>
      <c r="AS2887" s="128"/>
      <c r="AT2887" s="128"/>
      <c r="AU2887" s="128"/>
      <c r="AV2887" s="128"/>
      <c r="AW2887" s="128"/>
      <c r="AX2887" s="128"/>
      <c r="AY2887" s="128"/>
      <c r="AZ2887" s="128"/>
      <c r="BA2887" s="128"/>
      <c r="BB2887" s="128"/>
      <c r="BC2887" s="128"/>
      <c r="BD2887" s="128"/>
      <c r="BE2887" s="128"/>
      <c r="BF2887" s="128"/>
      <c r="BG2887" s="128"/>
      <c r="BH2887" s="128"/>
      <c r="BI2887" s="128"/>
      <c r="BJ2887" s="128"/>
      <c r="BK2887" s="128"/>
      <c r="BL2887" s="128"/>
      <c r="BM2887" s="151"/>
      <c r="BN2887" s="128"/>
      <c r="BO2887" s="128"/>
      <c r="BP2887" s="128"/>
      <c r="BQ2887" s="128"/>
      <c r="BR2887" s="128"/>
      <c r="BS2887" s="128"/>
      <c r="BT2887" s="128"/>
      <c r="BU2887" s="128"/>
      <c r="BV2887" s="128"/>
      <c r="BW2887" s="128"/>
      <c r="BX2887" s="128"/>
      <c r="BY2887" s="128"/>
      <c r="BZ2887" s="128"/>
      <c r="CA2887" s="128"/>
      <c r="CB2887" s="128"/>
      <c r="CC2887" s="128"/>
      <c r="CD2887" s="128"/>
      <c r="CE2887" s="128"/>
      <c r="CF2887" s="128"/>
      <c r="CG2887" s="128"/>
      <c r="CI2887" s="128"/>
      <c r="CJ2887" s="128"/>
      <c r="CK2887" s="128"/>
      <c r="CL2887" s="128"/>
      <c r="CM2887" s="128"/>
      <c r="CN2887" s="128"/>
      <c r="CO2887" s="128"/>
      <c r="CP2887" s="128"/>
      <c r="CQ2887" s="128"/>
      <c r="CR2887" s="128"/>
      <c r="CS2887" s="128"/>
      <c r="CT2887" s="128"/>
      <c r="CU2887" s="128"/>
      <c r="CV2887" s="128"/>
      <c r="CW2887" s="128"/>
      <c r="CX2887" s="128"/>
      <c r="CY2887" s="128"/>
      <c r="CZ2887" s="165"/>
    </row>
    <row r="2888" spans="1:104">
      <c r="A2888" s="149"/>
      <c r="B2888" s="149"/>
      <c r="C2888" s="150"/>
      <c r="D2888" s="102"/>
      <c r="E2888" s="149"/>
      <c r="F2888" s="149"/>
      <c r="G2888" s="149"/>
      <c r="H2888" s="149"/>
      <c r="I2888" s="149"/>
      <c r="J2888" s="149"/>
      <c r="K2888" s="149"/>
      <c r="L2888" s="149"/>
      <c r="M2888" s="149"/>
      <c r="N2888" s="149"/>
      <c r="O2888" s="149"/>
      <c r="P2888" s="149"/>
      <c r="Q2888" s="149"/>
      <c r="R2888" s="149"/>
      <c r="S2888" s="149"/>
      <c r="T2888" s="149"/>
      <c r="U2888" s="149"/>
      <c r="V2888" s="149"/>
      <c r="W2888" s="149"/>
      <c r="X2888" s="149"/>
      <c r="Y2888" s="149"/>
      <c r="Z2888" s="149"/>
      <c r="AA2888" s="149"/>
      <c r="AB2888" s="149"/>
      <c r="AC2888" s="149"/>
      <c r="AD2888" s="149"/>
      <c r="AE2888" s="149"/>
      <c r="AF2888" s="149"/>
      <c r="AG2888" s="149"/>
      <c r="AH2888" s="149"/>
      <c r="AI2888" s="149"/>
      <c r="AJ2888" s="149"/>
      <c r="AK2888" s="149"/>
      <c r="AL2888" s="149"/>
      <c r="AM2888" s="149"/>
      <c r="AN2888" s="149"/>
      <c r="AO2888" s="128"/>
      <c r="AP2888" s="128"/>
      <c r="AQ2888" s="128"/>
      <c r="AR2888" s="128"/>
      <c r="AS2888" s="128"/>
      <c r="AT2888" s="128"/>
      <c r="AU2888" s="128"/>
      <c r="AV2888" s="128"/>
      <c r="AW2888" s="128"/>
      <c r="AX2888" s="128"/>
      <c r="AY2888" s="128"/>
      <c r="AZ2888" s="128"/>
      <c r="BA2888" s="128"/>
      <c r="BB2888" s="128"/>
      <c r="BC2888" s="128"/>
      <c r="BD2888" s="128"/>
      <c r="BE2888" s="128"/>
      <c r="BF2888" s="128"/>
      <c r="BG2888" s="128"/>
      <c r="BH2888" s="128"/>
      <c r="BI2888" s="128"/>
      <c r="BJ2888" s="128"/>
      <c r="BK2888" s="128"/>
      <c r="BL2888" s="128"/>
      <c r="BM2888" s="151"/>
      <c r="BN2888" s="128"/>
      <c r="BO2888" s="128"/>
      <c r="BP2888" s="128"/>
      <c r="BQ2888" s="128"/>
      <c r="BR2888" s="128"/>
      <c r="BS2888" s="128"/>
      <c r="BT2888" s="128"/>
      <c r="BU2888" s="128"/>
      <c r="BV2888" s="128"/>
      <c r="BW2888" s="128"/>
      <c r="BX2888" s="128"/>
      <c r="BY2888" s="128"/>
      <c r="BZ2888" s="128"/>
      <c r="CA2888" s="128"/>
      <c r="CB2888" s="128"/>
      <c r="CC2888" s="128"/>
      <c r="CD2888" s="128"/>
      <c r="CE2888" s="128"/>
      <c r="CF2888" s="128"/>
      <c r="CG2888" s="128"/>
      <c r="CI2888" s="128"/>
      <c r="CJ2888" s="128"/>
      <c r="CK2888" s="128"/>
      <c r="CL2888" s="128"/>
      <c r="CM2888" s="128"/>
      <c r="CN2888" s="128"/>
      <c r="CO2888" s="128"/>
      <c r="CP2888" s="128"/>
      <c r="CQ2888" s="128"/>
      <c r="CR2888" s="128"/>
      <c r="CS2888" s="128"/>
      <c r="CT2888" s="128"/>
      <c r="CU2888" s="128"/>
      <c r="CV2888" s="128"/>
      <c r="CW2888" s="128"/>
      <c r="CX2888" s="128"/>
      <c r="CY2888" s="128"/>
      <c r="CZ2888" s="165"/>
    </row>
    <row r="2889" spans="1:104">
      <c r="A2889" s="149"/>
      <c r="B2889" s="149"/>
      <c r="C2889" s="150"/>
      <c r="D2889" s="102"/>
      <c r="E2889" s="149"/>
      <c r="F2889" s="149"/>
      <c r="G2889" s="149"/>
      <c r="H2889" s="149"/>
      <c r="I2889" s="149"/>
      <c r="J2889" s="149"/>
      <c r="K2889" s="149"/>
      <c r="L2889" s="149"/>
      <c r="M2889" s="149"/>
      <c r="N2889" s="149"/>
      <c r="O2889" s="149"/>
      <c r="P2889" s="149"/>
      <c r="Q2889" s="149"/>
      <c r="R2889" s="149"/>
      <c r="S2889" s="149"/>
      <c r="T2889" s="149"/>
      <c r="U2889" s="149"/>
      <c r="V2889" s="149"/>
      <c r="W2889" s="149"/>
      <c r="X2889" s="149"/>
      <c r="Y2889" s="149"/>
      <c r="Z2889" s="149"/>
      <c r="AA2889" s="149"/>
      <c r="AB2889" s="149"/>
      <c r="AC2889" s="149"/>
      <c r="AD2889" s="149"/>
      <c r="AE2889" s="149"/>
      <c r="AF2889" s="149"/>
      <c r="AG2889" s="149"/>
      <c r="AH2889" s="149"/>
      <c r="AI2889" s="149"/>
      <c r="AJ2889" s="149"/>
      <c r="AK2889" s="149"/>
      <c r="AL2889" s="149"/>
      <c r="AM2889" s="149"/>
      <c r="AN2889" s="149"/>
      <c r="AO2889" s="128"/>
      <c r="AP2889" s="128"/>
      <c r="AQ2889" s="128"/>
      <c r="AR2889" s="128"/>
      <c r="AS2889" s="128"/>
      <c r="AT2889" s="128"/>
      <c r="AU2889" s="128"/>
      <c r="AV2889" s="128"/>
      <c r="AW2889" s="128"/>
      <c r="AX2889" s="128"/>
      <c r="AY2889" s="128"/>
      <c r="AZ2889" s="128"/>
      <c r="BA2889" s="128"/>
      <c r="BB2889" s="128"/>
      <c r="BC2889" s="128"/>
      <c r="BD2889" s="128"/>
      <c r="BE2889" s="128"/>
      <c r="BF2889" s="128"/>
      <c r="BG2889" s="128"/>
      <c r="BH2889" s="128"/>
      <c r="BI2889" s="128"/>
      <c r="BJ2889" s="128"/>
      <c r="BK2889" s="128"/>
      <c r="BL2889" s="128"/>
      <c r="BM2889" s="151"/>
      <c r="BN2889" s="128"/>
      <c r="BO2889" s="128"/>
      <c r="BP2889" s="128"/>
      <c r="BQ2889" s="128"/>
      <c r="BR2889" s="128"/>
      <c r="BS2889" s="128"/>
      <c r="BT2889" s="128"/>
      <c r="BU2889" s="128"/>
      <c r="BV2889" s="128"/>
      <c r="BW2889" s="128"/>
      <c r="BX2889" s="128"/>
      <c r="BY2889" s="128"/>
      <c r="BZ2889" s="128"/>
      <c r="CA2889" s="128"/>
      <c r="CB2889" s="128"/>
      <c r="CC2889" s="128"/>
      <c r="CD2889" s="128"/>
      <c r="CE2889" s="128"/>
      <c r="CF2889" s="128"/>
      <c r="CG2889" s="128"/>
      <c r="CI2889" s="128"/>
      <c r="CJ2889" s="128"/>
      <c r="CK2889" s="128"/>
      <c r="CL2889" s="128"/>
      <c r="CM2889" s="128"/>
      <c r="CN2889" s="128"/>
      <c r="CO2889" s="128"/>
      <c r="CP2889" s="128"/>
      <c r="CQ2889" s="128"/>
      <c r="CR2889" s="128"/>
      <c r="CS2889" s="128"/>
      <c r="CT2889" s="128"/>
      <c r="CU2889" s="128"/>
      <c r="CV2889" s="128"/>
      <c r="CW2889" s="128"/>
      <c r="CX2889" s="128"/>
      <c r="CY2889" s="128"/>
      <c r="CZ2889" s="165"/>
    </row>
    <row r="2890" spans="1:104">
      <c r="A2890" s="149"/>
      <c r="B2890" s="149"/>
      <c r="C2890" s="150"/>
      <c r="D2890" s="102"/>
      <c r="E2890" s="149"/>
      <c r="F2890" s="149"/>
      <c r="G2890" s="149"/>
      <c r="H2890" s="149"/>
      <c r="I2890" s="149"/>
      <c r="J2890" s="149"/>
      <c r="K2890" s="149"/>
      <c r="L2890" s="149"/>
      <c r="M2890" s="149"/>
      <c r="N2890" s="149"/>
      <c r="O2890" s="149"/>
      <c r="P2890" s="149"/>
      <c r="Q2890" s="149"/>
      <c r="R2890" s="149"/>
      <c r="S2890" s="149"/>
      <c r="T2890" s="149"/>
      <c r="U2890" s="149"/>
      <c r="V2890" s="149"/>
      <c r="W2890" s="149"/>
      <c r="X2890" s="149"/>
      <c r="Y2890" s="149"/>
      <c r="Z2890" s="149"/>
      <c r="AA2890" s="149"/>
      <c r="AB2890" s="149"/>
      <c r="AC2890" s="149"/>
      <c r="AD2890" s="149"/>
      <c r="AE2890" s="149"/>
      <c r="AF2890" s="149"/>
      <c r="AG2890" s="149"/>
      <c r="AH2890" s="149"/>
      <c r="AI2890" s="149"/>
      <c r="AJ2890" s="149"/>
      <c r="AK2890" s="149"/>
      <c r="AL2890" s="149"/>
      <c r="AM2890" s="149"/>
      <c r="AN2890" s="149"/>
      <c r="AO2890" s="128"/>
      <c r="AP2890" s="128"/>
      <c r="AQ2890" s="128"/>
      <c r="AR2890" s="128"/>
      <c r="AS2890" s="128"/>
      <c r="AT2890" s="128"/>
      <c r="AU2890" s="128"/>
      <c r="AV2890" s="128"/>
      <c r="AW2890" s="128"/>
      <c r="AX2890" s="128"/>
      <c r="AY2890" s="128"/>
      <c r="AZ2890" s="128"/>
      <c r="BA2890" s="128"/>
      <c r="BB2890" s="128"/>
      <c r="BC2890" s="128"/>
      <c r="BD2890" s="128"/>
      <c r="BE2890" s="128"/>
      <c r="BF2890" s="128"/>
      <c r="BG2890" s="128"/>
      <c r="BH2890" s="128"/>
      <c r="BI2890" s="128"/>
      <c r="BJ2890" s="128"/>
      <c r="BK2890" s="128"/>
      <c r="BL2890" s="128"/>
      <c r="BM2890" s="151"/>
      <c r="BN2890" s="128"/>
      <c r="BO2890" s="128"/>
      <c r="BP2890" s="128"/>
      <c r="BQ2890" s="128"/>
      <c r="BR2890" s="128"/>
      <c r="BS2890" s="128"/>
      <c r="BT2890" s="128"/>
      <c r="BU2890" s="128"/>
      <c r="BV2890" s="128"/>
      <c r="BW2890" s="128"/>
      <c r="BX2890" s="128"/>
      <c r="BY2890" s="128"/>
      <c r="BZ2890" s="128"/>
      <c r="CA2890" s="128"/>
      <c r="CB2890" s="128"/>
      <c r="CC2890" s="128"/>
      <c r="CD2890" s="128"/>
      <c r="CE2890" s="128"/>
      <c r="CF2890" s="128"/>
      <c r="CG2890" s="128"/>
      <c r="CI2890" s="128"/>
      <c r="CJ2890" s="128"/>
      <c r="CK2890" s="128"/>
      <c r="CL2890" s="128"/>
      <c r="CM2890" s="128"/>
      <c r="CN2890" s="128"/>
      <c r="CO2890" s="128"/>
      <c r="CP2890" s="128"/>
      <c r="CQ2890" s="128"/>
      <c r="CR2890" s="128"/>
      <c r="CS2890" s="128"/>
      <c r="CT2890" s="128"/>
      <c r="CU2890" s="128"/>
      <c r="CV2890" s="128"/>
      <c r="CW2890" s="128"/>
      <c r="CX2890" s="128"/>
      <c r="CY2890" s="128"/>
      <c r="CZ2890" s="165"/>
    </row>
    <row r="2891" spans="1:104">
      <c r="A2891" s="149"/>
      <c r="B2891" s="149"/>
      <c r="C2891" s="150"/>
      <c r="D2891" s="102"/>
      <c r="E2891" s="149"/>
      <c r="F2891" s="149"/>
      <c r="G2891" s="149"/>
      <c r="H2891" s="149"/>
      <c r="I2891" s="149"/>
      <c r="J2891" s="149"/>
      <c r="K2891" s="149"/>
      <c r="L2891" s="149"/>
      <c r="M2891" s="149"/>
      <c r="N2891" s="149"/>
      <c r="O2891" s="149"/>
      <c r="P2891" s="149"/>
      <c r="Q2891" s="149"/>
      <c r="R2891" s="149"/>
      <c r="S2891" s="149"/>
      <c r="T2891" s="149"/>
      <c r="U2891" s="149"/>
      <c r="V2891" s="149"/>
      <c r="W2891" s="149"/>
      <c r="X2891" s="149"/>
      <c r="Y2891" s="149"/>
      <c r="Z2891" s="149"/>
      <c r="AA2891" s="149"/>
      <c r="AB2891" s="149"/>
      <c r="AC2891" s="149"/>
      <c r="AD2891" s="149"/>
      <c r="AE2891" s="149"/>
      <c r="AF2891" s="149"/>
      <c r="AG2891" s="149"/>
      <c r="AH2891" s="149"/>
      <c r="AI2891" s="149"/>
      <c r="AJ2891" s="149"/>
      <c r="AK2891" s="149"/>
      <c r="AL2891" s="149"/>
      <c r="AM2891" s="149"/>
      <c r="AN2891" s="149"/>
      <c r="AO2891" s="128"/>
      <c r="AP2891" s="128"/>
      <c r="AQ2891" s="128"/>
      <c r="AR2891" s="128"/>
      <c r="AS2891" s="128"/>
      <c r="AT2891" s="128"/>
      <c r="AU2891" s="128"/>
      <c r="AV2891" s="128"/>
      <c r="AW2891" s="128"/>
      <c r="AX2891" s="128"/>
      <c r="AY2891" s="128"/>
      <c r="AZ2891" s="128"/>
      <c r="BA2891" s="128"/>
      <c r="BB2891" s="128"/>
      <c r="BC2891" s="128"/>
      <c r="BD2891" s="128"/>
      <c r="BE2891" s="128"/>
      <c r="BF2891" s="128"/>
      <c r="BG2891" s="128"/>
      <c r="BH2891" s="128"/>
      <c r="BI2891" s="128"/>
      <c r="BJ2891" s="128"/>
      <c r="BK2891" s="128"/>
      <c r="BL2891" s="128"/>
      <c r="BM2891" s="151"/>
      <c r="BN2891" s="128"/>
      <c r="BO2891" s="128"/>
      <c r="BP2891" s="128"/>
      <c r="BQ2891" s="128"/>
      <c r="BR2891" s="128"/>
      <c r="BS2891" s="128"/>
      <c r="BT2891" s="128"/>
      <c r="BU2891" s="128"/>
      <c r="BV2891" s="128"/>
      <c r="BW2891" s="128"/>
      <c r="BX2891" s="128"/>
      <c r="BY2891" s="128"/>
      <c r="BZ2891" s="128"/>
      <c r="CA2891" s="128"/>
      <c r="CB2891" s="128"/>
      <c r="CC2891" s="128"/>
      <c r="CD2891" s="128"/>
      <c r="CE2891" s="128"/>
      <c r="CF2891" s="128"/>
      <c r="CG2891" s="128"/>
      <c r="CI2891" s="128"/>
      <c r="CJ2891" s="128"/>
      <c r="CK2891" s="128"/>
      <c r="CL2891" s="128"/>
      <c r="CM2891" s="128"/>
      <c r="CN2891" s="128"/>
      <c r="CO2891" s="128"/>
      <c r="CP2891" s="128"/>
      <c r="CQ2891" s="128"/>
      <c r="CR2891" s="128"/>
      <c r="CS2891" s="128"/>
      <c r="CT2891" s="128"/>
      <c r="CU2891" s="128"/>
      <c r="CV2891" s="128"/>
      <c r="CW2891" s="128"/>
      <c r="CX2891" s="128"/>
      <c r="CY2891" s="128"/>
      <c r="CZ2891" s="165"/>
    </row>
    <row r="2892" spans="1:104">
      <c r="A2892" s="149"/>
      <c r="B2892" s="149"/>
      <c r="C2892" s="150"/>
      <c r="D2892" s="102"/>
      <c r="E2892" s="149"/>
      <c r="F2892" s="149"/>
      <c r="G2892" s="149"/>
      <c r="H2892" s="149"/>
      <c r="I2892" s="149"/>
      <c r="J2892" s="149"/>
      <c r="K2892" s="149"/>
      <c r="L2892" s="149"/>
      <c r="M2892" s="149"/>
      <c r="N2892" s="149"/>
      <c r="O2892" s="149"/>
      <c r="P2892" s="149"/>
      <c r="Q2892" s="149"/>
      <c r="R2892" s="149"/>
      <c r="S2892" s="149"/>
      <c r="T2892" s="149"/>
      <c r="U2892" s="149"/>
      <c r="V2892" s="149"/>
      <c r="W2892" s="149"/>
      <c r="X2892" s="149"/>
      <c r="Y2892" s="149"/>
      <c r="Z2892" s="149"/>
      <c r="AA2892" s="149"/>
      <c r="AB2892" s="149"/>
      <c r="AC2892" s="149"/>
      <c r="AD2892" s="149"/>
      <c r="AE2892" s="149"/>
      <c r="AF2892" s="149"/>
      <c r="AG2892" s="149"/>
      <c r="AH2892" s="149"/>
      <c r="AI2892" s="149"/>
      <c r="AJ2892" s="149"/>
      <c r="AK2892" s="149"/>
      <c r="AL2892" s="149"/>
      <c r="AM2892" s="149"/>
      <c r="AN2892" s="149"/>
      <c r="AO2892" s="128"/>
      <c r="AP2892" s="128"/>
      <c r="AQ2892" s="128"/>
      <c r="AR2892" s="128"/>
      <c r="AS2892" s="128"/>
      <c r="AT2892" s="128"/>
      <c r="AU2892" s="128"/>
      <c r="AV2892" s="128"/>
      <c r="AW2892" s="128"/>
      <c r="AX2892" s="128"/>
      <c r="AY2892" s="128"/>
      <c r="AZ2892" s="128"/>
      <c r="BA2892" s="128"/>
      <c r="BB2892" s="128"/>
      <c r="BC2892" s="128"/>
      <c r="BD2892" s="128"/>
      <c r="BE2892" s="128"/>
      <c r="BF2892" s="128"/>
      <c r="BG2892" s="128"/>
      <c r="BH2892" s="128"/>
      <c r="BI2892" s="128"/>
      <c r="BJ2892" s="128"/>
      <c r="BK2892" s="128"/>
      <c r="BL2892" s="128"/>
      <c r="BM2892" s="151"/>
      <c r="BN2892" s="128"/>
      <c r="BO2892" s="128"/>
      <c r="BP2892" s="128"/>
      <c r="BQ2892" s="128"/>
      <c r="BR2892" s="128"/>
      <c r="BS2892" s="128"/>
      <c r="BT2892" s="128"/>
      <c r="BU2892" s="128"/>
      <c r="BV2892" s="128"/>
      <c r="BW2892" s="128"/>
      <c r="BX2892" s="128"/>
      <c r="BY2892" s="128"/>
      <c r="BZ2892" s="128"/>
      <c r="CA2892" s="128"/>
      <c r="CB2892" s="128"/>
      <c r="CC2892" s="128"/>
      <c r="CD2892" s="128"/>
      <c r="CE2892" s="128"/>
      <c r="CF2892" s="128"/>
      <c r="CG2892" s="128"/>
      <c r="CI2892" s="128"/>
      <c r="CJ2892" s="128"/>
      <c r="CK2892" s="128"/>
      <c r="CL2892" s="128"/>
      <c r="CM2892" s="128"/>
      <c r="CN2892" s="128"/>
      <c r="CO2892" s="128"/>
      <c r="CP2892" s="128"/>
      <c r="CQ2892" s="128"/>
      <c r="CR2892" s="128"/>
      <c r="CS2892" s="128"/>
      <c r="CT2892" s="128"/>
      <c r="CU2892" s="128"/>
      <c r="CV2892" s="128"/>
      <c r="CW2892" s="128"/>
      <c r="CX2892" s="128"/>
      <c r="CY2892" s="128"/>
      <c r="CZ2892" s="165"/>
    </row>
    <row r="2893" spans="1:104">
      <c r="A2893" s="149"/>
      <c r="B2893" s="149"/>
      <c r="C2893" s="150"/>
      <c r="D2893" s="102"/>
      <c r="E2893" s="149"/>
      <c r="F2893" s="149"/>
      <c r="G2893" s="149"/>
      <c r="H2893" s="149"/>
      <c r="I2893" s="149"/>
      <c r="J2893" s="149"/>
      <c r="K2893" s="149"/>
      <c r="L2893" s="149"/>
      <c r="M2893" s="149"/>
      <c r="N2893" s="149"/>
      <c r="O2893" s="149"/>
      <c r="P2893" s="149"/>
      <c r="Q2893" s="149"/>
      <c r="R2893" s="149"/>
      <c r="S2893" s="149"/>
      <c r="T2893" s="149"/>
      <c r="U2893" s="149"/>
      <c r="V2893" s="149"/>
      <c r="W2893" s="149"/>
      <c r="X2893" s="149"/>
      <c r="Y2893" s="149"/>
      <c r="Z2893" s="149"/>
      <c r="AA2893" s="149"/>
      <c r="AB2893" s="149"/>
      <c r="AC2893" s="149"/>
      <c r="AD2893" s="149"/>
      <c r="AE2893" s="149"/>
      <c r="AF2893" s="149"/>
      <c r="AG2893" s="149"/>
      <c r="AH2893" s="149"/>
      <c r="AI2893" s="149"/>
      <c r="AJ2893" s="149"/>
      <c r="AK2893" s="149"/>
      <c r="AL2893" s="149"/>
      <c r="AM2893" s="149"/>
      <c r="AN2893" s="149"/>
      <c r="AO2893" s="128"/>
      <c r="AP2893" s="128"/>
      <c r="AQ2893" s="128"/>
      <c r="AR2893" s="128"/>
      <c r="AS2893" s="128"/>
      <c r="AT2893" s="128"/>
      <c r="AU2893" s="128"/>
      <c r="AV2893" s="128"/>
      <c r="AW2893" s="128"/>
      <c r="AX2893" s="128"/>
      <c r="AY2893" s="128"/>
      <c r="AZ2893" s="128"/>
      <c r="BA2893" s="128"/>
      <c r="BB2893" s="128"/>
      <c r="BC2893" s="128"/>
      <c r="BD2893" s="128"/>
      <c r="BE2893" s="128"/>
      <c r="BF2893" s="128"/>
      <c r="BG2893" s="128"/>
      <c r="BH2893" s="128"/>
      <c r="BI2893" s="128"/>
      <c r="BJ2893" s="128"/>
      <c r="BK2893" s="128"/>
      <c r="BL2893" s="128"/>
      <c r="BM2893" s="151"/>
      <c r="BN2893" s="128"/>
      <c r="BO2893" s="128"/>
      <c r="BP2893" s="128"/>
      <c r="BQ2893" s="128"/>
      <c r="BR2893" s="128"/>
      <c r="BS2893" s="128"/>
      <c r="BT2893" s="128"/>
      <c r="BU2893" s="128"/>
      <c r="BV2893" s="128"/>
      <c r="BW2893" s="128"/>
      <c r="BX2893" s="128"/>
      <c r="BY2893" s="128"/>
      <c r="BZ2893" s="128"/>
      <c r="CA2893" s="128"/>
      <c r="CB2893" s="128"/>
      <c r="CC2893" s="128"/>
      <c r="CD2893" s="128"/>
      <c r="CE2893" s="128"/>
      <c r="CF2893" s="128"/>
      <c r="CG2893" s="128"/>
      <c r="CI2893" s="128"/>
      <c r="CJ2893" s="128"/>
      <c r="CK2893" s="128"/>
      <c r="CL2893" s="128"/>
      <c r="CM2893" s="128"/>
      <c r="CN2893" s="128"/>
      <c r="CO2893" s="128"/>
      <c r="CP2893" s="128"/>
      <c r="CQ2893" s="128"/>
      <c r="CR2893" s="128"/>
      <c r="CS2893" s="128"/>
      <c r="CT2893" s="128"/>
      <c r="CU2893" s="128"/>
      <c r="CV2893" s="128"/>
      <c r="CW2893" s="128"/>
      <c r="CX2893" s="128"/>
      <c r="CY2893" s="128"/>
      <c r="CZ2893" s="165"/>
    </row>
    <row r="2894" spans="1:104">
      <c r="A2894" s="149"/>
      <c r="B2894" s="149"/>
      <c r="C2894" s="150"/>
      <c r="D2894" s="102"/>
      <c r="E2894" s="149"/>
      <c r="F2894" s="149"/>
      <c r="G2894" s="149"/>
      <c r="H2894" s="149"/>
      <c r="I2894" s="149"/>
      <c r="J2894" s="149"/>
      <c r="K2894" s="149"/>
      <c r="L2894" s="149"/>
      <c r="M2894" s="149"/>
      <c r="N2894" s="149"/>
      <c r="O2894" s="149"/>
      <c r="P2894" s="149"/>
      <c r="Q2894" s="149"/>
      <c r="R2894" s="149"/>
      <c r="S2894" s="149"/>
      <c r="T2894" s="149"/>
      <c r="U2894" s="149"/>
      <c r="V2894" s="149"/>
      <c r="W2894" s="149"/>
      <c r="X2894" s="149"/>
      <c r="Y2894" s="149"/>
      <c r="Z2894" s="149"/>
      <c r="AA2894" s="149"/>
      <c r="AB2894" s="149"/>
      <c r="AC2894" s="149"/>
      <c r="AD2894" s="149"/>
      <c r="AE2894" s="149"/>
      <c r="AF2894" s="149"/>
      <c r="AG2894" s="149"/>
      <c r="AH2894" s="149"/>
      <c r="AI2894" s="149"/>
      <c r="AJ2894" s="149"/>
      <c r="AK2894" s="149"/>
      <c r="AL2894" s="149"/>
      <c r="AM2894" s="149"/>
      <c r="AN2894" s="149"/>
      <c r="AO2894" s="128"/>
      <c r="AP2894" s="128"/>
      <c r="AQ2894" s="128"/>
      <c r="AR2894" s="128"/>
      <c r="AS2894" s="128"/>
      <c r="AT2894" s="128"/>
      <c r="AU2894" s="128"/>
      <c r="AV2894" s="128"/>
      <c r="AW2894" s="128"/>
      <c r="AX2894" s="128"/>
      <c r="AY2894" s="128"/>
      <c r="AZ2894" s="128"/>
      <c r="BA2894" s="128"/>
      <c r="BB2894" s="128"/>
      <c r="BC2894" s="128"/>
      <c r="BD2894" s="128"/>
      <c r="BE2894" s="128"/>
      <c r="BF2894" s="128"/>
      <c r="BG2894" s="128"/>
      <c r="BH2894" s="128"/>
      <c r="BI2894" s="128"/>
      <c r="BJ2894" s="128"/>
      <c r="BK2894" s="128"/>
      <c r="BL2894" s="128"/>
      <c r="BM2894" s="151"/>
      <c r="BN2894" s="128"/>
      <c r="BO2894" s="128"/>
      <c r="BP2894" s="128"/>
      <c r="BQ2894" s="128"/>
      <c r="BR2894" s="128"/>
      <c r="BS2894" s="128"/>
      <c r="BT2894" s="128"/>
      <c r="BU2894" s="128"/>
      <c r="BV2894" s="128"/>
      <c r="BW2894" s="128"/>
      <c r="BX2894" s="128"/>
      <c r="BY2894" s="128"/>
      <c r="BZ2894" s="128"/>
      <c r="CA2894" s="128"/>
      <c r="CB2894" s="128"/>
      <c r="CC2894" s="128"/>
      <c r="CD2894" s="128"/>
      <c r="CE2894" s="128"/>
      <c r="CF2894" s="128"/>
      <c r="CG2894" s="128"/>
      <c r="CI2894" s="128"/>
      <c r="CJ2894" s="128"/>
      <c r="CK2894" s="128"/>
      <c r="CL2894" s="128"/>
      <c r="CM2894" s="128"/>
      <c r="CN2894" s="128"/>
      <c r="CO2894" s="128"/>
      <c r="CP2894" s="128"/>
      <c r="CQ2894" s="128"/>
      <c r="CR2894" s="128"/>
      <c r="CS2894" s="128"/>
      <c r="CT2894" s="128"/>
      <c r="CU2894" s="128"/>
      <c r="CV2894" s="128"/>
      <c r="CW2894" s="128"/>
      <c r="CX2894" s="128"/>
      <c r="CY2894" s="128"/>
      <c r="CZ2894" s="165"/>
    </row>
    <row r="2895" spans="1:104">
      <c r="A2895" s="149"/>
      <c r="B2895" s="149"/>
      <c r="C2895" s="150"/>
      <c r="D2895" s="102"/>
      <c r="E2895" s="149"/>
      <c r="F2895" s="149"/>
      <c r="G2895" s="149"/>
      <c r="H2895" s="149"/>
      <c r="I2895" s="149"/>
      <c r="J2895" s="149"/>
      <c r="K2895" s="149"/>
      <c r="L2895" s="149"/>
      <c r="M2895" s="149"/>
      <c r="N2895" s="149"/>
      <c r="O2895" s="149"/>
      <c r="P2895" s="149"/>
      <c r="Q2895" s="149"/>
      <c r="R2895" s="149"/>
      <c r="S2895" s="149"/>
      <c r="T2895" s="149"/>
      <c r="U2895" s="149"/>
      <c r="V2895" s="149"/>
      <c r="W2895" s="149"/>
      <c r="X2895" s="149"/>
      <c r="Y2895" s="149"/>
      <c r="Z2895" s="149"/>
      <c r="AA2895" s="149"/>
      <c r="AB2895" s="149"/>
      <c r="AC2895" s="149"/>
      <c r="AD2895" s="149"/>
      <c r="AE2895" s="149"/>
      <c r="AF2895" s="149"/>
      <c r="AG2895" s="149"/>
      <c r="AH2895" s="149"/>
      <c r="AI2895" s="149"/>
      <c r="AJ2895" s="149"/>
      <c r="AK2895" s="149"/>
      <c r="AL2895" s="149"/>
      <c r="AM2895" s="149"/>
      <c r="AN2895" s="149"/>
      <c r="AO2895" s="128"/>
      <c r="AP2895" s="128"/>
      <c r="AQ2895" s="128"/>
      <c r="AR2895" s="128"/>
      <c r="AS2895" s="128"/>
      <c r="AT2895" s="128"/>
      <c r="AU2895" s="128"/>
      <c r="AV2895" s="128"/>
      <c r="AW2895" s="128"/>
      <c r="AX2895" s="128"/>
      <c r="AY2895" s="128"/>
      <c r="AZ2895" s="128"/>
      <c r="BA2895" s="128"/>
      <c r="BB2895" s="128"/>
      <c r="BC2895" s="128"/>
      <c r="BD2895" s="128"/>
      <c r="BE2895" s="128"/>
      <c r="BF2895" s="128"/>
      <c r="BG2895" s="128"/>
      <c r="BH2895" s="128"/>
      <c r="BI2895" s="128"/>
      <c r="BJ2895" s="128"/>
      <c r="BK2895" s="128"/>
      <c r="BL2895" s="128"/>
      <c r="BM2895" s="151"/>
      <c r="BN2895" s="128"/>
      <c r="BO2895" s="128"/>
      <c r="BP2895" s="128"/>
      <c r="BQ2895" s="128"/>
      <c r="BR2895" s="128"/>
      <c r="BS2895" s="128"/>
      <c r="BT2895" s="128"/>
      <c r="BU2895" s="128"/>
      <c r="BV2895" s="128"/>
      <c r="BW2895" s="128"/>
      <c r="BX2895" s="128"/>
      <c r="BY2895" s="128"/>
      <c r="BZ2895" s="128"/>
      <c r="CA2895" s="128"/>
      <c r="CB2895" s="128"/>
      <c r="CC2895" s="128"/>
      <c r="CD2895" s="128"/>
      <c r="CE2895" s="128"/>
      <c r="CF2895" s="128"/>
      <c r="CG2895" s="128"/>
      <c r="CI2895" s="128"/>
      <c r="CJ2895" s="128"/>
      <c r="CK2895" s="128"/>
      <c r="CL2895" s="128"/>
      <c r="CM2895" s="128"/>
      <c r="CN2895" s="128"/>
      <c r="CO2895" s="128"/>
      <c r="CP2895" s="128"/>
      <c r="CQ2895" s="128"/>
      <c r="CR2895" s="128"/>
      <c r="CS2895" s="128"/>
      <c r="CT2895" s="128"/>
      <c r="CU2895" s="128"/>
      <c r="CV2895" s="128"/>
      <c r="CW2895" s="128"/>
      <c r="CX2895" s="128"/>
      <c r="CY2895" s="128"/>
      <c r="CZ2895" s="165"/>
    </row>
    <row r="2896" spans="1:104">
      <c r="A2896" s="149"/>
      <c r="B2896" s="149"/>
      <c r="C2896" s="150"/>
      <c r="D2896" s="102"/>
      <c r="E2896" s="149"/>
      <c r="F2896" s="149"/>
      <c r="G2896" s="149"/>
      <c r="H2896" s="149"/>
      <c r="I2896" s="149"/>
      <c r="J2896" s="149"/>
      <c r="K2896" s="149"/>
      <c r="L2896" s="149"/>
      <c r="M2896" s="149"/>
      <c r="N2896" s="149"/>
      <c r="O2896" s="149"/>
      <c r="P2896" s="149"/>
      <c r="Q2896" s="149"/>
      <c r="R2896" s="149"/>
      <c r="S2896" s="149"/>
      <c r="T2896" s="149"/>
      <c r="U2896" s="149"/>
      <c r="V2896" s="149"/>
      <c r="W2896" s="149"/>
      <c r="X2896" s="149"/>
      <c r="Y2896" s="149"/>
      <c r="Z2896" s="149"/>
      <c r="AA2896" s="149"/>
      <c r="AB2896" s="149"/>
      <c r="AC2896" s="149"/>
      <c r="AD2896" s="149"/>
      <c r="AE2896" s="149"/>
      <c r="AF2896" s="149"/>
      <c r="AG2896" s="149"/>
      <c r="AH2896" s="149"/>
      <c r="AI2896" s="149"/>
      <c r="AJ2896" s="149"/>
      <c r="AK2896" s="149"/>
      <c r="AL2896" s="149"/>
      <c r="AM2896" s="149"/>
      <c r="AN2896" s="149"/>
      <c r="AO2896" s="128"/>
      <c r="AP2896" s="128"/>
      <c r="AQ2896" s="128"/>
      <c r="AR2896" s="128"/>
      <c r="AS2896" s="128"/>
      <c r="AT2896" s="128"/>
      <c r="AU2896" s="128"/>
      <c r="AV2896" s="128"/>
      <c r="AW2896" s="128"/>
      <c r="AX2896" s="128"/>
      <c r="AY2896" s="128"/>
      <c r="AZ2896" s="128"/>
      <c r="BA2896" s="128"/>
      <c r="BB2896" s="128"/>
      <c r="BC2896" s="128"/>
      <c r="BD2896" s="128"/>
      <c r="BE2896" s="128"/>
      <c r="BF2896" s="128"/>
      <c r="BG2896" s="128"/>
      <c r="BH2896" s="128"/>
      <c r="BI2896" s="128"/>
      <c r="BJ2896" s="128"/>
      <c r="BK2896" s="128"/>
      <c r="BL2896" s="128"/>
      <c r="BM2896" s="151"/>
      <c r="BN2896" s="128"/>
      <c r="BO2896" s="128"/>
      <c r="BP2896" s="128"/>
      <c r="BQ2896" s="128"/>
      <c r="BR2896" s="128"/>
      <c r="BS2896" s="128"/>
      <c r="BT2896" s="128"/>
      <c r="BU2896" s="128"/>
      <c r="BV2896" s="128"/>
      <c r="BW2896" s="128"/>
      <c r="BX2896" s="128"/>
      <c r="BY2896" s="128"/>
      <c r="BZ2896" s="128"/>
      <c r="CA2896" s="128"/>
      <c r="CB2896" s="128"/>
      <c r="CC2896" s="128"/>
      <c r="CD2896" s="128"/>
      <c r="CE2896" s="128"/>
      <c r="CF2896" s="128"/>
      <c r="CG2896" s="128"/>
      <c r="CI2896" s="128"/>
      <c r="CJ2896" s="128"/>
      <c r="CK2896" s="128"/>
      <c r="CL2896" s="128"/>
      <c r="CM2896" s="128"/>
      <c r="CN2896" s="128"/>
      <c r="CO2896" s="128"/>
      <c r="CP2896" s="128"/>
      <c r="CQ2896" s="128"/>
      <c r="CR2896" s="128"/>
      <c r="CS2896" s="128"/>
      <c r="CT2896" s="128"/>
      <c r="CU2896" s="128"/>
      <c r="CV2896" s="128"/>
      <c r="CW2896" s="128"/>
      <c r="CX2896" s="128"/>
      <c r="CY2896" s="128"/>
      <c r="CZ2896" s="165"/>
    </row>
    <row r="2897" spans="1:104">
      <c r="A2897" s="149"/>
      <c r="B2897" s="149"/>
      <c r="C2897" s="150"/>
      <c r="D2897" s="102"/>
      <c r="E2897" s="149"/>
      <c r="F2897" s="149"/>
      <c r="G2897" s="149"/>
      <c r="H2897" s="149"/>
      <c r="I2897" s="149"/>
      <c r="J2897" s="149"/>
      <c r="K2897" s="149"/>
      <c r="L2897" s="149"/>
      <c r="M2897" s="149"/>
      <c r="N2897" s="149"/>
      <c r="O2897" s="149"/>
      <c r="P2897" s="149"/>
      <c r="Q2897" s="149"/>
      <c r="R2897" s="149"/>
      <c r="S2897" s="149"/>
      <c r="T2897" s="149"/>
      <c r="U2897" s="149"/>
      <c r="V2897" s="149"/>
      <c r="W2897" s="149"/>
      <c r="X2897" s="149"/>
      <c r="Y2897" s="149"/>
      <c r="Z2897" s="149"/>
      <c r="AA2897" s="149"/>
      <c r="AB2897" s="149"/>
      <c r="AC2897" s="149"/>
      <c r="AD2897" s="149"/>
      <c r="AE2897" s="149"/>
      <c r="AF2897" s="149"/>
      <c r="AG2897" s="149"/>
      <c r="AH2897" s="149"/>
      <c r="AI2897" s="149"/>
      <c r="AJ2897" s="149"/>
      <c r="AK2897" s="149"/>
      <c r="AL2897" s="149"/>
      <c r="AM2897" s="149"/>
      <c r="AN2897" s="149"/>
      <c r="AO2897" s="128"/>
      <c r="AP2897" s="128"/>
      <c r="AQ2897" s="128"/>
      <c r="AR2897" s="128"/>
      <c r="AS2897" s="128"/>
      <c r="AT2897" s="128"/>
      <c r="AU2897" s="128"/>
      <c r="AV2897" s="128"/>
      <c r="AW2897" s="128"/>
      <c r="AX2897" s="128"/>
      <c r="AY2897" s="128"/>
      <c r="AZ2897" s="128"/>
      <c r="BA2897" s="128"/>
      <c r="BB2897" s="128"/>
      <c r="BC2897" s="128"/>
      <c r="BD2897" s="128"/>
      <c r="BE2897" s="128"/>
      <c r="BF2897" s="128"/>
      <c r="BG2897" s="128"/>
      <c r="BH2897" s="128"/>
      <c r="BI2897" s="128"/>
      <c r="BJ2897" s="128"/>
      <c r="BK2897" s="128"/>
      <c r="BL2897" s="128"/>
      <c r="BM2897" s="151"/>
      <c r="BN2897" s="128"/>
      <c r="BO2897" s="128"/>
      <c r="BP2897" s="128"/>
      <c r="BQ2897" s="128"/>
      <c r="BR2897" s="128"/>
      <c r="BS2897" s="128"/>
      <c r="BT2897" s="128"/>
      <c r="BU2897" s="128"/>
      <c r="BV2897" s="128"/>
      <c r="BW2897" s="128"/>
      <c r="BX2897" s="128"/>
      <c r="BY2897" s="128"/>
      <c r="BZ2897" s="128"/>
      <c r="CA2897" s="128"/>
      <c r="CB2897" s="128"/>
      <c r="CC2897" s="128"/>
      <c r="CD2897" s="128"/>
      <c r="CE2897" s="128"/>
      <c r="CF2897" s="128"/>
      <c r="CG2897" s="128"/>
      <c r="CI2897" s="128"/>
      <c r="CJ2897" s="128"/>
      <c r="CK2897" s="128"/>
      <c r="CL2897" s="128"/>
      <c r="CM2897" s="128"/>
      <c r="CN2897" s="128"/>
      <c r="CO2897" s="128"/>
      <c r="CP2897" s="128"/>
      <c r="CQ2897" s="128"/>
      <c r="CR2897" s="128"/>
      <c r="CS2897" s="128"/>
      <c r="CT2897" s="128"/>
      <c r="CU2897" s="128"/>
      <c r="CV2897" s="128"/>
      <c r="CW2897" s="128"/>
      <c r="CX2897" s="128"/>
      <c r="CY2897" s="128"/>
      <c r="CZ2897" s="165"/>
    </row>
    <row r="2898" spans="1:104">
      <c r="A2898" s="149"/>
      <c r="B2898" s="149"/>
      <c r="C2898" s="150"/>
      <c r="D2898" s="102"/>
      <c r="E2898" s="149"/>
      <c r="F2898" s="149"/>
      <c r="G2898" s="149"/>
      <c r="H2898" s="149"/>
      <c r="I2898" s="149"/>
      <c r="J2898" s="149"/>
      <c r="K2898" s="149"/>
      <c r="L2898" s="149"/>
      <c r="M2898" s="149"/>
      <c r="N2898" s="149"/>
      <c r="O2898" s="149"/>
      <c r="P2898" s="149"/>
      <c r="Q2898" s="149"/>
      <c r="R2898" s="149"/>
      <c r="S2898" s="149"/>
      <c r="T2898" s="149"/>
      <c r="U2898" s="149"/>
      <c r="V2898" s="149"/>
      <c r="W2898" s="149"/>
      <c r="X2898" s="149"/>
      <c r="Y2898" s="149"/>
      <c r="Z2898" s="149"/>
      <c r="AA2898" s="149"/>
      <c r="AB2898" s="149"/>
      <c r="AC2898" s="149"/>
      <c r="AD2898" s="149"/>
      <c r="AE2898" s="149"/>
      <c r="AF2898" s="149"/>
      <c r="AG2898" s="149"/>
      <c r="AH2898" s="149"/>
      <c r="AI2898" s="149"/>
      <c r="AJ2898" s="149"/>
      <c r="AK2898" s="149"/>
      <c r="AL2898" s="149"/>
      <c r="AM2898" s="149"/>
      <c r="AN2898" s="149"/>
      <c r="AO2898" s="128"/>
      <c r="AP2898" s="128"/>
      <c r="AQ2898" s="128"/>
      <c r="AR2898" s="128"/>
      <c r="AS2898" s="128"/>
      <c r="AT2898" s="128"/>
      <c r="AU2898" s="128"/>
      <c r="AV2898" s="128"/>
      <c r="AW2898" s="128"/>
      <c r="AX2898" s="128"/>
      <c r="AY2898" s="128"/>
      <c r="AZ2898" s="128"/>
      <c r="BA2898" s="128"/>
      <c r="BB2898" s="128"/>
      <c r="BC2898" s="128"/>
      <c r="BD2898" s="128"/>
      <c r="BE2898" s="128"/>
      <c r="BF2898" s="128"/>
      <c r="BG2898" s="128"/>
      <c r="BH2898" s="128"/>
      <c r="BI2898" s="128"/>
      <c r="BJ2898" s="128"/>
      <c r="BK2898" s="128"/>
      <c r="BL2898" s="128"/>
      <c r="BM2898" s="151"/>
      <c r="BN2898" s="128"/>
      <c r="BO2898" s="128"/>
      <c r="BP2898" s="128"/>
      <c r="BQ2898" s="128"/>
      <c r="BR2898" s="128"/>
      <c r="BS2898" s="128"/>
      <c r="BT2898" s="128"/>
      <c r="BU2898" s="128"/>
      <c r="BV2898" s="128"/>
      <c r="BW2898" s="128"/>
      <c r="BX2898" s="128"/>
      <c r="BY2898" s="128"/>
      <c r="BZ2898" s="128"/>
      <c r="CA2898" s="128"/>
      <c r="CB2898" s="128"/>
      <c r="CC2898" s="128"/>
      <c r="CD2898" s="128"/>
      <c r="CE2898" s="128"/>
      <c r="CF2898" s="128"/>
      <c r="CG2898" s="128"/>
      <c r="CI2898" s="128"/>
      <c r="CJ2898" s="128"/>
      <c r="CK2898" s="128"/>
      <c r="CL2898" s="128"/>
      <c r="CM2898" s="128"/>
      <c r="CN2898" s="128"/>
      <c r="CO2898" s="128"/>
      <c r="CP2898" s="128"/>
      <c r="CQ2898" s="128"/>
      <c r="CR2898" s="128"/>
      <c r="CS2898" s="128"/>
      <c r="CT2898" s="128"/>
      <c r="CU2898" s="128"/>
      <c r="CV2898" s="128"/>
      <c r="CW2898" s="128"/>
      <c r="CX2898" s="128"/>
      <c r="CY2898" s="128"/>
      <c r="CZ2898" s="165"/>
    </row>
    <row r="2899" spans="1:104">
      <c r="A2899" s="149"/>
      <c r="B2899" s="149"/>
      <c r="C2899" s="150"/>
      <c r="D2899" s="102"/>
      <c r="E2899" s="149"/>
      <c r="F2899" s="149"/>
      <c r="G2899" s="149"/>
      <c r="H2899" s="149"/>
      <c r="I2899" s="149"/>
      <c r="J2899" s="149"/>
      <c r="K2899" s="149"/>
      <c r="L2899" s="149"/>
      <c r="M2899" s="149"/>
      <c r="N2899" s="149"/>
      <c r="O2899" s="149"/>
      <c r="P2899" s="149"/>
      <c r="Q2899" s="149"/>
      <c r="R2899" s="149"/>
      <c r="S2899" s="149"/>
      <c r="T2899" s="149"/>
      <c r="U2899" s="149"/>
      <c r="V2899" s="149"/>
      <c r="W2899" s="149"/>
      <c r="X2899" s="149"/>
      <c r="Y2899" s="149"/>
      <c r="Z2899" s="149"/>
      <c r="AA2899" s="149"/>
      <c r="AB2899" s="149"/>
      <c r="AC2899" s="149"/>
      <c r="AD2899" s="149"/>
      <c r="AE2899" s="149"/>
      <c r="AF2899" s="149"/>
      <c r="AG2899" s="149"/>
      <c r="AH2899" s="149"/>
      <c r="AI2899" s="149"/>
      <c r="AJ2899" s="149"/>
      <c r="AK2899" s="149"/>
      <c r="AL2899" s="149"/>
      <c r="AM2899" s="149"/>
      <c r="AN2899" s="149"/>
      <c r="AO2899" s="128"/>
      <c r="AP2899" s="128"/>
      <c r="AQ2899" s="128"/>
      <c r="AR2899" s="128"/>
      <c r="AS2899" s="128"/>
      <c r="AT2899" s="128"/>
      <c r="AU2899" s="128"/>
      <c r="AV2899" s="128"/>
      <c r="AW2899" s="128"/>
      <c r="AX2899" s="128"/>
      <c r="AY2899" s="128"/>
      <c r="AZ2899" s="128"/>
      <c r="BA2899" s="128"/>
      <c r="BB2899" s="128"/>
      <c r="BC2899" s="128"/>
      <c r="BD2899" s="128"/>
      <c r="BE2899" s="128"/>
      <c r="BF2899" s="128"/>
      <c r="BG2899" s="128"/>
      <c r="BH2899" s="128"/>
      <c r="BI2899" s="128"/>
      <c r="BJ2899" s="128"/>
      <c r="BK2899" s="128"/>
      <c r="BL2899" s="128"/>
      <c r="BM2899" s="151"/>
      <c r="BN2899" s="128"/>
      <c r="BO2899" s="128"/>
      <c r="BP2899" s="128"/>
      <c r="BQ2899" s="128"/>
      <c r="BR2899" s="128"/>
      <c r="BS2899" s="128"/>
      <c r="BT2899" s="128"/>
      <c r="BU2899" s="128"/>
      <c r="BV2899" s="128"/>
      <c r="BW2899" s="128"/>
      <c r="BX2899" s="128"/>
      <c r="BY2899" s="128"/>
      <c r="BZ2899" s="128"/>
      <c r="CA2899" s="128"/>
      <c r="CB2899" s="128"/>
      <c r="CC2899" s="128"/>
      <c r="CD2899" s="128"/>
      <c r="CE2899" s="128"/>
      <c r="CF2899" s="128"/>
      <c r="CG2899" s="128"/>
      <c r="CI2899" s="128"/>
      <c r="CJ2899" s="128"/>
      <c r="CK2899" s="128"/>
      <c r="CL2899" s="128"/>
      <c r="CM2899" s="128"/>
      <c r="CN2899" s="128"/>
      <c r="CO2899" s="128"/>
      <c r="CP2899" s="128"/>
      <c r="CQ2899" s="128"/>
      <c r="CR2899" s="128"/>
      <c r="CS2899" s="128"/>
      <c r="CT2899" s="128"/>
      <c r="CU2899" s="128"/>
      <c r="CV2899" s="128"/>
      <c r="CW2899" s="128"/>
      <c r="CX2899" s="128"/>
      <c r="CY2899" s="128"/>
      <c r="CZ2899" s="165"/>
    </row>
    <row r="2900" spans="1:104">
      <c r="A2900" s="149"/>
      <c r="B2900" s="149"/>
      <c r="C2900" s="150"/>
      <c r="D2900" s="102"/>
      <c r="E2900" s="149"/>
      <c r="F2900" s="149"/>
      <c r="G2900" s="149"/>
      <c r="H2900" s="149"/>
      <c r="I2900" s="149"/>
      <c r="J2900" s="149"/>
      <c r="K2900" s="149"/>
      <c r="L2900" s="149"/>
      <c r="M2900" s="149"/>
      <c r="N2900" s="149"/>
      <c r="O2900" s="149"/>
      <c r="P2900" s="149"/>
      <c r="Q2900" s="149"/>
      <c r="R2900" s="149"/>
      <c r="S2900" s="149"/>
      <c r="T2900" s="149"/>
      <c r="U2900" s="149"/>
      <c r="V2900" s="149"/>
      <c r="W2900" s="149"/>
      <c r="X2900" s="149"/>
      <c r="Y2900" s="149"/>
      <c r="Z2900" s="149"/>
      <c r="AA2900" s="149"/>
      <c r="AB2900" s="149"/>
      <c r="AC2900" s="149"/>
      <c r="AD2900" s="149"/>
      <c r="AE2900" s="149"/>
      <c r="AF2900" s="149"/>
      <c r="AG2900" s="149"/>
      <c r="AH2900" s="149"/>
      <c r="AI2900" s="149"/>
      <c r="AJ2900" s="149"/>
      <c r="AK2900" s="149"/>
      <c r="AL2900" s="149"/>
      <c r="AM2900" s="149"/>
      <c r="AN2900" s="149"/>
      <c r="AO2900" s="128"/>
      <c r="AP2900" s="128"/>
      <c r="AQ2900" s="128"/>
      <c r="AR2900" s="128"/>
      <c r="AS2900" s="128"/>
      <c r="AT2900" s="128"/>
      <c r="AU2900" s="128"/>
      <c r="AV2900" s="128"/>
      <c r="AW2900" s="128"/>
      <c r="AX2900" s="128"/>
      <c r="AY2900" s="128"/>
      <c r="AZ2900" s="128"/>
      <c r="BA2900" s="128"/>
      <c r="BB2900" s="128"/>
      <c r="BC2900" s="128"/>
      <c r="BD2900" s="128"/>
      <c r="BE2900" s="128"/>
      <c r="BF2900" s="128"/>
      <c r="BG2900" s="128"/>
      <c r="BH2900" s="128"/>
      <c r="BI2900" s="128"/>
      <c r="BJ2900" s="128"/>
      <c r="BK2900" s="128"/>
      <c r="BL2900" s="128"/>
      <c r="BM2900" s="151"/>
      <c r="BN2900" s="128"/>
      <c r="BO2900" s="128"/>
      <c r="BP2900" s="128"/>
      <c r="BQ2900" s="128"/>
      <c r="BR2900" s="128"/>
      <c r="BS2900" s="128"/>
      <c r="BT2900" s="128"/>
      <c r="BU2900" s="128"/>
      <c r="BV2900" s="128"/>
      <c r="BW2900" s="128"/>
      <c r="BX2900" s="128"/>
      <c r="BY2900" s="128"/>
      <c r="BZ2900" s="128"/>
      <c r="CA2900" s="128"/>
      <c r="CB2900" s="128"/>
      <c r="CC2900" s="128"/>
      <c r="CD2900" s="128"/>
      <c r="CE2900" s="128"/>
      <c r="CF2900" s="128"/>
      <c r="CG2900" s="128"/>
      <c r="CI2900" s="128"/>
      <c r="CJ2900" s="128"/>
      <c r="CK2900" s="128"/>
      <c r="CL2900" s="128"/>
      <c r="CM2900" s="128"/>
      <c r="CN2900" s="128"/>
      <c r="CO2900" s="128"/>
      <c r="CP2900" s="128"/>
      <c r="CQ2900" s="128"/>
      <c r="CR2900" s="128"/>
      <c r="CS2900" s="128"/>
      <c r="CT2900" s="128"/>
      <c r="CU2900" s="128"/>
      <c r="CV2900" s="128"/>
      <c r="CW2900" s="128"/>
      <c r="CX2900" s="128"/>
      <c r="CY2900" s="128"/>
      <c r="CZ2900" s="165"/>
    </row>
    <row r="2901" spans="1:104">
      <c r="A2901" s="149"/>
      <c r="B2901" s="149"/>
      <c r="C2901" s="150"/>
      <c r="D2901" s="102"/>
      <c r="E2901" s="149"/>
      <c r="F2901" s="149"/>
      <c r="G2901" s="149"/>
      <c r="H2901" s="149"/>
      <c r="I2901" s="149"/>
      <c r="J2901" s="149"/>
      <c r="K2901" s="149"/>
      <c r="L2901" s="149"/>
      <c r="M2901" s="149"/>
      <c r="N2901" s="149"/>
      <c r="O2901" s="149"/>
      <c r="P2901" s="149"/>
      <c r="Q2901" s="149"/>
      <c r="R2901" s="149"/>
      <c r="S2901" s="149"/>
      <c r="T2901" s="149"/>
      <c r="U2901" s="149"/>
      <c r="V2901" s="149"/>
      <c r="W2901" s="149"/>
      <c r="X2901" s="149"/>
      <c r="Y2901" s="149"/>
      <c r="Z2901" s="149"/>
      <c r="AA2901" s="149"/>
      <c r="AB2901" s="149"/>
      <c r="AC2901" s="149"/>
      <c r="AD2901" s="149"/>
      <c r="AE2901" s="149"/>
      <c r="AF2901" s="149"/>
      <c r="AG2901" s="149"/>
      <c r="AH2901" s="149"/>
      <c r="AI2901" s="149"/>
      <c r="AJ2901" s="149"/>
      <c r="AK2901" s="149"/>
      <c r="AL2901" s="149"/>
      <c r="AM2901" s="149"/>
      <c r="AN2901" s="149"/>
      <c r="AO2901" s="128"/>
      <c r="AP2901" s="128"/>
      <c r="AQ2901" s="128"/>
      <c r="AR2901" s="128"/>
      <c r="AS2901" s="128"/>
      <c r="AT2901" s="128"/>
      <c r="AU2901" s="128"/>
      <c r="AV2901" s="128"/>
      <c r="AW2901" s="128"/>
      <c r="AX2901" s="128"/>
      <c r="AY2901" s="128"/>
      <c r="AZ2901" s="128"/>
      <c r="BA2901" s="128"/>
      <c r="BB2901" s="128"/>
      <c r="BC2901" s="128"/>
      <c r="BD2901" s="128"/>
      <c r="BE2901" s="128"/>
      <c r="BF2901" s="128"/>
      <c r="BG2901" s="128"/>
      <c r="BH2901" s="128"/>
      <c r="BI2901" s="128"/>
      <c r="BJ2901" s="128"/>
      <c r="BK2901" s="128"/>
      <c r="BL2901" s="128"/>
      <c r="BM2901" s="151"/>
      <c r="BN2901" s="128"/>
      <c r="BO2901" s="128"/>
      <c r="BP2901" s="128"/>
      <c r="BQ2901" s="128"/>
      <c r="BR2901" s="128"/>
      <c r="BS2901" s="128"/>
      <c r="BT2901" s="128"/>
      <c r="BU2901" s="128"/>
      <c r="BV2901" s="128"/>
      <c r="BW2901" s="128"/>
      <c r="BX2901" s="128"/>
      <c r="BY2901" s="128"/>
      <c r="BZ2901" s="128"/>
      <c r="CA2901" s="128"/>
      <c r="CB2901" s="128"/>
      <c r="CC2901" s="128"/>
      <c r="CD2901" s="128"/>
      <c r="CE2901" s="128"/>
      <c r="CF2901" s="128"/>
      <c r="CG2901" s="128"/>
      <c r="CI2901" s="128"/>
      <c r="CJ2901" s="128"/>
      <c r="CK2901" s="128"/>
      <c r="CL2901" s="128"/>
      <c r="CM2901" s="128"/>
      <c r="CN2901" s="128"/>
      <c r="CO2901" s="128"/>
      <c r="CP2901" s="128"/>
      <c r="CQ2901" s="128"/>
      <c r="CR2901" s="128"/>
      <c r="CS2901" s="128"/>
      <c r="CT2901" s="128"/>
      <c r="CU2901" s="128"/>
      <c r="CV2901" s="128"/>
      <c r="CW2901" s="128"/>
      <c r="CX2901" s="128"/>
      <c r="CY2901" s="128"/>
      <c r="CZ2901" s="165"/>
    </row>
    <row r="2902" spans="1:104">
      <c r="A2902" s="149"/>
      <c r="B2902" s="149"/>
      <c r="C2902" s="150"/>
      <c r="D2902" s="102"/>
      <c r="E2902" s="149"/>
      <c r="F2902" s="149"/>
      <c r="G2902" s="149"/>
      <c r="H2902" s="149"/>
      <c r="I2902" s="149"/>
      <c r="J2902" s="149"/>
      <c r="K2902" s="149"/>
      <c r="L2902" s="149"/>
      <c r="M2902" s="149"/>
      <c r="N2902" s="149"/>
      <c r="O2902" s="149"/>
      <c r="P2902" s="149"/>
      <c r="Q2902" s="149"/>
      <c r="R2902" s="149"/>
      <c r="S2902" s="149"/>
      <c r="T2902" s="149"/>
      <c r="U2902" s="149"/>
      <c r="V2902" s="149"/>
      <c r="W2902" s="149"/>
      <c r="X2902" s="149"/>
      <c r="Y2902" s="149"/>
      <c r="Z2902" s="149"/>
      <c r="AA2902" s="149"/>
      <c r="AB2902" s="149"/>
      <c r="AC2902" s="149"/>
      <c r="AD2902" s="149"/>
      <c r="AE2902" s="149"/>
      <c r="AF2902" s="149"/>
      <c r="AG2902" s="149"/>
      <c r="AH2902" s="149"/>
      <c r="AI2902" s="149"/>
      <c r="AJ2902" s="149"/>
      <c r="AK2902" s="149"/>
      <c r="AL2902" s="149"/>
      <c r="AM2902" s="149"/>
      <c r="AN2902" s="149"/>
      <c r="AO2902" s="128"/>
      <c r="AP2902" s="128"/>
      <c r="AQ2902" s="128"/>
      <c r="AR2902" s="128"/>
      <c r="AS2902" s="128"/>
      <c r="AT2902" s="128"/>
      <c r="AU2902" s="128"/>
      <c r="AV2902" s="128"/>
      <c r="AW2902" s="128"/>
      <c r="AX2902" s="128"/>
      <c r="AY2902" s="128"/>
      <c r="AZ2902" s="128"/>
      <c r="BA2902" s="128"/>
      <c r="BB2902" s="128"/>
      <c r="BC2902" s="128"/>
      <c r="BD2902" s="128"/>
      <c r="BE2902" s="128"/>
      <c r="BF2902" s="128"/>
      <c r="BG2902" s="128"/>
      <c r="BH2902" s="128"/>
      <c r="BI2902" s="128"/>
      <c r="BJ2902" s="128"/>
      <c r="BK2902" s="128"/>
      <c r="BL2902" s="128"/>
      <c r="BM2902" s="151"/>
      <c r="BN2902" s="128"/>
      <c r="BO2902" s="128"/>
      <c r="BP2902" s="128"/>
      <c r="BQ2902" s="128"/>
      <c r="BR2902" s="128"/>
      <c r="BS2902" s="128"/>
      <c r="BT2902" s="128"/>
      <c r="BU2902" s="128"/>
      <c r="BV2902" s="128"/>
      <c r="BW2902" s="128"/>
      <c r="BX2902" s="128"/>
      <c r="BY2902" s="128"/>
      <c r="BZ2902" s="128"/>
      <c r="CA2902" s="128"/>
      <c r="CB2902" s="128"/>
      <c r="CC2902" s="128"/>
      <c r="CD2902" s="128"/>
      <c r="CE2902" s="128"/>
      <c r="CF2902" s="128"/>
      <c r="CG2902" s="128"/>
      <c r="CI2902" s="128"/>
      <c r="CJ2902" s="128"/>
      <c r="CK2902" s="128"/>
      <c r="CL2902" s="128"/>
      <c r="CM2902" s="128"/>
      <c r="CN2902" s="128"/>
      <c r="CO2902" s="128"/>
      <c r="CP2902" s="128"/>
      <c r="CQ2902" s="128"/>
      <c r="CR2902" s="128"/>
      <c r="CS2902" s="128"/>
      <c r="CT2902" s="128"/>
      <c r="CU2902" s="128"/>
      <c r="CV2902" s="128"/>
      <c r="CW2902" s="128"/>
      <c r="CX2902" s="128"/>
      <c r="CY2902" s="128"/>
      <c r="CZ2902" s="165"/>
    </row>
    <row r="2903" spans="1:104">
      <c r="A2903" s="149"/>
      <c r="B2903" s="149"/>
      <c r="C2903" s="150"/>
      <c r="D2903" s="102"/>
      <c r="E2903" s="149"/>
      <c r="F2903" s="149"/>
      <c r="G2903" s="149"/>
      <c r="H2903" s="149"/>
      <c r="I2903" s="149"/>
      <c r="J2903" s="149"/>
      <c r="K2903" s="149"/>
      <c r="L2903" s="149"/>
      <c r="M2903" s="149"/>
      <c r="N2903" s="149"/>
      <c r="O2903" s="149"/>
      <c r="P2903" s="149"/>
      <c r="Q2903" s="149"/>
      <c r="R2903" s="149"/>
      <c r="S2903" s="149"/>
      <c r="T2903" s="149"/>
      <c r="U2903" s="149"/>
      <c r="V2903" s="149"/>
      <c r="W2903" s="149"/>
      <c r="X2903" s="149"/>
      <c r="Y2903" s="149"/>
      <c r="Z2903" s="149"/>
      <c r="AA2903" s="149"/>
      <c r="AB2903" s="149"/>
      <c r="AC2903" s="149"/>
      <c r="AD2903" s="149"/>
      <c r="AE2903" s="149"/>
      <c r="AF2903" s="149"/>
      <c r="AG2903" s="149"/>
      <c r="AH2903" s="149"/>
      <c r="AI2903" s="149"/>
      <c r="AJ2903" s="149"/>
      <c r="AK2903" s="149"/>
      <c r="AL2903" s="149"/>
      <c r="AM2903" s="149"/>
      <c r="AN2903" s="149"/>
      <c r="AO2903" s="128"/>
      <c r="AP2903" s="128"/>
      <c r="AQ2903" s="128"/>
      <c r="AR2903" s="128"/>
      <c r="AS2903" s="128"/>
      <c r="AT2903" s="128"/>
      <c r="AU2903" s="128"/>
      <c r="AV2903" s="128"/>
      <c r="AW2903" s="128"/>
      <c r="AX2903" s="128"/>
      <c r="AY2903" s="128"/>
      <c r="AZ2903" s="128"/>
      <c r="BA2903" s="128"/>
      <c r="BB2903" s="128"/>
      <c r="BC2903" s="128"/>
      <c r="BD2903" s="128"/>
      <c r="BE2903" s="128"/>
      <c r="BF2903" s="128"/>
      <c r="BG2903" s="128"/>
      <c r="BH2903" s="128"/>
      <c r="BI2903" s="128"/>
      <c r="BJ2903" s="128"/>
      <c r="BK2903" s="128"/>
      <c r="BL2903" s="128"/>
      <c r="BM2903" s="151"/>
      <c r="BN2903" s="128"/>
      <c r="BO2903" s="128"/>
      <c r="BP2903" s="128"/>
      <c r="BQ2903" s="128"/>
      <c r="BR2903" s="128"/>
      <c r="BS2903" s="128"/>
      <c r="BT2903" s="128"/>
      <c r="BU2903" s="128"/>
      <c r="BV2903" s="128"/>
      <c r="BW2903" s="128"/>
      <c r="BX2903" s="128"/>
      <c r="BY2903" s="128"/>
      <c r="BZ2903" s="128"/>
      <c r="CA2903" s="128"/>
      <c r="CB2903" s="128"/>
      <c r="CC2903" s="128"/>
      <c r="CD2903" s="128"/>
      <c r="CE2903" s="128"/>
      <c r="CF2903" s="128"/>
      <c r="CG2903" s="128"/>
      <c r="CI2903" s="128"/>
      <c r="CJ2903" s="128"/>
      <c r="CK2903" s="128"/>
      <c r="CL2903" s="128"/>
      <c r="CM2903" s="128"/>
      <c r="CN2903" s="128"/>
      <c r="CO2903" s="128"/>
      <c r="CP2903" s="128"/>
      <c r="CQ2903" s="128"/>
      <c r="CR2903" s="128"/>
      <c r="CS2903" s="128"/>
      <c r="CT2903" s="128"/>
      <c r="CU2903" s="128"/>
      <c r="CV2903" s="128"/>
      <c r="CW2903" s="128"/>
      <c r="CX2903" s="128"/>
      <c r="CY2903" s="128"/>
      <c r="CZ2903" s="165"/>
    </row>
    <row r="2904" spans="1:104">
      <c r="A2904" s="149"/>
      <c r="B2904" s="149"/>
      <c r="C2904" s="150"/>
      <c r="D2904" s="102"/>
      <c r="E2904" s="149"/>
      <c r="F2904" s="149"/>
      <c r="G2904" s="149"/>
      <c r="H2904" s="149"/>
      <c r="I2904" s="149"/>
      <c r="J2904" s="149"/>
      <c r="K2904" s="149"/>
      <c r="L2904" s="149"/>
      <c r="M2904" s="149"/>
      <c r="N2904" s="149"/>
      <c r="O2904" s="149"/>
      <c r="P2904" s="149"/>
      <c r="Q2904" s="149"/>
      <c r="R2904" s="149"/>
      <c r="S2904" s="149"/>
      <c r="T2904" s="149"/>
      <c r="U2904" s="149"/>
      <c r="V2904" s="149"/>
      <c r="W2904" s="149"/>
      <c r="X2904" s="149"/>
      <c r="Y2904" s="149"/>
      <c r="Z2904" s="149"/>
      <c r="AA2904" s="149"/>
      <c r="AB2904" s="149"/>
      <c r="AC2904" s="149"/>
      <c r="AD2904" s="149"/>
      <c r="AE2904" s="149"/>
      <c r="AF2904" s="149"/>
      <c r="AG2904" s="149"/>
      <c r="AH2904" s="149"/>
      <c r="AI2904" s="149"/>
      <c r="AJ2904" s="149"/>
      <c r="AK2904" s="149"/>
      <c r="AL2904" s="149"/>
      <c r="AM2904" s="149"/>
      <c r="AN2904" s="149"/>
      <c r="AO2904" s="128"/>
      <c r="AP2904" s="128"/>
      <c r="AQ2904" s="128"/>
      <c r="AR2904" s="128"/>
      <c r="AS2904" s="128"/>
      <c r="AT2904" s="128"/>
      <c r="AU2904" s="128"/>
      <c r="AV2904" s="128"/>
      <c r="AW2904" s="128"/>
      <c r="AX2904" s="128"/>
      <c r="AY2904" s="128"/>
      <c r="AZ2904" s="128"/>
      <c r="BA2904" s="128"/>
      <c r="BB2904" s="128"/>
      <c r="BC2904" s="128"/>
      <c r="BD2904" s="128"/>
      <c r="BE2904" s="128"/>
      <c r="BF2904" s="128"/>
      <c r="BG2904" s="128"/>
      <c r="BH2904" s="128"/>
      <c r="BI2904" s="128"/>
      <c r="BJ2904" s="128"/>
      <c r="BK2904" s="128"/>
      <c r="BL2904" s="128"/>
      <c r="BM2904" s="151"/>
      <c r="BN2904" s="128"/>
      <c r="BO2904" s="128"/>
      <c r="BP2904" s="128"/>
      <c r="BQ2904" s="128"/>
      <c r="BR2904" s="128"/>
      <c r="BS2904" s="128"/>
      <c r="BT2904" s="128"/>
      <c r="BU2904" s="128"/>
      <c r="BV2904" s="128"/>
      <c r="BW2904" s="128"/>
      <c r="BX2904" s="128"/>
      <c r="BY2904" s="128"/>
      <c r="BZ2904" s="128"/>
      <c r="CA2904" s="128"/>
      <c r="CB2904" s="128"/>
      <c r="CC2904" s="128"/>
      <c r="CD2904" s="128"/>
      <c r="CE2904" s="128"/>
      <c r="CF2904" s="128"/>
      <c r="CG2904" s="128"/>
      <c r="CI2904" s="128"/>
      <c r="CJ2904" s="128"/>
      <c r="CK2904" s="128"/>
      <c r="CL2904" s="128"/>
      <c r="CM2904" s="128"/>
      <c r="CN2904" s="128"/>
      <c r="CO2904" s="128"/>
      <c r="CP2904" s="128"/>
      <c r="CQ2904" s="128"/>
      <c r="CR2904" s="128"/>
      <c r="CS2904" s="128"/>
      <c r="CT2904" s="128"/>
      <c r="CU2904" s="128"/>
      <c r="CV2904" s="128"/>
      <c r="CW2904" s="128"/>
      <c r="CX2904" s="128"/>
      <c r="CY2904" s="128"/>
      <c r="CZ2904" s="165"/>
    </row>
    <row r="2905" spans="1:104">
      <c r="A2905" s="149"/>
      <c r="B2905" s="149"/>
      <c r="C2905" s="150"/>
      <c r="D2905" s="102"/>
      <c r="E2905" s="149"/>
      <c r="F2905" s="149"/>
      <c r="G2905" s="149"/>
      <c r="H2905" s="149"/>
      <c r="I2905" s="149"/>
      <c r="J2905" s="149"/>
      <c r="K2905" s="149"/>
      <c r="L2905" s="149"/>
      <c r="M2905" s="149"/>
      <c r="N2905" s="149"/>
      <c r="O2905" s="149"/>
      <c r="P2905" s="149"/>
      <c r="Q2905" s="149"/>
      <c r="R2905" s="149"/>
      <c r="S2905" s="149"/>
      <c r="T2905" s="149"/>
      <c r="U2905" s="149"/>
      <c r="V2905" s="149"/>
      <c r="W2905" s="149"/>
      <c r="X2905" s="149"/>
      <c r="Y2905" s="149"/>
      <c r="Z2905" s="149"/>
      <c r="AA2905" s="149"/>
      <c r="AB2905" s="149"/>
      <c r="AC2905" s="149"/>
      <c r="AD2905" s="149"/>
      <c r="AE2905" s="149"/>
      <c r="AF2905" s="149"/>
      <c r="AG2905" s="149"/>
      <c r="AH2905" s="149"/>
      <c r="AI2905" s="149"/>
      <c r="AJ2905" s="149"/>
      <c r="AK2905" s="149"/>
      <c r="AL2905" s="149"/>
      <c r="AM2905" s="149"/>
      <c r="AN2905" s="149"/>
      <c r="AO2905" s="128"/>
      <c r="AP2905" s="128"/>
      <c r="AQ2905" s="128"/>
      <c r="AR2905" s="128"/>
      <c r="AS2905" s="128"/>
      <c r="AT2905" s="128"/>
      <c r="AU2905" s="128"/>
      <c r="AV2905" s="128"/>
      <c r="AW2905" s="128"/>
      <c r="AX2905" s="128"/>
      <c r="AY2905" s="128"/>
      <c r="AZ2905" s="128"/>
      <c r="BA2905" s="128"/>
      <c r="BB2905" s="128"/>
      <c r="BC2905" s="128"/>
      <c r="BD2905" s="128"/>
      <c r="BE2905" s="128"/>
      <c r="BF2905" s="128"/>
      <c r="BG2905" s="128"/>
      <c r="BH2905" s="128"/>
      <c r="BI2905" s="128"/>
      <c r="BJ2905" s="128"/>
      <c r="BK2905" s="128"/>
      <c r="BL2905" s="128"/>
      <c r="BM2905" s="151"/>
      <c r="BN2905" s="128"/>
      <c r="BO2905" s="128"/>
      <c r="BP2905" s="128"/>
      <c r="BQ2905" s="128"/>
      <c r="BR2905" s="128"/>
      <c r="BS2905" s="128"/>
      <c r="BT2905" s="128"/>
      <c r="BU2905" s="128"/>
      <c r="BV2905" s="128"/>
      <c r="BW2905" s="128"/>
      <c r="BX2905" s="128"/>
      <c r="BY2905" s="128"/>
      <c r="BZ2905" s="128"/>
      <c r="CA2905" s="128"/>
      <c r="CB2905" s="128"/>
      <c r="CC2905" s="128"/>
      <c r="CD2905" s="128"/>
      <c r="CE2905" s="128"/>
      <c r="CF2905" s="128"/>
      <c r="CG2905" s="128"/>
      <c r="CI2905" s="128"/>
      <c r="CJ2905" s="128"/>
      <c r="CK2905" s="128"/>
      <c r="CL2905" s="128"/>
      <c r="CM2905" s="128"/>
      <c r="CN2905" s="128"/>
      <c r="CO2905" s="128"/>
      <c r="CP2905" s="128"/>
      <c r="CQ2905" s="128"/>
      <c r="CR2905" s="128"/>
      <c r="CS2905" s="128"/>
      <c r="CT2905" s="128"/>
      <c r="CU2905" s="128"/>
      <c r="CV2905" s="128"/>
      <c r="CW2905" s="128"/>
      <c r="CX2905" s="128"/>
      <c r="CY2905" s="128"/>
      <c r="CZ2905" s="165"/>
    </row>
    <row r="2906" spans="1:104">
      <c r="A2906" s="149"/>
      <c r="B2906" s="149"/>
      <c r="C2906" s="150"/>
      <c r="D2906" s="102"/>
      <c r="E2906" s="149"/>
      <c r="F2906" s="149"/>
      <c r="G2906" s="149"/>
      <c r="H2906" s="149"/>
      <c r="I2906" s="149"/>
      <c r="J2906" s="149"/>
      <c r="K2906" s="149"/>
      <c r="L2906" s="149"/>
      <c r="M2906" s="149"/>
      <c r="N2906" s="149"/>
      <c r="O2906" s="149"/>
      <c r="P2906" s="149"/>
      <c r="Q2906" s="149"/>
      <c r="R2906" s="149"/>
      <c r="S2906" s="149"/>
      <c r="T2906" s="149"/>
      <c r="U2906" s="149"/>
      <c r="V2906" s="149"/>
      <c r="W2906" s="149"/>
      <c r="X2906" s="149"/>
      <c r="Y2906" s="149"/>
      <c r="Z2906" s="149"/>
      <c r="AA2906" s="149"/>
      <c r="AB2906" s="149"/>
      <c r="AC2906" s="149"/>
      <c r="AD2906" s="149"/>
      <c r="AE2906" s="149"/>
      <c r="AF2906" s="149"/>
      <c r="AG2906" s="149"/>
      <c r="AH2906" s="149"/>
      <c r="AI2906" s="149"/>
      <c r="AJ2906" s="149"/>
      <c r="AK2906" s="149"/>
      <c r="AL2906" s="149"/>
      <c r="AM2906" s="149"/>
      <c r="AN2906" s="149"/>
      <c r="AO2906" s="128"/>
      <c r="AP2906" s="128"/>
      <c r="AQ2906" s="128"/>
      <c r="AR2906" s="128"/>
      <c r="AS2906" s="128"/>
      <c r="AT2906" s="128"/>
      <c r="AU2906" s="128"/>
      <c r="AV2906" s="128"/>
      <c r="AW2906" s="128"/>
      <c r="AX2906" s="128"/>
      <c r="AY2906" s="128"/>
      <c r="AZ2906" s="128"/>
      <c r="BA2906" s="128"/>
      <c r="BB2906" s="128"/>
      <c r="BC2906" s="128"/>
      <c r="BD2906" s="128"/>
      <c r="BE2906" s="128"/>
      <c r="BF2906" s="128"/>
      <c r="BG2906" s="128"/>
      <c r="BH2906" s="128"/>
      <c r="BI2906" s="128"/>
      <c r="BJ2906" s="128"/>
      <c r="BK2906" s="128"/>
      <c r="BL2906" s="128"/>
      <c r="BM2906" s="151"/>
      <c r="BN2906" s="128"/>
      <c r="BO2906" s="128"/>
      <c r="BP2906" s="128"/>
      <c r="BQ2906" s="128"/>
      <c r="BR2906" s="128"/>
      <c r="BS2906" s="128"/>
      <c r="BT2906" s="128"/>
      <c r="BU2906" s="128"/>
      <c r="BV2906" s="128"/>
      <c r="BW2906" s="128"/>
      <c r="BX2906" s="128"/>
      <c r="BY2906" s="128"/>
      <c r="BZ2906" s="128"/>
      <c r="CA2906" s="128"/>
      <c r="CB2906" s="128"/>
      <c r="CC2906" s="128"/>
      <c r="CD2906" s="128"/>
      <c r="CE2906" s="128"/>
      <c r="CF2906" s="128"/>
      <c r="CG2906" s="128"/>
      <c r="CI2906" s="128"/>
      <c r="CJ2906" s="128"/>
      <c r="CK2906" s="128"/>
      <c r="CL2906" s="128"/>
      <c r="CM2906" s="128"/>
      <c r="CN2906" s="128"/>
      <c r="CO2906" s="128"/>
      <c r="CP2906" s="128"/>
      <c r="CQ2906" s="128"/>
      <c r="CR2906" s="128"/>
      <c r="CS2906" s="128"/>
      <c r="CT2906" s="128"/>
      <c r="CU2906" s="128"/>
      <c r="CV2906" s="128"/>
      <c r="CW2906" s="128"/>
      <c r="CX2906" s="128"/>
      <c r="CY2906" s="128"/>
      <c r="CZ2906" s="165"/>
    </row>
    <row r="2907" spans="1:104">
      <c r="A2907" s="149"/>
      <c r="B2907" s="149"/>
      <c r="C2907" s="150"/>
      <c r="D2907" s="102"/>
      <c r="E2907" s="149"/>
      <c r="F2907" s="149"/>
      <c r="G2907" s="149"/>
      <c r="H2907" s="149"/>
      <c r="I2907" s="149"/>
      <c r="J2907" s="149"/>
      <c r="K2907" s="149"/>
      <c r="L2907" s="149"/>
      <c r="M2907" s="149"/>
      <c r="N2907" s="149"/>
      <c r="O2907" s="149"/>
      <c r="P2907" s="149"/>
      <c r="Q2907" s="149"/>
      <c r="R2907" s="149"/>
      <c r="S2907" s="149"/>
      <c r="T2907" s="149"/>
      <c r="U2907" s="149"/>
      <c r="V2907" s="149"/>
      <c r="W2907" s="149"/>
      <c r="X2907" s="149"/>
      <c r="Y2907" s="149"/>
      <c r="Z2907" s="149"/>
      <c r="AA2907" s="149"/>
      <c r="AB2907" s="149"/>
      <c r="AC2907" s="149"/>
      <c r="AD2907" s="149"/>
      <c r="AE2907" s="149"/>
      <c r="AF2907" s="149"/>
      <c r="AG2907" s="149"/>
      <c r="AH2907" s="149"/>
      <c r="AI2907" s="149"/>
      <c r="AJ2907" s="149"/>
      <c r="AK2907" s="149"/>
      <c r="AL2907" s="149"/>
      <c r="AM2907" s="149"/>
      <c r="AN2907" s="149"/>
      <c r="AO2907" s="128"/>
      <c r="AP2907" s="128"/>
      <c r="AQ2907" s="128"/>
      <c r="AR2907" s="128"/>
      <c r="AS2907" s="128"/>
      <c r="AT2907" s="128"/>
      <c r="AU2907" s="128"/>
      <c r="AV2907" s="128"/>
      <c r="AW2907" s="128"/>
      <c r="AX2907" s="128"/>
      <c r="AY2907" s="128"/>
      <c r="AZ2907" s="128"/>
      <c r="BA2907" s="128"/>
      <c r="BB2907" s="128"/>
      <c r="BC2907" s="128"/>
      <c r="BD2907" s="128"/>
      <c r="BE2907" s="128"/>
      <c r="BF2907" s="128"/>
      <c r="BG2907" s="128"/>
      <c r="BH2907" s="128"/>
      <c r="BI2907" s="128"/>
      <c r="BJ2907" s="128"/>
      <c r="BK2907" s="128"/>
      <c r="BL2907" s="128"/>
      <c r="BM2907" s="151"/>
      <c r="BN2907" s="128"/>
      <c r="BO2907" s="128"/>
      <c r="BP2907" s="128"/>
      <c r="BQ2907" s="128"/>
      <c r="BR2907" s="128"/>
      <c r="BS2907" s="128"/>
      <c r="BT2907" s="128"/>
      <c r="BU2907" s="128"/>
      <c r="BV2907" s="128"/>
      <c r="BW2907" s="128"/>
      <c r="BX2907" s="128"/>
      <c r="BY2907" s="128"/>
      <c r="BZ2907" s="128"/>
      <c r="CA2907" s="128"/>
      <c r="CB2907" s="128"/>
      <c r="CC2907" s="128"/>
      <c r="CD2907" s="128"/>
      <c r="CE2907" s="128"/>
      <c r="CF2907" s="128"/>
      <c r="CG2907" s="128"/>
      <c r="CI2907" s="128"/>
      <c r="CJ2907" s="128"/>
      <c r="CK2907" s="128"/>
      <c r="CL2907" s="128"/>
      <c r="CM2907" s="128"/>
      <c r="CN2907" s="128"/>
      <c r="CO2907" s="128"/>
      <c r="CP2907" s="128"/>
      <c r="CQ2907" s="128"/>
      <c r="CR2907" s="128"/>
      <c r="CS2907" s="128"/>
      <c r="CT2907" s="128"/>
      <c r="CU2907" s="128"/>
      <c r="CV2907" s="128"/>
      <c r="CW2907" s="128"/>
      <c r="CX2907" s="128"/>
      <c r="CY2907" s="128"/>
      <c r="CZ2907" s="165"/>
    </row>
    <row r="2908" spans="1:104">
      <c r="A2908" s="149"/>
      <c r="B2908" s="149"/>
      <c r="C2908" s="150"/>
      <c r="D2908" s="102"/>
      <c r="E2908" s="149"/>
      <c r="F2908" s="149"/>
      <c r="G2908" s="149"/>
      <c r="H2908" s="149"/>
      <c r="I2908" s="149"/>
      <c r="J2908" s="149"/>
      <c r="K2908" s="149"/>
      <c r="L2908" s="149"/>
      <c r="M2908" s="149"/>
      <c r="N2908" s="149"/>
      <c r="O2908" s="149"/>
      <c r="P2908" s="149"/>
      <c r="Q2908" s="149"/>
      <c r="R2908" s="149"/>
      <c r="S2908" s="149"/>
      <c r="T2908" s="149"/>
      <c r="U2908" s="149"/>
      <c r="V2908" s="149"/>
      <c r="W2908" s="149"/>
      <c r="X2908" s="149"/>
      <c r="Y2908" s="149"/>
      <c r="Z2908" s="149"/>
      <c r="AA2908" s="149"/>
      <c r="AB2908" s="149"/>
      <c r="AC2908" s="149"/>
      <c r="AD2908" s="149"/>
      <c r="AE2908" s="149"/>
      <c r="AF2908" s="149"/>
      <c r="AG2908" s="149"/>
      <c r="AH2908" s="149"/>
      <c r="AI2908" s="149"/>
      <c r="AJ2908" s="149"/>
      <c r="AK2908" s="149"/>
      <c r="AL2908" s="149"/>
      <c r="AM2908" s="149"/>
      <c r="AN2908" s="149"/>
      <c r="AO2908" s="128"/>
      <c r="AP2908" s="128"/>
      <c r="AQ2908" s="128"/>
      <c r="AR2908" s="128"/>
      <c r="AS2908" s="128"/>
      <c r="AT2908" s="128"/>
      <c r="AU2908" s="128"/>
      <c r="AV2908" s="128"/>
      <c r="AW2908" s="128"/>
      <c r="AX2908" s="128"/>
      <c r="AY2908" s="128"/>
      <c r="AZ2908" s="128"/>
      <c r="BA2908" s="128"/>
      <c r="BB2908" s="128"/>
      <c r="BC2908" s="128"/>
      <c r="BD2908" s="128"/>
      <c r="BE2908" s="128"/>
      <c r="BF2908" s="128"/>
      <c r="BG2908" s="128"/>
      <c r="BH2908" s="128"/>
      <c r="BI2908" s="128"/>
      <c r="BJ2908" s="128"/>
      <c r="BK2908" s="128"/>
      <c r="BL2908" s="128"/>
      <c r="BM2908" s="151"/>
      <c r="BN2908" s="128"/>
      <c r="BO2908" s="128"/>
      <c r="BP2908" s="128"/>
      <c r="BQ2908" s="128"/>
      <c r="BR2908" s="128"/>
      <c r="BS2908" s="128"/>
      <c r="BT2908" s="128"/>
      <c r="BU2908" s="128"/>
      <c r="BV2908" s="128"/>
      <c r="BW2908" s="128"/>
      <c r="BX2908" s="128"/>
      <c r="BY2908" s="128"/>
      <c r="BZ2908" s="128"/>
      <c r="CA2908" s="128"/>
      <c r="CB2908" s="128"/>
      <c r="CC2908" s="128"/>
      <c r="CD2908" s="128"/>
      <c r="CE2908" s="128"/>
      <c r="CF2908" s="128"/>
      <c r="CG2908" s="128"/>
      <c r="CI2908" s="128"/>
      <c r="CJ2908" s="128"/>
      <c r="CK2908" s="128"/>
      <c r="CL2908" s="128"/>
      <c r="CM2908" s="128"/>
      <c r="CN2908" s="128"/>
      <c r="CO2908" s="128"/>
      <c r="CP2908" s="128"/>
      <c r="CQ2908" s="128"/>
      <c r="CR2908" s="128"/>
      <c r="CS2908" s="128"/>
      <c r="CT2908" s="128"/>
      <c r="CU2908" s="128"/>
      <c r="CV2908" s="128"/>
      <c r="CW2908" s="128"/>
      <c r="CX2908" s="128"/>
      <c r="CY2908" s="128"/>
      <c r="CZ2908" s="165"/>
    </row>
    <row r="2909" spans="1:104">
      <c r="A2909" s="149"/>
      <c r="B2909" s="149"/>
      <c r="C2909" s="150"/>
      <c r="D2909" s="102"/>
      <c r="E2909" s="149"/>
      <c r="F2909" s="149"/>
      <c r="G2909" s="149"/>
      <c r="H2909" s="149"/>
      <c r="I2909" s="149"/>
      <c r="J2909" s="149"/>
      <c r="K2909" s="149"/>
      <c r="L2909" s="149"/>
      <c r="M2909" s="149"/>
      <c r="N2909" s="149"/>
      <c r="O2909" s="149"/>
      <c r="P2909" s="149"/>
      <c r="Q2909" s="149"/>
      <c r="R2909" s="149"/>
      <c r="S2909" s="149"/>
      <c r="T2909" s="149"/>
      <c r="U2909" s="149"/>
      <c r="V2909" s="149"/>
      <c r="W2909" s="149"/>
      <c r="X2909" s="149"/>
      <c r="Y2909" s="149"/>
      <c r="Z2909" s="149"/>
      <c r="AA2909" s="149"/>
      <c r="AB2909" s="149"/>
      <c r="AC2909" s="149"/>
      <c r="AD2909" s="149"/>
      <c r="AE2909" s="149"/>
      <c r="AF2909" s="149"/>
      <c r="AG2909" s="149"/>
      <c r="AH2909" s="149"/>
      <c r="AI2909" s="149"/>
      <c r="AJ2909" s="149"/>
      <c r="AK2909" s="149"/>
      <c r="AL2909" s="149"/>
      <c r="AM2909" s="149"/>
      <c r="AN2909" s="149"/>
      <c r="AO2909" s="128"/>
      <c r="AP2909" s="128"/>
      <c r="AQ2909" s="128"/>
      <c r="AR2909" s="128"/>
      <c r="AS2909" s="128"/>
      <c r="AT2909" s="128"/>
      <c r="AU2909" s="128"/>
      <c r="AV2909" s="128"/>
      <c r="AW2909" s="128"/>
      <c r="AX2909" s="128"/>
      <c r="AY2909" s="128"/>
      <c r="AZ2909" s="128"/>
      <c r="BA2909" s="128"/>
      <c r="BB2909" s="128"/>
      <c r="BC2909" s="128"/>
      <c r="BD2909" s="128"/>
      <c r="BE2909" s="128"/>
      <c r="BF2909" s="128"/>
      <c r="BG2909" s="128"/>
      <c r="BH2909" s="128"/>
      <c r="BI2909" s="128"/>
      <c r="BJ2909" s="128"/>
      <c r="BK2909" s="128"/>
      <c r="BL2909" s="128"/>
      <c r="BM2909" s="151"/>
      <c r="BN2909" s="128"/>
      <c r="BO2909" s="128"/>
      <c r="BP2909" s="128"/>
      <c r="BQ2909" s="128"/>
      <c r="BR2909" s="128"/>
      <c r="BS2909" s="128"/>
      <c r="BT2909" s="128"/>
      <c r="BU2909" s="128"/>
      <c r="BV2909" s="128"/>
      <c r="BW2909" s="128"/>
      <c r="BX2909" s="128"/>
      <c r="BY2909" s="128"/>
      <c r="BZ2909" s="128"/>
      <c r="CA2909" s="128"/>
      <c r="CB2909" s="128"/>
      <c r="CC2909" s="128"/>
      <c r="CD2909" s="128"/>
      <c r="CE2909" s="128"/>
      <c r="CF2909" s="128"/>
      <c r="CG2909" s="128"/>
      <c r="CI2909" s="128"/>
      <c r="CJ2909" s="128"/>
      <c r="CK2909" s="128"/>
      <c r="CL2909" s="128"/>
      <c r="CM2909" s="128"/>
      <c r="CN2909" s="128"/>
      <c r="CO2909" s="128"/>
      <c r="CP2909" s="128"/>
      <c r="CQ2909" s="128"/>
      <c r="CR2909" s="128"/>
      <c r="CS2909" s="128"/>
      <c r="CT2909" s="128"/>
      <c r="CU2909" s="128"/>
      <c r="CV2909" s="128"/>
      <c r="CW2909" s="128"/>
      <c r="CX2909" s="128"/>
      <c r="CY2909" s="128"/>
      <c r="CZ2909" s="165"/>
    </row>
    <row r="2910" spans="1:104">
      <c r="A2910" s="149"/>
      <c r="B2910" s="149"/>
      <c r="C2910" s="150"/>
      <c r="D2910" s="102"/>
      <c r="E2910" s="149"/>
      <c r="F2910" s="149"/>
      <c r="G2910" s="149"/>
      <c r="H2910" s="149"/>
      <c r="I2910" s="149"/>
      <c r="J2910" s="149"/>
      <c r="K2910" s="149"/>
      <c r="L2910" s="149"/>
      <c r="M2910" s="149"/>
      <c r="N2910" s="149"/>
      <c r="O2910" s="149"/>
      <c r="P2910" s="149"/>
      <c r="Q2910" s="149"/>
      <c r="R2910" s="149"/>
      <c r="S2910" s="149"/>
      <c r="T2910" s="149"/>
      <c r="U2910" s="149"/>
      <c r="V2910" s="149"/>
      <c r="W2910" s="149"/>
      <c r="X2910" s="149"/>
      <c r="Y2910" s="149"/>
      <c r="Z2910" s="149"/>
      <c r="AA2910" s="149"/>
      <c r="AB2910" s="149"/>
      <c r="AC2910" s="149"/>
      <c r="AD2910" s="149"/>
      <c r="AE2910" s="149"/>
      <c r="AF2910" s="149"/>
      <c r="AG2910" s="149"/>
      <c r="AH2910" s="149"/>
      <c r="AI2910" s="149"/>
      <c r="AJ2910" s="149"/>
      <c r="AK2910" s="149"/>
      <c r="AL2910" s="149"/>
      <c r="AM2910" s="149"/>
      <c r="AN2910" s="149"/>
      <c r="AO2910" s="128"/>
      <c r="AP2910" s="128"/>
      <c r="AQ2910" s="128"/>
      <c r="AR2910" s="128"/>
      <c r="AS2910" s="128"/>
      <c r="AT2910" s="128"/>
      <c r="AU2910" s="128"/>
      <c r="AV2910" s="128"/>
      <c r="AW2910" s="128"/>
      <c r="AX2910" s="128"/>
      <c r="AY2910" s="128"/>
      <c r="AZ2910" s="128"/>
      <c r="BA2910" s="128"/>
      <c r="BB2910" s="128"/>
      <c r="BC2910" s="128"/>
      <c r="BD2910" s="128"/>
      <c r="BE2910" s="128"/>
      <c r="BF2910" s="128"/>
      <c r="BG2910" s="128"/>
      <c r="BH2910" s="128"/>
      <c r="BI2910" s="128"/>
      <c r="BJ2910" s="128"/>
      <c r="BK2910" s="128"/>
      <c r="BL2910" s="128"/>
      <c r="BM2910" s="151"/>
      <c r="BN2910" s="128"/>
      <c r="BO2910" s="128"/>
      <c r="BP2910" s="128"/>
      <c r="BQ2910" s="128"/>
      <c r="BR2910" s="128"/>
      <c r="BS2910" s="128"/>
      <c r="BT2910" s="128"/>
      <c r="BU2910" s="128"/>
      <c r="BV2910" s="128"/>
      <c r="BW2910" s="128"/>
      <c r="BX2910" s="128"/>
      <c r="BY2910" s="128"/>
      <c r="BZ2910" s="128"/>
      <c r="CA2910" s="128"/>
      <c r="CB2910" s="128"/>
      <c r="CC2910" s="128"/>
      <c r="CD2910" s="128"/>
      <c r="CE2910" s="128"/>
      <c r="CF2910" s="128"/>
      <c r="CG2910" s="128"/>
      <c r="CI2910" s="128"/>
      <c r="CJ2910" s="128"/>
      <c r="CK2910" s="128"/>
      <c r="CL2910" s="128"/>
      <c r="CM2910" s="128"/>
      <c r="CN2910" s="128"/>
      <c r="CO2910" s="128"/>
      <c r="CP2910" s="128"/>
      <c r="CQ2910" s="128"/>
      <c r="CR2910" s="128"/>
      <c r="CS2910" s="128"/>
      <c r="CT2910" s="128"/>
      <c r="CU2910" s="128"/>
      <c r="CV2910" s="128"/>
      <c r="CW2910" s="128"/>
      <c r="CX2910" s="128"/>
      <c r="CY2910" s="128"/>
      <c r="CZ2910" s="165"/>
    </row>
    <row r="2911" spans="1:104">
      <c r="A2911" s="149"/>
      <c r="B2911" s="149"/>
      <c r="C2911" s="150"/>
      <c r="D2911" s="102"/>
      <c r="E2911" s="149"/>
      <c r="F2911" s="149"/>
      <c r="G2911" s="149"/>
      <c r="H2911" s="149"/>
      <c r="I2911" s="149"/>
      <c r="J2911" s="149"/>
      <c r="K2911" s="149"/>
      <c r="L2911" s="149"/>
      <c r="M2911" s="149"/>
      <c r="N2911" s="149"/>
      <c r="O2911" s="149"/>
      <c r="P2911" s="149"/>
      <c r="Q2911" s="149"/>
      <c r="R2911" s="149"/>
      <c r="S2911" s="149"/>
      <c r="T2911" s="149"/>
      <c r="U2911" s="149"/>
      <c r="V2911" s="149"/>
      <c r="W2911" s="149"/>
      <c r="X2911" s="149"/>
      <c r="Y2911" s="149"/>
      <c r="Z2911" s="149"/>
      <c r="AA2911" s="149"/>
      <c r="AB2911" s="149"/>
      <c r="AC2911" s="149"/>
      <c r="AD2911" s="149"/>
      <c r="AE2911" s="149"/>
      <c r="AF2911" s="149"/>
      <c r="AG2911" s="149"/>
      <c r="AH2911" s="149"/>
      <c r="AI2911" s="149"/>
      <c r="AJ2911" s="149"/>
      <c r="AK2911" s="149"/>
      <c r="AL2911" s="149"/>
      <c r="AM2911" s="149"/>
      <c r="AN2911" s="149"/>
      <c r="AO2911" s="128"/>
      <c r="AP2911" s="128"/>
      <c r="AQ2911" s="128"/>
      <c r="AR2911" s="128"/>
      <c r="AS2911" s="128"/>
      <c r="AT2911" s="128"/>
      <c r="AU2911" s="128"/>
      <c r="AV2911" s="128"/>
      <c r="AW2911" s="128"/>
      <c r="AX2911" s="128"/>
      <c r="AY2911" s="128"/>
      <c r="AZ2911" s="128"/>
      <c r="BA2911" s="128"/>
      <c r="BB2911" s="128"/>
      <c r="BC2911" s="128"/>
      <c r="BD2911" s="128"/>
      <c r="BE2911" s="128"/>
      <c r="BF2911" s="128"/>
      <c r="BG2911" s="128"/>
      <c r="BH2911" s="128"/>
      <c r="BI2911" s="128"/>
      <c r="BJ2911" s="128"/>
      <c r="BK2911" s="128"/>
      <c r="BL2911" s="128"/>
      <c r="BM2911" s="151"/>
      <c r="BN2911" s="128"/>
      <c r="BO2911" s="128"/>
      <c r="BP2911" s="128"/>
      <c r="BQ2911" s="128"/>
      <c r="BR2911" s="128"/>
      <c r="BS2911" s="128"/>
      <c r="BT2911" s="128"/>
      <c r="BU2911" s="128"/>
      <c r="BV2911" s="128"/>
      <c r="BW2911" s="128"/>
      <c r="BX2911" s="128"/>
      <c r="BY2911" s="128"/>
      <c r="BZ2911" s="128"/>
      <c r="CA2911" s="128"/>
      <c r="CB2911" s="128"/>
      <c r="CC2911" s="128"/>
      <c r="CD2911" s="128"/>
      <c r="CE2911" s="128"/>
      <c r="CF2911" s="128"/>
      <c r="CG2911" s="128"/>
      <c r="CI2911" s="128"/>
      <c r="CJ2911" s="128"/>
      <c r="CK2911" s="128"/>
      <c r="CL2911" s="128"/>
      <c r="CM2911" s="128"/>
      <c r="CN2911" s="128"/>
      <c r="CO2911" s="128"/>
      <c r="CP2911" s="128"/>
      <c r="CQ2911" s="128"/>
      <c r="CR2911" s="128"/>
      <c r="CS2911" s="128"/>
      <c r="CT2911" s="128"/>
      <c r="CU2911" s="128"/>
      <c r="CV2911" s="128"/>
      <c r="CW2911" s="128"/>
      <c r="CX2911" s="128"/>
      <c r="CY2911" s="128"/>
      <c r="CZ2911" s="165"/>
    </row>
    <row r="2912" spans="1:104">
      <c r="A2912" s="149"/>
      <c r="B2912" s="149"/>
      <c r="C2912" s="150"/>
      <c r="D2912" s="102"/>
      <c r="E2912" s="149"/>
      <c r="F2912" s="149"/>
      <c r="G2912" s="149"/>
      <c r="H2912" s="149"/>
      <c r="I2912" s="149"/>
      <c r="J2912" s="149"/>
      <c r="K2912" s="149"/>
      <c r="L2912" s="149"/>
      <c r="M2912" s="149"/>
      <c r="N2912" s="149"/>
      <c r="O2912" s="149"/>
      <c r="P2912" s="149"/>
      <c r="Q2912" s="149"/>
      <c r="R2912" s="149"/>
      <c r="S2912" s="149"/>
      <c r="T2912" s="149"/>
      <c r="U2912" s="149"/>
      <c r="V2912" s="149"/>
      <c r="W2912" s="149"/>
      <c r="X2912" s="149"/>
      <c r="Y2912" s="149"/>
      <c r="Z2912" s="149"/>
      <c r="AA2912" s="149"/>
      <c r="AB2912" s="149"/>
      <c r="AC2912" s="149"/>
      <c r="AD2912" s="149"/>
      <c r="AE2912" s="149"/>
      <c r="AF2912" s="149"/>
      <c r="AG2912" s="149"/>
      <c r="AH2912" s="149"/>
      <c r="AI2912" s="149"/>
      <c r="AJ2912" s="149"/>
      <c r="AK2912" s="149"/>
      <c r="AL2912" s="149"/>
      <c r="AM2912" s="149"/>
      <c r="AN2912" s="149"/>
      <c r="AO2912" s="128"/>
      <c r="AP2912" s="128"/>
      <c r="AQ2912" s="128"/>
      <c r="AR2912" s="128"/>
      <c r="AS2912" s="128"/>
      <c r="AT2912" s="128"/>
      <c r="AU2912" s="128"/>
      <c r="AV2912" s="128"/>
      <c r="AW2912" s="128"/>
      <c r="AX2912" s="128"/>
      <c r="AY2912" s="128"/>
      <c r="AZ2912" s="128"/>
      <c r="BA2912" s="128"/>
      <c r="BB2912" s="128"/>
      <c r="BC2912" s="128"/>
      <c r="BD2912" s="128"/>
      <c r="BE2912" s="128"/>
      <c r="BF2912" s="128"/>
      <c r="BG2912" s="128"/>
      <c r="BH2912" s="128"/>
      <c r="BI2912" s="128"/>
      <c r="BJ2912" s="128"/>
      <c r="BK2912" s="128"/>
      <c r="BL2912" s="128"/>
      <c r="BM2912" s="151"/>
      <c r="BN2912" s="128"/>
      <c r="BO2912" s="128"/>
      <c r="BP2912" s="128"/>
      <c r="BQ2912" s="128"/>
      <c r="BR2912" s="128"/>
      <c r="BS2912" s="128"/>
      <c r="BT2912" s="128"/>
      <c r="BU2912" s="128"/>
      <c r="BV2912" s="128"/>
      <c r="BW2912" s="128"/>
      <c r="BX2912" s="128"/>
      <c r="BY2912" s="128"/>
      <c r="BZ2912" s="128"/>
      <c r="CA2912" s="128"/>
      <c r="CB2912" s="128"/>
      <c r="CC2912" s="128"/>
      <c r="CD2912" s="128"/>
      <c r="CE2912" s="128"/>
      <c r="CF2912" s="128"/>
      <c r="CG2912" s="128"/>
      <c r="CI2912" s="128"/>
      <c r="CJ2912" s="128"/>
      <c r="CK2912" s="128"/>
      <c r="CL2912" s="128"/>
      <c r="CM2912" s="128"/>
      <c r="CN2912" s="128"/>
      <c r="CO2912" s="128"/>
      <c r="CP2912" s="128"/>
      <c r="CQ2912" s="128"/>
      <c r="CR2912" s="128"/>
      <c r="CS2912" s="128"/>
      <c r="CT2912" s="128"/>
      <c r="CU2912" s="128"/>
      <c r="CV2912" s="128"/>
      <c r="CW2912" s="128"/>
      <c r="CX2912" s="128"/>
      <c r="CY2912" s="128"/>
      <c r="CZ2912" s="165"/>
    </row>
    <row r="2913" spans="1:104">
      <c r="A2913" s="149"/>
      <c r="B2913" s="149"/>
      <c r="C2913" s="150"/>
      <c r="D2913" s="102"/>
      <c r="E2913" s="149"/>
      <c r="F2913" s="149"/>
      <c r="G2913" s="149"/>
      <c r="H2913" s="149"/>
      <c r="I2913" s="149"/>
      <c r="J2913" s="149"/>
      <c r="K2913" s="149"/>
      <c r="L2913" s="149"/>
      <c r="M2913" s="149"/>
      <c r="N2913" s="149"/>
      <c r="O2913" s="149"/>
      <c r="P2913" s="149"/>
      <c r="Q2913" s="149"/>
      <c r="R2913" s="149"/>
      <c r="S2913" s="149"/>
      <c r="T2913" s="149"/>
      <c r="U2913" s="149"/>
      <c r="V2913" s="149"/>
      <c r="W2913" s="149"/>
      <c r="X2913" s="149"/>
      <c r="Y2913" s="149"/>
      <c r="Z2913" s="149"/>
      <c r="AA2913" s="149"/>
      <c r="AB2913" s="149"/>
      <c r="AC2913" s="149"/>
      <c r="AD2913" s="149"/>
      <c r="AE2913" s="149"/>
      <c r="AF2913" s="149"/>
      <c r="AG2913" s="149"/>
      <c r="AH2913" s="149"/>
      <c r="AI2913" s="149"/>
      <c r="AJ2913" s="149"/>
      <c r="AK2913" s="149"/>
      <c r="AL2913" s="149"/>
      <c r="AM2913" s="149"/>
      <c r="AN2913" s="149"/>
      <c r="AO2913" s="128"/>
      <c r="AP2913" s="128"/>
      <c r="AQ2913" s="128"/>
      <c r="AR2913" s="128"/>
      <c r="AS2913" s="128"/>
      <c r="AT2913" s="128"/>
      <c r="AU2913" s="128"/>
      <c r="AV2913" s="128"/>
      <c r="AW2913" s="128"/>
      <c r="AX2913" s="128"/>
      <c r="AY2913" s="128"/>
      <c r="AZ2913" s="128"/>
      <c r="BA2913" s="128"/>
      <c r="BB2913" s="128"/>
      <c r="BC2913" s="128"/>
      <c r="BD2913" s="128"/>
      <c r="BE2913" s="128"/>
      <c r="BF2913" s="128"/>
      <c r="BG2913" s="128"/>
      <c r="BH2913" s="128"/>
      <c r="BI2913" s="128"/>
      <c r="BJ2913" s="128"/>
      <c r="BK2913" s="128"/>
      <c r="BL2913" s="128"/>
      <c r="BM2913" s="151"/>
      <c r="BN2913" s="128"/>
      <c r="BO2913" s="128"/>
      <c r="BP2913" s="128"/>
      <c r="BQ2913" s="128"/>
      <c r="BR2913" s="128"/>
      <c r="BS2913" s="128"/>
      <c r="BT2913" s="128"/>
      <c r="BU2913" s="128"/>
      <c r="BV2913" s="128"/>
      <c r="BW2913" s="128"/>
      <c r="BX2913" s="128"/>
      <c r="BY2913" s="128"/>
      <c r="BZ2913" s="128"/>
      <c r="CA2913" s="128"/>
      <c r="CB2913" s="128"/>
      <c r="CC2913" s="128"/>
      <c r="CD2913" s="128"/>
      <c r="CE2913" s="128"/>
      <c r="CF2913" s="128"/>
      <c r="CG2913" s="128"/>
      <c r="CI2913" s="128"/>
      <c r="CJ2913" s="128"/>
      <c r="CK2913" s="128"/>
      <c r="CL2913" s="128"/>
      <c r="CM2913" s="128"/>
      <c r="CN2913" s="128"/>
      <c r="CO2913" s="128"/>
      <c r="CP2913" s="128"/>
      <c r="CQ2913" s="128"/>
      <c r="CR2913" s="128"/>
      <c r="CS2913" s="128"/>
      <c r="CT2913" s="128"/>
      <c r="CU2913" s="128"/>
      <c r="CV2913" s="128"/>
      <c r="CW2913" s="128"/>
      <c r="CX2913" s="128"/>
      <c r="CY2913" s="128"/>
      <c r="CZ2913" s="165"/>
    </row>
    <row r="2914" spans="1:104">
      <c r="A2914" s="149"/>
      <c r="B2914" s="149"/>
      <c r="C2914" s="150"/>
      <c r="D2914" s="102"/>
      <c r="E2914" s="149"/>
      <c r="F2914" s="149"/>
      <c r="G2914" s="149"/>
      <c r="H2914" s="149"/>
      <c r="I2914" s="149"/>
      <c r="J2914" s="149"/>
      <c r="K2914" s="149"/>
      <c r="L2914" s="149"/>
      <c r="M2914" s="149"/>
      <c r="N2914" s="149"/>
      <c r="O2914" s="149"/>
      <c r="P2914" s="149"/>
      <c r="Q2914" s="149"/>
      <c r="R2914" s="149"/>
      <c r="S2914" s="149"/>
      <c r="T2914" s="149"/>
      <c r="U2914" s="149"/>
      <c r="V2914" s="149"/>
      <c r="W2914" s="149"/>
      <c r="X2914" s="149"/>
      <c r="Y2914" s="149"/>
      <c r="Z2914" s="149"/>
      <c r="AA2914" s="149"/>
      <c r="AB2914" s="149"/>
      <c r="AC2914" s="149"/>
      <c r="AD2914" s="149"/>
      <c r="AE2914" s="149"/>
      <c r="AF2914" s="149"/>
      <c r="AG2914" s="149"/>
      <c r="AH2914" s="149"/>
      <c r="AI2914" s="149"/>
      <c r="AJ2914" s="149"/>
      <c r="AK2914" s="149"/>
      <c r="AL2914" s="149"/>
      <c r="AM2914" s="149"/>
      <c r="AN2914" s="149"/>
      <c r="AO2914" s="128"/>
      <c r="AP2914" s="128"/>
      <c r="AQ2914" s="128"/>
      <c r="AR2914" s="128"/>
      <c r="AS2914" s="128"/>
      <c r="AT2914" s="128"/>
      <c r="AU2914" s="128"/>
      <c r="AV2914" s="128"/>
      <c r="AW2914" s="128"/>
      <c r="AX2914" s="128"/>
      <c r="AY2914" s="128"/>
      <c r="AZ2914" s="128"/>
      <c r="BA2914" s="128"/>
      <c r="BB2914" s="128"/>
      <c r="BC2914" s="128"/>
      <c r="BD2914" s="128"/>
      <c r="BE2914" s="128"/>
      <c r="BF2914" s="128"/>
      <c r="BG2914" s="128"/>
      <c r="BH2914" s="128"/>
      <c r="BI2914" s="128"/>
      <c r="BJ2914" s="128"/>
      <c r="BK2914" s="128"/>
      <c r="BL2914" s="128"/>
      <c r="BM2914" s="151"/>
      <c r="BN2914" s="128"/>
      <c r="BO2914" s="128"/>
      <c r="BP2914" s="128"/>
      <c r="BQ2914" s="128"/>
      <c r="BR2914" s="128"/>
      <c r="BS2914" s="128"/>
      <c r="BT2914" s="128"/>
      <c r="BU2914" s="128"/>
      <c r="BV2914" s="128"/>
      <c r="BW2914" s="128"/>
      <c r="BX2914" s="128"/>
      <c r="BY2914" s="128"/>
      <c r="BZ2914" s="128"/>
      <c r="CA2914" s="128"/>
      <c r="CB2914" s="128"/>
      <c r="CC2914" s="128"/>
      <c r="CD2914" s="128"/>
      <c r="CE2914" s="128"/>
      <c r="CF2914" s="128"/>
      <c r="CG2914" s="128"/>
      <c r="CI2914" s="128"/>
      <c r="CJ2914" s="128"/>
      <c r="CK2914" s="128"/>
      <c r="CL2914" s="128"/>
      <c r="CM2914" s="128"/>
      <c r="CN2914" s="128"/>
      <c r="CO2914" s="128"/>
      <c r="CP2914" s="128"/>
      <c r="CQ2914" s="128"/>
      <c r="CR2914" s="128"/>
      <c r="CS2914" s="128"/>
      <c r="CT2914" s="128"/>
      <c r="CU2914" s="128"/>
      <c r="CV2914" s="128"/>
      <c r="CW2914" s="128"/>
      <c r="CX2914" s="128"/>
      <c r="CY2914" s="128"/>
      <c r="CZ2914" s="165"/>
    </row>
    <row r="2915" spans="1:104">
      <c r="A2915" s="149"/>
      <c r="B2915" s="149"/>
      <c r="C2915" s="150"/>
      <c r="D2915" s="102"/>
      <c r="E2915" s="149"/>
      <c r="F2915" s="149"/>
      <c r="G2915" s="149"/>
      <c r="H2915" s="149"/>
      <c r="I2915" s="149"/>
      <c r="J2915" s="149"/>
      <c r="K2915" s="149"/>
      <c r="L2915" s="149"/>
      <c r="M2915" s="149"/>
      <c r="N2915" s="149"/>
      <c r="O2915" s="149"/>
      <c r="P2915" s="149"/>
      <c r="Q2915" s="149"/>
      <c r="R2915" s="149"/>
      <c r="S2915" s="149"/>
      <c r="T2915" s="149"/>
      <c r="U2915" s="149"/>
      <c r="V2915" s="149"/>
      <c r="W2915" s="149"/>
      <c r="X2915" s="149"/>
      <c r="Y2915" s="149"/>
      <c r="Z2915" s="149"/>
      <c r="AA2915" s="149"/>
      <c r="AB2915" s="149"/>
      <c r="AC2915" s="149"/>
      <c r="AD2915" s="149"/>
      <c r="AE2915" s="149"/>
      <c r="AF2915" s="149"/>
      <c r="AG2915" s="149"/>
      <c r="AH2915" s="149"/>
      <c r="AI2915" s="149"/>
      <c r="AJ2915" s="149"/>
      <c r="AK2915" s="149"/>
      <c r="AL2915" s="149"/>
      <c r="AM2915" s="149"/>
      <c r="AN2915" s="149"/>
      <c r="AO2915" s="128"/>
      <c r="AP2915" s="128"/>
      <c r="AQ2915" s="128"/>
      <c r="AR2915" s="128"/>
      <c r="AS2915" s="128"/>
      <c r="AT2915" s="128"/>
      <c r="AU2915" s="128"/>
      <c r="AV2915" s="128"/>
      <c r="AW2915" s="128"/>
      <c r="AX2915" s="128"/>
      <c r="AY2915" s="128"/>
      <c r="AZ2915" s="128"/>
      <c r="BA2915" s="128"/>
      <c r="BB2915" s="128"/>
      <c r="BC2915" s="128"/>
      <c r="BD2915" s="128"/>
      <c r="BE2915" s="128"/>
      <c r="BF2915" s="128"/>
      <c r="BG2915" s="128"/>
      <c r="BH2915" s="128"/>
      <c r="BI2915" s="128"/>
      <c r="BJ2915" s="128"/>
      <c r="BK2915" s="128"/>
      <c r="BL2915" s="128"/>
      <c r="BM2915" s="151"/>
      <c r="BN2915" s="128"/>
      <c r="BO2915" s="128"/>
      <c r="BP2915" s="128"/>
      <c r="BQ2915" s="128"/>
      <c r="BR2915" s="128"/>
      <c r="BS2915" s="128"/>
      <c r="BT2915" s="128"/>
      <c r="BU2915" s="128"/>
      <c r="BV2915" s="128"/>
      <c r="BW2915" s="128"/>
      <c r="BX2915" s="128"/>
      <c r="BY2915" s="128"/>
      <c r="BZ2915" s="128"/>
      <c r="CA2915" s="128"/>
      <c r="CB2915" s="128"/>
      <c r="CC2915" s="128"/>
      <c r="CD2915" s="128"/>
      <c r="CE2915" s="128"/>
      <c r="CF2915" s="128"/>
      <c r="CG2915" s="128"/>
      <c r="CI2915" s="128"/>
      <c r="CJ2915" s="128"/>
      <c r="CK2915" s="128"/>
      <c r="CL2915" s="128"/>
      <c r="CM2915" s="128"/>
      <c r="CN2915" s="128"/>
      <c r="CO2915" s="128"/>
      <c r="CP2915" s="128"/>
      <c r="CQ2915" s="128"/>
      <c r="CR2915" s="128"/>
      <c r="CS2915" s="128"/>
      <c r="CT2915" s="128"/>
      <c r="CU2915" s="128"/>
      <c r="CV2915" s="128"/>
      <c r="CW2915" s="128"/>
      <c r="CX2915" s="128"/>
      <c r="CY2915" s="128"/>
      <c r="CZ2915" s="165"/>
    </row>
    <row r="2916" spans="1:104">
      <c r="A2916" s="149"/>
      <c r="B2916" s="149"/>
      <c r="C2916" s="150"/>
      <c r="D2916" s="102"/>
      <c r="E2916" s="149"/>
      <c r="F2916" s="149"/>
      <c r="G2916" s="149"/>
      <c r="H2916" s="149"/>
      <c r="I2916" s="149"/>
      <c r="J2916" s="149"/>
      <c r="K2916" s="149"/>
      <c r="L2916" s="149"/>
      <c r="M2916" s="149"/>
      <c r="N2916" s="149"/>
      <c r="O2916" s="149"/>
      <c r="P2916" s="149"/>
      <c r="Q2916" s="149"/>
      <c r="R2916" s="149"/>
      <c r="S2916" s="149"/>
      <c r="T2916" s="149"/>
      <c r="U2916" s="149"/>
      <c r="V2916" s="149"/>
      <c r="W2916" s="149"/>
      <c r="X2916" s="149"/>
      <c r="Y2916" s="149"/>
      <c r="Z2916" s="149"/>
      <c r="AA2916" s="149"/>
      <c r="AB2916" s="149"/>
      <c r="AC2916" s="149"/>
      <c r="AD2916" s="149"/>
      <c r="AE2916" s="149"/>
      <c r="AF2916" s="149"/>
      <c r="AG2916" s="149"/>
      <c r="AH2916" s="149"/>
      <c r="AI2916" s="149"/>
      <c r="AJ2916" s="149"/>
      <c r="AK2916" s="149"/>
      <c r="AL2916" s="149"/>
      <c r="AM2916" s="149"/>
      <c r="AN2916" s="149"/>
      <c r="AO2916" s="128"/>
      <c r="AP2916" s="128"/>
      <c r="AQ2916" s="128"/>
      <c r="AR2916" s="128"/>
      <c r="AS2916" s="128"/>
      <c r="AT2916" s="128"/>
      <c r="AU2916" s="128"/>
      <c r="AV2916" s="128"/>
      <c r="AW2916" s="128"/>
      <c r="AX2916" s="128"/>
      <c r="AY2916" s="128"/>
      <c r="AZ2916" s="128"/>
      <c r="BA2916" s="128"/>
      <c r="BB2916" s="128"/>
      <c r="BC2916" s="128"/>
      <c r="BD2916" s="128"/>
      <c r="BE2916" s="128"/>
      <c r="BF2916" s="128"/>
      <c r="BG2916" s="128"/>
      <c r="BH2916" s="128"/>
      <c r="BI2916" s="128"/>
      <c r="BJ2916" s="128"/>
      <c r="BK2916" s="128"/>
      <c r="BL2916" s="128"/>
      <c r="BM2916" s="151"/>
      <c r="BN2916" s="128"/>
      <c r="BO2916" s="128"/>
      <c r="BP2916" s="128"/>
      <c r="BQ2916" s="128"/>
      <c r="BR2916" s="128"/>
      <c r="BS2916" s="128"/>
      <c r="BT2916" s="128"/>
      <c r="BU2916" s="128"/>
      <c r="BV2916" s="128"/>
      <c r="BW2916" s="128"/>
      <c r="BX2916" s="128"/>
      <c r="BY2916" s="128"/>
      <c r="BZ2916" s="128"/>
      <c r="CA2916" s="128"/>
      <c r="CB2916" s="128"/>
      <c r="CC2916" s="128"/>
      <c r="CD2916" s="128"/>
      <c r="CE2916" s="128"/>
      <c r="CF2916" s="128"/>
      <c r="CG2916" s="128"/>
      <c r="CI2916" s="128"/>
      <c r="CJ2916" s="128"/>
      <c r="CK2916" s="128"/>
      <c r="CL2916" s="128"/>
      <c r="CM2916" s="128"/>
      <c r="CN2916" s="128"/>
      <c r="CO2916" s="128"/>
      <c r="CP2916" s="128"/>
      <c r="CQ2916" s="128"/>
      <c r="CR2916" s="128"/>
      <c r="CS2916" s="128"/>
      <c r="CT2916" s="128"/>
      <c r="CU2916" s="128"/>
      <c r="CV2916" s="128"/>
      <c r="CW2916" s="128"/>
      <c r="CX2916" s="128"/>
      <c r="CY2916" s="128"/>
      <c r="CZ2916" s="165"/>
    </row>
    <row r="2917" spans="1:104">
      <c r="A2917" s="149"/>
      <c r="B2917" s="149"/>
      <c r="C2917" s="150"/>
      <c r="D2917" s="102"/>
      <c r="E2917" s="149"/>
      <c r="F2917" s="149"/>
      <c r="G2917" s="149"/>
      <c r="H2917" s="149"/>
      <c r="I2917" s="149"/>
      <c r="J2917" s="149"/>
      <c r="K2917" s="149"/>
      <c r="L2917" s="149"/>
      <c r="M2917" s="149"/>
      <c r="N2917" s="149"/>
      <c r="O2917" s="149"/>
      <c r="P2917" s="149"/>
      <c r="Q2917" s="149"/>
      <c r="R2917" s="149"/>
      <c r="S2917" s="149"/>
      <c r="T2917" s="149"/>
      <c r="U2917" s="149"/>
      <c r="V2917" s="149"/>
      <c r="W2917" s="149"/>
      <c r="X2917" s="149"/>
      <c r="Y2917" s="149"/>
      <c r="Z2917" s="149"/>
      <c r="AA2917" s="149"/>
      <c r="AB2917" s="149"/>
      <c r="AC2917" s="149"/>
      <c r="AD2917" s="149"/>
      <c r="AE2917" s="149"/>
      <c r="AF2917" s="149"/>
      <c r="AG2917" s="149"/>
      <c r="AH2917" s="149"/>
      <c r="AI2917" s="149"/>
      <c r="AJ2917" s="149"/>
      <c r="AK2917" s="149"/>
      <c r="AL2917" s="149"/>
      <c r="AM2917" s="149"/>
      <c r="AN2917" s="149"/>
      <c r="AO2917" s="128"/>
      <c r="AP2917" s="128"/>
      <c r="AQ2917" s="128"/>
      <c r="AR2917" s="128"/>
      <c r="AS2917" s="128"/>
      <c r="AT2917" s="128"/>
      <c r="AU2917" s="128"/>
      <c r="AV2917" s="128"/>
      <c r="AW2917" s="128"/>
      <c r="AX2917" s="128"/>
      <c r="AY2917" s="128"/>
      <c r="AZ2917" s="128"/>
      <c r="BA2917" s="128"/>
      <c r="BB2917" s="128"/>
      <c r="BC2917" s="128"/>
      <c r="BD2917" s="128"/>
      <c r="BE2917" s="128"/>
      <c r="BF2917" s="128"/>
      <c r="BG2917" s="128"/>
      <c r="BH2917" s="128"/>
      <c r="BI2917" s="128"/>
      <c r="BJ2917" s="128"/>
      <c r="BK2917" s="128"/>
      <c r="BL2917" s="128"/>
      <c r="BM2917" s="151"/>
      <c r="BN2917" s="128"/>
      <c r="BO2917" s="128"/>
      <c r="BP2917" s="128"/>
      <c r="BQ2917" s="128"/>
      <c r="BR2917" s="128"/>
      <c r="BS2917" s="128"/>
      <c r="BT2917" s="128"/>
      <c r="BU2917" s="128"/>
      <c r="BV2917" s="128"/>
      <c r="BW2917" s="128"/>
      <c r="BX2917" s="128"/>
      <c r="BY2917" s="128"/>
      <c r="BZ2917" s="128"/>
      <c r="CA2917" s="128"/>
      <c r="CB2917" s="128"/>
      <c r="CC2917" s="128"/>
      <c r="CD2917" s="128"/>
      <c r="CE2917" s="128"/>
      <c r="CF2917" s="128"/>
      <c r="CG2917" s="128"/>
      <c r="CI2917" s="128"/>
      <c r="CJ2917" s="128"/>
      <c r="CK2917" s="128"/>
      <c r="CL2917" s="128"/>
      <c r="CM2917" s="128"/>
      <c r="CN2917" s="128"/>
      <c r="CO2917" s="128"/>
      <c r="CP2917" s="128"/>
      <c r="CQ2917" s="128"/>
      <c r="CR2917" s="128"/>
      <c r="CS2917" s="128"/>
      <c r="CT2917" s="128"/>
      <c r="CU2917" s="128"/>
      <c r="CV2917" s="128"/>
      <c r="CW2917" s="128"/>
      <c r="CX2917" s="128"/>
      <c r="CY2917" s="128"/>
      <c r="CZ2917" s="165"/>
    </row>
    <row r="2918" spans="1:104">
      <c r="A2918" s="149"/>
      <c r="B2918" s="149"/>
      <c r="C2918" s="150"/>
      <c r="D2918" s="102"/>
      <c r="E2918" s="149"/>
      <c r="F2918" s="149"/>
      <c r="G2918" s="149"/>
      <c r="H2918" s="149"/>
      <c r="I2918" s="149"/>
      <c r="J2918" s="149"/>
      <c r="K2918" s="149"/>
      <c r="L2918" s="149"/>
      <c r="M2918" s="149"/>
      <c r="N2918" s="149"/>
      <c r="O2918" s="149"/>
      <c r="P2918" s="149"/>
      <c r="Q2918" s="149"/>
      <c r="R2918" s="149"/>
      <c r="S2918" s="149"/>
      <c r="T2918" s="149"/>
      <c r="U2918" s="149"/>
      <c r="V2918" s="149"/>
      <c r="W2918" s="149"/>
      <c r="X2918" s="149"/>
      <c r="Y2918" s="149"/>
      <c r="Z2918" s="149"/>
      <c r="AA2918" s="149"/>
      <c r="AB2918" s="149"/>
      <c r="AC2918" s="149"/>
      <c r="AD2918" s="149"/>
      <c r="AE2918" s="149"/>
      <c r="AF2918" s="149"/>
      <c r="AG2918" s="149"/>
      <c r="AH2918" s="149"/>
      <c r="AI2918" s="149"/>
      <c r="AJ2918" s="149"/>
      <c r="AK2918" s="149"/>
      <c r="AL2918" s="149"/>
      <c r="AM2918" s="149"/>
      <c r="AN2918" s="149"/>
      <c r="AO2918" s="128"/>
      <c r="AP2918" s="128"/>
      <c r="AQ2918" s="128"/>
      <c r="AR2918" s="128"/>
      <c r="AS2918" s="128"/>
      <c r="AT2918" s="128"/>
      <c r="AU2918" s="128"/>
      <c r="AV2918" s="128"/>
      <c r="AW2918" s="128"/>
      <c r="AX2918" s="128"/>
      <c r="AY2918" s="128"/>
      <c r="AZ2918" s="128"/>
      <c r="BA2918" s="128"/>
      <c r="BB2918" s="128"/>
      <c r="BC2918" s="128"/>
      <c r="BD2918" s="128"/>
      <c r="BE2918" s="128"/>
      <c r="BF2918" s="128"/>
      <c r="BG2918" s="128"/>
      <c r="BH2918" s="128"/>
      <c r="BI2918" s="128"/>
      <c r="BJ2918" s="128"/>
      <c r="BK2918" s="128"/>
      <c r="BL2918" s="128"/>
      <c r="BM2918" s="151"/>
      <c r="BN2918" s="128"/>
      <c r="BO2918" s="128"/>
      <c r="BP2918" s="128"/>
      <c r="BQ2918" s="128"/>
      <c r="BR2918" s="128"/>
      <c r="BS2918" s="128"/>
      <c r="BT2918" s="128"/>
      <c r="BU2918" s="128"/>
      <c r="BV2918" s="128"/>
      <c r="BW2918" s="128"/>
      <c r="BX2918" s="128"/>
      <c r="BY2918" s="128"/>
      <c r="BZ2918" s="128"/>
      <c r="CA2918" s="128"/>
      <c r="CB2918" s="128"/>
      <c r="CC2918" s="128"/>
      <c r="CD2918" s="128"/>
      <c r="CE2918" s="128"/>
      <c r="CF2918" s="128"/>
      <c r="CG2918" s="128"/>
      <c r="CI2918" s="128"/>
      <c r="CJ2918" s="128"/>
      <c r="CK2918" s="128"/>
      <c r="CL2918" s="128"/>
      <c r="CM2918" s="128"/>
      <c r="CN2918" s="128"/>
      <c r="CO2918" s="128"/>
      <c r="CP2918" s="128"/>
      <c r="CQ2918" s="128"/>
      <c r="CR2918" s="128"/>
      <c r="CS2918" s="128"/>
      <c r="CT2918" s="128"/>
      <c r="CU2918" s="128"/>
      <c r="CV2918" s="128"/>
      <c r="CW2918" s="128"/>
      <c r="CX2918" s="128"/>
      <c r="CY2918" s="128"/>
      <c r="CZ2918" s="165"/>
    </row>
    <row r="2919" spans="1:104">
      <c r="A2919" s="149"/>
      <c r="B2919" s="149"/>
      <c r="C2919" s="150"/>
      <c r="D2919" s="102"/>
      <c r="E2919" s="149"/>
      <c r="F2919" s="149"/>
      <c r="G2919" s="149"/>
      <c r="H2919" s="149"/>
      <c r="I2919" s="149"/>
      <c r="J2919" s="149"/>
      <c r="K2919" s="149"/>
      <c r="L2919" s="149"/>
      <c r="M2919" s="149"/>
      <c r="N2919" s="149"/>
      <c r="O2919" s="149"/>
      <c r="P2919" s="149"/>
      <c r="Q2919" s="149"/>
      <c r="R2919" s="149"/>
      <c r="S2919" s="149"/>
      <c r="T2919" s="149"/>
      <c r="U2919" s="149"/>
      <c r="V2919" s="149"/>
      <c r="W2919" s="149"/>
      <c r="X2919" s="149"/>
      <c r="Y2919" s="149"/>
      <c r="Z2919" s="149"/>
      <c r="AA2919" s="149"/>
      <c r="AB2919" s="149"/>
      <c r="AC2919" s="149"/>
      <c r="AD2919" s="149"/>
      <c r="AE2919" s="149"/>
      <c r="AF2919" s="149"/>
      <c r="AG2919" s="149"/>
      <c r="AH2919" s="149"/>
      <c r="AI2919" s="149"/>
      <c r="AJ2919" s="149"/>
      <c r="AK2919" s="149"/>
      <c r="AL2919" s="149"/>
      <c r="AM2919" s="149"/>
      <c r="AN2919" s="149"/>
      <c r="AO2919" s="128"/>
      <c r="AP2919" s="128"/>
      <c r="AQ2919" s="128"/>
      <c r="AR2919" s="128"/>
      <c r="AS2919" s="128"/>
      <c r="AT2919" s="128"/>
      <c r="AU2919" s="128"/>
      <c r="AV2919" s="128"/>
      <c r="AW2919" s="128"/>
      <c r="AX2919" s="128"/>
      <c r="AY2919" s="128"/>
      <c r="AZ2919" s="128"/>
      <c r="BA2919" s="128"/>
      <c r="BB2919" s="128"/>
      <c r="BC2919" s="128"/>
      <c r="BD2919" s="128"/>
      <c r="BE2919" s="128"/>
      <c r="BF2919" s="128"/>
      <c r="BG2919" s="128"/>
      <c r="BH2919" s="128"/>
      <c r="BI2919" s="128"/>
      <c r="BJ2919" s="128"/>
      <c r="BK2919" s="128"/>
      <c r="BL2919" s="128"/>
      <c r="BM2919" s="151"/>
      <c r="BN2919" s="128"/>
      <c r="BO2919" s="128"/>
      <c r="BP2919" s="128"/>
      <c r="BQ2919" s="128"/>
      <c r="BR2919" s="128"/>
      <c r="BS2919" s="128"/>
      <c r="BT2919" s="128"/>
      <c r="BU2919" s="128"/>
      <c r="BV2919" s="128"/>
      <c r="BW2919" s="128"/>
      <c r="BX2919" s="128"/>
      <c r="BY2919" s="128"/>
      <c r="BZ2919" s="128"/>
      <c r="CA2919" s="128"/>
      <c r="CB2919" s="128"/>
      <c r="CC2919" s="128"/>
      <c r="CD2919" s="128"/>
      <c r="CE2919" s="128"/>
      <c r="CF2919" s="128"/>
      <c r="CG2919" s="128"/>
      <c r="CI2919" s="128"/>
      <c r="CJ2919" s="128"/>
      <c r="CK2919" s="128"/>
      <c r="CL2919" s="128"/>
      <c r="CM2919" s="128"/>
      <c r="CN2919" s="128"/>
      <c r="CO2919" s="128"/>
      <c r="CP2919" s="128"/>
      <c r="CQ2919" s="128"/>
      <c r="CR2919" s="128"/>
      <c r="CS2919" s="128"/>
      <c r="CT2919" s="128"/>
      <c r="CU2919" s="128"/>
      <c r="CV2919" s="128"/>
      <c r="CW2919" s="128"/>
      <c r="CX2919" s="128"/>
      <c r="CY2919" s="128"/>
      <c r="CZ2919" s="165"/>
    </row>
    <row r="2920" spans="1:104">
      <c r="A2920" s="149"/>
      <c r="B2920" s="149"/>
      <c r="C2920" s="150"/>
      <c r="D2920" s="102"/>
      <c r="E2920" s="149"/>
      <c r="F2920" s="149"/>
      <c r="G2920" s="149"/>
      <c r="H2920" s="149"/>
      <c r="I2920" s="149"/>
      <c r="J2920" s="149"/>
      <c r="K2920" s="149"/>
      <c r="L2920" s="149"/>
      <c r="M2920" s="149"/>
      <c r="N2920" s="149"/>
      <c r="O2920" s="149"/>
      <c r="P2920" s="149"/>
      <c r="Q2920" s="149"/>
      <c r="R2920" s="149"/>
      <c r="S2920" s="149"/>
      <c r="T2920" s="149"/>
      <c r="U2920" s="149"/>
      <c r="V2920" s="149"/>
      <c r="W2920" s="149"/>
      <c r="X2920" s="149"/>
      <c r="Y2920" s="149"/>
      <c r="Z2920" s="149"/>
      <c r="AA2920" s="149"/>
      <c r="AB2920" s="149"/>
      <c r="AC2920" s="149"/>
      <c r="AD2920" s="149"/>
      <c r="AE2920" s="149"/>
      <c r="AF2920" s="149"/>
      <c r="AG2920" s="149"/>
      <c r="AH2920" s="149"/>
      <c r="AI2920" s="149"/>
      <c r="AJ2920" s="149"/>
      <c r="AK2920" s="149"/>
      <c r="AL2920" s="149"/>
      <c r="AM2920" s="149"/>
      <c r="AN2920" s="149"/>
      <c r="AO2920" s="128"/>
      <c r="AP2920" s="128"/>
      <c r="AQ2920" s="128"/>
      <c r="AR2920" s="128"/>
      <c r="AS2920" s="128"/>
      <c r="AT2920" s="128"/>
      <c r="AU2920" s="128"/>
      <c r="AV2920" s="128"/>
      <c r="AW2920" s="128"/>
      <c r="AX2920" s="128"/>
      <c r="AY2920" s="128"/>
      <c r="AZ2920" s="128"/>
      <c r="BA2920" s="128"/>
      <c r="BB2920" s="128"/>
      <c r="BC2920" s="128"/>
      <c r="BD2920" s="128"/>
      <c r="BE2920" s="128"/>
      <c r="BF2920" s="128"/>
      <c r="BG2920" s="128"/>
      <c r="BH2920" s="128"/>
      <c r="BI2920" s="128"/>
      <c r="BJ2920" s="128"/>
      <c r="BK2920" s="128"/>
      <c r="BL2920" s="128"/>
      <c r="BM2920" s="151"/>
      <c r="BN2920" s="128"/>
      <c r="BO2920" s="128"/>
      <c r="BP2920" s="128"/>
      <c r="BQ2920" s="128"/>
      <c r="BR2920" s="128"/>
      <c r="BS2920" s="128"/>
      <c r="BT2920" s="128"/>
      <c r="BU2920" s="128"/>
      <c r="BV2920" s="128"/>
      <c r="BW2920" s="128"/>
      <c r="BX2920" s="128"/>
      <c r="BY2920" s="128"/>
      <c r="BZ2920" s="128"/>
      <c r="CA2920" s="128"/>
      <c r="CB2920" s="128"/>
      <c r="CC2920" s="128"/>
      <c r="CD2920" s="128"/>
      <c r="CE2920" s="128"/>
      <c r="CF2920" s="128"/>
      <c r="CG2920" s="128"/>
      <c r="CI2920" s="128"/>
      <c r="CJ2920" s="128"/>
      <c r="CK2920" s="128"/>
      <c r="CL2920" s="128"/>
      <c r="CM2920" s="128"/>
      <c r="CN2920" s="128"/>
      <c r="CO2920" s="128"/>
      <c r="CP2920" s="128"/>
      <c r="CQ2920" s="128"/>
      <c r="CR2920" s="128"/>
      <c r="CS2920" s="128"/>
      <c r="CT2920" s="128"/>
      <c r="CU2920" s="128"/>
      <c r="CV2920" s="128"/>
      <c r="CW2920" s="128"/>
      <c r="CX2920" s="128"/>
      <c r="CY2920" s="128"/>
      <c r="CZ2920" s="165"/>
    </row>
    <row r="2921" spans="1:104">
      <c r="A2921" s="149"/>
      <c r="B2921" s="149"/>
      <c r="C2921" s="150"/>
      <c r="D2921" s="102"/>
      <c r="E2921" s="149"/>
      <c r="F2921" s="149"/>
      <c r="G2921" s="149"/>
      <c r="H2921" s="149"/>
      <c r="I2921" s="149"/>
      <c r="J2921" s="149"/>
      <c r="K2921" s="149"/>
      <c r="L2921" s="149"/>
      <c r="M2921" s="149"/>
      <c r="N2921" s="149"/>
      <c r="O2921" s="149"/>
      <c r="P2921" s="149"/>
      <c r="Q2921" s="149"/>
      <c r="R2921" s="149"/>
      <c r="S2921" s="149"/>
      <c r="T2921" s="149"/>
      <c r="U2921" s="149"/>
      <c r="V2921" s="149"/>
      <c r="W2921" s="149"/>
      <c r="X2921" s="149"/>
      <c r="Y2921" s="149"/>
      <c r="Z2921" s="149"/>
      <c r="AA2921" s="149"/>
      <c r="AB2921" s="149"/>
      <c r="AC2921" s="149"/>
      <c r="AD2921" s="149"/>
      <c r="AE2921" s="149"/>
      <c r="AF2921" s="149"/>
      <c r="AG2921" s="149"/>
      <c r="AH2921" s="149"/>
      <c r="AI2921" s="149"/>
      <c r="AJ2921" s="149"/>
      <c r="AK2921" s="149"/>
      <c r="AL2921" s="149"/>
      <c r="AM2921" s="149"/>
      <c r="AN2921" s="149"/>
      <c r="AO2921" s="128"/>
      <c r="AP2921" s="128"/>
      <c r="AQ2921" s="128"/>
      <c r="AR2921" s="128"/>
      <c r="AS2921" s="128"/>
      <c r="AT2921" s="128"/>
      <c r="AU2921" s="128"/>
      <c r="AV2921" s="128"/>
      <c r="AW2921" s="128"/>
      <c r="AX2921" s="128"/>
      <c r="AY2921" s="128"/>
      <c r="AZ2921" s="128"/>
      <c r="BA2921" s="128"/>
      <c r="BB2921" s="128"/>
      <c r="BC2921" s="128"/>
      <c r="BD2921" s="128"/>
      <c r="BE2921" s="128"/>
      <c r="BF2921" s="128"/>
      <c r="BG2921" s="128"/>
      <c r="BH2921" s="128"/>
      <c r="BI2921" s="128"/>
      <c r="BJ2921" s="128"/>
      <c r="BK2921" s="128"/>
      <c r="BL2921" s="128"/>
      <c r="BM2921" s="151"/>
      <c r="BN2921" s="128"/>
      <c r="BO2921" s="128"/>
      <c r="BP2921" s="128"/>
      <c r="BQ2921" s="128"/>
      <c r="BR2921" s="128"/>
      <c r="BS2921" s="128"/>
      <c r="BT2921" s="128"/>
      <c r="BU2921" s="128"/>
      <c r="BV2921" s="128"/>
      <c r="BW2921" s="128"/>
      <c r="BX2921" s="128"/>
      <c r="BY2921" s="128"/>
      <c r="BZ2921" s="128"/>
      <c r="CA2921" s="128"/>
      <c r="CB2921" s="128"/>
      <c r="CC2921" s="128"/>
      <c r="CD2921" s="128"/>
      <c r="CE2921" s="128"/>
      <c r="CF2921" s="128"/>
      <c r="CG2921" s="128"/>
      <c r="CI2921" s="128"/>
      <c r="CJ2921" s="128"/>
      <c r="CK2921" s="128"/>
      <c r="CL2921" s="128"/>
      <c r="CM2921" s="128"/>
      <c r="CN2921" s="128"/>
      <c r="CO2921" s="128"/>
      <c r="CP2921" s="128"/>
      <c r="CQ2921" s="128"/>
      <c r="CR2921" s="128"/>
      <c r="CS2921" s="128"/>
      <c r="CT2921" s="128"/>
      <c r="CU2921" s="128"/>
      <c r="CV2921" s="128"/>
      <c r="CW2921" s="128"/>
      <c r="CX2921" s="128"/>
      <c r="CY2921" s="128"/>
      <c r="CZ2921" s="165"/>
    </row>
    <row r="2922" spans="1:104">
      <c r="A2922" s="149"/>
      <c r="B2922" s="149"/>
      <c r="C2922" s="150"/>
      <c r="D2922" s="102"/>
      <c r="E2922" s="149"/>
      <c r="F2922" s="149"/>
      <c r="G2922" s="149"/>
      <c r="H2922" s="149"/>
      <c r="I2922" s="149"/>
      <c r="J2922" s="149"/>
      <c r="K2922" s="149"/>
      <c r="L2922" s="149"/>
      <c r="M2922" s="149"/>
      <c r="N2922" s="149"/>
      <c r="O2922" s="149"/>
      <c r="P2922" s="149"/>
      <c r="Q2922" s="149"/>
      <c r="R2922" s="149"/>
      <c r="S2922" s="149"/>
      <c r="T2922" s="149"/>
      <c r="U2922" s="149"/>
      <c r="V2922" s="149"/>
      <c r="W2922" s="149"/>
      <c r="X2922" s="149"/>
      <c r="Y2922" s="149"/>
      <c r="Z2922" s="149"/>
      <c r="AA2922" s="149"/>
      <c r="AB2922" s="149"/>
      <c r="AC2922" s="149"/>
      <c r="AD2922" s="149"/>
      <c r="AE2922" s="149"/>
      <c r="AF2922" s="149"/>
      <c r="AG2922" s="149"/>
      <c r="AH2922" s="149"/>
      <c r="AI2922" s="149"/>
      <c r="AJ2922" s="149"/>
      <c r="AK2922" s="149"/>
      <c r="AL2922" s="149"/>
      <c r="AM2922" s="149"/>
      <c r="AN2922" s="149"/>
      <c r="AO2922" s="128"/>
      <c r="AP2922" s="128"/>
      <c r="AQ2922" s="128"/>
      <c r="AR2922" s="128"/>
      <c r="AS2922" s="128"/>
      <c r="AT2922" s="128"/>
      <c r="AU2922" s="128"/>
      <c r="AV2922" s="128"/>
      <c r="AW2922" s="128"/>
      <c r="AX2922" s="128"/>
      <c r="AY2922" s="128"/>
      <c r="AZ2922" s="128"/>
      <c r="BA2922" s="128"/>
      <c r="BB2922" s="128"/>
      <c r="BC2922" s="128"/>
      <c r="BD2922" s="128"/>
      <c r="BE2922" s="128"/>
      <c r="BF2922" s="128"/>
      <c r="BG2922" s="128"/>
      <c r="BH2922" s="128"/>
      <c r="BI2922" s="128"/>
      <c r="BJ2922" s="128"/>
      <c r="BK2922" s="128"/>
      <c r="BL2922" s="128"/>
      <c r="BM2922" s="151"/>
      <c r="BN2922" s="128"/>
      <c r="BO2922" s="128"/>
      <c r="BP2922" s="128"/>
      <c r="BQ2922" s="128"/>
      <c r="BR2922" s="128"/>
      <c r="BS2922" s="128"/>
      <c r="BT2922" s="128"/>
      <c r="BU2922" s="128"/>
      <c r="BV2922" s="128"/>
      <c r="BW2922" s="128"/>
      <c r="BX2922" s="128"/>
      <c r="BY2922" s="128"/>
      <c r="BZ2922" s="128"/>
      <c r="CA2922" s="128"/>
      <c r="CB2922" s="128"/>
      <c r="CC2922" s="128"/>
      <c r="CD2922" s="128"/>
      <c r="CE2922" s="128"/>
      <c r="CF2922" s="128"/>
      <c r="CG2922" s="128"/>
      <c r="CI2922" s="128"/>
      <c r="CJ2922" s="128"/>
      <c r="CK2922" s="128"/>
      <c r="CL2922" s="128"/>
      <c r="CM2922" s="128"/>
      <c r="CN2922" s="128"/>
      <c r="CO2922" s="128"/>
      <c r="CP2922" s="128"/>
      <c r="CQ2922" s="128"/>
      <c r="CR2922" s="128"/>
      <c r="CS2922" s="128"/>
      <c r="CT2922" s="128"/>
      <c r="CU2922" s="128"/>
      <c r="CV2922" s="128"/>
      <c r="CW2922" s="128"/>
      <c r="CX2922" s="128"/>
      <c r="CY2922" s="128"/>
      <c r="CZ2922" s="165"/>
    </row>
    <row r="2923" spans="1:104">
      <c r="A2923" s="149"/>
      <c r="B2923" s="149"/>
      <c r="C2923" s="150"/>
      <c r="D2923" s="102"/>
      <c r="E2923" s="149"/>
      <c r="F2923" s="149"/>
      <c r="G2923" s="149"/>
      <c r="H2923" s="149"/>
      <c r="I2923" s="149"/>
      <c r="J2923" s="149"/>
      <c r="K2923" s="149"/>
      <c r="L2923" s="149"/>
      <c r="M2923" s="149"/>
      <c r="N2923" s="149"/>
      <c r="O2923" s="149"/>
      <c r="P2923" s="149"/>
      <c r="Q2923" s="149"/>
      <c r="R2923" s="149"/>
      <c r="S2923" s="149"/>
      <c r="T2923" s="149"/>
      <c r="U2923" s="149"/>
      <c r="V2923" s="149"/>
      <c r="W2923" s="149"/>
      <c r="X2923" s="149"/>
      <c r="Y2923" s="149"/>
      <c r="Z2923" s="149"/>
      <c r="AA2923" s="149"/>
      <c r="AB2923" s="149"/>
      <c r="AC2923" s="149"/>
      <c r="AD2923" s="149"/>
      <c r="AE2923" s="149"/>
      <c r="AF2923" s="149"/>
      <c r="AG2923" s="149"/>
      <c r="AH2923" s="149"/>
      <c r="AI2923" s="149"/>
      <c r="AJ2923" s="149"/>
      <c r="AK2923" s="149"/>
      <c r="AL2923" s="149"/>
      <c r="AM2923" s="149"/>
      <c r="AN2923" s="149"/>
      <c r="AO2923" s="128"/>
      <c r="AP2923" s="128"/>
      <c r="AQ2923" s="128"/>
      <c r="AR2923" s="128"/>
      <c r="AS2923" s="128"/>
      <c r="AT2923" s="128"/>
      <c r="AU2923" s="128"/>
      <c r="AV2923" s="128"/>
      <c r="AW2923" s="128"/>
      <c r="AX2923" s="128"/>
      <c r="AY2923" s="128"/>
      <c r="AZ2923" s="128"/>
      <c r="BA2923" s="128"/>
      <c r="BB2923" s="128"/>
      <c r="BC2923" s="128"/>
      <c r="BD2923" s="128"/>
      <c r="BE2923" s="128"/>
      <c r="BF2923" s="128"/>
      <c r="BG2923" s="128"/>
      <c r="BH2923" s="128"/>
      <c r="BI2923" s="128"/>
      <c r="BJ2923" s="128"/>
      <c r="BK2923" s="128"/>
      <c r="BL2923" s="128"/>
      <c r="BM2923" s="151"/>
      <c r="BN2923" s="128"/>
      <c r="BO2923" s="128"/>
      <c r="BP2923" s="128"/>
      <c r="BQ2923" s="128"/>
      <c r="BR2923" s="128"/>
      <c r="BS2923" s="128"/>
      <c r="BT2923" s="128"/>
      <c r="BU2923" s="128"/>
      <c r="BV2923" s="128"/>
      <c r="BW2923" s="128"/>
      <c r="BX2923" s="128"/>
      <c r="BY2923" s="128"/>
      <c r="BZ2923" s="128"/>
      <c r="CA2923" s="128"/>
      <c r="CB2923" s="128"/>
      <c r="CC2923" s="128"/>
      <c r="CD2923" s="128"/>
      <c r="CE2923" s="128"/>
      <c r="CF2923" s="128"/>
      <c r="CG2923" s="128"/>
      <c r="CI2923" s="128"/>
      <c r="CJ2923" s="128"/>
      <c r="CK2923" s="128"/>
      <c r="CL2923" s="128"/>
      <c r="CM2923" s="128"/>
      <c r="CN2923" s="128"/>
      <c r="CO2923" s="128"/>
      <c r="CP2923" s="128"/>
      <c r="CQ2923" s="128"/>
      <c r="CR2923" s="128"/>
      <c r="CS2923" s="128"/>
      <c r="CT2923" s="128"/>
      <c r="CU2923" s="128"/>
      <c r="CV2923" s="128"/>
      <c r="CW2923" s="128"/>
      <c r="CX2923" s="128"/>
      <c r="CY2923" s="128"/>
      <c r="CZ2923" s="165"/>
    </row>
    <row r="2924" spans="1:104">
      <c r="A2924" s="149"/>
      <c r="B2924" s="149"/>
      <c r="C2924" s="150"/>
      <c r="D2924" s="102"/>
      <c r="E2924" s="149"/>
      <c r="F2924" s="149"/>
      <c r="G2924" s="149"/>
      <c r="H2924" s="149"/>
      <c r="I2924" s="149"/>
      <c r="J2924" s="149"/>
      <c r="K2924" s="149"/>
      <c r="L2924" s="149"/>
      <c r="M2924" s="149"/>
      <c r="N2924" s="149"/>
      <c r="O2924" s="149"/>
      <c r="P2924" s="149"/>
      <c r="Q2924" s="149"/>
      <c r="R2924" s="149"/>
      <c r="S2924" s="149"/>
      <c r="T2924" s="149"/>
      <c r="U2924" s="149"/>
      <c r="V2924" s="149"/>
      <c r="W2924" s="149"/>
      <c r="X2924" s="149"/>
      <c r="Y2924" s="149"/>
      <c r="Z2924" s="149"/>
      <c r="AA2924" s="149"/>
      <c r="AB2924" s="149"/>
      <c r="AC2924" s="149"/>
      <c r="AD2924" s="149"/>
      <c r="AE2924" s="149"/>
      <c r="AF2924" s="149"/>
      <c r="AG2924" s="149"/>
      <c r="AH2924" s="149"/>
      <c r="AI2924" s="149"/>
      <c r="AJ2924" s="149"/>
      <c r="AK2924" s="149"/>
      <c r="AL2924" s="149"/>
      <c r="AM2924" s="149"/>
      <c r="AN2924" s="149"/>
      <c r="AO2924" s="128"/>
      <c r="AP2924" s="128"/>
      <c r="AQ2924" s="128"/>
      <c r="AR2924" s="128"/>
      <c r="AS2924" s="128"/>
      <c r="AT2924" s="128"/>
      <c r="AU2924" s="128"/>
      <c r="AV2924" s="128"/>
      <c r="AW2924" s="128"/>
      <c r="AX2924" s="128"/>
      <c r="AY2924" s="128"/>
      <c r="AZ2924" s="128"/>
      <c r="BA2924" s="128"/>
      <c r="BB2924" s="128"/>
      <c r="BC2924" s="128"/>
      <c r="BD2924" s="128"/>
      <c r="BE2924" s="128"/>
      <c r="BF2924" s="128"/>
      <c r="BG2924" s="128"/>
      <c r="BH2924" s="128"/>
      <c r="BI2924" s="128"/>
      <c r="BJ2924" s="128"/>
      <c r="BK2924" s="128"/>
      <c r="BL2924" s="128"/>
      <c r="BM2924" s="151"/>
      <c r="BN2924" s="128"/>
      <c r="BO2924" s="128"/>
      <c r="BP2924" s="128"/>
      <c r="BQ2924" s="128"/>
      <c r="BR2924" s="128"/>
      <c r="BS2924" s="128"/>
      <c r="BT2924" s="128"/>
      <c r="BU2924" s="128"/>
      <c r="BV2924" s="128"/>
      <c r="BW2924" s="128"/>
      <c r="BX2924" s="128"/>
      <c r="BY2924" s="128"/>
      <c r="BZ2924" s="128"/>
      <c r="CA2924" s="128"/>
      <c r="CB2924" s="128"/>
      <c r="CC2924" s="128"/>
      <c r="CD2924" s="128"/>
      <c r="CE2924" s="128"/>
      <c r="CF2924" s="128"/>
      <c r="CG2924" s="128"/>
      <c r="CI2924" s="128"/>
      <c r="CJ2924" s="128"/>
      <c r="CK2924" s="128"/>
      <c r="CL2924" s="128"/>
      <c r="CM2924" s="128"/>
      <c r="CN2924" s="128"/>
      <c r="CO2924" s="128"/>
      <c r="CP2924" s="128"/>
      <c r="CQ2924" s="128"/>
      <c r="CR2924" s="128"/>
      <c r="CS2924" s="128"/>
      <c r="CT2924" s="128"/>
      <c r="CU2924" s="128"/>
      <c r="CV2924" s="128"/>
      <c r="CW2924" s="128"/>
      <c r="CX2924" s="128"/>
      <c r="CY2924" s="128"/>
      <c r="CZ2924" s="165"/>
    </row>
    <row r="2925" spans="1:104">
      <c r="A2925" s="149"/>
      <c r="B2925" s="149"/>
      <c r="C2925" s="150"/>
      <c r="D2925" s="102"/>
      <c r="E2925" s="149"/>
      <c r="F2925" s="149"/>
      <c r="G2925" s="149"/>
      <c r="H2925" s="149"/>
      <c r="I2925" s="149"/>
      <c r="J2925" s="149"/>
      <c r="K2925" s="149"/>
      <c r="L2925" s="149"/>
      <c r="M2925" s="149"/>
      <c r="N2925" s="149"/>
      <c r="O2925" s="149"/>
      <c r="P2925" s="149"/>
      <c r="Q2925" s="149"/>
      <c r="R2925" s="149"/>
      <c r="S2925" s="149"/>
      <c r="T2925" s="149"/>
      <c r="U2925" s="149"/>
      <c r="V2925" s="149"/>
      <c r="W2925" s="149"/>
      <c r="X2925" s="149"/>
      <c r="Y2925" s="149"/>
      <c r="Z2925" s="149"/>
      <c r="AA2925" s="149"/>
      <c r="AB2925" s="149"/>
      <c r="AC2925" s="149"/>
      <c r="AD2925" s="149"/>
      <c r="AE2925" s="149"/>
      <c r="AF2925" s="149"/>
      <c r="AG2925" s="149"/>
      <c r="AH2925" s="149"/>
      <c r="AI2925" s="149"/>
      <c r="AJ2925" s="149"/>
      <c r="AK2925" s="149"/>
      <c r="AL2925" s="149"/>
      <c r="AM2925" s="149"/>
      <c r="AN2925" s="149"/>
      <c r="AO2925" s="128"/>
      <c r="AP2925" s="128"/>
      <c r="AQ2925" s="128"/>
      <c r="AR2925" s="128"/>
      <c r="AS2925" s="128"/>
      <c r="AT2925" s="128"/>
      <c r="AU2925" s="128"/>
      <c r="AV2925" s="128"/>
      <c r="AW2925" s="128"/>
      <c r="AX2925" s="128"/>
      <c r="AY2925" s="128"/>
      <c r="AZ2925" s="128"/>
      <c r="BA2925" s="128"/>
      <c r="BB2925" s="128"/>
      <c r="BC2925" s="128"/>
      <c r="BD2925" s="128"/>
      <c r="BE2925" s="128"/>
      <c r="BF2925" s="128"/>
      <c r="BG2925" s="128"/>
      <c r="BH2925" s="128"/>
      <c r="BI2925" s="128"/>
      <c r="BJ2925" s="128"/>
      <c r="BK2925" s="128"/>
      <c r="BL2925" s="128"/>
      <c r="BM2925" s="151"/>
      <c r="BN2925" s="128"/>
      <c r="BO2925" s="128"/>
      <c r="BP2925" s="128"/>
      <c r="BQ2925" s="128"/>
      <c r="BR2925" s="128"/>
      <c r="BS2925" s="128"/>
      <c r="BT2925" s="128"/>
      <c r="BU2925" s="128"/>
      <c r="BV2925" s="128"/>
      <c r="BW2925" s="128"/>
      <c r="BX2925" s="128"/>
      <c r="BY2925" s="128"/>
      <c r="BZ2925" s="128"/>
      <c r="CA2925" s="128"/>
      <c r="CB2925" s="128"/>
      <c r="CC2925" s="128"/>
      <c r="CD2925" s="128"/>
      <c r="CE2925" s="128"/>
      <c r="CF2925" s="128"/>
      <c r="CG2925" s="128"/>
      <c r="CI2925" s="128"/>
      <c r="CJ2925" s="128"/>
      <c r="CK2925" s="128"/>
      <c r="CL2925" s="128"/>
      <c r="CM2925" s="128"/>
      <c r="CN2925" s="128"/>
      <c r="CO2925" s="128"/>
      <c r="CP2925" s="128"/>
      <c r="CQ2925" s="128"/>
      <c r="CR2925" s="128"/>
      <c r="CS2925" s="128"/>
      <c r="CT2925" s="128"/>
      <c r="CU2925" s="128"/>
      <c r="CV2925" s="128"/>
      <c r="CW2925" s="128"/>
      <c r="CX2925" s="128"/>
      <c r="CY2925" s="128"/>
      <c r="CZ2925" s="165"/>
    </row>
    <row r="2926" spans="1:104">
      <c r="A2926" s="149"/>
      <c r="B2926" s="149"/>
      <c r="C2926" s="150"/>
      <c r="D2926" s="102"/>
      <c r="E2926" s="149"/>
      <c r="F2926" s="149"/>
      <c r="G2926" s="149"/>
      <c r="H2926" s="149"/>
      <c r="I2926" s="149"/>
      <c r="J2926" s="149"/>
      <c r="K2926" s="149"/>
      <c r="L2926" s="149"/>
      <c r="M2926" s="149"/>
      <c r="N2926" s="149"/>
      <c r="O2926" s="149"/>
      <c r="P2926" s="149"/>
      <c r="Q2926" s="149"/>
      <c r="R2926" s="149"/>
      <c r="S2926" s="149"/>
      <c r="T2926" s="149"/>
      <c r="U2926" s="149"/>
      <c r="V2926" s="149"/>
      <c r="W2926" s="149"/>
      <c r="X2926" s="149"/>
      <c r="Y2926" s="149"/>
      <c r="Z2926" s="149"/>
      <c r="AA2926" s="149"/>
      <c r="AB2926" s="149"/>
      <c r="AC2926" s="149"/>
      <c r="AD2926" s="149"/>
      <c r="AE2926" s="149"/>
      <c r="AF2926" s="149"/>
      <c r="AG2926" s="149"/>
      <c r="AH2926" s="149"/>
      <c r="AI2926" s="149"/>
      <c r="AJ2926" s="149"/>
      <c r="AK2926" s="149"/>
      <c r="AL2926" s="149"/>
      <c r="AM2926" s="149"/>
      <c r="AN2926" s="149"/>
      <c r="AO2926" s="128"/>
      <c r="AP2926" s="128"/>
      <c r="AQ2926" s="128"/>
      <c r="AR2926" s="128"/>
      <c r="AS2926" s="128"/>
      <c r="AT2926" s="128"/>
      <c r="AU2926" s="128"/>
      <c r="AV2926" s="128"/>
      <c r="AW2926" s="128"/>
      <c r="AX2926" s="128"/>
      <c r="AY2926" s="128"/>
      <c r="AZ2926" s="128"/>
      <c r="BA2926" s="128"/>
      <c r="BB2926" s="128"/>
      <c r="BC2926" s="128"/>
      <c r="BD2926" s="128"/>
      <c r="BE2926" s="128"/>
      <c r="BF2926" s="128"/>
      <c r="BG2926" s="128"/>
      <c r="BH2926" s="128"/>
      <c r="BI2926" s="128"/>
      <c r="BJ2926" s="128"/>
      <c r="BK2926" s="128"/>
      <c r="BL2926" s="128"/>
      <c r="BM2926" s="151"/>
      <c r="BN2926" s="128"/>
      <c r="BO2926" s="128"/>
      <c r="BP2926" s="128"/>
      <c r="BQ2926" s="128"/>
      <c r="BR2926" s="128"/>
      <c r="BS2926" s="128"/>
      <c r="BT2926" s="128"/>
      <c r="BU2926" s="128"/>
      <c r="BV2926" s="128"/>
      <c r="BW2926" s="128"/>
      <c r="BX2926" s="128"/>
      <c r="BY2926" s="128"/>
      <c r="BZ2926" s="128"/>
      <c r="CA2926" s="128"/>
      <c r="CB2926" s="128"/>
      <c r="CC2926" s="128"/>
      <c r="CD2926" s="128"/>
      <c r="CE2926" s="128"/>
      <c r="CF2926" s="128"/>
      <c r="CG2926" s="128"/>
      <c r="CI2926" s="128"/>
      <c r="CJ2926" s="128"/>
      <c r="CK2926" s="128"/>
      <c r="CL2926" s="128"/>
      <c r="CM2926" s="128"/>
      <c r="CN2926" s="128"/>
      <c r="CO2926" s="128"/>
      <c r="CP2926" s="128"/>
      <c r="CQ2926" s="128"/>
      <c r="CR2926" s="128"/>
      <c r="CS2926" s="128"/>
      <c r="CT2926" s="128"/>
      <c r="CU2926" s="128"/>
      <c r="CV2926" s="128"/>
      <c r="CW2926" s="128"/>
      <c r="CX2926" s="128"/>
      <c r="CY2926" s="128"/>
      <c r="CZ2926" s="165"/>
    </row>
    <row r="2927" spans="1:104">
      <c r="A2927" s="149"/>
      <c r="B2927" s="149"/>
      <c r="C2927" s="150"/>
      <c r="D2927" s="102"/>
      <c r="E2927" s="149"/>
      <c r="F2927" s="149"/>
      <c r="G2927" s="149"/>
      <c r="H2927" s="149"/>
      <c r="I2927" s="149"/>
      <c r="J2927" s="149"/>
      <c r="K2927" s="149"/>
      <c r="L2927" s="149"/>
      <c r="M2927" s="149"/>
      <c r="N2927" s="149"/>
      <c r="O2927" s="149"/>
      <c r="P2927" s="149"/>
      <c r="Q2927" s="149"/>
      <c r="R2927" s="149"/>
      <c r="S2927" s="149"/>
      <c r="T2927" s="149"/>
      <c r="U2927" s="149"/>
      <c r="V2927" s="149"/>
      <c r="W2927" s="149"/>
      <c r="X2927" s="149"/>
      <c r="Y2927" s="149"/>
      <c r="Z2927" s="149"/>
      <c r="AA2927" s="149"/>
      <c r="AB2927" s="149"/>
      <c r="AC2927" s="149"/>
      <c r="AD2927" s="149"/>
      <c r="AE2927" s="149"/>
      <c r="AF2927" s="149"/>
      <c r="AG2927" s="149"/>
      <c r="AH2927" s="149"/>
      <c r="AI2927" s="149"/>
      <c r="AJ2927" s="149"/>
      <c r="AK2927" s="149"/>
      <c r="AL2927" s="149"/>
      <c r="AM2927" s="149"/>
      <c r="AN2927" s="149"/>
      <c r="AO2927" s="128"/>
      <c r="AP2927" s="128"/>
      <c r="AQ2927" s="128"/>
      <c r="AR2927" s="128"/>
      <c r="AS2927" s="128"/>
      <c r="AT2927" s="128"/>
      <c r="AU2927" s="128"/>
      <c r="AV2927" s="128"/>
      <c r="AW2927" s="128"/>
      <c r="AX2927" s="128"/>
      <c r="AY2927" s="128"/>
      <c r="AZ2927" s="128"/>
      <c r="BA2927" s="128"/>
      <c r="BB2927" s="128"/>
      <c r="BC2927" s="128"/>
      <c r="BD2927" s="128"/>
      <c r="BE2927" s="128"/>
      <c r="BF2927" s="128"/>
      <c r="BG2927" s="128"/>
      <c r="BH2927" s="128"/>
      <c r="BI2927" s="128"/>
      <c r="BJ2927" s="128"/>
      <c r="BK2927" s="128"/>
      <c r="BL2927" s="128"/>
      <c r="BM2927" s="151"/>
      <c r="BN2927" s="128"/>
      <c r="BO2927" s="128"/>
      <c r="BP2927" s="128"/>
      <c r="BQ2927" s="128"/>
      <c r="BR2927" s="128"/>
      <c r="BS2927" s="128"/>
      <c r="BT2927" s="128"/>
      <c r="BU2927" s="128"/>
      <c r="BV2927" s="128"/>
      <c r="BW2927" s="128"/>
      <c r="BX2927" s="128"/>
      <c r="BY2927" s="128"/>
      <c r="BZ2927" s="128"/>
      <c r="CA2927" s="128"/>
      <c r="CB2927" s="128"/>
      <c r="CC2927" s="128"/>
      <c r="CD2927" s="128"/>
      <c r="CE2927" s="128"/>
      <c r="CF2927" s="128"/>
      <c r="CG2927" s="128"/>
      <c r="CI2927" s="128"/>
      <c r="CJ2927" s="128"/>
      <c r="CK2927" s="128"/>
      <c r="CL2927" s="128"/>
      <c r="CM2927" s="128"/>
      <c r="CN2927" s="128"/>
      <c r="CO2927" s="128"/>
      <c r="CP2927" s="128"/>
      <c r="CQ2927" s="128"/>
      <c r="CR2927" s="128"/>
      <c r="CS2927" s="128"/>
      <c r="CT2927" s="128"/>
      <c r="CU2927" s="128"/>
      <c r="CV2927" s="128"/>
      <c r="CW2927" s="128"/>
      <c r="CX2927" s="128"/>
      <c r="CY2927" s="128"/>
      <c r="CZ2927" s="165"/>
    </row>
    <row r="2928" spans="1:104">
      <c r="A2928" s="149"/>
      <c r="B2928" s="149"/>
      <c r="C2928" s="150"/>
      <c r="D2928" s="102"/>
      <c r="E2928" s="149"/>
      <c r="F2928" s="149"/>
      <c r="G2928" s="149"/>
      <c r="H2928" s="149"/>
      <c r="I2928" s="149"/>
      <c r="J2928" s="149"/>
      <c r="K2928" s="149"/>
      <c r="L2928" s="149"/>
      <c r="M2928" s="149"/>
      <c r="N2928" s="149"/>
      <c r="O2928" s="149"/>
      <c r="P2928" s="149"/>
      <c r="Q2928" s="149"/>
      <c r="R2928" s="149"/>
      <c r="S2928" s="149"/>
      <c r="T2928" s="149"/>
      <c r="U2928" s="149"/>
      <c r="V2928" s="149"/>
      <c r="W2928" s="149"/>
      <c r="X2928" s="149"/>
      <c r="Y2928" s="149"/>
      <c r="Z2928" s="149"/>
      <c r="AA2928" s="149"/>
      <c r="AB2928" s="149"/>
      <c r="AC2928" s="149"/>
      <c r="AD2928" s="149"/>
      <c r="AE2928" s="149"/>
      <c r="AF2928" s="149"/>
      <c r="AG2928" s="149"/>
      <c r="AH2928" s="149"/>
      <c r="AI2928" s="149"/>
      <c r="AJ2928" s="149"/>
      <c r="AK2928" s="149"/>
      <c r="AL2928" s="149"/>
      <c r="AM2928" s="149"/>
      <c r="AN2928" s="149"/>
      <c r="AO2928" s="128"/>
      <c r="AP2928" s="128"/>
      <c r="AQ2928" s="128"/>
      <c r="AR2928" s="128"/>
      <c r="AS2928" s="128"/>
      <c r="AT2928" s="128"/>
      <c r="AU2928" s="128"/>
      <c r="AV2928" s="128"/>
      <c r="AW2928" s="128"/>
      <c r="AX2928" s="128"/>
      <c r="AY2928" s="128"/>
      <c r="AZ2928" s="128"/>
      <c r="BA2928" s="128"/>
      <c r="BB2928" s="128"/>
      <c r="BC2928" s="128"/>
      <c r="BD2928" s="128"/>
      <c r="BE2928" s="128"/>
      <c r="BF2928" s="128"/>
      <c r="BG2928" s="128"/>
      <c r="BH2928" s="128"/>
      <c r="BI2928" s="128"/>
      <c r="BJ2928" s="128"/>
      <c r="BK2928" s="128"/>
      <c r="BL2928" s="128"/>
      <c r="BM2928" s="151"/>
      <c r="BN2928" s="128"/>
      <c r="BO2928" s="128"/>
      <c r="BP2928" s="128"/>
      <c r="BQ2928" s="128"/>
      <c r="BR2928" s="128"/>
      <c r="BS2928" s="128"/>
      <c r="BT2928" s="128"/>
      <c r="BU2928" s="128"/>
      <c r="BV2928" s="128"/>
      <c r="BW2928" s="128"/>
      <c r="BX2928" s="128"/>
      <c r="BY2928" s="128"/>
      <c r="BZ2928" s="128"/>
      <c r="CA2928" s="128"/>
      <c r="CB2928" s="128"/>
      <c r="CC2928" s="128"/>
      <c r="CD2928" s="128"/>
      <c r="CE2928" s="128"/>
      <c r="CF2928" s="128"/>
      <c r="CG2928" s="128"/>
      <c r="CI2928" s="128"/>
      <c r="CJ2928" s="128"/>
      <c r="CK2928" s="128"/>
      <c r="CL2928" s="128"/>
      <c r="CM2928" s="128"/>
      <c r="CN2928" s="128"/>
      <c r="CO2928" s="128"/>
      <c r="CP2928" s="128"/>
      <c r="CQ2928" s="128"/>
      <c r="CR2928" s="128"/>
      <c r="CS2928" s="128"/>
      <c r="CT2928" s="128"/>
      <c r="CU2928" s="128"/>
      <c r="CV2928" s="128"/>
      <c r="CW2928" s="128"/>
      <c r="CX2928" s="128"/>
      <c r="CY2928" s="128"/>
      <c r="CZ2928" s="165"/>
    </row>
    <row r="2929" spans="1:104">
      <c r="A2929" s="149"/>
      <c r="B2929" s="149"/>
      <c r="C2929" s="150"/>
      <c r="D2929" s="102"/>
      <c r="E2929" s="149"/>
      <c r="F2929" s="149"/>
      <c r="G2929" s="149"/>
      <c r="H2929" s="149"/>
      <c r="I2929" s="149"/>
      <c r="J2929" s="149"/>
      <c r="K2929" s="149"/>
      <c r="L2929" s="149"/>
      <c r="M2929" s="149"/>
      <c r="N2929" s="149"/>
      <c r="O2929" s="149"/>
      <c r="P2929" s="149"/>
      <c r="Q2929" s="149"/>
      <c r="R2929" s="149"/>
      <c r="S2929" s="149"/>
      <c r="T2929" s="149"/>
      <c r="U2929" s="149"/>
      <c r="V2929" s="149"/>
      <c r="W2929" s="149"/>
      <c r="X2929" s="149"/>
      <c r="Y2929" s="149"/>
      <c r="Z2929" s="149"/>
      <c r="AA2929" s="149"/>
      <c r="AB2929" s="149"/>
      <c r="AC2929" s="149"/>
      <c r="AD2929" s="149"/>
      <c r="AE2929" s="149"/>
      <c r="AF2929" s="149"/>
      <c r="AG2929" s="149"/>
      <c r="AH2929" s="149"/>
      <c r="AI2929" s="149"/>
      <c r="AJ2929" s="149"/>
      <c r="AK2929" s="149"/>
      <c r="AL2929" s="149"/>
      <c r="AM2929" s="149"/>
      <c r="AN2929" s="149"/>
      <c r="AO2929" s="128"/>
      <c r="AP2929" s="128"/>
      <c r="AQ2929" s="128"/>
      <c r="AR2929" s="128"/>
      <c r="AS2929" s="128"/>
      <c r="AT2929" s="128"/>
      <c r="AU2929" s="128"/>
      <c r="AV2929" s="128"/>
      <c r="AW2929" s="128"/>
      <c r="AX2929" s="128"/>
      <c r="AY2929" s="128"/>
      <c r="AZ2929" s="128"/>
      <c r="BA2929" s="128"/>
      <c r="BB2929" s="128"/>
      <c r="BC2929" s="128"/>
      <c r="BD2929" s="128"/>
      <c r="BE2929" s="128"/>
      <c r="BF2929" s="128"/>
      <c r="BG2929" s="128"/>
      <c r="BH2929" s="128"/>
      <c r="BI2929" s="128"/>
      <c r="BJ2929" s="128"/>
      <c r="BK2929" s="128"/>
      <c r="BL2929" s="128"/>
      <c r="BM2929" s="151"/>
      <c r="BN2929" s="128"/>
      <c r="BO2929" s="128"/>
      <c r="BP2929" s="128"/>
      <c r="BQ2929" s="128"/>
      <c r="BR2929" s="128"/>
      <c r="BS2929" s="128"/>
      <c r="BT2929" s="128"/>
      <c r="BU2929" s="128"/>
      <c r="BV2929" s="128"/>
      <c r="BW2929" s="128"/>
      <c r="BX2929" s="128"/>
      <c r="BY2929" s="128"/>
      <c r="BZ2929" s="128"/>
      <c r="CA2929" s="128"/>
      <c r="CB2929" s="128"/>
      <c r="CC2929" s="128"/>
      <c r="CD2929" s="128"/>
      <c r="CE2929" s="128"/>
      <c r="CF2929" s="128"/>
      <c r="CG2929" s="128"/>
      <c r="CI2929" s="128"/>
      <c r="CJ2929" s="128"/>
      <c r="CK2929" s="128"/>
      <c r="CL2929" s="128"/>
      <c r="CM2929" s="128"/>
      <c r="CN2929" s="128"/>
      <c r="CO2929" s="128"/>
      <c r="CP2929" s="128"/>
      <c r="CQ2929" s="128"/>
      <c r="CR2929" s="128"/>
      <c r="CS2929" s="128"/>
      <c r="CT2929" s="128"/>
      <c r="CU2929" s="128"/>
      <c r="CV2929" s="128"/>
      <c r="CW2929" s="128"/>
      <c r="CX2929" s="128"/>
      <c r="CY2929" s="128"/>
      <c r="CZ2929" s="165"/>
    </row>
    <row r="2930" spans="1:104">
      <c r="A2930" s="149"/>
      <c r="B2930" s="149"/>
      <c r="C2930" s="150"/>
      <c r="D2930" s="102"/>
      <c r="E2930" s="149"/>
      <c r="F2930" s="149"/>
      <c r="G2930" s="149"/>
      <c r="H2930" s="149"/>
      <c r="I2930" s="149"/>
      <c r="J2930" s="149"/>
      <c r="K2930" s="149"/>
      <c r="L2930" s="149"/>
      <c r="M2930" s="149"/>
      <c r="N2930" s="149"/>
      <c r="O2930" s="149"/>
      <c r="P2930" s="149"/>
      <c r="Q2930" s="149"/>
      <c r="R2930" s="149"/>
      <c r="S2930" s="149"/>
      <c r="T2930" s="149"/>
      <c r="U2930" s="149"/>
      <c r="V2930" s="149"/>
      <c r="W2930" s="149"/>
      <c r="X2930" s="149"/>
      <c r="Y2930" s="149"/>
      <c r="Z2930" s="149"/>
      <c r="AA2930" s="149"/>
      <c r="AB2930" s="149"/>
      <c r="AC2930" s="149"/>
      <c r="AD2930" s="149"/>
      <c r="AE2930" s="149"/>
      <c r="AF2930" s="149"/>
      <c r="AG2930" s="149"/>
      <c r="AH2930" s="149"/>
      <c r="AI2930" s="149"/>
      <c r="AJ2930" s="149"/>
      <c r="AK2930" s="149"/>
      <c r="AL2930" s="149"/>
      <c r="AM2930" s="149"/>
      <c r="AN2930" s="149"/>
      <c r="AO2930" s="128"/>
      <c r="AP2930" s="128"/>
      <c r="AQ2930" s="128"/>
      <c r="AR2930" s="128"/>
      <c r="AS2930" s="128"/>
      <c r="AT2930" s="128"/>
      <c r="AU2930" s="128"/>
      <c r="AV2930" s="128"/>
      <c r="AW2930" s="128"/>
      <c r="AX2930" s="128"/>
      <c r="AY2930" s="128"/>
      <c r="AZ2930" s="128"/>
      <c r="BA2930" s="128"/>
      <c r="BB2930" s="128"/>
      <c r="BC2930" s="128"/>
      <c r="BD2930" s="128"/>
      <c r="BE2930" s="128"/>
      <c r="BF2930" s="128"/>
      <c r="BG2930" s="128"/>
      <c r="BH2930" s="128"/>
      <c r="BI2930" s="128"/>
      <c r="BJ2930" s="128"/>
      <c r="BK2930" s="128"/>
      <c r="BL2930" s="128"/>
      <c r="BM2930" s="151"/>
      <c r="BN2930" s="128"/>
      <c r="BO2930" s="128"/>
      <c r="BP2930" s="128"/>
      <c r="BQ2930" s="128"/>
      <c r="BR2930" s="128"/>
      <c r="BS2930" s="128"/>
      <c r="BT2930" s="128"/>
      <c r="BU2930" s="128"/>
      <c r="BV2930" s="128"/>
      <c r="BW2930" s="128"/>
      <c r="BX2930" s="128"/>
      <c r="BY2930" s="128"/>
      <c r="BZ2930" s="128"/>
      <c r="CA2930" s="128"/>
      <c r="CB2930" s="128"/>
      <c r="CC2930" s="128"/>
      <c r="CD2930" s="128"/>
      <c r="CE2930" s="128"/>
      <c r="CF2930" s="128"/>
      <c r="CG2930" s="128"/>
      <c r="CI2930" s="128"/>
      <c r="CJ2930" s="128"/>
      <c r="CK2930" s="128"/>
      <c r="CL2930" s="128"/>
      <c r="CM2930" s="128"/>
      <c r="CN2930" s="128"/>
      <c r="CO2930" s="128"/>
      <c r="CP2930" s="128"/>
      <c r="CQ2930" s="128"/>
      <c r="CR2930" s="128"/>
      <c r="CS2930" s="128"/>
      <c r="CT2930" s="128"/>
      <c r="CU2930" s="128"/>
      <c r="CV2930" s="128"/>
      <c r="CW2930" s="128"/>
      <c r="CX2930" s="128"/>
      <c r="CY2930" s="128"/>
      <c r="CZ2930" s="165"/>
    </row>
    <row r="2931" spans="1:104">
      <c r="A2931" s="149"/>
      <c r="B2931" s="149"/>
      <c r="C2931" s="150"/>
      <c r="D2931" s="102"/>
      <c r="E2931" s="149"/>
      <c r="F2931" s="149"/>
      <c r="G2931" s="149"/>
      <c r="H2931" s="149"/>
      <c r="I2931" s="149"/>
      <c r="J2931" s="149"/>
      <c r="K2931" s="149"/>
      <c r="L2931" s="149"/>
      <c r="M2931" s="149"/>
      <c r="N2931" s="149"/>
      <c r="O2931" s="149"/>
      <c r="P2931" s="149"/>
      <c r="Q2931" s="149"/>
      <c r="R2931" s="149"/>
      <c r="S2931" s="149"/>
      <c r="T2931" s="149"/>
      <c r="U2931" s="149"/>
      <c r="V2931" s="149"/>
      <c r="W2931" s="149"/>
      <c r="X2931" s="149"/>
      <c r="Y2931" s="149"/>
      <c r="Z2931" s="149"/>
      <c r="AA2931" s="149"/>
      <c r="AB2931" s="149"/>
      <c r="AC2931" s="149"/>
      <c r="AD2931" s="149"/>
      <c r="AE2931" s="149"/>
      <c r="AF2931" s="149"/>
      <c r="AG2931" s="149"/>
      <c r="AH2931" s="149"/>
      <c r="AI2931" s="149"/>
      <c r="AJ2931" s="149"/>
      <c r="AK2931" s="149"/>
      <c r="AL2931" s="149"/>
      <c r="AM2931" s="149"/>
      <c r="AN2931" s="149"/>
      <c r="AO2931" s="128"/>
      <c r="AP2931" s="128"/>
      <c r="AQ2931" s="128"/>
      <c r="AR2931" s="128"/>
      <c r="AS2931" s="128"/>
      <c r="AT2931" s="128"/>
      <c r="AU2931" s="128"/>
      <c r="AV2931" s="128"/>
      <c r="AW2931" s="128"/>
      <c r="AX2931" s="128"/>
      <c r="AY2931" s="128"/>
      <c r="AZ2931" s="128"/>
      <c r="BA2931" s="128"/>
      <c r="BB2931" s="128"/>
      <c r="BC2931" s="128"/>
      <c r="BD2931" s="128"/>
      <c r="BE2931" s="128"/>
      <c r="BF2931" s="128"/>
      <c r="BG2931" s="128"/>
      <c r="BH2931" s="128"/>
      <c r="BI2931" s="128"/>
      <c r="BJ2931" s="128"/>
      <c r="BK2931" s="128"/>
      <c r="BL2931" s="128"/>
      <c r="BM2931" s="151"/>
      <c r="BN2931" s="128"/>
      <c r="BO2931" s="128"/>
      <c r="BP2931" s="128"/>
      <c r="BQ2931" s="128"/>
      <c r="BR2931" s="128"/>
      <c r="BS2931" s="128"/>
      <c r="BT2931" s="128"/>
      <c r="BU2931" s="128"/>
      <c r="BV2931" s="128"/>
      <c r="BW2931" s="128"/>
      <c r="BX2931" s="128"/>
      <c r="BY2931" s="128"/>
      <c r="BZ2931" s="128"/>
      <c r="CA2931" s="128"/>
      <c r="CB2931" s="128"/>
      <c r="CC2931" s="128"/>
      <c r="CD2931" s="128"/>
      <c r="CE2931" s="128"/>
      <c r="CF2931" s="128"/>
      <c r="CG2931" s="128"/>
      <c r="CI2931" s="128"/>
      <c r="CJ2931" s="128"/>
      <c r="CK2931" s="128"/>
      <c r="CL2931" s="128"/>
      <c r="CM2931" s="128"/>
      <c r="CN2931" s="128"/>
      <c r="CO2931" s="128"/>
      <c r="CP2931" s="128"/>
      <c r="CQ2931" s="128"/>
      <c r="CR2931" s="128"/>
      <c r="CS2931" s="128"/>
      <c r="CT2931" s="128"/>
      <c r="CU2931" s="128"/>
      <c r="CV2931" s="128"/>
      <c r="CW2931" s="128"/>
      <c r="CX2931" s="128"/>
      <c r="CY2931" s="128"/>
      <c r="CZ2931" s="165"/>
    </row>
    <row r="2932" spans="1:104">
      <c r="A2932" s="149"/>
      <c r="B2932" s="149"/>
      <c r="C2932" s="150"/>
      <c r="D2932" s="102"/>
      <c r="E2932" s="149"/>
      <c r="F2932" s="149"/>
      <c r="G2932" s="149"/>
      <c r="H2932" s="149"/>
      <c r="I2932" s="149"/>
      <c r="J2932" s="149"/>
      <c r="K2932" s="149"/>
      <c r="L2932" s="149"/>
      <c r="M2932" s="149"/>
      <c r="N2932" s="149"/>
      <c r="O2932" s="149"/>
      <c r="P2932" s="149"/>
      <c r="Q2932" s="149"/>
      <c r="R2932" s="149"/>
      <c r="S2932" s="149"/>
      <c r="T2932" s="149"/>
      <c r="U2932" s="149"/>
      <c r="V2932" s="149"/>
      <c r="W2932" s="149"/>
      <c r="X2932" s="149"/>
      <c r="Y2932" s="149"/>
      <c r="Z2932" s="149"/>
      <c r="AA2932" s="149"/>
      <c r="AB2932" s="149"/>
      <c r="AC2932" s="149"/>
      <c r="AD2932" s="149"/>
      <c r="AE2932" s="149"/>
      <c r="AF2932" s="149"/>
      <c r="AG2932" s="149"/>
      <c r="AH2932" s="149"/>
      <c r="AI2932" s="149"/>
      <c r="AJ2932" s="149"/>
      <c r="AK2932" s="149"/>
      <c r="AL2932" s="149"/>
      <c r="AM2932" s="149"/>
      <c r="AN2932" s="149"/>
      <c r="AO2932" s="128"/>
      <c r="AP2932" s="128"/>
      <c r="AQ2932" s="128"/>
      <c r="AR2932" s="128"/>
      <c r="AS2932" s="128"/>
      <c r="AT2932" s="128"/>
      <c r="AU2932" s="128"/>
      <c r="AV2932" s="128"/>
      <c r="AW2932" s="128"/>
      <c r="AX2932" s="128"/>
      <c r="AY2932" s="128"/>
      <c r="AZ2932" s="128"/>
      <c r="BA2932" s="128"/>
      <c r="BB2932" s="128"/>
      <c r="BC2932" s="128"/>
      <c r="BD2932" s="128"/>
      <c r="BE2932" s="128"/>
      <c r="BF2932" s="128"/>
      <c r="BG2932" s="128"/>
      <c r="BH2932" s="128"/>
      <c r="BI2932" s="128"/>
      <c r="BJ2932" s="128"/>
      <c r="BK2932" s="128"/>
      <c r="BL2932" s="128"/>
      <c r="BM2932" s="151"/>
      <c r="BN2932" s="128"/>
      <c r="BO2932" s="128"/>
      <c r="BP2932" s="128"/>
      <c r="BQ2932" s="128"/>
      <c r="BR2932" s="128"/>
      <c r="BS2932" s="128"/>
      <c r="BT2932" s="128"/>
      <c r="BU2932" s="128"/>
      <c r="BV2932" s="128"/>
      <c r="BW2932" s="128"/>
      <c r="BX2932" s="128"/>
      <c r="BY2932" s="128"/>
      <c r="BZ2932" s="128"/>
      <c r="CA2932" s="128"/>
      <c r="CB2932" s="128"/>
      <c r="CC2932" s="128"/>
      <c r="CD2932" s="128"/>
      <c r="CE2932" s="128"/>
      <c r="CF2932" s="128"/>
      <c r="CG2932" s="128"/>
      <c r="CI2932" s="128"/>
      <c r="CJ2932" s="128"/>
      <c r="CK2932" s="128"/>
      <c r="CL2932" s="128"/>
      <c r="CM2932" s="128"/>
      <c r="CN2932" s="128"/>
      <c r="CO2932" s="128"/>
      <c r="CP2932" s="128"/>
      <c r="CQ2932" s="128"/>
      <c r="CR2932" s="128"/>
      <c r="CS2932" s="128"/>
      <c r="CT2932" s="128"/>
      <c r="CU2932" s="128"/>
      <c r="CV2932" s="128"/>
      <c r="CW2932" s="128"/>
      <c r="CX2932" s="128"/>
      <c r="CY2932" s="128"/>
      <c r="CZ2932" s="165"/>
    </row>
    <row r="2933" spans="1:104">
      <c r="A2933" s="149"/>
      <c r="B2933" s="149"/>
      <c r="C2933" s="150"/>
      <c r="D2933" s="102"/>
      <c r="E2933" s="149"/>
      <c r="F2933" s="149"/>
      <c r="G2933" s="149"/>
      <c r="H2933" s="149"/>
      <c r="I2933" s="149"/>
      <c r="J2933" s="149"/>
      <c r="K2933" s="149"/>
      <c r="L2933" s="149"/>
      <c r="M2933" s="149"/>
      <c r="N2933" s="149"/>
      <c r="O2933" s="149"/>
      <c r="P2933" s="149"/>
      <c r="Q2933" s="149"/>
      <c r="R2933" s="149"/>
      <c r="S2933" s="149"/>
      <c r="T2933" s="149"/>
      <c r="U2933" s="149"/>
      <c r="V2933" s="149"/>
      <c r="W2933" s="149"/>
      <c r="X2933" s="149"/>
      <c r="Y2933" s="149"/>
      <c r="Z2933" s="149"/>
      <c r="AA2933" s="149"/>
      <c r="AB2933" s="149"/>
      <c r="AC2933" s="149"/>
      <c r="AD2933" s="149"/>
      <c r="AE2933" s="149"/>
      <c r="AF2933" s="149"/>
      <c r="AG2933" s="149"/>
      <c r="AH2933" s="149"/>
      <c r="AI2933" s="149"/>
      <c r="AJ2933" s="149"/>
      <c r="AK2933" s="149"/>
      <c r="AL2933" s="149"/>
      <c r="AM2933" s="149"/>
      <c r="AN2933" s="149"/>
      <c r="AO2933" s="128"/>
      <c r="AP2933" s="128"/>
      <c r="AQ2933" s="128"/>
      <c r="AR2933" s="128"/>
      <c r="AS2933" s="128"/>
      <c r="AT2933" s="128"/>
      <c r="AU2933" s="128"/>
      <c r="AV2933" s="128"/>
      <c r="AW2933" s="128"/>
      <c r="AX2933" s="128"/>
      <c r="AY2933" s="128"/>
      <c r="AZ2933" s="128"/>
      <c r="BA2933" s="128"/>
      <c r="BB2933" s="128"/>
      <c r="BC2933" s="128"/>
      <c r="BD2933" s="128"/>
      <c r="BE2933" s="128"/>
      <c r="BF2933" s="128"/>
      <c r="BG2933" s="128"/>
      <c r="BH2933" s="128"/>
      <c r="BI2933" s="128"/>
      <c r="BJ2933" s="128"/>
      <c r="BK2933" s="128"/>
      <c r="BL2933" s="128"/>
      <c r="BM2933" s="151"/>
      <c r="BN2933" s="128"/>
      <c r="BO2933" s="128"/>
      <c r="BP2933" s="128"/>
      <c r="BQ2933" s="128"/>
      <c r="BR2933" s="128"/>
      <c r="BS2933" s="128"/>
      <c r="BT2933" s="128"/>
      <c r="BU2933" s="128"/>
      <c r="BV2933" s="128"/>
      <c r="BW2933" s="128"/>
      <c r="BX2933" s="128"/>
      <c r="BY2933" s="128"/>
      <c r="BZ2933" s="128"/>
      <c r="CA2933" s="128"/>
      <c r="CB2933" s="128"/>
      <c r="CC2933" s="128"/>
      <c r="CD2933" s="128"/>
      <c r="CE2933" s="128"/>
      <c r="CF2933" s="128"/>
      <c r="CG2933" s="128"/>
      <c r="CI2933" s="128"/>
      <c r="CJ2933" s="128"/>
      <c r="CK2933" s="128"/>
      <c r="CL2933" s="128"/>
      <c r="CM2933" s="128"/>
      <c r="CN2933" s="128"/>
      <c r="CO2933" s="128"/>
      <c r="CP2933" s="128"/>
      <c r="CQ2933" s="128"/>
      <c r="CR2933" s="128"/>
      <c r="CS2933" s="128"/>
      <c r="CT2933" s="128"/>
      <c r="CU2933" s="128"/>
      <c r="CV2933" s="128"/>
      <c r="CW2933" s="128"/>
      <c r="CX2933" s="128"/>
      <c r="CY2933" s="128"/>
      <c r="CZ2933" s="165"/>
    </row>
    <row r="2934" spans="1:104">
      <c r="A2934" s="149"/>
      <c r="B2934" s="149"/>
      <c r="C2934" s="150"/>
      <c r="D2934" s="102"/>
      <c r="E2934" s="149"/>
      <c r="F2934" s="149"/>
      <c r="G2934" s="149"/>
      <c r="H2934" s="149"/>
      <c r="I2934" s="149"/>
      <c r="J2934" s="149"/>
      <c r="K2934" s="149"/>
      <c r="L2934" s="149"/>
      <c r="M2934" s="149"/>
      <c r="N2934" s="149"/>
      <c r="O2934" s="149"/>
      <c r="P2934" s="149"/>
      <c r="Q2934" s="149"/>
      <c r="R2934" s="149"/>
      <c r="S2934" s="149"/>
      <c r="T2934" s="149"/>
      <c r="U2934" s="149"/>
      <c r="V2934" s="149"/>
      <c r="W2934" s="149"/>
      <c r="X2934" s="149"/>
      <c r="Y2934" s="149"/>
      <c r="Z2934" s="149"/>
      <c r="AA2934" s="149"/>
      <c r="AB2934" s="149"/>
      <c r="AC2934" s="149"/>
      <c r="AD2934" s="149"/>
      <c r="AE2934" s="149"/>
      <c r="AF2934" s="149"/>
      <c r="AG2934" s="149"/>
      <c r="AH2934" s="149"/>
      <c r="AI2934" s="149"/>
      <c r="AJ2934" s="149"/>
      <c r="AK2934" s="149"/>
      <c r="AL2934" s="149"/>
      <c r="AM2934" s="149"/>
      <c r="AN2934" s="149"/>
      <c r="AO2934" s="128"/>
      <c r="AP2934" s="128"/>
      <c r="AQ2934" s="128"/>
      <c r="AR2934" s="128"/>
      <c r="AS2934" s="128"/>
      <c r="AT2934" s="128"/>
      <c r="AU2934" s="128"/>
      <c r="AV2934" s="128"/>
      <c r="AW2934" s="128"/>
      <c r="AX2934" s="128"/>
      <c r="AY2934" s="128"/>
      <c r="AZ2934" s="128"/>
      <c r="BA2934" s="128"/>
      <c r="BB2934" s="128"/>
      <c r="BC2934" s="128"/>
      <c r="BD2934" s="128"/>
      <c r="BE2934" s="128"/>
      <c r="BF2934" s="128"/>
      <c r="BG2934" s="128"/>
      <c r="BH2934" s="128"/>
      <c r="BI2934" s="128"/>
      <c r="BJ2934" s="128"/>
      <c r="BK2934" s="128"/>
      <c r="BL2934" s="128"/>
      <c r="BM2934" s="151"/>
      <c r="BN2934" s="128"/>
      <c r="BO2934" s="128"/>
      <c r="BP2934" s="128"/>
      <c r="BQ2934" s="128"/>
      <c r="BR2934" s="128"/>
      <c r="BS2934" s="128"/>
      <c r="BT2934" s="128"/>
      <c r="BU2934" s="128"/>
      <c r="BV2934" s="128"/>
      <c r="BW2934" s="128"/>
      <c r="BX2934" s="128"/>
      <c r="BY2934" s="128"/>
      <c r="BZ2934" s="128"/>
      <c r="CA2934" s="128"/>
      <c r="CB2934" s="128"/>
      <c r="CC2934" s="128"/>
      <c r="CD2934" s="128"/>
      <c r="CE2934" s="128"/>
      <c r="CF2934" s="128"/>
      <c r="CG2934" s="128"/>
      <c r="CI2934" s="128"/>
      <c r="CJ2934" s="128"/>
      <c r="CK2934" s="128"/>
      <c r="CL2934" s="128"/>
      <c r="CM2934" s="128"/>
      <c r="CN2934" s="128"/>
      <c r="CO2934" s="128"/>
      <c r="CP2934" s="128"/>
      <c r="CQ2934" s="128"/>
      <c r="CR2934" s="128"/>
      <c r="CS2934" s="128"/>
      <c r="CT2934" s="128"/>
      <c r="CU2934" s="128"/>
      <c r="CV2934" s="128"/>
      <c r="CW2934" s="128"/>
      <c r="CX2934" s="128"/>
      <c r="CY2934" s="128"/>
      <c r="CZ2934" s="165"/>
    </row>
    <row r="2935" spans="1:104">
      <c r="A2935" s="149"/>
      <c r="B2935" s="149"/>
      <c r="C2935" s="150"/>
      <c r="D2935" s="102"/>
      <c r="E2935" s="149"/>
      <c r="F2935" s="149"/>
      <c r="G2935" s="149"/>
      <c r="H2935" s="149"/>
      <c r="I2935" s="149"/>
      <c r="J2935" s="149"/>
      <c r="K2935" s="149"/>
      <c r="L2935" s="149"/>
      <c r="M2935" s="149"/>
      <c r="N2935" s="149"/>
      <c r="O2935" s="149"/>
      <c r="P2935" s="149"/>
      <c r="Q2935" s="149"/>
      <c r="R2935" s="149"/>
      <c r="S2935" s="149"/>
      <c r="T2935" s="149"/>
      <c r="U2935" s="149"/>
      <c r="V2935" s="149"/>
      <c r="W2935" s="149"/>
      <c r="X2935" s="149"/>
      <c r="Y2935" s="149"/>
      <c r="Z2935" s="149"/>
      <c r="AA2935" s="149"/>
      <c r="AB2935" s="149"/>
      <c r="AC2935" s="149"/>
      <c r="AD2935" s="149"/>
      <c r="AE2935" s="149"/>
      <c r="AF2935" s="149"/>
      <c r="AG2935" s="149"/>
      <c r="AH2935" s="149"/>
      <c r="AI2935" s="149"/>
      <c r="AJ2935" s="149"/>
      <c r="AK2935" s="149"/>
      <c r="AL2935" s="149"/>
      <c r="AM2935" s="149"/>
      <c r="AN2935" s="149"/>
      <c r="AO2935" s="128"/>
      <c r="AP2935" s="128"/>
      <c r="AQ2935" s="128"/>
      <c r="AR2935" s="128"/>
      <c r="AS2935" s="128"/>
      <c r="AT2935" s="128"/>
      <c r="AU2935" s="128"/>
      <c r="AV2935" s="128"/>
      <c r="AW2935" s="128"/>
      <c r="AX2935" s="128"/>
      <c r="AY2935" s="128"/>
      <c r="AZ2935" s="128"/>
      <c r="BA2935" s="128"/>
      <c r="BB2935" s="128"/>
      <c r="BC2935" s="128"/>
      <c r="BD2935" s="128"/>
      <c r="BE2935" s="128"/>
      <c r="BF2935" s="128"/>
      <c r="BG2935" s="128"/>
      <c r="BH2935" s="128"/>
      <c r="BI2935" s="128"/>
      <c r="BJ2935" s="128"/>
      <c r="BK2935" s="128"/>
      <c r="BL2935" s="128"/>
      <c r="BM2935" s="151"/>
      <c r="BN2935" s="128"/>
      <c r="BO2935" s="128"/>
      <c r="BP2935" s="128"/>
      <c r="BQ2935" s="128"/>
      <c r="BR2935" s="128"/>
      <c r="BS2935" s="128"/>
      <c r="BT2935" s="128"/>
      <c r="BU2935" s="128"/>
      <c r="BV2935" s="128"/>
      <c r="BW2935" s="128"/>
      <c r="BX2935" s="128"/>
      <c r="BY2935" s="128"/>
      <c r="BZ2935" s="128"/>
      <c r="CA2935" s="128"/>
      <c r="CB2935" s="128"/>
      <c r="CC2935" s="128"/>
      <c r="CD2935" s="128"/>
      <c r="CE2935" s="128"/>
      <c r="CF2935" s="128"/>
      <c r="CG2935" s="128"/>
      <c r="CI2935" s="128"/>
      <c r="CJ2935" s="128"/>
      <c r="CK2935" s="128"/>
      <c r="CL2935" s="128"/>
      <c r="CM2935" s="128"/>
      <c r="CN2935" s="128"/>
      <c r="CO2935" s="128"/>
      <c r="CP2935" s="128"/>
      <c r="CQ2935" s="128"/>
      <c r="CR2935" s="128"/>
      <c r="CS2935" s="128"/>
      <c r="CT2935" s="128"/>
      <c r="CU2935" s="128"/>
      <c r="CV2935" s="128"/>
      <c r="CW2935" s="128"/>
      <c r="CX2935" s="128"/>
      <c r="CY2935" s="128"/>
      <c r="CZ2935" s="165"/>
    </row>
    <row r="2936" spans="1:104">
      <c r="A2936" s="149"/>
      <c r="B2936" s="149"/>
      <c r="C2936" s="150"/>
      <c r="D2936" s="102"/>
      <c r="E2936" s="149"/>
      <c r="F2936" s="149"/>
      <c r="G2936" s="149"/>
      <c r="H2936" s="149"/>
      <c r="I2936" s="149"/>
      <c r="J2936" s="149"/>
      <c r="K2936" s="149"/>
      <c r="L2936" s="149"/>
      <c r="M2936" s="149"/>
      <c r="N2936" s="149"/>
      <c r="O2936" s="149"/>
      <c r="P2936" s="149"/>
      <c r="Q2936" s="149"/>
      <c r="R2936" s="149"/>
      <c r="S2936" s="149"/>
      <c r="T2936" s="149"/>
      <c r="U2936" s="149"/>
      <c r="V2936" s="149"/>
      <c r="W2936" s="149"/>
      <c r="X2936" s="149"/>
      <c r="Y2936" s="149"/>
      <c r="Z2936" s="149"/>
      <c r="AA2936" s="149"/>
      <c r="AB2936" s="149"/>
      <c r="AC2936" s="149"/>
      <c r="AD2936" s="149"/>
      <c r="AE2936" s="149"/>
      <c r="AF2936" s="149"/>
      <c r="AG2936" s="149"/>
      <c r="AH2936" s="149"/>
      <c r="AI2936" s="149"/>
      <c r="AJ2936" s="149"/>
      <c r="AK2936" s="149"/>
      <c r="AL2936" s="149"/>
      <c r="AM2936" s="149"/>
      <c r="AN2936" s="149"/>
      <c r="AO2936" s="128"/>
      <c r="AP2936" s="128"/>
      <c r="AQ2936" s="128"/>
      <c r="AR2936" s="128"/>
      <c r="AS2936" s="128"/>
      <c r="AT2936" s="128"/>
      <c r="AU2936" s="128"/>
      <c r="AV2936" s="128"/>
      <c r="AW2936" s="128"/>
      <c r="AX2936" s="128"/>
      <c r="AY2936" s="128"/>
      <c r="AZ2936" s="128"/>
      <c r="BA2936" s="128"/>
      <c r="BB2936" s="128"/>
      <c r="BC2936" s="128"/>
      <c r="BD2936" s="128"/>
      <c r="BE2936" s="128"/>
      <c r="BF2936" s="128"/>
      <c r="BG2936" s="128"/>
      <c r="BH2936" s="128"/>
      <c r="BI2936" s="128"/>
      <c r="BJ2936" s="128"/>
      <c r="BK2936" s="128"/>
      <c r="BL2936" s="128"/>
      <c r="BM2936" s="151"/>
      <c r="BN2936" s="128"/>
      <c r="BO2936" s="128"/>
      <c r="BP2936" s="128"/>
      <c r="BQ2936" s="128"/>
      <c r="BR2936" s="128"/>
      <c r="BS2936" s="128"/>
      <c r="BT2936" s="128"/>
      <c r="BU2936" s="128"/>
      <c r="BV2936" s="128"/>
      <c r="BW2936" s="128"/>
      <c r="BX2936" s="128"/>
      <c r="BY2936" s="128"/>
      <c r="BZ2936" s="128"/>
      <c r="CA2936" s="128"/>
      <c r="CB2936" s="128"/>
      <c r="CC2936" s="128"/>
      <c r="CD2936" s="128"/>
      <c r="CE2936" s="128"/>
      <c r="CF2936" s="128"/>
      <c r="CG2936" s="128"/>
      <c r="CI2936" s="128"/>
      <c r="CJ2936" s="128"/>
      <c r="CK2936" s="128"/>
      <c r="CL2936" s="128"/>
      <c r="CM2936" s="128"/>
      <c r="CN2936" s="128"/>
      <c r="CO2936" s="128"/>
      <c r="CP2936" s="128"/>
      <c r="CQ2936" s="128"/>
      <c r="CR2936" s="128"/>
      <c r="CS2936" s="128"/>
      <c r="CT2936" s="128"/>
      <c r="CU2936" s="128"/>
      <c r="CV2936" s="128"/>
      <c r="CW2936" s="128"/>
      <c r="CX2936" s="128"/>
      <c r="CY2936" s="128"/>
      <c r="CZ2936" s="165"/>
    </row>
    <row r="2937" spans="1:104">
      <c r="A2937" s="149"/>
      <c r="B2937" s="149"/>
      <c r="C2937" s="150"/>
      <c r="D2937" s="102"/>
      <c r="E2937" s="149"/>
      <c r="F2937" s="149"/>
      <c r="G2937" s="149"/>
      <c r="H2937" s="149"/>
      <c r="I2937" s="149"/>
      <c r="J2937" s="149"/>
      <c r="K2937" s="149"/>
      <c r="L2937" s="149"/>
      <c r="M2937" s="149"/>
      <c r="N2937" s="149"/>
      <c r="O2937" s="149"/>
      <c r="P2937" s="149"/>
      <c r="Q2937" s="149"/>
      <c r="R2937" s="149"/>
      <c r="S2937" s="149"/>
      <c r="T2937" s="149"/>
      <c r="U2937" s="149"/>
      <c r="V2937" s="149"/>
      <c r="W2937" s="149"/>
      <c r="X2937" s="149"/>
      <c r="Y2937" s="149"/>
      <c r="Z2937" s="149"/>
      <c r="AA2937" s="149"/>
      <c r="AB2937" s="149"/>
      <c r="AC2937" s="149"/>
      <c r="AD2937" s="149"/>
      <c r="AE2937" s="149"/>
      <c r="AF2937" s="149"/>
      <c r="AG2937" s="149"/>
      <c r="AH2937" s="149"/>
      <c r="AI2937" s="149"/>
      <c r="AJ2937" s="149"/>
      <c r="AK2937" s="149"/>
      <c r="AL2937" s="149"/>
      <c r="AM2937" s="149"/>
      <c r="AN2937" s="149"/>
      <c r="AO2937" s="128"/>
      <c r="AP2937" s="128"/>
      <c r="AQ2937" s="128"/>
      <c r="AR2937" s="128"/>
      <c r="AS2937" s="128"/>
      <c r="AT2937" s="128"/>
      <c r="AU2937" s="128"/>
      <c r="AV2937" s="128"/>
      <c r="AW2937" s="128"/>
      <c r="AX2937" s="128"/>
      <c r="AY2937" s="128"/>
      <c r="AZ2937" s="128"/>
      <c r="BA2937" s="128"/>
      <c r="BB2937" s="128"/>
      <c r="BC2937" s="128"/>
      <c r="BD2937" s="128"/>
      <c r="BE2937" s="128"/>
      <c r="BF2937" s="128"/>
      <c r="BG2937" s="128"/>
      <c r="BH2937" s="128"/>
      <c r="BI2937" s="128"/>
      <c r="BJ2937" s="128"/>
      <c r="BK2937" s="128"/>
      <c r="BL2937" s="128"/>
      <c r="BM2937" s="151"/>
      <c r="BN2937" s="128"/>
      <c r="BO2937" s="128"/>
      <c r="BP2937" s="128"/>
      <c r="BQ2937" s="128"/>
      <c r="BR2937" s="128"/>
      <c r="BS2937" s="128"/>
      <c r="BT2937" s="128"/>
      <c r="BU2937" s="128"/>
      <c r="BV2937" s="128"/>
      <c r="BW2937" s="128"/>
      <c r="BX2937" s="128"/>
      <c r="BY2937" s="128"/>
      <c r="BZ2937" s="128"/>
      <c r="CA2937" s="128"/>
      <c r="CB2937" s="128"/>
      <c r="CC2937" s="128"/>
      <c r="CD2937" s="128"/>
      <c r="CE2937" s="128"/>
      <c r="CF2937" s="128"/>
      <c r="CG2937" s="128"/>
      <c r="CI2937" s="128"/>
      <c r="CJ2937" s="128"/>
      <c r="CK2937" s="128"/>
      <c r="CL2937" s="128"/>
      <c r="CM2937" s="128"/>
      <c r="CN2937" s="128"/>
      <c r="CO2937" s="128"/>
      <c r="CP2937" s="128"/>
      <c r="CQ2937" s="128"/>
      <c r="CR2937" s="128"/>
      <c r="CS2937" s="128"/>
      <c r="CT2937" s="128"/>
      <c r="CU2937" s="128"/>
      <c r="CV2937" s="128"/>
      <c r="CW2937" s="128"/>
      <c r="CX2937" s="128"/>
      <c r="CY2937" s="128"/>
      <c r="CZ2937" s="165"/>
    </row>
    <row r="2938" spans="1:104">
      <c r="A2938" s="149"/>
      <c r="B2938" s="149"/>
      <c r="C2938" s="150"/>
      <c r="D2938" s="102"/>
      <c r="E2938" s="149"/>
      <c r="F2938" s="149"/>
      <c r="G2938" s="149"/>
      <c r="H2938" s="149"/>
      <c r="I2938" s="149"/>
      <c r="J2938" s="149"/>
      <c r="K2938" s="149"/>
      <c r="L2938" s="149"/>
      <c r="M2938" s="149"/>
      <c r="N2938" s="149"/>
      <c r="O2938" s="149"/>
      <c r="P2938" s="149"/>
      <c r="Q2938" s="149"/>
      <c r="R2938" s="149"/>
      <c r="S2938" s="149"/>
      <c r="T2938" s="149"/>
      <c r="U2938" s="149"/>
      <c r="V2938" s="149"/>
      <c r="W2938" s="149"/>
      <c r="X2938" s="149"/>
      <c r="Y2938" s="149"/>
      <c r="Z2938" s="149"/>
      <c r="AA2938" s="149"/>
      <c r="AB2938" s="149"/>
      <c r="AC2938" s="149"/>
      <c r="AD2938" s="149"/>
      <c r="AE2938" s="149"/>
      <c r="AF2938" s="149"/>
      <c r="AG2938" s="149"/>
      <c r="AH2938" s="149"/>
      <c r="AI2938" s="149"/>
      <c r="AJ2938" s="149"/>
      <c r="AK2938" s="149"/>
      <c r="AL2938" s="149"/>
      <c r="AM2938" s="149"/>
      <c r="AN2938" s="149"/>
      <c r="AO2938" s="128"/>
      <c r="AP2938" s="128"/>
      <c r="AQ2938" s="128"/>
      <c r="AR2938" s="128"/>
      <c r="AS2938" s="128"/>
      <c r="AT2938" s="128"/>
      <c r="AU2938" s="128"/>
      <c r="AV2938" s="128"/>
      <c r="AW2938" s="128"/>
      <c r="AX2938" s="128"/>
      <c r="AY2938" s="128"/>
      <c r="AZ2938" s="128"/>
      <c r="BA2938" s="128"/>
      <c r="BB2938" s="128"/>
      <c r="BC2938" s="128"/>
      <c r="BD2938" s="128"/>
      <c r="BE2938" s="128"/>
      <c r="BF2938" s="128"/>
      <c r="BG2938" s="128"/>
      <c r="BH2938" s="128"/>
      <c r="BI2938" s="128"/>
      <c r="BJ2938" s="128"/>
      <c r="BK2938" s="128"/>
      <c r="BL2938" s="128"/>
      <c r="BM2938" s="151"/>
      <c r="BN2938" s="128"/>
      <c r="BO2938" s="128"/>
      <c r="BP2938" s="128"/>
      <c r="BQ2938" s="128"/>
      <c r="BR2938" s="128"/>
      <c r="BS2938" s="128"/>
      <c r="BT2938" s="128"/>
      <c r="BU2938" s="128"/>
      <c r="BV2938" s="128"/>
      <c r="BW2938" s="128"/>
      <c r="BX2938" s="128"/>
      <c r="BY2938" s="128"/>
      <c r="BZ2938" s="128"/>
      <c r="CA2938" s="128"/>
      <c r="CB2938" s="128"/>
      <c r="CC2938" s="128"/>
      <c r="CD2938" s="128"/>
      <c r="CE2938" s="128"/>
      <c r="CF2938" s="128"/>
      <c r="CG2938" s="128"/>
      <c r="CI2938" s="128"/>
      <c r="CJ2938" s="128"/>
      <c r="CK2938" s="128"/>
      <c r="CL2938" s="128"/>
      <c r="CM2938" s="128"/>
      <c r="CN2938" s="128"/>
      <c r="CO2938" s="128"/>
      <c r="CP2938" s="128"/>
      <c r="CQ2938" s="128"/>
      <c r="CR2938" s="128"/>
      <c r="CS2938" s="128"/>
      <c r="CT2938" s="128"/>
      <c r="CU2938" s="128"/>
      <c r="CV2938" s="128"/>
      <c r="CW2938" s="128"/>
      <c r="CX2938" s="128"/>
      <c r="CY2938" s="128"/>
      <c r="CZ2938" s="165"/>
    </row>
    <row r="2939" spans="1:104">
      <c r="A2939" s="149"/>
      <c r="B2939" s="149"/>
      <c r="C2939" s="150"/>
      <c r="D2939" s="102"/>
      <c r="E2939" s="149"/>
      <c r="F2939" s="149"/>
      <c r="G2939" s="149"/>
      <c r="H2939" s="149"/>
      <c r="I2939" s="149"/>
      <c r="J2939" s="149"/>
      <c r="K2939" s="149"/>
      <c r="L2939" s="149"/>
      <c r="M2939" s="149"/>
      <c r="N2939" s="149"/>
      <c r="O2939" s="149"/>
      <c r="P2939" s="149"/>
      <c r="Q2939" s="149"/>
      <c r="R2939" s="149"/>
      <c r="S2939" s="149"/>
      <c r="T2939" s="149"/>
      <c r="U2939" s="149"/>
      <c r="V2939" s="149"/>
      <c r="W2939" s="149"/>
      <c r="X2939" s="149"/>
      <c r="Y2939" s="149"/>
      <c r="Z2939" s="149"/>
      <c r="AA2939" s="149"/>
      <c r="AB2939" s="149"/>
      <c r="AC2939" s="149"/>
      <c r="AD2939" s="149"/>
      <c r="AE2939" s="149"/>
      <c r="AF2939" s="149"/>
      <c r="AG2939" s="149"/>
      <c r="AH2939" s="149"/>
      <c r="AI2939" s="149"/>
      <c r="AJ2939" s="149"/>
      <c r="AK2939" s="149"/>
      <c r="AL2939" s="149"/>
      <c r="AM2939" s="149"/>
      <c r="AN2939" s="149"/>
      <c r="AO2939" s="128"/>
      <c r="AP2939" s="128"/>
      <c r="AQ2939" s="128"/>
      <c r="AR2939" s="128"/>
      <c r="AS2939" s="128"/>
      <c r="AT2939" s="128"/>
      <c r="AU2939" s="128"/>
      <c r="AV2939" s="128"/>
      <c r="AW2939" s="128"/>
      <c r="AX2939" s="128"/>
      <c r="AY2939" s="128"/>
      <c r="AZ2939" s="128"/>
      <c r="BA2939" s="128"/>
      <c r="BB2939" s="128"/>
      <c r="BC2939" s="128"/>
      <c r="BD2939" s="128"/>
      <c r="BE2939" s="128"/>
      <c r="BF2939" s="128"/>
      <c r="BG2939" s="128"/>
      <c r="BH2939" s="128"/>
      <c r="BI2939" s="128"/>
      <c r="BJ2939" s="128"/>
      <c r="BK2939" s="128"/>
      <c r="BL2939" s="128"/>
      <c r="BM2939" s="151"/>
      <c r="BN2939" s="128"/>
      <c r="BO2939" s="128"/>
      <c r="BP2939" s="128"/>
      <c r="BQ2939" s="128"/>
      <c r="BR2939" s="128"/>
      <c r="BS2939" s="128"/>
      <c r="BT2939" s="128"/>
      <c r="BU2939" s="128"/>
      <c r="BV2939" s="128"/>
      <c r="BW2939" s="128"/>
      <c r="BX2939" s="128"/>
      <c r="BY2939" s="128"/>
      <c r="BZ2939" s="128"/>
      <c r="CA2939" s="128"/>
      <c r="CB2939" s="128"/>
      <c r="CC2939" s="128"/>
      <c r="CD2939" s="128"/>
      <c r="CE2939" s="128"/>
      <c r="CF2939" s="128"/>
      <c r="CG2939" s="128"/>
      <c r="CI2939" s="128"/>
      <c r="CJ2939" s="128"/>
      <c r="CK2939" s="128"/>
      <c r="CL2939" s="128"/>
      <c r="CM2939" s="128"/>
      <c r="CN2939" s="128"/>
      <c r="CO2939" s="128"/>
      <c r="CP2939" s="128"/>
      <c r="CQ2939" s="128"/>
      <c r="CR2939" s="128"/>
      <c r="CS2939" s="128"/>
      <c r="CT2939" s="128"/>
      <c r="CU2939" s="128"/>
      <c r="CV2939" s="128"/>
      <c r="CW2939" s="128"/>
      <c r="CX2939" s="128"/>
      <c r="CY2939" s="128"/>
      <c r="CZ2939" s="165"/>
    </row>
    <row r="2940" spans="1:104">
      <c r="A2940" s="149"/>
      <c r="B2940" s="149"/>
      <c r="C2940" s="150"/>
      <c r="D2940" s="102"/>
      <c r="E2940" s="149"/>
      <c r="F2940" s="149"/>
      <c r="G2940" s="149"/>
      <c r="H2940" s="149"/>
      <c r="I2940" s="149"/>
      <c r="J2940" s="149"/>
      <c r="K2940" s="149"/>
      <c r="L2940" s="149"/>
      <c r="M2940" s="149"/>
      <c r="N2940" s="149"/>
      <c r="O2940" s="149"/>
      <c r="P2940" s="149"/>
      <c r="Q2940" s="149"/>
      <c r="R2940" s="149"/>
      <c r="S2940" s="149"/>
      <c r="T2940" s="149"/>
      <c r="U2940" s="149"/>
      <c r="V2940" s="149"/>
      <c r="W2940" s="149"/>
      <c r="X2940" s="149"/>
      <c r="Y2940" s="149"/>
      <c r="Z2940" s="149"/>
      <c r="AA2940" s="149"/>
      <c r="AB2940" s="149"/>
      <c r="AC2940" s="149"/>
      <c r="AD2940" s="149"/>
      <c r="AE2940" s="149"/>
      <c r="AF2940" s="149"/>
      <c r="AG2940" s="149"/>
      <c r="AH2940" s="149"/>
      <c r="AI2940" s="149"/>
      <c r="AJ2940" s="149"/>
      <c r="AK2940" s="149"/>
      <c r="AL2940" s="149"/>
      <c r="AM2940" s="149"/>
      <c r="AN2940" s="149"/>
      <c r="AO2940" s="128"/>
      <c r="AP2940" s="128"/>
      <c r="AQ2940" s="128"/>
      <c r="AR2940" s="128"/>
      <c r="AS2940" s="128"/>
      <c r="AT2940" s="128"/>
      <c r="AU2940" s="128"/>
      <c r="AV2940" s="128"/>
      <c r="AW2940" s="128"/>
      <c r="AX2940" s="128"/>
      <c r="AY2940" s="128"/>
      <c r="AZ2940" s="128"/>
      <c r="BA2940" s="128"/>
      <c r="BB2940" s="128"/>
      <c r="BC2940" s="128"/>
      <c r="BD2940" s="128"/>
      <c r="BE2940" s="128"/>
      <c r="BF2940" s="128"/>
      <c r="BG2940" s="128"/>
      <c r="BH2940" s="128"/>
      <c r="BI2940" s="128"/>
      <c r="BJ2940" s="128"/>
      <c r="BK2940" s="128"/>
      <c r="BL2940" s="128"/>
      <c r="BM2940" s="151"/>
      <c r="BN2940" s="128"/>
      <c r="BO2940" s="128"/>
      <c r="BP2940" s="128"/>
      <c r="BQ2940" s="128"/>
      <c r="BR2940" s="128"/>
      <c r="BS2940" s="128"/>
      <c r="BT2940" s="128"/>
      <c r="BU2940" s="128"/>
      <c r="BV2940" s="128"/>
      <c r="BW2940" s="128"/>
      <c r="BX2940" s="128"/>
      <c r="BY2940" s="128"/>
      <c r="BZ2940" s="128"/>
      <c r="CA2940" s="128"/>
      <c r="CB2940" s="128"/>
      <c r="CC2940" s="128"/>
      <c r="CD2940" s="128"/>
      <c r="CE2940" s="128"/>
      <c r="CF2940" s="128"/>
      <c r="CG2940" s="128"/>
      <c r="CI2940" s="128"/>
      <c r="CJ2940" s="128"/>
      <c r="CK2940" s="128"/>
      <c r="CL2940" s="128"/>
      <c r="CM2940" s="128"/>
      <c r="CN2940" s="128"/>
      <c r="CO2940" s="128"/>
      <c r="CP2940" s="128"/>
      <c r="CQ2940" s="128"/>
      <c r="CR2940" s="128"/>
      <c r="CS2940" s="128"/>
      <c r="CT2940" s="128"/>
      <c r="CU2940" s="128"/>
      <c r="CV2940" s="128"/>
      <c r="CW2940" s="128"/>
      <c r="CX2940" s="128"/>
      <c r="CY2940" s="128"/>
      <c r="CZ2940" s="165"/>
    </row>
    <row r="2941" spans="1:104">
      <c r="A2941" s="149"/>
      <c r="B2941" s="149"/>
      <c r="C2941" s="150"/>
      <c r="D2941" s="102"/>
      <c r="E2941" s="149"/>
      <c r="F2941" s="149"/>
      <c r="G2941" s="149"/>
      <c r="H2941" s="149"/>
      <c r="I2941" s="149"/>
      <c r="J2941" s="149"/>
      <c r="K2941" s="149"/>
      <c r="L2941" s="149"/>
      <c r="M2941" s="149"/>
      <c r="N2941" s="149"/>
      <c r="O2941" s="149"/>
      <c r="P2941" s="149"/>
      <c r="Q2941" s="149"/>
      <c r="R2941" s="149"/>
      <c r="S2941" s="149"/>
      <c r="T2941" s="149"/>
      <c r="U2941" s="149"/>
      <c r="V2941" s="149"/>
      <c r="W2941" s="149"/>
      <c r="X2941" s="149"/>
      <c r="Y2941" s="149"/>
      <c r="Z2941" s="149"/>
      <c r="AA2941" s="149"/>
      <c r="AB2941" s="149"/>
      <c r="AC2941" s="149"/>
      <c r="AD2941" s="149"/>
      <c r="AE2941" s="149"/>
      <c r="AF2941" s="149"/>
      <c r="AG2941" s="149"/>
      <c r="AH2941" s="149"/>
      <c r="AI2941" s="149"/>
      <c r="AJ2941" s="149"/>
      <c r="AK2941" s="149"/>
      <c r="AL2941" s="149"/>
      <c r="AM2941" s="149"/>
      <c r="AN2941" s="149"/>
      <c r="AO2941" s="128"/>
      <c r="AP2941" s="128"/>
      <c r="AQ2941" s="128"/>
      <c r="AR2941" s="128"/>
      <c r="AS2941" s="128"/>
      <c r="AT2941" s="128"/>
      <c r="AU2941" s="128"/>
      <c r="AV2941" s="128"/>
      <c r="AW2941" s="128"/>
      <c r="AX2941" s="128"/>
      <c r="AY2941" s="128"/>
      <c r="AZ2941" s="128"/>
      <c r="BA2941" s="128"/>
      <c r="BB2941" s="128"/>
      <c r="BC2941" s="128"/>
      <c r="BD2941" s="128"/>
      <c r="BE2941" s="128"/>
      <c r="BF2941" s="128"/>
      <c r="BG2941" s="128"/>
      <c r="BH2941" s="128"/>
      <c r="BI2941" s="128"/>
      <c r="BJ2941" s="128"/>
      <c r="BK2941" s="128"/>
      <c r="BL2941" s="128"/>
      <c r="BM2941" s="151"/>
      <c r="BN2941" s="128"/>
      <c r="BO2941" s="128"/>
      <c r="BP2941" s="128"/>
      <c r="BQ2941" s="128"/>
      <c r="BR2941" s="128"/>
      <c r="BS2941" s="128"/>
      <c r="BT2941" s="128"/>
      <c r="BU2941" s="128"/>
      <c r="BV2941" s="128"/>
      <c r="BW2941" s="128"/>
      <c r="BX2941" s="128"/>
      <c r="BY2941" s="128"/>
      <c r="BZ2941" s="128"/>
      <c r="CA2941" s="128"/>
      <c r="CB2941" s="128"/>
      <c r="CC2941" s="128"/>
      <c r="CD2941" s="128"/>
      <c r="CE2941" s="128"/>
      <c r="CF2941" s="128"/>
      <c r="CG2941" s="128"/>
      <c r="CI2941" s="128"/>
      <c r="CJ2941" s="128"/>
      <c r="CK2941" s="128"/>
      <c r="CL2941" s="128"/>
      <c r="CM2941" s="128"/>
      <c r="CN2941" s="128"/>
      <c r="CO2941" s="128"/>
      <c r="CP2941" s="128"/>
      <c r="CQ2941" s="128"/>
      <c r="CR2941" s="128"/>
      <c r="CS2941" s="128"/>
      <c r="CT2941" s="128"/>
      <c r="CU2941" s="128"/>
      <c r="CV2941" s="128"/>
      <c r="CW2941" s="128"/>
      <c r="CX2941" s="128"/>
      <c r="CY2941" s="128"/>
      <c r="CZ2941" s="165"/>
    </row>
    <row r="2942" spans="1:104">
      <c r="A2942" s="149"/>
      <c r="B2942" s="149"/>
      <c r="C2942" s="150"/>
      <c r="D2942" s="102"/>
      <c r="E2942" s="149"/>
      <c r="F2942" s="149"/>
      <c r="G2942" s="149"/>
      <c r="H2942" s="149"/>
      <c r="I2942" s="149"/>
      <c r="J2942" s="149"/>
      <c r="K2942" s="149"/>
      <c r="L2942" s="149"/>
      <c r="M2942" s="149"/>
      <c r="N2942" s="149"/>
      <c r="O2942" s="149"/>
      <c r="P2942" s="149"/>
      <c r="Q2942" s="149"/>
      <c r="R2942" s="149"/>
      <c r="S2942" s="149"/>
      <c r="T2942" s="149"/>
      <c r="U2942" s="149"/>
      <c r="V2942" s="149"/>
      <c r="W2942" s="149"/>
      <c r="X2942" s="149"/>
      <c r="Y2942" s="149"/>
      <c r="Z2942" s="149"/>
      <c r="AA2942" s="149"/>
      <c r="AB2942" s="149"/>
      <c r="AC2942" s="149"/>
      <c r="AD2942" s="149"/>
      <c r="AE2942" s="149"/>
      <c r="AF2942" s="149"/>
      <c r="AG2942" s="149"/>
      <c r="AH2942" s="149"/>
      <c r="AI2942" s="149"/>
      <c r="AJ2942" s="149"/>
      <c r="AK2942" s="149"/>
      <c r="AL2942" s="149"/>
      <c r="AM2942" s="149"/>
      <c r="AN2942" s="149"/>
      <c r="AO2942" s="128"/>
      <c r="AP2942" s="128"/>
      <c r="AQ2942" s="128"/>
      <c r="AR2942" s="128"/>
      <c r="AS2942" s="128"/>
      <c r="AT2942" s="128"/>
      <c r="AU2942" s="128"/>
      <c r="AV2942" s="128"/>
      <c r="AW2942" s="128"/>
      <c r="AX2942" s="128"/>
      <c r="AY2942" s="128"/>
      <c r="AZ2942" s="128"/>
      <c r="BA2942" s="128"/>
      <c r="BB2942" s="128"/>
      <c r="BC2942" s="128"/>
      <c r="BD2942" s="128"/>
      <c r="BE2942" s="128"/>
      <c r="BF2942" s="128"/>
      <c r="BG2942" s="128"/>
      <c r="BH2942" s="128"/>
      <c r="BI2942" s="128"/>
      <c r="BJ2942" s="128"/>
      <c r="BK2942" s="128"/>
      <c r="BL2942" s="128"/>
      <c r="BM2942" s="151"/>
      <c r="BN2942" s="128"/>
      <c r="BO2942" s="128"/>
      <c r="BP2942" s="128"/>
      <c r="BQ2942" s="128"/>
      <c r="BR2942" s="128"/>
      <c r="BS2942" s="128"/>
      <c r="BT2942" s="128"/>
      <c r="BU2942" s="128"/>
      <c r="BV2942" s="128"/>
      <c r="BW2942" s="128"/>
      <c r="BX2942" s="128"/>
      <c r="BY2942" s="128"/>
      <c r="BZ2942" s="128"/>
      <c r="CA2942" s="128"/>
      <c r="CB2942" s="128"/>
      <c r="CC2942" s="128"/>
      <c r="CD2942" s="128"/>
      <c r="CE2942" s="128"/>
      <c r="CF2942" s="128"/>
      <c r="CG2942" s="128"/>
      <c r="CI2942" s="128"/>
      <c r="CJ2942" s="128"/>
      <c r="CK2942" s="128"/>
      <c r="CL2942" s="128"/>
      <c r="CM2942" s="128"/>
      <c r="CN2942" s="128"/>
      <c r="CO2942" s="128"/>
      <c r="CP2942" s="128"/>
      <c r="CQ2942" s="128"/>
      <c r="CR2942" s="128"/>
      <c r="CS2942" s="128"/>
      <c r="CT2942" s="128"/>
      <c r="CU2942" s="128"/>
      <c r="CV2942" s="128"/>
      <c r="CW2942" s="128"/>
      <c r="CX2942" s="128"/>
      <c r="CY2942" s="128"/>
      <c r="CZ2942" s="165"/>
    </row>
    <row r="2943" spans="1:104">
      <c r="A2943" s="149"/>
      <c r="B2943" s="149"/>
      <c r="C2943" s="150"/>
      <c r="D2943" s="102"/>
      <c r="E2943" s="149"/>
      <c r="F2943" s="149"/>
      <c r="G2943" s="149"/>
      <c r="H2943" s="149"/>
      <c r="I2943" s="149"/>
      <c r="J2943" s="149"/>
      <c r="K2943" s="149"/>
      <c r="L2943" s="149"/>
      <c r="M2943" s="149"/>
      <c r="N2943" s="149"/>
      <c r="O2943" s="149"/>
      <c r="P2943" s="149"/>
      <c r="Q2943" s="149"/>
      <c r="R2943" s="149"/>
      <c r="S2943" s="149"/>
      <c r="T2943" s="149"/>
      <c r="U2943" s="149"/>
      <c r="V2943" s="149"/>
      <c r="W2943" s="149"/>
      <c r="X2943" s="149"/>
      <c r="Y2943" s="149"/>
      <c r="Z2943" s="149"/>
      <c r="AA2943" s="149"/>
      <c r="AB2943" s="149"/>
      <c r="AC2943" s="149"/>
      <c r="AD2943" s="149"/>
      <c r="AE2943" s="149"/>
      <c r="AF2943" s="149"/>
      <c r="AG2943" s="149"/>
      <c r="AH2943" s="149"/>
      <c r="AI2943" s="149"/>
      <c r="AJ2943" s="149"/>
      <c r="AK2943" s="149"/>
      <c r="AL2943" s="149"/>
      <c r="AM2943" s="149"/>
      <c r="AN2943" s="149"/>
      <c r="AO2943" s="128"/>
      <c r="AP2943" s="128"/>
      <c r="AQ2943" s="128"/>
      <c r="AR2943" s="128"/>
      <c r="AS2943" s="128"/>
      <c r="AT2943" s="128"/>
      <c r="AU2943" s="128"/>
      <c r="AV2943" s="128"/>
      <c r="AW2943" s="128"/>
      <c r="AX2943" s="128"/>
      <c r="AY2943" s="128"/>
      <c r="AZ2943" s="128"/>
      <c r="BA2943" s="128"/>
      <c r="BB2943" s="128"/>
      <c r="BC2943" s="128"/>
      <c r="BD2943" s="128"/>
      <c r="BE2943" s="128"/>
      <c r="BF2943" s="128"/>
      <c r="BG2943" s="128"/>
      <c r="BH2943" s="128"/>
      <c r="BI2943" s="128"/>
      <c r="BJ2943" s="128"/>
      <c r="BK2943" s="128"/>
      <c r="BL2943" s="128"/>
      <c r="BM2943" s="151"/>
      <c r="BN2943" s="128"/>
      <c r="BO2943" s="128"/>
      <c r="BP2943" s="128"/>
      <c r="BQ2943" s="128"/>
      <c r="BR2943" s="128"/>
      <c r="BS2943" s="128"/>
      <c r="BT2943" s="128"/>
      <c r="BU2943" s="128"/>
      <c r="BV2943" s="128"/>
      <c r="BW2943" s="128"/>
      <c r="BX2943" s="128"/>
      <c r="BY2943" s="128"/>
      <c r="BZ2943" s="128"/>
      <c r="CA2943" s="128"/>
      <c r="CB2943" s="128"/>
      <c r="CC2943" s="128"/>
      <c r="CD2943" s="128"/>
      <c r="CE2943" s="128"/>
      <c r="CF2943" s="128"/>
      <c r="CG2943" s="128"/>
      <c r="CI2943" s="128"/>
      <c r="CJ2943" s="128"/>
      <c r="CK2943" s="128"/>
      <c r="CL2943" s="128"/>
      <c r="CM2943" s="128"/>
      <c r="CN2943" s="128"/>
      <c r="CO2943" s="128"/>
      <c r="CP2943" s="128"/>
      <c r="CQ2943" s="128"/>
      <c r="CR2943" s="128"/>
      <c r="CS2943" s="128"/>
      <c r="CT2943" s="128"/>
      <c r="CU2943" s="128"/>
      <c r="CV2943" s="128"/>
      <c r="CW2943" s="128"/>
      <c r="CX2943" s="128"/>
      <c r="CY2943" s="128"/>
      <c r="CZ2943" s="165"/>
    </row>
    <row r="2944" spans="1:104">
      <c r="A2944" s="149"/>
      <c r="B2944" s="149"/>
      <c r="C2944" s="150"/>
      <c r="D2944" s="102"/>
      <c r="E2944" s="149"/>
      <c r="F2944" s="149"/>
      <c r="G2944" s="149"/>
      <c r="H2944" s="149"/>
      <c r="I2944" s="149"/>
      <c r="J2944" s="149"/>
      <c r="K2944" s="149"/>
      <c r="L2944" s="149"/>
      <c r="M2944" s="149"/>
      <c r="N2944" s="149"/>
      <c r="O2944" s="149"/>
      <c r="P2944" s="149"/>
      <c r="Q2944" s="149"/>
      <c r="R2944" s="149"/>
      <c r="S2944" s="149"/>
      <c r="T2944" s="149"/>
      <c r="U2944" s="149"/>
      <c r="V2944" s="149"/>
      <c r="W2944" s="149"/>
      <c r="X2944" s="149"/>
      <c r="Y2944" s="149"/>
      <c r="Z2944" s="149"/>
      <c r="AA2944" s="149"/>
      <c r="AB2944" s="149"/>
      <c r="AC2944" s="149"/>
      <c r="AD2944" s="149"/>
      <c r="AE2944" s="149"/>
      <c r="AF2944" s="149"/>
      <c r="AG2944" s="149"/>
      <c r="AH2944" s="149"/>
      <c r="AI2944" s="149"/>
      <c r="AJ2944" s="149"/>
      <c r="AK2944" s="149"/>
      <c r="AL2944" s="149"/>
      <c r="AM2944" s="149"/>
      <c r="AN2944" s="149"/>
      <c r="AO2944" s="128"/>
      <c r="AP2944" s="128"/>
      <c r="AQ2944" s="128"/>
      <c r="AR2944" s="128"/>
      <c r="AS2944" s="128"/>
      <c r="AT2944" s="128"/>
      <c r="AU2944" s="128"/>
      <c r="AV2944" s="128"/>
      <c r="AW2944" s="128"/>
      <c r="AX2944" s="128"/>
      <c r="AY2944" s="128"/>
      <c r="AZ2944" s="128"/>
      <c r="BA2944" s="128"/>
      <c r="BB2944" s="128"/>
      <c r="BC2944" s="128"/>
      <c r="BD2944" s="128"/>
      <c r="BE2944" s="128"/>
      <c r="BF2944" s="128"/>
      <c r="BG2944" s="128"/>
      <c r="BH2944" s="128"/>
      <c r="BI2944" s="128"/>
      <c r="BJ2944" s="128"/>
      <c r="BK2944" s="128"/>
      <c r="BL2944" s="128"/>
      <c r="BM2944" s="151"/>
      <c r="BN2944" s="128"/>
      <c r="BO2944" s="128"/>
      <c r="BP2944" s="128"/>
      <c r="BQ2944" s="128"/>
      <c r="BR2944" s="128"/>
      <c r="BS2944" s="128"/>
      <c r="BT2944" s="128"/>
      <c r="BU2944" s="128"/>
      <c r="BV2944" s="128"/>
      <c r="BW2944" s="128"/>
      <c r="BX2944" s="128"/>
      <c r="BY2944" s="128"/>
      <c r="BZ2944" s="128"/>
      <c r="CA2944" s="128"/>
      <c r="CB2944" s="128"/>
      <c r="CC2944" s="128"/>
      <c r="CD2944" s="128"/>
      <c r="CE2944" s="128"/>
      <c r="CF2944" s="128"/>
      <c r="CG2944" s="128"/>
      <c r="CI2944" s="128"/>
      <c r="CJ2944" s="128"/>
      <c r="CK2944" s="128"/>
      <c r="CL2944" s="128"/>
      <c r="CM2944" s="128"/>
      <c r="CN2944" s="128"/>
      <c r="CO2944" s="128"/>
      <c r="CP2944" s="128"/>
      <c r="CQ2944" s="128"/>
      <c r="CR2944" s="128"/>
      <c r="CS2944" s="128"/>
      <c r="CT2944" s="128"/>
      <c r="CU2944" s="128"/>
      <c r="CV2944" s="128"/>
      <c r="CW2944" s="128"/>
      <c r="CX2944" s="128"/>
      <c r="CY2944" s="128"/>
      <c r="CZ2944" s="165"/>
    </row>
    <row r="2945" spans="1:104">
      <c r="A2945" s="149"/>
      <c r="B2945" s="149"/>
      <c r="C2945" s="150"/>
      <c r="D2945" s="102"/>
      <c r="E2945" s="149"/>
      <c r="F2945" s="149"/>
      <c r="G2945" s="149"/>
      <c r="H2945" s="149"/>
      <c r="I2945" s="149"/>
      <c r="J2945" s="149"/>
      <c r="K2945" s="149"/>
      <c r="L2945" s="149"/>
      <c r="M2945" s="149"/>
      <c r="N2945" s="149"/>
      <c r="O2945" s="149"/>
      <c r="P2945" s="149"/>
      <c r="Q2945" s="149"/>
      <c r="R2945" s="149"/>
      <c r="S2945" s="149"/>
      <c r="T2945" s="149"/>
      <c r="U2945" s="149"/>
      <c r="V2945" s="149"/>
      <c r="W2945" s="149"/>
      <c r="X2945" s="149"/>
      <c r="Y2945" s="149"/>
      <c r="Z2945" s="149"/>
      <c r="AA2945" s="149"/>
      <c r="AB2945" s="149"/>
      <c r="AC2945" s="149"/>
      <c r="AD2945" s="149"/>
      <c r="AE2945" s="149"/>
      <c r="AF2945" s="149"/>
      <c r="AG2945" s="149"/>
      <c r="AH2945" s="149"/>
      <c r="AI2945" s="149"/>
      <c r="AJ2945" s="149"/>
      <c r="AK2945" s="149"/>
      <c r="AL2945" s="149"/>
      <c r="AM2945" s="149"/>
      <c r="AN2945" s="149"/>
      <c r="AO2945" s="128"/>
      <c r="AP2945" s="128"/>
      <c r="AQ2945" s="128"/>
      <c r="AR2945" s="128"/>
      <c r="AS2945" s="128"/>
      <c r="AT2945" s="128"/>
      <c r="AU2945" s="128"/>
      <c r="AV2945" s="128"/>
      <c r="AW2945" s="128"/>
      <c r="AX2945" s="128"/>
      <c r="AY2945" s="128"/>
      <c r="AZ2945" s="128"/>
      <c r="BA2945" s="128"/>
      <c r="BB2945" s="128"/>
      <c r="BC2945" s="128"/>
      <c r="BD2945" s="128"/>
      <c r="BE2945" s="128"/>
      <c r="BF2945" s="128"/>
      <c r="BG2945" s="128"/>
      <c r="BH2945" s="128"/>
      <c r="BI2945" s="128"/>
      <c r="BJ2945" s="128"/>
      <c r="BK2945" s="128"/>
      <c r="BL2945" s="128"/>
      <c r="BM2945" s="151"/>
      <c r="BN2945" s="128"/>
      <c r="BO2945" s="128"/>
      <c r="BP2945" s="128"/>
      <c r="BQ2945" s="128"/>
      <c r="BR2945" s="128"/>
      <c r="BS2945" s="128"/>
      <c r="BT2945" s="128"/>
      <c r="BU2945" s="128"/>
      <c r="BV2945" s="128"/>
      <c r="BW2945" s="128"/>
      <c r="BX2945" s="128"/>
      <c r="BY2945" s="128"/>
      <c r="BZ2945" s="128"/>
      <c r="CA2945" s="128"/>
      <c r="CB2945" s="128"/>
      <c r="CC2945" s="128"/>
      <c r="CD2945" s="128"/>
      <c r="CE2945" s="128"/>
      <c r="CF2945" s="128"/>
      <c r="CG2945" s="128"/>
      <c r="CI2945" s="128"/>
      <c r="CJ2945" s="128"/>
      <c r="CK2945" s="128"/>
      <c r="CL2945" s="128"/>
      <c r="CM2945" s="128"/>
      <c r="CN2945" s="128"/>
      <c r="CO2945" s="128"/>
      <c r="CP2945" s="128"/>
      <c r="CQ2945" s="128"/>
      <c r="CR2945" s="128"/>
      <c r="CS2945" s="128"/>
      <c r="CT2945" s="128"/>
      <c r="CU2945" s="128"/>
      <c r="CV2945" s="128"/>
      <c r="CW2945" s="128"/>
      <c r="CX2945" s="128"/>
      <c r="CY2945" s="128"/>
      <c r="CZ2945" s="165"/>
    </row>
    <row r="2946" spans="1:104">
      <c r="A2946" s="149"/>
      <c r="B2946" s="149"/>
      <c r="C2946" s="150"/>
      <c r="D2946" s="102"/>
      <c r="E2946" s="149"/>
      <c r="F2946" s="149"/>
      <c r="G2946" s="149"/>
      <c r="H2946" s="149"/>
      <c r="I2946" s="149"/>
      <c r="J2946" s="149"/>
      <c r="K2946" s="149"/>
      <c r="L2946" s="149"/>
      <c r="M2946" s="149"/>
      <c r="N2946" s="149"/>
      <c r="O2946" s="149"/>
      <c r="P2946" s="149"/>
      <c r="Q2946" s="149"/>
      <c r="R2946" s="149"/>
      <c r="S2946" s="149"/>
      <c r="T2946" s="149"/>
      <c r="U2946" s="149"/>
      <c r="V2946" s="149"/>
      <c r="W2946" s="149"/>
      <c r="X2946" s="149"/>
      <c r="Y2946" s="149"/>
      <c r="Z2946" s="149"/>
      <c r="AA2946" s="149"/>
      <c r="AB2946" s="149"/>
      <c r="AC2946" s="149"/>
      <c r="AD2946" s="149"/>
      <c r="AE2946" s="149"/>
      <c r="AF2946" s="149"/>
      <c r="AG2946" s="149"/>
      <c r="AH2946" s="149"/>
      <c r="AI2946" s="149"/>
      <c r="AJ2946" s="149"/>
      <c r="AK2946" s="149"/>
      <c r="AL2946" s="149"/>
      <c r="AM2946" s="149"/>
      <c r="AN2946" s="149"/>
      <c r="AO2946" s="128"/>
      <c r="AP2946" s="128"/>
      <c r="AQ2946" s="128"/>
      <c r="AR2946" s="128"/>
      <c r="AS2946" s="128"/>
      <c r="AT2946" s="128"/>
      <c r="AU2946" s="128"/>
      <c r="AV2946" s="128"/>
      <c r="AW2946" s="128"/>
      <c r="AX2946" s="128"/>
      <c r="AY2946" s="128"/>
      <c r="AZ2946" s="128"/>
      <c r="BA2946" s="128"/>
      <c r="BB2946" s="128"/>
      <c r="BC2946" s="128"/>
      <c r="BD2946" s="128"/>
      <c r="BE2946" s="128"/>
      <c r="BF2946" s="128"/>
      <c r="BG2946" s="128"/>
      <c r="BH2946" s="128"/>
      <c r="BI2946" s="128"/>
      <c r="BJ2946" s="128"/>
      <c r="BK2946" s="128"/>
      <c r="BL2946" s="128"/>
      <c r="BM2946" s="151"/>
      <c r="BN2946" s="128"/>
      <c r="BO2946" s="128"/>
      <c r="BP2946" s="128"/>
      <c r="BQ2946" s="128"/>
      <c r="BR2946" s="128"/>
      <c r="BS2946" s="128"/>
      <c r="BT2946" s="128"/>
      <c r="BU2946" s="128"/>
      <c r="BV2946" s="128"/>
      <c r="BW2946" s="128"/>
      <c r="BX2946" s="128"/>
      <c r="BY2946" s="128"/>
      <c r="BZ2946" s="128"/>
      <c r="CA2946" s="128"/>
      <c r="CB2946" s="128"/>
      <c r="CC2946" s="128"/>
      <c r="CD2946" s="128"/>
      <c r="CE2946" s="128"/>
      <c r="CF2946" s="128"/>
      <c r="CG2946" s="128"/>
      <c r="CI2946" s="128"/>
      <c r="CJ2946" s="128"/>
      <c r="CK2946" s="128"/>
      <c r="CL2946" s="128"/>
      <c r="CM2946" s="128"/>
      <c r="CN2946" s="128"/>
      <c r="CO2946" s="128"/>
      <c r="CP2946" s="128"/>
      <c r="CQ2946" s="128"/>
      <c r="CR2946" s="128"/>
      <c r="CS2946" s="128"/>
      <c r="CT2946" s="128"/>
      <c r="CU2946" s="128"/>
      <c r="CV2946" s="128"/>
      <c r="CW2946" s="128"/>
      <c r="CX2946" s="128"/>
      <c r="CY2946" s="128"/>
      <c r="CZ2946" s="165"/>
    </row>
    <row r="2947" spans="1:104">
      <c r="A2947" s="149"/>
      <c r="B2947" s="149"/>
      <c r="C2947" s="150"/>
      <c r="D2947" s="102"/>
      <c r="E2947" s="149"/>
      <c r="F2947" s="149"/>
      <c r="G2947" s="149"/>
      <c r="H2947" s="149"/>
      <c r="I2947" s="149"/>
      <c r="J2947" s="149"/>
      <c r="K2947" s="149"/>
      <c r="L2947" s="149"/>
      <c r="M2947" s="149"/>
      <c r="N2947" s="149"/>
      <c r="O2947" s="149"/>
      <c r="P2947" s="149"/>
      <c r="Q2947" s="149"/>
      <c r="R2947" s="149"/>
      <c r="S2947" s="149"/>
      <c r="T2947" s="149"/>
      <c r="U2947" s="149"/>
      <c r="V2947" s="149"/>
      <c r="W2947" s="149"/>
      <c r="X2947" s="149"/>
      <c r="Y2947" s="149"/>
      <c r="Z2947" s="149"/>
      <c r="AA2947" s="149"/>
      <c r="AB2947" s="149"/>
      <c r="AC2947" s="149"/>
      <c r="AD2947" s="149"/>
      <c r="AE2947" s="149"/>
      <c r="AF2947" s="149"/>
      <c r="AG2947" s="149"/>
      <c r="AH2947" s="149"/>
      <c r="AI2947" s="149"/>
      <c r="AJ2947" s="149"/>
      <c r="AK2947" s="149"/>
      <c r="AL2947" s="149"/>
      <c r="AM2947" s="149"/>
      <c r="AN2947" s="149"/>
      <c r="AO2947" s="128"/>
      <c r="AP2947" s="128"/>
      <c r="AQ2947" s="128"/>
      <c r="AR2947" s="128"/>
      <c r="AS2947" s="128"/>
      <c r="AT2947" s="128"/>
      <c r="AU2947" s="128"/>
      <c r="AV2947" s="128"/>
      <c r="AW2947" s="128"/>
      <c r="AX2947" s="128"/>
      <c r="AY2947" s="128"/>
      <c r="AZ2947" s="128"/>
      <c r="BA2947" s="128"/>
      <c r="BB2947" s="128"/>
      <c r="BC2947" s="128"/>
      <c r="BD2947" s="128"/>
      <c r="BE2947" s="128"/>
      <c r="BF2947" s="128"/>
      <c r="BG2947" s="128"/>
      <c r="BH2947" s="128"/>
      <c r="BI2947" s="128"/>
      <c r="BJ2947" s="128"/>
      <c r="BK2947" s="128"/>
      <c r="BL2947" s="128"/>
      <c r="BM2947" s="151"/>
      <c r="BN2947" s="128"/>
      <c r="BO2947" s="128"/>
      <c r="BP2947" s="128"/>
      <c r="BQ2947" s="128"/>
      <c r="BR2947" s="128"/>
      <c r="BS2947" s="128"/>
      <c r="BT2947" s="128"/>
      <c r="BU2947" s="128"/>
      <c r="BV2947" s="128"/>
      <c r="BW2947" s="128"/>
      <c r="BX2947" s="128"/>
      <c r="BY2947" s="128"/>
      <c r="BZ2947" s="128"/>
      <c r="CA2947" s="128"/>
      <c r="CB2947" s="128"/>
      <c r="CC2947" s="128"/>
      <c r="CD2947" s="128"/>
      <c r="CE2947" s="128"/>
      <c r="CF2947" s="128"/>
      <c r="CG2947" s="128"/>
      <c r="CI2947" s="128"/>
      <c r="CJ2947" s="128"/>
      <c r="CK2947" s="128"/>
      <c r="CL2947" s="128"/>
      <c r="CM2947" s="128"/>
      <c r="CN2947" s="128"/>
      <c r="CO2947" s="128"/>
      <c r="CP2947" s="128"/>
      <c r="CQ2947" s="128"/>
      <c r="CR2947" s="128"/>
      <c r="CS2947" s="128"/>
      <c r="CT2947" s="128"/>
      <c r="CU2947" s="128"/>
      <c r="CV2947" s="128"/>
      <c r="CW2947" s="128"/>
      <c r="CX2947" s="128"/>
      <c r="CY2947" s="128"/>
      <c r="CZ2947" s="165"/>
    </row>
    <row r="2948" spans="1:104">
      <c r="A2948" s="149"/>
      <c r="B2948" s="149"/>
      <c r="C2948" s="150"/>
      <c r="D2948" s="102"/>
      <c r="E2948" s="149"/>
      <c r="F2948" s="149"/>
      <c r="G2948" s="149"/>
      <c r="H2948" s="149"/>
      <c r="I2948" s="149"/>
      <c r="J2948" s="149"/>
      <c r="K2948" s="149"/>
      <c r="L2948" s="149"/>
      <c r="M2948" s="149"/>
      <c r="N2948" s="149"/>
      <c r="O2948" s="149"/>
      <c r="P2948" s="149"/>
      <c r="Q2948" s="149"/>
      <c r="R2948" s="149"/>
      <c r="S2948" s="149"/>
      <c r="T2948" s="149"/>
      <c r="U2948" s="149"/>
      <c r="V2948" s="149"/>
      <c r="W2948" s="149"/>
      <c r="X2948" s="149"/>
      <c r="Y2948" s="149"/>
      <c r="Z2948" s="149"/>
      <c r="AA2948" s="149"/>
      <c r="AB2948" s="149"/>
      <c r="AC2948" s="149"/>
      <c r="AD2948" s="149"/>
      <c r="AE2948" s="149"/>
      <c r="AF2948" s="149"/>
      <c r="AG2948" s="149"/>
      <c r="AH2948" s="149"/>
      <c r="AI2948" s="149"/>
      <c r="AJ2948" s="149"/>
      <c r="AK2948" s="149"/>
      <c r="AL2948" s="149"/>
      <c r="AM2948" s="149"/>
      <c r="AN2948" s="149"/>
      <c r="AO2948" s="128"/>
      <c r="AP2948" s="128"/>
      <c r="AQ2948" s="128"/>
      <c r="AR2948" s="128"/>
      <c r="AS2948" s="128"/>
      <c r="AT2948" s="128"/>
      <c r="AU2948" s="128"/>
      <c r="AV2948" s="128"/>
      <c r="AW2948" s="128"/>
      <c r="AX2948" s="128"/>
      <c r="AY2948" s="128"/>
      <c r="AZ2948" s="128"/>
      <c r="BA2948" s="128"/>
      <c r="BB2948" s="128"/>
      <c r="BC2948" s="128"/>
      <c r="BD2948" s="128"/>
      <c r="BE2948" s="128"/>
      <c r="BF2948" s="128"/>
      <c r="BG2948" s="128"/>
      <c r="BH2948" s="128"/>
      <c r="BI2948" s="128"/>
      <c r="BJ2948" s="128"/>
      <c r="BK2948" s="128"/>
      <c r="BL2948" s="128"/>
      <c r="BM2948" s="151"/>
      <c r="BN2948" s="128"/>
      <c r="BO2948" s="128"/>
      <c r="BP2948" s="128"/>
      <c r="BQ2948" s="128"/>
      <c r="BR2948" s="128"/>
      <c r="BS2948" s="128"/>
      <c r="BT2948" s="128"/>
      <c r="BU2948" s="128"/>
      <c r="BV2948" s="128"/>
      <c r="BW2948" s="128"/>
      <c r="BX2948" s="128"/>
      <c r="BY2948" s="128"/>
      <c r="BZ2948" s="128"/>
      <c r="CA2948" s="128"/>
      <c r="CB2948" s="128"/>
      <c r="CC2948" s="128"/>
      <c r="CD2948" s="128"/>
      <c r="CE2948" s="128"/>
      <c r="CF2948" s="128"/>
      <c r="CG2948" s="128"/>
      <c r="CI2948" s="128"/>
      <c r="CJ2948" s="128"/>
      <c r="CK2948" s="128"/>
      <c r="CL2948" s="128"/>
      <c r="CM2948" s="128"/>
      <c r="CN2948" s="128"/>
      <c r="CO2948" s="128"/>
      <c r="CP2948" s="128"/>
      <c r="CQ2948" s="128"/>
      <c r="CR2948" s="128"/>
      <c r="CS2948" s="128"/>
      <c r="CT2948" s="128"/>
      <c r="CU2948" s="128"/>
      <c r="CV2948" s="128"/>
      <c r="CW2948" s="128"/>
      <c r="CX2948" s="128"/>
      <c r="CY2948" s="128"/>
      <c r="CZ2948" s="165"/>
    </row>
    <row r="2949" spans="1:104">
      <c r="A2949" s="149"/>
      <c r="B2949" s="149"/>
      <c r="C2949" s="150"/>
      <c r="D2949" s="102"/>
      <c r="E2949" s="149"/>
      <c r="F2949" s="149"/>
      <c r="G2949" s="149"/>
      <c r="H2949" s="149"/>
      <c r="I2949" s="149"/>
      <c r="J2949" s="149"/>
      <c r="K2949" s="149"/>
      <c r="L2949" s="149"/>
      <c r="M2949" s="149"/>
      <c r="N2949" s="149"/>
      <c r="O2949" s="149"/>
      <c r="P2949" s="149"/>
      <c r="Q2949" s="149"/>
      <c r="R2949" s="149"/>
      <c r="S2949" s="149"/>
      <c r="T2949" s="149"/>
      <c r="U2949" s="149"/>
      <c r="V2949" s="149"/>
      <c r="W2949" s="149"/>
      <c r="X2949" s="149"/>
      <c r="Y2949" s="149"/>
      <c r="Z2949" s="149"/>
      <c r="AA2949" s="149"/>
      <c r="AB2949" s="149"/>
      <c r="AC2949" s="149"/>
      <c r="AD2949" s="149"/>
      <c r="AE2949" s="149"/>
      <c r="AF2949" s="149"/>
      <c r="AG2949" s="149"/>
      <c r="AH2949" s="149"/>
      <c r="AI2949" s="149"/>
      <c r="AJ2949" s="149"/>
      <c r="AK2949" s="149"/>
      <c r="AL2949" s="149"/>
      <c r="AM2949" s="149"/>
      <c r="AN2949" s="149"/>
      <c r="AO2949" s="128"/>
      <c r="AP2949" s="128"/>
      <c r="AQ2949" s="128"/>
      <c r="AR2949" s="128"/>
      <c r="AS2949" s="128"/>
      <c r="AT2949" s="128"/>
      <c r="AU2949" s="128"/>
      <c r="AV2949" s="128"/>
      <c r="AW2949" s="128"/>
      <c r="AX2949" s="128"/>
      <c r="AY2949" s="128"/>
      <c r="AZ2949" s="128"/>
      <c r="BA2949" s="128"/>
      <c r="BB2949" s="128"/>
      <c r="BC2949" s="128"/>
      <c r="BD2949" s="128"/>
      <c r="BE2949" s="128"/>
      <c r="BF2949" s="128"/>
      <c r="BG2949" s="128"/>
      <c r="BH2949" s="128"/>
      <c r="BI2949" s="128"/>
      <c r="BJ2949" s="128"/>
      <c r="BK2949" s="128"/>
      <c r="BL2949" s="128"/>
      <c r="BM2949" s="151"/>
      <c r="BN2949" s="128"/>
      <c r="BO2949" s="128"/>
      <c r="BP2949" s="128"/>
      <c r="BQ2949" s="128"/>
      <c r="BR2949" s="128"/>
      <c r="BS2949" s="128"/>
      <c r="BT2949" s="128"/>
      <c r="BU2949" s="128"/>
      <c r="BV2949" s="128"/>
      <c r="BW2949" s="128"/>
      <c r="BX2949" s="128"/>
      <c r="BY2949" s="128"/>
      <c r="BZ2949" s="128"/>
      <c r="CA2949" s="128"/>
      <c r="CB2949" s="128"/>
      <c r="CC2949" s="128"/>
      <c r="CD2949" s="128"/>
      <c r="CE2949" s="128"/>
      <c r="CF2949" s="128"/>
      <c r="CG2949" s="128"/>
      <c r="CI2949" s="128"/>
      <c r="CJ2949" s="128"/>
      <c r="CK2949" s="128"/>
      <c r="CL2949" s="128"/>
      <c r="CM2949" s="128"/>
      <c r="CN2949" s="128"/>
      <c r="CO2949" s="128"/>
      <c r="CP2949" s="128"/>
      <c r="CQ2949" s="128"/>
      <c r="CR2949" s="128"/>
      <c r="CS2949" s="128"/>
      <c r="CT2949" s="128"/>
      <c r="CU2949" s="128"/>
      <c r="CV2949" s="128"/>
      <c r="CW2949" s="128"/>
      <c r="CX2949" s="128"/>
      <c r="CY2949" s="128"/>
      <c r="CZ2949" s="165"/>
    </row>
    <row r="2950" spans="1:104">
      <c r="A2950" s="149"/>
      <c r="B2950" s="149"/>
      <c r="C2950" s="150"/>
      <c r="D2950" s="102"/>
      <c r="E2950" s="149"/>
      <c r="F2950" s="149"/>
      <c r="G2950" s="149"/>
      <c r="H2950" s="149"/>
      <c r="I2950" s="149"/>
      <c r="J2950" s="149"/>
      <c r="K2950" s="149"/>
      <c r="L2950" s="149"/>
      <c r="M2950" s="149"/>
      <c r="N2950" s="149"/>
      <c r="O2950" s="149"/>
      <c r="P2950" s="149"/>
      <c r="Q2950" s="149"/>
      <c r="R2950" s="149"/>
      <c r="S2950" s="149"/>
      <c r="T2950" s="149"/>
      <c r="U2950" s="149"/>
      <c r="V2950" s="149"/>
      <c r="W2950" s="149"/>
      <c r="X2950" s="149"/>
      <c r="Y2950" s="149"/>
      <c r="Z2950" s="149"/>
      <c r="AA2950" s="149"/>
      <c r="AB2950" s="149"/>
      <c r="AC2950" s="149"/>
      <c r="AD2950" s="149"/>
      <c r="AE2950" s="149"/>
      <c r="AF2950" s="149"/>
      <c r="AG2950" s="149"/>
      <c r="AH2950" s="149"/>
      <c r="AI2950" s="149"/>
      <c r="AJ2950" s="149"/>
      <c r="AK2950" s="149"/>
      <c r="AL2950" s="149"/>
      <c r="AM2950" s="149"/>
      <c r="AN2950" s="149"/>
      <c r="AO2950" s="128"/>
      <c r="AP2950" s="128"/>
      <c r="AQ2950" s="128"/>
      <c r="AR2950" s="128"/>
      <c r="AS2950" s="128"/>
      <c r="AT2950" s="128"/>
      <c r="AU2950" s="128"/>
      <c r="AV2950" s="128"/>
      <c r="AW2950" s="128"/>
      <c r="AX2950" s="128"/>
      <c r="AY2950" s="128"/>
      <c r="AZ2950" s="128"/>
      <c r="BA2950" s="128"/>
      <c r="BB2950" s="128"/>
      <c r="BC2950" s="128"/>
      <c r="BD2950" s="128"/>
      <c r="BE2950" s="128"/>
      <c r="BF2950" s="128"/>
      <c r="BG2950" s="128"/>
      <c r="BH2950" s="128"/>
      <c r="BI2950" s="128"/>
      <c r="BJ2950" s="128"/>
      <c r="BK2950" s="128"/>
      <c r="BL2950" s="128"/>
      <c r="BM2950" s="151"/>
      <c r="BN2950" s="128"/>
      <c r="BO2950" s="128"/>
      <c r="BP2950" s="128"/>
      <c r="BQ2950" s="128"/>
      <c r="BR2950" s="128"/>
      <c r="BS2950" s="128"/>
      <c r="BT2950" s="128"/>
      <c r="BU2950" s="128"/>
      <c r="BV2950" s="128"/>
      <c r="BW2950" s="128"/>
      <c r="BX2950" s="128"/>
      <c r="BY2950" s="128"/>
      <c r="BZ2950" s="128"/>
      <c r="CA2950" s="128"/>
      <c r="CB2950" s="128"/>
      <c r="CC2950" s="128"/>
      <c r="CD2950" s="128"/>
      <c r="CE2950" s="128"/>
      <c r="CF2950" s="128"/>
      <c r="CG2950" s="128"/>
      <c r="CI2950" s="128"/>
      <c r="CJ2950" s="128"/>
      <c r="CK2950" s="128"/>
      <c r="CL2950" s="128"/>
      <c r="CM2950" s="128"/>
      <c r="CN2950" s="128"/>
      <c r="CO2950" s="128"/>
      <c r="CP2950" s="128"/>
      <c r="CQ2950" s="128"/>
      <c r="CR2950" s="128"/>
      <c r="CS2950" s="128"/>
      <c r="CT2950" s="128"/>
      <c r="CU2950" s="128"/>
      <c r="CV2950" s="128"/>
      <c r="CW2950" s="128"/>
      <c r="CX2950" s="128"/>
      <c r="CY2950" s="128"/>
      <c r="CZ2950" s="165"/>
    </row>
    <row r="2951" spans="1:104">
      <c r="A2951" s="149"/>
      <c r="B2951" s="149"/>
      <c r="C2951" s="150"/>
      <c r="D2951" s="102"/>
      <c r="E2951" s="149"/>
      <c r="F2951" s="149"/>
      <c r="G2951" s="149"/>
      <c r="H2951" s="149"/>
      <c r="I2951" s="149"/>
      <c r="J2951" s="149"/>
      <c r="K2951" s="149"/>
      <c r="L2951" s="149"/>
      <c r="M2951" s="149"/>
      <c r="N2951" s="149"/>
      <c r="O2951" s="149"/>
      <c r="P2951" s="149"/>
      <c r="Q2951" s="149"/>
      <c r="R2951" s="149"/>
      <c r="S2951" s="149"/>
      <c r="T2951" s="149"/>
      <c r="U2951" s="149"/>
      <c r="V2951" s="149"/>
      <c r="W2951" s="149"/>
      <c r="X2951" s="149"/>
      <c r="Y2951" s="149"/>
      <c r="Z2951" s="149"/>
      <c r="AA2951" s="149"/>
      <c r="AB2951" s="149"/>
      <c r="AC2951" s="149"/>
      <c r="AD2951" s="149"/>
      <c r="AE2951" s="149"/>
      <c r="AF2951" s="149"/>
      <c r="AG2951" s="149"/>
      <c r="AH2951" s="149"/>
      <c r="AI2951" s="149"/>
      <c r="AJ2951" s="149"/>
      <c r="AK2951" s="149"/>
      <c r="AL2951" s="149"/>
      <c r="AM2951" s="149"/>
      <c r="AN2951" s="149"/>
      <c r="AO2951" s="128"/>
      <c r="AP2951" s="128"/>
      <c r="AQ2951" s="128"/>
      <c r="AR2951" s="128"/>
      <c r="AS2951" s="128"/>
      <c r="AT2951" s="128"/>
      <c r="AU2951" s="128"/>
      <c r="AV2951" s="128"/>
      <c r="AW2951" s="128"/>
      <c r="AX2951" s="128"/>
      <c r="AY2951" s="128"/>
      <c r="AZ2951" s="128"/>
      <c r="BA2951" s="128"/>
      <c r="BB2951" s="128"/>
      <c r="BC2951" s="128"/>
      <c r="BD2951" s="128"/>
      <c r="BE2951" s="128"/>
      <c r="BF2951" s="128"/>
      <c r="BG2951" s="128"/>
      <c r="BH2951" s="128"/>
      <c r="BI2951" s="128"/>
      <c r="BJ2951" s="128"/>
      <c r="BK2951" s="128"/>
      <c r="BL2951" s="128"/>
      <c r="BM2951" s="151"/>
      <c r="BN2951" s="128"/>
      <c r="BO2951" s="128"/>
      <c r="BP2951" s="128"/>
      <c r="BQ2951" s="128"/>
      <c r="BR2951" s="128"/>
      <c r="BS2951" s="128"/>
      <c r="BT2951" s="128"/>
      <c r="BU2951" s="128"/>
      <c r="BV2951" s="128"/>
      <c r="BW2951" s="128"/>
      <c r="BX2951" s="128"/>
      <c r="BY2951" s="128"/>
      <c r="BZ2951" s="128"/>
      <c r="CA2951" s="128"/>
      <c r="CB2951" s="128"/>
      <c r="CC2951" s="128"/>
      <c r="CD2951" s="128"/>
      <c r="CE2951" s="128"/>
      <c r="CF2951" s="128"/>
      <c r="CG2951" s="128"/>
      <c r="CI2951" s="128"/>
      <c r="CJ2951" s="128"/>
      <c r="CK2951" s="128"/>
      <c r="CL2951" s="128"/>
      <c r="CM2951" s="128"/>
      <c r="CN2951" s="128"/>
      <c r="CO2951" s="128"/>
      <c r="CP2951" s="128"/>
      <c r="CQ2951" s="128"/>
      <c r="CR2951" s="128"/>
      <c r="CS2951" s="128"/>
      <c r="CT2951" s="128"/>
      <c r="CU2951" s="128"/>
      <c r="CV2951" s="128"/>
      <c r="CW2951" s="128"/>
      <c r="CX2951" s="128"/>
      <c r="CY2951" s="128"/>
      <c r="CZ2951" s="165"/>
    </row>
    <row r="2952" spans="1:104">
      <c r="A2952" s="149"/>
      <c r="B2952" s="149"/>
      <c r="C2952" s="150"/>
      <c r="D2952" s="102"/>
      <c r="E2952" s="149"/>
      <c r="F2952" s="149"/>
      <c r="G2952" s="149"/>
      <c r="H2952" s="149"/>
      <c r="I2952" s="149"/>
      <c r="J2952" s="149"/>
      <c r="K2952" s="149"/>
      <c r="L2952" s="149"/>
      <c r="M2952" s="149"/>
      <c r="N2952" s="149"/>
      <c r="O2952" s="149"/>
      <c r="P2952" s="149"/>
      <c r="Q2952" s="149"/>
      <c r="R2952" s="149"/>
      <c r="S2952" s="149"/>
      <c r="T2952" s="149"/>
      <c r="U2952" s="149"/>
      <c r="V2952" s="149"/>
      <c r="W2952" s="149"/>
      <c r="X2952" s="149"/>
      <c r="Y2952" s="149"/>
      <c r="Z2952" s="149"/>
      <c r="AA2952" s="149"/>
      <c r="AB2952" s="149"/>
      <c r="AC2952" s="149"/>
      <c r="AD2952" s="149"/>
      <c r="AE2952" s="149"/>
      <c r="AF2952" s="149"/>
      <c r="AG2952" s="149"/>
      <c r="AH2952" s="149"/>
      <c r="AI2952" s="149"/>
      <c r="AJ2952" s="149"/>
      <c r="AK2952" s="149"/>
      <c r="AL2952" s="149"/>
      <c r="AM2952" s="149"/>
      <c r="AN2952" s="149"/>
      <c r="AO2952" s="128"/>
      <c r="AP2952" s="128"/>
      <c r="AQ2952" s="128"/>
      <c r="AR2952" s="128"/>
      <c r="AS2952" s="128"/>
      <c r="AT2952" s="128"/>
      <c r="AU2952" s="128"/>
      <c r="AV2952" s="128"/>
      <c r="AW2952" s="128"/>
      <c r="AX2952" s="128"/>
      <c r="AY2952" s="128"/>
      <c r="AZ2952" s="128"/>
      <c r="BA2952" s="128"/>
      <c r="BB2952" s="128"/>
      <c r="BC2952" s="128"/>
      <c r="BD2952" s="128"/>
      <c r="BE2952" s="128"/>
      <c r="BF2952" s="128"/>
      <c r="BG2952" s="128"/>
      <c r="BH2952" s="128"/>
      <c r="BI2952" s="128"/>
      <c r="BJ2952" s="128"/>
      <c r="BK2952" s="128"/>
      <c r="BL2952" s="128"/>
      <c r="BM2952" s="151"/>
      <c r="BN2952" s="128"/>
      <c r="BO2952" s="128"/>
      <c r="BP2952" s="128"/>
      <c r="BQ2952" s="128"/>
      <c r="BR2952" s="128"/>
      <c r="BS2952" s="128"/>
      <c r="BT2952" s="128"/>
      <c r="BU2952" s="128"/>
      <c r="BV2952" s="128"/>
      <c r="BW2952" s="128"/>
      <c r="BX2952" s="128"/>
      <c r="BY2952" s="128"/>
      <c r="BZ2952" s="128"/>
      <c r="CA2952" s="128"/>
      <c r="CB2952" s="128"/>
      <c r="CC2952" s="128"/>
      <c r="CD2952" s="128"/>
      <c r="CE2952" s="128"/>
      <c r="CF2952" s="128"/>
      <c r="CG2952" s="128"/>
      <c r="CI2952" s="128"/>
      <c r="CJ2952" s="128"/>
      <c r="CK2952" s="128"/>
      <c r="CL2952" s="128"/>
      <c r="CM2952" s="128"/>
      <c r="CN2952" s="128"/>
      <c r="CO2952" s="128"/>
      <c r="CP2952" s="128"/>
      <c r="CQ2952" s="128"/>
      <c r="CR2952" s="128"/>
      <c r="CS2952" s="128"/>
      <c r="CT2952" s="128"/>
      <c r="CU2952" s="128"/>
      <c r="CV2952" s="128"/>
      <c r="CW2952" s="128"/>
      <c r="CX2952" s="128"/>
      <c r="CY2952" s="128"/>
      <c r="CZ2952" s="165"/>
    </row>
    <row r="2953" spans="1:104">
      <c r="A2953" s="149"/>
      <c r="B2953" s="149"/>
      <c r="C2953" s="150"/>
      <c r="D2953" s="102"/>
      <c r="E2953" s="149"/>
      <c r="F2953" s="149"/>
      <c r="G2953" s="149"/>
      <c r="H2953" s="149"/>
      <c r="I2953" s="149"/>
      <c r="J2953" s="149"/>
      <c r="K2953" s="149"/>
      <c r="L2953" s="149"/>
      <c r="M2953" s="149"/>
      <c r="N2953" s="149"/>
      <c r="O2953" s="149"/>
      <c r="P2953" s="149"/>
      <c r="Q2953" s="149"/>
      <c r="R2953" s="149"/>
      <c r="S2953" s="149"/>
      <c r="T2953" s="149"/>
      <c r="U2953" s="149"/>
      <c r="V2953" s="149"/>
      <c r="W2953" s="149"/>
      <c r="X2953" s="149"/>
      <c r="Y2953" s="149"/>
      <c r="Z2953" s="149"/>
      <c r="AA2953" s="149"/>
      <c r="AB2953" s="149"/>
      <c r="AC2953" s="149"/>
      <c r="AD2953" s="149"/>
      <c r="AE2953" s="149"/>
      <c r="AF2953" s="149"/>
      <c r="AG2953" s="149"/>
      <c r="AH2953" s="149"/>
      <c r="AI2953" s="149"/>
      <c r="AJ2953" s="149"/>
      <c r="AK2953" s="149"/>
      <c r="AL2953" s="149"/>
      <c r="AM2953" s="149"/>
      <c r="AN2953" s="149"/>
      <c r="AO2953" s="128"/>
      <c r="AP2953" s="128"/>
      <c r="AQ2953" s="128"/>
      <c r="AR2953" s="128"/>
      <c r="AS2953" s="128"/>
      <c r="AT2953" s="128"/>
      <c r="AU2953" s="128"/>
      <c r="AV2953" s="128"/>
      <c r="AW2953" s="128"/>
      <c r="AX2953" s="128"/>
      <c r="AY2953" s="128"/>
      <c r="AZ2953" s="128"/>
      <c r="BA2953" s="128"/>
      <c r="BB2953" s="128"/>
      <c r="BC2953" s="128"/>
      <c r="BD2953" s="128"/>
      <c r="BE2953" s="128"/>
      <c r="BF2953" s="128"/>
      <c r="BG2953" s="128"/>
      <c r="BH2953" s="128"/>
      <c r="BI2953" s="128"/>
      <c r="BJ2953" s="128"/>
      <c r="BK2953" s="128"/>
      <c r="BL2953" s="128"/>
      <c r="BM2953" s="151"/>
      <c r="BN2953" s="128"/>
      <c r="BO2953" s="128"/>
      <c r="BP2953" s="128"/>
      <c r="BQ2953" s="128"/>
      <c r="BR2953" s="128"/>
      <c r="BS2953" s="128"/>
      <c r="BT2953" s="128"/>
      <c r="BU2953" s="128"/>
      <c r="BV2953" s="128"/>
      <c r="BW2953" s="128"/>
      <c r="BX2953" s="128"/>
      <c r="BY2953" s="128"/>
      <c r="BZ2953" s="128"/>
      <c r="CA2953" s="128"/>
      <c r="CB2953" s="128"/>
      <c r="CC2953" s="128"/>
      <c r="CD2953" s="128"/>
      <c r="CE2953" s="128"/>
      <c r="CF2953" s="128"/>
      <c r="CG2953" s="128"/>
      <c r="CI2953" s="128"/>
      <c r="CJ2953" s="128"/>
      <c r="CK2953" s="128"/>
      <c r="CL2953" s="128"/>
      <c r="CM2953" s="128"/>
      <c r="CN2953" s="128"/>
      <c r="CO2953" s="128"/>
      <c r="CP2953" s="128"/>
      <c r="CQ2953" s="128"/>
      <c r="CR2953" s="128"/>
      <c r="CS2953" s="128"/>
      <c r="CT2953" s="128"/>
      <c r="CU2953" s="128"/>
      <c r="CV2953" s="128"/>
      <c r="CW2953" s="128"/>
      <c r="CX2953" s="128"/>
      <c r="CY2953" s="128"/>
      <c r="CZ2953" s="165"/>
    </row>
    <row r="2954" spans="1:104">
      <c r="A2954" s="149"/>
      <c r="B2954" s="149"/>
      <c r="C2954" s="150"/>
      <c r="D2954" s="102"/>
      <c r="E2954" s="149"/>
      <c r="F2954" s="149"/>
      <c r="G2954" s="149"/>
      <c r="H2954" s="149"/>
      <c r="I2954" s="149"/>
      <c r="J2954" s="149"/>
      <c r="K2954" s="149"/>
      <c r="L2954" s="149"/>
      <c r="M2954" s="149"/>
      <c r="N2954" s="149"/>
      <c r="O2954" s="149"/>
      <c r="P2954" s="149"/>
      <c r="Q2954" s="149"/>
      <c r="R2954" s="149"/>
      <c r="S2954" s="149"/>
      <c r="T2954" s="149"/>
      <c r="U2954" s="149"/>
      <c r="V2954" s="149"/>
      <c r="W2954" s="149"/>
      <c r="X2954" s="149"/>
      <c r="Y2954" s="149"/>
      <c r="Z2954" s="149"/>
      <c r="AA2954" s="149"/>
      <c r="AB2954" s="149"/>
      <c r="AC2954" s="149"/>
      <c r="AD2954" s="149"/>
      <c r="AE2954" s="149"/>
      <c r="AF2954" s="149"/>
      <c r="AG2954" s="149"/>
      <c r="AH2954" s="149"/>
      <c r="AI2954" s="149"/>
      <c r="AJ2954" s="149"/>
      <c r="AK2954" s="149"/>
      <c r="AL2954" s="149"/>
      <c r="AM2954" s="149"/>
      <c r="AN2954" s="149"/>
      <c r="AO2954" s="128"/>
      <c r="AP2954" s="128"/>
      <c r="AQ2954" s="128"/>
      <c r="AR2954" s="128"/>
      <c r="AS2954" s="128"/>
      <c r="AT2954" s="128"/>
      <c r="AU2954" s="128"/>
      <c r="AV2954" s="128"/>
      <c r="AW2954" s="128"/>
      <c r="AX2954" s="128"/>
      <c r="AY2954" s="128"/>
      <c r="AZ2954" s="128"/>
      <c r="BA2954" s="128"/>
      <c r="BB2954" s="128"/>
      <c r="BC2954" s="128"/>
      <c r="BD2954" s="128"/>
      <c r="BE2954" s="128"/>
      <c r="BF2954" s="128"/>
      <c r="BG2954" s="128"/>
      <c r="BH2954" s="128"/>
      <c r="BI2954" s="128"/>
      <c r="BJ2954" s="128"/>
      <c r="BK2954" s="128"/>
      <c r="BL2954" s="128"/>
      <c r="BM2954" s="151"/>
      <c r="BN2954" s="128"/>
      <c r="BO2954" s="128"/>
      <c r="BP2954" s="128"/>
      <c r="BQ2954" s="128"/>
      <c r="BR2954" s="128"/>
      <c r="BS2954" s="128"/>
      <c r="BT2954" s="128"/>
      <c r="BU2954" s="128"/>
      <c r="BV2954" s="128"/>
      <c r="BW2954" s="128"/>
      <c r="BX2954" s="128"/>
      <c r="BY2954" s="128"/>
      <c r="BZ2954" s="128"/>
      <c r="CA2954" s="128"/>
      <c r="CB2954" s="128"/>
      <c r="CC2954" s="128"/>
      <c r="CD2954" s="128"/>
      <c r="CE2954" s="128"/>
      <c r="CF2954" s="128"/>
      <c r="CG2954" s="128"/>
      <c r="CI2954" s="128"/>
      <c r="CJ2954" s="128"/>
      <c r="CK2954" s="128"/>
      <c r="CL2954" s="128"/>
      <c r="CM2954" s="128"/>
      <c r="CN2954" s="128"/>
      <c r="CO2954" s="128"/>
      <c r="CP2954" s="128"/>
      <c r="CQ2954" s="128"/>
      <c r="CR2954" s="128"/>
      <c r="CS2954" s="128"/>
      <c r="CT2954" s="128"/>
      <c r="CU2954" s="128"/>
      <c r="CV2954" s="128"/>
      <c r="CW2954" s="128"/>
      <c r="CX2954" s="128"/>
      <c r="CY2954" s="128"/>
      <c r="CZ2954" s="165"/>
    </row>
    <row r="2955" spans="1:104">
      <c r="A2955" s="149"/>
      <c r="B2955" s="149"/>
      <c r="C2955" s="150"/>
      <c r="D2955" s="102"/>
      <c r="E2955" s="149"/>
      <c r="F2955" s="149"/>
      <c r="G2955" s="149"/>
      <c r="H2955" s="149"/>
      <c r="I2955" s="149"/>
      <c r="J2955" s="149"/>
      <c r="K2955" s="149"/>
      <c r="L2955" s="149"/>
      <c r="M2955" s="149"/>
      <c r="N2955" s="149"/>
      <c r="O2955" s="149"/>
      <c r="P2955" s="149"/>
      <c r="Q2955" s="149"/>
      <c r="R2955" s="149"/>
      <c r="S2955" s="149"/>
      <c r="T2955" s="149"/>
      <c r="U2955" s="149"/>
      <c r="V2955" s="149"/>
      <c r="W2955" s="149"/>
      <c r="X2955" s="149"/>
      <c r="Y2955" s="149"/>
      <c r="Z2955" s="149"/>
      <c r="AA2955" s="149"/>
      <c r="AB2955" s="149"/>
      <c r="AC2955" s="149"/>
      <c r="AD2955" s="149"/>
      <c r="AE2955" s="149"/>
      <c r="AF2955" s="149"/>
      <c r="AG2955" s="149"/>
      <c r="AH2955" s="149"/>
      <c r="AI2955" s="149"/>
      <c r="AJ2955" s="149"/>
      <c r="AK2955" s="149"/>
      <c r="AL2955" s="149"/>
      <c r="AM2955" s="149"/>
      <c r="AN2955" s="149"/>
      <c r="AO2955" s="128"/>
      <c r="AP2955" s="128"/>
      <c r="AQ2955" s="128"/>
      <c r="AR2955" s="128"/>
      <c r="AS2955" s="128"/>
      <c r="AT2955" s="128"/>
      <c r="AU2955" s="128"/>
      <c r="AV2955" s="128"/>
      <c r="AW2955" s="128"/>
      <c r="AX2955" s="128"/>
      <c r="AY2955" s="128"/>
      <c r="AZ2955" s="128"/>
      <c r="BA2955" s="128"/>
      <c r="BB2955" s="128"/>
      <c r="BC2955" s="128"/>
      <c r="BD2955" s="128"/>
      <c r="BE2955" s="128"/>
      <c r="BF2955" s="128"/>
      <c r="BG2955" s="128"/>
      <c r="BH2955" s="128"/>
      <c r="BI2955" s="128"/>
      <c r="BJ2955" s="128"/>
      <c r="BK2955" s="128"/>
      <c r="BL2955" s="128"/>
      <c r="BM2955" s="151"/>
      <c r="BN2955" s="128"/>
      <c r="BO2955" s="128"/>
      <c r="BP2955" s="128"/>
      <c r="BQ2955" s="128"/>
      <c r="BR2955" s="128"/>
      <c r="BS2955" s="128"/>
      <c r="BT2955" s="128"/>
      <c r="BU2955" s="128"/>
      <c r="BV2955" s="128"/>
      <c r="BW2955" s="128"/>
      <c r="BX2955" s="128"/>
      <c r="BY2955" s="128"/>
      <c r="BZ2955" s="128"/>
      <c r="CA2955" s="128"/>
      <c r="CB2955" s="128"/>
      <c r="CC2955" s="128"/>
      <c r="CD2955" s="128"/>
      <c r="CE2955" s="128"/>
      <c r="CF2955" s="128"/>
      <c r="CG2955" s="128"/>
      <c r="CI2955" s="128"/>
      <c r="CJ2955" s="128"/>
      <c r="CK2955" s="128"/>
      <c r="CL2955" s="128"/>
      <c r="CM2955" s="128"/>
      <c r="CN2955" s="128"/>
      <c r="CO2955" s="128"/>
      <c r="CP2955" s="128"/>
      <c r="CQ2955" s="128"/>
      <c r="CR2955" s="128"/>
      <c r="CS2955" s="128"/>
      <c r="CT2955" s="128"/>
      <c r="CU2955" s="128"/>
      <c r="CV2955" s="128"/>
      <c r="CW2955" s="128"/>
      <c r="CX2955" s="128"/>
      <c r="CY2955" s="128"/>
      <c r="CZ2955" s="165"/>
    </row>
    <row r="2956" spans="1:104">
      <c r="A2956" s="149"/>
      <c r="B2956" s="149"/>
      <c r="C2956" s="150"/>
      <c r="D2956" s="102"/>
      <c r="E2956" s="149"/>
      <c r="F2956" s="149"/>
      <c r="G2956" s="149"/>
      <c r="H2956" s="149"/>
      <c r="I2956" s="149"/>
      <c r="J2956" s="149"/>
      <c r="K2956" s="149"/>
      <c r="L2956" s="149"/>
      <c r="M2956" s="149"/>
      <c r="N2956" s="149"/>
      <c r="O2956" s="149"/>
      <c r="P2956" s="149"/>
      <c r="Q2956" s="149"/>
      <c r="R2956" s="149"/>
      <c r="S2956" s="149"/>
      <c r="T2956" s="149"/>
      <c r="U2956" s="149"/>
      <c r="V2956" s="149"/>
      <c r="W2956" s="149"/>
      <c r="X2956" s="149"/>
      <c r="Y2956" s="149"/>
      <c r="Z2956" s="149"/>
      <c r="AA2956" s="149"/>
      <c r="AB2956" s="149"/>
      <c r="AC2956" s="149"/>
      <c r="AD2956" s="149"/>
      <c r="AE2956" s="149"/>
      <c r="AF2956" s="149"/>
      <c r="AG2956" s="149"/>
      <c r="AH2956" s="149"/>
      <c r="AI2956" s="149"/>
      <c r="AJ2956" s="149"/>
      <c r="AK2956" s="149"/>
      <c r="AL2956" s="149"/>
      <c r="AM2956" s="149"/>
      <c r="AN2956" s="149"/>
      <c r="AO2956" s="128"/>
      <c r="AP2956" s="128"/>
      <c r="AQ2956" s="128"/>
      <c r="AR2956" s="128"/>
      <c r="AS2956" s="128"/>
      <c r="AT2956" s="128"/>
      <c r="AU2956" s="128"/>
      <c r="AV2956" s="128"/>
      <c r="AW2956" s="128"/>
      <c r="AX2956" s="128"/>
      <c r="AY2956" s="128"/>
      <c r="AZ2956" s="128"/>
      <c r="BA2956" s="128"/>
      <c r="BB2956" s="128"/>
      <c r="BC2956" s="128"/>
      <c r="BD2956" s="128"/>
      <c r="BE2956" s="128"/>
      <c r="BF2956" s="128"/>
      <c r="BG2956" s="128"/>
      <c r="BH2956" s="128"/>
      <c r="BI2956" s="128"/>
      <c r="BJ2956" s="128"/>
      <c r="BK2956" s="128"/>
      <c r="BL2956" s="128"/>
      <c r="BM2956" s="151"/>
      <c r="BN2956" s="128"/>
      <c r="BO2956" s="128"/>
      <c r="BP2956" s="128"/>
      <c r="BQ2956" s="128"/>
      <c r="BR2956" s="128"/>
      <c r="BS2956" s="128"/>
      <c r="BT2956" s="128"/>
      <c r="BU2956" s="128"/>
      <c r="BV2956" s="128"/>
      <c r="BW2956" s="128"/>
      <c r="BX2956" s="128"/>
      <c r="BY2956" s="128"/>
      <c r="BZ2956" s="128"/>
      <c r="CA2956" s="128"/>
      <c r="CB2956" s="128"/>
      <c r="CC2956" s="128"/>
      <c r="CD2956" s="128"/>
      <c r="CE2956" s="128"/>
      <c r="CF2956" s="128"/>
      <c r="CG2956" s="128"/>
      <c r="CI2956" s="128"/>
      <c r="CJ2956" s="128"/>
      <c r="CK2956" s="128"/>
      <c r="CL2956" s="128"/>
      <c r="CM2956" s="128"/>
      <c r="CN2956" s="128"/>
      <c r="CO2956" s="128"/>
      <c r="CP2956" s="128"/>
      <c r="CQ2956" s="128"/>
      <c r="CR2956" s="128"/>
      <c r="CS2956" s="128"/>
      <c r="CT2956" s="128"/>
      <c r="CU2956" s="128"/>
      <c r="CV2956" s="128"/>
      <c r="CW2956" s="128"/>
      <c r="CX2956" s="128"/>
      <c r="CY2956" s="128"/>
      <c r="CZ2956" s="165"/>
    </row>
    <row r="2957" spans="1:104">
      <c r="A2957" s="149"/>
      <c r="B2957" s="149"/>
      <c r="C2957" s="150"/>
      <c r="D2957" s="102"/>
      <c r="E2957" s="149"/>
      <c r="F2957" s="149"/>
      <c r="G2957" s="149"/>
      <c r="H2957" s="149"/>
      <c r="I2957" s="149"/>
      <c r="J2957" s="149"/>
      <c r="K2957" s="149"/>
      <c r="L2957" s="149"/>
      <c r="M2957" s="149"/>
      <c r="N2957" s="149"/>
      <c r="O2957" s="149"/>
      <c r="P2957" s="149"/>
      <c r="Q2957" s="149"/>
      <c r="R2957" s="149"/>
      <c r="S2957" s="149"/>
      <c r="T2957" s="149"/>
      <c r="U2957" s="149"/>
      <c r="V2957" s="149"/>
      <c r="W2957" s="149"/>
      <c r="X2957" s="149"/>
      <c r="Y2957" s="149"/>
      <c r="Z2957" s="149"/>
      <c r="AA2957" s="149"/>
      <c r="AB2957" s="149"/>
      <c r="AC2957" s="149"/>
      <c r="AD2957" s="149"/>
      <c r="AE2957" s="149"/>
      <c r="AF2957" s="149"/>
      <c r="AG2957" s="149"/>
      <c r="AH2957" s="149"/>
      <c r="AI2957" s="149"/>
      <c r="AJ2957" s="149"/>
      <c r="AK2957" s="149"/>
      <c r="AL2957" s="149"/>
      <c r="AM2957" s="149"/>
      <c r="AN2957" s="149"/>
      <c r="AO2957" s="128"/>
      <c r="AP2957" s="128"/>
      <c r="AQ2957" s="128"/>
      <c r="AR2957" s="128"/>
      <c r="AS2957" s="128"/>
      <c r="AT2957" s="128"/>
      <c r="AU2957" s="128"/>
      <c r="AV2957" s="128"/>
      <c r="AW2957" s="128"/>
      <c r="AX2957" s="128"/>
      <c r="AY2957" s="128"/>
      <c r="AZ2957" s="128"/>
      <c r="BA2957" s="128"/>
      <c r="BB2957" s="128"/>
      <c r="BC2957" s="128"/>
      <c r="BD2957" s="128"/>
      <c r="BE2957" s="128"/>
      <c r="BF2957" s="128"/>
      <c r="BG2957" s="128"/>
      <c r="BH2957" s="128"/>
      <c r="BI2957" s="128"/>
      <c r="BJ2957" s="128"/>
      <c r="BK2957" s="128"/>
      <c r="BL2957" s="128"/>
      <c r="BM2957" s="151"/>
      <c r="BN2957" s="128"/>
      <c r="BO2957" s="128"/>
      <c r="BP2957" s="128"/>
      <c r="BQ2957" s="128"/>
      <c r="BR2957" s="128"/>
      <c r="BS2957" s="128"/>
      <c r="BT2957" s="128"/>
      <c r="BU2957" s="128"/>
      <c r="BV2957" s="128"/>
      <c r="BW2957" s="128"/>
      <c r="BX2957" s="128"/>
      <c r="BY2957" s="128"/>
      <c r="BZ2957" s="128"/>
      <c r="CA2957" s="128"/>
      <c r="CB2957" s="128"/>
      <c r="CC2957" s="128"/>
      <c r="CD2957" s="128"/>
      <c r="CE2957" s="128"/>
      <c r="CF2957" s="128"/>
      <c r="CG2957" s="128"/>
      <c r="CI2957" s="128"/>
      <c r="CJ2957" s="128"/>
      <c r="CK2957" s="128"/>
      <c r="CL2957" s="128"/>
      <c r="CM2957" s="128"/>
      <c r="CN2957" s="128"/>
      <c r="CO2957" s="128"/>
      <c r="CP2957" s="128"/>
      <c r="CQ2957" s="128"/>
      <c r="CR2957" s="128"/>
      <c r="CS2957" s="128"/>
      <c r="CT2957" s="128"/>
      <c r="CU2957" s="128"/>
      <c r="CV2957" s="128"/>
      <c r="CW2957" s="128"/>
      <c r="CX2957" s="128"/>
      <c r="CY2957" s="128"/>
      <c r="CZ2957" s="165"/>
    </row>
    <row r="2958" spans="1:104">
      <c r="A2958" s="149"/>
      <c r="B2958" s="149"/>
      <c r="C2958" s="150"/>
      <c r="D2958" s="102"/>
      <c r="E2958" s="149"/>
      <c r="F2958" s="149"/>
      <c r="G2958" s="149"/>
      <c r="H2958" s="149"/>
      <c r="I2958" s="149"/>
      <c r="J2958" s="149"/>
      <c r="K2958" s="149"/>
      <c r="L2958" s="149"/>
      <c r="M2958" s="149"/>
      <c r="N2958" s="149"/>
      <c r="O2958" s="149"/>
      <c r="P2958" s="149"/>
      <c r="Q2958" s="149"/>
      <c r="R2958" s="149"/>
      <c r="S2958" s="149"/>
      <c r="T2958" s="149"/>
      <c r="U2958" s="149"/>
      <c r="V2958" s="149"/>
      <c r="W2958" s="149"/>
      <c r="X2958" s="149"/>
      <c r="Y2958" s="149"/>
      <c r="Z2958" s="149"/>
      <c r="AA2958" s="149"/>
      <c r="AB2958" s="149"/>
      <c r="AC2958" s="149"/>
      <c r="AD2958" s="149"/>
      <c r="AE2958" s="149"/>
      <c r="AF2958" s="149"/>
      <c r="AG2958" s="149"/>
      <c r="AH2958" s="149"/>
      <c r="AI2958" s="149"/>
      <c r="AJ2958" s="149"/>
      <c r="AK2958" s="149"/>
      <c r="AL2958" s="149"/>
      <c r="AM2958" s="149"/>
      <c r="AN2958" s="149"/>
      <c r="AO2958" s="128"/>
      <c r="AP2958" s="128"/>
      <c r="AQ2958" s="128"/>
      <c r="AR2958" s="128"/>
      <c r="AS2958" s="128"/>
      <c r="AT2958" s="128"/>
      <c r="AU2958" s="128"/>
      <c r="AV2958" s="128"/>
      <c r="AW2958" s="128"/>
      <c r="AX2958" s="128"/>
      <c r="AY2958" s="128"/>
      <c r="AZ2958" s="128"/>
      <c r="BA2958" s="128"/>
      <c r="BB2958" s="128"/>
      <c r="BC2958" s="128"/>
      <c r="BD2958" s="128"/>
      <c r="BE2958" s="128"/>
      <c r="BF2958" s="128"/>
      <c r="BG2958" s="128"/>
      <c r="BH2958" s="128"/>
      <c r="BI2958" s="128"/>
      <c r="BJ2958" s="128"/>
      <c r="BK2958" s="128"/>
      <c r="BL2958" s="128"/>
      <c r="BM2958" s="151"/>
      <c r="BN2958" s="128"/>
      <c r="BO2958" s="128"/>
      <c r="BP2958" s="128"/>
      <c r="BQ2958" s="128"/>
      <c r="BR2958" s="128"/>
      <c r="BS2958" s="128"/>
      <c r="BT2958" s="128"/>
      <c r="BU2958" s="128"/>
      <c r="BV2958" s="128"/>
      <c r="BW2958" s="128"/>
      <c r="BX2958" s="128"/>
      <c r="BY2958" s="128"/>
      <c r="BZ2958" s="128"/>
      <c r="CA2958" s="128"/>
      <c r="CB2958" s="128"/>
      <c r="CC2958" s="128"/>
      <c r="CD2958" s="128"/>
      <c r="CE2958" s="128"/>
      <c r="CF2958" s="128"/>
      <c r="CG2958" s="128"/>
      <c r="CI2958" s="128"/>
      <c r="CJ2958" s="128"/>
      <c r="CK2958" s="128"/>
      <c r="CL2958" s="128"/>
      <c r="CM2958" s="128"/>
      <c r="CN2958" s="128"/>
      <c r="CO2958" s="128"/>
      <c r="CP2958" s="128"/>
      <c r="CQ2958" s="128"/>
      <c r="CR2958" s="128"/>
      <c r="CS2958" s="128"/>
      <c r="CT2958" s="128"/>
      <c r="CU2958" s="128"/>
      <c r="CV2958" s="128"/>
      <c r="CW2958" s="128"/>
      <c r="CX2958" s="128"/>
      <c r="CY2958" s="128"/>
      <c r="CZ2958" s="165"/>
    </row>
    <row r="2959" spans="1:104">
      <c r="A2959" s="149"/>
      <c r="B2959" s="149"/>
      <c r="C2959" s="150"/>
      <c r="D2959" s="102"/>
      <c r="E2959" s="149"/>
      <c r="F2959" s="149"/>
      <c r="G2959" s="149"/>
      <c r="H2959" s="149"/>
      <c r="I2959" s="149"/>
      <c r="J2959" s="149"/>
      <c r="K2959" s="149"/>
      <c r="L2959" s="149"/>
      <c r="M2959" s="149"/>
      <c r="N2959" s="149"/>
      <c r="O2959" s="149"/>
      <c r="P2959" s="149"/>
      <c r="Q2959" s="149"/>
      <c r="R2959" s="149"/>
      <c r="S2959" s="149"/>
      <c r="T2959" s="149"/>
      <c r="U2959" s="149"/>
      <c r="V2959" s="149"/>
      <c r="W2959" s="149"/>
      <c r="X2959" s="149"/>
      <c r="Y2959" s="149"/>
      <c r="Z2959" s="149"/>
      <c r="AA2959" s="149"/>
      <c r="AB2959" s="149"/>
      <c r="AC2959" s="149"/>
      <c r="AD2959" s="149"/>
      <c r="AE2959" s="149"/>
      <c r="AF2959" s="149"/>
      <c r="AG2959" s="149"/>
      <c r="AH2959" s="149"/>
      <c r="AI2959" s="149"/>
      <c r="AJ2959" s="149"/>
      <c r="AK2959" s="149"/>
      <c r="AL2959" s="149"/>
      <c r="AM2959" s="149"/>
      <c r="AN2959" s="149"/>
      <c r="AO2959" s="128"/>
      <c r="AP2959" s="128"/>
      <c r="AQ2959" s="128"/>
      <c r="AR2959" s="128"/>
      <c r="AS2959" s="128"/>
      <c r="AT2959" s="128"/>
      <c r="AU2959" s="128"/>
      <c r="AV2959" s="128"/>
      <c r="AW2959" s="128"/>
      <c r="AX2959" s="128"/>
      <c r="AY2959" s="128"/>
      <c r="AZ2959" s="128"/>
      <c r="BA2959" s="128"/>
      <c r="BB2959" s="128"/>
      <c r="BC2959" s="128"/>
      <c r="BD2959" s="128"/>
      <c r="BE2959" s="128"/>
      <c r="BF2959" s="128"/>
      <c r="BG2959" s="128"/>
      <c r="BH2959" s="128"/>
      <c r="BI2959" s="128"/>
      <c r="BJ2959" s="128"/>
      <c r="BK2959" s="128"/>
      <c r="BL2959" s="128"/>
      <c r="BM2959" s="151"/>
      <c r="BN2959" s="128"/>
      <c r="BO2959" s="128"/>
      <c r="BP2959" s="128"/>
      <c r="BQ2959" s="128"/>
      <c r="BR2959" s="128"/>
      <c r="BS2959" s="128"/>
      <c r="BT2959" s="128"/>
      <c r="BU2959" s="128"/>
      <c r="BV2959" s="128"/>
      <c r="BW2959" s="128"/>
      <c r="BX2959" s="128"/>
      <c r="BY2959" s="128"/>
      <c r="BZ2959" s="128"/>
      <c r="CA2959" s="128"/>
      <c r="CB2959" s="128"/>
      <c r="CC2959" s="128"/>
      <c r="CD2959" s="128"/>
      <c r="CE2959" s="128"/>
      <c r="CF2959" s="128"/>
      <c r="CG2959" s="128"/>
      <c r="CI2959" s="128"/>
      <c r="CJ2959" s="128"/>
      <c r="CK2959" s="128"/>
      <c r="CL2959" s="128"/>
      <c r="CM2959" s="128"/>
      <c r="CN2959" s="128"/>
      <c r="CO2959" s="128"/>
      <c r="CP2959" s="128"/>
      <c r="CQ2959" s="128"/>
      <c r="CR2959" s="128"/>
      <c r="CS2959" s="128"/>
      <c r="CT2959" s="128"/>
      <c r="CU2959" s="128"/>
      <c r="CV2959" s="128"/>
      <c r="CW2959" s="128"/>
      <c r="CX2959" s="128"/>
      <c r="CY2959" s="128"/>
      <c r="CZ2959" s="165"/>
    </row>
    <row r="2960" spans="1:104">
      <c r="A2960" s="149"/>
      <c r="B2960" s="149"/>
      <c r="C2960" s="150"/>
      <c r="D2960" s="102"/>
      <c r="E2960" s="149"/>
      <c r="F2960" s="149"/>
      <c r="G2960" s="149"/>
      <c r="H2960" s="149"/>
      <c r="I2960" s="149"/>
      <c r="J2960" s="149"/>
      <c r="K2960" s="149"/>
      <c r="L2960" s="149"/>
      <c r="M2960" s="149"/>
      <c r="N2960" s="149"/>
      <c r="O2960" s="149"/>
      <c r="P2960" s="149"/>
      <c r="Q2960" s="149"/>
      <c r="R2960" s="149"/>
      <c r="S2960" s="149"/>
      <c r="T2960" s="149"/>
      <c r="U2960" s="149"/>
      <c r="V2960" s="149"/>
      <c r="W2960" s="149"/>
      <c r="X2960" s="149"/>
      <c r="Y2960" s="149"/>
      <c r="Z2960" s="149"/>
      <c r="AA2960" s="149"/>
      <c r="AB2960" s="149"/>
      <c r="AC2960" s="149"/>
      <c r="AD2960" s="149"/>
      <c r="AE2960" s="149"/>
      <c r="AF2960" s="149"/>
      <c r="AG2960" s="149"/>
      <c r="AH2960" s="149"/>
      <c r="AI2960" s="149"/>
      <c r="AJ2960" s="149"/>
      <c r="AK2960" s="149"/>
      <c r="AL2960" s="149"/>
      <c r="AM2960" s="149"/>
      <c r="AN2960" s="149"/>
      <c r="AO2960" s="128"/>
      <c r="AP2960" s="128"/>
      <c r="AQ2960" s="128"/>
      <c r="AR2960" s="128"/>
      <c r="AS2960" s="128"/>
      <c r="AT2960" s="128"/>
      <c r="AU2960" s="128"/>
      <c r="AV2960" s="128"/>
      <c r="AW2960" s="128"/>
      <c r="AX2960" s="128"/>
      <c r="AY2960" s="128"/>
      <c r="AZ2960" s="128"/>
      <c r="BA2960" s="128"/>
      <c r="BB2960" s="128"/>
      <c r="BC2960" s="128"/>
      <c r="BD2960" s="128"/>
      <c r="BE2960" s="128"/>
      <c r="BF2960" s="128"/>
      <c r="BG2960" s="128"/>
      <c r="BH2960" s="128"/>
      <c r="BI2960" s="128"/>
      <c r="BJ2960" s="128"/>
      <c r="BK2960" s="128"/>
      <c r="BL2960" s="128"/>
      <c r="BM2960" s="151"/>
      <c r="BN2960" s="128"/>
      <c r="BO2960" s="128"/>
      <c r="BP2960" s="128"/>
      <c r="BQ2960" s="128"/>
      <c r="BR2960" s="128"/>
      <c r="BS2960" s="128"/>
      <c r="BT2960" s="128"/>
      <c r="BU2960" s="128"/>
      <c r="BV2960" s="128"/>
      <c r="BW2960" s="128"/>
      <c r="BX2960" s="128"/>
      <c r="BY2960" s="128"/>
      <c r="BZ2960" s="128"/>
      <c r="CA2960" s="128"/>
      <c r="CB2960" s="128"/>
      <c r="CC2960" s="128"/>
      <c r="CD2960" s="128"/>
      <c r="CE2960" s="128"/>
      <c r="CF2960" s="128"/>
      <c r="CG2960" s="128"/>
      <c r="CI2960" s="128"/>
      <c r="CJ2960" s="128"/>
      <c r="CK2960" s="128"/>
      <c r="CL2960" s="128"/>
      <c r="CM2960" s="128"/>
      <c r="CN2960" s="128"/>
      <c r="CO2960" s="128"/>
      <c r="CP2960" s="128"/>
      <c r="CQ2960" s="128"/>
      <c r="CR2960" s="128"/>
      <c r="CS2960" s="128"/>
      <c r="CT2960" s="128"/>
      <c r="CU2960" s="128"/>
      <c r="CV2960" s="128"/>
      <c r="CW2960" s="128"/>
      <c r="CX2960" s="128"/>
      <c r="CY2960" s="128"/>
      <c r="CZ2960" s="165"/>
    </row>
    <row r="2961" spans="1:104">
      <c r="A2961" s="149"/>
      <c r="B2961" s="149"/>
      <c r="C2961" s="150"/>
      <c r="D2961" s="102"/>
      <c r="E2961" s="149"/>
      <c r="F2961" s="149"/>
      <c r="G2961" s="149"/>
      <c r="H2961" s="149"/>
      <c r="I2961" s="149"/>
      <c r="J2961" s="149"/>
      <c r="K2961" s="149"/>
      <c r="L2961" s="149"/>
      <c r="M2961" s="149"/>
      <c r="N2961" s="149"/>
      <c r="O2961" s="149"/>
      <c r="P2961" s="149"/>
      <c r="Q2961" s="149"/>
      <c r="R2961" s="149"/>
      <c r="S2961" s="149"/>
      <c r="T2961" s="149"/>
      <c r="U2961" s="149"/>
      <c r="V2961" s="149"/>
      <c r="W2961" s="149"/>
      <c r="X2961" s="149"/>
      <c r="Y2961" s="149"/>
      <c r="Z2961" s="149"/>
      <c r="AA2961" s="149"/>
      <c r="AB2961" s="149"/>
      <c r="AC2961" s="149"/>
      <c r="AD2961" s="149"/>
      <c r="AE2961" s="149"/>
      <c r="AF2961" s="149"/>
      <c r="AG2961" s="149"/>
      <c r="AH2961" s="149"/>
      <c r="AI2961" s="149"/>
      <c r="AJ2961" s="149"/>
      <c r="AK2961" s="149"/>
      <c r="AL2961" s="149"/>
      <c r="AM2961" s="149"/>
      <c r="AN2961" s="149"/>
      <c r="AO2961" s="128"/>
      <c r="AP2961" s="128"/>
      <c r="AQ2961" s="128"/>
      <c r="AR2961" s="128"/>
      <c r="AS2961" s="128"/>
      <c r="AT2961" s="128"/>
      <c r="AU2961" s="128"/>
      <c r="AV2961" s="128"/>
      <c r="AW2961" s="128"/>
      <c r="AX2961" s="128"/>
      <c r="AY2961" s="128"/>
      <c r="AZ2961" s="128"/>
      <c r="BA2961" s="128"/>
      <c r="BB2961" s="128"/>
      <c r="BC2961" s="128"/>
      <c r="BD2961" s="128"/>
      <c r="BE2961" s="128"/>
      <c r="BF2961" s="128"/>
      <c r="BG2961" s="128"/>
      <c r="BH2961" s="128"/>
      <c r="BI2961" s="128"/>
      <c r="BJ2961" s="128"/>
      <c r="BK2961" s="128"/>
      <c r="BL2961" s="128"/>
      <c r="BM2961" s="151"/>
      <c r="BN2961" s="128"/>
      <c r="BO2961" s="128"/>
      <c r="BP2961" s="128"/>
      <c r="BQ2961" s="128"/>
      <c r="BR2961" s="128"/>
      <c r="BS2961" s="128"/>
      <c r="BT2961" s="128"/>
      <c r="BU2961" s="128"/>
      <c r="BV2961" s="128"/>
      <c r="BW2961" s="128"/>
      <c r="BX2961" s="128"/>
      <c r="BY2961" s="128"/>
      <c r="BZ2961" s="128"/>
      <c r="CA2961" s="128"/>
      <c r="CB2961" s="128"/>
      <c r="CC2961" s="128"/>
      <c r="CD2961" s="128"/>
      <c r="CE2961" s="128"/>
      <c r="CF2961" s="128"/>
      <c r="CG2961" s="128"/>
      <c r="CI2961" s="128"/>
      <c r="CJ2961" s="128"/>
      <c r="CK2961" s="128"/>
      <c r="CL2961" s="128"/>
      <c r="CM2961" s="128"/>
      <c r="CN2961" s="128"/>
      <c r="CO2961" s="128"/>
      <c r="CP2961" s="128"/>
      <c r="CQ2961" s="128"/>
      <c r="CR2961" s="128"/>
      <c r="CS2961" s="128"/>
      <c r="CT2961" s="128"/>
      <c r="CU2961" s="128"/>
      <c r="CV2961" s="128"/>
      <c r="CW2961" s="128"/>
      <c r="CX2961" s="128"/>
      <c r="CY2961" s="128"/>
      <c r="CZ2961" s="165"/>
    </row>
    <row r="2962" spans="1:104">
      <c r="A2962" s="149"/>
      <c r="B2962" s="149"/>
      <c r="C2962" s="150"/>
      <c r="D2962" s="102"/>
      <c r="E2962" s="149"/>
      <c r="F2962" s="149"/>
      <c r="G2962" s="149"/>
      <c r="H2962" s="149"/>
      <c r="I2962" s="149"/>
      <c r="J2962" s="149"/>
      <c r="K2962" s="149"/>
      <c r="L2962" s="149"/>
      <c r="M2962" s="149"/>
      <c r="N2962" s="149"/>
      <c r="O2962" s="149"/>
      <c r="P2962" s="149"/>
      <c r="Q2962" s="149"/>
      <c r="R2962" s="149"/>
      <c r="S2962" s="149"/>
      <c r="T2962" s="149"/>
      <c r="U2962" s="149"/>
      <c r="V2962" s="149"/>
      <c r="W2962" s="149"/>
      <c r="X2962" s="149"/>
      <c r="Y2962" s="149"/>
      <c r="Z2962" s="149"/>
      <c r="AA2962" s="149"/>
      <c r="AB2962" s="149"/>
      <c r="AC2962" s="149"/>
      <c r="AD2962" s="149"/>
      <c r="AE2962" s="149"/>
      <c r="AF2962" s="149"/>
      <c r="AG2962" s="149"/>
      <c r="AH2962" s="149"/>
      <c r="AI2962" s="149"/>
      <c r="AJ2962" s="149"/>
      <c r="AK2962" s="149"/>
      <c r="AL2962" s="149"/>
      <c r="AM2962" s="149"/>
      <c r="AN2962" s="149"/>
      <c r="AO2962" s="128"/>
      <c r="AP2962" s="128"/>
      <c r="AQ2962" s="128"/>
      <c r="AR2962" s="128"/>
      <c r="AS2962" s="128"/>
      <c r="AT2962" s="128"/>
      <c r="AU2962" s="128"/>
      <c r="AV2962" s="128"/>
      <c r="AW2962" s="128"/>
      <c r="AX2962" s="128"/>
      <c r="AY2962" s="128"/>
      <c r="AZ2962" s="128"/>
      <c r="BA2962" s="128"/>
      <c r="BB2962" s="128"/>
      <c r="BC2962" s="128"/>
      <c r="BD2962" s="128"/>
      <c r="BE2962" s="128"/>
      <c r="BF2962" s="128"/>
      <c r="BG2962" s="128"/>
      <c r="BH2962" s="128"/>
      <c r="BI2962" s="128"/>
      <c r="BJ2962" s="128"/>
      <c r="BK2962" s="128"/>
      <c r="BL2962" s="128"/>
      <c r="BM2962" s="151"/>
      <c r="BN2962" s="128"/>
      <c r="BO2962" s="128"/>
      <c r="BP2962" s="128"/>
      <c r="BQ2962" s="128"/>
      <c r="BR2962" s="128"/>
      <c r="BS2962" s="128"/>
      <c r="BT2962" s="128"/>
      <c r="BU2962" s="128"/>
      <c r="BV2962" s="128"/>
      <c r="BW2962" s="128"/>
      <c r="BX2962" s="128"/>
      <c r="BY2962" s="128"/>
      <c r="BZ2962" s="128"/>
      <c r="CA2962" s="128"/>
      <c r="CB2962" s="128"/>
      <c r="CC2962" s="128"/>
      <c r="CD2962" s="128"/>
      <c r="CE2962" s="128"/>
      <c r="CF2962" s="128"/>
      <c r="CG2962" s="128"/>
      <c r="CI2962" s="128"/>
      <c r="CJ2962" s="128"/>
      <c r="CK2962" s="128"/>
      <c r="CL2962" s="128"/>
      <c r="CM2962" s="128"/>
      <c r="CN2962" s="128"/>
      <c r="CO2962" s="128"/>
      <c r="CP2962" s="128"/>
      <c r="CQ2962" s="128"/>
      <c r="CR2962" s="128"/>
      <c r="CS2962" s="128"/>
      <c r="CT2962" s="128"/>
      <c r="CU2962" s="128"/>
      <c r="CV2962" s="128"/>
      <c r="CW2962" s="128"/>
      <c r="CX2962" s="128"/>
      <c r="CY2962" s="128"/>
      <c r="CZ2962" s="165"/>
    </row>
    <row r="2963" spans="1:104">
      <c r="A2963" s="149"/>
      <c r="B2963" s="149"/>
      <c r="C2963" s="150"/>
      <c r="D2963" s="102"/>
      <c r="E2963" s="149"/>
      <c r="F2963" s="149"/>
      <c r="G2963" s="149"/>
      <c r="H2963" s="149"/>
      <c r="I2963" s="149"/>
      <c r="J2963" s="149"/>
      <c r="K2963" s="149"/>
      <c r="L2963" s="149"/>
      <c r="M2963" s="149"/>
      <c r="N2963" s="149"/>
      <c r="O2963" s="149"/>
      <c r="P2963" s="149"/>
      <c r="Q2963" s="149"/>
      <c r="R2963" s="149"/>
      <c r="S2963" s="149"/>
      <c r="T2963" s="149"/>
      <c r="U2963" s="149"/>
      <c r="V2963" s="149"/>
      <c r="W2963" s="149"/>
      <c r="X2963" s="149"/>
      <c r="Y2963" s="149"/>
      <c r="Z2963" s="149"/>
      <c r="AA2963" s="149"/>
      <c r="AB2963" s="149"/>
      <c r="AC2963" s="149"/>
      <c r="AD2963" s="149"/>
      <c r="AE2963" s="149"/>
      <c r="AF2963" s="149"/>
      <c r="AG2963" s="149"/>
      <c r="AH2963" s="149"/>
      <c r="AI2963" s="149"/>
      <c r="AJ2963" s="149"/>
      <c r="AK2963" s="149"/>
      <c r="AL2963" s="149"/>
      <c r="AM2963" s="149"/>
      <c r="AN2963" s="149"/>
      <c r="AO2963" s="128"/>
      <c r="AP2963" s="128"/>
      <c r="AQ2963" s="128"/>
      <c r="AR2963" s="128"/>
      <c r="AS2963" s="128"/>
      <c r="AT2963" s="128"/>
      <c r="AU2963" s="128"/>
      <c r="AV2963" s="128"/>
      <c r="AW2963" s="128"/>
      <c r="AX2963" s="128"/>
      <c r="AY2963" s="128"/>
      <c r="AZ2963" s="128"/>
      <c r="BA2963" s="128"/>
      <c r="BB2963" s="128"/>
      <c r="BC2963" s="128"/>
      <c r="BD2963" s="128"/>
      <c r="BE2963" s="128"/>
      <c r="BF2963" s="128"/>
      <c r="BG2963" s="128"/>
      <c r="BH2963" s="128"/>
      <c r="BI2963" s="128"/>
      <c r="BJ2963" s="128"/>
      <c r="BK2963" s="128"/>
      <c r="BL2963" s="128"/>
      <c r="BM2963" s="151"/>
      <c r="BN2963" s="128"/>
      <c r="BO2963" s="128"/>
      <c r="BP2963" s="128"/>
      <c r="BQ2963" s="128"/>
      <c r="BR2963" s="128"/>
      <c r="BS2963" s="128"/>
      <c r="BT2963" s="128"/>
      <c r="BU2963" s="128"/>
      <c r="BV2963" s="128"/>
      <c r="BW2963" s="128"/>
      <c r="BX2963" s="128"/>
      <c r="BY2963" s="128"/>
      <c r="BZ2963" s="128"/>
      <c r="CA2963" s="128"/>
      <c r="CB2963" s="128"/>
      <c r="CC2963" s="128"/>
      <c r="CD2963" s="128"/>
      <c r="CE2963" s="128"/>
      <c r="CF2963" s="128"/>
      <c r="CG2963" s="128"/>
      <c r="CI2963" s="128"/>
      <c r="CJ2963" s="128"/>
      <c r="CK2963" s="128"/>
      <c r="CL2963" s="128"/>
      <c r="CM2963" s="128"/>
      <c r="CN2963" s="128"/>
      <c r="CO2963" s="128"/>
      <c r="CP2963" s="128"/>
      <c r="CQ2963" s="128"/>
      <c r="CR2963" s="128"/>
      <c r="CS2963" s="128"/>
      <c r="CT2963" s="128"/>
      <c r="CU2963" s="128"/>
      <c r="CV2963" s="128"/>
      <c r="CW2963" s="128"/>
      <c r="CX2963" s="128"/>
      <c r="CY2963" s="128"/>
      <c r="CZ2963" s="165"/>
    </row>
    <row r="2964" spans="1:104">
      <c r="A2964" s="149"/>
      <c r="B2964" s="149"/>
      <c r="C2964" s="150"/>
      <c r="D2964" s="102"/>
      <c r="E2964" s="149"/>
      <c r="F2964" s="149"/>
      <c r="G2964" s="149"/>
      <c r="H2964" s="149"/>
      <c r="I2964" s="149"/>
      <c r="J2964" s="149"/>
      <c r="K2964" s="149"/>
      <c r="L2964" s="149"/>
      <c r="M2964" s="149"/>
      <c r="N2964" s="149"/>
      <c r="O2964" s="149"/>
      <c r="P2964" s="149"/>
      <c r="Q2964" s="149"/>
      <c r="R2964" s="149"/>
      <c r="S2964" s="149"/>
      <c r="T2964" s="149"/>
      <c r="U2964" s="149"/>
      <c r="V2964" s="149"/>
      <c r="W2964" s="149"/>
      <c r="X2964" s="149"/>
      <c r="Y2964" s="149"/>
      <c r="Z2964" s="149"/>
      <c r="AA2964" s="149"/>
      <c r="AB2964" s="149"/>
      <c r="AC2964" s="149"/>
      <c r="AD2964" s="149"/>
      <c r="AE2964" s="149"/>
      <c r="AF2964" s="149"/>
      <c r="AG2964" s="149"/>
      <c r="AH2964" s="149"/>
      <c r="AI2964" s="149"/>
      <c r="AJ2964" s="149"/>
      <c r="AK2964" s="149"/>
      <c r="AL2964" s="149"/>
      <c r="AM2964" s="149"/>
      <c r="AN2964" s="149"/>
      <c r="AO2964" s="128"/>
      <c r="AP2964" s="128"/>
      <c r="AQ2964" s="128"/>
      <c r="AR2964" s="128"/>
      <c r="AS2964" s="128"/>
      <c r="AT2964" s="128"/>
      <c r="AU2964" s="128"/>
      <c r="AV2964" s="128"/>
      <c r="AW2964" s="128"/>
      <c r="AX2964" s="128"/>
      <c r="AY2964" s="128"/>
      <c r="AZ2964" s="128"/>
      <c r="BA2964" s="128"/>
      <c r="BB2964" s="128"/>
      <c r="BC2964" s="128"/>
      <c r="BD2964" s="128"/>
      <c r="BE2964" s="128"/>
      <c r="BF2964" s="128"/>
      <c r="BG2964" s="128"/>
      <c r="BH2964" s="128"/>
      <c r="BI2964" s="128"/>
      <c r="BJ2964" s="128"/>
      <c r="BK2964" s="128"/>
      <c r="BL2964" s="128"/>
      <c r="BM2964" s="151"/>
      <c r="BN2964" s="128"/>
      <c r="BO2964" s="128"/>
      <c r="BP2964" s="128"/>
      <c r="BQ2964" s="128"/>
      <c r="BR2964" s="128"/>
      <c r="BS2964" s="128"/>
      <c r="BT2964" s="128"/>
      <c r="BU2964" s="128"/>
      <c r="BV2964" s="128"/>
      <c r="BW2964" s="128"/>
      <c r="BX2964" s="128"/>
      <c r="BY2964" s="128"/>
      <c r="BZ2964" s="128"/>
      <c r="CA2964" s="128"/>
      <c r="CB2964" s="128"/>
      <c r="CC2964" s="128"/>
      <c r="CD2964" s="128"/>
      <c r="CE2964" s="128"/>
      <c r="CF2964" s="128"/>
      <c r="CG2964" s="128"/>
      <c r="CI2964" s="128"/>
      <c r="CJ2964" s="128"/>
      <c r="CK2964" s="128"/>
      <c r="CL2964" s="128"/>
      <c r="CM2964" s="128"/>
      <c r="CN2964" s="128"/>
      <c r="CO2964" s="128"/>
      <c r="CP2964" s="128"/>
      <c r="CQ2964" s="128"/>
      <c r="CR2964" s="128"/>
      <c r="CS2964" s="128"/>
      <c r="CT2964" s="128"/>
      <c r="CU2964" s="128"/>
      <c r="CV2964" s="128"/>
      <c r="CW2964" s="128"/>
      <c r="CX2964" s="128"/>
      <c r="CY2964" s="128"/>
      <c r="CZ2964" s="165"/>
    </row>
    <row r="2965" spans="1:104">
      <c r="A2965" s="149"/>
      <c r="B2965" s="149"/>
      <c r="C2965" s="150"/>
      <c r="D2965" s="102"/>
      <c r="E2965" s="149"/>
      <c r="F2965" s="149"/>
      <c r="G2965" s="149"/>
      <c r="H2965" s="149"/>
      <c r="I2965" s="149"/>
      <c r="J2965" s="149"/>
      <c r="K2965" s="149"/>
      <c r="L2965" s="149"/>
      <c r="M2965" s="149"/>
      <c r="N2965" s="149"/>
      <c r="O2965" s="149"/>
      <c r="P2965" s="149"/>
      <c r="Q2965" s="149"/>
      <c r="R2965" s="149"/>
      <c r="S2965" s="149"/>
      <c r="T2965" s="149"/>
      <c r="U2965" s="149"/>
      <c r="V2965" s="149"/>
      <c r="W2965" s="149"/>
      <c r="X2965" s="149"/>
      <c r="Y2965" s="149"/>
      <c r="Z2965" s="149"/>
      <c r="AA2965" s="149"/>
      <c r="AB2965" s="149"/>
      <c r="AC2965" s="149"/>
      <c r="AD2965" s="149"/>
      <c r="AE2965" s="149"/>
      <c r="AF2965" s="149"/>
      <c r="AG2965" s="149"/>
      <c r="AH2965" s="149"/>
      <c r="AI2965" s="149"/>
      <c r="AJ2965" s="149"/>
      <c r="AK2965" s="149"/>
      <c r="AL2965" s="149"/>
      <c r="AM2965" s="149"/>
      <c r="AN2965" s="149"/>
      <c r="AO2965" s="128"/>
      <c r="AP2965" s="128"/>
      <c r="AQ2965" s="128"/>
      <c r="AR2965" s="128"/>
      <c r="AS2965" s="128"/>
      <c r="AT2965" s="128"/>
      <c r="AU2965" s="128"/>
      <c r="AV2965" s="128"/>
      <c r="AW2965" s="128"/>
      <c r="AX2965" s="128"/>
      <c r="AY2965" s="128"/>
      <c r="AZ2965" s="128"/>
      <c r="BA2965" s="128"/>
      <c r="BB2965" s="128"/>
      <c r="BC2965" s="128"/>
      <c r="BD2965" s="128"/>
      <c r="BE2965" s="128"/>
      <c r="BF2965" s="128"/>
      <c r="BG2965" s="128"/>
      <c r="BH2965" s="128"/>
      <c r="BI2965" s="128"/>
      <c r="BJ2965" s="128"/>
      <c r="BK2965" s="128"/>
      <c r="BL2965" s="128"/>
      <c r="BM2965" s="151"/>
      <c r="BN2965" s="128"/>
      <c r="BO2965" s="128"/>
      <c r="BP2965" s="128"/>
      <c r="BQ2965" s="128"/>
      <c r="BR2965" s="128"/>
      <c r="BS2965" s="128"/>
      <c r="BT2965" s="128"/>
      <c r="BU2965" s="128"/>
      <c r="BV2965" s="128"/>
      <c r="BW2965" s="128"/>
      <c r="BX2965" s="128"/>
      <c r="BY2965" s="128"/>
      <c r="BZ2965" s="128"/>
      <c r="CA2965" s="128"/>
      <c r="CB2965" s="128"/>
      <c r="CC2965" s="128"/>
      <c r="CD2965" s="128"/>
      <c r="CE2965" s="128"/>
      <c r="CF2965" s="128"/>
      <c r="CG2965" s="128"/>
      <c r="CI2965" s="128"/>
      <c r="CJ2965" s="128"/>
      <c r="CK2965" s="128"/>
      <c r="CL2965" s="128"/>
      <c r="CM2965" s="128"/>
      <c r="CN2965" s="128"/>
      <c r="CO2965" s="128"/>
      <c r="CP2965" s="128"/>
      <c r="CQ2965" s="128"/>
      <c r="CR2965" s="128"/>
      <c r="CS2965" s="128"/>
      <c r="CT2965" s="128"/>
      <c r="CU2965" s="128"/>
      <c r="CV2965" s="128"/>
      <c r="CW2965" s="128"/>
      <c r="CX2965" s="128"/>
      <c r="CY2965" s="128"/>
      <c r="CZ2965" s="165"/>
    </row>
    <row r="2966" spans="1:104">
      <c r="A2966" s="149"/>
      <c r="B2966" s="149"/>
      <c r="C2966" s="150"/>
      <c r="D2966" s="102"/>
      <c r="E2966" s="149"/>
      <c r="F2966" s="149"/>
      <c r="G2966" s="149"/>
      <c r="H2966" s="149"/>
      <c r="I2966" s="149"/>
      <c r="J2966" s="149"/>
      <c r="K2966" s="149"/>
      <c r="L2966" s="149"/>
      <c r="M2966" s="149"/>
      <c r="N2966" s="149"/>
      <c r="O2966" s="149"/>
      <c r="P2966" s="149"/>
      <c r="Q2966" s="149"/>
      <c r="R2966" s="149"/>
      <c r="S2966" s="149"/>
      <c r="T2966" s="149"/>
      <c r="U2966" s="149"/>
      <c r="V2966" s="149"/>
      <c r="W2966" s="149"/>
      <c r="X2966" s="149"/>
      <c r="Y2966" s="149"/>
      <c r="Z2966" s="149"/>
      <c r="AA2966" s="149"/>
      <c r="AB2966" s="149"/>
      <c r="AC2966" s="149"/>
      <c r="AD2966" s="149"/>
      <c r="AE2966" s="149"/>
      <c r="AF2966" s="149"/>
      <c r="AG2966" s="149"/>
      <c r="AH2966" s="149"/>
      <c r="AI2966" s="149"/>
      <c r="AJ2966" s="149"/>
      <c r="AK2966" s="149"/>
      <c r="AL2966" s="149"/>
      <c r="AM2966" s="149"/>
      <c r="AN2966" s="149"/>
      <c r="AO2966" s="128"/>
      <c r="AP2966" s="128"/>
      <c r="AQ2966" s="128"/>
      <c r="AR2966" s="128"/>
      <c r="AS2966" s="128"/>
      <c r="AT2966" s="128"/>
      <c r="AU2966" s="128"/>
      <c r="AV2966" s="128"/>
      <c r="AW2966" s="128"/>
      <c r="AX2966" s="128"/>
      <c r="AY2966" s="128"/>
      <c r="AZ2966" s="128"/>
      <c r="BA2966" s="128"/>
      <c r="BB2966" s="128"/>
      <c r="BC2966" s="128"/>
      <c r="BD2966" s="128"/>
      <c r="BE2966" s="128"/>
      <c r="BF2966" s="128"/>
      <c r="BG2966" s="128"/>
      <c r="BH2966" s="128"/>
      <c r="BI2966" s="128"/>
      <c r="BJ2966" s="128"/>
      <c r="BK2966" s="128"/>
      <c r="BL2966" s="128"/>
      <c r="BM2966" s="151"/>
      <c r="BN2966" s="128"/>
      <c r="BO2966" s="128"/>
      <c r="BP2966" s="128"/>
      <c r="BQ2966" s="128"/>
      <c r="BR2966" s="128"/>
      <c r="BS2966" s="128"/>
      <c r="BT2966" s="128"/>
      <c r="BU2966" s="128"/>
      <c r="BV2966" s="128"/>
      <c r="BW2966" s="128"/>
      <c r="BX2966" s="128"/>
      <c r="BY2966" s="128"/>
      <c r="BZ2966" s="128"/>
      <c r="CA2966" s="128"/>
      <c r="CB2966" s="128"/>
      <c r="CC2966" s="128"/>
      <c r="CD2966" s="128"/>
      <c r="CE2966" s="128"/>
      <c r="CF2966" s="128"/>
      <c r="CG2966" s="128"/>
      <c r="CI2966" s="128"/>
      <c r="CJ2966" s="128"/>
      <c r="CK2966" s="128"/>
      <c r="CL2966" s="128"/>
      <c r="CM2966" s="128"/>
      <c r="CN2966" s="128"/>
      <c r="CO2966" s="128"/>
      <c r="CP2966" s="128"/>
      <c r="CQ2966" s="128"/>
      <c r="CR2966" s="128"/>
      <c r="CS2966" s="128"/>
      <c r="CT2966" s="128"/>
      <c r="CU2966" s="128"/>
      <c r="CV2966" s="128"/>
      <c r="CW2966" s="128"/>
      <c r="CX2966" s="128"/>
      <c r="CY2966" s="128"/>
      <c r="CZ2966" s="165"/>
    </row>
    <row r="2967" spans="1:104">
      <c r="A2967" s="149"/>
      <c r="B2967" s="149"/>
      <c r="C2967" s="150"/>
      <c r="D2967" s="102"/>
      <c r="E2967" s="149"/>
      <c r="F2967" s="149"/>
      <c r="G2967" s="149"/>
      <c r="H2967" s="149"/>
      <c r="I2967" s="149"/>
      <c r="J2967" s="149"/>
      <c r="K2967" s="149"/>
      <c r="L2967" s="149"/>
      <c r="M2967" s="149"/>
      <c r="N2967" s="149"/>
      <c r="O2967" s="149"/>
      <c r="P2967" s="149"/>
      <c r="Q2967" s="149"/>
      <c r="R2967" s="149"/>
      <c r="S2967" s="149"/>
      <c r="T2967" s="149"/>
      <c r="U2967" s="149"/>
      <c r="V2967" s="149"/>
      <c r="W2967" s="149"/>
      <c r="X2967" s="149"/>
      <c r="Y2967" s="149"/>
      <c r="Z2967" s="149"/>
      <c r="AA2967" s="149"/>
      <c r="AB2967" s="149"/>
      <c r="AC2967" s="149"/>
      <c r="AD2967" s="149"/>
      <c r="AE2967" s="149"/>
      <c r="AF2967" s="149"/>
      <c r="AG2967" s="149"/>
      <c r="AH2967" s="149"/>
      <c r="AI2967" s="149"/>
      <c r="AJ2967" s="149"/>
      <c r="AK2967" s="149"/>
      <c r="AL2967" s="149"/>
      <c r="AM2967" s="149"/>
      <c r="AN2967" s="149"/>
      <c r="AO2967" s="128"/>
      <c r="AP2967" s="128"/>
      <c r="AQ2967" s="128"/>
      <c r="AR2967" s="128"/>
      <c r="AS2967" s="128"/>
      <c r="AT2967" s="128"/>
      <c r="AU2967" s="128"/>
      <c r="AV2967" s="128"/>
      <c r="AW2967" s="128"/>
      <c r="AX2967" s="128"/>
      <c r="AY2967" s="128"/>
      <c r="AZ2967" s="128"/>
      <c r="BA2967" s="128"/>
      <c r="BB2967" s="128"/>
      <c r="BC2967" s="128"/>
      <c r="BD2967" s="128"/>
      <c r="BE2967" s="128"/>
      <c r="BF2967" s="128"/>
      <c r="BG2967" s="128"/>
      <c r="BH2967" s="128"/>
      <c r="BI2967" s="128"/>
      <c r="BJ2967" s="128"/>
      <c r="BK2967" s="128"/>
      <c r="BL2967" s="128"/>
      <c r="BM2967" s="151"/>
      <c r="BN2967" s="128"/>
      <c r="BO2967" s="128"/>
      <c r="BP2967" s="128"/>
      <c r="BQ2967" s="128"/>
      <c r="BR2967" s="128"/>
      <c r="BS2967" s="128"/>
      <c r="BT2967" s="128"/>
      <c r="BU2967" s="128"/>
      <c r="BV2967" s="128"/>
      <c r="BW2967" s="128"/>
      <c r="BX2967" s="128"/>
      <c r="BY2967" s="128"/>
      <c r="BZ2967" s="128"/>
      <c r="CA2967" s="128"/>
      <c r="CB2967" s="128"/>
      <c r="CC2967" s="128"/>
      <c r="CD2967" s="128"/>
      <c r="CE2967" s="128"/>
      <c r="CF2967" s="128"/>
      <c r="CG2967" s="128"/>
      <c r="CI2967" s="128"/>
      <c r="CJ2967" s="128"/>
      <c r="CK2967" s="128"/>
      <c r="CL2967" s="128"/>
      <c r="CM2967" s="128"/>
      <c r="CN2967" s="128"/>
      <c r="CO2967" s="128"/>
      <c r="CP2967" s="128"/>
      <c r="CQ2967" s="128"/>
      <c r="CR2967" s="128"/>
      <c r="CS2967" s="128"/>
      <c r="CT2967" s="128"/>
      <c r="CU2967" s="128"/>
      <c r="CV2967" s="128"/>
      <c r="CW2967" s="128"/>
      <c r="CX2967" s="128"/>
      <c r="CY2967" s="128"/>
      <c r="CZ2967" s="165"/>
    </row>
    <row r="2968" spans="1:104">
      <c r="A2968" s="149"/>
      <c r="B2968" s="149"/>
      <c r="C2968" s="150"/>
      <c r="D2968" s="102"/>
      <c r="E2968" s="149"/>
      <c r="F2968" s="149"/>
      <c r="G2968" s="149"/>
      <c r="H2968" s="149"/>
      <c r="I2968" s="149"/>
      <c r="J2968" s="149"/>
      <c r="K2968" s="149"/>
      <c r="L2968" s="149"/>
      <c r="M2968" s="149"/>
      <c r="N2968" s="149"/>
      <c r="O2968" s="149"/>
      <c r="P2968" s="149"/>
      <c r="Q2968" s="149"/>
      <c r="R2968" s="149"/>
      <c r="S2968" s="149"/>
      <c r="T2968" s="149"/>
      <c r="U2968" s="149"/>
      <c r="V2968" s="149"/>
      <c r="W2968" s="149"/>
      <c r="X2968" s="149"/>
      <c r="Y2968" s="149"/>
      <c r="Z2968" s="149"/>
      <c r="AA2968" s="149"/>
      <c r="AB2968" s="149"/>
      <c r="AC2968" s="149"/>
      <c r="AD2968" s="149"/>
      <c r="AE2968" s="149"/>
      <c r="AF2968" s="149"/>
      <c r="AG2968" s="149"/>
      <c r="AH2968" s="149"/>
      <c r="AI2968" s="149"/>
      <c r="AJ2968" s="149"/>
      <c r="AK2968" s="149"/>
      <c r="AL2968" s="149"/>
      <c r="AM2968" s="149"/>
      <c r="AN2968" s="149"/>
      <c r="AO2968" s="128"/>
      <c r="AP2968" s="128"/>
      <c r="AQ2968" s="128"/>
      <c r="AR2968" s="128"/>
      <c r="AS2968" s="128"/>
      <c r="AT2968" s="128"/>
      <c r="AU2968" s="128"/>
      <c r="AV2968" s="128"/>
      <c r="AW2968" s="128"/>
      <c r="AX2968" s="128"/>
      <c r="AY2968" s="128"/>
      <c r="AZ2968" s="128"/>
      <c r="BA2968" s="128"/>
      <c r="BB2968" s="128"/>
      <c r="BC2968" s="128"/>
      <c r="BD2968" s="128"/>
      <c r="BE2968" s="128"/>
      <c r="BF2968" s="128"/>
      <c r="BG2968" s="128"/>
      <c r="BH2968" s="128"/>
      <c r="BI2968" s="128"/>
      <c r="BJ2968" s="128"/>
      <c r="BK2968" s="128"/>
      <c r="BL2968" s="128"/>
      <c r="BM2968" s="151"/>
      <c r="BN2968" s="128"/>
      <c r="BO2968" s="128"/>
      <c r="BP2968" s="128"/>
      <c r="BQ2968" s="128"/>
      <c r="BR2968" s="128"/>
      <c r="BS2968" s="128"/>
      <c r="BT2968" s="128"/>
      <c r="BU2968" s="128"/>
      <c r="BV2968" s="128"/>
      <c r="BW2968" s="128"/>
      <c r="BX2968" s="128"/>
      <c r="BY2968" s="128"/>
      <c r="BZ2968" s="128"/>
      <c r="CA2968" s="128"/>
      <c r="CB2968" s="128"/>
      <c r="CC2968" s="128"/>
      <c r="CD2968" s="128"/>
      <c r="CE2968" s="128"/>
      <c r="CF2968" s="128"/>
      <c r="CG2968" s="128"/>
      <c r="CI2968" s="128"/>
      <c r="CJ2968" s="128"/>
      <c r="CK2968" s="128"/>
      <c r="CL2968" s="128"/>
      <c r="CM2968" s="128"/>
      <c r="CN2968" s="128"/>
      <c r="CO2968" s="128"/>
      <c r="CP2968" s="128"/>
      <c r="CQ2968" s="128"/>
      <c r="CR2968" s="128"/>
      <c r="CS2968" s="128"/>
      <c r="CT2968" s="128"/>
      <c r="CU2968" s="128"/>
      <c r="CV2968" s="128"/>
      <c r="CW2968" s="128"/>
      <c r="CX2968" s="128"/>
      <c r="CY2968" s="128"/>
      <c r="CZ2968" s="165"/>
    </row>
    <row r="2969" spans="1:104">
      <c r="A2969" s="149"/>
      <c r="B2969" s="149"/>
      <c r="C2969" s="150"/>
      <c r="D2969" s="102"/>
      <c r="E2969" s="149"/>
      <c r="F2969" s="149"/>
      <c r="G2969" s="149"/>
      <c r="H2969" s="149"/>
      <c r="I2969" s="149"/>
      <c r="J2969" s="149"/>
      <c r="K2969" s="149"/>
      <c r="L2969" s="149"/>
      <c r="M2969" s="149"/>
      <c r="N2969" s="149"/>
      <c r="O2969" s="149"/>
      <c r="P2969" s="149"/>
      <c r="Q2969" s="149"/>
      <c r="R2969" s="149"/>
      <c r="S2969" s="149"/>
      <c r="T2969" s="149"/>
      <c r="U2969" s="149"/>
      <c r="V2969" s="149"/>
      <c r="W2969" s="149"/>
      <c r="X2969" s="149"/>
      <c r="Y2969" s="149"/>
      <c r="Z2969" s="149"/>
      <c r="AA2969" s="149"/>
      <c r="AB2969" s="149"/>
      <c r="AC2969" s="149"/>
      <c r="AD2969" s="149"/>
      <c r="AE2969" s="149"/>
      <c r="AF2969" s="149"/>
      <c r="AG2969" s="149"/>
      <c r="AH2969" s="149"/>
      <c r="AI2969" s="149"/>
      <c r="AJ2969" s="149"/>
      <c r="AK2969" s="149"/>
      <c r="AL2969" s="149"/>
      <c r="AM2969" s="149"/>
      <c r="AN2969" s="149"/>
      <c r="AO2969" s="128"/>
      <c r="AP2969" s="128"/>
      <c r="AQ2969" s="128"/>
      <c r="AR2969" s="128"/>
      <c r="AS2969" s="128"/>
      <c r="AT2969" s="128"/>
      <c r="AU2969" s="128"/>
      <c r="AV2969" s="128"/>
      <c r="AW2969" s="128"/>
      <c r="AX2969" s="128"/>
      <c r="AY2969" s="128"/>
      <c r="AZ2969" s="128"/>
      <c r="BA2969" s="128"/>
      <c r="BB2969" s="128"/>
      <c r="BC2969" s="128"/>
      <c r="BD2969" s="128"/>
      <c r="BE2969" s="128"/>
      <c r="BF2969" s="128"/>
      <c r="BG2969" s="128"/>
      <c r="BH2969" s="128"/>
      <c r="BI2969" s="128"/>
      <c r="BJ2969" s="128"/>
      <c r="BK2969" s="128"/>
      <c r="BL2969" s="128"/>
      <c r="BM2969" s="151"/>
      <c r="BN2969" s="128"/>
      <c r="BO2969" s="128"/>
      <c r="BP2969" s="128"/>
      <c r="BQ2969" s="128"/>
      <c r="BR2969" s="128"/>
      <c r="BS2969" s="128"/>
      <c r="BT2969" s="128"/>
      <c r="BU2969" s="128"/>
      <c r="BV2969" s="128"/>
      <c r="BW2969" s="128"/>
      <c r="BX2969" s="128"/>
      <c r="BY2969" s="128"/>
      <c r="BZ2969" s="128"/>
      <c r="CA2969" s="128"/>
      <c r="CB2969" s="128"/>
      <c r="CC2969" s="128"/>
      <c r="CD2969" s="128"/>
      <c r="CE2969" s="128"/>
      <c r="CF2969" s="128"/>
      <c r="CG2969" s="128"/>
      <c r="CI2969" s="128"/>
      <c r="CJ2969" s="128"/>
      <c r="CK2969" s="128"/>
      <c r="CL2969" s="128"/>
      <c r="CM2969" s="128"/>
      <c r="CN2969" s="128"/>
      <c r="CO2969" s="128"/>
      <c r="CP2969" s="128"/>
      <c r="CQ2969" s="128"/>
      <c r="CR2969" s="128"/>
      <c r="CS2969" s="128"/>
      <c r="CT2969" s="128"/>
      <c r="CU2969" s="128"/>
      <c r="CV2969" s="128"/>
      <c r="CW2969" s="128"/>
      <c r="CX2969" s="128"/>
      <c r="CY2969" s="128"/>
      <c r="CZ2969" s="165"/>
    </row>
    <row r="2970" spans="1:104">
      <c r="A2970" s="149"/>
      <c r="B2970" s="149"/>
      <c r="C2970" s="150"/>
      <c r="D2970" s="102"/>
      <c r="E2970" s="149"/>
      <c r="F2970" s="149"/>
      <c r="G2970" s="149"/>
      <c r="H2970" s="149"/>
      <c r="I2970" s="149"/>
      <c r="J2970" s="149"/>
      <c r="K2970" s="149"/>
      <c r="L2970" s="149"/>
      <c r="M2970" s="149"/>
      <c r="N2970" s="149"/>
      <c r="O2970" s="149"/>
      <c r="P2970" s="149"/>
      <c r="Q2970" s="149"/>
      <c r="R2970" s="149"/>
      <c r="S2970" s="149"/>
      <c r="T2970" s="149"/>
      <c r="U2970" s="149"/>
      <c r="V2970" s="149"/>
      <c r="W2970" s="149"/>
      <c r="X2970" s="149"/>
      <c r="Y2970" s="149"/>
      <c r="Z2970" s="149"/>
      <c r="AA2970" s="149"/>
      <c r="AB2970" s="149"/>
      <c r="AC2970" s="149"/>
      <c r="AD2970" s="149"/>
      <c r="AE2970" s="149"/>
      <c r="AF2970" s="149"/>
      <c r="AG2970" s="149"/>
      <c r="AH2970" s="149"/>
      <c r="AI2970" s="149"/>
      <c r="AJ2970" s="149"/>
      <c r="AK2970" s="149"/>
      <c r="AL2970" s="149"/>
      <c r="AM2970" s="149"/>
      <c r="AN2970" s="149"/>
      <c r="AO2970" s="128"/>
      <c r="AP2970" s="128"/>
      <c r="AQ2970" s="128"/>
      <c r="AR2970" s="128"/>
      <c r="AS2970" s="128"/>
      <c r="AT2970" s="128"/>
      <c r="AU2970" s="128"/>
      <c r="AV2970" s="128"/>
      <c r="AW2970" s="128"/>
      <c r="AX2970" s="128"/>
      <c r="AY2970" s="128"/>
      <c r="AZ2970" s="128"/>
      <c r="BA2970" s="128"/>
      <c r="BB2970" s="128"/>
      <c r="BC2970" s="128"/>
      <c r="BD2970" s="128"/>
      <c r="BE2970" s="128"/>
      <c r="BF2970" s="128"/>
      <c r="BG2970" s="128"/>
      <c r="BH2970" s="128"/>
      <c r="BI2970" s="128"/>
      <c r="BJ2970" s="128"/>
      <c r="BK2970" s="128"/>
      <c r="BL2970" s="128"/>
      <c r="BM2970" s="151"/>
      <c r="BN2970" s="128"/>
      <c r="BO2970" s="128"/>
      <c r="BP2970" s="128"/>
      <c r="BQ2970" s="128"/>
      <c r="BR2970" s="128"/>
      <c r="BS2970" s="128"/>
      <c r="BT2970" s="128"/>
      <c r="BU2970" s="128"/>
      <c r="BV2970" s="128"/>
      <c r="BW2970" s="128"/>
      <c r="BX2970" s="128"/>
      <c r="BY2970" s="128"/>
      <c r="BZ2970" s="128"/>
      <c r="CA2970" s="128"/>
      <c r="CB2970" s="128"/>
      <c r="CC2970" s="128"/>
      <c r="CD2970" s="128"/>
      <c r="CE2970" s="128"/>
      <c r="CF2970" s="128"/>
      <c r="CG2970" s="128"/>
      <c r="CI2970" s="128"/>
      <c r="CJ2970" s="128"/>
      <c r="CK2970" s="128"/>
      <c r="CL2970" s="128"/>
      <c r="CM2970" s="128"/>
      <c r="CN2970" s="128"/>
      <c r="CO2970" s="128"/>
      <c r="CP2970" s="128"/>
      <c r="CQ2970" s="128"/>
      <c r="CR2970" s="128"/>
      <c r="CS2970" s="128"/>
      <c r="CT2970" s="128"/>
      <c r="CU2970" s="128"/>
      <c r="CV2970" s="128"/>
      <c r="CW2970" s="128"/>
      <c r="CX2970" s="128"/>
      <c r="CY2970" s="128"/>
      <c r="CZ2970" s="165"/>
    </row>
    <row r="2971" spans="1:104">
      <c r="A2971" s="149"/>
      <c r="B2971" s="149"/>
      <c r="C2971" s="150"/>
      <c r="D2971" s="102"/>
      <c r="E2971" s="149"/>
      <c r="F2971" s="149"/>
      <c r="G2971" s="149"/>
      <c r="H2971" s="149"/>
      <c r="I2971" s="149"/>
      <c r="J2971" s="149"/>
      <c r="K2971" s="149"/>
      <c r="L2971" s="149"/>
      <c r="M2971" s="149"/>
      <c r="N2971" s="149"/>
      <c r="O2971" s="149"/>
      <c r="P2971" s="149"/>
      <c r="Q2971" s="149"/>
      <c r="R2971" s="149"/>
      <c r="S2971" s="149"/>
      <c r="T2971" s="149"/>
      <c r="U2971" s="149"/>
      <c r="V2971" s="149"/>
      <c r="W2971" s="149"/>
      <c r="X2971" s="149"/>
      <c r="Y2971" s="149"/>
      <c r="Z2971" s="149"/>
      <c r="AA2971" s="149"/>
      <c r="AB2971" s="149"/>
      <c r="AC2971" s="149"/>
      <c r="AD2971" s="149"/>
      <c r="AE2971" s="149"/>
      <c r="AF2971" s="149"/>
      <c r="AG2971" s="149"/>
      <c r="AH2971" s="149"/>
      <c r="AI2971" s="149"/>
      <c r="AJ2971" s="149"/>
      <c r="AK2971" s="149"/>
      <c r="AL2971" s="149"/>
      <c r="AM2971" s="149"/>
      <c r="AN2971" s="149"/>
      <c r="AO2971" s="128"/>
      <c r="AP2971" s="128"/>
      <c r="AQ2971" s="128"/>
      <c r="AR2971" s="128"/>
      <c r="AS2971" s="128"/>
      <c r="AT2971" s="128"/>
      <c r="AU2971" s="128"/>
      <c r="AV2971" s="128"/>
      <c r="AW2971" s="128"/>
      <c r="AX2971" s="128"/>
      <c r="AY2971" s="128"/>
      <c r="AZ2971" s="128"/>
      <c r="BA2971" s="128"/>
      <c r="BB2971" s="128"/>
      <c r="BC2971" s="128"/>
      <c r="BD2971" s="128"/>
      <c r="BE2971" s="128"/>
      <c r="BF2971" s="128"/>
      <c r="BG2971" s="128"/>
      <c r="BH2971" s="128"/>
      <c r="BI2971" s="128"/>
      <c r="BJ2971" s="128"/>
      <c r="BK2971" s="128"/>
      <c r="BL2971" s="128"/>
      <c r="BM2971" s="151"/>
      <c r="BN2971" s="128"/>
      <c r="BO2971" s="128"/>
      <c r="BP2971" s="128"/>
      <c r="BQ2971" s="128"/>
      <c r="BR2971" s="128"/>
      <c r="BS2971" s="128"/>
      <c r="BT2971" s="128"/>
      <c r="BU2971" s="128"/>
      <c r="BV2971" s="128"/>
      <c r="BW2971" s="128"/>
      <c r="BX2971" s="128"/>
      <c r="BY2971" s="128"/>
      <c r="BZ2971" s="128"/>
      <c r="CA2971" s="128"/>
      <c r="CB2971" s="128"/>
      <c r="CC2971" s="128"/>
      <c r="CD2971" s="128"/>
      <c r="CE2971" s="128"/>
      <c r="CF2971" s="128"/>
      <c r="CG2971" s="128"/>
      <c r="CI2971" s="128"/>
      <c r="CJ2971" s="128"/>
      <c r="CK2971" s="128"/>
      <c r="CL2971" s="128"/>
      <c r="CM2971" s="128"/>
      <c r="CN2971" s="128"/>
      <c r="CO2971" s="128"/>
      <c r="CP2971" s="128"/>
      <c r="CQ2971" s="128"/>
      <c r="CR2971" s="128"/>
      <c r="CS2971" s="128"/>
      <c r="CT2971" s="128"/>
      <c r="CU2971" s="128"/>
      <c r="CV2971" s="128"/>
      <c r="CW2971" s="128"/>
      <c r="CX2971" s="128"/>
      <c r="CY2971" s="128"/>
      <c r="CZ2971" s="165"/>
    </row>
    <row r="2972" spans="1:104">
      <c r="A2972" s="149"/>
      <c r="B2972" s="149"/>
      <c r="C2972" s="150"/>
      <c r="D2972" s="102"/>
      <c r="E2972" s="149"/>
      <c r="F2972" s="149"/>
      <c r="G2972" s="149"/>
      <c r="H2972" s="149"/>
      <c r="I2972" s="149"/>
      <c r="J2972" s="149"/>
      <c r="K2972" s="149"/>
      <c r="L2972" s="149"/>
      <c r="M2972" s="149"/>
      <c r="N2972" s="149"/>
      <c r="O2972" s="149"/>
      <c r="P2972" s="149"/>
      <c r="Q2972" s="149"/>
      <c r="R2972" s="149"/>
      <c r="S2972" s="149"/>
      <c r="T2972" s="149"/>
      <c r="U2972" s="149"/>
      <c r="V2972" s="149"/>
      <c r="W2972" s="149"/>
      <c r="X2972" s="149"/>
      <c r="Y2972" s="149"/>
      <c r="Z2972" s="149"/>
      <c r="AA2972" s="149"/>
      <c r="AB2972" s="149"/>
      <c r="AC2972" s="149"/>
      <c r="AD2972" s="149"/>
      <c r="AE2972" s="149"/>
      <c r="AF2972" s="149"/>
      <c r="AG2972" s="149"/>
      <c r="AH2972" s="149"/>
      <c r="AI2972" s="149"/>
      <c r="AJ2972" s="149"/>
      <c r="AK2972" s="149"/>
      <c r="AL2972" s="149"/>
      <c r="AM2972" s="149"/>
      <c r="AN2972" s="149"/>
      <c r="AO2972" s="128"/>
      <c r="AP2972" s="128"/>
      <c r="AQ2972" s="128"/>
      <c r="AR2972" s="128"/>
      <c r="AS2972" s="128"/>
      <c r="AT2972" s="128"/>
      <c r="AU2972" s="128"/>
      <c r="AV2972" s="128"/>
      <c r="AW2972" s="128"/>
      <c r="AX2972" s="128"/>
      <c r="AY2972" s="128"/>
      <c r="AZ2972" s="128"/>
      <c r="BA2972" s="128"/>
      <c r="BB2972" s="128"/>
      <c r="BC2972" s="128"/>
      <c r="BD2972" s="128"/>
      <c r="BE2972" s="128"/>
      <c r="BF2972" s="128"/>
      <c r="BG2972" s="128"/>
      <c r="BH2972" s="128"/>
      <c r="BI2972" s="128"/>
      <c r="BJ2972" s="128"/>
      <c r="BK2972" s="128"/>
      <c r="BL2972" s="128"/>
      <c r="BM2972" s="151"/>
      <c r="BN2972" s="128"/>
      <c r="BO2972" s="128"/>
      <c r="BP2972" s="128"/>
      <c r="BQ2972" s="128"/>
      <c r="BR2972" s="128"/>
      <c r="BS2972" s="128"/>
      <c r="BT2972" s="128"/>
      <c r="BU2972" s="128"/>
      <c r="BV2972" s="128"/>
      <c r="BW2972" s="128"/>
      <c r="BX2972" s="128"/>
      <c r="BY2972" s="128"/>
      <c r="BZ2972" s="128"/>
      <c r="CA2972" s="128"/>
      <c r="CB2972" s="128"/>
      <c r="CC2972" s="128"/>
      <c r="CD2972" s="128"/>
      <c r="CE2972" s="128"/>
      <c r="CF2972" s="128"/>
      <c r="CG2972" s="128"/>
      <c r="CI2972" s="128"/>
      <c r="CJ2972" s="128"/>
      <c r="CK2972" s="128"/>
      <c r="CL2972" s="128"/>
      <c r="CM2972" s="128"/>
      <c r="CN2972" s="128"/>
      <c r="CO2972" s="128"/>
      <c r="CP2972" s="128"/>
      <c r="CQ2972" s="128"/>
      <c r="CR2972" s="128"/>
      <c r="CS2972" s="128"/>
      <c r="CT2972" s="128"/>
      <c r="CU2972" s="128"/>
      <c r="CV2972" s="128"/>
      <c r="CW2972" s="128"/>
      <c r="CX2972" s="128"/>
      <c r="CY2972" s="128"/>
      <c r="CZ2972" s="165"/>
    </row>
    <row r="2973" spans="1:104">
      <c r="A2973" s="149"/>
      <c r="B2973" s="149"/>
      <c r="C2973" s="150"/>
      <c r="D2973" s="102"/>
      <c r="E2973" s="149"/>
      <c r="F2973" s="149"/>
      <c r="G2973" s="149"/>
      <c r="H2973" s="149"/>
      <c r="I2973" s="149"/>
      <c r="J2973" s="149"/>
      <c r="K2973" s="149"/>
      <c r="L2973" s="149"/>
      <c r="M2973" s="149"/>
      <c r="N2973" s="149"/>
      <c r="O2973" s="149"/>
      <c r="P2973" s="149"/>
      <c r="Q2973" s="149"/>
      <c r="R2973" s="149"/>
      <c r="S2973" s="149"/>
      <c r="T2973" s="149"/>
      <c r="U2973" s="149"/>
      <c r="V2973" s="149"/>
      <c r="W2973" s="149"/>
      <c r="X2973" s="149"/>
      <c r="Y2973" s="149"/>
      <c r="Z2973" s="149"/>
      <c r="AA2973" s="149"/>
      <c r="AB2973" s="149"/>
      <c r="AC2973" s="149"/>
      <c r="AD2973" s="149"/>
      <c r="AE2973" s="149"/>
      <c r="AF2973" s="149"/>
      <c r="AG2973" s="149"/>
      <c r="AH2973" s="149"/>
      <c r="AI2973" s="149"/>
      <c r="AJ2973" s="149"/>
      <c r="AK2973" s="149"/>
      <c r="AL2973" s="149"/>
      <c r="AM2973" s="149"/>
      <c r="AN2973" s="149"/>
      <c r="AO2973" s="128"/>
      <c r="AP2973" s="128"/>
      <c r="AQ2973" s="128"/>
      <c r="AR2973" s="128"/>
      <c r="AS2973" s="128"/>
      <c r="AT2973" s="128"/>
      <c r="AU2973" s="128"/>
      <c r="AV2973" s="128"/>
      <c r="AW2973" s="128"/>
      <c r="AX2973" s="128"/>
      <c r="AY2973" s="128"/>
      <c r="AZ2973" s="128"/>
      <c r="BA2973" s="128"/>
      <c r="BB2973" s="128"/>
      <c r="BC2973" s="128"/>
      <c r="BD2973" s="128"/>
      <c r="BE2973" s="128"/>
      <c r="BF2973" s="128"/>
      <c r="BG2973" s="128"/>
      <c r="BH2973" s="128"/>
      <c r="BI2973" s="128"/>
      <c r="BJ2973" s="128"/>
      <c r="BK2973" s="128"/>
      <c r="BL2973" s="128"/>
      <c r="BM2973" s="151"/>
      <c r="BN2973" s="128"/>
      <c r="BO2973" s="128"/>
      <c r="BP2973" s="128"/>
      <c r="BQ2973" s="128"/>
      <c r="BR2973" s="128"/>
      <c r="BS2973" s="128"/>
      <c r="BT2973" s="128"/>
      <c r="BU2973" s="128"/>
      <c r="BV2973" s="128"/>
      <c r="BW2973" s="128"/>
      <c r="BX2973" s="128"/>
      <c r="BY2973" s="128"/>
      <c r="BZ2973" s="128"/>
      <c r="CA2973" s="128"/>
      <c r="CB2973" s="128"/>
      <c r="CC2973" s="128"/>
      <c r="CD2973" s="128"/>
      <c r="CE2973" s="128"/>
      <c r="CF2973" s="128"/>
      <c r="CG2973" s="128"/>
      <c r="CI2973" s="128"/>
      <c r="CJ2973" s="128"/>
      <c r="CK2973" s="128"/>
      <c r="CL2973" s="128"/>
      <c r="CM2973" s="128"/>
      <c r="CN2973" s="128"/>
      <c r="CO2973" s="128"/>
      <c r="CP2973" s="128"/>
      <c r="CQ2973" s="128"/>
      <c r="CR2973" s="128"/>
      <c r="CS2973" s="128"/>
      <c r="CT2973" s="128"/>
      <c r="CU2973" s="128"/>
      <c r="CV2973" s="128"/>
      <c r="CW2973" s="128"/>
      <c r="CX2973" s="128"/>
      <c r="CY2973" s="128"/>
      <c r="CZ2973" s="165"/>
    </row>
    <row r="2974" spans="1:104">
      <c r="A2974" s="149"/>
      <c r="B2974" s="149"/>
      <c r="C2974" s="150"/>
      <c r="D2974" s="102"/>
      <c r="E2974" s="149"/>
      <c r="F2974" s="149"/>
      <c r="G2974" s="149"/>
      <c r="H2974" s="149"/>
      <c r="I2974" s="149"/>
      <c r="J2974" s="149"/>
      <c r="K2974" s="149"/>
      <c r="L2974" s="149"/>
      <c r="M2974" s="149"/>
      <c r="N2974" s="149"/>
      <c r="O2974" s="149"/>
      <c r="P2974" s="149"/>
      <c r="Q2974" s="149"/>
      <c r="R2974" s="149"/>
      <c r="S2974" s="149"/>
      <c r="T2974" s="149"/>
      <c r="U2974" s="149"/>
      <c r="V2974" s="149"/>
      <c r="W2974" s="149"/>
      <c r="X2974" s="149"/>
      <c r="Y2974" s="149"/>
      <c r="Z2974" s="149"/>
      <c r="AA2974" s="149"/>
      <c r="AB2974" s="149"/>
      <c r="AC2974" s="149"/>
      <c r="AD2974" s="149"/>
      <c r="AE2974" s="149"/>
      <c r="AF2974" s="149"/>
      <c r="AG2974" s="149"/>
      <c r="AH2974" s="149"/>
      <c r="AI2974" s="149"/>
      <c r="AJ2974" s="149"/>
      <c r="AK2974" s="149"/>
      <c r="AL2974" s="149"/>
      <c r="AM2974" s="149"/>
      <c r="AN2974" s="149"/>
      <c r="AO2974" s="128"/>
      <c r="AP2974" s="128"/>
      <c r="AQ2974" s="128"/>
      <c r="AR2974" s="128"/>
      <c r="AS2974" s="128"/>
      <c r="AT2974" s="128"/>
      <c r="AU2974" s="128"/>
      <c r="AV2974" s="128"/>
      <c r="AW2974" s="128"/>
      <c r="AX2974" s="128"/>
      <c r="AY2974" s="128"/>
      <c r="AZ2974" s="128"/>
      <c r="BA2974" s="128"/>
      <c r="BB2974" s="128"/>
      <c r="BC2974" s="128"/>
      <c r="BD2974" s="128"/>
      <c r="BE2974" s="128"/>
      <c r="BF2974" s="128"/>
      <c r="BG2974" s="128"/>
      <c r="BH2974" s="128"/>
      <c r="BI2974" s="128"/>
      <c r="BJ2974" s="128"/>
      <c r="BK2974" s="128"/>
      <c r="BL2974" s="128"/>
      <c r="BM2974" s="151"/>
      <c r="BN2974" s="128"/>
      <c r="BO2974" s="128"/>
      <c r="BP2974" s="128"/>
      <c r="BQ2974" s="128"/>
      <c r="BR2974" s="128"/>
      <c r="BS2974" s="128"/>
      <c r="BT2974" s="128"/>
      <c r="BU2974" s="128"/>
      <c r="BV2974" s="128"/>
      <c r="BW2974" s="128"/>
      <c r="BX2974" s="128"/>
      <c r="BY2974" s="128"/>
      <c r="BZ2974" s="128"/>
      <c r="CA2974" s="128"/>
      <c r="CB2974" s="128"/>
      <c r="CC2974" s="128"/>
      <c r="CD2974" s="128"/>
      <c r="CE2974" s="128"/>
      <c r="CF2974" s="128"/>
      <c r="CG2974" s="128"/>
      <c r="CI2974" s="128"/>
      <c r="CJ2974" s="128"/>
      <c r="CK2974" s="128"/>
      <c r="CL2974" s="128"/>
      <c r="CM2974" s="128"/>
      <c r="CN2974" s="128"/>
      <c r="CO2974" s="128"/>
      <c r="CP2974" s="128"/>
      <c r="CQ2974" s="128"/>
      <c r="CR2974" s="128"/>
      <c r="CS2974" s="128"/>
      <c r="CT2974" s="128"/>
      <c r="CU2974" s="128"/>
      <c r="CV2974" s="128"/>
      <c r="CW2974" s="128"/>
      <c r="CX2974" s="128"/>
      <c r="CY2974" s="128"/>
      <c r="CZ2974" s="165"/>
    </row>
    <row r="2975" spans="1:104">
      <c r="A2975" s="149"/>
      <c r="B2975" s="149"/>
      <c r="C2975" s="150"/>
      <c r="D2975" s="102"/>
      <c r="E2975" s="149"/>
      <c r="F2975" s="149"/>
      <c r="G2975" s="149"/>
      <c r="H2975" s="149"/>
      <c r="I2975" s="149"/>
      <c r="J2975" s="149"/>
      <c r="K2975" s="149"/>
      <c r="L2975" s="149"/>
      <c r="M2975" s="149"/>
      <c r="N2975" s="149"/>
      <c r="O2975" s="149"/>
      <c r="P2975" s="149"/>
      <c r="Q2975" s="149"/>
      <c r="R2975" s="149"/>
      <c r="S2975" s="149"/>
      <c r="T2975" s="149"/>
      <c r="U2975" s="149"/>
      <c r="V2975" s="149"/>
      <c r="W2975" s="149"/>
      <c r="X2975" s="149"/>
      <c r="Y2975" s="149"/>
      <c r="Z2975" s="149"/>
      <c r="AA2975" s="149"/>
      <c r="AB2975" s="149"/>
      <c r="AC2975" s="149"/>
      <c r="AD2975" s="149"/>
      <c r="AE2975" s="149"/>
      <c r="AF2975" s="149"/>
      <c r="AG2975" s="149"/>
      <c r="AH2975" s="149"/>
      <c r="AI2975" s="149"/>
      <c r="AJ2975" s="149"/>
      <c r="AK2975" s="149"/>
      <c r="AL2975" s="149"/>
      <c r="AM2975" s="149"/>
      <c r="AN2975" s="149"/>
      <c r="AO2975" s="128"/>
      <c r="AP2975" s="128"/>
      <c r="AQ2975" s="128"/>
      <c r="AR2975" s="128"/>
      <c r="AS2975" s="128"/>
      <c r="AT2975" s="128"/>
      <c r="AU2975" s="128"/>
      <c r="AV2975" s="128"/>
      <c r="AW2975" s="128"/>
      <c r="AX2975" s="128"/>
      <c r="AY2975" s="128"/>
      <c r="AZ2975" s="128"/>
      <c r="BA2975" s="128"/>
      <c r="BB2975" s="128"/>
      <c r="BC2975" s="128"/>
      <c r="BD2975" s="128"/>
      <c r="BE2975" s="128"/>
      <c r="BF2975" s="128"/>
      <c r="BG2975" s="128"/>
      <c r="BH2975" s="128"/>
      <c r="BI2975" s="128"/>
      <c r="BJ2975" s="128"/>
      <c r="BK2975" s="128"/>
      <c r="BL2975" s="128"/>
      <c r="BM2975" s="151"/>
      <c r="BN2975" s="128"/>
      <c r="BO2975" s="128"/>
      <c r="BP2975" s="128"/>
      <c r="BQ2975" s="128"/>
      <c r="BR2975" s="128"/>
      <c r="BS2975" s="128"/>
      <c r="BT2975" s="128"/>
      <c r="BU2975" s="128"/>
      <c r="BV2975" s="128"/>
      <c r="BW2975" s="128"/>
      <c r="BX2975" s="128"/>
      <c r="BY2975" s="128"/>
      <c r="BZ2975" s="128"/>
      <c r="CA2975" s="128"/>
      <c r="CB2975" s="128"/>
      <c r="CC2975" s="128"/>
      <c r="CD2975" s="128"/>
      <c r="CE2975" s="128"/>
      <c r="CF2975" s="128"/>
      <c r="CG2975" s="128"/>
      <c r="CI2975" s="128"/>
      <c r="CJ2975" s="128"/>
      <c r="CK2975" s="128"/>
      <c r="CL2975" s="128"/>
      <c r="CM2975" s="128"/>
      <c r="CN2975" s="128"/>
      <c r="CO2975" s="128"/>
      <c r="CP2975" s="128"/>
      <c r="CQ2975" s="128"/>
      <c r="CR2975" s="128"/>
      <c r="CS2975" s="128"/>
      <c r="CT2975" s="128"/>
      <c r="CU2975" s="128"/>
      <c r="CV2975" s="128"/>
      <c r="CW2975" s="128"/>
      <c r="CX2975" s="128"/>
      <c r="CY2975" s="128"/>
      <c r="CZ2975" s="165"/>
    </row>
    <row r="2976" spans="1:104">
      <c r="A2976" s="149"/>
      <c r="B2976" s="149"/>
      <c r="C2976" s="150"/>
      <c r="D2976" s="102"/>
      <c r="E2976" s="149"/>
      <c r="F2976" s="149"/>
      <c r="G2976" s="149"/>
      <c r="H2976" s="149"/>
      <c r="I2976" s="149"/>
      <c r="J2976" s="149"/>
      <c r="K2976" s="149"/>
      <c r="L2976" s="149"/>
      <c r="M2976" s="149"/>
      <c r="N2976" s="149"/>
      <c r="O2976" s="149"/>
      <c r="P2976" s="149"/>
      <c r="Q2976" s="149"/>
      <c r="R2976" s="149"/>
      <c r="S2976" s="149"/>
      <c r="T2976" s="149"/>
      <c r="U2976" s="149"/>
      <c r="V2976" s="149"/>
      <c r="W2976" s="149"/>
      <c r="X2976" s="149"/>
      <c r="Y2976" s="149"/>
      <c r="Z2976" s="149"/>
      <c r="AA2976" s="149"/>
      <c r="AB2976" s="149"/>
      <c r="AC2976" s="149"/>
      <c r="AD2976" s="149"/>
      <c r="AE2976" s="149"/>
      <c r="AF2976" s="149"/>
      <c r="AG2976" s="149"/>
      <c r="AH2976" s="149"/>
      <c r="AI2976" s="149"/>
      <c r="AJ2976" s="149"/>
      <c r="AK2976" s="149"/>
      <c r="AL2976" s="149"/>
      <c r="AM2976" s="149"/>
      <c r="AN2976" s="149"/>
      <c r="AO2976" s="128"/>
      <c r="AP2976" s="128"/>
      <c r="AQ2976" s="128"/>
      <c r="AR2976" s="128"/>
      <c r="AS2976" s="128"/>
      <c r="AT2976" s="128"/>
      <c r="AU2976" s="128"/>
      <c r="AV2976" s="128"/>
      <c r="AW2976" s="128"/>
      <c r="AX2976" s="128"/>
      <c r="AY2976" s="128"/>
      <c r="AZ2976" s="128"/>
      <c r="BA2976" s="128"/>
      <c r="BB2976" s="128"/>
      <c r="BC2976" s="128"/>
      <c r="BD2976" s="128"/>
      <c r="BE2976" s="128"/>
      <c r="BF2976" s="128"/>
      <c r="BG2976" s="128"/>
      <c r="BH2976" s="128"/>
      <c r="BI2976" s="128"/>
      <c r="BJ2976" s="128"/>
      <c r="BK2976" s="128"/>
      <c r="BL2976" s="128"/>
      <c r="BM2976" s="151"/>
      <c r="BN2976" s="128"/>
      <c r="BO2976" s="128"/>
      <c r="BP2976" s="128"/>
      <c r="BQ2976" s="128"/>
      <c r="BR2976" s="128"/>
      <c r="BS2976" s="128"/>
      <c r="BT2976" s="128"/>
      <c r="BU2976" s="128"/>
      <c r="BV2976" s="128"/>
      <c r="BW2976" s="128"/>
      <c r="BX2976" s="128"/>
      <c r="BY2976" s="128"/>
      <c r="BZ2976" s="128"/>
      <c r="CA2976" s="128"/>
      <c r="CB2976" s="128"/>
      <c r="CC2976" s="128"/>
      <c r="CD2976" s="128"/>
      <c r="CE2976" s="128"/>
      <c r="CF2976" s="128"/>
      <c r="CG2976" s="128"/>
      <c r="CI2976" s="128"/>
      <c r="CJ2976" s="128"/>
      <c r="CK2976" s="128"/>
      <c r="CL2976" s="128"/>
      <c r="CM2976" s="128"/>
      <c r="CN2976" s="128"/>
      <c r="CO2976" s="128"/>
      <c r="CP2976" s="128"/>
      <c r="CQ2976" s="128"/>
      <c r="CR2976" s="128"/>
      <c r="CS2976" s="128"/>
      <c r="CT2976" s="128"/>
      <c r="CU2976" s="128"/>
      <c r="CV2976" s="128"/>
      <c r="CW2976" s="128"/>
      <c r="CX2976" s="128"/>
      <c r="CY2976" s="128"/>
      <c r="CZ2976" s="165"/>
    </row>
    <row r="2977" spans="1:104">
      <c r="A2977" s="149"/>
      <c r="B2977" s="149"/>
      <c r="C2977" s="150"/>
      <c r="D2977" s="102"/>
      <c r="E2977" s="149"/>
      <c r="F2977" s="149"/>
      <c r="G2977" s="149"/>
      <c r="H2977" s="149"/>
      <c r="I2977" s="149"/>
      <c r="J2977" s="149"/>
      <c r="K2977" s="149"/>
      <c r="L2977" s="149"/>
      <c r="M2977" s="149"/>
      <c r="N2977" s="149"/>
      <c r="O2977" s="149"/>
      <c r="P2977" s="149"/>
      <c r="Q2977" s="149"/>
      <c r="R2977" s="149"/>
      <c r="S2977" s="149"/>
      <c r="T2977" s="149"/>
      <c r="U2977" s="149"/>
      <c r="V2977" s="149"/>
      <c r="W2977" s="149"/>
      <c r="X2977" s="149"/>
      <c r="Y2977" s="149"/>
      <c r="Z2977" s="149"/>
      <c r="AA2977" s="149"/>
      <c r="AB2977" s="149"/>
      <c r="AC2977" s="149"/>
      <c r="AD2977" s="149"/>
      <c r="AE2977" s="149"/>
      <c r="AF2977" s="149"/>
      <c r="AG2977" s="149"/>
      <c r="AH2977" s="149"/>
      <c r="AI2977" s="149"/>
      <c r="AJ2977" s="149"/>
      <c r="AK2977" s="149"/>
      <c r="AL2977" s="149"/>
      <c r="AM2977" s="149"/>
      <c r="AN2977" s="149"/>
      <c r="AO2977" s="128"/>
      <c r="AP2977" s="128"/>
      <c r="AQ2977" s="128"/>
      <c r="AR2977" s="128"/>
      <c r="AS2977" s="128"/>
      <c r="AT2977" s="128"/>
      <c r="AU2977" s="128"/>
      <c r="AV2977" s="128"/>
      <c r="AW2977" s="128"/>
      <c r="AX2977" s="128"/>
      <c r="AY2977" s="128"/>
      <c r="AZ2977" s="128"/>
      <c r="BA2977" s="128"/>
      <c r="BB2977" s="128"/>
      <c r="BC2977" s="128"/>
      <c r="BD2977" s="128"/>
      <c r="BE2977" s="128"/>
      <c r="BF2977" s="128"/>
      <c r="BG2977" s="128"/>
      <c r="BH2977" s="128"/>
      <c r="BI2977" s="128"/>
      <c r="BJ2977" s="128"/>
      <c r="BK2977" s="128"/>
      <c r="BL2977" s="128"/>
      <c r="BM2977" s="151"/>
      <c r="BN2977" s="128"/>
      <c r="BO2977" s="128"/>
      <c r="BP2977" s="128"/>
      <c r="BQ2977" s="128"/>
      <c r="BR2977" s="128"/>
      <c r="BS2977" s="128"/>
      <c r="BT2977" s="128"/>
      <c r="BU2977" s="128"/>
      <c r="BV2977" s="128"/>
      <c r="BW2977" s="128"/>
      <c r="BX2977" s="128"/>
      <c r="BY2977" s="128"/>
      <c r="BZ2977" s="128"/>
      <c r="CA2977" s="128"/>
      <c r="CB2977" s="128"/>
      <c r="CC2977" s="128"/>
      <c r="CD2977" s="128"/>
      <c r="CE2977" s="128"/>
      <c r="CF2977" s="128"/>
      <c r="CG2977" s="128"/>
      <c r="CI2977" s="128"/>
      <c r="CJ2977" s="128"/>
      <c r="CK2977" s="128"/>
      <c r="CL2977" s="128"/>
      <c r="CM2977" s="128"/>
      <c r="CN2977" s="128"/>
      <c r="CO2977" s="128"/>
      <c r="CP2977" s="128"/>
      <c r="CQ2977" s="128"/>
      <c r="CR2977" s="128"/>
      <c r="CS2977" s="128"/>
      <c r="CT2977" s="128"/>
      <c r="CU2977" s="128"/>
      <c r="CV2977" s="128"/>
      <c r="CW2977" s="128"/>
      <c r="CX2977" s="128"/>
      <c r="CY2977" s="128"/>
      <c r="CZ2977" s="165"/>
    </row>
    <row r="2978" spans="1:104">
      <c r="A2978" s="149"/>
      <c r="B2978" s="149"/>
      <c r="C2978" s="150"/>
      <c r="D2978" s="102"/>
      <c r="E2978" s="149"/>
      <c r="F2978" s="149"/>
      <c r="G2978" s="149"/>
      <c r="H2978" s="149"/>
      <c r="I2978" s="149"/>
      <c r="J2978" s="149"/>
      <c r="K2978" s="149"/>
      <c r="L2978" s="149"/>
      <c r="M2978" s="149"/>
      <c r="N2978" s="149"/>
      <c r="O2978" s="149"/>
      <c r="P2978" s="149"/>
      <c r="Q2978" s="149"/>
      <c r="R2978" s="149"/>
      <c r="S2978" s="149"/>
      <c r="T2978" s="149"/>
      <c r="U2978" s="149"/>
      <c r="V2978" s="149"/>
      <c r="W2978" s="149"/>
      <c r="X2978" s="149"/>
      <c r="Y2978" s="149"/>
      <c r="Z2978" s="149"/>
      <c r="AA2978" s="149"/>
      <c r="AB2978" s="149"/>
      <c r="AC2978" s="149"/>
      <c r="AD2978" s="149"/>
      <c r="AE2978" s="149"/>
      <c r="AF2978" s="149"/>
      <c r="AG2978" s="149"/>
      <c r="AH2978" s="149"/>
      <c r="AI2978" s="149"/>
      <c r="AJ2978" s="149"/>
      <c r="AK2978" s="149"/>
      <c r="AL2978" s="149"/>
      <c r="AM2978" s="149"/>
      <c r="AN2978" s="149"/>
      <c r="AO2978" s="128"/>
      <c r="AP2978" s="128"/>
      <c r="AQ2978" s="128"/>
      <c r="AR2978" s="128"/>
      <c r="AS2978" s="128"/>
      <c r="AT2978" s="128"/>
      <c r="AU2978" s="128"/>
      <c r="AV2978" s="128"/>
      <c r="AW2978" s="128"/>
      <c r="AX2978" s="128"/>
      <c r="AY2978" s="128"/>
      <c r="AZ2978" s="128"/>
      <c r="BA2978" s="128"/>
      <c r="BB2978" s="128"/>
      <c r="BC2978" s="128"/>
      <c r="BD2978" s="128"/>
      <c r="BE2978" s="128"/>
      <c r="BF2978" s="128"/>
      <c r="BG2978" s="128"/>
      <c r="BH2978" s="128"/>
      <c r="BI2978" s="128"/>
      <c r="BJ2978" s="128"/>
      <c r="BK2978" s="128"/>
      <c r="BL2978" s="128"/>
      <c r="BM2978" s="151"/>
      <c r="BN2978" s="128"/>
      <c r="BO2978" s="128"/>
      <c r="BP2978" s="128"/>
      <c r="BQ2978" s="128"/>
      <c r="BR2978" s="128"/>
      <c r="BS2978" s="128"/>
      <c r="BT2978" s="128"/>
      <c r="BU2978" s="128"/>
      <c r="BV2978" s="128"/>
      <c r="BW2978" s="128"/>
      <c r="BX2978" s="128"/>
      <c r="BY2978" s="128"/>
      <c r="BZ2978" s="128"/>
      <c r="CA2978" s="128"/>
      <c r="CB2978" s="128"/>
      <c r="CC2978" s="128"/>
      <c r="CD2978" s="128"/>
      <c r="CE2978" s="128"/>
      <c r="CF2978" s="128"/>
      <c r="CG2978" s="128"/>
      <c r="CI2978" s="128"/>
      <c r="CJ2978" s="128"/>
      <c r="CK2978" s="128"/>
      <c r="CL2978" s="128"/>
      <c r="CM2978" s="128"/>
      <c r="CN2978" s="128"/>
      <c r="CO2978" s="128"/>
      <c r="CP2978" s="128"/>
      <c r="CQ2978" s="128"/>
      <c r="CR2978" s="128"/>
      <c r="CS2978" s="128"/>
      <c r="CT2978" s="128"/>
      <c r="CU2978" s="128"/>
      <c r="CV2978" s="128"/>
      <c r="CW2978" s="128"/>
      <c r="CX2978" s="128"/>
      <c r="CY2978" s="128"/>
      <c r="CZ2978" s="165"/>
    </row>
    <row r="2979" spans="1:104">
      <c r="A2979" s="149"/>
      <c r="B2979" s="149"/>
      <c r="C2979" s="150"/>
      <c r="D2979" s="102"/>
      <c r="E2979" s="149"/>
      <c r="F2979" s="149"/>
      <c r="G2979" s="149"/>
      <c r="H2979" s="149"/>
      <c r="I2979" s="149"/>
      <c r="J2979" s="149"/>
      <c r="K2979" s="149"/>
      <c r="L2979" s="149"/>
      <c r="M2979" s="149"/>
      <c r="N2979" s="149"/>
      <c r="O2979" s="149"/>
      <c r="P2979" s="149"/>
      <c r="Q2979" s="149"/>
      <c r="R2979" s="149"/>
      <c r="S2979" s="149"/>
      <c r="T2979" s="149"/>
      <c r="U2979" s="149"/>
      <c r="V2979" s="149"/>
      <c r="W2979" s="149"/>
      <c r="X2979" s="149"/>
      <c r="Y2979" s="149"/>
      <c r="Z2979" s="149"/>
      <c r="AA2979" s="149"/>
      <c r="AB2979" s="149"/>
      <c r="AC2979" s="149"/>
      <c r="AD2979" s="149"/>
      <c r="AE2979" s="149"/>
      <c r="AF2979" s="149"/>
      <c r="AG2979" s="149"/>
      <c r="AH2979" s="149"/>
      <c r="AI2979" s="149"/>
      <c r="AJ2979" s="149"/>
      <c r="AK2979" s="149"/>
      <c r="AL2979" s="149"/>
      <c r="AM2979" s="149"/>
      <c r="AN2979" s="149"/>
      <c r="AO2979" s="128"/>
      <c r="AP2979" s="128"/>
      <c r="AQ2979" s="128"/>
      <c r="AR2979" s="128"/>
      <c r="AS2979" s="128"/>
      <c r="AT2979" s="128"/>
      <c r="AU2979" s="128"/>
      <c r="AV2979" s="128"/>
      <c r="AW2979" s="128"/>
      <c r="AX2979" s="128"/>
      <c r="AY2979" s="128"/>
      <c r="AZ2979" s="128"/>
      <c r="BA2979" s="128"/>
      <c r="BB2979" s="128"/>
      <c r="BC2979" s="128"/>
      <c r="BD2979" s="128"/>
      <c r="BE2979" s="128"/>
      <c r="BF2979" s="128"/>
      <c r="BG2979" s="128"/>
      <c r="BH2979" s="128"/>
      <c r="BI2979" s="128"/>
      <c r="BJ2979" s="128"/>
      <c r="BK2979" s="128"/>
      <c r="BL2979" s="128"/>
      <c r="BM2979" s="151"/>
      <c r="BN2979" s="128"/>
      <c r="BO2979" s="128"/>
      <c r="BP2979" s="128"/>
      <c r="BQ2979" s="128"/>
      <c r="BR2979" s="128"/>
      <c r="BS2979" s="128"/>
      <c r="BT2979" s="128"/>
      <c r="BU2979" s="128"/>
      <c r="BV2979" s="128"/>
      <c r="BW2979" s="128"/>
      <c r="BX2979" s="128"/>
      <c r="BY2979" s="128"/>
      <c r="BZ2979" s="128"/>
      <c r="CA2979" s="128"/>
      <c r="CB2979" s="128"/>
      <c r="CC2979" s="128"/>
      <c r="CD2979" s="128"/>
      <c r="CE2979" s="128"/>
      <c r="CF2979" s="128"/>
      <c r="CG2979" s="128"/>
      <c r="CI2979" s="128"/>
      <c r="CJ2979" s="128"/>
      <c r="CK2979" s="128"/>
      <c r="CL2979" s="128"/>
      <c r="CM2979" s="128"/>
      <c r="CN2979" s="128"/>
      <c r="CO2979" s="128"/>
      <c r="CP2979" s="128"/>
      <c r="CQ2979" s="128"/>
      <c r="CR2979" s="128"/>
      <c r="CS2979" s="128"/>
      <c r="CT2979" s="128"/>
      <c r="CU2979" s="128"/>
      <c r="CV2979" s="128"/>
      <c r="CW2979" s="128"/>
      <c r="CX2979" s="128"/>
      <c r="CY2979" s="128"/>
      <c r="CZ2979" s="165"/>
    </row>
    <row r="2980" spans="1:104">
      <c r="A2980" s="149"/>
      <c r="B2980" s="149"/>
      <c r="C2980" s="150"/>
      <c r="D2980" s="102"/>
      <c r="E2980" s="149"/>
      <c r="F2980" s="149"/>
      <c r="G2980" s="149"/>
      <c r="H2980" s="149"/>
      <c r="I2980" s="149"/>
      <c r="J2980" s="149"/>
      <c r="K2980" s="149"/>
      <c r="L2980" s="149"/>
      <c r="M2980" s="149"/>
      <c r="N2980" s="149"/>
      <c r="O2980" s="149"/>
      <c r="P2980" s="149"/>
      <c r="Q2980" s="149"/>
      <c r="R2980" s="149"/>
      <c r="S2980" s="149"/>
      <c r="T2980" s="149"/>
      <c r="U2980" s="149"/>
      <c r="V2980" s="149"/>
      <c r="W2980" s="149"/>
      <c r="X2980" s="149"/>
      <c r="Y2980" s="149"/>
      <c r="Z2980" s="149"/>
      <c r="AA2980" s="149"/>
      <c r="AB2980" s="149"/>
      <c r="AC2980" s="149"/>
      <c r="AD2980" s="149"/>
      <c r="AE2980" s="149"/>
      <c r="AF2980" s="149"/>
      <c r="AG2980" s="149"/>
      <c r="AH2980" s="149"/>
      <c r="AI2980" s="149"/>
      <c r="AJ2980" s="149"/>
      <c r="AK2980" s="149"/>
      <c r="AL2980" s="149"/>
      <c r="AM2980" s="149"/>
      <c r="AN2980" s="149"/>
      <c r="AO2980" s="128"/>
      <c r="AP2980" s="128"/>
      <c r="AQ2980" s="128"/>
      <c r="AR2980" s="128"/>
      <c r="AS2980" s="128"/>
      <c r="AT2980" s="128"/>
      <c r="AU2980" s="128"/>
      <c r="AV2980" s="128"/>
      <c r="AW2980" s="128"/>
      <c r="AX2980" s="128"/>
      <c r="AY2980" s="128"/>
      <c r="AZ2980" s="128"/>
      <c r="BA2980" s="128"/>
      <c r="BB2980" s="128"/>
      <c r="BC2980" s="128"/>
      <c r="BD2980" s="128"/>
      <c r="BE2980" s="128"/>
      <c r="BF2980" s="128"/>
      <c r="BG2980" s="128"/>
      <c r="BH2980" s="128"/>
      <c r="BI2980" s="128"/>
      <c r="BJ2980" s="128"/>
      <c r="BK2980" s="128"/>
      <c r="BL2980" s="128"/>
      <c r="BM2980" s="151"/>
      <c r="BN2980" s="128"/>
      <c r="BO2980" s="128"/>
      <c r="BP2980" s="128"/>
      <c r="BQ2980" s="128"/>
      <c r="BR2980" s="128"/>
      <c r="BS2980" s="128"/>
      <c r="BT2980" s="128"/>
      <c r="BU2980" s="128"/>
      <c r="BV2980" s="128"/>
      <c r="BW2980" s="128"/>
      <c r="BX2980" s="128"/>
      <c r="BY2980" s="128"/>
      <c r="BZ2980" s="128"/>
      <c r="CA2980" s="128"/>
      <c r="CB2980" s="128"/>
      <c r="CC2980" s="128"/>
      <c r="CD2980" s="128"/>
      <c r="CE2980" s="128"/>
      <c r="CF2980" s="128"/>
      <c r="CG2980" s="128"/>
      <c r="CI2980" s="128"/>
      <c r="CJ2980" s="128"/>
      <c r="CK2980" s="128"/>
      <c r="CL2980" s="128"/>
      <c r="CM2980" s="128"/>
      <c r="CN2980" s="128"/>
      <c r="CO2980" s="128"/>
      <c r="CP2980" s="128"/>
      <c r="CQ2980" s="128"/>
      <c r="CR2980" s="128"/>
      <c r="CS2980" s="128"/>
      <c r="CT2980" s="128"/>
      <c r="CU2980" s="128"/>
      <c r="CV2980" s="128"/>
      <c r="CW2980" s="128"/>
      <c r="CX2980" s="128"/>
      <c r="CY2980" s="128"/>
      <c r="CZ2980" s="165"/>
    </row>
    <row r="2981" spans="1:104">
      <c r="A2981" s="149"/>
      <c r="B2981" s="149"/>
      <c r="C2981" s="150"/>
      <c r="D2981" s="102"/>
      <c r="E2981" s="149"/>
      <c r="F2981" s="149"/>
      <c r="G2981" s="149"/>
      <c r="H2981" s="149"/>
      <c r="I2981" s="149"/>
      <c r="J2981" s="149"/>
      <c r="K2981" s="149"/>
      <c r="L2981" s="149"/>
      <c r="M2981" s="149"/>
      <c r="N2981" s="149"/>
      <c r="O2981" s="149"/>
      <c r="P2981" s="149"/>
      <c r="Q2981" s="149"/>
      <c r="R2981" s="149"/>
      <c r="S2981" s="149"/>
      <c r="T2981" s="149"/>
      <c r="U2981" s="149"/>
      <c r="V2981" s="149"/>
      <c r="W2981" s="149"/>
      <c r="X2981" s="149"/>
      <c r="Y2981" s="149"/>
      <c r="Z2981" s="149"/>
      <c r="AA2981" s="149"/>
      <c r="AB2981" s="149"/>
      <c r="AC2981" s="149"/>
      <c r="AD2981" s="149"/>
      <c r="AE2981" s="149"/>
      <c r="AF2981" s="149"/>
      <c r="AG2981" s="149"/>
      <c r="AH2981" s="149"/>
      <c r="AI2981" s="149"/>
      <c r="AJ2981" s="149"/>
      <c r="AK2981" s="149"/>
      <c r="AL2981" s="149"/>
      <c r="AM2981" s="149"/>
      <c r="AN2981" s="149"/>
      <c r="AO2981" s="128"/>
      <c r="AP2981" s="128"/>
      <c r="AQ2981" s="128"/>
      <c r="AR2981" s="128"/>
      <c r="AS2981" s="128"/>
      <c r="AT2981" s="128"/>
      <c r="AU2981" s="128"/>
      <c r="AV2981" s="128"/>
      <c r="AW2981" s="128"/>
      <c r="AX2981" s="128"/>
      <c r="AY2981" s="128"/>
      <c r="AZ2981" s="128"/>
      <c r="BA2981" s="128"/>
      <c r="BB2981" s="128"/>
      <c r="BC2981" s="128"/>
      <c r="BD2981" s="128"/>
      <c r="BE2981" s="128"/>
      <c r="BF2981" s="128"/>
      <c r="BG2981" s="128"/>
      <c r="BH2981" s="128"/>
      <c r="BI2981" s="128"/>
      <c r="BJ2981" s="128"/>
      <c r="BK2981" s="128"/>
      <c r="BL2981" s="128"/>
      <c r="BM2981" s="151"/>
      <c r="BN2981" s="128"/>
      <c r="BO2981" s="128"/>
      <c r="BP2981" s="128"/>
      <c r="BQ2981" s="128"/>
      <c r="BR2981" s="128"/>
      <c r="BS2981" s="128"/>
      <c r="BT2981" s="128"/>
      <c r="BU2981" s="128"/>
      <c r="BV2981" s="128"/>
      <c r="BW2981" s="128"/>
      <c r="BX2981" s="128"/>
      <c r="BY2981" s="128"/>
      <c r="BZ2981" s="128"/>
      <c r="CA2981" s="128"/>
      <c r="CB2981" s="128"/>
      <c r="CC2981" s="128"/>
      <c r="CD2981" s="128"/>
      <c r="CE2981" s="128"/>
      <c r="CF2981" s="128"/>
      <c r="CG2981" s="128"/>
      <c r="CI2981" s="128"/>
      <c r="CJ2981" s="128"/>
      <c r="CK2981" s="128"/>
      <c r="CL2981" s="128"/>
      <c r="CM2981" s="128"/>
      <c r="CN2981" s="128"/>
      <c r="CO2981" s="128"/>
      <c r="CP2981" s="128"/>
      <c r="CQ2981" s="128"/>
      <c r="CR2981" s="128"/>
      <c r="CS2981" s="128"/>
      <c r="CT2981" s="128"/>
      <c r="CU2981" s="128"/>
      <c r="CV2981" s="128"/>
      <c r="CW2981" s="128"/>
      <c r="CX2981" s="128"/>
      <c r="CY2981" s="128"/>
      <c r="CZ2981" s="165"/>
    </row>
    <row r="2982" spans="1:104">
      <c r="A2982" s="149"/>
      <c r="B2982" s="149"/>
      <c r="C2982" s="150"/>
      <c r="D2982" s="102"/>
      <c r="E2982" s="149"/>
      <c r="F2982" s="149"/>
      <c r="G2982" s="149"/>
      <c r="H2982" s="149"/>
      <c r="I2982" s="149"/>
      <c r="J2982" s="149"/>
      <c r="K2982" s="149"/>
      <c r="L2982" s="149"/>
      <c r="M2982" s="149"/>
      <c r="N2982" s="149"/>
      <c r="O2982" s="149"/>
      <c r="P2982" s="149"/>
      <c r="Q2982" s="149"/>
      <c r="R2982" s="149"/>
      <c r="S2982" s="149"/>
      <c r="T2982" s="149"/>
      <c r="U2982" s="149"/>
      <c r="V2982" s="149"/>
      <c r="W2982" s="149"/>
      <c r="X2982" s="149"/>
      <c r="Y2982" s="149"/>
      <c r="Z2982" s="149"/>
      <c r="AA2982" s="149"/>
      <c r="AB2982" s="149"/>
      <c r="AC2982" s="149"/>
      <c r="AD2982" s="149"/>
      <c r="AE2982" s="149"/>
      <c r="AF2982" s="149"/>
      <c r="AG2982" s="149"/>
      <c r="AH2982" s="149"/>
      <c r="AI2982" s="149"/>
      <c r="AJ2982" s="149"/>
      <c r="AK2982" s="149"/>
      <c r="AL2982" s="149"/>
      <c r="AM2982" s="149"/>
      <c r="AN2982" s="149"/>
      <c r="AO2982" s="128"/>
      <c r="AP2982" s="128"/>
      <c r="AQ2982" s="128"/>
      <c r="AR2982" s="128"/>
      <c r="AS2982" s="128"/>
      <c r="AT2982" s="128"/>
      <c r="AU2982" s="128"/>
      <c r="AV2982" s="128"/>
      <c r="AW2982" s="128"/>
      <c r="AX2982" s="128"/>
      <c r="AY2982" s="128"/>
      <c r="AZ2982" s="128"/>
      <c r="BA2982" s="128"/>
      <c r="BB2982" s="128"/>
      <c r="BC2982" s="128"/>
      <c r="BD2982" s="128"/>
      <c r="BE2982" s="128"/>
      <c r="BF2982" s="128"/>
      <c r="BG2982" s="128"/>
      <c r="BH2982" s="128"/>
      <c r="BI2982" s="128"/>
      <c r="BJ2982" s="128"/>
      <c r="BK2982" s="128"/>
      <c r="BL2982" s="128"/>
      <c r="BM2982" s="151"/>
      <c r="BN2982" s="128"/>
      <c r="BO2982" s="128"/>
      <c r="BP2982" s="128"/>
      <c r="BQ2982" s="128"/>
      <c r="BR2982" s="128"/>
      <c r="BS2982" s="128"/>
      <c r="BT2982" s="128"/>
      <c r="BU2982" s="128"/>
      <c r="BV2982" s="128"/>
      <c r="BW2982" s="128"/>
      <c r="BX2982" s="128"/>
      <c r="BY2982" s="128"/>
      <c r="BZ2982" s="128"/>
      <c r="CA2982" s="128"/>
      <c r="CB2982" s="128"/>
      <c r="CC2982" s="128"/>
      <c r="CD2982" s="128"/>
      <c r="CE2982" s="128"/>
      <c r="CF2982" s="128"/>
      <c r="CG2982" s="128"/>
      <c r="CI2982" s="128"/>
      <c r="CJ2982" s="128"/>
      <c r="CK2982" s="128"/>
      <c r="CL2982" s="128"/>
      <c r="CM2982" s="128"/>
      <c r="CN2982" s="128"/>
      <c r="CO2982" s="128"/>
      <c r="CP2982" s="128"/>
      <c r="CQ2982" s="128"/>
      <c r="CR2982" s="128"/>
      <c r="CS2982" s="128"/>
      <c r="CT2982" s="128"/>
      <c r="CU2982" s="128"/>
      <c r="CV2982" s="128"/>
      <c r="CW2982" s="128"/>
      <c r="CX2982" s="128"/>
      <c r="CY2982" s="128"/>
      <c r="CZ2982" s="165"/>
    </row>
    <row r="2983" spans="1:104">
      <c r="A2983" s="149"/>
      <c r="B2983" s="149"/>
      <c r="C2983" s="150"/>
      <c r="D2983" s="102"/>
      <c r="E2983" s="149"/>
      <c r="F2983" s="149"/>
      <c r="G2983" s="149"/>
      <c r="H2983" s="149"/>
      <c r="I2983" s="149"/>
      <c r="J2983" s="149"/>
      <c r="K2983" s="149"/>
      <c r="L2983" s="149"/>
      <c r="M2983" s="149"/>
      <c r="N2983" s="149"/>
      <c r="O2983" s="149"/>
      <c r="P2983" s="149"/>
      <c r="Q2983" s="149"/>
      <c r="R2983" s="149"/>
      <c r="S2983" s="149"/>
      <c r="T2983" s="149"/>
      <c r="U2983" s="149"/>
      <c r="V2983" s="149"/>
      <c r="W2983" s="149"/>
      <c r="X2983" s="149"/>
      <c r="Y2983" s="149"/>
      <c r="Z2983" s="149"/>
      <c r="AA2983" s="149"/>
      <c r="AB2983" s="149"/>
      <c r="AC2983" s="149"/>
      <c r="AD2983" s="149"/>
      <c r="AE2983" s="149"/>
      <c r="AF2983" s="149"/>
      <c r="AG2983" s="149"/>
      <c r="AH2983" s="149"/>
      <c r="AI2983" s="149"/>
      <c r="AJ2983" s="149"/>
      <c r="AK2983" s="149"/>
      <c r="AL2983" s="149"/>
      <c r="AM2983" s="149"/>
      <c r="AN2983" s="149"/>
      <c r="AO2983" s="128"/>
      <c r="AP2983" s="128"/>
      <c r="AQ2983" s="128"/>
      <c r="AR2983" s="128"/>
      <c r="AS2983" s="128"/>
      <c r="AT2983" s="128"/>
      <c r="AU2983" s="128"/>
      <c r="AV2983" s="128"/>
      <c r="AW2983" s="128"/>
      <c r="AX2983" s="128"/>
      <c r="AY2983" s="128"/>
      <c r="AZ2983" s="128"/>
      <c r="BA2983" s="128"/>
      <c r="BB2983" s="128"/>
      <c r="BC2983" s="128"/>
      <c r="BD2983" s="128"/>
      <c r="BE2983" s="128"/>
      <c r="BF2983" s="128"/>
      <c r="BG2983" s="128"/>
      <c r="BH2983" s="128"/>
      <c r="BI2983" s="128"/>
      <c r="BJ2983" s="128"/>
      <c r="BK2983" s="128"/>
      <c r="BL2983" s="128"/>
      <c r="BM2983" s="151"/>
      <c r="BN2983" s="128"/>
      <c r="BO2983" s="128"/>
      <c r="BP2983" s="128"/>
      <c r="BQ2983" s="128"/>
      <c r="BR2983" s="128"/>
      <c r="BS2983" s="128"/>
      <c r="BT2983" s="128"/>
      <c r="BU2983" s="128"/>
      <c r="BV2983" s="128"/>
      <c r="BW2983" s="128"/>
      <c r="BX2983" s="128"/>
      <c r="BY2983" s="128"/>
      <c r="BZ2983" s="128"/>
      <c r="CA2983" s="128"/>
      <c r="CB2983" s="128"/>
      <c r="CC2983" s="128"/>
      <c r="CD2983" s="128"/>
      <c r="CE2983" s="128"/>
      <c r="CF2983" s="128"/>
      <c r="CG2983" s="128"/>
      <c r="CI2983" s="128"/>
      <c r="CJ2983" s="128"/>
      <c r="CK2983" s="128"/>
      <c r="CL2983" s="128"/>
      <c r="CM2983" s="128"/>
      <c r="CN2983" s="128"/>
      <c r="CO2983" s="128"/>
      <c r="CP2983" s="128"/>
      <c r="CQ2983" s="128"/>
      <c r="CR2983" s="128"/>
      <c r="CS2983" s="128"/>
      <c r="CT2983" s="128"/>
      <c r="CU2983" s="128"/>
      <c r="CV2983" s="128"/>
      <c r="CW2983" s="128"/>
      <c r="CX2983" s="128"/>
      <c r="CY2983" s="128"/>
      <c r="CZ2983" s="165"/>
    </row>
    <row r="2984" spans="1:104">
      <c r="A2984" s="149"/>
      <c r="B2984" s="149"/>
      <c r="C2984" s="150"/>
      <c r="D2984" s="102"/>
      <c r="E2984" s="149"/>
      <c r="F2984" s="149"/>
      <c r="G2984" s="149"/>
      <c r="H2984" s="149"/>
      <c r="I2984" s="149"/>
      <c r="J2984" s="149"/>
      <c r="K2984" s="149"/>
      <c r="L2984" s="149"/>
      <c r="M2984" s="149"/>
      <c r="N2984" s="149"/>
      <c r="O2984" s="149"/>
      <c r="P2984" s="149"/>
      <c r="Q2984" s="149"/>
      <c r="R2984" s="149"/>
      <c r="S2984" s="149"/>
      <c r="T2984" s="149"/>
      <c r="U2984" s="149"/>
      <c r="V2984" s="149"/>
      <c r="W2984" s="149"/>
      <c r="X2984" s="149"/>
      <c r="Y2984" s="149"/>
      <c r="Z2984" s="149"/>
      <c r="AA2984" s="149"/>
      <c r="AB2984" s="149"/>
      <c r="AC2984" s="149"/>
      <c r="AD2984" s="149"/>
      <c r="AE2984" s="149"/>
      <c r="AF2984" s="149"/>
      <c r="AG2984" s="149"/>
      <c r="AH2984" s="149"/>
      <c r="AI2984" s="149"/>
      <c r="AJ2984" s="149"/>
      <c r="AK2984" s="149"/>
      <c r="AL2984" s="149"/>
      <c r="AM2984" s="149"/>
      <c r="AN2984" s="149"/>
      <c r="AO2984" s="128"/>
      <c r="AP2984" s="128"/>
      <c r="AQ2984" s="128"/>
      <c r="AR2984" s="128"/>
      <c r="AS2984" s="128"/>
      <c r="AT2984" s="128"/>
      <c r="AU2984" s="128"/>
      <c r="AV2984" s="128"/>
      <c r="AW2984" s="128"/>
      <c r="AX2984" s="128"/>
      <c r="AY2984" s="128"/>
      <c r="AZ2984" s="128"/>
      <c r="BA2984" s="128"/>
      <c r="BB2984" s="128"/>
      <c r="BC2984" s="128"/>
      <c r="BD2984" s="128"/>
      <c r="BE2984" s="128"/>
      <c r="BF2984" s="128"/>
      <c r="BG2984" s="128"/>
      <c r="BH2984" s="128"/>
      <c r="BI2984" s="128"/>
      <c r="BJ2984" s="128"/>
      <c r="BK2984" s="128"/>
      <c r="BL2984" s="128"/>
      <c r="BM2984" s="151"/>
      <c r="BN2984" s="128"/>
      <c r="BO2984" s="128"/>
      <c r="BP2984" s="128"/>
      <c r="BQ2984" s="128"/>
      <c r="BR2984" s="128"/>
      <c r="BS2984" s="128"/>
      <c r="BT2984" s="128"/>
      <c r="BU2984" s="128"/>
      <c r="BV2984" s="128"/>
      <c r="BW2984" s="128"/>
      <c r="BX2984" s="128"/>
      <c r="BY2984" s="128"/>
      <c r="BZ2984" s="128"/>
      <c r="CA2984" s="128"/>
      <c r="CB2984" s="128"/>
      <c r="CC2984" s="128"/>
      <c r="CD2984" s="128"/>
      <c r="CE2984" s="128"/>
      <c r="CF2984" s="128"/>
      <c r="CG2984" s="128"/>
      <c r="CI2984" s="128"/>
      <c r="CJ2984" s="128"/>
      <c r="CK2984" s="128"/>
      <c r="CL2984" s="128"/>
      <c r="CM2984" s="128"/>
      <c r="CN2984" s="128"/>
      <c r="CO2984" s="128"/>
      <c r="CP2984" s="128"/>
      <c r="CQ2984" s="128"/>
      <c r="CR2984" s="128"/>
      <c r="CS2984" s="128"/>
      <c r="CT2984" s="128"/>
      <c r="CU2984" s="128"/>
      <c r="CV2984" s="128"/>
      <c r="CW2984" s="128"/>
      <c r="CX2984" s="128"/>
      <c r="CY2984" s="128"/>
      <c r="CZ2984" s="165"/>
    </row>
    <row r="2985" spans="1:104">
      <c r="A2985" s="149"/>
      <c r="B2985" s="149"/>
      <c r="C2985" s="150"/>
      <c r="D2985" s="102"/>
      <c r="E2985" s="149"/>
      <c r="F2985" s="149"/>
      <c r="G2985" s="149"/>
      <c r="H2985" s="149"/>
      <c r="I2985" s="149"/>
      <c r="J2985" s="149"/>
      <c r="K2985" s="149"/>
      <c r="L2985" s="149"/>
      <c r="M2985" s="149"/>
      <c r="N2985" s="149"/>
      <c r="O2985" s="149"/>
      <c r="P2985" s="149"/>
      <c r="Q2985" s="149"/>
      <c r="R2985" s="149"/>
      <c r="S2985" s="149"/>
      <c r="T2985" s="149"/>
      <c r="U2985" s="149"/>
      <c r="V2985" s="149"/>
      <c r="W2985" s="149"/>
      <c r="X2985" s="149"/>
      <c r="Y2985" s="149"/>
      <c r="Z2985" s="149"/>
      <c r="AA2985" s="149"/>
      <c r="AB2985" s="149"/>
      <c r="AC2985" s="149"/>
      <c r="AD2985" s="149"/>
      <c r="AE2985" s="149"/>
      <c r="AF2985" s="149"/>
      <c r="AG2985" s="149"/>
      <c r="AH2985" s="149"/>
      <c r="AI2985" s="149"/>
      <c r="AJ2985" s="149"/>
      <c r="AK2985" s="149"/>
      <c r="AL2985" s="149"/>
      <c r="AM2985" s="149"/>
      <c r="AN2985" s="149"/>
      <c r="AO2985" s="128"/>
      <c r="AP2985" s="128"/>
      <c r="AQ2985" s="128"/>
      <c r="AR2985" s="128"/>
      <c r="AS2985" s="128"/>
      <c r="AT2985" s="128"/>
      <c r="AU2985" s="128"/>
      <c r="AV2985" s="128"/>
      <c r="AW2985" s="128"/>
      <c r="AX2985" s="128"/>
      <c r="AY2985" s="128"/>
      <c r="AZ2985" s="128"/>
      <c r="BA2985" s="128"/>
      <c r="BB2985" s="128"/>
      <c r="BC2985" s="128"/>
      <c r="BD2985" s="128"/>
      <c r="BE2985" s="128"/>
      <c r="BF2985" s="128"/>
      <c r="BG2985" s="128"/>
      <c r="BH2985" s="128"/>
      <c r="BI2985" s="128"/>
      <c r="BJ2985" s="128"/>
      <c r="BK2985" s="128"/>
      <c r="BL2985" s="128"/>
      <c r="BM2985" s="151"/>
      <c r="BN2985" s="128"/>
      <c r="BO2985" s="128"/>
      <c r="BP2985" s="128"/>
      <c r="BQ2985" s="128"/>
      <c r="BR2985" s="128"/>
      <c r="BS2985" s="128"/>
      <c r="BT2985" s="128"/>
      <c r="BU2985" s="128"/>
      <c r="BV2985" s="128"/>
      <c r="BW2985" s="128"/>
      <c r="BX2985" s="128"/>
      <c r="BY2985" s="128"/>
      <c r="BZ2985" s="128"/>
      <c r="CA2985" s="128"/>
      <c r="CB2985" s="128"/>
      <c r="CC2985" s="128"/>
      <c r="CD2985" s="128"/>
      <c r="CE2985" s="128"/>
      <c r="CF2985" s="128"/>
      <c r="CG2985" s="128"/>
      <c r="CI2985" s="128"/>
      <c r="CJ2985" s="128"/>
      <c r="CK2985" s="128"/>
      <c r="CL2985" s="128"/>
      <c r="CM2985" s="128"/>
      <c r="CN2985" s="128"/>
      <c r="CO2985" s="128"/>
      <c r="CP2985" s="128"/>
      <c r="CQ2985" s="128"/>
      <c r="CR2985" s="128"/>
      <c r="CS2985" s="128"/>
      <c r="CT2985" s="128"/>
      <c r="CU2985" s="128"/>
      <c r="CV2985" s="128"/>
      <c r="CW2985" s="128"/>
      <c r="CX2985" s="128"/>
      <c r="CY2985" s="128"/>
      <c r="CZ2985" s="165"/>
    </row>
    <row r="2986" spans="1:104">
      <c r="A2986" s="149"/>
      <c r="B2986" s="149"/>
      <c r="C2986" s="150"/>
      <c r="D2986" s="102"/>
      <c r="E2986" s="149"/>
      <c r="F2986" s="149"/>
      <c r="G2986" s="149"/>
      <c r="H2986" s="149"/>
      <c r="I2986" s="149"/>
      <c r="J2986" s="149"/>
      <c r="K2986" s="149"/>
      <c r="L2986" s="149"/>
      <c r="M2986" s="149"/>
      <c r="N2986" s="149"/>
      <c r="O2986" s="149"/>
      <c r="P2986" s="149"/>
      <c r="Q2986" s="149"/>
      <c r="R2986" s="149"/>
      <c r="S2986" s="149"/>
      <c r="T2986" s="149"/>
      <c r="U2986" s="149"/>
      <c r="V2986" s="149"/>
      <c r="W2986" s="149"/>
      <c r="X2986" s="149"/>
      <c r="Y2986" s="149"/>
      <c r="Z2986" s="149"/>
      <c r="AA2986" s="149"/>
      <c r="AB2986" s="149"/>
      <c r="AC2986" s="149"/>
      <c r="AD2986" s="149"/>
      <c r="AE2986" s="149"/>
      <c r="AF2986" s="149"/>
      <c r="AG2986" s="149"/>
      <c r="AH2986" s="149"/>
      <c r="AI2986" s="149"/>
      <c r="AJ2986" s="149"/>
      <c r="AK2986" s="149"/>
      <c r="AL2986" s="149"/>
      <c r="AM2986" s="149"/>
      <c r="AN2986" s="149"/>
      <c r="AO2986" s="128"/>
      <c r="AP2986" s="128"/>
      <c r="AQ2986" s="128"/>
      <c r="AR2986" s="128"/>
      <c r="AS2986" s="128"/>
      <c r="AT2986" s="128"/>
      <c r="AU2986" s="128"/>
      <c r="AV2986" s="128"/>
      <c r="AW2986" s="128"/>
      <c r="AX2986" s="128"/>
      <c r="AY2986" s="128"/>
      <c r="AZ2986" s="128"/>
      <c r="BA2986" s="128"/>
      <c r="BB2986" s="128"/>
      <c r="BC2986" s="128"/>
      <c r="BD2986" s="128"/>
      <c r="BE2986" s="128"/>
      <c r="BF2986" s="128"/>
      <c r="BG2986" s="128"/>
      <c r="BH2986" s="128"/>
      <c r="BI2986" s="128"/>
      <c r="BJ2986" s="128"/>
      <c r="BK2986" s="128"/>
      <c r="BL2986" s="128"/>
      <c r="BM2986" s="151"/>
      <c r="BN2986" s="128"/>
      <c r="BO2986" s="128"/>
      <c r="BP2986" s="128"/>
      <c r="BQ2986" s="128"/>
      <c r="BR2986" s="128"/>
      <c r="BS2986" s="128"/>
      <c r="BT2986" s="128"/>
      <c r="BU2986" s="128"/>
      <c r="BV2986" s="128"/>
      <c r="BW2986" s="128"/>
      <c r="BX2986" s="128"/>
      <c r="BY2986" s="128"/>
      <c r="BZ2986" s="128"/>
      <c r="CA2986" s="128"/>
      <c r="CB2986" s="128"/>
      <c r="CC2986" s="128"/>
      <c r="CD2986" s="128"/>
      <c r="CE2986" s="128"/>
      <c r="CF2986" s="128"/>
      <c r="CG2986" s="128"/>
      <c r="CI2986" s="128"/>
      <c r="CJ2986" s="128"/>
      <c r="CK2986" s="128"/>
      <c r="CL2986" s="128"/>
      <c r="CM2986" s="128"/>
      <c r="CN2986" s="128"/>
      <c r="CO2986" s="128"/>
      <c r="CP2986" s="128"/>
      <c r="CQ2986" s="128"/>
      <c r="CR2986" s="128"/>
      <c r="CS2986" s="128"/>
      <c r="CT2986" s="128"/>
      <c r="CU2986" s="128"/>
      <c r="CV2986" s="128"/>
      <c r="CW2986" s="128"/>
      <c r="CX2986" s="128"/>
      <c r="CY2986" s="128"/>
      <c r="CZ2986" s="165"/>
    </row>
    <row r="2987" spans="1:104">
      <c r="A2987" s="149"/>
      <c r="B2987" s="149"/>
      <c r="C2987" s="150"/>
      <c r="D2987" s="102"/>
      <c r="E2987" s="149"/>
      <c r="F2987" s="149"/>
      <c r="G2987" s="149"/>
      <c r="H2987" s="149"/>
      <c r="I2987" s="149"/>
      <c r="J2987" s="149"/>
      <c r="K2987" s="149"/>
      <c r="L2987" s="149"/>
      <c r="M2987" s="149"/>
      <c r="N2987" s="149"/>
      <c r="O2987" s="149"/>
      <c r="P2987" s="149"/>
      <c r="Q2987" s="149"/>
      <c r="R2987" s="149"/>
      <c r="S2987" s="149"/>
      <c r="T2987" s="149"/>
      <c r="U2987" s="149"/>
      <c r="V2987" s="149"/>
      <c r="W2987" s="149"/>
      <c r="X2987" s="149"/>
      <c r="Y2987" s="149"/>
      <c r="Z2987" s="149"/>
      <c r="AA2987" s="149"/>
      <c r="AB2987" s="149"/>
      <c r="AC2987" s="149"/>
      <c r="AD2987" s="149"/>
      <c r="AE2987" s="149"/>
      <c r="AF2987" s="149"/>
      <c r="AG2987" s="149"/>
      <c r="AH2987" s="149"/>
      <c r="AI2987" s="149"/>
      <c r="AJ2987" s="149"/>
      <c r="AK2987" s="149"/>
      <c r="AL2987" s="149"/>
      <c r="AM2987" s="149"/>
      <c r="AN2987" s="149"/>
      <c r="AO2987" s="128"/>
      <c r="AP2987" s="128"/>
      <c r="AQ2987" s="128"/>
      <c r="AR2987" s="128"/>
      <c r="AS2987" s="128"/>
      <c r="AT2987" s="128"/>
      <c r="AU2987" s="128"/>
      <c r="AV2987" s="128"/>
      <c r="AW2987" s="128"/>
      <c r="AX2987" s="128"/>
      <c r="AY2987" s="128"/>
      <c r="AZ2987" s="128"/>
      <c r="BA2987" s="128"/>
      <c r="BB2987" s="128"/>
      <c r="BC2987" s="128"/>
      <c r="BD2987" s="128"/>
      <c r="BE2987" s="128"/>
      <c r="BF2987" s="128"/>
      <c r="BG2987" s="128"/>
      <c r="BH2987" s="128"/>
      <c r="BI2987" s="128"/>
      <c r="BJ2987" s="128"/>
      <c r="BK2987" s="128"/>
      <c r="BL2987" s="128"/>
      <c r="BM2987" s="151"/>
      <c r="BN2987" s="128"/>
      <c r="BO2987" s="128"/>
      <c r="BP2987" s="128"/>
      <c r="BQ2987" s="128"/>
      <c r="BR2987" s="128"/>
      <c r="BS2987" s="128"/>
      <c r="BT2987" s="128"/>
      <c r="BU2987" s="128"/>
      <c r="BV2987" s="128"/>
      <c r="BW2987" s="128"/>
      <c r="BX2987" s="128"/>
      <c r="BY2987" s="128"/>
      <c r="BZ2987" s="128"/>
      <c r="CA2987" s="128"/>
      <c r="CB2987" s="128"/>
      <c r="CC2987" s="128"/>
      <c r="CD2987" s="128"/>
      <c r="CE2987" s="128"/>
      <c r="CF2987" s="128"/>
      <c r="CG2987" s="128"/>
      <c r="CI2987" s="128"/>
      <c r="CJ2987" s="128"/>
      <c r="CK2987" s="128"/>
      <c r="CL2987" s="128"/>
      <c r="CM2987" s="128"/>
      <c r="CN2987" s="128"/>
      <c r="CO2987" s="128"/>
      <c r="CP2987" s="128"/>
      <c r="CQ2987" s="128"/>
      <c r="CR2987" s="128"/>
      <c r="CS2987" s="128"/>
      <c r="CT2987" s="128"/>
      <c r="CU2987" s="128"/>
      <c r="CV2987" s="128"/>
      <c r="CW2987" s="128"/>
      <c r="CX2987" s="128"/>
      <c r="CY2987" s="128"/>
      <c r="CZ2987" s="165"/>
    </row>
    <row r="2988" spans="1:104">
      <c r="A2988" s="149"/>
      <c r="B2988" s="149"/>
      <c r="C2988" s="150"/>
      <c r="D2988" s="102"/>
      <c r="E2988" s="149"/>
      <c r="F2988" s="149"/>
      <c r="G2988" s="149"/>
      <c r="H2988" s="149"/>
      <c r="I2988" s="149"/>
      <c r="J2988" s="149"/>
      <c r="K2988" s="149"/>
      <c r="L2988" s="149"/>
      <c r="M2988" s="149"/>
      <c r="N2988" s="149"/>
      <c r="O2988" s="149"/>
      <c r="P2988" s="149"/>
      <c r="Q2988" s="149"/>
      <c r="R2988" s="149"/>
      <c r="S2988" s="149"/>
      <c r="T2988" s="149"/>
      <c r="U2988" s="149"/>
      <c r="V2988" s="149"/>
      <c r="W2988" s="149"/>
      <c r="X2988" s="149"/>
      <c r="Y2988" s="149"/>
      <c r="Z2988" s="149"/>
      <c r="AA2988" s="149"/>
      <c r="AB2988" s="149"/>
      <c r="AC2988" s="149"/>
      <c r="AD2988" s="149"/>
      <c r="AE2988" s="149"/>
      <c r="AF2988" s="149"/>
      <c r="AG2988" s="149"/>
      <c r="AH2988" s="149"/>
      <c r="AI2988" s="149"/>
      <c r="AJ2988" s="149"/>
      <c r="AK2988" s="149"/>
      <c r="AL2988" s="149"/>
      <c r="AM2988" s="149"/>
      <c r="AN2988" s="149"/>
      <c r="AO2988" s="128"/>
      <c r="AP2988" s="128"/>
      <c r="AQ2988" s="128"/>
      <c r="AR2988" s="128"/>
      <c r="AS2988" s="128"/>
      <c r="AT2988" s="128"/>
      <c r="AU2988" s="128"/>
      <c r="AV2988" s="128"/>
      <c r="AW2988" s="128"/>
      <c r="AX2988" s="128"/>
      <c r="AY2988" s="128"/>
      <c r="AZ2988" s="128"/>
      <c r="BA2988" s="128"/>
      <c r="BB2988" s="128"/>
      <c r="BC2988" s="128"/>
      <c r="BD2988" s="128"/>
      <c r="BE2988" s="128"/>
      <c r="BF2988" s="128"/>
      <c r="BG2988" s="128"/>
      <c r="BH2988" s="128"/>
      <c r="BI2988" s="128"/>
      <c r="BJ2988" s="128"/>
      <c r="BK2988" s="128"/>
      <c r="BL2988" s="128"/>
      <c r="BM2988" s="151"/>
      <c r="BN2988" s="128"/>
      <c r="BO2988" s="128"/>
      <c r="BP2988" s="128"/>
      <c r="BQ2988" s="128"/>
      <c r="BR2988" s="128"/>
      <c r="BS2988" s="128"/>
      <c r="BT2988" s="128"/>
      <c r="BU2988" s="128"/>
      <c r="BV2988" s="128"/>
      <c r="BW2988" s="128"/>
      <c r="BX2988" s="128"/>
      <c r="BY2988" s="128"/>
      <c r="BZ2988" s="128"/>
      <c r="CA2988" s="128"/>
      <c r="CB2988" s="128"/>
      <c r="CC2988" s="128"/>
      <c r="CD2988" s="128"/>
      <c r="CE2988" s="128"/>
      <c r="CF2988" s="128"/>
      <c r="CG2988" s="128"/>
      <c r="CI2988" s="128"/>
      <c r="CJ2988" s="128"/>
      <c r="CK2988" s="128"/>
      <c r="CL2988" s="128"/>
      <c r="CM2988" s="128"/>
      <c r="CN2988" s="128"/>
      <c r="CO2988" s="128"/>
      <c r="CP2988" s="128"/>
      <c r="CQ2988" s="128"/>
      <c r="CR2988" s="128"/>
      <c r="CS2988" s="128"/>
      <c r="CT2988" s="128"/>
      <c r="CU2988" s="128"/>
      <c r="CV2988" s="128"/>
      <c r="CW2988" s="128"/>
      <c r="CX2988" s="128"/>
      <c r="CY2988" s="128"/>
      <c r="CZ2988" s="165"/>
    </row>
    <row r="2989" spans="1:104">
      <c r="A2989" s="149"/>
      <c r="B2989" s="149"/>
      <c r="C2989" s="150"/>
      <c r="D2989" s="102"/>
      <c r="E2989" s="149"/>
      <c r="F2989" s="149"/>
      <c r="G2989" s="149"/>
      <c r="H2989" s="149"/>
      <c r="I2989" s="149"/>
      <c r="J2989" s="149"/>
      <c r="K2989" s="149"/>
      <c r="L2989" s="149"/>
      <c r="M2989" s="149"/>
      <c r="N2989" s="149"/>
      <c r="O2989" s="149"/>
      <c r="P2989" s="149"/>
      <c r="Q2989" s="149"/>
      <c r="R2989" s="149"/>
      <c r="S2989" s="149"/>
      <c r="T2989" s="149"/>
      <c r="U2989" s="149"/>
      <c r="V2989" s="149"/>
      <c r="W2989" s="149"/>
      <c r="X2989" s="149"/>
      <c r="Y2989" s="149"/>
      <c r="Z2989" s="149"/>
      <c r="AA2989" s="149"/>
      <c r="AB2989" s="149"/>
      <c r="AC2989" s="149"/>
      <c r="AD2989" s="149"/>
      <c r="AE2989" s="149"/>
      <c r="AF2989" s="149"/>
      <c r="AG2989" s="149"/>
      <c r="AH2989" s="149"/>
      <c r="AI2989" s="149"/>
      <c r="AJ2989" s="149"/>
      <c r="AK2989" s="149"/>
      <c r="AL2989" s="149"/>
      <c r="AM2989" s="149"/>
      <c r="AN2989" s="149"/>
      <c r="AO2989" s="128"/>
      <c r="AP2989" s="128"/>
      <c r="AQ2989" s="128"/>
      <c r="AR2989" s="128"/>
      <c r="AS2989" s="128"/>
      <c r="AT2989" s="128"/>
      <c r="AU2989" s="128"/>
      <c r="AV2989" s="128"/>
      <c r="AW2989" s="128"/>
      <c r="AX2989" s="128"/>
      <c r="AY2989" s="128"/>
      <c r="AZ2989" s="128"/>
      <c r="BA2989" s="128"/>
      <c r="BB2989" s="128"/>
      <c r="BC2989" s="128"/>
      <c r="BD2989" s="128"/>
      <c r="BE2989" s="128"/>
      <c r="BF2989" s="128"/>
      <c r="BG2989" s="128"/>
      <c r="BH2989" s="128"/>
      <c r="BI2989" s="128"/>
      <c r="BJ2989" s="128"/>
      <c r="BK2989" s="128"/>
      <c r="BL2989" s="128"/>
      <c r="BM2989" s="151"/>
      <c r="BN2989" s="128"/>
      <c r="BO2989" s="128"/>
      <c r="BP2989" s="128"/>
      <c r="BQ2989" s="128"/>
      <c r="BR2989" s="128"/>
      <c r="BS2989" s="128"/>
      <c r="BT2989" s="128"/>
      <c r="BU2989" s="128"/>
      <c r="BV2989" s="128"/>
      <c r="BW2989" s="128"/>
      <c r="BX2989" s="128"/>
      <c r="BY2989" s="128"/>
      <c r="BZ2989" s="128"/>
      <c r="CA2989" s="128"/>
      <c r="CB2989" s="128"/>
      <c r="CC2989" s="128"/>
      <c r="CD2989" s="128"/>
      <c r="CE2989" s="128"/>
      <c r="CF2989" s="128"/>
      <c r="CG2989" s="128"/>
      <c r="CI2989" s="128"/>
      <c r="CJ2989" s="128"/>
      <c r="CK2989" s="128"/>
      <c r="CL2989" s="128"/>
      <c r="CM2989" s="128"/>
      <c r="CN2989" s="128"/>
      <c r="CO2989" s="128"/>
      <c r="CP2989" s="128"/>
      <c r="CQ2989" s="128"/>
      <c r="CR2989" s="128"/>
      <c r="CS2989" s="128"/>
      <c r="CT2989" s="128"/>
      <c r="CU2989" s="128"/>
      <c r="CV2989" s="128"/>
      <c r="CW2989" s="128"/>
      <c r="CX2989" s="128"/>
      <c r="CY2989" s="128"/>
      <c r="CZ2989" s="165"/>
    </row>
    <row r="2990" spans="1:104">
      <c r="A2990" s="149"/>
      <c r="B2990" s="149"/>
      <c r="C2990" s="150"/>
      <c r="D2990" s="102"/>
      <c r="E2990" s="149"/>
      <c r="F2990" s="149"/>
      <c r="G2990" s="149"/>
      <c r="H2990" s="149"/>
      <c r="I2990" s="149"/>
      <c r="J2990" s="149"/>
      <c r="K2990" s="149"/>
      <c r="L2990" s="149"/>
      <c r="M2990" s="149"/>
      <c r="N2990" s="149"/>
      <c r="O2990" s="149"/>
      <c r="P2990" s="149"/>
      <c r="Q2990" s="149"/>
      <c r="R2990" s="149"/>
      <c r="S2990" s="149"/>
      <c r="T2990" s="149"/>
      <c r="U2990" s="149"/>
      <c r="V2990" s="149"/>
      <c r="W2990" s="149"/>
      <c r="X2990" s="149"/>
      <c r="Y2990" s="149"/>
      <c r="Z2990" s="149"/>
      <c r="AA2990" s="149"/>
      <c r="AB2990" s="149"/>
      <c r="AC2990" s="149"/>
      <c r="AD2990" s="149"/>
      <c r="AE2990" s="149"/>
      <c r="AF2990" s="149"/>
      <c r="AG2990" s="149"/>
      <c r="AH2990" s="149"/>
      <c r="AI2990" s="149"/>
      <c r="AJ2990" s="149"/>
      <c r="AK2990" s="149"/>
      <c r="AL2990" s="149"/>
      <c r="AM2990" s="149"/>
      <c r="AN2990" s="149"/>
      <c r="AO2990" s="128"/>
      <c r="AP2990" s="128"/>
      <c r="AQ2990" s="128"/>
      <c r="AR2990" s="128"/>
      <c r="AS2990" s="128"/>
      <c r="AT2990" s="128"/>
      <c r="AU2990" s="128"/>
      <c r="AV2990" s="128"/>
      <c r="AW2990" s="128"/>
      <c r="AX2990" s="128"/>
      <c r="AY2990" s="128"/>
      <c r="AZ2990" s="128"/>
      <c r="BA2990" s="128"/>
      <c r="BB2990" s="128"/>
      <c r="BC2990" s="128"/>
      <c r="BD2990" s="128"/>
      <c r="BE2990" s="128"/>
      <c r="BF2990" s="128"/>
      <c r="BG2990" s="128"/>
      <c r="BH2990" s="128"/>
      <c r="BI2990" s="128"/>
      <c r="BJ2990" s="128"/>
      <c r="BK2990" s="128"/>
      <c r="BL2990" s="128"/>
      <c r="BM2990" s="151"/>
      <c r="BN2990" s="128"/>
      <c r="BO2990" s="128"/>
      <c r="BP2990" s="128"/>
      <c r="BQ2990" s="128"/>
      <c r="BR2990" s="128"/>
      <c r="BS2990" s="128"/>
      <c r="BT2990" s="128"/>
      <c r="BU2990" s="128"/>
      <c r="BV2990" s="128"/>
      <c r="BW2990" s="128"/>
      <c r="BX2990" s="128"/>
      <c r="BY2990" s="128"/>
      <c r="BZ2990" s="128"/>
      <c r="CA2990" s="128"/>
      <c r="CB2990" s="128"/>
      <c r="CC2990" s="128"/>
      <c r="CD2990" s="128"/>
      <c r="CE2990" s="128"/>
      <c r="CF2990" s="128"/>
      <c r="CG2990" s="128"/>
      <c r="CI2990" s="128"/>
      <c r="CJ2990" s="128"/>
      <c r="CK2990" s="128"/>
      <c r="CL2990" s="128"/>
      <c r="CM2990" s="128"/>
      <c r="CN2990" s="128"/>
      <c r="CO2990" s="128"/>
      <c r="CP2990" s="128"/>
      <c r="CQ2990" s="128"/>
      <c r="CR2990" s="128"/>
      <c r="CS2990" s="128"/>
      <c r="CT2990" s="128"/>
      <c r="CU2990" s="128"/>
      <c r="CV2990" s="128"/>
      <c r="CW2990" s="128"/>
      <c r="CX2990" s="128"/>
      <c r="CY2990" s="128"/>
      <c r="CZ2990" s="165"/>
    </row>
    <row r="2991" spans="1:104">
      <c r="A2991" s="149"/>
      <c r="B2991" s="149"/>
      <c r="C2991" s="150"/>
      <c r="D2991" s="102"/>
      <c r="E2991" s="149"/>
      <c r="F2991" s="149"/>
      <c r="G2991" s="149"/>
      <c r="H2991" s="149"/>
      <c r="I2991" s="149"/>
      <c r="J2991" s="149"/>
      <c r="K2991" s="149"/>
      <c r="L2991" s="149"/>
      <c r="M2991" s="149"/>
      <c r="N2991" s="149"/>
      <c r="O2991" s="149"/>
      <c r="P2991" s="149"/>
      <c r="Q2991" s="149"/>
      <c r="R2991" s="149"/>
      <c r="S2991" s="149"/>
      <c r="T2991" s="149"/>
      <c r="U2991" s="149"/>
      <c r="V2991" s="149"/>
      <c r="W2991" s="149"/>
      <c r="X2991" s="149"/>
      <c r="Y2991" s="149"/>
      <c r="Z2991" s="149"/>
      <c r="AA2991" s="149"/>
      <c r="AB2991" s="149"/>
      <c r="AC2991" s="149"/>
      <c r="AD2991" s="149"/>
      <c r="AE2991" s="149"/>
      <c r="AF2991" s="149"/>
      <c r="AG2991" s="149"/>
      <c r="AH2991" s="149"/>
      <c r="AI2991" s="149"/>
      <c r="AJ2991" s="149"/>
      <c r="AK2991" s="149"/>
      <c r="AL2991" s="149"/>
      <c r="AM2991" s="149"/>
      <c r="AN2991" s="149"/>
      <c r="AO2991" s="128"/>
      <c r="AP2991" s="128"/>
      <c r="AQ2991" s="128"/>
      <c r="AR2991" s="128"/>
      <c r="AS2991" s="128"/>
      <c r="AT2991" s="128"/>
      <c r="AU2991" s="128"/>
      <c r="AV2991" s="128"/>
      <c r="AW2991" s="128"/>
      <c r="AX2991" s="128"/>
      <c r="AY2991" s="128"/>
      <c r="AZ2991" s="128"/>
      <c r="BA2991" s="128"/>
      <c r="BB2991" s="128"/>
      <c r="BC2991" s="128"/>
      <c r="BD2991" s="128"/>
      <c r="BE2991" s="128"/>
      <c r="BF2991" s="128"/>
      <c r="BG2991" s="128"/>
      <c r="BH2991" s="128"/>
      <c r="BI2991" s="128"/>
      <c r="BJ2991" s="128"/>
      <c r="BK2991" s="128"/>
      <c r="BL2991" s="128"/>
      <c r="BM2991" s="151"/>
      <c r="BN2991" s="128"/>
      <c r="BO2991" s="128"/>
      <c r="BP2991" s="128"/>
      <c r="BQ2991" s="128"/>
      <c r="BR2991" s="128"/>
      <c r="BS2991" s="128"/>
      <c r="BT2991" s="128"/>
      <c r="BU2991" s="128"/>
      <c r="BV2991" s="128"/>
      <c r="BW2991" s="128"/>
      <c r="BX2991" s="128"/>
      <c r="BY2991" s="128"/>
      <c r="BZ2991" s="128"/>
      <c r="CA2991" s="128"/>
      <c r="CB2991" s="128"/>
      <c r="CC2991" s="128"/>
      <c r="CD2991" s="128"/>
      <c r="CE2991" s="128"/>
      <c r="CF2991" s="128"/>
      <c r="CG2991" s="128"/>
      <c r="CI2991" s="128"/>
      <c r="CJ2991" s="128"/>
      <c r="CK2991" s="128"/>
      <c r="CL2991" s="128"/>
      <c r="CM2991" s="128"/>
      <c r="CN2991" s="128"/>
      <c r="CO2991" s="128"/>
      <c r="CP2991" s="128"/>
      <c r="CQ2991" s="128"/>
      <c r="CR2991" s="128"/>
      <c r="CS2991" s="128"/>
      <c r="CT2991" s="128"/>
      <c r="CU2991" s="128"/>
      <c r="CV2991" s="128"/>
      <c r="CW2991" s="128"/>
      <c r="CX2991" s="128"/>
      <c r="CY2991" s="128"/>
      <c r="CZ2991" s="165"/>
    </row>
    <row r="2992" spans="1:104">
      <c r="A2992" s="149"/>
      <c r="B2992" s="149"/>
      <c r="C2992" s="150"/>
      <c r="D2992" s="102"/>
      <c r="E2992" s="149"/>
      <c r="F2992" s="149"/>
      <c r="G2992" s="149"/>
      <c r="H2992" s="149"/>
      <c r="I2992" s="149"/>
      <c r="J2992" s="149"/>
      <c r="K2992" s="149"/>
      <c r="L2992" s="149"/>
      <c r="M2992" s="149"/>
      <c r="N2992" s="149"/>
      <c r="O2992" s="149"/>
      <c r="P2992" s="149"/>
      <c r="Q2992" s="149"/>
      <c r="R2992" s="149"/>
      <c r="S2992" s="149"/>
      <c r="T2992" s="149"/>
      <c r="U2992" s="149"/>
      <c r="V2992" s="149"/>
      <c r="W2992" s="149"/>
      <c r="X2992" s="149"/>
      <c r="Y2992" s="149"/>
      <c r="Z2992" s="149"/>
      <c r="AA2992" s="149"/>
      <c r="AB2992" s="149"/>
      <c r="AC2992" s="149"/>
      <c r="AD2992" s="149"/>
      <c r="AE2992" s="149"/>
      <c r="AF2992" s="149"/>
      <c r="AG2992" s="149"/>
      <c r="AH2992" s="149"/>
      <c r="AI2992" s="149"/>
      <c r="AJ2992" s="149"/>
      <c r="AK2992" s="149"/>
      <c r="AL2992" s="149"/>
      <c r="AM2992" s="149"/>
      <c r="AN2992" s="149"/>
      <c r="AO2992" s="128"/>
      <c r="AP2992" s="128"/>
      <c r="AQ2992" s="128"/>
      <c r="AR2992" s="128"/>
      <c r="AS2992" s="128"/>
      <c r="AT2992" s="128"/>
      <c r="AU2992" s="128"/>
      <c r="AV2992" s="128"/>
      <c r="AW2992" s="128"/>
      <c r="AX2992" s="128"/>
      <c r="AY2992" s="128"/>
      <c r="AZ2992" s="128"/>
      <c r="BA2992" s="128"/>
      <c r="BB2992" s="128"/>
      <c r="BC2992" s="128"/>
      <c r="BD2992" s="128"/>
      <c r="BE2992" s="128"/>
      <c r="BF2992" s="128"/>
      <c r="BG2992" s="128"/>
      <c r="BH2992" s="128"/>
      <c r="BI2992" s="128"/>
      <c r="BJ2992" s="128"/>
      <c r="BK2992" s="128"/>
      <c r="BL2992" s="128"/>
      <c r="BM2992" s="151"/>
      <c r="BN2992" s="128"/>
      <c r="BO2992" s="128"/>
      <c r="BP2992" s="128"/>
      <c r="BQ2992" s="128"/>
      <c r="BR2992" s="128"/>
      <c r="BS2992" s="128"/>
      <c r="BT2992" s="128"/>
      <c r="BU2992" s="128"/>
      <c r="BV2992" s="128"/>
      <c r="BW2992" s="128"/>
      <c r="BX2992" s="128"/>
      <c r="BY2992" s="128"/>
      <c r="BZ2992" s="128"/>
      <c r="CA2992" s="128"/>
      <c r="CB2992" s="128"/>
      <c r="CC2992" s="128"/>
      <c r="CD2992" s="128"/>
      <c r="CE2992" s="128"/>
      <c r="CF2992" s="128"/>
      <c r="CG2992" s="128"/>
      <c r="CI2992" s="128"/>
      <c r="CJ2992" s="128"/>
      <c r="CK2992" s="128"/>
      <c r="CL2992" s="128"/>
      <c r="CM2992" s="128"/>
      <c r="CN2992" s="128"/>
      <c r="CO2992" s="128"/>
      <c r="CP2992" s="128"/>
      <c r="CQ2992" s="128"/>
      <c r="CR2992" s="128"/>
      <c r="CS2992" s="128"/>
      <c r="CT2992" s="128"/>
      <c r="CU2992" s="128"/>
      <c r="CV2992" s="128"/>
      <c r="CW2992" s="128"/>
      <c r="CX2992" s="128"/>
      <c r="CY2992" s="128"/>
      <c r="CZ2992" s="165"/>
    </row>
    <row r="2993" spans="1:104">
      <c r="A2993" s="149"/>
      <c r="B2993" s="149"/>
      <c r="C2993" s="150"/>
      <c r="D2993" s="102"/>
      <c r="E2993" s="149"/>
      <c r="F2993" s="149"/>
      <c r="G2993" s="149"/>
      <c r="H2993" s="149"/>
      <c r="I2993" s="149"/>
      <c r="J2993" s="149"/>
      <c r="K2993" s="149"/>
      <c r="L2993" s="149"/>
      <c r="M2993" s="149"/>
      <c r="N2993" s="149"/>
      <c r="O2993" s="149"/>
      <c r="P2993" s="149"/>
      <c r="Q2993" s="149"/>
      <c r="R2993" s="149"/>
      <c r="S2993" s="149"/>
      <c r="T2993" s="149"/>
      <c r="U2993" s="149"/>
      <c r="V2993" s="149"/>
      <c r="W2993" s="149"/>
      <c r="X2993" s="149"/>
      <c r="Y2993" s="149"/>
      <c r="Z2993" s="149"/>
      <c r="AA2993" s="149"/>
      <c r="AB2993" s="149"/>
      <c r="AC2993" s="149"/>
      <c r="AD2993" s="149"/>
      <c r="AE2993" s="149"/>
      <c r="AF2993" s="149"/>
      <c r="AG2993" s="149"/>
      <c r="AH2993" s="149"/>
      <c r="AI2993" s="149"/>
      <c r="AJ2993" s="149"/>
      <c r="AK2993" s="149"/>
      <c r="AL2993" s="149"/>
      <c r="AM2993" s="149"/>
      <c r="AN2993" s="149"/>
      <c r="AO2993" s="128"/>
      <c r="AP2993" s="128"/>
      <c r="AQ2993" s="128"/>
      <c r="AR2993" s="128"/>
      <c r="AS2993" s="128"/>
      <c r="AT2993" s="128"/>
      <c r="AU2993" s="128"/>
      <c r="AV2993" s="128"/>
      <c r="AW2993" s="128"/>
      <c r="AX2993" s="128"/>
      <c r="AY2993" s="128"/>
      <c r="AZ2993" s="128"/>
      <c r="BA2993" s="128"/>
      <c r="BB2993" s="128"/>
      <c r="BC2993" s="128"/>
      <c r="BD2993" s="128"/>
      <c r="BE2993" s="128"/>
      <c r="BF2993" s="128"/>
      <c r="BG2993" s="128"/>
      <c r="BH2993" s="128"/>
      <c r="BI2993" s="128"/>
      <c r="BJ2993" s="128"/>
      <c r="BK2993" s="128"/>
      <c r="BL2993" s="128"/>
      <c r="BM2993" s="151"/>
      <c r="BN2993" s="128"/>
      <c r="BO2993" s="128"/>
      <c r="BP2993" s="128"/>
      <c r="BQ2993" s="128"/>
      <c r="BR2993" s="128"/>
      <c r="BS2993" s="128"/>
      <c r="BT2993" s="128"/>
      <c r="BU2993" s="128"/>
      <c r="BV2993" s="128"/>
      <c r="BW2993" s="128"/>
      <c r="BX2993" s="128"/>
      <c r="BY2993" s="128"/>
      <c r="BZ2993" s="128"/>
      <c r="CA2993" s="128"/>
      <c r="CB2993" s="128"/>
      <c r="CC2993" s="128"/>
      <c r="CD2993" s="128"/>
      <c r="CE2993" s="128"/>
      <c r="CF2993" s="128"/>
      <c r="CG2993" s="128"/>
      <c r="CI2993" s="128"/>
      <c r="CJ2993" s="128"/>
      <c r="CK2993" s="128"/>
      <c r="CL2993" s="128"/>
      <c r="CM2993" s="128"/>
      <c r="CN2993" s="128"/>
      <c r="CO2993" s="128"/>
      <c r="CP2993" s="128"/>
      <c r="CQ2993" s="128"/>
      <c r="CR2993" s="128"/>
      <c r="CS2993" s="128"/>
      <c r="CT2993" s="128"/>
      <c r="CU2993" s="128"/>
      <c r="CV2993" s="128"/>
      <c r="CW2993" s="128"/>
      <c r="CX2993" s="128"/>
      <c r="CY2993" s="128"/>
      <c r="CZ2993" s="165"/>
    </row>
    <row r="2994" spans="1:104">
      <c r="A2994" s="149"/>
      <c r="B2994" s="149"/>
      <c r="C2994" s="150"/>
      <c r="D2994" s="102"/>
      <c r="E2994" s="149"/>
      <c r="F2994" s="149"/>
      <c r="G2994" s="149"/>
      <c r="H2994" s="149"/>
      <c r="I2994" s="149"/>
      <c r="J2994" s="149"/>
      <c r="K2994" s="149"/>
      <c r="L2994" s="149"/>
      <c r="M2994" s="149"/>
      <c r="N2994" s="149"/>
      <c r="O2994" s="149"/>
      <c r="P2994" s="149"/>
      <c r="Q2994" s="149"/>
      <c r="R2994" s="149"/>
      <c r="S2994" s="149"/>
      <c r="T2994" s="149"/>
      <c r="U2994" s="149"/>
      <c r="V2994" s="149"/>
      <c r="W2994" s="149"/>
      <c r="X2994" s="149"/>
      <c r="Y2994" s="149"/>
      <c r="Z2994" s="149"/>
      <c r="AA2994" s="149"/>
      <c r="AB2994" s="149"/>
      <c r="AC2994" s="149"/>
      <c r="AD2994" s="149"/>
      <c r="AE2994" s="149"/>
      <c r="AF2994" s="149"/>
      <c r="AG2994" s="149"/>
      <c r="AH2994" s="149"/>
      <c r="AI2994" s="149"/>
      <c r="AJ2994" s="149"/>
      <c r="AK2994" s="149"/>
      <c r="AL2994" s="149"/>
      <c r="AM2994" s="149"/>
      <c r="AN2994" s="149"/>
      <c r="AO2994" s="128"/>
      <c r="AP2994" s="128"/>
      <c r="AQ2994" s="128"/>
      <c r="AR2994" s="128"/>
      <c r="AS2994" s="128"/>
      <c r="AT2994" s="128"/>
      <c r="AU2994" s="128"/>
      <c r="AV2994" s="128"/>
      <c r="AW2994" s="128"/>
      <c r="AX2994" s="128"/>
      <c r="AY2994" s="128"/>
      <c r="AZ2994" s="128"/>
      <c r="BA2994" s="128"/>
      <c r="BB2994" s="128"/>
      <c r="BC2994" s="128"/>
      <c r="BD2994" s="128"/>
      <c r="BE2994" s="128"/>
      <c r="BF2994" s="128"/>
      <c r="BG2994" s="128"/>
      <c r="BH2994" s="128"/>
      <c r="BI2994" s="128"/>
      <c r="BJ2994" s="128"/>
      <c r="BK2994" s="128"/>
      <c r="BL2994" s="128"/>
      <c r="BM2994" s="151"/>
      <c r="BN2994" s="128"/>
      <c r="BO2994" s="128"/>
      <c r="BP2994" s="128"/>
      <c r="BQ2994" s="128"/>
      <c r="BR2994" s="128"/>
      <c r="BS2994" s="128"/>
      <c r="BT2994" s="128"/>
      <c r="BU2994" s="128"/>
      <c r="BV2994" s="128"/>
      <c r="BW2994" s="128"/>
      <c r="BX2994" s="128"/>
      <c r="BY2994" s="128"/>
      <c r="BZ2994" s="128"/>
      <c r="CA2994" s="128"/>
      <c r="CB2994" s="128"/>
      <c r="CC2994" s="128"/>
      <c r="CD2994" s="128"/>
      <c r="CE2994" s="128"/>
      <c r="CF2994" s="128"/>
      <c r="CG2994" s="128"/>
      <c r="CI2994" s="128"/>
      <c r="CJ2994" s="128"/>
      <c r="CK2994" s="128"/>
      <c r="CL2994" s="128"/>
      <c r="CM2994" s="128"/>
      <c r="CN2994" s="128"/>
      <c r="CO2994" s="128"/>
      <c r="CP2994" s="128"/>
      <c r="CQ2994" s="128"/>
      <c r="CR2994" s="128"/>
      <c r="CS2994" s="128"/>
      <c r="CT2994" s="128"/>
      <c r="CU2994" s="128"/>
      <c r="CV2994" s="128"/>
      <c r="CW2994" s="128"/>
      <c r="CX2994" s="128"/>
      <c r="CY2994" s="128"/>
      <c r="CZ2994" s="165"/>
    </row>
    <row r="2995" spans="1:104">
      <c r="A2995" s="149"/>
      <c r="B2995" s="149"/>
      <c r="C2995" s="150"/>
      <c r="D2995" s="102"/>
      <c r="E2995" s="149"/>
      <c r="F2995" s="149"/>
      <c r="G2995" s="149"/>
      <c r="H2995" s="149"/>
      <c r="I2995" s="149"/>
      <c r="J2995" s="149"/>
      <c r="K2995" s="149"/>
      <c r="L2995" s="149"/>
      <c r="M2995" s="149"/>
      <c r="N2995" s="149"/>
      <c r="O2995" s="149"/>
      <c r="P2995" s="149"/>
      <c r="Q2995" s="149"/>
      <c r="R2995" s="149"/>
      <c r="S2995" s="149"/>
      <c r="T2995" s="149"/>
      <c r="U2995" s="149"/>
      <c r="V2995" s="149"/>
      <c r="W2995" s="149"/>
      <c r="X2995" s="149"/>
      <c r="Y2995" s="149"/>
      <c r="Z2995" s="149"/>
      <c r="AA2995" s="149"/>
      <c r="AB2995" s="149"/>
      <c r="AC2995" s="149"/>
      <c r="AD2995" s="149"/>
      <c r="AE2995" s="149"/>
      <c r="AF2995" s="149"/>
      <c r="AG2995" s="149"/>
      <c r="AH2995" s="149"/>
      <c r="AI2995" s="149"/>
      <c r="AJ2995" s="149"/>
      <c r="AK2995" s="149"/>
      <c r="AL2995" s="149"/>
      <c r="AM2995" s="149"/>
      <c r="AN2995" s="149"/>
      <c r="AO2995" s="128"/>
      <c r="AP2995" s="128"/>
      <c r="AQ2995" s="128"/>
      <c r="AR2995" s="128"/>
      <c r="AS2995" s="128"/>
      <c r="AT2995" s="128"/>
      <c r="AU2995" s="128"/>
      <c r="AV2995" s="128"/>
      <c r="AW2995" s="128"/>
      <c r="AX2995" s="128"/>
      <c r="AY2995" s="128"/>
      <c r="AZ2995" s="128"/>
      <c r="BA2995" s="128"/>
      <c r="BB2995" s="128"/>
      <c r="BC2995" s="128"/>
      <c r="BD2995" s="128"/>
      <c r="BE2995" s="128"/>
      <c r="BF2995" s="128"/>
      <c r="BG2995" s="128"/>
      <c r="BH2995" s="128"/>
      <c r="BI2995" s="128"/>
      <c r="BJ2995" s="128"/>
      <c r="BK2995" s="128"/>
      <c r="BL2995" s="128"/>
      <c r="BM2995" s="151"/>
      <c r="BN2995" s="128"/>
      <c r="BO2995" s="128"/>
      <c r="BP2995" s="128"/>
      <c r="BQ2995" s="128"/>
      <c r="BR2995" s="128"/>
      <c r="BS2995" s="128"/>
      <c r="BT2995" s="128"/>
      <c r="BU2995" s="128"/>
      <c r="BV2995" s="128"/>
      <c r="BW2995" s="128"/>
      <c r="BX2995" s="128"/>
      <c r="BY2995" s="128"/>
      <c r="BZ2995" s="128"/>
      <c r="CA2995" s="128"/>
      <c r="CB2995" s="128"/>
      <c r="CC2995" s="128"/>
      <c r="CD2995" s="128"/>
      <c r="CE2995" s="128"/>
      <c r="CF2995" s="128"/>
      <c r="CG2995" s="128"/>
      <c r="CI2995" s="128"/>
      <c r="CJ2995" s="128"/>
      <c r="CK2995" s="128"/>
      <c r="CL2995" s="128"/>
      <c r="CM2995" s="128"/>
      <c r="CN2995" s="128"/>
      <c r="CO2995" s="128"/>
      <c r="CP2995" s="128"/>
      <c r="CQ2995" s="128"/>
      <c r="CR2995" s="128"/>
      <c r="CS2995" s="128"/>
      <c r="CT2995" s="128"/>
      <c r="CU2995" s="128"/>
      <c r="CV2995" s="128"/>
      <c r="CW2995" s="128"/>
      <c r="CX2995" s="128"/>
      <c r="CY2995" s="128"/>
      <c r="CZ2995" s="165"/>
    </row>
    <row r="2996" spans="1:104">
      <c r="A2996" s="149"/>
      <c r="B2996" s="149"/>
      <c r="C2996" s="150"/>
      <c r="D2996" s="102"/>
      <c r="E2996" s="149"/>
      <c r="F2996" s="149"/>
      <c r="G2996" s="149"/>
      <c r="H2996" s="149"/>
      <c r="I2996" s="149"/>
      <c r="J2996" s="149"/>
      <c r="K2996" s="149"/>
      <c r="L2996" s="149"/>
      <c r="M2996" s="149"/>
      <c r="N2996" s="149"/>
      <c r="O2996" s="149"/>
      <c r="P2996" s="149"/>
      <c r="Q2996" s="149"/>
      <c r="R2996" s="149"/>
      <c r="S2996" s="149"/>
      <c r="T2996" s="149"/>
      <c r="U2996" s="149"/>
      <c r="V2996" s="149"/>
      <c r="W2996" s="149"/>
      <c r="X2996" s="149"/>
      <c r="Y2996" s="149"/>
      <c r="Z2996" s="149"/>
      <c r="AA2996" s="149"/>
      <c r="AB2996" s="149"/>
      <c r="AC2996" s="149"/>
      <c r="AD2996" s="149"/>
      <c r="AE2996" s="149"/>
      <c r="AF2996" s="149"/>
      <c r="AG2996" s="149"/>
      <c r="AH2996" s="149"/>
      <c r="AI2996" s="149"/>
      <c r="AJ2996" s="149"/>
      <c r="AK2996" s="149"/>
      <c r="AL2996" s="149"/>
      <c r="AM2996" s="149"/>
      <c r="AN2996" s="149"/>
      <c r="AO2996" s="128"/>
      <c r="AP2996" s="128"/>
      <c r="AQ2996" s="128"/>
      <c r="AR2996" s="128"/>
      <c r="AS2996" s="128"/>
      <c r="AT2996" s="128"/>
      <c r="AU2996" s="128"/>
      <c r="AV2996" s="128"/>
      <c r="AW2996" s="128"/>
      <c r="AX2996" s="128"/>
      <c r="AY2996" s="128"/>
      <c r="AZ2996" s="128"/>
      <c r="BA2996" s="128"/>
      <c r="BB2996" s="128"/>
      <c r="BC2996" s="128"/>
      <c r="BD2996" s="128"/>
      <c r="BE2996" s="128"/>
      <c r="BF2996" s="128"/>
      <c r="BG2996" s="128"/>
      <c r="BH2996" s="128"/>
      <c r="BI2996" s="128"/>
      <c r="BJ2996" s="128"/>
      <c r="BK2996" s="128"/>
      <c r="BL2996" s="128"/>
      <c r="BM2996" s="151"/>
      <c r="BN2996" s="128"/>
      <c r="BO2996" s="128"/>
      <c r="BP2996" s="128"/>
      <c r="BQ2996" s="128"/>
      <c r="BR2996" s="128"/>
      <c r="BS2996" s="128"/>
      <c r="BT2996" s="128"/>
      <c r="BU2996" s="128"/>
      <c r="BV2996" s="128"/>
      <c r="BW2996" s="128"/>
      <c r="BX2996" s="128"/>
      <c r="BY2996" s="128"/>
      <c r="BZ2996" s="128"/>
      <c r="CA2996" s="128"/>
      <c r="CB2996" s="128"/>
      <c r="CC2996" s="128"/>
      <c r="CD2996" s="128"/>
      <c r="CE2996" s="128"/>
      <c r="CF2996" s="128"/>
      <c r="CG2996" s="128"/>
      <c r="CI2996" s="128"/>
      <c r="CJ2996" s="128"/>
      <c r="CK2996" s="128"/>
      <c r="CL2996" s="128"/>
      <c r="CM2996" s="128"/>
      <c r="CN2996" s="128"/>
      <c r="CO2996" s="128"/>
      <c r="CP2996" s="128"/>
      <c r="CQ2996" s="128"/>
      <c r="CR2996" s="128"/>
      <c r="CS2996" s="128"/>
      <c r="CT2996" s="128"/>
      <c r="CU2996" s="128"/>
      <c r="CV2996" s="128"/>
      <c r="CW2996" s="128"/>
      <c r="CX2996" s="128"/>
      <c r="CY2996" s="128"/>
      <c r="CZ2996" s="165"/>
    </row>
    <row r="2997" spans="1:104">
      <c r="A2997" s="149"/>
      <c r="B2997" s="149"/>
      <c r="C2997" s="150"/>
      <c r="D2997" s="102"/>
      <c r="E2997" s="149"/>
      <c r="F2997" s="149"/>
      <c r="G2997" s="149"/>
      <c r="H2997" s="149"/>
      <c r="I2997" s="149"/>
      <c r="J2997" s="149"/>
      <c r="K2997" s="149"/>
      <c r="L2997" s="149"/>
      <c r="M2997" s="149"/>
      <c r="N2997" s="149"/>
      <c r="O2997" s="149"/>
      <c r="P2997" s="149"/>
      <c r="Q2997" s="149"/>
      <c r="R2997" s="149"/>
      <c r="S2997" s="149"/>
      <c r="T2997" s="149"/>
      <c r="U2997" s="149"/>
      <c r="V2997" s="149"/>
      <c r="W2997" s="149"/>
      <c r="X2997" s="149"/>
      <c r="Y2997" s="149"/>
      <c r="Z2997" s="149"/>
      <c r="AA2997" s="149"/>
      <c r="AB2997" s="149"/>
      <c r="AC2997" s="149"/>
      <c r="AD2997" s="149"/>
      <c r="AE2997" s="149"/>
      <c r="AF2997" s="149"/>
      <c r="AG2997" s="149"/>
      <c r="AH2997" s="149"/>
      <c r="AI2997" s="149"/>
      <c r="AJ2997" s="149"/>
      <c r="AK2997" s="149"/>
      <c r="AL2997" s="149"/>
      <c r="AM2997" s="149"/>
      <c r="AN2997" s="149"/>
      <c r="AO2997" s="128"/>
      <c r="AP2997" s="128"/>
      <c r="AQ2997" s="128"/>
      <c r="AR2997" s="128"/>
      <c r="AS2997" s="128"/>
      <c r="AT2997" s="128"/>
      <c r="AU2997" s="128"/>
      <c r="AV2997" s="128"/>
      <c r="AW2997" s="128"/>
      <c r="AX2997" s="128"/>
      <c r="AY2997" s="128"/>
      <c r="AZ2997" s="128"/>
      <c r="BA2997" s="128"/>
      <c r="BB2997" s="128"/>
      <c r="BC2997" s="128"/>
      <c r="BD2997" s="128"/>
      <c r="BE2997" s="128"/>
      <c r="BF2997" s="128"/>
      <c r="BG2997" s="128"/>
      <c r="BH2997" s="128"/>
      <c r="BI2997" s="128"/>
      <c r="BJ2997" s="128"/>
      <c r="BK2997" s="128"/>
      <c r="BL2997" s="128"/>
      <c r="BM2997" s="151"/>
      <c r="BN2997" s="128"/>
      <c r="BO2997" s="128"/>
      <c r="BP2997" s="128"/>
      <c r="BQ2997" s="128"/>
      <c r="BR2997" s="128"/>
      <c r="BS2997" s="128"/>
      <c r="BT2997" s="128"/>
      <c r="BU2997" s="128"/>
      <c r="BV2997" s="128"/>
      <c r="BW2997" s="128"/>
      <c r="BX2997" s="128"/>
      <c r="BY2997" s="128"/>
      <c r="BZ2997" s="128"/>
      <c r="CA2997" s="128"/>
      <c r="CB2997" s="128"/>
      <c r="CC2997" s="128"/>
      <c r="CD2997" s="128"/>
      <c r="CE2997" s="128"/>
      <c r="CF2997" s="128"/>
      <c r="CG2997" s="128"/>
      <c r="CI2997" s="128"/>
      <c r="CJ2997" s="128"/>
      <c r="CK2997" s="128"/>
      <c r="CL2997" s="128"/>
      <c r="CM2997" s="128"/>
      <c r="CN2997" s="128"/>
      <c r="CO2997" s="128"/>
      <c r="CP2997" s="128"/>
      <c r="CQ2997" s="128"/>
      <c r="CR2997" s="128"/>
      <c r="CS2997" s="128"/>
      <c r="CT2997" s="128"/>
      <c r="CU2997" s="128"/>
      <c r="CV2997" s="128"/>
      <c r="CW2997" s="128"/>
      <c r="CX2997" s="128"/>
      <c r="CY2997" s="128"/>
      <c r="CZ2997" s="165"/>
    </row>
    <row r="2998" spans="1:104">
      <c r="A2998" s="149"/>
      <c r="B2998" s="149"/>
      <c r="C2998" s="150"/>
      <c r="D2998" s="102"/>
      <c r="E2998" s="149"/>
      <c r="F2998" s="149"/>
      <c r="G2998" s="149"/>
      <c r="H2998" s="149"/>
      <c r="I2998" s="149"/>
      <c r="J2998" s="149"/>
      <c r="K2998" s="149"/>
      <c r="L2998" s="149"/>
      <c r="M2998" s="149"/>
      <c r="N2998" s="149"/>
      <c r="O2998" s="149"/>
      <c r="P2998" s="149"/>
      <c r="Q2998" s="149"/>
      <c r="R2998" s="149"/>
      <c r="S2998" s="149"/>
      <c r="T2998" s="149"/>
      <c r="U2998" s="149"/>
      <c r="V2998" s="149"/>
      <c r="W2998" s="149"/>
      <c r="X2998" s="149"/>
      <c r="Y2998" s="149"/>
      <c r="Z2998" s="149"/>
      <c r="AA2998" s="149"/>
      <c r="AB2998" s="149"/>
      <c r="AC2998" s="149"/>
      <c r="AD2998" s="149"/>
      <c r="AE2998" s="149"/>
      <c r="AF2998" s="149"/>
      <c r="AG2998" s="149"/>
      <c r="AH2998" s="149"/>
      <c r="AI2998" s="149"/>
      <c r="AJ2998" s="149"/>
      <c r="AK2998" s="149"/>
      <c r="AL2998" s="149"/>
      <c r="AM2998" s="149"/>
      <c r="AN2998" s="149"/>
      <c r="AO2998" s="128"/>
      <c r="AP2998" s="128"/>
      <c r="AQ2998" s="128"/>
      <c r="AR2998" s="128"/>
      <c r="AS2998" s="128"/>
      <c r="AT2998" s="128"/>
      <c r="AU2998" s="128"/>
      <c r="AV2998" s="128"/>
      <c r="AW2998" s="128"/>
      <c r="AX2998" s="128"/>
      <c r="AY2998" s="128"/>
      <c r="AZ2998" s="128"/>
      <c r="BA2998" s="128"/>
      <c r="BB2998" s="128"/>
      <c r="BC2998" s="128"/>
      <c r="BD2998" s="128"/>
      <c r="BE2998" s="128"/>
      <c r="BF2998" s="128"/>
      <c r="BG2998" s="128"/>
      <c r="BH2998" s="128"/>
      <c r="BI2998" s="128"/>
      <c r="BJ2998" s="128"/>
      <c r="BK2998" s="128"/>
      <c r="BL2998" s="128"/>
      <c r="BM2998" s="151"/>
      <c r="BN2998" s="128"/>
      <c r="BO2998" s="128"/>
      <c r="BP2998" s="128"/>
      <c r="BQ2998" s="128"/>
      <c r="BR2998" s="128"/>
      <c r="BS2998" s="128"/>
      <c r="BT2998" s="128"/>
      <c r="BU2998" s="128"/>
      <c r="BV2998" s="128"/>
      <c r="BW2998" s="128"/>
      <c r="BX2998" s="128"/>
      <c r="BY2998" s="128"/>
      <c r="BZ2998" s="128"/>
      <c r="CA2998" s="128"/>
      <c r="CB2998" s="128"/>
      <c r="CC2998" s="128"/>
      <c r="CD2998" s="128"/>
      <c r="CE2998" s="128"/>
      <c r="CF2998" s="128"/>
      <c r="CG2998" s="128"/>
      <c r="CI2998" s="128"/>
      <c r="CJ2998" s="128"/>
      <c r="CK2998" s="128"/>
      <c r="CL2998" s="128"/>
      <c r="CM2998" s="128"/>
      <c r="CN2998" s="128"/>
      <c r="CO2998" s="128"/>
      <c r="CP2998" s="128"/>
      <c r="CQ2998" s="128"/>
      <c r="CR2998" s="128"/>
      <c r="CS2998" s="128"/>
      <c r="CT2998" s="128"/>
      <c r="CU2998" s="128"/>
      <c r="CV2998" s="128"/>
      <c r="CW2998" s="128"/>
      <c r="CX2998" s="128"/>
      <c r="CY2998" s="128"/>
      <c r="CZ2998" s="165"/>
    </row>
    <row r="2999" spans="1:104">
      <c r="A2999" s="149"/>
      <c r="B2999" s="149"/>
      <c r="C2999" s="150"/>
      <c r="D2999" s="102"/>
      <c r="E2999" s="149"/>
      <c r="F2999" s="149"/>
      <c r="G2999" s="149"/>
      <c r="H2999" s="149"/>
      <c r="I2999" s="149"/>
      <c r="J2999" s="149"/>
      <c r="K2999" s="149"/>
      <c r="L2999" s="149"/>
      <c r="M2999" s="149"/>
      <c r="N2999" s="149"/>
      <c r="O2999" s="149"/>
      <c r="P2999" s="149"/>
      <c r="Q2999" s="149"/>
      <c r="R2999" s="149"/>
      <c r="S2999" s="149"/>
      <c r="T2999" s="149"/>
      <c r="U2999" s="149"/>
      <c r="V2999" s="149"/>
      <c r="W2999" s="149"/>
      <c r="X2999" s="149"/>
      <c r="Y2999" s="149"/>
      <c r="Z2999" s="149"/>
      <c r="AA2999" s="149"/>
      <c r="AB2999" s="149"/>
      <c r="AC2999" s="149"/>
      <c r="AD2999" s="149"/>
      <c r="AE2999" s="149"/>
      <c r="AF2999" s="149"/>
      <c r="AG2999" s="149"/>
      <c r="AH2999" s="149"/>
      <c r="AI2999" s="149"/>
      <c r="AJ2999" s="149"/>
      <c r="AK2999" s="149"/>
      <c r="AL2999" s="149"/>
      <c r="AM2999" s="149"/>
      <c r="AN2999" s="149"/>
      <c r="AO2999" s="128"/>
      <c r="AP2999" s="128"/>
      <c r="AQ2999" s="128"/>
      <c r="AR2999" s="128"/>
      <c r="AS2999" s="128"/>
      <c r="AT2999" s="128"/>
      <c r="AU2999" s="128"/>
      <c r="AV2999" s="128"/>
      <c r="AW2999" s="128"/>
      <c r="AX2999" s="128"/>
      <c r="AY2999" s="128"/>
      <c r="AZ2999" s="128"/>
      <c r="BA2999" s="128"/>
      <c r="BB2999" s="128"/>
      <c r="BC2999" s="128"/>
      <c r="BD2999" s="128"/>
      <c r="BE2999" s="128"/>
      <c r="BF2999" s="128"/>
      <c r="BG2999" s="128"/>
      <c r="BH2999" s="128"/>
      <c r="BI2999" s="128"/>
      <c r="BJ2999" s="128"/>
      <c r="BK2999" s="128"/>
      <c r="BL2999" s="128"/>
      <c r="BM2999" s="151"/>
      <c r="BN2999" s="128"/>
      <c r="BO2999" s="128"/>
      <c r="BP2999" s="128"/>
      <c r="BQ2999" s="128"/>
      <c r="BR2999" s="128"/>
      <c r="BS2999" s="128"/>
      <c r="BT2999" s="128"/>
      <c r="BU2999" s="128"/>
      <c r="BV2999" s="128"/>
      <c r="BW2999" s="128"/>
      <c r="BX2999" s="128"/>
      <c r="BY2999" s="128"/>
      <c r="BZ2999" s="128"/>
      <c r="CA2999" s="128"/>
      <c r="CB2999" s="128"/>
      <c r="CC2999" s="128"/>
      <c r="CD2999" s="128"/>
      <c r="CE2999" s="128"/>
      <c r="CF2999" s="128"/>
      <c r="CG2999" s="128"/>
      <c r="CI2999" s="128"/>
      <c r="CJ2999" s="128"/>
      <c r="CK2999" s="128"/>
      <c r="CL2999" s="128"/>
      <c r="CM2999" s="128"/>
      <c r="CN2999" s="128"/>
      <c r="CO2999" s="128"/>
      <c r="CP2999" s="128"/>
      <c r="CQ2999" s="128"/>
      <c r="CR2999" s="128"/>
      <c r="CS2999" s="128"/>
      <c r="CT2999" s="128"/>
      <c r="CU2999" s="128"/>
      <c r="CV2999" s="128"/>
      <c r="CW2999" s="128"/>
      <c r="CX2999" s="128"/>
      <c r="CY2999" s="128"/>
      <c r="CZ2999" s="165"/>
    </row>
    <row r="3000" spans="1:104">
      <c r="A3000" s="149"/>
      <c r="B3000" s="149"/>
      <c r="C3000" s="150"/>
      <c r="D3000" s="102"/>
      <c r="E3000" s="149"/>
      <c r="F3000" s="149"/>
      <c r="G3000" s="149"/>
      <c r="H3000" s="149"/>
      <c r="I3000" s="149"/>
      <c r="J3000" s="149"/>
      <c r="K3000" s="149"/>
      <c r="L3000" s="149"/>
      <c r="M3000" s="149"/>
      <c r="N3000" s="149"/>
      <c r="O3000" s="149"/>
      <c r="P3000" s="149"/>
      <c r="Q3000" s="149"/>
      <c r="R3000" s="149"/>
      <c r="S3000" s="149"/>
      <c r="T3000" s="149"/>
      <c r="U3000" s="149"/>
      <c r="V3000" s="149"/>
      <c r="W3000" s="149"/>
      <c r="X3000" s="149"/>
      <c r="Y3000" s="149"/>
      <c r="Z3000" s="149"/>
      <c r="AA3000" s="149"/>
      <c r="AB3000" s="149"/>
      <c r="AC3000" s="149"/>
      <c r="AD3000" s="149"/>
      <c r="AE3000" s="149"/>
      <c r="AF3000" s="149"/>
      <c r="AG3000" s="149"/>
      <c r="AH3000" s="149"/>
      <c r="AI3000" s="149"/>
      <c r="AJ3000" s="149"/>
      <c r="AK3000" s="149"/>
      <c r="AL3000" s="149"/>
      <c r="AM3000" s="149"/>
      <c r="AN3000" s="149"/>
      <c r="AO3000" s="128"/>
      <c r="AP3000" s="128"/>
      <c r="AQ3000" s="128"/>
      <c r="AR3000" s="128"/>
      <c r="AS3000" s="128"/>
      <c r="AT3000" s="128"/>
      <c r="AU3000" s="128"/>
      <c r="AV3000" s="128"/>
      <c r="AW3000" s="128"/>
      <c r="AX3000" s="128"/>
      <c r="AY3000" s="128"/>
      <c r="AZ3000" s="128"/>
      <c r="BA3000" s="128"/>
      <c r="BB3000" s="128"/>
      <c r="BC3000" s="128"/>
      <c r="BD3000" s="128"/>
      <c r="BE3000" s="128"/>
      <c r="BF3000" s="128"/>
      <c r="BG3000" s="128"/>
      <c r="BH3000" s="128"/>
      <c r="BI3000" s="128"/>
      <c r="BJ3000" s="128"/>
      <c r="BK3000" s="128"/>
      <c r="BL3000" s="128"/>
      <c r="BM3000" s="151"/>
      <c r="BN3000" s="128"/>
      <c r="BO3000" s="128"/>
      <c r="BP3000" s="128"/>
      <c r="BQ3000" s="128"/>
      <c r="BR3000" s="128"/>
      <c r="BS3000" s="128"/>
      <c r="BT3000" s="128"/>
      <c r="BU3000" s="128"/>
      <c r="BV3000" s="128"/>
      <c r="BW3000" s="128"/>
      <c r="BX3000" s="128"/>
      <c r="BY3000" s="128"/>
      <c r="BZ3000" s="128"/>
      <c r="CA3000" s="128"/>
      <c r="CB3000" s="128"/>
      <c r="CC3000" s="128"/>
      <c r="CD3000" s="128"/>
      <c r="CE3000" s="128"/>
      <c r="CF3000" s="128"/>
      <c r="CG3000" s="128"/>
      <c r="CI3000" s="128"/>
      <c r="CJ3000" s="128"/>
      <c r="CK3000" s="128"/>
      <c r="CL3000" s="128"/>
      <c r="CM3000" s="128"/>
      <c r="CN3000" s="128"/>
      <c r="CO3000" s="128"/>
      <c r="CP3000" s="128"/>
      <c r="CQ3000" s="128"/>
      <c r="CR3000" s="128"/>
      <c r="CS3000" s="128"/>
      <c r="CT3000" s="128"/>
      <c r="CU3000" s="128"/>
      <c r="CV3000" s="128"/>
      <c r="CW3000" s="128"/>
      <c r="CX3000" s="128"/>
      <c r="CY3000" s="128"/>
      <c r="CZ3000" s="165"/>
    </row>
    <row r="3001" spans="1:104">
      <c r="A3001" s="149"/>
      <c r="B3001" s="149"/>
      <c r="C3001" s="150"/>
      <c r="D3001" s="102"/>
      <c r="E3001" s="149"/>
      <c r="F3001" s="149"/>
      <c r="G3001" s="149"/>
      <c r="H3001" s="149"/>
      <c r="I3001" s="149"/>
      <c r="J3001" s="149"/>
      <c r="K3001" s="149"/>
      <c r="L3001" s="149"/>
      <c r="M3001" s="149"/>
      <c r="N3001" s="149"/>
      <c r="O3001" s="149"/>
      <c r="P3001" s="149"/>
      <c r="Q3001" s="149"/>
      <c r="R3001" s="149"/>
      <c r="S3001" s="149"/>
      <c r="T3001" s="149"/>
      <c r="U3001" s="149"/>
      <c r="V3001" s="149"/>
      <c r="W3001" s="149"/>
      <c r="X3001" s="149"/>
      <c r="Y3001" s="149"/>
      <c r="Z3001" s="149"/>
      <c r="AA3001" s="149"/>
      <c r="AB3001" s="149"/>
      <c r="AC3001" s="149"/>
      <c r="AD3001" s="149"/>
      <c r="AE3001" s="149"/>
      <c r="AF3001" s="149"/>
      <c r="AG3001" s="149"/>
      <c r="AH3001" s="149"/>
      <c r="AI3001" s="149"/>
      <c r="AJ3001" s="149"/>
      <c r="AK3001" s="149"/>
      <c r="AL3001" s="149"/>
      <c r="AM3001" s="149"/>
      <c r="AN3001" s="149"/>
      <c r="AO3001" s="128"/>
      <c r="AP3001" s="128"/>
      <c r="AQ3001" s="128"/>
      <c r="AR3001" s="128"/>
      <c r="AS3001" s="128"/>
      <c r="AT3001" s="128"/>
      <c r="AU3001" s="128"/>
      <c r="AV3001" s="128"/>
      <c r="AW3001" s="128"/>
      <c r="AX3001" s="128"/>
      <c r="AY3001" s="128"/>
      <c r="AZ3001" s="128"/>
      <c r="BA3001" s="128"/>
      <c r="BB3001" s="128"/>
      <c r="BC3001" s="128"/>
      <c r="BD3001" s="128"/>
      <c r="BE3001" s="128"/>
      <c r="BF3001" s="128"/>
      <c r="BG3001" s="128"/>
      <c r="BH3001" s="128"/>
      <c r="BI3001" s="128"/>
      <c r="BJ3001" s="128"/>
      <c r="BK3001" s="128"/>
      <c r="BL3001" s="128"/>
      <c r="BM3001" s="151"/>
      <c r="BN3001" s="128"/>
      <c r="BO3001" s="128"/>
      <c r="BP3001" s="128"/>
      <c r="BQ3001" s="128"/>
      <c r="BR3001" s="128"/>
      <c r="BS3001" s="128"/>
      <c r="BT3001" s="128"/>
      <c r="BU3001" s="128"/>
      <c r="BV3001" s="128"/>
      <c r="BW3001" s="128"/>
      <c r="BX3001" s="128"/>
      <c r="BY3001" s="128"/>
      <c r="BZ3001" s="128"/>
      <c r="CA3001" s="128"/>
      <c r="CB3001" s="128"/>
      <c r="CC3001" s="128"/>
      <c r="CD3001" s="128"/>
      <c r="CE3001" s="128"/>
      <c r="CF3001" s="128"/>
      <c r="CG3001" s="128"/>
      <c r="CI3001" s="128"/>
      <c r="CJ3001" s="128"/>
      <c r="CK3001" s="128"/>
      <c r="CL3001" s="128"/>
      <c r="CM3001" s="128"/>
      <c r="CN3001" s="128"/>
      <c r="CO3001" s="128"/>
      <c r="CP3001" s="128"/>
      <c r="CQ3001" s="128"/>
      <c r="CR3001" s="128"/>
      <c r="CS3001" s="128"/>
      <c r="CT3001" s="128"/>
      <c r="CU3001" s="128"/>
      <c r="CV3001" s="128"/>
      <c r="CW3001" s="128"/>
      <c r="CX3001" s="128"/>
      <c r="CY3001" s="128"/>
      <c r="CZ3001" s="165"/>
    </row>
    <row r="3002" spans="1:104">
      <c r="A3002" s="149"/>
      <c r="B3002" s="149"/>
      <c r="C3002" s="150"/>
      <c r="D3002" s="102"/>
      <c r="E3002" s="149"/>
      <c r="F3002" s="149"/>
      <c r="G3002" s="149"/>
      <c r="H3002" s="149"/>
      <c r="I3002" s="149"/>
      <c r="J3002" s="149"/>
      <c r="K3002" s="149"/>
      <c r="L3002" s="149"/>
      <c r="M3002" s="149"/>
      <c r="N3002" s="149"/>
      <c r="O3002" s="149"/>
      <c r="P3002" s="149"/>
      <c r="Q3002" s="149"/>
      <c r="R3002" s="149"/>
      <c r="S3002" s="149"/>
      <c r="T3002" s="149"/>
      <c r="U3002" s="149"/>
      <c r="V3002" s="149"/>
      <c r="W3002" s="149"/>
      <c r="X3002" s="149"/>
      <c r="Y3002" s="149"/>
      <c r="Z3002" s="149"/>
      <c r="AA3002" s="149"/>
      <c r="AB3002" s="149"/>
      <c r="AC3002" s="149"/>
      <c r="AD3002" s="149"/>
      <c r="AE3002" s="149"/>
      <c r="AF3002" s="149"/>
      <c r="AG3002" s="149"/>
      <c r="AH3002" s="149"/>
      <c r="AI3002" s="149"/>
      <c r="AJ3002" s="149"/>
      <c r="AK3002" s="149"/>
      <c r="AL3002" s="149"/>
      <c r="AM3002" s="149"/>
      <c r="AN3002" s="149"/>
      <c r="AO3002" s="128"/>
      <c r="AP3002" s="128"/>
      <c r="AQ3002" s="128"/>
      <c r="AR3002" s="128"/>
      <c r="AS3002" s="128"/>
      <c r="AT3002" s="128"/>
      <c r="AU3002" s="128"/>
      <c r="AV3002" s="128"/>
      <c r="AW3002" s="128"/>
      <c r="AX3002" s="128"/>
      <c r="AY3002" s="128"/>
      <c r="AZ3002" s="128"/>
      <c r="BA3002" s="128"/>
      <c r="BB3002" s="128"/>
      <c r="BC3002" s="128"/>
      <c r="BD3002" s="128"/>
      <c r="BE3002" s="128"/>
      <c r="BF3002" s="128"/>
      <c r="BG3002" s="128"/>
      <c r="BH3002" s="128"/>
      <c r="BI3002" s="128"/>
      <c r="BJ3002" s="128"/>
      <c r="BK3002" s="128"/>
      <c r="BL3002" s="128"/>
      <c r="BM3002" s="151"/>
      <c r="BN3002" s="128"/>
      <c r="BO3002" s="128"/>
      <c r="BP3002" s="128"/>
      <c r="BQ3002" s="128"/>
      <c r="BR3002" s="128"/>
      <c r="BS3002" s="128"/>
      <c r="BT3002" s="128"/>
      <c r="BU3002" s="128"/>
      <c r="BV3002" s="128"/>
      <c r="BW3002" s="128"/>
      <c r="BX3002" s="128"/>
      <c r="BY3002" s="128"/>
      <c r="BZ3002" s="128"/>
      <c r="CA3002" s="128"/>
      <c r="CB3002" s="128"/>
      <c r="CC3002" s="128"/>
      <c r="CD3002" s="128"/>
      <c r="CE3002" s="128"/>
      <c r="CF3002" s="128"/>
      <c r="CG3002" s="128"/>
      <c r="CI3002" s="128"/>
      <c r="CJ3002" s="128"/>
      <c r="CK3002" s="128"/>
      <c r="CL3002" s="128"/>
      <c r="CM3002" s="128"/>
      <c r="CN3002" s="128"/>
      <c r="CO3002" s="128"/>
      <c r="CP3002" s="128"/>
      <c r="CQ3002" s="128"/>
      <c r="CR3002" s="128"/>
      <c r="CS3002" s="128"/>
      <c r="CT3002" s="128"/>
      <c r="CU3002" s="128"/>
      <c r="CV3002" s="128"/>
      <c r="CW3002" s="128"/>
      <c r="CX3002" s="128"/>
      <c r="CY3002" s="128"/>
      <c r="CZ3002" s="165"/>
    </row>
    <row r="3003" spans="1:104">
      <c r="A3003" s="149"/>
      <c r="B3003" s="149"/>
      <c r="C3003" s="150"/>
      <c r="D3003" s="102"/>
      <c r="E3003" s="149"/>
      <c r="F3003" s="149"/>
      <c r="G3003" s="149"/>
      <c r="H3003" s="149"/>
      <c r="I3003" s="149"/>
      <c r="J3003" s="149"/>
      <c r="K3003" s="149"/>
      <c r="L3003" s="149"/>
      <c r="M3003" s="149"/>
      <c r="N3003" s="149"/>
      <c r="O3003" s="149"/>
      <c r="P3003" s="149"/>
      <c r="Q3003" s="149"/>
      <c r="R3003" s="149"/>
      <c r="S3003" s="149"/>
      <c r="T3003" s="149"/>
      <c r="U3003" s="149"/>
      <c r="V3003" s="149"/>
      <c r="W3003" s="149"/>
      <c r="X3003" s="149"/>
      <c r="Y3003" s="149"/>
      <c r="Z3003" s="149"/>
      <c r="AA3003" s="149"/>
      <c r="AB3003" s="149"/>
      <c r="AC3003" s="149"/>
      <c r="AD3003" s="149"/>
      <c r="AE3003" s="149"/>
      <c r="AF3003" s="149"/>
      <c r="AG3003" s="149"/>
      <c r="AH3003" s="149"/>
      <c r="AI3003" s="149"/>
      <c r="AJ3003" s="149"/>
      <c r="AK3003" s="149"/>
      <c r="AL3003" s="149"/>
      <c r="AM3003" s="149"/>
      <c r="AN3003" s="149"/>
      <c r="AO3003" s="128"/>
      <c r="AP3003" s="128"/>
      <c r="AQ3003" s="128"/>
      <c r="AR3003" s="128"/>
      <c r="AS3003" s="128"/>
      <c r="AT3003" s="128"/>
      <c r="AU3003" s="128"/>
      <c r="AV3003" s="128"/>
      <c r="AW3003" s="128"/>
      <c r="AX3003" s="128"/>
      <c r="AY3003" s="128"/>
      <c r="AZ3003" s="128"/>
      <c r="BA3003" s="128"/>
      <c r="BB3003" s="128"/>
      <c r="BC3003" s="128"/>
      <c r="BD3003" s="128"/>
      <c r="BE3003" s="128"/>
      <c r="BF3003" s="128"/>
      <c r="BG3003" s="128"/>
      <c r="BH3003" s="128"/>
      <c r="BI3003" s="128"/>
      <c r="BJ3003" s="128"/>
      <c r="BK3003" s="128"/>
      <c r="BL3003" s="128"/>
      <c r="BM3003" s="151"/>
      <c r="BN3003" s="128"/>
      <c r="BO3003" s="128"/>
      <c r="BP3003" s="128"/>
      <c r="BQ3003" s="128"/>
      <c r="BR3003" s="128"/>
      <c r="BS3003" s="128"/>
      <c r="BT3003" s="128"/>
      <c r="BU3003" s="128"/>
      <c r="BV3003" s="128"/>
      <c r="BW3003" s="128"/>
      <c r="BX3003" s="128"/>
      <c r="BY3003" s="128"/>
      <c r="BZ3003" s="128"/>
      <c r="CA3003" s="128"/>
      <c r="CB3003" s="128"/>
      <c r="CC3003" s="128"/>
      <c r="CD3003" s="128"/>
      <c r="CE3003" s="128"/>
      <c r="CF3003" s="128"/>
      <c r="CG3003" s="128"/>
      <c r="CI3003" s="128"/>
      <c r="CJ3003" s="128"/>
      <c r="CK3003" s="128"/>
      <c r="CL3003" s="128"/>
      <c r="CM3003" s="128"/>
      <c r="CN3003" s="128"/>
      <c r="CO3003" s="128"/>
      <c r="CP3003" s="128"/>
      <c r="CQ3003" s="128"/>
      <c r="CR3003" s="128"/>
      <c r="CS3003" s="128"/>
      <c r="CT3003" s="128"/>
      <c r="CU3003" s="128"/>
      <c r="CV3003" s="128"/>
      <c r="CW3003" s="128"/>
      <c r="CX3003" s="128"/>
      <c r="CY3003" s="128"/>
      <c r="CZ3003" s="165"/>
    </row>
    <row r="3004" spans="1:104">
      <c r="A3004" s="149"/>
      <c r="B3004" s="149"/>
      <c r="C3004" s="150"/>
      <c r="D3004" s="102"/>
      <c r="E3004" s="149"/>
      <c r="F3004" s="149"/>
      <c r="G3004" s="149"/>
      <c r="H3004" s="149"/>
      <c r="I3004" s="149"/>
      <c r="J3004" s="149"/>
      <c r="K3004" s="149"/>
      <c r="L3004" s="149"/>
      <c r="M3004" s="149"/>
      <c r="N3004" s="149"/>
      <c r="O3004" s="149"/>
      <c r="P3004" s="149"/>
      <c r="Q3004" s="149"/>
      <c r="R3004" s="149"/>
      <c r="S3004" s="149"/>
      <c r="T3004" s="149"/>
      <c r="U3004" s="149"/>
      <c r="V3004" s="149"/>
      <c r="W3004" s="149"/>
      <c r="X3004" s="149"/>
      <c r="Y3004" s="149"/>
      <c r="Z3004" s="149"/>
      <c r="AA3004" s="149"/>
      <c r="AB3004" s="149"/>
      <c r="AC3004" s="149"/>
      <c r="AD3004" s="149"/>
      <c r="AE3004" s="149"/>
      <c r="AF3004" s="149"/>
      <c r="AG3004" s="149"/>
      <c r="AH3004" s="149"/>
      <c r="AI3004" s="149"/>
      <c r="AJ3004" s="149"/>
      <c r="AK3004" s="149"/>
      <c r="AL3004" s="149"/>
      <c r="AM3004" s="149"/>
      <c r="AN3004" s="149"/>
      <c r="AO3004" s="128"/>
      <c r="AP3004" s="128"/>
      <c r="AQ3004" s="128"/>
      <c r="AR3004" s="128"/>
      <c r="AS3004" s="128"/>
      <c r="AT3004" s="128"/>
      <c r="AU3004" s="128"/>
      <c r="AV3004" s="128"/>
      <c r="AW3004" s="128"/>
      <c r="AX3004" s="128"/>
      <c r="AY3004" s="128"/>
      <c r="AZ3004" s="128"/>
      <c r="BA3004" s="128"/>
      <c r="BB3004" s="128"/>
      <c r="BC3004" s="128"/>
      <c r="BD3004" s="128"/>
      <c r="BE3004" s="128"/>
      <c r="BF3004" s="128"/>
      <c r="BG3004" s="128"/>
      <c r="BH3004" s="128"/>
      <c r="BI3004" s="128"/>
      <c r="BJ3004" s="128"/>
      <c r="BK3004" s="128"/>
      <c r="BL3004" s="128"/>
      <c r="BM3004" s="151"/>
      <c r="BN3004" s="128"/>
      <c r="BO3004" s="128"/>
      <c r="BP3004" s="128"/>
      <c r="BQ3004" s="128"/>
      <c r="BR3004" s="128"/>
      <c r="BS3004" s="128"/>
      <c r="BT3004" s="128"/>
      <c r="BU3004" s="128"/>
      <c r="BV3004" s="128"/>
      <c r="BW3004" s="128"/>
      <c r="BX3004" s="128"/>
      <c r="BY3004" s="128"/>
      <c r="BZ3004" s="128"/>
      <c r="CA3004" s="128"/>
      <c r="CB3004" s="128"/>
      <c r="CC3004" s="128"/>
      <c r="CD3004" s="128"/>
      <c r="CE3004" s="128"/>
      <c r="CF3004" s="128"/>
      <c r="CG3004" s="128"/>
      <c r="CI3004" s="128"/>
      <c r="CJ3004" s="128"/>
      <c r="CK3004" s="128"/>
      <c r="CL3004" s="128"/>
      <c r="CM3004" s="128"/>
      <c r="CN3004" s="128"/>
      <c r="CO3004" s="128"/>
      <c r="CP3004" s="128"/>
      <c r="CQ3004" s="128"/>
      <c r="CR3004" s="128"/>
      <c r="CS3004" s="128"/>
      <c r="CT3004" s="128"/>
      <c r="CU3004" s="128"/>
      <c r="CV3004" s="128"/>
      <c r="CW3004" s="128"/>
      <c r="CX3004" s="128"/>
      <c r="CY3004" s="128"/>
      <c r="CZ3004" s="165"/>
    </row>
    <row r="3005" spans="1:104">
      <c r="A3005" s="149"/>
      <c r="B3005" s="149"/>
      <c r="C3005" s="150"/>
      <c r="D3005" s="102"/>
      <c r="E3005" s="149"/>
      <c r="F3005" s="149"/>
      <c r="G3005" s="149"/>
      <c r="H3005" s="149"/>
      <c r="I3005" s="149"/>
      <c r="J3005" s="149"/>
      <c r="K3005" s="149"/>
      <c r="L3005" s="149"/>
      <c r="M3005" s="149"/>
      <c r="N3005" s="149"/>
      <c r="O3005" s="149"/>
      <c r="P3005" s="149"/>
      <c r="Q3005" s="149"/>
      <c r="R3005" s="149"/>
      <c r="S3005" s="149"/>
      <c r="T3005" s="149"/>
      <c r="U3005" s="149"/>
      <c r="V3005" s="149"/>
      <c r="W3005" s="149"/>
      <c r="X3005" s="149"/>
      <c r="Y3005" s="149"/>
      <c r="Z3005" s="149"/>
      <c r="AA3005" s="149"/>
      <c r="AB3005" s="149"/>
      <c r="AC3005" s="149"/>
      <c r="AD3005" s="149"/>
      <c r="AE3005" s="149"/>
      <c r="AF3005" s="149"/>
      <c r="AG3005" s="149"/>
      <c r="AH3005" s="149"/>
      <c r="AI3005" s="149"/>
      <c r="AJ3005" s="149"/>
      <c r="AK3005" s="149"/>
      <c r="AL3005" s="149"/>
      <c r="AM3005" s="149"/>
      <c r="AN3005" s="149"/>
      <c r="AO3005" s="128"/>
      <c r="AP3005" s="128"/>
      <c r="AQ3005" s="128"/>
      <c r="AR3005" s="128"/>
      <c r="AS3005" s="128"/>
      <c r="AT3005" s="128"/>
      <c r="AU3005" s="128"/>
      <c r="AV3005" s="128"/>
      <c r="AW3005" s="128"/>
      <c r="AX3005" s="128"/>
      <c r="AY3005" s="128"/>
      <c r="AZ3005" s="128"/>
      <c r="BA3005" s="128"/>
      <c r="BB3005" s="128"/>
      <c r="BC3005" s="128"/>
      <c r="BD3005" s="128"/>
      <c r="BE3005" s="128"/>
      <c r="BF3005" s="128"/>
      <c r="BG3005" s="128"/>
      <c r="BH3005" s="128"/>
      <c r="BI3005" s="128"/>
      <c r="BJ3005" s="128"/>
      <c r="BK3005" s="128"/>
      <c r="BL3005" s="128"/>
      <c r="BM3005" s="151"/>
      <c r="BN3005" s="128"/>
      <c r="BO3005" s="128"/>
      <c r="BP3005" s="128"/>
      <c r="BQ3005" s="128"/>
      <c r="BR3005" s="128"/>
      <c r="BS3005" s="128"/>
      <c r="BT3005" s="128"/>
      <c r="BU3005" s="128"/>
      <c r="BV3005" s="128"/>
      <c r="BW3005" s="128"/>
      <c r="BX3005" s="128"/>
      <c r="BY3005" s="128"/>
      <c r="BZ3005" s="128"/>
      <c r="CA3005" s="128"/>
      <c r="CB3005" s="128"/>
      <c r="CC3005" s="128"/>
      <c r="CD3005" s="128"/>
      <c r="CE3005" s="128"/>
      <c r="CF3005" s="128"/>
      <c r="CG3005" s="128"/>
      <c r="CI3005" s="128"/>
      <c r="CJ3005" s="128"/>
      <c r="CK3005" s="128"/>
      <c r="CL3005" s="128"/>
      <c r="CM3005" s="128"/>
      <c r="CN3005" s="128"/>
      <c r="CO3005" s="128"/>
      <c r="CP3005" s="128"/>
      <c r="CQ3005" s="128"/>
      <c r="CR3005" s="128"/>
      <c r="CS3005" s="128"/>
      <c r="CT3005" s="128"/>
      <c r="CU3005" s="128"/>
      <c r="CV3005" s="128"/>
      <c r="CW3005" s="128"/>
      <c r="CX3005" s="128"/>
      <c r="CY3005" s="128"/>
      <c r="CZ3005" s="165"/>
    </row>
    <row r="3006" spans="1:104">
      <c r="A3006" s="149"/>
      <c r="B3006" s="149"/>
      <c r="C3006" s="150"/>
      <c r="D3006" s="102"/>
      <c r="E3006" s="149"/>
      <c r="F3006" s="149"/>
      <c r="G3006" s="149"/>
      <c r="H3006" s="149"/>
      <c r="I3006" s="149"/>
      <c r="J3006" s="149"/>
      <c r="K3006" s="149"/>
      <c r="L3006" s="149"/>
      <c r="M3006" s="149"/>
      <c r="N3006" s="149"/>
      <c r="O3006" s="149"/>
      <c r="P3006" s="149"/>
      <c r="Q3006" s="149"/>
      <c r="R3006" s="149"/>
      <c r="S3006" s="149"/>
      <c r="T3006" s="149"/>
      <c r="U3006" s="149"/>
      <c r="V3006" s="149"/>
      <c r="W3006" s="149"/>
      <c r="X3006" s="149"/>
      <c r="Y3006" s="149"/>
      <c r="Z3006" s="149"/>
      <c r="AA3006" s="149"/>
      <c r="AB3006" s="149"/>
      <c r="AC3006" s="149"/>
      <c r="AD3006" s="149"/>
      <c r="AE3006" s="149"/>
      <c r="AF3006" s="149"/>
      <c r="AG3006" s="149"/>
      <c r="AH3006" s="149"/>
      <c r="AI3006" s="149"/>
      <c r="AJ3006" s="149"/>
      <c r="AK3006" s="149"/>
      <c r="AL3006" s="149"/>
      <c r="AM3006" s="149"/>
      <c r="AN3006" s="149"/>
      <c r="AO3006" s="128"/>
      <c r="AP3006" s="128"/>
      <c r="AQ3006" s="128"/>
      <c r="AR3006" s="128"/>
      <c r="AS3006" s="128"/>
      <c r="AT3006" s="128"/>
      <c r="AU3006" s="128"/>
      <c r="AV3006" s="128"/>
      <c r="AW3006" s="128"/>
      <c r="AX3006" s="128"/>
      <c r="AY3006" s="128"/>
      <c r="AZ3006" s="128"/>
      <c r="BA3006" s="128"/>
      <c r="BB3006" s="128"/>
      <c r="BC3006" s="128"/>
      <c r="BD3006" s="128"/>
      <c r="BE3006" s="128"/>
      <c r="BF3006" s="128"/>
      <c r="BG3006" s="128"/>
      <c r="BH3006" s="128"/>
      <c r="BI3006" s="128"/>
      <c r="BJ3006" s="128"/>
      <c r="BK3006" s="128"/>
      <c r="BL3006" s="128"/>
      <c r="BM3006" s="151"/>
      <c r="BN3006" s="128"/>
      <c r="BO3006" s="128"/>
      <c r="BP3006" s="128"/>
      <c r="BQ3006" s="128"/>
      <c r="BR3006" s="128"/>
      <c r="BS3006" s="128"/>
      <c r="BT3006" s="128"/>
      <c r="BU3006" s="128"/>
      <c r="BV3006" s="128"/>
      <c r="BW3006" s="128"/>
      <c r="BX3006" s="128"/>
      <c r="BY3006" s="128"/>
      <c r="BZ3006" s="128"/>
      <c r="CA3006" s="128"/>
      <c r="CB3006" s="128"/>
      <c r="CC3006" s="128"/>
      <c r="CD3006" s="128"/>
      <c r="CE3006" s="128"/>
      <c r="CF3006" s="128"/>
      <c r="CG3006" s="128"/>
      <c r="CI3006" s="128"/>
      <c r="CJ3006" s="128"/>
      <c r="CK3006" s="128"/>
      <c r="CL3006" s="128"/>
      <c r="CM3006" s="128"/>
      <c r="CN3006" s="128"/>
      <c r="CO3006" s="128"/>
      <c r="CP3006" s="128"/>
      <c r="CQ3006" s="128"/>
      <c r="CR3006" s="128"/>
      <c r="CS3006" s="128"/>
      <c r="CT3006" s="128"/>
      <c r="CU3006" s="128"/>
      <c r="CV3006" s="128"/>
      <c r="CW3006" s="128"/>
      <c r="CX3006" s="128"/>
      <c r="CY3006" s="128"/>
      <c r="CZ3006" s="165"/>
    </row>
    <row r="3007" spans="1:104">
      <c r="A3007" s="149"/>
      <c r="B3007" s="149"/>
      <c r="C3007" s="150"/>
      <c r="D3007" s="102"/>
      <c r="E3007" s="149"/>
      <c r="F3007" s="149"/>
      <c r="G3007" s="149"/>
      <c r="H3007" s="149"/>
      <c r="I3007" s="149"/>
      <c r="J3007" s="149"/>
      <c r="K3007" s="149"/>
      <c r="L3007" s="149"/>
      <c r="M3007" s="149"/>
      <c r="N3007" s="149"/>
      <c r="O3007" s="149"/>
      <c r="P3007" s="149"/>
      <c r="Q3007" s="149"/>
      <c r="R3007" s="149"/>
      <c r="S3007" s="149"/>
      <c r="T3007" s="149"/>
      <c r="U3007" s="149"/>
      <c r="V3007" s="149"/>
      <c r="W3007" s="149"/>
      <c r="X3007" s="149"/>
      <c r="Y3007" s="149"/>
      <c r="Z3007" s="149"/>
      <c r="AA3007" s="149"/>
      <c r="AB3007" s="149"/>
      <c r="AC3007" s="149"/>
      <c r="AD3007" s="149"/>
      <c r="AE3007" s="149"/>
      <c r="AF3007" s="149"/>
      <c r="AG3007" s="149"/>
      <c r="AH3007" s="149"/>
      <c r="AI3007" s="149"/>
      <c r="AJ3007" s="149"/>
      <c r="AK3007" s="149"/>
      <c r="AL3007" s="149"/>
      <c r="AM3007" s="149"/>
      <c r="AN3007" s="149"/>
      <c r="AO3007" s="128"/>
      <c r="AP3007" s="128"/>
      <c r="AQ3007" s="128"/>
      <c r="AR3007" s="128"/>
      <c r="AS3007" s="128"/>
      <c r="AT3007" s="128"/>
      <c r="AU3007" s="128"/>
      <c r="AV3007" s="128"/>
      <c r="AW3007" s="128"/>
      <c r="AX3007" s="128"/>
      <c r="AY3007" s="128"/>
      <c r="AZ3007" s="128"/>
      <c r="BA3007" s="128"/>
      <c r="BB3007" s="128"/>
      <c r="BC3007" s="128"/>
      <c r="BD3007" s="128"/>
      <c r="BE3007" s="128"/>
      <c r="BF3007" s="128"/>
      <c r="BG3007" s="128"/>
      <c r="BH3007" s="128"/>
      <c r="BI3007" s="128"/>
      <c r="BJ3007" s="128"/>
      <c r="BK3007" s="128"/>
      <c r="BL3007" s="128"/>
      <c r="BM3007" s="151"/>
      <c r="BN3007" s="128"/>
      <c r="BO3007" s="128"/>
      <c r="BP3007" s="128"/>
      <c r="BQ3007" s="128"/>
      <c r="BR3007" s="128"/>
      <c r="BS3007" s="128"/>
      <c r="BT3007" s="128"/>
      <c r="BU3007" s="128"/>
      <c r="BV3007" s="128"/>
      <c r="BW3007" s="128"/>
      <c r="BX3007" s="128"/>
      <c r="BY3007" s="128"/>
      <c r="BZ3007" s="128"/>
      <c r="CA3007" s="128"/>
      <c r="CB3007" s="128"/>
      <c r="CC3007" s="128"/>
      <c r="CD3007" s="128"/>
      <c r="CE3007" s="128"/>
      <c r="CF3007" s="128"/>
      <c r="CG3007" s="128"/>
      <c r="CI3007" s="128"/>
      <c r="CJ3007" s="128"/>
      <c r="CK3007" s="128"/>
      <c r="CL3007" s="128"/>
      <c r="CM3007" s="128"/>
      <c r="CN3007" s="128"/>
      <c r="CO3007" s="128"/>
      <c r="CP3007" s="128"/>
      <c r="CQ3007" s="128"/>
      <c r="CR3007" s="128"/>
      <c r="CS3007" s="128"/>
      <c r="CT3007" s="128"/>
      <c r="CU3007" s="128"/>
      <c r="CV3007" s="128"/>
      <c r="CW3007" s="128"/>
      <c r="CX3007" s="128"/>
      <c r="CY3007" s="128"/>
      <c r="CZ3007" s="165"/>
    </row>
    <row r="3008" spans="1:104">
      <c r="A3008" s="149"/>
      <c r="B3008" s="149"/>
      <c r="C3008" s="150"/>
      <c r="D3008" s="102"/>
      <c r="E3008" s="149"/>
      <c r="F3008" s="149"/>
      <c r="G3008" s="149"/>
      <c r="H3008" s="149"/>
      <c r="I3008" s="149"/>
      <c r="J3008" s="149"/>
      <c r="K3008" s="149"/>
      <c r="L3008" s="149"/>
      <c r="M3008" s="149"/>
      <c r="N3008" s="149"/>
      <c r="O3008" s="149"/>
      <c r="P3008" s="149"/>
      <c r="Q3008" s="149"/>
      <c r="R3008" s="149"/>
      <c r="S3008" s="149"/>
      <c r="T3008" s="149"/>
      <c r="U3008" s="149"/>
      <c r="V3008" s="149"/>
      <c r="W3008" s="149"/>
      <c r="X3008" s="149"/>
      <c r="Y3008" s="149"/>
      <c r="Z3008" s="149"/>
      <c r="AA3008" s="149"/>
      <c r="AB3008" s="149"/>
      <c r="AC3008" s="149"/>
      <c r="AD3008" s="149"/>
      <c r="AE3008" s="149"/>
      <c r="AF3008" s="149"/>
      <c r="AG3008" s="149"/>
      <c r="AH3008" s="149"/>
      <c r="AI3008" s="149"/>
      <c r="AJ3008" s="149"/>
      <c r="AK3008" s="149"/>
      <c r="AL3008" s="149"/>
      <c r="AM3008" s="149"/>
      <c r="AN3008" s="149"/>
      <c r="AO3008" s="128"/>
      <c r="AP3008" s="128"/>
      <c r="AQ3008" s="128"/>
      <c r="AR3008" s="128"/>
      <c r="AS3008" s="128"/>
      <c r="AT3008" s="128"/>
      <c r="AU3008" s="128"/>
      <c r="AV3008" s="128"/>
      <c r="AW3008" s="128"/>
      <c r="AX3008" s="128"/>
      <c r="AY3008" s="128"/>
      <c r="AZ3008" s="128"/>
      <c r="BA3008" s="128"/>
      <c r="BB3008" s="128"/>
      <c r="BC3008" s="128"/>
      <c r="BD3008" s="128"/>
      <c r="BE3008" s="128"/>
      <c r="BF3008" s="128"/>
      <c r="BG3008" s="128"/>
      <c r="BH3008" s="128"/>
      <c r="BI3008" s="128"/>
      <c r="BJ3008" s="128"/>
      <c r="BK3008" s="128"/>
      <c r="BL3008" s="128"/>
      <c r="BM3008" s="151"/>
      <c r="BN3008" s="128"/>
      <c r="BO3008" s="128"/>
      <c r="BP3008" s="128"/>
      <c r="BQ3008" s="128"/>
      <c r="BR3008" s="128"/>
      <c r="BS3008" s="128"/>
      <c r="BT3008" s="128"/>
      <c r="BU3008" s="128"/>
      <c r="BV3008" s="128"/>
      <c r="BW3008" s="128"/>
      <c r="BX3008" s="128"/>
      <c r="BY3008" s="128"/>
      <c r="BZ3008" s="128"/>
      <c r="CA3008" s="128"/>
      <c r="CB3008" s="128"/>
      <c r="CC3008" s="128"/>
      <c r="CD3008" s="128"/>
      <c r="CE3008" s="128"/>
      <c r="CF3008" s="128"/>
      <c r="CG3008" s="128"/>
      <c r="CI3008" s="128"/>
      <c r="CJ3008" s="128"/>
      <c r="CK3008" s="128"/>
      <c r="CL3008" s="128"/>
      <c r="CM3008" s="128"/>
      <c r="CN3008" s="128"/>
      <c r="CO3008" s="128"/>
      <c r="CP3008" s="128"/>
      <c r="CQ3008" s="128"/>
      <c r="CR3008" s="128"/>
      <c r="CS3008" s="128"/>
      <c r="CT3008" s="128"/>
      <c r="CU3008" s="128"/>
      <c r="CV3008" s="128"/>
      <c r="CW3008" s="128"/>
      <c r="CX3008" s="128"/>
      <c r="CY3008" s="128"/>
      <c r="CZ3008" s="165"/>
    </row>
    <row r="3009" spans="1:104">
      <c r="A3009" s="149"/>
      <c r="B3009" s="149"/>
      <c r="C3009" s="150"/>
      <c r="D3009" s="102"/>
      <c r="E3009" s="149"/>
      <c r="F3009" s="149"/>
      <c r="G3009" s="149"/>
      <c r="H3009" s="149"/>
      <c r="I3009" s="149"/>
      <c r="J3009" s="149"/>
      <c r="K3009" s="149"/>
      <c r="L3009" s="149"/>
      <c r="M3009" s="149"/>
      <c r="N3009" s="149"/>
      <c r="O3009" s="149"/>
      <c r="P3009" s="149"/>
      <c r="Q3009" s="149"/>
      <c r="R3009" s="149"/>
      <c r="S3009" s="149"/>
      <c r="T3009" s="149"/>
      <c r="U3009" s="149"/>
      <c r="V3009" s="149"/>
      <c r="W3009" s="149"/>
      <c r="X3009" s="149"/>
      <c r="Y3009" s="149"/>
      <c r="Z3009" s="149"/>
      <c r="AA3009" s="149"/>
      <c r="AB3009" s="149"/>
      <c r="AC3009" s="149"/>
      <c r="AD3009" s="149"/>
      <c r="AE3009" s="149"/>
      <c r="AF3009" s="149"/>
      <c r="AG3009" s="149"/>
      <c r="AH3009" s="149"/>
      <c r="AI3009" s="149"/>
      <c r="AJ3009" s="149"/>
      <c r="AK3009" s="149"/>
      <c r="AL3009" s="149"/>
      <c r="AM3009" s="149"/>
      <c r="AN3009" s="149"/>
      <c r="AO3009" s="128"/>
      <c r="AP3009" s="128"/>
      <c r="AQ3009" s="128"/>
      <c r="AR3009" s="128"/>
      <c r="AS3009" s="128"/>
      <c r="AT3009" s="128"/>
      <c r="AU3009" s="128"/>
      <c r="AV3009" s="128"/>
      <c r="AW3009" s="128"/>
      <c r="AX3009" s="128"/>
      <c r="AY3009" s="128"/>
      <c r="AZ3009" s="128"/>
      <c r="BA3009" s="128"/>
      <c r="BB3009" s="128"/>
      <c r="BC3009" s="128"/>
      <c r="BD3009" s="128"/>
      <c r="BE3009" s="128"/>
      <c r="BF3009" s="128"/>
      <c r="BG3009" s="128"/>
      <c r="BH3009" s="128"/>
      <c r="BI3009" s="128"/>
      <c r="BJ3009" s="128"/>
      <c r="BK3009" s="128"/>
      <c r="BL3009" s="128"/>
      <c r="BM3009" s="151"/>
      <c r="BN3009" s="128"/>
      <c r="BO3009" s="128"/>
      <c r="BP3009" s="128"/>
      <c r="BQ3009" s="128"/>
      <c r="BR3009" s="128"/>
      <c r="BS3009" s="128"/>
      <c r="BT3009" s="128"/>
      <c r="BU3009" s="128"/>
      <c r="BV3009" s="128"/>
      <c r="BW3009" s="128"/>
      <c r="BX3009" s="128"/>
      <c r="BY3009" s="128"/>
      <c r="BZ3009" s="128"/>
      <c r="CA3009" s="128"/>
      <c r="CB3009" s="128"/>
      <c r="CC3009" s="128"/>
      <c r="CD3009" s="128"/>
      <c r="CE3009" s="128"/>
      <c r="CF3009" s="128"/>
      <c r="CG3009" s="128"/>
      <c r="CI3009" s="128"/>
      <c r="CJ3009" s="128"/>
      <c r="CK3009" s="128"/>
      <c r="CL3009" s="128"/>
      <c r="CM3009" s="128"/>
      <c r="CN3009" s="128"/>
      <c r="CO3009" s="128"/>
      <c r="CP3009" s="128"/>
      <c r="CQ3009" s="128"/>
      <c r="CR3009" s="128"/>
      <c r="CS3009" s="128"/>
      <c r="CT3009" s="128"/>
      <c r="CU3009" s="128"/>
      <c r="CV3009" s="128"/>
      <c r="CW3009" s="128"/>
      <c r="CX3009" s="128"/>
      <c r="CY3009" s="128"/>
      <c r="CZ3009" s="165"/>
    </row>
    <row r="3010" spans="1:104">
      <c r="A3010" s="149"/>
      <c r="B3010" s="149"/>
      <c r="C3010" s="150"/>
      <c r="D3010" s="102"/>
      <c r="E3010" s="149"/>
      <c r="F3010" s="149"/>
      <c r="G3010" s="149"/>
      <c r="H3010" s="149"/>
      <c r="I3010" s="149"/>
      <c r="J3010" s="149"/>
      <c r="K3010" s="149"/>
      <c r="L3010" s="149"/>
      <c r="M3010" s="149"/>
      <c r="N3010" s="149"/>
      <c r="O3010" s="149"/>
      <c r="P3010" s="149"/>
      <c r="Q3010" s="149"/>
      <c r="R3010" s="149"/>
      <c r="S3010" s="149"/>
      <c r="T3010" s="149"/>
      <c r="U3010" s="149"/>
      <c r="V3010" s="149"/>
      <c r="W3010" s="149"/>
      <c r="X3010" s="149"/>
      <c r="Y3010" s="149"/>
      <c r="Z3010" s="149"/>
      <c r="AA3010" s="149"/>
      <c r="AB3010" s="149"/>
      <c r="AC3010" s="149"/>
      <c r="AD3010" s="149"/>
      <c r="AE3010" s="149"/>
      <c r="AF3010" s="149"/>
      <c r="AG3010" s="149"/>
      <c r="AH3010" s="149"/>
      <c r="AI3010" s="149"/>
      <c r="AJ3010" s="149"/>
      <c r="AK3010" s="149"/>
      <c r="AL3010" s="149"/>
      <c r="AM3010" s="149"/>
      <c r="AN3010" s="149"/>
      <c r="AO3010" s="128"/>
      <c r="AP3010" s="128"/>
      <c r="AQ3010" s="128"/>
      <c r="AR3010" s="128"/>
      <c r="AS3010" s="128"/>
      <c r="AT3010" s="128"/>
      <c r="AU3010" s="128"/>
      <c r="AV3010" s="128"/>
      <c r="AW3010" s="128"/>
      <c r="AX3010" s="128"/>
      <c r="AY3010" s="128"/>
      <c r="AZ3010" s="128"/>
      <c r="BA3010" s="128"/>
      <c r="BB3010" s="128"/>
      <c r="BC3010" s="128"/>
      <c r="BD3010" s="128"/>
      <c r="BE3010" s="128"/>
      <c r="BF3010" s="128"/>
      <c r="BG3010" s="128"/>
      <c r="BH3010" s="128"/>
      <c r="BI3010" s="128"/>
      <c r="BJ3010" s="128"/>
      <c r="BK3010" s="128"/>
      <c r="BL3010" s="128"/>
      <c r="BM3010" s="151"/>
      <c r="BN3010" s="128"/>
      <c r="BO3010" s="128"/>
      <c r="BP3010" s="128"/>
      <c r="BQ3010" s="128"/>
      <c r="BR3010" s="128"/>
      <c r="BS3010" s="128"/>
      <c r="BT3010" s="128"/>
      <c r="BU3010" s="128"/>
      <c r="BV3010" s="128"/>
      <c r="BW3010" s="128"/>
      <c r="BX3010" s="128"/>
      <c r="BY3010" s="128"/>
      <c r="BZ3010" s="128"/>
      <c r="CA3010" s="128"/>
      <c r="CB3010" s="128"/>
      <c r="CC3010" s="128"/>
      <c r="CD3010" s="128"/>
      <c r="CE3010" s="128"/>
      <c r="CF3010" s="128"/>
      <c r="CG3010" s="128"/>
      <c r="CI3010" s="128"/>
      <c r="CJ3010" s="128"/>
      <c r="CK3010" s="128"/>
      <c r="CL3010" s="128"/>
      <c r="CM3010" s="128"/>
      <c r="CN3010" s="128"/>
      <c r="CO3010" s="128"/>
      <c r="CP3010" s="128"/>
      <c r="CQ3010" s="128"/>
      <c r="CR3010" s="128"/>
      <c r="CS3010" s="128"/>
      <c r="CT3010" s="128"/>
      <c r="CU3010" s="128"/>
      <c r="CV3010" s="128"/>
      <c r="CW3010" s="128"/>
      <c r="CX3010" s="128"/>
      <c r="CY3010" s="128"/>
      <c r="CZ3010" s="165"/>
    </row>
    <row r="3011" spans="1:104">
      <c r="A3011" s="149"/>
      <c r="B3011" s="149"/>
      <c r="C3011" s="150"/>
      <c r="D3011" s="102"/>
      <c r="E3011" s="149"/>
      <c r="F3011" s="149"/>
      <c r="G3011" s="149"/>
      <c r="H3011" s="149"/>
      <c r="I3011" s="149"/>
      <c r="J3011" s="149"/>
      <c r="K3011" s="149"/>
      <c r="L3011" s="149"/>
      <c r="M3011" s="149"/>
      <c r="N3011" s="149"/>
      <c r="O3011" s="149"/>
      <c r="P3011" s="149"/>
      <c r="Q3011" s="149"/>
      <c r="R3011" s="149"/>
      <c r="S3011" s="149"/>
      <c r="T3011" s="149"/>
      <c r="U3011" s="149"/>
      <c r="V3011" s="149"/>
      <c r="W3011" s="149"/>
      <c r="X3011" s="149"/>
      <c r="Y3011" s="149"/>
      <c r="Z3011" s="149"/>
      <c r="AA3011" s="149"/>
      <c r="AB3011" s="149"/>
      <c r="AC3011" s="149"/>
      <c r="AD3011" s="149"/>
      <c r="AE3011" s="149"/>
      <c r="AF3011" s="149"/>
      <c r="AG3011" s="149"/>
      <c r="AH3011" s="149"/>
      <c r="AI3011" s="149"/>
      <c r="AJ3011" s="149"/>
      <c r="AK3011" s="149"/>
      <c r="AL3011" s="149"/>
      <c r="AM3011" s="149"/>
      <c r="AN3011" s="149"/>
      <c r="AO3011" s="128"/>
      <c r="AP3011" s="128"/>
      <c r="AQ3011" s="128"/>
      <c r="AR3011" s="128"/>
      <c r="AS3011" s="128"/>
      <c r="AT3011" s="128"/>
      <c r="AU3011" s="128"/>
      <c r="AV3011" s="128"/>
      <c r="AW3011" s="128"/>
      <c r="AX3011" s="128"/>
      <c r="AY3011" s="128"/>
      <c r="AZ3011" s="128"/>
      <c r="BA3011" s="128"/>
      <c r="BB3011" s="128"/>
      <c r="BC3011" s="128"/>
      <c r="BD3011" s="128"/>
      <c r="BE3011" s="128"/>
      <c r="BF3011" s="128"/>
      <c r="BG3011" s="128"/>
      <c r="BH3011" s="128"/>
      <c r="BI3011" s="128"/>
      <c r="BJ3011" s="128"/>
      <c r="BK3011" s="128"/>
      <c r="BL3011" s="128"/>
      <c r="BM3011" s="151"/>
      <c r="BN3011" s="128"/>
      <c r="BO3011" s="128"/>
      <c r="BP3011" s="128"/>
      <c r="BQ3011" s="128"/>
      <c r="BR3011" s="128"/>
      <c r="BS3011" s="128"/>
      <c r="BT3011" s="128"/>
      <c r="BU3011" s="128"/>
      <c r="BV3011" s="128"/>
      <c r="BW3011" s="128"/>
      <c r="BX3011" s="128"/>
      <c r="BY3011" s="128"/>
      <c r="BZ3011" s="128"/>
      <c r="CA3011" s="128"/>
      <c r="CB3011" s="128"/>
      <c r="CC3011" s="128"/>
      <c r="CD3011" s="128"/>
      <c r="CE3011" s="128"/>
      <c r="CF3011" s="128"/>
      <c r="CG3011" s="128"/>
      <c r="CI3011" s="128"/>
      <c r="CJ3011" s="128"/>
      <c r="CK3011" s="128"/>
      <c r="CL3011" s="128"/>
      <c r="CM3011" s="128"/>
      <c r="CN3011" s="128"/>
      <c r="CO3011" s="128"/>
      <c r="CP3011" s="128"/>
      <c r="CQ3011" s="128"/>
      <c r="CR3011" s="128"/>
      <c r="CS3011" s="128"/>
      <c r="CT3011" s="128"/>
      <c r="CU3011" s="128"/>
      <c r="CV3011" s="128"/>
      <c r="CW3011" s="128"/>
      <c r="CX3011" s="128"/>
      <c r="CY3011" s="128"/>
      <c r="CZ3011" s="165"/>
    </row>
    <row r="3012" spans="1:104">
      <c r="A3012" s="149"/>
      <c r="B3012" s="149"/>
      <c r="C3012" s="150"/>
      <c r="D3012" s="102"/>
      <c r="E3012" s="149"/>
      <c r="F3012" s="149"/>
      <c r="G3012" s="149"/>
      <c r="H3012" s="149"/>
      <c r="I3012" s="149"/>
      <c r="J3012" s="149"/>
      <c r="K3012" s="149"/>
      <c r="L3012" s="149"/>
      <c r="M3012" s="149"/>
      <c r="N3012" s="149"/>
      <c r="O3012" s="149"/>
      <c r="P3012" s="149"/>
      <c r="Q3012" s="149"/>
      <c r="R3012" s="149"/>
      <c r="S3012" s="149"/>
      <c r="T3012" s="149"/>
      <c r="U3012" s="149"/>
      <c r="V3012" s="149"/>
      <c r="W3012" s="149"/>
      <c r="X3012" s="149"/>
      <c r="Y3012" s="149"/>
      <c r="Z3012" s="149"/>
      <c r="AA3012" s="149"/>
      <c r="AB3012" s="149"/>
      <c r="AC3012" s="149"/>
      <c r="AD3012" s="149"/>
      <c r="AE3012" s="149"/>
      <c r="AF3012" s="149"/>
      <c r="AG3012" s="149"/>
      <c r="AH3012" s="149"/>
      <c r="AI3012" s="149"/>
      <c r="AJ3012" s="149"/>
      <c r="AK3012" s="149"/>
      <c r="AL3012" s="149"/>
      <c r="AM3012" s="149"/>
      <c r="AN3012" s="149"/>
      <c r="AO3012" s="128"/>
      <c r="AP3012" s="128"/>
      <c r="AQ3012" s="128"/>
      <c r="AR3012" s="128"/>
      <c r="AS3012" s="128"/>
      <c r="AT3012" s="128"/>
      <c r="AU3012" s="128"/>
      <c r="AV3012" s="128"/>
      <c r="AW3012" s="128"/>
      <c r="AX3012" s="128"/>
      <c r="AY3012" s="128"/>
      <c r="AZ3012" s="128"/>
      <c r="BA3012" s="128"/>
      <c r="BB3012" s="128"/>
      <c r="BC3012" s="128"/>
      <c r="BD3012" s="128"/>
      <c r="BE3012" s="128"/>
      <c r="BF3012" s="128"/>
      <c r="BG3012" s="128"/>
      <c r="BH3012" s="128"/>
      <c r="BI3012" s="128"/>
      <c r="BJ3012" s="128"/>
      <c r="BK3012" s="128"/>
      <c r="BL3012" s="128"/>
      <c r="BM3012" s="151"/>
      <c r="BN3012" s="128"/>
      <c r="BO3012" s="128"/>
      <c r="BP3012" s="128"/>
      <c r="BQ3012" s="128"/>
      <c r="BR3012" s="128"/>
      <c r="BS3012" s="128"/>
      <c r="BT3012" s="128"/>
      <c r="BU3012" s="128"/>
      <c r="BV3012" s="128"/>
      <c r="BW3012" s="128"/>
      <c r="BX3012" s="128"/>
      <c r="BY3012" s="128"/>
      <c r="BZ3012" s="128"/>
      <c r="CA3012" s="128"/>
      <c r="CB3012" s="128"/>
      <c r="CC3012" s="128"/>
      <c r="CD3012" s="128"/>
      <c r="CE3012" s="128"/>
      <c r="CF3012" s="128"/>
      <c r="CG3012" s="128"/>
      <c r="CI3012" s="128"/>
      <c r="CJ3012" s="128"/>
      <c r="CK3012" s="128"/>
      <c r="CL3012" s="128"/>
      <c r="CM3012" s="128"/>
      <c r="CN3012" s="128"/>
      <c r="CO3012" s="128"/>
      <c r="CP3012" s="128"/>
      <c r="CQ3012" s="128"/>
      <c r="CR3012" s="128"/>
      <c r="CS3012" s="128"/>
      <c r="CT3012" s="128"/>
      <c r="CU3012" s="128"/>
      <c r="CV3012" s="128"/>
      <c r="CW3012" s="128"/>
      <c r="CX3012" s="128"/>
      <c r="CY3012" s="128"/>
      <c r="CZ3012" s="165"/>
    </row>
    <row r="3013" spans="1:104">
      <c r="A3013" s="149"/>
      <c r="B3013" s="149"/>
      <c r="C3013" s="150"/>
      <c r="D3013" s="102"/>
      <c r="E3013" s="149"/>
      <c r="F3013" s="149"/>
      <c r="G3013" s="149"/>
      <c r="H3013" s="149"/>
      <c r="I3013" s="149"/>
      <c r="J3013" s="149"/>
      <c r="K3013" s="149"/>
      <c r="L3013" s="149"/>
      <c r="M3013" s="149"/>
      <c r="N3013" s="149"/>
      <c r="O3013" s="149"/>
      <c r="P3013" s="149"/>
      <c r="Q3013" s="149"/>
      <c r="R3013" s="149"/>
      <c r="S3013" s="149"/>
      <c r="T3013" s="149"/>
      <c r="U3013" s="149"/>
      <c r="V3013" s="149"/>
      <c r="W3013" s="149"/>
      <c r="X3013" s="149"/>
      <c r="Y3013" s="149"/>
      <c r="Z3013" s="149"/>
      <c r="AA3013" s="149"/>
      <c r="AB3013" s="149"/>
      <c r="AC3013" s="149"/>
      <c r="AD3013" s="149"/>
      <c r="AE3013" s="149"/>
      <c r="AF3013" s="149"/>
      <c r="AG3013" s="149"/>
      <c r="AH3013" s="149"/>
      <c r="AI3013" s="149"/>
      <c r="AJ3013" s="149"/>
      <c r="AK3013" s="149"/>
      <c r="AL3013" s="149"/>
      <c r="AM3013" s="149"/>
      <c r="AN3013" s="149"/>
      <c r="AO3013" s="128"/>
      <c r="AP3013" s="128"/>
      <c r="AQ3013" s="128"/>
      <c r="AR3013" s="128"/>
      <c r="AS3013" s="128"/>
      <c r="AT3013" s="128"/>
      <c r="AU3013" s="128"/>
      <c r="AV3013" s="128"/>
      <c r="AW3013" s="128"/>
      <c r="AX3013" s="128"/>
      <c r="AY3013" s="128"/>
      <c r="AZ3013" s="128"/>
      <c r="BA3013" s="128"/>
      <c r="BB3013" s="128"/>
      <c r="BC3013" s="128"/>
      <c r="BD3013" s="128"/>
      <c r="BE3013" s="128"/>
      <c r="BF3013" s="128"/>
      <c r="BG3013" s="128"/>
      <c r="BH3013" s="128"/>
      <c r="BI3013" s="128"/>
      <c r="BJ3013" s="128"/>
      <c r="BK3013" s="128"/>
      <c r="BL3013" s="128"/>
      <c r="BM3013" s="151"/>
      <c r="BN3013" s="128"/>
      <c r="BO3013" s="128"/>
      <c r="BP3013" s="128"/>
      <c r="BQ3013" s="128"/>
      <c r="BR3013" s="128"/>
      <c r="BS3013" s="128"/>
      <c r="BT3013" s="128"/>
      <c r="BU3013" s="128"/>
      <c r="BV3013" s="128"/>
      <c r="BW3013" s="128"/>
      <c r="BX3013" s="128"/>
      <c r="BY3013" s="128"/>
      <c r="BZ3013" s="128"/>
      <c r="CA3013" s="128"/>
      <c r="CB3013" s="128"/>
      <c r="CC3013" s="128"/>
      <c r="CD3013" s="128"/>
      <c r="CE3013" s="128"/>
      <c r="CF3013" s="128"/>
      <c r="CG3013" s="128"/>
      <c r="CI3013" s="128"/>
      <c r="CJ3013" s="128"/>
      <c r="CK3013" s="128"/>
      <c r="CL3013" s="128"/>
      <c r="CM3013" s="128"/>
      <c r="CN3013" s="128"/>
      <c r="CO3013" s="128"/>
      <c r="CP3013" s="128"/>
      <c r="CQ3013" s="128"/>
      <c r="CR3013" s="128"/>
      <c r="CS3013" s="128"/>
      <c r="CT3013" s="128"/>
      <c r="CU3013" s="128"/>
      <c r="CV3013" s="128"/>
      <c r="CW3013" s="128"/>
      <c r="CX3013" s="128"/>
      <c r="CY3013" s="128"/>
      <c r="CZ3013" s="165"/>
    </row>
    <row r="3014" spans="1:104">
      <c r="A3014" s="149"/>
      <c r="B3014" s="149"/>
      <c r="C3014" s="150"/>
      <c r="D3014" s="102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  <c r="Z3014" s="149"/>
      <c r="AA3014" s="149"/>
      <c r="AB3014" s="149"/>
      <c r="AC3014" s="149"/>
      <c r="AD3014" s="149"/>
      <c r="AE3014" s="149"/>
      <c r="AF3014" s="149"/>
      <c r="AG3014" s="149"/>
      <c r="AH3014" s="149"/>
      <c r="AI3014" s="149"/>
      <c r="AJ3014" s="149"/>
      <c r="AK3014" s="149"/>
      <c r="AL3014" s="149"/>
      <c r="AM3014" s="149"/>
      <c r="AN3014" s="149"/>
      <c r="AO3014" s="128"/>
      <c r="AP3014" s="128"/>
      <c r="AQ3014" s="128"/>
      <c r="AR3014" s="128"/>
      <c r="AS3014" s="128"/>
      <c r="AT3014" s="128"/>
      <c r="AU3014" s="128"/>
      <c r="AV3014" s="128"/>
      <c r="AW3014" s="128"/>
      <c r="AX3014" s="128"/>
      <c r="AY3014" s="128"/>
      <c r="AZ3014" s="128"/>
      <c r="BA3014" s="128"/>
      <c r="BB3014" s="128"/>
      <c r="BC3014" s="128"/>
      <c r="BD3014" s="128"/>
      <c r="BE3014" s="128"/>
      <c r="BF3014" s="128"/>
      <c r="BG3014" s="128"/>
      <c r="BH3014" s="128"/>
      <c r="BI3014" s="128"/>
      <c r="BJ3014" s="128"/>
      <c r="BK3014" s="128"/>
      <c r="BL3014" s="128"/>
      <c r="BM3014" s="151"/>
      <c r="BN3014" s="128"/>
      <c r="BO3014" s="128"/>
      <c r="BP3014" s="128"/>
      <c r="BQ3014" s="128"/>
      <c r="BR3014" s="128"/>
      <c r="BS3014" s="128"/>
      <c r="BT3014" s="128"/>
      <c r="BU3014" s="128"/>
      <c r="BV3014" s="128"/>
      <c r="BW3014" s="128"/>
      <c r="BX3014" s="128"/>
      <c r="BY3014" s="128"/>
      <c r="BZ3014" s="128"/>
      <c r="CA3014" s="128"/>
      <c r="CB3014" s="128"/>
      <c r="CC3014" s="128"/>
      <c r="CD3014" s="128"/>
      <c r="CE3014" s="128"/>
      <c r="CF3014" s="128"/>
      <c r="CG3014" s="128"/>
      <c r="CI3014" s="128"/>
      <c r="CJ3014" s="128"/>
      <c r="CK3014" s="128"/>
      <c r="CL3014" s="128"/>
      <c r="CM3014" s="128"/>
      <c r="CN3014" s="128"/>
      <c r="CO3014" s="128"/>
      <c r="CP3014" s="128"/>
      <c r="CQ3014" s="128"/>
      <c r="CR3014" s="128"/>
      <c r="CS3014" s="128"/>
      <c r="CT3014" s="128"/>
      <c r="CU3014" s="128"/>
      <c r="CV3014" s="128"/>
      <c r="CW3014" s="128"/>
      <c r="CX3014" s="128"/>
      <c r="CY3014" s="128"/>
      <c r="CZ3014" s="165"/>
    </row>
    <row r="3015" spans="1:104">
      <c r="A3015" s="149"/>
      <c r="B3015" s="149"/>
      <c r="C3015" s="150"/>
      <c r="D3015" s="102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  <c r="Z3015" s="149"/>
      <c r="AA3015" s="149"/>
      <c r="AB3015" s="149"/>
      <c r="AC3015" s="149"/>
      <c r="AD3015" s="149"/>
      <c r="AE3015" s="149"/>
      <c r="AF3015" s="149"/>
      <c r="AG3015" s="149"/>
      <c r="AH3015" s="149"/>
      <c r="AI3015" s="149"/>
      <c r="AJ3015" s="149"/>
      <c r="AK3015" s="149"/>
      <c r="AL3015" s="149"/>
      <c r="AM3015" s="149"/>
      <c r="AN3015" s="149"/>
      <c r="AO3015" s="128"/>
      <c r="AP3015" s="128"/>
      <c r="AQ3015" s="128"/>
      <c r="AR3015" s="128"/>
      <c r="AS3015" s="128"/>
      <c r="AT3015" s="128"/>
      <c r="AU3015" s="128"/>
      <c r="AV3015" s="128"/>
      <c r="AW3015" s="128"/>
      <c r="AX3015" s="128"/>
      <c r="AY3015" s="128"/>
      <c r="AZ3015" s="128"/>
      <c r="BA3015" s="128"/>
      <c r="BB3015" s="128"/>
      <c r="BC3015" s="128"/>
      <c r="BD3015" s="128"/>
      <c r="BE3015" s="128"/>
      <c r="BF3015" s="128"/>
      <c r="BG3015" s="128"/>
      <c r="BH3015" s="128"/>
      <c r="BI3015" s="128"/>
      <c r="BJ3015" s="128"/>
      <c r="BK3015" s="128"/>
      <c r="BL3015" s="128"/>
      <c r="BM3015" s="151"/>
      <c r="BN3015" s="128"/>
      <c r="BO3015" s="128"/>
      <c r="BP3015" s="128"/>
      <c r="BQ3015" s="128"/>
      <c r="BR3015" s="128"/>
      <c r="BS3015" s="128"/>
      <c r="BT3015" s="128"/>
      <c r="BU3015" s="128"/>
      <c r="BV3015" s="128"/>
      <c r="BW3015" s="128"/>
      <c r="BX3015" s="128"/>
      <c r="BY3015" s="128"/>
      <c r="BZ3015" s="128"/>
      <c r="CA3015" s="128"/>
      <c r="CB3015" s="128"/>
      <c r="CC3015" s="128"/>
      <c r="CD3015" s="128"/>
      <c r="CE3015" s="128"/>
      <c r="CF3015" s="128"/>
      <c r="CG3015" s="128"/>
      <c r="CI3015" s="128"/>
      <c r="CJ3015" s="128"/>
      <c r="CK3015" s="128"/>
      <c r="CL3015" s="128"/>
      <c r="CM3015" s="128"/>
      <c r="CN3015" s="128"/>
      <c r="CO3015" s="128"/>
      <c r="CP3015" s="128"/>
      <c r="CQ3015" s="128"/>
      <c r="CR3015" s="128"/>
      <c r="CS3015" s="128"/>
      <c r="CT3015" s="128"/>
      <c r="CU3015" s="128"/>
      <c r="CV3015" s="128"/>
      <c r="CW3015" s="128"/>
      <c r="CX3015" s="128"/>
      <c r="CY3015" s="128"/>
      <c r="CZ3015" s="165"/>
    </row>
    <row r="3016" spans="1:104">
      <c r="A3016" s="149"/>
      <c r="B3016" s="149"/>
      <c r="C3016" s="150"/>
      <c r="D3016" s="102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  <c r="Z3016" s="149"/>
      <c r="AA3016" s="149"/>
      <c r="AB3016" s="149"/>
      <c r="AC3016" s="149"/>
      <c r="AD3016" s="149"/>
      <c r="AE3016" s="149"/>
      <c r="AF3016" s="149"/>
      <c r="AG3016" s="149"/>
      <c r="AH3016" s="149"/>
      <c r="AI3016" s="149"/>
      <c r="AJ3016" s="149"/>
      <c r="AK3016" s="149"/>
      <c r="AL3016" s="149"/>
      <c r="AM3016" s="149"/>
      <c r="AN3016" s="149"/>
      <c r="AO3016" s="128"/>
      <c r="AP3016" s="128"/>
      <c r="AQ3016" s="128"/>
      <c r="AR3016" s="128"/>
      <c r="AS3016" s="128"/>
      <c r="AT3016" s="128"/>
      <c r="AU3016" s="128"/>
      <c r="AV3016" s="128"/>
      <c r="AW3016" s="128"/>
      <c r="AX3016" s="128"/>
      <c r="AY3016" s="128"/>
      <c r="AZ3016" s="128"/>
      <c r="BA3016" s="128"/>
      <c r="BB3016" s="128"/>
      <c r="BC3016" s="128"/>
      <c r="BD3016" s="128"/>
      <c r="BE3016" s="128"/>
      <c r="BF3016" s="128"/>
      <c r="BG3016" s="128"/>
      <c r="BH3016" s="128"/>
      <c r="BI3016" s="128"/>
      <c r="BJ3016" s="128"/>
      <c r="BK3016" s="128"/>
      <c r="BL3016" s="128"/>
      <c r="BM3016" s="151"/>
      <c r="BN3016" s="128"/>
      <c r="BO3016" s="128"/>
      <c r="BP3016" s="128"/>
      <c r="BQ3016" s="128"/>
      <c r="BR3016" s="128"/>
      <c r="BS3016" s="128"/>
      <c r="BT3016" s="128"/>
      <c r="BU3016" s="128"/>
      <c r="BV3016" s="128"/>
      <c r="BW3016" s="128"/>
      <c r="BX3016" s="128"/>
      <c r="BY3016" s="128"/>
      <c r="BZ3016" s="128"/>
      <c r="CA3016" s="128"/>
      <c r="CB3016" s="128"/>
      <c r="CC3016" s="128"/>
      <c r="CD3016" s="128"/>
      <c r="CE3016" s="128"/>
      <c r="CF3016" s="128"/>
      <c r="CG3016" s="128"/>
      <c r="CI3016" s="128"/>
      <c r="CJ3016" s="128"/>
      <c r="CK3016" s="128"/>
      <c r="CL3016" s="128"/>
      <c r="CM3016" s="128"/>
      <c r="CN3016" s="128"/>
      <c r="CO3016" s="128"/>
      <c r="CP3016" s="128"/>
      <c r="CQ3016" s="128"/>
      <c r="CR3016" s="128"/>
      <c r="CS3016" s="128"/>
      <c r="CT3016" s="128"/>
      <c r="CU3016" s="128"/>
      <c r="CV3016" s="128"/>
      <c r="CW3016" s="128"/>
      <c r="CX3016" s="128"/>
      <c r="CY3016" s="128"/>
      <c r="CZ3016" s="165"/>
    </row>
    <row r="3017" spans="1:104">
      <c r="A3017" s="149"/>
      <c r="B3017" s="149"/>
      <c r="C3017" s="150"/>
      <c r="D3017" s="102"/>
      <c r="E3017" s="149"/>
      <c r="F3017" s="149"/>
      <c r="G3017" s="149"/>
      <c r="H3017" s="149"/>
      <c r="I3017" s="149"/>
      <c r="J3017" s="149"/>
      <c r="K3017" s="149"/>
      <c r="L3017" s="149"/>
      <c r="M3017" s="149"/>
      <c r="N3017" s="149"/>
      <c r="O3017" s="149"/>
      <c r="P3017" s="149"/>
      <c r="Q3017" s="149"/>
      <c r="R3017" s="149"/>
      <c r="S3017" s="149"/>
      <c r="T3017" s="149"/>
      <c r="U3017" s="149"/>
      <c r="V3017" s="149"/>
      <c r="W3017" s="149"/>
      <c r="X3017" s="149"/>
      <c r="Y3017" s="149"/>
      <c r="Z3017" s="149"/>
      <c r="AA3017" s="149"/>
      <c r="AB3017" s="149"/>
      <c r="AC3017" s="149"/>
      <c r="AD3017" s="149"/>
      <c r="AE3017" s="149"/>
      <c r="AF3017" s="149"/>
      <c r="AG3017" s="149"/>
      <c r="AH3017" s="149"/>
      <c r="AI3017" s="149"/>
      <c r="AJ3017" s="149"/>
      <c r="AK3017" s="149"/>
      <c r="AL3017" s="149"/>
      <c r="AM3017" s="149"/>
      <c r="AN3017" s="149"/>
      <c r="AO3017" s="128"/>
      <c r="AP3017" s="128"/>
      <c r="AQ3017" s="128"/>
      <c r="AR3017" s="128"/>
      <c r="AS3017" s="128"/>
      <c r="AT3017" s="128"/>
      <c r="AU3017" s="128"/>
      <c r="AV3017" s="128"/>
      <c r="AW3017" s="128"/>
      <c r="AX3017" s="128"/>
      <c r="AY3017" s="128"/>
      <c r="AZ3017" s="128"/>
      <c r="BA3017" s="128"/>
      <c r="BB3017" s="128"/>
      <c r="BC3017" s="128"/>
      <c r="BD3017" s="128"/>
      <c r="BE3017" s="128"/>
      <c r="BF3017" s="128"/>
      <c r="BG3017" s="128"/>
      <c r="BH3017" s="128"/>
      <c r="BI3017" s="128"/>
      <c r="BJ3017" s="128"/>
      <c r="BK3017" s="128"/>
      <c r="BL3017" s="128"/>
      <c r="BM3017" s="151"/>
      <c r="BN3017" s="128"/>
      <c r="BO3017" s="128"/>
      <c r="BP3017" s="128"/>
      <c r="BQ3017" s="128"/>
      <c r="BR3017" s="128"/>
      <c r="BS3017" s="128"/>
      <c r="BT3017" s="128"/>
      <c r="BU3017" s="128"/>
      <c r="BV3017" s="128"/>
      <c r="BW3017" s="128"/>
      <c r="BX3017" s="128"/>
      <c r="BY3017" s="128"/>
      <c r="BZ3017" s="128"/>
      <c r="CA3017" s="128"/>
      <c r="CB3017" s="128"/>
      <c r="CC3017" s="128"/>
      <c r="CD3017" s="128"/>
      <c r="CE3017" s="128"/>
      <c r="CF3017" s="128"/>
      <c r="CG3017" s="128"/>
      <c r="CI3017" s="128"/>
      <c r="CJ3017" s="128"/>
      <c r="CK3017" s="128"/>
      <c r="CL3017" s="128"/>
      <c r="CM3017" s="128"/>
      <c r="CN3017" s="128"/>
      <c r="CO3017" s="128"/>
      <c r="CP3017" s="128"/>
      <c r="CQ3017" s="128"/>
      <c r="CR3017" s="128"/>
      <c r="CS3017" s="128"/>
      <c r="CT3017" s="128"/>
      <c r="CU3017" s="128"/>
      <c r="CV3017" s="128"/>
      <c r="CW3017" s="128"/>
      <c r="CX3017" s="128"/>
      <c r="CY3017" s="128"/>
      <c r="CZ3017" s="165"/>
    </row>
    <row r="3018" spans="1:104">
      <c r="A3018" s="149"/>
      <c r="B3018" s="149"/>
      <c r="C3018" s="150"/>
      <c r="D3018" s="102"/>
      <c r="E3018" s="149"/>
      <c r="F3018" s="149"/>
      <c r="G3018" s="149"/>
      <c r="H3018" s="149"/>
      <c r="I3018" s="149"/>
      <c r="J3018" s="149"/>
      <c r="K3018" s="149"/>
      <c r="L3018" s="149"/>
      <c r="M3018" s="149"/>
      <c r="N3018" s="149"/>
      <c r="O3018" s="149"/>
      <c r="P3018" s="149"/>
      <c r="Q3018" s="149"/>
      <c r="R3018" s="149"/>
      <c r="S3018" s="149"/>
      <c r="T3018" s="149"/>
      <c r="U3018" s="149"/>
      <c r="V3018" s="149"/>
      <c r="W3018" s="149"/>
      <c r="X3018" s="149"/>
      <c r="Y3018" s="149"/>
      <c r="Z3018" s="149"/>
      <c r="AA3018" s="149"/>
      <c r="AB3018" s="149"/>
      <c r="AC3018" s="149"/>
      <c r="AD3018" s="149"/>
      <c r="AE3018" s="149"/>
      <c r="AF3018" s="149"/>
      <c r="AG3018" s="149"/>
      <c r="AH3018" s="149"/>
      <c r="AI3018" s="149"/>
      <c r="AJ3018" s="149"/>
      <c r="AK3018" s="149"/>
      <c r="AL3018" s="149"/>
      <c r="AM3018" s="149"/>
      <c r="AN3018" s="149"/>
      <c r="AO3018" s="128"/>
      <c r="AP3018" s="128"/>
      <c r="AQ3018" s="128"/>
      <c r="AR3018" s="128"/>
      <c r="AS3018" s="128"/>
      <c r="AT3018" s="128"/>
      <c r="AU3018" s="128"/>
      <c r="AV3018" s="128"/>
      <c r="AW3018" s="128"/>
      <c r="AX3018" s="128"/>
      <c r="AY3018" s="128"/>
      <c r="AZ3018" s="128"/>
      <c r="BA3018" s="128"/>
      <c r="BB3018" s="128"/>
      <c r="BC3018" s="128"/>
      <c r="BD3018" s="128"/>
      <c r="BE3018" s="128"/>
      <c r="BF3018" s="128"/>
      <c r="BG3018" s="128"/>
      <c r="BH3018" s="128"/>
      <c r="BI3018" s="128"/>
      <c r="BJ3018" s="128"/>
      <c r="BK3018" s="128"/>
      <c r="BL3018" s="128"/>
      <c r="BM3018" s="151"/>
      <c r="BN3018" s="128"/>
      <c r="BO3018" s="128"/>
      <c r="BP3018" s="128"/>
      <c r="BQ3018" s="128"/>
      <c r="BR3018" s="128"/>
      <c r="BS3018" s="128"/>
      <c r="BT3018" s="128"/>
      <c r="BU3018" s="128"/>
      <c r="BV3018" s="128"/>
      <c r="BW3018" s="128"/>
      <c r="BX3018" s="128"/>
      <c r="BY3018" s="128"/>
      <c r="BZ3018" s="128"/>
      <c r="CA3018" s="128"/>
      <c r="CB3018" s="128"/>
      <c r="CC3018" s="128"/>
      <c r="CD3018" s="128"/>
      <c r="CE3018" s="128"/>
      <c r="CF3018" s="128"/>
      <c r="CG3018" s="128"/>
      <c r="CI3018" s="128"/>
      <c r="CJ3018" s="128"/>
      <c r="CK3018" s="128"/>
      <c r="CL3018" s="128"/>
      <c r="CM3018" s="128"/>
      <c r="CN3018" s="128"/>
      <c r="CO3018" s="128"/>
      <c r="CP3018" s="128"/>
      <c r="CQ3018" s="128"/>
      <c r="CR3018" s="128"/>
      <c r="CS3018" s="128"/>
      <c r="CT3018" s="128"/>
      <c r="CU3018" s="128"/>
      <c r="CV3018" s="128"/>
      <c r="CW3018" s="128"/>
      <c r="CX3018" s="128"/>
      <c r="CY3018" s="128"/>
      <c r="CZ3018" s="165"/>
    </row>
    <row r="3019" spans="1:104">
      <c r="A3019" s="149"/>
      <c r="B3019" s="149"/>
      <c r="C3019" s="150"/>
      <c r="D3019" s="102"/>
      <c r="E3019" s="149"/>
      <c r="F3019" s="149"/>
      <c r="G3019" s="149"/>
      <c r="H3019" s="149"/>
      <c r="I3019" s="149"/>
      <c r="J3019" s="149"/>
      <c r="K3019" s="149"/>
      <c r="L3019" s="149"/>
      <c r="M3019" s="149"/>
      <c r="N3019" s="149"/>
      <c r="O3019" s="149"/>
      <c r="P3019" s="149"/>
      <c r="Q3019" s="149"/>
      <c r="R3019" s="149"/>
      <c r="S3019" s="149"/>
      <c r="T3019" s="149"/>
      <c r="U3019" s="149"/>
      <c r="V3019" s="149"/>
      <c r="W3019" s="149"/>
      <c r="X3019" s="149"/>
      <c r="Y3019" s="149"/>
      <c r="Z3019" s="149"/>
      <c r="AA3019" s="149"/>
      <c r="AB3019" s="149"/>
      <c r="AC3019" s="149"/>
      <c r="AD3019" s="149"/>
      <c r="AE3019" s="149"/>
      <c r="AF3019" s="149"/>
      <c r="AG3019" s="149"/>
      <c r="AH3019" s="149"/>
      <c r="AI3019" s="149"/>
      <c r="AJ3019" s="149"/>
      <c r="AK3019" s="149"/>
      <c r="AL3019" s="149"/>
      <c r="AM3019" s="149"/>
      <c r="AN3019" s="149"/>
      <c r="AO3019" s="128"/>
      <c r="AP3019" s="128"/>
      <c r="AQ3019" s="128"/>
      <c r="AR3019" s="128"/>
      <c r="AS3019" s="128"/>
      <c r="AT3019" s="128"/>
      <c r="AU3019" s="128"/>
      <c r="AV3019" s="128"/>
      <c r="AW3019" s="128"/>
      <c r="AX3019" s="128"/>
      <c r="AY3019" s="128"/>
      <c r="AZ3019" s="128"/>
      <c r="BA3019" s="128"/>
      <c r="BB3019" s="128"/>
      <c r="BC3019" s="128"/>
      <c r="BD3019" s="128"/>
      <c r="BE3019" s="128"/>
      <c r="BF3019" s="128"/>
      <c r="BG3019" s="128"/>
      <c r="BH3019" s="128"/>
      <c r="BI3019" s="128"/>
      <c r="BJ3019" s="128"/>
      <c r="BK3019" s="128"/>
      <c r="BL3019" s="128"/>
      <c r="BM3019" s="151"/>
      <c r="BN3019" s="128"/>
      <c r="BO3019" s="128"/>
      <c r="BP3019" s="128"/>
      <c r="BQ3019" s="128"/>
      <c r="BR3019" s="128"/>
      <c r="BS3019" s="128"/>
      <c r="BT3019" s="128"/>
      <c r="BU3019" s="128"/>
      <c r="BV3019" s="128"/>
      <c r="BW3019" s="128"/>
      <c r="BX3019" s="128"/>
      <c r="BY3019" s="128"/>
      <c r="BZ3019" s="128"/>
      <c r="CA3019" s="128"/>
      <c r="CB3019" s="128"/>
      <c r="CC3019" s="128"/>
      <c r="CD3019" s="128"/>
      <c r="CE3019" s="128"/>
      <c r="CF3019" s="128"/>
      <c r="CG3019" s="128"/>
      <c r="CI3019" s="128"/>
      <c r="CJ3019" s="128"/>
      <c r="CK3019" s="128"/>
      <c r="CL3019" s="128"/>
      <c r="CM3019" s="128"/>
      <c r="CN3019" s="128"/>
      <c r="CO3019" s="128"/>
      <c r="CP3019" s="128"/>
      <c r="CQ3019" s="128"/>
      <c r="CR3019" s="128"/>
      <c r="CS3019" s="128"/>
      <c r="CT3019" s="128"/>
      <c r="CU3019" s="128"/>
      <c r="CV3019" s="128"/>
      <c r="CW3019" s="128"/>
      <c r="CX3019" s="128"/>
      <c r="CY3019" s="128"/>
      <c r="CZ3019" s="165"/>
    </row>
    <row r="3020" spans="1:104">
      <c r="A3020" s="149"/>
      <c r="B3020" s="149"/>
      <c r="C3020" s="150"/>
      <c r="D3020" s="102"/>
      <c r="E3020" s="149"/>
      <c r="F3020" s="149"/>
      <c r="G3020" s="149"/>
      <c r="H3020" s="149"/>
      <c r="I3020" s="149"/>
      <c r="J3020" s="149"/>
      <c r="K3020" s="149"/>
      <c r="L3020" s="149"/>
      <c r="M3020" s="149"/>
      <c r="N3020" s="149"/>
      <c r="O3020" s="149"/>
      <c r="P3020" s="149"/>
      <c r="Q3020" s="149"/>
      <c r="R3020" s="149"/>
      <c r="S3020" s="149"/>
      <c r="T3020" s="149"/>
      <c r="U3020" s="149"/>
      <c r="V3020" s="149"/>
      <c r="W3020" s="149"/>
      <c r="X3020" s="149"/>
      <c r="Y3020" s="149"/>
      <c r="Z3020" s="149"/>
      <c r="AA3020" s="149"/>
      <c r="AB3020" s="149"/>
      <c r="AC3020" s="149"/>
      <c r="AD3020" s="149"/>
      <c r="AE3020" s="149"/>
      <c r="AF3020" s="149"/>
      <c r="AG3020" s="149"/>
      <c r="AH3020" s="149"/>
      <c r="AI3020" s="149"/>
      <c r="AJ3020" s="149"/>
      <c r="AK3020" s="149"/>
      <c r="AL3020" s="149"/>
      <c r="AM3020" s="149"/>
      <c r="AN3020" s="149"/>
      <c r="AO3020" s="128"/>
      <c r="AP3020" s="128"/>
      <c r="AQ3020" s="128"/>
      <c r="AR3020" s="128"/>
      <c r="AS3020" s="128"/>
      <c r="AT3020" s="128"/>
      <c r="AU3020" s="128"/>
      <c r="AV3020" s="128"/>
      <c r="AW3020" s="128"/>
      <c r="AX3020" s="128"/>
      <c r="AY3020" s="128"/>
      <c r="AZ3020" s="128"/>
      <c r="BA3020" s="128"/>
      <c r="BB3020" s="128"/>
      <c r="BC3020" s="128"/>
      <c r="BD3020" s="128"/>
      <c r="BE3020" s="128"/>
      <c r="BF3020" s="128"/>
      <c r="BG3020" s="128"/>
      <c r="BH3020" s="128"/>
      <c r="BI3020" s="128"/>
      <c r="BJ3020" s="128"/>
      <c r="BK3020" s="128"/>
      <c r="BL3020" s="128"/>
      <c r="BM3020" s="151"/>
      <c r="BN3020" s="128"/>
      <c r="BO3020" s="128"/>
      <c r="BP3020" s="128"/>
      <c r="BQ3020" s="128"/>
      <c r="BR3020" s="128"/>
      <c r="BS3020" s="128"/>
      <c r="BT3020" s="128"/>
      <c r="BU3020" s="128"/>
      <c r="BV3020" s="128"/>
      <c r="BW3020" s="128"/>
      <c r="BX3020" s="128"/>
      <c r="BY3020" s="128"/>
      <c r="BZ3020" s="128"/>
      <c r="CA3020" s="128"/>
      <c r="CB3020" s="128"/>
      <c r="CC3020" s="128"/>
      <c r="CD3020" s="128"/>
      <c r="CE3020" s="128"/>
      <c r="CF3020" s="128"/>
      <c r="CG3020" s="128"/>
      <c r="CI3020" s="128"/>
      <c r="CJ3020" s="128"/>
      <c r="CK3020" s="128"/>
      <c r="CL3020" s="128"/>
      <c r="CM3020" s="128"/>
      <c r="CN3020" s="128"/>
      <c r="CO3020" s="128"/>
      <c r="CP3020" s="128"/>
      <c r="CQ3020" s="128"/>
      <c r="CR3020" s="128"/>
      <c r="CS3020" s="128"/>
      <c r="CT3020" s="128"/>
      <c r="CU3020" s="128"/>
      <c r="CV3020" s="128"/>
      <c r="CW3020" s="128"/>
      <c r="CX3020" s="128"/>
      <c r="CY3020" s="128"/>
      <c r="CZ3020" s="165"/>
    </row>
    <row r="3021" spans="1:104">
      <c r="A3021" s="149"/>
      <c r="B3021" s="149"/>
      <c r="C3021" s="150"/>
      <c r="D3021" s="102"/>
      <c r="E3021" s="149"/>
      <c r="F3021" s="149"/>
      <c r="G3021" s="149"/>
      <c r="H3021" s="149"/>
      <c r="I3021" s="149"/>
      <c r="J3021" s="149"/>
      <c r="K3021" s="149"/>
      <c r="L3021" s="149"/>
      <c r="M3021" s="149"/>
      <c r="N3021" s="149"/>
      <c r="O3021" s="149"/>
      <c r="P3021" s="149"/>
      <c r="Q3021" s="149"/>
      <c r="R3021" s="149"/>
      <c r="S3021" s="149"/>
      <c r="T3021" s="149"/>
      <c r="U3021" s="149"/>
      <c r="V3021" s="149"/>
      <c r="W3021" s="149"/>
      <c r="X3021" s="149"/>
      <c r="Y3021" s="149"/>
      <c r="Z3021" s="149"/>
      <c r="AA3021" s="149"/>
      <c r="AB3021" s="149"/>
      <c r="AC3021" s="149"/>
      <c r="AD3021" s="149"/>
      <c r="AE3021" s="149"/>
      <c r="AF3021" s="149"/>
      <c r="AG3021" s="149"/>
      <c r="AH3021" s="149"/>
      <c r="AI3021" s="149"/>
      <c r="AJ3021" s="149"/>
      <c r="AK3021" s="149"/>
      <c r="AL3021" s="149"/>
      <c r="AM3021" s="149"/>
      <c r="AN3021" s="149"/>
      <c r="AO3021" s="128"/>
      <c r="AP3021" s="128"/>
      <c r="AQ3021" s="128"/>
      <c r="AR3021" s="128"/>
      <c r="AS3021" s="128"/>
      <c r="AT3021" s="128"/>
      <c r="AU3021" s="128"/>
      <c r="AV3021" s="128"/>
      <c r="AW3021" s="128"/>
      <c r="AX3021" s="128"/>
      <c r="AY3021" s="128"/>
      <c r="AZ3021" s="128"/>
      <c r="BA3021" s="128"/>
      <c r="BB3021" s="128"/>
      <c r="BC3021" s="128"/>
      <c r="BD3021" s="128"/>
      <c r="BE3021" s="128"/>
      <c r="BF3021" s="128"/>
      <c r="BG3021" s="128"/>
      <c r="BH3021" s="128"/>
      <c r="BI3021" s="128"/>
      <c r="BJ3021" s="128"/>
      <c r="BK3021" s="128"/>
      <c r="BL3021" s="128"/>
      <c r="BM3021" s="151"/>
      <c r="BN3021" s="128"/>
      <c r="BO3021" s="128"/>
      <c r="BP3021" s="128"/>
      <c r="BQ3021" s="128"/>
      <c r="BR3021" s="128"/>
      <c r="BS3021" s="128"/>
      <c r="BT3021" s="128"/>
      <c r="BU3021" s="128"/>
      <c r="BV3021" s="128"/>
      <c r="BW3021" s="128"/>
      <c r="BX3021" s="128"/>
      <c r="BY3021" s="128"/>
      <c r="BZ3021" s="128"/>
      <c r="CA3021" s="128"/>
      <c r="CB3021" s="128"/>
      <c r="CC3021" s="128"/>
      <c r="CD3021" s="128"/>
      <c r="CE3021" s="128"/>
      <c r="CF3021" s="128"/>
      <c r="CG3021" s="128"/>
      <c r="CI3021" s="128"/>
      <c r="CJ3021" s="128"/>
      <c r="CK3021" s="128"/>
      <c r="CL3021" s="128"/>
      <c r="CM3021" s="128"/>
      <c r="CN3021" s="128"/>
      <c r="CO3021" s="128"/>
      <c r="CP3021" s="128"/>
      <c r="CQ3021" s="128"/>
      <c r="CR3021" s="128"/>
      <c r="CS3021" s="128"/>
      <c r="CT3021" s="128"/>
      <c r="CU3021" s="128"/>
      <c r="CV3021" s="128"/>
      <c r="CW3021" s="128"/>
      <c r="CX3021" s="128"/>
      <c r="CY3021" s="128"/>
      <c r="CZ3021" s="165"/>
    </row>
    <row r="3022" spans="1:104">
      <c r="A3022" s="149"/>
      <c r="B3022" s="149"/>
      <c r="C3022" s="150"/>
      <c r="D3022" s="102"/>
      <c r="E3022" s="149"/>
      <c r="F3022" s="149"/>
      <c r="G3022" s="149"/>
      <c r="H3022" s="149"/>
      <c r="I3022" s="149"/>
      <c r="J3022" s="149"/>
      <c r="K3022" s="149"/>
      <c r="L3022" s="149"/>
      <c r="M3022" s="149"/>
      <c r="N3022" s="149"/>
      <c r="O3022" s="149"/>
      <c r="P3022" s="149"/>
      <c r="Q3022" s="149"/>
      <c r="R3022" s="149"/>
      <c r="S3022" s="149"/>
      <c r="T3022" s="149"/>
      <c r="U3022" s="149"/>
      <c r="V3022" s="149"/>
      <c r="W3022" s="149"/>
      <c r="X3022" s="149"/>
      <c r="Y3022" s="149"/>
      <c r="Z3022" s="149"/>
      <c r="AA3022" s="149"/>
      <c r="AB3022" s="149"/>
      <c r="AC3022" s="149"/>
      <c r="AD3022" s="149"/>
      <c r="AE3022" s="149"/>
      <c r="AF3022" s="149"/>
      <c r="AG3022" s="149"/>
      <c r="AH3022" s="149"/>
      <c r="AI3022" s="149"/>
      <c r="AJ3022" s="149"/>
      <c r="AK3022" s="149"/>
      <c r="AL3022" s="149"/>
      <c r="AM3022" s="149"/>
      <c r="AN3022" s="149"/>
      <c r="AO3022" s="128"/>
      <c r="AP3022" s="128"/>
      <c r="AQ3022" s="128"/>
      <c r="AR3022" s="128"/>
      <c r="AS3022" s="128"/>
      <c r="AT3022" s="128"/>
      <c r="AU3022" s="128"/>
      <c r="AV3022" s="128"/>
      <c r="AW3022" s="128"/>
      <c r="AX3022" s="128"/>
      <c r="AY3022" s="128"/>
      <c r="AZ3022" s="128"/>
      <c r="BA3022" s="128"/>
      <c r="BB3022" s="128"/>
      <c r="BC3022" s="128"/>
      <c r="BD3022" s="128"/>
      <c r="BE3022" s="128"/>
      <c r="BF3022" s="128"/>
      <c r="BG3022" s="128"/>
      <c r="BH3022" s="128"/>
      <c r="BI3022" s="128"/>
      <c r="BJ3022" s="128"/>
      <c r="BK3022" s="128"/>
      <c r="BL3022" s="128"/>
      <c r="BM3022" s="151"/>
      <c r="BN3022" s="128"/>
      <c r="BO3022" s="128"/>
      <c r="BP3022" s="128"/>
      <c r="BQ3022" s="128"/>
      <c r="BR3022" s="128"/>
      <c r="BS3022" s="128"/>
      <c r="BT3022" s="128"/>
      <c r="BU3022" s="128"/>
      <c r="BV3022" s="128"/>
      <c r="BW3022" s="128"/>
      <c r="BX3022" s="128"/>
      <c r="BY3022" s="128"/>
      <c r="BZ3022" s="128"/>
      <c r="CA3022" s="128"/>
      <c r="CB3022" s="128"/>
      <c r="CC3022" s="128"/>
      <c r="CD3022" s="128"/>
      <c r="CE3022" s="128"/>
      <c r="CF3022" s="128"/>
      <c r="CG3022" s="128"/>
      <c r="CI3022" s="128"/>
      <c r="CJ3022" s="128"/>
      <c r="CK3022" s="128"/>
      <c r="CL3022" s="128"/>
      <c r="CM3022" s="128"/>
      <c r="CN3022" s="128"/>
      <c r="CO3022" s="128"/>
      <c r="CP3022" s="128"/>
      <c r="CQ3022" s="128"/>
      <c r="CR3022" s="128"/>
      <c r="CS3022" s="128"/>
      <c r="CT3022" s="128"/>
      <c r="CU3022" s="128"/>
      <c r="CV3022" s="128"/>
      <c r="CW3022" s="128"/>
      <c r="CX3022" s="128"/>
      <c r="CY3022" s="128"/>
      <c r="CZ3022" s="165"/>
    </row>
    <row r="3023" spans="1:104">
      <c r="A3023" s="149"/>
      <c r="B3023" s="149"/>
      <c r="C3023" s="150"/>
      <c r="D3023" s="102"/>
      <c r="E3023" s="149"/>
      <c r="F3023" s="149"/>
      <c r="G3023" s="149"/>
      <c r="H3023" s="149"/>
      <c r="I3023" s="149"/>
      <c r="J3023" s="149"/>
      <c r="K3023" s="149"/>
      <c r="L3023" s="149"/>
      <c r="M3023" s="149"/>
      <c r="N3023" s="149"/>
      <c r="O3023" s="149"/>
      <c r="P3023" s="149"/>
      <c r="Q3023" s="149"/>
      <c r="R3023" s="149"/>
      <c r="S3023" s="149"/>
      <c r="T3023" s="149"/>
      <c r="U3023" s="149"/>
      <c r="V3023" s="149"/>
      <c r="W3023" s="149"/>
      <c r="X3023" s="149"/>
      <c r="Y3023" s="149"/>
      <c r="Z3023" s="149"/>
      <c r="AA3023" s="149"/>
      <c r="AB3023" s="149"/>
      <c r="AC3023" s="149"/>
      <c r="AD3023" s="149"/>
      <c r="AE3023" s="149"/>
      <c r="AF3023" s="149"/>
      <c r="AG3023" s="149"/>
      <c r="AH3023" s="149"/>
      <c r="AI3023" s="149"/>
      <c r="AJ3023" s="149"/>
      <c r="AK3023" s="149"/>
      <c r="AL3023" s="149"/>
      <c r="AM3023" s="149"/>
      <c r="AN3023" s="149"/>
      <c r="AO3023" s="128"/>
      <c r="AP3023" s="128"/>
      <c r="AQ3023" s="128"/>
      <c r="AR3023" s="128"/>
      <c r="AS3023" s="128"/>
      <c r="AT3023" s="128"/>
      <c r="AU3023" s="128"/>
      <c r="AV3023" s="128"/>
      <c r="AW3023" s="128"/>
      <c r="AX3023" s="128"/>
      <c r="AY3023" s="128"/>
      <c r="AZ3023" s="128"/>
      <c r="BA3023" s="128"/>
      <c r="BB3023" s="128"/>
      <c r="BC3023" s="128"/>
      <c r="BD3023" s="128"/>
      <c r="BE3023" s="128"/>
      <c r="BF3023" s="128"/>
      <c r="BG3023" s="128"/>
      <c r="BH3023" s="128"/>
      <c r="BI3023" s="128"/>
      <c r="BJ3023" s="128"/>
      <c r="BK3023" s="128"/>
      <c r="BL3023" s="128"/>
      <c r="BM3023" s="151"/>
      <c r="BN3023" s="128"/>
      <c r="BO3023" s="128"/>
      <c r="BP3023" s="128"/>
      <c r="BQ3023" s="128"/>
      <c r="BR3023" s="128"/>
      <c r="BS3023" s="128"/>
      <c r="BT3023" s="128"/>
      <c r="BU3023" s="128"/>
      <c r="BV3023" s="128"/>
      <c r="BW3023" s="128"/>
      <c r="BX3023" s="128"/>
      <c r="BY3023" s="128"/>
      <c r="BZ3023" s="128"/>
      <c r="CA3023" s="128"/>
      <c r="CB3023" s="128"/>
      <c r="CC3023" s="128"/>
      <c r="CD3023" s="128"/>
      <c r="CE3023" s="128"/>
      <c r="CF3023" s="128"/>
      <c r="CG3023" s="128"/>
      <c r="CI3023" s="128"/>
      <c r="CJ3023" s="128"/>
      <c r="CK3023" s="128"/>
      <c r="CL3023" s="128"/>
      <c r="CM3023" s="128"/>
      <c r="CN3023" s="128"/>
      <c r="CO3023" s="128"/>
      <c r="CP3023" s="128"/>
      <c r="CQ3023" s="128"/>
      <c r="CR3023" s="128"/>
      <c r="CS3023" s="128"/>
      <c r="CT3023" s="128"/>
      <c r="CU3023" s="128"/>
      <c r="CV3023" s="128"/>
      <c r="CW3023" s="128"/>
      <c r="CX3023" s="128"/>
      <c r="CY3023" s="128"/>
      <c r="CZ3023" s="165"/>
    </row>
    <row r="3024" spans="1:104">
      <c r="A3024" s="149"/>
      <c r="B3024" s="149"/>
      <c r="C3024" s="150"/>
      <c r="D3024" s="102"/>
      <c r="E3024" s="149"/>
      <c r="F3024" s="149"/>
      <c r="G3024" s="149"/>
      <c r="H3024" s="149"/>
      <c r="I3024" s="149"/>
      <c r="J3024" s="149"/>
      <c r="K3024" s="149"/>
      <c r="L3024" s="149"/>
      <c r="M3024" s="149"/>
      <c r="N3024" s="149"/>
      <c r="O3024" s="149"/>
      <c r="P3024" s="149"/>
      <c r="Q3024" s="149"/>
      <c r="R3024" s="149"/>
      <c r="S3024" s="149"/>
      <c r="T3024" s="149"/>
      <c r="U3024" s="149"/>
      <c r="V3024" s="149"/>
      <c r="W3024" s="149"/>
      <c r="X3024" s="149"/>
      <c r="Y3024" s="149"/>
      <c r="Z3024" s="149"/>
      <c r="AA3024" s="149"/>
      <c r="AB3024" s="149"/>
      <c r="AC3024" s="149"/>
      <c r="AD3024" s="149"/>
      <c r="AE3024" s="149"/>
      <c r="AF3024" s="149"/>
      <c r="AG3024" s="149"/>
      <c r="AH3024" s="149"/>
      <c r="AI3024" s="149"/>
      <c r="AJ3024" s="149"/>
      <c r="AK3024" s="149"/>
      <c r="AL3024" s="149"/>
      <c r="AM3024" s="149"/>
      <c r="AN3024" s="149"/>
      <c r="AO3024" s="128"/>
      <c r="AP3024" s="128"/>
      <c r="AQ3024" s="128"/>
      <c r="AR3024" s="128"/>
      <c r="AS3024" s="128"/>
      <c r="AT3024" s="128"/>
      <c r="AU3024" s="128"/>
      <c r="AV3024" s="128"/>
      <c r="AW3024" s="128"/>
      <c r="AX3024" s="128"/>
      <c r="AY3024" s="128"/>
      <c r="AZ3024" s="128"/>
      <c r="BA3024" s="128"/>
      <c r="BB3024" s="128"/>
      <c r="BC3024" s="128"/>
      <c r="BD3024" s="128"/>
      <c r="BE3024" s="128"/>
      <c r="BF3024" s="128"/>
      <c r="BG3024" s="128"/>
      <c r="BH3024" s="128"/>
      <c r="BI3024" s="128"/>
      <c r="BJ3024" s="128"/>
      <c r="BK3024" s="128"/>
      <c r="BL3024" s="128"/>
      <c r="BM3024" s="151"/>
      <c r="BN3024" s="128"/>
      <c r="BO3024" s="128"/>
      <c r="BP3024" s="128"/>
      <c r="BQ3024" s="128"/>
      <c r="BR3024" s="128"/>
      <c r="BS3024" s="128"/>
      <c r="BT3024" s="128"/>
      <c r="BU3024" s="128"/>
      <c r="BV3024" s="128"/>
      <c r="BW3024" s="128"/>
      <c r="BX3024" s="128"/>
      <c r="BY3024" s="128"/>
      <c r="BZ3024" s="128"/>
      <c r="CA3024" s="128"/>
      <c r="CB3024" s="128"/>
      <c r="CC3024" s="128"/>
      <c r="CD3024" s="128"/>
      <c r="CE3024" s="128"/>
      <c r="CF3024" s="128"/>
      <c r="CG3024" s="128"/>
      <c r="CI3024" s="128"/>
      <c r="CJ3024" s="128"/>
      <c r="CK3024" s="128"/>
      <c r="CL3024" s="128"/>
      <c r="CM3024" s="128"/>
      <c r="CN3024" s="128"/>
      <c r="CO3024" s="128"/>
      <c r="CP3024" s="128"/>
      <c r="CQ3024" s="128"/>
      <c r="CR3024" s="128"/>
      <c r="CS3024" s="128"/>
      <c r="CT3024" s="128"/>
      <c r="CU3024" s="128"/>
      <c r="CV3024" s="128"/>
      <c r="CW3024" s="128"/>
      <c r="CX3024" s="128"/>
      <c r="CY3024" s="128"/>
      <c r="CZ3024" s="165"/>
    </row>
    <row r="3025" spans="1:104">
      <c r="A3025" s="149"/>
      <c r="B3025" s="149"/>
      <c r="C3025" s="150"/>
      <c r="D3025" s="102"/>
      <c r="E3025" s="149"/>
      <c r="F3025" s="149"/>
      <c r="G3025" s="149"/>
      <c r="H3025" s="149"/>
      <c r="I3025" s="149"/>
      <c r="J3025" s="149"/>
      <c r="K3025" s="149"/>
      <c r="L3025" s="149"/>
      <c r="M3025" s="149"/>
      <c r="N3025" s="149"/>
      <c r="O3025" s="149"/>
      <c r="P3025" s="149"/>
      <c r="Q3025" s="149"/>
      <c r="R3025" s="149"/>
      <c r="S3025" s="149"/>
      <c r="T3025" s="149"/>
      <c r="U3025" s="149"/>
      <c r="V3025" s="149"/>
      <c r="W3025" s="149"/>
      <c r="X3025" s="149"/>
      <c r="Y3025" s="149"/>
      <c r="Z3025" s="149"/>
      <c r="AA3025" s="149"/>
      <c r="AB3025" s="149"/>
      <c r="AC3025" s="149"/>
      <c r="AD3025" s="149"/>
      <c r="AE3025" s="149"/>
      <c r="AF3025" s="149"/>
      <c r="AG3025" s="149"/>
      <c r="AH3025" s="149"/>
      <c r="AI3025" s="149"/>
      <c r="AJ3025" s="149"/>
      <c r="AK3025" s="149"/>
      <c r="AL3025" s="149"/>
      <c r="AM3025" s="149"/>
      <c r="AN3025" s="149"/>
      <c r="AO3025" s="128"/>
      <c r="AP3025" s="128"/>
      <c r="AQ3025" s="128"/>
      <c r="AR3025" s="128"/>
      <c r="AS3025" s="128"/>
      <c r="AT3025" s="128"/>
      <c r="AU3025" s="128"/>
      <c r="AV3025" s="128"/>
      <c r="AW3025" s="128"/>
      <c r="AX3025" s="128"/>
      <c r="AY3025" s="128"/>
      <c r="AZ3025" s="128"/>
      <c r="BA3025" s="128"/>
      <c r="BB3025" s="128"/>
      <c r="BC3025" s="128"/>
      <c r="BD3025" s="128"/>
      <c r="BE3025" s="128"/>
      <c r="BF3025" s="128"/>
      <c r="BG3025" s="128"/>
      <c r="BH3025" s="128"/>
      <c r="BI3025" s="128"/>
      <c r="BJ3025" s="128"/>
      <c r="BK3025" s="128"/>
      <c r="BL3025" s="128"/>
      <c r="BM3025" s="151"/>
      <c r="BN3025" s="128"/>
      <c r="BO3025" s="128"/>
      <c r="BP3025" s="128"/>
      <c r="BQ3025" s="128"/>
      <c r="BR3025" s="128"/>
      <c r="BS3025" s="128"/>
      <c r="BT3025" s="128"/>
      <c r="BU3025" s="128"/>
      <c r="BV3025" s="128"/>
      <c r="BW3025" s="128"/>
      <c r="BX3025" s="128"/>
      <c r="BY3025" s="128"/>
      <c r="BZ3025" s="128"/>
      <c r="CA3025" s="128"/>
      <c r="CB3025" s="128"/>
      <c r="CC3025" s="128"/>
      <c r="CD3025" s="128"/>
      <c r="CE3025" s="128"/>
      <c r="CF3025" s="128"/>
      <c r="CG3025" s="128"/>
      <c r="CI3025" s="128"/>
      <c r="CJ3025" s="128"/>
      <c r="CK3025" s="128"/>
      <c r="CL3025" s="128"/>
      <c r="CM3025" s="128"/>
      <c r="CN3025" s="128"/>
      <c r="CO3025" s="128"/>
      <c r="CP3025" s="128"/>
      <c r="CQ3025" s="128"/>
      <c r="CR3025" s="128"/>
      <c r="CS3025" s="128"/>
      <c r="CT3025" s="128"/>
      <c r="CU3025" s="128"/>
      <c r="CV3025" s="128"/>
      <c r="CW3025" s="128"/>
      <c r="CX3025" s="128"/>
      <c r="CY3025" s="128"/>
      <c r="CZ3025" s="165"/>
    </row>
    <row r="3026" spans="1:104">
      <c r="A3026" s="149"/>
      <c r="B3026" s="149"/>
      <c r="C3026" s="150"/>
      <c r="D3026" s="102"/>
      <c r="E3026" s="149"/>
      <c r="F3026" s="149"/>
      <c r="G3026" s="149"/>
      <c r="H3026" s="149"/>
      <c r="I3026" s="149"/>
      <c r="J3026" s="149"/>
      <c r="K3026" s="149"/>
      <c r="L3026" s="149"/>
      <c r="M3026" s="149"/>
      <c r="N3026" s="149"/>
      <c r="O3026" s="149"/>
      <c r="P3026" s="149"/>
      <c r="Q3026" s="149"/>
      <c r="R3026" s="149"/>
      <c r="S3026" s="149"/>
      <c r="T3026" s="149"/>
      <c r="U3026" s="149"/>
      <c r="V3026" s="149"/>
      <c r="W3026" s="149"/>
      <c r="X3026" s="149"/>
      <c r="Y3026" s="149"/>
      <c r="Z3026" s="149"/>
      <c r="AA3026" s="149"/>
      <c r="AB3026" s="149"/>
      <c r="AC3026" s="149"/>
      <c r="AD3026" s="149"/>
      <c r="AE3026" s="149"/>
      <c r="AF3026" s="149"/>
      <c r="AG3026" s="149"/>
      <c r="AH3026" s="149"/>
      <c r="AI3026" s="149"/>
      <c r="AJ3026" s="149"/>
      <c r="AK3026" s="149"/>
      <c r="AL3026" s="149"/>
      <c r="AM3026" s="149"/>
      <c r="AN3026" s="149"/>
      <c r="AO3026" s="128"/>
      <c r="AP3026" s="128"/>
      <c r="AQ3026" s="128"/>
      <c r="AR3026" s="128"/>
      <c r="AS3026" s="128"/>
      <c r="AT3026" s="128"/>
      <c r="AU3026" s="128"/>
      <c r="AV3026" s="128"/>
      <c r="AW3026" s="128"/>
      <c r="AX3026" s="128"/>
      <c r="AY3026" s="128"/>
      <c r="AZ3026" s="128"/>
      <c r="BA3026" s="128"/>
      <c r="BB3026" s="128"/>
      <c r="BC3026" s="128"/>
      <c r="BD3026" s="128"/>
      <c r="BE3026" s="128"/>
      <c r="BF3026" s="128"/>
      <c r="BG3026" s="128"/>
      <c r="BH3026" s="128"/>
      <c r="BI3026" s="128"/>
      <c r="BJ3026" s="128"/>
      <c r="BK3026" s="128"/>
      <c r="BL3026" s="128"/>
      <c r="BM3026" s="151"/>
      <c r="BN3026" s="128"/>
      <c r="BO3026" s="128"/>
      <c r="BP3026" s="128"/>
      <c r="BQ3026" s="128"/>
      <c r="BR3026" s="128"/>
      <c r="BS3026" s="128"/>
      <c r="BT3026" s="128"/>
      <c r="BU3026" s="128"/>
      <c r="BV3026" s="128"/>
      <c r="BW3026" s="128"/>
      <c r="BX3026" s="128"/>
      <c r="BY3026" s="128"/>
      <c r="BZ3026" s="128"/>
      <c r="CA3026" s="128"/>
      <c r="CB3026" s="128"/>
      <c r="CC3026" s="128"/>
      <c r="CD3026" s="128"/>
      <c r="CE3026" s="128"/>
      <c r="CF3026" s="128"/>
      <c r="CG3026" s="128"/>
      <c r="CI3026" s="128"/>
      <c r="CJ3026" s="128"/>
      <c r="CK3026" s="128"/>
      <c r="CL3026" s="128"/>
      <c r="CM3026" s="128"/>
      <c r="CN3026" s="128"/>
      <c r="CO3026" s="128"/>
      <c r="CP3026" s="128"/>
      <c r="CQ3026" s="128"/>
      <c r="CR3026" s="128"/>
      <c r="CS3026" s="128"/>
      <c r="CT3026" s="128"/>
      <c r="CU3026" s="128"/>
      <c r="CV3026" s="128"/>
      <c r="CW3026" s="128"/>
      <c r="CX3026" s="128"/>
      <c r="CY3026" s="128"/>
      <c r="CZ3026" s="165"/>
    </row>
    <row r="3027" spans="1:104">
      <c r="A3027" s="149"/>
      <c r="B3027" s="149"/>
      <c r="C3027" s="150"/>
      <c r="D3027" s="102"/>
      <c r="E3027" s="149"/>
      <c r="F3027" s="149"/>
      <c r="G3027" s="149"/>
      <c r="H3027" s="149"/>
      <c r="I3027" s="149"/>
      <c r="J3027" s="149"/>
      <c r="K3027" s="149"/>
      <c r="L3027" s="149"/>
      <c r="M3027" s="149"/>
      <c r="N3027" s="149"/>
      <c r="O3027" s="149"/>
      <c r="P3027" s="149"/>
      <c r="Q3027" s="149"/>
      <c r="R3027" s="149"/>
      <c r="S3027" s="149"/>
      <c r="T3027" s="149"/>
      <c r="U3027" s="149"/>
      <c r="V3027" s="149"/>
      <c r="W3027" s="149"/>
      <c r="X3027" s="149"/>
      <c r="Y3027" s="149"/>
      <c r="Z3027" s="149"/>
      <c r="AA3027" s="149"/>
      <c r="AB3027" s="149"/>
      <c r="AC3027" s="149"/>
      <c r="AD3027" s="149"/>
      <c r="AE3027" s="149"/>
      <c r="AF3027" s="149"/>
      <c r="AG3027" s="149"/>
      <c r="AH3027" s="149"/>
      <c r="AI3027" s="149"/>
      <c r="AJ3027" s="149"/>
      <c r="AK3027" s="149"/>
      <c r="AL3027" s="149"/>
      <c r="AM3027" s="149"/>
      <c r="AN3027" s="149"/>
      <c r="AO3027" s="128"/>
      <c r="AP3027" s="128"/>
      <c r="AQ3027" s="128"/>
      <c r="AR3027" s="128"/>
      <c r="AS3027" s="128"/>
      <c r="AT3027" s="128"/>
      <c r="AU3027" s="128"/>
      <c r="AV3027" s="128"/>
      <c r="AW3027" s="128"/>
      <c r="AX3027" s="128"/>
      <c r="AY3027" s="128"/>
      <c r="AZ3027" s="128"/>
      <c r="BA3027" s="128"/>
      <c r="BB3027" s="128"/>
      <c r="BC3027" s="128"/>
      <c r="BD3027" s="128"/>
      <c r="BE3027" s="128"/>
      <c r="BF3027" s="128"/>
      <c r="BG3027" s="128"/>
      <c r="BH3027" s="128"/>
      <c r="BI3027" s="128"/>
      <c r="BJ3027" s="128"/>
      <c r="BK3027" s="128"/>
      <c r="BL3027" s="128"/>
      <c r="BM3027" s="151"/>
      <c r="BN3027" s="128"/>
      <c r="BO3027" s="128"/>
      <c r="BP3027" s="128"/>
      <c r="BQ3027" s="128"/>
      <c r="BR3027" s="128"/>
      <c r="BS3027" s="128"/>
      <c r="BT3027" s="128"/>
      <c r="BU3027" s="128"/>
      <c r="BV3027" s="128"/>
      <c r="BW3027" s="128"/>
      <c r="BX3027" s="128"/>
      <c r="BY3027" s="128"/>
      <c r="BZ3027" s="128"/>
      <c r="CA3027" s="128"/>
      <c r="CB3027" s="128"/>
      <c r="CC3027" s="128"/>
      <c r="CD3027" s="128"/>
      <c r="CE3027" s="128"/>
      <c r="CF3027" s="128"/>
      <c r="CG3027" s="128"/>
      <c r="CI3027" s="128"/>
      <c r="CJ3027" s="128"/>
      <c r="CK3027" s="128"/>
      <c r="CL3027" s="128"/>
      <c r="CM3027" s="128"/>
      <c r="CN3027" s="128"/>
      <c r="CO3027" s="128"/>
      <c r="CP3027" s="128"/>
      <c r="CQ3027" s="128"/>
      <c r="CR3027" s="128"/>
      <c r="CS3027" s="128"/>
      <c r="CT3027" s="128"/>
      <c r="CU3027" s="128"/>
      <c r="CV3027" s="128"/>
      <c r="CW3027" s="128"/>
      <c r="CX3027" s="128"/>
      <c r="CY3027" s="128"/>
      <c r="CZ3027" s="165"/>
    </row>
    <row r="3028" spans="1:104">
      <c r="A3028" s="149"/>
      <c r="B3028" s="149"/>
      <c r="C3028" s="150"/>
      <c r="D3028" s="102"/>
      <c r="E3028" s="149"/>
      <c r="F3028" s="149"/>
      <c r="G3028" s="149"/>
      <c r="H3028" s="149"/>
      <c r="I3028" s="149"/>
      <c r="J3028" s="149"/>
      <c r="K3028" s="149"/>
      <c r="L3028" s="149"/>
      <c r="M3028" s="149"/>
      <c r="N3028" s="149"/>
      <c r="O3028" s="149"/>
      <c r="P3028" s="149"/>
      <c r="Q3028" s="149"/>
      <c r="R3028" s="149"/>
      <c r="S3028" s="149"/>
      <c r="T3028" s="149"/>
      <c r="U3028" s="149"/>
      <c r="V3028" s="149"/>
      <c r="W3028" s="149"/>
      <c r="X3028" s="149"/>
      <c r="Y3028" s="149"/>
      <c r="Z3028" s="149"/>
      <c r="AA3028" s="149"/>
      <c r="AB3028" s="149"/>
      <c r="AC3028" s="149"/>
      <c r="AD3028" s="149"/>
      <c r="AE3028" s="149"/>
      <c r="AF3028" s="149"/>
      <c r="AG3028" s="149"/>
      <c r="AH3028" s="149"/>
      <c r="AI3028" s="149"/>
      <c r="AJ3028" s="149"/>
      <c r="AK3028" s="149"/>
      <c r="AL3028" s="149"/>
      <c r="AM3028" s="149"/>
      <c r="AN3028" s="149"/>
      <c r="AO3028" s="128"/>
      <c r="AP3028" s="128"/>
      <c r="AQ3028" s="128"/>
      <c r="AR3028" s="128"/>
      <c r="AS3028" s="128"/>
      <c r="AT3028" s="128"/>
      <c r="AU3028" s="128"/>
      <c r="AV3028" s="128"/>
      <c r="AW3028" s="128"/>
      <c r="AX3028" s="128"/>
      <c r="AY3028" s="128"/>
      <c r="AZ3028" s="128"/>
      <c r="BA3028" s="128"/>
      <c r="BB3028" s="128"/>
      <c r="BC3028" s="128"/>
      <c r="BD3028" s="128"/>
      <c r="BE3028" s="128"/>
      <c r="BF3028" s="128"/>
      <c r="BG3028" s="128"/>
      <c r="BH3028" s="128"/>
      <c r="BI3028" s="128"/>
      <c r="BJ3028" s="128"/>
      <c r="BK3028" s="128"/>
      <c r="BL3028" s="128"/>
      <c r="BM3028" s="151"/>
      <c r="BN3028" s="128"/>
      <c r="BO3028" s="128"/>
      <c r="BP3028" s="128"/>
      <c r="BQ3028" s="128"/>
      <c r="BR3028" s="128"/>
      <c r="BS3028" s="128"/>
      <c r="BT3028" s="128"/>
      <c r="BU3028" s="128"/>
      <c r="BV3028" s="128"/>
      <c r="BW3028" s="128"/>
      <c r="BX3028" s="128"/>
      <c r="BY3028" s="128"/>
      <c r="BZ3028" s="128"/>
      <c r="CA3028" s="128"/>
      <c r="CB3028" s="128"/>
      <c r="CC3028" s="128"/>
      <c r="CD3028" s="128"/>
      <c r="CE3028" s="128"/>
      <c r="CF3028" s="128"/>
      <c r="CG3028" s="128"/>
      <c r="CI3028" s="128"/>
      <c r="CJ3028" s="128"/>
      <c r="CK3028" s="128"/>
      <c r="CL3028" s="128"/>
      <c r="CM3028" s="128"/>
      <c r="CN3028" s="128"/>
      <c r="CO3028" s="128"/>
      <c r="CP3028" s="128"/>
      <c r="CQ3028" s="128"/>
      <c r="CR3028" s="128"/>
      <c r="CS3028" s="128"/>
      <c r="CT3028" s="128"/>
      <c r="CU3028" s="128"/>
      <c r="CV3028" s="128"/>
      <c r="CW3028" s="128"/>
      <c r="CX3028" s="128"/>
      <c r="CY3028" s="128"/>
      <c r="CZ3028" s="165"/>
    </row>
    <row r="3029" spans="1:104">
      <c r="A3029" s="149"/>
      <c r="B3029" s="149"/>
      <c r="C3029" s="150"/>
      <c r="D3029" s="102"/>
      <c r="E3029" s="149"/>
      <c r="F3029" s="149"/>
      <c r="G3029" s="149"/>
      <c r="H3029" s="149"/>
      <c r="I3029" s="149"/>
      <c r="J3029" s="149"/>
      <c r="K3029" s="149"/>
      <c r="L3029" s="149"/>
      <c r="M3029" s="149"/>
      <c r="N3029" s="149"/>
      <c r="O3029" s="149"/>
      <c r="P3029" s="149"/>
      <c r="Q3029" s="149"/>
      <c r="R3029" s="149"/>
      <c r="S3029" s="149"/>
      <c r="T3029" s="149"/>
      <c r="U3029" s="149"/>
      <c r="V3029" s="149"/>
      <c r="W3029" s="149"/>
      <c r="X3029" s="149"/>
      <c r="Y3029" s="149"/>
      <c r="Z3029" s="149"/>
      <c r="AA3029" s="149"/>
      <c r="AB3029" s="149"/>
      <c r="AC3029" s="149"/>
      <c r="AD3029" s="149"/>
      <c r="AE3029" s="149"/>
      <c r="AF3029" s="149"/>
      <c r="AG3029" s="149"/>
      <c r="AH3029" s="149"/>
      <c r="AI3029" s="149"/>
      <c r="AJ3029" s="149"/>
      <c r="AK3029" s="149"/>
      <c r="AL3029" s="149"/>
      <c r="AM3029" s="149"/>
      <c r="AN3029" s="149"/>
      <c r="AO3029" s="128"/>
      <c r="AP3029" s="128"/>
      <c r="AQ3029" s="128"/>
      <c r="AR3029" s="128"/>
      <c r="AS3029" s="128"/>
      <c r="AT3029" s="128"/>
      <c r="AU3029" s="128"/>
      <c r="AV3029" s="128"/>
      <c r="AW3029" s="128"/>
      <c r="AX3029" s="128"/>
      <c r="AY3029" s="128"/>
      <c r="AZ3029" s="128"/>
      <c r="BA3029" s="128"/>
      <c r="BB3029" s="128"/>
      <c r="BC3029" s="128"/>
      <c r="BD3029" s="128"/>
      <c r="BE3029" s="128"/>
      <c r="BF3029" s="128"/>
      <c r="BG3029" s="128"/>
      <c r="BH3029" s="128"/>
      <c r="BI3029" s="128"/>
      <c r="BJ3029" s="128"/>
      <c r="BK3029" s="128"/>
      <c r="BL3029" s="128"/>
      <c r="BM3029" s="151"/>
      <c r="BN3029" s="128"/>
      <c r="BO3029" s="128"/>
      <c r="BP3029" s="128"/>
      <c r="BQ3029" s="128"/>
      <c r="BR3029" s="128"/>
      <c r="BS3029" s="128"/>
      <c r="BT3029" s="128"/>
      <c r="BU3029" s="128"/>
      <c r="BV3029" s="128"/>
      <c r="BW3029" s="128"/>
      <c r="BX3029" s="128"/>
      <c r="BY3029" s="128"/>
      <c r="BZ3029" s="128"/>
      <c r="CA3029" s="128"/>
      <c r="CB3029" s="128"/>
      <c r="CC3029" s="128"/>
      <c r="CD3029" s="128"/>
      <c r="CE3029" s="128"/>
      <c r="CF3029" s="128"/>
      <c r="CG3029" s="128"/>
      <c r="CI3029" s="128"/>
      <c r="CJ3029" s="128"/>
      <c r="CK3029" s="128"/>
      <c r="CL3029" s="128"/>
      <c r="CM3029" s="128"/>
      <c r="CN3029" s="128"/>
      <c r="CO3029" s="128"/>
      <c r="CP3029" s="128"/>
      <c r="CQ3029" s="128"/>
      <c r="CR3029" s="128"/>
      <c r="CS3029" s="128"/>
      <c r="CT3029" s="128"/>
      <c r="CU3029" s="128"/>
      <c r="CV3029" s="128"/>
      <c r="CW3029" s="128"/>
      <c r="CX3029" s="128"/>
      <c r="CY3029" s="128"/>
      <c r="CZ3029" s="165"/>
    </row>
    <row r="3030" spans="1:104">
      <c r="A3030" s="149"/>
      <c r="B3030" s="149"/>
      <c r="C3030" s="150"/>
      <c r="D3030" s="102"/>
      <c r="E3030" s="149"/>
      <c r="F3030" s="149"/>
      <c r="G3030" s="149"/>
      <c r="H3030" s="149"/>
      <c r="I3030" s="149"/>
      <c r="J3030" s="149"/>
      <c r="K3030" s="149"/>
      <c r="L3030" s="149"/>
      <c r="M3030" s="149"/>
      <c r="N3030" s="149"/>
      <c r="O3030" s="149"/>
      <c r="P3030" s="149"/>
      <c r="Q3030" s="149"/>
      <c r="R3030" s="149"/>
      <c r="S3030" s="149"/>
      <c r="T3030" s="149"/>
      <c r="U3030" s="149"/>
      <c r="V3030" s="149"/>
      <c r="W3030" s="149"/>
      <c r="X3030" s="149"/>
      <c r="Y3030" s="149"/>
      <c r="Z3030" s="149"/>
      <c r="AA3030" s="149"/>
      <c r="AB3030" s="149"/>
      <c r="AC3030" s="149"/>
      <c r="AD3030" s="149"/>
      <c r="AE3030" s="149"/>
      <c r="AF3030" s="149"/>
      <c r="AG3030" s="149"/>
      <c r="AH3030" s="149"/>
      <c r="AI3030" s="149"/>
      <c r="AJ3030" s="149"/>
      <c r="AK3030" s="149"/>
      <c r="AL3030" s="149"/>
      <c r="AM3030" s="149"/>
      <c r="AN3030" s="149"/>
      <c r="AO3030" s="128"/>
      <c r="AP3030" s="128"/>
      <c r="AQ3030" s="128"/>
      <c r="AR3030" s="128"/>
      <c r="AS3030" s="128"/>
      <c r="AT3030" s="128"/>
      <c r="AU3030" s="128"/>
      <c r="AV3030" s="128"/>
      <c r="AW3030" s="128"/>
      <c r="AX3030" s="128"/>
      <c r="AY3030" s="128"/>
      <c r="AZ3030" s="128"/>
      <c r="BA3030" s="128"/>
      <c r="BB3030" s="128"/>
      <c r="BC3030" s="128"/>
      <c r="BD3030" s="128"/>
      <c r="BE3030" s="128"/>
      <c r="BF3030" s="128"/>
      <c r="BG3030" s="128"/>
      <c r="BH3030" s="128"/>
      <c r="BI3030" s="128"/>
      <c r="BJ3030" s="128"/>
      <c r="BK3030" s="128"/>
      <c r="BL3030" s="128"/>
      <c r="BM3030" s="151"/>
      <c r="BN3030" s="128"/>
      <c r="BO3030" s="128"/>
      <c r="BP3030" s="128"/>
      <c r="BQ3030" s="128"/>
      <c r="BR3030" s="128"/>
      <c r="BS3030" s="128"/>
      <c r="BT3030" s="128"/>
      <c r="BU3030" s="128"/>
      <c r="BV3030" s="128"/>
      <c r="BW3030" s="128"/>
      <c r="BX3030" s="128"/>
      <c r="BY3030" s="128"/>
      <c r="BZ3030" s="128"/>
      <c r="CA3030" s="128"/>
      <c r="CB3030" s="128"/>
      <c r="CC3030" s="128"/>
      <c r="CD3030" s="128"/>
      <c r="CE3030" s="128"/>
      <c r="CF3030" s="128"/>
      <c r="CG3030" s="128"/>
      <c r="CI3030" s="128"/>
      <c r="CJ3030" s="128"/>
      <c r="CK3030" s="128"/>
      <c r="CL3030" s="128"/>
      <c r="CM3030" s="128"/>
      <c r="CN3030" s="128"/>
      <c r="CO3030" s="128"/>
      <c r="CP3030" s="128"/>
      <c r="CQ3030" s="128"/>
      <c r="CR3030" s="128"/>
      <c r="CS3030" s="128"/>
      <c r="CT3030" s="128"/>
      <c r="CU3030" s="128"/>
      <c r="CV3030" s="128"/>
      <c r="CW3030" s="128"/>
      <c r="CX3030" s="128"/>
      <c r="CY3030" s="128"/>
      <c r="CZ3030" s="165"/>
    </row>
    <row r="3031" spans="1:104">
      <c r="A3031" s="149"/>
      <c r="B3031" s="149"/>
      <c r="C3031" s="150"/>
      <c r="D3031" s="102"/>
      <c r="E3031" s="149"/>
      <c r="F3031" s="149"/>
      <c r="G3031" s="149"/>
      <c r="H3031" s="149"/>
      <c r="I3031" s="149"/>
      <c r="J3031" s="149"/>
      <c r="K3031" s="149"/>
      <c r="L3031" s="149"/>
      <c r="M3031" s="149"/>
      <c r="N3031" s="149"/>
      <c r="O3031" s="149"/>
      <c r="P3031" s="149"/>
      <c r="Q3031" s="149"/>
      <c r="R3031" s="149"/>
      <c r="S3031" s="149"/>
      <c r="T3031" s="149"/>
      <c r="U3031" s="149"/>
      <c r="V3031" s="149"/>
      <c r="W3031" s="149"/>
      <c r="X3031" s="149"/>
      <c r="Y3031" s="149"/>
      <c r="Z3031" s="149"/>
      <c r="AA3031" s="149"/>
      <c r="AB3031" s="149"/>
      <c r="AC3031" s="149"/>
      <c r="AD3031" s="149"/>
      <c r="AE3031" s="149"/>
      <c r="AF3031" s="149"/>
      <c r="AG3031" s="149"/>
      <c r="AH3031" s="149"/>
      <c r="AI3031" s="149"/>
      <c r="AJ3031" s="149"/>
      <c r="AK3031" s="149"/>
      <c r="AL3031" s="149"/>
      <c r="AM3031" s="149"/>
      <c r="AN3031" s="149"/>
      <c r="AO3031" s="128"/>
      <c r="AP3031" s="128"/>
      <c r="AQ3031" s="128"/>
      <c r="AR3031" s="128"/>
      <c r="AS3031" s="128"/>
      <c r="AT3031" s="128"/>
      <c r="AU3031" s="128"/>
      <c r="AV3031" s="128"/>
      <c r="AW3031" s="128"/>
      <c r="AX3031" s="128"/>
      <c r="AY3031" s="128"/>
      <c r="AZ3031" s="128"/>
      <c r="BA3031" s="128"/>
      <c r="BB3031" s="128"/>
      <c r="BC3031" s="128"/>
      <c r="BD3031" s="128"/>
      <c r="BE3031" s="128"/>
      <c r="BF3031" s="128"/>
      <c r="BG3031" s="128"/>
      <c r="BH3031" s="128"/>
      <c r="BI3031" s="128"/>
      <c r="BJ3031" s="128"/>
      <c r="BK3031" s="128"/>
      <c r="BL3031" s="128"/>
      <c r="BM3031" s="151"/>
      <c r="BN3031" s="128"/>
      <c r="BO3031" s="128"/>
      <c r="BP3031" s="128"/>
      <c r="BQ3031" s="128"/>
      <c r="BR3031" s="128"/>
      <c r="BS3031" s="128"/>
      <c r="BT3031" s="128"/>
      <c r="BU3031" s="128"/>
      <c r="BV3031" s="128"/>
      <c r="BW3031" s="128"/>
      <c r="BX3031" s="128"/>
      <c r="BY3031" s="128"/>
      <c r="BZ3031" s="128"/>
      <c r="CA3031" s="128"/>
      <c r="CB3031" s="128"/>
      <c r="CC3031" s="128"/>
      <c r="CD3031" s="128"/>
      <c r="CE3031" s="128"/>
      <c r="CF3031" s="128"/>
      <c r="CG3031" s="128"/>
      <c r="CI3031" s="128"/>
      <c r="CJ3031" s="128"/>
      <c r="CK3031" s="128"/>
      <c r="CL3031" s="128"/>
      <c r="CM3031" s="128"/>
      <c r="CN3031" s="128"/>
      <c r="CO3031" s="128"/>
      <c r="CP3031" s="128"/>
      <c r="CQ3031" s="128"/>
      <c r="CR3031" s="128"/>
      <c r="CS3031" s="128"/>
      <c r="CT3031" s="128"/>
      <c r="CU3031" s="128"/>
      <c r="CV3031" s="128"/>
      <c r="CW3031" s="128"/>
      <c r="CX3031" s="128"/>
      <c r="CY3031" s="128"/>
      <c r="CZ3031" s="165"/>
    </row>
    <row r="3032" spans="1:104">
      <c r="A3032" s="149"/>
      <c r="B3032" s="149"/>
      <c r="C3032" s="150"/>
      <c r="D3032" s="102"/>
      <c r="E3032" s="149"/>
      <c r="F3032" s="149"/>
      <c r="G3032" s="149"/>
      <c r="H3032" s="149"/>
      <c r="I3032" s="149"/>
      <c r="J3032" s="149"/>
      <c r="K3032" s="149"/>
      <c r="L3032" s="149"/>
      <c r="M3032" s="149"/>
      <c r="N3032" s="149"/>
      <c r="O3032" s="149"/>
      <c r="P3032" s="149"/>
      <c r="Q3032" s="149"/>
      <c r="R3032" s="149"/>
      <c r="S3032" s="149"/>
      <c r="T3032" s="149"/>
      <c r="U3032" s="149"/>
      <c r="V3032" s="149"/>
      <c r="W3032" s="149"/>
      <c r="X3032" s="149"/>
      <c r="Y3032" s="149"/>
      <c r="Z3032" s="149"/>
      <c r="AA3032" s="149"/>
      <c r="AB3032" s="149"/>
      <c r="AC3032" s="149"/>
      <c r="AD3032" s="149"/>
      <c r="AE3032" s="149"/>
      <c r="AF3032" s="149"/>
      <c r="AG3032" s="149"/>
      <c r="AH3032" s="149"/>
      <c r="AI3032" s="149"/>
      <c r="AJ3032" s="149"/>
      <c r="AK3032" s="149"/>
      <c r="AL3032" s="149"/>
      <c r="AM3032" s="149"/>
      <c r="AN3032" s="149"/>
      <c r="AO3032" s="128"/>
      <c r="AP3032" s="128"/>
      <c r="AQ3032" s="128"/>
      <c r="AR3032" s="128"/>
      <c r="AS3032" s="128"/>
      <c r="AT3032" s="128"/>
      <c r="AU3032" s="128"/>
      <c r="AV3032" s="128"/>
      <c r="AW3032" s="128"/>
      <c r="AX3032" s="128"/>
      <c r="AY3032" s="128"/>
      <c r="AZ3032" s="128"/>
      <c r="BA3032" s="128"/>
      <c r="BB3032" s="128"/>
      <c r="BC3032" s="128"/>
      <c r="BD3032" s="128"/>
      <c r="BE3032" s="128"/>
      <c r="BF3032" s="128"/>
      <c r="BG3032" s="128"/>
      <c r="BH3032" s="128"/>
      <c r="BI3032" s="128"/>
      <c r="BJ3032" s="128"/>
      <c r="BK3032" s="128"/>
      <c r="BL3032" s="128"/>
      <c r="BM3032" s="151"/>
      <c r="BN3032" s="128"/>
      <c r="BO3032" s="128"/>
      <c r="BP3032" s="128"/>
      <c r="BQ3032" s="128"/>
      <c r="BR3032" s="128"/>
      <c r="BS3032" s="128"/>
      <c r="BT3032" s="128"/>
      <c r="BU3032" s="128"/>
      <c r="BV3032" s="128"/>
      <c r="BW3032" s="128"/>
      <c r="BX3032" s="128"/>
      <c r="BY3032" s="128"/>
      <c r="BZ3032" s="128"/>
      <c r="CA3032" s="128"/>
      <c r="CB3032" s="128"/>
      <c r="CC3032" s="128"/>
      <c r="CD3032" s="128"/>
      <c r="CE3032" s="128"/>
      <c r="CF3032" s="128"/>
      <c r="CG3032" s="128"/>
      <c r="CI3032" s="128"/>
      <c r="CJ3032" s="128"/>
      <c r="CK3032" s="128"/>
      <c r="CL3032" s="128"/>
      <c r="CM3032" s="128"/>
      <c r="CN3032" s="128"/>
      <c r="CO3032" s="128"/>
      <c r="CP3032" s="128"/>
      <c r="CQ3032" s="128"/>
      <c r="CR3032" s="128"/>
      <c r="CS3032" s="128"/>
      <c r="CT3032" s="128"/>
      <c r="CU3032" s="128"/>
      <c r="CV3032" s="128"/>
      <c r="CW3032" s="128"/>
      <c r="CX3032" s="128"/>
      <c r="CY3032" s="128"/>
      <c r="CZ3032" s="165"/>
    </row>
    <row r="3033" spans="1:104">
      <c r="A3033" s="149"/>
      <c r="B3033" s="149"/>
      <c r="C3033" s="150"/>
      <c r="D3033" s="102"/>
      <c r="E3033" s="149"/>
      <c r="F3033" s="149"/>
      <c r="G3033" s="149"/>
      <c r="H3033" s="149"/>
      <c r="I3033" s="149"/>
      <c r="J3033" s="149"/>
      <c r="K3033" s="149"/>
      <c r="L3033" s="149"/>
      <c r="M3033" s="149"/>
      <c r="N3033" s="149"/>
      <c r="O3033" s="149"/>
      <c r="P3033" s="149"/>
      <c r="Q3033" s="149"/>
      <c r="R3033" s="149"/>
      <c r="S3033" s="149"/>
      <c r="T3033" s="149"/>
      <c r="U3033" s="149"/>
      <c r="V3033" s="149"/>
      <c r="W3033" s="149"/>
      <c r="X3033" s="149"/>
      <c r="Y3033" s="149"/>
      <c r="Z3033" s="149"/>
      <c r="AA3033" s="149"/>
      <c r="AB3033" s="149"/>
      <c r="AC3033" s="149"/>
      <c r="AD3033" s="149"/>
      <c r="AE3033" s="149"/>
      <c r="AF3033" s="149"/>
      <c r="AG3033" s="149"/>
      <c r="AH3033" s="149"/>
      <c r="AI3033" s="149"/>
      <c r="AJ3033" s="149"/>
      <c r="AK3033" s="149"/>
      <c r="AL3033" s="149"/>
      <c r="AM3033" s="149"/>
      <c r="AN3033" s="149"/>
      <c r="AO3033" s="128"/>
      <c r="AP3033" s="128"/>
      <c r="AQ3033" s="128"/>
      <c r="AR3033" s="128"/>
      <c r="AS3033" s="128"/>
      <c r="AT3033" s="128"/>
      <c r="AU3033" s="128"/>
      <c r="AV3033" s="128"/>
      <c r="AW3033" s="128"/>
      <c r="AX3033" s="128"/>
      <c r="AY3033" s="128"/>
      <c r="AZ3033" s="128"/>
      <c r="BA3033" s="128"/>
      <c r="BB3033" s="128"/>
      <c r="BC3033" s="128"/>
      <c r="BD3033" s="128"/>
      <c r="BE3033" s="128"/>
      <c r="BF3033" s="128"/>
      <c r="BG3033" s="128"/>
      <c r="BH3033" s="128"/>
      <c r="BI3033" s="128"/>
      <c r="BJ3033" s="128"/>
      <c r="BK3033" s="128"/>
      <c r="BL3033" s="128"/>
      <c r="BM3033" s="151"/>
      <c r="BN3033" s="128"/>
      <c r="BO3033" s="128"/>
      <c r="BP3033" s="128"/>
      <c r="BQ3033" s="128"/>
      <c r="BR3033" s="128"/>
      <c r="BS3033" s="128"/>
      <c r="BT3033" s="128"/>
      <c r="BU3033" s="128"/>
      <c r="BV3033" s="128"/>
      <c r="BW3033" s="128"/>
      <c r="BX3033" s="128"/>
      <c r="BY3033" s="128"/>
      <c r="BZ3033" s="128"/>
      <c r="CA3033" s="128"/>
      <c r="CB3033" s="128"/>
      <c r="CC3033" s="128"/>
      <c r="CD3033" s="128"/>
      <c r="CE3033" s="128"/>
      <c r="CF3033" s="128"/>
      <c r="CG3033" s="128"/>
      <c r="CI3033" s="128"/>
      <c r="CJ3033" s="128"/>
      <c r="CK3033" s="128"/>
      <c r="CL3033" s="128"/>
      <c r="CM3033" s="128"/>
      <c r="CN3033" s="128"/>
      <c r="CO3033" s="128"/>
      <c r="CP3033" s="128"/>
      <c r="CQ3033" s="128"/>
      <c r="CR3033" s="128"/>
      <c r="CS3033" s="128"/>
      <c r="CT3033" s="128"/>
      <c r="CU3033" s="128"/>
      <c r="CV3033" s="128"/>
      <c r="CW3033" s="128"/>
      <c r="CX3033" s="128"/>
      <c r="CY3033" s="128"/>
      <c r="CZ3033" s="165"/>
    </row>
    <row r="3034" spans="1:104">
      <c r="A3034" s="149"/>
      <c r="B3034" s="149"/>
      <c r="C3034" s="150"/>
      <c r="D3034" s="102"/>
      <c r="E3034" s="149"/>
      <c r="F3034" s="149"/>
      <c r="G3034" s="149"/>
      <c r="H3034" s="149"/>
      <c r="I3034" s="149"/>
      <c r="J3034" s="149"/>
      <c r="K3034" s="149"/>
      <c r="L3034" s="149"/>
      <c r="M3034" s="149"/>
      <c r="N3034" s="149"/>
      <c r="O3034" s="149"/>
      <c r="P3034" s="149"/>
      <c r="Q3034" s="149"/>
      <c r="R3034" s="149"/>
      <c r="S3034" s="149"/>
      <c r="T3034" s="149"/>
      <c r="U3034" s="149"/>
      <c r="V3034" s="149"/>
      <c r="W3034" s="149"/>
      <c r="X3034" s="149"/>
      <c r="Y3034" s="149"/>
      <c r="Z3034" s="149"/>
      <c r="AA3034" s="149"/>
      <c r="AB3034" s="149"/>
      <c r="AC3034" s="149"/>
      <c r="AD3034" s="149"/>
      <c r="AE3034" s="149"/>
      <c r="AF3034" s="149"/>
      <c r="AG3034" s="149"/>
      <c r="AH3034" s="149"/>
      <c r="AI3034" s="149"/>
      <c r="AJ3034" s="149"/>
      <c r="AK3034" s="149"/>
      <c r="AL3034" s="149"/>
      <c r="AM3034" s="149"/>
      <c r="AN3034" s="149"/>
      <c r="AO3034" s="128"/>
      <c r="AP3034" s="128"/>
      <c r="AQ3034" s="128"/>
      <c r="AR3034" s="128"/>
      <c r="AS3034" s="128"/>
      <c r="AT3034" s="128"/>
      <c r="AU3034" s="128"/>
      <c r="AV3034" s="128"/>
      <c r="AW3034" s="128"/>
      <c r="AX3034" s="128"/>
      <c r="AY3034" s="128"/>
      <c r="AZ3034" s="128"/>
      <c r="BA3034" s="128"/>
      <c r="BB3034" s="128"/>
      <c r="BC3034" s="128"/>
      <c r="BD3034" s="128"/>
      <c r="BE3034" s="128"/>
      <c r="BF3034" s="128"/>
      <c r="BG3034" s="128"/>
      <c r="BH3034" s="128"/>
      <c r="BI3034" s="128"/>
      <c r="BJ3034" s="128"/>
      <c r="BK3034" s="128"/>
      <c r="BL3034" s="128"/>
      <c r="BM3034" s="151"/>
      <c r="BN3034" s="128"/>
      <c r="BO3034" s="128"/>
      <c r="BP3034" s="128"/>
      <c r="BQ3034" s="128"/>
      <c r="BR3034" s="128"/>
      <c r="BS3034" s="128"/>
      <c r="BT3034" s="128"/>
      <c r="BU3034" s="128"/>
      <c r="BV3034" s="128"/>
      <c r="BW3034" s="128"/>
      <c r="BX3034" s="128"/>
      <c r="BY3034" s="128"/>
      <c r="BZ3034" s="128"/>
      <c r="CA3034" s="128"/>
      <c r="CB3034" s="128"/>
      <c r="CC3034" s="128"/>
      <c r="CD3034" s="128"/>
      <c r="CE3034" s="128"/>
      <c r="CF3034" s="128"/>
      <c r="CG3034" s="128"/>
      <c r="CI3034" s="128"/>
      <c r="CJ3034" s="128"/>
      <c r="CK3034" s="128"/>
      <c r="CL3034" s="128"/>
      <c r="CM3034" s="128"/>
      <c r="CN3034" s="128"/>
      <c r="CO3034" s="128"/>
      <c r="CP3034" s="128"/>
      <c r="CQ3034" s="128"/>
      <c r="CR3034" s="128"/>
      <c r="CS3034" s="128"/>
      <c r="CT3034" s="128"/>
      <c r="CU3034" s="128"/>
      <c r="CV3034" s="128"/>
      <c r="CW3034" s="128"/>
      <c r="CX3034" s="128"/>
      <c r="CY3034" s="128"/>
      <c r="CZ3034" s="165"/>
    </row>
    <row r="3035" spans="1:104">
      <c r="A3035" s="149"/>
      <c r="B3035" s="149"/>
      <c r="C3035" s="150"/>
      <c r="D3035" s="102"/>
      <c r="E3035" s="149"/>
      <c r="F3035" s="149"/>
      <c r="G3035" s="149"/>
      <c r="H3035" s="149"/>
      <c r="I3035" s="149"/>
      <c r="J3035" s="149"/>
      <c r="K3035" s="149"/>
      <c r="L3035" s="149"/>
      <c r="M3035" s="149"/>
      <c r="N3035" s="149"/>
      <c r="O3035" s="149"/>
      <c r="P3035" s="149"/>
      <c r="Q3035" s="149"/>
      <c r="R3035" s="149"/>
      <c r="S3035" s="149"/>
      <c r="T3035" s="149"/>
      <c r="U3035" s="149"/>
      <c r="V3035" s="149"/>
      <c r="W3035" s="149"/>
      <c r="X3035" s="149"/>
      <c r="Y3035" s="149"/>
      <c r="Z3035" s="149"/>
      <c r="AA3035" s="149"/>
      <c r="AB3035" s="149"/>
      <c r="AC3035" s="149"/>
      <c r="AD3035" s="149"/>
      <c r="AE3035" s="149"/>
      <c r="AF3035" s="149"/>
      <c r="AG3035" s="149"/>
      <c r="AH3035" s="149"/>
      <c r="AI3035" s="149"/>
      <c r="AJ3035" s="149"/>
      <c r="AK3035" s="149"/>
      <c r="AL3035" s="149"/>
      <c r="AM3035" s="149"/>
      <c r="AN3035" s="149"/>
      <c r="AO3035" s="128"/>
      <c r="AP3035" s="128"/>
      <c r="AQ3035" s="128"/>
      <c r="AR3035" s="128"/>
      <c r="AS3035" s="128"/>
      <c r="AT3035" s="128"/>
      <c r="AU3035" s="128"/>
      <c r="AV3035" s="128"/>
      <c r="AW3035" s="128"/>
      <c r="AX3035" s="128"/>
      <c r="AY3035" s="128"/>
      <c r="AZ3035" s="128"/>
      <c r="BA3035" s="128"/>
      <c r="BB3035" s="128"/>
      <c r="BC3035" s="128"/>
      <c r="BD3035" s="128"/>
      <c r="BE3035" s="128"/>
      <c r="BF3035" s="128"/>
      <c r="BG3035" s="128"/>
      <c r="BH3035" s="128"/>
      <c r="BI3035" s="128"/>
      <c r="BJ3035" s="128"/>
      <c r="BK3035" s="128"/>
      <c r="BL3035" s="128"/>
      <c r="BM3035" s="151"/>
      <c r="BN3035" s="128"/>
      <c r="BO3035" s="128"/>
      <c r="BP3035" s="128"/>
      <c r="BQ3035" s="128"/>
      <c r="BR3035" s="128"/>
      <c r="BS3035" s="128"/>
      <c r="BT3035" s="128"/>
      <c r="BU3035" s="128"/>
      <c r="BV3035" s="128"/>
      <c r="BW3035" s="128"/>
      <c r="BX3035" s="128"/>
      <c r="BY3035" s="128"/>
      <c r="BZ3035" s="128"/>
      <c r="CA3035" s="128"/>
      <c r="CB3035" s="128"/>
      <c r="CC3035" s="128"/>
      <c r="CD3035" s="128"/>
      <c r="CE3035" s="128"/>
      <c r="CF3035" s="128"/>
      <c r="CG3035" s="128"/>
      <c r="CI3035" s="128"/>
      <c r="CJ3035" s="128"/>
      <c r="CK3035" s="128"/>
      <c r="CL3035" s="128"/>
      <c r="CM3035" s="128"/>
      <c r="CN3035" s="128"/>
      <c r="CO3035" s="128"/>
      <c r="CP3035" s="128"/>
      <c r="CQ3035" s="128"/>
      <c r="CR3035" s="128"/>
      <c r="CS3035" s="128"/>
      <c r="CT3035" s="128"/>
      <c r="CU3035" s="128"/>
      <c r="CV3035" s="128"/>
      <c r="CW3035" s="128"/>
      <c r="CX3035" s="128"/>
      <c r="CY3035" s="128"/>
      <c r="CZ3035" s="165"/>
    </row>
    <row r="3036" spans="1:104">
      <c r="A3036" s="149"/>
      <c r="B3036" s="149"/>
      <c r="C3036" s="150"/>
      <c r="D3036" s="102"/>
      <c r="E3036" s="149"/>
      <c r="F3036" s="149"/>
      <c r="G3036" s="149"/>
      <c r="H3036" s="149"/>
      <c r="I3036" s="149"/>
      <c r="J3036" s="149"/>
      <c r="K3036" s="149"/>
      <c r="L3036" s="149"/>
      <c r="M3036" s="149"/>
      <c r="N3036" s="149"/>
      <c r="O3036" s="149"/>
      <c r="P3036" s="149"/>
      <c r="Q3036" s="149"/>
      <c r="R3036" s="149"/>
      <c r="S3036" s="149"/>
      <c r="T3036" s="149"/>
      <c r="U3036" s="149"/>
      <c r="V3036" s="149"/>
      <c r="W3036" s="149"/>
      <c r="X3036" s="149"/>
      <c r="Y3036" s="149"/>
      <c r="Z3036" s="149"/>
      <c r="AA3036" s="149"/>
      <c r="AB3036" s="149"/>
      <c r="AC3036" s="149"/>
      <c r="AD3036" s="149"/>
      <c r="AE3036" s="149"/>
      <c r="AF3036" s="149"/>
      <c r="AG3036" s="149"/>
      <c r="AH3036" s="149"/>
      <c r="AI3036" s="149"/>
      <c r="AJ3036" s="149"/>
      <c r="AK3036" s="149"/>
      <c r="AL3036" s="149"/>
      <c r="AM3036" s="149"/>
      <c r="AN3036" s="149"/>
      <c r="AO3036" s="128"/>
      <c r="AP3036" s="128"/>
      <c r="AQ3036" s="128"/>
      <c r="AR3036" s="128"/>
      <c r="AS3036" s="128"/>
      <c r="AT3036" s="128"/>
      <c r="AU3036" s="128"/>
      <c r="AV3036" s="128"/>
      <c r="AW3036" s="128"/>
      <c r="AX3036" s="128"/>
      <c r="AY3036" s="128"/>
      <c r="AZ3036" s="128"/>
      <c r="BA3036" s="128"/>
      <c r="BB3036" s="128"/>
      <c r="BC3036" s="128"/>
      <c r="BD3036" s="128"/>
      <c r="BE3036" s="128"/>
      <c r="BF3036" s="128"/>
      <c r="BG3036" s="128"/>
      <c r="BH3036" s="128"/>
      <c r="BI3036" s="128"/>
      <c r="BJ3036" s="128"/>
      <c r="BK3036" s="128"/>
      <c r="BL3036" s="128"/>
      <c r="BM3036" s="151"/>
      <c r="BN3036" s="128"/>
      <c r="BO3036" s="128"/>
      <c r="BP3036" s="128"/>
      <c r="BQ3036" s="128"/>
      <c r="BR3036" s="128"/>
      <c r="BS3036" s="128"/>
      <c r="BT3036" s="128"/>
      <c r="BU3036" s="128"/>
      <c r="BV3036" s="128"/>
      <c r="BW3036" s="128"/>
      <c r="BX3036" s="128"/>
      <c r="BY3036" s="128"/>
      <c r="BZ3036" s="128"/>
      <c r="CA3036" s="128"/>
      <c r="CB3036" s="128"/>
      <c r="CC3036" s="128"/>
      <c r="CD3036" s="128"/>
      <c r="CE3036" s="128"/>
      <c r="CF3036" s="128"/>
      <c r="CG3036" s="128"/>
      <c r="CI3036" s="128"/>
      <c r="CJ3036" s="128"/>
      <c r="CK3036" s="128"/>
      <c r="CL3036" s="128"/>
      <c r="CM3036" s="128"/>
      <c r="CN3036" s="128"/>
      <c r="CO3036" s="128"/>
      <c r="CP3036" s="128"/>
      <c r="CQ3036" s="128"/>
      <c r="CR3036" s="128"/>
      <c r="CS3036" s="128"/>
      <c r="CT3036" s="128"/>
      <c r="CU3036" s="128"/>
      <c r="CV3036" s="128"/>
      <c r="CW3036" s="128"/>
      <c r="CX3036" s="128"/>
      <c r="CY3036" s="128"/>
      <c r="CZ3036" s="165"/>
    </row>
    <row r="3037" spans="1:104">
      <c r="A3037" s="149"/>
      <c r="B3037" s="149"/>
      <c r="C3037" s="150"/>
      <c r="D3037" s="102"/>
      <c r="E3037" s="149"/>
      <c r="F3037" s="149"/>
      <c r="G3037" s="149"/>
      <c r="H3037" s="149"/>
      <c r="I3037" s="149"/>
      <c r="J3037" s="149"/>
      <c r="K3037" s="149"/>
      <c r="L3037" s="149"/>
      <c r="M3037" s="149"/>
      <c r="N3037" s="149"/>
      <c r="O3037" s="149"/>
      <c r="P3037" s="149"/>
      <c r="Q3037" s="149"/>
      <c r="R3037" s="149"/>
      <c r="S3037" s="149"/>
      <c r="T3037" s="149"/>
      <c r="U3037" s="149"/>
      <c r="V3037" s="149"/>
      <c r="W3037" s="149"/>
      <c r="X3037" s="149"/>
      <c r="Y3037" s="149"/>
      <c r="Z3037" s="149"/>
      <c r="AA3037" s="149"/>
      <c r="AB3037" s="149"/>
      <c r="AC3037" s="149"/>
      <c r="AD3037" s="149"/>
      <c r="AE3037" s="149"/>
      <c r="AF3037" s="149"/>
      <c r="AG3037" s="149"/>
      <c r="AH3037" s="149"/>
      <c r="AI3037" s="149"/>
      <c r="AJ3037" s="149"/>
      <c r="AK3037" s="149"/>
      <c r="AL3037" s="149"/>
      <c r="AM3037" s="149"/>
      <c r="AN3037" s="149"/>
      <c r="AO3037" s="128"/>
      <c r="AP3037" s="128"/>
      <c r="AQ3037" s="128"/>
      <c r="AR3037" s="128"/>
      <c r="AS3037" s="128"/>
      <c r="AT3037" s="128"/>
      <c r="AU3037" s="128"/>
      <c r="AV3037" s="128"/>
      <c r="AW3037" s="128"/>
      <c r="AX3037" s="128"/>
      <c r="AY3037" s="128"/>
      <c r="AZ3037" s="128"/>
      <c r="BA3037" s="128"/>
      <c r="BB3037" s="128"/>
      <c r="BC3037" s="128"/>
      <c r="BD3037" s="128"/>
      <c r="BE3037" s="128"/>
      <c r="BF3037" s="128"/>
      <c r="BG3037" s="128"/>
      <c r="BH3037" s="128"/>
      <c r="BI3037" s="128"/>
      <c r="BJ3037" s="128"/>
      <c r="BK3037" s="128"/>
      <c r="BL3037" s="128"/>
      <c r="BM3037" s="151"/>
      <c r="BN3037" s="128"/>
      <c r="BO3037" s="128"/>
      <c r="BP3037" s="128"/>
      <c r="BQ3037" s="128"/>
      <c r="BR3037" s="128"/>
      <c r="BS3037" s="128"/>
      <c r="BT3037" s="128"/>
      <c r="BU3037" s="128"/>
      <c r="BV3037" s="128"/>
      <c r="BW3037" s="128"/>
      <c r="BX3037" s="128"/>
      <c r="BY3037" s="128"/>
      <c r="BZ3037" s="128"/>
      <c r="CA3037" s="128"/>
      <c r="CB3037" s="128"/>
      <c r="CC3037" s="128"/>
      <c r="CD3037" s="128"/>
      <c r="CE3037" s="128"/>
      <c r="CF3037" s="128"/>
      <c r="CG3037" s="128"/>
      <c r="CI3037" s="128"/>
      <c r="CJ3037" s="128"/>
      <c r="CK3037" s="128"/>
      <c r="CL3037" s="128"/>
      <c r="CM3037" s="128"/>
      <c r="CN3037" s="128"/>
      <c r="CO3037" s="128"/>
      <c r="CP3037" s="128"/>
      <c r="CQ3037" s="128"/>
      <c r="CR3037" s="128"/>
      <c r="CS3037" s="128"/>
      <c r="CT3037" s="128"/>
      <c r="CU3037" s="128"/>
      <c r="CV3037" s="128"/>
      <c r="CW3037" s="128"/>
      <c r="CX3037" s="128"/>
      <c r="CY3037" s="128"/>
      <c r="CZ3037" s="165"/>
    </row>
    <row r="3038" spans="1:104">
      <c r="A3038" s="149"/>
      <c r="B3038" s="149"/>
      <c r="C3038" s="150"/>
      <c r="D3038" s="102"/>
      <c r="E3038" s="149"/>
      <c r="F3038" s="149"/>
      <c r="G3038" s="149"/>
      <c r="H3038" s="149"/>
      <c r="I3038" s="149"/>
      <c r="J3038" s="149"/>
      <c r="K3038" s="149"/>
      <c r="L3038" s="149"/>
      <c r="M3038" s="149"/>
      <c r="N3038" s="149"/>
      <c r="O3038" s="149"/>
      <c r="P3038" s="149"/>
      <c r="Q3038" s="149"/>
      <c r="R3038" s="149"/>
      <c r="S3038" s="149"/>
      <c r="T3038" s="149"/>
      <c r="U3038" s="149"/>
      <c r="V3038" s="149"/>
      <c r="W3038" s="149"/>
      <c r="X3038" s="149"/>
      <c r="Y3038" s="149"/>
      <c r="Z3038" s="149"/>
      <c r="AA3038" s="149"/>
      <c r="AB3038" s="149"/>
      <c r="AC3038" s="149"/>
      <c r="AD3038" s="149"/>
      <c r="AE3038" s="149"/>
      <c r="AF3038" s="149"/>
      <c r="AG3038" s="149"/>
      <c r="AH3038" s="149"/>
      <c r="AI3038" s="149"/>
      <c r="AJ3038" s="149"/>
      <c r="AK3038" s="149"/>
      <c r="AL3038" s="149"/>
      <c r="AM3038" s="149"/>
      <c r="AN3038" s="149"/>
      <c r="AO3038" s="128"/>
      <c r="AP3038" s="128"/>
      <c r="AQ3038" s="128"/>
      <c r="AR3038" s="128"/>
      <c r="AS3038" s="128"/>
      <c r="AT3038" s="128"/>
      <c r="AU3038" s="128"/>
      <c r="AV3038" s="128"/>
      <c r="AW3038" s="128"/>
      <c r="AX3038" s="128"/>
      <c r="AY3038" s="128"/>
      <c r="AZ3038" s="128"/>
      <c r="BA3038" s="128"/>
      <c r="BB3038" s="128"/>
      <c r="BC3038" s="128"/>
      <c r="BD3038" s="128"/>
      <c r="BE3038" s="128"/>
      <c r="BF3038" s="128"/>
      <c r="BG3038" s="128"/>
      <c r="BH3038" s="128"/>
      <c r="BI3038" s="128"/>
      <c r="BJ3038" s="128"/>
      <c r="BK3038" s="128"/>
      <c r="BL3038" s="128"/>
      <c r="BM3038" s="151"/>
      <c r="BN3038" s="128"/>
      <c r="BO3038" s="128"/>
      <c r="BP3038" s="128"/>
      <c r="BQ3038" s="128"/>
      <c r="BR3038" s="128"/>
      <c r="BS3038" s="128"/>
      <c r="BT3038" s="128"/>
      <c r="BU3038" s="128"/>
      <c r="BV3038" s="128"/>
      <c r="BW3038" s="128"/>
      <c r="BX3038" s="128"/>
      <c r="BY3038" s="128"/>
      <c r="BZ3038" s="128"/>
      <c r="CA3038" s="128"/>
      <c r="CB3038" s="128"/>
      <c r="CC3038" s="128"/>
      <c r="CD3038" s="128"/>
      <c r="CE3038" s="128"/>
      <c r="CF3038" s="128"/>
      <c r="CG3038" s="128"/>
      <c r="CI3038" s="128"/>
      <c r="CJ3038" s="128"/>
      <c r="CK3038" s="128"/>
      <c r="CL3038" s="128"/>
      <c r="CM3038" s="128"/>
      <c r="CN3038" s="128"/>
      <c r="CO3038" s="128"/>
      <c r="CP3038" s="128"/>
      <c r="CQ3038" s="128"/>
      <c r="CR3038" s="128"/>
      <c r="CS3038" s="128"/>
      <c r="CT3038" s="128"/>
      <c r="CU3038" s="128"/>
      <c r="CV3038" s="128"/>
      <c r="CW3038" s="128"/>
      <c r="CX3038" s="128"/>
      <c r="CY3038" s="128"/>
      <c r="CZ3038" s="165"/>
    </row>
    <row r="3039" spans="1:104">
      <c r="A3039" s="149"/>
      <c r="B3039" s="149"/>
      <c r="C3039" s="150"/>
      <c r="D3039" s="102"/>
      <c r="E3039" s="149"/>
      <c r="F3039" s="149"/>
      <c r="G3039" s="149"/>
      <c r="H3039" s="149"/>
      <c r="I3039" s="149"/>
      <c r="J3039" s="149"/>
      <c r="K3039" s="149"/>
      <c r="L3039" s="149"/>
      <c r="M3039" s="149"/>
      <c r="N3039" s="149"/>
      <c r="O3039" s="149"/>
      <c r="P3039" s="149"/>
      <c r="Q3039" s="149"/>
      <c r="R3039" s="149"/>
      <c r="S3039" s="149"/>
      <c r="T3039" s="149"/>
      <c r="U3039" s="149"/>
      <c r="V3039" s="149"/>
      <c r="W3039" s="149"/>
      <c r="X3039" s="149"/>
      <c r="Y3039" s="149"/>
      <c r="Z3039" s="149"/>
      <c r="AA3039" s="149"/>
      <c r="AB3039" s="149"/>
      <c r="AC3039" s="149"/>
      <c r="AD3039" s="149"/>
      <c r="AE3039" s="149"/>
      <c r="AF3039" s="149"/>
      <c r="AG3039" s="149"/>
      <c r="AH3039" s="149"/>
      <c r="AI3039" s="149"/>
      <c r="AJ3039" s="149"/>
      <c r="AK3039" s="149"/>
      <c r="AL3039" s="149"/>
      <c r="AM3039" s="149"/>
      <c r="AN3039" s="149"/>
      <c r="AO3039" s="128"/>
      <c r="AP3039" s="128"/>
      <c r="AQ3039" s="128"/>
      <c r="AR3039" s="128"/>
      <c r="AS3039" s="128"/>
      <c r="AT3039" s="128"/>
      <c r="AU3039" s="128"/>
      <c r="AV3039" s="128"/>
      <c r="AW3039" s="128"/>
      <c r="AX3039" s="128"/>
      <c r="AY3039" s="128"/>
      <c r="AZ3039" s="128"/>
      <c r="BA3039" s="128"/>
      <c r="BB3039" s="128"/>
      <c r="BC3039" s="128"/>
      <c r="BD3039" s="128"/>
      <c r="BE3039" s="128"/>
      <c r="BF3039" s="128"/>
      <c r="BG3039" s="128"/>
      <c r="BH3039" s="128"/>
      <c r="BI3039" s="128"/>
      <c r="BJ3039" s="128"/>
      <c r="BK3039" s="128"/>
      <c r="BL3039" s="128"/>
      <c r="BM3039" s="151"/>
      <c r="BN3039" s="128"/>
      <c r="BO3039" s="128"/>
      <c r="BP3039" s="128"/>
      <c r="BQ3039" s="128"/>
      <c r="BR3039" s="128"/>
      <c r="BS3039" s="128"/>
      <c r="BT3039" s="128"/>
      <c r="BU3039" s="128"/>
      <c r="BV3039" s="128"/>
      <c r="BW3039" s="128"/>
      <c r="BX3039" s="128"/>
      <c r="BY3039" s="128"/>
      <c r="BZ3039" s="128"/>
      <c r="CA3039" s="128"/>
      <c r="CB3039" s="128"/>
      <c r="CC3039" s="128"/>
      <c r="CD3039" s="128"/>
      <c r="CE3039" s="128"/>
      <c r="CF3039" s="128"/>
      <c r="CG3039" s="128"/>
      <c r="CI3039" s="128"/>
      <c r="CJ3039" s="128"/>
      <c r="CK3039" s="128"/>
      <c r="CL3039" s="128"/>
      <c r="CM3039" s="128"/>
      <c r="CN3039" s="128"/>
      <c r="CO3039" s="128"/>
      <c r="CP3039" s="128"/>
      <c r="CQ3039" s="128"/>
      <c r="CR3039" s="128"/>
      <c r="CS3039" s="128"/>
      <c r="CT3039" s="128"/>
      <c r="CU3039" s="128"/>
      <c r="CV3039" s="128"/>
      <c r="CW3039" s="128"/>
      <c r="CX3039" s="128"/>
      <c r="CY3039" s="128"/>
      <c r="CZ3039" s="165"/>
    </row>
    <row r="3040" spans="1:104">
      <c r="A3040" s="149"/>
      <c r="B3040" s="149"/>
      <c r="C3040" s="150"/>
      <c r="D3040" s="102"/>
      <c r="E3040" s="149"/>
      <c r="F3040" s="149"/>
      <c r="G3040" s="149"/>
      <c r="H3040" s="149"/>
      <c r="I3040" s="149"/>
      <c r="J3040" s="149"/>
      <c r="K3040" s="149"/>
      <c r="L3040" s="149"/>
      <c r="M3040" s="149"/>
      <c r="N3040" s="149"/>
      <c r="O3040" s="149"/>
      <c r="P3040" s="149"/>
      <c r="Q3040" s="149"/>
      <c r="R3040" s="149"/>
      <c r="S3040" s="149"/>
      <c r="T3040" s="149"/>
      <c r="U3040" s="149"/>
      <c r="V3040" s="149"/>
      <c r="W3040" s="149"/>
      <c r="X3040" s="149"/>
      <c r="Y3040" s="149"/>
      <c r="Z3040" s="149"/>
      <c r="AA3040" s="149"/>
      <c r="AB3040" s="149"/>
      <c r="AC3040" s="149"/>
      <c r="AD3040" s="149"/>
      <c r="AE3040" s="149"/>
      <c r="AF3040" s="149"/>
      <c r="AG3040" s="149"/>
      <c r="AH3040" s="149"/>
      <c r="AI3040" s="149"/>
      <c r="AJ3040" s="149"/>
      <c r="AK3040" s="149"/>
      <c r="AL3040" s="149"/>
      <c r="AM3040" s="149"/>
      <c r="AN3040" s="149"/>
      <c r="AO3040" s="128"/>
      <c r="AP3040" s="128"/>
      <c r="AQ3040" s="128"/>
      <c r="AR3040" s="128"/>
      <c r="AS3040" s="128"/>
      <c r="AT3040" s="128"/>
      <c r="AU3040" s="128"/>
      <c r="AV3040" s="128"/>
      <c r="AW3040" s="128"/>
      <c r="AX3040" s="128"/>
      <c r="AY3040" s="128"/>
      <c r="AZ3040" s="128"/>
      <c r="BA3040" s="128"/>
      <c r="BB3040" s="128"/>
      <c r="BC3040" s="128"/>
      <c r="BD3040" s="128"/>
      <c r="BE3040" s="128"/>
      <c r="BF3040" s="128"/>
      <c r="BG3040" s="128"/>
      <c r="BH3040" s="128"/>
      <c r="BI3040" s="128"/>
      <c r="BJ3040" s="128"/>
      <c r="BK3040" s="128"/>
      <c r="BL3040" s="128"/>
      <c r="BM3040" s="151"/>
      <c r="BN3040" s="128"/>
      <c r="BO3040" s="128"/>
      <c r="BP3040" s="128"/>
      <c r="BQ3040" s="128"/>
      <c r="BR3040" s="128"/>
      <c r="BS3040" s="128"/>
      <c r="BT3040" s="128"/>
      <c r="BU3040" s="128"/>
      <c r="BV3040" s="128"/>
      <c r="BW3040" s="128"/>
      <c r="BX3040" s="128"/>
      <c r="BY3040" s="128"/>
      <c r="BZ3040" s="128"/>
      <c r="CA3040" s="128"/>
      <c r="CB3040" s="128"/>
      <c r="CC3040" s="128"/>
      <c r="CD3040" s="128"/>
      <c r="CE3040" s="128"/>
      <c r="CF3040" s="128"/>
      <c r="CG3040" s="128"/>
      <c r="CI3040" s="128"/>
      <c r="CJ3040" s="128"/>
      <c r="CK3040" s="128"/>
      <c r="CL3040" s="128"/>
      <c r="CM3040" s="128"/>
      <c r="CN3040" s="128"/>
      <c r="CO3040" s="128"/>
      <c r="CP3040" s="128"/>
      <c r="CQ3040" s="128"/>
      <c r="CR3040" s="128"/>
      <c r="CS3040" s="128"/>
      <c r="CT3040" s="128"/>
      <c r="CU3040" s="128"/>
      <c r="CV3040" s="128"/>
      <c r="CW3040" s="128"/>
      <c r="CX3040" s="128"/>
      <c r="CY3040" s="128"/>
      <c r="CZ3040" s="165"/>
    </row>
    <row r="3041" spans="1:104">
      <c r="A3041" s="149"/>
      <c r="B3041" s="149"/>
      <c r="C3041" s="150"/>
      <c r="D3041" s="102"/>
      <c r="E3041" s="149"/>
      <c r="F3041" s="149"/>
      <c r="G3041" s="149"/>
      <c r="H3041" s="149"/>
      <c r="I3041" s="149"/>
      <c r="J3041" s="149"/>
      <c r="K3041" s="149"/>
      <c r="L3041" s="149"/>
      <c r="M3041" s="149"/>
      <c r="N3041" s="149"/>
      <c r="O3041" s="149"/>
      <c r="P3041" s="149"/>
      <c r="Q3041" s="149"/>
      <c r="R3041" s="149"/>
      <c r="S3041" s="149"/>
      <c r="T3041" s="149"/>
      <c r="U3041" s="149"/>
      <c r="V3041" s="149"/>
      <c r="W3041" s="149"/>
      <c r="X3041" s="149"/>
      <c r="Y3041" s="149"/>
      <c r="Z3041" s="149"/>
      <c r="AA3041" s="149"/>
      <c r="AB3041" s="149"/>
      <c r="AC3041" s="149"/>
      <c r="AD3041" s="149"/>
      <c r="AE3041" s="149"/>
      <c r="AF3041" s="149"/>
      <c r="AG3041" s="149"/>
      <c r="AH3041" s="149"/>
      <c r="AI3041" s="149"/>
      <c r="AJ3041" s="149"/>
      <c r="AK3041" s="149"/>
      <c r="AL3041" s="149"/>
      <c r="AM3041" s="149"/>
      <c r="AN3041" s="149"/>
      <c r="AO3041" s="128"/>
      <c r="AP3041" s="128"/>
      <c r="AQ3041" s="128"/>
      <c r="AR3041" s="128"/>
      <c r="AS3041" s="128"/>
      <c r="AT3041" s="128"/>
      <c r="AU3041" s="128"/>
      <c r="AV3041" s="128"/>
      <c r="AW3041" s="128"/>
      <c r="AX3041" s="128"/>
      <c r="AY3041" s="128"/>
      <c r="AZ3041" s="128"/>
      <c r="BA3041" s="128"/>
      <c r="BB3041" s="128"/>
      <c r="BC3041" s="128"/>
      <c r="BD3041" s="128"/>
      <c r="BE3041" s="128"/>
      <c r="BF3041" s="128"/>
      <c r="BG3041" s="128"/>
      <c r="BH3041" s="128"/>
      <c r="BI3041" s="128"/>
      <c r="BJ3041" s="128"/>
      <c r="BK3041" s="128"/>
      <c r="BL3041" s="128"/>
      <c r="BM3041" s="151"/>
      <c r="BN3041" s="128"/>
      <c r="BO3041" s="128"/>
      <c r="BP3041" s="128"/>
      <c r="BQ3041" s="128"/>
      <c r="BR3041" s="128"/>
      <c r="BS3041" s="128"/>
      <c r="BT3041" s="128"/>
      <c r="BU3041" s="128"/>
      <c r="BV3041" s="128"/>
      <c r="BW3041" s="128"/>
      <c r="BX3041" s="128"/>
      <c r="BY3041" s="128"/>
      <c r="BZ3041" s="128"/>
      <c r="CA3041" s="128"/>
      <c r="CB3041" s="128"/>
      <c r="CC3041" s="128"/>
      <c r="CD3041" s="128"/>
      <c r="CE3041" s="128"/>
      <c r="CF3041" s="128"/>
      <c r="CG3041" s="128"/>
      <c r="CI3041" s="128"/>
      <c r="CJ3041" s="128"/>
      <c r="CK3041" s="128"/>
      <c r="CL3041" s="128"/>
      <c r="CM3041" s="128"/>
      <c r="CN3041" s="128"/>
      <c r="CO3041" s="128"/>
      <c r="CP3041" s="128"/>
      <c r="CQ3041" s="128"/>
      <c r="CR3041" s="128"/>
      <c r="CS3041" s="128"/>
      <c r="CT3041" s="128"/>
      <c r="CU3041" s="128"/>
      <c r="CV3041" s="128"/>
      <c r="CW3041" s="128"/>
      <c r="CX3041" s="128"/>
      <c r="CY3041" s="128"/>
      <c r="CZ3041" s="165"/>
    </row>
    <row r="3042" spans="1:104">
      <c r="A3042" s="149"/>
      <c r="B3042" s="149"/>
      <c r="C3042" s="150"/>
      <c r="D3042" s="102"/>
      <c r="E3042" s="149"/>
      <c r="F3042" s="149"/>
      <c r="G3042" s="149"/>
      <c r="H3042" s="149"/>
      <c r="I3042" s="149"/>
      <c r="J3042" s="149"/>
      <c r="K3042" s="149"/>
      <c r="L3042" s="149"/>
      <c r="M3042" s="149"/>
      <c r="N3042" s="149"/>
      <c r="O3042" s="149"/>
      <c r="P3042" s="149"/>
      <c r="Q3042" s="149"/>
      <c r="R3042" s="149"/>
      <c r="S3042" s="149"/>
      <c r="T3042" s="149"/>
      <c r="U3042" s="149"/>
      <c r="V3042" s="149"/>
      <c r="W3042" s="149"/>
      <c r="X3042" s="149"/>
      <c r="Y3042" s="149"/>
      <c r="Z3042" s="149"/>
      <c r="AA3042" s="149"/>
      <c r="AB3042" s="149"/>
      <c r="AC3042" s="149"/>
      <c r="AD3042" s="149"/>
      <c r="AE3042" s="149"/>
      <c r="AF3042" s="149"/>
      <c r="AG3042" s="149"/>
      <c r="AH3042" s="149"/>
      <c r="AI3042" s="149"/>
      <c r="AJ3042" s="149"/>
      <c r="AK3042" s="149"/>
      <c r="AL3042" s="149"/>
      <c r="AM3042" s="149"/>
      <c r="AN3042" s="149"/>
      <c r="AO3042" s="128"/>
      <c r="AP3042" s="128"/>
      <c r="AQ3042" s="128"/>
      <c r="AR3042" s="128"/>
      <c r="AS3042" s="128"/>
      <c r="AT3042" s="128"/>
      <c r="AU3042" s="128"/>
      <c r="AV3042" s="128"/>
      <c r="AW3042" s="128"/>
      <c r="AX3042" s="128"/>
      <c r="AY3042" s="128"/>
      <c r="AZ3042" s="128"/>
      <c r="BA3042" s="128"/>
      <c r="BB3042" s="128"/>
      <c r="BC3042" s="128"/>
      <c r="BD3042" s="128"/>
      <c r="BE3042" s="128"/>
      <c r="BF3042" s="128"/>
      <c r="BG3042" s="128"/>
      <c r="BH3042" s="128"/>
      <c r="BI3042" s="128"/>
      <c r="BJ3042" s="128"/>
      <c r="BK3042" s="128"/>
      <c r="BL3042" s="128"/>
      <c r="BM3042" s="151"/>
      <c r="BN3042" s="128"/>
      <c r="BO3042" s="128"/>
      <c r="BP3042" s="128"/>
      <c r="BQ3042" s="128"/>
      <c r="BR3042" s="128"/>
      <c r="BS3042" s="128"/>
      <c r="BT3042" s="128"/>
      <c r="BU3042" s="128"/>
      <c r="BV3042" s="128"/>
      <c r="BW3042" s="128"/>
      <c r="BX3042" s="128"/>
      <c r="BY3042" s="128"/>
      <c r="BZ3042" s="128"/>
      <c r="CA3042" s="128"/>
      <c r="CB3042" s="128"/>
      <c r="CC3042" s="128"/>
      <c r="CD3042" s="128"/>
      <c r="CE3042" s="128"/>
      <c r="CF3042" s="128"/>
      <c r="CG3042" s="128"/>
      <c r="CI3042" s="128"/>
      <c r="CJ3042" s="128"/>
      <c r="CK3042" s="128"/>
      <c r="CL3042" s="128"/>
      <c r="CM3042" s="128"/>
      <c r="CN3042" s="128"/>
      <c r="CO3042" s="128"/>
      <c r="CP3042" s="128"/>
      <c r="CQ3042" s="128"/>
      <c r="CR3042" s="128"/>
      <c r="CS3042" s="128"/>
      <c r="CT3042" s="128"/>
      <c r="CU3042" s="128"/>
      <c r="CV3042" s="128"/>
      <c r="CW3042" s="128"/>
      <c r="CX3042" s="128"/>
      <c r="CY3042" s="128"/>
      <c r="CZ3042" s="165"/>
    </row>
    <row r="3043" spans="1:104">
      <c r="A3043" s="149"/>
      <c r="B3043" s="149"/>
      <c r="C3043" s="150"/>
      <c r="D3043" s="102"/>
      <c r="E3043" s="149"/>
      <c r="F3043" s="149"/>
      <c r="G3043" s="149"/>
      <c r="H3043" s="149"/>
      <c r="I3043" s="149"/>
      <c r="J3043" s="149"/>
      <c r="K3043" s="149"/>
      <c r="L3043" s="149"/>
      <c r="M3043" s="149"/>
      <c r="N3043" s="149"/>
      <c r="O3043" s="149"/>
      <c r="P3043" s="149"/>
      <c r="Q3043" s="149"/>
      <c r="R3043" s="149"/>
      <c r="S3043" s="149"/>
      <c r="T3043" s="149"/>
      <c r="U3043" s="149"/>
      <c r="V3043" s="149"/>
      <c r="W3043" s="149"/>
      <c r="X3043" s="149"/>
      <c r="Y3043" s="149"/>
      <c r="Z3043" s="149"/>
      <c r="AA3043" s="149"/>
      <c r="AB3043" s="149"/>
      <c r="AC3043" s="149"/>
      <c r="AD3043" s="149"/>
      <c r="AE3043" s="149"/>
      <c r="AF3043" s="149"/>
      <c r="AG3043" s="149"/>
      <c r="AH3043" s="149"/>
      <c r="AI3043" s="149"/>
      <c r="AJ3043" s="149"/>
      <c r="AK3043" s="149"/>
      <c r="AL3043" s="149"/>
      <c r="AM3043" s="149"/>
      <c r="AN3043" s="149"/>
      <c r="AO3043" s="128"/>
      <c r="AP3043" s="128"/>
      <c r="AQ3043" s="128"/>
      <c r="AR3043" s="128"/>
      <c r="AS3043" s="128"/>
      <c r="AT3043" s="128"/>
      <c r="AU3043" s="128"/>
      <c r="AV3043" s="128"/>
      <c r="AW3043" s="128"/>
      <c r="AX3043" s="128"/>
      <c r="AY3043" s="128"/>
      <c r="AZ3043" s="128"/>
      <c r="BA3043" s="128"/>
      <c r="BB3043" s="128"/>
      <c r="BC3043" s="128"/>
      <c r="BD3043" s="128"/>
      <c r="BE3043" s="128"/>
      <c r="BF3043" s="128"/>
      <c r="BG3043" s="128"/>
      <c r="BH3043" s="128"/>
      <c r="BI3043" s="128"/>
      <c r="BJ3043" s="128"/>
      <c r="BK3043" s="128"/>
      <c r="BL3043" s="128"/>
      <c r="BM3043" s="151"/>
      <c r="BN3043" s="128"/>
      <c r="BO3043" s="128"/>
      <c r="BP3043" s="128"/>
      <c r="BQ3043" s="128"/>
      <c r="BR3043" s="128"/>
      <c r="BS3043" s="128"/>
      <c r="BT3043" s="128"/>
      <c r="BU3043" s="128"/>
      <c r="BV3043" s="128"/>
      <c r="BW3043" s="128"/>
      <c r="BX3043" s="128"/>
      <c r="BY3043" s="128"/>
      <c r="BZ3043" s="128"/>
      <c r="CA3043" s="128"/>
      <c r="CB3043" s="128"/>
      <c r="CC3043" s="128"/>
      <c r="CD3043" s="128"/>
      <c r="CE3043" s="128"/>
      <c r="CF3043" s="128"/>
      <c r="CG3043" s="128"/>
      <c r="CI3043" s="128"/>
      <c r="CJ3043" s="128"/>
      <c r="CK3043" s="128"/>
      <c r="CL3043" s="128"/>
      <c r="CM3043" s="128"/>
      <c r="CN3043" s="128"/>
      <c r="CO3043" s="128"/>
      <c r="CP3043" s="128"/>
      <c r="CQ3043" s="128"/>
      <c r="CR3043" s="128"/>
      <c r="CS3043" s="128"/>
      <c r="CT3043" s="128"/>
      <c r="CU3043" s="128"/>
      <c r="CV3043" s="128"/>
      <c r="CW3043" s="128"/>
      <c r="CX3043" s="128"/>
      <c r="CY3043" s="128"/>
      <c r="CZ3043" s="165"/>
    </row>
    <row r="3044" spans="1:104">
      <c r="A3044" s="149"/>
      <c r="B3044" s="149"/>
      <c r="C3044" s="150"/>
      <c r="D3044" s="102"/>
      <c r="E3044" s="149"/>
      <c r="F3044" s="149"/>
      <c r="G3044" s="149"/>
      <c r="H3044" s="149"/>
      <c r="I3044" s="149"/>
      <c r="J3044" s="149"/>
      <c r="K3044" s="149"/>
      <c r="L3044" s="149"/>
      <c r="M3044" s="149"/>
      <c r="N3044" s="149"/>
      <c r="O3044" s="149"/>
      <c r="P3044" s="149"/>
      <c r="Q3044" s="149"/>
      <c r="R3044" s="149"/>
      <c r="S3044" s="149"/>
      <c r="T3044" s="149"/>
      <c r="U3044" s="149"/>
      <c r="V3044" s="149"/>
      <c r="W3044" s="149"/>
      <c r="X3044" s="149"/>
      <c r="Y3044" s="149"/>
      <c r="Z3044" s="149"/>
      <c r="AA3044" s="149"/>
      <c r="AB3044" s="149"/>
      <c r="AC3044" s="149"/>
      <c r="AD3044" s="149"/>
      <c r="AE3044" s="149"/>
      <c r="AF3044" s="149"/>
      <c r="AG3044" s="149"/>
      <c r="AH3044" s="149"/>
      <c r="AI3044" s="149"/>
      <c r="AJ3044" s="149"/>
      <c r="AK3044" s="149"/>
      <c r="AL3044" s="149"/>
      <c r="AM3044" s="149"/>
      <c r="AN3044" s="149"/>
      <c r="AO3044" s="128"/>
      <c r="AP3044" s="128"/>
      <c r="AQ3044" s="128"/>
      <c r="AR3044" s="128"/>
      <c r="AS3044" s="128"/>
      <c r="AT3044" s="128"/>
      <c r="AU3044" s="128"/>
      <c r="AV3044" s="128"/>
      <c r="AW3044" s="128"/>
      <c r="AX3044" s="128"/>
      <c r="AY3044" s="128"/>
      <c r="AZ3044" s="128"/>
      <c r="BA3044" s="128"/>
      <c r="BB3044" s="128"/>
      <c r="BC3044" s="128"/>
      <c r="BD3044" s="128"/>
      <c r="BE3044" s="128"/>
      <c r="BF3044" s="128"/>
      <c r="BG3044" s="128"/>
      <c r="BH3044" s="128"/>
      <c r="BI3044" s="128"/>
      <c r="BJ3044" s="128"/>
      <c r="BK3044" s="128"/>
      <c r="BL3044" s="128"/>
      <c r="BM3044" s="151"/>
      <c r="BN3044" s="128"/>
      <c r="BO3044" s="128"/>
      <c r="BP3044" s="128"/>
      <c r="BQ3044" s="128"/>
      <c r="BR3044" s="128"/>
      <c r="BS3044" s="128"/>
      <c r="BT3044" s="128"/>
      <c r="BU3044" s="128"/>
      <c r="BV3044" s="128"/>
      <c r="BW3044" s="128"/>
      <c r="BX3044" s="128"/>
      <c r="BY3044" s="128"/>
      <c r="BZ3044" s="128"/>
      <c r="CA3044" s="128"/>
      <c r="CB3044" s="128"/>
      <c r="CC3044" s="128"/>
      <c r="CD3044" s="128"/>
      <c r="CE3044" s="128"/>
      <c r="CF3044" s="128"/>
      <c r="CG3044" s="128"/>
      <c r="CI3044" s="128"/>
      <c r="CJ3044" s="128"/>
      <c r="CK3044" s="128"/>
      <c r="CL3044" s="128"/>
      <c r="CM3044" s="128"/>
      <c r="CN3044" s="128"/>
      <c r="CO3044" s="128"/>
      <c r="CP3044" s="128"/>
      <c r="CQ3044" s="128"/>
      <c r="CR3044" s="128"/>
      <c r="CS3044" s="128"/>
      <c r="CT3044" s="128"/>
      <c r="CU3044" s="128"/>
      <c r="CV3044" s="128"/>
      <c r="CW3044" s="128"/>
      <c r="CX3044" s="128"/>
      <c r="CY3044" s="128"/>
      <c r="CZ3044" s="165"/>
    </row>
    <row r="3045" spans="1:104">
      <c r="A3045" s="149"/>
      <c r="B3045" s="149"/>
      <c r="C3045" s="150"/>
      <c r="D3045" s="102"/>
      <c r="E3045" s="149"/>
      <c r="F3045" s="149"/>
      <c r="G3045" s="149"/>
      <c r="H3045" s="149"/>
      <c r="I3045" s="149"/>
      <c r="J3045" s="149"/>
      <c r="K3045" s="149"/>
      <c r="L3045" s="149"/>
      <c r="M3045" s="149"/>
      <c r="N3045" s="149"/>
      <c r="O3045" s="149"/>
      <c r="P3045" s="149"/>
      <c r="Q3045" s="149"/>
      <c r="R3045" s="149"/>
      <c r="S3045" s="149"/>
      <c r="T3045" s="149"/>
      <c r="U3045" s="149"/>
      <c r="V3045" s="149"/>
      <c r="W3045" s="149"/>
      <c r="X3045" s="149"/>
      <c r="Y3045" s="149"/>
      <c r="Z3045" s="149"/>
      <c r="AA3045" s="149"/>
      <c r="AB3045" s="149"/>
      <c r="AC3045" s="149"/>
      <c r="AD3045" s="149"/>
      <c r="AE3045" s="149"/>
      <c r="AF3045" s="149"/>
      <c r="AG3045" s="149"/>
      <c r="AH3045" s="149"/>
      <c r="AI3045" s="149"/>
      <c r="AJ3045" s="149"/>
      <c r="AK3045" s="149"/>
      <c r="AL3045" s="149"/>
      <c r="AM3045" s="149"/>
      <c r="AN3045" s="149"/>
      <c r="AO3045" s="128"/>
      <c r="AP3045" s="128"/>
      <c r="AQ3045" s="128"/>
      <c r="AR3045" s="128"/>
      <c r="AS3045" s="128"/>
      <c r="AT3045" s="128"/>
      <c r="AU3045" s="128"/>
      <c r="AV3045" s="128"/>
      <c r="AW3045" s="128"/>
      <c r="AX3045" s="128"/>
      <c r="AY3045" s="128"/>
      <c r="AZ3045" s="128"/>
      <c r="BA3045" s="128"/>
      <c r="BB3045" s="128"/>
      <c r="BC3045" s="128"/>
      <c r="BD3045" s="128"/>
      <c r="BE3045" s="128"/>
      <c r="BF3045" s="128"/>
      <c r="BG3045" s="128"/>
      <c r="BH3045" s="128"/>
      <c r="BI3045" s="128"/>
      <c r="BJ3045" s="128"/>
      <c r="BK3045" s="128"/>
      <c r="BL3045" s="128"/>
      <c r="BM3045" s="151"/>
      <c r="BN3045" s="128"/>
      <c r="BO3045" s="128"/>
      <c r="BP3045" s="128"/>
      <c r="BQ3045" s="128"/>
      <c r="BR3045" s="128"/>
      <c r="BS3045" s="128"/>
      <c r="BT3045" s="128"/>
      <c r="BU3045" s="128"/>
      <c r="BV3045" s="128"/>
      <c r="BW3045" s="128"/>
      <c r="BX3045" s="128"/>
      <c r="BY3045" s="128"/>
      <c r="BZ3045" s="128"/>
      <c r="CA3045" s="128"/>
      <c r="CB3045" s="128"/>
      <c r="CC3045" s="128"/>
      <c r="CD3045" s="128"/>
      <c r="CE3045" s="128"/>
      <c r="CF3045" s="128"/>
      <c r="CG3045" s="128"/>
      <c r="CI3045" s="128"/>
      <c r="CJ3045" s="128"/>
      <c r="CK3045" s="128"/>
      <c r="CL3045" s="128"/>
      <c r="CM3045" s="128"/>
      <c r="CN3045" s="128"/>
      <c r="CO3045" s="128"/>
      <c r="CP3045" s="128"/>
      <c r="CQ3045" s="128"/>
      <c r="CR3045" s="128"/>
      <c r="CS3045" s="128"/>
      <c r="CT3045" s="128"/>
      <c r="CU3045" s="128"/>
      <c r="CV3045" s="128"/>
      <c r="CW3045" s="128"/>
      <c r="CX3045" s="128"/>
      <c r="CY3045" s="128"/>
      <c r="CZ3045" s="165"/>
    </row>
    <row r="3046" spans="1:104">
      <c r="A3046" s="149"/>
      <c r="B3046" s="149"/>
      <c r="C3046" s="150"/>
      <c r="D3046" s="102"/>
      <c r="E3046" s="149"/>
      <c r="F3046" s="149"/>
      <c r="G3046" s="149"/>
      <c r="H3046" s="149"/>
      <c r="I3046" s="149"/>
      <c r="J3046" s="149"/>
      <c r="K3046" s="149"/>
      <c r="L3046" s="149"/>
      <c r="M3046" s="149"/>
      <c r="N3046" s="149"/>
      <c r="O3046" s="149"/>
      <c r="P3046" s="149"/>
      <c r="Q3046" s="149"/>
      <c r="R3046" s="149"/>
      <c r="S3046" s="149"/>
      <c r="T3046" s="149"/>
      <c r="U3046" s="149"/>
      <c r="V3046" s="149"/>
      <c r="W3046" s="149"/>
      <c r="X3046" s="149"/>
      <c r="Y3046" s="149"/>
      <c r="Z3046" s="149"/>
      <c r="AA3046" s="149"/>
      <c r="AB3046" s="149"/>
      <c r="AC3046" s="149"/>
      <c r="AD3046" s="149"/>
      <c r="AE3046" s="149"/>
      <c r="AF3046" s="149"/>
      <c r="AG3046" s="149"/>
      <c r="AH3046" s="149"/>
      <c r="AI3046" s="149"/>
      <c r="AJ3046" s="149"/>
      <c r="AK3046" s="149"/>
      <c r="AL3046" s="149"/>
      <c r="AM3046" s="149"/>
      <c r="AN3046" s="149"/>
      <c r="AO3046" s="128"/>
      <c r="AP3046" s="128"/>
      <c r="AQ3046" s="128"/>
      <c r="AR3046" s="128"/>
      <c r="AS3046" s="128"/>
      <c r="AT3046" s="128"/>
      <c r="AU3046" s="128"/>
      <c r="AV3046" s="128"/>
      <c r="AW3046" s="128"/>
      <c r="AX3046" s="128"/>
      <c r="AY3046" s="128"/>
      <c r="AZ3046" s="128"/>
      <c r="BA3046" s="128"/>
      <c r="BB3046" s="128"/>
      <c r="BC3046" s="128"/>
      <c r="BD3046" s="128"/>
      <c r="BE3046" s="128"/>
      <c r="BF3046" s="128"/>
      <c r="BG3046" s="128"/>
      <c r="BH3046" s="128"/>
      <c r="BI3046" s="128"/>
      <c r="BJ3046" s="128"/>
      <c r="BK3046" s="128"/>
      <c r="BL3046" s="128"/>
      <c r="BM3046" s="151"/>
      <c r="BN3046" s="128"/>
      <c r="BO3046" s="128"/>
      <c r="BP3046" s="128"/>
      <c r="BQ3046" s="128"/>
      <c r="BR3046" s="128"/>
      <c r="BS3046" s="128"/>
      <c r="BT3046" s="128"/>
      <c r="BU3046" s="128"/>
      <c r="BV3046" s="128"/>
      <c r="BW3046" s="128"/>
      <c r="BX3046" s="128"/>
      <c r="BY3046" s="128"/>
      <c r="BZ3046" s="128"/>
      <c r="CA3046" s="128"/>
      <c r="CB3046" s="128"/>
      <c r="CC3046" s="128"/>
      <c r="CD3046" s="128"/>
      <c r="CE3046" s="128"/>
      <c r="CF3046" s="128"/>
      <c r="CG3046" s="128"/>
      <c r="CI3046" s="128"/>
      <c r="CJ3046" s="128"/>
      <c r="CK3046" s="128"/>
      <c r="CL3046" s="128"/>
      <c r="CM3046" s="128"/>
      <c r="CN3046" s="128"/>
      <c r="CO3046" s="128"/>
      <c r="CP3046" s="128"/>
      <c r="CQ3046" s="128"/>
      <c r="CR3046" s="128"/>
      <c r="CS3046" s="128"/>
      <c r="CT3046" s="128"/>
      <c r="CU3046" s="128"/>
      <c r="CV3046" s="128"/>
      <c r="CW3046" s="128"/>
      <c r="CX3046" s="128"/>
      <c r="CY3046" s="128"/>
      <c r="CZ3046" s="165"/>
    </row>
    <row r="3047" spans="1:104">
      <c r="A3047" s="149"/>
      <c r="B3047" s="149"/>
      <c r="C3047" s="150"/>
      <c r="D3047" s="102"/>
      <c r="E3047" s="149"/>
      <c r="F3047" s="149"/>
      <c r="G3047" s="149"/>
      <c r="H3047" s="149"/>
      <c r="I3047" s="149"/>
      <c r="J3047" s="149"/>
      <c r="K3047" s="149"/>
      <c r="L3047" s="149"/>
      <c r="M3047" s="149"/>
      <c r="N3047" s="149"/>
      <c r="O3047" s="149"/>
      <c r="P3047" s="149"/>
      <c r="Q3047" s="149"/>
      <c r="R3047" s="149"/>
      <c r="S3047" s="149"/>
      <c r="T3047" s="149"/>
      <c r="U3047" s="149"/>
      <c r="V3047" s="149"/>
      <c r="W3047" s="149"/>
      <c r="X3047" s="149"/>
      <c r="Y3047" s="149"/>
      <c r="Z3047" s="149"/>
      <c r="AA3047" s="149"/>
      <c r="AB3047" s="149"/>
      <c r="AC3047" s="149"/>
      <c r="AD3047" s="149"/>
      <c r="AE3047" s="149"/>
      <c r="AF3047" s="149"/>
      <c r="AG3047" s="149"/>
      <c r="AH3047" s="149"/>
      <c r="AI3047" s="149"/>
      <c r="AJ3047" s="149"/>
      <c r="AK3047" s="149"/>
      <c r="AL3047" s="149"/>
      <c r="AM3047" s="149"/>
      <c r="AN3047" s="149"/>
      <c r="AO3047" s="128"/>
      <c r="AP3047" s="128"/>
      <c r="AQ3047" s="128"/>
      <c r="AR3047" s="128"/>
      <c r="AS3047" s="128"/>
      <c r="AT3047" s="128"/>
      <c r="AU3047" s="128"/>
      <c r="AV3047" s="128"/>
      <c r="AW3047" s="128"/>
      <c r="AX3047" s="128"/>
      <c r="AY3047" s="128"/>
      <c r="AZ3047" s="128"/>
      <c r="BA3047" s="128"/>
      <c r="BB3047" s="128"/>
      <c r="BC3047" s="128"/>
      <c r="BD3047" s="128"/>
      <c r="BE3047" s="128"/>
      <c r="BF3047" s="128"/>
      <c r="BG3047" s="128"/>
      <c r="BH3047" s="128"/>
      <c r="BI3047" s="128"/>
      <c r="BJ3047" s="128"/>
      <c r="BK3047" s="128"/>
      <c r="BL3047" s="128"/>
      <c r="BM3047" s="151"/>
      <c r="BN3047" s="128"/>
      <c r="BO3047" s="128"/>
      <c r="BP3047" s="128"/>
      <c r="BQ3047" s="128"/>
      <c r="BR3047" s="128"/>
      <c r="BS3047" s="128"/>
      <c r="BT3047" s="128"/>
      <c r="BU3047" s="128"/>
      <c r="BV3047" s="128"/>
      <c r="BW3047" s="128"/>
      <c r="BX3047" s="128"/>
      <c r="BY3047" s="128"/>
      <c r="BZ3047" s="128"/>
      <c r="CA3047" s="128"/>
      <c r="CB3047" s="128"/>
      <c r="CC3047" s="128"/>
      <c r="CD3047" s="128"/>
      <c r="CE3047" s="128"/>
      <c r="CF3047" s="128"/>
      <c r="CG3047" s="128"/>
      <c r="CI3047" s="128"/>
      <c r="CJ3047" s="128"/>
      <c r="CK3047" s="128"/>
      <c r="CL3047" s="128"/>
      <c r="CM3047" s="128"/>
      <c r="CN3047" s="128"/>
      <c r="CO3047" s="128"/>
      <c r="CP3047" s="128"/>
      <c r="CQ3047" s="128"/>
      <c r="CR3047" s="128"/>
      <c r="CS3047" s="128"/>
      <c r="CT3047" s="128"/>
      <c r="CU3047" s="128"/>
      <c r="CV3047" s="128"/>
      <c r="CW3047" s="128"/>
      <c r="CX3047" s="128"/>
      <c r="CY3047" s="128"/>
      <c r="CZ3047" s="165"/>
    </row>
    <row r="3048" spans="1:104">
      <c r="A3048" s="149"/>
      <c r="B3048" s="149"/>
      <c r="C3048" s="150"/>
      <c r="D3048" s="102"/>
      <c r="E3048" s="149"/>
      <c r="F3048" s="149"/>
      <c r="G3048" s="149"/>
      <c r="H3048" s="149"/>
      <c r="I3048" s="149"/>
      <c r="J3048" s="149"/>
      <c r="K3048" s="149"/>
      <c r="L3048" s="149"/>
      <c r="M3048" s="149"/>
      <c r="N3048" s="149"/>
      <c r="O3048" s="149"/>
      <c r="P3048" s="149"/>
      <c r="Q3048" s="149"/>
      <c r="R3048" s="149"/>
      <c r="S3048" s="149"/>
      <c r="T3048" s="149"/>
      <c r="U3048" s="149"/>
      <c r="V3048" s="149"/>
      <c r="W3048" s="149"/>
      <c r="X3048" s="149"/>
      <c r="Y3048" s="149"/>
      <c r="Z3048" s="149"/>
      <c r="AA3048" s="149"/>
      <c r="AB3048" s="149"/>
      <c r="AC3048" s="149"/>
      <c r="AD3048" s="149"/>
      <c r="AE3048" s="149"/>
      <c r="AF3048" s="149"/>
      <c r="AG3048" s="149"/>
      <c r="AH3048" s="149"/>
      <c r="AI3048" s="149"/>
      <c r="AJ3048" s="149"/>
      <c r="AK3048" s="149"/>
      <c r="AL3048" s="149"/>
      <c r="AM3048" s="149"/>
      <c r="AN3048" s="149"/>
      <c r="AO3048" s="128"/>
      <c r="AP3048" s="128"/>
      <c r="AQ3048" s="128"/>
      <c r="AR3048" s="128"/>
      <c r="AS3048" s="128"/>
      <c r="AT3048" s="128"/>
      <c r="AU3048" s="128"/>
      <c r="AV3048" s="128"/>
      <c r="AW3048" s="128"/>
      <c r="AX3048" s="128"/>
      <c r="AY3048" s="128"/>
      <c r="AZ3048" s="128"/>
      <c r="BA3048" s="128"/>
      <c r="BB3048" s="128"/>
      <c r="BC3048" s="128"/>
      <c r="BD3048" s="128"/>
      <c r="BE3048" s="128"/>
      <c r="BF3048" s="128"/>
      <c r="BG3048" s="128"/>
      <c r="BH3048" s="128"/>
      <c r="BI3048" s="128"/>
      <c r="BJ3048" s="128"/>
      <c r="BK3048" s="128"/>
      <c r="BL3048" s="128"/>
      <c r="BM3048" s="151"/>
      <c r="BN3048" s="128"/>
      <c r="BO3048" s="128"/>
      <c r="BP3048" s="128"/>
      <c r="BQ3048" s="128"/>
      <c r="BR3048" s="128"/>
      <c r="BS3048" s="128"/>
      <c r="BT3048" s="128"/>
      <c r="BU3048" s="128"/>
      <c r="BV3048" s="128"/>
      <c r="BW3048" s="128"/>
      <c r="BX3048" s="128"/>
      <c r="BY3048" s="128"/>
      <c r="BZ3048" s="128"/>
      <c r="CA3048" s="128"/>
      <c r="CB3048" s="128"/>
      <c r="CC3048" s="128"/>
      <c r="CD3048" s="128"/>
      <c r="CE3048" s="128"/>
      <c r="CF3048" s="128"/>
      <c r="CG3048" s="128"/>
      <c r="CI3048" s="128"/>
      <c r="CJ3048" s="128"/>
      <c r="CK3048" s="128"/>
      <c r="CL3048" s="128"/>
      <c r="CM3048" s="128"/>
      <c r="CN3048" s="128"/>
      <c r="CO3048" s="128"/>
      <c r="CP3048" s="128"/>
      <c r="CQ3048" s="128"/>
      <c r="CR3048" s="128"/>
      <c r="CS3048" s="128"/>
      <c r="CT3048" s="128"/>
      <c r="CU3048" s="128"/>
      <c r="CV3048" s="128"/>
      <c r="CW3048" s="128"/>
      <c r="CX3048" s="128"/>
      <c r="CY3048" s="128"/>
      <c r="CZ3048" s="165"/>
    </row>
    <row r="3049" spans="1:104">
      <c r="A3049" s="149"/>
      <c r="B3049" s="149"/>
      <c r="C3049" s="150"/>
      <c r="D3049" s="102"/>
      <c r="E3049" s="149"/>
      <c r="F3049" s="149"/>
      <c r="G3049" s="149"/>
      <c r="H3049" s="149"/>
      <c r="I3049" s="149"/>
      <c r="J3049" s="149"/>
      <c r="K3049" s="149"/>
      <c r="L3049" s="149"/>
      <c r="M3049" s="149"/>
      <c r="N3049" s="149"/>
      <c r="O3049" s="149"/>
      <c r="P3049" s="149"/>
      <c r="Q3049" s="149"/>
      <c r="R3049" s="149"/>
      <c r="S3049" s="149"/>
      <c r="T3049" s="149"/>
      <c r="U3049" s="149"/>
      <c r="V3049" s="149"/>
      <c r="W3049" s="149"/>
      <c r="X3049" s="149"/>
      <c r="Y3049" s="149"/>
      <c r="Z3049" s="149"/>
      <c r="AA3049" s="149"/>
      <c r="AB3049" s="149"/>
      <c r="AC3049" s="149"/>
      <c r="AD3049" s="149"/>
      <c r="AE3049" s="149"/>
      <c r="AF3049" s="149"/>
      <c r="AG3049" s="149"/>
      <c r="AH3049" s="149"/>
      <c r="AI3049" s="149"/>
      <c r="AJ3049" s="149"/>
      <c r="AK3049" s="149"/>
      <c r="AL3049" s="149"/>
      <c r="AM3049" s="149"/>
      <c r="AN3049" s="149"/>
      <c r="AO3049" s="128"/>
      <c r="AP3049" s="128"/>
      <c r="AQ3049" s="128"/>
      <c r="AR3049" s="128"/>
      <c r="AS3049" s="128"/>
      <c r="AT3049" s="128"/>
      <c r="AU3049" s="128"/>
      <c r="AV3049" s="128"/>
      <c r="AW3049" s="128"/>
      <c r="AX3049" s="128"/>
      <c r="AY3049" s="128"/>
      <c r="AZ3049" s="128"/>
      <c r="BA3049" s="128"/>
      <c r="BB3049" s="128"/>
      <c r="BC3049" s="128"/>
      <c r="BD3049" s="128"/>
      <c r="BE3049" s="128"/>
      <c r="BF3049" s="128"/>
      <c r="BG3049" s="128"/>
      <c r="BH3049" s="128"/>
      <c r="BI3049" s="128"/>
      <c r="BJ3049" s="128"/>
      <c r="BK3049" s="128"/>
      <c r="BL3049" s="128"/>
      <c r="BM3049" s="151"/>
      <c r="BN3049" s="128"/>
      <c r="BO3049" s="128"/>
      <c r="BP3049" s="128"/>
      <c r="BQ3049" s="128"/>
      <c r="BR3049" s="128"/>
      <c r="BS3049" s="128"/>
      <c r="BT3049" s="128"/>
      <c r="BU3049" s="128"/>
      <c r="BV3049" s="128"/>
      <c r="BW3049" s="128"/>
      <c r="BX3049" s="128"/>
      <c r="BY3049" s="128"/>
      <c r="BZ3049" s="128"/>
      <c r="CA3049" s="128"/>
      <c r="CB3049" s="128"/>
      <c r="CC3049" s="128"/>
      <c r="CD3049" s="128"/>
      <c r="CE3049" s="128"/>
      <c r="CF3049" s="128"/>
      <c r="CG3049" s="128"/>
      <c r="CI3049" s="128"/>
      <c r="CJ3049" s="128"/>
      <c r="CK3049" s="128"/>
      <c r="CL3049" s="128"/>
      <c r="CM3049" s="128"/>
      <c r="CN3049" s="128"/>
      <c r="CO3049" s="128"/>
      <c r="CP3049" s="128"/>
      <c r="CQ3049" s="128"/>
      <c r="CR3049" s="128"/>
      <c r="CS3049" s="128"/>
      <c r="CT3049" s="128"/>
      <c r="CU3049" s="128"/>
      <c r="CV3049" s="128"/>
      <c r="CW3049" s="128"/>
      <c r="CX3049" s="128"/>
      <c r="CY3049" s="128"/>
      <c r="CZ3049" s="165"/>
    </row>
    <row r="3050" spans="1:104">
      <c r="A3050" s="149"/>
      <c r="B3050" s="149"/>
      <c r="C3050" s="150"/>
      <c r="D3050" s="102"/>
      <c r="E3050" s="149"/>
      <c r="F3050" s="149"/>
      <c r="G3050" s="149"/>
      <c r="H3050" s="149"/>
      <c r="I3050" s="149"/>
      <c r="J3050" s="149"/>
      <c r="K3050" s="149"/>
      <c r="L3050" s="149"/>
      <c r="M3050" s="149"/>
      <c r="N3050" s="149"/>
      <c r="O3050" s="149"/>
      <c r="P3050" s="149"/>
      <c r="Q3050" s="149"/>
      <c r="R3050" s="149"/>
      <c r="S3050" s="149"/>
      <c r="T3050" s="149"/>
      <c r="U3050" s="149"/>
      <c r="V3050" s="149"/>
      <c r="W3050" s="149"/>
      <c r="X3050" s="149"/>
      <c r="Y3050" s="149"/>
      <c r="Z3050" s="149"/>
      <c r="AA3050" s="149"/>
      <c r="AB3050" s="149"/>
      <c r="AC3050" s="149"/>
      <c r="AD3050" s="149"/>
      <c r="AE3050" s="149"/>
      <c r="AF3050" s="149"/>
      <c r="AG3050" s="149"/>
      <c r="AH3050" s="149"/>
      <c r="AI3050" s="149"/>
      <c r="AJ3050" s="149"/>
      <c r="AK3050" s="149"/>
      <c r="AL3050" s="149"/>
      <c r="AM3050" s="149"/>
      <c r="AN3050" s="149"/>
      <c r="AO3050" s="128"/>
      <c r="AP3050" s="128"/>
      <c r="AQ3050" s="128"/>
      <c r="AR3050" s="128"/>
      <c r="AS3050" s="128"/>
      <c r="AT3050" s="128"/>
      <c r="AU3050" s="128"/>
      <c r="AV3050" s="128"/>
      <c r="AW3050" s="128"/>
      <c r="AX3050" s="128"/>
      <c r="AY3050" s="128"/>
      <c r="AZ3050" s="128"/>
      <c r="BA3050" s="128"/>
      <c r="BB3050" s="128"/>
      <c r="BC3050" s="128"/>
      <c r="BD3050" s="128"/>
      <c r="BE3050" s="128"/>
      <c r="BF3050" s="128"/>
      <c r="BG3050" s="128"/>
      <c r="BH3050" s="128"/>
      <c r="BI3050" s="128"/>
      <c r="BJ3050" s="128"/>
      <c r="BK3050" s="128"/>
      <c r="BL3050" s="128"/>
      <c r="BM3050" s="151"/>
      <c r="BN3050" s="128"/>
      <c r="BO3050" s="128"/>
      <c r="BP3050" s="128"/>
      <c r="BQ3050" s="128"/>
      <c r="BR3050" s="128"/>
      <c r="BS3050" s="128"/>
      <c r="BT3050" s="128"/>
      <c r="BU3050" s="128"/>
      <c r="BV3050" s="128"/>
      <c r="BW3050" s="128"/>
      <c r="BX3050" s="128"/>
      <c r="BY3050" s="128"/>
      <c r="BZ3050" s="128"/>
      <c r="CA3050" s="128"/>
      <c r="CB3050" s="128"/>
      <c r="CC3050" s="128"/>
      <c r="CD3050" s="128"/>
      <c r="CE3050" s="128"/>
      <c r="CF3050" s="128"/>
      <c r="CG3050" s="128"/>
      <c r="CI3050" s="128"/>
      <c r="CJ3050" s="128"/>
      <c r="CK3050" s="128"/>
      <c r="CL3050" s="128"/>
      <c r="CM3050" s="128"/>
      <c r="CN3050" s="128"/>
      <c r="CO3050" s="128"/>
      <c r="CP3050" s="128"/>
      <c r="CQ3050" s="128"/>
      <c r="CR3050" s="128"/>
      <c r="CS3050" s="128"/>
      <c r="CT3050" s="128"/>
      <c r="CU3050" s="128"/>
      <c r="CV3050" s="128"/>
      <c r="CW3050" s="128"/>
      <c r="CX3050" s="128"/>
      <c r="CY3050" s="128"/>
      <c r="CZ3050" s="165"/>
    </row>
    <row r="3051" spans="1:104">
      <c r="A3051" s="149"/>
      <c r="B3051" s="149"/>
      <c r="C3051" s="150"/>
      <c r="D3051" s="102"/>
      <c r="E3051" s="149"/>
      <c r="F3051" s="149"/>
      <c r="G3051" s="149"/>
      <c r="H3051" s="149"/>
      <c r="I3051" s="149"/>
      <c r="J3051" s="149"/>
      <c r="K3051" s="149"/>
      <c r="L3051" s="149"/>
      <c r="M3051" s="149"/>
      <c r="N3051" s="149"/>
      <c r="O3051" s="149"/>
      <c r="P3051" s="149"/>
      <c r="Q3051" s="149"/>
      <c r="R3051" s="149"/>
      <c r="S3051" s="149"/>
      <c r="T3051" s="149"/>
      <c r="U3051" s="149"/>
      <c r="V3051" s="149"/>
      <c r="W3051" s="149"/>
      <c r="X3051" s="149"/>
      <c r="Y3051" s="149"/>
      <c r="Z3051" s="149"/>
      <c r="AA3051" s="149"/>
      <c r="AB3051" s="149"/>
      <c r="AC3051" s="149"/>
      <c r="AD3051" s="149"/>
      <c r="AE3051" s="149"/>
      <c r="AF3051" s="149"/>
      <c r="AG3051" s="149"/>
      <c r="AH3051" s="149"/>
      <c r="AI3051" s="149"/>
      <c r="AJ3051" s="149"/>
      <c r="AK3051" s="149"/>
      <c r="AL3051" s="149"/>
      <c r="AM3051" s="149"/>
      <c r="AN3051" s="149"/>
      <c r="AO3051" s="128"/>
      <c r="AP3051" s="128"/>
      <c r="AQ3051" s="128"/>
      <c r="AR3051" s="128"/>
      <c r="AS3051" s="128"/>
      <c r="AT3051" s="128"/>
      <c r="AU3051" s="128"/>
      <c r="AV3051" s="128"/>
      <c r="AW3051" s="128"/>
      <c r="AX3051" s="128"/>
      <c r="AY3051" s="128"/>
      <c r="AZ3051" s="128"/>
      <c r="BA3051" s="128"/>
      <c r="BB3051" s="128"/>
      <c r="BC3051" s="128"/>
      <c r="BD3051" s="128"/>
      <c r="BE3051" s="128"/>
      <c r="BF3051" s="128"/>
      <c r="BG3051" s="128"/>
      <c r="BH3051" s="128"/>
      <c r="BI3051" s="128"/>
      <c r="BJ3051" s="128"/>
      <c r="BK3051" s="128"/>
      <c r="BL3051" s="128"/>
      <c r="BM3051" s="151"/>
      <c r="BN3051" s="128"/>
      <c r="BO3051" s="128"/>
      <c r="BP3051" s="128"/>
      <c r="BQ3051" s="128"/>
      <c r="BR3051" s="128"/>
      <c r="BS3051" s="128"/>
      <c r="BT3051" s="128"/>
      <c r="BU3051" s="128"/>
      <c r="BV3051" s="128"/>
      <c r="BW3051" s="128"/>
      <c r="BX3051" s="128"/>
      <c r="BY3051" s="128"/>
      <c r="BZ3051" s="128"/>
      <c r="CA3051" s="128"/>
      <c r="CB3051" s="128"/>
      <c r="CC3051" s="128"/>
      <c r="CD3051" s="128"/>
      <c r="CE3051" s="128"/>
      <c r="CF3051" s="128"/>
      <c r="CG3051" s="128"/>
      <c r="CI3051" s="128"/>
      <c r="CJ3051" s="128"/>
      <c r="CK3051" s="128"/>
      <c r="CL3051" s="128"/>
      <c r="CM3051" s="128"/>
      <c r="CN3051" s="128"/>
      <c r="CO3051" s="128"/>
      <c r="CP3051" s="128"/>
      <c r="CQ3051" s="128"/>
      <c r="CR3051" s="128"/>
      <c r="CS3051" s="128"/>
      <c r="CT3051" s="128"/>
      <c r="CU3051" s="128"/>
      <c r="CV3051" s="128"/>
      <c r="CW3051" s="128"/>
      <c r="CX3051" s="128"/>
      <c r="CY3051" s="128"/>
      <c r="CZ3051" s="165"/>
    </row>
    <row r="3052" spans="1:104">
      <c r="A3052" s="149"/>
      <c r="B3052" s="149"/>
      <c r="C3052" s="150"/>
      <c r="D3052" s="102"/>
      <c r="E3052" s="149"/>
      <c r="F3052" s="149"/>
      <c r="G3052" s="149"/>
      <c r="H3052" s="149"/>
      <c r="I3052" s="149"/>
      <c r="J3052" s="149"/>
      <c r="K3052" s="149"/>
      <c r="L3052" s="149"/>
      <c r="M3052" s="149"/>
      <c r="N3052" s="149"/>
      <c r="O3052" s="149"/>
      <c r="P3052" s="149"/>
      <c r="Q3052" s="149"/>
      <c r="R3052" s="149"/>
      <c r="S3052" s="149"/>
      <c r="T3052" s="149"/>
      <c r="U3052" s="149"/>
      <c r="V3052" s="149"/>
      <c r="W3052" s="149"/>
      <c r="X3052" s="149"/>
      <c r="Y3052" s="149"/>
      <c r="Z3052" s="149"/>
      <c r="AA3052" s="149"/>
      <c r="AB3052" s="149"/>
      <c r="AC3052" s="149"/>
      <c r="AD3052" s="149"/>
      <c r="AE3052" s="149"/>
      <c r="AF3052" s="149"/>
      <c r="AG3052" s="149"/>
      <c r="AH3052" s="149"/>
      <c r="AI3052" s="149"/>
      <c r="AJ3052" s="149"/>
      <c r="AK3052" s="149"/>
      <c r="AL3052" s="149"/>
      <c r="AM3052" s="149"/>
      <c r="AN3052" s="149"/>
      <c r="AO3052" s="128"/>
      <c r="AP3052" s="128"/>
      <c r="AQ3052" s="128"/>
      <c r="AR3052" s="128"/>
      <c r="AS3052" s="128"/>
      <c r="AT3052" s="128"/>
      <c r="AU3052" s="128"/>
      <c r="AV3052" s="128"/>
      <c r="AW3052" s="128"/>
      <c r="AX3052" s="128"/>
      <c r="AY3052" s="128"/>
      <c r="AZ3052" s="128"/>
      <c r="BA3052" s="128"/>
      <c r="BB3052" s="128"/>
      <c r="BC3052" s="128"/>
      <c r="BD3052" s="128"/>
      <c r="BE3052" s="128"/>
      <c r="BF3052" s="128"/>
      <c r="BG3052" s="128"/>
      <c r="BH3052" s="128"/>
      <c r="BI3052" s="128"/>
      <c r="BJ3052" s="128"/>
      <c r="BK3052" s="128"/>
      <c r="BL3052" s="128"/>
      <c r="BM3052" s="151"/>
      <c r="BN3052" s="128"/>
      <c r="BO3052" s="128"/>
      <c r="BP3052" s="128"/>
      <c r="BQ3052" s="128"/>
      <c r="BR3052" s="128"/>
      <c r="BS3052" s="128"/>
      <c r="BT3052" s="128"/>
      <c r="BU3052" s="128"/>
      <c r="BV3052" s="128"/>
      <c r="BW3052" s="128"/>
      <c r="BX3052" s="128"/>
      <c r="BY3052" s="128"/>
      <c r="BZ3052" s="128"/>
      <c r="CA3052" s="128"/>
      <c r="CB3052" s="128"/>
      <c r="CC3052" s="128"/>
      <c r="CD3052" s="128"/>
      <c r="CE3052" s="128"/>
      <c r="CF3052" s="128"/>
      <c r="CG3052" s="128"/>
      <c r="CI3052" s="128"/>
      <c r="CJ3052" s="128"/>
      <c r="CK3052" s="128"/>
      <c r="CL3052" s="128"/>
      <c r="CM3052" s="128"/>
      <c r="CN3052" s="128"/>
      <c r="CO3052" s="128"/>
      <c r="CP3052" s="128"/>
      <c r="CQ3052" s="128"/>
      <c r="CR3052" s="128"/>
      <c r="CS3052" s="128"/>
      <c r="CT3052" s="128"/>
      <c r="CU3052" s="128"/>
      <c r="CV3052" s="128"/>
      <c r="CW3052" s="128"/>
      <c r="CX3052" s="128"/>
      <c r="CY3052" s="128"/>
      <c r="CZ3052" s="165"/>
    </row>
    <row r="3053" spans="1:104">
      <c r="A3053" s="149"/>
      <c r="B3053" s="149"/>
      <c r="C3053" s="150"/>
      <c r="D3053" s="102"/>
      <c r="E3053" s="149"/>
      <c r="F3053" s="149"/>
      <c r="G3053" s="149"/>
      <c r="H3053" s="149"/>
      <c r="I3053" s="149"/>
      <c r="J3053" s="149"/>
      <c r="K3053" s="149"/>
      <c r="L3053" s="149"/>
      <c r="M3053" s="149"/>
      <c r="N3053" s="149"/>
      <c r="O3053" s="149"/>
      <c r="P3053" s="149"/>
      <c r="Q3053" s="149"/>
      <c r="R3053" s="149"/>
      <c r="S3053" s="149"/>
      <c r="T3053" s="149"/>
      <c r="U3053" s="149"/>
      <c r="V3053" s="149"/>
      <c r="W3053" s="149"/>
      <c r="X3053" s="149"/>
      <c r="Y3053" s="149"/>
      <c r="Z3053" s="149"/>
      <c r="AA3053" s="149"/>
      <c r="AB3053" s="149"/>
      <c r="AC3053" s="149"/>
      <c r="AD3053" s="149"/>
      <c r="AE3053" s="149"/>
      <c r="AF3053" s="149"/>
      <c r="AG3053" s="149"/>
      <c r="AH3053" s="149"/>
      <c r="AI3053" s="149"/>
      <c r="AJ3053" s="149"/>
      <c r="AK3053" s="149"/>
      <c r="AL3053" s="149"/>
      <c r="AM3053" s="149"/>
      <c r="AN3053" s="149"/>
      <c r="AO3053" s="128"/>
      <c r="AP3053" s="128"/>
      <c r="AQ3053" s="128"/>
      <c r="AR3053" s="128"/>
      <c r="AS3053" s="128"/>
      <c r="AT3053" s="128"/>
      <c r="AU3053" s="128"/>
      <c r="AV3053" s="128"/>
      <c r="AW3053" s="128"/>
      <c r="AX3053" s="128"/>
      <c r="AY3053" s="128"/>
      <c r="AZ3053" s="128"/>
      <c r="BA3053" s="128"/>
      <c r="BB3053" s="128"/>
      <c r="BC3053" s="128"/>
      <c r="BD3053" s="128"/>
      <c r="BE3053" s="128"/>
      <c r="BF3053" s="128"/>
      <c r="BG3053" s="128"/>
      <c r="BH3053" s="128"/>
      <c r="BI3053" s="128"/>
      <c r="BJ3053" s="128"/>
      <c r="BK3053" s="128"/>
      <c r="BL3053" s="128"/>
      <c r="BM3053" s="151"/>
      <c r="BN3053" s="128"/>
      <c r="BO3053" s="128"/>
      <c r="BP3053" s="128"/>
      <c r="BQ3053" s="128"/>
      <c r="BR3053" s="128"/>
      <c r="BS3053" s="128"/>
      <c r="BT3053" s="128"/>
      <c r="BU3053" s="128"/>
      <c r="BV3053" s="128"/>
      <c r="BW3053" s="128"/>
      <c r="BX3053" s="128"/>
      <c r="BY3053" s="128"/>
      <c r="BZ3053" s="128"/>
      <c r="CA3053" s="128"/>
      <c r="CB3053" s="128"/>
      <c r="CC3053" s="128"/>
      <c r="CD3053" s="128"/>
      <c r="CE3053" s="128"/>
      <c r="CF3053" s="128"/>
      <c r="CG3053" s="128"/>
      <c r="CI3053" s="128"/>
      <c r="CJ3053" s="128"/>
      <c r="CK3053" s="128"/>
      <c r="CL3053" s="128"/>
      <c r="CM3053" s="128"/>
      <c r="CN3053" s="128"/>
      <c r="CO3053" s="128"/>
      <c r="CP3053" s="128"/>
      <c r="CQ3053" s="128"/>
      <c r="CR3053" s="128"/>
      <c r="CS3053" s="128"/>
      <c r="CT3053" s="128"/>
      <c r="CU3053" s="128"/>
      <c r="CV3053" s="128"/>
      <c r="CW3053" s="128"/>
      <c r="CX3053" s="128"/>
      <c r="CY3053" s="128"/>
      <c r="CZ3053" s="165"/>
    </row>
    <row r="3054" spans="1:104">
      <c r="A3054" s="149"/>
      <c r="B3054" s="149"/>
      <c r="C3054" s="150"/>
      <c r="D3054" s="102"/>
      <c r="E3054" s="149"/>
      <c r="F3054" s="149"/>
      <c r="G3054" s="149"/>
      <c r="H3054" s="149"/>
      <c r="I3054" s="149"/>
      <c r="J3054" s="149"/>
      <c r="K3054" s="149"/>
      <c r="L3054" s="149"/>
      <c r="M3054" s="149"/>
      <c r="N3054" s="149"/>
      <c r="O3054" s="149"/>
      <c r="P3054" s="149"/>
      <c r="Q3054" s="149"/>
      <c r="R3054" s="149"/>
      <c r="S3054" s="149"/>
      <c r="T3054" s="149"/>
      <c r="U3054" s="149"/>
      <c r="V3054" s="149"/>
      <c r="W3054" s="149"/>
      <c r="X3054" s="149"/>
      <c r="Y3054" s="149"/>
      <c r="Z3054" s="149"/>
      <c r="AA3054" s="149"/>
      <c r="AB3054" s="149"/>
      <c r="AC3054" s="149"/>
      <c r="AD3054" s="149"/>
      <c r="AE3054" s="149"/>
      <c r="AF3054" s="149"/>
      <c r="AG3054" s="149"/>
      <c r="AH3054" s="149"/>
      <c r="AI3054" s="149"/>
      <c r="AJ3054" s="149"/>
      <c r="AK3054" s="149"/>
      <c r="AL3054" s="149"/>
      <c r="AM3054" s="149"/>
      <c r="AN3054" s="149"/>
      <c r="AO3054" s="128"/>
      <c r="AP3054" s="128"/>
      <c r="AQ3054" s="128"/>
      <c r="AR3054" s="128"/>
      <c r="AS3054" s="128"/>
      <c r="AT3054" s="128"/>
      <c r="AU3054" s="128"/>
      <c r="AV3054" s="128"/>
      <c r="AW3054" s="128"/>
      <c r="AX3054" s="128"/>
      <c r="AY3054" s="128"/>
      <c r="AZ3054" s="128"/>
      <c r="BA3054" s="128"/>
      <c r="BB3054" s="128"/>
      <c r="BC3054" s="128"/>
      <c r="BD3054" s="128"/>
      <c r="BE3054" s="128"/>
      <c r="BF3054" s="128"/>
      <c r="BG3054" s="128"/>
      <c r="BH3054" s="128"/>
      <c r="BI3054" s="128"/>
      <c r="BJ3054" s="128"/>
      <c r="BK3054" s="128"/>
      <c r="BL3054" s="128"/>
      <c r="BM3054" s="151"/>
      <c r="BN3054" s="128"/>
      <c r="BO3054" s="128"/>
      <c r="BP3054" s="128"/>
      <c r="BQ3054" s="128"/>
      <c r="BR3054" s="128"/>
      <c r="BS3054" s="128"/>
      <c r="BT3054" s="128"/>
      <c r="BU3054" s="128"/>
      <c r="BV3054" s="128"/>
      <c r="BW3054" s="128"/>
      <c r="BX3054" s="128"/>
      <c r="BY3054" s="128"/>
      <c r="BZ3054" s="128"/>
      <c r="CA3054" s="128"/>
      <c r="CB3054" s="128"/>
      <c r="CC3054" s="128"/>
      <c r="CD3054" s="128"/>
      <c r="CE3054" s="128"/>
      <c r="CF3054" s="128"/>
      <c r="CG3054" s="128"/>
      <c r="CI3054" s="128"/>
      <c r="CJ3054" s="128"/>
      <c r="CK3054" s="128"/>
      <c r="CL3054" s="128"/>
      <c r="CM3054" s="128"/>
      <c r="CN3054" s="128"/>
      <c r="CO3054" s="128"/>
      <c r="CP3054" s="128"/>
      <c r="CQ3054" s="128"/>
      <c r="CR3054" s="128"/>
      <c r="CS3054" s="128"/>
      <c r="CT3054" s="128"/>
      <c r="CU3054" s="128"/>
      <c r="CV3054" s="128"/>
      <c r="CW3054" s="128"/>
      <c r="CX3054" s="128"/>
      <c r="CY3054" s="128"/>
      <c r="CZ3054" s="165"/>
    </row>
    <row r="3055" spans="1:104">
      <c r="A3055" s="149"/>
      <c r="B3055" s="149"/>
      <c r="C3055" s="150"/>
      <c r="D3055" s="102"/>
      <c r="E3055" s="149"/>
      <c r="F3055" s="149"/>
      <c r="G3055" s="149"/>
      <c r="H3055" s="149"/>
      <c r="I3055" s="149"/>
      <c r="J3055" s="149"/>
      <c r="K3055" s="149"/>
      <c r="L3055" s="149"/>
      <c r="M3055" s="149"/>
      <c r="N3055" s="149"/>
      <c r="O3055" s="149"/>
      <c r="P3055" s="149"/>
      <c r="Q3055" s="149"/>
      <c r="R3055" s="149"/>
      <c r="S3055" s="149"/>
      <c r="T3055" s="149"/>
      <c r="U3055" s="149"/>
      <c r="V3055" s="149"/>
      <c r="W3055" s="149"/>
      <c r="X3055" s="149"/>
      <c r="Y3055" s="149"/>
      <c r="Z3055" s="149"/>
      <c r="AA3055" s="149"/>
      <c r="AB3055" s="149"/>
      <c r="AC3055" s="149"/>
      <c r="AD3055" s="149"/>
      <c r="AE3055" s="149"/>
      <c r="AF3055" s="149"/>
      <c r="AG3055" s="149"/>
      <c r="AH3055" s="149"/>
      <c r="AI3055" s="149"/>
      <c r="AJ3055" s="149"/>
      <c r="AK3055" s="149"/>
      <c r="AL3055" s="149"/>
      <c r="AM3055" s="149"/>
      <c r="AN3055" s="149"/>
      <c r="AO3055" s="128"/>
      <c r="AP3055" s="128"/>
      <c r="AQ3055" s="128"/>
      <c r="AR3055" s="128"/>
      <c r="AS3055" s="128"/>
      <c r="AT3055" s="128"/>
      <c r="AU3055" s="128"/>
      <c r="AV3055" s="128"/>
      <c r="AW3055" s="128"/>
      <c r="AX3055" s="128"/>
      <c r="AY3055" s="128"/>
      <c r="AZ3055" s="128"/>
      <c r="BA3055" s="128"/>
      <c r="BB3055" s="128"/>
      <c r="BC3055" s="128"/>
      <c r="BD3055" s="128"/>
      <c r="BE3055" s="128"/>
      <c r="BF3055" s="128"/>
      <c r="BG3055" s="128"/>
      <c r="BH3055" s="128"/>
      <c r="BI3055" s="128"/>
      <c r="BJ3055" s="128"/>
      <c r="BK3055" s="128"/>
      <c r="BL3055" s="128"/>
      <c r="BM3055" s="151"/>
      <c r="BN3055" s="128"/>
      <c r="BO3055" s="128"/>
      <c r="BP3055" s="128"/>
      <c r="BQ3055" s="128"/>
      <c r="BR3055" s="128"/>
      <c r="BS3055" s="128"/>
      <c r="BT3055" s="128"/>
      <c r="BU3055" s="128"/>
      <c r="BV3055" s="128"/>
      <c r="BW3055" s="128"/>
      <c r="BX3055" s="128"/>
      <c r="BY3055" s="128"/>
      <c r="BZ3055" s="128"/>
      <c r="CA3055" s="128"/>
      <c r="CB3055" s="128"/>
      <c r="CC3055" s="128"/>
      <c r="CD3055" s="128"/>
      <c r="CE3055" s="128"/>
      <c r="CF3055" s="128"/>
      <c r="CG3055" s="128"/>
      <c r="CI3055" s="128"/>
      <c r="CJ3055" s="128"/>
      <c r="CK3055" s="128"/>
      <c r="CL3055" s="128"/>
      <c r="CM3055" s="128"/>
      <c r="CN3055" s="128"/>
      <c r="CO3055" s="128"/>
      <c r="CP3055" s="128"/>
      <c r="CQ3055" s="128"/>
      <c r="CR3055" s="128"/>
      <c r="CS3055" s="128"/>
      <c r="CT3055" s="128"/>
      <c r="CU3055" s="128"/>
      <c r="CV3055" s="128"/>
      <c r="CW3055" s="128"/>
      <c r="CX3055" s="128"/>
      <c r="CY3055" s="128"/>
      <c r="CZ3055" s="165"/>
    </row>
    <row r="3056" spans="1:104">
      <c r="A3056" s="149"/>
      <c r="B3056" s="149"/>
      <c r="C3056" s="150"/>
      <c r="D3056" s="102"/>
      <c r="E3056" s="149"/>
      <c r="F3056" s="149"/>
      <c r="G3056" s="149"/>
      <c r="H3056" s="149"/>
      <c r="I3056" s="149"/>
      <c r="J3056" s="149"/>
      <c r="K3056" s="149"/>
      <c r="L3056" s="149"/>
      <c r="M3056" s="149"/>
      <c r="N3056" s="149"/>
      <c r="O3056" s="149"/>
      <c r="P3056" s="149"/>
      <c r="Q3056" s="149"/>
      <c r="R3056" s="149"/>
      <c r="S3056" s="149"/>
      <c r="T3056" s="149"/>
      <c r="U3056" s="149"/>
      <c r="V3056" s="149"/>
      <c r="W3056" s="149"/>
      <c r="X3056" s="149"/>
      <c r="Y3056" s="149"/>
      <c r="Z3056" s="149"/>
      <c r="AA3056" s="149"/>
      <c r="AB3056" s="149"/>
      <c r="AC3056" s="149"/>
      <c r="AD3056" s="149"/>
      <c r="AE3056" s="149"/>
      <c r="AF3056" s="149"/>
      <c r="AG3056" s="149"/>
      <c r="AH3056" s="149"/>
      <c r="AI3056" s="149"/>
      <c r="AJ3056" s="149"/>
      <c r="AK3056" s="149"/>
      <c r="AL3056" s="149"/>
      <c r="AM3056" s="149"/>
      <c r="AN3056" s="149"/>
      <c r="AO3056" s="128"/>
      <c r="AP3056" s="128"/>
      <c r="AQ3056" s="128"/>
      <c r="AR3056" s="128"/>
      <c r="AS3056" s="128"/>
      <c r="AT3056" s="128"/>
      <c r="AU3056" s="128"/>
      <c r="AV3056" s="128"/>
      <c r="AW3056" s="128"/>
      <c r="AX3056" s="128"/>
      <c r="AY3056" s="128"/>
      <c r="AZ3056" s="128"/>
      <c r="BA3056" s="128"/>
      <c r="BB3056" s="128"/>
      <c r="BC3056" s="128"/>
      <c r="BD3056" s="128"/>
      <c r="BE3056" s="128"/>
      <c r="BF3056" s="128"/>
      <c r="BG3056" s="128"/>
      <c r="BH3056" s="128"/>
      <c r="BI3056" s="128"/>
      <c r="BJ3056" s="128"/>
      <c r="BK3056" s="128"/>
      <c r="BL3056" s="128"/>
      <c r="BM3056" s="151"/>
      <c r="BN3056" s="128"/>
      <c r="BO3056" s="128"/>
      <c r="BP3056" s="128"/>
      <c r="BQ3056" s="128"/>
      <c r="BR3056" s="128"/>
      <c r="BS3056" s="128"/>
      <c r="BT3056" s="128"/>
      <c r="BU3056" s="128"/>
      <c r="BV3056" s="128"/>
      <c r="BW3056" s="128"/>
      <c r="BX3056" s="128"/>
      <c r="BY3056" s="128"/>
      <c r="BZ3056" s="128"/>
      <c r="CA3056" s="128"/>
      <c r="CB3056" s="128"/>
      <c r="CC3056" s="128"/>
      <c r="CD3056" s="128"/>
      <c r="CE3056" s="128"/>
      <c r="CF3056" s="128"/>
      <c r="CG3056" s="128"/>
      <c r="CI3056" s="128"/>
      <c r="CJ3056" s="128"/>
      <c r="CK3056" s="128"/>
      <c r="CL3056" s="128"/>
      <c r="CM3056" s="128"/>
      <c r="CN3056" s="128"/>
      <c r="CO3056" s="128"/>
      <c r="CP3056" s="128"/>
      <c r="CQ3056" s="128"/>
      <c r="CR3056" s="128"/>
      <c r="CS3056" s="128"/>
      <c r="CT3056" s="128"/>
      <c r="CU3056" s="128"/>
      <c r="CV3056" s="128"/>
      <c r="CW3056" s="128"/>
      <c r="CX3056" s="128"/>
      <c r="CY3056" s="128"/>
      <c r="CZ3056" s="165"/>
    </row>
    <row r="3057" spans="1:104">
      <c r="A3057" s="149"/>
      <c r="B3057" s="149"/>
      <c r="C3057" s="150"/>
      <c r="D3057" s="102"/>
      <c r="E3057" s="149"/>
      <c r="F3057" s="149"/>
      <c r="G3057" s="149"/>
      <c r="H3057" s="149"/>
      <c r="I3057" s="149"/>
      <c r="J3057" s="149"/>
      <c r="K3057" s="149"/>
      <c r="L3057" s="149"/>
      <c r="M3057" s="149"/>
      <c r="N3057" s="149"/>
      <c r="O3057" s="149"/>
      <c r="P3057" s="149"/>
      <c r="Q3057" s="149"/>
      <c r="R3057" s="149"/>
      <c r="S3057" s="149"/>
      <c r="T3057" s="149"/>
      <c r="U3057" s="149"/>
      <c r="V3057" s="149"/>
      <c r="W3057" s="149"/>
      <c r="X3057" s="149"/>
      <c r="Y3057" s="149"/>
      <c r="Z3057" s="149"/>
      <c r="AA3057" s="149"/>
      <c r="AB3057" s="149"/>
      <c r="AC3057" s="149"/>
      <c r="AD3057" s="149"/>
      <c r="AE3057" s="149"/>
      <c r="AF3057" s="149"/>
      <c r="AG3057" s="149"/>
      <c r="AH3057" s="149"/>
      <c r="AI3057" s="149"/>
      <c r="AJ3057" s="149"/>
      <c r="AK3057" s="149"/>
      <c r="AL3057" s="149"/>
      <c r="AM3057" s="149"/>
      <c r="AN3057" s="149"/>
      <c r="AO3057" s="128"/>
      <c r="AP3057" s="128"/>
      <c r="AQ3057" s="128"/>
      <c r="AR3057" s="128"/>
      <c r="AS3057" s="128"/>
      <c r="AT3057" s="128"/>
      <c r="AU3057" s="128"/>
      <c r="AV3057" s="128"/>
      <c r="AW3057" s="128"/>
      <c r="AX3057" s="128"/>
      <c r="AY3057" s="128"/>
      <c r="AZ3057" s="128"/>
      <c r="BA3057" s="128"/>
      <c r="BB3057" s="128"/>
      <c r="BC3057" s="128"/>
      <c r="BD3057" s="128"/>
      <c r="BE3057" s="128"/>
      <c r="BF3057" s="128"/>
      <c r="BG3057" s="128"/>
      <c r="BH3057" s="128"/>
      <c r="BI3057" s="128"/>
      <c r="BJ3057" s="128"/>
      <c r="BK3057" s="128"/>
      <c r="BL3057" s="128"/>
      <c r="BM3057" s="151"/>
      <c r="BN3057" s="128"/>
      <c r="BO3057" s="128"/>
      <c r="BP3057" s="128"/>
      <c r="BQ3057" s="128"/>
      <c r="BR3057" s="128"/>
      <c r="BS3057" s="128"/>
      <c r="BT3057" s="128"/>
      <c r="BU3057" s="128"/>
      <c r="BV3057" s="128"/>
      <c r="BW3057" s="128"/>
      <c r="BX3057" s="128"/>
      <c r="BY3057" s="128"/>
      <c r="BZ3057" s="128"/>
      <c r="CA3057" s="128"/>
      <c r="CB3057" s="128"/>
      <c r="CC3057" s="128"/>
      <c r="CD3057" s="128"/>
      <c r="CE3057" s="128"/>
      <c r="CF3057" s="128"/>
      <c r="CG3057" s="128"/>
      <c r="CI3057" s="128"/>
      <c r="CJ3057" s="128"/>
      <c r="CK3057" s="128"/>
      <c r="CL3057" s="128"/>
      <c r="CM3057" s="128"/>
      <c r="CN3057" s="128"/>
      <c r="CO3057" s="128"/>
      <c r="CP3057" s="128"/>
      <c r="CQ3057" s="128"/>
      <c r="CR3057" s="128"/>
      <c r="CS3057" s="128"/>
      <c r="CT3057" s="128"/>
      <c r="CU3057" s="128"/>
      <c r="CV3057" s="128"/>
      <c r="CW3057" s="128"/>
      <c r="CX3057" s="128"/>
      <c r="CY3057" s="128"/>
      <c r="CZ3057" s="165"/>
    </row>
    <row r="3058" spans="1:104">
      <c r="A3058" s="149"/>
      <c r="B3058" s="149"/>
      <c r="C3058" s="150"/>
      <c r="D3058" s="102"/>
      <c r="E3058" s="149"/>
      <c r="F3058" s="149"/>
      <c r="G3058" s="149"/>
      <c r="H3058" s="149"/>
      <c r="I3058" s="149"/>
      <c r="J3058" s="149"/>
      <c r="K3058" s="149"/>
      <c r="L3058" s="149"/>
      <c r="M3058" s="149"/>
      <c r="N3058" s="149"/>
      <c r="O3058" s="149"/>
      <c r="P3058" s="149"/>
      <c r="Q3058" s="149"/>
      <c r="R3058" s="149"/>
      <c r="S3058" s="149"/>
      <c r="T3058" s="149"/>
      <c r="U3058" s="149"/>
      <c r="V3058" s="149"/>
      <c r="W3058" s="149"/>
      <c r="X3058" s="149"/>
      <c r="Y3058" s="149"/>
      <c r="Z3058" s="149"/>
      <c r="AA3058" s="149"/>
      <c r="AB3058" s="149"/>
      <c r="AC3058" s="149"/>
      <c r="AD3058" s="149"/>
      <c r="AE3058" s="149"/>
      <c r="AF3058" s="149"/>
      <c r="AG3058" s="149"/>
      <c r="AH3058" s="149"/>
      <c r="AI3058" s="149"/>
      <c r="AJ3058" s="149"/>
      <c r="AK3058" s="149"/>
      <c r="AL3058" s="149"/>
      <c r="AM3058" s="149"/>
      <c r="AN3058" s="149"/>
      <c r="AO3058" s="128"/>
      <c r="AP3058" s="128"/>
      <c r="AQ3058" s="128"/>
      <c r="AR3058" s="128"/>
      <c r="AS3058" s="128"/>
      <c r="AT3058" s="128"/>
      <c r="AU3058" s="128"/>
      <c r="AV3058" s="128"/>
      <c r="AW3058" s="128"/>
      <c r="AX3058" s="128"/>
      <c r="AY3058" s="128"/>
      <c r="AZ3058" s="128"/>
      <c r="BA3058" s="128"/>
      <c r="BB3058" s="128"/>
      <c r="BC3058" s="128"/>
      <c r="BD3058" s="128"/>
      <c r="BE3058" s="128"/>
      <c r="BF3058" s="128"/>
      <c r="BG3058" s="128"/>
      <c r="BH3058" s="128"/>
      <c r="BI3058" s="128"/>
      <c r="BJ3058" s="128"/>
      <c r="BK3058" s="128"/>
      <c r="BL3058" s="128"/>
      <c r="BM3058" s="151"/>
      <c r="BN3058" s="128"/>
      <c r="BO3058" s="128"/>
      <c r="BP3058" s="128"/>
      <c r="BQ3058" s="128"/>
      <c r="BR3058" s="128"/>
      <c r="BS3058" s="128"/>
      <c r="BT3058" s="128"/>
      <c r="BU3058" s="128"/>
      <c r="BV3058" s="128"/>
      <c r="BW3058" s="128"/>
      <c r="BX3058" s="128"/>
      <c r="BY3058" s="128"/>
      <c r="BZ3058" s="128"/>
      <c r="CA3058" s="128"/>
      <c r="CB3058" s="128"/>
      <c r="CC3058" s="128"/>
      <c r="CD3058" s="128"/>
      <c r="CE3058" s="128"/>
      <c r="CF3058" s="128"/>
      <c r="CG3058" s="128"/>
      <c r="CI3058" s="128"/>
      <c r="CJ3058" s="128"/>
      <c r="CK3058" s="128"/>
      <c r="CL3058" s="128"/>
      <c r="CM3058" s="128"/>
      <c r="CN3058" s="128"/>
      <c r="CO3058" s="128"/>
      <c r="CP3058" s="128"/>
      <c r="CQ3058" s="128"/>
      <c r="CR3058" s="128"/>
      <c r="CS3058" s="128"/>
      <c r="CT3058" s="128"/>
      <c r="CU3058" s="128"/>
      <c r="CV3058" s="128"/>
      <c r="CW3058" s="128"/>
      <c r="CX3058" s="128"/>
      <c r="CY3058" s="128"/>
      <c r="CZ3058" s="165"/>
    </row>
    <row r="3059" spans="1:104">
      <c r="A3059" s="149"/>
      <c r="B3059" s="149"/>
      <c r="C3059" s="150"/>
      <c r="D3059" s="102"/>
      <c r="E3059" s="149"/>
      <c r="F3059" s="149"/>
      <c r="G3059" s="149"/>
      <c r="H3059" s="149"/>
      <c r="I3059" s="149"/>
      <c r="J3059" s="149"/>
      <c r="K3059" s="149"/>
      <c r="L3059" s="149"/>
      <c r="M3059" s="149"/>
      <c r="N3059" s="149"/>
      <c r="O3059" s="149"/>
      <c r="P3059" s="149"/>
      <c r="Q3059" s="149"/>
      <c r="R3059" s="149"/>
      <c r="S3059" s="149"/>
      <c r="T3059" s="149"/>
      <c r="U3059" s="149"/>
      <c r="V3059" s="149"/>
      <c r="W3059" s="149"/>
      <c r="X3059" s="149"/>
      <c r="Y3059" s="149"/>
      <c r="Z3059" s="149"/>
      <c r="AA3059" s="149"/>
      <c r="AB3059" s="149"/>
      <c r="AC3059" s="149"/>
      <c r="AD3059" s="149"/>
      <c r="AE3059" s="149"/>
      <c r="AF3059" s="149"/>
      <c r="AG3059" s="149"/>
      <c r="AH3059" s="149"/>
      <c r="AI3059" s="149"/>
      <c r="AJ3059" s="149"/>
      <c r="AK3059" s="149"/>
      <c r="AL3059" s="149"/>
      <c r="AM3059" s="149"/>
      <c r="AN3059" s="149"/>
      <c r="AO3059" s="128"/>
      <c r="AP3059" s="128"/>
      <c r="AQ3059" s="128"/>
      <c r="AR3059" s="128"/>
      <c r="AS3059" s="128"/>
      <c r="AT3059" s="128"/>
      <c r="AU3059" s="128"/>
      <c r="AV3059" s="128"/>
      <c r="AW3059" s="128"/>
      <c r="AX3059" s="128"/>
      <c r="AY3059" s="128"/>
      <c r="AZ3059" s="128"/>
      <c r="BA3059" s="128"/>
      <c r="BB3059" s="128"/>
      <c r="BC3059" s="128"/>
      <c r="BD3059" s="128"/>
      <c r="BE3059" s="128"/>
      <c r="BF3059" s="128"/>
      <c r="BG3059" s="128"/>
      <c r="BH3059" s="128"/>
      <c r="BI3059" s="128"/>
      <c r="BJ3059" s="128"/>
      <c r="BK3059" s="128"/>
      <c r="BL3059" s="128"/>
      <c r="BM3059" s="151"/>
      <c r="BN3059" s="128"/>
      <c r="BO3059" s="128"/>
      <c r="BP3059" s="128"/>
      <c r="BQ3059" s="128"/>
      <c r="BR3059" s="128"/>
      <c r="BS3059" s="128"/>
      <c r="BT3059" s="128"/>
      <c r="BU3059" s="128"/>
      <c r="BV3059" s="128"/>
      <c r="BW3059" s="128"/>
      <c r="BX3059" s="128"/>
      <c r="BY3059" s="128"/>
      <c r="BZ3059" s="128"/>
      <c r="CA3059" s="128"/>
      <c r="CB3059" s="128"/>
      <c r="CC3059" s="128"/>
      <c r="CD3059" s="128"/>
      <c r="CE3059" s="128"/>
      <c r="CF3059" s="128"/>
      <c r="CG3059" s="128"/>
      <c r="CI3059" s="128"/>
      <c r="CJ3059" s="128"/>
      <c r="CK3059" s="128"/>
      <c r="CL3059" s="128"/>
      <c r="CM3059" s="128"/>
      <c r="CN3059" s="128"/>
      <c r="CO3059" s="128"/>
      <c r="CP3059" s="128"/>
      <c r="CQ3059" s="128"/>
      <c r="CR3059" s="128"/>
      <c r="CS3059" s="128"/>
      <c r="CT3059" s="128"/>
      <c r="CU3059" s="128"/>
      <c r="CV3059" s="128"/>
      <c r="CW3059" s="128"/>
      <c r="CX3059" s="128"/>
      <c r="CY3059" s="128"/>
      <c r="CZ3059" s="165"/>
    </row>
    <row r="3060" spans="1:104">
      <c r="A3060" s="149"/>
      <c r="B3060" s="149"/>
      <c r="C3060" s="150"/>
      <c r="D3060" s="102"/>
      <c r="E3060" s="149"/>
      <c r="F3060" s="149"/>
      <c r="G3060" s="149"/>
      <c r="H3060" s="149"/>
      <c r="I3060" s="149"/>
      <c r="J3060" s="149"/>
      <c r="K3060" s="149"/>
      <c r="L3060" s="149"/>
      <c r="M3060" s="149"/>
      <c r="N3060" s="149"/>
      <c r="O3060" s="149"/>
      <c r="P3060" s="149"/>
      <c r="Q3060" s="149"/>
      <c r="R3060" s="149"/>
      <c r="S3060" s="149"/>
      <c r="T3060" s="149"/>
      <c r="U3060" s="149"/>
      <c r="V3060" s="149"/>
      <c r="W3060" s="149"/>
      <c r="X3060" s="149"/>
      <c r="Y3060" s="149"/>
      <c r="Z3060" s="149"/>
      <c r="AA3060" s="149"/>
      <c r="AB3060" s="149"/>
      <c r="AC3060" s="149"/>
      <c r="AD3060" s="149"/>
      <c r="AE3060" s="149"/>
      <c r="AF3060" s="149"/>
      <c r="AG3060" s="149"/>
      <c r="AH3060" s="149"/>
      <c r="AI3060" s="149"/>
      <c r="AJ3060" s="149"/>
      <c r="AK3060" s="149"/>
      <c r="AL3060" s="149"/>
      <c r="AM3060" s="149"/>
      <c r="AN3060" s="149"/>
      <c r="AO3060" s="128"/>
      <c r="AP3060" s="128"/>
      <c r="AQ3060" s="128"/>
      <c r="AR3060" s="128"/>
      <c r="AS3060" s="128"/>
      <c r="AT3060" s="128"/>
      <c r="AU3060" s="128"/>
      <c r="AV3060" s="128"/>
      <c r="AW3060" s="128"/>
      <c r="AX3060" s="128"/>
      <c r="AY3060" s="128"/>
      <c r="AZ3060" s="128"/>
      <c r="BA3060" s="128"/>
      <c r="BB3060" s="128"/>
      <c r="BC3060" s="128"/>
      <c r="BD3060" s="128"/>
      <c r="BE3060" s="128"/>
      <c r="BF3060" s="128"/>
      <c r="BG3060" s="128"/>
      <c r="BH3060" s="128"/>
      <c r="BI3060" s="128"/>
      <c r="BJ3060" s="128"/>
      <c r="BK3060" s="128"/>
      <c r="BL3060" s="128"/>
      <c r="BM3060" s="151"/>
      <c r="BN3060" s="128"/>
      <c r="BO3060" s="128"/>
      <c r="BP3060" s="128"/>
      <c r="BQ3060" s="128"/>
      <c r="BR3060" s="128"/>
      <c r="BS3060" s="128"/>
      <c r="BT3060" s="128"/>
      <c r="BU3060" s="128"/>
      <c r="BV3060" s="128"/>
      <c r="BW3060" s="128"/>
      <c r="BX3060" s="128"/>
      <c r="BY3060" s="128"/>
      <c r="BZ3060" s="128"/>
      <c r="CA3060" s="128"/>
      <c r="CB3060" s="128"/>
      <c r="CC3060" s="128"/>
      <c r="CD3060" s="128"/>
      <c r="CE3060" s="128"/>
      <c r="CF3060" s="128"/>
      <c r="CG3060" s="128"/>
      <c r="CI3060" s="128"/>
      <c r="CJ3060" s="128"/>
      <c r="CK3060" s="128"/>
      <c r="CL3060" s="128"/>
      <c r="CM3060" s="128"/>
      <c r="CN3060" s="128"/>
      <c r="CO3060" s="128"/>
      <c r="CP3060" s="128"/>
      <c r="CQ3060" s="128"/>
      <c r="CR3060" s="128"/>
      <c r="CS3060" s="128"/>
      <c r="CT3060" s="128"/>
      <c r="CU3060" s="128"/>
      <c r="CV3060" s="128"/>
      <c r="CW3060" s="128"/>
      <c r="CX3060" s="128"/>
      <c r="CY3060" s="128"/>
      <c r="CZ3060" s="165"/>
    </row>
    <row r="3061" spans="1:104">
      <c r="A3061" s="149"/>
      <c r="B3061" s="149"/>
      <c r="C3061" s="150"/>
      <c r="D3061" s="102"/>
      <c r="E3061" s="149"/>
      <c r="F3061" s="149"/>
      <c r="G3061" s="149"/>
      <c r="H3061" s="149"/>
      <c r="I3061" s="149"/>
      <c r="J3061" s="149"/>
      <c r="K3061" s="149"/>
      <c r="L3061" s="149"/>
      <c r="M3061" s="149"/>
      <c r="N3061" s="149"/>
      <c r="O3061" s="149"/>
      <c r="P3061" s="149"/>
      <c r="Q3061" s="149"/>
      <c r="R3061" s="149"/>
      <c r="S3061" s="149"/>
      <c r="T3061" s="149"/>
      <c r="U3061" s="149"/>
      <c r="V3061" s="149"/>
      <c r="W3061" s="149"/>
      <c r="X3061" s="149"/>
      <c r="Y3061" s="149"/>
      <c r="Z3061" s="149"/>
      <c r="AA3061" s="149"/>
      <c r="AB3061" s="149"/>
      <c r="AC3061" s="149"/>
      <c r="AD3061" s="149"/>
      <c r="AE3061" s="149"/>
      <c r="AF3061" s="149"/>
      <c r="AG3061" s="149"/>
      <c r="AH3061" s="149"/>
      <c r="AI3061" s="149"/>
      <c r="AJ3061" s="149"/>
      <c r="AK3061" s="149"/>
      <c r="AL3061" s="149"/>
      <c r="AM3061" s="149"/>
      <c r="AN3061" s="149"/>
      <c r="AO3061" s="128"/>
      <c r="AP3061" s="128"/>
      <c r="AQ3061" s="128"/>
      <c r="AR3061" s="128"/>
      <c r="AS3061" s="128"/>
      <c r="AT3061" s="128"/>
      <c r="AU3061" s="128"/>
      <c r="AV3061" s="128"/>
      <c r="AW3061" s="128"/>
      <c r="AX3061" s="128"/>
      <c r="AY3061" s="128"/>
      <c r="AZ3061" s="128"/>
      <c r="BA3061" s="128"/>
      <c r="BB3061" s="128"/>
      <c r="BC3061" s="128"/>
      <c r="BD3061" s="128"/>
      <c r="BE3061" s="128"/>
      <c r="BF3061" s="128"/>
      <c r="BG3061" s="128"/>
      <c r="BH3061" s="128"/>
      <c r="BI3061" s="128"/>
      <c r="BJ3061" s="128"/>
      <c r="BK3061" s="128"/>
      <c r="BL3061" s="128"/>
      <c r="BM3061" s="151"/>
      <c r="BN3061" s="128"/>
      <c r="BO3061" s="128"/>
      <c r="BP3061" s="128"/>
      <c r="BQ3061" s="128"/>
      <c r="BR3061" s="128"/>
      <c r="BS3061" s="128"/>
      <c r="BT3061" s="128"/>
      <c r="BU3061" s="128"/>
      <c r="BV3061" s="128"/>
      <c r="BW3061" s="128"/>
      <c r="BX3061" s="128"/>
      <c r="BY3061" s="128"/>
      <c r="BZ3061" s="128"/>
      <c r="CA3061" s="128"/>
      <c r="CB3061" s="128"/>
      <c r="CC3061" s="128"/>
      <c r="CD3061" s="128"/>
      <c r="CE3061" s="128"/>
      <c r="CF3061" s="128"/>
      <c r="CG3061" s="128"/>
      <c r="CI3061" s="128"/>
      <c r="CJ3061" s="128"/>
      <c r="CK3061" s="128"/>
      <c r="CL3061" s="128"/>
      <c r="CM3061" s="128"/>
      <c r="CN3061" s="128"/>
      <c r="CO3061" s="128"/>
      <c r="CP3061" s="128"/>
      <c r="CQ3061" s="128"/>
      <c r="CR3061" s="128"/>
      <c r="CS3061" s="128"/>
      <c r="CT3061" s="128"/>
      <c r="CU3061" s="128"/>
      <c r="CV3061" s="128"/>
      <c r="CW3061" s="128"/>
      <c r="CX3061" s="128"/>
      <c r="CY3061" s="128"/>
      <c r="CZ3061" s="165"/>
    </row>
    <row r="3062" spans="1:104">
      <c r="A3062" s="149"/>
      <c r="B3062" s="149"/>
      <c r="C3062" s="150"/>
      <c r="D3062" s="102"/>
      <c r="E3062" s="149"/>
      <c r="F3062" s="149"/>
      <c r="G3062" s="149"/>
      <c r="H3062" s="149"/>
      <c r="I3062" s="149"/>
      <c r="J3062" s="149"/>
      <c r="K3062" s="149"/>
      <c r="L3062" s="149"/>
      <c r="M3062" s="149"/>
      <c r="N3062" s="149"/>
      <c r="O3062" s="149"/>
      <c r="P3062" s="149"/>
      <c r="Q3062" s="149"/>
      <c r="R3062" s="149"/>
      <c r="S3062" s="149"/>
      <c r="T3062" s="149"/>
      <c r="U3062" s="149"/>
      <c r="V3062" s="149"/>
      <c r="W3062" s="149"/>
      <c r="X3062" s="149"/>
      <c r="Y3062" s="149"/>
      <c r="Z3062" s="149"/>
      <c r="AA3062" s="149"/>
      <c r="AB3062" s="149"/>
      <c r="AC3062" s="149"/>
      <c r="AD3062" s="149"/>
      <c r="AE3062" s="149"/>
      <c r="AF3062" s="149"/>
      <c r="AG3062" s="149"/>
      <c r="AH3062" s="149"/>
      <c r="AI3062" s="149"/>
      <c r="AJ3062" s="149"/>
      <c r="AK3062" s="149"/>
      <c r="AL3062" s="149"/>
      <c r="AM3062" s="149"/>
      <c r="AN3062" s="149"/>
      <c r="AO3062" s="128"/>
      <c r="AP3062" s="128"/>
      <c r="AQ3062" s="128"/>
      <c r="AR3062" s="128"/>
      <c r="AS3062" s="128"/>
      <c r="AT3062" s="128"/>
      <c r="AU3062" s="128"/>
      <c r="AV3062" s="128"/>
      <c r="AW3062" s="128"/>
      <c r="AX3062" s="128"/>
      <c r="AY3062" s="128"/>
      <c r="AZ3062" s="128"/>
      <c r="BA3062" s="128"/>
      <c r="BB3062" s="128"/>
      <c r="BC3062" s="128"/>
      <c r="BD3062" s="128"/>
      <c r="BE3062" s="128"/>
      <c r="BF3062" s="128"/>
      <c r="BG3062" s="128"/>
      <c r="BH3062" s="128"/>
      <c r="BI3062" s="128"/>
      <c r="BJ3062" s="128"/>
      <c r="BK3062" s="128"/>
      <c r="BL3062" s="128"/>
      <c r="BM3062" s="151"/>
      <c r="BN3062" s="128"/>
      <c r="BO3062" s="128"/>
      <c r="BP3062" s="128"/>
      <c r="BQ3062" s="128"/>
      <c r="BR3062" s="128"/>
      <c r="BS3062" s="128"/>
      <c r="BT3062" s="128"/>
      <c r="BU3062" s="128"/>
      <c r="BV3062" s="128"/>
      <c r="BW3062" s="128"/>
      <c r="BX3062" s="128"/>
      <c r="BY3062" s="128"/>
      <c r="BZ3062" s="128"/>
      <c r="CA3062" s="128"/>
      <c r="CB3062" s="128"/>
      <c r="CC3062" s="128"/>
      <c r="CD3062" s="128"/>
      <c r="CE3062" s="128"/>
      <c r="CF3062" s="128"/>
      <c r="CG3062" s="128"/>
      <c r="CI3062" s="128"/>
      <c r="CJ3062" s="128"/>
      <c r="CK3062" s="128"/>
      <c r="CL3062" s="128"/>
      <c r="CM3062" s="128"/>
      <c r="CN3062" s="128"/>
      <c r="CO3062" s="128"/>
      <c r="CP3062" s="128"/>
      <c r="CQ3062" s="128"/>
      <c r="CR3062" s="128"/>
      <c r="CS3062" s="128"/>
      <c r="CT3062" s="128"/>
      <c r="CU3062" s="128"/>
      <c r="CV3062" s="128"/>
      <c r="CW3062" s="128"/>
      <c r="CX3062" s="128"/>
      <c r="CY3062" s="128"/>
      <c r="CZ3062" s="165"/>
    </row>
    <row r="3063" spans="1:104">
      <c r="A3063" s="149"/>
      <c r="B3063" s="149"/>
      <c r="C3063" s="150"/>
      <c r="D3063" s="102"/>
      <c r="E3063" s="149"/>
      <c r="F3063" s="149"/>
      <c r="G3063" s="149"/>
      <c r="H3063" s="149"/>
      <c r="I3063" s="149"/>
      <c r="J3063" s="149"/>
      <c r="K3063" s="149"/>
      <c r="L3063" s="149"/>
      <c r="M3063" s="149"/>
      <c r="N3063" s="149"/>
      <c r="O3063" s="149"/>
      <c r="P3063" s="149"/>
      <c r="Q3063" s="149"/>
      <c r="R3063" s="149"/>
      <c r="S3063" s="149"/>
      <c r="T3063" s="149"/>
      <c r="U3063" s="149"/>
      <c r="V3063" s="149"/>
      <c r="W3063" s="149"/>
      <c r="X3063" s="149"/>
      <c r="Y3063" s="149"/>
      <c r="Z3063" s="149"/>
      <c r="AA3063" s="149"/>
      <c r="AB3063" s="149"/>
      <c r="AC3063" s="149"/>
      <c r="AD3063" s="149"/>
      <c r="AE3063" s="149"/>
      <c r="AF3063" s="149"/>
      <c r="AG3063" s="149"/>
      <c r="AH3063" s="149"/>
      <c r="AI3063" s="149"/>
      <c r="AJ3063" s="149"/>
      <c r="AK3063" s="149"/>
      <c r="AL3063" s="149"/>
      <c r="AM3063" s="149"/>
      <c r="AN3063" s="149"/>
      <c r="AO3063" s="128"/>
      <c r="AP3063" s="128"/>
      <c r="AQ3063" s="128"/>
      <c r="AR3063" s="128"/>
      <c r="AS3063" s="128"/>
      <c r="AT3063" s="128"/>
      <c r="AU3063" s="128"/>
      <c r="AV3063" s="128"/>
      <c r="AW3063" s="128"/>
      <c r="AX3063" s="128"/>
      <c r="AY3063" s="128"/>
      <c r="AZ3063" s="128"/>
      <c r="BA3063" s="128"/>
      <c r="BB3063" s="128"/>
      <c r="BC3063" s="128"/>
      <c r="BD3063" s="128"/>
      <c r="BE3063" s="128"/>
      <c r="BF3063" s="128"/>
      <c r="BG3063" s="128"/>
      <c r="BH3063" s="128"/>
      <c r="BI3063" s="128"/>
      <c r="BJ3063" s="128"/>
      <c r="BK3063" s="128"/>
      <c r="BL3063" s="128"/>
      <c r="BM3063" s="151"/>
      <c r="BN3063" s="128"/>
      <c r="BO3063" s="128"/>
      <c r="BP3063" s="128"/>
      <c r="BQ3063" s="128"/>
      <c r="BR3063" s="128"/>
      <c r="BS3063" s="128"/>
      <c r="BT3063" s="128"/>
      <c r="BU3063" s="128"/>
      <c r="BV3063" s="128"/>
      <c r="BW3063" s="128"/>
      <c r="BX3063" s="128"/>
      <c r="BY3063" s="128"/>
      <c r="BZ3063" s="128"/>
      <c r="CA3063" s="128"/>
      <c r="CB3063" s="128"/>
      <c r="CC3063" s="128"/>
      <c r="CD3063" s="128"/>
      <c r="CE3063" s="128"/>
      <c r="CF3063" s="128"/>
      <c r="CG3063" s="128"/>
      <c r="CI3063" s="128"/>
      <c r="CJ3063" s="128"/>
      <c r="CK3063" s="128"/>
      <c r="CL3063" s="128"/>
      <c r="CM3063" s="128"/>
      <c r="CN3063" s="128"/>
      <c r="CO3063" s="128"/>
      <c r="CP3063" s="128"/>
      <c r="CQ3063" s="128"/>
      <c r="CR3063" s="128"/>
      <c r="CS3063" s="128"/>
      <c r="CT3063" s="128"/>
      <c r="CU3063" s="128"/>
      <c r="CV3063" s="128"/>
      <c r="CW3063" s="128"/>
      <c r="CX3063" s="128"/>
      <c r="CY3063" s="128"/>
      <c r="CZ3063" s="165"/>
    </row>
    <row r="3064" spans="1:104">
      <c r="A3064" s="149"/>
      <c r="B3064" s="149"/>
      <c r="C3064" s="150"/>
      <c r="D3064" s="102"/>
      <c r="E3064" s="149"/>
      <c r="F3064" s="149"/>
      <c r="G3064" s="149"/>
      <c r="H3064" s="149"/>
      <c r="I3064" s="149"/>
      <c r="J3064" s="149"/>
      <c r="K3064" s="149"/>
      <c r="L3064" s="149"/>
      <c r="M3064" s="149"/>
      <c r="N3064" s="149"/>
      <c r="O3064" s="149"/>
      <c r="P3064" s="149"/>
      <c r="Q3064" s="149"/>
      <c r="R3064" s="149"/>
      <c r="S3064" s="149"/>
      <c r="T3064" s="149"/>
      <c r="U3064" s="149"/>
      <c r="V3064" s="149"/>
      <c r="W3064" s="149"/>
      <c r="X3064" s="149"/>
      <c r="Y3064" s="149"/>
      <c r="Z3064" s="149"/>
      <c r="AA3064" s="149"/>
      <c r="AB3064" s="149"/>
      <c r="AC3064" s="149"/>
      <c r="AD3064" s="149"/>
      <c r="AE3064" s="149"/>
      <c r="AF3064" s="149"/>
      <c r="AG3064" s="149"/>
      <c r="AH3064" s="149"/>
      <c r="AI3064" s="149"/>
      <c r="AJ3064" s="149"/>
      <c r="AK3064" s="149"/>
      <c r="AL3064" s="149"/>
      <c r="AM3064" s="149"/>
      <c r="AN3064" s="149"/>
      <c r="AO3064" s="128"/>
      <c r="AP3064" s="128"/>
      <c r="AQ3064" s="128"/>
      <c r="AR3064" s="128"/>
      <c r="AS3064" s="128"/>
      <c r="AT3064" s="128"/>
      <c r="AU3064" s="128"/>
      <c r="AV3064" s="128"/>
      <c r="AW3064" s="128"/>
      <c r="AX3064" s="128"/>
      <c r="AY3064" s="128"/>
      <c r="AZ3064" s="128"/>
      <c r="BA3064" s="128"/>
      <c r="BB3064" s="128"/>
      <c r="BC3064" s="128"/>
      <c r="BD3064" s="128"/>
      <c r="BE3064" s="128"/>
      <c r="BF3064" s="128"/>
      <c r="BG3064" s="128"/>
      <c r="BH3064" s="128"/>
      <c r="BI3064" s="128"/>
      <c r="BJ3064" s="128"/>
      <c r="BK3064" s="128"/>
      <c r="BL3064" s="128"/>
      <c r="BM3064" s="151"/>
      <c r="BN3064" s="128"/>
      <c r="BO3064" s="128"/>
      <c r="BP3064" s="128"/>
      <c r="BQ3064" s="128"/>
      <c r="BR3064" s="128"/>
      <c r="BS3064" s="128"/>
      <c r="BT3064" s="128"/>
      <c r="BU3064" s="128"/>
      <c r="BV3064" s="128"/>
      <c r="BW3064" s="128"/>
      <c r="BX3064" s="128"/>
      <c r="BY3064" s="128"/>
      <c r="BZ3064" s="128"/>
      <c r="CA3064" s="128"/>
      <c r="CB3064" s="128"/>
      <c r="CC3064" s="128"/>
      <c r="CD3064" s="128"/>
      <c r="CE3064" s="128"/>
      <c r="CF3064" s="128"/>
      <c r="CG3064" s="128"/>
      <c r="CI3064" s="128"/>
      <c r="CJ3064" s="128"/>
      <c r="CK3064" s="128"/>
      <c r="CL3064" s="128"/>
      <c r="CM3064" s="128"/>
      <c r="CN3064" s="128"/>
      <c r="CO3064" s="128"/>
      <c r="CP3064" s="128"/>
      <c r="CQ3064" s="128"/>
      <c r="CR3064" s="128"/>
      <c r="CS3064" s="128"/>
      <c r="CT3064" s="128"/>
      <c r="CU3064" s="128"/>
      <c r="CV3064" s="128"/>
      <c r="CW3064" s="128"/>
      <c r="CX3064" s="128"/>
      <c r="CY3064" s="128"/>
      <c r="CZ3064" s="165"/>
    </row>
    <row r="3065" spans="1:104">
      <c r="A3065" s="149"/>
      <c r="B3065" s="149"/>
      <c r="C3065" s="150"/>
      <c r="D3065" s="102"/>
      <c r="E3065" s="149"/>
      <c r="F3065" s="149"/>
      <c r="G3065" s="149"/>
      <c r="H3065" s="149"/>
      <c r="I3065" s="149"/>
      <c r="J3065" s="149"/>
      <c r="K3065" s="149"/>
      <c r="L3065" s="149"/>
      <c r="M3065" s="149"/>
      <c r="N3065" s="149"/>
      <c r="O3065" s="149"/>
      <c r="P3065" s="149"/>
      <c r="Q3065" s="149"/>
      <c r="R3065" s="149"/>
      <c r="S3065" s="149"/>
      <c r="T3065" s="149"/>
      <c r="U3065" s="149"/>
      <c r="V3065" s="149"/>
      <c r="W3065" s="149"/>
      <c r="X3065" s="149"/>
      <c r="Y3065" s="149"/>
      <c r="Z3065" s="149"/>
      <c r="AA3065" s="149"/>
      <c r="AB3065" s="149"/>
      <c r="AC3065" s="149"/>
      <c r="AD3065" s="149"/>
      <c r="AE3065" s="149"/>
      <c r="AF3065" s="149"/>
      <c r="AG3065" s="149"/>
      <c r="AH3065" s="149"/>
      <c r="AI3065" s="149"/>
      <c r="AJ3065" s="149"/>
      <c r="AK3065" s="149"/>
      <c r="AL3065" s="149"/>
      <c r="AM3065" s="149"/>
      <c r="AN3065" s="149"/>
      <c r="AO3065" s="128"/>
      <c r="AP3065" s="128"/>
      <c r="AQ3065" s="128"/>
      <c r="AR3065" s="128"/>
      <c r="AS3065" s="128"/>
      <c r="AT3065" s="128"/>
      <c r="AU3065" s="128"/>
      <c r="AV3065" s="128"/>
      <c r="AW3065" s="128"/>
      <c r="AX3065" s="128"/>
      <c r="AY3065" s="128"/>
      <c r="AZ3065" s="128"/>
      <c r="BA3065" s="128"/>
      <c r="BB3065" s="128"/>
      <c r="BC3065" s="128"/>
      <c r="BD3065" s="128"/>
      <c r="BE3065" s="128"/>
      <c r="BF3065" s="128"/>
      <c r="BG3065" s="128"/>
      <c r="BH3065" s="128"/>
      <c r="BI3065" s="128"/>
      <c r="BJ3065" s="128"/>
      <c r="BK3065" s="128"/>
      <c r="BL3065" s="128"/>
      <c r="BM3065" s="151"/>
      <c r="BN3065" s="128"/>
      <c r="BO3065" s="128"/>
      <c r="BP3065" s="128"/>
      <c r="BQ3065" s="128"/>
      <c r="BR3065" s="128"/>
      <c r="BS3065" s="128"/>
      <c r="BT3065" s="128"/>
      <c r="BU3065" s="128"/>
      <c r="BV3065" s="128"/>
      <c r="BW3065" s="128"/>
      <c r="BX3065" s="128"/>
      <c r="BY3065" s="128"/>
      <c r="BZ3065" s="128"/>
      <c r="CA3065" s="128"/>
      <c r="CB3065" s="128"/>
      <c r="CC3065" s="128"/>
      <c r="CD3065" s="128"/>
      <c r="CE3065" s="128"/>
      <c r="CF3065" s="128"/>
      <c r="CG3065" s="128"/>
      <c r="CI3065" s="128"/>
      <c r="CJ3065" s="128"/>
      <c r="CK3065" s="128"/>
      <c r="CL3065" s="128"/>
      <c r="CM3065" s="128"/>
      <c r="CN3065" s="128"/>
      <c r="CO3065" s="128"/>
      <c r="CP3065" s="128"/>
      <c r="CQ3065" s="128"/>
      <c r="CR3065" s="128"/>
      <c r="CS3065" s="128"/>
      <c r="CT3065" s="128"/>
      <c r="CU3065" s="128"/>
      <c r="CV3065" s="128"/>
      <c r="CW3065" s="128"/>
      <c r="CX3065" s="128"/>
      <c r="CY3065" s="128"/>
      <c r="CZ3065" s="165"/>
    </row>
    <row r="3066" spans="1:104">
      <c r="A3066" s="149"/>
      <c r="B3066" s="149"/>
      <c r="C3066" s="150"/>
      <c r="D3066" s="102"/>
      <c r="E3066" s="149"/>
      <c r="F3066" s="149"/>
      <c r="G3066" s="149"/>
      <c r="H3066" s="149"/>
      <c r="I3066" s="149"/>
      <c r="J3066" s="149"/>
      <c r="K3066" s="149"/>
      <c r="L3066" s="149"/>
      <c r="M3066" s="149"/>
      <c r="N3066" s="149"/>
      <c r="O3066" s="149"/>
      <c r="P3066" s="149"/>
      <c r="Q3066" s="149"/>
      <c r="R3066" s="149"/>
      <c r="S3066" s="149"/>
      <c r="T3066" s="149"/>
      <c r="U3066" s="149"/>
      <c r="V3066" s="149"/>
      <c r="W3066" s="149"/>
      <c r="X3066" s="149"/>
      <c r="Y3066" s="149"/>
      <c r="Z3066" s="149"/>
      <c r="AA3066" s="149"/>
      <c r="AB3066" s="149"/>
      <c r="AC3066" s="149"/>
      <c r="AD3066" s="149"/>
      <c r="AE3066" s="149"/>
      <c r="AF3066" s="149"/>
      <c r="AG3066" s="149"/>
      <c r="AH3066" s="149"/>
      <c r="AI3066" s="149"/>
      <c r="AJ3066" s="149"/>
      <c r="AK3066" s="149"/>
      <c r="AL3066" s="149"/>
      <c r="AM3066" s="149"/>
      <c r="AN3066" s="149"/>
      <c r="AO3066" s="128"/>
      <c r="AP3066" s="128"/>
      <c r="AQ3066" s="128"/>
      <c r="AR3066" s="128"/>
      <c r="AS3066" s="128"/>
      <c r="AT3066" s="128"/>
      <c r="AU3066" s="128"/>
      <c r="AV3066" s="128"/>
      <c r="AW3066" s="128"/>
      <c r="AX3066" s="128"/>
      <c r="AY3066" s="128"/>
      <c r="AZ3066" s="128"/>
      <c r="BA3066" s="128"/>
      <c r="BB3066" s="128"/>
      <c r="BC3066" s="128"/>
      <c r="BD3066" s="128"/>
      <c r="BE3066" s="128"/>
      <c r="BF3066" s="128"/>
      <c r="BG3066" s="128"/>
      <c r="BH3066" s="128"/>
      <c r="BI3066" s="128"/>
      <c r="BJ3066" s="128"/>
      <c r="BK3066" s="128"/>
      <c r="BL3066" s="128"/>
      <c r="BM3066" s="151"/>
      <c r="BN3066" s="128"/>
      <c r="BO3066" s="128"/>
      <c r="BP3066" s="128"/>
      <c r="BQ3066" s="128"/>
      <c r="BR3066" s="128"/>
      <c r="BS3066" s="128"/>
      <c r="BT3066" s="128"/>
      <c r="BU3066" s="128"/>
      <c r="BV3066" s="128"/>
      <c r="BW3066" s="128"/>
      <c r="BX3066" s="128"/>
      <c r="BY3066" s="128"/>
      <c r="BZ3066" s="128"/>
      <c r="CA3066" s="128"/>
      <c r="CB3066" s="128"/>
      <c r="CC3066" s="128"/>
      <c r="CD3066" s="128"/>
      <c r="CE3066" s="128"/>
      <c r="CF3066" s="128"/>
      <c r="CG3066" s="128"/>
      <c r="CI3066" s="128"/>
      <c r="CJ3066" s="128"/>
      <c r="CK3066" s="128"/>
      <c r="CL3066" s="128"/>
      <c r="CM3066" s="128"/>
      <c r="CN3066" s="128"/>
      <c r="CO3066" s="128"/>
      <c r="CP3066" s="128"/>
      <c r="CQ3066" s="128"/>
      <c r="CR3066" s="128"/>
      <c r="CS3066" s="128"/>
      <c r="CT3066" s="128"/>
      <c r="CU3066" s="128"/>
      <c r="CV3066" s="128"/>
      <c r="CW3066" s="128"/>
      <c r="CX3066" s="128"/>
      <c r="CY3066" s="128"/>
      <c r="CZ3066" s="165"/>
    </row>
    <row r="3067" spans="1:104">
      <c r="A3067" s="149"/>
      <c r="B3067" s="149"/>
      <c r="C3067" s="150"/>
      <c r="D3067" s="102"/>
      <c r="E3067" s="149"/>
      <c r="F3067" s="149"/>
      <c r="G3067" s="149"/>
      <c r="H3067" s="149"/>
      <c r="I3067" s="149"/>
      <c r="J3067" s="149"/>
      <c r="K3067" s="149"/>
      <c r="L3067" s="149"/>
      <c r="M3067" s="149"/>
      <c r="N3067" s="149"/>
      <c r="O3067" s="149"/>
      <c r="P3067" s="149"/>
      <c r="Q3067" s="149"/>
      <c r="R3067" s="149"/>
      <c r="S3067" s="149"/>
      <c r="T3067" s="149"/>
      <c r="U3067" s="149"/>
      <c r="V3067" s="149"/>
      <c r="W3067" s="149"/>
      <c r="X3067" s="149"/>
      <c r="Y3067" s="149"/>
      <c r="Z3067" s="149"/>
      <c r="AA3067" s="149"/>
      <c r="AB3067" s="149"/>
      <c r="AC3067" s="149"/>
      <c r="AD3067" s="149"/>
      <c r="AE3067" s="149"/>
      <c r="AF3067" s="149"/>
      <c r="AG3067" s="149"/>
      <c r="AH3067" s="149"/>
      <c r="AI3067" s="149"/>
      <c r="AJ3067" s="149"/>
      <c r="AK3067" s="149"/>
      <c r="AL3067" s="149"/>
      <c r="AM3067" s="149"/>
      <c r="AN3067" s="149"/>
      <c r="AO3067" s="128"/>
      <c r="AP3067" s="128"/>
      <c r="AQ3067" s="128"/>
      <c r="AR3067" s="128"/>
      <c r="AS3067" s="128"/>
      <c r="AT3067" s="128"/>
      <c r="AU3067" s="128"/>
      <c r="AV3067" s="128"/>
      <c r="AW3067" s="128"/>
      <c r="AX3067" s="128"/>
      <c r="AY3067" s="128"/>
      <c r="AZ3067" s="128"/>
      <c r="BA3067" s="128"/>
      <c r="BB3067" s="128"/>
      <c r="BC3067" s="128"/>
      <c r="BD3067" s="128"/>
      <c r="BE3067" s="128"/>
      <c r="BF3067" s="128"/>
      <c r="BG3067" s="128"/>
      <c r="BH3067" s="128"/>
      <c r="BI3067" s="128"/>
      <c r="BJ3067" s="128"/>
      <c r="BK3067" s="128"/>
      <c r="BL3067" s="128"/>
      <c r="BM3067" s="151"/>
      <c r="BN3067" s="128"/>
      <c r="BO3067" s="128"/>
      <c r="BP3067" s="128"/>
      <c r="BQ3067" s="128"/>
      <c r="BR3067" s="128"/>
      <c r="BS3067" s="128"/>
      <c r="BT3067" s="128"/>
      <c r="BU3067" s="128"/>
      <c r="BV3067" s="128"/>
      <c r="BW3067" s="128"/>
      <c r="BX3067" s="128"/>
      <c r="BY3067" s="128"/>
      <c r="BZ3067" s="128"/>
      <c r="CA3067" s="128"/>
      <c r="CB3067" s="128"/>
      <c r="CC3067" s="128"/>
      <c r="CD3067" s="128"/>
      <c r="CE3067" s="128"/>
      <c r="CF3067" s="128"/>
      <c r="CG3067" s="128"/>
      <c r="CI3067" s="128"/>
      <c r="CJ3067" s="128"/>
      <c r="CK3067" s="128"/>
      <c r="CL3067" s="128"/>
      <c r="CM3067" s="128"/>
      <c r="CN3067" s="128"/>
      <c r="CO3067" s="128"/>
      <c r="CP3067" s="128"/>
      <c r="CQ3067" s="128"/>
      <c r="CR3067" s="128"/>
      <c r="CS3067" s="128"/>
      <c r="CT3067" s="128"/>
      <c r="CU3067" s="128"/>
      <c r="CV3067" s="128"/>
      <c r="CW3067" s="128"/>
      <c r="CX3067" s="128"/>
      <c r="CY3067" s="128"/>
      <c r="CZ3067" s="165"/>
    </row>
    <row r="3068" spans="1:104">
      <c r="A3068" s="149"/>
      <c r="B3068" s="149"/>
      <c r="C3068" s="150"/>
      <c r="D3068" s="102"/>
      <c r="E3068" s="149"/>
      <c r="F3068" s="149"/>
      <c r="G3068" s="149"/>
      <c r="H3068" s="149"/>
      <c r="I3068" s="149"/>
      <c r="J3068" s="149"/>
      <c r="K3068" s="149"/>
      <c r="L3068" s="149"/>
      <c r="M3068" s="149"/>
      <c r="N3068" s="149"/>
      <c r="O3068" s="149"/>
      <c r="P3068" s="149"/>
      <c r="Q3068" s="149"/>
      <c r="R3068" s="149"/>
      <c r="S3068" s="149"/>
      <c r="T3068" s="149"/>
      <c r="U3068" s="149"/>
      <c r="V3068" s="149"/>
      <c r="W3068" s="149"/>
      <c r="X3068" s="149"/>
      <c r="Y3068" s="149"/>
      <c r="Z3068" s="149"/>
      <c r="AA3068" s="149"/>
      <c r="AB3068" s="149"/>
      <c r="AC3068" s="149"/>
      <c r="AD3068" s="149"/>
      <c r="AE3068" s="149"/>
      <c r="AF3068" s="149"/>
      <c r="AG3068" s="149"/>
      <c r="AH3068" s="149"/>
      <c r="AI3068" s="149"/>
      <c r="AJ3068" s="149"/>
      <c r="AK3068" s="149"/>
      <c r="AL3068" s="149"/>
      <c r="AM3068" s="149"/>
      <c r="AN3068" s="149"/>
      <c r="AO3068" s="128"/>
      <c r="AP3068" s="128"/>
      <c r="AQ3068" s="128"/>
      <c r="AR3068" s="128"/>
      <c r="AS3068" s="128"/>
      <c r="AT3068" s="128"/>
      <c r="AU3068" s="128"/>
      <c r="AV3068" s="128"/>
      <c r="AW3068" s="128"/>
      <c r="AX3068" s="128"/>
      <c r="AY3068" s="128"/>
      <c r="AZ3068" s="128"/>
      <c r="BA3068" s="128"/>
      <c r="BB3068" s="128"/>
      <c r="BC3068" s="128"/>
      <c r="BD3068" s="128"/>
      <c r="BE3068" s="128"/>
      <c r="BF3068" s="128"/>
      <c r="BG3068" s="128"/>
      <c r="BH3068" s="128"/>
      <c r="BI3068" s="128"/>
      <c r="BJ3068" s="128"/>
      <c r="BK3068" s="128"/>
      <c r="BL3068" s="128"/>
      <c r="BM3068" s="151"/>
      <c r="BN3068" s="128"/>
      <c r="BO3068" s="128"/>
      <c r="BP3068" s="128"/>
      <c r="BQ3068" s="128"/>
      <c r="BR3068" s="128"/>
      <c r="BS3068" s="128"/>
      <c r="BT3068" s="128"/>
      <c r="BU3068" s="128"/>
      <c r="BV3068" s="128"/>
      <c r="BW3068" s="128"/>
      <c r="BX3068" s="128"/>
      <c r="BY3068" s="128"/>
      <c r="BZ3068" s="128"/>
      <c r="CA3068" s="128"/>
      <c r="CB3068" s="128"/>
      <c r="CC3068" s="128"/>
      <c r="CD3068" s="128"/>
      <c r="CE3068" s="128"/>
      <c r="CF3068" s="128"/>
      <c r="CG3068" s="128"/>
      <c r="CI3068" s="128"/>
      <c r="CJ3068" s="128"/>
      <c r="CK3068" s="128"/>
      <c r="CL3068" s="128"/>
      <c r="CM3068" s="128"/>
      <c r="CN3068" s="128"/>
      <c r="CO3068" s="128"/>
      <c r="CP3068" s="128"/>
      <c r="CQ3068" s="128"/>
      <c r="CR3068" s="128"/>
      <c r="CS3068" s="128"/>
      <c r="CT3068" s="128"/>
      <c r="CU3068" s="128"/>
      <c r="CV3068" s="128"/>
      <c r="CW3068" s="128"/>
      <c r="CX3068" s="128"/>
      <c r="CY3068" s="128"/>
      <c r="CZ3068" s="165"/>
    </row>
    <row r="3069" spans="1:104">
      <c r="A3069" s="149"/>
      <c r="B3069" s="149"/>
      <c r="C3069" s="150"/>
      <c r="D3069" s="102"/>
      <c r="E3069" s="149"/>
      <c r="F3069" s="149"/>
      <c r="G3069" s="149"/>
      <c r="H3069" s="149"/>
      <c r="I3069" s="149"/>
      <c r="J3069" s="149"/>
      <c r="K3069" s="149"/>
      <c r="L3069" s="149"/>
      <c r="M3069" s="149"/>
      <c r="N3069" s="149"/>
      <c r="O3069" s="149"/>
      <c r="P3069" s="149"/>
      <c r="Q3069" s="149"/>
      <c r="R3069" s="149"/>
      <c r="S3069" s="149"/>
      <c r="T3069" s="149"/>
      <c r="U3069" s="149"/>
      <c r="V3069" s="149"/>
      <c r="W3069" s="149"/>
      <c r="X3069" s="149"/>
      <c r="Y3069" s="149"/>
      <c r="Z3069" s="149"/>
      <c r="AA3069" s="149"/>
      <c r="AB3069" s="149"/>
      <c r="AC3069" s="149"/>
      <c r="AD3069" s="149"/>
      <c r="AE3069" s="149"/>
      <c r="AF3069" s="149"/>
      <c r="AG3069" s="149"/>
      <c r="AH3069" s="149"/>
      <c r="AI3069" s="149"/>
      <c r="AJ3069" s="149"/>
      <c r="AK3069" s="149"/>
      <c r="AL3069" s="149"/>
      <c r="AM3069" s="149"/>
      <c r="AN3069" s="149"/>
      <c r="AO3069" s="128"/>
      <c r="AP3069" s="128"/>
      <c r="AQ3069" s="128"/>
      <c r="AR3069" s="128"/>
      <c r="AS3069" s="128"/>
      <c r="AT3069" s="128"/>
      <c r="AU3069" s="128"/>
      <c r="AV3069" s="128"/>
      <c r="AW3069" s="128"/>
      <c r="AX3069" s="128"/>
      <c r="AY3069" s="128"/>
      <c r="AZ3069" s="128"/>
      <c r="BA3069" s="128"/>
      <c r="BB3069" s="128"/>
      <c r="BC3069" s="128"/>
      <c r="BD3069" s="128"/>
      <c r="BE3069" s="128"/>
      <c r="BF3069" s="128"/>
      <c r="BG3069" s="128"/>
      <c r="BH3069" s="128"/>
      <c r="BI3069" s="128"/>
      <c r="BJ3069" s="128"/>
      <c r="BK3069" s="128"/>
      <c r="BL3069" s="128"/>
      <c r="BM3069" s="151"/>
      <c r="BN3069" s="128"/>
      <c r="BO3069" s="128"/>
      <c r="BP3069" s="128"/>
      <c r="BQ3069" s="128"/>
      <c r="BR3069" s="128"/>
      <c r="BS3069" s="128"/>
      <c r="BT3069" s="128"/>
      <c r="BU3069" s="128"/>
      <c r="BV3069" s="128"/>
      <c r="BW3069" s="128"/>
      <c r="BX3069" s="128"/>
      <c r="BY3069" s="128"/>
      <c r="BZ3069" s="128"/>
      <c r="CA3069" s="128"/>
      <c r="CB3069" s="128"/>
      <c r="CC3069" s="128"/>
      <c r="CD3069" s="128"/>
      <c r="CE3069" s="128"/>
      <c r="CF3069" s="128"/>
      <c r="CG3069" s="128"/>
      <c r="CI3069" s="128"/>
      <c r="CJ3069" s="128"/>
      <c r="CK3069" s="128"/>
      <c r="CL3069" s="128"/>
      <c r="CM3069" s="128"/>
      <c r="CN3069" s="128"/>
      <c r="CO3069" s="128"/>
      <c r="CP3069" s="128"/>
      <c r="CQ3069" s="128"/>
      <c r="CR3069" s="128"/>
      <c r="CS3069" s="128"/>
      <c r="CT3069" s="128"/>
      <c r="CU3069" s="128"/>
      <c r="CV3069" s="128"/>
      <c r="CW3069" s="128"/>
      <c r="CX3069" s="128"/>
      <c r="CY3069" s="128"/>
      <c r="CZ3069" s="165"/>
    </row>
    <row r="3070" spans="1:104">
      <c r="A3070" s="149"/>
      <c r="B3070" s="149"/>
      <c r="C3070" s="150"/>
      <c r="D3070" s="102"/>
      <c r="E3070" s="149"/>
      <c r="F3070" s="149"/>
      <c r="G3070" s="149"/>
      <c r="H3070" s="149"/>
      <c r="I3070" s="149"/>
      <c r="J3070" s="149"/>
      <c r="K3070" s="149"/>
      <c r="L3070" s="149"/>
      <c r="M3070" s="149"/>
      <c r="N3070" s="149"/>
      <c r="O3070" s="149"/>
      <c r="P3070" s="149"/>
      <c r="Q3070" s="149"/>
      <c r="R3070" s="149"/>
      <c r="S3070" s="149"/>
      <c r="T3070" s="149"/>
      <c r="U3070" s="149"/>
      <c r="V3070" s="149"/>
      <c r="W3070" s="149"/>
      <c r="X3070" s="149"/>
      <c r="Y3070" s="149"/>
      <c r="Z3070" s="149"/>
      <c r="AA3070" s="149"/>
      <c r="AB3070" s="149"/>
      <c r="AC3070" s="149"/>
      <c r="AD3070" s="149"/>
      <c r="AE3070" s="149"/>
      <c r="AF3070" s="149"/>
      <c r="AG3070" s="149"/>
      <c r="AH3070" s="149"/>
      <c r="AI3070" s="149"/>
      <c r="AJ3070" s="149"/>
      <c r="AK3070" s="149"/>
      <c r="AL3070" s="149"/>
      <c r="AM3070" s="149"/>
      <c r="AN3070" s="149"/>
      <c r="AO3070" s="128"/>
      <c r="AP3070" s="128"/>
      <c r="AQ3070" s="128"/>
      <c r="AR3070" s="128"/>
      <c r="AS3070" s="128"/>
      <c r="AT3070" s="128"/>
      <c r="AU3070" s="128"/>
      <c r="AV3070" s="128"/>
      <c r="AW3070" s="128"/>
      <c r="AX3070" s="128"/>
      <c r="AY3070" s="128"/>
      <c r="AZ3070" s="128"/>
      <c r="BA3070" s="128"/>
      <c r="BB3070" s="128"/>
      <c r="BC3070" s="128"/>
      <c r="BD3070" s="128"/>
      <c r="BE3070" s="128"/>
      <c r="BF3070" s="128"/>
      <c r="BG3070" s="128"/>
      <c r="BH3070" s="128"/>
      <c r="BI3070" s="128"/>
      <c r="BJ3070" s="128"/>
      <c r="BK3070" s="128"/>
      <c r="BL3070" s="128"/>
      <c r="BM3070" s="151"/>
      <c r="BN3070" s="128"/>
      <c r="BO3070" s="128"/>
      <c r="BP3070" s="128"/>
      <c r="BQ3070" s="128"/>
      <c r="BR3070" s="128"/>
      <c r="BS3070" s="128"/>
      <c r="BT3070" s="128"/>
      <c r="BU3070" s="128"/>
      <c r="BV3070" s="128"/>
      <c r="BW3070" s="128"/>
      <c r="BX3070" s="128"/>
      <c r="BY3070" s="128"/>
      <c r="BZ3070" s="128"/>
      <c r="CA3070" s="128"/>
      <c r="CB3070" s="128"/>
      <c r="CC3070" s="128"/>
      <c r="CD3070" s="128"/>
      <c r="CE3070" s="128"/>
      <c r="CF3070" s="128"/>
      <c r="CG3070" s="128"/>
      <c r="CI3070" s="128"/>
      <c r="CJ3070" s="128"/>
      <c r="CK3070" s="128"/>
      <c r="CL3070" s="128"/>
      <c r="CM3070" s="128"/>
      <c r="CN3070" s="128"/>
      <c r="CO3070" s="128"/>
      <c r="CP3070" s="128"/>
      <c r="CQ3070" s="128"/>
      <c r="CR3070" s="128"/>
      <c r="CS3070" s="128"/>
      <c r="CT3070" s="128"/>
      <c r="CU3070" s="128"/>
      <c r="CV3070" s="128"/>
      <c r="CW3070" s="128"/>
      <c r="CX3070" s="128"/>
      <c r="CY3070" s="128"/>
      <c r="CZ3070" s="165"/>
    </row>
    <row r="3071" spans="1:104">
      <c r="A3071" s="149"/>
      <c r="B3071" s="149"/>
      <c r="C3071" s="150"/>
      <c r="D3071" s="102"/>
      <c r="E3071" s="149"/>
      <c r="F3071" s="149"/>
      <c r="G3071" s="149"/>
      <c r="H3071" s="149"/>
      <c r="I3071" s="149"/>
      <c r="J3071" s="149"/>
      <c r="K3071" s="149"/>
      <c r="L3071" s="149"/>
      <c r="M3071" s="149"/>
      <c r="N3071" s="149"/>
      <c r="O3071" s="149"/>
      <c r="P3071" s="149"/>
      <c r="Q3071" s="149"/>
      <c r="R3071" s="149"/>
      <c r="S3071" s="149"/>
      <c r="T3071" s="149"/>
      <c r="U3071" s="149"/>
      <c r="V3071" s="149"/>
      <c r="W3071" s="149"/>
      <c r="X3071" s="149"/>
      <c r="Y3071" s="149"/>
      <c r="Z3071" s="149"/>
      <c r="AA3071" s="149"/>
      <c r="AB3071" s="149"/>
      <c r="AC3071" s="149"/>
      <c r="AD3071" s="149"/>
      <c r="AE3071" s="149"/>
      <c r="AF3071" s="149"/>
      <c r="AG3071" s="149"/>
      <c r="AH3071" s="149"/>
      <c r="AI3071" s="149"/>
      <c r="AJ3071" s="149"/>
      <c r="AK3071" s="149"/>
      <c r="AL3071" s="149"/>
      <c r="AM3071" s="149"/>
      <c r="AN3071" s="149"/>
      <c r="AO3071" s="128"/>
      <c r="AP3071" s="128"/>
      <c r="AQ3071" s="128"/>
      <c r="AR3071" s="128"/>
      <c r="AS3071" s="128"/>
      <c r="AT3071" s="128"/>
      <c r="AU3071" s="128"/>
      <c r="AV3071" s="128"/>
      <c r="AW3071" s="128"/>
      <c r="AX3071" s="128"/>
      <c r="AY3071" s="128"/>
      <c r="AZ3071" s="128"/>
      <c r="BA3071" s="128"/>
      <c r="BB3071" s="128"/>
      <c r="BC3071" s="128"/>
      <c r="BD3071" s="128"/>
      <c r="BE3071" s="128"/>
      <c r="BF3071" s="128"/>
      <c r="BG3071" s="128"/>
      <c r="BH3071" s="128"/>
      <c r="BI3071" s="128"/>
      <c r="BJ3071" s="128"/>
      <c r="BK3071" s="128"/>
      <c r="BL3071" s="128"/>
      <c r="BM3071" s="151"/>
      <c r="BN3071" s="128"/>
      <c r="BO3071" s="128"/>
      <c r="BP3071" s="128"/>
      <c r="BQ3071" s="128"/>
      <c r="BR3071" s="128"/>
      <c r="BS3071" s="128"/>
      <c r="BT3071" s="128"/>
      <c r="BU3071" s="128"/>
      <c r="BV3071" s="128"/>
      <c r="BW3071" s="128"/>
      <c r="BX3071" s="128"/>
      <c r="BY3071" s="128"/>
      <c r="BZ3071" s="128"/>
      <c r="CA3071" s="128"/>
      <c r="CB3071" s="128"/>
      <c r="CC3071" s="128"/>
      <c r="CD3071" s="128"/>
      <c r="CE3071" s="128"/>
      <c r="CF3071" s="128"/>
      <c r="CG3071" s="128"/>
      <c r="CI3071" s="128"/>
      <c r="CJ3071" s="128"/>
      <c r="CK3071" s="128"/>
      <c r="CL3071" s="128"/>
      <c r="CM3071" s="128"/>
      <c r="CN3071" s="128"/>
      <c r="CO3071" s="128"/>
      <c r="CP3071" s="128"/>
      <c r="CQ3071" s="128"/>
      <c r="CR3071" s="128"/>
      <c r="CS3071" s="128"/>
      <c r="CT3071" s="128"/>
      <c r="CU3071" s="128"/>
      <c r="CV3071" s="128"/>
      <c r="CW3071" s="128"/>
      <c r="CX3071" s="128"/>
      <c r="CY3071" s="128"/>
      <c r="CZ3071" s="165"/>
    </row>
    <row r="3072" spans="1:104">
      <c r="A3072" s="149"/>
      <c r="B3072" s="149"/>
      <c r="C3072" s="150"/>
      <c r="D3072" s="102"/>
      <c r="E3072" s="149"/>
      <c r="F3072" s="149"/>
      <c r="G3072" s="149"/>
      <c r="H3072" s="149"/>
      <c r="I3072" s="149"/>
      <c r="J3072" s="149"/>
      <c r="K3072" s="149"/>
      <c r="L3072" s="149"/>
      <c r="M3072" s="149"/>
      <c r="N3072" s="149"/>
      <c r="O3072" s="149"/>
      <c r="P3072" s="149"/>
      <c r="Q3072" s="149"/>
      <c r="R3072" s="149"/>
      <c r="S3072" s="149"/>
      <c r="T3072" s="149"/>
      <c r="U3072" s="149"/>
      <c r="V3072" s="149"/>
      <c r="W3072" s="149"/>
      <c r="X3072" s="149"/>
      <c r="Y3072" s="149"/>
      <c r="Z3072" s="149"/>
      <c r="AA3072" s="149"/>
      <c r="AB3072" s="149"/>
      <c r="AC3072" s="149"/>
      <c r="AD3072" s="149"/>
      <c r="AE3072" s="149"/>
      <c r="AF3072" s="149"/>
      <c r="AG3072" s="149"/>
      <c r="AH3072" s="149"/>
      <c r="AI3072" s="149"/>
      <c r="AJ3072" s="149"/>
      <c r="AK3072" s="149"/>
      <c r="AL3072" s="149"/>
      <c r="AM3072" s="149"/>
      <c r="AN3072" s="149"/>
      <c r="AO3072" s="128"/>
      <c r="AP3072" s="128"/>
      <c r="AQ3072" s="128"/>
      <c r="AR3072" s="128"/>
      <c r="AS3072" s="128"/>
      <c r="AT3072" s="128"/>
      <c r="AU3072" s="128"/>
      <c r="AV3072" s="128"/>
      <c r="AW3072" s="128"/>
      <c r="AX3072" s="128"/>
      <c r="AY3072" s="128"/>
      <c r="AZ3072" s="128"/>
      <c r="BA3072" s="128"/>
      <c r="BB3072" s="128"/>
      <c r="BC3072" s="128"/>
      <c r="BD3072" s="128"/>
      <c r="BE3072" s="128"/>
      <c r="BF3072" s="128"/>
      <c r="BG3072" s="128"/>
      <c r="BH3072" s="128"/>
      <c r="BI3072" s="128"/>
      <c r="BJ3072" s="128"/>
      <c r="BK3072" s="128"/>
      <c r="BL3072" s="128"/>
      <c r="BM3072" s="151"/>
      <c r="BN3072" s="128"/>
      <c r="BO3072" s="128"/>
      <c r="BP3072" s="128"/>
      <c r="BQ3072" s="128"/>
      <c r="BR3072" s="128"/>
      <c r="BS3072" s="128"/>
      <c r="BT3072" s="128"/>
      <c r="BU3072" s="128"/>
      <c r="BV3072" s="128"/>
      <c r="BW3072" s="128"/>
      <c r="BX3072" s="128"/>
      <c r="BY3072" s="128"/>
      <c r="BZ3072" s="128"/>
      <c r="CA3072" s="128"/>
      <c r="CB3072" s="128"/>
      <c r="CC3072" s="128"/>
      <c r="CD3072" s="128"/>
      <c r="CE3072" s="128"/>
      <c r="CF3072" s="128"/>
      <c r="CG3072" s="128"/>
      <c r="CI3072" s="128"/>
      <c r="CJ3072" s="128"/>
      <c r="CK3072" s="128"/>
      <c r="CL3072" s="128"/>
      <c r="CM3072" s="128"/>
      <c r="CN3072" s="128"/>
      <c r="CO3072" s="128"/>
      <c r="CP3072" s="128"/>
      <c r="CQ3072" s="128"/>
      <c r="CR3072" s="128"/>
      <c r="CS3072" s="128"/>
      <c r="CT3072" s="128"/>
      <c r="CU3072" s="128"/>
      <c r="CV3072" s="128"/>
      <c r="CW3072" s="128"/>
      <c r="CX3072" s="128"/>
      <c r="CY3072" s="128"/>
      <c r="CZ3072" s="165"/>
    </row>
    <row r="3073" spans="1:104">
      <c r="A3073" s="149"/>
      <c r="B3073" s="149"/>
      <c r="C3073" s="150"/>
      <c r="D3073" s="102"/>
      <c r="E3073" s="149"/>
      <c r="F3073" s="149"/>
      <c r="G3073" s="149"/>
      <c r="H3073" s="149"/>
      <c r="I3073" s="149"/>
      <c r="J3073" s="149"/>
      <c r="K3073" s="149"/>
      <c r="L3073" s="149"/>
      <c r="M3073" s="149"/>
      <c r="N3073" s="149"/>
      <c r="O3073" s="149"/>
      <c r="P3073" s="149"/>
      <c r="Q3073" s="149"/>
      <c r="R3073" s="149"/>
      <c r="S3073" s="149"/>
      <c r="T3073" s="149"/>
      <c r="U3073" s="149"/>
      <c r="V3073" s="149"/>
      <c r="W3073" s="149"/>
      <c r="X3073" s="149"/>
      <c r="Y3073" s="149"/>
      <c r="Z3073" s="149"/>
      <c r="AA3073" s="149"/>
      <c r="AB3073" s="149"/>
      <c r="AC3073" s="149"/>
      <c r="AD3073" s="149"/>
      <c r="AE3073" s="149"/>
      <c r="AF3073" s="149"/>
      <c r="AG3073" s="149"/>
      <c r="AH3073" s="149"/>
      <c r="AI3073" s="149"/>
      <c r="AJ3073" s="149"/>
      <c r="AK3073" s="149"/>
      <c r="AL3073" s="149"/>
      <c r="AM3073" s="149"/>
      <c r="AN3073" s="149"/>
      <c r="AO3073" s="128"/>
      <c r="AP3073" s="128"/>
      <c r="AQ3073" s="128"/>
      <c r="AR3073" s="128"/>
      <c r="AS3073" s="128"/>
      <c r="AT3073" s="128"/>
      <c r="AU3073" s="128"/>
      <c r="AV3073" s="128"/>
      <c r="AW3073" s="128"/>
      <c r="AX3073" s="128"/>
      <c r="AY3073" s="128"/>
      <c r="AZ3073" s="128"/>
      <c r="BA3073" s="128"/>
      <c r="BB3073" s="128"/>
      <c r="BC3073" s="128"/>
      <c r="BD3073" s="128"/>
      <c r="BE3073" s="128"/>
      <c r="BF3073" s="128"/>
      <c r="BG3073" s="128"/>
      <c r="BH3073" s="128"/>
      <c r="BI3073" s="128"/>
      <c r="BJ3073" s="128"/>
      <c r="BK3073" s="128"/>
      <c r="BL3073" s="128"/>
      <c r="BM3073" s="151"/>
      <c r="BN3073" s="128"/>
      <c r="BO3073" s="128"/>
      <c r="BP3073" s="128"/>
      <c r="BQ3073" s="128"/>
      <c r="BR3073" s="128"/>
      <c r="BS3073" s="128"/>
      <c r="BT3073" s="128"/>
      <c r="BU3073" s="128"/>
      <c r="BV3073" s="128"/>
      <c r="BW3073" s="128"/>
      <c r="BX3073" s="128"/>
      <c r="BY3073" s="128"/>
      <c r="BZ3073" s="128"/>
      <c r="CA3073" s="128"/>
      <c r="CB3073" s="128"/>
      <c r="CC3073" s="128"/>
      <c r="CD3073" s="128"/>
      <c r="CE3073" s="128"/>
      <c r="CF3073" s="128"/>
      <c r="CG3073" s="128"/>
      <c r="CI3073" s="128"/>
      <c r="CJ3073" s="128"/>
      <c r="CK3073" s="128"/>
      <c r="CL3073" s="128"/>
      <c r="CM3073" s="128"/>
      <c r="CN3073" s="128"/>
      <c r="CO3073" s="128"/>
      <c r="CP3073" s="128"/>
      <c r="CQ3073" s="128"/>
      <c r="CR3073" s="128"/>
      <c r="CS3073" s="128"/>
      <c r="CT3073" s="128"/>
      <c r="CU3073" s="128"/>
      <c r="CV3073" s="128"/>
      <c r="CW3073" s="128"/>
      <c r="CX3073" s="128"/>
      <c r="CY3073" s="128"/>
      <c r="CZ3073" s="165"/>
    </row>
    <row r="3074" spans="1:104">
      <c r="A3074" s="149"/>
      <c r="B3074" s="149"/>
      <c r="C3074" s="150"/>
      <c r="D3074" s="102"/>
      <c r="E3074" s="149"/>
      <c r="F3074" s="149"/>
      <c r="G3074" s="149"/>
      <c r="H3074" s="149"/>
      <c r="I3074" s="149"/>
      <c r="J3074" s="149"/>
      <c r="K3074" s="149"/>
      <c r="L3074" s="149"/>
      <c r="M3074" s="149"/>
      <c r="N3074" s="149"/>
      <c r="O3074" s="149"/>
      <c r="P3074" s="149"/>
      <c r="Q3074" s="149"/>
      <c r="R3074" s="149"/>
      <c r="S3074" s="149"/>
      <c r="T3074" s="149"/>
      <c r="U3074" s="149"/>
      <c r="V3074" s="149"/>
      <c r="W3074" s="149"/>
      <c r="X3074" s="149"/>
      <c r="Y3074" s="149"/>
      <c r="Z3074" s="149"/>
      <c r="AA3074" s="149"/>
      <c r="AB3074" s="149"/>
      <c r="AC3074" s="149"/>
      <c r="AD3074" s="149"/>
      <c r="AE3074" s="149"/>
      <c r="AF3074" s="149"/>
      <c r="AG3074" s="149"/>
      <c r="AH3074" s="149"/>
      <c r="AI3074" s="149"/>
      <c r="AJ3074" s="149"/>
      <c r="AK3074" s="149"/>
      <c r="AL3074" s="149"/>
      <c r="AM3074" s="149"/>
      <c r="AN3074" s="149"/>
      <c r="AO3074" s="128"/>
      <c r="AP3074" s="128"/>
      <c r="AQ3074" s="128"/>
      <c r="AR3074" s="128"/>
      <c r="AS3074" s="128"/>
      <c r="AT3074" s="128"/>
      <c r="AU3074" s="128"/>
      <c r="AV3074" s="128"/>
      <c r="AW3074" s="128"/>
      <c r="AX3074" s="128"/>
      <c r="AY3074" s="128"/>
      <c r="AZ3074" s="128"/>
      <c r="BA3074" s="128"/>
      <c r="BB3074" s="128"/>
      <c r="BC3074" s="128"/>
      <c r="BD3074" s="128"/>
      <c r="BE3074" s="128"/>
      <c r="BF3074" s="128"/>
      <c r="BG3074" s="128"/>
      <c r="BH3074" s="128"/>
      <c r="BI3074" s="128"/>
      <c r="BJ3074" s="128"/>
      <c r="BK3074" s="128"/>
      <c r="BL3074" s="128"/>
      <c r="BM3074" s="151"/>
      <c r="BN3074" s="128"/>
      <c r="BO3074" s="128"/>
      <c r="BP3074" s="128"/>
      <c r="BQ3074" s="128"/>
      <c r="BR3074" s="128"/>
      <c r="BS3074" s="128"/>
      <c r="BT3074" s="128"/>
      <c r="BU3074" s="128"/>
      <c r="BV3074" s="128"/>
      <c r="BW3074" s="128"/>
      <c r="BX3074" s="128"/>
      <c r="BY3074" s="128"/>
      <c r="BZ3074" s="128"/>
      <c r="CA3074" s="128"/>
      <c r="CB3074" s="128"/>
      <c r="CC3074" s="128"/>
      <c r="CD3074" s="128"/>
      <c r="CE3074" s="128"/>
      <c r="CF3074" s="128"/>
      <c r="CG3074" s="128"/>
      <c r="CI3074" s="128"/>
      <c r="CJ3074" s="128"/>
      <c r="CK3074" s="128"/>
      <c r="CL3074" s="128"/>
      <c r="CM3074" s="128"/>
      <c r="CN3074" s="128"/>
      <c r="CO3074" s="128"/>
      <c r="CP3074" s="128"/>
      <c r="CQ3074" s="128"/>
      <c r="CR3074" s="128"/>
      <c r="CS3074" s="128"/>
      <c r="CT3074" s="128"/>
      <c r="CU3074" s="128"/>
      <c r="CV3074" s="128"/>
      <c r="CW3074" s="128"/>
      <c r="CX3074" s="128"/>
      <c r="CY3074" s="128"/>
      <c r="CZ3074" s="165"/>
    </row>
    <row r="3075" spans="1:104">
      <c r="A3075" s="149"/>
      <c r="B3075" s="149"/>
      <c r="C3075" s="150"/>
      <c r="D3075" s="102"/>
      <c r="E3075" s="149"/>
      <c r="F3075" s="149"/>
      <c r="G3075" s="149"/>
      <c r="H3075" s="149"/>
      <c r="I3075" s="149"/>
      <c r="J3075" s="149"/>
      <c r="K3075" s="149"/>
      <c r="L3075" s="149"/>
      <c r="M3075" s="149"/>
      <c r="N3075" s="149"/>
      <c r="O3075" s="149"/>
      <c r="P3075" s="149"/>
      <c r="Q3075" s="149"/>
      <c r="R3075" s="149"/>
      <c r="S3075" s="149"/>
      <c r="T3075" s="149"/>
      <c r="U3075" s="149"/>
      <c r="V3075" s="149"/>
      <c r="W3075" s="149"/>
      <c r="X3075" s="149"/>
      <c r="Y3075" s="149"/>
      <c r="Z3075" s="149"/>
      <c r="AA3075" s="149"/>
      <c r="AB3075" s="149"/>
      <c r="AC3075" s="149"/>
      <c r="AD3075" s="149"/>
      <c r="AE3075" s="149"/>
      <c r="AF3075" s="149"/>
      <c r="AG3075" s="149"/>
      <c r="AH3075" s="149"/>
      <c r="AI3075" s="149"/>
      <c r="AJ3075" s="149"/>
      <c r="AK3075" s="149"/>
      <c r="AL3075" s="149"/>
      <c r="AM3075" s="149"/>
      <c r="AN3075" s="149"/>
      <c r="AO3075" s="128"/>
      <c r="AP3075" s="128"/>
      <c r="AQ3075" s="128"/>
      <c r="AR3075" s="128"/>
      <c r="AS3075" s="128"/>
      <c r="AT3075" s="128"/>
      <c r="AU3075" s="128"/>
      <c r="AV3075" s="128"/>
      <c r="AW3075" s="128"/>
      <c r="AX3075" s="128"/>
      <c r="AY3075" s="128"/>
      <c r="AZ3075" s="128"/>
      <c r="BA3075" s="128"/>
      <c r="BB3075" s="128"/>
      <c r="BC3075" s="128"/>
      <c r="BD3075" s="128"/>
      <c r="BE3075" s="128"/>
      <c r="BF3075" s="128"/>
      <c r="BG3075" s="128"/>
      <c r="BH3075" s="128"/>
      <c r="BI3075" s="128"/>
      <c r="BJ3075" s="128"/>
      <c r="BK3075" s="128"/>
      <c r="BL3075" s="128"/>
      <c r="BM3075" s="151"/>
      <c r="BN3075" s="128"/>
      <c r="BO3075" s="128"/>
      <c r="BP3075" s="128"/>
      <c r="BQ3075" s="128"/>
      <c r="BR3075" s="128"/>
      <c r="BS3075" s="128"/>
      <c r="BT3075" s="128"/>
      <c r="BU3075" s="128"/>
      <c r="BV3075" s="128"/>
      <c r="BW3075" s="128"/>
      <c r="BX3075" s="128"/>
      <c r="BY3075" s="128"/>
      <c r="BZ3075" s="128"/>
      <c r="CA3075" s="128"/>
      <c r="CB3075" s="128"/>
      <c r="CC3075" s="128"/>
      <c r="CD3075" s="128"/>
      <c r="CE3075" s="128"/>
      <c r="CF3075" s="128"/>
      <c r="CG3075" s="128"/>
      <c r="CI3075" s="128"/>
      <c r="CJ3075" s="128"/>
      <c r="CK3075" s="128"/>
      <c r="CL3075" s="128"/>
      <c r="CM3075" s="128"/>
      <c r="CN3075" s="128"/>
      <c r="CO3075" s="128"/>
      <c r="CP3075" s="128"/>
      <c r="CQ3075" s="128"/>
      <c r="CR3075" s="128"/>
      <c r="CS3075" s="128"/>
      <c r="CT3075" s="128"/>
      <c r="CU3075" s="128"/>
      <c r="CV3075" s="128"/>
      <c r="CW3075" s="128"/>
      <c r="CX3075" s="128"/>
      <c r="CY3075" s="128"/>
      <c r="CZ3075" s="165"/>
    </row>
    <row r="3076" spans="1:104">
      <c r="A3076" s="149"/>
      <c r="B3076" s="149"/>
      <c r="C3076" s="150"/>
      <c r="D3076" s="102"/>
      <c r="E3076" s="149"/>
      <c r="F3076" s="149"/>
      <c r="G3076" s="149"/>
      <c r="H3076" s="149"/>
      <c r="I3076" s="149"/>
      <c r="J3076" s="149"/>
      <c r="K3076" s="149"/>
      <c r="L3076" s="149"/>
      <c r="M3076" s="149"/>
      <c r="N3076" s="149"/>
      <c r="O3076" s="149"/>
      <c r="P3076" s="149"/>
      <c r="Q3076" s="149"/>
      <c r="R3076" s="149"/>
      <c r="S3076" s="149"/>
      <c r="T3076" s="149"/>
      <c r="U3076" s="149"/>
      <c r="V3076" s="149"/>
      <c r="W3076" s="149"/>
      <c r="X3076" s="149"/>
      <c r="Y3076" s="149"/>
      <c r="Z3076" s="149"/>
      <c r="AA3076" s="149"/>
      <c r="AB3076" s="149"/>
      <c r="AC3076" s="149"/>
      <c r="AD3076" s="149"/>
      <c r="AE3076" s="149"/>
      <c r="AF3076" s="149"/>
      <c r="AG3076" s="149"/>
      <c r="AH3076" s="149"/>
      <c r="AI3076" s="149"/>
      <c r="AJ3076" s="149"/>
      <c r="AK3076" s="149"/>
      <c r="AL3076" s="149"/>
      <c r="AM3076" s="149"/>
      <c r="AN3076" s="149"/>
      <c r="AO3076" s="128"/>
      <c r="AP3076" s="128"/>
      <c r="AQ3076" s="128"/>
      <c r="AR3076" s="128"/>
      <c r="AS3076" s="128"/>
      <c r="AT3076" s="128"/>
      <c r="AU3076" s="128"/>
      <c r="AV3076" s="128"/>
      <c r="AW3076" s="128"/>
      <c r="AX3076" s="128"/>
      <c r="AY3076" s="128"/>
      <c r="AZ3076" s="128"/>
      <c r="BA3076" s="128"/>
      <c r="BB3076" s="128"/>
      <c r="BC3076" s="128"/>
      <c r="BD3076" s="128"/>
      <c r="BE3076" s="128"/>
      <c r="BF3076" s="128"/>
      <c r="BG3076" s="128"/>
      <c r="BH3076" s="128"/>
      <c r="BI3076" s="128"/>
      <c r="BJ3076" s="128"/>
      <c r="BK3076" s="128"/>
      <c r="BL3076" s="128"/>
      <c r="BM3076" s="151"/>
      <c r="BN3076" s="128"/>
      <c r="BO3076" s="128"/>
      <c r="BP3076" s="128"/>
      <c r="BQ3076" s="128"/>
      <c r="BR3076" s="128"/>
      <c r="BS3076" s="128"/>
      <c r="BT3076" s="128"/>
      <c r="BU3076" s="128"/>
      <c r="BV3076" s="128"/>
      <c r="BW3076" s="128"/>
      <c r="BX3076" s="128"/>
      <c r="BY3076" s="128"/>
      <c r="BZ3076" s="128"/>
      <c r="CA3076" s="128"/>
      <c r="CB3076" s="128"/>
      <c r="CC3076" s="128"/>
      <c r="CD3076" s="128"/>
      <c r="CE3076" s="128"/>
      <c r="CF3076" s="128"/>
      <c r="CG3076" s="128"/>
      <c r="CI3076" s="128"/>
      <c r="CJ3076" s="128"/>
      <c r="CK3076" s="128"/>
      <c r="CL3076" s="128"/>
      <c r="CM3076" s="128"/>
      <c r="CN3076" s="128"/>
      <c r="CO3076" s="128"/>
      <c r="CP3076" s="128"/>
      <c r="CQ3076" s="128"/>
      <c r="CR3076" s="128"/>
      <c r="CS3076" s="128"/>
      <c r="CT3076" s="128"/>
      <c r="CU3076" s="128"/>
      <c r="CV3076" s="128"/>
      <c r="CW3076" s="128"/>
      <c r="CX3076" s="128"/>
      <c r="CY3076" s="128"/>
      <c r="CZ3076" s="165"/>
    </row>
    <row r="3077" spans="1:104">
      <c r="A3077" s="149"/>
      <c r="B3077" s="149"/>
      <c r="C3077" s="150"/>
      <c r="D3077" s="102"/>
      <c r="E3077" s="149"/>
      <c r="F3077" s="149"/>
      <c r="G3077" s="149"/>
      <c r="H3077" s="149"/>
      <c r="I3077" s="149"/>
      <c r="J3077" s="149"/>
      <c r="K3077" s="149"/>
      <c r="L3077" s="149"/>
      <c r="M3077" s="149"/>
      <c r="N3077" s="149"/>
      <c r="O3077" s="149"/>
      <c r="P3077" s="149"/>
      <c r="Q3077" s="149"/>
      <c r="R3077" s="149"/>
      <c r="S3077" s="149"/>
      <c r="T3077" s="149"/>
      <c r="U3077" s="149"/>
      <c r="V3077" s="149"/>
      <c r="W3077" s="149"/>
      <c r="X3077" s="149"/>
      <c r="Y3077" s="149"/>
      <c r="Z3077" s="149"/>
      <c r="AA3077" s="149"/>
      <c r="AB3077" s="149"/>
      <c r="AC3077" s="149"/>
      <c r="AD3077" s="149"/>
      <c r="AE3077" s="149"/>
      <c r="AF3077" s="149"/>
      <c r="AG3077" s="149"/>
      <c r="AH3077" s="149"/>
      <c r="AI3077" s="149"/>
      <c r="AJ3077" s="149"/>
      <c r="AK3077" s="149"/>
      <c r="AL3077" s="149"/>
      <c r="AM3077" s="149"/>
      <c r="AN3077" s="149"/>
      <c r="AO3077" s="128"/>
      <c r="AP3077" s="128"/>
      <c r="AQ3077" s="128"/>
      <c r="AR3077" s="128"/>
      <c r="AS3077" s="128"/>
      <c r="AT3077" s="128"/>
      <c r="AU3077" s="128"/>
      <c r="AV3077" s="128"/>
      <c r="AW3077" s="128"/>
      <c r="AX3077" s="128"/>
      <c r="AY3077" s="128"/>
      <c r="AZ3077" s="128"/>
      <c r="BA3077" s="128"/>
      <c r="BB3077" s="128"/>
      <c r="BC3077" s="128"/>
      <c r="BD3077" s="128"/>
      <c r="BE3077" s="128"/>
      <c r="BF3077" s="128"/>
      <c r="BG3077" s="128"/>
      <c r="BH3077" s="128"/>
      <c r="BI3077" s="128"/>
      <c r="BJ3077" s="128"/>
      <c r="BK3077" s="128"/>
      <c r="BL3077" s="128"/>
      <c r="BM3077" s="151"/>
      <c r="BN3077" s="128"/>
      <c r="BO3077" s="128"/>
      <c r="BP3077" s="128"/>
      <c r="BQ3077" s="128"/>
      <c r="BR3077" s="128"/>
      <c r="BS3077" s="128"/>
      <c r="BT3077" s="128"/>
      <c r="BU3077" s="128"/>
      <c r="BV3077" s="128"/>
      <c r="BW3077" s="128"/>
      <c r="BX3077" s="128"/>
      <c r="BY3077" s="128"/>
      <c r="BZ3077" s="128"/>
      <c r="CA3077" s="128"/>
      <c r="CB3077" s="128"/>
      <c r="CC3077" s="128"/>
      <c r="CD3077" s="128"/>
      <c r="CE3077" s="128"/>
      <c r="CF3077" s="128"/>
      <c r="CG3077" s="128"/>
      <c r="CI3077" s="128"/>
      <c r="CJ3077" s="128"/>
      <c r="CK3077" s="128"/>
      <c r="CL3077" s="128"/>
      <c r="CM3077" s="128"/>
      <c r="CN3077" s="128"/>
      <c r="CO3077" s="128"/>
      <c r="CP3077" s="128"/>
      <c r="CQ3077" s="128"/>
      <c r="CR3077" s="128"/>
      <c r="CS3077" s="128"/>
      <c r="CT3077" s="128"/>
      <c r="CU3077" s="128"/>
      <c r="CV3077" s="128"/>
      <c r="CW3077" s="128"/>
      <c r="CX3077" s="128"/>
      <c r="CY3077" s="128"/>
      <c r="CZ3077" s="165"/>
    </row>
    <row r="3078" spans="1:104">
      <c r="A3078" s="149"/>
      <c r="B3078" s="149"/>
      <c r="C3078" s="150"/>
      <c r="D3078" s="102"/>
      <c r="E3078" s="149"/>
      <c r="F3078" s="149"/>
      <c r="G3078" s="149"/>
      <c r="H3078" s="149"/>
      <c r="I3078" s="149"/>
      <c r="J3078" s="149"/>
      <c r="K3078" s="149"/>
      <c r="L3078" s="149"/>
      <c r="M3078" s="149"/>
      <c r="N3078" s="149"/>
      <c r="O3078" s="149"/>
      <c r="P3078" s="149"/>
      <c r="Q3078" s="149"/>
      <c r="R3078" s="149"/>
      <c r="S3078" s="149"/>
      <c r="T3078" s="149"/>
      <c r="U3078" s="149"/>
      <c r="V3078" s="149"/>
      <c r="W3078" s="149"/>
      <c r="X3078" s="149"/>
      <c r="Y3078" s="149"/>
      <c r="Z3078" s="149"/>
      <c r="AA3078" s="149"/>
      <c r="AB3078" s="149"/>
      <c r="AC3078" s="149"/>
      <c r="AD3078" s="149"/>
      <c r="AE3078" s="149"/>
      <c r="AF3078" s="149"/>
      <c r="AG3078" s="149"/>
      <c r="AH3078" s="149"/>
      <c r="AI3078" s="149"/>
      <c r="AJ3078" s="149"/>
      <c r="AK3078" s="149"/>
      <c r="AL3078" s="149"/>
      <c r="AM3078" s="149"/>
      <c r="AN3078" s="149"/>
      <c r="AO3078" s="128"/>
      <c r="AP3078" s="128"/>
      <c r="AQ3078" s="128"/>
      <c r="AR3078" s="128"/>
      <c r="AS3078" s="128"/>
      <c r="AT3078" s="128"/>
      <c r="AU3078" s="128"/>
      <c r="AV3078" s="128"/>
      <c r="AW3078" s="128"/>
      <c r="AX3078" s="128"/>
      <c r="AY3078" s="128"/>
      <c r="AZ3078" s="128"/>
      <c r="BA3078" s="128"/>
      <c r="BB3078" s="128"/>
      <c r="BC3078" s="128"/>
      <c r="BD3078" s="128"/>
      <c r="BE3078" s="128"/>
      <c r="BF3078" s="128"/>
      <c r="BG3078" s="128"/>
      <c r="BH3078" s="128"/>
      <c r="BI3078" s="128"/>
      <c r="BJ3078" s="128"/>
      <c r="BK3078" s="128"/>
      <c r="BL3078" s="128"/>
      <c r="BM3078" s="151"/>
      <c r="BN3078" s="128"/>
      <c r="BO3078" s="128"/>
      <c r="BP3078" s="128"/>
      <c r="BQ3078" s="128"/>
      <c r="BR3078" s="128"/>
      <c r="BS3078" s="128"/>
      <c r="BT3078" s="128"/>
      <c r="BU3078" s="128"/>
      <c r="BV3078" s="128"/>
      <c r="BW3078" s="128"/>
      <c r="BX3078" s="128"/>
      <c r="BY3078" s="128"/>
      <c r="BZ3078" s="128"/>
      <c r="CA3078" s="128"/>
      <c r="CB3078" s="128"/>
      <c r="CC3078" s="128"/>
      <c r="CD3078" s="128"/>
      <c r="CE3078" s="128"/>
      <c r="CF3078" s="128"/>
      <c r="CG3078" s="128"/>
      <c r="CI3078" s="128"/>
      <c r="CJ3078" s="128"/>
      <c r="CK3078" s="128"/>
      <c r="CL3078" s="128"/>
      <c r="CM3078" s="128"/>
      <c r="CN3078" s="128"/>
      <c r="CO3078" s="128"/>
      <c r="CP3078" s="128"/>
      <c r="CQ3078" s="128"/>
      <c r="CR3078" s="128"/>
      <c r="CS3078" s="128"/>
      <c r="CT3078" s="128"/>
      <c r="CU3078" s="128"/>
      <c r="CV3078" s="128"/>
      <c r="CW3078" s="128"/>
      <c r="CX3078" s="128"/>
      <c r="CY3078" s="128"/>
      <c r="CZ3078" s="165"/>
    </row>
    <row r="3079" spans="1:104">
      <c r="A3079" s="149"/>
      <c r="B3079" s="149"/>
      <c r="C3079" s="150"/>
      <c r="D3079" s="102"/>
      <c r="E3079" s="149"/>
      <c r="F3079" s="149"/>
      <c r="G3079" s="149"/>
      <c r="H3079" s="149"/>
      <c r="I3079" s="149"/>
      <c r="J3079" s="149"/>
      <c r="K3079" s="149"/>
      <c r="L3079" s="149"/>
      <c r="M3079" s="149"/>
      <c r="N3079" s="149"/>
      <c r="O3079" s="149"/>
      <c r="P3079" s="149"/>
      <c r="Q3079" s="149"/>
      <c r="R3079" s="149"/>
      <c r="S3079" s="149"/>
      <c r="T3079" s="149"/>
      <c r="U3079" s="149"/>
      <c r="V3079" s="149"/>
      <c r="W3079" s="149"/>
      <c r="X3079" s="149"/>
      <c r="Y3079" s="149"/>
      <c r="Z3079" s="149"/>
      <c r="AA3079" s="149"/>
      <c r="AB3079" s="149"/>
      <c r="AC3079" s="149"/>
      <c r="AD3079" s="149"/>
      <c r="AE3079" s="149"/>
      <c r="AF3079" s="149"/>
      <c r="AG3079" s="149"/>
      <c r="AH3079" s="149"/>
      <c r="AI3079" s="149"/>
      <c r="AJ3079" s="149"/>
      <c r="AK3079" s="149"/>
      <c r="AL3079" s="149"/>
      <c r="AM3079" s="149"/>
      <c r="AN3079" s="149"/>
      <c r="AO3079" s="128"/>
      <c r="AP3079" s="128"/>
      <c r="AQ3079" s="128"/>
      <c r="AR3079" s="128"/>
      <c r="AS3079" s="128"/>
      <c r="AT3079" s="128"/>
      <c r="AU3079" s="128"/>
      <c r="AV3079" s="128"/>
      <c r="AW3079" s="128"/>
      <c r="AX3079" s="128"/>
      <c r="AY3079" s="128"/>
      <c r="AZ3079" s="128"/>
      <c r="BA3079" s="128"/>
      <c r="BB3079" s="128"/>
      <c r="BC3079" s="128"/>
      <c r="BD3079" s="128"/>
      <c r="BE3079" s="128"/>
      <c r="BF3079" s="128"/>
      <c r="BG3079" s="128"/>
      <c r="BH3079" s="128"/>
      <c r="BI3079" s="128"/>
      <c r="BJ3079" s="128"/>
      <c r="BK3079" s="128"/>
      <c r="BL3079" s="128"/>
      <c r="BM3079" s="151"/>
      <c r="BN3079" s="128"/>
      <c r="BO3079" s="128"/>
      <c r="BP3079" s="128"/>
      <c r="BQ3079" s="128"/>
      <c r="BR3079" s="128"/>
      <c r="BS3079" s="128"/>
      <c r="BT3079" s="128"/>
      <c r="BU3079" s="128"/>
      <c r="BV3079" s="128"/>
      <c r="BW3079" s="128"/>
      <c r="BX3079" s="128"/>
      <c r="BY3079" s="128"/>
      <c r="BZ3079" s="128"/>
      <c r="CA3079" s="128"/>
      <c r="CB3079" s="128"/>
      <c r="CC3079" s="128"/>
      <c r="CD3079" s="128"/>
      <c r="CE3079" s="128"/>
      <c r="CF3079" s="128"/>
      <c r="CG3079" s="128"/>
      <c r="CI3079" s="128"/>
      <c r="CJ3079" s="128"/>
      <c r="CK3079" s="128"/>
      <c r="CL3079" s="128"/>
      <c r="CM3079" s="128"/>
      <c r="CN3079" s="128"/>
      <c r="CO3079" s="128"/>
      <c r="CP3079" s="128"/>
      <c r="CQ3079" s="128"/>
      <c r="CR3079" s="128"/>
      <c r="CS3079" s="128"/>
      <c r="CT3079" s="128"/>
      <c r="CU3079" s="128"/>
      <c r="CV3079" s="128"/>
      <c r="CW3079" s="128"/>
      <c r="CX3079" s="128"/>
      <c r="CY3079" s="128"/>
      <c r="CZ3079" s="165"/>
    </row>
    <row r="3080" spans="1:104">
      <c r="A3080" s="149"/>
      <c r="B3080" s="149"/>
      <c r="C3080" s="150"/>
      <c r="D3080" s="102"/>
      <c r="E3080" s="149"/>
      <c r="F3080" s="149"/>
      <c r="G3080" s="149"/>
      <c r="H3080" s="149"/>
      <c r="I3080" s="149"/>
      <c r="J3080" s="149"/>
      <c r="K3080" s="149"/>
      <c r="L3080" s="149"/>
      <c r="M3080" s="149"/>
      <c r="N3080" s="149"/>
      <c r="O3080" s="149"/>
      <c r="P3080" s="149"/>
      <c r="Q3080" s="149"/>
      <c r="R3080" s="149"/>
      <c r="S3080" s="149"/>
      <c r="T3080" s="149"/>
      <c r="U3080" s="149"/>
      <c r="V3080" s="149"/>
      <c r="W3080" s="149"/>
      <c r="X3080" s="149"/>
      <c r="Y3080" s="149"/>
      <c r="Z3080" s="149"/>
      <c r="AA3080" s="149"/>
      <c r="AB3080" s="149"/>
      <c r="AC3080" s="149"/>
      <c r="AD3080" s="149"/>
      <c r="AE3080" s="149"/>
      <c r="AF3080" s="149"/>
      <c r="AG3080" s="149"/>
      <c r="AH3080" s="149"/>
      <c r="AI3080" s="149"/>
      <c r="AJ3080" s="149"/>
      <c r="AK3080" s="149"/>
      <c r="AL3080" s="149"/>
      <c r="AM3080" s="149"/>
      <c r="AN3080" s="149"/>
      <c r="AO3080" s="128"/>
      <c r="AP3080" s="128"/>
      <c r="AQ3080" s="128"/>
      <c r="AR3080" s="128"/>
      <c r="AS3080" s="128"/>
      <c r="AT3080" s="128"/>
      <c r="AU3080" s="128"/>
      <c r="AV3080" s="128"/>
      <c r="AW3080" s="128"/>
      <c r="AX3080" s="128"/>
      <c r="AY3080" s="128"/>
      <c r="AZ3080" s="128"/>
      <c r="BA3080" s="128"/>
      <c r="BB3080" s="128"/>
      <c r="BC3080" s="128"/>
      <c r="BD3080" s="128"/>
      <c r="BE3080" s="128"/>
      <c r="BF3080" s="128"/>
      <c r="BG3080" s="128"/>
      <c r="BH3080" s="128"/>
      <c r="BI3080" s="128"/>
      <c r="BJ3080" s="128"/>
      <c r="BK3080" s="128"/>
      <c r="BL3080" s="128"/>
      <c r="BM3080" s="151"/>
      <c r="BN3080" s="128"/>
      <c r="BO3080" s="128"/>
      <c r="BP3080" s="128"/>
      <c r="BQ3080" s="128"/>
      <c r="BR3080" s="128"/>
      <c r="BS3080" s="128"/>
      <c r="BT3080" s="128"/>
      <c r="BU3080" s="128"/>
      <c r="BV3080" s="128"/>
      <c r="BW3080" s="128"/>
      <c r="BX3080" s="128"/>
      <c r="BY3080" s="128"/>
      <c r="BZ3080" s="128"/>
      <c r="CA3080" s="128"/>
      <c r="CB3080" s="128"/>
      <c r="CC3080" s="128"/>
      <c r="CD3080" s="128"/>
      <c r="CE3080" s="128"/>
      <c r="CF3080" s="128"/>
      <c r="CG3080" s="128"/>
      <c r="CI3080" s="128"/>
      <c r="CJ3080" s="128"/>
      <c r="CK3080" s="128"/>
      <c r="CL3080" s="128"/>
      <c r="CM3080" s="128"/>
      <c r="CN3080" s="128"/>
      <c r="CO3080" s="128"/>
      <c r="CP3080" s="128"/>
      <c r="CQ3080" s="128"/>
      <c r="CR3080" s="128"/>
      <c r="CS3080" s="128"/>
      <c r="CT3080" s="128"/>
      <c r="CU3080" s="128"/>
      <c r="CV3080" s="128"/>
      <c r="CW3080" s="128"/>
      <c r="CX3080" s="128"/>
      <c r="CY3080" s="128"/>
      <c r="CZ3080" s="165"/>
    </row>
    <row r="3081" spans="1:104">
      <c r="A3081" s="149"/>
      <c r="B3081" s="149"/>
      <c r="C3081" s="150"/>
      <c r="D3081" s="102"/>
      <c r="E3081" s="149"/>
      <c r="F3081" s="149"/>
      <c r="G3081" s="149"/>
      <c r="H3081" s="149"/>
      <c r="I3081" s="149"/>
      <c r="J3081" s="149"/>
      <c r="K3081" s="149"/>
      <c r="L3081" s="149"/>
      <c r="M3081" s="149"/>
      <c r="N3081" s="149"/>
      <c r="O3081" s="149"/>
      <c r="P3081" s="149"/>
      <c r="Q3081" s="149"/>
      <c r="R3081" s="149"/>
      <c r="S3081" s="149"/>
      <c r="T3081" s="149"/>
      <c r="U3081" s="149"/>
      <c r="V3081" s="149"/>
      <c r="W3081" s="149"/>
      <c r="X3081" s="149"/>
      <c r="Y3081" s="149"/>
      <c r="Z3081" s="149"/>
      <c r="AA3081" s="149"/>
      <c r="AB3081" s="149"/>
      <c r="AC3081" s="149"/>
      <c r="AD3081" s="149"/>
      <c r="AE3081" s="149"/>
      <c r="AF3081" s="149"/>
      <c r="AG3081" s="149"/>
      <c r="AH3081" s="149"/>
      <c r="AI3081" s="149"/>
      <c r="AJ3081" s="149"/>
      <c r="AK3081" s="149"/>
      <c r="AL3081" s="149"/>
      <c r="AM3081" s="149"/>
      <c r="AN3081" s="149"/>
      <c r="AO3081" s="128"/>
      <c r="AP3081" s="128"/>
      <c r="AQ3081" s="128"/>
      <c r="AR3081" s="128"/>
      <c r="AS3081" s="128"/>
      <c r="AT3081" s="128"/>
      <c r="AU3081" s="128"/>
      <c r="AV3081" s="128"/>
      <c r="AW3081" s="128"/>
      <c r="AX3081" s="128"/>
      <c r="AY3081" s="128"/>
      <c r="AZ3081" s="128"/>
      <c r="BA3081" s="128"/>
      <c r="BB3081" s="128"/>
      <c r="BC3081" s="128"/>
      <c r="BD3081" s="128"/>
      <c r="BE3081" s="128"/>
      <c r="BF3081" s="128"/>
      <c r="BG3081" s="128"/>
      <c r="BH3081" s="128"/>
      <c r="BI3081" s="128"/>
      <c r="BJ3081" s="128"/>
      <c r="BK3081" s="128"/>
      <c r="BL3081" s="128"/>
      <c r="BM3081" s="151"/>
      <c r="BN3081" s="128"/>
      <c r="BO3081" s="128"/>
      <c r="BP3081" s="128"/>
      <c r="BQ3081" s="128"/>
      <c r="BR3081" s="128"/>
      <c r="BS3081" s="128"/>
      <c r="BT3081" s="128"/>
      <c r="BU3081" s="128"/>
      <c r="BV3081" s="128"/>
      <c r="BW3081" s="128"/>
      <c r="BX3081" s="128"/>
      <c r="BY3081" s="128"/>
      <c r="BZ3081" s="128"/>
      <c r="CA3081" s="128"/>
      <c r="CB3081" s="128"/>
      <c r="CC3081" s="128"/>
      <c r="CD3081" s="128"/>
      <c r="CE3081" s="128"/>
      <c r="CF3081" s="128"/>
      <c r="CG3081" s="128"/>
      <c r="CI3081" s="128"/>
      <c r="CJ3081" s="128"/>
      <c r="CK3081" s="128"/>
      <c r="CL3081" s="128"/>
      <c r="CM3081" s="128"/>
      <c r="CN3081" s="128"/>
      <c r="CO3081" s="128"/>
      <c r="CP3081" s="128"/>
      <c r="CQ3081" s="128"/>
      <c r="CR3081" s="128"/>
      <c r="CS3081" s="128"/>
      <c r="CT3081" s="128"/>
      <c r="CU3081" s="128"/>
      <c r="CV3081" s="128"/>
      <c r="CW3081" s="128"/>
      <c r="CX3081" s="128"/>
      <c r="CY3081" s="128"/>
      <c r="CZ3081" s="165"/>
    </row>
    <row r="3082" spans="1:104">
      <c r="A3082" s="149"/>
      <c r="B3082" s="149"/>
      <c r="C3082" s="150"/>
      <c r="D3082" s="102"/>
      <c r="E3082" s="149"/>
      <c r="F3082" s="149"/>
      <c r="G3082" s="149"/>
      <c r="H3082" s="149"/>
      <c r="I3082" s="149"/>
      <c r="J3082" s="149"/>
      <c r="K3082" s="149"/>
      <c r="L3082" s="149"/>
      <c r="M3082" s="149"/>
      <c r="N3082" s="149"/>
      <c r="O3082" s="149"/>
      <c r="P3082" s="149"/>
      <c r="Q3082" s="149"/>
      <c r="R3082" s="149"/>
      <c r="S3082" s="149"/>
      <c r="T3082" s="149"/>
      <c r="U3082" s="149"/>
      <c r="V3082" s="149"/>
      <c r="W3082" s="149"/>
      <c r="X3082" s="149"/>
      <c r="Y3082" s="149"/>
      <c r="Z3082" s="149"/>
      <c r="AA3082" s="149"/>
      <c r="AB3082" s="149"/>
      <c r="AC3082" s="149"/>
      <c r="AD3082" s="149"/>
      <c r="AE3082" s="149"/>
      <c r="AF3082" s="149"/>
      <c r="AG3082" s="149"/>
      <c r="AH3082" s="149"/>
      <c r="AI3082" s="149"/>
      <c r="AJ3082" s="149"/>
      <c r="AK3082" s="149"/>
      <c r="AL3082" s="149"/>
      <c r="AM3082" s="149"/>
      <c r="AN3082" s="149"/>
      <c r="AO3082" s="128"/>
      <c r="AP3082" s="128"/>
      <c r="AQ3082" s="128"/>
      <c r="AR3082" s="128"/>
      <c r="AS3082" s="128"/>
      <c r="AT3082" s="128"/>
      <c r="AU3082" s="128"/>
      <c r="AV3082" s="128"/>
      <c r="AW3082" s="128"/>
      <c r="AX3082" s="128"/>
      <c r="AY3082" s="128"/>
      <c r="AZ3082" s="128"/>
      <c r="BA3082" s="128"/>
      <c r="BB3082" s="128"/>
      <c r="BC3082" s="128"/>
      <c r="BD3082" s="128"/>
      <c r="BE3082" s="128"/>
      <c r="BF3082" s="128"/>
      <c r="BG3082" s="128"/>
      <c r="BH3082" s="128"/>
      <c r="BI3082" s="128"/>
      <c r="BJ3082" s="128"/>
      <c r="BK3082" s="128"/>
      <c r="BL3082" s="128"/>
      <c r="BM3082" s="151"/>
      <c r="BN3082" s="128"/>
      <c r="BO3082" s="128"/>
      <c r="BP3082" s="128"/>
      <c r="BQ3082" s="128"/>
      <c r="BR3082" s="128"/>
      <c r="BS3082" s="128"/>
      <c r="BT3082" s="128"/>
      <c r="BU3082" s="128"/>
      <c r="BV3082" s="128"/>
      <c r="BW3082" s="128"/>
      <c r="BX3082" s="128"/>
      <c r="BY3082" s="128"/>
      <c r="BZ3082" s="128"/>
      <c r="CA3082" s="128"/>
      <c r="CB3082" s="128"/>
      <c r="CC3082" s="128"/>
      <c r="CD3082" s="128"/>
      <c r="CE3082" s="128"/>
      <c r="CF3082" s="128"/>
      <c r="CG3082" s="128"/>
      <c r="CI3082" s="128"/>
      <c r="CJ3082" s="128"/>
      <c r="CK3082" s="128"/>
      <c r="CL3082" s="128"/>
      <c r="CM3082" s="128"/>
      <c r="CN3082" s="128"/>
      <c r="CO3082" s="128"/>
      <c r="CP3082" s="128"/>
      <c r="CQ3082" s="128"/>
      <c r="CR3082" s="128"/>
      <c r="CS3082" s="128"/>
      <c r="CT3082" s="128"/>
      <c r="CU3082" s="128"/>
      <c r="CV3082" s="128"/>
      <c r="CW3082" s="128"/>
      <c r="CX3082" s="128"/>
      <c r="CY3082" s="128"/>
      <c r="CZ3082" s="165"/>
    </row>
    <row r="3083" spans="1:104">
      <c r="A3083" s="149"/>
      <c r="B3083" s="149"/>
      <c r="C3083" s="150"/>
      <c r="D3083" s="102"/>
      <c r="E3083" s="149"/>
      <c r="F3083" s="149"/>
      <c r="G3083" s="149"/>
      <c r="H3083" s="149"/>
      <c r="I3083" s="149"/>
      <c r="J3083" s="149"/>
      <c r="K3083" s="149"/>
      <c r="L3083" s="149"/>
      <c r="M3083" s="149"/>
      <c r="N3083" s="149"/>
      <c r="O3083" s="149"/>
      <c r="P3083" s="149"/>
      <c r="Q3083" s="149"/>
      <c r="R3083" s="149"/>
      <c r="S3083" s="149"/>
      <c r="T3083" s="149"/>
      <c r="U3083" s="149"/>
      <c r="V3083" s="149"/>
      <c r="W3083" s="149"/>
      <c r="X3083" s="149"/>
      <c r="Y3083" s="149"/>
      <c r="Z3083" s="149"/>
      <c r="AA3083" s="149"/>
      <c r="AB3083" s="149"/>
      <c r="AC3083" s="149"/>
      <c r="AD3083" s="149"/>
      <c r="AE3083" s="149"/>
      <c r="AF3083" s="149"/>
      <c r="AG3083" s="149"/>
      <c r="AH3083" s="149"/>
      <c r="AI3083" s="149"/>
      <c r="AJ3083" s="149"/>
      <c r="AK3083" s="149"/>
      <c r="AL3083" s="149"/>
      <c r="AM3083" s="149"/>
      <c r="AN3083" s="149"/>
      <c r="AO3083" s="128"/>
      <c r="AP3083" s="128"/>
      <c r="AQ3083" s="128"/>
      <c r="AR3083" s="128"/>
      <c r="AS3083" s="128"/>
      <c r="AT3083" s="128"/>
      <c r="AU3083" s="128"/>
      <c r="AV3083" s="128"/>
      <c r="AW3083" s="128"/>
      <c r="AX3083" s="128"/>
      <c r="AY3083" s="128"/>
      <c r="AZ3083" s="128"/>
      <c r="BA3083" s="128"/>
      <c r="BB3083" s="128"/>
      <c r="BC3083" s="128"/>
      <c r="BD3083" s="128"/>
      <c r="BE3083" s="128"/>
      <c r="BF3083" s="128"/>
      <c r="BG3083" s="128"/>
      <c r="BH3083" s="128"/>
      <c r="BI3083" s="128"/>
      <c r="BJ3083" s="128"/>
      <c r="BK3083" s="128"/>
      <c r="BL3083" s="128"/>
      <c r="BM3083" s="151"/>
      <c r="BN3083" s="128"/>
      <c r="BO3083" s="128"/>
      <c r="BP3083" s="128"/>
      <c r="BQ3083" s="128"/>
      <c r="BR3083" s="128"/>
      <c r="BS3083" s="128"/>
      <c r="BT3083" s="128"/>
      <c r="BU3083" s="128"/>
      <c r="BV3083" s="128"/>
      <c r="BW3083" s="128"/>
      <c r="BX3083" s="128"/>
      <c r="BY3083" s="128"/>
      <c r="BZ3083" s="128"/>
      <c r="CA3083" s="128"/>
      <c r="CB3083" s="128"/>
      <c r="CC3083" s="128"/>
      <c r="CD3083" s="128"/>
      <c r="CE3083" s="128"/>
      <c r="CF3083" s="128"/>
      <c r="CG3083" s="128"/>
      <c r="CI3083" s="128"/>
      <c r="CJ3083" s="128"/>
      <c r="CK3083" s="128"/>
      <c r="CL3083" s="128"/>
      <c r="CM3083" s="128"/>
      <c r="CN3083" s="128"/>
      <c r="CO3083" s="128"/>
      <c r="CP3083" s="128"/>
      <c r="CQ3083" s="128"/>
      <c r="CR3083" s="128"/>
      <c r="CS3083" s="128"/>
      <c r="CT3083" s="128"/>
      <c r="CU3083" s="128"/>
      <c r="CV3083" s="128"/>
      <c r="CW3083" s="128"/>
      <c r="CX3083" s="128"/>
      <c r="CY3083" s="128"/>
      <c r="CZ3083" s="165"/>
    </row>
    <row r="3084" spans="1:104">
      <c r="A3084" s="149"/>
      <c r="B3084" s="149"/>
      <c r="C3084" s="150"/>
      <c r="D3084" s="102"/>
      <c r="E3084" s="149"/>
      <c r="F3084" s="149"/>
      <c r="G3084" s="149"/>
      <c r="H3084" s="149"/>
      <c r="I3084" s="149"/>
      <c r="J3084" s="149"/>
      <c r="K3084" s="149"/>
      <c r="L3084" s="149"/>
      <c r="M3084" s="149"/>
      <c r="N3084" s="149"/>
      <c r="O3084" s="149"/>
      <c r="P3084" s="149"/>
      <c r="Q3084" s="149"/>
      <c r="R3084" s="149"/>
      <c r="S3084" s="149"/>
      <c r="T3084" s="149"/>
      <c r="U3084" s="149"/>
      <c r="V3084" s="149"/>
      <c r="W3084" s="149"/>
      <c r="X3084" s="149"/>
      <c r="Y3084" s="149"/>
      <c r="Z3084" s="149"/>
      <c r="AA3084" s="149"/>
      <c r="AB3084" s="149"/>
      <c r="AC3084" s="149"/>
      <c r="AD3084" s="149"/>
      <c r="AE3084" s="149"/>
      <c r="AF3084" s="149"/>
      <c r="AG3084" s="149"/>
      <c r="AH3084" s="149"/>
      <c r="AI3084" s="149"/>
      <c r="AJ3084" s="149"/>
      <c r="AK3084" s="149"/>
      <c r="AL3084" s="149"/>
      <c r="AM3084" s="149"/>
      <c r="AN3084" s="149"/>
      <c r="AO3084" s="128"/>
      <c r="AP3084" s="128"/>
      <c r="AQ3084" s="128"/>
      <c r="AR3084" s="128"/>
      <c r="AS3084" s="128"/>
      <c r="AT3084" s="128"/>
      <c r="AU3084" s="128"/>
      <c r="AV3084" s="128"/>
      <c r="AW3084" s="128"/>
      <c r="AX3084" s="128"/>
      <c r="AY3084" s="128"/>
      <c r="AZ3084" s="128"/>
      <c r="BA3084" s="128"/>
      <c r="BB3084" s="128"/>
      <c r="BC3084" s="128"/>
      <c r="BD3084" s="128"/>
      <c r="BE3084" s="128"/>
      <c r="BF3084" s="128"/>
      <c r="BG3084" s="128"/>
      <c r="BH3084" s="128"/>
      <c r="BI3084" s="128"/>
      <c r="BJ3084" s="128"/>
      <c r="BK3084" s="128"/>
      <c r="BL3084" s="128"/>
      <c r="BM3084" s="151"/>
      <c r="BN3084" s="128"/>
      <c r="BO3084" s="128"/>
      <c r="BP3084" s="128"/>
      <c r="BQ3084" s="128"/>
      <c r="BR3084" s="128"/>
      <c r="BS3084" s="128"/>
      <c r="BT3084" s="128"/>
      <c r="BU3084" s="128"/>
      <c r="BV3084" s="128"/>
      <c r="BW3084" s="128"/>
      <c r="BX3084" s="128"/>
      <c r="BY3084" s="128"/>
      <c r="BZ3084" s="128"/>
      <c r="CA3084" s="128"/>
      <c r="CB3084" s="128"/>
      <c r="CC3084" s="128"/>
      <c r="CD3084" s="128"/>
      <c r="CE3084" s="128"/>
      <c r="CF3084" s="128"/>
      <c r="CG3084" s="128"/>
      <c r="CI3084" s="128"/>
      <c r="CJ3084" s="128"/>
      <c r="CK3084" s="128"/>
      <c r="CL3084" s="128"/>
      <c r="CM3084" s="128"/>
      <c r="CN3084" s="128"/>
      <c r="CO3084" s="128"/>
      <c r="CP3084" s="128"/>
      <c r="CQ3084" s="128"/>
      <c r="CR3084" s="128"/>
      <c r="CS3084" s="128"/>
      <c r="CT3084" s="128"/>
      <c r="CU3084" s="128"/>
      <c r="CV3084" s="128"/>
      <c r="CW3084" s="128"/>
      <c r="CX3084" s="128"/>
      <c r="CY3084" s="128"/>
      <c r="CZ3084" s="165"/>
    </row>
    <row r="3085" spans="1:104">
      <c r="A3085" s="149"/>
      <c r="B3085" s="149"/>
      <c r="C3085" s="150"/>
      <c r="D3085" s="102"/>
      <c r="E3085" s="149"/>
      <c r="F3085" s="149"/>
      <c r="G3085" s="149"/>
      <c r="H3085" s="149"/>
      <c r="I3085" s="149"/>
      <c r="J3085" s="149"/>
      <c r="K3085" s="149"/>
      <c r="L3085" s="149"/>
      <c r="M3085" s="149"/>
      <c r="N3085" s="149"/>
      <c r="O3085" s="149"/>
      <c r="P3085" s="149"/>
      <c r="Q3085" s="149"/>
      <c r="R3085" s="149"/>
      <c r="S3085" s="149"/>
      <c r="T3085" s="149"/>
      <c r="U3085" s="149"/>
      <c r="V3085" s="149"/>
      <c r="W3085" s="149"/>
      <c r="X3085" s="149"/>
      <c r="Y3085" s="149"/>
      <c r="Z3085" s="149"/>
      <c r="AA3085" s="149"/>
      <c r="AB3085" s="149"/>
      <c r="AC3085" s="149"/>
      <c r="AD3085" s="149"/>
      <c r="AE3085" s="149"/>
      <c r="AF3085" s="149"/>
      <c r="AG3085" s="149"/>
      <c r="AH3085" s="149"/>
      <c r="AI3085" s="149"/>
      <c r="AJ3085" s="149"/>
      <c r="AK3085" s="149"/>
      <c r="AL3085" s="149"/>
      <c r="AM3085" s="149"/>
      <c r="AN3085" s="149"/>
      <c r="AO3085" s="128"/>
      <c r="AP3085" s="128"/>
      <c r="AQ3085" s="128"/>
      <c r="AR3085" s="128"/>
      <c r="AS3085" s="128"/>
      <c r="AT3085" s="128"/>
      <c r="AU3085" s="128"/>
      <c r="AV3085" s="128"/>
      <c r="AW3085" s="128"/>
      <c r="AX3085" s="128"/>
      <c r="AY3085" s="128"/>
      <c r="AZ3085" s="128"/>
      <c r="BA3085" s="128"/>
      <c r="BB3085" s="128"/>
      <c r="BC3085" s="128"/>
      <c r="BD3085" s="128"/>
      <c r="BE3085" s="128"/>
      <c r="BF3085" s="128"/>
      <c r="BG3085" s="128"/>
      <c r="BH3085" s="128"/>
      <c r="BI3085" s="128"/>
      <c r="BJ3085" s="128"/>
      <c r="BK3085" s="128"/>
      <c r="BL3085" s="128"/>
      <c r="BM3085" s="151"/>
      <c r="BN3085" s="128"/>
      <c r="BO3085" s="128"/>
      <c r="BP3085" s="128"/>
      <c r="BQ3085" s="128"/>
      <c r="BR3085" s="128"/>
      <c r="BS3085" s="128"/>
      <c r="BT3085" s="128"/>
      <c r="BU3085" s="128"/>
      <c r="BV3085" s="128"/>
      <c r="BW3085" s="128"/>
      <c r="BX3085" s="128"/>
      <c r="BY3085" s="128"/>
      <c r="BZ3085" s="128"/>
      <c r="CA3085" s="128"/>
      <c r="CB3085" s="128"/>
      <c r="CC3085" s="128"/>
      <c r="CD3085" s="128"/>
      <c r="CE3085" s="128"/>
      <c r="CF3085" s="128"/>
      <c r="CG3085" s="128"/>
      <c r="CI3085" s="128"/>
      <c r="CJ3085" s="128"/>
      <c r="CK3085" s="128"/>
      <c r="CL3085" s="128"/>
      <c r="CM3085" s="128"/>
      <c r="CN3085" s="128"/>
      <c r="CO3085" s="128"/>
      <c r="CP3085" s="128"/>
      <c r="CQ3085" s="128"/>
      <c r="CR3085" s="128"/>
      <c r="CS3085" s="128"/>
      <c r="CT3085" s="128"/>
      <c r="CU3085" s="128"/>
      <c r="CV3085" s="128"/>
      <c r="CW3085" s="128"/>
      <c r="CX3085" s="128"/>
      <c r="CY3085" s="128"/>
      <c r="CZ3085" s="165"/>
    </row>
    <row r="3086" spans="1:104">
      <c r="A3086" s="149"/>
      <c r="B3086" s="149"/>
      <c r="C3086" s="150"/>
      <c r="D3086" s="102"/>
      <c r="E3086" s="149"/>
      <c r="F3086" s="149"/>
      <c r="G3086" s="149"/>
      <c r="H3086" s="149"/>
      <c r="I3086" s="149"/>
      <c r="J3086" s="149"/>
      <c r="K3086" s="149"/>
      <c r="L3086" s="149"/>
      <c r="M3086" s="149"/>
      <c r="N3086" s="149"/>
      <c r="O3086" s="149"/>
      <c r="P3086" s="149"/>
      <c r="Q3086" s="149"/>
      <c r="R3086" s="149"/>
      <c r="S3086" s="149"/>
      <c r="T3086" s="149"/>
      <c r="U3086" s="149"/>
      <c r="V3086" s="149"/>
      <c r="W3086" s="149"/>
      <c r="X3086" s="149"/>
      <c r="Y3086" s="149"/>
      <c r="Z3086" s="149"/>
      <c r="AA3086" s="149"/>
      <c r="AB3086" s="149"/>
      <c r="AC3086" s="149"/>
      <c r="AD3086" s="149"/>
      <c r="AE3086" s="149"/>
      <c r="AF3086" s="149"/>
      <c r="AG3086" s="149"/>
      <c r="AH3086" s="149"/>
      <c r="AI3086" s="149"/>
      <c r="AJ3086" s="149"/>
      <c r="AK3086" s="149"/>
      <c r="AL3086" s="149"/>
      <c r="AM3086" s="149"/>
      <c r="AN3086" s="149"/>
      <c r="AO3086" s="128"/>
      <c r="AP3086" s="128"/>
      <c r="AQ3086" s="128"/>
      <c r="AR3086" s="128"/>
      <c r="AS3086" s="128"/>
      <c r="AT3086" s="128"/>
      <c r="AU3086" s="128"/>
      <c r="AV3086" s="128"/>
      <c r="AW3086" s="128"/>
      <c r="AX3086" s="128"/>
      <c r="AY3086" s="128"/>
      <c r="AZ3086" s="128"/>
      <c r="BA3086" s="128"/>
      <c r="BB3086" s="128"/>
      <c r="BC3086" s="128"/>
      <c r="BD3086" s="128"/>
      <c r="BE3086" s="128"/>
      <c r="BF3086" s="128"/>
      <c r="BG3086" s="128"/>
      <c r="BH3086" s="128"/>
      <c r="BI3086" s="128"/>
      <c r="BJ3086" s="128"/>
      <c r="BK3086" s="128"/>
      <c r="BL3086" s="128"/>
      <c r="BM3086" s="151"/>
      <c r="BN3086" s="128"/>
      <c r="BO3086" s="128"/>
      <c r="BP3086" s="128"/>
      <c r="BQ3086" s="128"/>
      <c r="BR3086" s="128"/>
      <c r="BS3086" s="128"/>
      <c r="BT3086" s="128"/>
      <c r="BU3086" s="128"/>
      <c r="BV3086" s="128"/>
      <c r="BW3086" s="128"/>
      <c r="BX3086" s="128"/>
      <c r="BY3086" s="128"/>
      <c r="BZ3086" s="128"/>
      <c r="CA3086" s="128"/>
      <c r="CB3086" s="128"/>
      <c r="CC3086" s="128"/>
      <c r="CD3086" s="128"/>
      <c r="CE3086" s="128"/>
      <c r="CF3086" s="128"/>
      <c r="CG3086" s="128"/>
      <c r="CI3086" s="128"/>
      <c r="CJ3086" s="128"/>
      <c r="CK3086" s="128"/>
      <c r="CL3086" s="128"/>
      <c r="CM3086" s="128"/>
      <c r="CN3086" s="128"/>
      <c r="CO3086" s="128"/>
      <c r="CP3086" s="128"/>
      <c r="CQ3086" s="128"/>
      <c r="CR3086" s="128"/>
      <c r="CS3086" s="128"/>
      <c r="CT3086" s="128"/>
      <c r="CU3086" s="128"/>
      <c r="CV3086" s="128"/>
      <c r="CW3086" s="128"/>
      <c r="CX3086" s="128"/>
      <c r="CY3086" s="128"/>
      <c r="CZ3086" s="165"/>
    </row>
    <row r="3087" spans="1:104">
      <c r="A3087" s="149"/>
      <c r="B3087" s="149"/>
      <c r="C3087" s="150"/>
      <c r="D3087" s="102"/>
      <c r="E3087" s="149"/>
      <c r="F3087" s="149"/>
      <c r="G3087" s="149"/>
      <c r="H3087" s="149"/>
      <c r="I3087" s="149"/>
      <c r="J3087" s="149"/>
      <c r="K3087" s="149"/>
      <c r="L3087" s="149"/>
      <c r="M3087" s="149"/>
      <c r="N3087" s="149"/>
      <c r="O3087" s="149"/>
      <c r="P3087" s="149"/>
      <c r="Q3087" s="149"/>
      <c r="R3087" s="149"/>
      <c r="S3087" s="149"/>
      <c r="T3087" s="149"/>
      <c r="U3087" s="149"/>
      <c r="V3087" s="149"/>
      <c r="W3087" s="149"/>
      <c r="X3087" s="149"/>
      <c r="Y3087" s="149"/>
      <c r="Z3087" s="149"/>
      <c r="AA3087" s="149"/>
      <c r="AB3087" s="149"/>
      <c r="AC3087" s="149"/>
      <c r="AD3087" s="149"/>
      <c r="AE3087" s="149"/>
      <c r="AF3087" s="149"/>
      <c r="AG3087" s="149"/>
      <c r="AH3087" s="149"/>
      <c r="AI3087" s="149"/>
      <c r="AJ3087" s="149"/>
      <c r="AK3087" s="149"/>
      <c r="AL3087" s="149"/>
      <c r="AM3087" s="149"/>
      <c r="AN3087" s="149"/>
      <c r="AO3087" s="128"/>
      <c r="AP3087" s="128"/>
      <c r="AQ3087" s="128"/>
      <c r="AR3087" s="128"/>
      <c r="AS3087" s="128"/>
      <c r="AT3087" s="128"/>
      <c r="AU3087" s="128"/>
      <c r="AV3087" s="128"/>
      <c r="AW3087" s="128"/>
      <c r="AX3087" s="128"/>
      <c r="AY3087" s="128"/>
      <c r="AZ3087" s="128"/>
      <c r="BA3087" s="128"/>
      <c r="BB3087" s="128"/>
      <c r="BC3087" s="128"/>
      <c r="BD3087" s="128"/>
      <c r="BE3087" s="128"/>
      <c r="BF3087" s="128"/>
      <c r="BG3087" s="128"/>
      <c r="BH3087" s="128"/>
      <c r="BI3087" s="128"/>
      <c r="BJ3087" s="128"/>
      <c r="BK3087" s="128"/>
      <c r="BL3087" s="128"/>
      <c r="BM3087" s="151"/>
      <c r="BN3087" s="128"/>
      <c r="BO3087" s="128"/>
      <c r="BP3087" s="128"/>
      <c r="BQ3087" s="128"/>
      <c r="BR3087" s="128"/>
      <c r="BS3087" s="128"/>
      <c r="BT3087" s="128"/>
      <c r="BU3087" s="128"/>
      <c r="BV3087" s="128"/>
      <c r="BW3087" s="128"/>
      <c r="BX3087" s="128"/>
      <c r="BY3087" s="128"/>
      <c r="BZ3087" s="128"/>
      <c r="CA3087" s="128"/>
      <c r="CB3087" s="128"/>
      <c r="CC3087" s="128"/>
      <c r="CD3087" s="128"/>
      <c r="CE3087" s="128"/>
      <c r="CF3087" s="128"/>
      <c r="CG3087" s="128"/>
      <c r="CI3087" s="128"/>
      <c r="CJ3087" s="128"/>
      <c r="CK3087" s="128"/>
      <c r="CL3087" s="128"/>
      <c r="CM3087" s="128"/>
      <c r="CN3087" s="128"/>
      <c r="CO3087" s="128"/>
      <c r="CP3087" s="128"/>
      <c r="CQ3087" s="128"/>
      <c r="CR3087" s="128"/>
      <c r="CS3087" s="128"/>
      <c r="CT3087" s="128"/>
      <c r="CU3087" s="128"/>
      <c r="CV3087" s="128"/>
      <c r="CW3087" s="128"/>
      <c r="CX3087" s="128"/>
      <c r="CY3087" s="128"/>
      <c r="CZ3087" s="165"/>
    </row>
    <row r="3088" spans="1:104">
      <c r="A3088" s="149"/>
      <c r="B3088" s="149"/>
      <c r="C3088" s="150"/>
      <c r="D3088" s="102"/>
      <c r="E3088" s="149"/>
      <c r="F3088" s="149"/>
      <c r="G3088" s="149"/>
      <c r="H3088" s="149"/>
      <c r="I3088" s="149"/>
      <c r="J3088" s="149"/>
      <c r="K3088" s="149"/>
      <c r="L3088" s="149"/>
      <c r="M3088" s="149"/>
      <c r="N3088" s="149"/>
      <c r="O3088" s="149"/>
      <c r="P3088" s="149"/>
      <c r="Q3088" s="149"/>
      <c r="R3088" s="149"/>
      <c r="S3088" s="149"/>
      <c r="T3088" s="149"/>
      <c r="U3088" s="149"/>
      <c r="V3088" s="149"/>
      <c r="W3088" s="149"/>
      <c r="X3088" s="149"/>
      <c r="Y3088" s="149"/>
      <c r="Z3088" s="149"/>
      <c r="AA3088" s="149"/>
      <c r="AB3088" s="149"/>
      <c r="AC3088" s="149"/>
      <c r="AD3088" s="149"/>
      <c r="AE3088" s="149"/>
      <c r="AF3088" s="149"/>
      <c r="AG3088" s="149"/>
      <c r="AH3088" s="149"/>
      <c r="AI3088" s="149"/>
      <c r="AJ3088" s="149"/>
      <c r="AK3088" s="149"/>
      <c r="AL3088" s="149"/>
      <c r="AM3088" s="149"/>
      <c r="AN3088" s="149"/>
      <c r="AO3088" s="128"/>
      <c r="AP3088" s="128"/>
      <c r="AQ3088" s="128"/>
      <c r="AR3088" s="128"/>
      <c r="AS3088" s="128"/>
      <c r="AT3088" s="128"/>
      <c r="AU3088" s="128"/>
      <c r="AV3088" s="128"/>
      <c r="AW3088" s="128"/>
      <c r="AX3088" s="128"/>
      <c r="AY3088" s="128"/>
      <c r="AZ3088" s="128"/>
      <c r="BA3088" s="128"/>
      <c r="BB3088" s="128"/>
      <c r="BC3088" s="128"/>
      <c r="BD3088" s="128"/>
      <c r="BE3088" s="128"/>
      <c r="BF3088" s="128"/>
      <c r="BG3088" s="128"/>
      <c r="BH3088" s="128"/>
      <c r="BI3088" s="128"/>
      <c r="BJ3088" s="128"/>
      <c r="BK3088" s="128"/>
      <c r="BL3088" s="128"/>
      <c r="BM3088" s="151"/>
      <c r="BN3088" s="128"/>
      <c r="BO3088" s="128"/>
      <c r="BP3088" s="128"/>
      <c r="BQ3088" s="128"/>
      <c r="BR3088" s="128"/>
      <c r="BS3088" s="128"/>
      <c r="BT3088" s="128"/>
      <c r="BU3088" s="128"/>
      <c r="BV3088" s="128"/>
      <c r="BW3088" s="128"/>
      <c r="BX3088" s="128"/>
      <c r="BY3088" s="128"/>
      <c r="BZ3088" s="128"/>
      <c r="CA3088" s="128"/>
      <c r="CB3088" s="128"/>
      <c r="CC3088" s="128"/>
      <c r="CD3088" s="128"/>
      <c r="CE3088" s="128"/>
      <c r="CF3088" s="128"/>
      <c r="CG3088" s="128"/>
      <c r="CI3088" s="128"/>
      <c r="CJ3088" s="128"/>
      <c r="CK3088" s="128"/>
      <c r="CL3088" s="128"/>
      <c r="CM3088" s="128"/>
      <c r="CN3088" s="128"/>
      <c r="CO3088" s="128"/>
      <c r="CP3088" s="128"/>
      <c r="CQ3088" s="128"/>
      <c r="CR3088" s="128"/>
      <c r="CS3088" s="128"/>
      <c r="CT3088" s="128"/>
      <c r="CU3088" s="128"/>
      <c r="CV3088" s="128"/>
      <c r="CW3088" s="128"/>
      <c r="CX3088" s="128"/>
      <c r="CY3088" s="128"/>
      <c r="CZ3088" s="165"/>
    </row>
    <row r="3089" spans="1:104">
      <c r="A3089" s="149"/>
      <c r="B3089" s="149"/>
      <c r="C3089" s="150"/>
      <c r="D3089" s="102"/>
      <c r="E3089" s="149"/>
      <c r="F3089" s="149"/>
      <c r="G3089" s="149"/>
      <c r="H3089" s="149"/>
      <c r="I3089" s="149"/>
      <c r="J3089" s="149"/>
      <c r="K3089" s="149"/>
      <c r="L3089" s="149"/>
      <c r="M3089" s="149"/>
      <c r="N3089" s="149"/>
      <c r="O3089" s="149"/>
      <c r="P3089" s="149"/>
      <c r="Q3089" s="149"/>
      <c r="R3089" s="149"/>
      <c r="S3089" s="149"/>
      <c r="T3089" s="149"/>
      <c r="U3089" s="149"/>
      <c r="V3089" s="149"/>
      <c r="W3089" s="149"/>
      <c r="X3089" s="149"/>
      <c r="Y3089" s="149"/>
      <c r="Z3089" s="149"/>
      <c r="AA3089" s="149"/>
      <c r="AB3089" s="149"/>
      <c r="AC3089" s="149"/>
      <c r="AD3089" s="149"/>
      <c r="AE3089" s="149"/>
      <c r="AF3089" s="149"/>
      <c r="AG3089" s="149"/>
      <c r="AH3089" s="149"/>
      <c r="AI3089" s="149"/>
      <c r="AJ3089" s="149"/>
      <c r="AK3089" s="149"/>
      <c r="AL3089" s="149"/>
      <c r="AM3089" s="149"/>
      <c r="AN3089" s="149"/>
      <c r="AO3089" s="128"/>
      <c r="AP3089" s="128"/>
      <c r="AQ3089" s="128"/>
      <c r="AR3089" s="128"/>
      <c r="AS3089" s="128"/>
      <c r="AT3089" s="128"/>
      <c r="AU3089" s="128"/>
      <c r="AV3089" s="128"/>
      <c r="AW3089" s="128"/>
      <c r="AX3089" s="128"/>
      <c r="AY3089" s="128"/>
      <c r="AZ3089" s="128"/>
      <c r="BA3089" s="128"/>
      <c r="BB3089" s="128"/>
      <c r="BC3089" s="128"/>
      <c r="BD3089" s="128"/>
      <c r="BE3089" s="128"/>
      <c r="BF3089" s="128"/>
      <c r="BG3089" s="128"/>
      <c r="BH3089" s="128"/>
      <c r="BI3089" s="128"/>
      <c r="BJ3089" s="128"/>
      <c r="BK3089" s="128"/>
      <c r="BL3089" s="128"/>
      <c r="BM3089" s="151"/>
      <c r="BN3089" s="128"/>
      <c r="BO3089" s="128"/>
      <c r="BP3089" s="128"/>
      <c r="BQ3089" s="128"/>
      <c r="BR3089" s="128"/>
      <c r="BS3089" s="128"/>
      <c r="BT3089" s="128"/>
      <c r="BU3089" s="128"/>
      <c r="BV3089" s="128"/>
      <c r="BW3089" s="128"/>
      <c r="BX3089" s="128"/>
      <c r="BY3089" s="128"/>
      <c r="BZ3089" s="128"/>
      <c r="CA3089" s="128"/>
      <c r="CB3089" s="128"/>
      <c r="CC3089" s="128"/>
      <c r="CD3089" s="128"/>
      <c r="CE3089" s="128"/>
      <c r="CF3089" s="128"/>
      <c r="CG3089" s="128"/>
      <c r="CI3089" s="128"/>
      <c r="CJ3089" s="128"/>
      <c r="CK3089" s="128"/>
      <c r="CL3089" s="128"/>
      <c r="CM3089" s="128"/>
      <c r="CN3089" s="128"/>
      <c r="CO3089" s="128"/>
      <c r="CP3089" s="128"/>
      <c r="CQ3089" s="128"/>
      <c r="CR3089" s="128"/>
      <c r="CS3089" s="128"/>
      <c r="CT3089" s="128"/>
      <c r="CU3089" s="128"/>
      <c r="CV3089" s="128"/>
      <c r="CW3089" s="128"/>
      <c r="CX3089" s="128"/>
      <c r="CY3089" s="128"/>
      <c r="CZ3089" s="165"/>
    </row>
    <row r="3090" spans="1:104">
      <c r="A3090" s="149"/>
      <c r="B3090" s="149"/>
      <c r="C3090" s="150"/>
      <c r="D3090" s="102"/>
      <c r="E3090" s="149"/>
      <c r="F3090" s="149"/>
      <c r="G3090" s="149"/>
      <c r="H3090" s="149"/>
      <c r="I3090" s="149"/>
      <c r="J3090" s="149"/>
      <c r="K3090" s="149"/>
      <c r="L3090" s="149"/>
      <c r="M3090" s="149"/>
      <c r="N3090" s="149"/>
      <c r="O3090" s="149"/>
      <c r="P3090" s="149"/>
      <c r="Q3090" s="149"/>
      <c r="R3090" s="149"/>
      <c r="S3090" s="149"/>
      <c r="T3090" s="149"/>
      <c r="U3090" s="149"/>
      <c r="V3090" s="149"/>
      <c r="W3090" s="149"/>
      <c r="X3090" s="149"/>
      <c r="Y3090" s="149"/>
      <c r="Z3090" s="149"/>
      <c r="AA3090" s="149"/>
      <c r="AB3090" s="149"/>
      <c r="AC3090" s="149"/>
      <c r="AD3090" s="149"/>
      <c r="AE3090" s="149"/>
      <c r="AF3090" s="149"/>
      <c r="AG3090" s="149"/>
      <c r="AH3090" s="149"/>
      <c r="AI3090" s="149"/>
      <c r="AJ3090" s="149"/>
      <c r="AK3090" s="149"/>
      <c r="AL3090" s="149"/>
      <c r="AM3090" s="149"/>
      <c r="AN3090" s="149"/>
      <c r="AO3090" s="128"/>
      <c r="AP3090" s="128"/>
      <c r="AQ3090" s="128"/>
      <c r="AR3090" s="128"/>
      <c r="AS3090" s="128"/>
      <c r="AT3090" s="128"/>
      <c r="AU3090" s="128"/>
      <c r="AV3090" s="128"/>
      <c r="AW3090" s="128"/>
      <c r="AX3090" s="128"/>
      <c r="AY3090" s="128"/>
      <c r="AZ3090" s="128"/>
      <c r="BA3090" s="128"/>
      <c r="BB3090" s="128"/>
      <c r="BC3090" s="128"/>
      <c r="BD3090" s="128"/>
      <c r="BE3090" s="128"/>
      <c r="BF3090" s="128"/>
      <c r="BG3090" s="128"/>
      <c r="BH3090" s="128"/>
      <c r="BI3090" s="128"/>
      <c r="BJ3090" s="128"/>
      <c r="BK3090" s="128"/>
      <c r="BL3090" s="128"/>
      <c r="BM3090" s="151"/>
      <c r="BN3090" s="128"/>
      <c r="BO3090" s="128"/>
      <c r="BP3090" s="128"/>
      <c r="BQ3090" s="128"/>
      <c r="BR3090" s="128"/>
      <c r="BS3090" s="128"/>
      <c r="BT3090" s="128"/>
      <c r="BU3090" s="128"/>
      <c r="BV3090" s="128"/>
      <c r="BW3090" s="128"/>
      <c r="BX3090" s="128"/>
      <c r="BY3090" s="128"/>
      <c r="BZ3090" s="128"/>
      <c r="CA3090" s="128"/>
      <c r="CB3090" s="128"/>
      <c r="CC3090" s="128"/>
      <c r="CD3090" s="128"/>
      <c r="CE3090" s="128"/>
      <c r="CF3090" s="128"/>
      <c r="CG3090" s="128"/>
      <c r="CI3090" s="128"/>
      <c r="CJ3090" s="128"/>
      <c r="CK3090" s="128"/>
      <c r="CL3090" s="128"/>
      <c r="CM3090" s="128"/>
      <c r="CN3090" s="128"/>
      <c r="CO3090" s="128"/>
      <c r="CP3090" s="128"/>
      <c r="CQ3090" s="128"/>
      <c r="CR3090" s="128"/>
      <c r="CS3090" s="128"/>
      <c r="CT3090" s="128"/>
      <c r="CU3090" s="128"/>
      <c r="CV3090" s="128"/>
      <c r="CW3090" s="128"/>
      <c r="CX3090" s="128"/>
      <c r="CY3090" s="128"/>
      <c r="CZ3090" s="165"/>
    </row>
    <row r="3091" spans="1:104">
      <c r="A3091" s="149"/>
      <c r="B3091" s="149"/>
      <c r="C3091" s="150"/>
      <c r="D3091" s="102"/>
      <c r="E3091" s="149"/>
      <c r="F3091" s="149"/>
      <c r="G3091" s="149"/>
      <c r="H3091" s="149"/>
      <c r="I3091" s="149"/>
      <c r="J3091" s="149"/>
      <c r="K3091" s="149"/>
      <c r="L3091" s="149"/>
      <c r="M3091" s="149"/>
      <c r="N3091" s="149"/>
      <c r="O3091" s="149"/>
      <c r="P3091" s="149"/>
      <c r="Q3091" s="149"/>
      <c r="R3091" s="149"/>
      <c r="S3091" s="149"/>
      <c r="T3091" s="149"/>
      <c r="U3091" s="149"/>
      <c r="V3091" s="149"/>
      <c r="W3091" s="149"/>
      <c r="X3091" s="149"/>
      <c r="Y3091" s="149"/>
      <c r="Z3091" s="149"/>
      <c r="AA3091" s="149"/>
      <c r="AB3091" s="149"/>
      <c r="AC3091" s="149"/>
      <c r="AD3091" s="149"/>
      <c r="AE3091" s="149"/>
      <c r="AF3091" s="149"/>
      <c r="AG3091" s="149"/>
      <c r="AH3091" s="149"/>
      <c r="AI3091" s="149"/>
      <c r="AJ3091" s="149"/>
      <c r="AK3091" s="149"/>
      <c r="AL3091" s="149"/>
      <c r="AM3091" s="149"/>
      <c r="AN3091" s="149"/>
      <c r="AO3091" s="128"/>
      <c r="AP3091" s="128"/>
      <c r="AQ3091" s="128"/>
      <c r="AR3091" s="128"/>
      <c r="AS3091" s="128"/>
      <c r="AT3091" s="128"/>
      <c r="AU3091" s="128"/>
      <c r="AV3091" s="128"/>
      <c r="AW3091" s="128"/>
      <c r="AX3091" s="128"/>
      <c r="AY3091" s="128"/>
      <c r="AZ3091" s="128"/>
      <c r="BA3091" s="128"/>
      <c r="BB3091" s="128"/>
      <c r="BC3091" s="128"/>
      <c r="BD3091" s="128"/>
      <c r="BE3091" s="128"/>
      <c r="BF3091" s="128"/>
      <c r="BG3091" s="128"/>
      <c r="BH3091" s="128"/>
      <c r="BI3091" s="128"/>
      <c r="BJ3091" s="128"/>
      <c r="BK3091" s="128"/>
      <c r="BL3091" s="128"/>
      <c r="BM3091" s="151"/>
      <c r="BN3091" s="128"/>
      <c r="BO3091" s="128"/>
      <c r="BP3091" s="128"/>
      <c r="BQ3091" s="128"/>
      <c r="BR3091" s="128"/>
      <c r="BS3091" s="128"/>
      <c r="BT3091" s="128"/>
      <c r="BU3091" s="128"/>
      <c r="BV3091" s="128"/>
      <c r="BW3091" s="128"/>
      <c r="BX3091" s="128"/>
      <c r="BY3091" s="128"/>
      <c r="BZ3091" s="128"/>
      <c r="CA3091" s="128"/>
      <c r="CB3091" s="128"/>
      <c r="CC3091" s="128"/>
      <c r="CD3091" s="128"/>
      <c r="CE3091" s="128"/>
      <c r="CF3091" s="128"/>
      <c r="CG3091" s="128"/>
      <c r="CI3091" s="128"/>
      <c r="CJ3091" s="128"/>
      <c r="CK3091" s="128"/>
      <c r="CL3091" s="128"/>
      <c r="CM3091" s="128"/>
      <c r="CN3091" s="128"/>
      <c r="CO3091" s="128"/>
      <c r="CP3091" s="128"/>
      <c r="CQ3091" s="128"/>
      <c r="CR3091" s="128"/>
      <c r="CS3091" s="128"/>
      <c r="CT3091" s="128"/>
      <c r="CU3091" s="128"/>
      <c r="CV3091" s="128"/>
      <c r="CW3091" s="128"/>
      <c r="CX3091" s="128"/>
      <c r="CY3091" s="128"/>
      <c r="CZ3091" s="165"/>
    </row>
    <row r="3092" spans="1:104">
      <c r="A3092" s="149"/>
      <c r="B3092" s="149"/>
      <c r="C3092" s="150"/>
      <c r="D3092" s="102"/>
      <c r="E3092" s="149"/>
      <c r="F3092" s="149"/>
      <c r="G3092" s="149"/>
      <c r="H3092" s="149"/>
      <c r="I3092" s="149"/>
      <c r="J3092" s="149"/>
      <c r="K3092" s="149"/>
      <c r="L3092" s="149"/>
      <c r="M3092" s="149"/>
      <c r="N3092" s="149"/>
      <c r="O3092" s="149"/>
      <c r="P3092" s="149"/>
      <c r="Q3092" s="149"/>
      <c r="R3092" s="149"/>
      <c r="S3092" s="149"/>
      <c r="T3092" s="149"/>
      <c r="U3092" s="149"/>
      <c r="V3092" s="149"/>
      <c r="W3092" s="149"/>
      <c r="X3092" s="149"/>
      <c r="Y3092" s="149"/>
      <c r="Z3092" s="149"/>
      <c r="AA3092" s="149"/>
      <c r="AB3092" s="149"/>
      <c r="AC3092" s="149"/>
      <c r="AD3092" s="149"/>
      <c r="AE3092" s="149"/>
      <c r="AF3092" s="149"/>
      <c r="AG3092" s="149"/>
      <c r="AH3092" s="149"/>
      <c r="AI3092" s="149"/>
      <c r="AJ3092" s="149"/>
      <c r="AK3092" s="149"/>
      <c r="AL3092" s="149"/>
      <c r="AM3092" s="149"/>
      <c r="AN3092" s="149"/>
      <c r="AO3092" s="128"/>
      <c r="AP3092" s="128"/>
      <c r="AQ3092" s="128"/>
      <c r="AR3092" s="128"/>
      <c r="AS3092" s="128"/>
      <c r="AT3092" s="128"/>
      <c r="AU3092" s="128"/>
      <c r="AV3092" s="128"/>
      <c r="AW3092" s="128"/>
      <c r="AX3092" s="128"/>
      <c r="AY3092" s="128"/>
      <c r="AZ3092" s="128"/>
      <c r="BA3092" s="128"/>
      <c r="BB3092" s="128"/>
      <c r="BC3092" s="128"/>
      <c r="BD3092" s="128"/>
      <c r="BE3092" s="128"/>
      <c r="BF3092" s="128"/>
      <c r="BG3092" s="128"/>
      <c r="BH3092" s="128"/>
      <c r="BI3092" s="128"/>
      <c r="BJ3092" s="128"/>
      <c r="BK3092" s="128"/>
      <c r="BL3092" s="128"/>
      <c r="BM3092" s="151"/>
      <c r="BN3092" s="128"/>
      <c r="BO3092" s="128"/>
      <c r="BP3092" s="128"/>
      <c r="BQ3092" s="128"/>
      <c r="BR3092" s="128"/>
      <c r="BS3092" s="128"/>
      <c r="BT3092" s="128"/>
      <c r="BU3092" s="128"/>
      <c r="BV3092" s="128"/>
      <c r="BW3092" s="128"/>
      <c r="BX3092" s="128"/>
      <c r="BY3092" s="128"/>
      <c r="BZ3092" s="128"/>
      <c r="CA3092" s="128"/>
      <c r="CB3092" s="128"/>
      <c r="CC3092" s="128"/>
      <c r="CD3092" s="128"/>
      <c r="CE3092" s="128"/>
      <c r="CF3092" s="128"/>
      <c r="CG3092" s="128"/>
      <c r="CI3092" s="128"/>
      <c r="CJ3092" s="128"/>
      <c r="CK3092" s="128"/>
      <c r="CL3092" s="128"/>
      <c r="CM3092" s="128"/>
      <c r="CN3092" s="128"/>
      <c r="CO3092" s="128"/>
      <c r="CP3092" s="128"/>
      <c r="CQ3092" s="128"/>
      <c r="CR3092" s="128"/>
      <c r="CS3092" s="128"/>
      <c r="CT3092" s="128"/>
      <c r="CU3092" s="128"/>
      <c r="CV3092" s="128"/>
      <c r="CW3092" s="128"/>
      <c r="CX3092" s="128"/>
      <c r="CY3092" s="128"/>
      <c r="CZ3092" s="165"/>
    </row>
    <row r="3093" spans="1:104">
      <c r="A3093" s="149"/>
      <c r="B3093" s="149"/>
      <c r="C3093" s="150"/>
      <c r="D3093" s="102"/>
      <c r="E3093" s="149"/>
      <c r="F3093" s="149"/>
      <c r="G3093" s="149"/>
      <c r="H3093" s="149"/>
      <c r="I3093" s="149"/>
      <c r="J3093" s="149"/>
      <c r="K3093" s="149"/>
      <c r="L3093" s="149"/>
      <c r="M3093" s="149"/>
      <c r="N3093" s="149"/>
      <c r="O3093" s="149"/>
      <c r="P3093" s="149"/>
      <c r="Q3093" s="149"/>
      <c r="R3093" s="149"/>
      <c r="S3093" s="149"/>
      <c r="T3093" s="149"/>
      <c r="U3093" s="149"/>
      <c r="V3093" s="149"/>
      <c r="W3093" s="149"/>
      <c r="X3093" s="149"/>
      <c r="Y3093" s="149"/>
      <c r="Z3093" s="149"/>
      <c r="AA3093" s="149"/>
      <c r="AB3093" s="149"/>
      <c r="AC3093" s="149"/>
      <c r="AD3093" s="149"/>
      <c r="AE3093" s="149"/>
      <c r="AF3093" s="149"/>
      <c r="AG3093" s="149"/>
      <c r="AH3093" s="149"/>
      <c r="AI3093" s="149"/>
      <c r="AJ3093" s="149"/>
      <c r="AK3093" s="149"/>
      <c r="AL3093" s="149"/>
      <c r="AM3093" s="149"/>
      <c r="AN3093" s="149"/>
      <c r="AO3093" s="128"/>
      <c r="AP3093" s="128"/>
      <c r="AQ3093" s="128"/>
      <c r="AR3093" s="128"/>
      <c r="AS3093" s="128"/>
      <c r="AT3093" s="128"/>
      <c r="AU3093" s="128"/>
      <c r="AV3093" s="128"/>
      <c r="AW3093" s="128"/>
      <c r="AX3093" s="128"/>
      <c r="AY3093" s="128"/>
      <c r="AZ3093" s="128"/>
      <c r="BA3093" s="128"/>
      <c r="BB3093" s="128"/>
      <c r="BC3093" s="128"/>
      <c r="BD3093" s="128"/>
      <c r="BE3093" s="128"/>
      <c r="BF3093" s="128"/>
      <c r="BG3093" s="128"/>
      <c r="BH3093" s="128"/>
      <c r="BI3093" s="128"/>
      <c r="BJ3093" s="128"/>
      <c r="BK3093" s="128"/>
      <c r="BL3093" s="128"/>
      <c r="BM3093" s="151"/>
      <c r="BN3093" s="128"/>
      <c r="BO3093" s="128"/>
      <c r="BP3093" s="128"/>
      <c r="BQ3093" s="128"/>
      <c r="BR3093" s="128"/>
      <c r="BS3093" s="128"/>
      <c r="BT3093" s="128"/>
      <c r="BU3093" s="128"/>
      <c r="BV3093" s="128"/>
      <c r="BW3093" s="128"/>
      <c r="BX3093" s="128"/>
      <c r="BY3093" s="128"/>
      <c r="BZ3093" s="128"/>
      <c r="CA3093" s="128"/>
      <c r="CB3093" s="128"/>
      <c r="CC3093" s="128"/>
      <c r="CD3093" s="128"/>
      <c r="CE3093" s="128"/>
      <c r="CF3093" s="128"/>
      <c r="CG3093" s="128"/>
      <c r="CI3093" s="128"/>
      <c r="CJ3093" s="128"/>
      <c r="CK3093" s="128"/>
      <c r="CL3093" s="128"/>
      <c r="CM3093" s="128"/>
      <c r="CN3093" s="128"/>
      <c r="CO3093" s="128"/>
      <c r="CP3093" s="128"/>
      <c r="CQ3093" s="128"/>
      <c r="CR3093" s="128"/>
      <c r="CS3093" s="128"/>
      <c r="CT3093" s="128"/>
      <c r="CU3093" s="128"/>
      <c r="CV3093" s="128"/>
      <c r="CW3093" s="128"/>
      <c r="CX3093" s="128"/>
      <c r="CY3093" s="128"/>
      <c r="CZ3093" s="165"/>
    </row>
    <row r="3094" spans="1:104">
      <c r="A3094" s="149"/>
      <c r="B3094" s="149"/>
      <c r="C3094" s="150"/>
      <c r="D3094" s="102"/>
      <c r="E3094" s="149"/>
      <c r="F3094" s="149"/>
      <c r="G3094" s="149"/>
      <c r="H3094" s="149"/>
      <c r="I3094" s="149"/>
      <c r="J3094" s="149"/>
      <c r="K3094" s="149"/>
      <c r="L3094" s="149"/>
      <c r="M3094" s="149"/>
      <c r="N3094" s="149"/>
      <c r="O3094" s="149"/>
      <c r="P3094" s="149"/>
      <c r="Q3094" s="149"/>
      <c r="R3094" s="149"/>
      <c r="S3094" s="149"/>
      <c r="T3094" s="149"/>
      <c r="U3094" s="149"/>
      <c r="V3094" s="149"/>
      <c r="W3094" s="149"/>
      <c r="X3094" s="149"/>
      <c r="Y3094" s="149"/>
      <c r="Z3094" s="149"/>
      <c r="AA3094" s="149"/>
      <c r="AB3094" s="149"/>
      <c r="AC3094" s="149"/>
      <c r="AD3094" s="149"/>
      <c r="AE3094" s="149"/>
      <c r="AF3094" s="149"/>
      <c r="AG3094" s="149"/>
      <c r="AH3094" s="149"/>
      <c r="AI3094" s="149"/>
      <c r="AJ3094" s="149"/>
      <c r="AK3094" s="149"/>
      <c r="AL3094" s="149"/>
      <c r="AM3094" s="149"/>
      <c r="AN3094" s="149"/>
      <c r="AO3094" s="128"/>
      <c r="AP3094" s="128"/>
      <c r="AQ3094" s="128"/>
      <c r="AR3094" s="128"/>
      <c r="AS3094" s="128"/>
      <c r="AT3094" s="128"/>
      <c r="AU3094" s="128"/>
      <c r="AV3094" s="128"/>
      <c r="AW3094" s="128"/>
      <c r="AX3094" s="128"/>
      <c r="AY3094" s="128"/>
      <c r="AZ3094" s="128"/>
      <c r="BA3094" s="128"/>
      <c r="BB3094" s="128"/>
      <c r="BC3094" s="128"/>
      <c r="BD3094" s="128"/>
      <c r="BE3094" s="128"/>
      <c r="BF3094" s="128"/>
      <c r="BG3094" s="128"/>
      <c r="BH3094" s="128"/>
      <c r="BI3094" s="128"/>
      <c r="BJ3094" s="128"/>
      <c r="BK3094" s="128"/>
      <c r="BL3094" s="128"/>
      <c r="BM3094" s="151"/>
      <c r="BN3094" s="128"/>
      <c r="BO3094" s="128"/>
      <c r="BP3094" s="128"/>
      <c r="BQ3094" s="128"/>
      <c r="BR3094" s="128"/>
      <c r="BS3094" s="128"/>
      <c r="BT3094" s="128"/>
      <c r="BU3094" s="128"/>
      <c r="BV3094" s="128"/>
      <c r="BW3094" s="128"/>
      <c r="BX3094" s="128"/>
      <c r="BY3094" s="128"/>
      <c r="BZ3094" s="128"/>
      <c r="CA3094" s="128"/>
      <c r="CB3094" s="128"/>
      <c r="CC3094" s="128"/>
      <c r="CD3094" s="128"/>
      <c r="CE3094" s="128"/>
      <c r="CF3094" s="128"/>
      <c r="CG3094" s="128"/>
      <c r="CI3094" s="128"/>
      <c r="CJ3094" s="128"/>
      <c r="CK3094" s="128"/>
      <c r="CL3094" s="128"/>
      <c r="CM3094" s="128"/>
      <c r="CN3094" s="128"/>
      <c r="CO3094" s="128"/>
      <c r="CP3094" s="128"/>
      <c r="CQ3094" s="128"/>
      <c r="CR3094" s="128"/>
      <c r="CS3094" s="128"/>
      <c r="CT3094" s="128"/>
      <c r="CU3094" s="128"/>
      <c r="CV3094" s="128"/>
      <c r="CW3094" s="128"/>
      <c r="CX3094" s="128"/>
      <c r="CY3094" s="128"/>
      <c r="CZ3094" s="165"/>
    </row>
    <row r="3095" spans="1:104">
      <c r="A3095" s="149"/>
      <c r="B3095" s="149"/>
      <c r="C3095" s="150"/>
      <c r="D3095" s="102"/>
      <c r="E3095" s="149"/>
      <c r="F3095" s="149"/>
      <c r="G3095" s="149"/>
      <c r="H3095" s="149"/>
      <c r="I3095" s="149"/>
      <c r="J3095" s="149"/>
      <c r="K3095" s="149"/>
      <c r="L3095" s="149"/>
      <c r="M3095" s="149"/>
      <c r="N3095" s="149"/>
      <c r="O3095" s="149"/>
      <c r="P3095" s="149"/>
      <c r="Q3095" s="149"/>
      <c r="R3095" s="149"/>
      <c r="S3095" s="149"/>
      <c r="T3095" s="149"/>
      <c r="U3095" s="149"/>
      <c r="V3095" s="149"/>
      <c r="W3095" s="149"/>
      <c r="X3095" s="149"/>
      <c r="Y3095" s="149"/>
      <c r="Z3095" s="149"/>
      <c r="AA3095" s="149"/>
      <c r="AB3095" s="149"/>
      <c r="AC3095" s="149"/>
      <c r="AD3095" s="149"/>
      <c r="AE3095" s="149"/>
      <c r="AF3095" s="149"/>
      <c r="AG3095" s="149"/>
      <c r="AH3095" s="149"/>
      <c r="AI3095" s="149"/>
      <c r="AJ3095" s="149"/>
      <c r="AK3095" s="149"/>
      <c r="AL3095" s="149"/>
      <c r="AM3095" s="149"/>
      <c r="AN3095" s="149"/>
      <c r="AO3095" s="128"/>
      <c r="AP3095" s="128"/>
      <c r="AQ3095" s="128"/>
      <c r="AR3095" s="128"/>
      <c r="AS3095" s="128"/>
      <c r="AT3095" s="128"/>
      <c r="AU3095" s="128"/>
      <c r="AV3095" s="128"/>
      <c r="AW3095" s="128"/>
      <c r="AX3095" s="128"/>
      <c r="AY3095" s="128"/>
      <c r="AZ3095" s="128"/>
      <c r="BA3095" s="128"/>
      <c r="BB3095" s="128"/>
      <c r="BC3095" s="128"/>
      <c r="BD3095" s="128"/>
      <c r="BE3095" s="128"/>
      <c r="BF3095" s="128"/>
      <c r="BG3095" s="128"/>
      <c r="BH3095" s="128"/>
      <c r="BI3095" s="128"/>
      <c r="BJ3095" s="128"/>
      <c r="BK3095" s="128"/>
      <c r="BL3095" s="128"/>
      <c r="BM3095" s="151"/>
      <c r="BN3095" s="128"/>
      <c r="BO3095" s="128"/>
      <c r="BP3095" s="128"/>
      <c r="BQ3095" s="128"/>
      <c r="BR3095" s="128"/>
      <c r="BS3095" s="128"/>
      <c r="BT3095" s="128"/>
      <c r="BU3095" s="128"/>
      <c r="BV3095" s="128"/>
      <c r="BW3095" s="128"/>
      <c r="BX3095" s="128"/>
      <c r="BY3095" s="128"/>
      <c r="BZ3095" s="128"/>
      <c r="CA3095" s="128"/>
      <c r="CB3095" s="128"/>
      <c r="CC3095" s="128"/>
      <c r="CD3095" s="128"/>
      <c r="CE3095" s="128"/>
      <c r="CF3095" s="128"/>
      <c r="CG3095" s="128"/>
      <c r="CI3095" s="128"/>
      <c r="CJ3095" s="128"/>
      <c r="CK3095" s="128"/>
      <c r="CL3095" s="128"/>
      <c r="CM3095" s="128"/>
      <c r="CN3095" s="128"/>
      <c r="CO3095" s="128"/>
      <c r="CP3095" s="128"/>
      <c r="CQ3095" s="128"/>
      <c r="CR3095" s="128"/>
      <c r="CS3095" s="128"/>
      <c r="CT3095" s="128"/>
      <c r="CU3095" s="128"/>
      <c r="CV3095" s="128"/>
      <c r="CW3095" s="128"/>
      <c r="CX3095" s="128"/>
      <c r="CY3095" s="128"/>
      <c r="CZ3095" s="165"/>
    </row>
    <row r="3096" spans="1:104">
      <c r="A3096" s="149"/>
      <c r="B3096" s="149"/>
      <c r="C3096" s="150"/>
      <c r="D3096" s="102"/>
      <c r="E3096" s="149"/>
      <c r="F3096" s="149"/>
      <c r="G3096" s="149"/>
      <c r="H3096" s="149"/>
      <c r="I3096" s="149"/>
      <c r="J3096" s="149"/>
      <c r="K3096" s="149"/>
      <c r="L3096" s="149"/>
      <c r="M3096" s="149"/>
      <c r="N3096" s="149"/>
      <c r="O3096" s="149"/>
      <c r="P3096" s="149"/>
      <c r="Q3096" s="149"/>
      <c r="R3096" s="149"/>
      <c r="S3096" s="149"/>
      <c r="T3096" s="149"/>
      <c r="U3096" s="149"/>
      <c r="V3096" s="149"/>
      <c r="W3096" s="149"/>
      <c r="X3096" s="149"/>
      <c r="Y3096" s="149"/>
      <c r="Z3096" s="149"/>
      <c r="AA3096" s="149"/>
      <c r="AB3096" s="149"/>
      <c r="AC3096" s="149"/>
      <c r="AD3096" s="149"/>
      <c r="AE3096" s="149"/>
      <c r="AF3096" s="149"/>
      <c r="AG3096" s="149"/>
      <c r="AH3096" s="149"/>
      <c r="AI3096" s="149"/>
      <c r="AJ3096" s="149"/>
      <c r="AK3096" s="149"/>
      <c r="AL3096" s="149"/>
      <c r="AM3096" s="149"/>
      <c r="AN3096" s="149"/>
      <c r="AO3096" s="128"/>
      <c r="AP3096" s="128"/>
      <c r="AQ3096" s="128"/>
      <c r="AR3096" s="128"/>
      <c r="AS3096" s="128"/>
      <c r="AT3096" s="128"/>
      <c r="AU3096" s="128"/>
      <c r="AV3096" s="128"/>
      <c r="AW3096" s="128"/>
      <c r="AX3096" s="128"/>
      <c r="AY3096" s="128"/>
      <c r="AZ3096" s="128"/>
      <c r="BA3096" s="128"/>
      <c r="BB3096" s="128"/>
      <c r="BC3096" s="128"/>
      <c r="BD3096" s="128"/>
      <c r="BE3096" s="128"/>
      <c r="BF3096" s="128"/>
      <c r="BG3096" s="128"/>
      <c r="BH3096" s="128"/>
      <c r="BI3096" s="128"/>
      <c r="BJ3096" s="128"/>
      <c r="BK3096" s="128"/>
      <c r="BL3096" s="128"/>
      <c r="BM3096" s="151"/>
      <c r="BN3096" s="128"/>
      <c r="BO3096" s="128"/>
      <c r="BP3096" s="128"/>
      <c r="BQ3096" s="128"/>
      <c r="BR3096" s="128"/>
      <c r="BS3096" s="128"/>
      <c r="BT3096" s="128"/>
      <c r="BU3096" s="128"/>
      <c r="BV3096" s="128"/>
      <c r="BW3096" s="128"/>
      <c r="BX3096" s="128"/>
      <c r="BY3096" s="128"/>
      <c r="BZ3096" s="128"/>
      <c r="CA3096" s="128"/>
      <c r="CB3096" s="128"/>
      <c r="CC3096" s="128"/>
      <c r="CD3096" s="128"/>
      <c r="CE3096" s="128"/>
      <c r="CF3096" s="128"/>
      <c r="CG3096" s="128"/>
      <c r="CI3096" s="128"/>
      <c r="CJ3096" s="128"/>
      <c r="CK3096" s="128"/>
      <c r="CL3096" s="128"/>
      <c r="CM3096" s="128"/>
      <c r="CN3096" s="128"/>
      <c r="CO3096" s="128"/>
      <c r="CP3096" s="128"/>
      <c r="CQ3096" s="128"/>
      <c r="CR3096" s="128"/>
      <c r="CS3096" s="128"/>
      <c r="CT3096" s="128"/>
      <c r="CU3096" s="128"/>
      <c r="CV3096" s="128"/>
      <c r="CW3096" s="128"/>
      <c r="CX3096" s="128"/>
      <c r="CY3096" s="128"/>
      <c r="CZ3096" s="165"/>
    </row>
    <row r="3097" spans="1:104">
      <c r="A3097" s="149"/>
      <c r="B3097" s="149"/>
      <c r="C3097" s="150"/>
      <c r="D3097" s="102"/>
      <c r="E3097" s="149"/>
      <c r="F3097" s="149"/>
      <c r="G3097" s="149"/>
      <c r="H3097" s="149"/>
      <c r="I3097" s="149"/>
      <c r="J3097" s="149"/>
      <c r="K3097" s="149"/>
      <c r="L3097" s="149"/>
      <c r="M3097" s="149"/>
      <c r="N3097" s="149"/>
      <c r="O3097" s="149"/>
      <c r="P3097" s="149"/>
      <c r="Q3097" s="149"/>
      <c r="R3097" s="149"/>
      <c r="S3097" s="149"/>
      <c r="T3097" s="149"/>
      <c r="U3097" s="149"/>
      <c r="V3097" s="149"/>
      <c r="W3097" s="149"/>
      <c r="X3097" s="149"/>
      <c r="Y3097" s="149"/>
      <c r="Z3097" s="149"/>
      <c r="AA3097" s="149"/>
      <c r="AB3097" s="149"/>
      <c r="AC3097" s="149"/>
      <c r="AD3097" s="149"/>
      <c r="AE3097" s="149"/>
      <c r="AF3097" s="149"/>
      <c r="AG3097" s="149"/>
      <c r="AH3097" s="149"/>
      <c r="AI3097" s="149"/>
      <c r="AJ3097" s="149"/>
      <c r="AK3097" s="149"/>
      <c r="AL3097" s="149"/>
      <c r="AM3097" s="149"/>
      <c r="AN3097" s="149"/>
      <c r="AO3097" s="128"/>
      <c r="AP3097" s="128"/>
      <c r="AQ3097" s="128"/>
      <c r="AR3097" s="128"/>
      <c r="AS3097" s="128"/>
      <c r="AT3097" s="128"/>
      <c r="AU3097" s="128"/>
      <c r="AV3097" s="128"/>
      <c r="AW3097" s="128"/>
      <c r="AX3097" s="128"/>
      <c r="AY3097" s="128"/>
      <c r="AZ3097" s="128"/>
      <c r="BA3097" s="128"/>
      <c r="BB3097" s="128"/>
      <c r="BC3097" s="128"/>
      <c r="BD3097" s="128"/>
      <c r="BE3097" s="128"/>
      <c r="BF3097" s="128"/>
      <c r="BG3097" s="128"/>
      <c r="BH3097" s="128"/>
      <c r="BI3097" s="128"/>
      <c r="BJ3097" s="128"/>
      <c r="BK3097" s="128"/>
      <c r="BL3097" s="128"/>
      <c r="BM3097" s="151"/>
      <c r="BN3097" s="128"/>
      <c r="BO3097" s="128"/>
      <c r="BP3097" s="128"/>
      <c r="BQ3097" s="128"/>
      <c r="BR3097" s="128"/>
      <c r="BS3097" s="128"/>
      <c r="BT3097" s="128"/>
      <c r="BU3097" s="128"/>
      <c r="BV3097" s="128"/>
      <c r="BW3097" s="128"/>
      <c r="BX3097" s="128"/>
      <c r="BY3097" s="128"/>
      <c r="BZ3097" s="128"/>
      <c r="CA3097" s="128"/>
      <c r="CB3097" s="128"/>
      <c r="CC3097" s="128"/>
      <c r="CD3097" s="128"/>
      <c r="CE3097" s="128"/>
      <c r="CF3097" s="128"/>
      <c r="CG3097" s="128"/>
      <c r="CI3097" s="128"/>
      <c r="CJ3097" s="128"/>
      <c r="CK3097" s="128"/>
      <c r="CL3097" s="128"/>
      <c r="CM3097" s="128"/>
      <c r="CN3097" s="128"/>
      <c r="CO3097" s="128"/>
      <c r="CP3097" s="128"/>
      <c r="CQ3097" s="128"/>
      <c r="CR3097" s="128"/>
      <c r="CS3097" s="128"/>
      <c r="CT3097" s="128"/>
      <c r="CU3097" s="128"/>
      <c r="CV3097" s="128"/>
      <c r="CW3097" s="128"/>
      <c r="CX3097" s="128"/>
      <c r="CY3097" s="128"/>
      <c r="CZ3097" s="165"/>
    </row>
    <row r="3098" spans="1:104">
      <c r="A3098" s="149"/>
      <c r="B3098" s="149"/>
      <c r="C3098" s="150"/>
      <c r="D3098" s="102"/>
      <c r="E3098" s="149"/>
      <c r="F3098" s="149"/>
      <c r="G3098" s="149"/>
      <c r="H3098" s="149"/>
      <c r="I3098" s="149"/>
      <c r="J3098" s="149"/>
      <c r="K3098" s="149"/>
      <c r="L3098" s="149"/>
      <c r="M3098" s="149"/>
      <c r="N3098" s="149"/>
      <c r="O3098" s="149"/>
      <c r="P3098" s="149"/>
      <c r="Q3098" s="149"/>
      <c r="R3098" s="149"/>
      <c r="S3098" s="149"/>
      <c r="T3098" s="149"/>
      <c r="U3098" s="149"/>
      <c r="V3098" s="149"/>
      <c r="W3098" s="149"/>
      <c r="X3098" s="149"/>
      <c r="Y3098" s="149"/>
      <c r="Z3098" s="149"/>
      <c r="AA3098" s="149"/>
      <c r="AB3098" s="149"/>
      <c r="AC3098" s="149"/>
      <c r="AD3098" s="149"/>
      <c r="AE3098" s="149"/>
      <c r="AF3098" s="149"/>
      <c r="AG3098" s="149"/>
      <c r="AH3098" s="149"/>
      <c r="AI3098" s="149"/>
      <c r="AJ3098" s="149"/>
      <c r="AK3098" s="149"/>
      <c r="AL3098" s="149"/>
      <c r="AM3098" s="149"/>
      <c r="AN3098" s="149"/>
      <c r="AO3098" s="128"/>
      <c r="AP3098" s="128"/>
      <c r="AQ3098" s="128"/>
      <c r="AR3098" s="128"/>
      <c r="AS3098" s="128"/>
      <c r="AT3098" s="128"/>
      <c r="AU3098" s="128"/>
      <c r="AV3098" s="128"/>
      <c r="AW3098" s="128"/>
      <c r="AX3098" s="128"/>
      <c r="AY3098" s="128"/>
      <c r="AZ3098" s="128"/>
      <c r="BA3098" s="128"/>
      <c r="BB3098" s="128"/>
      <c r="BC3098" s="128"/>
      <c r="BD3098" s="128"/>
      <c r="BE3098" s="128"/>
      <c r="BF3098" s="128"/>
      <c r="BG3098" s="128"/>
      <c r="BH3098" s="128"/>
      <c r="BI3098" s="128"/>
      <c r="BJ3098" s="128"/>
      <c r="BK3098" s="128"/>
      <c r="BL3098" s="128"/>
      <c r="BM3098" s="151"/>
      <c r="BN3098" s="128"/>
      <c r="BO3098" s="128"/>
      <c r="BP3098" s="128"/>
      <c r="BQ3098" s="128"/>
      <c r="BR3098" s="128"/>
      <c r="BS3098" s="128"/>
      <c r="BT3098" s="128"/>
      <c r="BU3098" s="128"/>
      <c r="BV3098" s="128"/>
      <c r="BW3098" s="128"/>
      <c r="BX3098" s="128"/>
      <c r="BY3098" s="128"/>
      <c r="BZ3098" s="128"/>
      <c r="CA3098" s="128"/>
      <c r="CB3098" s="128"/>
      <c r="CC3098" s="128"/>
      <c r="CD3098" s="128"/>
      <c r="CE3098" s="128"/>
      <c r="CF3098" s="128"/>
      <c r="CG3098" s="128"/>
      <c r="CI3098" s="128"/>
      <c r="CJ3098" s="128"/>
      <c r="CK3098" s="128"/>
      <c r="CL3098" s="128"/>
      <c r="CM3098" s="128"/>
      <c r="CN3098" s="128"/>
      <c r="CO3098" s="128"/>
      <c r="CP3098" s="128"/>
      <c r="CQ3098" s="128"/>
      <c r="CR3098" s="128"/>
      <c r="CS3098" s="128"/>
      <c r="CT3098" s="128"/>
      <c r="CU3098" s="128"/>
      <c r="CV3098" s="128"/>
      <c r="CW3098" s="128"/>
      <c r="CX3098" s="128"/>
      <c r="CY3098" s="128"/>
      <c r="CZ3098" s="165"/>
    </row>
    <row r="3099" spans="1:104">
      <c r="A3099" s="149"/>
      <c r="B3099" s="149"/>
      <c r="C3099" s="150"/>
      <c r="D3099" s="102"/>
      <c r="E3099" s="149"/>
      <c r="F3099" s="149"/>
      <c r="G3099" s="149"/>
      <c r="H3099" s="149"/>
      <c r="I3099" s="149"/>
      <c r="J3099" s="149"/>
      <c r="K3099" s="149"/>
      <c r="L3099" s="149"/>
      <c r="M3099" s="149"/>
      <c r="N3099" s="149"/>
      <c r="O3099" s="149"/>
      <c r="P3099" s="149"/>
      <c r="Q3099" s="149"/>
      <c r="R3099" s="149"/>
      <c r="S3099" s="149"/>
      <c r="T3099" s="149"/>
      <c r="U3099" s="149"/>
      <c r="V3099" s="149"/>
      <c r="W3099" s="149"/>
      <c r="X3099" s="149"/>
      <c r="Y3099" s="149"/>
      <c r="Z3099" s="149"/>
      <c r="AA3099" s="149"/>
      <c r="AB3099" s="149"/>
      <c r="AC3099" s="149"/>
      <c r="AD3099" s="149"/>
      <c r="AE3099" s="149"/>
      <c r="AF3099" s="149"/>
      <c r="AG3099" s="149"/>
      <c r="AH3099" s="149"/>
      <c r="AI3099" s="149"/>
      <c r="AJ3099" s="149"/>
      <c r="AK3099" s="149"/>
      <c r="AL3099" s="149"/>
      <c r="AM3099" s="149"/>
      <c r="AN3099" s="149"/>
      <c r="AO3099" s="128"/>
      <c r="AP3099" s="128"/>
      <c r="AQ3099" s="128"/>
      <c r="AR3099" s="128"/>
      <c r="AS3099" s="128"/>
      <c r="AT3099" s="128"/>
      <c r="AU3099" s="128"/>
      <c r="AV3099" s="128"/>
      <c r="AW3099" s="128"/>
      <c r="AX3099" s="128"/>
      <c r="AY3099" s="128"/>
      <c r="AZ3099" s="128"/>
      <c r="BA3099" s="128"/>
      <c r="BB3099" s="128"/>
      <c r="BC3099" s="128"/>
      <c r="BD3099" s="128"/>
      <c r="BE3099" s="128"/>
      <c r="BF3099" s="128"/>
      <c r="BG3099" s="128"/>
      <c r="BH3099" s="128"/>
      <c r="BI3099" s="128"/>
      <c r="BJ3099" s="128"/>
      <c r="BK3099" s="128"/>
      <c r="BL3099" s="128"/>
      <c r="BM3099" s="151"/>
      <c r="BN3099" s="128"/>
      <c r="BO3099" s="128"/>
      <c r="BP3099" s="128"/>
      <c r="BQ3099" s="128"/>
      <c r="BR3099" s="128"/>
      <c r="BS3099" s="128"/>
      <c r="BT3099" s="128"/>
      <c r="BU3099" s="128"/>
      <c r="BV3099" s="128"/>
      <c r="BW3099" s="128"/>
      <c r="BX3099" s="128"/>
      <c r="BY3099" s="128"/>
      <c r="BZ3099" s="128"/>
      <c r="CA3099" s="128"/>
      <c r="CB3099" s="128"/>
      <c r="CC3099" s="128"/>
      <c r="CD3099" s="128"/>
      <c r="CE3099" s="128"/>
      <c r="CF3099" s="128"/>
      <c r="CG3099" s="128"/>
      <c r="CI3099" s="128"/>
      <c r="CJ3099" s="128"/>
      <c r="CK3099" s="128"/>
      <c r="CL3099" s="128"/>
      <c r="CM3099" s="128"/>
      <c r="CN3099" s="128"/>
      <c r="CO3099" s="128"/>
      <c r="CP3099" s="128"/>
      <c r="CQ3099" s="128"/>
      <c r="CR3099" s="128"/>
      <c r="CS3099" s="128"/>
      <c r="CT3099" s="128"/>
      <c r="CU3099" s="128"/>
      <c r="CV3099" s="128"/>
      <c r="CW3099" s="128"/>
      <c r="CX3099" s="128"/>
      <c r="CY3099" s="128"/>
      <c r="CZ3099" s="165"/>
    </row>
    <row r="3100" spans="1:104">
      <c r="A3100" s="149"/>
      <c r="B3100" s="149"/>
      <c r="C3100" s="150"/>
      <c r="D3100" s="102"/>
      <c r="E3100" s="149"/>
      <c r="F3100" s="149"/>
      <c r="G3100" s="149"/>
      <c r="H3100" s="149"/>
      <c r="I3100" s="149"/>
      <c r="J3100" s="149"/>
      <c r="K3100" s="149"/>
      <c r="L3100" s="149"/>
      <c r="M3100" s="149"/>
      <c r="N3100" s="149"/>
      <c r="O3100" s="149"/>
      <c r="P3100" s="149"/>
      <c r="Q3100" s="149"/>
      <c r="R3100" s="149"/>
      <c r="S3100" s="149"/>
      <c r="T3100" s="149"/>
      <c r="U3100" s="149"/>
      <c r="V3100" s="149"/>
      <c r="W3100" s="149"/>
      <c r="X3100" s="149"/>
      <c r="Y3100" s="149"/>
      <c r="Z3100" s="149"/>
      <c r="AA3100" s="149"/>
      <c r="AB3100" s="149"/>
      <c r="AC3100" s="149"/>
      <c r="AD3100" s="149"/>
      <c r="AE3100" s="149"/>
      <c r="AF3100" s="149"/>
      <c r="AG3100" s="149"/>
      <c r="AH3100" s="149"/>
      <c r="AI3100" s="149"/>
      <c r="AJ3100" s="149"/>
      <c r="AK3100" s="149"/>
      <c r="AL3100" s="149"/>
      <c r="AM3100" s="149"/>
      <c r="AN3100" s="149"/>
      <c r="AO3100" s="128"/>
      <c r="AP3100" s="128"/>
      <c r="AQ3100" s="128"/>
      <c r="AR3100" s="128"/>
      <c r="AS3100" s="128"/>
      <c r="AT3100" s="128"/>
      <c r="AU3100" s="128"/>
      <c r="AV3100" s="128"/>
      <c r="AW3100" s="128"/>
      <c r="AX3100" s="128"/>
      <c r="AY3100" s="128"/>
      <c r="AZ3100" s="128"/>
      <c r="BA3100" s="128"/>
      <c r="BB3100" s="128"/>
      <c r="BC3100" s="128"/>
      <c r="BD3100" s="128"/>
      <c r="BE3100" s="128"/>
      <c r="BF3100" s="128"/>
      <c r="BG3100" s="128"/>
      <c r="BH3100" s="128"/>
      <c r="BI3100" s="128"/>
      <c r="BJ3100" s="128"/>
      <c r="BK3100" s="128"/>
      <c r="BL3100" s="128"/>
      <c r="BM3100" s="151"/>
      <c r="BN3100" s="128"/>
      <c r="BO3100" s="128"/>
      <c r="BP3100" s="128"/>
      <c r="BQ3100" s="128"/>
      <c r="BR3100" s="128"/>
      <c r="BS3100" s="128"/>
      <c r="BT3100" s="128"/>
      <c r="BU3100" s="128"/>
      <c r="BV3100" s="128"/>
      <c r="BW3100" s="128"/>
      <c r="BX3100" s="128"/>
      <c r="BY3100" s="128"/>
      <c r="BZ3100" s="128"/>
      <c r="CA3100" s="128"/>
      <c r="CB3100" s="128"/>
      <c r="CC3100" s="128"/>
      <c r="CD3100" s="128"/>
      <c r="CE3100" s="128"/>
      <c r="CF3100" s="128"/>
      <c r="CG3100" s="128"/>
      <c r="CI3100" s="128"/>
      <c r="CJ3100" s="128"/>
      <c r="CK3100" s="128"/>
      <c r="CL3100" s="128"/>
      <c r="CM3100" s="128"/>
      <c r="CN3100" s="128"/>
      <c r="CO3100" s="128"/>
      <c r="CP3100" s="128"/>
      <c r="CQ3100" s="128"/>
      <c r="CR3100" s="128"/>
      <c r="CS3100" s="128"/>
      <c r="CT3100" s="128"/>
      <c r="CU3100" s="128"/>
      <c r="CV3100" s="128"/>
      <c r="CW3100" s="128"/>
      <c r="CX3100" s="128"/>
      <c r="CY3100" s="128"/>
      <c r="CZ3100" s="165"/>
    </row>
    <row r="3101" spans="1:104">
      <c r="A3101" s="149"/>
      <c r="B3101" s="149"/>
      <c r="C3101" s="150"/>
      <c r="D3101" s="102"/>
      <c r="E3101" s="149"/>
      <c r="F3101" s="149"/>
      <c r="G3101" s="149"/>
      <c r="H3101" s="149"/>
      <c r="I3101" s="149"/>
      <c r="J3101" s="149"/>
      <c r="K3101" s="149"/>
      <c r="L3101" s="149"/>
      <c r="M3101" s="149"/>
      <c r="N3101" s="149"/>
      <c r="O3101" s="149"/>
      <c r="P3101" s="149"/>
      <c r="Q3101" s="149"/>
      <c r="R3101" s="149"/>
      <c r="S3101" s="149"/>
      <c r="T3101" s="149"/>
      <c r="U3101" s="149"/>
      <c r="V3101" s="149"/>
      <c r="W3101" s="149"/>
      <c r="X3101" s="149"/>
      <c r="Y3101" s="149"/>
      <c r="Z3101" s="149"/>
      <c r="AA3101" s="149"/>
      <c r="AB3101" s="149"/>
      <c r="AC3101" s="149"/>
      <c r="AD3101" s="149"/>
      <c r="AE3101" s="149"/>
      <c r="AF3101" s="149"/>
      <c r="AG3101" s="149"/>
      <c r="AH3101" s="149"/>
      <c r="AI3101" s="149"/>
      <c r="AJ3101" s="149"/>
      <c r="AK3101" s="149"/>
      <c r="AL3101" s="149"/>
      <c r="AM3101" s="149"/>
      <c r="AN3101" s="149"/>
      <c r="AO3101" s="128"/>
      <c r="AP3101" s="128"/>
      <c r="AQ3101" s="128"/>
      <c r="AR3101" s="128"/>
      <c r="AS3101" s="128"/>
      <c r="AT3101" s="128"/>
      <c r="AU3101" s="128"/>
      <c r="AV3101" s="128"/>
      <c r="AW3101" s="128"/>
      <c r="AX3101" s="128"/>
      <c r="AY3101" s="128"/>
      <c r="AZ3101" s="128"/>
      <c r="BA3101" s="128"/>
      <c r="BB3101" s="128"/>
      <c r="BC3101" s="128"/>
      <c r="BD3101" s="128"/>
      <c r="BE3101" s="128"/>
      <c r="BF3101" s="128"/>
      <c r="BG3101" s="128"/>
      <c r="BH3101" s="128"/>
      <c r="BI3101" s="128"/>
      <c r="BJ3101" s="128"/>
      <c r="BK3101" s="128"/>
      <c r="BL3101" s="128"/>
      <c r="BM3101" s="151"/>
      <c r="BN3101" s="128"/>
      <c r="BO3101" s="128"/>
      <c r="BP3101" s="128"/>
      <c r="BQ3101" s="128"/>
      <c r="BR3101" s="128"/>
      <c r="BS3101" s="128"/>
      <c r="BT3101" s="128"/>
      <c r="BU3101" s="128"/>
      <c r="BV3101" s="128"/>
      <c r="BW3101" s="128"/>
      <c r="BX3101" s="128"/>
      <c r="BY3101" s="128"/>
      <c r="BZ3101" s="128"/>
      <c r="CA3101" s="128"/>
      <c r="CB3101" s="128"/>
      <c r="CC3101" s="128"/>
      <c r="CD3101" s="128"/>
      <c r="CE3101" s="128"/>
      <c r="CF3101" s="128"/>
      <c r="CG3101" s="128"/>
      <c r="CI3101" s="128"/>
      <c r="CJ3101" s="128"/>
      <c r="CK3101" s="128"/>
      <c r="CL3101" s="128"/>
      <c r="CM3101" s="128"/>
      <c r="CN3101" s="128"/>
      <c r="CO3101" s="128"/>
      <c r="CP3101" s="128"/>
      <c r="CQ3101" s="128"/>
      <c r="CR3101" s="128"/>
      <c r="CS3101" s="128"/>
      <c r="CT3101" s="128"/>
      <c r="CU3101" s="128"/>
      <c r="CV3101" s="128"/>
      <c r="CW3101" s="128"/>
      <c r="CX3101" s="128"/>
      <c r="CY3101" s="128"/>
      <c r="CZ3101" s="165"/>
    </row>
    <row r="3102" spans="1:104">
      <c r="A3102" s="149"/>
      <c r="B3102" s="149"/>
      <c r="C3102" s="150"/>
      <c r="D3102" s="102"/>
      <c r="E3102" s="149"/>
      <c r="F3102" s="149"/>
      <c r="G3102" s="149"/>
      <c r="H3102" s="149"/>
      <c r="I3102" s="149"/>
      <c r="J3102" s="149"/>
      <c r="K3102" s="149"/>
      <c r="L3102" s="149"/>
      <c r="M3102" s="149"/>
      <c r="N3102" s="149"/>
      <c r="O3102" s="149"/>
      <c r="P3102" s="149"/>
      <c r="Q3102" s="149"/>
      <c r="R3102" s="149"/>
      <c r="S3102" s="149"/>
      <c r="T3102" s="149"/>
      <c r="U3102" s="149"/>
      <c r="V3102" s="149"/>
      <c r="W3102" s="149"/>
      <c r="X3102" s="149"/>
      <c r="Y3102" s="149"/>
      <c r="Z3102" s="149"/>
      <c r="AA3102" s="149"/>
      <c r="AB3102" s="149"/>
      <c r="AC3102" s="149"/>
      <c r="AD3102" s="149"/>
      <c r="AE3102" s="149"/>
      <c r="AF3102" s="149"/>
      <c r="AG3102" s="149"/>
      <c r="AH3102" s="149"/>
      <c r="AI3102" s="149"/>
      <c r="AJ3102" s="149"/>
      <c r="AK3102" s="149"/>
      <c r="AL3102" s="149"/>
      <c r="AM3102" s="149"/>
      <c r="AN3102" s="149"/>
      <c r="AO3102" s="128"/>
      <c r="AP3102" s="128"/>
      <c r="AQ3102" s="128"/>
      <c r="AR3102" s="128"/>
      <c r="AS3102" s="128"/>
      <c r="AT3102" s="128"/>
      <c r="AU3102" s="128"/>
      <c r="AV3102" s="128"/>
      <c r="AW3102" s="128"/>
      <c r="AX3102" s="128"/>
      <c r="AY3102" s="128"/>
      <c r="AZ3102" s="128"/>
      <c r="BA3102" s="128"/>
      <c r="BB3102" s="128"/>
      <c r="BC3102" s="128"/>
      <c r="BD3102" s="128"/>
      <c r="BE3102" s="128"/>
      <c r="BF3102" s="128"/>
      <c r="BG3102" s="128"/>
      <c r="BH3102" s="128"/>
      <c r="BI3102" s="128"/>
      <c r="BJ3102" s="128"/>
      <c r="BK3102" s="128"/>
      <c r="BL3102" s="128"/>
      <c r="BM3102" s="151"/>
      <c r="BN3102" s="128"/>
      <c r="BO3102" s="128"/>
      <c r="BP3102" s="128"/>
      <c r="BQ3102" s="128"/>
      <c r="BR3102" s="128"/>
      <c r="BS3102" s="128"/>
      <c r="BT3102" s="128"/>
      <c r="BU3102" s="128"/>
      <c r="BV3102" s="128"/>
      <c r="BW3102" s="128"/>
      <c r="BX3102" s="128"/>
      <c r="BY3102" s="128"/>
      <c r="BZ3102" s="128"/>
      <c r="CA3102" s="128"/>
      <c r="CB3102" s="128"/>
      <c r="CC3102" s="128"/>
      <c r="CD3102" s="128"/>
      <c r="CE3102" s="128"/>
      <c r="CF3102" s="128"/>
      <c r="CG3102" s="128"/>
      <c r="CI3102" s="128"/>
      <c r="CJ3102" s="128"/>
      <c r="CK3102" s="128"/>
      <c r="CL3102" s="128"/>
      <c r="CM3102" s="128"/>
      <c r="CN3102" s="128"/>
      <c r="CO3102" s="128"/>
      <c r="CP3102" s="128"/>
      <c r="CQ3102" s="128"/>
      <c r="CR3102" s="128"/>
      <c r="CS3102" s="128"/>
      <c r="CT3102" s="128"/>
      <c r="CU3102" s="128"/>
      <c r="CV3102" s="128"/>
      <c r="CW3102" s="128"/>
      <c r="CX3102" s="128"/>
      <c r="CY3102" s="128"/>
      <c r="CZ3102" s="165"/>
    </row>
    <row r="3103" spans="1:104">
      <c r="A3103" s="149"/>
      <c r="B3103" s="149"/>
      <c r="C3103" s="150"/>
      <c r="D3103" s="102"/>
      <c r="E3103" s="149"/>
      <c r="F3103" s="149"/>
      <c r="G3103" s="149"/>
      <c r="H3103" s="149"/>
      <c r="I3103" s="149"/>
      <c r="J3103" s="149"/>
      <c r="K3103" s="149"/>
      <c r="L3103" s="149"/>
      <c r="M3103" s="149"/>
      <c r="N3103" s="149"/>
      <c r="O3103" s="149"/>
      <c r="P3103" s="149"/>
      <c r="Q3103" s="149"/>
      <c r="R3103" s="149"/>
      <c r="S3103" s="149"/>
      <c r="T3103" s="149"/>
      <c r="U3103" s="149"/>
      <c r="V3103" s="149"/>
      <c r="W3103" s="149"/>
      <c r="X3103" s="149"/>
      <c r="Y3103" s="149"/>
      <c r="Z3103" s="149"/>
      <c r="AA3103" s="149"/>
      <c r="AB3103" s="149"/>
      <c r="AC3103" s="149"/>
      <c r="AD3103" s="149"/>
      <c r="AE3103" s="149"/>
      <c r="AF3103" s="149"/>
      <c r="AG3103" s="149"/>
      <c r="AH3103" s="149"/>
      <c r="AI3103" s="149"/>
      <c r="AJ3103" s="149"/>
      <c r="AK3103" s="149"/>
      <c r="AL3103" s="149"/>
      <c r="AM3103" s="149"/>
      <c r="AN3103" s="149"/>
      <c r="AO3103" s="128"/>
      <c r="AP3103" s="128"/>
      <c r="AQ3103" s="128"/>
      <c r="AR3103" s="128"/>
      <c r="AS3103" s="128"/>
      <c r="AT3103" s="128"/>
      <c r="AU3103" s="128"/>
      <c r="AV3103" s="128"/>
      <c r="AW3103" s="128"/>
      <c r="AX3103" s="128"/>
      <c r="AY3103" s="128"/>
      <c r="AZ3103" s="128"/>
      <c r="BA3103" s="128"/>
      <c r="BB3103" s="128"/>
      <c r="BC3103" s="128"/>
      <c r="BD3103" s="128"/>
      <c r="BE3103" s="128"/>
      <c r="BF3103" s="128"/>
      <c r="BG3103" s="128"/>
      <c r="BH3103" s="128"/>
      <c r="BI3103" s="128"/>
      <c r="BJ3103" s="128"/>
      <c r="BK3103" s="128"/>
      <c r="BL3103" s="128"/>
      <c r="BM3103" s="151"/>
      <c r="BN3103" s="128"/>
      <c r="BO3103" s="128"/>
      <c r="BP3103" s="128"/>
      <c r="BQ3103" s="128"/>
      <c r="BR3103" s="128"/>
      <c r="BS3103" s="128"/>
      <c r="BT3103" s="128"/>
      <c r="BU3103" s="128"/>
      <c r="BV3103" s="128"/>
      <c r="BW3103" s="128"/>
      <c r="BX3103" s="128"/>
      <c r="BY3103" s="128"/>
      <c r="BZ3103" s="128"/>
      <c r="CA3103" s="128"/>
      <c r="CB3103" s="128"/>
      <c r="CC3103" s="128"/>
      <c r="CD3103" s="128"/>
      <c r="CE3103" s="128"/>
      <c r="CF3103" s="128"/>
      <c r="CG3103" s="128"/>
      <c r="CI3103" s="128"/>
      <c r="CJ3103" s="128"/>
      <c r="CK3103" s="128"/>
      <c r="CL3103" s="128"/>
      <c r="CM3103" s="128"/>
      <c r="CN3103" s="128"/>
      <c r="CO3103" s="128"/>
      <c r="CP3103" s="128"/>
      <c r="CQ3103" s="128"/>
      <c r="CR3103" s="128"/>
      <c r="CS3103" s="128"/>
      <c r="CT3103" s="128"/>
      <c r="CU3103" s="128"/>
      <c r="CV3103" s="128"/>
      <c r="CW3103" s="128"/>
      <c r="CX3103" s="128"/>
      <c r="CY3103" s="128"/>
      <c r="CZ3103" s="165"/>
    </row>
    <row r="3104" spans="1:104">
      <c r="A3104" s="149"/>
      <c r="B3104" s="149"/>
      <c r="C3104" s="150"/>
      <c r="D3104" s="102"/>
      <c r="E3104" s="149"/>
      <c r="F3104" s="149"/>
      <c r="G3104" s="149"/>
      <c r="H3104" s="149"/>
      <c r="I3104" s="149"/>
      <c r="J3104" s="149"/>
      <c r="K3104" s="149"/>
      <c r="L3104" s="149"/>
      <c r="M3104" s="149"/>
      <c r="N3104" s="149"/>
      <c r="O3104" s="149"/>
      <c r="P3104" s="149"/>
      <c r="Q3104" s="149"/>
      <c r="R3104" s="149"/>
      <c r="S3104" s="149"/>
      <c r="T3104" s="149"/>
      <c r="U3104" s="149"/>
      <c r="V3104" s="149"/>
      <c r="W3104" s="149"/>
      <c r="X3104" s="149"/>
      <c r="Y3104" s="149"/>
      <c r="Z3104" s="149"/>
      <c r="AA3104" s="149"/>
      <c r="AB3104" s="149"/>
      <c r="AC3104" s="149"/>
      <c r="AD3104" s="149"/>
      <c r="AE3104" s="149"/>
      <c r="AF3104" s="149"/>
      <c r="AG3104" s="149"/>
      <c r="AH3104" s="149"/>
      <c r="AI3104" s="149"/>
      <c r="AJ3104" s="149"/>
      <c r="AK3104" s="149"/>
      <c r="AL3104" s="149"/>
      <c r="AM3104" s="149"/>
      <c r="AN3104" s="149"/>
      <c r="AO3104" s="128"/>
      <c r="AP3104" s="128"/>
      <c r="AQ3104" s="128"/>
      <c r="AR3104" s="128"/>
      <c r="AS3104" s="128"/>
      <c r="AT3104" s="128"/>
      <c r="AU3104" s="128"/>
      <c r="AV3104" s="128"/>
      <c r="AW3104" s="128"/>
      <c r="AX3104" s="128"/>
      <c r="AY3104" s="128"/>
      <c r="AZ3104" s="128"/>
      <c r="BA3104" s="128"/>
      <c r="BB3104" s="128"/>
      <c r="BC3104" s="128"/>
      <c r="BD3104" s="128"/>
      <c r="BE3104" s="128"/>
      <c r="BF3104" s="128"/>
      <c r="BG3104" s="128"/>
      <c r="BH3104" s="128"/>
      <c r="BI3104" s="128"/>
      <c r="BJ3104" s="128"/>
      <c r="BK3104" s="128"/>
      <c r="BL3104" s="128"/>
      <c r="BM3104" s="151"/>
      <c r="BN3104" s="128"/>
      <c r="BO3104" s="128"/>
      <c r="BP3104" s="128"/>
      <c r="BQ3104" s="128"/>
      <c r="BR3104" s="128"/>
      <c r="BS3104" s="128"/>
      <c r="BT3104" s="128"/>
      <c r="BU3104" s="128"/>
      <c r="BV3104" s="128"/>
      <c r="BW3104" s="128"/>
      <c r="BX3104" s="128"/>
      <c r="BY3104" s="128"/>
      <c r="BZ3104" s="128"/>
      <c r="CA3104" s="128"/>
      <c r="CB3104" s="128"/>
      <c r="CC3104" s="128"/>
      <c r="CD3104" s="128"/>
      <c r="CE3104" s="128"/>
      <c r="CF3104" s="128"/>
      <c r="CG3104" s="128"/>
      <c r="CI3104" s="128"/>
      <c r="CJ3104" s="128"/>
      <c r="CK3104" s="128"/>
      <c r="CL3104" s="128"/>
      <c r="CM3104" s="128"/>
      <c r="CN3104" s="128"/>
      <c r="CO3104" s="128"/>
      <c r="CP3104" s="128"/>
      <c r="CQ3104" s="128"/>
      <c r="CR3104" s="128"/>
      <c r="CS3104" s="128"/>
      <c r="CT3104" s="128"/>
      <c r="CU3104" s="128"/>
      <c r="CV3104" s="128"/>
      <c r="CW3104" s="128"/>
      <c r="CX3104" s="128"/>
      <c r="CY3104" s="128"/>
      <c r="CZ3104" s="165"/>
    </row>
    <row r="3105" spans="1:104">
      <c r="A3105" s="149"/>
      <c r="B3105" s="149"/>
      <c r="C3105" s="150"/>
      <c r="D3105" s="102"/>
      <c r="E3105" s="149"/>
      <c r="F3105" s="149"/>
      <c r="G3105" s="149"/>
      <c r="H3105" s="149"/>
      <c r="I3105" s="149"/>
      <c r="J3105" s="149"/>
      <c r="K3105" s="149"/>
      <c r="L3105" s="149"/>
      <c r="M3105" s="149"/>
      <c r="N3105" s="149"/>
      <c r="O3105" s="149"/>
      <c r="P3105" s="149"/>
      <c r="Q3105" s="149"/>
      <c r="R3105" s="149"/>
      <c r="S3105" s="149"/>
      <c r="T3105" s="149"/>
      <c r="U3105" s="149"/>
      <c r="V3105" s="149"/>
      <c r="W3105" s="149"/>
      <c r="X3105" s="149"/>
      <c r="Y3105" s="149"/>
      <c r="Z3105" s="149"/>
      <c r="AA3105" s="149"/>
      <c r="AB3105" s="149"/>
      <c r="AC3105" s="149"/>
      <c r="AD3105" s="149"/>
      <c r="AE3105" s="149"/>
      <c r="AF3105" s="149"/>
      <c r="AG3105" s="149"/>
      <c r="AH3105" s="149"/>
      <c r="AI3105" s="149"/>
      <c r="AJ3105" s="149"/>
      <c r="AK3105" s="149"/>
      <c r="AL3105" s="149"/>
      <c r="AM3105" s="149"/>
      <c r="AN3105" s="149"/>
      <c r="AO3105" s="128"/>
      <c r="AP3105" s="128"/>
      <c r="AQ3105" s="128"/>
      <c r="AR3105" s="128"/>
      <c r="AS3105" s="128"/>
      <c r="AT3105" s="128"/>
      <c r="AU3105" s="128"/>
      <c r="AV3105" s="128"/>
      <c r="AW3105" s="128"/>
      <c r="AX3105" s="128"/>
      <c r="AY3105" s="128"/>
      <c r="AZ3105" s="128"/>
      <c r="BA3105" s="128"/>
      <c r="BB3105" s="128"/>
      <c r="BC3105" s="128"/>
      <c r="BD3105" s="128"/>
      <c r="BE3105" s="128"/>
      <c r="BF3105" s="128"/>
      <c r="BG3105" s="128"/>
      <c r="BH3105" s="128"/>
      <c r="BI3105" s="128"/>
      <c r="BJ3105" s="128"/>
      <c r="BK3105" s="128"/>
      <c r="BL3105" s="128"/>
      <c r="BM3105" s="151"/>
      <c r="BN3105" s="128"/>
      <c r="BO3105" s="128"/>
      <c r="BP3105" s="128"/>
      <c r="BQ3105" s="128"/>
      <c r="BR3105" s="128"/>
      <c r="BS3105" s="128"/>
      <c r="BT3105" s="128"/>
      <c r="BU3105" s="128"/>
      <c r="BV3105" s="128"/>
      <c r="BW3105" s="128"/>
      <c r="BX3105" s="128"/>
      <c r="BY3105" s="128"/>
      <c r="BZ3105" s="128"/>
      <c r="CA3105" s="128"/>
      <c r="CB3105" s="128"/>
      <c r="CC3105" s="128"/>
      <c r="CD3105" s="128"/>
      <c r="CE3105" s="128"/>
      <c r="CF3105" s="128"/>
      <c r="CG3105" s="128"/>
      <c r="CI3105" s="128"/>
      <c r="CJ3105" s="128"/>
      <c r="CK3105" s="128"/>
      <c r="CL3105" s="128"/>
      <c r="CM3105" s="128"/>
      <c r="CN3105" s="128"/>
      <c r="CO3105" s="128"/>
      <c r="CP3105" s="128"/>
      <c r="CQ3105" s="128"/>
      <c r="CR3105" s="128"/>
      <c r="CS3105" s="128"/>
      <c r="CT3105" s="128"/>
      <c r="CU3105" s="128"/>
      <c r="CV3105" s="128"/>
      <c r="CW3105" s="128"/>
      <c r="CX3105" s="128"/>
      <c r="CY3105" s="128"/>
      <c r="CZ3105" s="165"/>
    </row>
    <row r="3106" spans="1:104">
      <c r="A3106" s="149"/>
      <c r="B3106" s="149"/>
      <c r="C3106" s="150"/>
      <c r="D3106" s="102"/>
      <c r="E3106" s="149"/>
      <c r="F3106" s="149"/>
      <c r="G3106" s="149"/>
      <c r="H3106" s="149"/>
      <c r="I3106" s="149"/>
      <c r="J3106" s="149"/>
      <c r="K3106" s="149"/>
      <c r="L3106" s="149"/>
      <c r="M3106" s="149"/>
      <c r="N3106" s="149"/>
      <c r="O3106" s="149"/>
      <c r="P3106" s="149"/>
      <c r="Q3106" s="149"/>
      <c r="R3106" s="149"/>
      <c r="S3106" s="149"/>
      <c r="T3106" s="149"/>
      <c r="U3106" s="149"/>
      <c r="V3106" s="149"/>
      <c r="W3106" s="149"/>
      <c r="X3106" s="149"/>
      <c r="Y3106" s="149"/>
      <c r="Z3106" s="149"/>
      <c r="AA3106" s="149"/>
      <c r="AB3106" s="149"/>
      <c r="AC3106" s="149"/>
      <c r="AD3106" s="149"/>
      <c r="AE3106" s="149"/>
      <c r="AF3106" s="149"/>
      <c r="AG3106" s="149"/>
      <c r="AH3106" s="149"/>
      <c r="AI3106" s="149"/>
      <c r="AJ3106" s="149"/>
      <c r="AK3106" s="149"/>
      <c r="AL3106" s="149"/>
      <c r="AM3106" s="149"/>
      <c r="AN3106" s="149"/>
      <c r="AO3106" s="128"/>
      <c r="AP3106" s="128"/>
      <c r="AQ3106" s="128"/>
      <c r="AR3106" s="128"/>
      <c r="AS3106" s="128"/>
      <c r="AT3106" s="128"/>
      <c r="AU3106" s="128"/>
      <c r="AV3106" s="128"/>
      <c r="AW3106" s="128"/>
      <c r="AX3106" s="128"/>
      <c r="AY3106" s="128"/>
      <c r="AZ3106" s="128"/>
      <c r="BA3106" s="128"/>
      <c r="BB3106" s="128"/>
      <c r="BC3106" s="128"/>
      <c r="BD3106" s="128"/>
      <c r="BE3106" s="128"/>
      <c r="BF3106" s="128"/>
      <c r="BG3106" s="128"/>
      <c r="BH3106" s="128"/>
      <c r="BI3106" s="128"/>
      <c r="BJ3106" s="128"/>
      <c r="BK3106" s="128"/>
      <c r="BL3106" s="128"/>
      <c r="BM3106" s="151"/>
      <c r="BN3106" s="128"/>
      <c r="BO3106" s="128"/>
      <c r="BP3106" s="128"/>
      <c r="BQ3106" s="128"/>
      <c r="BR3106" s="128"/>
      <c r="BS3106" s="128"/>
      <c r="BT3106" s="128"/>
      <c r="BU3106" s="128"/>
      <c r="BV3106" s="128"/>
      <c r="BW3106" s="128"/>
      <c r="BX3106" s="128"/>
      <c r="BY3106" s="128"/>
      <c r="BZ3106" s="128"/>
      <c r="CA3106" s="128"/>
      <c r="CB3106" s="128"/>
      <c r="CC3106" s="128"/>
      <c r="CD3106" s="128"/>
      <c r="CE3106" s="128"/>
      <c r="CF3106" s="128"/>
      <c r="CG3106" s="128"/>
      <c r="CI3106" s="128"/>
      <c r="CJ3106" s="128"/>
      <c r="CK3106" s="128"/>
      <c r="CL3106" s="128"/>
      <c r="CM3106" s="128"/>
      <c r="CN3106" s="128"/>
      <c r="CO3106" s="128"/>
      <c r="CP3106" s="128"/>
      <c r="CQ3106" s="128"/>
      <c r="CR3106" s="128"/>
      <c r="CS3106" s="128"/>
      <c r="CT3106" s="128"/>
      <c r="CU3106" s="128"/>
      <c r="CV3106" s="128"/>
      <c r="CW3106" s="128"/>
      <c r="CX3106" s="128"/>
      <c r="CY3106" s="128"/>
      <c r="CZ3106" s="165"/>
    </row>
    <row r="3107" spans="1:104">
      <c r="A3107" s="149"/>
      <c r="B3107" s="149"/>
      <c r="C3107" s="150"/>
      <c r="D3107" s="102"/>
      <c r="E3107" s="149"/>
      <c r="F3107" s="149"/>
      <c r="G3107" s="149"/>
      <c r="H3107" s="149"/>
      <c r="I3107" s="149"/>
      <c r="J3107" s="149"/>
      <c r="K3107" s="149"/>
      <c r="L3107" s="149"/>
      <c r="M3107" s="149"/>
      <c r="N3107" s="149"/>
      <c r="O3107" s="149"/>
      <c r="P3107" s="149"/>
      <c r="Q3107" s="149"/>
      <c r="R3107" s="149"/>
      <c r="S3107" s="149"/>
      <c r="T3107" s="149"/>
      <c r="U3107" s="149"/>
      <c r="V3107" s="149"/>
      <c r="W3107" s="149"/>
      <c r="X3107" s="149"/>
      <c r="Y3107" s="149"/>
      <c r="Z3107" s="149"/>
      <c r="AA3107" s="149"/>
      <c r="AB3107" s="149"/>
      <c r="AC3107" s="149"/>
      <c r="AD3107" s="149"/>
      <c r="AE3107" s="149"/>
      <c r="AF3107" s="149"/>
      <c r="AG3107" s="149"/>
      <c r="AH3107" s="149"/>
      <c r="AI3107" s="149"/>
      <c r="AJ3107" s="149"/>
      <c r="AK3107" s="149"/>
      <c r="AL3107" s="149"/>
      <c r="AM3107" s="149"/>
      <c r="AN3107" s="149"/>
      <c r="AO3107" s="128"/>
      <c r="AP3107" s="128"/>
      <c r="AQ3107" s="128"/>
      <c r="AR3107" s="128"/>
      <c r="AS3107" s="128"/>
      <c r="AT3107" s="128"/>
      <c r="AU3107" s="128"/>
      <c r="AV3107" s="128"/>
      <c r="AW3107" s="128"/>
      <c r="AX3107" s="128"/>
      <c r="AY3107" s="128"/>
      <c r="AZ3107" s="128"/>
      <c r="BA3107" s="128"/>
      <c r="BB3107" s="128"/>
      <c r="BC3107" s="128"/>
      <c r="BD3107" s="128"/>
      <c r="BE3107" s="128"/>
      <c r="BF3107" s="128"/>
      <c r="BG3107" s="128"/>
      <c r="BH3107" s="128"/>
      <c r="BI3107" s="128"/>
      <c r="BJ3107" s="128"/>
      <c r="BK3107" s="128"/>
      <c r="BL3107" s="128"/>
      <c r="BM3107" s="151"/>
      <c r="BN3107" s="128"/>
      <c r="BO3107" s="128"/>
      <c r="BP3107" s="128"/>
      <c r="BQ3107" s="128"/>
      <c r="BR3107" s="128"/>
      <c r="BS3107" s="128"/>
      <c r="BT3107" s="128"/>
      <c r="BU3107" s="128"/>
      <c r="BV3107" s="128"/>
      <c r="BW3107" s="128"/>
      <c r="BX3107" s="128"/>
      <c r="BY3107" s="128"/>
      <c r="BZ3107" s="128"/>
      <c r="CA3107" s="128"/>
      <c r="CB3107" s="128"/>
      <c r="CC3107" s="128"/>
      <c r="CD3107" s="128"/>
      <c r="CE3107" s="128"/>
      <c r="CF3107" s="128"/>
      <c r="CG3107" s="128"/>
      <c r="CI3107" s="128"/>
      <c r="CJ3107" s="128"/>
      <c r="CK3107" s="128"/>
      <c r="CL3107" s="128"/>
      <c r="CM3107" s="128"/>
      <c r="CN3107" s="128"/>
      <c r="CO3107" s="128"/>
      <c r="CP3107" s="128"/>
      <c r="CQ3107" s="128"/>
      <c r="CR3107" s="128"/>
      <c r="CS3107" s="128"/>
      <c r="CT3107" s="128"/>
      <c r="CU3107" s="128"/>
      <c r="CV3107" s="128"/>
      <c r="CW3107" s="128"/>
      <c r="CX3107" s="128"/>
      <c r="CY3107" s="128"/>
      <c r="CZ3107" s="165"/>
    </row>
    <row r="3108" spans="1:104">
      <c r="A3108" s="149"/>
      <c r="B3108" s="149"/>
      <c r="C3108" s="150"/>
      <c r="D3108" s="102"/>
      <c r="E3108" s="149"/>
      <c r="F3108" s="149"/>
      <c r="G3108" s="149"/>
      <c r="H3108" s="149"/>
      <c r="I3108" s="149"/>
      <c r="J3108" s="149"/>
      <c r="K3108" s="149"/>
      <c r="L3108" s="149"/>
      <c r="M3108" s="149"/>
      <c r="N3108" s="149"/>
      <c r="O3108" s="149"/>
      <c r="P3108" s="149"/>
      <c r="Q3108" s="149"/>
      <c r="R3108" s="149"/>
      <c r="S3108" s="149"/>
      <c r="T3108" s="149"/>
      <c r="U3108" s="149"/>
      <c r="V3108" s="149"/>
      <c r="W3108" s="149"/>
      <c r="X3108" s="149"/>
      <c r="Y3108" s="149"/>
      <c r="Z3108" s="149"/>
      <c r="AA3108" s="149"/>
      <c r="AB3108" s="149"/>
      <c r="AC3108" s="149"/>
      <c r="AD3108" s="149"/>
      <c r="AE3108" s="149"/>
      <c r="AF3108" s="149"/>
      <c r="AG3108" s="149"/>
      <c r="AH3108" s="149"/>
      <c r="AI3108" s="149"/>
      <c r="AJ3108" s="149"/>
      <c r="AK3108" s="149"/>
      <c r="AL3108" s="149"/>
      <c r="AM3108" s="149"/>
      <c r="AN3108" s="149"/>
      <c r="AO3108" s="128"/>
      <c r="AP3108" s="128"/>
      <c r="AQ3108" s="128"/>
      <c r="AR3108" s="128"/>
      <c r="AS3108" s="128"/>
      <c r="AT3108" s="128"/>
      <c r="AU3108" s="128"/>
      <c r="AV3108" s="128"/>
      <c r="AW3108" s="128"/>
      <c r="AX3108" s="128"/>
      <c r="AY3108" s="128"/>
      <c r="AZ3108" s="128"/>
      <c r="BA3108" s="128"/>
      <c r="BB3108" s="128"/>
      <c r="BC3108" s="128"/>
      <c r="BD3108" s="128"/>
      <c r="BE3108" s="128"/>
      <c r="BF3108" s="128"/>
      <c r="BG3108" s="128"/>
      <c r="BH3108" s="128"/>
      <c r="BI3108" s="128"/>
      <c r="BJ3108" s="128"/>
      <c r="BK3108" s="128"/>
      <c r="BL3108" s="128"/>
      <c r="BM3108" s="151"/>
      <c r="BN3108" s="128"/>
      <c r="BO3108" s="128"/>
      <c r="BP3108" s="128"/>
      <c r="BQ3108" s="128"/>
      <c r="BR3108" s="128"/>
      <c r="BS3108" s="128"/>
      <c r="BT3108" s="128"/>
      <c r="BU3108" s="128"/>
      <c r="BV3108" s="128"/>
      <c r="BW3108" s="128"/>
      <c r="BX3108" s="128"/>
      <c r="BY3108" s="128"/>
      <c r="BZ3108" s="128"/>
      <c r="CA3108" s="128"/>
      <c r="CB3108" s="128"/>
      <c r="CC3108" s="128"/>
      <c r="CD3108" s="128"/>
      <c r="CE3108" s="128"/>
      <c r="CF3108" s="128"/>
      <c r="CG3108" s="128"/>
      <c r="CI3108" s="128"/>
      <c r="CJ3108" s="128"/>
      <c r="CK3108" s="128"/>
      <c r="CL3108" s="128"/>
      <c r="CM3108" s="128"/>
      <c r="CN3108" s="128"/>
      <c r="CO3108" s="128"/>
      <c r="CP3108" s="128"/>
      <c r="CQ3108" s="128"/>
      <c r="CR3108" s="128"/>
      <c r="CS3108" s="128"/>
      <c r="CT3108" s="128"/>
      <c r="CU3108" s="128"/>
      <c r="CV3108" s="128"/>
      <c r="CW3108" s="128"/>
      <c r="CX3108" s="128"/>
      <c r="CY3108" s="128"/>
      <c r="CZ3108" s="165"/>
    </row>
    <row r="3109" spans="1:104">
      <c r="A3109" s="149"/>
      <c r="B3109" s="149"/>
      <c r="C3109" s="150"/>
      <c r="D3109" s="102"/>
      <c r="E3109" s="149"/>
      <c r="F3109" s="149"/>
      <c r="G3109" s="149"/>
      <c r="H3109" s="149"/>
      <c r="I3109" s="149"/>
      <c r="J3109" s="149"/>
      <c r="K3109" s="149"/>
      <c r="L3109" s="149"/>
      <c r="M3109" s="149"/>
      <c r="N3109" s="149"/>
      <c r="O3109" s="149"/>
      <c r="P3109" s="149"/>
      <c r="Q3109" s="149"/>
      <c r="R3109" s="149"/>
      <c r="S3109" s="149"/>
      <c r="T3109" s="149"/>
      <c r="U3109" s="149"/>
      <c r="V3109" s="149"/>
      <c r="W3109" s="149"/>
      <c r="X3109" s="149"/>
      <c r="Y3109" s="149"/>
      <c r="Z3109" s="149"/>
      <c r="AA3109" s="149"/>
      <c r="AB3109" s="149"/>
      <c r="AC3109" s="149"/>
      <c r="AD3109" s="149"/>
      <c r="AE3109" s="149"/>
      <c r="AF3109" s="149"/>
      <c r="AG3109" s="149"/>
      <c r="AH3109" s="149"/>
      <c r="AI3109" s="149"/>
      <c r="AJ3109" s="149"/>
      <c r="AK3109" s="149"/>
      <c r="AL3109" s="149"/>
      <c r="AM3109" s="149"/>
      <c r="AN3109" s="149"/>
      <c r="AO3109" s="128"/>
      <c r="AP3109" s="128"/>
      <c r="AQ3109" s="128"/>
      <c r="AR3109" s="128"/>
      <c r="AS3109" s="128"/>
      <c r="AT3109" s="128"/>
      <c r="AU3109" s="128"/>
      <c r="AV3109" s="128"/>
      <c r="AW3109" s="128"/>
      <c r="AX3109" s="128"/>
      <c r="AY3109" s="128"/>
      <c r="AZ3109" s="128"/>
      <c r="BA3109" s="128"/>
      <c r="BB3109" s="128"/>
      <c r="BC3109" s="128"/>
      <c r="BD3109" s="128"/>
      <c r="BE3109" s="128"/>
      <c r="BF3109" s="128"/>
      <c r="BG3109" s="128"/>
      <c r="BH3109" s="128"/>
      <c r="BI3109" s="128"/>
      <c r="BJ3109" s="128"/>
      <c r="BK3109" s="128"/>
      <c r="BL3109" s="128"/>
      <c r="BM3109" s="151"/>
      <c r="BN3109" s="128"/>
      <c r="BO3109" s="128"/>
      <c r="BP3109" s="128"/>
      <c r="BQ3109" s="128"/>
      <c r="BR3109" s="128"/>
      <c r="BS3109" s="128"/>
      <c r="BT3109" s="128"/>
      <c r="BU3109" s="128"/>
      <c r="BV3109" s="128"/>
      <c r="BW3109" s="128"/>
      <c r="BX3109" s="128"/>
      <c r="BY3109" s="128"/>
      <c r="BZ3109" s="128"/>
      <c r="CA3109" s="128"/>
      <c r="CB3109" s="128"/>
      <c r="CC3109" s="128"/>
      <c r="CD3109" s="128"/>
      <c r="CE3109" s="128"/>
      <c r="CF3109" s="128"/>
      <c r="CG3109" s="128"/>
      <c r="CI3109" s="128"/>
      <c r="CJ3109" s="128"/>
      <c r="CK3109" s="128"/>
      <c r="CL3109" s="128"/>
      <c r="CM3109" s="128"/>
      <c r="CN3109" s="128"/>
      <c r="CO3109" s="128"/>
      <c r="CP3109" s="128"/>
      <c r="CQ3109" s="128"/>
      <c r="CR3109" s="128"/>
      <c r="CS3109" s="128"/>
      <c r="CT3109" s="128"/>
      <c r="CU3109" s="128"/>
      <c r="CV3109" s="128"/>
      <c r="CW3109" s="128"/>
      <c r="CX3109" s="128"/>
      <c r="CY3109" s="128"/>
      <c r="CZ3109" s="165"/>
    </row>
    <row r="3110" spans="1:104">
      <c r="A3110" s="149"/>
      <c r="B3110" s="149"/>
      <c r="C3110" s="150"/>
      <c r="D3110" s="102"/>
      <c r="E3110" s="149"/>
      <c r="F3110" s="149"/>
      <c r="G3110" s="149"/>
      <c r="H3110" s="149"/>
      <c r="I3110" s="149"/>
      <c r="J3110" s="149"/>
      <c r="K3110" s="149"/>
      <c r="L3110" s="149"/>
      <c r="M3110" s="149"/>
      <c r="N3110" s="149"/>
      <c r="O3110" s="149"/>
      <c r="P3110" s="149"/>
      <c r="Q3110" s="149"/>
      <c r="R3110" s="149"/>
      <c r="S3110" s="149"/>
      <c r="T3110" s="149"/>
      <c r="U3110" s="149"/>
      <c r="V3110" s="149"/>
      <c r="W3110" s="149"/>
      <c r="X3110" s="149"/>
      <c r="Y3110" s="149"/>
      <c r="Z3110" s="149"/>
      <c r="AA3110" s="149"/>
      <c r="AB3110" s="149"/>
      <c r="AC3110" s="149"/>
      <c r="AD3110" s="149"/>
      <c r="AE3110" s="149"/>
      <c r="AF3110" s="149"/>
      <c r="AG3110" s="149"/>
      <c r="AH3110" s="149"/>
      <c r="AI3110" s="149"/>
      <c r="AJ3110" s="149"/>
      <c r="AK3110" s="149"/>
      <c r="AL3110" s="149"/>
      <c r="AM3110" s="149"/>
      <c r="AN3110" s="149"/>
      <c r="AO3110" s="128"/>
      <c r="AP3110" s="128"/>
      <c r="AQ3110" s="128"/>
      <c r="AR3110" s="128"/>
      <c r="AS3110" s="128"/>
      <c r="AT3110" s="128"/>
      <c r="AU3110" s="128"/>
      <c r="AV3110" s="128"/>
      <c r="AW3110" s="128"/>
      <c r="AX3110" s="128"/>
      <c r="AY3110" s="128"/>
      <c r="AZ3110" s="128"/>
      <c r="BA3110" s="128"/>
      <c r="BB3110" s="128"/>
      <c r="BC3110" s="128"/>
      <c r="BD3110" s="128"/>
      <c r="BE3110" s="128"/>
      <c r="BF3110" s="128"/>
      <c r="BG3110" s="128"/>
      <c r="BH3110" s="128"/>
      <c r="BI3110" s="128"/>
      <c r="BJ3110" s="128"/>
      <c r="BK3110" s="128"/>
      <c r="BL3110" s="128"/>
      <c r="BM3110" s="151"/>
      <c r="BN3110" s="128"/>
      <c r="BO3110" s="128"/>
      <c r="BP3110" s="128"/>
      <c r="BQ3110" s="128"/>
      <c r="BR3110" s="128"/>
      <c r="BS3110" s="128"/>
      <c r="BT3110" s="128"/>
      <c r="BU3110" s="128"/>
      <c r="BV3110" s="128"/>
      <c r="BW3110" s="128"/>
      <c r="BX3110" s="128"/>
      <c r="BY3110" s="128"/>
      <c r="BZ3110" s="128"/>
      <c r="CA3110" s="128"/>
      <c r="CB3110" s="128"/>
      <c r="CC3110" s="128"/>
      <c r="CD3110" s="128"/>
      <c r="CE3110" s="128"/>
      <c r="CF3110" s="128"/>
      <c r="CG3110" s="128"/>
      <c r="CI3110" s="128"/>
      <c r="CJ3110" s="128"/>
      <c r="CK3110" s="128"/>
      <c r="CL3110" s="128"/>
      <c r="CM3110" s="128"/>
      <c r="CN3110" s="128"/>
      <c r="CO3110" s="128"/>
      <c r="CP3110" s="128"/>
      <c r="CQ3110" s="128"/>
      <c r="CR3110" s="128"/>
      <c r="CS3110" s="128"/>
      <c r="CT3110" s="128"/>
      <c r="CU3110" s="128"/>
      <c r="CV3110" s="128"/>
      <c r="CW3110" s="128"/>
      <c r="CX3110" s="128"/>
      <c r="CY3110" s="128"/>
      <c r="CZ3110" s="165"/>
    </row>
    <row r="3111" spans="1:104">
      <c r="A3111" s="149"/>
      <c r="B3111" s="149"/>
      <c r="C3111" s="150"/>
      <c r="D3111" s="102"/>
      <c r="E3111" s="149"/>
      <c r="F3111" s="149"/>
      <c r="G3111" s="149"/>
      <c r="H3111" s="149"/>
      <c r="I3111" s="149"/>
      <c r="J3111" s="149"/>
      <c r="K3111" s="149"/>
      <c r="L3111" s="149"/>
      <c r="M3111" s="149"/>
      <c r="N3111" s="149"/>
      <c r="O3111" s="149"/>
      <c r="P3111" s="149"/>
      <c r="Q3111" s="149"/>
      <c r="R3111" s="149"/>
      <c r="S3111" s="149"/>
      <c r="T3111" s="149"/>
      <c r="U3111" s="149"/>
      <c r="V3111" s="149"/>
      <c r="W3111" s="149"/>
      <c r="X3111" s="149"/>
      <c r="Y3111" s="149"/>
      <c r="Z3111" s="149"/>
      <c r="AA3111" s="149"/>
      <c r="AB3111" s="149"/>
      <c r="AC3111" s="149"/>
      <c r="AD3111" s="149"/>
      <c r="AE3111" s="149"/>
      <c r="AF3111" s="149"/>
      <c r="AG3111" s="149"/>
      <c r="AH3111" s="149"/>
      <c r="AI3111" s="149"/>
      <c r="AJ3111" s="149"/>
      <c r="AK3111" s="149"/>
      <c r="AL3111" s="149"/>
      <c r="AM3111" s="149"/>
      <c r="AN3111" s="149"/>
      <c r="AO3111" s="128"/>
      <c r="AP3111" s="128"/>
      <c r="AQ3111" s="128"/>
      <c r="AR3111" s="128"/>
      <c r="AS3111" s="128"/>
      <c r="AT3111" s="128"/>
      <c r="AU3111" s="128"/>
      <c r="AV3111" s="128"/>
      <c r="AW3111" s="128"/>
      <c r="AX3111" s="128"/>
      <c r="AY3111" s="128"/>
      <c r="AZ3111" s="128"/>
      <c r="BA3111" s="128"/>
      <c r="BB3111" s="128"/>
      <c r="BC3111" s="128"/>
      <c r="BD3111" s="128"/>
      <c r="BE3111" s="128"/>
      <c r="BF3111" s="128"/>
      <c r="BG3111" s="128"/>
      <c r="BH3111" s="128"/>
      <c r="BI3111" s="128"/>
      <c r="BJ3111" s="128"/>
      <c r="BK3111" s="128"/>
      <c r="BL3111" s="128"/>
      <c r="BM3111" s="151"/>
      <c r="BN3111" s="128"/>
      <c r="BO3111" s="128"/>
      <c r="BP3111" s="128"/>
      <c r="BQ3111" s="128"/>
      <c r="BR3111" s="128"/>
      <c r="BS3111" s="128"/>
      <c r="BT3111" s="128"/>
      <c r="BU3111" s="128"/>
      <c r="BV3111" s="128"/>
      <c r="BW3111" s="128"/>
      <c r="BX3111" s="128"/>
      <c r="BY3111" s="128"/>
      <c r="BZ3111" s="128"/>
      <c r="CA3111" s="128"/>
      <c r="CB3111" s="128"/>
      <c r="CC3111" s="128"/>
      <c r="CD3111" s="128"/>
      <c r="CE3111" s="128"/>
      <c r="CF3111" s="128"/>
      <c r="CG3111" s="128"/>
      <c r="CI3111" s="128"/>
      <c r="CJ3111" s="128"/>
      <c r="CK3111" s="128"/>
      <c r="CL3111" s="128"/>
      <c r="CM3111" s="128"/>
      <c r="CN3111" s="128"/>
      <c r="CO3111" s="128"/>
      <c r="CP3111" s="128"/>
      <c r="CQ3111" s="128"/>
      <c r="CR3111" s="128"/>
      <c r="CS3111" s="128"/>
      <c r="CT3111" s="128"/>
      <c r="CU3111" s="128"/>
      <c r="CV3111" s="128"/>
      <c r="CW3111" s="128"/>
      <c r="CX3111" s="128"/>
      <c r="CY3111" s="128"/>
      <c r="CZ3111" s="165"/>
    </row>
    <row r="3112" spans="1:104">
      <c r="A3112" s="149"/>
      <c r="B3112" s="149"/>
      <c r="C3112" s="150"/>
      <c r="D3112" s="102"/>
      <c r="E3112" s="149"/>
      <c r="F3112" s="149"/>
      <c r="G3112" s="149"/>
      <c r="H3112" s="149"/>
      <c r="I3112" s="149"/>
      <c r="J3112" s="149"/>
      <c r="K3112" s="149"/>
      <c r="L3112" s="149"/>
      <c r="M3112" s="149"/>
      <c r="N3112" s="149"/>
      <c r="O3112" s="149"/>
      <c r="P3112" s="149"/>
      <c r="Q3112" s="149"/>
      <c r="R3112" s="149"/>
      <c r="S3112" s="149"/>
      <c r="T3112" s="149"/>
      <c r="U3112" s="149"/>
      <c r="V3112" s="149"/>
      <c r="W3112" s="149"/>
      <c r="X3112" s="149"/>
      <c r="Y3112" s="149"/>
      <c r="Z3112" s="149"/>
      <c r="AA3112" s="149"/>
      <c r="AB3112" s="149"/>
      <c r="AC3112" s="149"/>
      <c r="AD3112" s="149"/>
      <c r="AE3112" s="149"/>
      <c r="AF3112" s="149"/>
      <c r="AG3112" s="149"/>
      <c r="AH3112" s="149"/>
      <c r="AI3112" s="149"/>
      <c r="AJ3112" s="149"/>
      <c r="AK3112" s="149"/>
      <c r="AL3112" s="149"/>
      <c r="AM3112" s="149"/>
      <c r="AN3112" s="149"/>
      <c r="AO3112" s="128"/>
      <c r="AP3112" s="128"/>
      <c r="AQ3112" s="128"/>
      <c r="AR3112" s="128"/>
      <c r="AS3112" s="128"/>
      <c r="AT3112" s="128"/>
      <c r="AU3112" s="128"/>
      <c r="AV3112" s="128"/>
      <c r="AW3112" s="128"/>
      <c r="AX3112" s="128"/>
      <c r="AY3112" s="128"/>
      <c r="AZ3112" s="128"/>
      <c r="BA3112" s="128"/>
      <c r="BB3112" s="128"/>
      <c r="BC3112" s="128"/>
      <c r="BD3112" s="128"/>
      <c r="BE3112" s="128"/>
      <c r="BF3112" s="128"/>
      <c r="BG3112" s="128"/>
      <c r="BH3112" s="128"/>
      <c r="BI3112" s="128"/>
      <c r="BJ3112" s="128"/>
      <c r="BK3112" s="128"/>
      <c r="BL3112" s="128"/>
      <c r="BM3112" s="151"/>
      <c r="BN3112" s="128"/>
      <c r="BO3112" s="128"/>
      <c r="BP3112" s="128"/>
      <c r="BQ3112" s="128"/>
      <c r="BR3112" s="128"/>
      <c r="BS3112" s="128"/>
      <c r="BT3112" s="128"/>
      <c r="BU3112" s="128"/>
      <c r="BV3112" s="128"/>
      <c r="BW3112" s="128"/>
      <c r="BX3112" s="128"/>
      <c r="BY3112" s="128"/>
      <c r="BZ3112" s="128"/>
      <c r="CA3112" s="128"/>
      <c r="CB3112" s="128"/>
      <c r="CC3112" s="128"/>
      <c r="CD3112" s="128"/>
      <c r="CE3112" s="128"/>
      <c r="CF3112" s="128"/>
      <c r="CG3112" s="128"/>
      <c r="CI3112" s="128"/>
      <c r="CJ3112" s="128"/>
      <c r="CK3112" s="128"/>
      <c r="CL3112" s="128"/>
      <c r="CM3112" s="128"/>
      <c r="CN3112" s="128"/>
      <c r="CO3112" s="128"/>
      <c r="CP3112" s="128"/>
      <c r="CQ3112" s="128"/>
      <c r="CR3112" s="128"/>
      <c r="CS3112" s="128"/>
      <c r="CT3112" s="128"/>
      <c r="CU3112" s="128"/>
      <c r="CV3112" s="128"/>
      <c r="CW3112" s="128"/>
      <c r="CX3112" s="128"/>
      <c r="CY3112" s="128"/>
      <c r="CZ3112" s="165"/>
    </row>
    <row r="3113" spans="1:104">
      <c r="A3113" s="149"/>
      <c r="B3113" s="149"/>
      <c r="C3113" s="150"/>
      <c r="D3113" s="102"/>
      <c r="E3113" s="149"/>
      <c r="F3113" s="149"/>
      <c r="G3113" s="149"/>
      <c r="H3113" s="149"/>
      <c r="I3113" s="149"/>
      <c r="J3113" s="149"/>
      <c r="K3113" s="149"/>
      <c r="L3113" s="149"/>
      <c r="M3113" s="149"/>
      <c r="N3113" s="149"/>
      <c r="O3113" s="149"/>
      <c r="P3113" s="149"/>
      <c r="Q3113" s="149"/>
      <c r="R3113" s="149"/>
      <c r="S3113" s="149"/>
      <c r="T3113" s="149"/>
      <c r="U3113" s="149"/>
      <c r="V3113" s="149"/>
      <c r="W3113" s="149"/>
      <c r="X3113" s="149"/>
      <c r="Y3113" s="149"/>
      <c r="Z3113" s="149"/>
      <c r="AA3113" s="149"/>
      <c r="AB3113" s="149"/>
      <c r="AC3113" s="149"/>
      <c r="AD3113" s="149"/>
      <c r="AE3113" s="149"/>
      <c r="AF3113" s="149"/>
      <c r="AG3113" s="149"/>
      <c r="AH3113" s="149"/>
      <c r="AI3113" s="149"/>
      <c r="AJ3113" s="149"/>
      <c r="AK3113" s="149"/>
      <c r="AL3113" s="149"/>
      <c r="AM3113" s="149"/>
      <c r="AN3113" s="149"/>
      <c r="AO3113" s="128"/>
      <c r="AP3113" s="128"/>
      <c r="AQ3113" s="128"/>
      <c r="AR3113" s="128"/>
      <c r="AS3113" s="128"/>
      <c r="AT3113" s="128"/>
      <c r="AU3113" s="128"/>
      <c r="AV3113" s="128"/>
      <c r="AW3113" s="128"/>
      <c r="AX3113" s="128"/>
      <c r="AY3113" s="128"/>
      <c r="AZ3113" s="128"/>
      <c r="BA3113" s="128"/>
      <c r="BB3113" s="128"/>
      <c r="BC3113" s="128"/>
      <c r="BD3113" s="128"/>
      <c r="BE3113" s="128"/>
      <c r="BF3113" s="128"/>
      <c r="BG3113" s="128"/>
      <c r="BH3113" s="128"/>
      <c r="BI3113" s="128"/>
      <c r="BJ3113" s="128"/>
      <c r="BK3113" s="128"/>
      <c r="BL3113" s="128"/>
      <c r="BM3113" s="151"/>
      <c r="BN3113" s="128"/>
      <c r="BO3113" s="128"/>
      <c r="BP3113" s="128"/>
      <c r="BQ3113" s="128"/>
      <c r="BR3113" s="128"/>
      <c r="BS3113" s="128"/>
      <c r="BT3113" s="128"/>
      <c r="BU3113" s="128"/>
      <c r="BV3113" s="128"/>
      <c r="BW3113" s="128"/>
      <c r="BX3113" s="128"/>
      <c r="BY3113" s="128"/>
      <c r="BZ3113" s="128"/>
      <c r="CA3113" s="128"/>
      <c r="CB3113" s="128"/>
      <c r="CC3113" s="128"/>
      <c r="CD3113" s="128"/>
      <c r="CE3113" s="128"/>
      <c r="CF3113" s="128"/>
      <c r="CG3113" s="128"/>
      <c r="CI3113" s="128"/>
      <c r="CJ3113" s="128"/>
      <c r="CK3113" s="128"/>
      <c r="CL3113" s="128"/>
      <c r="CM3113" s="128"/>
      <c r="CN3113" s="128"/>
      <c r="CO3113" s="128"/>
      <c r="CP3113" s="128"/>
      <c r="CQ3113" s="128"/>
      <c r="CR3113" s="128"/>
      <c r="CS3113" s="128"/>
      <c r="CT3113" s="128"/>
      <c r="CU3113" s="128"/>
      <c r="CV3113" s="128"/>
      <c r="CW3113" s="128"/>
      <c r="CX3113" s="128"/>
      <c r="CY3113" s="128"/>
      <c r="CZ3113" s="165"/>
    </row>
    <row r="3114" spans="1:104">
      <c r="A3114" s="149"/>
      <c r="B3114" s="149"/>
      <c r="C3114" s="150"/>
      <c r="D3114" s="102"/>
      <c r="E3114" s="149"/>
      <c r="F3114" s="149"/>
      <c r="G3114" s="149"/>
      <c r="H3114" s="149"/>
      <c r="I3114" s="149"/>
      <c r="J3114" s="149"/>
      <c r="K3114" s="149"/>
      <c r="L3114" s="149"/>
      <c r="M3114" s="149"/>
      <c r="N3114" s="149"/>
      <c r="O3114" s="149"/>
      <c r="P3114" s="149"/>
      <c r="Q3114" s="149"/>
      <c r="R3114" s="149"/>
      <c r="S3114" s="149"/>
      <c r="T3114" s="149"/>
      <c r="U3114" s="149"/>
      <c r="V3114" s="149"/>
      <c r="W3114" s="149"/>
      <c r="X3114" s="149"/>
      <c r="Y3114" s="149"/>
      <c r="Z3114" s="149"/>
      <c r="AA3114" s="149"/>
      <c r="AB3114" s="149"/>
      <c r="AC3114" s="149"/>
      <c r="AD3114" s="149"/>
      <c r="AE3114" s="149"/>
      <c r="AF3114" s="149"/>
      <c r="AG3114" s="149"/>
      <c r="AH3114" s="149"/>
      <c r="AI3114" s="149"/>
      <c r="AJ3114" s="149"/>
      <c r="AK3114" s="149"/>
      <c r="AL3114" s="149"/>
      <c r="AM3114" s="149"/>
      <c r="AN3114" s="149"/>
      <c r="AO3114" s="128"/>
      <c r="AP3114" s="128"/>
      <c r="AQ3114" s="128"/>
      <c r="AR3114" s="128"/>
      <c r="AS3114" s="128"/>
      <c r="AT3114" s="128"/>
      <c r="AU3114" s="128"/>
      <c r="AV3114" s="128"/>
      <c r="AW3114" s="128"/>
      <c r="AX3114" s="128"/>
      <c r="AY3114" s="128"/>
      <c r="AZ3114" s="128"/>
      <c r="BA3114" s="128"/>
      <c r="BB3114" s="128"/>
      <c r="BC3114" s="128"/>
      <c r="BD3114" s="128"/>
      <c r="BE3114" s="128"/>
      <c r="BF3114" s="128"/>
      <c r="BG3114" s="128"/>
      <c r="BH3114" s="128"/>
      <c r="BI3114" s="128"/>
      <c r="BJ3114" s="128"/>
      <c r="BK3114" s="128"/>
      <c r="BL3114" s="128"/>
      <c r="BM3114" s="151"/>
      <c r="BN3114" s="128"/>
      <c r="BO3114" s="128"/>
      <c r="BP3114" s="128"/>
      <c r="BQ3114" s="128"/>
      <c r="BR3114" s="128"/>
      <c r="BS3114" s="128"/>
      <c r="BT3114" s="128"/>
      <c r="BU3114" s="128"/>
      <c r="BV3114" s="128"/>
      <c r="BW3114" s="128"/>
      <c r="BX3114" s="128"/>
      <c r="BY3114" s="128"/>
      <c r="BZ3114" s="128"/>
      <c r="CA3114" s="128"/>
      <c r="CB3114" s="128"/>
      <c r="CC3114" s="128"/>
      <c r="CD3114" s="128"/>
      <c r="CE3114" s="128"/>
      <c r="CF3114" s="128"/>
      <c r="CG3114" s="128"/>
      <c r="CI3114" s="128"/>
      <c r="CJ3114" s="128"/>
      <c r="CK3114" s="128"/>
      <c r="CL3114" s="128"/>
      <c r="CM3114" s="128"/>
      <c r="CN3114" s="128"/>
      <c r="CO3114" s="128"/>
      <c r="CP3114" s="128"/>
      <c r="CQ3114" s="128"/>
      <c r="CR3114" s="128"/>
      <c r="CS3114" s="128"/>
      <c r="CT3114" s="128"/>
      <c r="CU3114" s="128"/>
      <c r="CV3114" s="128"/>
      <c r="CW3114" s="128"/>
      <c r="CX3114" s="128"/>
      <c r="CY3114" s="128"/>
      <c r="CZ3114" s="165"/>
    </row>
    <row r="3115" spans="1:104">
      <c r="A3115" s="149"/>
      <c r="B3115" s="149"/>
      <c r="C3115" s="150"/>
      <c r="D3115" s="102"/>
      <c r="E3115" s="149"/>
      <c r="F3115" s="149"/>
      <c r="G3115" s="149"/>
      <c r="H3115" s="149"/>
      <c r="I3115" s="149"/>
      <c r="J3115" s="149"/>
      <c r="K3115" s="149"/>
      <c r="L3115" s="149"/>
      <c r="M3115" s="149"/>
      <c r="N3115" s="149"/>
      <c r="O3115" s="149"/>
      <c r="P3115" s="149"/>
      <c r="Q3115" s="149"/>
      <c r="R3115" s="149"/>
      <c r="S3115" s="149"/>
      <c r="T3115" s="149"/>
      <c r="U3115" s="149"/>
      <c r="V3115" s="149"/>
      <c r="W3115" s="149"/>
      <c r="X3115" s="149"/>
      <c r="Y3115" s="149"/>
      <c r="Z3115" s="149"/>
      <c r="AA3115" s="149"/>
      <c r="AB3115" s="149"/>
      <c r="AC3115" s="149"/>
      <c r="AD3115" s="149"/>
      <c r="AE3115" s="149"/>
      <c r="AF3115" s="149"/>
      <c r="AG3115" s="149"/>
      <c r="AH3115" s="149"/>
      <c r="AI3115" s="149"/>
      <c r="AJ3115" s="149"/>
      <c r="AK3115" s="149"/>
      <c r="AL3115" s="149"/>
      <c r="AM3115" s="149"/>
      <c r="AN3115" s="149"/>
      <c r="AO3115" s="128"/>
      <c r="AP3115" s="128"/>
      <c r="AQ3115" s="128"/>
      <c r="AR3115" s="128"/>
      <c r="AS3115" s="128"/>
      <c r="AT3115" s="128"/>
      <c r="AU3115" s="128"/>
      <c r="AV3115" s="128"/>
      <c r="AW3115" s="128"/>
      <c r="AX3115" s="128"/>
      <c r="AY3115" s="128"/>
      <c r="AZ3115" s="128"/>
      <c r="BA3115" s="128"/>
      <c r="BB3115" s="128"/>
      <c r="BC3115" s="128"/>
      <c r="BD3115" s="128"/>
      <c r="BE3115" s="128"/>
      <c r="BF3115" s="128"/>
      <c r="BG3115" s="128"/>
      <c r="BH3115" s="128"/>
      <c r="BI3115" s="128"/>
      <c r="BJ3115" s="128"/>
      <c r="BK3115" s="128"/>
      <c r="BL3115" s="128"/>
      <c r="BM3115" s="151"/>
      <c r="BN3115" s="128"/>
      <c r="BO3115" s="128"/>
      <c r="BP3115" s="128"/>
      <c r="BQ3115" s="128"/>
      <c r="BR3115" s="128"/>
      <c r="BS3115" s="128"/>
      <c r="BT3115" s="128"/>
      <c r="BU3115" s="128"/>
      <c r="BV3115" s="128"/>
      <c r="BW3115" s="128"/>
      <c r="BX3115" s="128"/>
      <c r="BY3115" s="128"/>
      <c r="BZ3115" s="128"/>
      <c r="CA3115" s="128"/>
      <c r="CB3115" s="128"/>
      <c r="CC3115" s="128"/>
      <c r="CD3115" s="128"/>
      <c r="CE3115" s="128"/>
      <c r="CF3115" s="128"/>
      <c r="CG3115" s="128"/>
      <c r="CI3115" s="128"/>
      <c r="CJ3115" s="128"/>
      <c r="CK3115" s="128"/>
      <c r="CL3115" s="128"/>
      <c r="CM3115" s="128"/>
      <c r="CN3115" s="128"/>
      <c r="CO3115" s="128"/>
      <c r="CP3115" s="128"/>
      <c r="CQ3115" s="128"/>
      <c r="CR3115" s="128"/>
      <c r="CS3115" s="128"/>
      <c r="CT3115" s="128"/>
      <c r="CU3115" s="128"/>
      <c r="CV3115" s="128"/>
      <c r="CW3115" s="128"/>
      <c r="CX3115" s="128"/>
      <c r="CY3115" s="128"/>
      <c r="CZ3115" s="165"/>
    </row>
    <row r="3116" spans="1:104">
      <c r="A3116" s="149"/>
      <c r="B3116" s="149"/>
      <c r="C3116" s="150"/>
      <c r="D3116" s="102"/>
      <c r="E3116" s="149"/>
      <c r="F3116" s="149"/>
      <c r="G3116" s="149"/>
      <c r="H3116" s="149"/>
      <c r="I3116" s="149"/>
      <c r="J3116" s="149"/>
      <c r="K3116" s="149"/>
      <c r="L3116" s="149"/>
      <c r="M3116" s="149"/>
      <c r="N3116" s="149"/>
      <c r="O3116" s="149"/>
      <c r="P3116" s="149"/>
      <c r="Q3116" s="149"/>
      <c r="R3116" s="149"/>
      <c r="S3116" s="149"/>
      <c r="T3116" s="149"/>
      <c r="U3116" s="149"/>
      <c r="V3116" s="149"/>
      <c r="W3116" s="149"/>
      <c r="X3116" s="149"/>
      <c r="Y3116" s="149"/>
      <c r="Z3116" s="149"/>
      <c r="AA3116" s="149"/>
      <c r="AB3116" s="149"/>
      <c r="AC3116" s="149"/>
      <c r="AD3116" s="149"/>
      <c r="AE3116" s="149"/>
      <c r="AF3116" s="149"/>
      <c r="AG3116" s="149"/>
      <c r="AH3116" s="149"/>
      <c r="AI3116" s="149"/>
      <c r="AJ3116" s="149"/>
      <c r="AK3116" s="149"/>
      <c r="AL3116" s="149"/>
      <c r="AM3116" s="149"/>
      <c r="AN3116" s="149"/>
      <c r="AO3116" s="128"/>
      <c r="AP3116" s="128"/>
      <c r="AQ3116" s="128"/>
      <c r="AR3116" s="128"/>
      <c r="AS3116" s="128"/>
      <c r="AT3116" s="128"/>
      <c r="AU3116" s="128"/>
      <c r="AV3116" s="128"/>
      <c r="AW3116" s="128"/>
      <c r="AX3116" s="128"/>
      <c r="AY3116" s="128"/>
      <c r="AZ3116" s="128"/>
      <c r="BA3116" s="128"/>
      <c r="BB3116" s="128"/>
      <c r="BC3116" s="128"/>
      <c r="BD3116" s="128"/>
      <c r="BE3116" s="128"/>
      <c r="BF3116" s="128"/>
      <c r="BG3116" s="128"/>
      <c r="BH3116" s="128"/>
      <c r="BI3116" s="128"/>
      <c r="BJ3116" s="128"/>
      <c r="BK3116" s="128"/>
      <c r="BL3116" s="128"/>
      <c r="BM3116" s="151"/>
      <c r="BN3116" s="128"/>
      <c r="BO3116" s="128"/>
      <c r="BP3116" s="128"/>
      <c r="BQ3116" s="128"/>
      <c r="BR3116" s="128"/>
      <c r="BS3116" s="128"/>
      <c r="BT3116" s="128"/>
      <c r="BU3116" s="128"/>
      <c r="BV3116" s="128"/>
      <c r="BW3116" s="128"/>
      <c r="BX3116" s="128"/>
      <c r="BY3116" s="128"/>
      <c r="BZ3116" s="128"/>
      <c r="CA3116" s="128"/>
      <c r="CB3116" s="128"/>
      <c r="CC3116" s="128"/>
      <c r="CD3116" s="128"/>
      <c r="CE3116" s="128"/>
      <c r="CF3116" s="128"/>
      <c r="CG3116" s="128"/>
      <c r="CI3116" s="128"/>
      <c r="CJ3116" s="128"/>
      <c r="CK3116" s="128"/>
      <c r="CL3116" s="128"/>
      <c r="CM3116" s="128"/>
      <c r="CN3116" s="128"/>
      <c r="CO3116" s="128"/>
      <c r="CP3116" s="128"/>
      <c r="CQ3116" s="128"/>
      <c r="CR3116" s="128"/>
      <c r="CS3116" s="128"/>
      <c r="CT3116" s="128"/>
      <c r="CU3116" s="128"/>
      <c r="CV3116" s="128"/>
      <c r="CW3116" s="128"/>
      <c r="CX3116" s="128"/>
      <c r="CY3116" s="128"/>
      <c r="CZ3116" s="165"/>
    </row>
    <row r="3117" spans="1:104">
      <c r="A3117" s="149"/>
      <c r="B3117" s="149"/>
      <c r="C3117" s="150"/>
      <c r="D3117" s="102"/>
      <c r="E3117" s="149"/>
      <c r="F3117" s="149"/>
      <c r="G3117" s="149"/>
      <c r="H3117" s="149"/>
      <c r="I3117" s="149"/>
      <c r="J3117" s="149"/>
      <c r="K3117" s="149"/>
      <c r="L3117" s="149"/>
      <c r="M3117" s="149"/>
      <c r="N3117" s="149"/>
      <c r="O3117" s="149"/>
      <c r="P3117" s="149"/>
      <c r="Q3117" s="149"/>
      <c r="R3117" s="149"/>
      <c r="S3117" s="149"/>
      <c r="T3117" s="149"/>
      <c r="U3117" s="149"/>
      <c r="V3117" s="149"/>
      <c r="W3117" s="149"/>
      <c r="X3117" s="149"/>
      <c r="Y3117" s="149"/>
      <c r="Z3117" s="149"/>
      <c r="AA3117" s="149"/>
      <c r="AB3117" s="149"/>
      <c r="AC3117" s="149"/>
      <c r="AD3117" s="149"/>
      <c r="AE3117" s="149"/>
      <c r="AF3117" s="149"/>
      <c r="AG3117" s="149"/>
      <c r="AH3117" s="149"/>
      <c r="AI3117" s="149"/>
      <c r="AJ3117" s="149"/>
      <c r="AK3117" s="149"/>
      <c r="AL3117" s="149"/>
      <c r="AM3117" s="149"/>
      <c r="AN3117" s="149"/>
      <c r="AO3117" s="128"/>
      <c r="AP3117" s="128"/>
      <c r="AQ3117" s="128"/>
      <c r="AR3117" s="128"/>
      <c r="AS3117" s="128"/>
      <c r="AT3117" s="128"/>
      <c r="AU3117" s="128"/>
      <c r="AV3117" s="128"/>
      <c r="AW3117" s="128"/>
      <c r="AX3117" s="128"/>
      <c r="AY3117" s="128"/>
      <c r="AZ3117" s="128"/>
      <c r="BA3117" s="128"/>
      <c r="BB3117" s="128"/>
      <c r="BC3117" s="128"/>
      <c r="BD3117" s="128"/>
      <c r="BE3117" s="128"/>
      <c r="BF3117" s="128"/>
      <c r="BG3117" s="128"/>
      <c r="BH3117" s="128"/>
      <c r="BI3117" s="128"/>
      <c r="BJ3117" s="128"/>
      <c r="BK3117" s="128"/>
      <c r="BL3117" s="128"/>
      <c r="BM3117" s="151"/>
      <c r="BN3117" s="128"/>
      <c r="BO3117" s="128"/>
      <c r="BP3117" s="128"/>
      <c r="BQ3117" s="128"/>
      <c r="BR3117" s="128"/>
      <c r="BS3117" s="128"/>
      <c r="BT3117" s="128"/>
      <c r="BU3117" s="128"/>
      <c r="BV3117" s="128"/>
      <c r="BW3117" s="128"/>
      <c r="BX3117" s="128"/>
      <c r="BY3117" s="128"/>
      <c r="BZ3117" s="128"/>
      <c r="CA3117" s="128"/>
      <c r="CB3117" s="128"/>
      <c r="CC3117" s="128"/>
      <c r="CD3117" s="128"/>
      <c r="CE3117" s="128"/>
      <c r="CF3117" s="128"/>
      <c r="CG3117" s="128"/>
      <c r="CI3117" s="128"/>
      <c r="CJ3117" s="128"/>
      <c r="CK3117" s="128"/>
      <c r="CL3117" s="128"/>
      <c r="CM3117" s="128"/>
      <c r="CN3117" s="128"/>
      <c r="CO3117" s="128"/>
      <c r="CP3117" s="128"/>
      <c r="CQ3117" s="128"/>
      <c r="CR3117" s="128"/>
      <c r="CS3117" s="128"/>
      <c r="CT3117" s="128"/>
      <c r="CU3117" s="128"/>
      <c r="CV3117" s="128"/>
      <c r="CW3117" s="128"/>
      <c r="CX3117" s="128"/>
      <c r="CY3117" s="128"/>
      <c r="CZ3117" s="165"/>
    </row>
    <row r="3118" spans="1:104">
      <c r="A3118" s="149"/>
      <c r="B3118" s="149"/>
      <c r="C3118" s="150"/>
      <c r="D3118" s="102"/>
      <c r="E3118" s="149"/>
      <c r="F3118" s="149"/>
      <c r="G3118" s="149"/>
      <c r="H3118" s="149"/>
      <c r="I3118" s="149"/>
      <c r="J3118" s="149"/>
      <c r="K3118" s="149"/>
      <c r="L3118" s="149"/>
      <c r="M3118" s="149"/>
      <c r="N3118" s="149"/>
      <c r="O3118" s="149"/>
      <c r="P3118" s="149"/>
      <c r="Q3118" s="149"/>
      <c r="R3118" s="149"/>
      <c r="S3118" s="149"/>
      <c r="T3118" s="149"/>
      <c r="U3118" s="149"/>
      <c r="V3118" s="149"/>
      <c r="W3118" s="149"/>
      <c r="X3118" s="149"/>
      <c r="Y3118" s="149"/>
      <c r="Z3118" s="149"/>
      <c r="AA3118" s="149"/>
      <c r="AB3118" s="149"/>
      <c r="AC3118" s="149"/>
      <c r="AD3118" s="149"/>
      <c r="AE3118" s="149"/>
      <c r="AF3118" s="149"/>
      <c r="AG3118" s="149"/>
      <c r="AH3118" s="149"/>
      <c r="AI3118" s="149"/>
      <c r="AJ3118" s="149"/>
      <c r="AK3118" s="149"/>
      <c r="AL3118" s="149"/>
      <c r="AM3118" s="149"/>
      <c r="AN3118" s="149"/>
      <c r="AO3118" s="128"/>
      <c r="AP3118" s="128"/>
      <c r="AQ3118" s="128"/>
      <c r="AR3118" s="128"/>
      <c r="AS3118" s="128"/>
      <c r="AT3118" s="128"/>
      <c r="AU3118" s="128"/>
      <c r="AV3118" s="128"/>
      <c r="AW3118" s="128"/>
      <c r="AX3118" s="128"/>
      <c r="AY3118" s="128"/>
      <c r="AZ3118" s="128"/>
      <c r="BA3118" s="128"/>
      <c r="BB3118" s="128"/>
      <c r="BC3118" s="128"/>
      <c r="BD3118" s="128"/>
      <c r="BE3118" s="128"/>
      <c r="BF3118" s="128"/>
      <c r="BG3118" s="128"/>
      <c r="BH3118" s="128"/>
      <c r="BI3118" s="128"/>
      <c r="BJ3118" s="128"/>
      <c r="BK3118" s="128"/>
      <c r="BL3118" s="128"/>
      <c r="BM3118" s="151"/>
      <c r="BN3118" s="128"/>
      <c r="BO3118" s="128"/>
      <c r="BP3118" s="128"/>
      <c r="BQ3118" s="128"/>
      <c r="BR3118" s="128"/>
      <c r="BS3118" s="128"/>
      <c r="BT3118" s="128"/>
      <c r="BU3118" s="128"/>
      <c r="BV3118" s="128"/>
      <c r="BW3118" s="128"/>
      <c r="BX3118" s="128"/>
      <c r="BY3118" s="128"/>
      <c r="BZ3118" s="128"/>
      <c r="CA3118" s="128"/>
      <c r="CB3118" s="128"/>
      <c r="CC3118" s="128"/>
      <c r="CD3118" s="128"/>
      <c r="CE3118" s="128"/>
      <c r="CF3118" s="128"/>
      <c r="CG3118" s="128"/>
      <c r="CI3118" s="128"/>
      <c r="CJ3118" s="128"/>
      <c r="CK3118" s="128"/>
      <c r="CL3118" s="128"/>
      <c r="CM3118" s="128"/>
      <c r="CN3118" s="128"/>
      <c r="CO3118" s="128"/>
      <c r="CP3118" s="128"/>
      <c r="CQ3118" s="128"/>
      <c r="CR3118" s="128"/>
      <c r="CS3118" s="128"/>
      <c r="CT3118" s="128"/>
      <c r="CU3118" s="128"/>
      <c r="CV3118" s="128"/>
      <c r="CW3118" s="128"/>
      <c r="CX3118" s="128"/>
      <c r="CY3118" s="128"/>
      <c r="CZ3118" s="165"/>
    </row>
    <row r="3119" spans="1:104">
      <c r="A3119" s="149"/>
      <c r="B3119" s="149"/>
      <c r="C3119" s="150"/>
      <c r="D3119" s="102"/>
      <c r="E3119" s="149"/>
      <c r="F3119" s="149"/>
      <c r="G3119" s="149"/>
      <c r="H3119" s="149"/>
      <c r="I3119" s="149"/>
      <c r="J3119" s="149"/>
      <c r="K3119" s="149"/>
      <c r="L3119" s="149"/>
      <c r="M3119" s="149"/>
      <c r="N3119" s="149"/>
      <c r="O3119" s="149"/>
      <c r="P3119" s="149"/>
      <c r="Q3119" s="149"/>
      <c r="R3119" s="149"/>
      <c r="S3119" s="149"/>
      <c r="T3119" s="149"/>
      <c r="U3119" s="149"/>
      <c r="V3119" s="149"/>
      <c r="W3119" s="149"/>
      <c r="X3119" s="149"/>
      <c r="Y3119" s="149"/>
      <c r="Z3119" s="149"/>
      <c r="AA3119" s="149"/>
      <c r="AB3119" s="149"/>
      <c r="AC3119" s="149"/>
      <c r="AD3119" s="149"/>
      <c r="AE3119" s="149"/>
      <c r="AF3119" s="149"/>
      <c r="AG3119" s="149"/>
      <c r="AH3119" s="149"/>
      <c r="AI3119" s="149"/>
      <c r="AJ3119" s="149"/>
      <c r="AK3119" s="149"/>
      <c r="AL3119" s="149"/>
      <c r="AM3119" s="149"/>
      <c r="AN3119" s="149"/>
      <c r="AO3119" s="128"/>
      <c r="AP3119" s="128"/>
      <c r="AQ3119" s="128"/>
      <c r="AR3119" s="128"/>
      <c r="AS3119" s="128"/>
      <c r="AT3119" s="128"/>
      <c r="AU3119" s="128"/>
      <c r="AV3119" s="128"/>
      <c r="AW3119" s="128"/>
      <c r="AX3119" s="128"/>
      <c r="AY3119" s="128"/>
      <c r="AZ3119" s="128"/>
      <c r="BA3119" s="128"/>
      <c r="BB3119" s="128"/>
      <c r="BC3119" s="128"/>
      <c r="BD3119" s="128"/>
      <c r="BE3119" s="128"/>
      <c r="BF3119" s="128"/>
      <c r="BG3119" s="128"/>
      <c r="BH3119" s="128"/>
      <c r="BI3119" s="128"/>
      <c r="BJ3119" s="128"/>
      <c r="BK3119" s="128"/>
      <c r="BL3119" s="128"/>
      <c r="BM3119" s="151"/>
      <c r="BN3119" s="128"/>
      <c r="BO3119" s="128"/>
      <c r="BP3119" s="128"/>
      <c r="BQ3119" s="128"/>
      <c r="BR3119" s="128"/>
      <c r="BS3119" s="128"/>
      <c r="BT3119" s="128"/>
      <c r="BU3119" s="128"/>
      <c r="BV3119" s="128"/>
      <c r="BW3119" s="128"/>
      <c r="BX3119" s="128"/>
      <c r="BY3119" s="128"/>
      <c r="BZ3119" s="128"/>
      <c r="CA3119" s="128"/>
      <c r="CB3119" s="128"/>
      <c r="CC3119" s="128"/>
      <c r="CD3119" s="128"/>
      <c r="CE3119" s="128"/>
      <c r="CF3119" s="128"/>
      <c r="CG3119" s="128"/>
      <c r="CI3119" s="128"/>
      <c r="CJ3119" s="128"/>
      <c r="CK3119" s="128"/>
      <c r="CL3119" s="128"/>
      <c r="CM3119" s="128"/>
      <c r="CN3119" s="128"/>
      <c r="CO3119" s="128"/>
      <c r="CP3119" s="128"/>
      <c r="CQ3119" s="128"/>
      <c r="CR3119" s="128"/>
      <c r="CS3119" s="128"/>
      <c r="CT3119" s="128"/>
      <c r="CU3119" s="128"/>
      <c r="CV3119" s="128"/>
      <c r="CW3119" s="128"/>
      <c r="CX3119" s="128"/>
      <c r="CY3119" s="128"/>
      <c r="CZ3119" s="165"/>
    </row>
    <row r="3120" spans="1:104">
      <c r="A3120" s="149"/>
      <c r="B3120" s="149"/>
      <c r="C3120" s="150"/>
      <c r="D3120" s="102"/>
      <c r="E3120" s="149"/>
      <c r="F3120" s="149"/>
      <c r="G3120" s="149"/>
      <c r="H3120" s="149"/>
      <c r="I3120" s="149"/>
      <c r="J3120" s="149"/>
      <c r="K3120" s="149"/>
      <c r="L3120" s="149"/>
      <c r="M3120" s="149"/>
      <c r="N3120" s="149"/>
      <c r="O3120" s="149"/>
      <c r="P3120" s="149"/>
      <c r="Q3120" s="149"/>
      <c r="R3120" s="149"/>
      <c r="S3120" s="149"/>
      <c r="T3120" s="149"/>
      <c r="U3120" s="149"/>
      <c r="V3120" s="149"/>
      <c r="W3120" s="149"/>
      <c r="X3120" s="149"/>
      <c r="Y3120" s="149"/>
      <c r="Z3120" s="149"/>
      <c r="AA3120" s="149"/>
      <c r="AB3120" s="149"/>
      <c r="AC3120" s="149"/>
      <c r="AD3120" s="149"/>
      <c r="AE3120" s="149"/>
      <c r="AF3120" s="149"/>
      <c r="AG3120" s="149"/>
      <c r="AH3120" s="149"/>
      <c r="AI3120" s="149"/>
      <c r="AJ3120" s="149"/>
      <c r="AK3120" s="149"/>
      <c r="AL3120" s="149"/>
      <c r="AM3120" s="149"/>
      <c r="AN3120" s="149"/>
      <c r="AO3120" s="128"/>
      <c r="AP3120" s="128"/>
      <c r="AQ3120" s="128"/>
      <c r="AR3120" s="128"/>
      <c r="AS3120" s="128"/>
      <c r="AT3120" s="128"/>
      <c r="AU3120" s="128"/>
      <c r="AV3120" s="128"/>
      <c r="AW3120" s="128"/>
      <c r="AX3120" s="128"/>
      <c r="AY3120" s="128"/>
      <c r="AZ3120" s="128"/>
      <c r="BA3120" s="128"/>
      <c r="BB3120" s="128"/>
      <c r="BC3120" s="128"/>
      <c r="BD3120" s="128"/>
      <c r="BE3120" s="128"/>
      <c r="BF3120" s="128"/>
      <c r="BG3120" s="128"/>
      <c r="BH3120" s="128"/>
      <c r="BI3120" s="128"/>
      <c r="BJ3120" s="128"/>
      <c r="BK3120" s="128"/>
      <c r="BL3120" s="128"/>
      <c r="BM3120" s="151"/>
      <c r="BN3120" s="128"/>
      <c r="BO3120" s="128"/>
      <c r="BP3120" s="128"/>
      <c r="BQ3120" s="128"/>
      <c r="BR3120" s="128"/>
      <c r="BS3120" s="128"/>
      <c r="BT3120" s="128"/>
      <c r="BU3120" s="128"/>
      <c r="BV3120" s="128"/>
      <c r="BW3120" s="128"/>
      <c r="BX3120" s="128"/>
      <c r="BY3120" s="128"/>
      <c r="BZ3120" s="128"/>
      <c r="CA3120" s="128"/>
      <c r="CB3120" s="128"/>
      <c r="CC3120" s="128"/>
      <c r="CD3120" s="128"/>
      <c r="CE3120" s="128"/>
      <c r="CF3120" s="128"/>
      <c r="CG3120" s="128"/>
      <c r="CI3120" s="128"/>
      <c r="CJ3120" s="128"/>
      <c r="CK3120" s="128"/>
      <c r="CL3120" s="128"/>
      <c r="CM3120" s="128"/>
      <c r="CN3120" s="128"/>
      <c r="CO3120" s="128"/>
      <c r="CP3120" s="128"/>
      <c r="CQ3120" s="128"/>
      <c r="CR3120" s="128"/>
      <c r="CS3120" s="128"/>
      <c r="CT3120" s="128"/>
      <c r="CU3120" s="128"/>
      <c r="CV3120" s="128"/>
      <c r="CW3120" s="128"/>
      <c r="CX3120" s="128"/>
      <c r="CY3120" s="128"/>
      <c r="CZ3120" s="165"/>
    </row>
    <row r="3121" spans="1:104">
      <c r="A3121" s="149"/>
      <c r="B3121" s="149"/>
      <c r="C3121" s="150"/>
      <c r="D3121" s="102"/>
      <c r="E3121" s="149"/>
      <c r="F3121" s="149"/>
      <c r="G3121" s="149"/>
      <c r="H3121" s="149"/>
      <c r="I3121" s="149"/>
      <c r="J3121" s="149"/>
      <c r="K3121" s="149"/>
      <c r="L3121" s="149"/>
      <c r="M3121" s="149"/>
      <c r="N3121" s="149"/>
      <c r="O3121" s="149"/>
      <c r="P3121" s="149"/>
      <c r="Q3121" s="149"/>
      <c r="R3121" s="149"/>
      <c r="S3121" s="149"/>
      <c r="T3121" s="149"/>
      <c r="U3121" s="149"/>
      <c r="V3121" s="149"/>
      <c r="W3121" s="149"/>
      <c r="X3121" s="149"/>
      <c r="Y3121" s="149"/>
      <c r="Z3121" s="149"/>
      <c r="AA3121" s="149"/>
      <c r="AB3121" s="149"/>
      <c r="AC3121" s="149"/>
      <c r="AD3121" s="149"/>
      <c r="AE3121" s="149"/>
      <c r="AF3121" s="149"/>
      <c r="AG3121" s="149"/>
      <c r="AH3121" s="149"/>
      <c r="AI3121" s="149"/>
      <c r="AJ3121" s="149"/>
      <c r="AK3121" s="149"/>
      <c r="AL3121" s="149"/>
      <c r="AM3121" s="149"/>
      <c r="AN3121" s="149"/>
      <c r="AO3121" s="128"/>
      <c r="AP3121" s="128"/>
      <c r="AQ3121" s="128"/>
      <c r="AR3121" s="128"/>
      <c r="AS3121" s="128"/>
      <c r="AT3121" s="128"/>
      <c r="AU3121" s="128"/>
      <c r="AV3121" s="128"/>
      <c r="AW3121" s="128"/>
      <c r="AX3121" s="128"/>
      <c r="AY3121" s="128"/>
      <c r="AZ3121" s="128"/>
      <c r="BA3121" s="128"/>
      <c r="BB3121" s="128"/>
      <c r="BC3121" s="128"/>
      <c r="BD3121" s="128"/>
      <c r="BE3121" s="128"/>
      <c r="BF3121" s="128"/>
      <c r="BG3121" s="128"/>
      <c r="BH3121" s="128"/>
      <c r="BI3121" s="128"/>
      <c r="BJ3121" s="128"/>
      <c r="BK3121" s="128"/>
      <c r="BL3121" s="128"/>
      <c r="BM3121" s="151"/>
      <c r="BN3121" s="128"/>
      <c r="BO3121" s="128"/>
      <c r="BP3121" s="128"/>
      <c r="BQ3121" s="128"/>
      <c r="BR3121" s="128"/>
      <c r="BS3121" s="128"/>
      <c r="BT3121" s="128"/>
      <c r="BU3121" s="128"/>
      <c r="BV3121" s="128"/>
      <c r="BW3121" s="128"/>
      <c r="BX3121" s="128"/>
      <c r="BY3121" s="128"/>
      <c r="BZ3121" s="128"/>
      <c r="CA3121" s="128"/>
      <c r="CB3121" s="128"/>
      <c r="CC3121" s="128"/>
      <c r="CD3121" s="128"/>
      <c r="CE3121" s="128"/>
      <c r="CF3121" s="128"/>
      <c r="CG3121" s="128"/>
      <c r="CI3121" s="128"/>
      <c r="CJ3121" s="128"/>
      <c r="CK3121" s="128"/>
      <c r="CL3121" s="128"/>
      <c r="CM3121" s="128"/>
      <c r="CN3121" s="128"/>
      <c r="CO3121" s="128"/>
      <c r="CP3121" s="128"/>
      <c r="CQ3121" s="128"/>
      <c r="CR3121" s="128"/>
      <c r="CS3121" s="128"/>
      <c r="CT3121" s="128"/>
      <c r="CU3121" s="128"/>
      <c r="CV3121" s="128"/>
      <c r="CW3121" s="128"/>
      <c r="CX3121" s="128"/>
      <c r="CY3121" s="128"/>
      <c r="CZ3121" s="165"/>
    </row>
    <row r="3122" spans="1:104">
      <c r="A3122" s="149"/>
      <c r="B3122" s="149"/>
      <c r="C3122" s="150"/>
      <c r="D3122" s="102"/>
      <c r="E3122" s="149"/>
      <c r="F3122" s="149"/>
      <c r="G3122" s="149"/>
      <c r="H3122" s="149"/>
      <c r="I3122" s="149"/>
      <c r="J3122" s="149"/>
      <c r="K3122" s="149"/>
      <c r="L3122" s="149"/>
      <c r="M3122" s="149"/>
      <c r="N3122" s="149"/>
      <c r="O3122" s="149"/>
      <c r="P3122" s="149"/>
      <c r="Q3122" s="149"/>
      <c r="R3122" s="149"/>
      <c r="S3122" s="149"/>
      <c r="T3122" s="149"/>
      <c r="U3122" s="149"/>
      <c r="V3122" s="149"/>
      <c r="W3122" s="149"/>
      <c r="X3122" s="149"/>
      <c r="Y3122" s="149"/>
      <c r="Z3122" s="149"/>
      <c r="AA3122" s="149"/>
      <c r="AB3122" s="149"/>
      <c r="AC3122" s="149"/>
      <c r="AD3122" s="149"/>
      <c r="AE3122" s="149"/>
      <c r="AF3122" s="149"/>
      <c r="AG3122" s="149"/>
      <c r="AH3122" s="149"/>
      <c r="AI3122" s="149"/>
      <c r="AJ3122" s="149"/>
      <c r="AK3122" s="149"/>
      <c r="AL3122" s="149"/>
      <c r="AM3122" s="149"/>
      <c r="AN3122" s="149"/>
      <c r="AO3122" s="128"/>
      <c r="AP3122" s="128"/>
      <c r="AQ3122" s="128"/>
      <c r="AR3122" s="128"/>
      <c r="AS3122" s="128"/>
      <c r="AT3122" s="128"/>
      <c r="AU3122" s="128"/>
      <c r="AV3122" s="128"/>
      <c r="AW3122" s="128"/>
      <c r="AX3122" s="128"/>
      <c r="AY3122" s="128"/>
      <c r="AZ3122" s="128"/>
      <c r="BA3122" s="128"/>
      <c r="BB3122" s="128"/>
      <c r="BC3122" s="128"/>
      <c r="BD3122" s="128"/>
      <c r="BE3122" s="128"/>
      <c r="BF3122" s="128"/>
      <c r="BG3122" s="128"/>
      <c r="BH3122" s="128"/>
      <c r="BI3122" s="128"/>
      <c r="BJ3122" s="128"/>
      <c r="BK3122" s="128"/>
      <c r="BL3122" s="128"/>
      <c r="BM3122" s="151"/>
      <c r="BN3122" s="128"/>
      <c r="BO3122" s="128"/>
      <c r="BP3122" s="128"/>
      <c r="BQ3122" s="128"/>
      <c r="BR3122" s="128"/>
      <c r="BS3122" s="128"/>
      <c r="BT3122" s="128"/>
      <c r="BU3122" s="128"/>
      <c r="BV3122" s="128"/>
      <c r="BW3122" s="128"/>
      <c r="BX3122" s="128"/>
      <c r="BY3122" s="128"/>
      <c r="BZ3122" s="128"/>
      <c r="CA3122" s="128"/>
      <c r="CB3122" s="128"/>
      <c r="CC3122" s="128"/>
      <c r="CD3122" s="128"/>
      <c r="CE3122" s="128"/>
      <c r="CF3122" s="128"/>
      <c r="CG3122" s="128"/>
      <c r="CI3122" s="128"/>
      <c r="CJ3122" s="128"/>
      <c r="CK3122" s="128"/>
      <c r="CL3122" s="128"/>
      <c r="CM3122" s="128"/>
      <c r="CN3122" s="128"/>
      <c r="CO3122" s="128"/>
      <c r="CP3122" s="128"/>
      <c r="CQ3122" s="128"/>
      <c r="CR3122" s="128"/>
      <c r="CS3122" s="128"/>
      <c r="CT3122" s="128"/>
      <c r="CU3122" s="128"/>
      <c r="CV3122" s="128"/>
      <c r="CW3122" s="128"/>
      <c r="CX3122" s="128"/>
      <c r="CY3122" s="128"/>
      <c r="CZ3122" s="165"/>
    </row>
    <row r="3123" spans="1:104">
      <c r="A3123" s="149"/>
      <c r="B3123" s="149"/>
      <c r="C3123" s="150"/>
      <c r="D3123" s="102"/>
      <c r="E3123" s="149"/>
      <c r="F3123" s="149"/>
      <c r="G3123" s="149"/>
      <c r="H3123" s="149"/>
      <c r="I3123" s="149"/>
      <c r="J3123" s="149"/>
      <c r="K3123" s="149"/>
      <c r="L3123" s="149"/>
      <c r="M3123" s="149"/>
      <c r="N3123" s="149"/>
      <c r="O3123" s="149"/>
      <c r="P3123" s="149"/>
      <c r="Q3123" s="149"/>
      <c r="R3123" s="149"/>
      <c r="S3123" s="149"/>
      <c r="T3123" s="149"/>
      <c r="U3123" s="149"/>
      <c r="V3123" s="149"/>
      <c r="W3123" s="149"/>
      <c r="X3123" s="149"/>
      <c r="Y3123" s="149"/>
      <c r="Z3123" s="149"/>
      <c r="AA3123" s="149"/>
      <c r="AB3123" s="149"/>
      <c r="AC3123" s="149"/>
      <c r="AD3123" s="149"/>
      <c r="AE3123" s="149"/>
      <c r="AF3123" s="149"/>
      <c r="AG3123" s="149"/>
      <c r="AH3123" s="149"/>
      <c r="AI3123" s="149"/>
      <c r="AJ3123" s="149"/>
      <c r="AK3123" s="149"/>
      <c r="AL3123" s="149"/>
      <c r="AM3123" s="149"/>
      <c r="AN3123" s="149"/>
      <c r="AO3123" s="128"/>
      <c r="AP3123" s="128"/>
      <c r="AQ3123" s="128"/>
      <c r="AR3123" s="128"/>
      <c r="AS3123" s="128"/>
      <c r="AT3123" s="128"/>
      <c r="AU3123" s="128"/>
      <c r="AV3123" s="128"/>
      <c r="AW3123" s="128"/>
      <c r="AX3123" s="128"/>
      <c r="AY3123" s="128"/>
      <c r="AZ3123" s="128"/>
      <c r="BA3123" s="128"/>
      <c r="BB3123" s="128"/>
      <c r="BC3123" s="128"/>
      <c r="BD3123" s="128"/>
      <c r="BE3123" s="128"/>
      <c r="BF3123" s="128"/>
      <c r="BG3123" s="128"/>
      <c r="BH3123" s="128"/>
      <c r="BI3123" s="128"/>
      <c r="BJ3123" s="128"/>
      <c r="BK3123" s="128"/>
      <c r="BL3123" s="128"/>
      <c r="BM3123" s="151"/>
      <c r="BN3123" s="128"/>
      <c r="BO3123" s="128"/>
      <c r="BP3123" s="128"/>
      <c r="BQ3123" s="128"/>
      <c r="BR3123" s="128"/>
      <c r="BS3123" s="128"/>
      <c r="BT3123" s="128"/>
      <c r="BU3123" s="128"/>
      <c r="BV3123" s="128"/>
      <c r="BW3123" s="128"/>
      <c r="BX3123" s="128"/>
      <c r="BY3123" s="128"/>
      <c r="BZ3123" s="128"/>
      <c r="CA3123" s="128"/>
      <c r="CB3123" s="128"/>
      <c r="CC3123" s="128"/>
      <c r="CD3123" s="128"/>
      <c r="CE3123" s="128"/>
      <c r="CF3123" s="128"/>
      <c r="CG3123" s="128"/>
      <c r="CI3123" s="128"/>
      <c r="CJ3123" s="128"/>
      <c r="CK3123" s="128"/>
      <c r="CL3123" s="128"/>
      <c r="CM3123" s="128"/>
      <c r="CN3123" s="128"/>
      <c r="CO3123" s="128"/>
      <c r="CP3123" s="128"/>
      <c r="CQ3123" s="128"/>
      <c r="CR3123" s="128"/>
      <c r="CS3123" s="128"/>
      <c r="CT3123" s="128"/>
      <c r="CU3123" s="128"/>
      <c r="CV3123" s="128"/>
      <c r="CW3123" s="128"/>
      <c r="CX3123" s="128"/>
      <c r="CY3123" s="128"/>
      <c r="CZ3123" s="165"/>
    </row>
    <row r="3124" spans="1:104">
      <c r="A3124" s="149"/>
      <c r="B3124" s="149"/>
      <c r="C3124" s="150"/>
      <c r="D3124" s="102"/>
      <c r="E3124" s="149"/>
      <c r="F3124" s="149"/>
      <c r="G3124" s="149"/>
      <c r="H3124" s="149"/>
      <c r="I3124" s="149"/>
      <c r="J3124" s="149"/>
      <c r="K3124" s="149"/>
      <c r="L3124" s="149"/>
      <c r="M3124" s="149"/>
      <c r="N3124" s="149"/>
      <c r="O3124" s="149"/>
      <c r="P3124" s="149"/>
      <c r="Q3124" s="149"/>
      <c r="R3124" s="149"/>
      <c r="S3124" s="149"/>
      <c r="T3124" s="149"/>
      <c r="U3124" s="149"/>
      <c r="V3124" s="149"/>
      <c r="W3124" s="149"/>
      <c r="X3124" s="149"/>
      <c r="Y3124" s="149"/>
      <c r="Z3124" s="149"/>
      <c r="AA3124" s="149"/>
      <c r="AB3124" s="149"/>
      <c r="AC3124" s="149"/>
      <c r="AD3124" s="149"/>
      <c r="AE3124" s="149"/>
      <c r="AF3124" s="149"/>
      <c r="AG3124" s="149"/>
      <c r="AH3124" s="149"/>
      <c r="AI3124" s="149"/>
      <c r="AJ3124" s="149"/>
      <c r="AK3124" s="149"/>
      <c r="AL3124" s="149"/>
      <c r="AM3124" s="149"/>
      <c r="AN3124" s="149"/>
      <c r="AO3124" s="128"/>
      <c r="AP3124" s="128"/>
      <c r="AQ3124" s="128"/>
      <c r="AR3124" s="128"/>
      <c r="AS3124" s="128"/>
      <c r="AT3124" s="128"/>
      <c r="AU3124" s="128"/>
      <c r="AV3124" s="128"/>
      <c r="AW3124" s="128"/>
      <c r="AX3124" s="128"/>
      <c r="AY3124" s="128"/>
      <c r="AZ3124" s="128"/>
      <c r="BA3124" s="128"/>
      <c r="BB3124" s="128"/>
      <c r="BC3124" s="128"/>
      <c r="BD3124" s="128"/>
      <c r="BE3124" s="128"/>
      <c r="BF3124" s="128"/>
      <c r="BG3124" s="128"/>
      <c r="BH3124" s="128"/>
      <c r="BI3124" s="128"/>
      <c r="BJ3124" s="128"/>
      <c r="BK3124" s="128"/>
      <c r="BL3124" s="128"/>
      <c r="BM3124" s="151"/>
      <c r="BN3124" s="128"/>
      <c r="BO3124" s="128"/>
      <c r="BP3124" s="128"/>
      <c r="BQ3124" s="128"/>
      <c r="BR3124" s="128"/>
      <c r="BS3124" s="128"/>
      <c r="BT3124" s="128"/>
      <c r="BU3124" s="128"/>
      <c r="BV3124" s="128"/>
      <c r="BW3124" s="128"/>
      <c r="BX3124" s="128"/>
      <c r="BY3124" s="128"/>
      <c r="BZ3124" s="128"/>
      <c r="CA3124" s="128"/>
      <c r="CB3124" s="128"/>
      <c r="CC3124" s="128"/>
      <c r="CD3124" s="128"/>
      <c r="CE3124" s="128"/>
      <c r="CF3124" s="128"/>
      <c r="CG3124" s="128"/>
      <c r="CI3124" s="128"/>
      <c r="CJ3124" s="128"/>
      <c r="CK3124" s="128"/>
      <c r="CL3124" s="128"/>
      <c r="CM3124" s="128"/>
      <c r="CN3124" s="128"/>
      <c r="CO3124" s="128"/>
      <c r="CP3124" s="128"/>
      <c r="CQ3124" s="128"/>
      <c r="CR3124" s="128"/>
      <c r="CS3124" s="128"/>
      <c r="CT3124" s="128"/>
      <c r="CU3124" s="128"/>
      <c r="CV3124" s="128"/>
      <c r="CW3124" s="128"/>
      <c r="CX3124" s="128"/>
      <c r="CY3124" s="128"/>
      <c r="CZ3124" s="165"/>
    </row>
    <row r="3125" spans="1:104">
      <c r="A3125" s="149"/>
      <c r="B3125" s="149"/>
      <c r="C3125" s="150"/>
      <c r="D3125" s="102"/>
      <c r="E3125" s="149"/>
      <c r="F3125" s="149"/>
      <c r="G3125" s="149"/>
      <c r="H3125" s="149"/>
      <c r="I3125" s="149"/>
      <c r="J3125" s="149"/>
      <c r="K3125" s="149"/>
      <c r="L3125" s="149"/>
      <c r="M3125" s="149"/>
      <c r="N3125" s="149"/>
      <c r="O3125" s="149"/>
      <c r="P3125" s="149"/>
      <c r="Q3125" s="149"/>
      <c r="R3125" s="149"/>
      <c r="S3125" s="149"/>
      <c r="T3125" s="149"/>
      <c r="U3125" s="149"/>
      <c r="V3125" s="149"/>
      <c r="W3125" s="149"/>
      <c r="X3125" s="149"/>
      <c r="Y3125" s="149"/>
      <c r="Z3125" s="149"/>
      <c r="AA3125" s="149"/>
      <c r="AB3125" s="149"/>
      <c r="AC3125" s="149"/>
      <c r="AD3125" s="149"/>
      <c r="AE3125" s="149"/>
      <c r="AF3125" s="149"/>
      <c r="AG3125" s="149"/>
      <c r="AH3125" s="149"/>
      <c r="AI3125" s="149"/>
      <c r="AJ3125" s="149"/>
      <c r="AK3125" s="149"/>
      <c r="AL3125" s="149"/>
      <c r="AM3125" s="149"/>
      <c r="AN3125" s="149"/>
      <c r="AO3125" s="128"/>
      <c r="AP3125" s="128"/>
      <c r="AQ3125" s="128"/>
      <c r="AR3125" s="128"/>
      <c r="AS3125" s="128"/>
      <c r="AT3125" s="128"/>
      <c r="AU3125" s="128"/>
      <c r="AV3125" s="128"/>
      <c r="AW3125" s="128"/>
      <c r="AX3125" s="128"/>
      <c r="AY3125" s="128"/>
      <c r="AZ3125" s="128"/>
      <c r="BA3125" s="128"/>
      <c r="BB3125" s="128"/>
      <c r="BC3125" s="128"/>
      <c r="BD3125" s="128"/>
      <c r="BE3125" s="128"/>
      <c r="BF3125" s="128"/>
      <c r="BG3125" s="128"/>
      <c r="BH3125" s="128"/>
      <c r="BI3125" s="128"/>
      <c r="BJ3125" s="128"/>
      <c r="BK3125" s="128"/>
      <c r="BL3125" s="128"/>
      <c r="BM3125" s="151"/>
      <c r="BN3125" s="128"/>
      <c r="BO3125" s="128"/>
      <c r="BP3125" s="128"/>
      <c r="BQ3125" s="128"/>
      <c r="BR3125" s="128"/>
      <c r="BS3125" s="128"/>
      <c r="BT3125" s="128"/>
      <c r="BU3125" s="128"/>
      <c r="BV3125" s="128"/>
      <c r="BW3125" s="128"/>
      <c r="BX3125" s="128"/>
      <c r="BY3125" s="128"/>
      <c r="BZ3125" s="128"/>
      <c r="CA3125" s="128"/>
      <c r="CB3125" s="128"/>
      <c r="CC3125" s="128"/>
      <c r="CD3125" s="128"/>
      <c r="CE3125" s="128"/>
      <c r="CF3125" s="128"/>
      <c r="CG3125" s="128"/>
      <c r="CI3125" s="128"/>
      <c r="CJ3125" s="128"/>
      <c r="CK3125" s="128"/>
      <c r="CL3125" s="128"/>
      <c r="CM3125" s="128"/>
      <c r="CN3125" s="128"/>
      <c r="CO3125" s="128"/>
      <c r="CP3125" s="128"/>
      <c r="CQ3125" s="128"/>
      <c r="CR3125" s="128"/>
      <c r="CS3125" s="128"/>
      <c r="CT3125" s="128"/>
      <c r="CU3125" s="128"/>
      <c r="CV3125" s="128"/>
      <c r="CW3125" s="128"/>
      <c r="CX3125" s="128"/>
      <c r="CY3125" s="128"/>
      <c r="CZ3125" s="165"/>
    </row>
    <row r="3126" spans="1:104">
      <c r="A3126" s="149"/>
      <c r="B3126" s="149"/>
      <c r="C3126" s="150"/>
      <c r="D3126" s="102"/>
      <c r="E3126" s="149"/>
      <c r="F3126" s="149"/>
      <c r="G3126" s="149"/>
      <c r="H3126" s="149"/>
      <c r="I3126" s="149"/>
      <c r="J3126" s="149"/>
      <c r="K3126" s="149"/>
      <c r="L3126" s="149"/>
      <c r="M3126" s="149"/>
      <c r="N3126" s="149"/>
      <c r="O3126" s="149"/>
      <c r="P3126" s="149"/>
      <c r="Q3126" s="149"/>
      <c r="R3126" s="149"/>
      <c r="S3126" s="149"/>
      <c r="T3126" s="149"/>
      <c r="U3126" s="149"/>
      <c r="V3126" s="149"/>
      <c r="W3126" s="149"/>
      <c r="X3126" s="149"/>
      <c r="Y3126" s="149"/>
      <c r="Z3126" s="149"/>
      <c r="AA3126" s="149"/>
      <c r="AB3126" s="149"/>
      <c r="AC3126" s="149"/>
      <c r="AD3126" s="149"/>
      <c r="AE3126" s="149"/>
      <c r="AF3126" s="149"/>
      <c r="AG3126" s="149"/>
      <c r="AH3126" s="149"/>
      <c r="AI3126" s="149"/>
      <c r="AJ3126" s="149"/>
      <c r="AK3126" s="149"/>
      <c r="AL3126" s="149"/>
      <c r="AM3126" s="149"/>
      <c r="AN3126" s="149"/>
      <c r="AO3126" s="128"/>
      <c r="AP3126" s="128"/>
      <c r="AQ3126" s="128"/>
      <c r="AR3126" s="128"/>
      <c r="AS3126" s="128"/>
      <c r="AT3126" s="128"/>
      <c r="AU3126" s="128"/>
      <c r="AV3126" s="128"/>
      <c r="AW3126" s="128"/>
      <c r="AX3126" s="128"/>
      <c r="AY3126" s="128"/>
      <c r="AZ3126" s="128"/>
      <c r="BA3126" s="128"/>
      <c r="BB3126" s="128"/>
      <c r="BC3126" s="128"/>
      <c r="BD3126" s="128"/>
      <c r="BE3126" s="128"/>
      <c r="BF3126" s="128"/>
      <c r="BG3126" s="128"/>
      <c r="BH3126" s="128"/>
      <c r="BI3126" s="128"/>
      <c r="BJ3126" s="128"/>
      <c r="BK3126" s="128"/>
      <c r="BL3126" s="128"/>
      <c r="BM3126" s="151"/>
      <c r="BN3126" s="128"/>
      <c r="BO3126" s="128"/>
      <c r="BP3126" s="128"/>
      <c r="BQ3126" s="128"/>
      <c r="BR3126" s="128"/>
      <c r="BS3126" s="128"/>
      <c r="BT3126" s="128"/>
      <c r="BU3126" s="128"/>
      <c r="BV3126" s="128"/>
      <c r="BW3126" s="128"/>
      <c r="BX3126" s="128"/>
      <c r="BY3126" s="128"/>
      <c r="BZ3126" s="128"/>
      <c r="CA3126" s="128"/>
      <c r="CB3126" s="128"/>
      <c r="CC3126" s="128"/>
      <c r="CD3126" s="128"/>
      <c r="CE3126" s="128"/>
      <c r="CF3126" s="128"/>
      <c r="CG3126" s="128"/>
      <c r="CI3126" s="128"/>
      <c r="CJ3126" s="128"/>
      <c r="CK3126" s="128"/>
      <c r="CL3126" s="128"/>
      <c r="CM3126" s="128"/>
      <c r="CN3126" s="128"/>
      <c r="CO3126" s="128"/>
      <c r="CP3126" s="128"/>
      <c r="CQ3126" s="128"/>
      <c r="CR3126" s="128"/>
      <c r="CS3126" s="128"/>
      <c r="CT3126" s="128"/>
      <c r="CU3126" s="128"/>
      <c r="CV3126" s="128"/>
      <c r="CW3126" s="128"/>
      <c r="CX3126" s="128"/>
      <c r="CY3126" s="128"/>
      <c r="CZ3126" s="165"/>
    </row>
    <row r="3127" spans="1:104">
      <c r="A3127" s="149"/>
      <c r="B3127" s="149"/>
      <c r="C3127" s="150"/>
      <c r="D3127" s="102"/>
      <c r="E3127" s="149"/>
      <c r="F3127" s="149"/>
      <c r="G3127" s="149"/>
      <c r="H3127" s="149"/>
      <c r="I3127" s="149"/>
      <c r="J3127" s="149"/>
      <c r="K3127" s="149"/>
      <c r="L3127" s="149"/>
      <c r="M3127" s="149"/>
      <c r="N3127" s="149"/>
      <c r="O3127" s="149"/>
      <c r="P3127" s="149"/>
      <c r="Q3127" s="149"/>
      <c r="R3127" s="149"/>
      <c r="S3127" s="149"/>
      <c r="T3127" s="149"/>
      <c r="U3127" s="149"/>
      <c r="V3127" s="149"/>
      <c r="W3127" s="149"/>
      <c r="X3127" s="149"/>
      <c r="Y3127" s="149"/>
      <c r="Z3127" s="149"/>
      <c r="AA3127" s="149"/>
      <c r="AB3127" s="149"/>
      <c r="AC3127" s="149"/>
      <c r="AD3127" s="149"/>
      <c r="AE3127" s="149"/>
      <c r="AF3127" s="149"/>
      <c r="AG3127" s="149"/>
      <c r="AH3127" s="149"/>
      <c r="AI3127" s="149"/>
      <c r="AJ3127" s="149"/>
      <c r="AK3127" s="149"/>
      <c r="AL3127" s="149"/>
      <c r="AM3127" s="149"/>
      <c r="AN3127" s="149"/>
      <c r="AO3127" s="128"/>
      <c r="AP3127" s="128"/>
      <c r="AQ3127" s="128"/>
      <c r="AR3127" s="128"/>
      <c r="AS3127" s="128"/>
      <c r="AT3127" s="128"/>
      <c r="AU3127" s="128"/>
      <c r="AV3127" s="128"/>
      <c r="AW3127" s="128"/>
      <c r="AX3127" s="128"/>
      <c r="AY3127" s="128"/>
      <c r="AZ3127" s="128"/>
      <c r="BA3127" s="128"/>
      <c r="BB3127" s="128"/>
      <c r="BC3127" s="128"/>
      <c r="BD3127" s="128"/>
      <c r="BE3127" s="128"/>
      <c r="BF3127" s="128"/>
      <c r="BG3127" s="128"/>
      <c r="BH3127" s="128"/>
      <c r="BI3127" s="128"/>
      <c r="BJ3127" s="128"/>
      <c r="BK3127" s="128"/>
      <c r="BL3127" s="128"/>
      <c r="BM3127" s="151"/>
      <c r="BN3127" s="128"/>
      <c r="BO3127" s="128"/>
      <c r="BP3127" s="128"/>
      <c r="BQ3127" s="128"/>
      <c r="BR3127" s="128"/>
      <c r="BS3127" s="128"/>
      <c r="BT3127" s="128"/>
      <c r="BU3127" s="128"/>
      <c r="BV3127" s="128"/>
      <c r="BW3127" s="128"/>
      <c r="BX3127" s="128"/>
      <c r="BY3127" s="128"/>
      <c r="BZ3127" s="128"/>
      <c r="CA3127" s="128"/>
      <c r="CB3127" s="128"/>
      <c r="CC3127" s="128"/>
      <c r="CD3127" s="128"/>
      <c r="CE3127" s="128"/>
      <c r="CF3127" s="128"/>
      <c r="CG3127" s="128"/>
      <c r="CI3127" s="128"/>
      <c r="CJ3127" s="128"/>
      <c r="CK3127" s="128"/>
      <c r="CL3127" s="128"/>
      <c r="CM3127" s="128"/>
      <c r="CN3127" s="128"/>
      <c r="CO3127" s="128"/>
      <c r="CP3127" s="128"/>
      <c r="CQ3127" s="128"/>
      <c r="CR3127" s="128"/>
      <c r="CS3127" s="128"/>
      <c r="CT3127" s="128"/>
      <c r="CU3127" s="128"/>
      <c r="CV3127" s="128"/>
      <c r="CW3127" s="128"/>
      <c r="CX3127" s="128"/>
      <c r="CY3127" s="128"/>
      <c r="CZ3127" s="165"/>
    </row>
    <row r="3128" spans="1:104">
      <c r="A3128" s="149"/>
      <c r="B3128" s="149"/>
      <c r="C3128" s="150"/>
      <c r="D3128" s="102"/>
      <c r="E3128" s="149"/>
      <c r="F3128" s="149"/>
      <c r="G3128" s="149"/>
      <c r="H3128" s="149"/>
      <c r="I3128" s="149"/>
      <c r="J3128" s="149"/>
      <c r="K3128" s="149"/>
      <c r="L3128" s="149"/>
      <c r="M3128" s="149"/>
      <c r="N3128" s="149"/>
      <c r="O3128" s="149"/>
      <c r="P3128" s="149"/>
      <c r="Q3128" s="149"/>
      <c r="R3128" s="149"/>
      <c r="S3128" s="149"/>
      <c r="T3128" s="149"/>
      <c r="U3128" s="149"/>
      <c r="V3128" s="149"/>
      <c r="W3128" s="149"/>
      <c r="X3128" s="149"/>
      <c r="Y3128" s="149"/>
      <c r="Z3128" s="149"/>
      <c r="AA3128" s="149"/>
      <c r="AB3128" s="149"/>
      <c r="AC3128" s="149"/>
      <c r="AD3128" s="149"/>
      <c r="AE3128" s="149"/>
      <c r="AF3128" s="149"/>
      <c r="AG3128" s="149"/>
      <c r="AH3128" s="149"/>
      <c r="AI3128" s="149"/>
      <c r="AJ3128" s="149"/>
      <c r="AK3128" s="149"/>
      <c r="AL3128" s="149"/>
      <c r="AM3128" s="149"/>
      <c r="AN3128" s="149"/>
      <c r="AO3128" s="128"/>
      <c r="AP3128" s="128"/>
      <c r="AQ3128" s="128"/>
      <c r="AR3128" s="128"/>
      <c r="AS3128" s="128"/>
      <c r="AT3128" s="128"/>
      <c r="AU3128" s="128"/>
      <c r="AV3128" s="128"/>
      <c r="AW3128" s="128"/>
      <c r="AX3128" s="128"/>
      <c r="AY3128" s="128"/>
      <c r="AZ3128" s="128"/>
      <c r="BA3128" s="128"/>
      <c r="BB3128" s="128"/>
      <c r="BC3128" s="128"/>
      <c r="BD3128" s="128"/>
      <c r="BE3128" s="128"/>
      <c r="BF3128" s="128"/>
      <c r="BG3128" s="128"/>
      <c r="BH3128" s="128"/>
      <c r="BI3128" s="128"/>
      <c r="BJ3128" s="128"/>
      <c r="BK3128" s="128"/>
      <c r="BL3128" s="128"/>
      <c r="BM3128" s="151"/>
      <c r="BN3128" s="128"/>
      <c r="BO3128" s="128"/>
      <c r="BP3128" s="128"/>
      <c r="BQ3128" s="128"/>
      <c r="BR3128" s="128"/>
      <c r="BS3128" s="128"/>
      <c r="BT3128" s="128"/>
      <c r="BU3128" s="128"/>
      <c r="BV3128" s="128"/>
      <c r="BW3128" s="128"/>
      <c r="BX3128" s="128"/>
      <c r="BY3128" s="128"/>
      <c r="BZ3128" s="128"/>
      <c r="CA3128" s="128"/>
      <c r="CB3128" s="128"/>
      <c r="CC3128" s="128"/>
      <c r="CD3128" s="128"/>
      <c r="CE3128" s="128"/>
      <c r="CF3128" s="128"/>
      <c r="CG3128" s="128"/>
      <c r="CI3128" s="128"/>
      <c r="CJ3128" s="128"/>
      <c r="CK3128" s="128"/>
      <c r="CL3128" s="128"/>
      <c r="CM3128" s="128"/>
      <c r="CN3128" s="128"/>
      <c r="CO3128" s="128"/>
      <c r="CP3128" s="128"/>
      <c r="CQ3128" s="128"/>
      <c r="CR3128" s="128"/>
      <c r="CS3128" s="128"/>
      <c r="CT3128" s="128"/>
      <c r="CU3128" s="128"/>
      <c r="CV3128" s="128"/>
      <c r="CW3128" s="128"/>
      <c r="CX3128" s="128"/>
      <c r="CY3128" s="128"/>
      <c r="CZ3128" s="165"/>
    </row>
    <row r="3129" spans="1:104">
      <c r="A3129" s="149"/>
      <c r="B3129" s="149"/>
      <c r="C3129" s="150"/>
      <c r="D3129" s="102"/>
      <c r="E3129" s="149"/>
      <c r="F3129" s="149"/>
      <c r="G3129" s="149"/>
      <c r="H3129" s="149"/>
      <c r="I3129" s="149"/>
      <c r="J3129" s="149"/>
      <c r="K3129" s="149"/>
      <c r="L3129" s="149"/>
      <c r="M3129" s="149"/>
      <c r="N3129" s="149"/>
      <c r="O3129" s="149"/>
      <c r="P3129" s="149"/>
      <c r="Q3129" s="149"/>
      <c r="R3129" s="149"/>
      <c r="S3129" s="149"/>
      <c r="T3129" s="149"/>
      <c r="U3129" s="149"/>
      <c r="V3129" s="149"/>
      <c r="W3129" s="149"/>
      <c r="X3129" s="149"/>
      <c r="Y3129" s="149"/>
      <c r="Z3129" s="149"/>
      <c r="AA3129" s="149"/>
      <c r="AB3129" s="149"/>
      <c r="AC3129" s="149"/>
      <c r="AD3129" s="149"/>
      <c r="AE3129" s="149"/>
      <c r="AF3129" s="149"/>
      <c r="AG3129" s="149"/>
      <c r="AH3129" s="149"/>
      <c r="AI3129" s="149"/>
      <c r="AJ3129" s="149"/>
      <c r="AK3129" s="149"/>
      <c r="AL3129" s="149"/>
      <c r="AM3129" s="149"/>
      <c r="AN3129" s="149"/>
      <c r="AO3129" s="128"/>
      <c r="AP3129" s="128"/>
      <c r="AQ3129" s="128"/>
      <c r="AR3129" s="128"/>
      <c r="AS3129" s="128"/>
      <c r="AT3129" s="128"/>
      <c r="AU3129" s="128"/>
      <c r="AV3129" s="128"/>
      <c r="AW3129" s="128"/>
      <c r="AX3129" s="128"/>
      <c r="AY3129" s="128"/>
      <c r="AZ3129" s="128"/>
      <c r="BA3129" s="128"/>
      <c r="BB3129" s="128"/>
      <c r="BC3129" s="128"/>
      <c r="BD3129" s="128"/>
      <c r="BE3129" s="128"/>
      <c r="BF3129" s="128"/>
      <c r="BG3129" s="128"/>
      <c r="BH3129" s="128"/>
      <c r="BI3129" s="128"/>
      <c r="BJ3129" s="128"/>
      <c r="BK3129" s="128"/>
      <c r="BL3129" s="128"/>
      <c r="BM3129" s="151"/>
      <c r="BN3129" s="128"/>
      <c r="BO3129" s="128"/>
      <c r="BP3129" s="128"/>
      <c r="BQ3129" s="128"/>
      <c r="BR3129" s="128"/>
      <c r="BS3129" s="128"/>
      <c r="BT3129" s="128"/>
      <c r="BU3129" s="128"/>
      <c r="BV3129" s="128"/>
      <c r="BW3129" s="128"/>
      <c r="BX3129" s="128"/>
      <c r="BY3129" s="128"/>
      <c r="BZ3129" s="128"/>
      <c r="CA3129" s="128"/>
      <c r="CB3129" s="128"/>
      <c r="CC3129" s="128"/>
      <c r="CD3129" s="128"/>
      <c r="CE3129" s="128"/>
      <c r="CF3129" s="128"/>
      <c r="CG3129" s="128"/>
      <c r="CI3129" s="128"/>
      <c r="CJ3129" s="128"/>
      <c r="CK3129" s="128"/>
      <c r="CL3129" s="128"/>
      <c r="CM3129" s="128"/>
      <c r="CN3129" s="128"/>
      <c r="CO3129" s="128"/>
      <c r="CP3129" s="128"/>
      <c r="CQ3129" s="128"/>
      <c r="CR3129" s="128"/>
      <c r="CS3129" s="128"/>
      <c r="CT3129" s="128"/>
      <c r="CU3129" s="128"/>
      <c r="CV3129" s="128"/>
      <c r="CW3129" s="128"/>
      <c r="CX3129" s="128"/>
      <c r="CY3129" s="128"/>
      <c r="CZ3129" s="165"/>
    </row>
    <row r="3130" spans="1:104">
      <c r="A3130" s="149"/>
      <c r="B3130" s="149"/>
      <c r="C3130" s="150"/>
      <c r="D3130" s="102"/>
      <c r="E3130" s="149"/>
      <c r="F3130" s="149"/>
      <c r="G3130" s="149"/>
      <c r="H3130" s="149"/>
      <c r="I3130" s="149"/>
      <c r="J3130" s="149"/>
      <c r="K3130" s="149"/>
      <c r="L3130" s="149"/>
      <c r="M3130" s="149"/>
      <c r="N3130" s="149"/>
      <c r="O3130" s="149"/>
      <c r="P3130" s="149"/>
      <c r="Q3130" s="149"/>
      <c r="R3130" s="149"/>
      <c r="S3130" s="149"/>
      <c r="T3130" s="149"/>
      <c r="U3130" s="149"/>
      <c r="V3130" s="149"/>
      <c r="W3130" s="149"/>
      <c r="X3130" s="149"/>
      <c r="Y3130" s="149"/>
      <c r="Z3130" s="149"/>
      <c r="AA3130" s="149"/>
      <c r="AB3130" s="149"/>
      <c r="AC3130" s="149"/>
      <c r="AD3130" s="149"/>
      <c r="AE3130" s="149"/>
      <c r="AF3130" s="149"/>
      <c r="AG3130" s="149"/>
      <c r="AH3130" s="149"/>
      <c r="AI3130" s="149"/>
      <c r="AJ3130" s="149"/>
      <c r="AK3130" s="149"/>
      <c r="AL3130" s="149"/>
      <c r="AM3130" s="149"/>
      <c r="AN3130" s="149"/>
      <c r="AO3130" s="128"/>
      <c r="AP3130" s="128"/>
      <c r="AQ3130" s="128"/>
      <c r="AR3130" s="128"/>
      <c r="AS3130" s="128"/>
      <c r="AT3130" s="128"/>
      <c r="AU3130" s="128"/>
      <c r="AV3130" s="128"/>
      <c r="AW3130" s="128"/>
      <c r="AX3130" s="128"/>
      <c r="AY3130" s="128"/>
      <c r="AZ3130" s="128"/>
      <c r="BA3130" s="128"/>
      <c r="BB3130" s="128"/>
      <c r="BC3130" s="128"/>
      <c r="BD3130" s="128"/>
      <c r="BE3130" s="128"/>
      <c r="BF3130" s="128"/>
      <c r="BG3130" s="128"/>
      <c r="BH3130" s="128"/>
      <c r="BI3130" s="128"/>
      <c r="BJ3130" s="128"/>
      <c r="BK3130" s="128"/>
      <c r="BL3130" s="128"/>
      <c r="BM3130" s="151"/>
      <c r="BN3130" s="128"/>
      <c r="BO3130" s="128"/>
      <c r="BP3130" s="128"/>
      <c r="BQ3130" s="128"/>
      <c r="BR3130" s="128"/>
      <c r="BS3130" s="128"/>
      <c r="BT3130" s="128"/>
      <c r="BU3130" s="128"/>
      <c r="BV3130" s="128"/>
      <c r="BW3130" s="128"/>
      <c r="BX3130" s="128"/>
      <c r="BY3130" s="128"/>
      <c r="BZ3130" s="128"/>
      <c r="CA3130" s="128"/>
      <c r="CB3130" s="128"/>
      <c r="CC3130" s="128"/>
      <c r="CD3130" s="128"/>
      <c r="CE3130" s="128"/>
      <c r="CF3130" s="128"/>
      <c r="CG3130" s="128"/>
      <c r="CI3130" s="128"/>
      <c r="CJ3130" s="128"/>
      <c r="CK3130" s="128"/>
      <c r="CL3130" s="128"/>
      <c r="CM3130" s="128"/>
      <c r="CN3130" s="128"/>
      <c r="CO3130" s="128"/>
      <c r="CP3130" s="128"/>
      <c r="CQ3130" s="128"/>
      <c r="CR3130" s="128"/>
      <c r="CS3130" s="128"/>
      <c r="CT3130" s="128"/>
      <c r="CU3130" s="128"/>
      <c r="CV3130" s="128"/>
      <c r="CW3130" s="128"/>
      <c r="CX3130" s="128"/>
      <c r="CY3130" s="128"/>
      <c r="CZ3130" s="165"/>
    </row>
    <row r="3131" spans="1:104">
      <c r="A3131" s="149"/>
      <c r="B3131" s="149"/>
      <c r="C3131" s="150"/>
      <c r="D3131" s="102"/>
      <c r="E3131" s="149"/>
      <c r="F3131" s="149"/>
      <c r="G3131" s="149"/>
      <c r="H3131" s="149"/>
      <c r="I3131" s="149"/>
      <c r="J3131" s="149"/>
      <c r="K3131" s="149"/>
      <c r="L3131" s="149"/>
      <c r="M3131" s="149"/>
      <c r="N3131" s="149"/>
      <c r="O3131" s="149"/>
      <c r="P3131" s="149"/>
      <c r="Q3131" s="149"/>
      <c r="R3131" s="149"/>
      <c r="S3131" s="149"/>
      <c r="T3131" s="149"/>
      <c r="U3131" s="149"/>
      <c r="V3131" s="149"/>
      <c r="W3131" s="149"/>
      <c r="X3131" s="149"/>
      <c r="Y3131" s="149"/>
      <c r="Z3131" s="149"/>
      <c r="AA3131" s="149"/>
      <c r="AB3131" s="149"/>
      <c r="AC3131" s="149"/>
      <c r="AD3131" s="149"/>
      <c r="AE3131" s="149"/>
      <c r="AF3131" s="149"/>
      <c r="AG3131" s="149"/>
      <c r="AH3131" s="149"/>
      <c r="AI3131" s="149"/>
      <c r="AJ3131" s="149"/>
      <c r="AK3131" s="149"/>
      <c r="AL3131" s="149"/>
      <c r="AM3131" s="149"/>
      <c r="AN3131" s="149"/>
      <c r="AO3131" s="128"/>
      <c r="AP3131" s="128"/>
      <c r="AQ3131" s="128"/>
      <c r="AR3131" s="128"/>
      <c r="AS3131" s="128"/>
      <c r="AT3131" s="128"/>
      <c r="AU3131" s="128"/>
      <c r="AV3131" s="128"/>
      <c r="AW3131" s="128"/>
      <c r="AX3131" s="128"/>
      <c r="AY3131" s="128"/>
      <c r="AZ3131" s="128"/>
      <c r="BA3131" s="128"/>
      <c r="BB3131" s="128"/>
      <c r="BC3131" s="128"/>
      <c r="BD3131" s="128"/>
      <c r="BE3131" s="128"/>
      <c r="BF3131" s="128"/>
      <c r="BG3131" s="128"/>
      <c r="BH3131" s="128"/>
      <c r="BI3131" s="128"/>
      <c r="BJ3131" s="128"/>
      <c r="BK3131" s="128"/>
      <c r="BL3131" s="128"/>
      <c r="BM3131" s="151"/>
      <c r="BN3131" s="128"/>
      <c r="BO3131" s="128"/>
      <c r="BP3131" s="128"/>
      <c r="BQ3131" s="128"/>
      <c r="BR3131" s="128"/>
      <c r="BS3131" s="128"/>
      <c r="BT3131" s="128"/>
      <c r="BU3131" s="128"/>
      <c r="BV3131" s="128"/>
      <c r="BW3131" s="128"/>
      <c r="BX3131" s="128"/>
      <c r="BY3131" s="128"/>
      <c r="BZ3131" s="128"/>
      <c r="CA3131" s="128"/>
      <c r="CB3131" s="128"/>
      <c r="CC3131" s="128"/>
      <c r="CD3131" s="128"/>
      <c r="CE3131" s="128"/>
      <c r="CF3131" s="128"/>
      <c r="CG3131" s="128"/>
      <c r="CI3131" s="128"/>
      <c r="CJ3131" s="128"/>
      <c r="CK3131" s="128"/>
      <c r="CL3131" s="128"/>
      <c r="CM3131" s="128"/>
      <c r="CN3131" s="128"/>
      <c r="CO3131" s="128"/>
      <c r="CP3131" s="128"/>
      <c r="CQ3131" s="128"/>
      <c r="CR3131" s="128"/>
      <c r="CS3131" s="128"/>
      <c r="CT3131" s="128"/>
      <c r="CU3131" s="128"/>
      <c r="CV3131" s="128"/>
      <c r="CW3131" s="128"/>
      <c r="CX3131" s="128"/>
      <c r="CY3131" s="128"/>
      <c r="CZ3131" s="165"/>
    </row>
    <row r="3132" spans="1:104">
      <c r="A3132" s="149"/>
      <c r="B3132" s="149"/>
      <c r="C3132" s="150"/>
      <c r="D3132" s="102"/>
      <c r="E3132" s="149"/>
      <c r="F3132" s="149"/>
      <c r="G3132" s="149"/>
      <c r="H3132" s="149"/>
      <c r="I3132" s="149"/>
      <c r="J3132" s="149"/>
      <c r="K3132" s="149"/>
      <c r="L3132" s="149"/>
      <c r="M3132" s="149"/>
      <c r="N3132" s="149"/>
      <c r="O3132" s="149"/>
      <c r="P3132" s="149"/>
      <c r="Q3132" s="149"/>
      <c r="R3132" s="149"/>
      <c r="S3132" s="149"/>
      <c r="T3132" s="149"/>
      <c r="U3132" s="149"/>
      <c r="V3132" s="149"/>
      <c r="W3132" s="149"/>
      <c r="X3132" s="149"/>
      <c r="Y3132" s="149"/>
      <c r="Z3132" s="149"/>
      <c r="AA3132" s="149"/>
      <c r="AB3132" s="149"/>
      <c r="AC3132" s="149"/>
      <c r="AD3132" s="149"/>
      <c r="AE3132" s="149"/>
      <c r="AF3132" s="149"/>
      <c r="AG3132" s="149"/>
      <c r="AH3132" s="149"/>
      <c r="AI3132" s="149"/>
      <c r="AJ3132" s="149"/>
      <c r="AK3132" s="149"/>
      <c r="AL3132" s="149"/>
      <c r="AM3132" s="149"/>
      <c r="AN3132" s="149"/>
      <c r="AO3132" s="128"/>
      <c r="AP3132" s="128"/>
      <c r="AQ3132" s="128"/>
      <c r="AR3132" s="128"/>
      <c r="AS3132" s="128"/>
      <c r="AT3132" s="128"/>
      <c r="AU3132" s="128"/>
      <c r="AV3132" s="128"/>
      <c r="AW3132" s="128"/>
      <c r="AX3132" s="128"/>
      <c r="AY3132" s="128"/>
      <c r="AZ3132" s="128"/>
      <c r="BA3132" s="128"/>
      <c r="BB3132" s="128"/>
      <c r="BC3132" s="128"/>
      <c r="BD3132" s="128"/>
      <c r="BE3132" s="128"/>
      <c r="BF3132" s="128"/>
      <c r="BG3132" s="128"/>
      <c r="BH3132" s="128"/>
      <c r="BI3132" s="128"/>
      <c r="BJ3132" s="128"/>
      <c r="BK3132" s="128"/>
      <c r="BL3132" s="128"/>
      <c r="BM3132" s="151"/>
      <c r="BN3132" s="128"/>
      <c r="BO3132" s="128"/>
      <c r="BP3132" s="128"/>
      <c r="BQ3132" s="128"/>
      <c r="BR3132" s="128"/>
      <c r="BS3132" s="128"/>
      <c r="BT3132" s="128"/>
      <c r="BU3132" s="128"/>
      <c r="BV3132" s="128"/>
      <c r="BW3132" s="128"/>
      <c r="BX3132" s="128"/>
      <c r="BY3132" s="128"/>
      <c r="BZ3132" s="128"/>
      <c r="CA3132" s="128"/>
      <c r="CB3132" s="128"/>
      <c r="CC3132" s="128"/>
      <c r="CD3132" s="128"/>
      <c r="CE3132" s="128"/>
      <c r="CF3132" s="128"/>
      <c r="CG3132" s="128"/>
      <c r="CI3132" s="128"/>
      <c r="CJ3132" s="128"/>
      <c r="CK3132" s="128"/>
      <c r="CL3132" s="128"/>
      <c r="CM3132" s="128"/>
      <c r="CN3132" s="128"/>
      <c r="CO3132" s="128"/>
      <c r="CP3132" s="128"/>
      <c r="CQ3132" s="128"/>
      <c r="CR3132" s="128"/>
      <c r="CS3132" s="128"/>
      <c r="CT3132" s="128"/>
      <c r="CU3132" s="128"/>
      <c r="CV3132" s="128"/>
      <c r="CW3132" s="128"/>
      <c r="CX3132" s="128"/>
      <c r="CY3132" s="128"/>
      <c r="CZ3132" s="165"/>
    </row>
    <row r="3133" spans="1:104">
      <c r="A3133" s="149"/>
      <c r="B3133" s="149"/>
      <c r="C3133" s="150"/>
      <c r="D3133" s="102"/>
      <c r="E3133" s="149"/>
      <c r="F3133" s="149"/>
      <c r="G3133" s="149"/>
      <c r="H3133" s="149"/>
      <c r="I3133" s="149"/>
      <c r="J3133" s="149"/>
      <c r="K3133" s="149"/>
      <c r="L3133" s="149"/>
      <c r="M3133" s="149"/>
      <c r="N3133" s="149"/>
      <c r="O3133" s="149"/>
      <c r="P3133" s="149"/>
      <c r="Q3133" s="149"/>
      <c r="R3133" s="149"/>
      <c r="S3133" s="149"/>
      <c r="T3133" s="149"/>
      <c r="U3133" s="149"/>
      <c r="V3133" s="149"/>
      <c r="W3133" s="149"/>
      <c r="X3133" s="149"/>
      <c r="Y3133" s="149"/>
      <c r="Z3133" s="149"/>
      <c r="AA3133" s="149"/>
      <c r="AB3133" s="149"/>
      <c r="AC3133" s="149"/>
      <c r="AD3133" s="149"/>
      <c r="AE3133" s="149"/>
      <c r="AF3133" s="149"/>
      <c r="AG3133" s="149"/>
      <c r="AH3133" s="149"/>
      <c r="AI3133" s="149"/>
      <c r="AJ3133" s="149"/>
      <c r="AK3133" s="149"/>
      <c r="AL3133" s="149"/>
      <c r="AM3133" s="149"/>
      <c r="AN3133" s="149"/>
      <c r="AO3133" s="128"/>
      <c r="AP3133" s="128"/>
      <c r="AQ3133" s="128"/>
      <c r="AR3133" s="128"/>
      <c r="AS3133" s="128"/>
      <c r="AT3133" s="128"/>
      <c r="AU3133" s="128"/>
      <c r="AV3133" s="128"/>
      <c r="AW3133" s="128"/>
      <c r="AX3133" s="128"/>
      <c r="AY3133" s="128"/>
      <c r="AZ3133" s="128"/>
      <c r="BA3133" s="128"/>
      <c r="BB3133" s="128"/>
      <c r="BC3133" s="128"/>
      <c r="BD3133" s="128"/>
      <c r="BE3133" s="128"/>
      <c r="BF3133" s="128"/>
      <c r="BG3133" s="128"/>
      <c r="BH3133" s="128"/>
      <c r="BI3133" s="128"/>
      <c r="BJ3133" s="128"/>
      <c r="BK3133" s="128"/>
      <c r="BL3133" s="128"/>
      <c r="BM3133" s="151"/>
      <c r="BN3133" s="128"/>
      <c r="BO3133" s="128"/>
      <c r="BP3133" s="128"/>
      <c r="BQ3133" s="128"/>
      <c r="BR3133" s="128"/>
      <c r="BS3133" s="128"/>
      <c r="BT3133" s="128"/>
      <c r="BU3133" s="128"/>
      <c r="BV3133" s="128"/>
      <c r="BW3133" s="128"/>
      <c r="BX3133" s="128"/>
      <c r="BY3133" s="128"/>
      <c r="BZ3133" s="128"/>
      <c r="CA3133" s="128"/>
      <c r="CB3133" s="128"/>
      <c r="CC3133" s="128"/>
      <c r="CD3133" s="128"/>
      <c r="CE3133" s="128"/>
      <c r="CF3133" s="128"/>
      <c r="CG3133" s="128"/>
      <c r="CI3133" s="128"/>
      <c r="CJ3133" s="128"/>
      <c r="CK3133" s="128"/>
      <c r="CL3133" s="128"/>
      <c r="CM3133" s="128"/>
      <c r="CN3133" s="128"/>
      <c r="CO3133" s="128"/>
      <c r="CP3133" s="128"/>
      <c r="CQ3133" s="128"/>
      <c r="CR3133" s="128"/>
      <c r="CS3133" s="128"/>
      <c r="CT3133" s="128"/>
      <c r="CU3133" s="128"/>
      <c r="CV3133" s="128"/>
      <c r="CW3133" s="128"/>
      <c r="CX3133" s="128"/>
      <c r="CY3133" s="128"/>
      <c r="CZ3133" s="165"/>
    </row>
    <row r="3134" spans="1:104">
      <c r="A3134" s="149"/>
      <c r="B3134" s="149"/>
      <c r="C3134" s="150"/>
      <c r="D3134" s="102"/>
      <c r="E3134" s="149"/>
      <c r="F3134" s="149"/>
      <c r="G3134" s="149"/>
      <c r="H3134" s="149"/>
      <c r="I3134" s="149"/>
      <c r="J3134" s="149"/>
      <c r="K3134" s="149"/>
      <c r="L3134" s="149"/>
      <c r="M3134" s="149"/>
      <c r="N3134" s="149"/>
      <c r="O3134" s="149"/>
      <c r="P3134" s="149"/>
      <c r="Q3134" s="149"/>
      <c r="R3134" s="149"/>
      <c r="S3134" s="149"/>
      <c r="T3134" s="149"/>
      <c r="U3134" s="149"/>
      <c r="V3134" s="149"/>
      <c r="W3134" s="149"/>
      <c r="X3134" s="149"/>
      <c r="Y3134" s="149"/>
      <c r="Z3134" s="149"/>
      <c r="AA3134" s="149"/>
      <c r="AB3134" s="149"/>
      <c r="AC3134" s="149"/>
      <c r="AD3134" s="149"/>
      <c r="AE3134" s="149"/>
      <c r="AF3134" s="149"/>
      <c r="AG3134" s="149"/>
      <c r="AH3134" s="149"/>
      <c r="AI3134" s="149"/>
      <c r="AJ3134" s="149"/>
      <c r="AK3134" s="149"/>
      <c r="AL3134" s="149"/>
      <c r="AM3134" s="149"/>
      <c r="AN3134" s="149"/>
      <c r="AO3134" s="128"/>
      <c r="AP3134" s="128"/>
      <c r="AQ3134" s="128"/>
      <c r="AR3134" s="128"/>
      <c r="AS3134" s="128"/>
      <c r="AT3134" s="128"/>
      <c r="AU3134" s="128"/>
      <c r="AV3134" s="128"/>
      <c r="AW3134" s="128"/>
      <c r="AX3134" s="128"/>
      <c r="AY3134" s="128"/>
      <c r="AZ3134" s="128"/>
      <c r="BA3134" s="128"/>
      <c r="BB3134" s="128"/>
      <c r="BC3134" s="128"/>
      <c r="BD3134" s="128"/>
      <c r="BE3134" s="128"/>
      <c r="BF3134" s="128"/>
      <c r="BG3134" s="128"/>
      <c r="BH3134" s="128"/>
      <c r="BI3134" s="128"/>
      <c r="BJ3134" s="128"/>
      <c r="BK3134" s="128"/>
      <c r="BL3134" s="128"/>
      <c r="BM3134" s="151"/>
      <c r="BN3134" s="128"/>
      <c r="BO3134" s="128"/>
      <c r="BP3134" s="128"/>
      <c r="BQ3134" s="128"/>
      <c r="BR3134" s="128"/>
      <c r="BS3134" s="128"/>
      <c r="BT3134" s="128"/>
      <c r="BU3134" s="128"/>
      <c r="BV3134" s="128"/>
      <c r="BW3134" s="128"/>
      <c r="BX3134" s="128"/>
      <c r="BY3134" s="128"/>
      <c r="BZ3134" s="128"/>
      <c r="CA3134" s="128"/>
      <c r="CB3134" s="128"/>
      <c r="CC3134" s="128"/>
      <c r="CD3134" s="128"/>
      <c r="CE3134" s="128"/>
      <c r="CF3134" s="128"/>
      <c r="CG3134" s="128"/>
      <c r="CI3134" s="128"/>
      <c r="CJ3134" s="128"/>
      <c r="CK3134" s="128"/>
      <c r="CL3134" s="128"/>
      <c r="CM3134" s="128"/>
      <c r="CN3134" s="128"/>
      <c r="CO3134" s="128"/>
      <c r="CP3134" s="128"/>
      <c r="CQ3134" s="128"/>
      <c r="CR3134" s="128"/>
      <c r="CS3134" s="128"/>
      <c r="CT3134" s="128"/>
      <c r="CU3134" s="128"/>
      <c r="CV3134" s="128"/>
      <c r="CW3134" s="128"/>
      <c r="CX3134" s="128"/>
      <c r="CY3134" s="128"/>
      <c r="CZ3134" s="165"/>
    </row>
    <row r="3135" spans="1:104">
      <c r="A3135" s="149"/>
      <c r="B3135" s="149"/>
      <c r="C3135" s="150"/>
      <c r="D3135" s="102"/>
      <c r="E3135" s="149"/>
      <c r="F3135" s="149"/>
      <c r="G3135" s="149"/>
      <c r="H3135" s="149"/>
      <c r="I3135" s="149"/>
      <c r="J3135" s="149"/>
      <c r="K3135" s="149"/>
      <c r="L3135" s="149"/>
      <c r="M3135" s="149"/>
      <c r="N3135" s="149"/>
      <c r="O3135" s="149"/>
      <c r="P3135" s="149"/>
      <c r="Q3135" s="149"/>
      <c r="R3135" s="149"/>
      <c r="S3135" s="149"/>
      <c r="T3135" s="149"/>
      <c r="U3135" s="149"/>
      <c r="V3135" s="149"/>
      <c r="W3135" s="149"/>
      <c r="X3135" s="149"/>
      <c r="Y3135" s="149"/>
      <c r="Z3135" s="149"/>
      <c r="AA3135" s="149"/>
      <c r="AB3135" s="149"/>
      <c r="AC3135" s="149"/>
      <c r="AD3135" s="149"/>
      <c r="AE3135" s="149"/>
      <c r="AF3135" s="149"/>
      <c r="AG3135" s="149"/>
      <c r="AH3135" s="149"/>
      <c r="AI3135" s="149"/>
      <c r="AJ3135" s="149"/>
      <c r="AK3135" s="149"/>
      <c r="AL3135" s="149"/>
      <c r="AM3135" s="149"/>
      <c r="AN3135" s="149"/>
      <c r="AO3135" s="128"/>
      <c r="AP3135" s="128"/>
      <c r="AQ3135" s="128"/>
      <c r="AR3135" s="128"/>
      <c r="AS3135" s="128"/>
      <c r="AT3135" s="128"/>
      <c r="AU3135" s="128"/>
      <c r="AV3135" s="128"/>
      <c r="AW3135" s="128"/>
      <c r="AX3135" s="128"/>
      <c r="AY3135" s="128"/>
      <c r="AZ3135" s="128"/>
      <c r="BA3135" s="128"/>
      <c r="BB3135" s="128"/>
      <c r="BC3135" s="128"/>
      <c r="BD3135" s="128"/>
      <c r="BE3135" s="128"/>
      <c r="BF3135" s="128"/>
      <c r="BG3135" s="128"/>
      <c r="BH3135" s="128"/>
      <c r="BI3135" s="128"/>
      <c r="BJ3135" s="128"/>
      <c r="BK3135" s="128"/>
      <c r="BL3135" s="128"/>
      <c r="BM3135" s="151"/>
      <c r="BN3135" s="128"/>
      <c r="BO3135" s="128"/>
      <c r="BP3135" s="128"/>
      <c r="BQ3135" s="128"/>
      <c r="BR3135" s="128"/>
      <c r="BS3135" s="128"/>
      <c r="BT3135" s="128"/>
      <c r="BU3135" s="128"/>
      <c r="BV3135" s="128"/>
      <c r="BW3135" s="128"/>
      <c r="BX3135" s="128"/>
      <c r="BY3135" s="128"/>
      <c r="BZ3135" s="128"/>
      <c r="CA3135" s="128"/>
      <c r="CB3135" s="128"/>
      <c r="CC3135" s="128"/>
      <c r="CD3135" s="128"/>
      <c r="CE3135" s="128"/>
      <c r="CF3135" s="128"/>
      <c r="CG3135" s="128"/>
      <c r="CI3135" s="128"/>
      <c r="CJ3135" s="128"/>
      <c r="CK3135" s="128"/>
      <c r="CL3135" s="128"/>
      <c r="CM3135" s="128"/>
      <c r="CN3135" s="128"/>
      <c r="CO3135" s="128"/>
      <c r="CP3135" s="128"/>
      <c r="CQ3135" s="128"/>
      <c r="CR3135" s="128"/>
      <c r="CS3135" s="128"/>
      <c r="CT3135" s="128"/>
      <c r="CU3135" s="128"/>
      <c r="CV3135" s="128"/>
      <c r="CW3135" s="128"/>
      <c r="CX3135" s="128"/>
      <c r="CY3135" s="128"/>
      <c r="CZ3135" s="165"/>
    </row>
    <row r="3136" spans="1:104">
      <c r="A3136" s="149"/>
      <c r="B3136" s="149"/>
      <c r="C3136" s="150"/>
      <c r="D3136" s="102"/>
      <c r="E3136" s="149"/>
      <c r="F3136" s="149"/>
      <c r="G3136" s="149"/>
      <c r="H3136" s="149"/>
      <c r="I3136" s="149"/>
      <c r="J3136" s="149"/>
      <c r="K3136" s="149"/>
      <c r="L3136" s="149"/>
      <c r="M3136" s="149"/>
      <c r="N3136" s="149"/>
      <c r="O3136" s="149"/>
      <c r="P3136" s="149"/>
      <c r="Q3136" s="149"/>
      <c r="R3136" s="149"/>
      <c r="S3136" s="149"/>
      <c r="T3136" s="149"/>
      <c r="U3136" s="149"/>
      <c r="V3136" s="149"/>
      <c r="W3136" s="149"/>
      <c r="X3136" s="149"/>
      <c r="Y3136" s="149"/>
      <c r="Z3136" s="149"/>
      <c r="AA3136" s="149"/>
      <c r="AB3136" s="149"/>
      <c r="AC3136" s="149"/>
      <c r="AD3136" s="149"/>
      <c r="AE3136" s="149"/>
      <c r="AF3136" s="149"/>
      <c r="AG3136" s="149"/>
      <c r="AH3136" s="149"/>
      <c r="AI3136" s="149"/>
      <c r="AJ3136" s="149"/>
      <c r="AK3136" s="149"/>
      <c r="AL3136" s="149"/>
      <c r="AM3136" s="149"/>
      <c r="AN3136" s="149"/>
      <c r="AO3136" s="128"/>
      <c r="AP3136" s="128"/>
      <c r="AQ3136" s="128"/>
      <c r="AR3136" s="128"/>
      <c r="AS3136" s="128"/>
      <c r="AT3136" s="128"/>
      <c r="AU3136" s="128"/>
      <c r="AV3136" s="128"/>
      <c r="AW3136" s="128"/>
      <c r="AX3136" s="128"/>
      <c r="AY3136" s="128"/>
      <c r="AZ3136" s="128"/>
      <c r="BA3136" s="128"/>
      <c r="BB3136" s="128"/>
      <c r="BC3136" s="128"/>
      <c r="BD3136" s="128"/>
      <c r="BE3136" s="128"/>
      <c r="BF3136" s="128"/>
      <c r="BG3136" s="128"/>
      <c r="BH3136" s="128"/>
      <c r="BI3136" s="128"/>
      <c r="BJ3136" s="128"/>
      <c r="BK3136" s="128"/>
      <c r="BL3136" s="128"/>
      <c r="BM3136" s="151"/>
      <c r="BN3136" s="128"/>
      <c r="BO3136" s="128"/>
      <c r="BP3136" s="128"/>
      <c r="BQ3136" s="128"/>
      <c r="BR3136" s="128"/>
      <c r="BS3136" s="128"/>
      <c r="BT3136" s="128"/>
      <c r="BU3136" s="128"/>
      <c r="BV3136" s="128"/>
      <c r="BW3136" s="128"/>
      <c r="BX3136" s="128"/>
      <c r="BY3136" s="128"/>
      <c r="BZ3136" s="128"/>
      <c r="CA3136" s="128"/>
      <c r="CB3136" s="128"/>
      <c r="CC3136" s="128"/>
      <c r="CD3136" s="128"/>
      <c r="CE3136" s="128"/>
      <c r="CF3136" s="128"/>
      <c r="CG3136" s="128"/>
      <c r="CI3136" s="128"/>
      <c r="CJ3136" s="128"/>
      <c r="CK3136" s="128"/>
      <c r="CL3136" s="128"/>
      <c r="CM3136" s="128"/>
      <c r="CN3136" s="128"/>
      <c r="CO3136" s="128"/>
      <c r="CP3136" s="128"/>
      <c r="CQ3136" s="128"/>
      <c r="CR3136" s="128"/>
      <c r="CS3136" s="128"/>
      <c r="CT3136" s="128"/>
      <c r="CU3136" s="128"/>
      <c r="CV3136" s="128"/>
      <c r="CW3136" s="128"/>
      <c r="CX3136" s="128"/>
      <c r="CY3136" s="128"/>
      <c r="CZ3136" s="165"/>
    </row>
    <row r="3137" spans="1:104">
      <c r="A3137" s="149"/>
      <c r="B3137" s="149"/>
      <c r="C3137" s="150"/>
      <c r="D3137" s="102"/>
      <c r="E3137" s="149"/>
      <c r="F3137" s="149"/>
      <c r="G3137" s="149"/>
      <c r="H3137" s="149"/>
      <c r="I3137" s="149"/>
      <c r="J3137" s="149"/>
      <c r="K3137" s="149"/>
      <c r="L3137" s="149"/>
      <c r="M3137" s="149"/>
      <c r="N3137" s="149"/>
      <c r="O3137" s="149"/>
      <c r="P3137" s="149"/>
      <c r="Q3137" s="149"/>
      <c r="R3137" s="149"/>
      <c r="S3137" s="149"/>
      <c r="T3137" s="149"/>
      <c r="U3137" s="149"/>
      <c r="V3137" s="149"/>
      <c r="W3137" s="149"/>
      <c r="X3137" s="149"/>
      <c r="Y3137" s="149"/>
      <c r="Z3137" s="149"/>
      <c r="AA3137" s="149"/>
      <c r="AB3137" s="149"/>
      <c r="AC3137" s="149"/>
      <c r="AD3137" s="149"/>
      <c r="AE3137" s="149"/>
      <c r="AF3137" s="149"/>
      <c r="AG3137" s="149"/>
      <c r="AH3137" s="149"/>
      <c r="AI3137" s="149"/>
      <c r="AJ3137" s="149"/>
      <c r="AK3137" s="149"/>
      <c r="AL3137" s="149"/>
      <c r="AM3137" s="149"/>
      <c r="AN3137" s="149"/>
      <c r="AO3137" s="128"/>
      <c r="AP3137" s="128"/>
      <c r="AQ3137" s="128"/>
      <c r="AR3137" s="128"/>
      <c r="AS3137" s="128"/>
      <c r="AT3137" s="128"/>
      <c r="AU3137" s="128"/>
      <c r="AV3137" s="128"/>
      <c r="AW3137" s="128"/>
      <c r="AX3137" s="128"/>
      <c r="AY3137" s="128"/>
      <c r="AZ3137" s="128"/>
      <c r="BA3137" s="128"/>
      <c r="BB3137" s="128"/>
      <c r="BC3137" s="128"/>
      <c r="BD3137" s="128"/>
      <c r="BE3137" s="128"/>
      <c r="BF3137" s="128"/>
      <c r="BG3137" s="128"/>
      <c r="BH3137" s="128"/>
      <c r="BI3137" s="128"/>
      <c r="BJ3137" s="128"/>
      <c r="BK3137" s="128"/>
      <c r="BL3137" s="128"/>
      <c r="BM3137" s="151"/>
      <c r="BN3137" s="128"/>
      <c r="BO3137" s="128"/>
      <c r="BP3137" s="128"/>
      <c r="BQ3137" s="128"/>
      <c r="BR3137" s="128"/>
      <c r="BS3137" s="128"/>
      <c r="BT3137" s="128"/>
      <c r="BU3137" s="128"/>
      <c r="BV3137" s="128"/>
      <c r="BW3137" s="128"/>
      <c r="BX3137" s="128"/>
      <c r="BY3137" s="128"/>
      <c r="BZ3137" s="128"/>
      <c r="CA3137" s="128"/>
      <c r="CB3137" s="128"/>
      <c r="CC3137" s="128"/>
      <c r="CD3137" s="128"/>
      <c r="CE3137" s="128"/>
      <c r="CF3137" s="128"/>
      <c r="CG3137" s="128"/>
      <c r="CI3137" s="128"/>
      <c r="CJ3137" s="128"/>
      <c r="CK3137" s="128"/>
      <c r="CL3137" s="128"/>
      <c r="CM3137" s="128"/>
      <c r="CN3137" s="128"/>
      <c r="CO3137" s="128"/>
      <c r="CP3137" s="128"/>
      <c r="CQ3137" s="128"/>
      <c r="CR3137" s="128"/>
      <c r="CS3137" s="128"/>
      <c r="CT3137" s="128"/>
      <c r="CU3137" s="128"/>
      <c r="CV3137" s="128"/>
      <c r="CW3137" s="128"/>
      <c r="CX3137" s="128"/>
      <c r="CY3137" s="128"/>
      <c r="CZ3137" s="165"/>
    </row>
    <row r="3138" spans="1:104">
      <c r="A3138" s="149"/>
      <c r="B3138" s="149"/>
      <c r="C3138" s="150"/>
      <c r="D3138" s="102"/>
      <c r="E3138" s="149"/>
      <c r="F3138" s="149"/>
      <c r="G3138" s="149"/>
      <c r="H3138" s="149"/>
      <c r="I3138" s="149"/>
      <c r="J3138" s="149"/>
      <c r="K3138" s="149"/>
      <c r="L3138" s="149"/>
      <c r="M3138" s="149"/>
      <c r="N3138" s="149"/>
      <c r="O3138" s="149"/>
      <c r="P3138" s="149"/>
      <c r="Q3138" s="149"/>
      <c r="R3138" s="149"/>
      <c r="S3138" s="149"/>
      <c r="T3138" s="149"/>
      <c r="U3138" s="149"/>
      <c r="V3138" s="149"/>
      <c r="W3138" s="149"/>
      <c r="X3138" s="149"/>
      <c r="Y3138" s="149"/>
      <c r="Z3138" s="149"/>
      <c r="AA3138" s="149"/>
      <c r="AB3138" s="149"/>
      <c r="AC3138" s="149"/>
      <c r="AD3138" s="149"/>
      <c r="AE3138" s="149"/>
      <c r="AF3138" s="149"/>
      <c r="AG3138" s="149"/>
      <c r="AH3138" s="149"/>
      <c r="AI3138" s="149"/>
      <c r="AJ3138" s="149"/>
      <c r="AK3138" s="149"/>
      <c r="AL3138" s="149"/>
      <c r="AM3138" s="149"/>
      <c r="AN3138" s="149"/>
      <c r="AO3138" s="128"/>
      <c r="AP3138" s="128"/>
      <c r="AQ3138" s="128"/>
      <c r="AR3138" s="128"/>
      <c r="AS3138" s="128"/>
      <c r="AT3138" s="128"/>
      <c r="AU3138" s="128"/>
      <c r="AV3138" s="128"/>
      <c r="AW3138" s="128"/>
      <c r="AX3138" s="128"/>
      <c r="AY3138" s="128"/>
      <c r="AZ3138" s="128"/>
      <c r="BA3138" s="128"/>
      <c r="BB3138" s="128"/>
      <c r="BC3138" s="128"/>
      <c r="BD3138" s="128"/>
      <c r="BE3138" s="128"/>
      <c r="BF3138" s="128"/>
      <c r="BG3138" s="128"/>
      <c r="BH3138" s="128"/>
      <c r="BI3138" s="128"/>
      <c r="BJ3138" s="128"/>
      <c r="BK3138" s="128"/>
      <c r="BL3138" s="128"/>
      <c r="BM3138" s="151"/>
      <c r="BN3138" s="128"/>
      <c r="BO3138" s="128"/>
      <c r="BP3138" s="128"/>
      <c r="BQ3138" s="128"/>
      <c r="BR3138" s="128"/>
      <c r="BS3138" s="128"/>
      <c r="BT3138" s="128"/>
      <c r="BU3138" s="128"/>
      <c r="BV3138" s="128"/>
      <c r="BW3138" s="128"/>
      <c r="BX3138" s="128"/>
      <c r="BY3138" s="128"/>
      <c r="BZ3138" s="128"/>
      <c r="CA3138" s="128"/>
      <c r="CB3138" s="128"/>
      <c r="CC3138" s="128"/>
      <c r="CD3138" s="128"/>
      <c r="CE3138" s="128"/>
      <c r="CF3138" s="128"/>
      <c r="CG3138" s="128"/>
      <c r="CI3138" s="128"/>
      <c r="CJ3138" s="128"/>
      <c r="CK3138" s="128"/>
      <c r="CL3138" s="128"/>
      <c r="CM3138" s="128"/>
      <c r="CN3138" s="128"/>
      <c r="CO3138" s="128"/>
      <c r="CP3138" s="128"/>
      <c r="CQ3138" s="128"/>
      <c r="CR3138" s="128"/>
      <c r="CS3138" s="128"/>
      <c r="CT3138" s="128"/>
      <c r="CU3138" s="128"/>
      <c r="CV3138" s="128"/>
      <c r="CW3138" s="128"/>
      <c r="CX3138" s="128"/>
      <c r="CY3138" s="128"/>
      <c r="CZ3138" s="165"/>
    </row>
    <row r="3139" spans="1:104">
      <c r="A3139" s="149"/>
      <c r="B3139" s="149"/>
      <c r="C3139" s="150"/>
      <c r="D3139" s="102"/>
      <c r="E3139" s="149"/>
      <c r="F3139" s="149"/>
      <c r="G3139" s="149"/>
      <c r="H3139" s="149"/>
      <c r="I3139" s="149"/>
      <c r="J3139" s="149"/>
      <c r="K3139" s="149"/>
      <c r="L3139" s="149"/>
      <c r="M3139" s="149"/>
      <c r="N3139" s="149"/>
      <c r="O3139" s="149"/>
      <c r="P3139" s="149"/>
      <c r="Q3139" s="149"/>
      <c r="R3139" s="149"/>
      <c r="S3139" s="149"/>
      <c r="T3139" s="149"/>
      <c r="U3139" s="149"/>
      <c r="V3139" s="149"/>
      <c r="W3139" s="149"/>
      <c r="X3139" s="149"/>
      <c r="Y3139" s="149"/>
      <c r="Z3139" s="149"/>
      <c r="AA3139" s="149"/>
      <c r="AB3139" s="149"/>
      <c r="AC3139" s="149"/>
      <c r="AD3139" s="149"/>
      <c r="AE3139" s="149"/>
      <c r="AF3139" s="149"/>
      <c r="AG3139" s="149"/>
      <c r="AH3139" s="149"/>
      <c r="AI3139" s="149"/>
      <c r="AJ3139" s="149"/>
      <c r="AK3139" s="149"/>
      <c r="AL3139" s="149"/>
      <c r="AM3139" s="149"/>
      <c r="AN3139" s="149"/>
      <c r="AO3139" s="128"/>
      <c r="AP3139" s="128"/>
      <c r="AQ3139" s="128"/>
      <c r="AR3139" s="128"/>
      <c r="AS3139" s="128"/>
      <c r="AT3139" s="128"/>
      <c r="AU3139" s="128"/>
      <c r="AV3139" s="128"/>
      <c r="AW3139" s="128"/>
      <c r="AX3139" s="128"/>
      <c r="AY3139" s="128"/>
      <c r="AZ3139" s="128"/>
      <c r="BA3139" s="128"/>
      <c r="BB3139" s="128"/>
      <c r="BC3139" s="128"/>
      <c r="BD3139" s="128"/>
      <c r="BE3139" s="128"/>
      <c r="BF3139" s="128"/>
      <c r="BG3139" s="128"/>
      <c r="BH3139" s="128"/>
      <c r="BI3139" s="128"/>
      <c r="BJ3139" s="128"/>
      <c r="BK3139" s="128"/>
      <c r="BL3139" s="128"/>
      <c r="BM3139" s="151"/>
      <c r="BN3139" s="128"/>
      <c r="BO3139" s="128"/>
      <c r="BP3139" s="128"/>
      <c r="BQ3139" s="128"/>
      <c r="BR3139" s="128"/>
      <c r="BS3139" s="128"/>
      <c r="BT3139" s="128"/>
      <c r="BU3139" s="128"/>
      <c r="BV3139" s="128"/>
      <c r="BW3139" s="128"/>
      <c r="BX3139" s="128"/>
      <c r="BY3139" s="128"/>
      <c r="BZ3139" s="128"/>
      <c r="CA3139" s="128"/>
      <c r="CB3139" s="128"/>
      <c r="CC3139" s="128"/>
      <c r="CD3139" s="128"/>
      <c r="CE3139" s="128"/>
      <c r="CF3139" s="128"/>
      <c r="CG3139" s="128"/>
      <c r="CI3139" s="128"/>
      <c r="CJ3139" s="128"/>
      <c r="CK3139" s="128"/>
      <c r="CL3139" s="128"/>
      <c r="CM3139" s="128"/>
      <c r="CN3139" s="128"/>
      <c r="CO3139" s="128"/>
      <c r="CP3139" s="128"/>
      <c r="CQ3139" s="128"/>
      <c r="CR3139" s="128"/>
      <c r="CS3139" s="128"/>
      <c r="CT3139" s="128"/>
      <c r="CU3139" s="128"/>
      <c r="CV3139" s="128"/>
      <c r="CW3139" s="128"/>
      <c r="CX3139" s="128"/>
      <c r="CY3139" s="128"/>
      <c r="CZ3139" s="165"/>
    </row>
    <row r="3140" spans="1:104">
      <c r="A3140" s="149"/>
      <c r="B3140" s="149"/>
      <c r="C3140" s="150"/>
      <c r="D3140" s="102"/>
      <c r="E3140" s="149"/>
      <c r="F3140" s="149"/>
      <c r="G3140" s="149"/>
      <c r="H3140" s="149"/>
      <c r="I3140" s="149"/>
      <c r="J3140" s="149"/>
      <c r="K3140" s="149"/>
      <c r="L3140" s="149"/>
      <c r="M3140" s="149"/>
      <c r="N3140" s="149"/>
      <c r="O3140" s="149"/>
      <c r="P3140" s="149"/>
      <c r="Q3140" s="149"/>
      <c r="R3140" s="149"/>
      <c r="S3140" s="149"/>
      <c r="T3140" s="149"/>
      <c r="U3140" s="149"/>
      <c r="V3140" s="149"/>
      <c r="W3140" s="149"/>
      <c r="X3140" s="149"/>
      <c r="Y3140" s="149"/>
      <c r="Z3140" s="149"/>
      <c r="AA3140" s="149"/>
      <c r="AB3140" s="149"/>
      <c r="AC3140" s="149"/>
      <c r="AD3140" s="149"/>
      <c r="AE3140" s="149"/>
      <c r="AF3140" s="149"/>
      <c r="AG3140" s="149"/>
      <c r="AH3140" s="149"/>
      <c r="AI3140" s="149"/>
      <c r="AJ3140" s="149"/>
      <c r="AK3140" s="149"/>
      <c r="AL3140" s="149"/>
      <c r="AM3140" s="149"/>
      <c r="AN3140" s="149"/>
      <c r="AO3140" s="128"/>
      <c r="AP3140" s="128"/>
      <c r="AQ3140" s="128"/>
      <c r="AR3140" s="128"/>
      <c r="AS3140" s="128"/>
      <c r="AT3140" s="128"/>
      <c r="AU3140" s="128"/>
      <c r="AV3140" s="128"/>
      <c r="AW3140" s="128"/>
      <c r="AX3140" s="128"/>
      <c r="AY3140" s="128"/>
      <c r="AZ3140" s="128"/>
      <c r="BA3140" s="128"/>
      <c r="BB3140" s="128"/>
      <c r="BC3140" s="128"/>
      <c r="BD3140" s="128"/>
      <c r="BE3140" s="128"/>
      <c r="BF3140" s="128"/>
      <c r="BG3140" s="128"/>
      <c r="BH3140" s="128"/>
      <c r="BI3140" s="128"/>
      <c r="BJ3140" s="128"/>
      <c r="BK3140" s="128"/>
      <c r="BL3140" s="128"/>
      <c r="BM3140" s="151"/>
      <c r="BN3140" s="128"/>
      <c r="BO3140" s="128"/>
      <c r="BP3140" s="128"/>
      <c r="BQ3140" s="128"/>
      <c r="BR3140" s="128"/>
      <c r="BS3140" s="128"/>
      <c r="BT3140" s="128"/>
      <c r="BU3140" s="128"/>
      <c r="BV3140" s="128"/>
      <c r="BW3140" s="128"/>
      <c r="BX3140" s="128"/>
      <c r="BY3140" s="128"/>
      <c r="BZ3140" s="128"/>
      <c r="CA3140" s="128"/>
      <c r="CB3140" s="128"/>
      <c r="CC3140" s="128"/>
      <c r="CD3140" s="128"/>
      <c r="CE3140" s="128"/>
      <c r="CF3140" s="128"/>
      <c r="CG3140" s="128"/>
      <c r="CI3140" s="128"/>
      <c r="CJ3140" s="128"/>
      <c r="CK3140" s="128"/>
      <c r="CL3140" s="128"/>
      <c r="CM3140" s="128"/>
      <c r="CN3140" s="128"/>
      <c r="CO3140" s="128"/>
      <c r="CP3140" s="128"/>
      <c r="CQ3140" s="128"/>
      <c r="CR3140" s="128"/>
      <c r="CS3140" s="128"/>
      <c r="CT3140" s="128"/>
      <c r="CU3140" s="128"/>
      <c r="CV3140" s="128"/>
      <c r="CW3140" s="128"/>
      <c r="CX3140" s="128"/>
      <c r="CY3140" s="128"/>
      <c r="CZ3140" s="165"/>
    </row>
    <row r="3141" spans="1:104">
      <c r="A3141" s="149"/>
      <c r="B3141" s="149"/>
      <c r="C3141" s="150"/>
      <c r="D3141" s="102"/>
      <c r="E3141" s="149"/>
      <c r="F3141" s="149"/>
      <c r="G3141" s="149"/>
      <c r="H3141" s="149"/>
      <c r="I3141" s="149"/>
      <c r="J3141" s="149"/>
      <c r="K3141" s="149"/>
      <c r="L3141" s="149"/>
      <c r="M3141" s="149"/>
      <c r="N3141" s="149"/>
      <c r="O3141" s="149"/>
      <c r="P3141" s="149"/>
      <c r="Q3141" s="149"/>
      <c r="R3141" s="149"/>
      <c r="S3141" s="149"/>
      <c r="T3141" s="149"/>
      <c r="U3141" s="149"/>
      <c r="V3141" s="149"/>
      <c r="W3141" s="149"/>
      <c r="X3141" s="149"/>
      <c r="Y3141" s="149"/>
      <c r="Z3141" s="149"/>
      <c r="AA3141" s="149"/>
      <c r="AB3141" s="149"/>
      <c r="AC3141" s="149"/>
      <c r="AD3141" s="149"/>
      <c r="AE3141" s="149"/>
      <c r="AF3141" s="149"/>
      <c r="AG3141" s="149"/>
      <c r="AH3141" s="149"/>
      <c r="AI3141" s="149"/>
      <c r="AJ3141" s="149"/>
      <c r="AK3141" s="149"/>
      <c r="AL3141" s="149"/>
      <c r="AM3141" s="149"/>
      <c r="AN3141" s="149"/>
      <c r="AO3141" s="128"/>
      <c r="AP3141" s="128"/>
      <c r="AQ3141" s="128"/>
      <c r="AR3141" s="128"/>
      <c r="AS3141" s="128"/>
      <c r="AT3141" s="128"/>
      <c r="AU3141" s="128"/>
      <c r="AV3141" s="128"/>
      <c r="AW3141" s="128"/>
      <c r="AX3141" s="128"/>
      <c r="AY3141" s="128"/>
      <c r="AZ3141" s="128"/>
      <c r="BA3141" s="128"/>
      <c r="BB3141" s="128"/>
      <c r="BC3141" s="128"/>
      <c r="BD3141" s="128"/>
      <c r="BE3141" s="128"/>
      <c r="BF3141" s="128"/>
      <c r="BG3141" s="128"/>
      <c r="BH3141" s="128"/>
      <c r="BI3141" s="128"/>
      <c r="BJ3141" s="128"/>
      <c r="BK3141" s="128"/>
      <c r="BL3141" s="128"/>
      <c r="BM3141" s="151"/>
      <c r="BN3141" s="128"/>
      <c r="BO3141" s="128"/>
      <c r="BP3141" s="128"/>
      <c r="BQ3141" s="128"/>
      <c r="BR3141" s="128"/>
      <c r="BS3141" s="128"/>
      <c r="BT3141" s="128"/>
      <c r="BU3141" s="128"/>
      <c r="BV3141" s="128"/>
      <c r="BW3141" s="128"/>
      <c r="BX3141" s="128"/>
      <c r="BY3141" s="128"/>
      <c r="BZ3141" s="128"/>
      <c r="CA3141" s="128"/>
      <c r="CB3141" s="128"/>
      <c r="CC3141" s="128"/>
      <c r="CD3141" s="128"/>
      <c r="CE3141" s="128"/>
      <c r="CF3141" s="128"/>
      <c r="CG3141" s="128"/>
      <c r="CI3141" s="128"/>
      <c r="CJ3141" s="128"/>
      <c r="CK3141" s="128"/>
      <c r="CL3141" s="128"/>
      <c r="CM3141" s="128"/>
      <c r="CN3141" s="128"/>
      <c r="CO3141" s="128"/>
      <c r="CP3141" s="128"/>
      <c r="CQ3141" s="128"/>
      <c r="CR3141" s="128"/>
      <c r="CS3141" s="128"/>
      <c r="CT3141" s="128"/>
      <c r="CU3141" s="128"/>
      <c r="CV3141" s="128"/>
      <c r="CW3141" s="128"/>
      <c r="CX3141" s="128"/>
      <c r="CY3141" s="128"/>
      <c r="CZ3141" s="165"/>
    </row>
    <row r="3142" spans="1:104">
      <c r="A3142" s="149"/>
      <c r="B3142" s="149"/>
      <c r="C3142" s="150"/>
      <c r="D3142" s="102"/>
      <c r="E3142" s="149"/>
      <c r="F3142" s="149"/>
      <c r="G3142" s="149"/>
      <c r="H3142" s="149"/>
      <c r="I3142" s="149"/>
      <c r="J3142" s="149"/>
      <c r="K3142" s="149"/>
      <c r="L3142" s="149"/>
      <c r="M3142" s="149"/>
      <c r="N3142" s="149"/>
      <c r="O3142" s="149"/>
      <c r="P3142" s="149"/>
      <c r="Q3142" s="149"/>
      <c r="R3142" s="149"/>
      <c r="S3142" s="149"/>
      <c r="T3142" s="149"/>
      <c r="U3142" s="149"/>
      <c r="V3142" s="149"/>
      <c r="W3142" s="149"/>
      <c r="X3142" s="149"/>
      <c r="Y3142" s="149"/>
      <c r="Z3142" s="149"/>
      <c r="AA3142" s="149"/>
      <c r="AB3142" s="149"/>
      <c r="AC3142" s="149"/>
      <c r="AD3142" s="149"/>
      <c r="AE3142" s="149"/>
      <c r="AF3142" s="149"/>
      <c r="AG3142" s="149"/>
      <c r="AH3142" s="149"/>
      <c r="AI3142" s="149"/>
      <c r="AJ3142" s="149"/>
      <c r="AK3142" s="149"/>
      <c r="AL3142" s="149"/>
      <c r="AM3142" s="149"/>
      <c r="AN3142" s="149"/>
      <c r="AO3142" s="128"/>
      <c r="AP3142" s="128"/>
      <c r="AQ3142" s="128"/>
      <c r="AR3142" s="128"/>
      <c r="AS3142" s="128"/>
      <c r="AT3142" s="128"/>
      <c r="AU3142" s="128"/>
      <c r="AV3142" s="128"/>
      <c r="AW3142" s="128"/>
      <c r="AX3142" s="128"/>
      <c r="AY3142" s="128"/>
      <c r="AZ3142" s="128"/>
      <c r="BA3142" s="128"/>
      <c r="BB3142" s="128"/>
      <c r="BC3142" s="128"/>
      <c r="BD3142" s="128"/>
      <c r="BE3142" s="128"/>
      <c r="BF3142" s="128"/>
      <c r="BG3142" s="128"/>
      <c r="BH3142" s="128"/>
      <c r="BI3142" s="128"/>
      <c r="BJ3142" s="128"/>
      <c r="BK3142" s="128"/>
      <c r="BL3142" s="128"/>
      <c r="BM3142" s="151"/>
      <c r="BN3142" s="128"/>
      <c r="BO3142" s="128"/>
      <c r="BP3142" s="128"/>
      <c r="BQ3142" s="128"/>
      <c r="BR3142" s="128"/>
      <c r="BS3142" s="128"/>
      <c r="BT3142" s="128"/>
      <c r="BU3142" s="128"/>
      <c r="BV3142" s="128"/>
      <c r="BW3142" s="128"/>
      <c r="BX3142" s="128"/>
      <c r="BY3142" s="128"/>
      <c r="BZ3142" s="128"/>
      <c r="CA3142" s="128"/>
      <c r="CB3142" s="128"/>
      <c r="CC3142" s="128"/>
      <c r="CD3142" s="128"/>
      <c r="CE3142" s="128"/>
      <c r="CF3142" s="128"/>
      <c r="CG3142" s="128"/>
      <c r="CI3142" s="128"/>
      <c r="CJ3142" s="128"/>
      <c r="CK3142" s="128"/>
      <c r="CL3142" s="128"/>
      <c r="CM3142" s="128"/>
      <c r="CN3142" s="128"/>
      <c r="CO3142" s="128"/>
      <c r="CP3142" s="128"/>
      <c r="CQ3142" s="128"/>
      <c r="CR3142" s="128"/>
      <c r="CS3142" s="128"/>
      <c r="CT3142" s="128"/>
      <c r="CU3142" s="128"/>
      <c r="CV3142" s="128"/>
      <c r="CW3142" s="128"/>
      <c r="CX3142" s="128"/>
      <c r="CY3142" s="128"/>
      <c r="CZ3142" s="165"/>
    </row>
    <row r="3143" spans="1:104">
      <c r="A3143" s="149"/>
      <c r="B3143" s="149"/>
      <c r="C3143" s="150"/>
      <c r="D3143" s="102"/>
      <c r="E3143" s="149"/>
      <c r="F3143" s="149"/>
      <c r="G3143" s="149"/>
      <c r="H3143" s="149"/>
      <c r="I3143" s="149"/>
      <c r="J3143" s="149"/>
      <c r="K3143" s="149"/>
      <c r="L3143" s="149"/>
      <c r="M3143" s="149"/>
      <c r="N3143" s="149"/>
      <c r="O3143" s="149"/>
      <c r="P3143" s="149"/>
      <c r="Q3143" s="149"/>
      <c r="R3143" s="149"/>
      <c r="S3143" s="149"/>
      <c r="T3143" s="149"/>
      <c r="U3143" s="149"/>
      <c r="V3143" s="149"/>
      <c r="W3143" s="149"/>
      <c r="X3143" s="149"/>
      <c r="Y3143" s="149"/>
      <c r="Z3143" s="149"/>
      <c r="AA3143" s="149"/>
      <c r="AB3143" s="149"/>
      <c r="AC3143" s="149"/>
      <c r="AD3143" s="149"/>
      <c r="AE3143" s="149"/>
      <c r="AF3143" s="149"/>
      <c r="AG3143" s="149"/>
      <c r="AH3143" s="149"/>
      <c r="AI3143" s="149"/>
      <c r="AJ3143" s="149"/>
      <c r="AK3143" s="149"/>
      <c r="AL3143" s="149"/>
      <c r="AM3143" s="149"/>
      <c r="AN3143" s="149"/>
      <c r="AO3143" s="128"/>
      <c r="AP3143" s="128"/>
      <c r="AQ3143" s="128"/>
      <c r="AR3143" s="128"/>
      <c r="AS3143" s="128"/>
      <c r="AT3143" s="128"/>
      <c r="AU3143" s="128"/>
      <c r="AV3143" s="128"/>
      <c r="AW3143" s="128"/>
      <c r="AX3143" s="128"/>
      <c r="AY3143" s="128"/>
      <c r="AZ3143" s="128"/>
      <c r="BA3143" s="128"/>
      <c r="BB3143" s="128"/>
      <c r="BC3143" s="128"/>
      <c r="BD3143" s="128"/>
      <c r="BE3143" s="128"/>
      <c r="BF3143" s="128"/>
      <c r="BG3143" s="128"/>
      <c r="BH3143" s="128"/>
      <c r="BI3143" s="128"/>
      <c r="BJ3143" s="128"/>
      <c r="BK3143" s="128"/>
      <c r="BL3143" s="128"/>
      <c r="BM3143" s="151"/>
      <c r="BN3143" s="128"/>
      <c r="BO3143" s="128"/>
      <c r="BP3143" s="128"/>
      <c r="BQ3143" s="128"/>
      <c r="BR3143" s="128"/>
      <c r="BS3143" s="128"/>
      <c r="BT3143" s="128"/>
      <c r="BU3143" s="128"/>
      <c r="BV3143" s="128"/>
      <c r="BW3143" s="128"/>
      <c r="BX3143" s="128"/>
      <c r="BY3143" s="128"/>
      <c r="BZ3143" s="128"/>
      <c r="CA3143" s="128"/>
      <c r="CB3143" s="128"/>
      <c r="CC3143" s="128"/>
      <c r="CD3143" s="128"/>
      <c r="CE3143" s="128"/>
      <c r="CF3143" s="128"/>
      <c r="CG3143" s="128"/>
      <c r="CI3143" s="128"/>
      <c r="CJ3143" s="128"/>
      <c r="CK3143" s="128"/>
      <c r="CL3143" s="128"/>
      <c r="CM3143" s="128"/>
      <c r="CN3143" s="128"/>
      <c r="CO3143" s="128"/>
      <c r="CP3143" s="128"/>
      <c r="CQ3143" s="128"/>
      <c r="CR3143" s="128"/>
      <c r="CS3143" s="128"/>
      <c r="CT3143" s="128"/>
      <c r="CU3143" s="128"/>
      <c r="CV3143" s="128"/>
      <c r="CW3143" s="128"/>
      <c r="CX3143" s="128"/>
      <c r="CY3143" s="128"/>
      <c r="CZ3143" s="165"/>
    </row>
    <row r="3144" spans="1:104">
      <c r="A3144" s="149"/>
      <c r="B3144" s="149"/>
      <c r="C3144" s="150"/>
      <c r="D3144" s="102"/>
      <c r="E3144" s="149"/>
      <c r="F3144" s="149"/>
      <c r="G3144" s="149"/>
      <c r="H3144" s="149"/>
      <c r="I3144" s="149"/>
      <c r="J3144" s="149"/>
      <c r="K3144" s="149"/>
      <c r="L3144" s="149"/>
      <c r="M3144" s="149"/>
      <c r="N3144" s="149"/>
      <c r="O3144" s="149"/>
      <c r="P3144" s="149"/>
      <c r="Q3144" s="149"/>
      <c r="R3144" s="149"/>
      <c r="S3144" s="149"/>
      <c r="T3144" s="149"/>
      <c r="U3144" s="149"/>
      <c r="V3144" s="149"/>
      <c r="W3144" s="149"/>
      <c r="X3144" s="149"/>
      <c r="Y3144" s="149"/>
      <c r="Z3144" s="149"/>
      <c r="AA3144" s="149"/>
      <c r="AB3144" s="149"/>
      <c r="AC3144" s="149"/>
      <c r="AD3144" s="149"/>
      <c r="AE3144" s="149"/>
      <c r="AF3144" s="149"/>
      <c r="AG3144" s="149"/>
      <c r="AH3144" s="149"/>
      <c r="AI3144" s="149"/>
      <c r="AJ3144" s="149"/>
      <c r="AK3144" s="149"/>
      <c r="AL3144" s="149"/>
      <c r="AM3144" s="149"/>
      <c r="AN3144" s="149"/>
      <c r="AO3144" s="128"/>
      <c r="AP3144" s="128"/>
      <c r="AQ3144" s="128"/>
      <c r="AR3144" s="128"/>
      <c r="AS3144" s="128"/>
      <c r="AT3144" s="128"/>
      <c r="AU3144" s="128"/>
      <c r="AV3144" s="128"/>
      <c r="AW3144" s="128"/>
      <c r="AX3144" s="128"/>
      <c r="AY3144" s="128"/>
      <c r="AZ3144" s="128"/>
      <c r="BA3144" s="128"/>
      <c r="BB3144" s="128"/>
      <c r="BC3144" s="128"/>
      <c r="BD3144" s="128"/>
      <c r="BE3144" s="128"/>
      <c r="BF3144" s="128"/>
      <c r="BG3144" s="128"/>
      <c r="BH3144" s="128"/>
      <c r="BI3144" s="128"/>
      <c r="BJ3144" s="128"/>
      <c r="BK3144" s="128"/>
      <c r="BL3144" s="128"/>
      <c r="BM3144" s="151"/>
      <c r="BN3144" s="128"/>
      <c r="BO3144" s="128"/>
      <c r="BP3144" s="128"/>
      <c r="BQ3144" s="128"/>
      <c r="BR3144" s="128"/>
      <c r="BS3144" s="128"/>
      <c r="BT3144" s="128"/>
      <c r="BU3144" s="128"/>
      <c r="BV3144" s="128"/>
      <c r="BW3144" s="128"/>
      <c r="BX3144" s="128"/>
      <c r="BY3144" s="128"/>
      <c r="BZ3144" s="128"/>
      <c r="CA3144" s="128"/>
      <c r="CB3144" s="128"/>
      <c r="CC3144" s="128"/>
      <c r="CD3144" s="128"/>
      <c r="CE3144" s="128"/>
      <c r="CF3144" s="128"/>
      <c r="CG3144" s="128"/>
      <c r="CI3144" s="128"/>
      <c r="CJ3144" s="128"/>
      <c r="CK3144" s="128"/>
      <c r="CL3144" s="128"/>
      <c r="CM3144" s="128"/>
      <c r="CN3144" s="128"/>
      <c r="CO3144" s="128"/>
      <c r="CP3144" s="128"/>
      <c r="CQ3144" s="128"/>
      <c r="CR3144" s="128"/>
      <c r="CS3144" s="128"/>
      <c r="CT3144" s="128"/>
      <c r="CU3144" s="128"/>
      <c r="CV3144" s="128"/>
      <c r="CW3144" s="128"/>
      <c r="CX3144" s="128"/>
      <c r="CY3144" s="128"/>
      <c r="CZ3144" s="165"/>
    </row>
    <row r="3145" spans="1:104">
      <c r="A3145" s="149"/>
      <c r="B3145" s="149"/>
      <c r="C3145" s="150"/>
      <c r="D3145" s="102"/>
      <c r="E3145" s="149"/>
      <c r="F3145" s="149"/>
      <c r="G3145" s="149"/>
      <c r="H3145" s="149"/>
      <c r="I3145" s="149"/>
      <c r="J3145" s="149"/>
      <c r="K3145" s="149"/>
      <c r="L3145" s="149"/>
      <c r="M3145" s="149"/>
      <c r="N3145" s="149"/>
      <c r="O3145" s="149"/>
      <c r="P3145" s="149"/>
      <c r="Q3145" s="149"/>
      <c r="R3145" s="149"/>
      <c r="S3145" s="149"/>
      <c r="T3145" s="149"/>
      <c r="U3145" s="149"/>
      <c r="V3145" s="149"/>
      <c r="W3145" s="149"/>
      <c r="X3145" s="149"/>
      <c r="Y3145" s="149"/>
      <c r="Z3145" s="149"/>
      <c r="AA3145" s="149"/>
      <c r="AB3145" s="149"/>
      <c r="AC3145" s="149"/>
      <c r="AD3145" s="149"/>
      <c r="AE3145" s="149"/>
      <c r="AF3145" s="149"/>
      <c r="AG3145" s="149"/>
      <c r="AH3145" s="149"/>
      <c r="AI3145" s="149"/>
      <c r="AJ3145" s="149"/>
      <c r="AK3145" s="149"/>
      <c r="AL3145" s="149"/>
      <c r="AM3145" s="149"/>
      <c r="AN3145" s="149"/>
      <c r="AO3145" s="128"/>
      <c r="AP3145" s="128"/>
      <c r="AQ3145" s="128"/>
      <c r="AR3145" s="128"/>
      <c r="AS3145" s="128"/>
      <c r="AT3145" s="128"/>
      <c r="AU3145" s="128"/>
      <c r="AV3145" s="128"/>
      <c r="AW3145" s="128"/>
      <c r="AX3145" s="128"/>
      <c r="AY3145" s="128"/>
      <c r="AZ3145" s="128"/>
      <c r="BA3145" s="128"/>
      <c r="BB3145" s="128"/>
      <c r="BC3145" s="128"/>
      <c r="BD3145" s="128"/>
      <c r="BE3145" s="128"/>
      <c r="BF3145" s="128"/>
      <c r="BG3145" s="128"/>
      <c r="BH3145" s="128"/>
      <c r="BI3145" s="128"/>
      <c r="BJ3145" s="128"/>
      <c r="BK3145" s="128"/>
      <c r="BL3145" s="128"/>
      <c r="BM3145" s="151"/>
      <c r="BN3145" s="128"/>
      <c r="BO3145" s="128"/>
      <c r="BP3145" s="128"/>
      <c r="BQ3145" s="128"/>
      <c r="BR3145" s="128"/>
      <c r="BS3145" s="128"/>
      <c r="BT3145" s="128"/>
      <c r="BU3145" s="128"/>
      <c r="BV3145" s="128"/>
      <c r="BW3145" s="128"/>
      <c r="BX3145" s="128"/>
      <c r="BY3145" s="128"/>
      <c r="BZ3145" s="128"/>
      <c r="CA3145" s="128"/>
      <c r="CB3145" s="128"/>
      <c r="CC3145" s="128"/>
      <c r="CD3145" s="128"/>
      <c r="CE3145" s="128"/>
      <c r="CF3145" s="128"/>
      <c r="CG3145" s="128"/>
      <c r="CI3145" s="128"/>
      <c r="CJ3145" s="128"/>
      <c r="CK3145" s="128"/>
      <c r="CL3145" s="128"/>
      <c r="CM3145" s="128"/>
      <c r="CN3145" s="128"/>
      <c r="CO3145" s="128"/>
      <c r="CP3145" s="128"/>
      <c r="CQ3145" s="128"/>
      <c r="CR3145" s="128"/>
      <c r="CS3145" s="128"/>
      <c r="CT3145" s="128"/>
      <c r="CU3145" s="128"/>
      <c r="CV3145" s="128"/>
      <c r="CW3145" s="128"/>
      <c r="CX3145" s="128"/>
      <c r="CY3145" s="128"/>
      <c r="CZ3145" s="165"/>
    </row>
    <row r="3146" spans="1:104">
      <c r="A3146" s="149"/>
      <c r="B3146" s="149"/>
      <c r="C3146" s="150"/>
      <c r="D3146" s="102"/>
      <c r="E3146" s="149"/>
      <c r="F3146" s="149"/>
      <c r="G3146" s="149"/>
      <c r="H3146" s="149"/>
      <c r="I3146" s="149"/>
      <c r="J3146" s="149"/>
      <c r="K3146" s="149"/>
      <c r="L3146" s="149"/>
      <c r="M3146" s="149"/>
      <c r="N3146" s="149"/>
      <c r="O3146" s="149"/>
      <c r="P3146" s="149"/>
      <c r="Q3146" s="149"/>
      <c r="R3146" s="149"/>
      <c r="S3146" s="149"/>
      <c r="T3146" s="149"/>
      <c r="U3146" s="149"/>
      <c r="V3146" s="149"/>
      <c r="W3146" s="149"/>
      <c r="X3146" s="149"/>
      <c r="Y3146" s="149"/>
      <c r="Z3146" s="149"/>
      <c r="AA3146" s="149"/>
      <c r="AB3146" s="149"/>
      <c r="AC3146" s="149"/>
      <c r="AD3146" s="149"/>
      <c r="AE3146" s="149"/>
      <c r="AF3146" s="149"/>
      <c r="AG3146" s="149"/>
      <c r="AH3146" s="149"/>
      <c r="AI3146" s="149"/>
      <c r="AJ3146" s="149"/>
      <c r="AK3146" s="149"/>
      <c r="AL3146" s="149"/>
      <c r="AM3146" s="149"/>
      <c r="AN3146" s="149"/>
      <c r="AO3146" s="128"/>
      <c r="AP3146" s="128"/>
      <c r="AQ3146" s="128"/>
      <c r="AR3146" s="128"/>
      <c r="AS3146" s="128"/>
      <c r="AT3146" s="128"/>
      <c r="AU3146" s="128"/>
      <c r="AV3146" s="128"/>
      <c r="AW3146" s="128"/>
      <c r="AX3146" s="128"/>
      <c r="AY3146" s="128"/>
      <c r="AZ3146" s="128"/>
      <c r="BA3146" s="128"/>
      <c r="BB3146" s="128"/>
      <c r="BC3146" s="128"/>
      <c r="BD3146" s="128"/>
      <c r="BE3146" s="128"/>
      <c r="BF3146" s="128"/>
      <c r="BG3146" s="128"/>
      <c r="BH3146" s="128"/>
      <c r="BI3146" s="128"/>
      <c r="BJ3146" s="128"/>
      <c r="BK3146" s="128"/>
      <c r="BL3146" s="128"/>
      <c r="BM3146" s="151"/>
      <c r="BN3146" s="128"/>
      <c r="BO3146" s="128"/>
      <c r="BP3146" s="128"/>
      <c r="BQ3146" s="128"/>
      <c r="BR3146" s="128"/>
      <c r="BS3146" s="128"/>
      <c r="BT3146" s="128"/>
      <c r="BU3146" s="128"/>
      <c r="BV3146" s="128"/>
      <c r="BW3146" s="128"/>
      <c r="BX3146" s="128"/>
      <c r="BY3146" s="128"/>
      <c r="BZ3146" s="128"/>
      <c r="CA3146" s="128"/>
      <c r="CB3146" s="128"/>
      <c r="CC3146" s="128"/>
      <c r="CD3146" s="128"/>
      <c r="CE3146" s="128"/>
      <c r="CF3146" s="128"/>
      <c r="CG3146" s="128"/>
      <c r="CI3146" s="128"/>
      <c r="CJ3146" s="128"/>
      <c r="CK3146" s="128"/>
      <c r="CL3146" s="128"/>
      <c r="CM3146" s="128"/>
      <c r="CN3146" s="128"/>
      <c r="CO3146" s="128"/>
      <c r="CP3146" s="128"/>
      <c r="CQ3146" s="128"/>
      <c r="CR3146" s="128"/>
      <c r="CS3146" s="128"/>
      <c r="CT3146" s="128"/>
      <c r="CU3146" s="128"/>
      <c r="CV3146" s="128"/>
      <c r="CW3146" s="128"/>
      <c r="CX3146" s="128"/>
      <c r="CY3146" s="128"/>
      <c r="CZ3146" s="165"/>
    </row>
    <row r="3147" spans="1:104">
      <c r="A3147" s="149"/>
      <c r="B3147" s="149"/>
      <c r="C3147" s="150"/>
      <c r="D3147" s="102"/>
      <c r="E3147" s="149"/>
      <c r="F3147" s="149"/>
      <c r="G3147" s="149"/>
      <c r="H3147" s="149"/>
      <c r="I3147" s="149"/>
      <c r="J3147" s="149"/>
      <c r="K3147" s="149"/>
      <c r="L3147" s="149"/>
      <c r="M3147" s="149"/>
      <c r="N3147" s="149"/>
      <c r="O3147" s="149"/>
      <c r="P3147" s="149"/>
      <c r="Q3147" s="149"/>
      <c r="R3147" s="149"/>
      <c r="S3147" s="149"/>
      <c r="T3147" s="149"/>
      <c r="U3147" s="149"/>
      <c r="V3147" s="149"/>
      <c r="W3147" s="149"/>
      <c r="X3147" s="149"/>
      <c r="Y3147" s="149"/>
      <c r="Z3147" s="149"/>
      <c r="AA3147" s="149"/>
      <c r="AB3147" s="149"/>
      <c r="AC3147" s="149"/>
      <c r="AD3147" s="149"/>
      <c r="AE3147" s="149"/>
      <c r="AF3147" s="149"/>
      <c r="AG3147" s="149"/>
      <c r="AH3147" s="149"/>
      <c r="AI3147" s="149"/>
      <c r="AJ3147" s="149"/>
      <c r="AK3147" s="149"/>
      <c r="AL3147" s="149"/>
      <c r="AM3147" s="149"/>
      <c r="AN3147" s="149"/>
      <c r="AO3147" s="128"/>
      <c r="AP3147" s="128"/>
      <c r="AQ3147" s="128"/>
      <c r="AR3147" s="128"/>
      <c r="AS3147" s="128"/>
      <c r="AT3147" s="128"/>
      <c r="AU3147" s="128"/>
      <c r="AV3147" s="128"/>
      <c r="AW3147" s="128"/>
      <c r="AX3147" s="128"/>
      <c r="AY3147" s="128"/>
      <c r="AZ3147" s="128"/>
      <c r="BA3147" s="128"/>
      <c r="BB3147" s="128"/>
      <c r="BC3147" s="128"/>
      <c r="BD3147" s="128"/>
      <c r="BE3147" s="128"/>
      <c r="BF3147" s="128"/>
      <c r="BG3147" s="128"/>
      <c r="BH3147" s="128"/>
      <c r="BI3147" s="128"/>
      <c r="BJ3147" s="128"/>
      <c r="BK3147" s="128"/>
      <c r="BL3147" s="128"/>
      <c r="BM3147" s="151"/>
      <c r="BN3147" s="128"/>
      <c r="BO3147" s="128"/>
      <c r="BP3147" s="128"/>
      <c r="BQ3147" s="128"/>
      <c r="BR3147" s="128"/>
      <c r="BS3147" s="128"/>
      <c r="BT3147" s="128"/>
      <c r="BU3147" s="128"/>
      <c r="BV3147" s="128"/>
      <c r="BW3147" s="128"/>
      <c r="BX3147" s="128"/>
      <c r="BY3147" s="128"/>
      <c r="BZ3147" s="128"/>
      <c r="CA3147" s="128"/>
      <c r="CB3147" s="128"/>
      <c r="CC3147" s="128"/>
      <c r="CD3147" s="128"/>
      <c r="CE3147" s="128"/>
      <c r="CF3147" s="128"/>
      <c r="CG3147" s="128"/>
      <c r="CI3147" s="128"/>
      <c r="CJ3147" s="128"/>
      <c r="CK3147" s="128"/>
      <c r="CL3147" s="128"/>
      <c r="CM3147" s="128"/>
      <c r="CN3147" s="128"/>
      <c r="CO3147" s="128"/>
      <c r="CP3147" s="128"/>
      <c r="CQ3147" s="128"/>
      <c r="CR3147" s="128"/>
      <c r="CS3147" s="128"/>
      <c r="CT3147" s="128"/>
      <c r="CU3147" s="128"/>
      <c r="CV3147" s="128"/>
      <c r="CW3147" s="128"/>
      <c r="CX3147" s="128"/>
      <c r="CY3147" s="128"/>
      <c r="CZ3147" s="165"/>
    </row>
    <row r="3148" spans="1:104">
      <c r="A3148" s="149"/>
      <c r="B3148" s="149"/>
      <c r="C3148" s="150"/>
      <c r="D3148" s="102"/>
      <c r="E3148" s="149"/>
      <c r="F3148" s="149"/>
      <c r="G3148" s="149"/>
      <c r="H3148" s="149"/>
      <c r="I3148" s="149"/>
      <c r="J3148" s="149"/>
      <c r="K3148" s="149"/>
      <c r="L3148" s="149"/>
      <c r="M3148" s="149"/>
      <c r="N3148" s="149"/>
      <c r="O3148" s="149"/>
      <c r="P3148" s="149"/>
      <c r="Q3148" s="149"/>
      <c r="R3148" s="149"/>
      <c r="S3148" s="149"/>
      <c r="T3148" s="149"/>
      <c r="U3148" s="149"/>
      <c r="V3148" s="149"/>
      <c r="W3148" s="149"/>
      <c r="X3148" s="149"/>
      <c r="Y3148" s="149"/>
      <c r="Z3148" s="149"/>
      <c r="AA3148" s="149"/>
      <c r="AB3148" s="149"/>
      <c r="AC3148" s="149"/>
      <c r="AD3148" s="149"/>
      <c r="AE3148" s="149"/>
      <c r="AF3148" s="149"/>
      <c r="AG3148" s="149"/>
      <c r="AH3148" s="149"/>
      <c r="AI3148" s="149"/>
      <c r="AJ3148" s="149"/>
      <c r="AK3148" s="149"/>
      <c r="AL3148" s="149"/>
      <c r="AM3148" s="149"/>
      <c r="AN3148" s="149"/>
      <c r="AO3148" s="128"/>
      <c r="AP3148" s="128"/>
      <c r="AQ3148" s="128"/>
      <c r="AR3148" s="128"/>
      <c r="AS3148" s="128"/>
      <c r="AT3148" s="128"/>
      <c r="AU3148" s="128"/>
      <c r="AV3148" s="128"/>
      <c r="AW3148" s="128"/>
      <c r="AX3148" s="128"/>
      <c r="AY3148" s="128"/>
      <c r="AZ3148" s="128"/>
      <c r="BA3148" s="128"/>
      <c r="BB3148" s="128"/>
      <c r="BC3148" s="128"/>
      <c r="BD3148" s="128"/>
      <c r="BE3148" s="128"/>
      <c r="BF3148" s="128"/>
      <c r="BG3148" s="128"/>
      <c r="BH3148" s="128"/>
      <c r="BI3148" s="128"/>
      <c r="BJ3148" s="128"/>
      <c r="BK3148" s="128"/>
      <c r="BL3148" s="128"/>
      <c r="BM3148" s="151"/>
      <c r="BN3148" s="128"/>
      <c r="BO3148" s="128"/>
      <c r="BP3148" s="128"/>
      <c r="BQ3148" s="128"/>
      <c r="BR3148" s="128"/>
      <c r="BS3148" s="128"/>
      <c r="BT3148" s="128"/>
      <c r="BU3148" s="128"/>
      <c r="BV3148" s="128"/>
      <c r="BW3148" s="128"/>
      <c r="BX3148" s="128"/>
      <c r="BY3148" s="128"/>
      <c r="BZ3148" s="128"/>
      <c r="CA3148" s="128"/>
      <c r="CB3148" s="128"/>
      <c r="CC3148" s="128"/>
      <c r="CD3148" s="128"/>
      <c r="CE3148" s="128"/>
      <c r="CF3148" s="128"/>
      <c r="CG3148" s="128"/>
      <c r="CI3148" s="128"/>
      <c r="CJ3148" s="128"/>
      <c r="CK3148" s="128"/>
      <c r="CL3148" s="128"/>
      <c r="CM3148" s="128"/>
      <c r="CN3148" s="128"/>
      <c r="CO3148" s="128"/>
      <c r="CP3148" s="128"/>
      <c r="CQ3148" s="128"/>
      <c r="CR3148" s="128"/>
      <c r="CS3148" s="128"/>
      <c r="CT3148" s="128"/>
      <c r="CU3148" s="128"/>
      <c r="CV3148" s="128"/>
      <c r="CW3148" s="128"/>
      <c r="CX3148" s="128"/>
      <c r="CY3148" s="128"/>
      <c r="CZ3148" s="165"/>
    </row>
    <row r="3149" spans="1:104">
      <c r="A3149" s="149"/>
      <c r="B3149" s="149"/>
      <c r="C3149" s="150"/>
      <c r="D3149" s="102"/>
      <c r="E3149" s="149"/>
      <c r="F3149" s="149"/>
      <c r="G3149" s="149"/>
      <c r="H3149" s="149"/>
      <c r="I3149" s="149"/>
      <c r="J3149" s="149"/>
      <c r="K3149" s="149"/>
      <c r="L3149" s="149"/>
      <c r="M3149" s="149"/>
      <c r="N3149" s="149"/>
      <c r="O3149" s="149"/>
      <c r="P3149" s="149"/>
      <c r="Q3149" s="149"/>
      <c r="R3149" s="149"/>
      <c r="S3149" s="149"/>
      <c r="T3149" s="149"/>
      <c r="U3149" s="149"/>
      <c r="V3149" s="149"/>
      <c r="W3149" s="149"/>
      <c r="X3149" s="149"/>
      <c r="Y3149" s="149"/>
      <c r="Z3149" s="149"/>
      <c r="AA3149" s="149"/>
      <c r="AB3149" s="149"/>
      <c r="AC3149" s="149"/>
      <c r="AD3149" s="149"/>
      <c r="AE3149" s="149"/>
      <c r="AF3149" s="149"/>
      <c r="AG3149" s="149"/>
      <c r="AH3149" s="149"/>
      <c r="AI3149" s="149"/>
      <c r="AJ3149" s="149"/>
      <c r="AK3149" s="149"/>
      <c r="AL3149" s="149"/>
      <c r="AM3149" s="149"/>
      <c r="AN3149" s="149"/>
      <c r="AO3149" s="128"/>
      <c r="AP3149" s="128"/>
      <c r="AQ3149" s="128"/>
      <c r="AR3149" s="128"/>
      <c r="AS3149" s="128"/>
      <c r="AT3149" s="128"/>
      <c r="AU3149" s="128"/>
      <c r="AV3149" s="128"/>
      <c r="AW3149" s="128"/>
      <c r="AX3149" s="128"/>
      <c r="AY3149" s="128"/>
      <c r="AZ3149" s="128"/>
      <c r="BA3149" s="128"/>
      <c r="BB3149" s="128"/>
      <c r="BC3149" s="128"/>
      <c r="BD3149" s="128"/>
      <c r="BE3149" s="128"/>
      <c r="BF3149" s="128"/>
      <c r="BG3149" s="128"/>
      <c r="BH3149" s="128"/>
      <c r="BI3149" s="128"/>
      <c r="BJ3149" s="128"/>
      <c r="BK3149" s="128"/>
      <c r="BL3149" s="128"/>
      <c r="BM3149" s="151"/>
      <c r="BN3149" s="128"/>
      <c r="BO3149" s="128"/>
      <c r="BP3149" s="128"/>
      <c r="BQ3149" s="128"/>
      <c r="BR3149" s="128"/>
      <c r="BS3149" s="128"/>
      <c r="BT3149" s="128"/>
      <c r="BU3149" s="128"/>
      <c r="BV3149" s="128"/>
      <c r="BW3149" s="128"/>
      <c r="BX3149" s="128"/>
      <c r="BY3149" s="128"/>
      <c r="BZ3149" s="128"/>
      <c r="CA3149" s="128"/>
      <c r="CB3149" s="128"/>
      <c r="CC3149" s="128"/>
      <c r="CD3149" s="128"/>
      <c r="CE3149" s="128"/>
      <c r="CF3149" s="128"/>
      <c r="CG3149" s="128"/>
      <c r="CI3149" s="128"/>
      <c r="CJ3149" s="128"/>
      <c r="CK3149" s="128"/>
      <c r="CL3149" s="128"/>
      <c r="CM3149" s="128"/>
      <c r="CN3149" s="128"/>
      <c r="CO3149" s="128"/>
      <c r="CP3149" s="128"/>
      <c r="CQ3149" s="128"/>
      <c r="CR3149" s="128"/>
      <c r="CS3149" s="128"/>
      <c r="CT3149" s="128"/>
      <c r="CU3149" s="128"/>
      <c r="CV3149" s="128"/>
      <c r="CW3149" s="128"/>
      <c r="CX3149" s="128"/>
      <c r="CY3149" s="128"/>
      <c r="CZ3149" s="165"/>
    </row>
    <row r="3150" spans="1:104">
      <c r="A3150" s="149"/>
      <c r="B3150" s="149"/>
      <c r="C3150" s="150"/>
      <c r="D3150" s="102"/>
      <c r="E3150" s="149"/>
      <c r="F3150" s="149"/>
      <c r="G3150" s="149"/>
      <c r="H3150" s="149"/>
      <c r="I3150" s="149"/>
      <c r="J3150" s="149"/>
      <c r="K3150" s="149"/>
      <c r="L3150" s="149"/>
      <c r="M3150" s="149"/>
      <c r="N3150" s="149"/>
      <c r="O3150" s="149"/>
      <c r="P3150" s="149"/>
      <c r="Q3150" s="149"/>
      <c r="R3150" s="149"/>
      <c r="S3150" s="149"/>
      <c r="T3150" s="149"/>
      <c r="U3150" s="149"/>
      <c r="V3150" s="149"/>
      <c r="W3150" s="149"/>
      <c r="X3150" s="149"/>
      <c r="Y3150" s="149"/>
      <c r="Z3150" s="149"/>
      <c r="AA3150" s="149"/>
      <c r="AB3150" s="149"/>
      <c r="AC3150" s="149"/>
      <c r="AD3150" s="149"/>
      <c r="AE3150" s="149"/>
      <c r="AF3150" s="149"/>
      <c r="AG3150" s="149"/>
      <c r="AH3150" s="149"/>
      <c r="AI3150" s="149"/>
      <c r="AJ3150" s="149"/>
      <c r="AK3150" s="149"/>
      <c r="AL3150" s="149"/>
      <c r="AM3150" s="149"/>
      <c r="AN3150" s="149"/>
      <c r="AO3150" s="128"/>
      <c r="AP3150" s="128"/>
      <c r="AQ3150" s="128"/>
      <c r="AR3150" s="128"/>
      <c r="AS3150" s="128"/>
      <c r="AT3150" s="128"/>
      <c r="AU3150" s="128"/>
      <c r="AV3150" s="128"/>
      <c r="AW3150" s="128"/>
      <c r="AX3150" s="128"/>
      <c r="AY3150" s="128"/>
      <c r="AZ3150" s="128"/>
      <c r="BA3150" s="128"/>
      <c r="BB3150" s="128"/>
      <c r="BC3150" s="128"/>
      <c r="BD3150" s="128"/>
      <c r="BE3150" s="128"/>
      <c r="BF3150" s="128"/>
      <c r="BG3150" s="128"/>
      <c r="BH3150" s="128"/>
      <c r="BI3150" s="128"/>
      <c r="BJ3150" s="128"/>
      <c r="BK3150" s="128"/>
      <c r="BL3150" s="128"/>
      <c r="BM3150" s="151"/>
      <c r="BN3150" s="128"/>
      <c r="BO3150" s="128"/>
      <c r="BP3150" s="128"/>
      <c r="BQ3150" s="128"/>
      <c r="BR3150" s="128"/>
      <c r="BS3150" s="128"/>
      <c r="BT3150" s="128"/>
      <c r="BU3150" s="128"/>
      <c r="BV3150" s="128"/>
      <c r="BW3150" s="128"/>
      <c r="BX3150" s="128"/>
      <c r="BY3150" s="128"/>
      <c r="BZ3150" s="128"/>
      <c r="CA3150" s="128"/>
      <c r="CB3150" s="128"/>
      <c r="CC3150" s="128"/>
      <c r="CD3150" s="128"/>
      <c r="CE3150" s="128"/>
      <c r="CF3150" s="128"/>
      <c r="CG3150" s="128"/>
      <c r="CI3150" s="128"/>
      <c r="CJ3150" s="128"/>
      <c r="CK3150" s="128"/>
      <c r="CL3150" s="128"/>
      <c r="CM3150" s="128"/>
      <c r="CN3150" s="128"/>
      <c r="CO3150" s="128"/>
      <c r="CP3150" s="128"/>
      <c r="CQ3150" s="128"/>
      <c r="CR3150" s="128"/>
      <c r="CS3150" s="128"/>
      <c r="CT3150" s="128"/>
      <c r="CU3150" s="128"/>
      <c r="CV3150" s="128"/>
      <c r="CW3150" s="128"/>
      <c r="CX3150" s="128"/>
      <c r="CY3150" s="128"/>
      <c r="CZ3150" s="165"/>
    </row>
    <row r="3151" spans="1:104">
      <c r="A3151" s="149"/>
      <c r="B3151" s="149"/>
      <c r="C3151" s="150"/>
      <c r="D3151" s="102"/>
      <c r="E3151" s="149"/>
      <c r="F3151" s="149"/>
      <c r="G3151" s="149"/>
      <c r="H3151" s="149"/>
      <c r="I3151" s="149"/>
      <c r="J3151" s="149"/>
      <c r="K3151" s="149"/>
      <c r="L3151" s="149"/>
      <c r="M3151" s="149"/>
      <c r="N3151" s="149"/>
      <c r="O3151" s="149"/>
      <c r="P3151" s="149"/>
      <c r="Q3151" s="149"/>
      <c r="R3151" s="149"/>
      <c r="S3151" s="149"/>
      <c r="T3151" s="149"/>
      <c r="U3151" s="149"/>
      <c r="V3151" s="149"/>
      <c r="W3151" s="149"/>
      <c r="X3151" s="149"/>
      <c r="Y3151" s="149"/>
      <c r="Z3151" s="149"/>
      <c r="AA3151" s="149"/>
      <c r="AB3151" s="149"/>
      <c r="AC3151" s="149"/>
      <c r="AD3151" s="149"/>
      <c r="AE3151" s="149"/>
      <c r="AF3151" s="149"/>
      <c r="AG3151" s="149"/>
      <c r="AH3151" s="149"/>
      <c r="AI3151" s="149"/>
      <c r="AJ3151" s="149"/>
      <c r="AK3151" s="149"/>
      <c r="AL3151" s="149"/>
      <c r="AM3151" s="149"/>
      <c r="AN3151" s="149"/>
      <c r="AO3151" s="128"/>
      <c r="AP3151" s="128"/>
      <c r="AQ3151" s="128"/>
      <c r="AR3151" s="128"/>
      <c r="AS3151" s="128"/>
      <c r="AT3151" s="128"/>
      <c r="AU3151" s="128"/>
      <c r="AV3151" s="128"/>
      <c r="AW3151" s="128"/>
      <c r="AX3151" s="128"/>
      <c r="AY3151" s="128"/>
      <c r="AZ3151" s="128"/>
      <c r="BA3151" s="128"/>
      <c r="BB3151" s="128"/>
      <c r="BC3151" s="128"/>
      <c r="BD3151" s="128"/>
      <c r="BE3151" s="128"/>
      <c r="BF3151" s="128"/>
      <c r="BG3151" s="128"/>
      <c r="BH3151" s="128"/>
      <c r="BI3151" s="128"/>
      <c r="BJ3151" s="128"/>
      <c r="BK3151" s="128"/>
      <c r="BL3151" s="128"/>
      <c r="BM3151" s="151"/>
      <c r="BN3151" s="128"/>
      <c r="BO3151" s="128"/>
      <c r="BP3151" s="128"/>
      <c r="BQ3151" s="128"/>
      <c r="BR3151" s="128"/>
      <c r="BS3151" s="128"/>
      <c r="BT3151" s="128"/>
      <c r="BU3151" s="128"/>
      <c r="BV3151" s="128"/>
      <c r="BW3151" s="128"/>
      <c r="BX3151" s="128"/>
      <c r="BY3151" s="128"/>
      <c r="BZ3151" s="128"/>
      <c r="CA3151" s="128"/>
      <c r="CB3151" s="128"/>
      <c r="CC3151" s="128"/>
      <c r="CD3151" s="128"/>
      <c r="CE3151" s="128"/>
      <c r="CF3151" s="128"/>
      <c r="CG3151" s="128"/>
      <c r="CI3151" s="128"/>
      <c r="CJ3151" s="128"/>
      <c r="CK3151" s="128"/>
      <c r="CL3151" s="128"/>
      <c r="CM3151" s="128"/>
      <c r="CN3151" s="128"/>
      <c r="CO3151" s="128"/>
      <c r="CP3151" s="128"/>
      <c r="CQ3151" s="128"/>
      <c r="CR3151" s="128"/>
      <c r="CS3151" s="128"/>
      <c r="CT3151" s="128"/>
      <c r="CU3151" s="128"/>
      <c r="CV3151" s="128"/>
      <c r="CW3151" s="128"/>
      <c r="CX3151" s="128"/>
      <c r="CY3151" s="128"/>
      <c r="CZ3151" s="165"/>
    </row>
    <row r="3152" spans="1:104">
      <c r="A3152" s="149"/>
      <c r="B3152" s="149"/>
      <c r="C3152" s="150"/>
      <c r="D3152" s="102"/>
      <c r="E3152" s="149"/>
      <c r="F3152" s="149"/>
      <c r="G3152" s="149"/>
      <c r="H3152" s="149"/>
      <c r="I3152" s="149"/>
      <c r="J3152" s="149"/>
      <c r="K3152" s="149"/>
      <c r="L3152" s="149"/>
      <c r="M3152" s="149"/>
      <c r="N3152" s="149"/>
      <c r="O3152" s="149"/>
      <c r="P3152" s="149"/>
      <c r="Q3152" s="149"/>
      <c r="R3152" s="149"/>
      <c r="S3152" s="149"/>
      <c r="T3152" s="149"/>
      <c r="U3152" s="149"/>
      <c r="V3152" s="149"/>
      <c r="W3152" s="149"/>
      <c r="X3152" s="149"/>
      <c r="Y3152" s="149"/>
      <c r="Z3152" s="149"/>
      <c r="AA3152" s="149"/>
      <c r="AB3152" s="149"/>
      <c r="AC3152" s="149"/>
      <c r="AD3152" s="149"/>
      <c r="AE3152" s="149"/>
      <c r="AF3152" s="149"/>
      <c r="AG3152" s="149"/>
      <c r="AH3152" s="149"/>
      <c r="AI3152" s="149"/>
      <c r="AJ3152" s="149"/>
      <c r="AK3152" s="149"/>
      <c r="AL3152" s="149"/>
      <c r="AM3152" s="149"/>
      <c r="AN3152" s="149"/>
      <c r="AO3152" s="128"/>
      <c r="AP3152" s="128"/>
      <c r="AQ3152" s="128"/>
      <c r="AR3152" s="128"/>
      <c r="AS3152" s="128"/>
      <c r="AT3152" s="128"/>
      <c r="AU3152" s="128"/>
      <c r="AV3152" s="128"/>
      <c r="AW3152" s="128"/>
      <c r="AX3152" s="128"/>
      <c r="AY3152" s="128"/>
      <c r="AZ3152" s="128"/>
      <c r="BA3152" s="128"/>
      <c r="BB3152" s="128"/>
      <c r="BC3152" s="128"/>
      <c r="BD3152" s="128"/>
      <c r="BE3152" s="128"/>
      <c r="BF3152" s="128"/>
      <c r="BG3152" s="128"/>
      <c r="BH3152" s="128"/>
      <c r="BI3152" s="128"/>
      <c r="BJ3152" s="128"/>
      <c r="BK3152" s="128"/>
      <c r="BL3152" s="128"/>
      <c r="BM3152" s="151"/>
      <c r="BN3152" s="128"/>
      <c r="BO3152" s="128"/>
      <c r="BP3152" s="128"/>
      <c r="BQ3152" s="128"/>
      <c r="BR3152" s="128"/>
      <c r="BS3152" s="128"/>
      <c r="BT3152" s="128"/>
      <c r="BU3152" s="128"/>
      <c r="BV3152" s="128"/>
      <c r="BW3152" s="128"/>
      <c r="BX3152" s="128"/>
      <c r="BY3152" s="128"/>
      <c r="BZ3152" s="128"/>
      <c r="CA3152" s="128"/>
      <c r="CB3152" s="128"/>
      <c r="CC3152" s="128"/>
      <c r="CD3152" s="128"/>
      <c r="CE3152" s="128"/>
      <c r="CF3152" s="128"/>
      <c r="CG3152" s="128"/>
      <c r="CI3152" s="128"/>
      <c r="CJ3152" s="128"/>
      <c r="CK3152" s="128"/>
      <c r="CL3152" s="128"/>
      <c r="CM3152" s="128"/>
      <c r="CN3152" s="128"/>
      <c r="CO3152" s="128"/>
      <c r="CP3152" s="128"/>
      <c r="CQ3152" s="128"/>
      <c r="CR3152" s="128"/>
      <c r="CS3152" s="128"/>
      <c r="CT3152" s="128"/>
      <c r="CU3152" s="128"/>
      <c r="CV3152" s="128"/>
      <c r="CW3152" s="128"/>
      <c r="CX3152" s="128"/>
      <c r="CY3152" s="128"/>
      <c r="CZ3152" s="165"/>
    </row>
    <row r="3153" spans="1:104">
      <c r="A3153" s="149"/>
      <c r="B3153" s="149"/>
      <c r="C3153" s="150"/>
      <c r="D3153" s="102"/>
      <c r="E3153" s="149"/>
      <c r="F3153" s="149"/>
      <c r="G3153" s="149"/>
      <c r="H3153" s="149"/>
      <c r="I3153" s="149"/>
      <c r="J3153" s="149"/>
      <c r="K3153" s="149"/>
      <c r="L3153" s="149"/>
      <c r="M3153" s="149"/>
      <c r="N3153" s="149"/>
      <c r="O3153" s="149"/>
      <c r="P3153" s="149"/>
      <c r="Q3153" s="149"/>
      <c r="R3153" s="149"/>
      <c r="S3153" s="149"/>
      <c r="T3153" s="149"/>
      <c r="U3153" s="149"/>
      <c r="V3153" s="149"/>
      <c r="W3153" s="149"/>
      <c r="X3153" s="149"/>
      <c r="Y3153" s="149"/>
      <c r="Z3153" s="149"/>
      <c r="AA3153" s="149"/>
      <c r="AB3153" s="149"/>
      <c r="AC3153" s="149"/>
      <c r="AD3153" s="149"/>
      <c r="AE3153" s="149"/>
      <c r="AF3153" s="149"/>
      <c r="AG3153" s="149"/>
      <c r="AH3153" s="149"/>
      <c r="AI3153" s="149"/>
      <c r="AJ3153" s="149"/>
      <c r="AK3153" s="149"/>
      <c r="AL3153" s="149"/>
      <c r="AM3153" s="149"/>
      <c r="AN3153" s="149"/>
      <c r="AO3153" s="128"/>
      <c r="AP3153" s="128"/>
      <c r="AQ3153" s="128"/>
      <c r="AR3153" s="128"/>
      <c r="AS3153" s="128"/>
      <c r="AT3153" s="128"/>
      <c r="AU3153" s="128"/>
      <c r="AV3153" s="128"/>
      <c r="AW3153" s="128"/>
      <c r="AX3153" s="128"/>
      <c r="AY3153" s="128"/>
      <c r="AZ3153" s="128"/>
      <c r="BA3153" s="128"/>
      <c r="BB3153" s="128"/>
      <c r="BC3153" s="128"/>
      <c r="BD3153" s="128"/>
      <c r="BE3153" s="128"/>
      <c r="BF3153" s="128"/>
      <c r="BG3153" s="128"/>
      <c r="BH3153" s="128"/>
      <c r="BI3153" s="128"/>
      <c r="BJ3153" s="128"/>
      <c r="BK3153" s="128"/>
      <c r="BL3153" s="128"/>
      <c r="BM3153" s="151"/>
      <c r="BN3153" s="128"/>
      <c r="BO3153" s="128"/>
      <c r="BP3153" s="128"/>
      <c r="BQ3153" s="128"/>
      <c r="BR3153" s="128"/>
      <c r="BS3153" s="128"/>
      <c r="BT3153" s="128"/>
      <c r="BU3153" s="128"/>
      <c r="BV3153" s="128"/>
      <c r="BW3153" s="128"/>
      <c r="BX3153" s="128"/>
      <c r="BY3153" s="128"/>
      <c r="BZ3153" s="128"/>
      <c r="CA3153" s="128"/>
      <c r="CB3153" s="128"/>
      <c r="CC3153" s="128"/>
      <c r="CD3153" s="128"/>
      <c r="CE3153" s="128"/>
      <c r="CF3153" s="128"/>
      <c r="CG3153" s="128"/>
      <c r="CI3153" s="128"/>
      <c r="CJ3153" s="128"/>
      <c r="CK3153" s="128"/>
      <c r="CL3153" s="128"/>
      <c r="CM3153" s="128"/>
      <c r="CN3153" s="128"/>
      <c r="CO3153" s="128"/>
      <c r="CP3153" s="128"/>
      <c r="CQ3153" s="128"/>
      <c r="CR3153" s="128"/>
      <c r="CS3153" s="128"/>
      <c r="CT3153" s="128"/>
      <c r="CU3153" s="128"/>
      <c r="CV3153" s="128"/>
      <c r="CW3153" s="128"/>
      <c r="CX3153" s="128"/>
      <c r="CY3153" s="128"/>
      <c r="CZ3153" s="165"/>
    </row>
    <row r="3154" spans="1:104">
      <c r="A3154" s="149"/>
      <c r="B3154" s="149"/>
      <c r="C3154" s="150"/>
      <c r="D3154" s="102"/>
      <c r="E3154" s="149"/>
      <c r="F3154" s="149"/>
      <c r="G3154" s="149"/>
      <c r="H3154" s="149"/>
      <c r="I3154" s="149"/>
      <c r="J3154" s="149"/>
      <c r="K3154" s="149"/>
      <c r="L3154" s="149"/>
      <c r="M3154" s="149"/>
      <c r="N3154" s="149"/>
      <c r="O3154" s="149"/>
      <c r="P3154" s="149"/>
      <c r="Q3154" s="149"/>
      <c r="R3154" s="149"/>
      <c r="S3154" s="149"/>
      <c r="T3154" s="149"/>
      <c r="U3154" s="149"/>
      <c r="V3154" s="149"/>
      <c r="W3154" s="149"/>
      <c r="X3154" s="149"/>
      <c r="Y3154" s="149"/>
      <c r="Z3154" s="149"/>
      <c r="AA3154" s="149"/>
      <c r="AB3154" s="149"/>
      <c r="AC3154" s="149"/>
      <c r="AD3154" s="149"/>
      <c r="AE3154" s="149"/>
      <c r="AF3154" s="149"/>
      <c r="AG3154" s="149"/>
      <c r="AH3154" s="149"/>
      <c r="AI3154" s="149"/>
      <c r="AJ3154" s="149"/>
      <c r="AK3154" s="149"/>
      <c r="AL3154" s="149"/>
      <c r="AM3154" s="149"/>
      <c r="AN3154" s="149"/>
      <c r="AO3154" s="128"/>
      <c r="AP3154" s="128"/>
      <c r="AQ3154" s="128"/>
      <c r="AR3154" s="128"/>
      <c r="AS3154" s="128"/>
      <c r="AT3154" s="128"/>
      <c r="AU3154" s="128"/>
      <c r="AV3154" s="128"/>
      <c r="AW3154" s="128"/>
      <c r="AX3154" s="128"/>
      <c r="AY3154" s="128"/>
      <c r="AZ3154" s="128"/>
      <c r="BA3154" s="128"/>
      <c r="BB3154" s="128"/>
      <c r="BC3154" s="128"/>
      <c r="BD3154" s="128"/>
      <c r="BE3154" s="128"/>
      <c r="BF3154" s="128"/>
      <c r="BG3154" s="128"/>
      <c r="BH3154" s="128"/>
      <c r="BI3154" s="128"/>
      <c r="BJ3154" s="128"/>
      <c r="BK3154" s="128"/>
      <c r="BL3154" s="128"/>
      <c r="BM3154" s="151"/>
      <c r="BN3154" s="128"/>
      <c r="BO3154" s="128"/>
      <c r="BP3154" s="128"/>
      <c r="BQ3154" s="128"/>
      <c r="BR3154" s="128"/>
      <c r="BS3154" s="128"/>
      <c r="BT3154" s="128"/>
      <c r="BU3154" s="128"/>
      <c r="BV3154" s="128"/>
      <c r="BW3154" s="128"/>
      <c r="BX3154" s="128"/>
      <c r="BY3154" s="128"/>
      <c r="BZ3154" s="128"/>
      <c r="CA3154" s="128"/>
      <c r="CB3154" s="128"/>
      <c r="CC3154" s="128"/>
      <c r="CD3154" s="128"/>
      <c r="CE3154" s="128"/>
      <c r="CF3154" s="128"/>
      <c r="CG3154" s="128"/>
      <c r="CI3154" s="128"/>
      <c r="CJ3154" s="128"/>
      <c r="CK3154" s="128"/>
      <c r="CL3154" s="128"/>
      <c r="CM3154" s="128"/>
      <c r="CN3154" s="128"/>
      <c r="CO3154" s="128"/>
      <c r="CP3154" s="128"/>
      <c r="CQ3154" s="128"/>
      <c r="CR3154" s="128"/>
      <c r="CS3154" s="128"/>
      <c r="CT3154" s="128"/>
      <c r="CU3154" s="128"/>
      <c r="CV3154" s="128"/>
      <c r="CW3154" s="128"/>
      <c r="CX3154" s="128"/>
      <c r="CY3154" s="128"/>
      <c r="CZ3154" s="165"/>
    </row>
    <row r="3155" spans="1:104">
      <c r="A3155" s="149"/>
      <c r="B3155" s="149"/>
      <c r="C3155" s="150"/>
      <c r="D3155" s="102"/>
      <c r="E3155" s="149"/>
      <c r="F3155" s="149"/>
      <c r="G3155" s="149"/>
      <c r="H3155" s="149"/>
      <c r="I3155" s="149"/>
      <c r="J3155" s="149"/>
      <c r="K3155" s="149"/>
      <c r="L3155" s="149"/>
      <c r="M3155" s="149"/>
      <c r="N3155" s="149"/>
      <c r="O3155" s="149"/>
      <c r="P3155" s="149"/>
      <c r="Q3155" s="149"/>
      <c r="R3155" s="149"/>
      <c r="S3155" s="149"/>
      <c r="T3155" s="149"/>
      <c r="U3155" s="149"/>
      <c r="V3155" s="149"/>
      <c r="W3155" s="149"/>
      <c r="X3155" s="149"/>
      <c r="Y3155" s="149"/>
      <c r="Z3155" s="149"/>
      <c r="AA3155" s="149"/>
      <c r="AB3155" s="149"/>
      <c r="AC3155" s="149"/>
      <c r="AD3155" s="149"/>
      <c r="AE3155" s="149"/>
      <c r="AF3155" s="149"/>
      <c r="AG3155" s="149"/>
      <c r="AH3155" s="149"/>
      <c r="AI3155" s="149"/>
      <c r="AJ3155" s="149"/>
      <c r="AK3155" s="149"/>
      <c r="AL3155" s="149"/>
      <c r="AM3155" s="149"/>
      <c r="AN3155" s="149"/>
      <c r="AO3155" s="128"/>
      <c r="AP3155" s="128"/>
      <c r="AQ3155" s="128"/>
      <c r="AR3155" s="128"/>
      <c r="AS3155" s="128"/>
      <c r="AT3155" s="128"/>
      <c r="AU3155" s="128"/>
      <c r="AV3155" s="128"/>
      <c r="AW3155" s="128"/>
      <c r="AX3155" s="128"/>
      <c r="AY3155" s="128"/>
      <c r="AZ3155" s="128"/>
      <c r="BA3155" s="128"/>
      <c r="BB3155" s="128"/>
      <c r="BC3155" s="128"/>
      <c r="BD3155" s="128"/>
      <c r="BE3155" s="128"/>
      <c r="BF3155" s="128"/>
      <c r="BG3155" s="128"/>
      <c r="BH3155" s="128"/>
      <c r="BI3155" s="128"/>
      <c r="BJ3155" s="128"/>
      <c r="BK3155" s="128"/>
      <c r="BL3155" s="128"/>
      <c r="BM3155" s="151"/>
      <c r="BN3155" s="128"/>
      <c r="BO3155" s="128"/>
      <c r="BP3155" s="128"/>
      <c r="BQ3155" s="128"/>
      <c r="BR3155" s="128"/>
      <c r="BS3155" s="128"/>
      <c r="BT3155" s="128"/>
      <c r="BU3155" s="128"/>
      <c r="BV3155" s="128"/>
      <c r="BW3155" s="128"/>
      <c r="BX3155" s="128"/>
      <c r="BY3155" s="128"/>
      <c r="BZ3155" s="128"/>
      <c r="CA3155" s="128"/>
      <c r="CB3155" s="128"/>
      <c r="CC3155" s="128"/>
      <c r="CD3155" s="128"/>
      <c r="CE3155" s="128"/>
      <c r="CF3155" s="128"/>
      <c r="CG3155" s="128"/>
      <c r="CI3155" s="128"/>
      <c r="CJ3155" s="128"/>
      <c r="CK3155" s="128"/>
      <c r="CL3155" s="128"/>
      <c r="CM3155" s="128"/>
      <c r="CN3155" s="128"/>
      <c r="CO3155" s="128"/>
      <c r="CP3155" s="128"/>
      <c r="CQ3155" s="128"/>
      <c r="CR3155" s="128"/>
      <c r="CS3155" s="128"/>
      <c r="CT3155" s="128"/>
      <c r="CU3155" s="128"/>
      <c r="CV3155" s="128"/>
      <c r="CW3155" s="128"/>
      <c r="CX3155" s="128"/>
      <c r="CY3155" s="128"/>
      <c r="CZ3155" s="165"/>
    </row>
    <row r="3156" spans="1:104">
      <c r="A3156" s="149"/>
      <c r="B3156" s="149"/>
      <c r="C3156" s="150"/>
      <c r="D3156" s="102"/>
      <c r="E3156" s="149"/>
      <c r="F3156" s="149"/>
      <c r="G3156" s="149"/>
      <c r="H3156" s="149"/>
      <c r="I3156" s="149"/>
      <c r="J3156" s="149"/>
      <c r="K3156" s="149"/>
      <c r="L3156" s="149"/>
      <c r="M3156" s="149"/>
      <c r="N3156" s="149"/>
      <c r="O3156" s="149"/>
      <c r="P3156" s="149"/>
      <c r="Q3156" s="149"/>
      <c r="R3156" s="149"/>
      <c r="S3156" s="149"/>
      <c r="T3156" s="149"/>
      <c r="U3156" s="149"/>
      <c r="V3156" s="149"/>
      <c r="W3156" s="149"/>
      <c r="X3156" s="149"/>
      <c r="Y3156" s="149"/>
      <c r="Z3156" s="149"/>
      <c r="AA3156" s="149"/>
      <c r="AB3156" s="149"/>
      <c r="AC3156" s="149"/>
      <c r="AD3156" s="149"/>
      <c r="AE3156" s="149"/>
      <c r="AF3156" s="149"/>
      <c r="AG3156" s="149"/>
      <c r="AH3156" s="149"/>
      <c r="AI3156" s="149"/>
      <c r="AJ3156" s="149"/>
      <c r="AK3156" s="149"/>
      <c r="AL3156" s="149"/>
      <c r="AM3156" s="149"/>
      <c r="AN3156" s="149"/>
      <c r="AO3156" s="128"/>
      <c r="AP3156" s="128"/>
      <c r="AQ3156" s="128"/>
      <c r="AR3156" s="128"/>
      <c r="AS3156" s="128"/>
      <c r="AT3156" s="128"/>
      <c r="AU3156" s="128"/>
      <c r="AV3156" s="128"/>
      <c r="AW3156" s="128"/>
      <c r="AX3156" s="128"/>
      <c r="AY3156" s="128"/>
      <c r="AZ3156" s="128"/>
      <c r="BA3156" s="128"/>
      <c r="BB3156" s="128"/>
      <c r="BC3156" s="128"/>
      <c r="BD3156" s="128"/>
      <c r="BE3156" s="128"/>
      <c r="BF3156" s="128"/>
      <c r="BG3156" s="128"/>
      <c r="BH3156" s="128"/>
      <c r="BI3156" s="128"/>
      <c r="BJ3156" s="128"/>
      <c r="BK3156" s="128"/>
      <c r="BL3156" s="128"/>
      <c r="BM3156" s="151"/>
      <c r="BN3156" s="128"/>
      <c r="BO3156" s="128"/>
      <c r="BP3156" s="128"/>
      <c r="BQ3156" s="128"/>
      <c r="BR3156" s="128"/>
      <c r="BS3156" s="128"/>
      <c r="BT3156" s="128"/>
      <c r="BU3156" s="128"/>
      <c r="BV3156" s="128"/>
      <c r="BW3156" s="128"/>
      <c r="BX3156" s="128"/>
      <c r="BY3156" s="128"/>
      <c r="BZ3156" s="128"/>
      <c r="CA3156" s="128"/>
      <c r="CB3156" s="128"/>
      <c r="CC3156" s="128"/>
      <c r="CD3156" s="128"/>
      <c r="CE3156" s="128"/>
      <c r="CF3156" s="128"/>
      <c r="CG3156" s="128"/>
      <c r="CI3156" s="128"/>
      <c r="CJ3156" s="128"/>
      <c r="CK3156" s="128"/>
      <c r="CL3156" s="128"/>
      <c r="CM3156" s="128"/>
      <c r="CN3156" s="128"/>
      <c r="CO3156" s="128"/>
      <c r="CP3156" s="128"/>
      <c r="CQ3156" s="128"/>
      <c r="CR3156" s="128"/>
      <c r="CS3156" s="128"/>
      <c r="CT3156" s="128"/>
      <c r="CU3156" s="128"/>
      <c r="CV3156" s="128"/>
      <c r="CW3156" s="128"/>
      <c r="CX3156" s="128"/>
      <c r="CY3156" s="128"/>
      <c r="CZ3156" s="165"/>
    </row>
    <row r="3157" spans="1:104">
      <c r="A3157" s="149"/>
      <c r="B3157" s="149"/>
      <c r="C3157" s="150"/>
      <c r="D3157" s="102"/>
      <c r="E3157" s="149"/>
      <c r="F3157" s="149"/>
      <c r="G3157" s="149"/>
      <c r="H3157" s="149"/>
      <c r="I3157" s="149"/>
      <c r="J3157" s="149"/>
      <c r="K3157" s="149"/>
      <c r="L3157" s="149"/>
      <c r="M3157" s="149"/>
      <c r="N3157" s="149"/>
      <c r="O3157" s="149"/>
      <c r="P3157" s="149"/>
      <c r="Q3157" s="149"/>
      <c r="R3157" s="149"/>
      <c r="S3157" s="149"/>
      <c r="T3157" s="149"/>
      <c r="U3157" s="149"/>
      <c r="V3157" s="149"/>
      <c r="W3157" s="149"/>
      <c r="X3157" s="149"/>
      <c r="Y3157" s="149"/>
      <c r="Z3157" s="149"/>
      <c r="AA3157" s="149"/>
      <c r="AB3157" s="149"/>
      <c r="AC3157" s="149"/>
      <c r="AD3157" s="149"/>
      <c r="AE3157" s="149"/>
      <c r="AF3157" s="149"/>
      <c r="AG3157" s="149"/>
      <c r="AH3157" s="149"/>
      <c r="AI3157" s="149"/>
      <c r="AJ3157" s="149"/>
      <c r="AK3157" s="149"/>
      <c r="AL3157" s="149"/>
      <c r="AM3157" s="149"/>
      <c r="AN3157" s="149"/>
      <c r="AO3157" s="128"/>
      <c r="AP3157" s="128"/>
      <c r="AQ3157" s="128"/>
      <c r="AR3157" s="128"/>
      <c r="AS3157" s="128"/>
      <c r="AT3157" s="128"/>
      <c r="AU3157" s="128"/>
      <c r="AV3157" s="128"/>
      <c r="AW3157" s="128"/>
      <c r="AX3157" s="128"/>
      <c r="AY3157" s="128"/>
      <c r="AZ3157" s="128"/>
      <c r="BA3157" s="128"/>
      <c r="BB3157" s="128"/>
      <c r="BC3157" s="128"/>
      <c r="BD3157" s="128"/>
      <c r="BE3157" s="128"/>
      <c r="BF3157" s="128"/>
      <c r="BG3157" s="128"/>
      <c r="BH3157" s="128"/>
      <c r="BI3157" s="128"/>
      <c r="BJ3157" s="128"/>
      <c r="BK3157" s="128"/>
      <c r="BL3157" s="128"/>
      <c r="BM3157" s="151"/>
      <c r="BN3157" s="128"/>
      <c r="BO3157" s="128"/>
      <c r="BP3157" s="128"/>
      <c r="BQ3157" s="128"/>
      <c r="BR3157" s="128"/>
      <c r="BS3157" s="128"/>
      <c r="BT3157" s="128"/>
      <c r="BU3157" s="128"/>
      <c r="BV3157" s="128"/>
      <c r="BW3157" s="128"/>
      <c r="BX3157" s="128"/>
      <c r="BY3157" s="128"/>
      <c r="BZ3157" s="128"/>
      <c r="CA3157" s="128"/>
      <c r="CB3157" s="128"/>
      <c r="CC3157" s="128"/>
      <c r="CD3157" s="128"/>
      <c r="CE3157" s="128"/>
      <c r="CF3157" s="128"/>
      <c r="CG3157" s="128"/>
      <c r="CI3157" s="128"/>
      <c r="CJ3157" s="128"/>
      <c r="CK3157" s="128"/>
      <c r="CL3157" s="128"/>
      <c r="CM3157" s="128"/>
      <c r="CN3157" s="128"/>
      <c r="CO3157" s="128"/>
      <c r="CP3157" s="128"/>
      <c r="CQ3157" s="128"/>
      <c r="CR3157" s="128"/>
      <c r="CS3157" s="128"/>
      <c r="CT3157" s="128"/>
      <c r="CU3157" s="128"/>
      <c r="CV3157" s="128"/>
      <c r="CW3157" s="128"/>
      <c r="CX3157" s="128"/>
      <c r="CY3157" s="128"/>
      <c r="CZ3157" s="165"/>
    </row>
    <row r="3158" spans="1:104">
      <c r="A3158" s="149"/>
      <c r="B3158" s="149"/>
      <c r="C3158" s="150"/>
      <c r="D3158" s="102"/>
      <c r="E3158" s="149"/>
      <c r="F3158" s="149"/>
      <c r="G3158" s="149"/>
      <c r="H3158" s="149"/>
      <c r="I3158" s="149"/>
      <c r="J3158" s="149"/>
      <c r="K3158" s="149"/>
      <c r="L3158" s="149"/>
      <c r="M3158" s="149"/>
      <c r="N3158" s="149"/>
      <c r="O3158" s="149"/>
      <c r="P3158" s="149"/>
      <c r="Q3158" s="149"/>
      <c r="R3158" s="149"/>
      <c r="S3158" s="149"/>
      <c r="T3158" s="149"/>
      <c r="U3158" s="149"/>
      <c r="V3158" s="149"/>
      <c r="W3158" s="149"/>
      <c r="X3158" s="149"/>
      <c r="Y3158" s="149"/>
      <c r="Z3158" s="149"/>
      <c r="AA3158" s="149"/>
      <c r="AB3158" s="149"/>
      <c r="AC3158" s="149"/>
      <c r="AD3158" s="149"/>
      <c r="AE3158" s="149"/>
      <c r="AF3158" s="149"/>
      <c r="AG3158" s="149"/>
      <c r="AH3158" s="149"/>
      <c r="AI3158" s="149"/>
      <c r="AJ3158" s="149"/>
      <c r="AK3158" s="149"/>
      <c r="AL3158" s="149"/>
      <c r="AM3158" s="149"/>
      <c r="AN3158" s="149"/>
      <c r="AO3158" s="128"/>
      <c r="AP3158" s="128"/>
      <c r="AQ3158" s="128"/>
      <c r="AR3158" s="128"/>
      <c r="AS3158" s="128"/>
      <c r="AT3158" s="128"/>
      <c r="AU3158" s="128"/>
      <c r="AV3158" s="128"/>
      <c r="AW3158" s="128"/>
      <c r="AX3158" s="128"/>
      <c r="AY3158" s="128"/>
      <c r="AZ3158" s="128"/>
      <c r="BA3158" s="128"/>
      <c r="BB3158" s="128"/>
      <c r="BC3158" s="128"/>
      <c r="BD3158" s="128"/>
      <c r="BE3158" s="128"/>
      <c r="BF3158" s="128"/>
      <c r="BG3158" s="128"/>
      <c r="BH3158" s="128"/>
      <c r="BI3158" s="128"/>
      <c r="BJ3158" s="128"/>
      <c r="BK3158" s="128"/>
      <c r="BL3158" s="128"/>
      <c r="BM3158" s="151"/>
      <c r="BN3158" s="128"/>
      <c r="BO3158" s="128"/>
      <c r="BP3158" s="128"/>
      <c r="BQ3158" s="128"/>
      <c r="BR3158" s="128"/>
      <c r="BS3158" s="128"/>
      <c r="BT3158" s="128"/>
      <c r="BU3158" s="128"/>
      <c r="BV3158" s="128"/>
      <c r="BW3158" s="128"/>
      <c r="BX3158" s="128"/>
      <c r="BY3158" s="128"/>
      <c r="BZ3158" s="128"/>
      <c r="CA3158" s="128"/>
      <c r="CB3158" s="128"/>
      <c r="CC3158" s="128"/>
      <c r="CD3158" s="128"/>
      <c r="CE3158" s="128"/>
      <c r="CF3158" s="128"/>
      <c r="CG3158" s="128"/>
      <c r="CI3158" s="128"/>
      <c r="CJ3158" s="128"/>
      <c r="CK3158" s="128"/>
      <c r="CL3158" s="128"/>
      <c r="CM3158" s="128"/>
      <c r="CN3158" s="128"/>
      <c r="CO3158" s="128"/>
      <c r="CP3158" s="128"/>
      <c r="CQ3158" s="128"/>
      <c r="CR3158" s="128"/>
      <c r="CS3158" s="128"/>
      <c r="CT3158" s="128"/>
      <c r="CU3158" s="128"/>
      <c r="CV3158" s="128"/>
      <c r="CW3158" s="128"/>
      <c r="CX3158" s="128"/>
      <c r="CY3158" s="128"/>
      <c r="CZ3158" s="165"/>
    </row>
    <row r="3159" spans="1:104">
      <c r="A3159" s="149"/>
      <c r="B3159" s="149"/>
      <c r="C3159" s="150"/>
      <c r="D3159" s="102"/>
      <c r="E3159" s="149"/>
      <c r="F3159" s="149"/>
      <c r="G3159" s="149"/>
      <c r="H3159" s="149"/>
      <c r="I3159" s="149"/>
      <c r="J3159" s="149"/>
      <c r="K3159" s="149"/>
      <c r="L3159" s="149"/>
      <c r="M3159" s="149"/>
      <c r="N3159" s="149"/>
      <c r="O3159" s="149"/>
      <c r="P3159" s="149"/>
      <c r="Q3159" s="149"/>
      <c r="R3159" s="149"/>
      <c r="S3159" s="149"/>
      <c r="T3159" s="149"/>
      <c r="U3159" s="149"/>
      <c r="V3159" s="149"/>
      <c r="W3159" s="149"/>
      <c r="X3159" s="149"/>
      <c r="Y3159" s="149"/>
      <c r="Z3159" s="149"/>
      <c r="AA3159" s="149"/>
      <c r="AB3159" s="149"/>
      <c r="AC3159" s="149"/>
      <c r="AD3159" s="149"/>
      <c r="AE3159" s="149"/>
      <c r="AF3159" s="149"/>
      <c r="AG3159" s="149"/>
      <c r="AH3159" s="149"/>
      <c r="AI3159" s="149"/>
      <c r="AJ3159" s="149"/>
      <c r="AK3159" s="149"/>
      <c r="AL3159" s="149"/>
      <c r="AM3159" s="149"/>
      <c r="AN3159" s="149"/>
      <c r="AO3159" s="128"/>
      <c r="AP3159" s="128"/>
      <c r="AQ3159" s="128"/>
      <c r="AR3159" s="128"/>
      <c r="AS3159" s="128"/>
      <c r="AT3159" s="128"/>
      <c r="AU3159" s="128"/>
      <c r="AV3159" s="128"/>
      <c r="AW3159" s="128"/>
      <c r="AX3159" s="128"/>
      <c r="AY3159" s="128"/>
      <c r="AZ3159" s="128"/>
      <c r="BA3159" s="128"/>
      <c r="BB3159" s="128"/>
      <c r="BC3159" s="128"/>
      <c r="BD3159" s="128"/>
      <c r="BE3159" s="128"/>
      <c r="BF3159" s="128"/>
      <c r="BG3159" s="128"/>
      <c r="BH3159" s="128"/>
      <c r="BI3159" s="128"/>
      <c r="BJ3159" s="128"/>
      <c r="BK3159" s="128"/>
      <c r="BL3159" s="128"/>
      <c r="BM3159" s="151"/>
      <c r="BN3159" s="128"/>
      <c r="BO3159" s="128"/>
      <c r="BP3159" s="128"/>
      <c r="BQ3159" s="128"/>
      <c r="BR3159" s="128"/>
      <c r="BS3159" s="128"/>
      <c r="BT3159" s="128"/>
      <c r="BU3159" s="128"/>
      <c r="BV3159" s="128"/>
      <c r="BW3159" s="128"/>
      <c r="BX3159" s="128"/>
      <c r="BY3159" s="128"/>
      <c r="BZ3159" s="128"/>
      <c r="CA3159" s="128"/>
      <c r="CB3159" s="128"/>
      <c r="CC3159" s="128"/>
      <c r="CD3159" s="128"/>
      <c r="CE3159" s="128"/>
      <c r="CF3159" s="128"/>
      <c r="CG3159" s="128"/>
      <c r="CI3159" s="128"/>
      <c r="CJ3159" s="128"/>
      <c r="CK3159" s="128"/>
      <c r="CL3159" s="128"/>
      <c r="CM3159" s="128"/>
      <c r="CN3159" s="128"/>
      <c r="CO3159" s="128"/>
      <c r="CP3159" s="128"/>
      <c r="CQ3159" s="128"/>
      <c r="CR3159" s="128"/>
      <c r="CS3159" s="128"/>
      <c r="CT3159" s="128"/>
      <c r="CU3159" s="128"/>
      <c r="CV3159" s="128"/>
      <c r="CW3159" s="128"/>
      <c r="CX3159" s="128"/>
      <c r="CY3159" s="128"/>
      <c r="CZ3159" s="165"/>
    </row>
    <row r="3160" spans="1:104">
      <c r="A3160" s="149"/>
      <c r="B3160" s="149"/>
      <c r="C3160" s="150"/>
      <c r="D3160" s="102"/>
      <c r="E3160" s="149"/>
      <c r="F3160" s="149"/>
      <c r="G3160" s="149"/>
      <c r="H3160" s="149"/>
      <c r="I3160" s="149"/>
      <c r="J3160" s="149"/>
      <c r="K3160" s="149"/>
      <c r="L3160" s="149"/>
      <c r="M3160" s="149"/>
      <c r="N3160" s="149"/>
      <c r="O3160" s="149"/>
      <c r="P3160" s="149"/>
      <c r="Q3160" s="149"/>
      <c r="R3160" s="149"/>
      <c r="S3160" s="149"/>
      <c r="T3160" s="149"/>
      <c r="U3160" s="149"/>
      <c r="V3160" s="149"/>
      <c r="W3160" s="149"/>
      <c r="X3160" s="149"/>
      <c r="Y3160" s="149"/>
      <c r="Z3160" s="149"/>
      <c r="AA3160" s="149"/>
      <c r="AB3160" s="149"/>
      <c r="AC3160" s="149"/>
      <c r="AD3160" s="149"/>
      <c r="AE3160" s="149"/>
      <c r="AF3160" s="149"/>
      <c r="AG3160" s="149"/>
      <c r="AH3160" s="149"/>
      <c r="AI3160" s="149"/>
      <c r="AJ3160" s="149"/>
      <c r="AK3160" s="149"/>
      <c r="AL3160" s="149"/>
      <c r="AM3160" s="149"/>
      <c r="AN3160" s="149"/>
      <c r="AO3160" s="128"/>
      <c r="AP3160" s="128"/>
      <c r="AQ3160" s="128"/>
      <c r="AR3160" s="128"/>
      <c r="AS3160" s="128"/>
      <c r="AT3160" s="128"/>
      <c r="AU3160" s="128"/>
      <c r="AV3160" s="128"/>
      <c r="AW3160" s="128"/>
      <c r="AX3160" s="128"/>
      <c r="AY3160" s="128"/>
      <c r="AZ3160" s="128"/>
      <c r="BA3160" s="128"/>
      <c r="BB3160" s="128"/>
      <c r="BC3160" s="128"/>
      <c r="BD3160" s="128"/>
      <c r="BE3160" s="128"/>
      <c r="BF3160" s="128"/>
      <c r="BG3160" s="128"/>
      <c r="BH3160" s="128"/>
      <c r="BI3160" s="128"/>
      <c r="BJ3160" s="128"/>
      <c r="BK3160" s="128"/>
      <c r="BL3160" s="128"/>
      <c r="BM3160" s="151"/>
      <c r="BN3160" s="128"/>
      <c r="BO3160" s="128"/>
      <c r="BP3160" s="128"/>
      <c r="BQ3160" s="128"/>
      <c r="BR3160" s="128"/>
      <c r="BS3160" s="128"/>
      <c r="BT3160" s="128"/>
      <c r="BU3160" s="128"/>
      <c r="BV3160" s="128"/>
      <c r="BW3160" s="128"/>
      <c r="BX3160" s="128"/>
      <c r="BY3160" s="128"/>
      <c r="BZ3160" s="128"/>
      <c r="CA3160" s="128"/>
      <c r="CB3160" s="128"/>
      <c r="CC3160" s="128"/>
      <c r="CD3160" s="128"/>
      <c r="CE3160" s="128"/>
      <c r="CF3160" s="128"/>
      <c r="CG3160" s="128"/>
      <c r="CI3160" s="128"/>
      <c r="CJ3160" s="128"/>
      <c r="CK3160" s="128"/>
      <c r="CL3160" s="128"/>
      <c r="CM3160" s="128"/>
      <c r="CN3160" s="128"/>
      <c r="CO3160" s="128"/>
      <c r="CP3160" s="128"/>
      <c r="CQ3160" s="128"/>
      <c r="CR3160" s="128"/>
      <c r="CS3160" s="128"/>
      <c r="CT3160" s="128"/>
      <c r="CU3160" s="128"/>
      <c r="CV3160" s="128"/>
      <c r="CW3160" s="128"/>
      <c r="CX3160" s="128"/>
      <c r="CY3160" s="128"/>
      <c r="CZ3160" s="165"/>
    </row>
    <row r="3161" spans="1:104">
      <c r="A3161" s="149"/>
      <c r="B3161" s="149"/>
      <c r="C3161" s="150"/>
      <c r="D3161" s="102"/>
      <c r="E3161" s="149"/>
      <c r="F3161" s="149"/>
      <c r="G3161" s="149"/>
      <c r="H3161" s="149"/>
      <c r="I3161" s="149"/>
      <c r="J3161" s="149"/>
      <c r="K3161" s="149"/>
      <c r="L3161" s="149"/>
      <c r="M3161" s="149"/>
      <c r="N3161" s="149"/>
      <c r="O3161" s="149"/>
      <c r="P3161" s="149"/>
      <c r="Q3161" s="149"/>
      <c r="R3161" s="149"/>
      <c r="S3161" s="149"/>
      <c r="T3161" s="149"/>
      <c r="U3161" s="149"/>
      <c r="V3161" s="149"/>
      <c r="W3161" s="149"/>
      <c r="X3161" s="149"/>
      <c r="Y3161" s="149"/>
      <c r="Z3161" s="149"/>
      <c r="AA3161" s="149"/>
      <c r="AB3161" s="149"/>
      <c r="AC3161" s="149"/>
      <c r="AD3161" s="149"/>
      <c r="AE3161" s="149"/>
      <c r="AF3161" s="149"/>
      <c r="AG3161" s="149"/>
      <c r="AH3161" s="149"/>
      <c r="AI3161" s="149"/>
      <c r="AJ3161" s="149"/>
      <c r="AK3161" s="149"/>
      <c r="AL3161" s="149"/>
      <c r="AM3161" s="149"/>
      <c r="AN3161" s="149"/>
      <c r="AO3161" s="128"/>
      <c r="AP3161" s="128"/>
      <c r="AQ3161" s="128"/>
      <c r="AR3161" s="128"/>
      <c r="AS3161" s="128"/>
      <c r="AT3161" s="128"/>
      <c r="AU3161" s="128"/>
      <c r="AV3161" s="128"/>
      <c r="AW3161" s="128"/>
      <c r="AX3161" s="128"/>
      <c r="AY3161" s="128"/>
      <c r="AZ3161" s="128"/>
      <c r="BA3161" s="128"/>
      <c r="BB3161" s="128"/>
      <c r="BC3161" s="128"/>
      <c r="BD3161" s="128"/>
      <c r="BE3161" s="128"/>
      <c r="BF3161" s="128"/>
      <c r="BG3161" s="128"/>
      <c r="BH3161" s="128"/>
      <c r="BI3161" s="128"/>
      <c r="BJ3161" s="128"/>
      <c r="BK3161" s="128"/>
      <c r="BL3161" s="128"/>
      <c r="BM3161" s="151"/>
      <c r="BN3161" s="128"/>
      <c r="BO3161" s="128"/>
      <c r="BP3161" s="128"/>
      <c r="BQ3161" s="128"/>
      <c r="BR3161" s="128"/>
      <c r="BS3161" s="128"/>
      <c r="BT3161" s="128"/>
      <c r="BU3161" s="128"/>
      <c r="BV3161" s="128"/>
      <c r="BW3161" s="128"/>
      <c r="BX3161" s="128"/>
      <c r="BY3161" s="128"/>
      <c r="BZ3161" s="128"/>
      <c r="CA3161" s="128"/>
      <c r="CB3161" s="128"/>
      <c r="CC3161" s="128"/>
      <c r="CD3161" s="128"/>
      <c r="CE3161" s="128"/>
      <c r="CF3161" s="128"/>
      <c r="CG3161" s="128"/>
      <c r="CI3161" s="128"/>
      <c r="CJ3161" s="128"/>
      <c r="CK3161" s="128"/>
      <c r="CL3161" s="128"/>
      <c r="CM3161" s="128"/>
      <c r="CN3161" s="128"/>
      <c r="CO3161" s="128"/>
      <c r="CP3161" s="128"/>
      <c r="CQ3161" s="128"/>
      <c r="CR3161" s="128"/>
      <c r="CS3161" s="128"/>
      <c r="CT3161" s="128"/>
      <c r="CU3161" s="128"/>
      <c r="CV3161" s="128"/>
      <c r="CW3161" s="128"/>
      <c r="CX3161" s="128"/>
      <c r="CY3161" s="128"/>
      <c r="CZ3161" s="165"/>
    </row>
    <row r="3162" spans="1:104">
      <c r="A3162" s="149"/>
      <c r="B3162" s="149"/>
      <c r="C3162" s="150"/>
      <c r="D3162" s="102"/>
      <c r="E3162" s="149"/>
      <c r="F3162" s="149"/>
      <c r="G3162" s="149"/>
      <c r="H3162" s="149"/>
      <c r="I3162" s="149"/>
      <c r="J3162" s="149"/>
      <c r="K3162" s="149"/>
      <c r="L3162" s="149"/>
      <c r="M3162" s="149"/>
      <c r="N3162" s="149"/>
      <c r="O3162" s="149"/>
      <c r="P3162" s="149"/>
      <c r="Q3162" s="149"/>
      <c r="R3162" s="149"/>
      <c r="S3162" s="149"/>
      <c r="T3162" s="149"/>
      <c r="U3162" s="149"/>
      <c r="V3162" s="149"/>
      <c r="W3162" s="149"/>
      <c r="X3162" s="149"/>
      <c r="Y3162" s="149"/>
      <c r="Z3162" s="149"/>
      <c r="AA3162" s="149"/>
      <c r="AB3162" s="149"/>
      <c r="AC3162" s="149"/>
      <c r="AD3162" s="149"/>
      <c r="AE3162" s="149"/>
      <c r="AF3162" s="149"/>
      <c r="AG3162" s="149"/>
      <c r="AH3162" s="149"/>
      <c r="AI3162" s="149"/>
      <c r="AJ3162" s="149"/>
      <c r="AK3162" s="149"/>
      <c r="AL3162" s="149"/>
      <c r="AM3162" s="149"/>
      <c r="AN3162" s="149"/>
      <c r="AO3162" s="128"/>
      <c r="AP3162" s="128"/>
      <c r="AQ3162" s="128"/>
      <c r="AR3162" s="128"/>
      <c r="AS3162" s="128"/>
      <c r="AT3162" s="128"/>
      <c r="AU3162" s="128"/>
      <c r="AV3162" s="128"/>
      <c r="AW3162" s="128"/>
      <c r="AX3162" s="128"/>
      <c r="AY3162" s="128"/>
      <c r="AZ3162" s="128"/>
      <c r="BA3162" s="128"/>
      <c r="BB3162" s="128"/>
      <c r="BC3162" s="128"/>
      <c r="BD3162" s="128"/>
      <c r="BE3162" s="128"/>
      <c r="BF3162" s="128"/>
      <c r="BG3162" s="128"/>
      <c r="BH3162" s="128"/>
      <c r="BI3162" s="128"/>
      <c r="BJ3162" s="128"/>
      <c r="BK3162" s="128"/>
      <c r="BL3162" s="128"/>
      <c r="BM3162" s="151"/>
      <c r="BN3162" s="128"/>
      <c r="BO3162" s="128"/>
      <c r="BP3162" s="128"/>
      <c r="BQ3162" s="128"/>
      <c r="BR3162" s="128"/>
      <c r="BS3162" s="128"/>
      <c r="BT3162" s="128"/>
      <c r="BU3162" s="128"/>
      <c r="BV3162" s="128"/>
      <c r="BW3162" s="128"/>
      <c r="BX3162" s="128"/>
      <c r="BY3162" s="128"/>
      <c r="BZ3162" s="128"/>
      <c r="CA3162" s="128"/>
      <c r="CB3162" s="128"/>
      <c r="CC3162" s="128"/>
      <c r="CD3162" s="128"/>
      <c r="CE3162" s="128"/>
      <c r="CF3162" s="128"/>
      <c r="CG3162" s="128"/>
      <c r="CI3162" s="128"/>
      <c r="CJ3162" s="128"/>
      <c r="CK3162" s="128"/>
      <c r="CL3162" s="128"/>
      <c r="CM3162" s="128"/>
      <c r="CN3162" s="128"/>
      <c r="CO3162" s="128"/>
      <c r="CP3162" s="128"/>
      <c r="CQ3162" s="128"/>
      <c r="CR3162" s="128"/>
      <c r="CS3162" s="128"/>
      <c r="CT3162" s="128"/>
      <c r="CU3162" s="128"/>
      <c r="CV3162" s="128"/>
      <c r="CW3162" s="128"/>
      <c r="CX3162" s="128"/>
      <c r="CY3162" s="128"/>
      <c r="CZ3162" s="165"/>
    </row>
    <row r="3163" spans="1:104">
      <c r="A3163" s="149"/>
      <c r="B3163" s="149"/>
      <c r="C3163" s="150"/>
      <c r="D3163" s="102"/>
      <c r="E3163" s="149"/>
      <c r="F3163" s="149"/>
      <c r="G3163" s="149"/>
      <c r="H3163" s="149"/>
      <c r="I3163" s="149"/>
      <c r="J3163" s="149"/>
      <c r="K3163" s="149"/>
      <c r="L3163" s="149"/>
      <c r="M3163" s="149"/>
      <c r="N3163" s="149"/>
      <c r="O3163" s="149"/>
      <c r="P3163" s="149"/>
      <c r="Q3163" s="149"/>
      <c r="R3163" s="149"/>
      <c r="S3163" s="149"/>
      <c r="T3163" s="149"/>
      <c r="U3163" s="149"/>
      <c r="V3163" s="149"/>
      <c r="W3163" s="149"/>
      <c r="X3163" s="149"/>
      <c r="Y3163" s="149"/>
      <c r="Z3163" s="149"/>
      <c r="AA3163" s="149"/>
      <c r="AB3163" s="149"/>
      <c r="AC3163" s="149"/>
      <c r="AD3163" s="149"/>
      <c r="AE3163" s="149"/>
      <c r="AF3163" s="149"/>
      <c r="AG3163" s="149"/>
      <c r="AH3163" s="149"/>
      <c r="AI3163" s="149"/>
      <c r="AJ3163" s="149"/>
      <c r="AK3163" s="149"/>
      <c r="AL3163" s="149"/>
      <c r="AM3163" s="149"/>
      <c r="AN3163" s="149"/>
      <c r="AO3163" s="128"/>
      <c r="AP3163" s="128"/>
      <c r="AQ3163" s="128"/>
      <c r="AR3163" s="128"/>
      <c r="AS3163" s="128"/>
      <c r="AT3163" s="128"/>
      <c r="AU3163" s="128"/>
      <c r="AV3163" s="128"/>
      <c r="AW3163" s="128"/>
      <c r="AX3163" s="128"/>
      <c r="AY3163" s="128"/>
      <c r="AZ3163" s="128"/>
      <c r="BA3163" s="128"/>
      <c r="BB3163" s="128"/>
      <c r="BC3163" s="128"/>
      <c r="BD3163" s="128"/>
      <c r="BE3163" s="128"/>
      <c r="BF3163" s="128"/>
      <c r="BG3163" s="128"/>
      <c r="BH3163" s="128"/>
      <c r="BI3163" s="128"/>
      <c r="BJ3163" s="128"/>
      <c r="BK3163" s="128"/>
      <c r="BL3163" s="128"/>
      <c r="BM3163" s="151"/>
      <c r="BN3163" s="128"/>
      <c r="BO3163" s="128"/>
      <c r="BP3163" s="128"/>
      <c r="BQ3163" s="128"/>
      <c r="BR3163" s="128"/>
      <c r="BS3163" s="128"/>
      <c r="BT3163" s="128"/>
      <c r="BU3163" s="128"/>
      <c r="BV3163" s="128"/>
      <c r="BW3163" s="128"/>
      <c r="BX3163" s="128"/>
      <c r="BY3163" s="128"/>
      <c r="BZ3163" s="128"/>
      <c r="CA3163" s="128"/>
      <c r="CB3163" s="128"/>
      <c r="CC3163" s="128"/>
      <c r="CD3163" s="128"/>
      <c r="CE3163" s="128"/>
      <c r="CF3163" s="128"/>
      <c r="CG3163" s="128"/>
      <c r="CI3163" s="128"/>
      <c r="CJ3163" s="128"/>
      <c r="CK3163" s="128"/>
      <c r="CL3163" s="128"/>
      <c r="CM3163" s="128"/>
      <c r="CN3163" s="128"/>
      <c r="CO3163" s="128"/>
      <c r="CP3163" s="128"/>
      <c r="CQ3163" s="128"/>
      <c r="CR3163" s="128"/>
      <c r="CS3163" s="128"/>
      <c r="CT3163" s="128"/>
      <c r="CU3163" s="128"/>
      <c r="CV3163" s="128"/>
      <c r="CW3163" s="128"/>
      <c r="CX3163" s="128"/>
      <c r="CY3163" s="128"/>
      <c r="CZ3163" s="165"/>
    </row>
    <row r="3164" spans="1:104">
      <c r="A3164" s="149"/>
      <c r="B3164" s="149"/>
      <c r="C3164" s="150"/>
      <c r="D3164" s="102"/>
      <c r="E3164" s="149"/>
      <c r="F3164" s="149"/>
      <c r="G3164" s="149"/>
      <c r="H3164" s="149"/>
      <c r="I3164" s="149"/>
      <c r="J3164" s="149"/>
      <c r="K3164" s="149"/>
      <c r="L3164" s="149"/>
      <c r="M3164" s="149"/>
      <c r="N3164" s="149"/>
      <c r="O3164" s="149"/>
      <c r="P3164" s="149"/>
      <c r="Q3164" s="149"/>
      <c r="R3164" s="149"/>
      <c r="S3164" s="149"/>
      <c r="T3164" s="149"/>
      <c r="U3164" s="149"/>
      <c r="V3164" s="149"/>
      <c r="W3164" s="149"/>
      <c r="X3164" s="149"/>
      <c r="Y3164" s="149"/>
      <c r="Z3164" s="149"/>
      <c r="AA3164" s="149"/>
      <c r="AB3164" s="149"/>
      <c r="AC3164" s="149"/>
      <c r="AD3164" s="149"/>
      <c r="AE3164" s="149"/>
      <c r="AF3164" s="149"/>
      <c r="AG3164" s="149"/>
      <c r="AH3164" s="149"/>
      <c r="AI3164" s="149"/>
      <c r="AJ3164" s="149"/>
      <c r="AK3164" s="149"/>
      <c r="AL3164" s="149"/>
      <c r="AM3164" s="149"/>
      <c r="AN3164" s="149"/>
      <c r="AO3164" s="128"/>
      <c r="AP3164" s="128"/>
      <c r="AQ3164" s="128"/>
      <c r="AR3164" s="128"/>
      <c r="AS3164" s="128"/>
      <c r="AT3164" s="128"/>
      <c r="AU3164" s="128"/>
      <c r="AV3164" s="128"/>
      <c r="AW3164" s="128"/>
      <c r="AX3164" s="128"/>
      <c r="AY3164" s="128"/>
      <c r="AZ3164" s="128"/>
      <c r="BA3164" s="128"/>
      <c r="BB3164" s="128"/>
      <c r="BC3164" s="128"/>
      <c r="BD3164" s="128"/>
      <c r="BE3164" s="128"/>
      <c r="BF3164" s="128"/>
      <c r="BG3164" s="128"/>
      <c r="BH3164" s="128"/>
      <c r="BI3164" s="128"/>
      <c r="BJ3164" s="128"/>
      <c r="BK3164" s="128"/>
      <c r="BL3164" s="128"/>
      <c r="BM3164" s="151"/>
      <c r="BN3164" s="128"/>
      <c r="BO3164" s="128"/>
      <c r="BP3164" s="128"/>
      <c r="BQ3164" s="128"/>
      <c r="BR3164" s="128"/>
      <c r="BS3164" s="128"/>
      <c r="BT3164" s="128"/>
      <c r="BU3164" s="128"/>
      <c r="BV3164" s="128"/>
      <c r="BW3164" s="128"/>
      <c r="BX3164" s="128"/>
      <c r="BY3164" s="128"/>
      <c r="BZ3164" s="128"/>
      <c r="CA3164" s="128"/>
      <c r="CB3164" s="128"/>
      <c r="CC3164" s="128"/>
      <c r="CD3164" s="128"/>
      <c r="CE3164" s="128"/>
      <c r="CF3164" s="128"/>
      <c r="CG3164" s="128"/>
      <c r="CI3164" s="128"/>
      <c r="CJ3164" s="128"/>
      <c r="CK3164" s="128"/>
      <c r="CL3164" s="128"/>
      <c r="CM3164" s="128"/>
      <c r="CN3164" s="128"/>
      <c r="CO3164" s="128"/>
      <c r="CP3164" s="128"/>
      <c r="CQ3164" s="128"/>
      <c r="CR3164" s="128"/>
      <c r="CS3164" s="128"/>
      <c r="CT3164" s="128"/>
      <c r="CU3164" s="128"/>
      <c r="CV3164" s="128"/>
      <c r="CW3164" s="128"/>
      <c r="CX3164" s="128"/>
      <c r="CY3164" s="128"/>
      <c r="CZ3164" s="165"/>
    </row>
    <row r="3165" spans="1:104">
      <c r="A3165" s="149"/>
      <c r="B3165" s="149"/>
      <c r="C3165" s="150"/>
      <c r="D3165" s="102"/>
      <c r="E3165" s="149"/>
      <c r="F3165" s="149"/>
      <c r="G3165" s="149"/>
      <c r="H3165" s="149"/>
      <c r="I3165" s="149"/>
      <c r="J3165" s="149"/>
      <c r="K3165" s="149"/>
      <c r="L3165" s="149"/>
      <c r="M3165" s="149"/>
      <c r="N3165" s="149"/>
      <c r="O3165" s="149"/>
      <c r="P3165" s="149"/>
      <c r="Q3165" s="149"/>
      <c r="R3165" s="149"/>
      <c r="S3165" s="149"/>
      <c r="T3165" s="149"/>
      <c r="U3165" s="149"/>
      <c r="V3165" s="149"/>
      <c r="W3165" s="149"/>
      <c r="X3165" s="149"/>
      <c r="Y3165" s="149"/>
      <c r="Z3165" s="149"/>
      <c r="AA3165" s="149"/>
      <c r="AB3165" s="149"/>
      <c r="AC3165" s="149"/>
      <c r="AD3165" s="149"/>
      <c r="AE3165" s="149"/>
      <c r="AF3165" s="149"/>
      <c r="AG3165" s="149"/>
      <c r="AH3165" s="149"/>
      <c r="AI3165" s="149"/>
      <c r="AJ3165" s="149"/>
      <c r="AK3165" s="149"/>
      <c r="AL3165" s="149"/>
      <c r="AM3165" s="149"/>
      <c r="AN3165" s="149"/>
      <c r="AO3165" s="128"/>
      <c r="AP3165" s="128"/>
      <c r="AQ3165" s="128"/>
      <c r="AR3165" s="128"/>
      <c r="AS3165" s="128"/>
      <c r="AT3165" s="128"/>
      <c r="AU3165" s="128"/>
      <c r="AV3165" s="128"/>
      <c r="AW3165" s="128"/>
      <c r="AX3165" s="128"/>
      <c r="AY3165" s="128"/>
      <c r="AZ3165" s="128"/>
      <c r="BA3165" s="128"/>
      <c r="BB3165" s="128"/>
      <c r="BC3165" s="128"/>
      <c r="BD3165" s="128"/>
      <c r="BE3165" s="128"/>
      <c r="BF3165" s="128"/>
      <c r="BG3165" s="128"/>
      <c r="BH3165" s="128"/>
      <c r="BI3165" s="128"/>
      <c r="BJ3165" s="128"/>
      <c r="BK3165" s="128"/>
      <c r="BL3165" s="128"/>
      <c r="BM3165" s="151"/>
      <c r="BN3165" s="128"/>
      <c r="BO3165" s="128"/>
      <c r="BP3165" s="128"/>
      <c r="BQ3165" s="128"/>
      <c r="BR3165" s="128"/>
      <c r="BS3165" s="128"/>
      <c r="BT3165" s="128"/>
      <c r="BU3165" s="128"/>
      <c r="BV3165" s="128"/>
      <c r="BW3165" s="128"/>
      <c r="BX3165" s="128"/>
      <c r="BY3165" s="128"/>
      <c r="BZ3165" s="128"/>
      <c r="CA3165" s="128"/>
      <c r="CB3165" s="128"/>
      <c r="CC3165" s="128"/>
      <c r="CD3165" s="128"/>
      <c r="CE3165" s="128"/>
      <c r="CF3165" s="128"/>
      <c r="CG3165" s="128"/>
      <c r="CI3165" s="128"/>
      <c r="CJ3165" s="128"/>
      <c r="CK3165" s="128"/>
      <c r="CL3165" s="128"/>
      <c r="CM3165" s="128"/>
      <c r="CN3165" s="128"/>
      <c r="CO3165" s="128"/>
      <c r="CP3165" s="128"/>
      <c r="CQ3165" s="128"/>
      <c r="CR3165" s="128"/>
      <c r="CS3165" s="128"/>
      <c r="CT3165" s="128"/>
      <c r="CU3165" s="128"/>
      <c r="CV3165" s="128"/>
      <c r="CW3165" s="128"/>
      <c r="CX3165" s="128"/>
      <c r="CY3165" s="128"/>
      <c r="CZ3165" s="165"/>
    </row>
    <row r="3166" spans="1:104">
      <c r="A3166" s="149"/>
      <c r="B3166" s="149"/>
      <c r="C3166" s="150"/>
      <c r="D3166" s="102"/>
      <c r="E3166" s="149"/>
      <c r="F3166" s="149"/>
      <c r="G3166" s="149"/>
      <c r="H3166" s="149"/>
      <c r="I3166" s="149"/>
      <c r="J3166" s="149"/>
      <c r="K3166" s="149"/>
      <c r="L3166" s="149"/>
      <c r="M3166" s="149"/>
      <c r="N3166" s="149"/>
      <c r="O3166" s="149"/>
      <c r="P3166" s="149"/>
      <c r="Q3166" s="149"/>
      <c r="R3166" s="149"/>
      <c r="S3166" s="149"/>
      <c r="T3166" s="149"/>
      <c r="U3166" s="149"/>
      <c r="V3166" s="149"/>
      <c r="W3166" s="149"/>
      <c r="X3166" s="149"/>
      <c r="Y3166" s="149"/>
      <c r="Z3166" s="149"/>
      <c r="AA3166" s="149"/>
      <c r="AB3166" s="149"/>
      <c r="AC3166" s="149"/>
      <c r="AD3166" s="149"/>
      <c r="AE3166" s="149"/>
      <c r="AF3166" s="149"/>
      <c r="AG3166" s="149"/>
      <c r="AH3166" s="149"/>
      <c r="AI3166" s="149"/>
      <c r="AJ3166" s="149"/>
      <c r="AK3166" s="149"/>
      <c r="AL3166" s="149"/>
      <c r="AM3166" s="149"/>
      <c r="AN3166" s="149"/>
      <c r="AO3166" s="128"/>
      <c r="AP3166" s="128"/>
      <c r="AQ3166" s="128"/>
      <c r="AR3166" s="128"/>
      <c r="AS3166" s="128"/>
      <c r="AT3166" s="128"/>
      <c r="AU3166" s="128"/>
      <c r="AV3166" s="128"/>
      <c r="AW3166" s="128"/>
      <c r="AX3166" s="128"/>
      <c r="AY3166" s="128"/>
      <c r="AZ3166" s="128"/>
      <c r="BA3166" s="128"/>
      <c r="BB3166" s="128"/>
      <c r="BC3166" s="128"/>
      <c r="BD3166" s="128"/>
      <c r="BE3166" s="128"/>
      <c r="BF3166" s="128"/>
      <c r="BG3166" s="128"/>
      <c r="BH3166" s="128"/>
      <c r="BI3166" s="128"/>
      <c r="BJ3166" s="128"/>
      <c r="BK3166" s="128"/>
      <c r="BL3166" s="128"/>
      <c r="BM3166" s="151"/>
      <c r="BN3166" s="128"/>
      <c r="BO3166" s="128"/>
      <c r="BP3166" s="128"/>
      <c r="BQ3166" s="128"/>
      <c r="BR3166" s="128"/>
      <c r="BS3166" s="128"/>
      <c r="BT3166" s="128"/>
      <c r="BU3166" s="128"/>
      <c r="BV3166" s="128"/>
      <c r="BW3166" s="128"/>
      <c r="BX3166" s="128"/>
      <c r="BY3166" s="128"/>
      <c r="BZ3166" s="128"/>
      <c r="CA3166" s="128"/>
      <c r="CB3166" s="128"/>
      <c r="CC3166" s="128"/>
      <c r="CD3166" s="128"/>
      <c r="CE3166" s="128"/>
      <c r="CF3166" s="128"/>
      <c r="CG3166" s="128"/>
      <c r="CI3166" s="128"/>
      <c r="CJ3166" s="128"/>
      <c r="CK3166" s="128"/>
      <c r="CL3166" s="128"/>
      <c r="CM3166" s="128"/>
      <c r="CN3166" s="128"/>
      <c r="CO3166" s="128"/>
      <c r="CP3166" s="128"/>
      <c r="CQ3166" s="128"/>
      <c r="CR3166" s="128"/>
      <c r="CS3166" s="128"/>
      <c r="CT3166" s="128"/>
      <c r="CU3166" s="128"/>
      <c r="CV3166" s="128"/>
      <c r="CW3166" s="128"/>
      <c r="CX3166" s="128"/>
      <c r="CY3166" s="128"/>
      <c r="CZ3166" s="165"/>
    </row>
    <row r="3167" spans="1:104">
      <c r="A3167" s="149"/>
      <c r="B3167" s="149"/>
      <c r="C3167" s="150"/>
      <c r="D3167" s="102"/>
      <c r="E3167" s="149"/>
      <c r="F3167" s="149"/>
      <c r="G3167" s="149"/>
      <c r="H3167" s="149"/>
      <c r="I3167" s="149"/>
      <c r="J3167" s="149"/>
      <c r="K3167" s="149"/>
      <c r="L3167" s="149"/>
      <c r="M3167" s="149"/>
      <c r="N3167" s="149"/>
      <c r="O3167" s="149"/>
      <c r="P3167" s="149"/>
      <c r="Q3167" s="149"/>
      <c r="R3167" s="149"/>
      <c r="S3167" s="149"/>
      <c r="T3167" s="149"/>
      <c r="U3167" s="149"/>
      <c r="V3167" s="149"/>
      <c r="W3167" s="149"/>
      <c r="X3167" s="149"/>
      <c r="Y3167" s="149"/>
      <c r="Z3167" s="149"/>
      <c r="AA3167" s="149"/>
      <c r="AB3167" s="149"/>
      <c r="AC3167" s="149"/>
      <c r="AD3167" s="149"/>
      <c r="AE3167" s="149"/>
      <c r="AF3167" s="149"/>
      <c r="AG3167" s="149"/>
      <c r="AH3167" s="149"/>
      <c r="AI3167" s="149"/>
      <c r="AJ3167" s="149"/>
      <c r="AK3167" s="149"/>
      <c r="AL3167" s="149"/>
      <c r="AM3167" s="149"/>
      <c r="AN3167" s="149"/>
      <c r="AO3167" s="128"/>
      <c r="AP3167" s="128"/>
      <c r="AQ3167" s="128"/>
      <c r="AR3167" s="128"/>
      <c r="AS3167" s="128"/>
      <c r="AT3167" s="128"/>
      <c r="AU3167" s="128"/>
      <c r="AV3167" s="128"/>
      <c r="AW3167" s="128"/>
      <c r="AX3167" s="128"/>
      <c r="AY3167" s="128"/>
      <c r="AZ3167" s="128"/>
      <c r="BA3167" s="128"/>
      <c r="BB3167" s="128"/>
      <c r="BC3167" s="128"/>
      <c r="BD3167" s="128"/>
      <c r="BE3167" s="128"/>
      <c r="BF3167" s="128"/>
      <c r="BG3167" s="128"/>
      <c r="BH3167" s="128"/>
      <c r="BI3167" s="128"/>
      <c r="BJ3167" s="128"/>
      <c r="BK3167" s="128"/>
      <c r="BL3167" s="128"/>
      <c r="BM3167" s="151"/>
      <c r="BN3167" s="128"/>
      <c r="BO3167" s="128"/>
      <c r="BP3167" s="128"/>
      <c r="BQ3167" s="128"/>
      <c r="BR3167" s="128"/>
      <c r="BS3167" s="128"/>
      <c r="BT3167" s="128"/>
      <c r="BU3167" s="128"/>
      <c r="BV3167" s="128"/>
      <c r="BW3167" s="128"/>
      <c r="BX3167" s="128"/>
      <c r="BY3167" s="128"/>
      <c r="BZ3167" s="128"/>
      <c r="CA3167" s="128"/>
      <c r="CB3167" s="128"/>
      <c r="CC3167" s="128"/>
      <c r="CD3167" s="128"/>
      <c r="CE3167" s="128"/>
      <c r="CF3167" s="128"/>
      <c r="CG3167" s="128"/>
      <c r="CI3167" s="128"/>
      <c r="CJ3167" s="128"/>
      <c r="CK3167" s="128"/>
      <c r="CL3167" s="128"/>
      <c r="CM3167" s="128"/>
      <c r="CN3167" s="128"/>
      <c r="CO3167" s="128"/>
      <c r="CP3167" s="128"/>
      <c r="CQ3167" s="128"/>
      <c r="CR3167" s="128"/>
      <c r="CS3167" s="128"/>
      <c r="CT3167" s="128"/>
      <c r="CU3167" s="128"/>
      <c r="CV3167" s="128"/>
      <c r="CW3167" s="128"/>
      <c r="CX3167" s="128"/>
      <c r="CY3167" s="128"/>
      <c r="CZ3167" s="165"/>
    </row>
    <row r="3168" spans="1:104">
      <c r="A3168" s="149"/>
      <c r="B3168" s="149"/>
      <c r="C3168" s="150"/>
      <c r="D3168" s="102"/>
      <c r="E3168" s="149"/>
      <c r="F3168" s="149"/>
      <c r="G3168" s="149"/>
      <c r="H3168" s="149"/>
      <c r="I3168" s="149"/>
      <c r="J3168" s="149"/>
      <c r="K3168" s="149"/>
      <c r="L3168" s="149"/>
      <c r="M3168" s="149"/>
      <c r="N3168" s="149"/>
      <c r="O3168" s="149"/>
      <c r="P3168" s="149"/>
      <c r="Q3168" s="149"/>
      <c r="R3168" s="149"/>
      <c r="S3168" s="149"/>
      <c r="T3168" s="149"/>
      <c r="U3168" s="149"/>
      <c r="V3168" s="149"/>
      <c r="W3168" s="149"/>
      <c r="X3168" s="149"/>
      <c r="Y3168" s="149"/>
      <c r="Z3168" s="149"/>
      <c r="AA3168" s="149"/>
      <c r="AB3168" s="149"/>
      <c r="AC3168" s="149"/>
      <c r="AD3168" s="149"/>
      <c r="AE3168" s="149"/>
      <c r="AF3168" s="149"/>
      <c r="AG3168" s="149"/>
      <c r="AH3168" s="149"/>
      <c r="AI3168" s="149"/>
      <c r="AJ3168" s="149"/>
      <c r="AK3168" s="149"/>
      <c r="AL3168" s="149"/>
      <c r="AM3168" s="149"/>
      <c r="AN3168" s="149"/>
      <c r="AO3168" s="128"/>
      <c r="AP3168" s="128"/>
      <c r="AQ3168" s="128"/>
      <c r="AR3168" s="128"/>
      <c r="AS3168" s="128"/>
      <c r="AT3168" s="128"/>
      <c r="AU3168" s="128"/>
      <c r="AV3168" s="128"/>
      <c r="AW3168" s="128"/>
      <c r="AX3168" s="128"/>
      <c r="AY3168" s="128"/>
      <c r="AZ3168" s="128"/>
      <c r="BA3168" s="128"/>
      <c r="BB3168" s="128"/>
      <c r="BC3168" s="128"/>
      <c r="BD3168" s="128"/>
      <c r="BE3168" s="128"/>
      <c r="BF3168" s="128"/>
      <c r="BG3168" s="128"/>
      <c r="BH3168" s="128"/>
      <c r="BI3168" s="128"/>
      <c r="BJ3168" s="128"/>
      <c r="BK3168" s="128"/>
      <c r="BL3168" s="128"/>
      <c r="BM3168" s="151"/>
      <c r="BN3168" s="128"/>
      <c r="BO3168" s="128"/>
      <c r="BP3168" s="128"/>
      <c r="BQ3168" s="128"/>
      <c r="BR3168" s="128"/>
      <c r="BS3168" s="128"/>
      <c r="BT3168" s="128"/>
      <c r="BU3168" s="128"/>
      <c r="BV3168" s="128"/>
      <c r="BW3168" s="128"/>
      <c r="BX3168" s="128"/>
      <c r="BY3168" s="128"/>
      <c r="BZ3168" s="128"/>
      <c r="CA3168" s="128"/>
      <c r="CB3168" s="128"/>
      <c r="CC3168" s="128"/>
      <c r="CD3168" s="128"/>
      <c r="CE3168" s="128"/>
      <c r="CF3168" s="128"/>
      <c r="CG3168" s="128"/>
      <c r="CI3168" s="128"/>
      <c r="CJ3168" s="128"/>
      <c r="CK3168" s="128"/>
      <c r="CL3168" s="128"/>
      <c r="CM3168" s="128"/>
      <c r="CN3168" s="128"/>
      <c r="CO3168" s="128"/>
      <c r="CP3168" s="128"/>
      <c r="CQ3168" s="128"/>
      <c r="CR3168" s="128"/>
      <c r="CS3168" s="128"/>
      <c r="CT3168" s="128"/>
      <c r="CU3168" s="128"/>
      <c r="CV3168" s="128"/>
      <c r="CW3168" s="128"/>
      <c r="CX3168" s="128"/>
      <c r="CY3168" s="128"/>
      <c r="CZ3168" s="165"/>
    </row>
    <row r="3169" spans="1:104">
      <c r="A3169" s="149"/>
      <c r="B3169" s="149"/>
      <c r="C3169" s="150"/>
      <c r="D3169" s="102"/>
      <c r="E3169" s="149"/>
      <c r="F3169" s="149"/>
      <c r="G3169" s="149"/>
      <c r="H3169" s="149"/>
      <c r="I3169" s="149"/>
      <c r="J3169" s="149"/>
      <c r="K3169" s="149"/>
      <c r="L3169" s="149"/>
      <c r="M3169" s="149"/>
      <c r="N3169" s="149"/>
      <c r="O3169" s="149"/>
      <c r="P3169" s="149"/>
      <c r="Q3169" s="149"/>
      <c r="R3169" s="149"/>
      <c r="S3169" s="149"/>
      <c r="T3169" s="149"/>
      <c r="U3169" s="149"/>
      <c r="V3169" s="149"/>
      <c r="W3169" s="149"/>
      <c r="X3169" s="149"/>
      <c r="Y3169" s="149"/>
      <c r="Z3169" s="149"/>
      <c r="AA3169" s="149"/>
      <c r="AB3169" s="149"/>
      <c r="AC3169" s="149"/>
      <c r="AD3169" s="149"/>
      <c r="AE3169" s="149"/>
      <c r="AF3169" s="149"/>
      <c r="AG3169" s="149"/>
      <c r="AH3169" s="149"/>
      <c r="AI3169" s="149"/>
      <c r="AJ3169" s="149"/>
      <c r="AK3169" s="149"/>
      <c r="AL3169" s="149"/>
      <c r="AM3169" s="149"/>
      <c r="AN3169" s="149"/>
      <c r="AO3169" s="128"/>
      <c r="AP3169" s="128"/>
      <c r="AQ3169" s="128"/>
      <c r="AR3169" s="128"/>
      <c r="AS3169" s="128"/>
      <c r="AT3169" s="128"/>
      <c r="AU3169" s="128"/>
      <c r="AV3169" s="128"/>
      <c r="AW3169" s="128"/>
      <c r="AX3169" s="128"/>
      <c r="AY3169" s="128"/>
      <c r="AZ3169" s="128"/>
      <c r="BA3169" s="128"/>
      <c r="BB3169" s="128"/>
      <c r="BC3169" s="128"/>
      <c r="BD3169" s="128"/>
      <c r="BE3169" s="128"/>
      <c r="BF3169" s="128"/>
      <c r="BG3169" s="128"/>
      <c r="BH3169" s="128"/>
      <c r="BI3169" s="128"/>
      <c r="BJ3169" s="128"/>
      <c r="BK3169" s="128"/>
      <c r="BL3169" s="128"/>
      <c r="BM3169" s="151"/>
      <c r="BN3169" s="128"/>
      <c r="BO3169" s="128"/>
      <c r="BP3169" s="128"/>
      <c r="BQ3169" s="128"/>
      <c r="BR3169" s="128"/>
      <c r="BS3169" s="128"/>
      <c r="BT3169" s="128"/>
      <c r="BU3169" s="128"/>
      <c r="BV3169" s="128"/>
      <c r="BW3169" s="128"/>
      <c r="BX3169" s="128"/>
      <c r="BY3169" s="128"/>
      <c r="BZ3169" s="128"/>
      <c r="CA3169" s="128"/>
      <c r="CB3169" s="128"/>
      <c r="CC3169" s="128"/>
      <c r="CD3169" s="128"/>
      <c r="CE3169" s="128"/>
      <c r="CF3169" s="128"/>
      <c r="CG3169" s="128"/>
      <c r="CI3169" s="128"/>
      <c r="CJ3169" s="128"/>
      <c r="CK3169" s="128"/>
      <c r="CL3169" s="128"/>
      <c r="CM3169" s="128"/>
      <c r="CN3169" s="128"/>
      <c r="CO3169" s="128"/>
      <c r="CP3169" s="128"/>
      <c r="CQ3169" s="128"/>
      <c r="CR3169" s="128"/>
      <c r="CS3169" s="128"/>
      <c r="CT3169" s="128"/>
      <c r="CU3169" s="128"/>
      <c r="CV3169" s="128"/>
      <c r="CW3169" s="128"/>
      <c r="CX3169" s="128"/>
      <c r="CY3169" s="128"/>
      <c r="CZ3169" s="165"/>
    </row>
    <row r="3170" spans="1:104">
      <c r="A3170" s="149"/>
      <c r="B3170" s="149"/>
      <c r="C3170" s="150"/>
      <c r="D3170" s="102"/>
      <c r="E3170" s="149"/>
      <c r="F3170" s="149"/>
      <c r="G3170" s="149"/>
      <c r="H3170" s="149"/>
      <c r="I3170" s="149"/>
      <c r="J3170" s="149"/>
      <c r="K3170" s="149"/>
      <c r="L3170" s="149"/>
      <c r="M3170" s="149"/>
      <c r="N3170" s="149"/>
      <c r="O3170" s="149"/>
      <c r="P3170" s="149"/>
      <c r="Q3170" s="149"/>
      <c r="R3170" s="149"/>
      <c r="S3170" s="149"/>
      <c r="T3170" s="149"/>
      <c r="U3170" s="149"/>
      <c r="V3170" s="149"/>
      <c r="W3170" s="149"/>
      <c r="X3170" s="149"/>
      <c r="Y3170" s="149"/>
      <c r="Z3170" s="149"/>
      <c r="AA3170" s="149"/>
      <c r="AB3170" s="149"/>
      <c r="AC3170" s="149"/>
      <c r="AD3170" s="149"/>
      <c r="AE3170" s="149"/>
      <c r="AF3170" s="149"/>
      <c r="AG3170" s="149"/>
      <c r="AH3170" s="149"/>
      <c r="AI3170" s="149"/>
      <c r="AJ3170" s="149"/>
      <c r="AK3170" s="149"/>
      <c r="AL3170" s="149"/>
      <c r="AM3170" s="149"/>
      <c r="AN3170" s="149"/>
      <c r="AO3170" s="128"/>
      <c r="AP3170" s="128"/>
      <c r="AQ3170" s="128"/>
      <c r="AR3170" s="128"/>
      <c r="AS3170" s="128"/>
      <c r="AT3170" s="128"/>
      <c r="AU3170" s="128"/>
      <c r="AV3170" s="128"/>
      <c r="AW3170" s="128"/>
      <c r="AX3170" s="128"/>
      <c r="AY3170" s="128"/>
      <c r="AZ3170" s="128"/>
      <c r="BA3170" s="128"/>
      <c r="BB3170" s="128"/>
      <c r="BC3170" s="128"/>
      <c r="BD3170" s="128"/>
      <c r="BE3170" s="128"/>
      <c r="BF3170" s="128"/>
      <c r="BG3170" s="128"/>
      <c r="BH3170" s="128"/>
      <c r="BI3170" s="128"/>
      <c r="BJ3170" s="128"/>
      <c r="BK3170" s="128"/>
      <c r="BL3170" s="128"/>
      <c r="BM3170" s="151"/>
      <c r="BN3170" s="128"/>
      <c r="BO3170" s="128"/>
      <c r="BP3170" s="128"/>
      <c r="BQ3170" s="128"/>
      <c r="BR3170" s="128"/>
      <c r="BS3170" s="128"/>
      <c r="BT3170" s="128"/>
      <c r="BU3170" s="128"/>
      <c r="BV3170" s="128"/>
      <c r="BW3170" s="128"/>
      <c r="BX3170" s="128"/>
      <c r="BY3170" s="128"/>
      <c r="BZ3170" s="128"/>
      <c r="CA3170" s="128"/>
      <c r="CB3170" s="128"/>
      <c r="CC3170" s="128"/>
      <c r="CD3170" s="128"/>
      <c r="CE3170" s="128"/>
      <c r="CF3170" s="128"/>
      <c r="CG3170" s="128"/>
      <c r="CI3170" s="128"/>
      <c r="CJ3170" s="128"/>
      <c r="CK3170" s="128"/>
      <c r="CL3170" s="128"/>
      <c r="CM3170" s="128"/>
      <c r="CN3170" s="128"/>
      <c r="CO3170" s="128"/>
      <c r="CP3170" s="128"/>
      <c r="CQ3170" s="128"/>
      <c r="CR3170" s="128"/>
      <c r="CS3170" s="128"/>
      <c r="CT3170" s="128"/>
      <c r="CU3170" s="128"/>
      <c r="CV3170" s="128"/>
      <c r="CW3170" s="128"/>
      <c r="CX3170" s="128"/>
      <c r="CY3170" s="128"/>
      <c r="CZ3170" s="165"/>
    </row>
    <row r="3171" spans="1:104">
      <c r="A3171" s="149"/>
      <c r="B3171" s="149"/>
      <c r="C3171" s="150"/>
      <c r="D3171" s="102"/>
      <c r="E3171" s="149"/>
      <c r="F3171" s="149"/>
      <c r="G3171" s="149"/>
      <c r="H3171" s="149"/>
      <c r="I3171" s="149"/>
      <c r="J3171" s="149"/>
      <c r="K3171" s="149"/>
      <c r="L3171" s="149"/>
      <c r="M3171" s="149"/>
      <c r="N3171" s="149"/>
      <c r="O3171" s="149"/>
      <c r="P3171" s="149"/>
      <c r="Q3171" s="149"/>
      <c r="R3171" s="149"/>
      <c r="S3171" s="149"/>
      <c r="T3171" s="149"/>
      <c r="U3171" s="149"/>
      <c r="V3171" s="149"/>
      <c r="W3171" s="149"/>
      <c r="X3171" s="149"/>
      <c r="Y3171" s="149"/>
      <c r="Z3171" s="149"/>
      <c r="AA3171" s="149"/>
      <c r="AB3171" s="149"/>
      <c r="AC3171" s="149"/>
      <c r="AD3171" s="149"/>
      <c r="AE3171" s="149"/>
      <c r="AF3171" s="149"/>
      <c r="AG3171" s="149"/>
      <c r="AH3171" s="149"/>
      <c r="AI3171" s="149"/>
      <c r="AJ3171" s="149"/>
      <c r="AK3171" s="149"/>
      <c r="AL3171" s="149"/>
      <c r="AM3171" s="149"/>
      <c r="AN3171" s="149"/>
      <c r="AO3171" s="128"/>
      <c r="AP3171" s="128"/>
      <c r="AQ3171" s="128"/>
      <c r="AR3171" s="128"/>
      <c r="AS3171" s="128"/>
      <c r="AT3171" s="128"/>
      <c r="AU3171" s="128"/>
      <c r="AV3171" s="128"/>
      <c r="AW3171" s="128"/>
      <c r="AX3171" s="128"/>
      <c r="AY3171" s="128"/>
      <c r="AZ3171" s="128"/>
      <c r="BA3171" s="128"/>
      <c r="BB3171" s="128"/>
      <c r="BC3171" s="128"/>
      <c r="BD3171" s="128"/>
      <c r="BE3171" s="128"/>
      <c r="BF3171" s="128"/>
      <c r="BG3171" s="128"/>
      <c r="BH3171" s="128"/>
      <c r="BI3171" s="128"/>
      <c r="BJ3171" s="128"/>
      <c r="BK3171" s="128"/>
      <c r="BL3171" s="128"/>
      <c r="BM3171" s="151"/>
      <c r="BN3171" s="128"/>
      <c r="BO3171" s="128"/>
      <c r="BP3171" s="128"/>
      <c r="BQ3171" s="128"/>
      <c r="BR3171" s="128"/>
      <c r="BS3171" s="128"/>
      <c r="BT3171" s="128"/>
      <c r="BU3171" s="128"/>
      <c r="BV3171" s="128"/>
      <c r="BW3171" s="128"/>
      <c r="BX3171" s="128"/>
      <c r="BY3171" s="128"/>
      <c r="BZ3171" s="128"/>
      <c r="CA3171" s="128"/>
      <c r="CB3171" s="128"/>
      <c r="CC3171" s="128"/>
      <c r="CD3171" s="128"/>
      <c r="CE3171" s="128"/>
      <c r="CF3171" s="128"/>
      <c r="CG3171" s="128"/>
      <c r="CI3171" s="128"/>
      <c r="CJ3171" s="128"/>
      <c r="CK3171" s="128"/>
      <c r="CL3171" s="128"/>
      <c r="CM3171" s="128"/>
      <c r="CN3171" s="128"/>
      <c r="CO3171" s="128"/>
      <c r="CP3171" s="128"/>
      <c r="CQ3171" s="128"/>
      <c r="CR3171" s="128"/>
      <c r="CS3171" s="128"/>
      <c r="CT3171" s="128"/>
      <c r="CU3171" s="128"/>
      <c r="CV3171" s="128"/>
      <c r="CW3171" s="128"/>
      <c r="CX3171" s="128"/>
      <c r="CY3171" s="128"/>
      <c r="CZ3171" s="165"/>
    </row>
    <row r="3172" spans="1:104">
      <c r="A3172" s="149"/>
      <c r="B3172" s="149"/>
      <c r="C3172" s="150"/>
      <c r="D3172" s="102"/>
      <c r="E3172" s="149"/>
      <c r="F3172" s="149"/>
      <c r="G3172" s="149"/>
      <c r="H3172" s="149"/>
      <c r="I3172" s="149"/>
      <c r="J3172" s="149"/>
      <c r="K3172" s="149"/>
      <c r="L3172" s="149"/>
      <c r="M3172" s="149"/>
      <c r="N3172" s="149"/>
      <c r="O3172" s="149"/>
      <c r="P3172" s="149"/>
      <c r="Q3172" s="149"/>
      <c r="R3172" s="149"/>
      <c r="S3172" s="149"/>
      <c r="T3172" s="149"/>
      <c r="U3172" s="149"/>
      <c r="V3172" s="149"/>
      <c r="W3172" s="149"/>
      <c r="X3172" s="149"/>
      <c r="Y3172" s="149"/>
      <c r="Z3172" s="149"/>
      <c r="AA3172" s="149"/>
      <c r="AB3172" s="149"/>
      <c r="AC3172" s="149"/>
      <c r="AD3172" s="149"/>
      <c r="AE3172" s="149"/>
      <c r="AF3172" s="149"/>
      <c r="AG3172" s="149"/>
      <c r="AH3172" s="149"/>
      <c r="AI3172" s="149"/>
      <c r="AJ3172" s="149"/>
      <c r="AK3172" s="149"/>
      <c r="AL3172" s="149"/>
      <c r="AM3172" s="149"/>
      <c r="AN3172" s="149"/>
      <c r="AO3172" s="128"/>
      <c r="AP3172" s="128"/>
      <c r="AQ3172" s="128"/>
      <c r="AR3172" s="128"/>
      <c r="AS3172" s="128"/>
      <c r="AT3172" s="128"/>
      <c r="AU3172" s="128"/>
      <c r="AV3172" s="128"/>
      <c r="AW3172" s="128"/>
      <c r="AX3172" s="128"/>
      <c r="AY3172" s="128"/>
      <c r="AZ3172" s="128"/>
      <c r="BA3172" s="128"/>
      <c r="BB3172" s="128"/>
      <c r="BC3172" s="128"/>
      <c r="BD3172" s="128"/>
      <c r="BE3172" s="128"/>
      <c r="BF3172" s="128"/>
      <c r="BG3172" s="128"/>
      <c r="BH3172" s="128"/>
      <c r="BI3172" s="128"/>
      <c r="BJ3172" s="128"/>
      <c r="BK3172" s="128"/>
      <c r="BL3172" s="128"/>
      <c r="BM3172" s="151"/>
      <c r="BN3172" s="128"/>
      <c r="BO3172" s="128"/>
      <c r="BP3172" s="128"/>
      <c r="BQ3172" s="128"/>
      <c r="BR3172" s="128"/>
      <c r="BS3172" s="128"/>
      <c r="BT3172" s="128"/>
      <c r="BU3172" s="128"/>
      <c r="BV3172" s="128"/>
      <c r="BW3172" s="128"/>
      <c r="BX3172" s="128"/>
      <c r="BY3172" s="128"/>
      <c r="BZ3172" s="128"/>
      <c r="CA3172" s="128"/>
      <c r="CB3172" s="128"/>
      <c r="CC3172" s="128"/>
      <c r="CD3172" s="128"/>
      <c r="CE3172" s="128"/>
      <c r="CF3172" s="128"/>
      <c r="CG3172" s="128"/>
      <c r="CI3172" s="128"/>
      <c r="CJ3172" s="128"/>
      <c r="CK3172" s="128"/>
      <c r="CL3172" s="128"/>
      <c r="CM3172" s="128"/>
      <c r="CN3172" s="128"/>
      <c r="CO3172" s="128"/>
      <c r="CP3172" s="128"/>
      <c r="CQ3172" s="128"/>
      <c r="CR3172" s="128"/>
      <c r="CS3172" s="128"/>
      <c r="CT3172" s="128"/>
      <c r="CU3172" s="128"/>
      <c r="CV3172" s="128"/>
      <c r="CW3172" s="128"/>
      <c r="CX3172" s="128"/>
      <c r="CY3172" s="128"/>
      <c r="CZ3172" s="165"/>
    </row>
    <row r="3173" spans="1:104">
      <c r="A3173" s="149"/>
      <c r="B3173" s="149"/>
      <c r="C3173" s="150"/>
      <c r="D3173" s="102"/>
      <c r="E3173" s="149"/>
      <c r="F3173" s="149"/>
      <c r="G3173" s="149"/>
      <c r="H3173" s="149"/>
      <c r="I3173" s="149"/>
      <c r="J3173" s="149"/>
      <c r="K3173" s="149"/>
      <c r="L3173" s="149"/>
      <c r="M3173" s="149"/>
      <c r="N3173" s="149"/>
      <c r="O3173" s="149"/>
      <c r="P3173" s="149"/>
      <c r="Q3173" s="149"/>
      <c r="R3173" s="149"/>
      <c r="S3173" s="149"/>
      <c r="T3173" s="149"/>
      <c r="U3173" s="149"/>
      <c r="V3173" s="149"/>
      <c r="W3173" s="149"/>
      <c r="X3173" s="149"/>
      <c r="Y3173" s="149"/>
      <c r="Z3173" s="149"/>
      <c r="AA3173" s="149"/>
      <c r="AB3173" s="149"/>
      <c r="AC3173" s="149"/>
      <c r="AD3173" s="149"/>
      <c r="AE3173" s="149"/>
      <c r="AF3173" s="149"/>
      <c r="AG3173" s="149"/>
      <c r="AH3173" s="149"/>
      <c r="AI3173" s="149"/>
      <c r="AJ3173" s="149"/>
      <c r="AK3173" s="149"/>
      <c r="AL3173" s="149"/>
      <c r="AM3173" s="149"/>
      <c r="AN3173" s="149"/>
      <c r="AO3173" s="128"/>
      <c r="AP3173" s="128"/>
      <c r="AQ3173" s="128"/>
      <c r="AR3173" s="128"/>
      <c r="AS3173" s="128"/>
      <c r="AT3173" s="128"/>
      <c r="AU3173" s="128"/>
      <c r="AV3173" s="128"/>
      <c r="AW3173" s="128"/>
      <c r="AX3173" s="128"/>
      <c r="AY3173" s="128"/>
      <c r="AZ3173" s="128"/>
      <c r="BA3173" s="128"/>
      <c r="BB3173" s="128"/>
      <c r="BC3173" s="128"/>
      <c r="BD3173" s="128"/>
      <c r="BE3173" s="128"/>
      <c r="BF3173" s="128"/>
      <c r="BG3173" s="128"/>
      <c r="BH3173" s="128"/>
      <c r="BI3173" s="128"/>
      <c r="BJ3173" s="128"/>
      <c r="BK3173" s="128"/>
      <c r="BL3173" s="128"/>
      <c r="BM3173" s="151"/>
      <c r="BN3173" s="128"/>
      <c r="BO3173" s="128"/>
      <c r="BP3173" s="128"/>
      <c r="BQ3173" s="128"/>
      <c r="BR3173" s="128"/>
      <c r="BS3173" s="128"/>
      <c r="BT3173" s="128"/>
      <c r="BU3173" s="128"/>
      <c r="BV3173" s="128"/>
      <c r="BW3173" s="128"/>
      <c r="BX3173" s="128"/>
      <c r="BY3173" s="128"/>
      <c r="BZ3173" s="128"/>
      <c r="CA3173" s="128"/>
      <c r="CB3173" s="128"/>
      <c r="CC3173" s="128"/>
      <c r="CD3173" s="128"/>
      <c r="CE3173" s="128"/>
      <c r="CF3173" s="128"/>
      <c r="CG3173" s="128"/>
      <c r="CI3173" s="128"/>
      <c r="CJ3173" s="128"/>
      <c r="CK3173" s="128"/>
      <c r="CL3173" s="128"/>
      <c r="CM3173" s="128"/>
      <c r="CN3173" s="128"/>
      <c r="CO3173" s="128"/>
      <c r="CP3173" s="128"/>
      <c r="CQ3173" s="128"/>
      <c r="CR3173" s="128"/>
      <c r="CS3173" s="128"/>
      <c r="CT3173" s="128"/>
      <c r="CU3173" s="128"/>
      <c r="CV3173" s="128"/>
      <c r="CW3173" s="128"/>
      <c r="CX3173" s="128"/>
      <c r="CY3173" s="128"/>
      <c r="CZ3173" s="165"/>
    </row>
    <row r="3174" spans="1:104">
      <c r="A3174" s="149"/>
      <c r="B3174" s="149"/>
      <c r="C3174" s="150"/>
      <c r="D3174" s="102"/>
      <c r="E3174" s="149"/>
      <c r="F3174" s="149"/>
      <c r="G3174" s="149"/>
      <c r="H3174" s="149"/>
      <c r="I3174" s="149"/>
      <c r="J3174" s="149"/>
      <c r="K3174" s="149"/>
      <c r="L3174" s="149"/>
      <c r="M3174" s="149"/>
      <c r="N3174" s="149"/>
      <c r="O3174" s="149"/>
      <c r="P3174" s="149"/>
      <c r="Q3174" s="149"/>
      <c r="R3174" s="149"/>
      <c r="S3174" s="149"/>
      <c r="T3174" s="149"/>
      <c r="U3174" s="149"/>
      <c r="V3174" s="149"/>
      <c r="W3174" s="149"/>
      <c r="X3174" s="149"/>
      <c r="Y3174" s="149"/>
      <c r="Z3174" s="149"/>
      <c r="AA3174" s="149"/>
      <c r="AB3174" s="149"/>
      <c r="AC3174" s="149"/>
      <c r="AD3174" s="149"/>
      <c r="AE3174" s="149"/>
      <c r="AF3174" s="149"/>
      <c r="AG3174" s="149"/>
      <c r="AH3174" s="149"/>
      <c r="AI3174" s="149"/>
      <c r="AJ3174" s="149"/>
      <c r="AK3174" s="149"/>
      <c r="AL3174" s="149"/>
      <c r="AM3174" s="149"/>
      <c r="AN3174" s="149"/>
      <c r="AO3174" s="128"/>
      <c r="AP3174" s="128"/>
      <c r="AQ3174" s="128"/>
      <c r="AR3174" s="128"/>
      <c r="AS3174" s="128"/>
      <c r="AT3174" s="128"/>
      <c r="AU3174" s="128"/>
      <c r="AV3174" s="128"/>
      <c r="AW3174" s="128"/>
      <c r="AX3174" s="128"/>
      <c r="AY3174" s="128"/>
      <c r="AZ3174" s="128"/>
      <c r="BA3174" s="128"/>
      <c r="BB3174" s="128"/>
      <c r="BC3174" s="128"/>
      <c r="BD3174" s="128"/>
      <c r="BE3174" s="128"/>
      <c r="BF3174" s="128"/>
      <c r="BG3174" s="128"/>
      <c r="BH3174" s="128"/>
      <c r="BI3174" s="128"/>
      <c r="BJ3174" s="128"/>
      <c r="BK3174" s="128"/>
      <c r="BL3174" s="128"/>
      <c r="BM3174" s="151"/>
      <c r="BN3174" s="128"/>
      <c r="BO3174" s="128"/>
      <c r="BP3174" s="128"/>
      <c r="BQ3174" s="128"/>
      <c r="BR3174" s="128"/>
      <c r="BS3174" s="128"/>
      <c r="BT3174" s="128"/>
      <c r="BU3174" s="128"/>
      <c r="BV3174" s="128"/>
      <c r="BW3174" s="128"/>
      <c r="BX3174" s="128"/>
      <c r="BY3174" s="128"/>
      <c r="BZ3174" s="128"/>
      <c r="CA3174" s="128"/>
      <c r="CB3174" s="128"/>
      <c r="CC3174" s="128"/>
      <c r="CD3174" s="128"/>
      <c r="CE3174" s="128"/>
      <c r="CF3174" s="128"/>
      <c r="CG3174" s="128"/>
      <c r="CI3174" s="128"/>
      <c r="CJ3174" s="128"/>
      <c r="CK3174" s="128"/>
      <c r="CL3174" s="128"/>
      <c r="CM3174" s="128"/>
      <c r="CN3174" s="128"/>
      <c r="CO3174" s="128"/>
      <c r="CP3174" s="128"/>
      <c r="CQ3174" s="128"/>
      <c r="CR3174" s="128"/>
      <c r="CS3174" s="128"/>
      <c r="CT3174" s="128"/>
      <c r="CU3174" s="128"/>
      <c r="CV3174" s="128"/>
      <c r="CW3174" s="128"/>
      <c r="CX3174" s="128"/>
      <c r="CY3174" s="128"/>
      <c r="CZ3174" s="165"/>
    </row>
    <row r="3175" spans="1:104">
      <c r="A3175" s="149"/>
      <c r="B3175" s="149"/>
      <c r="C3175" s="150"/>
      <c r="D3175" s="102"/>
      <c r="E3175" s="149"/>
      <c r="F3175" s="149"/>
      <c r="G3175" s="149"/>
      <c r="H3175" s="149"/>
      <c r="I3175" s="149"/>
      <c r="J3175" s="149"/>
      <c r="K3175" s="149"/>
      <c r="L3175" s="149"/>
      <c r="M3175" s="149"/>
      <c r="N3175" s="149"/>
      <c r="O3175" s="149"/>
      <c r="P3175" s="149"/>
      <c r="Q3175" s="149"/>
      <c r="R3175" s="149"/>
      <c r="S3175" s="149"/>
      <c r="T3175" s="149"/>
      <c r="U3175" s="149"/>
      <c r="V3175" s="149"/>
      <c r="W3175" s="149"/>
      <c r="X3175" s="149"/>
      <c r="Y3175" s="149"/>
      <c r="Z3175" s="149"/>
      <c r="AA3175" s="149"/>
      <c r="AB3175" s="149"/>
      <c r="AC3175" s="149"/>
      <c r="AD3175" s="149"/>
      <c r="AE3175" s="149"/>
      <c r="AF3175" s="149"/>
      <c r="AG3175" s="149"/>
      <c r="AH3175" s="149"/>
      <c r="AI3175" s="149"/>
      <c r="AJ3175" s="149"/>
      <c r="AK3175" s="149"/>
      <c r="AL3175" s="149"/>
      <c r="AM3175" s="149"/>
      <c r="AN3175" s="149"/>
      <c r="AO3175" s="128"/>
      <c r="AP3175" s="128"/>
      <c r="AQ3175" s="128"/>
      <c r="AR3175" s="128"/>
      <c r="AS3175" s="128"/>
      <c r="AT3175" s="128"/>
      <c r="AU3175" s="128"/>
      <c r="AV3175" s="128"/>
      <c r="AW3175" s="128"/>
      <c r="AX3175" s="128"/>
      <c r="AY3175" s="128"/>
      <c r="AZ3175" s="128"/>
      <c r="BA3175" s="128"/>
      <c r="BB3175" s="128"/>
      <c r="BC3175" s="128"/>
      <c r="BD3175" s="128"/>
      <c r="BE3175" s="128"/>
      <c r="BF3175" s="128"/>
      <c r="BG3175" s="128"/>
      <c r="BH3175" s="128"/>
      <c r="BI3175" s="128"/>
      <c r="BJ3175" s="128"/>
      <c r="BK3175" s="128"/>
      <c r="BL3175" s="128"/>
      <c r="BM3175" s="151"/>
      <c r="BN3175" s="128"/>
      <c r="BO3175" s="128"/>
      <c r="BP3175" s="128"/>
      <c r="BQ3175" s="128"/>
      <c r="BR3175" s="128"/>
      <c r="BS3175" s="128"/>
      <c r="BT3175" s="128"/>
      <c r="BU3175" s="128"/>
      <c r="BV3175" s="128"/>
      <c r="BW3175" s="128"/>
      <c r="BX3175" s="128"/>
      <c r="BY3175" s="128"/>
      <c r="BZ3175" s="128"/>
      <c r="CA3175" s="128"/>
      <c r="CB3175" s="128"/>
      <c r="CC3175" s="128"/>
      <c r="CD3175" s="128"/>
      <c r="CE3175" s="128"/>
      <c r="CF3175" s="128"/>
      <c r="CG3175" s="128"/>
      <c r="CI3175" s="128"/>
      <c r="CJ3175" s="128"/>
      <c r="CK3175" s="128"/>
      <c r="CL3175" s="128"/>
      <c r="CM3175" s="128"/>
      <c r="CN3175" s="128"/>
      <c r="CO3175" s="128"/>
      <c r="CP3175" s="128"/>
      <c r="CQ3175" s="128"/>
      <c r="CR3175" s="128"/>
      <c r="CS3175" s="128"/>
      <c r="CT3175" s="128"/>
      <c r="CU3175" s="128"/>
      <c r="CV3175" s="128"/>
      <c r="CW3175" s="128"/>
      <c r="CX3175" s="128"/>
      <c r="CY3175" s="128"/>
      <c r="CZ3175" s="165"/>
    </row>
    <row r="3176" spans="1:104">
      <c r="A3176" s="149"/>
      <c r="B3176" s="149"/>
      <c r="C3176" s="150"/>
      <c r="D3176" s="102"/>
      <c r="E3176" s="149"/>
      <c r="F3176" s="149"/>
      <c r="G3176" s="149"/>
      <c r="H3176" s="149"/>
      <c r="I3176" s="149"/>
      <c r="J3176" s="149"/>
      <c r="K3176" s="149"/>
      <c r="L3176" s="149"/>
      <c r="M3176" s="149"/>
      <c r="N3176" s="149"/>
      <c r="O3176" s="149"/>
      <c r="P3176" s="149"/>
      <c r="Q3176" s="149"/>
      <c r="R3176" s="149"/>
      <c r="S3176" s="149"/>
      <c r="T3176" s="149"/>
      <c r="U3176" s="149"/>
      <c r="V3176" s="149"/>
      <c r="W3176" s="149"/>
      <c r="X3176" s="149"/>
      <c r="Y3176" s="149"/>
      <c r="Z3176" s="149"/>
      <c r="AA3176" s="149"/>
      <c r="AB3176" s="149"/>
      <c r="AC3176" s="149"/>
      <c r="AD3176" s="149"/>
      <c r="AE3176" s="149"/>
      <c r="AF3176" s="149"/>
      <c r="AG3176" s="149"/>
      <c r="AH3176" s="149"/>
      <c r="AI3176" s="149"/>
      <c r="AJ3176" s="149"/>
      <c r="AK3176" s="149"/>
      <c r="AL3176" s="149"/>
      <c r="AM3176" s="149"/>
      <c r="AN3176" s="149"/>
      <c r="AO3176" s="128"/>
      <c r="AP3176" s="128"/>
      <c r="AQ3176" s="128"/>
      <c r="AR3176" s="128"/>
      <c r="AS3176" s="128"/>
      <c r="AT3176" s="128"/>
      <c r="AU3176" s="128"/>
      <c r="AV3176" s="128"/>
      <c r="AW3176" s="128"/>
      <c r="AX3176" s="128"/>
      <c r="AY3176" s="128"/>
      <c r="AZ3176" s="128"/>
      <c r="BA3176" s="128"/>
      <c r="BB3176" s="128"/>
      <c r="BC3176" s="128"/>
      <c r="BD3176" s="128"/>
      <c r="BE3176" s="128"/>
      <c r="BF3176" s="128"/>
      <c r="BG3176" s="128"/>
      <c r="BH3176" s="128"/>
      <c r="BI3176" s="128"/>
      <c r="BJ3176" s="128"/>
      <c r="BK3176" s="128"/>
      <c r="BL3176" s="128"/>
      <c r="BM3176" s="151"/>
      <c r="BN3176" s="128"/>
      <c r="BO3176" s="128"/>
      <c r="BP3176" s="128"/>
      <c r="BQ3176" s="128"/>
      <c r="BR3176" s="128"/>
      <c r="BS3176" s="128"/>
      <c r="BT3176" s="128"/>
      <c r="BU3176" s="128"/>
      <c r="BV3176" s="128"/>
      <c r="BW3176" s="128"/>
      <c r="BX3176" s="128"/>
      <c r="BY3176" s="128"/>
      <c r="BZ3176" s="128"/>
      <c r="CA3176" s="128"/>
      <c r="CB3176" s="128"/>
      <c r="CC3176" s="128"/>
      <c r="CD3176" s="128"/>
      <c r="CE3176" s="128"/>
      <c r="CF3176" s="128"/>
      <c r="CG3176" s="128"/>
      <c r="CI3176" s="128"/>
      <c r="CJ3176" s="128"/>
      <c r="CK3176" s="128"/>
      <c r="CL3176" s="128"/>
      <c r="CM3176" s="128"/>
      <c r="CN3176" s="128"/>
      <c r="CO3176" s="128"/>
      <c r="CP3176" s="128"/>
      <c r="CQ3176" s="128"/>
      <c r="CR3176" s="128"/>
      <c r="CS3176" s="128"/>
      <c r="CT3176" s="128"/>
      <c r="CU3176" s="128"/>
      <c r="CV3176" s="128"/>
      <c r="CW3176" s="128"/>
      <c r="CX3176" s="128"/>
      <c r="CY3176" s="128"/>
      <c r="CZ3176" s="165"/>
    </row>
    <row r="3177" spans="1:104">
      <c r="A3177" s="149"/>
      <c r="B3177" s="149"/>
      <c r="C3177" s="150"/>
      <c r="D3177" s="102"/>
      <c r="E3177" s="149"/>
      <c r="F3177" s="149"/>
      <c r="G3177" s="149"/>
      <c r="H3177" s="149"/>
      <c r="I3177" s="149"/>
      <c r="J3177" s="149"/>
      <c r="K3177" s="149"/>
      <c r="L3177" s="149"/>
      <c r="M3177" s="149"/>
      <c r="N3177" s="149"/>
      <c r="O3177" s="149"/>
      <c r="P3177" s="149"/>
      <c r="Q3177" s="149"/>
      <c r="R3177" s="149"/>
      <c r="S3177" s="149"/>
      <c r="T3177" s="149"/>
      <c r="U3177" s="149"/>
      <c r="V3177" s="149"/>
      <c r="W3177" s="149"/>
      <c r="X3177" s="149"/>
      <c r="Y3177" s="149"/>
      <c r="Z3177" s="149"/>
      <c r="AA3177" s="149"/>
      <c r="AB3177" s="149"/>
      <c r="AC3177" s="149"/>
      <c r="AD3177" s="149"/>
      <c r="AE3177" s="149"/>
      <c r="AF3177" s="149"/>
      <c r="AG3177" s="149"/>
      <c r="AH3177" s="149"/>
      <c r="AI3177" s="149"/>
      <c r="AJ3177" s="149"/>
      <c r="AK3177" s="149"/>
      <c r="AL3177" s="149"/>
      <c r="AM3177" s="149"/>
      <c r="AN3177" s="149"/>
      <c r="AO3177" s="128"/>
      <c r="AP3177" s="128"/>
      <c r="AQ3177" s="128"/>
      <c r="AR3177" s="128"/>
      <c r="AS3177" s="128"/>
      <c r="AT3177" s="128"/>
      <c r="AU3177" s="128"/>
      <c r="AV3177" s="128"/>
      <c r="AW3177" s="128"/>
      <c r="AX3177" s="128"/>
      <c r="AY3177" s="128"/>
      <c r="AZ3177" s="128"/>
      <c r="BA3177" s="128"/>
      <c r="BB3177" s="128"/>
      <c r="BC3177" s="128"/>
      <c r="BD3177" s="128"/>
      <c r="BE3177" s="128"/>
      <c r="BF3177" s="128"/>
      <c r="BG3177" s="128"/>
      <c r="BH3177" s="128"/>
      <c r="BI3177" s="128"/>
      <c r="BJ3177" s="128"/>
      <c r="BK3177" s="128"/>
      <c r="BL3177" s="128"/>
      <c r="BM3177" s="151"/>
      <c r="BN3177" s="128"/>
      <c r="BO3177" s="128"/>
      <c r="BP3177" s="128"/>
      <c r="BQ3177" s="128"/>
      <c r="BR3177" s="128"/>
      <c r="BS3177" s="128"/>
      <c r="BT3177" s="128"/>
      <c r="BU3177" s="128"/>
      <c r="BV3177" s="128"/>
      <c r="BW3177" s="128"/>
      <c r="BX3177" s="128"/>
      <c r="BY3177" s="128"/>
      <c r="BZ3177" s="128"/>
      <c r="CA3177" s="128"/>
      <c r="CB3177" s="128"/>
      <c r="CC3177" s="128"/>
      <c r="CD3177" s="128"/>
      <c r="CE3177" s="128"/>
      <c r="CF3177" s="128"/>
      <c r="CG3177" s="128"/>
      <c r="CI3177" s="128"/>
      <c r="CJ3177" s="128"/>
      <c r="CK3177" s="128"/>
      <c r="CL3177" s="128"/>
      <c r="CM3177" s="128"/>
      <c r="CN3177" s="128"/>
      <c r="CO3177" s="128"/>
      <c r="CP3177" s="128"/>
      <c r="CQ3177" s="128"/>
      <c r="CR3177" s="128"/>
      <c r="CS3177" s="128"/>
      <c r="CT3177" s="128"/>
      <c r="CU3177" s="128"/>
      <c r="CV3177" s="128"/>
      <c r="CW3177" s="128"/>
      <c r="CX3177" s="128"/>
      <c r="CY3177" s="128"/>
      <c r="CZ3177" s="165"/>
    </row>
    <row r="3178" spans="1:104">
      <c r="A3178" s="149"/>
      <c r="B3178" s="149"/>
      <c r="C3178" s="150"/>
      <c r="D3178" s="102"/>
      <c r="E3178" s="149"/>
      <c r="F3178" s="149"/>
      <c r="G3178" s="149"/>
      <c r="H3178" s="149"/>
      <c r="I3178" s="149"/>
      <c r="J3178" s="149"/>
      <c r="K3178" s="149"/>
      <c r="L3178" s="149"/>
      <c r="M3178" s="149"/>
      <c r="N3178" s="149"/>
      <c r="O3178" s="149"/>
      <c r="P3178" s="149"/>
      <c r="Q3178" s="149"/>
      <c r="R3178" s="149"/>
      <c r="S3178" s="149"/>
      <c r="T3178" s="149"/>
      <c r="U3178" s="149"/>
      <c r="V3178" s="149"/>
      <c r="W3178" s="149"/>
      <c r="X3178" s="149"/>
      <c r="Y3178" s="149"/>
      <c r="Z3178" s="149"/>
      <c r="AA3178" s="149"/>
      <c r="AB3178" s="149"/>
      <c r="AC3178" s="149"/>
      <c r="AD3178" s="149"/>
      <c r="AE3178" s="149"/>
      <c r="AF3178" s="149"/>
      <c r="AG3178" s="149"/>
      <c r="AH3178" s="149"/>
      <c r="AI3178" s="149"/>
      <c r="AJ3178" s="149"/>
      <c r="AK3178" s="149"/>
      <c r="AL3178" s="149"/>
      <c r="AM3178" s="149"/>
      <c r="AN3178" s="149"/>
      <c r="AO3178" s="128"/>
      <c r="AP3178" s="128"/>
      <c r="AQ3178" s="128"/>
      <c r="AR3178" s="128"/>
      <c r="AS3178" s="128"/>
      <c r="AT3178" s="128"/>
      <c r="AU3178" s="128"/>
      <c r="AV3178" s="128"/>
      <c r="AW3178" s="128"/>
      <c r="AX3178" s="128"/>
      <c r="AY3178" s="128"/>
      <c r="AZ3178" s="128"/>
      <c r="BA3178" s="128"/>
      <c r="BB3178" s="128"/>
      <c r="BC3178" s="128"/>
      <c r="BD3178" s="128"/>
      <c r="BE3178" s="128"/>
      <c r="BF3178" s="128"/>
      <c r="BG3178" s="128"/>
      <c r="BH3178" s="128"/>
      <c r="BI3178" s="128"/>
      <c r="BJ3178" s="128"/>
      <c r="BK3178" s="128"/>
      <c r="BL3178" s="128"/>
      <c r="BM3178" s="151"/>
      <c r="BN3178" s="128"/>
      <c r="BO3178" s="128"/>
      <c r="BP3178" s="128"/>
      <c r="BQ3178" s="128"/>
      <c r="BR3178" s="128"/>
      <c r="BS3178" s="128"/>
      <c r="BT3178" s="128"/>
      <c r="BU3178" s="128"/>
      <c r="BV3178" s="128"/>
      <c r="BW3178" s="128"/>
      <c r="BX3178" s="128"/>
      <c r="BY3178" s="128"/>
      <c r="BZ3178" s="128"/>
      <c r="CA3178" s="128"/>
      <c r="CB3178" s="128"/>
      <c r="CC3178" s="128"/>
      <c r="CD3178" s="128"/>
      <c r="CE3178" s="128"/>
      <c r="CF3178" s="128"/>
      <c r="CG3178" s="128"/>
      <c r="CI3178" s="128"/>
      <c r="CJ3178" s="128"/>
      <c r="CK3178" s="128"/>
      <c r="CL3178" s="128"/>
      <c r="CM3178" s="128"/>
      <c r="CN3178" s="128"/>
      <c r="CO3178" s="128"/>
      <c r="CP3178" s="128"/>
      <c r="CQ3178" s="128"/>
      <c r="CR3178" s="128"/>
      <c r="CS3178" s="128"/>
      <c r="CT3178" s="128"/>
      <c r="CU3178" s="128"/>
      <c r="CV3178" s="128"/>
      <c r="CW3178" s="128"/>
      <c r="CX3178" s="128"/>
      <c r="CY3178" s="128"/>
      <c r="CZ3178" s="165"/>
    </row>
    <row r="3179" spans="1:104">
      <c r="A3179" s="149"/>
      <c r="B3179" s="149"/>
      <c r="C3179" s="150"/>
      <c r="D3179" s="102"/>
      <c r="E3179" s="149"/>
      <c r="F3179" s="149"/>
      <c r="G3179" s="149"/>
      <c r="H3179" s="149"/>
      <c r="I3179" s="149"/>
      <c r="J3179" s="149"/>
      <c r="K3179" s="149"/>
      <c r="L3179" s="149"/>
      <c r="M3179" s="149"/>
      <c r="N3179" s="149"/>
      <c r="O3179" s="149"/>
      <c r="P3179" s="149"/>
      <c r="Q3179" s="149"/>
      <c r="R3179" s="149"/>
      <c r="S3179" s="149"/>
      <c r="T3179" s="149"/>
      <c r="U3179" s="149"/>
      <c r="V3179" s="149"/>
      <c r="W3179" s="149"/>
      <c r="X3179" s="149"/>
      <c r="Y3179" s="149"/>
      <c r="Z3179" s="149"/>
      <c r="AA3179" s="149"/>
      <c r="AB3179" s="149"/>
      <c r="AC3179" s="149"/>
      <c r="AD3179" s="149"/>
      <c r="AE3179" s="149"/>
      <c r="AF3179" s="149"/>
      <c r="AG3179" s="149"/>
      <c r="AH3179" s="149"/>
      <c r="AI3179" s="149"/>
      <c r="AJ3179" s="149"/>
      <c r="AK3179" s="149"/>
      <c r="AL3179" s="149"/>
      <c r="AM3179" s="149"/>
      <c r="AN3179" s="149"/>
      <c r="AO3179" s="128"/>
      <c r="AP3179" s="128"/>
      <c r="AQ3179" s="128"/>
      <c r="AR3179" s="128"/>
      <c r="AS3179" s="128"/>
      <c r="AT3179" s="128"/>
      <c r="AU3179" s="128"/>
      <c r="AV3179" s="128"/>
      <c r="AW3179" s="128"/>
      <c r="AX3179" s="128"/>
      <c r="AY3179" s="128"/>
      <c r="AZ3179" s="128"/>
      <c r="BA3179" s="128"/>
      <c r="BB3179" s="128"/>
      <c r="BC3179" s="128"/>
      <c r="BD3179" s="128"/>
      <c r="BE3179" s="128"/>
      <c r="BF3179" s="128"/>
      <c r="BG3179" s="128"/>
      <c r="BH3179" s="128"/>
      <c r="BI3179" s="128"/>
      <c r="BJ3179" s="128"/>
      <c r="BK3179" s="128"/>
      <c r="BL3179" s="128"/>
      <c r="BM3179" s="151"/>
      <c r="BN3179" s="128"/>
      <c r="BO3179" s="128"/>
      <c r="BP3179" s="128"/>
      <c r="BQ3179" s="128"/>
      <c r="BR3179" s="128"/>
      <c r="BS3179" s="128"/>
      <c r="BT3179" s="128"/>
      <c r="BU3179" s="128"/>
      <c r="BV3179" s="128"/>
      <c r="BW3179" s="128"/>
      <c r="BX3179" s="128"/>
      <c r="BY3179" s="128"/>
      <c r="BZ3179" s="128"/>
      <c r="CA3179" s="128"/>
      <c r="CB3179" s="128"/>
      <c r="CC3179" s="128"/>
      <c r="CD3179" s="128"/>
      <c r="CE3179" s="128"/>
      <c r="CF3179" s="128"/>
      <c r="CG3179" s="128"/>
      <c r="CI3179" s="128"/>
      <c r="CJ3179" s="128"/>
      <c r="CK3179" s="128"/>
      <c r="CL3179" s="128"/>
      <c r="CM3179" s="128"/>
      <c r="CN3179" s="128"/>
      <c r="CO3179" s="128"/>
      <c r="CP3179" s="128"/>
      <c r="CQ3179" s="128"/>
      <c r="CR3179" s="128"/>
      <c r="CS3179" s="128"/>
      <c r="CT3179" s="128"/>
      <c r="CU3179" s="128"/>
      <c r="CV3179" s="128"/>
      <c r="CW3179" s="128"/>
      <c r="CX3179" s="128"/>
      <c r="CY3179" s="128"/>
      <c r="CZ3179" s="165"/>
    </row>
    <row r="3180" spans="1:104">
      <c r="A3180" s="149"/>
      <c r="B3180" s="149"/>
      <c r="C3180" s="150"/>
      <c r="D3180" s="102"/>
      <c r="E3180" s="149"/>
      <c r="F3180" s="149"/>
      <c r="G3180" s="149"/>
      <c r="H3180" s="149"/>
      <c r="I3180" s="149"/>
      <c r="J3180" s="149"/>
      <c r="K3180" s="149"/>
      <c r="L3180" s="149"/>
      <c r="M3180" s="149"/>
      <c r="N3180" s="149"/>
      <c r="O3180" s="149"/>
      <c r="P3180" s="149"/>
      <c r="Q3180" s="149"/>
      <c r="R3180" s="149"/>
      <c r="S3180" s="149"/>
      <c r="T3180" s="149"/>
      <c r="U3180" s="149"/>
      <c r="V3180" s="149"/>
      <c r="W3180" s="149"/>
      <c r="X3180" s="149"/>
      <c r="Y3180" s="149"/>
      <c r="Z3180" s="149"/>
      <c r="AA3180" s="149"/>
      <c r="AB3180" s="149"/>
      <c r="AC3180" s="149"/>
      <c r="AD3180" s="149"/>
      <c r="AE3180" s="149"/>
      <c r="AF3180" s="149"/>
      <c r="AG3180" s="149"/>
      <c r="AH3180" s="149"/>
      <c r="AI3180" s="149"/>
      <c r="AJ3180" s="149"/>
      <c r="AK3180" s="149"/>
      <c r="AL3180" s="149"/>
      <c r="AM3180" s="149"/>
      <c r="AN3180" s="149"/>
      <c r="AO3180" s="128"/>
      <c r="AP3180" s="128"/>
      <c r="AQ3180" s="128"/>
      <c r="AR3180" s="128"/>
      <c r="AS3180" s="128"/>
      <c r="AT3180" s="128"/>
      <c r="AU3180" s="128"/>
      <c r="AV3180" s="128"/>
      <c r="AW3180" s="128"/>
      <c r="AX3180" s="128"/>
      <c r="AY3180" s="128"/>
      <c r="AZ3180" s="128"/>
      <c r="BA3180" s="128"/>
      <c r="BB3180" s="128"/>
      <c r="BC3180" s="128"/>
      <c r="BD3180" s="128"/>
      <c r="BE3180" s="128"/>
      <c r="BF3180" s="128"/>
      <c r="BG3180" s="128"/>
      <c r="BH3180" s="128"/>
      <c r="BI3180" s="128"/>
      <c r="BJ3180" s="128"/>
      <c r="BK3180" s="128"/>
      <c r="BL3180" s="128"/>
      <c r="BM3180" s="151"/>
      <c r="BN3180" s="128"/>
      <c r="BO3180" s="128"/>
      <c r="BP3180" s="128"/>
      <c r="BQ3180" s="128"/>
      <c r="BR3180" s="128"/>
      <c r="BS3180" s="128"/>
      <c r="BT3180" s="128"/>
      <c r="BU3180" s="128"/>
      <c r="BV3180" s="128"/>
      <c r="BW3180" s="128"/>
      <c r="BX3180" s="128"/>
      <c r="BY3180" s="128"/>
      <c r="BZ3180" s="128"/>
      <c r="CA3180" s="128"/>
      <c r="CB3180" s="128"/>
      <c r="CC3180" s="128"/>
      <c r="CD3180" s="128"/>
      <c r="CE3180" s="128"/>
      <c r="CF3180" s="128"/>
      <c r="CG3180" s="128"/>
      <c r="CI3180" s="128"/>
      <c r="CJ3180" s="128"/>
      <c r="CK3180" s="128"/>
      <c r="CL3180" s="128"/>
      <c r="CM3180" s="128"/>
      <c r="CN3180" s="128"/>
      <c r="CO3180" s="128"/>
      <c r="CP3180" s="128"/>
      <c r="CQ3180" s="128"/>
      <c r="CR3180" s="128"/>
      <c r="CS3180" s="128"/>
      <c r="CT3180" s="128"/>
      <c r="CU3180" s="128"/>
      <c r="CV3180" s="128"/>
      <c r="CW3180" s="128"/>
      <c r="CX3180" s="128"/>
      <c r="CY3180" s="128"/>
      <c r="CZ3180" s="165"/>
    </row>
    <row r="3181" spans="1:104">
      <c r="A3181" s="149"/>
      <c r="B3181" s="149"/>
      <c r="C3181" s="150"/>
      <c r="D3181" s="102"/>
      <c r="E3181" s="149"/>
      <c r="F3181" s="149"/>
      <c r="G3181" s="149"/>
      <c r="H3181" s="149"/>
      <c r="I3181" s="149"/>
      <c r="J3181" s="149"/>
      <c r="K3181" s="149"/>
      <c r="L3181" s="149"/>
      <c r="M3181" s="149"/>
      <c r="N3181" s="149"/>
      <c r="O3181" s="149"/>
      <c r="P3181" s="149"/>
      <c r="Q3181" s="149"/>
      <c r="R3181" s="149"/>
      <c r="S3181" s="149"/>
      <c r="T3181" s="149"/>
      <c r="U3181" s="149"/>
      <c r="V3181" s="149"/>
      <c r="W3181" s="149"/>
      <c r="X3181" s="149"/>
      <c r="Y3181" s="149"/>
      <c r="Z3181" s="149"/>
      <c r="AA3181" s="149"/>
      <c r="AB3181" s="149"/>
      <c r="AC3181" s="149"/>
      <c r="AD3181" s="149"/>
      <c r="AE3181" s="149"/>
      <c r="AF3181" s="149"/>
      <c r="AG3181" s="149"/>
      <c r="AH3181" s="149"/>
      <c r="AI3181" s="149"/>
      <c r="AJ3181" s="149"/>
      <c r="AK3181" s="149"/>
      <c r="AL3181" s="149"/>
      <c r="AM3181" s="149"/>
      <c r="AN3181" s="149"/>
      <c r="AO3181" s="128"/>
      <c r="AP3181" s="128"/>
      <c r="AQ3181" s="128"/>
      <c r="AR3181" s="128"/>
      <c r="AS3181" s="128"/>
      <c r="AT3181" s="128"/>
      <c r="AU3181" s="128"/>
      <c r="AV3181" s="128"/>
      <c r="AW3181" s="128"/>
      <c r="AX3181" s="128"/>
      <c r="AY3181" s="128"/>
      <c r="AZ3181" s="128"/>
      <c r="BA3181" s="128"/>
      <c r="BB3181" s="128"/>
      <c r="BC3181" s="128"/>
      <c r="BD3181" s="128"/>
      <c r="BE3181" s="128"/>
      <c r="BF3181" s="128"/>
      <c r="BG3181" s="128"/>
      <c r="BH3181" s="128"/>
      <c r="BI3181" s="128"/>
      <c r="BJ3181" s="128"/>
      <c r="BK3181" s="128"/>
      <c r="BL3181" s="128"/>
      <c r="BM3181" s="151"/>
      <c r="BN3181" s="128"/>
      <c r="BO3181" s="128"/>
      <c r="BP3181" s="128"/>
      <c r="BQ3181" s="128"/>
      <c r="BR3181" s="128"/>
      <c r="BS3181" s="128"/>
      <c r="BT3181" s="128"/>
      <c r="BU3181" s="128"/>
      <c r="BV3181" s="128"/>
      <c r="BW3181" s="128"/>
      <c r="BX3181" s="128"/>
      <c r="BY3181" s="128"/>
      <c r="BZ3181" s="128"/>
      <c r="CA3181" s="128"/>
      <c r="CB3181" s="128"/>
      <c r="CC3181" s="128"/>
      <c r="CD3181" s="128"/>
      <c r="CE3181" s="128"/>
      <c r="CF3181" s="128"/>
      <c r="CG3181" s="128"/>
      <c r="CI3181" s="128"/>
      <c r="CJ3181" s="128"/>
      <c r="CK3181" s="128"/>
      <c r="CL3181" s="128"/>
      <c r="CM3181" s="128"/>
      <c r="CN3181" s="128"/>
      <c r="CO3181" s="128"/>
      <c r="CP3181" s="128"/>
      <c r="CQ3181" s="128"/>
      <c r="CR3181" s="128"/>
      <c r="CS3181" s="128"/>
      <c r="CT3181" s="128"/>
      <c r="CU3181" s="128"/>
      <c r="CV3181" s="128"/>
      <c r="CW3181" s="128"/>
      <c r="CX3181" s="128"/>
      <c r="CY3181" s="128"/>
      <c r="CZ3181" s="165"/>
    </row>
    <row r="3182" spans="1:104">
      <c r="A3182" s="149"/>
      <c r="B3182" s="149"/>
      <c r="C3182" s="150"/>
      <c r="D3182" s="102"/>
      <c r="E3182" s="149"/>
      <c r="F3182" s="149"/>
      <c r="G3182" s="149"/>
      <c r="H3182" s="149"/>
      <c r="I3182" s="149"/>
      <c r="J3182" s="149"/>
      <c r="K3182" s="149"/>
      <c r="L3182" s="149"/>
      <c r="M3182" s="149"/>
      <c r="N3182" s="149"/>
      <c r="O3182" s="149"/>
      <c r="P3182" s="149"/>
      <c r="Q3182" s="149"/>
      <c r="R3182" s="149"/>
      <c r="S3182" s="149"/>
      <c r="T3182" s="149"/>
      <c r="U3182" s="149"/>
      <c r="V3182" s="149"/>
      <c r="W3182" s="149"/>
      <c r="X3182" s="149"/>
      <c r="Y3182" s="149"/>
      <c r="Z3182" s="149"/>
      <c r="AA3182" s="149"/>
      <c r="AB3182" s="149"/>
      <c r="AC3182" s="149"/>
      <c r="AD3182" s="149"/>
      <c r="AE3182" s="149"/>
      <c r="AF3182" s="149"/>
      <c r="AG3182" s="149"/>
      <c r="AH3182" s="149"/>
      <c r="AI3182" s="149"/>
      <c r="AJ3182" s="149"/>
      <c r="AK3182" s="149"/>
      <c r="AL3182" s="149"/>
      <c r="AM3182" s="149"/>
      <c r="AN3182" s="149"/>
      <c r="AO3182" s="128"/>
      <c r="AP3182" s="128"/>
      <c r="AQ3182" s="128"/>
      <c r="AR3182" s="128"/>
      <c r="AS3182" s="128"/>
      <c r="AT3182" s="128"/>
      <c r="AU3182" s="128"/>
      <c r="AV3182" s="128"/>
      <c r="AW3182" s="128"/>
      <c r="AX3182" s="128"/>
      <c r="AY3182" s="128"/>
      <c r="AZ3182" s="128"/>
      <c r="BA3182" s="128"/>
      <c r="BB3182" s="128"/>
      <c r="BC3182" s="128"/>
      <c r="BD3182" s="128"/>
      <c r="BE3182" s="128"/>
      <c r="BF3182" s="128"/>
      <c r="BG3182" s="128"/>
      <c r="BH3182" s="128"/>
      <c r="BI3182" s="128"/>
      <c r="BJ3182" s="128"/>
      <c r="BK3182" s="128"/>
      <c r="BL3182" s="128"/>
      <c r="BM3182" s="151"/>
      <c r="BN3182" s="128"/>
      <c r="BO3182" s="128"/>
      <c r="BP3182" s="128"/>
      <c r="BQ3182" s="128"/>
      <c r="BR3182" s="128"/>
      <c r="BS3182" s="128"/>
      <c r="BT3182" s="128"/>
      <c r="BU3182" s="128"/>
      <c r="BV3182" s="128"/>
      <c r="BW3182" s="128"/>
      <c r="BX3182" s="128"/>
      <c r="BY3182" s="128"/>
      <c r="BZ3182" s="128"/>
      <c r="CA3182" s="128"/>
      <c r="CB3182" s="128"/>
      <c r="CC3182" s="128"/>
      <c r="CD3182" s="128"/>
      <c r="CE3182" s="128"/>
      <c r="CF3182" s="128"/>
      <c r="CG3182" s="128"/>
      <c r="CI3182" s="128"/>
      <c r="CJ3182" s="128"/>
      <c r="CK3182" s="128"/>
      <c r="CL3182" s="128"/>
      <c r="CM3182" s="128"/>
      <c r="CN3182" s="128"/>
      <c r="CO3182" s="128"/>
      <c r="CP3182" s="128"/>
      <c r="CQ3182" s="128"/>
      <c r="CR3182" s="128"/>
      <c r="CS3182" s="128"/>
      <c r="CT3182" s="128"/>
      <c r="CU3182" s="128"/>
      <c r="CV3182" s="128"/>
      <c r="CW3182" s="128"/>
      <c r="CX3182" s="128"/>
      <c r="CY3182" s="128"/>
      <c r="CZ3182" s="165"/>
    </row>
    <row r="3183" spans="1:104">
      <c r="A3183" s="149"/>
      <c r="B3183" s="149"/>
      <c r="C3183" s="150"/>
      <c r="D3183" s="102"/>
      <c r="E3183" s="149"/>
      <c r="F3183" s="149"/>
      <c r="G3183" s="149"/>
      <c r="H3183" s="149"/>
      <c r="I3183" s="149"/>
      <c r="J3183" s="149"/>
      <c r="K3183" s="149"/>
      <c r="L3183" s="149"/>
      <c r="M3183" s="149"/>
      <c r="N3183" s="149"/>
      <c r="O3183" s="149"/>
      <c r="P3183" s="149"/>
      <c r="Q3183" s="149"/>
      <c r="R3183" s="149"/>
      <c r="S3183" s="149"/>
      <c r="T3183" s="149"/>
      <c r="U3183" s="149"/>
      <c r="V3183" s="149"/>
      <c r="W3183" s="149"/>
      <c r="X3183" s="149"/>
      <c r="Y3183" s="149"/>
      <c r="Z3183" s="149"/>
      <c r="AA3183" s="149"/>
      <c r="AB3183" s="149"/>
      <c r="AC3183" s="149"/>
      <c r="AD3183" s="149"/>
      <c r="AE3183" s="149"/>
      <c r="AF3183" s="149"/>
      <c r="AG3183" s="149"/>
      <c r="AH3183" s="149"/>
      <c r="AI3183" s="149"/>
      <c r="AJ3183" s="149"/>
      <c r="AK3183" s="149"/>
      <c r="AL3183" s="149"/>
      <c r="AM3183" s="149"/>
      <c r="AN3183" s="149"/>
      <c r="AO3183" s="128"/>
      <c r="AP3183" s="128"/>
      <c r="AQ3183" s="128"/>
      <c r="AR3183" s="128"/>
      <c r="AS3183" s="128"/>
      <c r="AT3183" s="128"/>
      <c r="AU3183" s="128"/>
      <c r="AV3183" s="128"/>
      <c r="AW3183" s="128"/>
      <c r="AX3183" s="128"/>
      <c r="AY3183" s="128"/>
      <c r="AZ3183" s="128"/>
      <c r="BA3183" s="128"/>
      <c r="BB3183" s="128"/>
      <c r="BC3183" s="128"/>
      <c r="BD3183" s="128"/>
      <c r="BE3183" s="128"/>
      <c r="BF3183" s="128"/>
      <c r="BG3183" s="128"/>
      <c r="BH3183" s="128"/>
      <c r="BI3183" s="128"/>
      <c r="BJ3183" s="128"/>
      <c r="BK3183" s="128"/>
      <c r="BL3183" s="128"/>
      <c r="BM3183" s="151"/>
      <c r="BN3183" s="128"/>
      <c r="BO3183" s="128"/>
      <c r="BP3183" s="128"/>
      <c r="BQ3183" s="128"/>
      <c r="BR3183" s="128"/>
      <c r="BS3183" s="128"/>
      <c r="BT3183" s="128"/>
      <c r="BU3183" s="128"/>
      <c r="BV3183" s="128"/>
      <c r="BW3183" s="128"/>
      <c r="BX3183" s="128"/>
      <c r="BY3183" s="128"/>
      <c r="BZ3183" s="128"/>
      <c r="CA3183" s="128"/>
      <c r="CB3183" s="128"/>
      <c r="CC3183" s="128"/>
      <c r="CD3183" s="128"/>
      <c r="CE3183" s="128"/>
      <c r="CF3183" s="128"/>
      <c r="CG3183" s="128"/>
      <c r="CI3183" s="128"/>
      <c r="CJ3183" s="128"/>
      <c r="CK3183" s="128"/>
      <c r="CL3183" s="128"/>
      <c r="CM3183" s="128"/>
      <c r="CN3183" s="128"/>
      <c r="CO3183" s="128"/>
      <c r="CP3183" s="128"/>
      <c r="CQ3183" s="128"/>
      <c r="CR3183" s="128"/>
      <c r="CS3183" s="128"/>
      <c r="CT3183" s="128"/>
      <c r="CU3183" s="128"/>
      <c r="CV3183" s="128"/>
      <c r="CW3183" s="128"/>
      <c r="CX3183" s="128"/>
      <c r="CY3183" s="128"/>
      <c r="CZ3183" s="165"/>
    </row>
    <row r="3184" spans="1:104">
      <c r="A3184" s="149"/>
      <c r="B3184" s="149"/>
      <c r="C3184" s="150"/>
      <c r="D3184" s="102"/>
      <c r="E3184" s="149"/>
      <c r="F3184" s="149"/>
      <c r="G3184" s="149"/>
      <c r="H3184" s="149"/>
      <c r="I3184" s="149"/>
      <c r="J3184" s="149"/>
      <c r="K3184" s="149"/>
      <c r="L3184" s="149"/>
      <c r="M3184" s="149"/>
      <c r="N3184" s="149"/>
      <c r="O3184" s="149"/>
      <c r="P3184" s="149"/>
      <c r="Q3184" s="149"/>
      <c r="R3184" s="149"/>
      <c r="S3184" s="149"/>
      <c r="T3184" s="149"/>
      <c r="U3184" s="149"/>
      <c r="V3184" s="149"/>
      <c r="W3184" s="149"/>
      <c r="X3184" s="149"/>
      <c r="Y3184" s="149"/>
      <c r="Z3184" s="149"/>
      <c r="AA3184" s="149"/>
      <c r="AB3184" s="149"/>
      <c r="AC3184" s="149"/>
      <c r="AD3184" s="149"/>
      <c r="AE3184" s="149"/>
      <c r="AF3184" s="149"/>
      <c r="AG3184" s="149"/>
      <c r="AH3184" s="149"/>
      <c r="AI3184" s="149"/>
      <c r="AJ3184" s="149"/>
      <c r="AK3184" s="149"/>
      <c r="AL3184" s="149"/>
      <c r="AM3184" s="149"/>
      <c r="AN3184" s="149"/>
      <c r="AO3184" s="128"/>
      <c r="AP3184" s="128"/>
      <c r="AQ3184" s="128"/>
      <c r="AR3184" s="128"/>
      <c r="AS3184" s="128"/>
      <c r="AT3184" s="128"/>
      <c r="AU3184" s="128"/>
      <c r="AV3184" s="128"/>
      <c r="AW3184" s="128"/>
      <c r="AX3184" s="128"/>
      <c r="AY3184" s="128"/>
      <c r="AZ3184" s="128"/>
      <c r="BA3184" s="128"/>
      <c r="BB3184" s="128"/>
      <c r="BC3184" s="128"/>
      <c r="BD3184" s="128"/>
      <c r="BE3184" s="128"/>
      <c r="BF3184" s="128"/>
      <c r="BG3184" s="128"/>
      <c r="BH3184" s="128"/>
      <c r="BI3184" s="128"/>
      <c r="BJ3184" s="128"/>
      <c r="BK3184" s="128"/>
      <c r="BL3184" s="128"/>
      <c r="BM3184" s="151"/>
      <c r="BN3184" s="128"/>
      <c r="BO3184" s="128"/>
      <c r="BP3184" s="128"/>
      <c r="BQ3184" s="128"/>
      <c r="BR3184" s="128"/>
      <c r="BS3184" s="128"/>
      <c r="BT3184" s="128"/>
      <c r="BU3184" s="128"/>
      <c r="BV3184" s="128"/>
      <c r="BW3184" s="128"/>
      <c r="BX3184" s="128"/>
      <c r="BY3184" s="128"/>
      <c r="BZ3184" s="128"/>
      <c r="CA3184" s="128"/>
      <c r="CB3184" s="128"/>
      <c r="CC3184" s="128"/>
      <c r="CD3184" s="128"/>
      <c r="CE3184" s="128"/>
      <c r="CF3184" s="128"/>
      <c r="CG3184" s="128"/>
      <c r="CI3184" s="128"/>
      <c r="CJ3184" s="128"/>
      <c r="CK3184" s="128"/>
      <c r="CL3184" s="128"/>
      <c r="CM3184" s="128"/>
      <c r="CN3184" s="128"/>
      <c r="CO3184" s="128"/>
      <c r="CP3184" s="128"/>
      <c r="CQ3184" s="128"/>
      <c r="CR3184" s="128"/>
      <c r="CS3184" s="128"/>
      <c r="CT3184" s="128"/>
      <c r="CU3184" s="128"/>
      <c r="CV3184" s="128"/>
      <c r="CW3184" s="128"/>
      <c r="CX3184" s="128"/>
      <c r="CY3184" s="128"/>
      <c r="CZ3184" s="165"/>
    </row>
    <row r="3185" spans="1:104">
      <c r="A3185" s="149"/>
      <c r="B3185" s="149"/>
      <c r="C3185" s="150"/>
      <c r="D3185" s="102"/>
      <c r="E3185" s="149"/>
      <c r="F3185" s="149"/>
      <c r="G3185" s="149"/>
      <c r="H3185" s="149"/>
      <c r="I3185" s="149"/>
      <c r="J3185" s="149"/>
      <c r="K3185" s="149"/>
      <c r="L3185" s="149"/>
      <c r="M3185" s="149"/>
      <c r="N3185" s="149"/>
      <c r="O3185" s="149"/>
      <c r="P3185" s="149"/>
      <c r="Q3185" s="149"/>
      <c r="R3185" s="149"/>
      <c r="S3185" s="149"/>
      <c r="T3185" s="149"/>
      <c r="U3185" s="149"/>
      <c r="V3185" s="149"/>
      <c r="W3185" s="149"/>
      <c r="X3185" s="149"/>
      <c r="Y3185" s="149"/>
      <c r="Z3185" s="149"/>
      <c r="AA3185" s="149"/>
      <c r="AB3185" s="149"/>
      <c r="AC3185" s="149"/>
      <c r="AD3185" s="149"/>
      <c r="AE3185" s="149"/>
      <c r="AF3185" s="149"/>
      <c r="AG3185" s="149"/>
      <c r="AH3185" s="149"/>
      <c r="AI3185" s="149"/>
      <c r="AJ3185" s="149"/>
      <c r="AK3185" s="149"/>
      <c r="AL3185" s="149"/>
      <c r="AM3185" s="149"/>
      <c r="AN3185" s="149"/>
      <c r="AO3185" s="128"/>
      <c r="AP3185" s="128"/>
      <c r="AQ3185" s="128"/>
      <c r="AR3185" s="128"/>
      <c r="AS3185" s="128"/>
      <c r="AT3185" s="128"/>
      <c r="AU3185" s="128"/>
      <c r="AV3185" s="128"/>
      <c r="AW3185" s="128"/>
      <c r="AX3185" s="128"/>
      <c r="AY3185" s="128"/>
      <c r="AZ3185" s="128"/>
      <c r="BA3185" s="128"/>
      <c r="BB3185" s="128"/>
      <c r="BC3185" s="128"/>
      <c r="BD3185" s="128"/>
      <c r="BE3185" s="128"/>
      <c r="BF3185" s="128"/>
      <c r="BG3185" s="128"/>
      <c r="BH3185" s="128"/>
      <c r="BI3185" s="128"/>
      <c r="BJ3185" s="128"/>
      <c r="BK3185" s="128"/>
      <c r="BL3185" s="128"/>
      <c r="BM3185" s="151"/>
      <c r="BN3185" s="128"/>
      <c r="BO3185" s="128"/>
      <c r="BP3185" s="128"/>
      <c r="BQ3185" s="128"/>
      <c r="BR3185" s="128"/>
      <c r="BS3185" s="128"/>
      <c r="BT3185" s="128"/>
      <c r="BU3185" s="128"/>
      <c r="BV3185" s="128"/>
      <c r="BW3185" s="128"/>
      <c r="BX3185" s="128"/>
      <c r="BY3185" s="128"/>
      <c r="BZ3185" s="128"/>
      <c r="CA3185" s="128"/>
      <c r="CB3185" s="128"/>
      <c r="CC3185" s="128"/>
      <c r="CD3185" s="128"/>
      <c r="CE3185" s="128"/>
      <c r="CF3185" s="128"/>
      <c r="CG3185" s="128"/>
      <c r="CI3185" s="128"/>
      <c r="CJ3185" s="128"/>
      <c r="CK3185" s="128"/>
      <c r="CL3185" s="128"/>
      <c r="CM3185" s="128"/>
      <c r="CN3185" s="128"/>
      <c r="CO3185" s="128"/>
      <c r="CP3185" s="128"/>
      <c r="CQ3185" s="128"/>
      <c r="CR3185" s="128"/>
      <c r="CS3185" s="128"/>
      <c r="CT3185" s="128"/>
      <c r="CU3185" s="128"/>
      <c r="CV3185" s="128"/>
      <c r="CW3185" s="128"/>
      <c r="CX3185" s="128"/>
      <c r="CY3185" s="128"/>
      <c r="CZ3185" s="165"/>
    </row>
    <row r="3186" spans="1:104">
      <c r="A3186" s="149"/>
      <c r="B3186" s="149"/>
      <c r="C3186" s="150"/>
      <c r="D3186" s="102"/>
      <c r="E3186" s="149"/>
      <c r="F3186" s="149"/>
      <c r="G3186" s="149"/>
      <c r="H3186" s="149"/>
      <c r="I3186" s="149"/>
      <c r="J3186" s="149"/>
      <c r="K3186" s="149"/>
      <c r="L3186" s="149"/>
      <c r="M3186" s="149"/>
      <c r="N3186" s="149"/>
      <c r="O3186" s="149"/>
      <c r="P3186" s="149"/>
      <c r="Q3186" s="149"/>
      <c r="R3186" s="149"/>
      <c r="S3186" s="149"/>
      <c r="T3186" s="149"/>
      <c r="U3186" s="149"/>
      <c r="V3186" s="149"/>
      <c r="W3186" s="149"/>
      <c r="X3186" s="149"/>
      <c r="Y3186" s="149"/>
      <c r="Z3186" s="149"/>
      <c r="AA3186" s="149"/>
      <c r="AB3186" s="149"/>
      <c r="AC3186" s="149"/>
      <c r="AD3186" s="149"/>
      <c r="AE3186" s="149"/>
      <c r="AF3186" s="149"/>
      <c r="AG3186" s="149"/>
      <c r="AH3186" s="149"/>
      <c r="AI3186" s="149"/>
      <c r="AJ3186" s="149"/>
      <c r="AK3186" s="149"/>
      <c r="AL3186" s="149"/>
      <c r="AM3186" s="149"/>
      <c r="AN3186" s="149"/>
      <c r="AO3186" s="128"/>
      <c r="AP3186" s="128"/>
      <c r="AQ3186" s="128"/>
      <c r="AR3186" s="128"/>
      <c r="AS3186" s="128"/>
      <c r="AT3186" s="128"/>
      <c r="AU3186" s="128"/>
      <c r="AV3186" s="128"/>
      <c r="AW3186" s="128"/>
      <c r="AX3186" s="128"/>
      <c r="AY3186" s="128"/>
      <c r="AZ3186" s="128"/>
      <c r="BA3186" s="128"/>
      <c r="BB3186" s="128"/>
      <c r="BC3186" s="128"/>
      <c r="BD3186" s="128"/>
      <c r="BE3186" s="128"/>
      <c r="BF3186" s="128"/>
      <c r="BG3186" s="128"/>
      <c r="BH3186" s="128"/>
      <c r="BI3186" s="128"/>
      <c r="BJ3186" s="128"/>
      <c r="BK3186" s="128"/>
      <c r="BL3186" s="128"/>
      <c r="BM3186" s="151"/>
      <c r="BN3186" s="128"/>
      <c r="BO3186" s="128"/>
      <c r="BP3186" s="128"/>
      <c r="BQ3186" s="128"/>
      <c r="BR3186" s="128"/>
      <c r="BS3186" s="128"/>
      <c r="BT3186" s="128"/>
      <c r="BU3186" s="128"/>
      <c r="BV3186" s="128"/>
      <c r="BW3186" s="128"/>
      <c r="BX3186" s="128"/>
      <c r="BY3186" s="128"/>
      <c r="BZ3186" s="128"/>
      <c r="CA3186" s="128"/>
      <c r="CB3186" s="128"/>
      <c r="CC3186" s="128"/>
      <c r="CD3186" s="128"/>
      <c r="CE3186" s="128"/>
      <c r="CF3186" s="128"/>
      <c r="CG3186" s="128"/>
      <c r="CI3186" s="128"/>
      <c r="CJ3186" s="128"/>
      <c r="CK3186" s="128"/>
      <c r="CL3186" s="128"/>
      <c r="CM3186" s="128"/>
      <c r="CN3186" s="128"/>
      <c r="CO3186" s="128"/>
      <c r="CP3186" s="128"/>
      <c r="CQ3186" s="128"/>
      <c r="CR3186" s="128"/>
      <c r="CS3186" s="128"/>
      <c r="CT3186" s="128"/>
      <c r="CU3186" s="128"/>
      <c r="CV3186" s="128"/>
      <c r="CW3186" s="128"/>
      <c r="CX3186" s="128"/>
      <c r="CY3186" s="128"/>
      <c r="CZ3186" s="165"/>
    </row>
    <row r="3187" spans="1:104">
      <c r="A3187" s="149"/>
      <c r="B3187" s="149"/>
      <c r="C3187" s="150"/>
      <c r="D3187" s="102"/>
      <c r="E3187" s="149"/>
      <c r="F3187" s="149"/>
      <c r="G3187" s="149"/>
      <c r="H3187" s="149"/>
      <c r="I3187" s="149"/>
      <c r="J3187" s="149"/>
      <c r="K3187" s="149"/>
      <c r="L3187" s="149"/>
      <c r="M3187" s="149"/>
      <c r="N3187" s="149"/>
      <c r="O3187" s="149"/>
      <c r="P3187" s="149"/>
      <c r="Q3187" s="149"/>
      <c r="R3187" s="149"/>
      <c r="S3187" s="149"/>
      <c r="T3187" s="149"/>
      <c r="U3187" s="149"/>
      <c r="V3187" s="149"/>
      <c r="W3187" s="149"/>
      <c r="X3187" s="149"/>
      <c r="Y3187" s="149"/>
      <c r="Z3187" s="149"/>
      <c r="AA3187" s="149"/>
      <c r="AB3187" s="149"/>
      <c r="AC3187" s="149"/>
      <c r="AD3187" s="149"/>
      <c r="AE3187" s="149"/>
      <c r="AF3187" s="149"/>
      <c r="AG3187" s="149"/>
      <c r="AH3187" s="149"/>
      <c r="AI3187" s="149"/>
      <c r="AJ3187" s="149"/>
      <c r="AK3187" s="149"/>
      <c r="AL3187" s="149"/>
      <c r="AM3187" s="149"/>
      <c r="AN3187" s="149"/>
      <c r="AO3187" s="128"/>
      <c r="AP3187" s="128"/>
      <c r="AQ3187" s="128"/>
      <c r="AR3187" s="128"/>
      <c r="AS3187" s="128"/>
      <c r="AT3187" s="128"/>
      <c r="AU3187" s="128"/>
      <c r="AV3187" s="128"/>
      <c r="AW3187" s="128"/>
      <c r="AX3187" s="128"/>
      <c r="AY3187" s="128"/>
      <c r="AZ3187" s="128"/>
      <c r="BA3187" s="128"/>
      <c r="BB3187" s="128"/>
      <c r="BC3187" s="128"/>
      <c r="BD3187" s="128"/>
      <c r="BE3187" s="128"/>
      <c r="BF3187" s="128"/>
      <c r="BG3187" s="128"/>
      <c r="BH3187" s="128"/>
      <c r="BI3187" s="128"/>
      <c r="BJ3187" s="128"/>
      <c r="BK3187" s="128"/>
      <c r="BL3187" s="128"/>
      <c r="BM3187" s="151"/>
      <c r="BN3187" s="128"/>
      <c r="BO3187" s="128"/>
      <c r="BP3187" s="128"/>
      <c r="BQ3187" s="128"/>
      <c r="BR3187" s="128"/>
      <c r="BS3187" s="128"/>
      <c r="BT3187" s="128"/>
      <c r="BU3187" s="128"/>
      <c r="BV3187" s="128"/>
      <c r="BW3187" s="128"/>
      <c r="BX3187" s="128"/>
      <c r="BY3187" s="128"/>
      <c r="BZ3187" s="128"/>
      <c r="CA3187" s="128"/>
      <c r="CB3187" s="128"/>
      <c r="CC3187" s="128"/>
      <c r="CD3187" s="128"/>
      <c r="CE3187" s="128"/>
      <c r="CF3187" s="128"/>
      <c r="CG3187" s="128"/>
      <c r="CI3187" s="128"/>
      <c r="CJ3187" s="128"/>
      <c r="CK3187" s="128"/>
      <c r="CL3187" s="128"/>
      <c r="CM3187" s="128"/>
      <c r="CN3187" s="128"/>
      <c r="CO3187" s="128"/>
      <c r="CP3187" s="128"/>
      <c r="CQ3187" s="128"/>
      <c r="CR3187" s="128"/>
      <c r="CS3187" s="128"/>
      <c r="CT3187" s="128"/>
      <c r="CU3187" s="128"/>
      <c r="CV3187" s="128"/>
      <c r="CW3187" s="128"/>
      <c r="CX3187" s="128"/>
      <c r="CY3187" s="128"/>
      <c r="CZ3187" s="165"/>
    </row>
    <row r="3188" spans="1:104">
      <c r="A3188" s="149"/>
      <c r="B3188" s="149"/>
      <c r="C3188" s="150"/>
      <c r="D3188" s="102"/>
      <c r="E3188" s="149"/>
      <c r="F3188" s="149"/>
      <c r="G3188" s="149"/>
      <c r="H3188" s="149"/>
      <c r="I3188" s="149"/>
      <c r="J3188" s="149"/>
      <c r="K3188" s="149"/>
      <c r="L3188" s="149"/>
      <c r="M3188" s="149"/>
      <c r="N3188" s="149"/>
      <c r="O3188" s="149"/>
      <c r="P3188" s="149"/>
      <c r="Q3188" s="149"/>
      <c r="R3188" s="149"/>
      <c r="S3188" s="149"/>
      <c r="T3188" s="149"/>
      <c r="U3188" s="149"/>
      <c r="V3188" s="149"/>
      <c r="W3188" s="149"/>
      <c r="X3188" s="149"/>
      <c r="Y3188" s="149"/>
      <c r="Z3188" s="149"/>
      <c r="AA3188" s="149"/>
      <c r="AB3188" s="149"/>
      <c r="AC3188" s="149"/>
      <c r="AD3188" s="149"/>
      <c r="AE3188" s="149"/>
      <c r="AF3188" s="149"/>
      <c r="AG3188" s="149"/>
      <c r="AH3188" s="149"/>
      <c r="AI3188" s="149"/>
      <c r="AJ3188" s="149"/>
      <c r="AK3188" s="149"/>
      <c r="AL3188" s="149"/>
      <c r="AM3188" s="149"/>
      <c r="AN3188" s="149"/>
      <c r="AO3188" s="128"/>
      <c r="AP3188" s="128"/>
      <c r="AQ3188" s="128"/>
      <c r="AR3188" s="128"/>
      <c r="AS3188" s="128"/>
      <c r="AT3188" s="128"/>
      <c r="AU3188" s="128"/>
      <c r="AV3188" s="128"/>
      <c r="AW3188" s="128"/>
      <c r="AX3188" s="128"/>
      <c r="AY3188" s="128"/>
      <c r="AZ3188" s="128"/>
      <c r="BA3188" s="128"/>
      <c r="BB3188" s="128"/>
      <c r="BC3188" s="128"/>
      <c r="BD3188" s="128"/>
      <c r="BE3188" s="128"/>
      <c r="BF3188" s="128"/>
      <c r="BG3188" s="128"/>
      <c r="BH3188" s="128"/>
      <c r="BI3188" s="128"/>
      <c r="BJ3188" s="128"/>
      <c r="BK3188" s="128"/>
      <c r="BL3188" s="128"/>
      <c r="BM3188" s="151"/>
      <c r="BN3188" s="128"/>
      <c r="BO3188" s="128"/>
      <c r="BP3188" s="128"/>
      <c r="BQ3188" s="128"/>
      <c r="BR3188" s="128"/>
      <c r="BS3188" s="128"/>
      <c r="BT3188" s="128"/>
      <c r="BU3188" s="128"/>
      <c r="BV3188" s="128"/>
      <c r="BW3188" s="128"/>
      <c r="BX3188" s="128"/>
      <c r="BY3188" s="128"/>
      <c r="BZ3188" s="128"/>
      <c r="CA3188" s="128"/>
      <c r="CB3188" s="128"/>
      <c r="CC3188" s="128"/>
      <c r="CD3188" s="128"/>
      <c r="CE3188" s="128"/>
      <c r="CF3188" s="128"/>
      <c r="CG3188" s="128"/>
      <c r="CI3188" s="128"/>
      <c r="CJ3188" s="128"/>
      <c r="CK3188" s="128"/>
      <c r="CL3188" s="128"/>
      <c r="CM3188" s="128"/>
      <c r="CN3188" s="128"/>
      <c r="CO3188" s="128"/>
      <c r="CP3188" s="128"/>
      <c r="CQ3188" s="128"/>
      <c r="CR3188" s="128"/>
      <c r="CS3188" s="128"/>
      <c r="CT3188" s="128"/>
      <c r="CU3188" s="128"/>
      <c r="CV3188" s="128"/>
      <c r="CW3188" s="128"/>
      <c r="CX3188" s="128"/>
      <c r="CY3188" s="128"/>
      <c r="CZ3188" s="165"/>
    </row>
    <row r="3189" spans="1:104">
      <c r="A3189" s="149"/>
      <c r="B3189" s="149"/>
      <c r="C3189" s="150"/>
      <c r="D3189" s="102"/>
      <c r="E3189" s="149"/>
      <c r="F3189" s="149"/>
      <c r="G3189" s="149"/>
      <c r="H3189" s="149"/>
      <c r="I3189" s="149"/>
      <c r="J3189" s="149"/>
      <c r="K3189" s="149"/>
      <c r="L3189" s="149"/>
      <c r="M3189" s="149"/>
      <c r="N3189" s="149"/>
      <c r="O3189" s="149"/>
      <c r="P3189" s="149"/>
      <c r="Q3189" s="149"/>
      <c r="R3189" s="149"/>
      <c r="S3189" s="149"/>
      <c r="T3189" s="149"/>
      <c r="U3189" s="149"/>
      <c r="V3189" s="149"/>
      <c r="W3189" s="149"/>
      <c r="X3189" s="149"/>
      <c r="Y3189" s="149"/>
      <c r="Z3189" s="149"/>
      <c r="AA3189" s="149"/>
      <c r="AB3189" s="149"/>
      <c r="AC3189" s="149"/>
      <c r="AD3189" s="149"/>
      <c r="AE3189" s="149"/>
      <c r="AF3189" s="149"/>
      <c r="AG3189" s="149"/>
      <c r="AH3189" s="149"/>
      <c r="AI3189" s="149"/>
      <c r="AJ3189" s="149"/>
      <c r="AK3189" s="149"/>
      <c r="AL3189" s="149"/>
      <c r="AM3189" s="149"/>
      <c r="AN3189" s="149"/>
      <c r="AO3189" s="128"/>
      <c r="AP3189" s="128"/>
      <c r="AQ3189" s="128"/>
      <c r="AR3189" s="128"/>
      <c r="AS3189" s="128"/>
      <c r="AT3189" s="128"/>
      <c r="AU3189" s="128"/>
      <c r="AV3189" s="128"/>
      <c r="AW3189" s="128"/>
      <c r="AX3189" s="128"/>
      <c r="AY3189" s="128"/>
      <c r="AZ3189" s="128"/>
      <c r="BA3189" s="128"/>
      <c r="BB3189" s="128"/>
      <c r="BC3189" s="128"/>
      <c r="BD3189" s="128"/>
      <c r="BE3189" s="128"/>
      <c r="BF3189" s="128"/>
      <c r="BG3189" s="128"/>
      <c r="BH3189" s="128"/>
      <c r="BI3189" s="128"/>
      <c r="BJ3189" s="128"/>
      <c r="BK3189" s="128"/>
      <c r="BL3189" s="128"/>
      <c r="BM3189" s="151"/>
      <c r="BN3189" s="128"/>
      <c r="BO3189" s="128"/>
      <c r="BP3189" s="128"/>
      <c r="BQ3189" s="128"/>
      <c r="BR3189" s="128"/>
      <c r="BS3189" s="128"/>
      <c r="BT3189" s="128"/>
      <c r="BU3189" s="128"/>
      <c r="BV3189" s="128"/>
      <c r="BW3189" s="128"/>
      <c r="BX3189" s="128"/>
      <c r="BY3189" s="128"/>
      <c r="BZ3189" s="128"/>
      <c r="CA3189" s="128"/>
      <c r="CB3189" s="128"/>
      <c r="CC3189" s="128"/>
      <c r="CD3189" s="128"/>
      <c r="CE3189" s="128"/>
      <c r="CF3189" s="128"/>
      <c r="CG3189" s="128"/>
      <c r="CI3189" s="128"/>
      <c r="CJ3189" s="128"/>
      <c r="CK3189" s="128"/>
      <c r="CL3189" s="128"/>
      <c r="CM3189" s="128"/>
      <c r="CN3189" s="128"/>
      <c r="CO3189" s="128"/>
      <c r="CP3189" s="128"/>
      <c r="CQ3189" s="128"/>
      <c r="CR3189" s="128"/>
      <c r="CS3189" s="128"/>
      <c r="CT3189" s="128"/>
      <c r="CU3189" s="128"/>
      <c r="CV3189" s="128"/>
      <c r="CW3189" s="128"/>
      <c r="CX3189" s="128"/>
      <c r="CY3189" s="128"/>
      <c r="CZ3189" s="165"/>
    </row>
    <row r="3190" spans="1:104">
      <c r="A3190" s="149"/>
      <c r="B3190" s="149"/>
      <c r="C3190" s="150"/>
      <c r="D3190" s="102"/>
      <c r="E3190" s="149"/>
      <c r="F3190" s="149"/>
      <c r="G3190" s="149"/>
      <c r="H3190" s="149"/>
      <c r="I3190" s="149"/>
      <c r="J3190" s="149"/>
      <c r="K3190" s="149"/>
      <c r="L3190" s="149"/>
      <c r="M3190" s="149"/>
      <c r="N3190" s="149"/>
      <c r="O3190" s="149"/>
      <c r="P3190" s="149"/>
      <c r="Q3190" s="149"/>
      <c r="R3190" s="149"/>
      <c r="S3190" s="149"/>
      <c r="T3190" s="149"/>
      <c r="U3190" s="149"/>
      <c r="V3190" s="149"/>
      <c r="W3190" s="149"/>
      <c r="X3190" s="149"/>
      <c r="Y3190" s="149"/>
      <c r="Z3190" s="149"/>
      <c r="AA3190" s="149"/>
      <c r="AB3190" s="149"/>
      <c r="AC3190" s="149"/>
      <c r="AD3190" s="149"/>
      <c r="AE3190" s="149"/>
      <c r="AF3190" s="149"/>
      <c r="AG3190" s="149"/>
      <c r="AH3190" s="149"/>
      <c r="AI3190" s="149"/>
      <c r="AJ3190" s="149"/>
      <c r="AK3190" s="149"/>
      <c r="AL3190" s="149"/>
      <c r="AM3190" s="149"/>
      <c r="AN3190" s="149"/>
      <c r="AO3190" s="128"/>
      <c r="AP3190" s="128"/>
      <c r="AQ3190" s="128"/>
      <c r="AR3190" s="128"/>
      <c r="AS3190" s="128"/>
      <c r="AT3190" s="128"/>
      <c r="AU3190" s="128"/>
      <c r="AV3190" s="128"/>
      <c r="AW3190" s="128"/>
      <c r="AX3190" s="128"/>
      <c r="AY3190" s="128"/>
      <c r="AZ3190" s="128"/>
      <c r="BA3190" s="128"/>
      <c r="BB3190" s="128"/>
      <c r="BC3190" s="128"/>
      <c r="BD3190" s="128"/>
      <c r="BE3190" s="128"/>
      <c r="BF3190" s="128"/>
      <c r="BG3190" s="128"/>
      <c r="BH3190" s="128"/>
      <c r="BI3190" s="128"/>
      <c r="BJ3190" s="128"/>
      <c r="BK3190" s="128"/>
      <c r="BL3190" s="128"/>
      <c r="BM3190" s="151"/>
      <c r="BN3190" s="128"/>
      <c r="BO3190" s="128"/>
      <c r="BP3190" s="128"/>
      <c r="BQ3190" s="128"/>
      <c r="BR3190" s="128"/>
      <c r="BS3190" s="128"/>
      <c r="BT3190" s="128"/>
      <c r="BU3190" s="128"/>
      <c r="BV3190" s="128"/>
      <c r="BW3190" s="128"/>
      <c r="BX3190" s="128"/>
      <c r="BY3190" s="128"/>
      <c r="BZ3190" s="128"/>
      <c r="CA3190" s="128"/>
      <c r="CB3190" s="128"/>
      <c r="CC3190" s="128"/>
      <c r="CD3190" s="128"/>
      <c r="CE3190" s="128"/>
      <c r="CF3190" s="128"/>
      <c r="CG3190" s="128"/>
      <c r="CI3190" s="128"/>
      <c r="CJ3190" s="128"/>
      <c r="CK3190" s="128"/>
      <c r="CL3190" s="128"/>
      <c r="CM3190" s="128"/>
      <c r="CN3190" s="128"/>
      <c r="CO3190" s="128"/>
      <c r="CP3190" s="128"/>
      <c r="CQ3190" s="128"/>
      <c r="CR3190" s="128"/>
      <c r="CS3190" s="128"/>
      <c r="CT3190" s="128"/>
      <c r="CU3190" s="128"/>
      <c r="CV3190" s="128"/>
      <c r="CW3190" s="128"/>
      <c r="CX3190" s="128"/>
      <c r="CY3190" s="128"/>
      <c r="CZ3190" s="165"/>
    </row>
    <row r="3191" spans="1:104">
      <c r="A3191" s="149"/>
      <c r="B3191" s="149"/>
      <c r="C3191" s="150"/>
      <c r="D3191" s="102"/>
      <c r="E3191" s="149"/>
      <c r="F3191" s="149"/>
      <c r="G3191" s="149"/>
      <c r="H3191" s="149"/>
      <c r="I3191" s="149"/>
      <c r="J3191" s="149"/>
      <c r="K3191" s="149"/>
      <c r="L3191" s="149"/>
      <c r="M3191" s="149"/>
      <c r="N3191" s="149"/>
      <c r="O3191" s="149"/>
      <c r="P3191" s="149"/>
      <c r="Q3191" s="149"/>
      <c r="R3191" s="149"/>
      <c r="S3191" s="149"/>
      <c r="T3191" s="149"/>
      <c r="U3191" s="149"/>
      <c r="V3191" s="149"/>
      <c r="W3191" s="149"/>
      <c r="X3191" s="149"/>
      <c r="Y3191" s="149"/>
      <c r="Z3191" s="149"/>
      <c r="AA3191" s="149"/>
      <c r="AB3191" s="149"/>
      <c r="AC3191" s="149"/>
      <c r="AD3191" s="149"/>
      <c r="AE3191" s="149"/>
      <c r="AF3191" s="149"/>
      <c r="AG3191" s="149"/>
      <c r="AH3191" s="149"/>
      <c r="AI3191" s="149"/>
      <c r="AJ3191" s="149"/>
      <c r="AK3191" s="149"/>
      <c r="AL3191" s="149"/>
      <c r="AM3191" s="149"/>
      <c r="AN3191" s="149"/>
      <c r="AO3191" s="128"/>
      <c r="AP3191" s="128"/>
      <c r="AQ3191" s="128"/>
      <c r="AR3191" s="128"/>
      <c r="AS3191" s="128"/>
      <c r="AT3191" s="128"/>
      <c r="AU3191" s="128"/>
      <c r="AV3191" s="128"/>
      <c r="AW3191" s="128"/>
      <c r="AX3191" s="128"/>
      <c r="AY3191" s="128"/>
      <c r="AZ3191" s="128"/>
      <c r="BA3191" s="128"/>
      <c r="BB3191" s="128"/>
      <c r="BC3191" s="128"/>
      <c r="BD3191" s="128"/>
      <c r="BE3191" s="128"/>
      <c r="BF3191" s="128"/>
      <c r="BG3191" s="128"/>
      <c r="BH3191" s="128"/>
      <c r="BI3191" s="128"/>
      <c r="BJ3191" s="128"/>
      <c r="BK3191" s="128"/>
      <c r="BL3191" s="128"/>
      <c r="BM3191" s="151"/>
      <c r="BN3191" s="128"/>
      <c r="BO3191" s="128"/>
      <c r="BP3191" s="128"/>
      <c r="BQ3191" s="128"/>
      <c r="BR3191" s="128"/>
      <c r="BS3191" s="128"/>
      <c r="BT3191" s="128"/>
      <c r="BU3191" s="128"/>
      <c r="BV3191" s="128"/>
      <c r="BW3191" s="128"/>
      <c r="BX3191" s="128"/>
      <c r="BY3191" s="128"/>
      <c r="BZ3191" s="128"/>
      <c r="CA3191" s="128"/>
      <c r="CB3191" s="128"/>
      <c r="CC3191" s="128"/>
      <c r="CD3191" s="128"/>
      <c r="CE3191" s="128"/>
      <c r="CF3191" s="128"/>
      <c r="CG3191" s="128"/>
      <c r="CI3191" s="128"/>
      <c r="CJ3191" s="128"/>
      <c r="CK3191" s="128"/>
      <c r="CL3191" s="128"/>
      <c r="CM3191" s="128"/>
      <c r="CN3191" s="128"/>
      <c r="CO3191" s="128"/>
      <c r="CP3191" s="128"/>
      <c r="CQ3191" s="128"/>
      <c r="CR3191" s="128"/>
      <c r="CS3191" s="128"/>
      <c r="CT3191" s="128"/>
      <c r="CU3191" s="128"/>
      <c r="CV3191" s="128"/>
      <c r="CW3191" s="128"/>
      <c r="CX3191" s="128"/>
      <c r="CY3191" s="128"/>
      <c r="CZ3191" s="165"/>
    </row>
    <row r="3192" spans="1:104">
      <c r="A3192" s="149"/>
      <c r="B3192" s="149"/>
      <c r="C3192" s="150"/>
      <c r="D3192" s="102"/>
      <c r="E3192" s="149"/>
      <c r="F3192" s="149"/>
      <c r="G3192" s="149"/>
      <c r="H3192" s="149"/>
      <c r="I3192" s="149"/>
      <c r="J3192" s="149"/>
      <c r="K3192" s="149"/>
      <c r="L3192" s="149"/>
      <c r="M3192" s="149"/>
      <c r="N3192" s="149"/>
      <c r="O3192" s="149"/>
      <c r="P3192" s="149"/>
      <c r="Q3192" s="149"/>
      <c r="R3192" s="149"/>
      <c r="S3192" s="149"/>
      <c r="T3192" s="149"/>
      <c r="U3192" s="149"/>
      <c r="V3192" s="149"/>
      <c r="W3192" s="149"/>
      <c r="X3192" s="149"/>
      <c r="Y3192" s="149"/>
      <c r="Z3192" s="149"/>
      <c r="AA3192" s="149"/>
      <c r="AB3192" s="149"/>
      <c r="AC3192" s="149"/>
      <c r="AD3192" s="149"/>
      <c r="AE3192" s="149"/>
      <c r="AF3192" s="149"/>
      <c r="AG3192" s="149"/>
      <c r="AH3192" s="149"/>
      <c r="AI3192" s="149"/>
      <c r="AJ3192" s="149"/>
      <c r="AK3192" s="149"/>
      <c r="AL3192" s="149"/>
      <c r="AM3192" s="149"/>
      <c r="AN3192" s="149"/>
      <c r="AO3192" s="128"/>
      <c r="AP3192" s="128"/>
      <c r="AQ3192" s="128"/>
      <c r="AR3192" s="128"/>
      <c r="AS3192" s="128"/>
      <c r="AT3192" s="128"/>
      <c r="AU3192" s="128"/>
      <c r="AV3192" s="128"/>
      <c r="AW3192" s="128"/>
      <c r="AX3192" s="128"/>
      <c r="AY3192" s="128"/>
      <c r="AZ3192" s="128"/>
      <c r="BA3192" s="128"/>
      <c r="BB3192" s="128"/>
      <c r="BC3192" s="128"/>
      <c r="BD3192" s="128"/>
      <c r="BE3192" s="128"/>
      <c r="BF3192" s="128"/>
      <c r="BG3192" s="128"/>
      <c r="BH3192" s="128"/>
      <c r="BI3192" s="128"/>
      <c r="BJ3192" s="128"/>
      <c r="BK3192" s="128"/>
      <c r="BL3192" s="128"/>
      <c r="BM3192" s="151"/>
      <c r="BN3192" s="128"/>
      <c r="BO3192" s="128"/>
      <c r="BP3192" s="128"/>
      <c r="BQ3192" s="128"/>
      <c r="BR3192" s="128"/>
      <c r="BS3192" s="128"/>
      <c r="BT3192" s="128"/>
      <c r="BU3192" s="128"/>
      <c r="BV3192" s="128"/>
      <c r="BW3192" s="128"/>
      <c r="BX3192" s="128"/>
      <c r="BY3192" s="128"/>
      <c r="BZ3192" s="128"/>
      <c r="CA3192" s="128"/>
      <c r="CB3192" s="128"/>
      <c r="CC3192" s="128"/>
      <c r="CD3192" s="128"/>
      <c r="CE3192" s="128"/>
      <c r="CF3192" s="128"/>
      <c r="CG3192" s="128"/>
      <c r="CI3192" s="128"/>
      <c r="CJ3192" s="128"/>
      <c r="CK3192" s="128"/>
      <c r="CL3192" s="128"/>
      <c r="CM3192" s="128"/>
      <c r="CN3192" s="128"/>
      <c r="CO3192" s="128"/>
      <c r="CP3192" s="128"/>
      <c r="CQ3192" s="128"/>
      <c r="CR3192" s="128"/>
      <c r="CS3192" s="128"/>
      <c r="CT3192" s="128"/>
      <c r="CU3192" s="128"/>
      <c r="CV3192" s="128"/>
      <c r="CW3192" s="128"/>
      <c r="CX3192" s="128"/>
      <c r="CY3192" s="128"/>
      <c r="CZ3192" s="165"/>
    </row>
    <row r="3193" spans="1:104">
      <c r="A3193" s="149"/>
      <c r="B3193" s="149"/>
      <c r="C3193" s="150"/>
      <c r="D3193" s="102"/>
      <c r="E3193" s="149"/>
      <c r="F3193" s="149"/>
      <c r="G3193" s="149"/>
      <c r="H3193" s="149"/>
      <c r="I3193" s="149"/>
      <c r="J3193" s="149"/>
      <c r="K3193" s="149"/>
      <c r="L3193" s="149"/>
      <c r="M3193" s="149"/>
      <c r="N3193" s="149"/>
      <c r="O3193" s="149"/>
      <c r="P3193" s="149"/>
      <c r="Q3193" s="149"/>
      <c r="R3193" s="149"/>
      <c r="S3193" s="149"/>
      <c r="T3193" s="149"/>
      <c r="U3193" s="149"/>
      <c r="V3193" s="149"/>
      <c r="W3193" s="149"/>
      <c r="X3193" s="149"/>
      <c r="Y3193" s="149"/>
      <c r="Z3193" s="149"/>
      <c r="AA3193" s="149"/>
      <c r="AB3193" s="149"/>
      <c r="AC3193" s="149"/>
      <c r="AD3193" s="149"/>
      <c r="AE3193" s="149"/>
      <c r="AF3193" s="149"/>
      <c r="AG3193" s="149"/>
      <c r="AH3193" s="149"/>
      <c r="AI3193" s="149"/>
      <c r="AJ3193" s="149"/>
      <c r="AK3193" s="149"/>
      <c r="AL3193" s="149"/>
      <c r="AM3193" s="149"/>
      <c r="AN3193" s="149"/>
      <c r="AO3193" s="128"/>
      <c r="AP3193" s="128"/>
      <c r="AQ3193" s="128"/>
      <c r="AR3193" s="128"/>
      <c r="AS3193" s="128"/>
      <c r="AT3193" s="128"/>
      <c r="AU3193" s="128"/>
      <c r="AV3193" s="128"/>
      <c r="AW3193" s="128"/>
      <c r="AX3193" s="128"/>
      <c r="AY3193" s="128"/>
      <c r="AZ3193" s="128"/>
      <c r="BA3193" s="128"/>
      <c r="BB3193" s="128"/>
      <c r="BC3193" s="128"/>
      <c r="BD3193" s="128"/>
      <c r="BE3193" s="128"/>
      <c r="BF3193" s="128"/>
      <c r="BG3193" s="128"/>
      <c r="BH3193" s="128"/>
      <c r="BI3193" s="128"/>
      <c r="BJ3193" s="128"/>
      <c r="BK3193" s="128"/>
      <c r="BL3193" s="128"/>
      <c r="BM3193" s="151"/>
      <c r="BN3193" s="128"/>
      <c r="BO3193" s="128"/>
      <c r="BP3193" s="128"/>
      <c r="BQ3193" s="128"/>
      <c r="BR3193" s="128"/>
      <c r="BS3193" s="128"/>
      <c r="BT3193" s="128"/>
      <c r="BU3193" s="128"/>
      <c r="BV3193" s="128"/>
      <c r="BW3193" s="128"/>
      <c r="BX3193" s="128"/>
      <c r="BY3193" s="128"/>
      <c r="BZ3193" s="128"/>
      <c r="CA3193" s="128"/>
      <c r="CB3193" s="128"/>
      <c r="CC3193" s="128"/>
      <c r="CD3193" s="128"/>
      <c r="CE3193" s="128"/>
      <c r="CF3193" s="128"/>
      <c r="CG3193" s="128"/>
      <c r="CI3193" s="128"/>
      <c r="CJ3193" s="128"/>
      <c r="CK3193" s="128"/>
      <c r="CL3193" s="128"/>
      <c r="CM3193" s="128"/>
      <c r="CN3193" s="128"/>
      <c r="CO3193" s="128"/>
      <c r="CP3193" s="128"/>
      <c r="CQ3193" s="128"/>
      <c r="CR3193" s="128"/>
      <c r="CS3193" s="128"/>
      <c r="CT3193" s="128"/>
      <c r="CU3193" s="128"/>
      <c r="CV3193" s="128"/>
      <c r="CW3193" s="128"/>
      <c r="CX3193" s="128"/>
      <c r="CY3193" s="128"/>
      <c r="CZ3193" s="165"/>
    </row>
    <row r="3194" spans="1:104">
      <c r="A3194" s="149"/>
      <c r="B3194" s="149"/>
      <c r="C3194" s="150"/>
      <c r="D3194" s="102"/>
      <c r="E3194" s="149"/>
      <c r="F3194" s="149"/>
      <c r="G3194" s="149"/>
      <c r="H3194" s="149"/>
      <c r="I3194" s="149"/>
      <c r="J3194" s="149"/>
      <c r="K3194" s="149"/>
      <c r="L3194" s="149"/>
      <c r="M3194" s="149"/>
      <c r="N3194" s="149"/>
      <c r="O3194" s="149"/>
      <c r="P3194" s="149"/>
      <c r="Q3194" s="149"/>
      <c r="R3194" s="149"/>
      <c r="S3194" s="149"/>
      <c r="T3194" s="149"/>
      <c r="U3194" s="149"/>
      <c r="V3194" s="149"/>
      <c r="W3194" s="149"/>
      <c r="X3194" s="149"/>
      <c r="Y3194" s="149"/>
      <c r="Z3194" s="149"/>
      <c r="AA3194" s="149"/>
      <c r="AB3194" s="149"/>
      <c r="AC3194" s="149"/>
      <c r="AD3194" s="149"/>
      <c r="AE3194" s="149"/>
      <c r="AF3194" s="149"/>
      <c r="AG3194" s="149"/>
      <c r="AH3194" s="149"/>
      <c r="AI3194" s="149"/>
      <c r="AJ3194" s="149"/>
      <c r="AK3194" s="149"/>
      <c r="AL3194" s="149"/>
      <c r="AM3194" s="149"/>
      <c r="AN3194" s="149"/>
      <c r="AO3194" s="128"/>
      <c r="AP3194" s="128"/>
      <c r="AQ3194" s="128"/>
      <c r="AR3194" s="128"/>
      <c r="AS3194" s="128"/>
      <c r="AT3194" s="128"/>
      <c r="AU3194" s="128"/>
      <c r="AV3194" s="128"/>
      <c r="AW3194" s="128"/>
      <c r="AX3194" s="128"/>
      <c r="AY3194" s="128"/>
      <c r="AZ3194" s="128"/>
      <c r="BA3194" s="128"/>
      <c r="BB3194" s="128"/>
      <c r="BC3194" s="128"/>
      <c r="BD3194" s="128"/>
      <c r="BE3194" s="128"/>
      <c r="BF3194" s="128"/>
      <c r="BG3194" s="128"/>
      <c r="BH3194" s="128"/>
      <c r="BI3194" s="128"/>
      <c r="BJ3194" s="128"/>
      <c r="BK3194" s="128"/>
      <c r="BL3194" s="128"/>
      <c r="BM3194" s="151"/>
      <c r="BN3194" s="128"/>
      <c r="BO3194" s="128"/>
      <c r="BP3194" s="128"/>
      <c r="BQ3194" s="128"/>
      <c r="BR3194" s="128"/>
      <c r="BS3194" s="128"/>
      <c r="BT3194" s="128"/>
      <c r="BU3194" s="128"/>
      <c r="BV3194" s="128"/>
      <c r="BW3194" s="128"/>
      <c r="BX3194" s="128"/>
      <c r="BY3194" s="128"/>
      <c r="BZ3194" s="128"/>
      <c r="CA3194" s="128"/>
      <c r="CB3194" s="128"/>
      <c r="CC3194" s="128"/>
      <c r="CD3194" s="128"/>
      <c r="CE3194" s="128"/>
      <c r="CF3194" s="128"/>
      <c r="CG3194" s="128"/>
      <c r="CI3194" s="128"/>
      <c r="CJ3194" s="128"/>
      <c r="CK3194" s="128"/>
      <c r="CL3194" s="128"/>
      <c r="CM3194" s="128"/>
      <c r="CN3194" s="128"/>
      <c r="CO3194" s="128"/>
      <c r="CP3194" s="128"/>
      <c r="CQ3194" s="128"/>
      <c r="CR3194" s="128"/>
      <c r="CS3194" s="128"/>
      <c r="CT3194" s="128"/>
      <c r="CU3194" s="128"/>
      <c r="CV3194" s="128"/>
      <c r="CW3194" s="128"/>
      <c r="CX3194" s="128"/>
      <c r="CY3194" s="128"/>
      <c r="CZ3194" s="165"/>
    </row>
    <row r="3195" spans="1:104">
      <c r="A3195" s="149"/>
      <c r="B3195" s="149"/>
      <c r="C3195" s="150"/>
      <c r="D3195" s="102"/>
      <c r="E3195" s="149"/>
      <c r="F3195" s="149"/>
      <c r="G3195" s="149"/>
      <c r="H3195" s="149"/>
      <c r="I3195" s="149"/>
      <c r="J3195" s="149"/>
      <c r="K3195" s="149"/>
      <c r="L3195" s="149"/>
      <c r="M3195" s="149"/>
      <c r="N3195" s="149"/>
      <c r="O3195" s="149"/>
      <c r="P3195" s="149"/>
      <c r="Q3195" s="149"/>
      <c r="R3195" s="149"/>
      <c r="S3195" s="149"/>
      <c r="T3195" s="149"/>
      <c r="U3195" s="149"/>
      <c r="V3195" s="149"/>
      <c r="W3195" s="149"/>
      <c r="X3195" s="149"/>
      <c r="Y3195" s="149"/>
      <c r="Z3195" s="149"/>
      <c r="AA3195" s="149"/>
      <c r="AB3195" s="149"/>
      <c r="AC3195" s="149"/>
      <c r="AD3195" s="149"/>
      <c r="AE3195" s="149"/>
      <c r="AF3195" s="149"/>
      <c r="AG3195" s="149"/>
      <c r="AH3195" s="149"/>
      <c r="AI3195" s="149"/>
      <c r="AJ3195" s="149"/>
      <c r="AK3195" s="149"/>
      <c r="AL3195" s="149"/>
      <c r="AM3195" s="149"/>
      <c r="AN3195" s="149"/>
      <c r="AO3195" s="128"/>
      <c r="AP3195" s="128"/>
      <c r="AQ3195" s="128"/>
      <c r="AR3195" s="128"/>
      <c r="AS3195" s="128"/>
      <c r="AT3195" s="128"/>
      <c r="AU3195" s="128"/>
      <c r="AV3195" s="128"/>
      <c r="AW3195" s="128"/>
      <c r="AX3195" s="128"/>
      <c r="AY3195" s="128"/>
      <c r="AZ3195" s="128"/>
      <c r="BA3195" s="128"/>
      <c r="BB3195" s="128"/>
      <c r="BC3195" s="128"/>
      <c r="BD3195" s="128"/>
      <c r="BE3195" s="128"/>
      <c r="BF3195" s="128"/>
      <c r="BG3195" s="128"/>
      <c r="BH3195" s="128"/>
      <c r="BI3195" s="128"/>
      <c r="BJ3195" s="128"/>
      <c r="BK3195" s="128"/>
      <c r="BL3195" s="128"/>
      <c r="BM3195" s="151"/>
      <c r="BN3195" s="128"/>
      <c r="BO3195" s="128"/>
      <c r="BP3195" s="128"/>
      <c r="BQ3195" s="128"/>
      <c r="BR3195" s="128"/>
      <c r="BS3195" s="128"/>
      <c r="BT3195" s="128"/>
      <c r="BU3195" s="128"/>
      <c r="BV3195" s="128"/>
      <c r="BW3195" s="128"/>
      <c r="BX3195" s="128"/>
      <c r="BY3195" s="128"/>
      <c r="BZ3195" s="128"/>
      <c r="CA3195" s="128"/>
      <c r="CB3195" s="128"/>
      <c r="CC3195" s="128"/>
      <c r="CD3195" s="128"/>
      <c r="CE3195" s="128"/>
      <c r="CF3195" s="128"/>
      <c r="CG3195" s="128"/>
      <c r="CI3195" s="128"/>
      <c r="CJ3195" s="128"/>
      <c r="CK3195" s="128"/>
      <c r="CL3195" s="128"/>
      <c r="CM3195" s="128"/>
      <c r="CN3195" s="128"/>
      <c r="CO3195" s="128"/>
      <c r="CP3195" s="128"/>
      <c r="CQ3195" s="128"/>
      <c r="CR3195" s="128"/>
      <c r="CS3195" s="128"/>
      <c r="CT3195" s="128"/>
      <c r="CU3195" s="128"/>
      <c r="CV3195" s="128"/>
      <c r="CW3195" s="128"/>
      <c r="CX3195" s="128"/>
      <c r="CY3195" s="128"/>
      <c r="CZ3195" s="165"/>
    </row>
    <row r="3196" spans="1:104">
      <c r="A3196" s="149"/>
      <c r="B3196" s="149"/>
      <c r="C3196" s="150"/>
      <c r="D3196" s="102"/>
      <c r="E3196" s="149"/>
      <c r="F3196" s="149"/>
      <c r="G3196" s="149"/>
      <c r="H3196" s="149"/>
      <c r="I3196" s="149"/>
      <c r="J3196" s="149"/>
      <c r="K3196" s="149"/>
      <c r="L3196" s="149"/>
      <c r="M3196" s="149"/>
      <c r="N3196" s="149"/>
      <c r="O3196" s="149"/>
      <c r="P3196" s="149"/>
      <c r="Q3196" s="149"/>
      <c r="R3196" s="149"/>
      <c r="S3196" s="149"/>
      <c r="T3196" s="149"/>
      <c r="U3196" s="149"/>
      <c r="V3196" s="149"/>
      <c r="W3196" s="149"/>
      <c r="X3196" s="149"/>
      <c r="Y3196" s="149"/>
      <c r="Z3196" s="149"/>
      <c r="AA3196" s="149"/>
      <c r="AB3196" s="149"/>
      <c r="AC3196" s="149"/>
      <c r="AD3196" s="149"/>
      <c r="AE3196" s="149"/>
      <c r="AF3196" s="149"/>
      <c r="AG3196" s="149"/>
      <c r="AH3196" s="149"/>
      <c r="AI3196" s="149"/>
      <c r="AJ3196" s="149"/>
      <c r="AK3196" s="149"/>
      <c r="AL3196" s="149"/>
      <c r="AM3196" s="149"/>
      <c r="AN3196" s="149"/>
      <c r="AO3196" s="128"/>
      <c r="AP3196" s="128"/>
      <c r="AQ3196" s="128"/>
      <c r="AR3196" s="128"/>
      <c r="AS3196" s="128"/>
      <c r="AT3196" s="128"/>
      <c r="AU3196" s="128"/>
      <c r="AV3196" s="128"/>
      <c r="AW3196" s="128"/>
      <c r="AX3196" s="128"/>
      <c r="AY3196" s="128"/>
      <c r="AZ3196" s="128"/>
      <c r="BA3196" s="128"/>
      <c r="BB3196" s="128"/>
      <c r="BC3196" s="128"/>
      <c r="BD3196" s="128"/>
      <c r="BE3196" s="128"/>
      <c r="BF3196" s="128"/>
      <c r="BG3196" s="128"/>
      <c r="BH3196" s="128"/>
      <c r="BI3196" s="128"/>
      <c r="BJ3196" s="128"/>
      <c r="BK3196" s="128"/>
      <c r="BL3196" s="128"/>
      <c r="BM3196" s="151"/>
      <c r="BN3196" s="128"/>
      <c r="BO3196" s="128"/>
      <c r="BP3196" s="128"/>
      <c r="BQ3196" s="128"/>
      <c r="BR3196" s="128"/>
      <c r="BS3196" s="128"/>
      <c r="BT3196" s="128"/>
      <c r="BU3196" s="128"/>
      <c r="BV3196" s="128"/>
      <c r="BW3196" s="128"/>
      <c r="BX3196" s="128"/>
      <c r="BY3196" s="128"/>
      <c r="BZ3196" s="128"/>
      <c r="CA3196" s="128"/>
      <c r="CB3196" s="128"/>
      <c r="CC3196" s="128"/>
      <c r="CD3196" s="128"/>
      <c r="CE3196" s="128"/>
      <c r="CF3196" s="128"/>
      <c r="CG3196" s="128"/>
      <c r="CI3196" s="128"/>
      <c r="CJ3196" s="128"/>
      <c r="CK3196" s="128"/>
      <c r="CL3196" s="128"/>
      <c r="CM3196" s="128"/>
      <c r="CN3196" s="128"/>
      <c r="CO3196" s="128"/>
      <c r="CP3196" s="128"/>
      <c r="CQ3196" s="128"/>
      <c r="CR3196" s="128"/>
      <c r="CS3196" s="128"/>
      <c r="CT3196" s="128"/>
      <c r="CU3196" s="128"/>
      <c r="CV3196" s="128"/>
      <c r="CW3196" s="128"/>
      <c r="CX3196" s="128"/>
      <c r="CY3196" s="128"/>
      <c r="CZ3196" s="165"/>
    </row>
    <row r="3197" spans="1:104">
      <c r="A3197" s="149"/>
      <c r="B3197" s="149"/>
      <c r="C3197" s="150"/>
      <c r="D3197" s="102"/>
      <c r="E3197" s="149"/>
      <c r="F3197" s="149"/>
      <c r="G3197" s="149"/>
      <c r="H3197" s="149"/>
      <c r="I3197" s="149"/>
      <c r="J3197" s="149"/>
      <c r="K3197" s="149"/>
      <c r="L3197" s="149"/>
      <c r="M3197" s="149"/>
      <c r="N3197" s="149"/>
      <c r="O3197" s="149"/>
      <c r="P3197" s="149"/>
      <c r="Q3197" s="149"/>
      <c r="R3197" s="149"/>
      <c r="S3197" s="149"/>
      <c r="T3197" s="149"/>
      <c r="U3197" s="149"/>
      <c r="V3197" s="149"/>
      <c r="W3197" s="149"/>
      <c r="X3197" s="149"/>
      <c r="Y3197" s="149"/>
      <c r="Z3197" s="149"/>
      <c r="AA3197" s="149"/>
      <c r="AB3197" s="149"/>
      <c r="AC3197" s="149"/>
      <c r="AD3197" s="149"/>
      <c r="AE3197" s="149"/>
      <c r="AF3197" s="149"/>
      <c r="AG3197" s="149"/>
      <c r="AH3197" s="149"/>
      <c r="AI3197" s="149"/>
      <c r="AJ3197" s="149"/>
      <c r="AK3197" s="149"/>
      <c r="AL3197" s="149"/>
      <c r="AM3197" s="149"/>
      <c r="AN3197" s="149"/>
      <c r="AO3197" s="128"/>
      <c r="AP3197" s="128"/>
      <c r="AQ3197" s="128"/>
      <c r="AR3197" s="128"/>
      <c r="AS3197" s="128"/>
      <c r="AT3197" s="128"/>
      <c r="AU3197" s="128"/>
      <c r="AV3197" s="128"/>
      <c r="AW3197" s="128"/>
      <c r="AX3197" s="128"/>
      <c r="AY3197" s="128"/>
      <c r="AZ3197" s="128"/>
      <c r="BA3197" s="128"/>
      <c r="BB3197" s="128"/>
      <c r="BC3197" s="128"/>
      <c r="BD3197" s="128"/>
      <c r="BE3197" s="128"/>
      <c r="BF3197" s="128"/>
      <c r="BG3197" s="128"/>
      <c r="BH3197" s="128"/>
      <c r="BI3197" s="128"/>
      <c r="BJ3197" s="128"/>
      <c r="BK3197" s="128"/>
      <c r="BL3197" s="128"/>
      <c r="BM3197" s="151"/>
      <c r="BN3197" s="128"/>
      <c r="BO3197" s="128"/>
      <c r="BP3197" s="128"/>
      <c r="BQ3197" s="128"/>
      <c r="BR3197" s="128"/>
      <c r="BS3197" s="128"/>
      <c r="BT3197" s="128"/>
      <c r="BU3197" s="128"/>
      <c r="BV3197" s="128"/>
      <c r="BW3197" s="128"/>
      <c r="BX3197" s="128"/>
      <c r="BY3197" s="128"/>
      <c r="BZ3197" s="128"/>
      <c r="CA3197" s="128"/>
      <c r="CB3197" s="128"/>
      <c r="CC3197" s="128"/>
      <c r="CD3197" s="128"/>
      <c r="CE3197" s="128"/>
      <c r="CF3197" s="128"/>
      <c r="CG3197" s="128"/>
      <c r="CI3197" s="128"/>
      <c r="CJ3197" s="128"/>
      <c r="CK3197" s="128"/>
      <c r="CL3197" s="128"/>
      <c r="CM3197" s="128"/>
      <c r="CN3197" s="128"/>
      <c r="CO3197" s="128"/>
      <c r="CP3197" s="128"/>
      <c r="CQ3197" s="128"/>
      <c r="CR3197" s="128"/>
      <c r="CS3197" s="128"/>
      <c r="CT3197" s="128"/>
      <c r="CU3197" s="128"/>
      <c r="CV3197" s="128"/>
      <c r="CW3197" s="128"/>
      <c r="CX3197" s="128"/>
      <c r="CY3197" s="128"/>
      <c r="CZ3197" s="165"/>
    </row>
    <row r="3198" spans="1:104">
      <c r="A3198" s="149"/>
      <c r="B3198" s="149"/>
      <c r="C3198" s="150"/>
      <c r="D3198" s="102"/>
      <c r="E3198" s="149"/>
      <c r="F3198" s="149"/>
      <c r="G3198" s="149"/>
      <c r="H3198" s="149"/>
      <c r="I3198" s="149"/>
      <c r="J3198" s="149"/>
      <c r="K3198" s="149"/>
      <c r="L3198" s="149"/>
      <c r="M3198" s="149"/>
      <c r="N3198" s="149"/>
      <c r="O3198" s="149"/>
      <c r="P3198" s="149"/>
      <c r="Q3198" s="149"/>
      <c r="R3198" s="149"/>
      <c r="S3198" s="149"/>
      <c r="T3198" s="149"/>
      <c r="U3198" s="149"/>
      <c r="V3198" s="149"/>
      <c r="W3198" s="149"/>
      <c r="X3198" s="149"/>
      <c r="Y3198" s="149"/>
      <c r="Z3198" s="149"/>
      <c r="AA3198" s="149"/>
      <c r="AB3198" s="149"/>
      <c r="AC3198" s="149"/>
      <c r="AD3198" s="149"/>
      <c r="AE3198" s="149"/>
      <c r="AF3198" s="149"/>
      <c r="AG3198" s="149"/>
      <c r="AH3198" s="149"/>
      <c r="AI3198" s="149"/>
      <c r="AJ3198" s="149"/>
      <c r="AK3198" s="149"/>
      <c r="AL3198" s="149"/>
      <c r="AM3198" s="149"/>
      <c r="AN3198" s="149"/>
      <c r="AO3198" s="128"/>
      <c r="AP3198" s="128"/>
      <c r="AQ3198" s="128"/>
      <c r="AR3198" s="128"/>
      <c r="AS3198" s="128"/>
      <c r="AT3198" s="128"/>
      <c r="AU3198" s="128"/>
      <c r="AV3198" s="128"/>
      <c r="AW3198" s="128"/>
      <c r="AX3198" s="128"/>
      <c r="AY3198" s="128"/>
      <c r="AZ3198" s="128"/>
      <c r="BA3198" s="128"/>
      <c r="BB3198" s="128"/>
      <c r="BC3198" s="128"/>
      <c r="BD3198" s="128"/>
      <c r="BE3198" s="128"/>
      <c r="BF3198" s="128"/>
      <c r="BG3198" s="128"/>
      <c r="BH3198" s="128"/>
      <c r="BI3198" s="128"/>
      <c r="BJ3198" s="128"/>
      <c r="BK3198" s="128"/>
      <c r="BL3198" s="128"/>
      <c r="BM3198" s="151"/>
      <c r="BN3198" s="128"/>
      <c r="BO3198" s="128"/>
      <c r="BP3198" s="128"/>
      <c r="BQ3198" s="128"/>
      <c r="BR3198" s="128"/>
      <c r="BS3198" s="128"/>
      <c r="BT3198" s="128"/>
      <c r="BU3198" s="128"/>
      <c r="BV3198" s="128"/>
      <c r="BW3198" s="128"/>
      <c r="BX3198" s="128"/>
      <c r="BY3198" s="128"/>
      <c r="BZ3198" s="128"/>
      <c r="CA3198" s="128"/>
      <c r="CB3198" s="128"/>
      <c r="CC3198" s="128"/>
      <c r="CD3198" s="128"/>
      <c r="CE3198" s="128"/>
      <c r="CF3198" s="128"/>
      <c r="CG3198" s="128"/>
      <c r="CI3198" s="128"/>
      <c r="CJ3198" s="128"/>
      <c r="CK3198" s="128"/>
      <c r="CL3198" s="128"/>
      <c r="CM3198" s="128"/>
      <c r="CN3198" s="128"/>
      <c r="CO3198" s="128"/>
      <c r="CP3198" s="128"/>
      <c r="CQ3198" s="128"/>
      <c r="CR3198" s="128"/>
      <c r="CS3198" s="128"/>
      <c r="CT3198" s="128"/>
      <c r="CU3198" s="128"/>
      <c r="CV3198" s="128"/>
      <c r="CW3198" s="128"/>
      <c r="CX3198" s="128"/>
      <c r="CY3198" s="128"/>
      <c r="CZ3198" s="165"/>
    </row>
    <row r="3199" spans="1:104">
      <c r="A3199" s="149"/>
      <c r="B3199" s="149"/>
      <c r="C3199" s="150"/>
      <c r="D3199" s="102"/>
      <c r="E3199" s="149"/>
      <c r="F3199" s="149"/>
      <c r="G3199" s="149"/>
      <c r="H3199" s="149"/>
      <c r="I3199" s="149"/>
      <c r="J3199" s="149"/>
      <c r="K3199" s="149"/>
      <c r="L3199" s="149"/>
      <c r="M3199" s="149"/>
      <c r="N3199" s="149"/>
      <c r="O3199" s="149"/>
      <c r="P3199" s="149"/>
      <c r="Q3199" s="149"/>
      <c r="R3199" s="149"/>
      <c r="S3199" s="149"/>
      <c r="T3199" s="149"/>
      <c r="U3199" s="149"/>
      <c r="V3199" s="149"/>
      <c r="W3199" s="149"/>
      <c r="X3199" s="149"/>
      <c r="Y3199" s="149"/>
      <c r="Z3199" s="149"/>
      <c r="AA3199" s="149"/>
      <c r="AB3199" s="149"/>
      <c r="AC3199" s="149"/>
      <c r="AD3199" s="149"/>
      <c r="AE3199" s="149"/>
      <c r="AF3199" s="149"/>
      <c r="AG3199" s="149"/>
      <c r="AH3199" s="149"/>
      <c r="AI3199" s="149"/>
      <c r="AJ3199" s="149"/>
      <c r="AK3199" s="149"/>
      <c r="AL3199" s="149"/>
      <c r="AM3199" s="149"/>
      <c r="AN3199" s="149"/>
      <c r="AO3199" s="128"/>
      <c r="AP3199" s="128"/>
      <c r="AQ3199" s="128"/>
      <c r="AR3199" s="128"/>
      <c r="AS3199" s="128"/>
      <c r="AT3199" s="128"/>
      <c r="AU3199" s="128"/>
      <c r="AV3199" s="128"/>
      <c r="AW3199" s="128"/>
      <c r="AX3199" s="128"/>
      <c r="AY3199" s="128"/>
      <c r="AZ3199" s="128"/>
      <c r="BA3199" s="128"/>
      <c r="BB3199" s="128"/>
      <c r="BC3199" s="128"/>
      <c r="BD3199" s="128"/>
      <c r="BE3199" s="128"/>
      <c r="BF3199" s="128"/>
      <c r="BG3199" s="128"/>
      <c r="BH3199" s="128"/>
      <c r="BI3199" s="128"/>
      <c r="BJ3199" s="128"/>
      <c r="BK3199" s="128"/>
      <c r="BL3199" s="128"/>
      <c r="BM3199" s="151"/>
      <c r="BN3199" s="128"/>
      <c r="BO3199" s="128"/>
      <c r="BP3199" s="128"/>
      <c r="BQ3199" s="128"/>
      <c r="BR3199" s="128"/>
      <c r="BS3199" s="128"/>
      <c r="BT3199" s="128"/>
      <c r="BU3199" s="128"/>
      <c r="BV3199" s="128"/>
      <c r="BW3199" s="128"/>
      <c r="BX3199" s="128"/>
      <c r="BY3199" s="128"/>
      <c r="BZ3199" s="128"/>
      <c r="CA3199" s="128"/>
      <c r="CB3199" s="128"/>
      <c r="CC3199" s="128"/>
      <c r="CD3199" s="128"/>
      <c r="CE3199" s="128"/>
      <c r="CF3199" s="128"/>
      <c r="CG3199" s="128"/>
      <c r="CI3199" s="128"/>
      <c r="CJ3199" s="128"/>
      <c r="CK3199" s="128"/>
      <c r="CL3199" s="128"/>
      <c r="CM3199" s="128"/>
      <c r="CN3199" s="128"/>
      <c r="CO3199" s="128"/>
      <c r="CP3199" s="128"/>
      <c r="CQ3199" s="128"/>
      <c r="CR3199" s="128"/>
      <c r="CS3199" s="128"/>
      <c r="CT3199" s="128"/>
      <c r="CU3199" s="128"/>
      <c r="CV3199" s="128"/>
      <c r="CW3199" s="128"/>
      <c r="CX3199" s="128"/>
      <c r="CY3199" s="128"/>
      <c r="CZ3199" s="165"/>
    </row>
    <row r="3200" spans="1:104">
      <c r="A3200" s="149"/>
      <c r="B3200" s="149"/>
      <c r="C3200" s="150"/>
      <c r="D3200" s="102"/>
      <c r="E3200" s="149"/>
      <c r="F3200" s="149"/>
      <c r="G3200" s="149"/>
      <c r="H3200" s="149"/>
      <c r="I3200" s="149"/>
      <c r="J3200" s="149"/>
      <c r="K3200" s="149"/>
      <c r="L3200" s="149"/>
      <c r="M3200" s="149"/>
      <c r="N3200" s="149"/>
      <c r="O3200" s="149"/>
      <c r="P3200" s="149"/>
      <c r="Q3200" s="149"/>
      <c r="R3200" s="149"/>
      <c r="S3200" s="149"/>
      <c r="T3200" s="149"/>
      <c r="U3200" s="149"/>
      <c r="V3200" s="149"/>
      <c r="W3200" s="149"/>
      <c r="X3200" s="149"/>
      <c r="Y3200" s="149"/>
      <c r="Z3200" s="149"/>
      <c r="AA3200" s="149"/>
      <c r="AB3200" s="149"/>
      <c r="AC3200" s="149"/>
      <c r="AD3200" s="149"/>
      <c r="AE3200" s="149"/>
      <c r="AF3200" s="149"/>
      <c r="AG3200" s="149"/>
      <c r="AH3200" s="149"/>
      <c r="AI3200" s="149"/>
      <c r="AJ3200" s="149"/>
      <c r="AK3200" s="149"/>
      <c r="AL3200" s="149"/>
      <c r="AM3200" s="149"/>
      <c r="AN3200" s="149"/>
      <c r="AO3200" s="128"/>
      <c r="AP3200" s="128"/>
      <c r="AQ3200" s="128"/>
      <c r="AR3200" s="128"/>
      <c r="AS3200" s="128"/>
      <c r="AT3200" s="128"/>
      <c r="AU3200" s="128"/>
      <c r="AV3200" s="128"/>
      <c r="AW3200" s="128"/>
      <c r="AX3200" s="128"/>
      <c r="AY3200" s="128"/>
      <c r="AZ3200" s="128"/>
      <c r="BA3200" s="128"/>
      <c r="BB3200" s="128"/>
      <c r="BC3200" s="128"/>
      <c r="BD3200" s="128"/>
      <c r="BE3200" s="128"/>
      <c r="BF3200" s="128"/>
      <c r="BG3200" s="128"/>
      <c r="BH3200" s="128"/>
      <c r="BI3200" s="128"/>
      <c r="BJ3200" s="128"/>
      <c r="BK3200" s="128"/>
      <c r="BL3200" s="128"/>
      <c r="BM3200" s="151"/>
      <c r="BN3200" s="128"/>
      <c r="BO3200" s="128"/>
      <c r="BP3200" s="128"/>
      <c r="BQ3200" s="128"/>
      <c r="BR3200" s="128"/>
      <c r="BS3200" s="128"/>
      <c r="BT3200" s="128"/>
      <c r="BU3200" s="128"/>
      <c r="BV3200" s="128"/>
      <c r="BW3200" s="128"/>
      <c r="BX3200" s="128"/>
      <c r="BY3200" s="128"/>
      <c r="BZ3200" s="128"/>
      <c r="CA3200" s="128"/>
      <c r="CB3200" s="128"/>
      <c r="CC3200" s="128"/>
      <c r="CD3200" s="128"/>
      <c r="CE3200" s="128"/>
      <c r="CF3200" s="128"/>
      <c r="CG3200" s="128"/>
      <c r="CI3200" s="128"/>
      <c r="CJ3200" s="128"/>
      <c r="CK3200" s="128"/>
      <c r="CL3200" s="128"/>
      <c r="CM3200" s="128"/>
      <c r="CN3200" s="128"/>
      <c r="CO3200" s="128"/>
      <c r="CP3200" s="128"/>
      <c r="CQ3200" s="128"/>
      <c r="CR3200" s="128"/>
      <c r="CS3200" s="128"/>
      <c r="CT3200" s="128"/>
      <c r="CU3200" s="128"/>
      <c r="CV3200" s="128"/>
      <c r="CW3200" s="128"/>
      <c r="CX3200" s="128"/>
      <c r="CY3200" s="128"/>
      <c r="CZ3200" s="165"/>
    </row>
    <row r="3201" spans="1:104">
      <c r="A3201" s="149"/>
      <c r="B3201" s="149"/>
      <c r="C3201" s="150"/>
      <c r="D3201" s="102"/>
      <c r="E3201" s="149"/>
      <c r="F3201" s="149"/>
      <c r="G3201" s="149"/>
      <c r="H3201" s="149"/>
      <c r="I3201" s="149"/>
      <c r="J3201" s="149"/>
      <c r="K3201" s="149"/>
      <c r="L3201" s="149"/>
      <c r="M3201" s="149"/>
      <c r="N3201" s="149"/>
      <c r="O3201" s="149"/>
      <c r="P3201" s="149"/>
      <c r="Q3201" s="149"/>
      <c r="R3201" s="149"/>
      <c r="S3201" s="149"/>
      <c r="T3201" s="149"/>
      <c r="U3201" s="149"/>
      <c r="V3201" s="149"/>
      <c r="W3201" s="149"/>
      <c r="X3201" s="149"/>
      <c r="Y3201" s="149"/>
      <c r="Z3201" s="149"/>
      <c r="AA3201" s="149"/>
      <c r="AB3201" s="149"/>
      <c r="AC3201" s="149"/>
      <c r="AD3201" s="149"/>
      <c r="AE3201" s="149"/>
      <c r="AF3201" s="149"/>
      <c r="AG3201" s="149"/>
      <c r="AH3201" s="149"/>
      <c r="AI3201" s="149"/>
      <c r="AJ3201" s="149"/>
      <c r="AK3201" s="149"/>
      <c r="AL3201" s="149"/>
      <c r="AM3201" s="149"/>
      <c r="AN3201" s="149"/>
      <c r="AO3201" s="128"/>
      <c r="AP3201" s="128"/>
      <c r="AQ3201" s="128"/>
      <c r="AR3201" s="128"/>
      <c r="AS3201" s="128"/>
      <c r="AT3201" s="128"/>
      <c r="AU3201" s="128"/>
      <c r="AV3201" s="128"/>
      <c r="AW3201" s="128"/>
      <c r="AX3201" s="128"/>
      <c r="AY3201" s="128"/>
      <c r="AZ3201" s="128"/>
      <c r="BA3201" s="128"/>
      <c r="BB3201" s="128"/>
      <c r="BC3201" s="128"/>
      <c r="BD3201" s="128"/>
      <c r="BE3201" s="128"/>
      <c r="BF3201" s="128"/>
      <c r="BG3201" s="128"/>
      <c r="BH3201" s="128"/>
      <c r="BI3201" s="128"/>
      <c r="BJ3201" s="128"/>
      <c r="BK3201" s="128"/>
      <c r="BL3201" s="128"/>
      <c r="BM3201" s="151"/>
      <c r="BN3201" s="128"/>
      <c r="BO3201" s="128"/>
      <c r="BP3201" s="128"/>
      <c r="BQ3201" s="128"/>
      <c r="BR3201" s="128"/>
      <c r="BS3201" s="128"/>
      <c r="BT3201" s="128"/>
      <c r="BU3201" s="128"/>
      <c r="BV3201" s="128"/>
      <c r="BW3201" s="128"/>
      <c r="BX3201" s="128"/>
      <c r="BY3201" s="128"/>
      <c r="BZ3201" s="128"/>
      <c r="CA3201" s="128"/>
      <c r="CB3201" s="128"/>
      <c r="CC3201" s="128"/>
      <c r="CD3201" s="128"/>
      <c r="CE3201" s="128"/>
      <c r="CF3201" s="128"/>
      <c r="CG3201" s="128"/>
      <c r="CI3201" s="128"/>
      <c r="CJ3201" s="128"/>
      <c r="CK3201" s="128"/>
      <c r="CL3201" s="128"/>
      <c r="CM3201" s="128"/>
      <c r="CN3201" s="128"/>
      <c r="CO3201" s="128"/>
      <c r="CP3201" s="128"/>
      <c r="CQ3201" s="128"/>
      <c r="CR3201" s="128"/>
      <c r="CS3201" s="128"/>
      <c r="CT3201" s="128"/>
      <c r="CU3201" s="128"/>
      <c r="CV3201" s="128"/>
      <c r="CW3201" s="128"/>
      <c r="CX3201" s="128"/>
      <c r="CY3201" s="128"/>
      <c r="CZ3201" s="165"/>
    </row>
    <row r="3202" spans="1:104">
      <c r="A3202" s="149"/>
      <c r="B3202" s="149"/>
      <c r="C3202" s="150"/>
      <c r="D3202" s="102"/>
      <c r="E3202" s="149"/>
      <c r="F3202" s="149"/>
      <c r="G3202" s="149"/>
      <c r="H3202" s="149"/>
      <c r="I3202" s="149"/>
      <c r="J3202" s="149"/>
      <c r="K3202" s="149"/>
      <c r="L3202" s="149"/>
      <c r="M3202" s="149"/>
      <c r="N3202" s="149"/>
      <c r="O3202" s="149"/>
      <c r="P3202" s="149"/>
      <c r="Q3202" s="149"/>
      <c r="R3202" s="149"/>
      <c r="S3202" s="149"/>
      <c r="T3202" s="149"/>
      <c r="U3202" s="149"/>
      <c r="V3202" s="149"/>
      <c r="W3202" s="149"/>
      <c r="X3202" s="149"/>
      <c r="Y3202" s="149"/>
      <c r="Z3202" s="149"/>
      <c r="AA3202" s="149"/>
      <c r="AB3202" s="149"/>
      <c r="AC3202" s="149"/>
      <c r="AD3202" s="149"/>
      <c r="AE3202" s="149"/>
      <c r="AF3202" s="149"/>
      <c r="AG3202" s="149"/>
      <c r="AH3202" s="149"/>
      <c r="AI3202" s="149"/>
      <c r="AJ3202" s="149"/>
      <c r="AK3202" s="149"/>
      <c r="AL3202" s="149"/>
      <c r="AM3202" s="149"/>
      <c r="AN3202" s="149"/>
      <c r="AO3202" s="128"/>
      <c r="AP3202" s="128"/>
      <c r="AQ3202" s="128"/>
      <c r="AR3202" s="128"/>
      <c r="AS3202" s="128"/>
      <c r="AT3202" s="128"/>
      <c r="AU3202" s="128"/>
      <c r="AV3202" s="128"/>
      <c r="AW3202" s="128"/>
      <c r="AX3202" s="128"/>
      <c r="AY3202" s="128"/>
      <c r="AZ3202" s="128"/>
      <c r="BA3202" s="128"/>
      <c r="BB3202" s="128"/>
      <c r="BC3202" s="128"/>
      <c r="BD3202" s="128"/>
      <c r="BE3202" s="128"/>
      <c r="BF3202" s="128"/>
      <c r="BG3202" s="128"/>
      <c r="BH3202" s="128"/>
      <c r="BI3202" s="128"/>
      <c r="BJ3202" s="128"/>
      <c r="BK3202" s="128"/>
      <c r="BL3202" s="128"/>
      <c r="BM3202" s="151"/>
      <c r="BN3202" s="128"/>
      <c r="BO3202" s="128"/>
      <c r="BP3202" s="128"/>
      <c r="BQ3202" s="128"/>
      <c r="BR3202" s="128"/>
      <c r="BS3202" s="128"/>
      <c r="BT3202" s="128"/>
      <c r="BU3202" s="128"/>
      <c r="BV3202" s="128"/>
      <c r="BW3202" s="128"/>
      <c r="BX3202" s="128"/>
      <c r="BY3202" s="128"/>
      <c r="BZ3202" s="128"/>
      <c r="CA3202" s="128"/>
      <c r="CB3202" s="128"/>
      <c r="CC3202" s="128"/>
      <c r="CD3202" s="128"/>
      <c r="CE3202" s="128"/>
      <c r="CF3202" s="128"/>
      <c r="CG3202" s="128"/>
      <c r="CI3202" s="128"/>
      <c r="CJ3202" s="128"/>
      <c r="CK3202" s="128"/>
      <c r="CL3202" s="128"/>
      <c r="CM3202" s="128"/>
      <c r="CN3202" s="128"/>
      <c r="CO3202" s="128"/>
      <c r="CP3202" s="128"/>
      <c r="CQ3202" s="128"/>
      <c r="CR3202" s="128"/>
      <c r="CS3202" s="128"/>
      <c r="CT3202" s="128"/>
      <c r="CU3202" s="128"/>
      <c r="CV3202" s="128"/>
      <c r="CW3202" s="128"/>
      <c r="CX3202" s="128"/>
      <c r="CY3202" s="128"/>
      <c r="CZ3202" s="165"/>
    </row>
    <row r="3203" spans="1:104">
      <c r="A3203" s="149"/>
      <c r="B3203" s="149"/>
      <c r="C3203" s="150"/>
      <c r="D3203" s="102"/>
      <c r="E3203" s="149"/>
      <c r="F3203" s="149"/>
      <c r="G3203" s="149"/>
      <c r="H3203" s="149"/>
      <c r="I3203" s="149"/>
      <c r="J3203" s="149"/>
      <c r="K3203" s="149"/>
      <c r="L3203" s="149"/>
      <c r="M3203" s="149"/>
      <c r="N3203" s="149"/>
      <c r="O3203" s="149"/>
      <c r="P3203" s="149"/>
      <c r="Q3203" s="149"/>
      <c r="R3203" s="149"/>
      <c r="S3203" s="149"/>
      <c r="T3203" s="149"/>
      <c r="U3203" s="149"/>
      <c r="V3203" s="149"/>
      <c r="W3203" s="149"/>
      <c r="X3203" s="149"/>
      <c r="Y3203" s="149"/>
      <c r="Z3203" s="149"/>
      <c r="AA3203" s="149"/>
      <c r="AB3203" s="149"/>
      <c r="AC3203" s="149"/>
      <c r="AD3203" s="149"/>
      <c r="AE3203" s="149"/>
      <c r="AF3203" s="149"/>
      <c r="AG3203" s="149"/>
      <c r="AH3203" s="149"/>
      <c r="AI3203" s="149"/>
      <c r="AJ3203" s="149"/>
      <c r="AK3203" s="149"/>
      <c r="AL3203" s="149"/>
      <c r="AM3203" s="149"/>
      <c r="AN3203" s="149"/>
      <c r="AO3203" s="128"/>
      <c r="AP3203" s="128"/>
      <c r="AQ3203" s="128"/>
      <c r="AR3203" s="128"/>
      <c r="AS3203" s="128"/>
      <c r="AT3203" s="128"/>
      <c r="AU3203" s="128"/>
      <c r="AV3203" s="128"/>
      <c r="AW3203" s="128"/>
      <c r="AX3203" s="128"/>
      <c r="AY3203" s="128"/>
      <c r="AZ3203" s="128"/>
      <c r="BA3203" s="128"/>
      <c r="BB3203" s="128"/>
      <c r="BC3203" s="128"/>
      <c r="BD3203" s="128"/>
      <c r="BE3203" s="128"/>
      <c r="BF3203" s="128"/>
      <c r="BG3203" s="128"/>
      <c r="BH3203" s="128"/>
      <c r="BI3203" s="128"/>
      <c r="BJ3203" s="128"/>
      <c r="BK3203" s="128"/>
      <c r="BL3203" s="128"/>
      <c r="BM3203" s="151"/>
      <c r="BN3203" s="128"/>
      <c r="BO3203" s="128"/>
      <c r="BP3203" s="128"/>
      <c r="BQ3203" s="128"/>
      <c r="BR3203" s="128"/>
      <c r="BS3203" s="128"/>
      <c r="BT3203" s="128"/>
      <c r="BU3203" s="128"/>
      <c r="BV3203" s="128"/>
      <c r="BW3203" s="128"/>
      <c r="BX3203" s="128"/>
      <c r="BY3203" s="128"/>
      <c r="BZ3203" s="128"/>
      <c r="CA3203" s="128"/>
      <c r="CB3203" s="128"/>
      <c r="CC3203" s="128"/>
      <c r="CD3203" s="128"/>
      <c r="CE3203" s="128"/>
      <c r="CF3203" s="128"/>
      <c r="CG3203" s="128"/>
      <c r="CI3203" s="128"/>
      <c r="CJ3203" s="128"/>
      <c r="CK3203" s="128"/>
      <c r="CL3203" s="128"/>
      <c r="CM3203" s="128"/>
      <c r="CN3203" s="128"/>
      <c r="CO3203" s="128"/>
      <c r="CP3203" s="128"/>
      <c r="CQ3203" s="128"/>
      <c r="CR3203" s="128"/>
      <c r="CS3203" s="128"/>
      <c r="CT3203" s="128"/>
      <c r="CU3203" s="128"/>
      <c r="CV3203" s="128"/>
      <c r="CW3203" s="128"/>
      <c r="CX3203" s="128"/>
      <c r="CY3203" s="128"/>
      <c r="CZ3203" s="165"/>
    </row>
    <row r="3204" spans="1:104">
      <c r="A3204" s="149"/>
      <c r="B3204" s="149"/>
      <c r="C3204" s="150"/>
      <c r="D3204" s="102"/>
      <c r="E3204" s="149"/>
      <c r="F3204" s="149"/>
      <c r="G3204" s="149"/>
      <c r="H3204" s="149"/>
      <c r="I3204" s="149"/>
      <c r="J3204" s="149"/>
      <c r="K3204" s="149"/>
      <c r="L3204" s="149"/>
      <c r="M3204" s="149"/>
      <c r="N3204" s="149"/>
      <c r="O3204" s="149"/>
      <c r="P3204" s="149"/>
      <c r="Q3204" s="149"/>
      <c r="R3204" s="149"/>
      <c r="S3204" s="149"/>
      <c r="T3204" s="149"/>
      <c r="U3204" s="149"/>
      <c r="V3204" s="149"/>
      <c r="W3204" s="149"/>
      <c r="X3204" s="149"/>
      <c r="Y3204" s="149"/>
      <c r="Z3204" s="149"/>
      <c r="AA3204" s="149"/>
      <c r="AB3204" s="149"/>
      <c r="AC3204" s="149"/>
      <c r="AD3204" s="149"/>
      <c r="AE3204" s="149"/>
      <c r="AF3204" s="149"/>
      <c r="AG3204" s="149"/>
      <c r="AH3204" s="149"/>
      <c r="AI3204" s="149"/>
      <c r="AJ3204" s="149"/>
      <c r="AK3204" s="149"/>
      <c r="AL3204" s="149"/>
      <c r="AM3204" s="149"/>
      <c r="AN3204" s="149"/>
      <c r="AO3204" s="128"/>
      <c r="AP3204" s="128"/>
      <c r="AQ3204" s="128"/>
      <c r="AR3204" s="128"/>
      <c r="AS3204" s="128"/>
      <c r="AT3204" s="128"/>
      <c r="AU3204" s="128"/>
      <c r="AV3204" s="128"/>
      <c r="AW3204" s="128"/>
      <c r="AX3204" s="128"/>
      <c r="AY3204" s="128"/>
      <c r="AZ3204" s="128"/>
      <c r="BA3204" s="128"/>
      <c r="BB3204" s="128"/>
      <c r="BC3204" s="128"/>
      <c r="BD3204" s="128"/>
      <c r="BE3204" s="128"/>
      <c r="BF3204" s="128"/>
      <c r="BG3204" s="128"/>
      <c r="BH3204" s="128"/>
      <c r="BI3204" s="128"/>
      <c r="BJ3204" s="128"/>
      <c r="BK3204" s="128"/>
      <c r="BL3204" s="128"/>
      <c r="BM3204" s="151"/>
      <c r="BN3204" s="128"/>
      <c r="BO3204" s="128"/>
      <c r="BP3204" s="128"/>
      <c r="BQ3204" s="128"/>
      <c r="BR3204" s="128"/>
      <c r="BS3204" s="128"/>
      <c r="BT3204" s="128"/>
      <c r="BU3204" s="128"/>
      <c r="BV3204" s="128"/>
      <c r="BW3204" s="128"/>
      <c r="BX3204" s="128"/>
      <c r="BY3204" s="128"/>
      <c r="BZ3204" s="128"/>
      <c r="CA3204" s="128"/>
      <c r="CB3204" s="128"/>
      <c r="CC3204" s="128"/>
      <c r="CD3204" s="128"/>
      <c r="CE3204" s="128"/>
      <c r="CF3204" s="128"/>
      <c r="CG3204" s="128"/>
      <c r="CI3204" s="128"/>
      <c r="CJ3204" s="128"/>
      <c r="CK3204" s="128"/>
      <c r="CL3204" s="128"/>
      <c r="CM3204" s="128"/>
      <c r="CN3204" s="128"/>
      <c r="CO3204" s="128"/>
      <c r="CP3204" s="128"/>
      <c r="CQ3204" s="128"/>
      <c r="CR3204" s="128"/>
      <c r="CS3204" s="128"/>
      <c r="CT3204" s="128"/>
      <c r="CU3204" s="128"/>
      <c r="CV3204" s="128"/>
      <c r="CW3204" s="128"/>
      <c r="CX3204" s="128"/>
      <c r="CY3204" s="128"/>
      <c r="CZ3204" s="165"/>
    </row>
    <row r="3205" spans="1:104">
      <c r="A3205" s="149"/>
      <c r="B3205" s="149"/>
      <c r="C3205" s="150"/>
      <c r="D3205" s="102"/>
      <c r="E3205" s="149"/>
      <c r="F3205" s="149"/>
      <c r="G3205" s="149"/>
      <c r="H3205" s="149"/>
      <c r="I3205" s="149"/>
      <c r="J3205" s="149"/>
      <c r="K3205" s="149"/>
      <c r="L3205" s="149"/>
      <c r="M3205" s="149"/>
      <c r="N3205" s="149"/>
      <c r="O3205" s="149"/>
      <c r="P3205" s="149"/>
      <c r="Q3205" s="149"/>
      <c r="R3205" s="149"/>
      <c r="S3205" s="149"/>
      <c r="T3205" s="149"/>
      <c r="U3205" s="149"/>
      <c r="V3205" s="149"/>
      <c r="W3205" s="149"/>
      <c r="X3205" s="149"/>
      <c r="Y3205" s="149"/>
      <c r="Z3205" s="149"/>
      <c r="AA3205" s="149"/>
      <c r="AB3205" s="149"/>
      <c r="AC3205" s="149"/>
      <c r="AD3205" s="149"/>
      <c r="AE3205" s="149"/>
      <c r="AF3205" s="149"/>
      <c r="AG3205" s="149"/>
      <c r="AH3205" s="149"/>
      <c r="AI3205" s="149"/>
      <c r="AJ3205" s="149"/>
      <c r="AK3205" s="149"/>
      <c r="AL3205" s="149"/>
      <c r="AM3205" s="149"/>
      <c r="AN3205" s="149"/>
      <c r="AO3205" s="128"/>
      <c r="AP3205" s="128"/>
      <c r="AQ3205" s="128"/>
      <c r="AR3205" s="128"/>
      <c r="AS3205" s="128"/>
      <c r="AT3205" s="128"/>
      <c r="AU3205" s="128"/>
      <c r="AV3205" s="128"/>
      <c r="AW3205" s="128"/>
      <c r="AX3205" s="128"/>
      <c r="AY3205" s="128"/>
      <c r="AZ3205" s="128"/>
      <c r="BA3205" s="128"/>
      <c r="BB3205" s="128"/>
      <c r="BC3205" s="128"/>
      <c r="BD3205" s="128"/>
      <c r="BE3205" s="128"/>
      <c r="BF3205" s="128"/>
      <c r="BG3205" s="128"/>
      <c r="BH3205" s="128"/>
      <c r="BI3205" s="128"/>
      <c r="BJ3205" s="128"/>
      <c r="BK3205" s="128"/>
      <c r="BL3205" s="128"/>
      <c r="BM3205" s="151"/>
      <c r="BN3205" s="128"/>
      <c r="BO3205" s="128"/>
      <c r="BP3205" s="128"/>
      <c r="BQ3205" s="128"/>
      <c r="BR3205" s="128"/>
      <c r="BS3205" s="128"/>
      <c r="BT3205" s="128"/>
      <c r="BU3205" s="128"/>
      <c r="BV3205" s="128"/>
      <c r="BW3205" s="128"/>
      <c r="BX3205" s="128"/>
      <c r="BY3205" s="128"/>
      <c r="BZ3205" s="128"/>
      <c r="CA3205" s="128"/>
      <c r="CB3205" s="128"/>
      <c r="CC3205" s="128"/>
      <c r="CD3205" s="128"/>
      <c r="CE3205" s="128"/>
      <c r="CF3205" s="128"/>
      <c r="CG3205" s="128"/>
      <c r="CI3205" s="128"/>
      <c r="CJ3205" s="128"/>
      <c r="CK3205" s="128"/>
      <c r="CL3205" s="128"/>
      <c r="CM3205" s="128"/>
      <c r="CN3205" s="128"/>
      <c r="CO3205" s="128"/>
      <c r="CP3205" s="128"/>
      <c r="CQ3205" s="128"/>
      <c r="CR3205" s="128"/>
      <c r="CS3205" s="128"/>
      <c r="CT3205" s="128"/>
      <c r="CU3205" s="128"/>
      <c r="CV3205" s="128"/>
      <c r="CW3205" s="128"/>
      <c r="CX3205" s="128"/>
      <c r="CY3205" s="128"/>
      <c r="CZ3205" s="165"/>
    </row>
    <row r="3206" spans="1:104">
      <c r="A3206" s="149"/>
      <c r="B3206" s="149"/>
      <c r="C3206" s="150"/>
      <c r="D3206" s="102"/>
      <c r="E3206" s="149"/>
      <c r="F3206" s="149"/>
      <c r="G3206" s="149"/>
      <c r="H3206" s="149"/>
      <c r="I3206" s="149"/>
      <c r="J3206" s="149"/>
      <c r="K3206" s="149"/>
      <c r="L3206" s="149"/>
      <c r="M3206" s="149"/>
      <c r="N3206" s="149"/>
      <c r="O3206" s="149"/>
      <c r="P3206" s="149"/>
      <c r="Q3206" s="149"/>
      <c r="R3206" s="149"/>
      <c r="S3206" s="149"/>
      <c r="T3206" s="149"/>
      <c r="U3206" s="149"/>
      <c r="V3206" s="149"/>
      <c r="W3206" s="149"/>
      <c r="X3206" s="149"/>
      <c r="Y3206" s="149"/>
      <c r="Z3206" s="149"/>
      <c r="AA3206" s="149"/>
      <c r="AB3206" s="149"/>
      <c r="AC3206" s="149"/>
      <c r="AD3206" s="149"/>
      <c r="AE3206" s="149"/>
      <c r="AF3206" s="149"/>
      <c r="AG3206" s="149"/>
      <c r="AH3206" s="149"/>
      <c r="AI3206" s="149"/>
      <c r="AJ3206" s="149"/>
      <c r="AK3206" s="149"/>
      <c r="AL3206" s="149"/>
      <c r="AM3206" s="149"/>
      <c r="AN3206" s="149"/>
      <c r="AO3206" s="128"/>
      <c r="AP3206" s="128"/>
      <c r="AQ3206" s="128"/>
      <c r="AR3206" s="128"/>
      <c r="AS3206" s="128"/>
      <c r="AT3206" s="128"/>
      <c r="AU3206" s="128"/>
      <c r="AV3206" s="128"/>
      <c r="AW3206" s="128"/>
      <c r="AX3206" s="128"/>
      <c r="AY3206" s="128"/>
      <c r="AZ3206" s="128"/>
      <c r="BA3206" s="128"/>
      <c r="BB3206" s="128"/>
      <c r="BC3206" s="128"/>
      <c r="BD3206" s="128"/>
      <c r="BE3206" s="128"/>
      <c r="BF3206" s="128"/>
      <c r="BG3206" s="128"/>
      <c r="BH3206" s="128"/>
      <c r="BI3206" s="128"/>
      <c r="BJ3206" s="128"/>
      <c r="BK3206" s="128"/>
      <c r="BL3206" s="128"/>
      <c r="BM3206" s="151"/>
      <c r="BN3206" s="128"/>
      <c r="BO3206" s="128"/>
      <c r="BP3206" s="128"/>
      <c r="BQ3206" s="128"/>
      <c r="BR3206" s="128"/>
      <c r="BS3206" s="128"/>
      <c r="BT3206" s="128"/>
      <c r="BU3206" s="128"/>
      <c r="BV3206" s="128"/>
      <c r="BW3206" s="128"/>
      <c r="BX3206" s="128"/>
      <c r="BY3206" s="128"/>
      <c r="BZ3206" s="128"/>
      <c r="CA3206" s="128"/>
      <c r="CB3206" s="128"/>
      <c r="CC3206" s="128"/>
      <c r="CD3206" s="128"/>
      <c r="CE3206" s="128"/>
      <c r="CF3206" s="128"/>
      <c r="CG3206" s="128"/>
      <c r="CI3206" s="128"/>
      <c r="CJ3206" s="128"/>
      <c r="CK3206" s="128"/>
      <c r="CL3206" s="128"/>
      <c r="CM3206" s="128"/>
      <c r="CN3206" s="128"/>
      <c r="CO3206" s="128"/>
      <c r="CP3206" s="128"/>
      <c r="CQ3206" s="128"/>
      <c r="CR3206" s="128"/>
      <c r="CS3206" s="128"/>
      <c r="CT3206" s="128"/>
      <c r="CU3206" s="128"/>
      <c r="CV3206" s="128"/>
      <c r="CW3206" s="128"/>
      <c r="CX3206" s="128"/>
      <c r="CY3206" s="128"/>
      <c r="CZ3206" s="165"/>
    </row>
    <row r="3207" spans="1:104">
      <c r="A3207" s="149"/>
      <c r="B3207" s="149"/>
      <c r="C3207" s="150"/>
      <c r="D3207" s="102"/>
      <c r="E3207" s="149"/>
      <c r="F3207" s="149"/>
      <c r="G3207" s="149"/>
      <c r="H3207" s="149"/>
      <c r="I3207" s="149"/>
      <c r="J3207" s="149"/>
      <c r="K3207" s="149"/>
      <c r="L3207" s="149"/>
      <c r="M3207" s="149"/>
      <c r="N3207" s="149"/>
      <c r="O3207" s="149"/>
      <c r="P3207" s="149"/>
      <c r="Q3207" s="149"/>
      <c r="R3207" s="149"/>
      <c r="S3207" s="149"/>
      <c r="T3207" s="149"/>
      <c r="U3207" s="149"/>
      <c r="V3207" s="149"/>
      <c r="W3207" s="149"/>
      <c r="X3207" s="149"/>
      <c r="Y3207" s="149"/>
      <c r="Z3207" s="149"/>
      <c r="AA3207" s="149"/>
      <c r="AB3207" s="149"/>
      <c r="AC3207" s="149"/>
      <c r="AD3207" s="149"/>
      <c r="AE3207" s="149"/>
      <c r="AF3207" s="149"/>
      <c r="AG3207" s="149"/>
      <c r="AH3207" s="149"/>
      <c r="AI3207" s="149"/>
      <c r="AJ3207" s="149"/>
      <c r="AK3207" s="149"/>
      <c r="AL3207" s="149"/>
      <c r="AM3207" s="149"/>
      <c r="AN3207" s="149"/>
      <c r="AO3207" s="128"/>
      <c r="AP3207" s="128"/>
      <c r="AQ3207" s="128"/>
      <c r="AR3207" s="128"/>
      <c r="AS3207" s="128"/>
      <c r="AT3207" s="128"/>
      <c r="AU3207" s="128"/>
      <c r="AV3207" s="128"/>
      <c r="AW3207" s="128"/>
      <c r="AX3207" s="128"/>
      <c r="AY3207" s="128"/>
      <c r="AZ3207" s="128"/>
      <c r="BA3207" s="128"/>
      <c r="BB3207" s="128"/>
      <c r="BC3207" s="128"/>
      <c r="BD3207" s="128"/>
      <c r="BE3207" s="128"/>
      <c r="BF3207" s="128"/>
      <c r="BG3207" s="128"/>
      <c r="BH3207" s="128"/>
      <c r="BI3207" s="128"/>
      <c r="BJ3207" s="128"/>
      <c r="BK3207" s="128"/>
      <c r="BL3207" s="128"/>
      <c r="BM3207" s="151"/>
      <c r="BN3207" s="128"/>
      <c r="BO3207" s="128"/>
      <c r="BP3207" s="128"/>
      <c r="BQ3207" s="128"/>
      <c r="BR3207" s="128"/>
      <c r="BS3207" s="128"/>
      <c r="BT3207" s="128"/>
      <c r="BU3207" s="128"/>
      <c r="BV3207" s="128"/>
      <c r="BW3207" s="128"/>
      <c r="BX3207" s="128"/>
      <c r="BY3207" s="128"/>
      <c r="BZ3207" s="128"/>
      <c r="CA3207" s="128"/>
      <c r="CB3207" s="128"/>
      <c r="CC3207" s="128"/>
      <c r="CD3207" s="128"/>
      <c r="CE3207" s="128"/>
      <c r="CF3207" s="128"/>
      <c r="CG3207" s="128"/>
      <c r="CI3207" s="128"/>
      <c r="CJ3207" s="128"/>
      <c r="CK3207" s="128"/>
      <c r="CL3207" s="128"/>
      <c r="CM3207" s="128"/>
      <c r="CN3207" s="128"/>
      <c r="CO3207" s="128"/>
      <c r="CP3207" s="128"/>
      <c r="CQ3207" s="128"/>
      <c r="CR3207" s="128"/>
      <c r="CS3207" s="128"/>
      <c r="CT3207" s="128"/>
      <c r="CU3207" s="128"/>
      <c r="CV3207" s="128"/>
      <c r="CW3207" s="128"/>
      <c r="CX3207" s="128"/>
      <c r="CY3207" s="128"/>
      <c r="CZ3207" s="165"/>
    </row>
    <row r="3208" spans="1:104">
      <c r="A3208" s="149"/>
      <c r="B3208" s="149"/>
      <c r="C3208" s="150"/>
      <c r="D3208" s="102"/>
      <c r="E3208" s="149"/>
      <c r="F3208" s="149"/>
      <c r="G3208" s="149"/>
      <c r="H3208" s="149"/>
      <c r="I3208" s="149"/>
      <c r="J3208" s="149"/>
      <c r="K3208" s="149"/>
      <c r="L3208" s="149"/>
      <c r="M3208" s="149"/>
      <c r="N3208" s="149"/>
      <c r="O3208" s="149"/>
      <c r="P3208" s="149"/>
      <c r="Q3208" s="149"/>
      <c r="R3208" s="149"/>
      <c r="S3208" s="149"/>
      <c r="T3208" s="149"/>
      <c r="U3208" s="149"/>
      <c r="V3208" s="149"/>
      <c r="W3208" s="149"/>
      <c r="X3208" s="149"/>
      <c r="Y3208" s="149"/>
      <c r="Z3208" s="149"/>
      <c r="AA3208" s="149"/>
      <c r="AB3208" s="149"/>
      <c r="AC3208" s="149"/>
      <c r="AD3208" s="149"/>
      <c r="AE3208" s="149"/>
      <c r="AF3208" s="149"/>
      <c r="AG3208" s="149"/>
      <c r="AH3208" s="149"/>
      <c r="AI3208" s="149"/>
      <c r="AJ3208" s="149"/>
      <c r="AK3208" s="149"/>
      <c r="AL3208" s="149"/>
      <c r="AM3208" s="149"/>
      <c r="AN3208" s="149"/>
      <c r="AO3208" s="128"/>
      <c r="AP3208" s="128"/>
      <c r="AQ3208" s="128"/>
      <c r="AR3208" s="128"/>
      <c r="AS3208" s="128"/>
      <c r="AT3208" s="128"/>
      <c r="AU3208" s="128"/>
      <c r="AV3208" s="128"/>
      <c r="AW3208" s="128"/>
      <c r="AX3208" s="128"/>
      <c r="AY3208" s="128"/>
      <c r="AZ3208" s="128"/>
      <c r="BA3208" s="128"/>
      <c r="BB3208" s="128"/>
      <c r="BC3208" s="128"/>
      <c r="BD3208" s="128"/>
      <c r="BE3208" s="128"/>
      <c r="BF3208" s="128"/>
      <c r="BG3208" s="128"/>
      <c r="BH3208" s="128"/>
      <c r="BI3208" s="128"/>
      <c r="BJ3208" s="128"/>
      <c r="BK3208" s="128"/>
      <c r="BL3208" s="128"/>
      <c r="BM3208" s="151"/>
      <c r="BN3208" s="128"/>
      <c r="BO3208" s="128"/>
      <c r="BP3208" s="128"/>
      <c r="BQ3208" s="128"/>
      <c r="BR3208" s="128"/>
      <c r="BS3208" s="128"/>
      <c r="BT3208" s="128"/>
      <c r="BU3208" s="128"/>
      <c r="BV3208" s="128"/>
      <c r="BW3208" s="128"/>
      <c r="BX3208" s="128"/>
      <c r="BY3208" s="128"/>
      <c r="BZ3208" s="128"/>
      <c r="CA3208" s="128"/>
      <c r="CB3208" s="128"/>
      <c r="CC3208" s="128"/>
      <c r="CD3208" s="128"/>
      <c r="CE3208" s="128"/>
      <c r="CF3208" s="128"/>
      <c r="CG3208" s="128"/>
      <c r="CI3208" s="128"/>
      <c r="CJ3208" s="128"/>
      <c r="CK3208" s="128"/>
      <c r="CL3208" s="128"/>
      <c r="CM3208" s="128"/>
      <c r="CN3208" s="128"/>
      <c r="CO3208" s="128"/>
      <c r="CP3208" s="128"/>
      <c r="CQ3208" s="128"/>
      <c r="CR3208" s="128"/>
      <c r="CS3208" s="128"/>
      <c r="CT3208" s="128"/>
      <c r="CU3208" s="128"/>
      <c r="CV3208" s="128"/>
      <c r="CW3208" s="128"/>
      <c r="CX3208" s="128"/>
      <c r="CY3208" s="128"/>
      <c r="CZ3208" s="165"/>
    </row>
    <row r="3209" spans="1:104">
      <c r="A3209" s="149"/>
      <c r="B3209" s="149"/>
      <c r="C3209" s="150"/>
      <c r="D3209" s="102"/>
      <c r="E3209" s="149"/>
      <c r="F3209" s="149"/>
      <c r="G3209" s="149"/>
      <c r="H3209" s="149"/>
      <c r="I3209" s="149"/>
      <c r="J3209" s="149"/>
      <c r="K3209" s="149"/>
      <c r="L3209" s="149"/>
      <c r="M3209" s="149"/>
      <c r="N3209" s="149"/>
      <c r="O3209" s="149"/>
      <c r="P3209" s="149"/>
      <c r="Q3209" s="149"/>
      <c r="R3209" s="149"/>
      <c r="S3209" s="149"/>
      <c r="T3209" s="149"/>
      <c r="U3209" s="149"/>
      <c r="V3209" s="149"/>
      <c r="W3209" s="149"/>
      <c r="X3209" s="149"/>
      <c r="Y3209" s="149"/>
      <c r="Z3209" s="149"/>
      <c r="AA3209" s="149"/>
      <c r="AB3209" s="149"/>
      <c r="AC3209" s="149"/>
      <c r="AD3209" s="149"/>
      <c r="AE3209" s="149"/>
      <c r="AF3209" s="149"/>
      <c r="AG3209" s="149"/>
      <c r="AH3209" s="149"/>
      <c r="AI3209" s="149"/>
      <c r="AJ3209" s="149"/>
      <c r="AK3209" s="149"/>
      <c r="AL3209" s="149"/>
      <c r="AM3209" s="149"/>
      <c r="AN3209" s="149"/>
      <c r="AO3209" s="128"/>
      <c r="AP3209" s="128"/>
      <c r="AQ3209" s="128"/>
      <c r="AR3209" s="128"/>
      <c r="AS3209" s="128"/>
      <c r="AT3209" s="128"/>
      <c r="AU3209" s="128"/>
      <c r="AV3209" s="128"/>
      <c r="AW3209" s="128"/>
      <c r="AX3209" s="128"/>
      <c r="AY3209" s="128"/>
      <c r="AZ3209" s="128"/>
      <c r="BA3209" s="128"/>
      <c r="BB3209" s="128"/>
      <c r="BC3209" s="128"/>
      <c r="BD3209" s="128"/>
      <c r="BE3209" s="128"/>
      <c r="BF3209" s="128"/>
      <c r="BG3209" s="128"/>
      <c r="BH3209" s="128"/>
      <c r="BI3209" s="128"/>
      <c r="BJ3209" s="128"/>
      <c r="BK3209" s="128"/>
      <c r="BL3209" s="128"/>
      <c r="BM3209" s="151"/>
      <c r="BN3209" s="128"/>
      <c r="BO3209" s="128"/>
      <c r="BP3209" s="128"/>
      <c r="BQ3209" s="128"/>
      <c r="BR3209" s="128"/>
      <c r="BS3209" s="128"/>
      <c r="BT3209" s="128"/>
      <c r="BU3209" s="128"/>
      <c r="BV3209" s="128"/>
      <c r="BW3209" s="128"/>
      <c r="BX3209" s="128"/>
      <c r="BY3209" s="128"/>
      <c r="BZ3209" s="128"/>
      <c r="CA3209" s="128"/>
      <c r="CB3209" s="128"/>
      <c r="CC3209" s="128"/>
      <c r="CD3209" s="128"/>
      <c r="CE3209" s="128"/>
      <c r="CF3209" s="128"/>
      <c r="CG3209" s="128"/>
      <c r="CI3209" s="128"/>
      <c r="CJ3209" s="128"/>
      <c r="CK3209" s="128"/>
      <c r="CL3209" s="128"/>
      <c r="CM3209" s="128"/>
      <c r="CN3209" s="128"/>
      <c r="CO3209" s="128"/>
      <c r="CP3209" s="128"/>
      <c r="CQ3209" s="128"/>
      <c r="CR3209" s="128"/>
      <c r="CS3209" s="128"/>
      <c r="CT3209" s="128"/>
      <c r="CU3209" s="128"/>
      <c r="CV3209" s="128"/>
      <c r="CW3209" s="128"/>
      <c r="CX3209" s="128"/>
      <c r="CY3209" s="128"/>
      <c r="CZ3209" s="165"/>
    </row>
    <row r="3210" spans="1:104">
      <c r="A3210" s="149"/>
      <c r="B3210" s="149"/>
      <c r="C3210" s="150"/>
      <c r="D3210" s="102"/>
      <c r="E3210" s="149"/>
      <c r="F3210" s="149"/>
      <c r="G3210" s="149"/>
      <c r="H3210" s="149"/>
      <c r="I3210" s="149"/>
      <c r="J3210" s="149"/>
      <c r="K3210" s="149"/>
      <c r="L3210" s="149"/>
      <c r="M3210" s="149"/>
      <c r="N3210" s="149"/>
      <c r="O3210" s="149"/>
      <c r="P3210" s="149"/>
      <c r="Q3210" s="149"/>
      <c r="R3210" s="149"/>
      <c r="S3210" s="149"/>
      <c r="T3210" s="149"/>
      <c r="U3210" s="149"/>
      <c r="V3210" s="149"/>
      <c r="W3210" s="149"/>
      <c r="X3210" s="149"/>
      <c r="Y3210" s="149"/>
      <c r="Z3210" s="149"/>
      <c r="AA3210" s="149"/>
      <c r="AB3210" s="149"/>
      <c r="AC3210" s="149"/>
      <c r="AD3210" s="149"/>
      <c r="AE3210" s="149"/>
      <c r="AF3210" s="149"/>
      <c r="AG3210" s="149"/>
      <c r="AH3210" s="149"/>
      <c r="AI3210" s="149"/>
      <c r="AJ3210" s="149"/>
      <c r="AK3210" s="149"/>
      <c r="AL3210" s="149"/>
      <c r="AM3210" s="149"/>
      <c r="AN3210" s="149"/>
      <c r="AO3210" s="128"/>
      <c r="AP3210" s="128"/>
      <c r="AQ3210" s="128"/>
      <c r="AR3210" s="128"/>
      <c r="AS3210" s="128"/>
      <c r="AT3210" s="128"/>
      <c r="AU3210" s="128"/>
      <c r="AV3210" s="128"/>
      <c r="AW3210" s="128"/>
      <c r="AX3210" s="128"/>
      <c r="AY3210" s="128"/>
      <c r="AZ3210" s="128"/>
      <c r="BA3210" s="128"/>
      <c r="BB3210" s="128"/>
      <c r="BC3210" s="128"/>
      <c r="BD3210" s="128"/>
      <c r="BE3210" s="128"/>
      <c r="BF3210" s="128"/>
      <c r="BG3210" s="128"/>
      <c r="BH3210" s="128"/>
      <c r="BI3210" s="128"/>
      <c r="BJ3210" s="128"/>
      <c r="BK3210" s="128"/>
      <c r="BL3210" s="128"/>
      <c r="BM3210" s="151"/>
      <c r="BN3210" s="128"/>
      <c r="BO3210" s="128"/>
      <c r="BP3210" s="128"/>
      <c r="BQ3210" s="128"/>
      <c r="BR3210" s="128"/>
      <c r="BS3210" s="128"/>
      <c r="BT3210" s="128"/>
      <c r="BU3210" s="128"/>
      <c r="BV3210" s="128"/>
      <c r="BW3210" s="128"/>
      <c r="BX3210" s="128"/>
      <c r="BY3210" s="128"/>
      <c r="BZ3210" s="128"/>
      <c r="CA3210" s="128"/>
      <c r="CB3210" s="128"/>
      <c r="CC3210" s="128"/>
      <c r="CD3210" s="128"/>
      <c r="CE3210" s="128"/>
      <c r="CF3210" s="128"/>
      <c r="CG3210" s="128"/>
      <c r="CI3210" s="128"/>
      <c r="CJ3210" s="128"/>
      <c r="CK3210" s="128"/>
      <c r="CL3210" s="128"/>
      <c r="CM3210" s="128"/>
      <c r="CN3210" s="128"/>
      <c r="CO3210" s="128"/>
      <c r="CP3210" s="128"/>
      <c r="CQ3210" s="128"/>
      <c r="CR3210" s="128"/>
      <c r="CS3210" s="128"/>
      <c r="CT3210" s="128"/>
      <c r="CU3210" s="128"/>
      <c r="CV3210" s="128"/>
      <c r="CW3210" s="128"/>
      <c r="CX3210" s="128"/>
      <c r="CY3210" s="128"/>
      <c r="CZ3210" s="165"/>
    </row>
    <row r="3211" spans="1:104">
      <c r="A3211" s="149"/>
      <c r="B3211" s="149"/>
      <c r="C3211" s="150"/>
      <c r="D3211" s="102"/>
      <c r="E3211" s="149"/>
      <c r="F3211" s="149"/>
      <c r="G3211" s="149"/>
      <c r="H3211" s="149"/>
      <c r="I3211" s="149"/>
      <c r="J3211" s="149"/>
      <c r="K3211" s="149"/>
      <c r="L3211" s="149"/>
      <c r="M3211" s="149"/>
      <c r="N3211" s="149"/>
      <c r="O3211" s="149"/>
      <c r="P3211" s="149"/>
      <c r="Q3211" s="149"/>
      <c r="R3211" s="149"/>
      <c r="S3211" s="149"/>
      <c r="T3211" s="149"/>
      <c r="U3211" s="149"/>
      <c r="V3211" s="149"/>
      <c r="W3211" s="149"/>
      <c r="X3211" s="149"/>
      <c r="Y3211" s="149"/>
      <c r="Z3211" s="149"/>
      <c r="AA3211" s="149"/>
      <c r="AB3211" s="149"/>
      <c r="AC3211" s="149"/>
      <c r="AD3211" s="149"/>
      <c r="AE3211" s="149"/>
      <c r="AF3211" s="149"/>
      <c r="AG3211" s="149"/>
      <c r="AH3211" s="149"/>
      <c r="AI3211" s="149"/>
      <c r="AJ3211" s="149"/>
      <c r="AK3211" s="149"/>
      <c r="AL3211" s="149"/>
      <c r="AM3211" s="149"/>
      <c r="AN3211" s="149"/>
      <c r="AO3211" s="128"/>
      <c r="AP3211" s="128"/>
      <c r="AQ3211" s="128"/>
      <c r="AR3211" s="128"/>
      <c r="AS3211" s="128"/>
      <c r="AT3211" s="128"/>
      <c r="AU3211" s="128"/>
      <c r="AV3211" s="128"/>
      <c r="AW3211" s="128"/>
      <c r="AX3211" s="128"/>
      <c r="AY3211" s="128"/>
      <c r="AZ3211" s="128"/>
      <c r="BA3211" s="128"/>
      <c r="BB3211" s="128"/>
      <c r="BC3211" s="128"/>
      <c r="BD3211" s="128"/>
      <c r="BE3211" s="128"/>
      <c r="BF3211" s="128"/>
      <c r="BG3211" s="128"/>
      <c r="BH3211" s="128"/>
      <c r="BI3211" s="128"/>
      <c r="BJ3211" s="128"/>
      <c r="BK3211" s="128"/>
      <c r="BL3211" s="128"/>
      <c r="BM3211" s="151"/>
      <c r="BN3211" s="128"/>
      <c r="BO3211" s="128"/>
      <c r="BP3211" s="128"/>
      <c r="BQ3211" s="128"/>
      <c r="BR3211" s="128"/>
      <c r="BS3211" s="128"/>
      <c r="BT3211" s="128"/>
      <c r="BU3211" s="128"/>
      <c r="BV3211" s="128"/>
      <c r="BW3211" s="128"/>
      <c r="BX3211" s="128"/>
      <c r="BY3211" s="128"/>
      <c r="BZ3211" s="128"/>
      <c r="CA3211" s="128"/>
      <c r="CB3211" s="128"/>
      <c r="CC3211" s="128"/>
      <c r="CD3211" s="128"/>
      <c r="CE3211" s="128"/>
      <c r="CF3211" s="128"/>
      <c r="CG3211" s="128"/>
      <c r="CI3211" s="128"/>
      <c r="CJ3211" s="128"/>
      <c r="CK3211" s="128"/>
      <c r="CL3211" s="128"/>
      <c r="CM3211" s="128"/>
      <c r="CN3211" s="128"/>
      <c r="CO3211" s="128"/>
      <c r="CP3211" s="128"/>
      <c r="CQ3211" s="128"/>
      <c r="CR3211" s="128"/>
      <c r="CS3211" s="128"/>
      <c r="CT3211" s="128"/>
      <c r="CU3211" s="128"/>
      <c r="CV3211" s="128"/>
      <c r="CW3211" s="128"/>
      <c r="CX3211" s="128"/>
      <c r="CY3211" s="128"/>
      <c r="CZ3211" s="165"/>
    </row>
    <row r="3212" spans="1:104">
      <c r="A3212" s="149"/>
      <c r="B3212" s="149"/>
      <c r="C3212" s="150"/>
      <c r="D3212" s="102"/>
      <c r="E3212" s="149"/>
      <c r="F3212" s="149"/>
      <c r="G3212" s="149"/>
      <c r="H3212" s="149"/>
      <c r="I3212" s="149"/>
      <c r="J3212" s="149"/>
      <c r="K3212" s="149"/>
      <c r="L3212" s="149"/>
      <c r="M3212" s="149"/>
      <c r="N3212" s="149"/>
      <c r="O3212" s="149"/>
      <c r="P3212" s="149"/>
      <c r="Q3212" s="149"/>
      <c r="R3212" s="149"/>
      <c r="S3212" s="149"/>
      <c r="T3212" s="149"/>
      <c r="U3212" s="149"/>
      <c r="V3212" s="149"/>
      <c r="W3212" s="149"/>
      <c r="X3212" s="149"/>
      <c r="Y3212" s="149"/>
      <c r="Z3212" s="149"/>
      <c r="AA3212" s="149"/>
      <c r="AB3212" s="149"/>
      <c r="AC3212" s="149"/>
      <c r="AD3212" s="149"/>
      <c r="AE3212" s="149"/>
      <c r="AF3212" s="149"/>
      <c r="AG3212" s="149"/>
      <c r="AH3212" s="149"/>
      <c r="AI3212" s="149"/>
      <c r="AJ3212" s="149"/>
      <c r="AK3212" s="149"/>
      <c r="AL3212" s="149"/>
      <c r="AM3212" s="149"/>
      <c r="AN3212" s="149"/>
      <c r="AO3212" s="128"/>
      <c r="AP3212" s="128"/>
      <c r="AQ3212" s="128"/>
      <c r="AR3212" s="128"/>
      <c r="AS3212" s="128"/>
      <c r="AT3212" s="128"/>
      <c r="AU3212" s="128"/>
      <c r="AV3212" s="128"/>
      <c r="AW3212" s="128"/>
      <c r="AX3212" s="128"/>
      <c r="AY3212" s="128"/>
      <c r="AZ3212" s="128"/>
      <c r="BA3212" s="128"/>
      <c r="BB3212" s="128"/>
      <c r="BC3212" s="128"/>
      <c r="BD3212" s="128"/>
      <c r="BE3212" s="128"/>
      <c r="BF3212" s="128"/>
      <c r="BG3212" s="128"/>
      <c r="BH3212" s="128"/>
      <c r="BI3212" s="128"/>
      <c r="BJ3212" s="128"/>
      <c r="BK3212" s="128"/>
      <c r="BL3212" s="128"/>
      <c r="BM3212" s="151"/>
      <c r="BN3212" s="128"/>
      <c r="BO3212" s="128"/>
      <c r="BP3212" s="128"/>
      <c r="BQ3212" s="128"/>
      <c r="BR3212" s="128"/>
      <c r="BS3212" s="128"/>
      <c r="BT3212" s="128"/>
      <c r="BU3212" s="128"/>
      <c r="BV3212" s="128"/>
      <c r="BW3212" s="128"/>
      <c r="BX3212" s="128"/>
      <c r="BY3212" s="128"/>
      <c r="BZ3212" s="128"/>
      <c r="CA3212" s="128"/>
      <c r="CB3212" s="128"/>
      <c r="CC3212" s="128"/>
      <c r="CD3212" s="128"/>
      <c r="CE3212" s="128"/>
      <c r="CF3212" s="128"/>
      <c r="CG3212" s="128"/>
      <c r="CI3212" s="128"/>
      <c r="CJ3212" s="128"/>
      <c r="CK3212" s="128"/>
      <c r="CL3212" s="128"/>
      <c r="CM3212" s="128"/>
      <c r="CN3212" s="128"/>
      <c r="CO3212" s="128"/>
      <c r="CP3212" s="128"/>
      <c r="CQ3212" s="128"/>
      <c r="CR3212" s="128"/>
      <c r="CS3212" s="128"/>
      <c r="CT3212" s="128"/>
      <c r="CU3212" s="128"/>
      <c r="CV3212" s="128"/>
      <c r="CW3212" s="128"/>
      <c r="CX3212" s="128"/>
      <c r="CY3212" s="128"/>
      <c r="CZ3212" s="165"/>
    </row>
    <row r="3213" spans="1:104">
      <c r="A3213" s="149"/>
      <c r="B3213" s="149"/>
      <c r="C3213" s="150"/>
      <c r="D3213" s="102"/>
      <c r="E3213" s="149"/>
      <c r="F3213" s="149"/>
      <c r="G3213" s="149"/>
      <c r="H3213" s="149"/>
      <c r="I3213" s="149"/>
      <c r="J3213" s="149"/>
      <c r="K3213" s="149"/>
      <c r="L3213" s="149"/>
      <c r="M3213" s="149"/>
      <c r="N3213" s="149"/>
      <c r="O3213" s="149"/>
      <c r="P3213" s="149"/>
      <c r="Q3213" s="149"/>
      <c r="R3213" s="149"/>
      <c r="S3213" s="149"/>
      <c r="T3213" s="149"/>
      <c r="U3213" s="149"/>
      <c r="V3213" s="149"/>
      <c r="W3213" s="149"/>
      <c r="X3213" s="149"/>
      <c r="Y3213" s="149"/>
      <c r="Z3213" s="149"/>
      <c r="AA3213" s="149"/>
      <c r="AB3213" s="149"/>
      <c r="AC3213" s="149"/>
      <c r="AD3213" s="149"/>
      <c r="AE3213" s="149"/>
      <c r="AF3213" s="149"/>
      <c r="AG3213" s="149"/>
      <c r="AH3213" s="149"/>
      <c r="AI3213" s="149"/>
      <c r="AJ3213" s="149"/>
      <c r="AK3213" s="149"/>
      <c r="AL3213" s="149"/>
      <c r="AM3213" s="149"/>
      <c r="AN3213" s="149"/>
      <c r="AO3213" s="128"/>
      <c r="AP3213" s="128"/>
      <c r="AQ3213" s="128"/>
      <c r="AR3213" s="128"/>
      <c r="AS3213" s="128"/>
      <c r="AT3213" s="128"/>
      <c r="AU3213" s="128"/>
      <c r="AV3213" s="128"/>
      <c r="AW3213" s="128"/>
      <c r="AX3213" s="128"/>
      <c r="AY3213" s="128"/>
      <c r="AZ3213" s="128"/>
      <c r="BA3213" s="128"/>
      <c r="BB3213" s="128"/>
      <c r="BC3213" s="128"/>
      <c r="BD3213" s="128"/>
      <c r="BE3213" s="128"/>
      <c r="BF3213" s="128"/>
      <c r="BG3213" s="128"/>
      <c r="BH3213" s="128"/>
      <c r="BI3213" s="128"/>
      <c r="BJ3213" s="128"/>
      <c r="BK3213" s="128"/>
      <c r="BL3213" s="128"/>
      <c r="BM3213" s="151"/>
      <c r="BN3213" s="128"/>
      <c r="BO3213" s="128"/>
      <c r="BP3213" s="128"/>
      <c r="BQ3213" s="128"/>
      <c r="BR3213" s="128"/>
      <c r="BS3213" s="128"/>
      <c r="BT3213" s="128"/>
      <c r="BU3213" s="128"/>
      <c r="BV3213" s="128"/>
      <c r="BW3213" s="128"/>
      <c r="BX3213" s="128"/>
      <c r="BY3213" s="128"/>
      <c r="BZ3213" s="128"/>
      <c r="CA3213" s="128"/>
      <c r="CB3213" s="128"/>
      <c r="CC3213" s="128"/>
      <c r="CD3213" s="128"/>
      <c r="CE3213" s="128"/>
      <c r="CF3213" s="128"/>
      <c r="CG3213" s="128"/>
      <c r="CI3213" s="128"/>
      <c r="CJ3213" s="128"/>
      <c r="CK3213" s="128"/>
      <c r="CL3213" s="128"/>
      <c r="CM3213" s="128"/>
      <c r="CN3213" s="128"/>
      <c r="CO3213" s="128"/>
      <c r="CP3213" s="128"/>
      <c r="CQ3213" s="128"/>
      <c r="CR3213" s="128"/>
      <c r="CS3213" s="128"/>
      <c r="CT3213" s="128"/>
      <c r="CU3213" s="128"/>
      <c r="CV3213" s="128"/>
      <c r="CW3213" s="128"/>
      <c r="CX3213" s="128"/>
      <c r="CY3213" s="128"/>
      <c r="CZ3213" s="165"/>
    </row>
    <row r="3214" spans="1:104">
      <c r="A3214" s="149"/>
      <c r="B3214" s="149"/>
      <c r="C3214" s="150"/>
      <c r="D3214" s="102"/>
      <c r="E3214" s="149"/>
      <c r="F3214" s="149"/>
      <c r="G3214" s="149"/>
      <c r="H3214" s="149"/>
      <c r="I3214" s="149"/>
      <c r="J3214" s="149"/>
      <c r="K3214" s="149"/>
      <c r="L3214" s="149"/>
      <c r="M3214" s="149"/>
      <c r="N3214" s="149"/>
      <c r="O3214" s="149"/>
      <c r="P3214" s="149"/>
      <c r="Q3214" s="149"/>
      <c r="R3214" s="149"/>
      <c r="S3214" s="149"/>
      <c r="T3214" s="149"/>
      <c r="U3214" s="149"/>
      <c r="V3214" s="149"/>
      <c r="W3214" s="149"/>
      <c r="X3214" s="149"/>
      <c r="Y3214" s="149"/>
      <c r="Z3214" s="149"/>
      <c r="AA3214" s="149"/>
      <c r="AB3214" s="149"/>
      <c r="AC3214" s="149"/>
      <c r="AD3214" s="149"/>
      <c r="AE3214" s="149"/>
      <c r="AF3214" s="149"/>
      <c r="AG3214" s="149"/>
      <c r="AH3214" s="149"/>
      <c r="AI3214" s="149"/>
      <c r="AJ3214" s="149"/>
      <c r="AK3214" s="149"/>
      <c r="AL3214" s="149"/>
      <c r="AM3214" s="149"/>
      <c r="AN3214" s="149"/>
      <c r="AO3214" s="128"/>
      <c r="AP3214" s="128"/>
      <c r="AQ3214" s="128"/>
      <c r="AR3214" s="128"/>
      <c r="AS3214" s="128"/>
      <c r="AT3214" s="128"/>
      <c r="AU3214" s="128"/>
      <c r="AV3214" s="128"/>
      <c r="AW3214" s="128"/>
      <c r="AX3214" s="128"/>
      <c r="AY3214" s="128"/>
      <c r="AZ3214" s="128"/>
      <c r="BA3214" s="128"/>
      <c r="BB3214" s="128"/>
      <c r="BC3214" s="128"/>
      <c r="BD3214" s="128"/>
      <c r="BE3214" s="128"/>
      <c r="BF3214" s="128"/>
      <c r="BG3214" s="128"/>
      <c r="BH3214" s="128"/>
      <c r="BI3214" s="128"/>
      <c r="BJ3214" s="128"/>
      <c r="BK3214" s="128"/>
      <c r="BL3214" s="128"/>
      <c r="BM3214" s="151"/>
      <c r="BN3214" s="128"/>
      <c r="BO3214" s="128"/>
      <c r="BP3214" s="128"/>
      <c r="BQ3214" s="128"/>
      <c r="BR3214" s="128"/>
      <c r="BS3214" s="128"/>
      <c r="BT3214" s="128"/>
      <c r="BU3214" s="128"/>
      <c r="BV3214" s="128"/>
      <c r="BW3214" s="128"/>
      <c r="BX3214" s="128"/>
      <c r="BY3214" s="128"/>
      <c r="BZ3214" s="128"/>
      <c r="CA3214" s="128"/>
      <c r="CB3214" s="128"/>
      <c r="CC3214" s="128"/>
      <c r="CD3214" s="128"/>
      <c r="CE3214" s="128"/>
      <c r="CF3214" s="128"/>
      <c r="CG3214" s="128"/>
      <c r="CI3214" s="128"/>
      <c r="CJ3214" s="128"/>
      <c r="CK3214" s="128"/>
      <c r="CL3214" s="128"/>
      <c r="CM3214" s="128"/>
      <c r="CN3214" s="128"/>
      <c r="CO3214" s="128"/>
      <c r="CP3214" s="128"/>
      <c r="CQ3214" s="128"/>
      <c r="CR3214" s="128"/>
      <c r="CS3214" s="128"/>
      <c r="CT3214" s="128"/>
      <c r="CU3214" s="128"/>
      <c r="CV3214" s="128"/>
      <c r="CW3214" s="128"/>
      <c r="CX3214" s="128"/>
      <c r="CY3214" s="128"/>
      <c r="CZ3214" s="165"/>
    </row>
    <row r="3215" spans="1:104">
      <c r="A3215" s="149"/>
      <c r="B3215" s="149"/>
      <c r="C3215" s="150"/>
      <c r="D3215" s="102"/>
      <c r="E3215" s="149"/>
      <c r="F3215" s="149"/>
      <c r="G3215" s="149"/>
      <c r="H3215" s="149"/>
      <c r="I3215" s="149"/>
      <c r="J3215" s="149"/>
      <c r="K3215" s="149"/>
      <c r="L3215" s="149"/>
      <c r="M3215" s="149"/>
      <c r="N3215" s="149"/>
      <c r="O3215" s="149"/>
      <c r="P3215" s="149"/>
      <c r="Q3215" s="149"/>
      <c r="R3215" s="149"/>
      <c r="S3215" s="149"/>
      <c r="T3215" s="149"/>
      <c r="U3215" s="149"/>
      <c r="V3215" s="149"/>
      <c r="W3215" s="149"/>
      <c r="X3215" s="149"/>
      <c r="Y3215" s="149"/>
      <c r="Z3215" s="149"/>
      <c r="AA3215" s="149"/>
      <c r="AB3215" s="149"/>
      <c r="AC3215" s="149"/>
      <c r="AD3215" s="149"/>
      <c r="AE3215" s="149"/>
      <c r="AF3215" s="149"/>
      <c r="AG3215" s="149"/>
      <c r="AH3215" s="149"/>
      <c r="AI3215" s="149"/>
      <c r="AJ3215" s="149"/>
      <c r="AK3215" s="149"/>
      <c r="AL3215" s="149"/>
      <c r="AM3215" s="149"/>
      <c r="AN3215" s="149"/>
      <c r="AO3215" s="128"/>
      <c r="AP3215" s="128"/>
      <c r="AQ3215" s="128"/>
      <c r="AR3215" s="128"/>
      <c r="AS3215" s="128"/>
      <c r="AT3215" s="128"/>
      <c r="AU3215" s="128"/>
      <c r="AV3215" s="128"/>
      <c r="AW3215" s="128"/>
      <c r="AX3215" s="128"/>
      <c r="AY3215" s="128"/>
      <c r="AZ3215" s="128"/>
      <c r="BA3215" s="128"/>
      <c r="BB3215" s="128"/>
      <c r="BC3215" s="128"/>
      <c r="BD3215" s="128"/>
      <c r="BE3215" s="128"/>
      <c r="BF3215" s="128"/>
      <c r="BG3215" s="128"/>
      <c r="BH3215" s="128"/>
      <c r="BI3215" s="128"/>
      <c r="BJ3215" s="128"/>
      <c r="BK3215" s="128"/>
      <c r="BL3215" s="128"/>
      <c r="BM3215" s="151"/>
      <c r="BN3215" s="128"/>
      <c r="BO3215" s="128"/>
      <c r="BP3215" s="128"/>
      <c r="BQ3215" s="128"/>
      <c r="BR3215" s="128"/>
      <c r="BS3215" s="128"/>
      <c r="BT3215" s="128"/>
      <c r="BU3215" s="128"/>
      <c r="BV3215" s="128"/>
      <c r="BW3215" s="128"/>
      <c r="BX3215" s="128"/>
      <c r="BY3215" s="128"/>
      <c r="BZ3215" s="128"/>
      <c r="CA3215" s="128"/>
      <c r="CB3215" s="128"/>
      <c r="CC3215" s="128"/>
      <c r="CD3215" s="128"/>
      <c r="CE3215" s="128"/>
      <c r="CF3215" s="128"/>
      <c r="CG3215" s="128"/>
      <c r="CI3215" s="128"/>
      <c r="CJ3215" s="128"/>
      <c r="CK3215" s="128"/>
      <c r="CL3215" s="128"/>
      <c r="CM3215" s="128"/>
      <c r="CN3215" s="128"/>
      <c r="CO3215" s="128"/>
      <c r="CP3215" s="128"/>
      <c r="CQ3215" s="128"/>
      <c r="CR3215" s="128"/>
      <c r="CS3215" s="128"/>
      <c r="CT3215" s="128"/>
      <c r="CU3215" s="128"/>
      <c r="CV3215" s="128"/>
      <c r="CW3215" s="128"/>
      <c r="CX3215" s="128"/>
      <c r="CY3215" s="128"/>
      <c r="CZ3215" s="165"/>
    </row>
    <row r="3216" spans="1:104">
      <c r="A3216" s="149"/>
      <c r="B3216" s="149"/>
      <c r="C3216" s="150"/>
      <c r="D3216" s="102"/>
      <c r="E3216" s="149"/>
      <c r="F3216" s="149"/>
      <c r="G3216" s="149"/>
      <c r="H3216" s="149"/>
      <c r="I3216" s="149"/>
      <c r="J3216" s="149"/>
      <c r="K3216" s="149"/>
      <c r="L3216" s="149"/>
      <c r="M3216" s="149"/>
      <c r="N3216" s="149"/>
      <c r="O3216" s="149"/>
      <c r="P3216" s="149"/>
      <c r="Q3216" s="149"/>
      <c r="R3216" s="149"/>
      <c r="S3216" s="149"/>
      <c r="T3216" s="149"/>
      <c r="U3216" s="149"/>
      <c r="V3216" s="149"/>
      <c r="W3216" s="149"/>
      <c r="X3216" s="149"/>
      <c r="Y3216" s="149"/>
      <c r="Z3216" s="149"/>
      <c r="AA3216" s="149"/>
      <c r="AB3216" s="149"/>
      <c r="AC3216" s="149"/>
      <c r="AD3216" s="149"/>
      <c r="AE3216" s="149"/>
      <c r="AF3216" s="149"/>
      <c r="AG3216" s="149"/>
      <c r="AH3216" s="149"/>
      <c r="AI3216" s="149"/>
      <c r="AJ3216" s="149"/>
      <c r="AK3216" s="149"/>
      <c r="AL3216" s="149"/>
      <c r="AM3216" s="149"/>
      <c r="AN3216" s="149"/>
      <c r="AO3216" s="128"/>
      <c r="AP3216" s="128"/>
      <c r="AQ3216" s="128"/>
      <c r="AR3216" s="128"/>
      <c r="AS3216" s="128"/>
      <c r="AT3216" s="128"/>
      <c r="AU3216" s="128"/>
      <c r="AV3216" s="128"/>
      <c r="AW3216" s="128"/>
      <c r="AX3216" s="128"/>
      <c r="AY3216" s="128"/>
      <c r="AZ3216" s="128"/>
      <c r="BA3216" s="128"/>
      <c r="BB3216" s="128"/>
      <c r="BC3216" s="128"/>
      <c r="BD3216" s="128"/>
      <c r="BE3216" s="128"/>
      <c r="BF3216" s="128"/>
      <c r="BG3216" s="128"/>
      <c r="BH3216" s="128"/>
      <c r="BI3216" s="128"/>
      <c r="BJ3216" s="128"/>
      <c r="BK3216" s="128"/>
      <c r="BL3216" s="128"/>
      <c r="BM3216" s="151"/>
      <c r="BN3216" s="128"/>
      <c r="BO3216" s="128"/>
      <c r="BP3216" s="128"/>
      <c r="BQ3216" s="128"/>
      <c r="BR3216" s="128"/>
      <c r="BS3216" s="128"/>
      <c r="BT3216" s="128"/>
      <c r="BU3216" s="128"/>
      <c r="BV3216" s="128"/>
      <c r="BW3216" s="128"/>
      <c r="BX3216" s="128"/>
      <c r="BY3216" s="128"/>
      <c r="BZ3216" s="128"/>
      <c r="CA3216" s="128"/>
      <c r="CB3216" s="128"/>
      <c r="CC3216" s="128"/>
      <c r="CD3216" s="128"/>
      <c r="CE3216" s="128"/>
      <c r="CF3216" s="128"/>
      <c r="CG3216" s="128"/>
      <c r="CI3216" s="128"/>
      <c r="CJ3216" s="128"/>
      <c r="CK3216" s="128"/>
      <c r="CL3216" s="128"/>
      <c r="CM3216" s="128"/>
      <c r="CN3216" s="128"/>
      <c r="CO3216" s="128"/>
      <c r="CP3216" s="128"/>
      <c r="CQ3216" s="128"/>
      <c r="CR3216" s="128"/>
      <c r="CS3216" s="128"/>
      <c r="CT3216" s="128"/>
      <c r="CU3216" s="128"/>
      <c r="CV3216" s="128"/>
      <c r="CW3216" s="128"/>
      <c r="CX3216" s="128"/>
      <c r="CY3216" s="128"/>
      <c r="CZ3216" s="165"/>
    </row>
    <row r="3217" spans="1:104">
      <c r="A3217" s="149"/>
      <c r="B3217" s="149"/>
      <c r="C3217" s="150"/>
      <c r="D3217" s="102"/>
      <c r="E3217" s="149"/>
      <c r="F3217" s="149"/>
      <c r="G3217" s="149"/>
      <c r="H3217" s="149"/>
      <c r="I3217" s="149"/>
      <c r="J3217" s="149"/>
      <c r="K3217" s="149"/>
      <c r="L3217" s="149"/>
      <c r="M3217" s="149"/>
      <c r="N3217" s="149"/>
      <c r="O3217" s="149"/>
      <c r="P3217" s="149"/>
      <c r="Q3217" s="149"/>
      <c r="R3217" s="149"/>
      <c r="S3217" s="149"/>
      <c r="T3217" s="149"/>
      <c r="U3217" s="149"/>
      <c r="V3217" s="149"/>
      <c r="W3217" s="149"/>
      <c r="X3217" s="149"/>
      <c r="Y3217" s="149"/>
      <c r="Z3217" s="149"/>
      <c r="AA3217" s="149"/>
      <c r="AB3217" s="149"/>
      <c r="AC3217" s="149"/>
      <c r="AD3217" s="149"/>
      <c r="AE3217" s="149"/>
      <c r="AF3217" s="149"/>
      <c r="AG3217" s="149"/>
      <c r="AH3217" s="149"/>
      <c r="AI3217" s="149"/>
      <c r="AJ3217" s="149"/>
      <c r="AK3217" s="149"/>
      <c r="AL3217" s="149"/>
      <c r="AM3217" s="149"/>
      <c r="AN3217" s="149"/>
      <c r="AO3217" s="128"/>
      <c r="AP3217" s="128"/>
      <c r="AQ3217" s="128"/>
      <c r="AR3217" s="128"/>
      <c r="AS3217" s="128"/>
      <c r="AT3217" s="128"/>
      <c r="AU3217" s="128"/>
      <c r="AV3217" s="128"/>
      <c r="AW3217" s="128"/>
      <c r="AX3217" s="128"/>
      <c r="AY3217" s="128"/>
      <c r="AZ3217" s="128"/>
      <c r="BA3217" s="128"/>
      <c r="BB3217" s="128"/>
      <c r="BC3217" s="128"/>
      <c r="BD3217" s="128"/>
      <c r="BE3217" s="128"/>
      <c r="BF3217" s="128"/>
      <c r="BG3217" s="128"/>
      <c r="BH3217" s="128"/>
      <c r="BI3217" s="128"/>
      <c r="BJ3217" s="128"/>
      <c r="BK3217" s="128"/>
      <c r="BL3217" s="128"/>
      <c r="BM3217" s="151"/>
      <c r="BN3217" s="128"/>
      <c r="BO3217" s="128"/>
      <c r="BP3217" s="128"/>
      <c r="BQ3217" s="128"/>
      <c r="BR3217" s="128"/>
      <c r="BS3217" s="128"/>
      <c r="BT3217" s="128"/>
      <c r="BU3217" s="128"/>
      <c r="BV3217" s="128"/>
      <c r="BW3217" s="128"/>
      <c r="BX3217" s="128"/>
      <c r="BY3217" s="128"/>
      <c r="BZ3217" s="128"/>
      <c r="CA3217" s="128"/>
      <c r="CB3217" s="128"/>
      <c r="CC3217" s="128"/>
      <c r="CD3217" s="128"/>
      <c r="CE3217" s="128"/>
      <c r="CF3217" s="128"/>
      <c r="CG3217" s="128"/>
      <c r="CI3217" s="128"/>
      <c r="CJ3217" s="128"/>
      <c r="CK3217" s="128"/>
      <c r="CL3217" s="128"/>
      <c r="CM3217" s="128"/>
      <c r="CN3217" s="128"/>
      <c r="CO3217" s="128"/>
      <c r="CP3217" s="128"/>
      <c r="CQ3217" s="128"/>
      <c r="CR3217" s="128"/>
      <c r="CS3217" s="128"/>
      <c r="CT3217" s="128"/>
      <c r="CU3217" s="128"/>
      <c r="CV3217" s="128"/>
      <c r="CW3217" s="128"/>
      <c r="CX3217" s="128"/>
      <c r="CY3217" s="128"/>
      <c r="CZ3217" s="165"/>
    </row>
    <row r="3218" spans="1:104">
      <c r="A3218" s="149"/>
      <c r="B3218" s="149"/>
      <c r="C3218" s="150"/>
      <c r="D3218" s="102"/>
      <c r="E3218" s="149"/>
      <c r="F3218" s="149"/>
      <c r="G3218" s="149"/>
      <c r="H3218" s="149"/>
      <c r="I3218" s="149"/>
      <c r="J3218" s="149"/>
      <c r="K3218" s="149"/>
      <c r="L3218" s="149"/>
      <c r="M3218" s="149"/>
      <c r="N3218" s="149"/>
      <c r="O3218" s="149"/>
      <c r="P3218" s="149"/>
      <c r="Q3218" s="149"/>
      <c r="R3218" s="149"/>
      <c r="S3218" s="149"/>
      <c r="T3218" s="149"/>
      <c r="U3218" s="149"/>
      <c r="V3218" s="149"/>
      <c r="W3218" s="149"/>
      <c r="X3218" s="149"/>
      <c r="Y3218" s="149"/>
      <c r="Z3218" s="149"/>
      <c r="AA3218" s="149"/>
      <c r="AB3218" s="149"/>
      <c r="AC3218" s="149"/>
      <c r="AD3218" s="149"/>
      <c r="AE3218" s="149"/>
      <c r="AF3218" s="149"/>
      <c r="AG3218" s="149"/>
      <c r="AH3218" s="149"/>
      <c r="AI3218" s="149"/>
      <c r="AJ3218" s="149"/>
      <c r="AK3218" s="149"/>
      <c r="AL3218" s="149"/>
      <c r="AM3218" s="149"/>
      <c r="AN3218" s="149"/>
      <c r="AO3218" s="128"/>
      <c r="AP3218" s="128"/>
      <c r="AQ3218" s="128"/>
      <c r="AR3218" s="128"/>
      <c r="AS3218" s="128"/>
      <c r="AT3218" s="128"/>
      <c r="AU3218" s="128"/>
      <c r="AV3218" s="128"/>
      <c r="AW3218" s="128"/>
      <c r="AX3218" s="128"/>
      <c r="AY3218" s="128"/>
      <c r="AZ3218" s="128"/>
      <c r="BA3218" s="128"/>
      <c r="BB3218" s="128"/>
      <c r="BC3218" s="128"/>
      <c r="BD3218" s="128"/>
      <c r="BE3218" s="128"/>
      <c r="BF3218" s="128"/>
      <c r="BG3218" s="128"/>
      <c r="BH3218" s="128"/>
      <c r="BI3218" s="128"/>
      <c r="BJ3218" s="128"/>
      <c r="BK3218" s="128"/>
      <c r="BL3218" s="128"/>
      <c r="BM3218" s="151"/>
      <c r="BN3218" s="128"/>
      <c r="BO3218" s="128"/>
      <c r="BP3218" s="128"/>
      <c r="BQ3218" s="128"/>
      <c r="BR3218" s="128"/>
      <c r="BS3218" s="128"/>
      <c r="BT3218" s="128"/>
      <c r="BU3218" s="128"/>
      <c r="BV3218" s="128"/>
      <c r="BW3218" s="128"/>
      <c r="BX3218" s="128"/>
      <c r="BY3218" s="128"/>
      <c r="BZ3218" s="128"/>
      <c r="CA3218" s="128"/>
      <c r="CB3218" s="128"/>
      <c r="CC3218" s="128"/>
      <c r="CD3218" s="128"/>
      <c r="CE3218" s="128"/>
      <c r="CF3218" s="128"/>
      <c r="CG3218" s="128"/>
      <c r="CI3218" s="128"/>
      <c r="CJ3218" s="128"/>
      <c r="CK3218" s="128"/>
      <c r="CL3218" s="128"/>
      <c r="CM3218" s="128"/>
      <c r="CN3218" s="128"/>
      <c r="CO3218" s="128"/>
      <c r="CP3218" s="128"/>
      <c r="CQ3218" s="128"/>
      <c r="CR3218" s="128"/>
      <c r="CS3218" s="128"/>
      <c r="CT3218" s="128"/>
      <c r="CU3218" s="128"/>
      <c r="CV3218" s="128"/>
      <c r="CW3218" s="128"/>
      <c r="CX3218" s="128"/>
      <c r="CY3218" s="128"/>
      <c r="CZ3218" s="165"/>
    </row>
    <row r="3219" spans="1:104">
      <c r="A3219" s="149"/>
      <c r="B3219" s="149"/>
      <c r="C3219" s="150"/>
      <c r="D3219" s="102"/>
      <c r="E3219" s="149"/>
      <c r="F3219" s="149"/>
      <c r="G3219" s="149"/>
      <c r="H3219" s="149"/>
      <c r="I3219" s="149"/>
      <c r="J3219" s="149"/>
      <c r="K3219" s="149"/>
      <c r="L3219" s="149"/>
      <c r="M3219" s="149"/>
      <c r="N3219" s="149"/>
      <c r="O3219" s="149"/>
      <c r="P3219" s="149"/>
      <c r="Q3219" s="149"/>
      <c r="R3219" s="149"/>
      <c r="S3219" s="149"/>
      <c r="T3219" s="149"/>
      <c r="U3219" s="149"/>
      <c r="V3219" s="149"/>
      <c r="W3219" s="149"/>
      <c r="X3219" s="149"/>
      <c r="Y3219" s="149"/>
      <c r="Z3219" s="149"/>
      <c r="AA3219" s="149"/>
      <c r="AB3219" s="149"/>
      <c r="AC3219" s="149"/>
      <c r="AD3219" s="149"/>
      <c r="AE3219" s="149"/>
      <c r="AF3219" s="149"/>
      <c r="AG3219" s="149"/>
      <c r="AH3219" s="149"/>
      <c r="AI3219" s="149"/>
      <c r="AJ3219" s="149"/>
      <c r="AK3219" s="149"/>
      <c r="AL3219" s="149"/>
      <c r="AM3219" s="149"/>
      <c r="AN3219" s="149"/>
      <c r="AO3219" s="128"/>
      <c r="AP3219" s="128"/>
      <c r="AQ3219" s="128"/>
      <c r="AR3219" s="128"/>
      <c r="AS3219" s="128"/>
      <c r="AT3219" s="128"/>
      <c r="AU3219" s="128"/>
      <c r="AV3219" s="128"/>
      <c r="AW3219" s="128"/>
      <c r="AX3219" s="128"/>
      <c r="AY3219" s="128"/>
      <c r="AZ3219" s="128"/>
      <c r="BA3219" s="128"/>
      <c r="BB3219" s="128"/>
      <c r="BC3219" s="128"/>
      <c r="BD3219" s="128"/>
      <c r="BE3219" s="128"/>
      <c r="BF3219" s="128"/>
      <c r="BG3219" s="128"/>
      <c r="BH3219" s="128"/>
      <c r="BI3219" s="128"/>
      <c r="BJ3219" s="128"/>
      <c r="BK3219" s="128"/>
      <c r="BL3219" s="128"/>
      <c r="BM3219" s="151"/>
      <c r="BN3219" s="128"/>
      <c r="BO3219" s="128"/>
      <c r="BP3219" s="128"/>
      <c r="BQ3219" s="128"/>
      <c r="BR3219" s="128"/>
      <c r="BS3219" s="128"/>
      <c r="BT3219" s="128"/>
      <c r="BU3219" s="128"/>
      <c r="BV3219" s="128"/>
      <c r="BW3219" s="128"/>
      <c r="BX3219" s="128"/>
      <c r="BY3219" s="128"/>
      <c r="BZ3219" s="128"/>
      <c r="CA3219" s="128"/>
      <c r="CB3219" s="128"/>
      <c r="CC3219" s="128"/>
      <c r="CD3219" s="128"/>
      <c r="CE3219" s="128"/>
      <c r="CF3219" s="128"/>
      <c r="CG3219" s="128"/>
      <c r="CI3219" s="128"/>
      <c r="CJ3219" s="128"/>
      <c r="CK3219" s="128"/>
      <c r="CL3219" s="128"/>
      <c r="CM3219" s="128"/>
      <c r="CN3219" s="128"/>
      <c r="CO3219" s="128"/>
      <c r="CP3219" s="128"/>
      <c r="CQ3219" s="128"/>
      <c r="CR3219" s="128"/>
      <c r="CS3219" s="128"/>
      <c r="CT3219" s="128"/>
      <c r="CU3219" s="128"/>
      <c r="CV3219" s="128"/>
      <c r="CW3219" s="128"/>
      <c r="CX3219" s="128"/>
      <c r="CY3219" s="128"/>
      <c r="CZ3219" s="165"/>
    </row>
    <row r="3220" spans="1:104">
      <c r="A3220" s="149"/>
      <c r="B3220" s="149"/>
      <c r="C3220" s="150"/>
      <c r="D3220" s="102"/>
      <c r="E3220" s="149"/>
      <c r="F3220" s="149"/>
      <c r="G3220" s="149"/>
      <c r="H3220" s="149"/>
      <c r="I3220" s="149"/>
      <c r="J3220" s="149"/>
      <c r="K3220" s="149"/>
      <c r="L3220" s="149"/>
      <c r="M3220" s="149"/>
      <c r="N3220" s="149"/>
      <c r="O3220" s="149"/>
      <c r="P3220" s="149"/>
      <c r="Q3220" s="149"/>
      <c r="R3220" s="149"/>
      <c r="S3220" s="149"/>
      <c r="T3220" s="149"/>
      <c r="U3220" s="149"/>
      <c r="V3220" s="149"/>
      <c r="W3220" s="149"/>
      <c r="X3220" s="149"/>
      <c r="Y3220" s="149"/>
      <c r="Z3220" s="149"/>
      <c r="AA3220" s="149"/>
      <c r="AB3220" s="149"/>
      <c r="AC3220" s="149"/>
      <c r="AD3220" s="149"/>
      <c r="AE3220" s="149"/>
      <c r="AF3220" s="149"/>
      <c r="AG3220" s="149"/>
      <c r="AH3220" s="149"/>
      <c r="AI3220" s="149"/>
      <c r="AJ3220" s="149"/>
      <c r="AK3220" s="149"/>
      <c r="AL3220" s="149"/>
      <c r="AM3220" s="149"/>
      <c r="AN3220" s="149"/>
      <c r="AO3220" s="128"/>
      <c r="AP3220" s="128"/>
      <c r="AQ3220" s="128"/>
      <c r="AR3220" s="128"/>
      <c r="AS3220" s="128"/>
      <c r="AT3220" s="128"/>
      <c r="AU3220" s="128"/>
      <c r="AV3220" s="128"/>
      <c r="AW3220" s="128"/>
      <c r="AX3220" s="128"/>
      <c r="AY3220" s="128"/>
      <c r="AZ3220" s="128"/>
      <c r="BA3220" s="128"/>
      <c r="BB3220" s="128"/>
      <c r="BC3220" s="128"/>
      <c r="BD3220" s="128"/>
      <c r="BE3220" s="128"/>
      <c r="BF3220" s="128"/>
      <c r="BG3220" s="128"/>
      <c r="BH3220" s="128"/>
      <c r="BI3220" s="128"/>
      <c r="BJ3220" s="128"/>
      <c r="BK3220" s="128"/>
      <c r="BL3220" s="128"/>
      <c r="BM3220" s="151"/>
      <c r="BN3220" s="128"/>
      <c r="BO3220" s="128"/>
      <c r="BP3220" s="128"/>
      <c r="BQ3220" s="128"/>
      <c r="BR3220" s="128"/>
      <c r="BS3220" s="128"/>
      <c r="BT3220" s="128"/>
      <c r="BU3220" s="128"/>
      <c r="BV3220" s="128"/>
      <c r="BW3220" s="128"/>
      <c r="BX3220" s="128"/>
      <c r="BY3220" s="128"/>
      <c r="BZ3220" s="128"/>
      <c r="CA3220" s="128"/>
      <c r="CB3220" s="128"/>
      <c r="CC3220" s="128"/>
      <c r="CD3220" s="128"/>
      <c r="CE3220" s="128"/>
      <c r="CF3220" s="128"/>
      <c r="CG3220" s="128"/>
      <c r="CI3220" s="128"/>
      <c r="CJ3220" s="128"/>
      <c r="CK3220" s="128"/>
      <c r="CL3220" s="128"/>
      <c r="CM3220" s="128"/>
      <c r="CN3220" s="128"/>
      <c r="CO3220" s="128"/>
      <c r="CP3220" s="128"/>
      <c r="CQ3220" s="128"/>
      <c r="CR3220" s="128"/>
      <c r="CS3220" s="128"/>
      <c r="CT3220" s="128"/>
      <c r="CU3220" s="128"/>
      <c r="CV3220" s="128"/>
      <c r="CW3220" s="128"/>
      <c r="CX3220" s="128"/>
      <c r="CY3220" s="128"/>
      <c r="CZ3220" s="165"/>
    </row>
    <row r="3221" spans="1:104">
      <c r="A3221" s="149"/>
      <c r="B3221" s="149"/>
      <c r="C3221" s="150"/>
      <c r="D3221" s="102"/>
      <c r="E3221" s="149"/>
      <c r="F3221" s="149"/>
      <c r="G3221" s="149"/>
      <c r="H3221" s="149"/>
      <c r="I3221" s="149"/>
      <c r="J3221" s="149"/>
      <c r="K3221" s="149"/>
      <c r="L3221" s="149"/>
      <c r="M3221" s="149"/>
      <c r="N3221" s="149"/>
      <c r="O3221" s="149"/>
      <c r="P3221" s="149"/>
      <c r="Q3221" s="149"/>
      <c r="R3221" s="149"/>
      <c r="S3221" s="149"/>
      <c r="T3221" s="149"/>
      <c r="U3221" s="149"/>
      <c r="V3221" s="149"/>
      <c r="W3221" s="149"/>
      <c r="X3221" s="149"/>
      <c r="Y3221" s="149"/>
      <c r="Z3221" s="149"/>
      <c r="AA3221" s="149"/>
      <c r="AB3221" s="149"/>
      <c r="AC3221" s="149"/>
      <c r="AD3221" s="149"/>
      <c r="AE3221" s="149"/>
      <c r="AF3221" s="149"/>
      <c r="AG3221" s="149"/>
      <c r="AH3221" s="149"/>
      <c r="AI3221" s="149"/>
      <c r="AJ3221" s="149"/>
      <c r="AK3221" s="149"/>
      <c r="AL3221" s="149"/>
      <c r="AM3221" s="149"/>
      <c r="AN3221" s="149"/>
      <c r="AO3221" s="128"/>
      <c r="AP3221" s="128"/>
      <c r="AQ3221" s="128"/>
      <c r="AR3221" s="128"/>
      <c r="AS3221" s="128"/>
      <c r="AT3221" s="128"/>
      <c r="AU3221" s="128"/>
      <c r="AV3221" s="128"/>
      <c r="AW3221" s="128"/>
      <c r="AX3221" s="128"/>
      <c r="AY3221" s="128"/>
      <c r="AZ3221" s="128"/>
      <c r="BA3221" s="128"/>
      <c r="BB3221" s="128"/>
      <c r="BC3221" s="128"/>
      <c r="BD3221" s="128"/>
      <c r="BE3221" s="128"/>
      <c r="BF3221" s="128"/>
      <c r="BG3221" s="128"/>
      <c r="BH3221" s="128"/>
      <c r="BI3221" s="128"/>
      <c r="BJ3221" s="128"/>
      <c r="BK3221" s="128"/>
      <c r="BL3221" s="128"/>
      <c r="BM3221" s="151"/>
      <c r="BN3221" s="128"/>
      <c r="BO3221" s="128"/>
      <c r="BP3221" s="128"/>
      <c r="BQ3221" s="128"/>
      <c r="BR3221" s="128"/>
      <c r="BS3221" s="128"/>
      <c r="BT3221" s="128"/>
      <c r="BU3221" s="128"/>
      <c r="BV3221" s="128"/>
      <c r="BW3221" s="128"/>
      <c r="BX3221" s="128"/>
      <c r="BY3221" s="128"/>
      <c r="BZ3221" s="128"/>
      <c r="CA3221" s="128"/>
      <c r="CB3221" s="128"/>
      <c r="CC3221" s="128"/>
      <c r="CD3221" s="128"/>
      <c r="CE3221" s="128"/>
      <c r="CF3221" s="128"/>
      <c r="CG3221" s="128"/>
      <c r="CI3221" s="128"/>
      <c r="CJ3221" s="128"/>
      <c r="CK3221" s="128"/>
      <c r="CL3221" s="128"/>
      <c r="CM3221" s="128"/>
      <c r="CN3221" s="128"/>
      <c r="CO3221" s="128"/>
      <c r="CP3221" s="128"/>
      <c r="CQ3221" s="128"/>
      <c r="CR3221" s="128"/>
      <c r="CS3221" s="128"/>
      <c r="CT3221" s="128"/>
      <c r="CU3221" s="128"/>
      <c r="CV3221" s="128"/>
      <c r="CW3221" s="128"/>
      <c r="CX3221" s="128"/>
      <c r="CY3221" s="128"/>
      <c r="CZ3221" s="165"/>
    </row>
    <row r="3222" spans="1:104">
      <c r="A3222" s="149"/>
      <c r="B3222" s="149"/>
      <c r="C3222" s="150"/>
      <c r="D3222" s="102"/>
      <c r="E3222" s="149"/>
      <c r="F3222" s="149"/>
      <c r="G3222" s="149"/>
      <c r="H3222" s="149"/>
      <c r="I3222" s="149"/>
      <c r="J3222" s="149"/>
      <c r="K3222" s="149"/>
      <c r="L3222" s="149"/>
      <c r="M3222" s="149"/>
      <c r="N3222" s="149"/>
      <c r="O3222" s="149"/>
      <c r="P3222" s="149"/>
      <c r="Q3222" s="149"/>
      <c r="R3222" s="149"/>
      <c r="S3222" s="149"/>
      <c r="T3222" s="149"/>
      <c r="U3222" s="149"/>
      <c r="V3222" s="149"/>
      <c r="W3222" s="149"/>
      <c r="X3222" s="149"/>
      <c r="Y3222" s="149"/>
      <c r="Z3222" s="149"/>
      <c r="AA3222" s="149"/>
      <c r="AB3222" s="149"/>
      <c r="AC3222" s="149"/>
      <c r="AD3222" s="149"/>
      <c r="AE3222" s="149"/>
      <c r="AF3222" s="149"/>
      <c r="AG3222" s="149"/>
      <c r="AH3222" s="149"/>
      <c r="AI3222" s="149"/>
      <c r="AJ3222" s="149"/>
      <c r="AK3222" s="149"/>
      <c r="AL3222" s="149"/>
      <c r="AM3222" s="149"/>
      <c r="AN3222" s="149"/>
      <c r="AO3222" s="128"/>
      <c r="AP3222" s="128"/>
      <c r="AQ3222" s="128"/>
      <c r="AR3222" s="128"/>
      <c r="AS3222" s="128"/>
      <c r="AT3222" s="128"/>
      <c r="AU3222" s="128"/>
      <c r="AV3222" s="128"/>
      <c r="AW3222" s="128"/>
      <c r="AX3222" s="128"/>
      <c r="AY3222" s="128"/>
      <c r="AZ3222" s="128"/>
      <c r="BA3222" s="128"/>
      <c r="BB3222" s="128"/>
      <c r="BC3222" s="128"/>
      <c r="BD3222" s="128"/>
      <c r="BE3222" s="128"/>
      <c r="BF3222" s="128"/>
      <c r="BG3222" s="128"/>
      <c r="BH3222" s="128"/>
      <c r="BI3222" s="128"/>
      <c r="BJ3222" s="128"/>
      <c r="BK3222" s="128"/>
      <c r="BL3222" s="128"/>
      <c r="BM3222" s="151"/>
      <c r="BN3222" s="128"/>
      <c r="BO3222" s="128"/>
      <c r="BP3222" s="128"/>
      <c r="BQ3222" s="128"/>
      <c r="BR3222" s="128"/>
      <c r="BS3222" s="128"/>
      <c r="BT3222" s="128"/>
      <c r="BU3222" s="128"/>
      <c r="BV3222" s="128"/>
      <c r="BW3222" s="128"/>
      <c r="BX3222" s="128"/>
      <c r="BY3222" s="128"/>
      <c r="BZ3222" s="128"/>
      <c r="CA3222" s="128"/>
      <c r="CB3222" s="128"/>
      <c r="CC3222" s="128"/>
      <c r="CD3222" s="128"/>
      <c r="CE3222" s="128"/>
      <c r="CF3222" s="128"/>
      <c r="CG3222" s="128"/>
      <c r="CI3222" s="128"/>
      <c r="CJ3222" s="128"/>
      <c r="CK3222" s="128"/>
      <c r="CL3222" s="128"/>
      <c r="CM3222" s="128"/>
      <c r="CN3222" s="128"/>
      <c r="CO3222" s="128"/>
      <c r="CP3222" s="128"/>
      <c r="CQ3222" s="128"/>
      <c r="CR3222" s="128"/>
      <c r="CS3222" s="128"/>
      <c r="CT3222" s="128"/>
      <c r="CU3222" s="128"/>
      <c r="CV3222" s="128"/>
      <c r="CW3222" s="128"/>
      <c r="CX3222" s="128"/>
      <c r="CY3222" s="128"/>
      <c r="CZ3222" s="165"/>
    </row>
    <row r="3223" spans="1:104">
      <c r="A3223" s="149"/>
      <c r="B3223" s="149"/>
      <c r="C3223" s="150"/>
      <c r="D3223" s="102"/>
      <c r="E3223" s="149"/>
      <c r="F3223" s="149"/>
      <c r="G3223" s="149"/>
      <c r="H3223" s="149"/>
      <c r="I3223" s="149"/>
      <c r="J3223" s="149"/>
      <c r="K3223" s="149"/>
      <c r="L3223" s="149"/>
      <c r="M3223" s="149"/>
      <c r="N3223" s="149"/>
      <c r="O3223" s="149"/>
      <c r="P3223" s="149"/>
      <c r="Q3223" s="149"/>
      <c r="R3223" s="149"/>
      <c r="S3223" s="149"/>
      <c r="T3223" s="149"/>
      <c r="U3223" s="149"/>
      <c r="V3223" s="149"/>
      <c r="W3223" s="149"/>
      <c r="X3223" s="149"/>
      <c r="Y3223" s="149"/>
      <c r="Z3223" s="149"/>
      <c r="AA3223" s="149"/>
      <c r="AB3223" s="149"/>
      <c r="AC3223" s="149"/>
      <c r="AD3223" s="149"/>
      <c r="AE3223" s="149"/>
      <c r="AF3223" s="149"/>
      <c r="AG3223" s="149"/>
      <c r="AH3223" s="149"/>
      <c r="AI3223" s="149"/>
      <c r="AJ3223" s="149"/>
      <c r="AK3223" s="149"/>
      <c r="AL3223" s="149"/>
      <c r="AM3223" s="149"/>
      <c r="AN3223" s="149"/>
      <c r="AO3223" s="128"/>
      <c r="AP3223" s="128"/>
      <c r="AQ3223" s="128"/>
      <c r="AR3223" s="128"/>
      <c r="AS3223" s="128"/>
      <c r="AT3223" s="128"/>
      <c r="AU3223" s="128"/>
      <c r="AV3223" s="128"/>
      <c r="AW3223" s="128"/>
      <c r="AX3223" s="128"/>
      <c r="AY3223" s="128"/>
      <c r="AZ3223" s="128"/>
      <c r="BA3223" s="128"/>
      <c r="BB3223" s="128"/>
      <c r="BC3223" s="128"/>
      <c r="BD3223" s="128"/>
      <c r="BE3223" s="128"/>
      <c r="BF3223" s="128"/>
      <c r="BG3223" s="128"/>
      <c r="BH3223" s="128"/>
      <c r="BI3223" s="128"/>
      <c r="BJ3223" s="128"/>
      <c r="BK3223" s="128"/>
      <c r="BL3223" s="128"/>
      <c r="BM3223" s="151"/>
      <c r="BN3223" s="128"/>
      <c r="BO3223" s="128"/>
      <c r="BP3223" s="128"/>
      <c r="BQ3223" s="128"/>
      <c r="BR3223" s="128"/>
      <c r="BS3223" s="128"/>
      <c r="BT3223" s="128"/>
      <c r="BU3223" s="128"/>
      <c r="BV3223" s="128"/>
      <c r="BW3223" s="128"/>
      <c r="BX3223" s="128"/>
      <c r="BY3223" s="128"/>
      <c r="BZ3223" s="128"/>
      <c r="CA3223" s="128"/>
      <c r="CB3223" s="128"/>
      <c r="CC3223" s="128"/>
      <c r="CD3223" s="128"/>
      <c r="CE3223" s="128"/>
      <c r="CF3223" s="128"/>
      <c r="CG3223" s="128"/>
      <c r="CI3223" s="128"/>
      <c r="CJ3223" s="128"/>
      <c r="CK3223" s="128"/>
      <c r="CL3223" s="128"/>
      <c r="CM3223" s="128"/>
      <c r="CN3223" s="128"/>
      <c r="CO3223" s="128"/>
      <c r="CP3223" s="128"/>
      <c r="CQ3223" s="128"/>
      <c r="CR3223" s="128"/>
      <c r="CS3223" s="128"/>
      <c r="CT3223" s="128"/>
      <c r="CU3223" s="128"/>
      <c r="CV3223" s="128"/>
      <c r="CW3223" s="128"/>
      <c r="CX3223" s="128"/>
      <c r="CY3223" s="128"/>
      <c r="CZ3223" s="165"/>
    </row>
    <row r="3224" spans="1:104">
      <c r="A3224" s="149"/>
      <c r="B3224" s="149"/>
      <c r="C3224" s="150"/>
      <c r="D3224" s="102"/>
      <c r="E3224" s="149"/>
      <c r="F3224" s="149"/>
      <c r="G3224" s="149"/>
      <c r="H3224" s="149"/>
      <c r="I3224" s="149"/>
      <c r="J3224" s="149"/>
      <c r="K3224" s="149"/>
      <c r="L3224" s="149"/>
      <c r="M3224" s="149"/>
      <c r="N3224" s="149"/>
      <c r="O3224" s="149"/>
      <c r="P3224" s="149"/>
      <c r="Q3224" s="149"/>
      <c r="R3224" s="149"/>
      <c r="S3224" s="149"/>
      <c r="T3224" s="149"/>
      <c r="U3224" s="149"/>
      <c r="V3224" s="149"/>
      <c r="W3224" s="149"/>
      <c r="X3224" s="149"/>
      <c r="Y3224" s="149"/>
      <c r="Z3224" s="149"/>
      <c r="AA3224" s="149"/>
      <c r="AB3224" s="149"/>
      <c r="AC3224" s="149"/>
      <c r="AD3224" s="149"/>
      <c r="AE3224" s="149"/>
      <c r="AF3224" s="149"/>
      <c r="AG3224" s="149"/>
      <c r="AH3224" s="149"/>
      <c r="AI3224" s="149"/>
      <c r="AJ3224" s="149"/>
      <c r="AK3224" s="149"/>
      <c r="AL3224" s="149"/>
      <c r="AM3224" s="149"/>
      <c r="AN3224" s="149"/>
      <c r="AO3224" s="128"/>
      <c r="AP3224" s="128"/>
      <c r="AQ3224" s="128"/>
      <c r="AR3224" s="128"/>
      <c r="AS3224" s="128"/>
      <c r="AT3224" s="128"/>
      <c r="AU3224" s="128"/>
      <c r="AV3224" s="128"/>
      <c r="AW3224" s="128"/>
      <c r="AX3224" s="128"/>
      <c r="AY3224" s="128"/>
      <c r="AZ3224" s="128"/>
      <c r="BA3224" s="128"/>
      <c r="BB3224" s="128"/>
      <c r="BC3224" s="128"/>
      <c r="BD3224" s="128"/>
      <c r="BE3224" s="128"/>
      <c r="BF3224" s="128"/>
      <c r="BG3224" s="128"/>
      <c r="BH3224" s="128"/>
      <c r="BI3224" s="128"/>
      <c r="BJ3224" s="128"/>
      <c r="BK3224" s="128"/>
      <c r="BL3224" s="128"/>
      <c r="BM3224" s="151"/>
      <c r="BN3224" s="128"/>
      <c r="BO3224" s="128"/>
      <c r="BP3224" s="128"/>
      <c r="BQ3224" s="128"/>
      <c r="BR3224" s="128"/>
      <c r="BS3224" s="128"/>
      <c r="BT3224" s="128"/>
      <c r="BU3224" s="128"/>
      <c r="BV3224" s="128"/>
      <c r="BW3224" s="128"/>
      <c r="BX3224" s="128"/>
      <c r="BY3224" s="128"/>
      <c r="BZ3224" s="128"/>
      <c r="CA3224" s="128"/>
      <c r="CB3224" s="128"/>
      <c r="CC3224" s="128"/>
      <c r="CD3224" s="128"/>
      <c r="CE3224" s="128"/>
      <c r="CF3224" s="128"/>
      <c r="CG3224" s="128"/>
      <c r="CI3224" s="128"/>
      <c r="CJ3224" s="128"/>
      <c r="CK3224" s="128"/>
      <c r="CL3224" s="128"/>
      <c r="CM3224" s="128"/>
      <c r="CN3224" s="128"/>
      <c r="CO3224" s="128"/>
      <c r="CP3224" s="128"/>
      <c r="CQ3224" s="128"/>
      <c r="CR3224" s="128"/>
      <c r="CS3224" s="128"/>
      <c r="CT3224" s="128"/>
      <c r="CU3224" s="128"/>
      <c r="CV3224" s="128"/>
      <c r="CW3224" s="128"/>
      <c r="CX3224" s="128"/>
      <c r="CY3224" s="128"/>
      <c r="CZ3224" s="165"/>
    </row>
    <row r="3225" spans="1:104">
      <c r="A3225" s="149"/>
      <c r="B3225" s="149"/>
      <c r="C3225" s="150"/>
      <c r="D3225" s="102"/>
      <c r="E3225" s="149"/>
      <c r="F3225" s="149"/>
      <c r="G3225" s="149"/>
      <c r="H3225" s="149"/>
      <c r="I3225" s="149"/>
      <c r="J3225" s="149"/>
      <c r="K3225" s="149"/>
      <c r="L3225" s="149"/>
      <c r="M3225" s="149"/>
      <c r="N3225" s="149"/>
      <c r="O3225" s="149"/>
      <c r="P3225" s="149"/>
      <c r="Q3225" s="149"/>
      <c r="R3225" s="149"/>
      <c r="S3225" s="149"/>
      <c r="T3225" s="149"/>
      <c r="U3225" s="149"/>
      <c r="V3225" s="149"/>
      <c r="W3225" s="149"/>
      <c r="X3225" s="149"/>
      <c r="Y3225" s="149"/>
      <c r="Z3225" s="149"/>
      <c r="AA3225" s="149"/>
      <c r="AB3225" s="149"/>
      <c r="AC3225" s="149"/>
      <c r="AD3225" s="149"/>
      <c r="AE3225" s="149"/>
      <c r="AF3225" s="149"/>
      <c r="AG3225" s="149"/>
      <c r="AH3225" s="149"/>
      <c r="AI3225" s="149"/>
      <c r="AJ3225" s="149"/>
      <c r="AK3225" s="149"/>
      <c r="AL3225" s="149"/>
      <c r="AM3225" s="149"/>
      <c r="AN3225" s="149"/>
      <c r="AO3225" s="128"/>
      <c r="AP3225" s="128"/>
      <c r="AQ3225" s="128"/>
      <c r="AR3225" s="128"/>
      <c r="AS3225" s="128"/>
      <c r="AT3225" s="128"/>
      <c r="AU3225" s="128"/>
      <c r="AV3225" s="128"/>
      <c r="AW3225" s="128"/>
      <c r="AX3225" s="128"/>
      <c r="AY3225" s="128"/>
      <c r="AZ3225" s="128"/>
      <c r="BA3225" s="128"/>
      <c r="BB3225" s="128"/>
      <c r="BC3225" s="128"/>
      <c r="BD3225" s="128"/>
      <c r="BE3225" s="128"/>
      <c r="BF3225" s="128"/>
      <c r="BG3225" s="128"/>
      <c r="BH3225" s="128"/>
      <c r="BI3225" s="128"/>
      <c r="BJ3225" s="128"/>
      <c r="BK3225" s="128"/>
      <c r="BL3225" s="128"/>
      <c r="BM3225" s="151"/>
      <c r="BN3225" s="128"/>
      <c r="BO3225" s="128"/>
      <c r="BP3225" s="128"/>
      <c r="BQ3225" s="128"/>
      <c r="BR3225" s="128"/>
      <c r="BS3225" s="128"/>
      <c r="BT3225" s="128"/>
      <c r="BU3225" s="128"/>
      <c r="BV3225" s="128"/>
      <c r="BW3225" s="128"/>
      <c r="BX3225" s="128"/>
      <c r="BY3225" s="128"/>
      <c r="BZ3225" s="128"/>
      <c r="CA3225" s="128"/>
      <c r="CB3225" s="128"/>
      <c r="CC3225" s="128"/>
      <c r="CD3225" s="128"/>
      <c r="CE3225" s="128"/>
      <c r="CF3225" s="128"/>
      <c r="CG3225" s="128"/>
      <c r="CI3225" s="128"/>
      <c r="CJ3225" s="128"/>
      <c r="CK3225" s="128"/>
      <c r="CL3225" s="128"/>
      <c r="CM3225" s="128"/>
      <c r="CN3225" s="128"/>
      <c r="CO3225" s="128"/>
      <c r="CP3225" s="128"/>
      <c r="CQ3225" s="128"/>
      <c r="CR3225" s="128"/>
      <c r="CS3225" s="128"/>
      <c r="CT3225" s="128"/>
      <c r="CU3225" s="128"/>
      <c r="CV3225" s="128"/>
      <c r="CW3225" s="128"/>
      <c r="CX3225" s="128"/>
      <c r="CY3225" s="128"/>
      <c r="CZ3225" s="165"/>
    </row>
    <row r="3226" spans="1:104">
      <c r="A3226" s="149"/>
      <c r="B3226" s="149"/>
      <c r="C3226" s="150"/>
      <c r="D3226" s="102"/>
      <c r="E3226" s="149"/>
      <c r="F3226" s="149"/>
      <c r="G3226" s="149"/>
      <c r="H3226" s="149"/>
      <c r="I3226" s="149"/>
      <c r="J3226" s="149"/>
      <c r="K3226" s="149"/>
      <c r="L3226" s="149"/>
      <c r="M3226" s="149"/>
      <c r="N3226" s="149"/>
      <c r="O3226" s="149"/>
      <c r="P3226" s="149"/>
      <c r="Q3226" s="149"/>
      <c r="R3226" s="149"/>
      <c r="S3226" s="149"/>
      <c r="T3226" s="149"/>
      <c r="U3226" s="149"/>
      <c r="V3226" s="149"/>
      <c r="W3226" s="149"/>
      <c r="X3226" s="149"/>
      <c r="Y3226" s="149"/>
      <c r="Z3226" s="149"/>
      <c r="AA3226" s="149"/>
      <c r="AB3226" s="149"/>
      <c r="AC3226" s="149"/>
      <c r="AD3226" s="149"/>
      <c r="AE3226" s="149"/>
      <c r="AF3226" s="149"/>
      <c r="AG3226" s="149"/>
      <c r="AH3226" s="149"/>
      <c r="AI3226" s="149"/>
      <c r="AJ3226" s="149"/>
      <c r="AK3226" s="149"/>
      <c r="AL3226" s="149"/>
      <c r="AM3226" s="149"/>
      <c r="AN3226" s="149"/>
      <c r="AO3226" s="128"/>
      <c r="AP3226" s="128"/>
      <c r="AQ3226" s="128"/>
      <c r="AR3226" s="128"/>
      <c r="AS3226" s="128"/>
      <c r="AT3226" s="128"/>
      <c r="AU3226" s="128"/>
      <c r="AV3226" s="128"/>
      <c r="AW3226" s="128"/>
      <c r="AX3226" s="128"/>
      <c r="AY3226" s="128"/>
      <c r="AZ3226" s="128"/>
      <c r="BA3226" s="128"/>
      <c r="BB3226" s="128"/>
      <c r="BC3226" s="128"/>
      <c r="BD3226" s="128"/>
      <c r="BE3226" s="128"/>
      <c r="BF3226" s="128"/>
      <c r="BG3226" s="128"/>
      <c r="BH3226" s="128"/>
      <c r="BI3226" s="128"/>
      <c r="BJ3226" s="128"/>
      <c r="BK3226" s="128"/>
      <c r="BL3226" s="128"/>
      <c r="BM3226" s="151"/>
      <c r="BN3226" s="128"/>
      <c r="BO3226" s="128"/>
      <c r="BP3226" s="128"/>
      <c r="BQ3226" s="128"/>
      <c r="BR3226" s="128"/>
      <c r="BS3226" s="128"/>
      <c r="BT3226" s="128"/>
      <c r="BU3226" s="128"/>
      <c r="BV3226" s="128"/>
      <c r="BW3226" s="128"/>
      <c r="BX3226" s="128"/>
      <c r="BY3226" s="128"/>
      <c r="BZ3226" s="128"/>
      <c r="CA3226" s="128"/>
      <c r="CB3226" s="128"/>
      <c r="CC3226" s="128"/>
      <c r="CD3226" s="128"/>
      <c r="CE3226" s="128"/>
      <c r="CF3226" s="128"/>
      <c r="CG3226" s="128"/>
      <c r="CI3226" s="128"/>
      <c r="CJ3226" s="128"/>
      <c r="CK3226" s="128"/>
      <c r="CL3226" s="128"/>
      <c r="CM3226" s="128"/>
      <c r="CN3226" s="128"/>
      <c r="CO3226" s="128"/>
      <c r="CP3226" s="128"/>
      <c r="CQ3226" s="128"/>
      <c r="CR3226" s="128"/>
      <c r="CS3226" s="128"/>
      <c r="CT3226" s="128"/>
      <c r="CU3226" s="128"/>
      <c r="CV3226" s="128"/>
      <c r="CW3226" s="128"/>
      <c r="CX3226" s="128"/>
      <c r="CY3226" s="128"/>
      <c r="CZ3226" s="165"/>
    </row>
    <row r="3227" spans="1:104">
      <c r="A3227" s="149"/>
      <c r="B3227" s="149"/>
      <c r="C3227" s="150"/>
      <c r="D3227" s="102"/>
      <c r="E3227" s="149"/>
      <c r="F3227" s="149"/>
      <c r="G3227" s="149"/>
      <c r="H3227" s="149"/>
      <c r="I3227" s="149"/>
      <c r="J3227" s="149"/>
      <c r="K3227" s="149"/>
      <c r="L3227" s="149"/>
      <c r="M3227" s="149"/>
      <c r="N3227" s="149"/>
      <c r="O3227" s="149"/>
      <c r="P3227" s="149"/>
      <c r="Q3227" s="149"/>
      <c r="R3227" s="149"/>
      <c r="S3227" s="149"/>
      <c r="T3227" s="149"/>
      <c r="U3227" s="149"/>
      <c r="V3227" s="149"/>
      <c r="W3227" s="149"/>
      <c r="X3227" s="149"/>
      <c r="Y3227" s="149"/>
      <c r="Z3227" s="149"/>
      <c r="AA3227" s="149"/>
      <c r="AB3227" s="149"/>
      <c r="AC3227" s="149"/>
      <c r="AD3227" s="149"/>
      <c r="AE3227" s="149"/>
      <c r="AF3227" s="149"/>
      <c r="AG3227" s="149"/>
      <c r="AH3227" s="149"/>
      <c r="AI3227" s="149"/>
      <c r="AJ3227" s="149"/>
      <c r="AK3227" s="149"/>
      <c r="AL3227" s="149"/>
      <c r="AM3227" s="149"/>
      <c r="AN3227" s="149"/>
      <c r="AO3227" s="128"/>
      <c r="AP3227" s="128"/>
      <c r="AQ3227" s="128"/>
      <c r="AR3227" s="128"/>
      <c r="AS3227" s="128"/>
      <c r="AT3227" s="128"/>
      <c r="AU3227" s="128"/>
      <c r="AV3227" s="128"/>
      <c r="AW3227" s="128"/>
      <c r="AX3227" s="128"/>
      <c r="AY3227" s="128"/>
      <c r="AZ3227" s="128"/>
      <c r="BA3227" s="128"/>
      <c r="BB3227" s="128"/>
      <c r="BC3227" s="128"/>
      <c r="BD3227" s="128"/>
      <c r="BE3227" s="128"/>
      <c r="BF3227" s="128"/>
      <c r="BG3227" s="128"/>
      <c r="BH3227" s="128"/>
      <c r="BI3227" s="128"/>
      <c r="BJ3227" s="128"/>
      <c r="BK3227" s="128"/>
      <c r="BL3227" s="128"/>
      <c r="BM3227" s="151"/>
      <c r="BN3227" s="128"/>
      <c r="BO3227" s="128"/>
      <c r="BP3227" s="128"/>
      <c r="BQ3227" s="128"/>
      <c r="BR3227" s="128"/>
      <c r="BS3227" s="128"/>
      <c r="BT3227" s="128"/>
      <c r="BU3227" s="128"/>
      <c r="BV3227" s="128"/>
      <c r="BW3227" s="128"/>
      <c r="BX3227" s="128"/>
      <c r="BY3227" s="128"/>
      <c r="BZ3227" s="128"/>
      <c r="CA3227" s="128"/>
      <c r="CB3227" s="128"/>
      <c r="CC3227" s="128"/>
      <c r="CD3227" s="128"/>
      <c r="CE3227" s="128"/>
      <c r="CF3227" s="128"/>
      <c r="CG3227" s="128"/>
      <c r="CI3227" s="128"/>
      <c r="CJ3227" s="128"/>
      <c r="CK3227" s="128"/>
      <c r="CL3227" s="128"/>
      <c r="CM3227" s="128"/>
      <c r="CN3227" s="128"/>
      <c r="CO3227" s="128"/>
      <c r="CP3227" s="128"/>
      <c r="CQ3227" s="128"/>
      <c r="CR3227" s="128"/>
      <c r="CS3227" s="128"/>
      <c r="CT3227" s="128"/>
      <c r="CU3227" s="128"/>
      <c r="CV3227" s="128"/>
      <c r="CW3227" s="128"/>
      <c r="CX3227" s="128"/>
      <c r="CY3227" s="128"/>
      <c r="CZ3227" s="165"/>
    </row>
    <row r="3228" spans="1:104">
      <c r="A3228" s="149"/>
      <c r="B3228" s="149"/>
      <c r="C3228" s="150"/>
      <c r="D3228" s="102"/>
      <c r="E3228" s="149"/>
      <c r="F3228" s="149"/>
      <c r="G3228" s="149"/>
      <c r="H3228" s="149"/>
      <c r="I3228" s="149"/>
      <c r="J3228" s="149"/>
      <c r="K3228" s="149"/>
      <c r="L3228" s="149"/>
      <c r="M3228" s="149"/>
      <c r="N3228" s="149"/>
      <c r="O3228" s="149"/>
      <c r="P3228" s="149"/>
      <c r="Q3228" s="149"/>
      <c r="R3228" s="149"/>
      <c r="S3228" s="149"/>
      <c r="T3228" s="149"/>
      <c r="U3228" s="149"/>
      <c r="V3228" s="149"/>
      <c r="W3228" s="149"/>
      <c r="X3228" s="149"/>
      <c r="Y3228" s="149"/>
      <c r="Z3228" s="149"/>
      <c r="AA3228" s="149"/>
      <c r="AB3228" s="149"/>
      <c r="AC3228" s="149"/>
      <c r="AD3228" s="149"/>
      <c r="AE3228" s="149"/>
      <c r="AF3228" s="149"/>
      <c r="AG3228" s="149"/>
      <c r="AH3228" s="149"/>
      <c r="AI3228" s="149"/>
      <c r="AJ3228" s="149"/>
      <c r="AK3228" s="149"/>
      <c r="AL3228" s="149"/>
      <c r="AM3228" s="149"/>
      <c r="AN3228" s="149"/>
      <c r="AO3228" s="128"/>
      <c r="AP3228" s="128"/>
      <c r="AQ3228" s="128"/>
      <c r="AR3228" s="128"/>
      <c r="AS3228" s="128"/>
      <c r="AT3228" s="128"/>
      <c r="AU3228" s="128"/>
      <c r="AV3228" s="128"/>
      <c r="AW3228" s="128"/>
      <c r="AX3228" s="128"/>
      <c r="AY3228" s="128"/>
      <c r="AZ3228" s="128"/>
      <c r="BA3228" s="128"/>
      <c r="BB3228" s="128"/>
      <c r="BC3228" s="128"/>
      <c r="BD3228" s="128"/>
      <c r="BE3228" s="128"/>
      <c r="BF3228" s="128"/>
      <c r="BG3228" s="128"/>
      <c r="BH3228" s="128"/>
      <c r="BI3228" s="128"/>
      <c r="BJ3228" s="128"/>
      <c r="BK3228" s="128"/>
      <c r="BL3228" s="128"/>
      <c r="BM3228" s="151"/>
      <c r="BN3228" s="128"/>
      <c r="BO3228" s="128"/>
      <c r="BP3228" s="128"/>
      <c r="BQ3228" s="128"/>
      <c r="BR3228" s="128"/>
      <c r="BS3228" s="128"/>
      <c r="BT3228" s="128"/>
      <c r="BU3228" s="128"/>
      <c r="BV3228" s="128"/>
      <c r="BW3228" s="128"/>
      <c r="BX3228" s="128"/>
      <c r="BY3228" s="128"/>
      <c r="BZ3228" s="128"/>
      <c r="CA3228" s="128"/>
      <c r="CB3228" s="128"/>
      <c r="CC3228" s="128"/>
      <c r="CD3228" s="128"/>
      <c r="CE3228" s="128"/>
      <c r="CF3228" s="128"/>
      <c r="CG3228" s="128"/>
      <c r="CI3228" s="128"/>
      <c r="CJ3228" s="128"/>
      <c r="CK3228" s="128"/>
      <c r="CL3228" s="128"/>
      <c r="CM3228" s="128"/>
      <c r="CN3228" s="128"/>
      <c r="CO3228" s="128"/>
      <c r="CP3228" s="128"/>
      <c r="CQ3228" s="128"/>
      <c r="CR3228" s="128"/>
      <c r="CS3228" s="128"/>
      <c r="CT3228" s="128"/>
      <c r="CU3228" s="128"/>
      <c r="CV3228" s="128"/>
      <c r="CW3228" s="128"/>
      <c r="CX3228" s="128"/>
      <c r="CY3228" s="128"/>
      <c r="CZ3228" s="165"/>
    </row>
    <row r="3229" spans="1:104">
      <c r="A3229" s="149"/>
      <c r="B3229" s="149"/>
      <c r="C3229" s="150"/>
      <c r="D3229" s="102"/>
      <c r="E3229" s="149"/>
      <c r="F3229" s="149"/>
      <c r="G3229" s="149"/>
      <c r="H3229" s="149"/>
      <c r="I3229" s="149"/>
      <c r="J3229" s="149"/>
      <c r="K3229" s="149"/>
      <c r="L3229" s="149"/>
      <c r="M3229" s="149"/>
      <c r="N3229" s="149"/>
      <c r="O3229" s="149"/>
      <c r="P3229" s="149"/>
      <c r="Q3229" s="149"/>
      <c r="R3229" s="149"/>
      <c r="S3229" s="149"/>
      <c r="T3229" s="149"/>
      <c r="U3229" s="149"/>
      <c r="V3229" s="149"/>
      <c r="W3229" s="149"/>
      <c r="X3229" s="149"/>
      <c r="Y3229" s="149"/>
      <c r="Z3229" s="149"/>
      <c r="AA3229" s="149"/>
      <c r="AB3229" s="149"/>
      <c r="AC3229" s="149"/>
      <c r="AD3229" s="149"/>
      <c r="AE3229" s="149"/>
      <c r="AF3229" s="149"/>
      <c r="AG3229" s="149"/>
      <c r="AH3229" s="149"/>
      <c r="AI3229" s="149"/>
      <c r="AJ3229" s="149"/>
      <c r="AK3229" s="149"/>
      <c r="AL3229" s="149"/>
      <c r="AM3229" s="149"/>
      <c r="AN3229" s="149"/>
      <c r="AO3229" s="128"/>
      <c r="AP3229" s="128"/>
      <c r="AQ3229" s="128"/>
      <c r="AR3229" s="128"/>
      <c r="AS3229" s="128"/>
      <c r="AT3229" s="128"/>
      <c r="AU3229" s="128"/>
      <c r="AV3229" s="128"/>
      <c r="AW3229" s="128"/>
      <c r="AX3229" s="128"/>
      <c r="AY3229" s="128"/>
      <c r="AZ3229" s="128"/>
      <c r="BA3229" s="128"/>
      <c r="BB3229" s="128"/>
      <c r="BC3229" s="128"/>
      <c r="BD3229" s="128"/>
      <c r="BE3229" s="128"/>
      <c r="BF3229" s="128"/>
      <c r="BG3229" s="128"/>
      <c r="BH3229" s="128"/>
      <c r="BI3229" s="128"/>
      <c r="BJ3229" s="128"/>
      <c r="BK3229" s="128"/>
      <c r="BL3229" s="128"/>
      <c r="BM3229" s="151"/>
      <c r="BN3229" s="128"/>
      <c r="BO3229" s="128"/>
      <c r="BP3229" s="128"/>
      <c r="BQ3229" s="128"/>
      <c r="BR3229" s="128"/>
      <c r="BS3229" s="128"/>
      <c r="BT3229" s="128"/>
      <c r="BU3229" s="128"/>
      <c r="BV3229" s="128"/>
      <c r="BW3229" s="128"/>
      <c r="BX3229" s="128"/>
      <c r="BY3229" s="128"/>
      <c r="BZ3229" s="128"/>
      <c r="CA3229" s="128"/>
      <c r="CB3229" s="128"/>
      <c r="CC3229" s="128"/>
      <c r="CD3229" s="128"/>
      <c r="CE3229" s="128"/>
      <c r="CF3229" s="128"/>
      <c r="CG3229" s="128"/>
      <c r="CI3229" s="128"/>
      <c r="CJ3229" s="128"/>
      <c r="CK3229" s="128"/>
      <c r="CL3229" s="128"/>
      <c r="CM3229" s="128"/>
      <c r="CN3229" s="128"/>
      <c r="CO3229" s="128"/>
      <c r="CP3229" s="128"/>
      <c r="CQ3229" s="128"/>
      <c r="CR3229" s="128"/>
      <c r="CS3229" s="128"/>
      <c r="CT3229" s="128"/>
      <c r="CU3229" s="128"/>
      <c r="CV3229" s="128"/>
      <c r="CW3229" s="128"/>
      <c r="CX3229" s="128"/>
      <c r="CY3229" s="128"/>
      <c r="CZ3229" s="165"/>
    </row>
    <row r="3230" spans="1:104">
      <c r="A3230" s="149"/>
      <c r="B3230" s="149"/>
      <c r="C3230" s="150"/>
      <c r="D3230" s="102"/>
      <c r="E3230" s="149"/>
      <c r="F3230" s="149"/>
      <c r="G3230" s="149"/>
      <c r="H3230" s="149"/>
      <c r="I3230" s="149"/>
      <c r="J3230" s="149"/>
      <c r="K3230" s="149"/>
      <c r="L3230" s="149"/>
      <c r="M3230" s="149"/>
      <c r="N3230" s="149"/>
      <c r="O3230" s="149"/>
      <c r="P3230" s="149"/>
      <c r="Q3230" s="149"/>
      <c r="R3230" s="149"/>
      <c r="S3230" s="149"/>
      <c r="T3230" s="149"/>
      <c r="U3230" s="149"/>
      <c r="V3230" s="149"/>
      <c r="W3230" s="149"/>
      <c r="X3230" s="149"/>
      <c r="Y3230" s="149"/>
      <c r="Z3230" s="149"/>
      <c r="AA3230" s="149"/>
      <c r="AB3230" s="149"/>
      <c r="AC3230" s="149"/>
      <c r="AD3230" s="149"/>
      <c r="AE3230" s="149"/>
      <c r="AF3230" s="149"/>
      <c r="AG3230" s="149"/>
      <c r="AH3230" s="149"/>
      <c r="AI3230" s="149"/>
      <c r="AJ3230" s="149"/>
      <c r="AK3230" s="149"/>
      <c r="AL3230" s="149"/>
      <c r="AM3230" s="149"/>
      <c r="AN3230" s="149"/>
      <c r="AO3230" s="128"/>
      <c r="AP3230" s="128"/>
      <c r="AQ3230" s="128"/>
      <c r="AR3230" s="128"/>
      <c r="AS3230" s="128"/>
      <c r="AT3230" s="128"/>
      <c r="AU3230" s="128"/>
      <c r="AV3230" s="128"/>
      <c r="AW3230" s="128"/>
      <c r="AX3230" s="128"/>
      <c r="AY3230" s="128"/>
      <c r="AZ3230" s="128"/>
      <c r="BA3230" s="128"/>
      <c r="BB3230" s="128"/>
      <c r="BC3230" s="128"/>
      <c r="BD3230" s="128"/>
      <c r="BE3230" s="128"/>
      <c r="BF3230" s="128"/>
      <c r="BG3230" s="128"/>
      <c r="BH3230" s="128"/>
      <c r="BI3230" s="128"/>
      <c r="BJ3230" s="128"/>
      <c r="BK3230" s="128"/>
      <c r="BL3230" s="128"/>
      <c r="BM3230" s="151"/>
      <c r="BN3230" s="128"/>
      <c r="BO3230" s="128"/>
      <c r="BP3230" s="128"/>
      <c r="BQ3230" s="128"/>
      <c r="BR3230" s="128"/>
      <c r="BS3230" s="128"/>
      <c r="BT3230" s="128"/>
      <c r="BU3230" s="128"/>
      <c r="BV3230" s="128"/>
      <c r="BW3230" s="128"/>
      <c r="BX3230" s="128"/>
      <c r="BY3230" s="128"/>
      <c r="BZ3230" s="128"/>
      <c r="CA3230" s="128"/>
      <c r="CB3230" s="128"/>
      <c r="CC3230" s="128"/>
      <c r="CD3230" s="128"/>
      <c r="CE3230" s="128"/>
      <c r="CF3230" s="128"/>
      <c r="CG3230" s="128"/>
      <c r="CI3230" s="128"/>
      <c r="CJ3230" s="128"/>
      <c r="CK3230" s="128"/>
      <c r="CL3230" s="128"/>
      <c r="CM3230" s="128"/>
      <c r="CN3230" s="128"/>
      <c r="CO3230" s="128"/>
      <c r="CP3230" s="128"/>
      <c r="CQ3230" s="128"/>
      <c r="CR3230" s="128"/>
      <c r="CS3230" s="128"/>
      <c r="CT3230" s="128"/>
      <c r="CU3230" s="128"/>
      <c r="CV3230" s="128"/>
      <c r="CW3230" s="128"/>
      <c r="CX3230" s="128"/>
      <c r="CY3230" s="128"/>
      <c r="CZ3230" s="165"/>
    </row>
    <row r="3231" spans="1:104">
      <c r="A3231" s="149"/>
      <c r="B3231" s="149"/>
      <c r="C3231" s="150"/>
      <c r="D3231" s="102"/>
      <c r="E3231" s="149"/>
      <c r="F3231" s="149"/>
      <c r="G3231" s="149"/>
      <c r="H3231" s="149"/>
      <c r="I3231" s="149"/>
      <c r="J3231" s="149"/>
      <c r="K3231" s="149"/>
      <c r="L3231" s="149"/>
      <c r="M3231" s="149"/>
      <c r="N3231" s="149"/>
      <c r="O3231" s="149"/>
      <c r="P3231" s="149"/>
      <c r="Q3231" s="149"/>
      <c r="R3231" s="149"/>
      <c r="S3231" s="149"/>
      <c r="T3231" s="149"/>
      <c r="U3231" s="149"/>
      <c r="V3231" s="149"/>
      <c r="W3231" s="149"/>
      <c r="X3231" s="149"/>
      <c r="Y3231" s="149"/>
      <c r="Z3231" s="149"/>
      <c r="AA3231" s="149"/>
      <c r="AB3231" s="149"/>
      <c r="AC3231" s="149"/>
      <c r="AD3231" s="149"/>
      <c r="AE3231" s="149"/>
      <c r="AF3231" s="149"/>
      <c r="AG3231" s="149"/>
      <c r="AH3231" s="149"/>
      <c r="AI3231" s="149"/>
      <c r="AJ3231" s="149"/>
      <c r="AK3231" s="149"/>
      <c r="AL3231" s="149"/>
      <c r="AM3231" s="149"/>
      <c r="AN3231" s="149"/>
      <c r="AO3231" s="128"/>
      <c r="AP3231" s="128"/>
      <c r="AQ3231" s="128"/>
      <c r="AR3231" s="128"/>
      <c r="AS3231" s="128"/>
      <c r="AT3231" s="128"/>
      <c r="AU3231" s="128"/>
      <c r="AV3231" s="128"/>
      <c r="AW3231" s="128"/>
      <c r="AX3231" s="128"/>
      <c r="AY3231" s="128"/>
      <c r="AZ3231" s="128"/>
      <c r="BA3231" s="128"/>
      <c r="BB3231" s="128"/>
      <c r="BC3231" s="128"/>
      <c r="BD3231" s="128"/>
      <c r="BE3231" s="128"/>
      <c r="BF3231" s="128"/>
      <c r="BG3231" s="128"/>
      <c r="BH3231" s="128"/>
      <c r="BI3231" s="128"/>
      <c r="BJ3231" s="128"/>
      <c r="BK3231" s="128"/>
      <c r="BL3231" s="128"/>
      <c r="BM3231" s="151"/>
      <c r="BN3231" s="128"/>
      <c r="BO3231" s="128"/>
      <c r="BP3231" s="128"/>
      <c r="BQ3231" s="128"/>
      <c r="BR3231" s="128"/>
      <c r="BS3231" s="128"/>
      <c r="BT3231" s="128"/>
      <c r="BU3231" s="128"/>
      <c r="BV3231" s="128"/>
      <c r="BW3231" s="128"/>
      <c r="BX3231" s="128"/>
      <c r="BY3231" s="128"/>
      <c r="BZ3231" s="128"/>
      <c r="CA3231" s="128"/>
      <c r="CB3231" s="128"/>
      <c r="CC3231" s="128"/>
      <c r="CD3231" s="128"/>
      <c r="CE3231" s="128"/>
      <c r="CF3231" s="128"/>
      <c r="CG3231" s="128"/>
      <c r="CI3231" s="128"/>
      <c r="CJ3231" s="128"/>
      <c r="CK3231" s="128"/>
      <c r="CL3231" s="128"/>
      <c r="CM3231" s="128"/>
      <c r="CN3231" s="128"/>
      <c r="CO3231" s="128"/>
      <c r="CP3231" s="128"/>
      <c r="CQ3231" s="128"/>
      <c r="CR3231" s="128"/>
      <c r="CS3231" s="128"/>
      <c r="CT3231" s="128"/>
      <c r="CU3231" s="128"/>
      <c r="CV3231" s="128"/>
      <c r="CW3231" s="128"/>
      <c r="CX3231" s="128"/>
      <c r="CY3231" s="128"/>
      <c r="CZ3231" s="165"/>
    </row>
    <row r="3232" spans="1:104">
      <c r="A3232" s="149"/>
      <c r="B3232" s="149"/>
      <c r="C3232" s="150"/>
      <c r="D3232" s="102"/>
      <c r="E3232" s="149"/>
      <c r="F3232" s="149"/>
      <c r="G3232" s="149"/>
      <c r="H3232" s="149"/>
      <c r="I3232" s="149"/>
      <c r="J3232" s="149"/>
      <c r="K3232" s="149"/>
      <c r="L3232" s="149"/>
      <c r="M3232" s="149"/>
      <c r="N3232" s="149"/>
      <c r="O3232" s="149"/>
      <c r="P3232" s="149"/>
      <c r="Q3232" s="149"/>
      <c r="R3232" s="149"/>
      <c r="S3232" s="149"/>
      <c r="T3232" s="149"/>
      <c r="U3232" s="149"/>
      <c r="V3232" s="149"/>
      <c r="W3232" s="149"/>
      <c r="X3232" s="149"/>
      <c r="Y3232" s="149"/>
      <c r="Z3232" s="149"/>
      <c r="AA3232" s="149"/>
      <c r="AB3232" s="149"/>
      <c r="AC3232" s="149"/>
      <c r="AD3232" s="149"/>
      <c r="AE3232" s="149"/>
      <c r="AF3232" s="149"/>
      <c r="AG3232" s="149"/>
      <c r="AH3232" s="149"/>
      <c r="AI3232" s="149"/>
      <c r="AJ3232" s="149"/>
      <c r="AK3232" s="149"/>
      <c r="AL3232" s="149"/>
      <c r="AM3232" s="149"/>
      <c r="AN3232" s="149"/>
      <c r="AO3232" s="128"/>
      <c r="AP3232" s="128"/>
      <c r="AQ3232" s="128"/>
      <c r="AR3232" s="128"/>
      <c r="AS3232" s="128"/>
      <c r="AT3232" s="128"/>
      <c r="AU3232" s="128"/>
      <c r="AV3232" s="128"/>
      <c r="AW3232" s="128"/>
      <c r="AX3232" s="128"/>
      <c r="AY3232" s="128"/>
      <c r="AZ3232" s="128"/>
      <c r="BA3232" s="128"/>
      <c r="BB3232" s="128"/>
      <c r="BC3232" s="128"/>
      <c r="BD3232" s="128"/>
      <c r="BE3232" s="128"/>
      <c r="BF3232" s="128"/>
      <c r="BG3232" s="128"/>
      <c r="BH3232" s="128"/>
      <c r="BI3232" s="128"/>
      <c r="BJ3232" s="128"/>
      <c r="BK3232" s="128"/>
      <c r="BL3232" s="128"/>
      <c r="BM3232" s="151"/>
      <c r="BN3232" s="128"/>
      <c r="BO3232" s="128"/>
      <c r="BP3232" s="128"/>
      <c r="BQ3232" s="128"/>
      <c r="BR3232" s="128"/>
      <c r="BS3232" s="128"/>
      <c r="BT3232" s="128"/>
      <c r="BU3232" s="128"/>
      <c r="BV3232" s="128"/>
      <c r="BW3232" s="128"/>
      <c r="BX3232" s="128"/>
      <c r="BY3232" s="128"/>
      <c r="BZ3232" s="128"/>
      <c r="CA3232" s="128"/>
      <c r="CB3232" s="128"/>
      <c r="CC3232" s="128"/>
      <c r="CD3232" s="128"/>
      <c r="CE3232" s="128"/>
      <c r="CF3232" s="128"/>
      <c r="CG3232" s="128"/>
      <c r="CI3232" s="128"/>
      <c r="CJ3232" s="128"/>
      <c r="CK3232" s="128"/>
      <c r="CL3232" s="128"/>
      <c r="CM3232" s="128"/>
      <c r="CN3232" s="128"/>
      <c r="CO3232" s="128"/>
      <c r="CP3232" s="128"/>
      <c r="CQ3232" s="128"/>
      <c r="CR3232" s="128"/>
      <c r="CS3232" s="128"/>
      <c r="CT3232" s="128"/>
      <c r="CU3232" s="128"/>
      <c r="CV3232" s="128"/>
      <c r="CW3232" s="128"/>
      <c r="CX3232" s="128"/>
      <c r="CY3232" s="128"/>
      <c r="CZ3232" s="165"/>
    </row>
    <row r="3233" spans="1:104">
      <c r="A3233" s="149"/>
      <c r="B3233" s="149"/>
      <c r="C3233" s="150"/>
      <c r="D3233" s="102"/>
      <c r="E3233" s="149"/>
      <c r="F3233" s="149"/>
      <c r="G3233" s="149"/>
      <c r="H3233" s="149"/>
      <c r="I3233" s="149"/>
      <c r="J3233" s="149"/>
      <c r="K3233" s="149"/>
      <c r="L3233" s="149"/>
      <c r="M3233" s="149"/>
      <c r="N3233" s="149"/>
      <c r="O3233" s="149"/>
      <c r="P3233" s="149"/>
      <c r="Q3233" s="149"/>
      <c r="R3233" s="149"/>
      <c r="S3233" s="149"/>
      <c r="T3233" s="149"/>
      <c r="U3233" s="149"/>
      <c r="V3233" s="149"/>
      <c r="W3233" s="149"/>
      <c r="X3233" s="149"/>
      <c r="Y3233" s="149"/>
      <c r="Z3233" s="149"/>
      <c r="AA3233" s="149"/>
      <c r="AB3233" s="149"/>
      <c r="AC3233" s="149"/>
      <c r="AD3233" s="149"/>
      <c r="AE3233" s="149"/>
      <c r="AF3233" s="149"/>
      <c r="AG3233" s="149"/>
      <c r="AH3233" s="149"/>
      <c r="AI3233" s="149"/>
      <c r="AJ3233" s="149"/>
      <c r="AK3233" s="149"/>
      <c r="AL3233" s="149"/>
      <c r="AM3233" s="149"/>
      <c r="AN3233" s="149"/>
      <c r="AO3233" s="128"/>
      <c r="AP3233" s="128"/>
      <c r="AQ3233" s="128"/>
      <c r="AR3233" s="128"/>
      <c r="AS3233" s="128"/>
      <c r="AT3233" s="128"/>
      <c r="AU3233" s="128"/>
      <c r="AV3233" s="128"/>
      <c r="AW3233" s="128"/>
      <c r="AX3233" s="128"/>
      <c r="AY3233" s="128"/>
      <c r="AZ3233" s="128"/>
      <c r="BA3233" s="128"/>
      <c r="BB3233" s="128"/>
      <c r="BC3233" s="128"/>
      <c r="BD3233" s="128"/>
      <c r="BE3233" s="128"/>
      <c r="BF3233" s="128"/>
      <c r="BG3233" s="128"/>
      <c r="BH3233" s="128"/>
      <c r="BI3233" s="128"/>
      <c r="BJ3233" s="128"/>
      <c r="BK3233" s="128"/>
      <c r="BL3233" s="128"/>
      <c r="BM3233" s="151"/>
      <c r="BN3233" s="128"/>
      <c r="BO3233" s="128"/>
      <c r="BP3233" s="128"/>
      <c r="BQ3233" s="128"/>
      <c r="BR3233" s="128"/>
      <c r="BS3233" s="128"/>
      <c r="BT3233" s="128"/>
      <c r="BU3233" s="128"/>
      <c r="BV3233" s="128"/>
      <c r="BW3233" s="128"/>
      <c r="BX3233" s="128"/>
      <c r="BY3233" s="128"/>
      <c r="BZ3233" s="128"/>
      <c r="CA3233" s="128"/>
      <c r="CB3233" s="128"/>
      <c r="CC3233" s="128"/>
      <c r="CD3233" s="128"/>
      <c r="CE3233" s="128"/>
      <c r="CF3233" s="128"/>
      <c r="CG3233" s="128"/>
      <c r="CI3233" s="128"/>
      <c r="CJ3233" s="128"/>
      <c r="CK3233" s="128"/>
      <c r="CL3233" s="128"/>
      <c r="CM3233" s="128"/>
      <c r="CN3233" s="128"/>
      <c r="CO3233" s="128"/>
      <c r="CP3233" s="128"/>
      <c r="CQ3233" s="128"/>
      <c r="CR3233" s="128"/>
      <c r="CS3233" s="128"/>
      <c r="CT3233" s="128"/>
      <c r="CU3233" s="128"/>
      <c r="CV3233" s="128"/>
      <c r="CW3233" s="128"/>
      <c r="CX3233" s="128"/>
      <c r="CY3233" s="128"/>
      <c r="CZ3233" s="165"/>
    </row>
    <row r="3234" spans="1:104">
      <c r="A3234" s="149"/>
      <c r="B3234" s="149"/>
      <c r="C3234" s="150"/>
      <c r="D3234" s="102"/>
      <c r="E3234" s="149"/>
      <c r="F3234" s="149"/>
      <c r="G3234" s="149"/>
      <c r="H3234" s="149"/>
      <c r="I3234" s="149"/>
      <c r="J3234" s="149"/>
      <c r="K3234" s="149"/>
      <c r="L3234" s="149"/>
      <c r="M3234" s="149"/>
      <c r="N3234" s="149"/>
      <c r="O3234" s="149"/>
      <c r="P3234" s="149"/>
      <c r="Q3234" s="149"/>
      <c r="R3234" s="149"/>
      <c r="S3234" s="149"/>
      <c r="T3234" s="149"/>
      <c r="U3234" s="149"/>
      <c r="V3234" s="149"/>
      <c r="W3234" s="149"/>
      <c r="X3234" s="149"/>
      <c r="Y3234" s="149"/>
      <c r="Z3234" s="149"/>
      <c r="AA3234" s="149"/>
      <c r="AB3234" s="149"/>
      <c r="AC3234" s="149"/>
      <c r="AD3234" s="149"/>
      <c r="AE3234" s="149"/>
      <c r="AF3234" s="149"/>
      <c r="AG3234" s="149"/>
      <c r="AH3234" s="149"/>
      <c r="AI3234" s="149"/>
      <c r="AJ3234" s="149"/>
      <c r="AK3234" s="149"/>
      <c r="AL3234" s="149"/>
      <c r="AM3234" s="149"/>
      <c r="AN3234" s="149"/>
      <c r="AO3234" s="128"/>
      <c r="AP3234" s="128"/>
      <c r="AQ3234" s="128"/>
      <c r="AR3234" s="128"/>
      <c r="AS3234" s="128"/>
      <c r="AT3234" s="128"/>
      <c r="AU3234" s="128"/>
      <c r="AV3234" s="128"/>
      <c r="AW3234" s="128"/>
      <c r="AX3234" s="128"/>
      <c r="AY3234" s="128"/>
      <c r="AZ3234" s="128"/>
      <c r="BA3234" s="128"/>
      <c r="BB3234" s="128"/>
      <c r="BC3234" s="128"/>
      <c r="BD3234" s="128"/>
      <c r="BE3234" s="128"/>
      <c r="BF3234" s="128"/>
      <c r="BG3234" s="128"/>
      <c r="BH3234" s="128"/>
      <c r="BI3234" s="128"/>
      <c r="BJ3234" s="128"/>
      <c r="BK3234" s="128"/>
      <c r="BL3234" s="128"/>
      <c r="BM3234" s="151"/>
      <c r="BN3234" s="128"/>
      <c r="BO3234" s="128"/>
      <c r="BP3234" s="128"/>
      <c r="BQ3234" s="128"/>
      <c r="BR3234" s="128"/>
      <c r="BS3234" s="128"/>
      <c r="BT3234" s="128"/>
      <c r="BU3234" s="128"/>
      <c r="BV3234" s="128"/>
      <c r="BW3234" s="128"/>
      <c r="BX3234" s="128"/>
      <c r="BY3234" s="128"/>
      <c r="BZ3234" s="128"/>
      <c r="CA3234" s="128"/>
      <c r="CB3234" s="128"/>
      <c r="CC3234" s="128"/>
      <c r="CD3234" s="128"/>
      <c r="CE3234" s="128"/>
      <c r="CF3234" s="128"/>
      <c r="CG3234" s="128"/>
      <c r="CI3234" s="128"/>
      <c r="CJ3234" s="128"/>
      <c r="CK3234" s="128"/>
      <c r="CL3234" s="128"/>
      <c r="CM3234" s="128"/>
      <c r="CN3234" s="128"/>
      <c r="CO3234" s="128"/>
      <c r="CP3234" s="128"/>
      <c r="CQ3234" s="128"/>
      <c r="CR3234" s="128"/>
      <c r="CS3234" s="128"/>
      <c r="CT3234" s="128"/>
      <c r="CU3234" s="128"/>
      <c r="CV3234" s="128"/>
      <c r="CW3234" s="128"/>
      <c r="CX3234" s="128"/>
      <c r="CY3234" s="128"/>
      <c r="CZ3234" s="165"/>
    </row>
    <row r="3235" spans="1:104">
      <c r="A3235" s="149"/>
      <c r="B3235" s="149"/>
      <c r="C3235" s="150"/>
      <c r="D3235" s="102"/>
      <c r="E3235" s="149"/>
      <c r="F3235" s="149"/>
      <c r="G3235" s="149"/>
      <c r="H3235" s="149"/>
      <c r="I3235" s="149"/>
      <c r="J3235" s="149"/>
      <c r="K3235" s="149"/>
      <c r="L3235" s="149"/>
      <c r="M3235" s="149"/>
      <c r="N3235" s="149"/>
      <c r="O3235" s="149"/>
      <c r="P3235" s="149"/>
      <c r="Q3235" s="149"/>
      <c r="R3235" s="149"/>
      <c r="S3235" s="149"/>
      <c r="T3235" s="149"/>
      <c r="U3235" s="149"/>
      <c r="V3235" s="149"/>
      <c r="W3235" s="149"/>
      <c r="X3235" s="149"/>
      <c r="Y3235" s="149"/>
      <c r="Z3235" s="149"/>
      <c r="AA3235" s="149"/>
      <c r="AB3235" s="149"/>
      <c r="AC3235" s="149"/>
      <c r="AD3235" s="149"/>
      <c r="AE3235" s="149"/>
      <c r="AF3235" s="149"/>
      <c r="AG3235" s="149"/>
      <c r="AH3235" s="149"/>
      <c r="AI3235" s="149"/>
      <c r="AJ3235" s="149"/>
      <c r="AK3235" s="149"/>
      <c r="AL3235" s="149"/>
      <c r="AM3235" s="149"/>
      <c r="AN3235" s="149"/>
      <c r="AO3235" s="128"/>
      <c r="AP3235" s="128"/>
      <c r="AQ3235" s="128"/>
      <c r="AR3235" s="128"/>
      <c r="AS3235" s="128"/>
      <c r="AT3235" s="128"/>
      <c r="AU3235" s="128"/>
      <c r="AV3235" s="128"/>
      <c r="AW3235" s="128"/>
      <c r="AX3235" s="128"/>
      <c r="AY3235" s="128"/>
      <c r="AZ3235" s="128"/>
      <c r="BA3235" s="128"/>
      <c r="BB3235" s="128"/>
      <c r="BC3235" s="128"/>
      <c r="BD3235" s="128"/>
      <c r="BE3235" s="128"/>
      <c r="BF3235" s="128"/>
      <c r="BG3235" s="128"/>
      <c r="BH3235" s="128"/>
      <c r="BI3235" s="128"/>
      <c r="BJ3235" s="128"/>
      <c r="BK3235" s="128"/>
      <c r="BL3235" s="128"/>
      <c r="BM3235" s="151"/>
      <c r="BN3235" s="128"/>
      <c r="BO3235" s="128"/>
      <c r="BP3235" s="128"/>
      <c r="BQ3235" s="128"/>
      <c r="BR3235" s="128"/>
      <c r="BS3235" s="128"/>
      <c r="BT3235" s="128"/>
      <c r="BU3235" s="128"/>
      <c r="BV3235" s="128"/>
      <c r="BW3235" s="128"/>
      <c r="BX3235" s="128"/>
      <c r="BY3235" s="128"/>
      <c r="BZ3235" s="128"/>
      <c r="CA3235" s="128"/>
      <c r="CB3235" s="128"/>
      <c r="CC3235" s="128"/>
      <c r="CD3235" s="128"/>
      <c r="CE3235" s="128"/>
      <c r="CF3235" s="128"/>
      <c r="CG3235" s="128"/>
      <c r="CI3235" s="128"/>
      <c r="CJ3235" s="128"/>
      <c r="CK3235" s="128"/>
      <c r="CL3235" s="128"/>
      <c r="CM3235" s="128"/>
      <c r="CN3235" s="128"/>
      <c r="CO3235" s="128"/>
      <c r="CP3235" s="128"/>
      <c r="CQ3235" s="128"/>
      <c r="CR3235" s="128"/>
      <c r="CS3235" s="128"/>
      <c r="CT3235" s="128"/>
      <c r="CU3235" s="128"/>
      <c r="CV3235" s="128"/>
      <c r="CW3235" s="128"/>
      <c r="CX3235" s="128"/>
      <c r="CY3235" s="128"/>
      <c r="CZ3235" s="165"/>
    </row>
    <row r="3236" spans="1:104">
      <c r="A3236" s="149"/>
      <c r="B3236" s="149"/>
      <c r="C3236" s="150"/>
      <c r="D3236" s="102"/>
      <c r="E3236" s="149"/>
      <c r="F3236" s="149"/>
      <c r="G3236" s="149"/>
      <c r="H3236" s="149"/>
      <c r="I3236" s="149"/>
      <c r="J3236" s="149"/>
      <c r="K3236" s="149"/>
      <c r="L3236" s="149"/>
      <c r="M3236" s="149"/>
      <c r="N3236" s="149"/>
      <c r="O3236" s="149"/>
      <c r="P3236" s="149"/>
      <c r="Q3236" s="149"/>
      <c r="R3236" s="149"/>
      <c r="S3236" s="149"/>
      <c r="T3236" s="149"/>
      <c r="U3236" s="149"/>
      <c r="V3236" s="149"/>
      <c r="W3236" s="149"/>
      <c r="X3236" s="149"/>
      <c r="Y3236" s="149"/>
      <c r="Z3236" s="149"/>
      <c r="AA3236" s="149"/>
      <c r="AB3236" s="149"/>
      <c r="AC3236" s="149"/>
      <c r="AD3236" s="149"/>
      <c r="AE3236" s="149"/>
      <c r="AF3236" s="149"/>
      <c r="AG3236" s="149"/>
      <c r="AH3236" s="149"/>
      <c r="AI3236" s="149"/>
      <c r="AJ3236" s="149"/>
      <c r="AK3236" s="149"/>
      <c r="AL3236" s="149"/>
      <c r="AM3236" s="149"/>
      <c r="AN3236" s="149"/>
      <c r="AO3236" s="128"/>
      <c r="AP3236" s="128"/>
      <c r="AQ3236" s="128"/>
      <c r="AR3236" s="128"/>
      <c r="AS3236" s="128"/>
      <c r="AT3236" s="128"/>
      <c r="AU3236" s="128"/>
      <c r="AV3236" s="128"/>
      <c r="AW3236" s="128"/>
      <c r="AX3236" s="128"/>
      <c r="AY3236" s="128"/>
      <c r="AZ3236" s="128"/>
      <c r="BA3236" s="128"/>
      <c r="BB3236" s="128"/>
      <c r="BC3236" s="128"/>
      <c r="BD3236" s="128"/>
      <c r="BE3236" s="128"/>
      <c r="BF3236" s="128"/>
      <c r="BG3236" s="128"/>
      <c r="BH3236" s="128"/>
      <c r="BI3236" s="128"/>
      <c r="BJ3236" s="128"/>
      <c r="BK3236" s="128"/>
      <c r="BL3236" s="128"/>
      <c r="BM3236" s="151"/>
      <c r="BN3236" s="128"/>
      <c r="BO3236" s="128"/>
      <c r="BP3236" s="128"/>
      <c r="BQ3236" s="128"/>
      <c r="BR3236" s="128"/>
      <c r="BS3236" s="128"/>
      <c r="BT3236" s="128"/>
      <c r="BU3236" s="128"/>
      <c r="BV3236" s="128"/>
      <c r="BW3236" s="128"/>
      <c r="BX3236" s="128"/>
      <c r="BY3236" s="128"/>
      <c r="BZ3236" s="128"/>
      <c r="CA3236" s="128"/>
      <c r="CB3236" s="128"/>
      <c r="CC3236" s="128"/>
      <c r="CD3236" s="128"/>
      <c r="CE3236" s="128"/>
      <c r="CF3236" s="128"/>
      <c r="CG3236" s="128"/>
      <c r="CI3236" s="128"/>
      <c r="CJ3236" s="128"/>
      <c r="CK3236" s="128"/>
      <c r="CL3236" s="128"/>
      <c r="CM3236" s="128"/>
      <c r="CN3236" s="128"/>
      <c r="CO3236" s="128"/>
      <c r="CP3236" s="128"/>
      <c r="CQ3236" s="128"/>
      <c r="CR3236" s="128"/>
      <c r="CS3236" s="128"/>
      <c r="CT3236" s="128"/>
      <c r="CU3236" s="128"/>
      <c r="CV3236" s="128"/>
      <c r="CW3236" s="128"/>
      <c r="CX3236" s="128"/>
      <c r="CY3236" s="128"/>
      <c r="CZ3236" s="165"/>
    </row>
    <row r="3237" spans="1:104">
      <c r="A3237" s="149"/>
      <c r="B3237" s="149"/>
      <c r="C3237" s="150"/>
      <c r="D3237" s="102"/>
      <c r="E3237" s="149"/>
      <c r="F3237" s="149"/>
      <c r="G3237" s="149"/>
      <c r="H3237" s="149"/>
      <c r="I3237" s="149"/>
      <c r="J3237" s="149"/>
      <c r="K3237" s="149"/>
      <c r="L3237" s="149"/>
      <c r="M3237" s="149"/>
      <c r="N3237" s="149"/>
      <c r="O3237" s="149"/>
      <c r="P3237" s="149"/>
      <c r="Q3237" s="149"/>
      <c r="R3237" s="149"/>
      <c r="S3237" s="149"/>
      <c r="T3237" s="149"/>
      <c r="U3237" s="149"/>
      <c r="V3237" s="149"/>
      <c r="W3237" s="149"/>
      <c r="X3237" s="149"/>
      <c r="Y3237" s="149"/>
      <c r="Z3237" s="149"/>
      <c r="AA3237" s="149"/>
      <c r="AB3237" s="149"/>
      <c r="AC3237" s="149"/>
      <c r="AD3237" s="149"/>
      <c r="AE3237" s="149"/>
      <c r="AF3237" s="149"/>
      <c r="AG3237" s="149"/>
      <c r="AH3237" s="149"/>
      <c r="AI3237" s="149"/>
      <c r="AJ3237" s="149"/>
      <c r="AK3237" s="149"/>
      <c r="AL3237" s="149"/>
      <c r="AM3237" s="149"/>
      <c r="AN3237" s="149"/>
      <c r="AO3237" s="128"/>
      <c r="AP3237" s="128"/>
      <c r="AQ3237" s="128"/>
      <c r="AR3237" s="128"/>
      <c r="AS3237" s="128"/>
      <c r="AT3237" s="128"/>
      <c r="AU3237" s="128"/>
      <c r="AV3237" s="128"/>
      <c r="AW3237" s="128"/>
      <c r="AX3237" s="128"/>
      <c r="AY3237" s="128"/>
      <c r="AZ3237" s="128"/>
      <c r="BA3237" s="128"/>
      <c r="BB3237" s="128"/>
      <c r="BC3237" s="128"/>
      <c r="BD3237" s="128"/>
      <c r="BE3237" s="128"/>
      <c r="BF3237" s="128"/>
      <c r="BG3237" s="128"/>
      <c r="BH3237" s="128"/>
      <c r="BI3237" s="128"/>
      <c r="BJ3237" s="128"/>
      <c r="BK3237" s="128"/>
      <c r="BL3237" s="128"/>
      <c r="BM3237" s="151"/>
      <c r="BN3237" s="128"/>
      <c r="BO3237" s="128"/>
      <c r="BP3237" s="128"/>
      <c r="BQ3237" s="128"/>
      <c r="BR3237" s="128"/>
      <c r="BS3237" s="128"/>
      <c r="BT3237" s="128"/>
      <c r="BU3237" s="128"/>
      <c r="BV3237" s="128"/>
      <c r="BW3237" s="128"/>
      <c r="BX3237" s="128"/>
      <c r="BY3237" s="128"/>
      <c r="BZ3237" s="128"/>
      <c r="CA3237" s="128"/>
      <c r="CB3237" s="128"/>
      <c r="CC3237" s="128"/>
      <c r="CD3237" s="128"/>
      <c r="CE3237" s="128"/>
      <c r="CF3237" s="128"/>
      <c r="CG3237" s="128"/>
      <c r="CI3237" s="128"/>
      <c r="CJ3237" s="128"/>
      <c r="CK3237" s="128"/>
      <c r="CL3237" s="128"/>
      <c r="CM3237" s="128"/>
      <c r="CN3237" s="128"/>
      <c r="CO3237" s="128"/>
      <c r="CP3237" s="128"/>
      <c r="CQ3237" s="128"/>
      <c r="CR3237" s="128"/>
      <c r="CS3237" s="128"/>
      <c r="CT3237" s="128"/>
      <c r="CU3237" s="128"/>
      <c r="CV3237" s="128"/>
      <c r="CW3237" s="128"/>
      <c r="CX3237" s="128"/>
      <c r="CY3237" s="128"/>
      <c r="CZ3237" s="165"/>
    </row>
    <row r="3238" spans="1:104">
      <c r="A3238" s="149"/>
      <c r="B3238" s="149"/>
      <c r="C3238" s="150"/>
      <c r="D3238" s="102"/>
      <c r="E3238" s="149"/>
      <c r="F3238" s="149"/>
      <c r="G3238" s="149"/>
      <c r="H3238" s="149"/>
      <c r="I3238" s="149"/>
      <c r="J3238" s="149"/>
      <c r="K3238" s="149"/>
      <c r="L3238" s="149"/>
      <c r="M3238" s="149"/>
      <c r="N3238" s="149"/>
      <c r="O3238" s="149"/>
      <c r="P3238" s="149"/>
      <c r="Q3238" s="149"/>
      <c r="R3238" s="149"/>
      <c r="S3238" s="149"/>
      <c r="T3238" s="149"/>
      <c r="U3238" s="149"/>
      <c r="V3238" s="149"/>
      <c r="W3238" s="149"/>
      <c r="X3238" s="149"/>
      <c r="Y3238" s="149"/>
      <c r="Z3238" s="149"/>
      <c r="AA3238" s="149"/>
      <c r="AB3238" s="149"/>
      <c r="AC3238" s="149"/>
      <c r="AD3238" s="149"/>
      <c r="AE3238" s="149"/>
      <c r="AF3238" s="149"/>
      <c r="AG3238" s="149"/>
      <c r="AH3238" s="149"/>
      <c r="AI3238" s="149"/>
      <c r="AJ3238" s="149"/>
      <c r="AK3238" s="149"/>
      <c r="AL3238" s="149"/>
      <c r="AM3238" s="149"/>
      <c r="AN3238" s="149"/>
      <c r="AO3238" s="128"/>
      <c r="AP3238" s="128"/>
      <c r="AQ3238" s="128"/>
      <c r="AR3238" s="128"/>
      <c r="AS3238" s="128"/>
      <c r="AT3238" s="128"/>
      <c r="AU3238" s="128"/>
      <c r="AV3238" s="128"/>
      <c r="AW3238" s="128"/>
      <c r="AX3238" s="128"/>
      <c r="AY3238" s="128"/>
      <c r="AZ3238" s="128"/>
      <c r="BA3238" s="128"/>
      <c r="BB3238" s="128"/>
      <c r="BC3238" s="128"/>
      <c r="BD3238" s="128"/>
      <c r="BE3238" s="128"/>
      <c r="BF3238" s="128"/>
      <c r="BG3238" s="128"/>
      <c r="BH3238" s="128"/>
      <c r="BI3238" s="128"/>
      <c r="BJ3238" s="128"/>
      <c r="BK3238" s="128"/>
      <c r="BL3238" s="128"/>
      <c r="BM3238" s="151"/>
      <c r="BN3238" s="128"/>
      <c r="BO3238" s="128"/>
      <c r="BP3238" s="128"/>
      <c r="BQ3238" s="128"/>
      <c r="BR3238" s="128"/>
      <c r="BS3238" s="128"/>
      <c r="BT3238" s="128"/>
      <c r="BU3238" s="128"/>
      <c r="BV3238" s="128"/>
      <c r="BW3238" s="128"/>
      <c r="BX3238" s="128"/>
      <c r="BY3238" s="128"/>
      <c r="BZ3238" s="128"/>
      <c r="CA3238" s="128"/>
      <c r="CB3238" s="128"/>
      <c r="CC3238" s="128"/>
      <c r="CD3238" s="128"/>
      <c r="CE3238" s="128"/>
      <c r="CF3238" s="128"/>
      <c r="CG3238" s="128"/>
      <c r="CI3238" s="128"/>
      <c r="CJ3238" s="128"/>
      <c r="CK3238" s="128"/>
      <c r="CL3238" s="128"/>
      <c r="CM3238" s="128"/>
      <c r="CN3238" s="128"/>
      <c r="CO3238" s="128"/>
      <c r="CP3238" s="128"/>
      <c r="CQ3238" s="128"/>
      <c r="CR3238" s="128"/>
      <c r="CS3238" s="128"/>
      <c r="CT3238" s="128"/>
      <c r="CU3238" s="128"/>
      <c r="CV3238" s="128"/>
      <c r="CW3238" s="128"/>
      <c r="CX3238" s="128"/>
      <c r="CY3238" s="128"/>
      <c r="CZ3238" s="165"/>
    </row>
    <row r="3239" spans="1:104">
      <c r="A3239" s="149"/>
      <c r="B3239" s="149"/>
      <c r="C3239" s="150"/>
      <c r="D3239" s="102"/>
      <c r="E3239" s="149"/>
      <c r="F3239" s="149"/>
      <c r="G3239" s="149"/>
      <c r="H3239" s="149"/>
      <c r="I3239" s="149"/>
      <c r="J3239" s="149"/>
      <c r="K3239" s="149"/>
      <c r="L3239" s="149"/>
      <c r="M3239" s="149"/>
      <c r="N3239" s="149"/>
      <c r="O3239" s="149"/>
      <c r="P3239" s="149"/>
      <c r="Q3239" s="149"/>
      <c r="R3239" s="149"/>
      <c r="S3239" s="149"/>
      <c r="T3239" s="149"/>
      <c r="U3239" s="149"/>
      <c r="V3239" s="149"/>
      <c r="W3239" s="149"/>
      <c r="X3239" s="149"/>
      <c r="Y3239" s="149"/>
      <c r="Z3239" s="149"/>
      <c r="AA3239" s="149"/>
      <c r="AB3239" s="149"/>
      <c r="AC3239" s="149"/>
      <c r="AD3239" s="149"/>
      <c r="AE3239" s="149"/>
      <c r="AF3239" s="149"/>
      <c r="AG3239" s="149"/>
      <c r="AH3239" s="149"/>
      <c r="AI3239" s="149"/>
      <c r="AJ3239" s="149"/>
      <c r="AK3239" s="149"/>
      <c r="AL3239" s="149"/>
      <c r="AM3239" s="149"/>
      <c r="AN3239" s="149"/>
      <c r="AO3239" s="128"/>
      <c r="AP3239" s="128"/>
      <c r="AQ3239" s="128"/>
      <c r="AR3239" s="128"/>
      <c r="AS3239" s="128"/>
      <c r="AT3239" s="128"/>
      <c r="AU3239" s="128"/>
      <c r="AV3239" s="128"/>
      <c r="AW3239" s="128"/>
      <c r="AX3239" s="128"/>
      <c r="AY3239" s="128"/>
      <c r="AZ3239" s="128"/>
      <c r="BA3239" s="128"/>
      <c r="BB3239" s="128"/>
      <c r="BC3239" s="128"/>
      <c r="BD3239" s="128"/>
      <c r="BE3239" s="128"/>
      <c r="BF3239" s="128"/>
      <c r="BG3239" s="128"/>
      <c r="BH3239" s="128"/>
      <c r="BI3239" s="128"/>
      <c r="BJ3239" s="128"/>
      <c r="BK3239" s="128"/>
      <c r="BL3239" s="128"/>
      <c r="BM3239" s="151"/>
      <c r="BN3239" s="128"/>
      <c r="BO3239" s="128"/>
      <c r="BP3239" s="128"/>
      <c r="BQ3239" s="128"/>
      <c r="BR3239" s="128"/>
      <c r="BS3239" s="128"/>
      <c r="BT3239" s="128"/>
      <c r="BU3239" s="128"/>
      <c r="BV3239" s="128"/>
      <c r="BW3239" s="128"/>
      <c r="BX3239" s="128"/>
      <c r="BY3239" s="128"/>
      <c r="BZ3239" s="128"/>
      <c r="CA3239" s="128"/>
      <c r="CB3239" s="128"/>
      <c r="CC3239" s="128"/>
      <c r="CD3239" s="128"/>
      <c r="CE3239" s="128"/>
      <c r="CF3239" s="128"/>
      <c r="CG3239" s="128"/>
      <c r="CI3239" s="128"/>
      <c r="CJ3239" s="128"/>
      <c r="CK3239" s="128"/>
      <c r="CL3239" s="128"/>
      <c r="CM3239" s="128"/>
      <c r="CN3239" s="128"/>
      <c r="CO3239" s="128"/>
      <c r="CP3239" s="128"/>
      <c r="CQ3239" s="128"/>
      <c r="CR3239" s="128"/>
      <c r="CS3239" s="128"/>
      <c r="CT3239" s="128"/>
      <c r="CU3239" s="128"/>
      <c r="CV3239" s="128"/>
      <c r="CW3239" s="128"/>
      <c r="CX3239" s="128"/>
      <c r="CY3239" s="128"/>
      <c r="CZ3239" s="165"/>
    </row>
    <row r="3240" spans="1:104">
      <c r="A3240" s="149"/>
      <c r="B3240" s="149"/>
      <c r="C3240" s="150"/>
      <c r="D3240" s="102"/>
      <c r="E3240" s="149"/>
      <c r="F3240" s="149"/>
      <c r="G3240" s="149"/>
      <c r="H3240" s="149"/>
      <c r="I3240" s="149"/>
      <c r="J3240" s="149"/>
      <c r="K3240" s="149"/>
      <c r="L3240" s="149"/>
      <c r="M3240" s="149"/>
      <c r="N3240" s="149"/>
      <c r="O3240" s="149"/>
      <c r="P3240" s="149"/>
      <c r="Q3240" s="149"/>
      <c r="R3240" s="149"/>
      <c r="S3240" s="149"/>
      <c r="T3240" s="149"/>
      <c r="U3240" s="149"/>
      <c r="V3240" s="149"/>
      <c r="W3240" s="149"/>
      <c r="X3240" s="149"/>
      <c r="Y3240" s="149"/>
      <c r="Z3240" s="149"/>
      <c r="AA3240" s="149"/>
      <c r="AB3240" s="149"/>
      <c r="AC3240" s="149"/>
      <c r="AD3240" s="149"/>
      <c r="AE3240" s="149"/>
      <c r="AF3240" s="149"/>
      <c r="AG3240" s="149"/>
      <c r="AH3240" s="149"/>
      <c r="AI3240" s="149"/>
      <c r="AJ3240" s="149"/>
      <c r="AK3240" s="149"/>
      <c r="AL3240" s="149"/>
      <c r="AM3240" s="149"/>
      <c r="AN3240" s="149"/>
      <c r="AO3240" s="128"/>
      <c r="AP3240" s="128"/>
      <c r="AQ3240" s="128"/>
      <c r="AR3240" s="128"/>
      <c r="AS3240" s="128"/>
      <c r="AT3240" s="128"/>
      <c r="AU3240" s="128"/>
      <c r="AV3240" s="128"/>
      <c r="AW3240" s="128"/>
      <c r="AX3240" s="128"/>
      <c r="AY3240" s="128"/>
      <c r="AZ3240" s="128"/>
      <c r="BA3240" s="128"/>
      <c r="BB3240" s="128"/>
      <c r="BC3240" s="128"/>
      <c r="BD3240" s="128"/>
      <c r="BE3240" s="128"/>
      <c r="BF3240" s="128"/>
      <c r="BG3240" s="128"/>
      <c r="BH3240" s="128"/>
      <c r="BI3240" s="128"/>
      <c r="BJ3240" s="128"/>
      <c r="BK3240" s="128"/>
      <c r="BL3240" s="128"/>
      <c r="BM3240" s="151"/>
      <c r="BN3240" s="128"/>
      <c r="BO3240" s="128"/>
      <c r="BP3240" s="128"/>
      <c r="BQ3240" s="128"/>
      <c r="BR3240" s="128"/>
      <c r="BS3240" s="128"/>
      <c r="BT3240" s="128"/>
      <c r="BU3240" s="128"/>
      <c r="BV3240" s="128"/>
      <c r="BW3240" s="128"/>
      <c r="BX3240" s="128"/>
      <c r="BY3240" s="128"/>
      <c r="BZ3240" s="128"/>
      <c r="CA3240" s="128"/>
      <c r="CB3240" s="128"/>
      <c r="CC3240" s="128"/>
      <c r="CD3240" s="128"/>
      <c r="CE3240" s="128"/>
      <c r="CF3240" s="128"/>
      <c r="CG3240" s="128"/>
      <c r="CI3240" s="128"/>
      <c r="CJ3240" s="128"/>
      <c r="CK3240" s="128"/>
      <c r="CL3240" s="128"/>
      <c r="CM3240" s="128"/>
      <c r="CN3240" s="128"/>
      <c r="CO3240" s="128"/>
      <c r="CP3240" s="128"/>
      <c r="CQ3240" s="128"/>
      <c r="CR3240" s="128"/>
      <c r="CS3240" s="128"/>
      <c r="CT3240" s="128"/>
      <c r="CU3240" s="128"/>
      <c r="CV3240" s="128"/>
      <c r="CW3240" s="128"/>
      <c r="CX3240" s="128"/>
      <c r="CY3240" s="128"/>
      <c r="CZ3240" s="165"/>
    </row>
    <row r="3241" spans="1:104">
      <c r="A3241" s="149"/>
      <c r="B3241" s="149"/>
      <c r="C3241" s="150"/>
      <c r="D3241" s="102"/>
      <c r="E3241" s="149"/>
      <c r="F3241" s="149"/>
      <c r="G3241" s="149"/>
      <c r="H3241" s="149"/>
      <c r="I3241" s="149"/>
      <c r="J3241" s="149"/>
      <c r="K3241" s="149"/>
      <c r="L3241" s="149"/>
      <c r="M3241" s="149"/>
      <c r="N3241" s="149"/>
      <c r="O3241" s="149"/>
      <c r="P3241" s="149"/>
      <c r="Q3241" s="149"/>
      <c r="R3241" s="149"/>
      <c r="S3241" s="149"/>
      <c r="T3241" s="149"/>
      <c r="U3241" s="149"/>
      <c r="V3241" s="149"/>
      <c r="W3241" s="149"/>
      <c r="X3241" s="149"/>
      <c r="Y3241" s="149"/>
      <c r="Z3241" s="149"/>
      <c r="AA3241" s="149"/>
      <c r="AB3241" s="149"/>
      <c r="AC3241" s="149"/>
      <c r="AD3241" s="149"/>
      <c r="AE3241" s="149"/>
      <c r="AF3241" s="149"/>
      <c r="AG3241" s="149"/>
      <c r="AH3241" s="149"/>
      <c r="AI3241" s="149"/>
      <c r="AJ3241" s="149"/>
      <c r="AK3241" s="149"/>
      <c r="AL3241" s="149"/>
      <c r="AM3241" s="149"/>
      <c r="AN3241" s="149"/>
      <c r="AO3241" s="128"/>
      <c r="AP3241" s="128"/>
      <c r="AQ3241" s="128"/>
      <c r="AR3241" s="128"/>
      <c r="AS3241" s="128"/>
      <c r="AT3241" s="128"/>
      <c r="AU3241" s="128"/>
      <c r="AV3241" s="128"/>
      <c r="AW3241" s="128"/>
      <c r="AX3241" s="128"/>
      <c r="AY3241" s="128"/>
      <c r="AZ3241" s="128"/>
      <c r="BA3241" s="128"/>
      <c r="BB3241" s="128"/>
      <c r="BC3241" s="128"/>
      <c r="BD3241" s="128"/>
      <c r="BE3241" s="128"/>
      <c r="BF3241" s="128"/>
      <c r="BG3241" s="128"/>
      <c r="BH3241" s="128"/>
      <c r="BI3241" s="128"/>
      <c r="BJ3241" s="128"/>
      <c r="BK3241" s="128"/>
      <c r="BL3241" s="128"/>
      <c r="BM3241" s="151"/>
      <c r="BN3241" s="128"/>
      <c r="BO3241" s="128"/>
      <c r="BP3241" s="128"/>
      <c r="BQ3241" s="128"/>
      <c r="BR3241" s="128"/>
      <c r="BS3241" s="128"/>
      <c r="BT3241" s="128"/>
      <c r="BU3241" s="128"/>
      <c r="BV3241" s="128"/>
      <c r="BW3241" s="128"/>
      <c r="BX3241" s="128"/>
      <c r="BY3241" s="128"/>
      <c r="BZ3241" s="128"/>
      <c r="CA3241" s="128"/>
      <c r="CB3241" s="128"/>
      <c r="CC3241" s="128"/>
      <c r="CD3241" s="128"/>
      <c r="CE3241" s="128"/>
      <c r="CF3241" s="128"/>
      <c r="CG3241" s="128"/>
      <c r="CI3241" s="128"/>
      <c r="CJ3241" s="128"/>
      <c r="CK3241" s="128"/>
      <c r="CL3241" s="128"/>
      <c r="CM3241" s="128"/>
      <c r="CN3241" s="128"/>
      <c r="CO3241" s="128"/>
      <c r="CP3241" s="128"/>
      <c r="CQ3241" s="128"/>
      <c r="CR3241" s="128"/>
      <c r="CS3241" s="128"/>
      <c r="CT3241" s="128"/>
      <c r="CU3241" s="128"/>
      <c r="CV3241" s="128"/>
      <c r="CW3241" s="128"/>
      <c r="CX3241" s="128"/>
      <c r="CY3241" s="128"/>
      <c r="CZ3241" s="165"/>
    </row>
    <row r="3242" spans="1:104">
      <c r="A3242" s="149"/>
      <c r="B3242" s="149"/>
      <c r="C3242" s="150"/>
      <c r="D3242" s="102"/>
      <c r="E3242" s="149"/>
      <c r="F3242" s="149"/>
      <c r="G3242" s="149"/>
      <c r="H3242" s="149"/>
      <c r="I3242" s="149"/>
      <c r="J3242" s="149"/>
      <c r="K3242" s="149"/>
      <c r="L3242" s="149"/>
      <c r="M3242" s="149"/>
      <c r="N3242" s="149"/>
      <c r="O3242" s="149"/>
      <c r="P3242" s="149"/>
      <c r="Q3242" s="149"/>
      <c r="R3242" s="149"/>
      <c r="S3242" s="149"/>
      <c r="T3242" s="149"/>
      <c r="U3242" s="149"/>
      <c r="V3242" s="149"/>
      <c r="W3242" s="149"/>
      <c r="X3242" s="149"/>
      <c r="Y3242" s="149"/>
      <c r="Z3242" s="149"/>
      <c r="AA3242" s="149"/>
      <c r="AB3242" s="149"/>
      <c r="AC3242" s="149"/>
      <c r="AD3242" s="149"/>
      <c r="AE3242" s="149"/>
      <c r="AF3242" s="149"/>
      <c r="AG3242" s="149"/>
      <c r="AH3242" s="149"/>
      <c r="AI3242" s="149"/>
      <c r="AJ3242" s="149"/>
      <c r="AK3242" s="149"/>
      <c r="AL3242" s="149"/>
      <c r="AM3242" s="149"/>
      <c r="AN3242" s="149"/>
      <c r="AO3242" s="128"/>
      <c r="AP3242" s="128"/>
      <c r="AQ3242" s="128"/>
      <c r="AR3242" s="128"/>
      <c r="AS3242" s="128"/>
      <c r="AT3242" s="128"/>
      <c r="AU3242" s="128"/>
      <c r="AV3242" s="128"/>
      <c r="AW3242" s="128"/>
      <c r="AX3242" s="128"/>
      <c r="AY3242" s="128"/>
      <c r="AZ3242" s="128"/>
      <c r="BA3242" s="128"/>
      <c r="BB3242" s="128"/>
      <c r="BC3242" s="128"/>
      <c r="BD3242" s="128"/>
      <c r="BE3242" s="128"/>
      <c r="BF3242" s="128"/>
      <c r="BG3242" s="128"/>
      <c r="BH3242" s="128"/>
      <c r="BI3242" s="128"/>
      <c r="BJ3242" s="128"/>
      <c r="BK3242" s="128"/>
      <c r="BL3242" s="128"/>
      <c r="BM3242" s="151"/>
      <c r="BN3242" s="128"/>
      <c r="BO3242" s="128"/>
      <c r="BP3242" s="128"/>
      <c r="BQ3242" s="128"/>
      <c r="BR3242" s="128"/>
      <c r="BS3242" s="128"/>
      <c r="BT3242" s="128"/>
      <c r="BU3242" s="128"/>
      <c r="BV3242" s="128"/>
      <c r="BW3242" s="128"/>
      <c r="BX3242" s="128"/>
      <c r="BY3242" s="128"/>
      <c r="BZ3242" s="128"/>
      <c r="CA3242" s="128"/>
      <c r="CB3242" s="128"/>
      <c r="CC3242" s="128"/>
      <c r="CD3242" s="128"/>
      <c r="CE3242" s="128"/>
      <c r="CF3242" s="128"/>
      <c r="CG3242" s="128"/>
      <c r="CI3242" s="128"/>
      <c r="CJ3242" s="128"/>
      <c r="CK3242" s="128"/>
      <c r="CL3242" s="128"/>
      <c r="CM3242" s="128"/>
      <c r="CN3242" s="128"/>
      <c r="CO3242" s="128"/>
      <c r="CP3242" s="128"/>
      <c r="CQ3242" s="128"/>
      <c r="CR3242" s="128"/>
      <c r="CS3242" s="128"/>
      <c r="CT3242" s="128"/>
      <c r="CU3242" s="128"/>
      <c r="CV3242" s="128"/>
      <c r="CW3242" s="128"/>
      <c r="CX3242" s="128"/>
      <c r="CY3242" s="128"/>
      <c r="CZ3242" s="165"/>
    </row>
    <row r="3243" spans="1:104">
      <c r="A3243" s="149"/>
      <c r="B3243" s="149"/>
      <c r="C3243" s="150"/>
      <c r="D3243" s="102"/>
      <c r="E3243" s="149"/>
      <c r="F3243" s="149"/>
      <c r="G3243" s="149"/>
      <c r="H3243" s="149"/>
      <c r="I3243" s="149"/>
      <c r="J3243" s="149"/>
      <c r="K3243" s="149"/>
      <c r="L3243" s="149"/>
      <c r="M3243" s="149"/>
      <c r="N3243" s="149"/>
      <c r="O3243" s="149"/>
      <c r="P3243" s="149"/>
      <c r="Q3243" s="149"/>
      <c r="R3243" s="149"/>
      <c r="S3243" s="149"/>
      <c r="T3243" s="149"/>
      <c r="U3243" s="149"/>
      <c r="V3243" s="149"/>
      <c r="W3243" s="149"/>
      <c r="X3243" s="149"/>
      <c r="Y3243" s="149"/>
      <c r="Z3243" s="149"/>
      <c r="AA3243" s="149"/>
      <c r="AB3243" s="149"/>
      <c r="AC3243" s="149"/>
      <c r="AD3243" s="149"/>
      <c r="AE3243" s="149"/>
      <c r="AF3243" s="149"/>
      <c r="AG3243" s="149"/>
      <c r="AH3243" s="149"/>
      <c r="AI3243" s="149"/>
      <c r="AJ3243" s="149"/>
      <c r="AK3243" s="149"/>
      <c r="AL3243" s="149"/>
      <c r="AM3243" s="149"/>
      <c r="AN3243" s="149"/>
      <c r="AO3243" s="128"/>
      <c r="AP3243" s="128"/>
      <c r="AQ3243" s="128"/>
      <c r="AR3243" s="128"/>
      <c r="AS3243" s="128"/>
      <c r="AT3243" s="128"/>
      <c r="AU3243" s="128"/>
      <c r="AV3243" s="128"/>
      <c r="AW3243" s="128"/>
      <c r="AX3243" s="128"/>
      <c r="AY3243" s="128"/>
      <c r="AZ3243" s="128"/>
      <c r="BA3243" s="128"/>
      <c r="BB3243" s="128"/>
      <c r="BC3243" s="128"/>
      <c r="BD3243" s="128"/>
      <c r="BE3243" s="128"/>
      <c r="BF3243" s="128"/>
      <c r="BG3243" s="128"/>
      <c r="BH3243" s="128"/>
      <c r="BI3243" s="128"/>
      <c r="BJ3243" s="128"/>
      <c r="BK3243" s="128"/>
      <c r="BL3243" s="128"/>
      <c r="BM3243" s="151"/>
      <c r="BN3243" s="128"/>
      <c r="BO3243" s="128"/>
      <c r="BP3243" s="128"/>
      <c r="BQ3243" s="128"/>
      <c r="BR3243" s="128"/>
      <c r="BS3243" s="128"/>
      <c r="BT3243" s="128"/>
      <c r="BU3243" s="128"/>
      <c r="BV3243" s="128"/>
      <c r="BW3243" s="128"/>
      <c r="BX3243" s="128"/>
      <c r="BY3243" s="128"/>
      <c r="BZ3243" s="128"/>
      <c r="CA3243" s="128"/>
      <c r="CB3243" s="128"/>
      <c r="CC3243" s="128"/>
      <c r="CD3243" s="128"/>
      <c r="CE3243" s="128"/>
      <c r="CF3243" s="128"/>
      <c r="CG3243" s="128"/>
      <c r="CI3243" s="128"/>
      <c r="CJ3243" s="128"/>
      <c r="CK3243" s="128"/>
      <c r="CL3243" s="128"/>
      <c r="CM3243" s="128"/>
      <c r="CN3243" s="128"/>
      <c r="CO3243" s="128"/>
      <c r="CP3243" s="128"/>
      <c r="CQ3243" s="128"/>
      <c r="CR3243" s="128"/>
      <c r="CS3243" s="128"/>
      <c r="CT3243" s="128"/>
      <c r="CU3243" s="128"/>
      <c r="CV3243" s="128"/>
      <c r="CW3243" s="128"/>
      <c r="CX3243" s="128"/>
      <c r="CY3243" s="128"/>
      <c r="CZ3243" s="165"/>
    </row>
    <row r="3244" spans="1:104">
      <c r="A3244" s="149"/>
      <c r="B3244" s="149"/>
      <c r="C3244" s="150"/>
      <c r="D3244" s="102"/>
      <c r="E3244" s="149"/>
      <c r="F3244" s="149"/>
      <c r="G3244" s="149"/>
      <c r="H3244" s="149"/>
      <c r="I3244" s="149"/>
      <c r="J3244" s="149"/>
      <c r="K3244" s="149"/>
      <c r="L3244" s="149"/>
      <c r="M3244" s="149"/>
      <c r="N3244" s="149"/>
      <c r="O3244" s="149"/>
      <c r="P3244" s="149"/>
      <c r="Q3244" s="149"/>
      <c r="R3244" s="149"/>
      <c r="S3244" s="149"/>
      <c r="T3244" s="149"/>
      <c r="U3244" s="149"/>
      <c r="V3244" s="149"/>
      <c r="W3244" s="149"/>
      <c r="X3244" s="149"/>
      <c r="Y3244" s="149"/>
      <c r="Z3244" s="149"/>
      <c r="AA3244" s="149"/>
      <c r="AB3244" s="149"/>
      <c r="AC3244" s="149"/>
      <c r="AD3244" s="149"/>
      <c r="AE3244" s="149"/>
      <c r="AF3244" s="149"/>
      <c r="AG3244" s="149"/>
      <c r="AH3244" s="149"/>
      <c r="AI3244" s="149"/>
      <c r="AJ3244" s="149"/>
      <c r="AK3244" s="149"/>
      <c r="AL3244" s="149"/>
      <c r="AM3244" s="149"/>
      <c r="AN3244" s="149"/>
      <c r="AO3244" s="128"/>
      <c r="AP3244" s="128"/>
      <c r="AQ3244" s="128"/>
      <c r="AR3244" s="128"/>
      <c r="AS3244" s="128"/>
      <c r="AT3244" s="128"/>
      <c r="AU3244" s="128"/>
      <c r="AV3244" s="128"/>
      <c r="AW3244" s="128"/>
      <c r="AX3244" s="128"/>
      <c r="AY3244" s="128"/>
      <c r="AZ3244" s="128"/>
      <c r="BA3244" s="128"/>
      <c r="BB3244" s="128"/>
      <c r="BC3244" s="128"/>
      <c r="BD3244" s="128"/>
      <c r="BE3244" s="128"/>
      <c r="BF3244" s="128"/>
      <c r="BG3244" s="128"/>
      <c r="BH3244" s="128"/>
      <c r="BI3244" s="128"/>
      <c r="BJ3244" s="128"/>
      <c r="BK3244" s="128"/>
      <c r="BL3244" s="128"/>
      <c r="BM3244" s="151"/>
      <c r="BN3244" s="128"/>
      <c r="BO3244" s="128"/>
      <c r="BP3244" s="128"/>
      <c r="BQ3244" s="128"/>
      <c r="BR3244" s="128"/>
      <c r="BS3244" s="128"/>
      <c r="BT3244" s="128"/>
      <c r="BU3244" s="128"/>
      <c r="BV3244" s="128"/>
      <c r="BW3244" s="128"/>
      <c r="BX3244" s="128"/>
      <c r="BY3244" s="128"/>
      <c r="BZ3244" s="128"/>
      <c r="CA3244" s="128"/>
      <c r="CB3244" s="128"/>
      <c r="CC3244" s="128"/>
      <c r="CD3244" s="128"/>
      <c r="CE3244" s="128"/>
      <c r="CF3244" s="128"/>
      <c r="CG3244" s="128"/>
      <c r="CI3244" s="128"/>
      <c r="CJ3244" s="128"/>
      <c r="CK3244" s="128"/>
      <c r="CL3244" s="128"/>
      <c r="CM3244" s="128"/>
      <c r="CN3244" s="128"/>
      <c r="CO3244" s="128"/>
      <c r="CP3244" s="128"/>
      <c r="CQ3244" s="128"/>
      <c r="CR3244" s="128"/>
      <c r="CS3244" s="128"/>
      <c r="CT3244" s="128"/>
      <c r="CU3244" s="128"/>
      <c r="CV3244" s="128"/>
      <c r="CW3244" s="128"/>
      <c r="CX3244" s="128"/>
      <c r="CY3244" s="128"/>
      <c r="CZ3244" s="165"/>
    </row>
    <row r="3245" spans="1:104">
      <c r="A3245" s="149"/>
      <c r="B3245" s="149"/>
      <c r="C3245" s="150"/>
      <c r="D3245" s="102"/>
      <c r="E3245" s="149"/>
      <c r="F3245" s="149"/>
      <c r="G3245" s="149"/>
      <c r="H3245" s="149"/>
      <c r="I3245" s="149"/>
      <c r="J3245" s="149"/>
      <c r="K3245" s="149"/>
      <c r="L3245" s="149"/>
      <c r="M3245" s="149"/>
      <c r="N3245" s="149"/>
      <c r="O3245" s="149"/>
      <c r="P3245" s="149"/>
      <c r="Q3245" s="149"/>
      <c r="R3245" s="149"/>
      <c r="S3245" s="149"/>
      <c r="T3245" s="149"/>
      <c r="U3245" s="149"/>
      <c r="V3245" s="149"/>
      <c r="W3245" s="149"/>
      <c r="X3245" s="149"/>
      <c r="Y3245" s="149"/>
      <c r="Z3245" s="149"/>
      <c r="AA3245" s="149"/>
      <c r="AB3245" s="149"/>
      <c r="AC3245" s="149"/>
      <c r="AD3245" s="149"/>
      <c r="AE3245" s="149"/>
      <c r="AF3245" s="149"/>
      <c r="AG3245" s="149"/>
      <c r="AH3245" s="149"/>
      <c r="AI3245" s="149"/>
      <c r="AJ3245" s="149"/>
      <c r="AK3245" s="149"/>
      <c r="AL3245" s="149"/>
      <c r="AM3245" s="149"/>
      <c r="AN3245" s="149"/>
      <c r="AO3245" s="128"/>
      <c r="AP3245" s="128"/>
      <c r="AQ3245" s="128"/>
      <c r="AR3245" s="128"/>
      <c r="AS3245" s="128"/>
      <c r="AT3245" s="128"/>
      <c r="AU3245" s="128"/>
      <c r="AV3245" s="128"/>
      <c r="AW3245" s="128"/>
      <c r="AX3245" s="128"/>
      <c r="AY3245" s="128"/>
      <c r="AZ3245" s="128"/>
      <c r="BA3245" s="128"/>
      <c r="BB3245" s="128"/>
      <c r="BC3245" s="128"/>
      <c r="BD3245" s="128"/>
      <c r="BE3245" s="128"/>
      <c r="BF3245" s="128"/>
      <c r="BG3245" s="128"/>
      <c r="BH3245" s="128"/>
      <c r="BI3245" s="128"/>
      <c r="BJ3245" s="128"/>
      <c r="BK3245" s="128"/>
      <c r="BL3245" s="128"/>
      <c r="BM3245" s="151"/>
      <c r="BN3245" s="128"/>
      <c r="BO3245" s="128"/>
      <c r="BP3245" s="128"/>
      <c r="BQ3245" s="128"/>
      <c r="BR3245" s="128"/>
      <c r="BS3245" s="128"/>
      <c r="BT3245" s="128"/>
      <c r="BU3245" s="128"/>
      <c r="BV3245" s="128"/>
      <c r="BW3245" s="128"/>
      <c r="BX3245" s="128"/>
      <c r="BY3245" s="128"/>
      <c r="BZ3245" s="128"/>
      <c r="CA3245" s="128"/>
      <c r="CB3245" s="128"/>
      <c r="CC3245" s="128"/>
      <c r="CD3245" s="128"/>
      <c r="CE3245" s="128"/>
      <c r="CF3245" s="128"/>
      <c r="CG3245" s="128"/>
      <c r="CI3245" s="128"/>
      <c r="CJ3245" s="128"/>
      <c r="CK3245" s="128"/>
      <c r="CL3245" s="128"/>
      <c r="CM3245" s="128"/>
      <c r="CN3245" s="128"/>
      <c r="CO3245" s="128"/>
      <c r="CP3245" s="128"/>
      <c r="CQ3245" s="128"/>
      <c r="CR3245" s="128"/>
      <c r="CS3245" s="128"/>
      <c r="CT3245" s="128"/>
      <c r="CU3245" s="128"/>
      <c r="CV3245" s="128"/>
      <c r="CW3245" s="128"/>
      <c r="CX3245" s="128"/>
      <c r="CY3245" s="128"/>
      <c r="CZ3245" s="165"/>
    </row>
    <row r="3246" spans="1:104">
      <c r="A3246" s="149"/>
      <c r="B3246" s="149"/>
      <c r="C3246" s="150"/>
      <c r="D3246" s="102"/>
      <c r="E3246" s="149"/>
      <c r="F3246" s="149"/>
      <c r="G3246" s="149"/>
      <c r="H3246" s="149"/>
      <c r="I3246" s="149"/>
      <c r="J3246" s="149"/>
      <c r="K3246" s="149"/>
      <c r="L3246" s="149"/>
      <c r="M3246" s="149"/>
      <c r="N3246" s="149"/>
      <c r="O3246" s="149"/>
      <c r="P3246" s="149"/>
      <c r="Q3246" s="149"/>
      <c r="R3246" s="149"/>
      <c r="S3246" s="149"/>
      <c r="T3246" s="149"/>
      <c r="U3246" s="149"/>
      <c r="V3246" s="149"/>
      <c r="W3246" s="149"/>
      <c r="X3246" s="149"/>
      <c r="Y3246" s="149"/>
      <c r="Z3246" s="149"/>
      <c r="AA3246" s="149"/>
      <c r="AB3246" s="149"/>
      <c r="AC3246" s="149"/>
      <c r="AD3246" s="149"/>
      <c r="AE3246" s="149"/>
      <c r="AF3246" s="149"/>
      <c r="AG3246" s="149"/>
      <c r="AH3246" s="149"/>
      <c r="AI3246" s="149"/>
      <c r="AJ3246" s="149"/>
      <c r="AK3246" s="149"/>
      <c r="AL3246" s="149"/>
      <c r="AM3246" s="149"/>
      <c r="AN3246" s="149"/>
      <c r="AO3246" s="128"/>
      <c r="AP3246" s="128"/>
      <c r="AQ3246" s="128"/>
      <c r="AR3246" s="128"/>
      <c r="AS3246" s="128"/>
      <c r="AT3246" s="128"/>
      <c r="AU3246" s="128"/>
      <c r="AV3246" s="128"/>
      <c r="AW3246" s="128"/>
      <c r="AX3246" s="128"/>
      <c r="AY3246" s="128"/>
      <c r="AZ3246" s="128"/>
      <c r="BA3246" s="128"/>
      <c r="BB3246" s="128"/>
      <c r="BC3246" s="128"/>
      <c r="BD3246" s="128"/>
      <c r="BE3246" s="128"/>
      <c r="BF3246" s="128"/>
      <c r="BG3246" s="128"/>
      <c r="BH3246" s="128"/>
      <c r="BI3246" s="128"/>
      <c r="BJ3246" s="128"/>
      <c r="BK3246" s="128"/>
      <c r="BL3246" s="128"/>
      <c r="BM3246" s="151"/>
      <c r="BN3246" s="128"/>
      <c r="BO3246" s="128"/>
      <c r="BP3246" s="128"/>
      <c r="BQ3246" s="128"/>
      <c r="BR3246" s="128"/>
      <c r="BS3246" s="128"/>
      <c r="BT3246" s="128"/>
      <c r="BU3246" s="128"/>
      <c r="BV3246" s="128"/>
      <c r="BW3246" s="128"/>
      <c r="BX3246" s="128"/>
      <c r="BY3246" s="128"/>
      <c r="BZ3246" s="128"/>
      <c r="CA3246" s="128"/>
      <c r="CB3246" s="128"/>
      <c r="CC3246" s="128"/>
      <c r="CD3246" s="128"/>
      <c r="CE3246" s="128"/>
      <c r="CF3246" s="128"/>
      <c r="CG3246" s="128"/>
      <c r="CI3246" s="128"/>
      <c r="CJ3246" s="128"/>
      <c r="CK3246" s="128"/>
      <c r="CL3246" s="128"/>
      <c r="CM3246" s="128"/>
      <c r="CN3246" s="128"/>
      <c r="CO3246" s="128"/>
      <c r="CP3246" s="128"/>
      <c r="CQ3246" s="128"/>
      <c r="CR3246" s="128"/>
      <c r="CS3246" s="128"/>
      <c r="CT3246" s="128"/>
      <c r="CU3246" s="128"/>
      <c r="CV3246" s="128"/>
      <c r="CW3246" s="128"/>
      <c r="CX3246" s="128"/>
      <c r="CY3246" s="128"/>
      <c r="CZ3246" s="165"/>
    </row>
    <row r="3247" spans="1:104">
      <c r="A3247" s="149"/>
      <c r="B3247" s="149"/>
      <c r="C3247" s="150"/>
      <c r="D3247" s="102"/>
      <c r="E3247" s="149"/>
      <c r="F3247" s="149"/>
      <c r="G3247" s="149"/>
      <c r="H3247" s="149"/>
      <c r="I3247" s="149"/>
      <c r="J3247" s="149"/>
      <c r="K3247" s="149"/>
      <c r="L3247" s="149"/>
      <c r="M3247" s="149"/>
      <c r="N3247" s="149"/>
      <c r="O3247" s="149"/>
      <c r="P3247" s="149"/>
      <c r="Q3247" s="149"/>
      <c r="R3247" s="149"/>
      <c r="S3247" s="149"/>
      <c r="T3247" s="149"/>
      <c r="U3247" s="149"/>
      <c r="V3247" s="149"/>
      <c r="W3247" s="149"/>
      <c r="X3247" s="149"/>
      <c r="Y3247" s="149"/>
      <c r="Z3247" s="149"/>
      <c r="AA3247" s="149"/>
      <c r="AB3247" s="149"/>
      <c r="AC3247" s="149"/>
      <c r="AD3247" s="149"/>
      <c r="AE3247" s="149"/>
      <c r="AF3247" s="149"/>
      <c r="AG3247" s="149"/>
      <c r="AH3247" s="149"/>
      <c r="AI3247" s="149"/>
      <c r="AJ3247" s="149"/>
      <c r="AK3247" s="149"/>
      <c r="AL3247" s="149"/>
      <c r="AM3247" s="149"/>
      <c r="AN3247" s="149"/>
      <c r="AO3247" s="128"/>
      <c r="AP3247" s="128"/>
      <c r="AQ3247" s="128"/>
      <c r="AR3247" s="128"/>
      <c r="AS3247" s="128"/>
      <c r="AT3247" s="128"/>
      <c r="AU3247" s="128"/>
      <c r="AV3247" s="128"/>
      <c r="AW3247" s="128"/>
      <c r="AX3247" s="128"/>
      <c r="AY3247" s="128"/>
      <c r="AZ3247" s="128"/>
      <c r="BA3247" s="128"/>
      <c r="BB3247" s="128"/>
      <c r="BC3247" s="128"/>
      <c r="BD3247" s="128"/>
      <c r="BE3247" s="128"/>
      <c r="BF3247" s="128"/>
      <c r="BG3247" s="128"/>
      <c r="BH3247" s="128"/>
      <c r="BI3247" s="128"/>
      <c r="BJ3247" s="128"/>
      <c r="BK3247" s="128"/>
      <c r="BL3247" s="128"/>
      <c r="BM3247" s="151"/>
      <c r="BN3247" s="128"/>
      <c r="BO3247" s="128"/>
      <c r="BP3247" s="128"/>
      <c r="BQ3247" s="128"/>
      <c r="BR3247" s="128"/>
      <c r="BS3247" s="128"/>
      <c r="BT3247" s="128"/>
      <c r="BU3247" s="128"/>
      <c r="BV3247" s="128"/>
      <c r="BW3247" s="128"/>
      <c r="BX3247" s="128"/>
      <c r="BY3247" s="128"/>
      <c r="BZ3247" s="128"/>
      <c r="CA3247" s="128"/>
      <c r="CB3247" s="128"/>
      <c r="CC3247" s="128"/>
      <c r="CD3247" s="128"/>
      <c r="CE3247" s="128"/>
      <c r="CF3247" s="128"/>
      <c r="CG3247" s="128"/>
      <c r="CI3247" s="128"/>
      <c r="CJ3247" s="128"/>
      <c r="CK3247" s="128"/>
      <c r="CL3247" s="128"/>
      <c r="CM3247" s="128"/>
      <c r="CN3247" s="128"/>
      <c r="CO3247" s="128"/>
      <c r="CP3247" s="128"/>
      <c r="CQ3247" s="128"/>
      <c r="CR3247" s="128"/>
      <c r="CS3247" s="128"/>
      <c r="CT3247" s="128"/>
      <c r="CU3247" s="128"/>
      <c r="CV3247" s="128"/>
      <c r="CW3247" s="128"/>
      <c r="CX3247" s="128"/>
      <c r="CY3247" s="128"/>
      <c r="CZ3247" s="165"/>
    </row>
    <row r="3248" spans="1:104">
      <c r="A3248" s="149"/>
      <c r="B3248" s="149"/>
      <c r="C3248" s="150"/>
      <c r="D3248" s="102"/>
      <c r="E3248" s="149"/>
      <c r="F3248" s="149"/>
      <c r="G3248" s="149"/>
      <c r="H3248" s="149"/>
      <c r="I3248" s="149"/>
      <c r="J3248" s="149"/>
      <c r="K3248" s="149"/>
      <c r="L3248" s="149"/>
      <c r="M3248" s="149"/>
      <c r="N3248" s="149"/>
      <c r="O3248" s="149"/>
      <c r="P3248" s="149"/>
      <c r="Q3248" s="149"/>
      <c r="R3248" s="149"/>
      <c r="S3248" s="149"/>
      <c r="T3248" s="149"/>
      <c r="U3248" s="149"/>
      <c r="V3248" s="149"/>
      <c r="W3248" s="149"/>
      <c r="X3248" s="149"/>
      <c r="Y3248" s="149"/>
      <c r="Z3248" s="149"/>
      <c r="AA3248" s="149"/>
      <c r="AB3248" s="149"/>
      <c r="AC3248" s="149"/>
      <c r="AD3248" s="149"/>
      <c r="AE3248" s="149"/>
      <c r="AF3248" s="149"/>
      <c r="AG3248" s="149"/>
      <c r="AH3248" s="149"/>
      <c r="AI3248" s="149"/>
      <c r="AJ3248" s="149"/>
      <c r="AK3248" s="149"/>
      <c r="AL3248" s="149"/>
      <c r="AM3248" s="149"/>
      <c r="AN3248" s="149"/>
      <c r="AO3248" s="128"/>
      <c r="AP3248" s="128"/>
      <c r="AQ3248" s="128"/>
      <c r="AR3248" s="128"/>
      <c r="AS3248" s="128"/>
      <c r="AT3248" s="128"/>
      <c r="AU3248" s="128"/>
      <c r="AV3248" s="128"/>
      <c r="AW3248" s="128"/>
      <c r="AX3248" s="128"/>
      <c r="AY3248" s="128"/>
      <c r="AZ3248" s="128"/>
      <c r="BA3248" s="128"/>
      <c r="BB3248" s="128"/>
      <c r="BC3248" s="128"/>
      <c r="BD3248" s="128"/>
      <c r="BE3248" s="128"/>
      <c r="BF3248" s="128"/>
      <c r="BG3248" s="128"/>
      <c r="BH3248" s="128"/>
      <c r="BI3248" s="128"/>
      <c r="BJ3248" s="128"/>
      <c r="BK3248" s="128"/>
      <c r="BL3248" s="128"/>
      <c r="BM3248" s="151"/>
      <c r="BN3248" s="128"/>
      <c r="BO3248" s="128"/>
      <c r="BP3248" s="128"/>
      <c r="BQ3248" s="128"/>
      <c r="BR3248" s="128"/>
      <c r="BS3248" s="128"/>
      <c r="BT3248" s="128"/>
      <c r="BU3248" s="128"/>
      <c r="BV3248" s="128"/>
      <c r="BW3248" s="128"/>
      <c r="BX3248" s="128"/>
      <c r="BY3248" s="128"/>
      <c r="BZ3248" s="128"/>
      <c r="CA3248" s="128"/>
      <c r="CB3248" s="128"/>
      <c r="CC3248" s="128"/>
      <c r="CD3248" s="128"/>
      <c r="CE3248" s="128"/>
      <c r="CF3248" s="128"/>
      <c r="CG3248" s="128"/>
      <c r="CI3248" s="128"/>
      <c r="CJ3248" s="128"/>
      <c r="CK3248" s="128"/>
      <c r="CL3248" s="128"/>
      <c r="CM3248" s="128"/>
      <c r="CN3248" s="128"/>
      <c r="CO3248" s="128"/>
      <c r="CP3248" s="128"/>
      <c r="CQ3248" s="128"/>
      <c r="CR3248" s="128"/>
      <c r="CS3248" s="128"/>
      <c r="CT3248" s="128"/>
      <c r="CU3248" s="128"/>
      <c r="CV3248" s="128"/>
      <c r="CW3248" s="128"/>
      <c r="CX3248" s="128"/>
      <c r="CY3248" s="128"/>
      <c r="CZ3248" s="165"/>
    </row>
    <row r="3249" spans="1:104">
      <c r="A3249" s="149"/>
      <c r="B3249" s="149"/>
      <c r="C3249" s="150"/>
      <c r="D3249" s="102"/>
      <c r="E3249" s="149"/>
      <c r="F3249" s="149"/>
      <c r="G3249" s="149"/>
      <c r="H3249" s="149"/>
      <c r="I3249" s="149"/>
      <c r="J3249" s="149"/>
      <c r="K3249" s="149"/>
      <c r="L3249" s="149"/>
      <c r="M3249" s="149"/>
      <c r="N3249" s="149"/>
      <c r="O3249" s="149"/>
      <c r="P3249" s="149"/>
      <c r="Q3249" s="149"/>
      <c r="R3249" s="149"/>
      <c r="S3249" s="149"/>
      <c r="T3249" s="149"/>
      <c r="U3249" s="149"/>
      <c r="V3249" s="149"/>
      <c r="W3249" s="149"/>
      <c r="X3249" s="149"/>
      <c r="Y3249" s="149"/>
      <c r="Z3249" s="149"/>
      <c r="AA3249" s="149"/>
      <c r="AB3249" s="149"/>
      <c r="AC3249" s="149"/>
      <c r="AD3249" s="149"/>
      <c r="AE3249" s="149"/>
      <c r="AF3249" s="149"/>
      <c r="AG3249" s="149"/>
      <c r="AH3249" s="149"/>
      <c r="AI3249" s="149"/>
      <c r="AJ3249" s="149"/>
      <c r="AK3249" s="149"/>
      <c r="AL3249" s="149"/>
      <c r="AM3249" s="149"/>
      <c r="AN3249" s="149"/>
      <c r="AO3249" s="128"/>
      <c r="AP3249" s="128"/>
      <c r="AQ3249" s="128"/>
      <c r="AR3249" s="128"/>
      <c r="AS3249" s="128"/>
      <c r="AT3249" s="128"/>
      <c r="AU3249" s="128"/>
      <c r="AV3249" s="128"/>
      <c r="AW3249" s="128"/>
      <c r="AX3249" s="128"/>
      <c r="AY3249" s="128"/>
      <c r="AZ3249" s="128"/>
      <c r="BA3249" s="128"/>
      <c r="BB3249" s="128"/>
      <c r="BC3249" s="128"/>
      <c r="BD3249" s="128"/>
      <c r="BE3249" s="128"/>
      <c r="BF3249" s="128"/>
      <c r="BG3249" s="128"/>
      <c r="BH3249" s="128"/>
      <c r="BI3249" s="128"/>
      <c r="BJ3249" s="128"/>
      <c r="BK3249" s="128"/>
      <c r="BL3249" s="128"/>
      <c r="BM3249" s="151"/>
      <c r="BN3249" s="128"/>
      <c r="BO3249" s="128"/>
      <c r="BP3249" s="128"/>
      <c r="BQ3249" s="128"/>
      <c r="BR3249" s="128"/>
      <c r="BS3249" s="128"/>
      <c r="BT3249" s="128"/>
      <c r="BU3249" s="128"/>
      <c r="BV3249" s="128"/>
      <c r="BW3249" s="128"/>
      <c r="BX3249" s="128"/>
      <c r="BY3249" s="128"/>
      <c r="BZ3249" s="128"/>
      <c r="CA3249" s="128"/>
      <c r="CB3249" s="128"/>
      <c r="CC3249" s="128"/>
      <c r="CD3249" s="128"/>
      <c r="CE3249" s="128"/>
      <c r="CF3249" s="128"/>
      <c r="CG3249" s="128"/>
      <c r="CI3249" s="128"/>
      <c r="CJ3249" s="128"/>
      <c r="CK3249" s="128"/>
      <c r="CL3249" s="128"/>
      <c r="CM3249" s="128"/>
      <c r="CN3249" s="128"/>
      <c r="CO3249" s="128"/>
      <c r="CP3249" s="128"/>
      <c r="CQ3249" s="128"/>
      <c r="CR3249" s="128"/>
      <c r="CS3249" s="128"/>
      <c r="CT3249" s="128"/>
      <c r="CU3249" s="128"/>
      <c r="CV3249" s="128"/>
      <c r="CW3249" s="128"/>
      <c r="CX3249" s="128"/>
      <c r="CY3249" s="128"/>
      <c r="CZ3249" s="165"/>
    </row>
    <row r="3250" spans="1:104">
      <c r="A3250" s="149"/>
      <c r="B3250" s="149"/>
      <c r="C3250" s="150"/>
      <c r="D3250" s="102"/>
      <c r="E3250" s="149"/>
      <c r="F3250" s="149"/>
      <c r="G3250" s="149"/>
      <c r="H3250" s="149"/>
      <c r="I3250" s="149"/>
      <c r="J3250" s="149"/>
      <c r="K3250" s="149"/>
      <c r="L3250" s="149"/>
      <c r="M3250" s="149"/>
      <c r="N3250" s="149"/>
      <c r="O3250" s="149"/>
      <c r="P3250" s="149"/>
      <c r="Q3250" s="149"/>
      <c r="R3250" s="149"/>
      <c r="S3250" s="149"/>
      <c r="T3250" s="149"/>
      <c r="U3250" s="149"/>
      <c r="V3250" s="149"/>
      <c r="W3250" s="149"/>
      <c r="X3250" s="149"/>
      <c r="Y3250" s="149"/>
      <c r="Z3250" s="149"/>
      <c r="AA3250" s="149"/>
      <c r="AB3250" s="149"/>
      <c r="AC3250" s="149"/>
      <c r="AD3250" s="149"/>
      <c r="AE3250" s="149"/>
      <c r="AF3250" s="149"/>
      <c r="AG3250" s="149"/>
      <c r="AH3250" s="149"/>
      <c r="AI3250" s="149"/>
      <c r="AJ3250" s="149"/>
      <c r="AK3250" s="149"/>
      <c r="AL3250" s="149"/>
      <c r="AM3250" s="149"/>
      <c r="AN3250" s="149"/>
      <c r="AO3250" s="128"/>
      <c r="AP3250" s="128"/>
      <c r="AQ3250" s="128"/>
      <c r="AR3250" s="128"/>
      <c r="AS3250" s="128"/>
      <c r="AT3250" s="128"/>
      <c r="AU3250" s="128"/>
      <c r="AV3250" s="128"/>
      <c r="AW3250" s="128"/>
      <c r="AX3250" s="128"/>
      <c r="AY3250" s="128"/>
      <c r="AZ3250" s="128"/>
      <c r="BA3250" s="128"/>
      <c r="BB3250" s="128"/>
      <c r="BC3250" s="128"/>
      <c r="BD3250" s="128"/>
      <c r="BE3250" s="128"/>
      <c r="BF3250" s="128"/>
      <c r="BG3250" s="128"/>
      <c r="BH3250" s="128"/>
      <c r="BI3250" s="128"/>
      <c r="BJ3250" s="128"/>
      <c r="BK3250" s="128"/>
      <c r="BL3250" s="128"/>
      <c r="BM3250" s="151"/>
      <c r="BN3250" s="128"/>
      <c r="BO3250" s="128"/>
      <c r="BP3250" s="128"/>
      <c r="BQ3250" s="128"/>
      <c r="BR3250" s="128"/>
      <c r="BS3250" s="128"/>
      <c r="BT3250" s="128"/>
      <c r="BU3250" s="128"/>
      <c r="BV3250" s="128"/>
      <c r="BW3250" s="128"/>
      <c r="BX3250" s="128"/>
      <c r="BY3250" s="128"/>
      <c r="BZ3250" s="128"/>
      <c r="CA3250" s="128"/>
      <c r="CB3250" s="128"/>
      <c r="CC3250" s="128"/>
      <c r="CD3250" s="128"/>
      <c r="CE3250" s="128"/>
      <c r="CF3250" s="128"/>
      <c r="CG3250" s="128"/>
      <c r="CI3250" s="128"/>
      <c r="CJ3250" s="128"/>
      <c r="CK3250" s="128"/>
      <c r="CL3250" s="128"/>
      <c r="CM3250" s="128"/>
      <c r="CN3250" s="128"/>
      <c r="CO3250" s="128"/>
      <c r="CP3250" s="128"/>
      <c r="CQ3250" s="128"/>
      <c r="CR3250" s="128"/>
      <c r="CS3250" s="128"/>
      <c r="CT3250" s="128"/>
      <c r="CU3250" s="128"/>
      <c r="CV3250" s="128"/>
      <c r="CW3250" s="128"/>
      <c r="CX3250" s="128"/>
      <c r="CY3250" s="128"/>
      <c r="CZ3250" s="165"/>
    </row>
    <row r="3251" spans="1:104">
      <c r="A3251" s="149"/>
      <c r="B3251" s="149"/>
      <c r="C3251" s="150"/>
      <c r="D3251" s="102"/>
      <c r="E3251" s="149"/>
      <c r="F3251" s="149"/>
      <c r="G3251" s="149"/>
      <c r="H3251" s="149"/>
      <c r="I3251" s="149"/>
      <c r="J3251" s="149"/>
      <c r="K3251" s="149"/>
      <c r="L3251" s="149"/>
      <c r="M3251" s="149"/>
      <c r="N3251" s="149"/>
      <c r="O3251" s="149"/>
      <c r="P3251" s="149"/>
      <c r="Q3251" s="149"/>
      <c r="R3251" s="149"/>
      <c r="S3251" s="149"/>
      <c r="T3251" s="149"/>
      <c r="U3251" s="149"/>
      <c r="V3251" s="149"/>
      <c r="W3251" s="149"/>
      <c r="X3251" s="149"/>
      <c r="Y3251" s="149"/>
      <c r="Z3251" s="149"/>
      <c r="AA3251" s="149"/>
      <c r="AB3251" s="149"/>
      <c r="AC3251" s="149"/>
      <c r="AD3251" s="149"/>
      <c r="AE3251" s="149"/>
      <c r="AF3251" s="149"/>
      <c r="AG3251" s="149"/>
      <c r="AH3251" s="149"/>
      <c r="AI3251" s="149"/>
      <c r="AJ3251" s="149"/>
      <c r="AK3251" s="149"/>
      <c r="AL3251" s="149"/>
      <c r="AM3251" s="149"/>
      <c r="AN3251" s="149"/>
      <c r="AO3251" s="128"/>
      <c r="AP3251" s="128"/>
      <c r="AQ3251" s="128"/>
      <c r="AR3251" s="128"/>
      <c r="AS3251" s="128"/>
      <c r="AT3251" s="128"/>
      <c r="AU3251" s="128"/>
      <c r="AV3251" s="128"/>
      <c r="AW3251" s="128"/>
      <c r="AX3251" s="128"/>
      <c r="AY3251" s="128"/>
      <c r="AZ3251" s="128"/>
      <c r="BA3251" s="128"/>
      <c r="BB3251" s="128"/>
      <c r="BC3251" s="128"/>
      <c r="BD3251" s="128"/>
      <c r="BE3251" s="128"/>
      <c r="BF3251" s="128"/>
      <c r="BG3251" s="128"/>
      <c r="BH3251" s="128"/>
      <c r="BI3251" s="128"/>
      <c r="BJ3251" s="128"/>
      <c r="BK3251" s="128"/>
      <c r="BL3251" s="128"/>
      <c r="BM3251" s="151"/>
      <c r="BN3251" s="128"/>
      <c r="BO3251" s="128"/>
      <c r="BP3251" s="128"/>
      <c r="BQ3251" s="128"/>
      <c r="BR3251" s="128"/>
      <c r="BS3251" s="128"/>
      <c r="BT3251" s="128"/>
      <c r="BU3251" s="128"/>
      <c r="BV3251" s="128"/>
      <c r="BW3251" s="128"/>
      <c r="BX3251" s="128"/>
      <c r="BY3251" s="128"/>
      <c r="BZ3251" s="128"/>
      <c r="CA3251" s="128"/>
      <c r="CB3251" s="128"/>
      <c r="CC3251" s="128"/>
      <c r="CD3251" s="128"/>
      <c r="CE3251" s="128"/>
      <c r="CF3251" s="128"/>
      <c r="CG3251" s="128"/>
      <c r="CI3251" s="128"/>
      <c r="CJ3251" s="128"/>
      <c r="CK3251" s="128"/>
      <c r="CL3251" s="128"/>
      <c r="CM3251" s="128"/>
      <c r="CN3251" s="128"/>
      <c r="CO3251" s="128"/>
      <c r="CP3251" s="128"/>
      <c r="CQ3251" s="128"/>
      <c r="CR3251" s="128"/>
      <c r="CS3251" s="128"/>
      <c r="CT3251" s="128"/>
      <c r="CU3251" s="128"/>
      <c r="CV3251" s="128"/>
      <c r="CW3251" s="128"/>
      <c r="CX3251" s="128"/>
      <c r="CY3251" s="128"/>
      <c r="CZ3251" s="165"/>
    </row>
    <row r="3252" spans="1:104">
      <c r="A3252" s="149"/>
      <c r="B3252" s="149"/>
      <c r="C3252" s="150"/>
      <c r="D3252" s="102"/>
      <c r="E3252" s="149"/>
      <c r="F3252" s="149"/>
      <c r="G3252" s="149"/>
      <c r="H3252" s="149"/>
      <c r="I3252" s="149"/>
      <c r="J3252" s="149"/>
      <c r="K3252" s="149"/>
      <c r="L3252" s="149"/>
      <c r="M3252" s="149"/>
      <c r="N3252" s="149"/>
      <c r="O3252" s="149"/>
      <c r="P3252" s="149"/>
      <c r="Q3252" s="149"/>
      <c r="R3252" s="149"/>
      <c r="S3252" s="149"/>
      <c r="T3252" s="149"/>
      <c r="U3252" s="149"/>
      <c r="V3252" s="149"/>
      <c r="W3252" s="149"/>
      <c r="X3252" s="149"/>
      <c r="Y3252" s="149"/>
      <c r="Z3252" s="149"/>
      <c r="AA3252" s="149"/>
      <c r="AB3252" s="149"/>
      <c r="AC3252" s="149"/>
      <c r="AD3252" s="149"/>
      <c r="AE3252" s="149"/>
      <c r="AF3252" s="149"/>
      <c r="AG3252" s="149"/>
      <c r="AH3252" s="149"/>
      <c r="AI3252" s="149"/>
      <c r="AJ3252" s="149"/>
      <c r="AK3252" s="149"/>
      <c r="AL3252" s="149"/>
      <c r="AM3252" s="149"/>
      <c r="AN3252" s="149"/>
      <c r="AO3252" s="128"/>
      <c r="AP3252" s="128"/>
      <c r="AQ3252" s="128"/>
      <c r="AR3252" s="128"/>
      <c r="AS3252" s="128"/>
      <c r="AT3252" s="128"/>
      <c r="AU3252" s="128"/>
      <c r="AV3252" s="128"/>
      <c r="AW3252" s="128"/>
      <c r="AX3252" s="128"/>
      <c r="AY3252" s="128"/>
      <c r="AZ3252" s="128"/>
      <c r="BA3252" s="128"/>
      <c r="BB3252" s="128"/>
      <c r="BC3252" s="128"/>
      <c r="BD3252" s="128"/>
      <c r="BE3252" s="128"/>
      <c r="BF3252" s="128"/>
      <c r="BG3252" s="128"/>
      <c r="BH3252" s="128"/>
      <c r="BI3252" s="128"/>
      <c r="BJ3252" s="128"/>
      <c r="BK3252" s="128"/>
      <c r="BL3252" s="128"/>
      <c r="BM3252" s="151"/>
      <c r="BN3252" s="128"/>
      <c r="BO3252" s="128"/>
      <c r="BP3252" s="128"/>
      <c r="BQ3252" s="128"/>
      <c r="BR3252" s="128"/>
      <c r="BS3252" s="128"/>
      <c r="BT3252" s="128"/>
      <c r="BU3252" s="128"/>
      <c r="BV3252" s="128"/>
      <c r="BW3252" s="128"/>
      <c r="BX3252" s="128"/>
      <c r="BY3252" s="128"/>
      <c r="BZ3252" s="128"/>
      <c r="CA3252" s="128"/>
      <c r="CB3252" s="128"/>
      <c r="CC3252" s="128"/>
      <c r="CD3252" s="128"/>
      <c r="CE3252" s="128"/>
      <c r="CF3252" s="128"/>
      <c r="CG3252" s="128"/>
      <c r="CI3252" s="128"/>
      <c r="CJ3252" s="128"/>
      <c r="CK3252" s="128"/>
      <c r="CL3252" s="128"/>
      <c r="CM3252" s="128"/>
      <c r="CN3252" s="128"/>
      <c r="CO3252" s="128"/>
      <c r="CP3252" s="128"/>
      <c r="CQ3252" s="128"/>
      <c r="CR3252" s="128"/>
      <c r="CS3252" s="128"/>
      <c r="CT3252" s="128"/>
      <c r="CU3252" s="128"/>
      <c r="CV3252" s="128"/>
      <c r="CW3252" s="128"/>
      <c r="CX3252" s="128"/>
      <c r="CY3252" s="128"/>
      <c r="CZ3252" s="165"/>
    </row>
    <row r="3253" spans="1:104">
      <c r="A3253" s="149"/>
      <c r="B3253" s="149"/>
      <c r="C3253" s="150"/>
      <c r="D3253" s="102"/>
      <c r="E3253" s="149"/>
      <c r="F3253" s="149"/>
      <c r="G3253" s="149"/>
      <c r="H3253" s="149"/>
      <c r="I3253" s="149"/>
      <c r="J3253" s="149"/>
      <c r="K3253" s="149"/>
      <c r="L3253" s="149"/>
      <c r="M3253" s="149"/>
      <c r="N3253" s="149"/>
      <c r="O3253" s="149"/>
      <c r="P3253" s="149"/>
      <c r="Q3253" s="149"/>
      <c r="R3253" s="149"/>
      <c r="S3253" s="149"/>
      <c r="T3253" s="149"/>
      <c r="U3253" s="149"/>
      <c r="V3253" s="149"/>
      <c r="W3253" s="149"/>
      <c r="X3253" s="149"/>
      <c r="Y3253" s="149"/>
      <c r="Z3253" s="149"/>
      <c r="AA3253" s="149"/>
      <c r="AB3253" s="149"/>
      <c r="AC3253" s="149"/>
      <c r="AD3253" s="149"/>
      <c r="AE3253" s="149"/>
      <c r="AF3253" s="149"/>
      <c r="AG3253" s="149"/>
      <c r="AH3253" s="149"/>
      <c r="AI3253" s="149"/>
      <c r="AJ3253" s="149"/>
      <c r="AK3253" s="149"/>
      <c r="AL3253" s="149"/>
      <c r="AM3253" s="149"/>
      <c r="AN3253" s="149"/>
      <c r="AO3253" s="128"/>
      <c r="AP3253" s="128"/>
      <c r="AQ3253" s="128"/>
      <c r="AR3253" s="128"/>
      <c r="AS3253" s="128"/>
      <c r="AT3253" s="128"/>
      <c r="AU3253" s="128"/>
      <c r="AV3253" s="128"/>
      <c r="AW3253" s="128"/>
      <c r="AX3253" s="128"/>
      <c r="AY3253" s="128"/>
      <c r="AZ3253" s="128"/>
      <c r="BA3253" s="128"/>
      <c r="BB3253" s="128"/>
      <c r="BC3253" s="128"/>
      <c r="BD3253" s="128"/>
      <c r="BE3253" s="128"/>
      <c r="BF3253" s="128"/>
      <c r="BG3253" s="128"/>
      <c r="BH3253" s="128"/>
      <c r="BI3253" s="128"/>
      <c r="BJ3253" s="128"/>
      <c r="BK3253" s="128"/>
      <c r="BL3253" s="128"/>
      <c r="BM3253" s="151"/>
      <c r="BN3253" s="128"/>
      <c r="BO3253" s="128"/>
      <c r="BP3253" s="128"/>
      <c r="BQ3253" s="128"/>
      <c r="BR3253" s="128"/>
      <c r="BS3253" s="128"/>
      <c r="BT3253" s="128"/>
      <c r="BU3253" s="128"/>
      <c r="BV3253" s="128"/>
      <c r="BW3253" s="128"/>
      <c r="BX3253" s="128"/>
      <c r="BY3253" s="128"/>
      <c r="BZ3253" s="128"/>
      <c r="CA3253" s="128"/>
      <c r="CB3253" s="128"/>
      <c r="CC3253" s="128"/>
      <c r="CD3253" s="128"/>
      <c r="CE3253" s="128"/>
      <c r="CF3253" s="128"/>
      <c r="CG3253" s="128"/>
      <c r="CI3253" s="128"/>
      <c r="CJ3253" s="128"/>
      <c r="CK3253" s="128"/>
      <c r="CL3253" s="128"/>
      <c r="CM3253" s="128"/>
      <c r="CN3253" s="128"/>
      <c r="CO3253" s="128"/>
      <c r="CP3253" s="128"/>
      <c r="CQ3253" s="128"/>
      <c r="CR3253" s="128"/>
      <c r="CS3253" s="128"/>
      <c r="CT3253" s="128"/>
      <c r="CU3253" s="128"/>
      <c r="CV3253" s="128"/>
      <c r="CW3253" s="128"/>
      <c r="CX3253" s="128"/>
      <c r="CY3253" s="128"/>
      <c r="CZ3253" s="165"/>
    </row>
    <row r="3254" spans="1:104">
      <c r="A3254" s="149"/>
      <c r="B3254" s="149"/>
      <c r="C3254" s="150"/>
      <c r="D3254" s="102"/>
      <c r="E3254" s="149"/>
      <c r="F3254" s="149"/>
      <c r="G3254" s="149"/>
      <c r="H3254" s="149"/>
      <c r="I3254" s="149"/>
      <c r="J3254" s="149"/>
      <c r="K3254" s="149"/>
      <c r="L3254" s="149"/>
      <c r="M3254" s="149"/>
      <c r="N3254" s="149"/>
      <c r="O3254" s="149"/>
      <c r="P3254" s="149"/>
      <c r="Q3254" s="149"/>
      <c r="R3254" s="149"/>
      <c r="S3254" s="149"/>
      <c r="T3254" s="149"/>
      <c r="U3254" s="149"/>
      <c r="V3254" s="149"/>
      <c r="W3254" s="149"/>
      <c r="X3254" s="149"/>
      <c r="Y3254" s="149"/>
      <c r="Z3254" s="149"/>
      <c r="AA3254" s="149"/>
      <c r="AB3254" s="149"/>
      <c r="AC3254" s="149"/>
      <c r="AD3254" s="149"/>
      <c r="AE3254" s="149"/>
      <c r="AF3254" s="149"/>
      <c r="AG3254" s="149"/>
      <c r="AH3254" s="149"/>
      <c r="AI3254" s="149"/>
      <c r="AJ3254" s="149"/>
      <c r="AK3254" s="149"/>
      <c r="AL3254" s="149"/>
      <c r="AM3254" s="149"/>
      <c r="AN3254" s="149"/>
      <c r="AO3254" s="128"/>
      <c r="AP3254" s="128"/>
      <c r="AQ3254" s="128"/>
      <c r="AR3254" s="128"/>
      <c r="AS3254" s="128"/>
      <c r="AT3254" s="128"/>
      <c r="AU3254" s="128"/>
      <c r="AV3254" s="128"/>
      <c r="AW3254" s="128"/>
      <c r="AX3254" s="128"/>
      <c r="AY3254" s="128"/>
      <c r="AZ3254" s="128"/>
      <c r="BA3254" s="128"/>
      <c r="BB3254" s="128"/>
      <c r="BC3254" s="128"/>
      <c r="BD3254" s="128"/>
      <c r="BE3254" s="128"/>
      <c r="BF3254" s="128"/>
      <c r="BG3254" s="128"/>
      <c r="BH3254" s="128"/>
      <c r="BI3254" s="128"/>
      <c r="BJ3254" s="128"/>
      <c r="BK3254" s="128"/>
      <c r="BL3254" s="128"/>
      <c r="BM3254" s="151"/>
      <c r="BN3254" s="128"/>
      <c r="BO3254" s="128"/>
      <c r="BP3254" s="128"/>
      <c r="BQ3254" s="128"/>
      <c r="BR3254" s="128"/>
      <c r="BS3254" s="128"/>
      <c r="BT3254" s="128"/>
      <c r="BU3254" s="128"/>
      <c r="BV3254" s="128"/>
      <c r="BW3254" s="128"/>
      <c r="BX3254" s="128"/>
      <c r="BY3254" s="128"/>
      <c r="BZ3254" s="128"/>
      <c r="CA3254" s="128"/>
      <c r="CB3254" s="128"/>
      <c r="CC3254" s="128"/>
      <c r="CD3254" s="128"/>
      <c r="CE3254" s="128"/>
      <c r="CF3254" s="128"/>
      <c r="CG3254" s="128"/>
      <c r="CI3254" s="128"/>
      <c r="CJ3254" s="128"/>
      <c r="CK3254" s="128"/>
      <c r="CL3254" s="128"/>
      <c r="CM3254" s="128"/>
      <c r="CN3254" s="128"/>
      <c r="CO3254" s="128"/>
      <c r="CP3254" s="128"/>
      <c r="CQ3254" s="128"/>
      <c r="CR3254" s="128"/>
      <c r="CS3254" s="128"/>
      <c r="CT3254" s="128"/>
      <c r="CU3254" s="128"/>
      <c r="CV3254" s="128"/>
      <c r="CW3254" s="128"/>
      <c r="CX3254" s="128"/>
      <c r="CY3254" s="128"/>
      <c r="CZ3254" s="165"/>
    </row>
    <row r="3255" spans="1:104">
      <c r="A3255" s="149"/>
      <c r="B3255" s="149"/>
      <c r="C3255" s="150"/>
      <c r="D3255" s="102"/>
      <c r="E3255" s="149"/>
      <c r="F3255" s="149"/>
      <c r="G3255" s="149"/>
      <c r="H3255" s="149"/>
      <c r="I3255" s="149"/>
      <c r="J3255" s="149"/>
      <c r="K3255" s="149"/>
      <c r="L3255" s="149"/>
      <c r="M3255" s="149"/>
      <c r="N3255" s="149"/>
      <c r="O3255" s="149"/>
      <c r="P3255" s="149"/>
      <c r="Q3255" s="149"/>
      <c r="R3255" s="149"/>
      <c r="S3255" s="149"/>
      <c r="T3255" s="149"/>
      <c r="U3255" s="149"/>
      <c r="V3255" s="149"/>
      <c r="W3255" s="149"/>
      <c r="X3255" s="149"/>
      <c r="Y3255" s="149"/>
      <c r="Z3255" s="149"/>
      <c r="AA3255" s="149"/>
      <c r="AB3255" s="149"/>
      <c r="AC3255" s="149"/>
      <c r="AD3255" s="149"/>
      <c r="AE3255" s="149"/>
      <c r="AF3255" s="149"/>
      <c r="AG3255" s="149"/>
      <c r="AH3255" s="149"/>
      <c r="AI3255" s="149"/>
      <c r="AJ3255" s="149"/>
      <c r="AK3255" s="149"/>
      <c r="AL3255" s="149"/>
      <c r="AM3255" s="149"/>
      <c r="AN3255" s="149"/>
      <c r="AO3255" s="128"/>
      <c r="AP3255" s="128"/>
      <c r="AQ3255" s="128"/>
      <c r="AR3255" s="128"/>
      <c r="AS3255" s="128"/>
      <c r="AT3255" s="128"/>
      <c r="AU3255" s="128"/>
      <c r="AV3255" s="128"/>
      <c r="AW3255" s="128"/>
      <c r="AX3255" s="128"/>
      <c r="AY3255" s="128"/>
      <c r="AZ3255" s="128"/>
      <c r="BA3255" s="128"/>
      <c r="BB3255" s="128"/>
      <c r="BC3255" s="128"/>
      <c r="BD3255" s="128"/>
      <c r="BE3255" s="128"/>
      <c r="BF3255" s="128"/>
      <c r="BG3255" s="128"/>
      <c r="BH3255" s="128"/>
      <c r="BI3255" s="128"/>
      <c r="BJ3255" s="128"/>
      <c r="BK3255" s="128"/>
      <c r="BL3255" s="128"/>
      <c r="BM3255" s="151"/>
      <c r="BN3255" s="128"/>
      <c r="BO3255" s="128"/>
      <c r="BP3255" s="128"/>
      <c r="BQ3255" s="128"/>
      <c r="BR3255" s="128"/>
      <c r="BS3255" s="128"/>
      <c r="BT3255" s="128"/>
      <c r="BU3255" s="128"/>
      <c r="BV3255" s="128"/>
      <c r="BW3255" s="128"/>
      <c r="BX3255" s="128"/>
      <c r="BY3255" s="128"/>
      <c r="BZ3255" s="128"/>
      <c r="CA3255" s="128"/>
      <c r="CB3255" s="128"/>
      <c r="CC3255" s="128"/>
      <c r="CD3255" s="128"/>
      <c r="CE3255" s="128"/>
      <c r="CF3255" s="128"/>
      <c r="CG3255" s="128"/>
      <c r="CI3255" s="128"/>
      <c r="CJ3255" s="128"/>
      <c r="CK3255" s="128"/>
      <c r="CL3255" s="128"/>
      <c r="CM3255" s="128"/>
      <c r="CN3255" s="128"/>
      <c r="CO3255" s="128"/>
      <c r="CP3255" s="128"/>
      <c r="CQ3255" s="128"/>
      <c r="CR3255" s="128"/>
      <c r="CS3255" s="128"/>
      <c r="CT3255" s="128"/>
      <c r="CU3255" s="128"/>
      <c r="CV3255" s="128"/>
      <c r="CW3255" s="128"/>
      <c r="CX3255" s="128"/>
      <c r="CY3255" s="128"/>
      <c r="CZ3255" s="165"/>
    </row>
    <row r="3256" spans="1:104">
      <c r="A3256" s="149"/>
      <c r="B3256" s="149"/>
      <c r="C3256" s="150"/>
      <c r="D3256" s="102"/>
      <c r="E3256" s="149"/>
      <c r="F3256" s="149"/>
      <c r="G3256" s="149"/>
      <c r="H3256" s="149"/>
      <c r="I3256" s="149"/>
      <c r="J3256" s="149"/>
      <c r="K3256" s="149"/>
      <c r="L3256" s="149"/>
      <c r="M3256" s="149"/>
      <c r="N3256" s="149"/>
      <c r="O3256" s="149"/>
      <c r="P3256" s="149"/>
      <c r="Q3256" s="149"/>
      <c r="R3256" s="149"/>
      <c r="S3256" s="149"/>
      <c r="T3256" s="149"/>
      <c r="U3256" s="149"/>
      <c r="V3256" s="149"/>
      <c r="W3256" s="149"/>
      <c r="X3256" s="149"/>
      <c r="Y3256" s="149"/>
      <c r="Z3256" s="149"/>
      <c r="AA3256" s="149"/>
      <c r="AB3256" s="149"/>
      <c r="AC3256" s="149"/>
      <c r="AD3256" s="149"/>
      <c r="AE3256" s="149"/>
      <c r="AF3256" s="149"/>
      <c r="AG3256" s="149"/>
      <c r="AH3256" s="149"/>
      <c r="AI3256" s="149"/>
      <c r="AJ3256" s="149"/>
      <c r="AK3256" s="149"/>
      <c r="AL3256" s="149"/>
      <c r="AM3256" s="149"/>
      <c r="AN3256" s="149"/>
      <c r="AO3256" s="128"/>
      <c r="AP3256" s="128"/>
      <c r="AQ3256" s="128"/>
      <c r="AR3256" s="128"/>
      <c r="AS3256" s="128"/>
      <c r="AT3256" s="128"/>
      <c r="AU3256" s="128"/>
      <c r="AV3256" s="128"/>
      <c r="AW3256" s="128"/>
      <c r="AX3256" s="128"/>
      <c r="AY3256" s="128"/>
      <c r="AZ3256" s="128"/>
      <c r="BA3256" s="128"/>
      <c r="BB3256" s="128"/>
      <c r="BC3256" s="128"/>
      <c r="BD3256" s="128"/>
      <c r="BE3256" s="128"/>
      <c r="BF3256" s="128"/>
      <c r="BG3256" s="128"/>
      <c r="BH3256" s="128"/>
      <c r="BI3256" s="128"/>
      <c r="BJ3256" s="128"/>
      <c r="BK3256" s="128"/>
      <c r="BL3256" s="128"/>
      <c r="BM3256" s="151"/>
      <c r="BN3256" s="128"/>
      <c r="BO3256" s="128"/>
      <c r="BP3256" s="128"/>
      <c r="BQ3256" s="128"/>
      <c r="BR3256" s="128"/>
      <c r="BS3256" s="128"/>
      <c r="BT3256" s="128"/>
      <c r="BU3256" s="128"/>
      <c r="BV3256" s="128"/>
      <c r="BW3256" s="128"/>
      <c r="BX3256" s="128"/>
      <c r="BY3256" s="128"/>
      <c r="BZ3256" s="128"/>
      <c r="CA3256" s="128"/>
      <c r="CB3256" s="128"/>
      <c r="CC3256" s="128"/>
      <c r="CD3256" s="128"/>
      <c r="CE3256" s="128"/>
      <c r="CF3256" s="128"/>
      <c r="CG3256" s="128"/>
      <c r="CI3256" s="128"/>
      <c r="CJ3256" s="128"/>
      <c r="CK3256" s="128"/>
      <c r="CL3256" s="128"/>
      <c r="CM3256" s="128"/>
      <c r="CN3256" s="128"/>
      <c r="CO3256" s="128"/>
      <c r="CP3256" s="128"/>
      <c r="CQ3256" s="128"/>
      <c r="CR3256" s="128"/>
      <c r="CS3256" s="128"/>
      <c r="CT3256" s="128"/>
      <c r="CU3256" s="128"/>
      <c r="CV3256" s="128"/>
      <c r="CW3256" s="128"/>
      <c r="CX3256" s="128"/>
      <c r="CY3256" s="128"/>
      <c r="CZ3256" s="165"/>
    </row>
    <row r="3257" spans="1:104">
      <c r="A3257" s="149"/>
      <c r="B3257" s="149"/>
      <c r="C3257" s="150"/>
      <c r="D3257" s="102"/>
      <c r="E3257" s="149"/>
      <c r="F3257" s="149"/>
      <c r="G3257" s="149"/>
      <c r="H3257" s="149"/>
      <c r="I3257" s="149"/>
      <c r="J3257" s="149"/>
      <c r="K3257" s="149"/>
      <c r="L3257" s="149"/>
      <c r="M3257" s="149"/>
      <c r="N3257" s="149"/>
      <c r="O3257" s="149"/>
      <c r="P3257" s="149"/>
      <c r="Q3257" s="149"/>
      <c r="R3257" s="149"/>
      <c r="S3257" s="149"/>
      <c r="T3257" s="149"/>
      <c r="U3257" s="149"/>
      <c r="V3257" s="149"/>
      <c r="W3257" s="149"/>
      <c r="X3257" s="149"/>
      <c r="Y3257" s="149"/>
      <c r="Z3257" s="149"/>
      <c r="AA3257" s="149"/>
      <c r="AB3257" s="149"/>
      <c r="AC3257" s="149"/>
      <c r="AD3257" s="149"/>
      <c r="AE3257" s="149"/>
      <c r="AF3257" s="149"/>
      <c r="AG3257" s="149"/>
      <c r="AH3257" s="149"/>
      <c r="AI3257" s="149"/>
      <c r="AJ3257" s="149"/>
      <c r="AK3257" s="149"/>
      <c r="AL3257" s="149"/>
      <c r="AM3257" s="149"/>
      <c r="AN3257" s="149"/>
      <c r="AO3257" s="128"/>
      <c r="AP3257" s="128"/>
      <c r="AQ3257" s="128"/>
      <c r="AR3257" s="128"/>
      <c r="AS3257" s="128"/>
      <c r="AT3257" s="128"/>
      <c r="AU3257" s="128"/>
      <c r="AV3257" s="128"/>
      <c r="AW3257" s="128"/>
      <c r="AX3257" s="128"/>
      <c r="AY3257" s="128"/>
      <c r="AZ3257" s="128"/>
      <c r="BA3257" s="128"/>
      <c r="BB3257" s="128"/>
      <c r="BC3257" s="128"/>
      <c r="BD3257" s="128"/>
      <c r="BE3257" s="128"/>
      <c r="BF3257" s="128"/>
      <c r="BG3257" s="128"/>
      <c r="BH3257" s="128"/>
      <c r="BI3257" s="128"/>
      <c r="BJ3257" s="128"/>
      <c r="BK3257" s="128"/>
      <c r="BL3257" s="128"/>
      <c r="BM3257" s="151"/>
      <c r="BN3257" s="128"/>
      <c r="BO3257" s="128"/>
      <c r="BP3257" s="128"/>
      <c r="BQ3257" s="128"/>
      <c r="BR3257" s="128"/>
      <c r="BS3257" s="128"/>
      <c r="BT3257" s="128"/>
      <c r="BU3257" s="128"/>
      <c r="BV3257" s="128"/>
      <c r="BW3257" s="128"/>
      <c r="BX3257" s="128"/>
      <c r="BY3257" s="128"/>
      <c r="BZ3257" s="128"/>
      <c r="CA3257" s="128"/>
      <c r="CB3257" s="128"/>
      <c r="CC3257" s="128"/>
      <c r="CD3257" s="128"/>
      <c r="CE3257" s="128"/>
      <c r="CF3257" s="128"/>
      <c r="CG3257" s="128"/>
      <c r="CI3257" s="128"/>
      <c r="CJ3257" s="128"/>
      <c r="CK3257" s="128"/>
      <c r="CL3257" s="128"/>
      <c r="CM3257" s="128"/>
      <c r="CN3257" s="128"/>
      <c r="CO3257" s="128"/>
      <c r="CP3257" s="128"/>
      <c r="CQ3257" s="128"/>
      <c r="CR3257" s="128"/>
      <c r="CS3257" s="128"/>
      <c r="CT3257" s="128"/>
      <c r="CU3257" s="128"/>
      <c r="CV3257" s="128"/>
      <c r="CW3257" s="128"/>
      <c r="CX3257" s="128"/>
      <c r="CY3257" s="128"/>
      <c r="CZ3257" s="165"/>
    </row>
    <row r="3258" spans="1:104">
      <c r="A3258" s="149"/>
      <c r="B3258" s="149"/>
      <c r="C3258" s="150"/>
      <c r="D3258" s="102"/>
      <c r="E3258" s="149"/>
      <c r="F3258" s="149"/>
      <c r="G3258" s="149"/>
      <c r="H3258" s="149"/>
      <c r="I3258" s="149"/>
      <c r="J3258" s="149"/>
      <c r="K3258" s="149"/>
      <c r="L3258" s="149"/>
      <c r="M3258" s="149"/>
      <c r="N3258" s="149"/>
      <c r="O3258" s="149"/>
      <c r="P3258" s="149"/>
      <c r="Q3258" s="149"/>
      <c r="R3258" s="149"/>
      <c r="S3258" s="149"/>
      <c r="T3258" s="149"/>
      <c r="U3258" s="149"/>
      <c r="V3258" s="149"/>
      <c r="W3258" s="149"/>
      <c r="X3258" s="149"/>
      <c r="Y3258" s="149"/>
      <c r="Z3258" s="149"/>
      <c r="AA3258" s="149"/>
      <c r="AB3258" s="149"/>
      <c r="AC3258" s="149"/>
      <c r="AD3258" s="149"/>
      <c r="AE3258" s="149"/>
      <c r="AF3258" s="149"/>
      <c r="AG3258" s="149"/>
      <c r="AH3258" s="149"/>
      <c r="AI3258" s="149"/>
      <c r="AJ3258" s="149"/>
      <c r="AK3258" s="149"/>
      <c r="AL3258" s="149"/>
      <c r="AM3258" s="149"/>
      <c r="AN3258" s="149"/>
      <c r="AO3258" s="128"/>
      <c r="AP3258" s="128"/>
      <c r="AQ3258" s="128"/>
      <c r="AR3258" s="128"/>
      <c r="AS3258" s="128"/>
      <c r="AT3258" s="128"/>
      <c r="AU3258" s="128"/>
      <c r="AV3258" s="128"/>
      <c r="AW3258" s="128"/>
      <c r="AX3258" s="128"/>
      <c r="AY3258" s="128"/>
      <c r="AZ3258" s="128"/>
      <c r="BA3258" s="128"/>
      <c r="BB3258" s="128"/>
      <c r="BC3258" s="128"/>
      <c r="BD3258" s="128"/>
      <c r="BE3258" s="128"/>
      <c r="BF3258" s="128"/>
      <c r="BG3258" s="128"/>
      <c r="BH3258" s="128"/>
      <c r="BI3258" s="128"/>
      <c r="BJ3258" s="128"/>
      <c r="BK3258" s="128"/>
      <c r="BL3258" s="128"/>
      <c r="BM3258" s="151"/>
      <c r="BN3258" s="128"/>
      <c r="BO3258" s="128"/>
      <c r="BP3258" s="128"/>
      <c r="BQ3258" s="128"/>
      <c r="BR3258" s="128"/>
      <c r="BS3258" s="128"/>
      <c r="BT3258" s="128"/>
      <c r="BU3258" s="128"/>
      <c r="BV3258" s="128"/>
      <c r="BW3258" s="128"/>
      <c r="BX3258" s="128"/>
      <c r="BY3258" s="128"/>
      <c r="BZ3258" s="128"/>
      <c r="CA3258" s="128"/>
      <c r="CB3258" s="128"/>
      <c r="CC3258" s="128"/>
      <c r="CD3258" s="128"/>
      <c r="CE3258" s="128"/>
      <c r="CF3258" s="128"/>
      <c r="CG3258" s="128"/>
      <c r="CI3258" s="128"/>
      <c r="CJ3258" s="128"/>
      <c r="CK3258" s="128"/>
      <c r="CL3258" s="128"/>
      <c r="CM3258" s="128"/>
      <c r="CN3258" s="128"/>
      <c r="CO3258" s="128"/>
      <c r="CP3258" s="128"/>
      <c r="CQ3258" s="128"/>
      <c r="CR3258" s="128"/>
      <c r="CS3258" s="128"/>
      <c r="CT3258" s="128"/>
      <c r="CU3258" s="128"/>
      <c r="CV3258" s="128"/>
      <c r="CW3258" s="128"/>
      <c r="CX3258" s="128"/>
      <c r="CY3258" s="128"/>
      <c r="CZ3258" s="165"/>
    </row>
    <row r="3259" spans="1:104">
      <c r="A3259" s="149"/>
      <c r="B3259" s="149"/>
      <c r="C3259" s="150"/>
      <c r="D3259" s="102"/>
      <c r="E3259" s="149"/>
      <c r="F3259" s="149"/>
      <c r="G3259" s="149"/>
      <c r="H3259" s="149"/>
      <c r="I3259" s="149"/>
      <c r="J3259" s="149"/>
      <c r="K3259" s="149"/>
      <c r="L3259" s="149"/>
      <c r="M3259" s="149"/>
      <c r="N3259" s="149"/>
      <c r="O3259" s="149"/>
      <c r="P3259" s="149"/>
      <c r="Q3259" s="149"/>
      <c r="R3259" s="149"/>
      <c r="S3259" s="149"/>
      <c r="T3259" s="149"/>
      <c r="U3259" s="149"/>
      <c r="V3259" s="149"/>
      <c r="W3259" s="149"/>
      <c r="X3259" s="149"/>
      <c r="Y3259" s="149"/>
      <c r="Z3259" s="149"/>
      <c r="AA3259" s="149"/>
      <c r="AB3259" s="149"/>
      <c r="AC3259" s="149"/>
      <c r="AD3259" s="149"/>
      <c r="AE3259" s="149"/>
      <c r="AF3259" s="149"/>
      <c r="AG3259" s="149"/>
      <c r="AH3259" s="149"/>
      <c r="AI3259" s="149"/>
      <c r="AJ3259" s="149"/>
      <c r="AK3259" s="149"/>
      <c r="AL3259" s="149"/>
      <c r="AM3259" s="149"/>
      <c r="AN3259" s="149"/>
      <c r="AO3259" s="128"/>
      <c r="AP3259" s="128"/>
      <c r="AQ3259" s="128"/>
      <c r="AR3259" s="128"/>
      <c r="AS3259" s="128"/>
      <c r="AT3259" s="128"/>
      <c r="AU3259" s="128"/>
      <c r="AV3259" s="128"/>
      <c r="AW3259" s="128"/>
      <c r="AX3259" s="128"/>
      <c r="AY3259" s="128"/>
      <c r="AZ3259" s="128"/>
      <c r="BA3259" s="128"/>
      <c r="BB3259" s="128"/>
      <c r="BC3259" s="128"/>
      <c r="BD3259" s="128"/>
      <c r="BE3259" s="128"/>
      <c r="BF3259" s="128"/>
      <c r="BG3259" s="128"/>
      <c r="BH3259" s="128"/>
      <c r="BI3259" s="128"/>
      <c r="BJ3259" s="128"/>
      <c r="BK3259" s="128"/>
      <c r="BL3259" s="128"/>
      <c r="BM3259" s="151"/>
      <c r="BN3259" s="128"/>
      <c r="BO3259" s="128"/>
      <c r="BP3259" s="128"/>
      <c r="BQ3259" s="128"/>
      <c r="BR3259" s="128"/>
      <c r="BS3259" s="128"/>
      <c r="BT3259" s="128"/>
      <c r="BU3259" s="128"/>
      <c r="BV3259" s="128"/>
      <c r="BW3259" s="128"/>
      <c r="BX3259" s="128"/>
      <c r="BY3259" s="128"/>
      <c r="BZ3259" s="128"/>
      <c r="CA3259" s="128"/>
      <c r="CB3259" s="128"/>
      <c r="CC3259" s="128"/>
      <c r="CD3259" s="128"/>
      <c r="CE3259" s="128"/>
      <c r="CF3259" s="128"/>
      <c r="CG3259" s="128"/>
      <c r="CI3259" s="128"/>
      <c r="CJ3259" s="128"/>
      <c r="CK3259" s="128"/>
      <c r="CL3259" s="128"/>
      <c r="CM3259" s="128"/>
      <c r="CN3259" s="128"/>
      <c r="CO3259" s="128"/>
      <c r="CP3259" s="128"/>
      <c r="CQ3259" s="128"/>
      <c r="CR3259" s="128"/>
      <c r="CS3259" s="128"/>
      <c r="CT3259" s="128"/>
      <c r="CU3259" s="128"/>
      <c r="CV3259" s="128"/>
      <c r="CW3259" s="128"/>
      <c r="CX3259" s="128"/>
      <c r="CY3259" s="128"/>
      <c r="CZ3259" s="165"/>
    </row>
    <row r="3260" spans="1:104">
      <c r="A3260" s="149"/>
      <c r="B3260" s="149"/>
      <c r="C3260" s="150"/>
      <c r="D3260" s="102"/>
      <c r="E3260" s="149"/>
      <c r="F3260" s="149"/>
      <c r="G3260" s="149"/>
      <c r="H3260" s="149"/>
      <c r="I3260" s="149"/>
      <c r="J3260" s="149"/>
      <c r="K3260" s="149"/>
      <c r="L3260" s="149"/>
      <c r="M3260" s="149"/>
      <c r="N3260" s="149"/>
      <c r="O3260" s="149"/>
      <c r="P3260" s="149"/>
      <c r="Q3260" s="149"/>
      <c r="R3260" s="149"/>
      <c r="S3260" s="149"/>
      <c r="T3260" s="149"/>
      <c r="U3260" s="149"/>
      <c r="V3260" s="149"/>
      <c r="W3260" s="149"/>
      <c r="X3260" s="149"/>
      <c r="Y3260" s="149"/>
      <c r="Z3260" s="149"/>
      <c r="AA3260" s="149"/>
      <c r="AB3260" s="149"/>
      <c r="AC3260" s="149"/>
      <c r="AD3260" s="149"/>
      <c r="AE3260" s="149"/>
      <c r="AF3260" s="149"/>
      <c r="AG3260" s="149"/>
      <c r="AH3260" s="149"/>
      <c r="AI3260" s="149"/>
      <c r="AJ3260" s="149"/>
      <c r="AK3260" s="149"/>
      <c r="AL3260" s="149"/>
      <c r="AM3260" s="149"/>
      <c r="AN3260" s="149"/>
      <c r="AO3260" s="128"/>
      <c r="AP3260" s="128"/>
      <c r="AQ3260" s="128"/>
      <c r="AR3260" s="128"/>
      <c r="AS3260" s="128"/>
      <c r="AT3260" s="128"/>
      <c r="AU3260" s="128"/>
      <c r="AV3260" s="128"/>
      <c r="AW3260" s="128"/>
      <c r="AX3260" s="128"/>
      <c r="AY3260" s="128"/>
      <c r="AZ3260" s="128"/>
      <c r="BA3260" s="128"/>
      <c r="BB3260" s="128"/>
      <c r="BC3260" s="128"/>
      <c r="BD3260" s="128"/>
      <c r="BE3260" s="128"/>
      <c r="BF3260" s="128"/>
      <c r="BG3260" s="128"/>
      <c r="BH3260" s="128"/>
      <c r="BI3260" s="128"/>
      <c r="BJ3260" s="128"/>
      <c r="BK3260" s="128"/>
      <c r="BL3260" s="128"/>
      <c r="BM3260" s="151"/>
      <c r="BN3260" s="128"/>
      <c r="BO3260" s="128"/>
      <c r="BP3260" s="128"/>
      <c r="BQ3260" s="128"/>
      <c r="BR3260" s="128"/>
      <c r="BS3260" s="128"/>
      <c r="BT3260" s="128"/>
      <c r="BU3260" s="128"/>
      <c r="BV3260" s="128"/>
      <c r="BW3260" s="128"/>
      <c r="BX3260" s="128"/>
      <c r="BY3260" s="128"/>
      <c r="BZ3260" s="128"/>
      <c r="CA3260" s="128"/>
      <c r="CB3260" s="128"/>
      <c r="CC3260" s="128"/>
      <c r="CD3260" s="128"/>
      <c r="CE3260" s="128"/>
      <c r="CF3260" s="128"/>
      <c r="CG3260" s="128"/>
      <c r="CI3260" s="128"/>
      <c r="CJ3260" s="128"/>
      <c r="CK3260" s="128"/>
      <c r="CL3260" s="128"/>
      <c r="CM3260" s="128"/>
      <c r="CN3260" s="128"/>
      <c r="CO3260" s="128"/>
      <c r="CP3260" s="128"/>
      <c r="CQ3260" s="128"/>
      <c r="CR3260" s="128"/>
      <c r="CS3260" s="128"/>
      <c r="CT3260" s="128"/>
      <c r="CU3260" s="128"/>
      <c r="CV3260" s="128"/>
      <c r="CW3260" s="128"/>
      <c r="CX3260" s="128"/>
      <c r="CY3260" s="128"/>
      <c r="CZ3260" s="165"/>
    </row>
    <row r="3261" spans="1:104">
      <c r="A3261" s="149"/>
      <c r="B3261" s="149"/>
      <c r="C3261" s="150"/>
      <c r="D3261" s="102"/>
      <c r="E3261" s="149"/>
      <c r="F3261" s="149"/>
      <c r="G3261" s="149"/>
      <c r="H3261" s="149"/>
      <c r="I3261" s="149"/>
      <c r="J3261" s="149"/>
      <c r="K3261" s="149"/>
      <c r="L3261" s="149"/>
      <c r="M3261" s="149"/>
      <c r="N3261" s="149"/>
      <c r="O3261" s="149"/>
      <c r="P3261" s="149"/>
      <c r="Q3261" s="149"/>
      <c r="R3261" s="149"/>
      <c r="S3261" s="149"/>
      <c r="T3261" s="149"/>
      <c r="U3261" s="149"/>
      <c r="V3261" s="149"/>
      <c r="W3261" s="149"/>
      <c r="X3261" s="149"/>
      <c r="Y3261" s="149"/>
      <c r="Z3261" s="149"/>
      <c r="AA3261" s="149"/>
      <c r="AB3261" s="149"/>
      <c r="AC3261" s="149"/>
      <c r="AD3261" s="149"/>
      <c r="AE3261" s="149"/>
      <c r="AF3261" s="149"/>
      <c r="AG3261" s="149"/>
      <c r="AH3261" s="149"/>
      <c r="AI3261" s="149"/>
      <c r="AJ3261" s="149"/>
      <c r="AK3261" s="149"/>
      <c r="AL3261" s="149"/>
      <c r="AM3261" s="149"/>
      <c r="AN3261" s="149"/>
      <c r="AO3261" s="128"/>
      <c r="AP3261" s="128"/>
      <c r="AQ3261" s="128"/>
      <c r="AR3261" s="128"/>
      <c r="AS3261" s="128"/>
      <c r="AT3261" s="128"/>
      <c r="AU3261" s="128"/>
      <c r="AV3261" s="128"/>
      <c r="AW3261" s="128"/>
      <c r="AX3261" s="128"/>
      <c r="AY3261" s="128"/>
      <c r="AZ3261" s="128"/>
      <c r="BA3261" s="128"/>
      <c r="BB3261" s="128"/>
      <c r="BC3261" s="128"/>
      <c r="BD3261" s="128"/>
      <c r="BE3261" s="128"/>
      <c r="BF3261" s="128"/>
      <c r="BG3261" s="128"/>
      <c r="BH3261" s="128"/>
      <c r="BI3261" s="128"/>
      <c r="BJ3261" s="128"/>
      <c r="BK3261" s="128"/>
      <c r="BL3261" s="128"/>
      <c r="BM3261" s="151"/>
      <c r="BN3261" s="128"/>
      <c r="BO3261" s="128"/>
      <c r="BP3261" s="128"/>
      <c r="BQ3261" s="128"/>
      <c r="BR3261" s="128"/>
      <c r="BS3261" s="128"/>
      <c r="BT3261" s="128"/>
      <c r="BU3261" s="128"/>
      <c r="BV3261" s="128"/>
      <c r="BW3261" s="128"/>
      <c r="BX3261" s="128"/>
      <c r="BY3261" s="128"/>
      <c r="BZ3261" s="128"/>
      <c r="CA3261" s="128"/>
      <c r="CB3261" s="128"/>
      <c r="CC3261" s="128"/>
      <c r="CD3261" s="128"/>
      <c r="CE3261" s="128"/>
      <c r="CF3261" s="128"/>
      <c r="CG3261" s="128"/>
      <c r="CI3261" s="128"/>
      <c r="CJ3261" s="128"/>
      <c r="CK3261" s="128"/>
      <c r="CL3261" s="128"/>
      <c r="CM3261" s="128"/>
      <c r="CN3261" s="128"/>
      <c r="CO3261" s="128"/>
      <c r="CP3261" s="128"/>
      <c r="CQ3261" s="128"/>
      <c r="CR3261" s="128"/>
      <c r="CS3261" s="128"/>
      <c r="CT3261" s="128"/>
      <c r="CU3261" s="128"/>
      <c r="CV3261" s="128"/>
      <c r="CW3261" s="128"/>
      <c r="CX3261" s="128"/>
      <c r="CY3261" s="128"/>
      <c r="CZ3261" s="165"/>
    </row>
    <row r="3262" spans="1:104">
      <c r="A3262" s="149"/>
      <c r="B3262" s="149"/>
      <c r="C3262" s="150"/>
      <c r="D3262" s="102"/>
      <c r="E3262" s="149"/>
      <c r="F3262" s="149"/>
      <c r="G3262" s="149"/>
      <c r="H3262" s="149"/>
      <c r="I3262" s="149"/>
      <c r="J3262" s="149"/>
      <c r="K3262" s="149"/>
      <c r="L3262" s="149"/>
      <c r="M3262" s="149"/>
      <c r="N3262" s="149"/>
      <c r="O3262" s="149"/>
      <c r="P3262" s="149"/>
      <c r="Q3262" s="149"/>
      <c r="R3262" s="149"/>
      <c r="S3262" s="149"/>
      <c r="T3262" s="149"/>
      <c r="U3262" s="149"/>
      <c r="V3262" s="149"/>
      <c r="W3262" s="149"/>
      <c r="X3262" s="149"/>
      <c r="Y3262" s="149"/>
      <c r="Z3262" s="149"/>
      <c r="AA3262" s="149"/>
      <c r="AB3262" s="149"/>
      <c r="AC3262" s="149"/>
      <c r="AD3262" s="149"/>
      <c r="AE3262" s="149"/>
      <c r="AF3262" s="149"/>
      <c r="AG3262" s="149"/>
      <c r="AH3262" s="149"/>
      <c r="AI3262" s="149"/>
      <c r="AJ3262" s="149"/>
      <c r="AK3262" s="149"/>
      <c r="AL3262" s="149"/>
      <c r="AM3262" s="149"/>
      <c r="AN3262" s="149"/>
      <c r="AO3262" s="128"/>
      <c r="AP3262" s="128"/>
      <c r="AQ3262" s="128"/>
      <c r="AR3262" s="128"/>
      <c r="AS3262" s="128"/>
      <c r="AT3262" s="128"/>
      <c r="AU3262" s="128"/>
      <c r="AV3262" s="128"/>
      <c r="AW3262" s="128"/>
      <c r="AX3262" s="128"/>
      <c r="AY3262" s="128"/>
      <c r="AZ3262" s="128"/>
      <c r="BA3262" s="128"/>
      <c r="BB3262" s="128"/>
      <c r="BC3262" s="128"/>
      <c r="BD3262" s="128"/>
      <c r="BE3262" s="128"/>
      <c r="BF3262" s="128"/>
      <c r="BG3262" s="128"/>
      <c r="BH3262" s="128"/>
      <c r="BI3262" s="128"/>
      <c r="BJ3262" s="128"/>
      <c r="BK3262" s="128"/>
      <c r="BL3262" s="128"/>
      <c r="BM3262" s="151"/>
      <c r="BN3262" s="128"/>
      <c r="BO3262" s="128"/>
      <c r="BP3262" s="128"/>
      <c r="BQ3262" s="128"/>
      <c r="BR3262" s="128"/>
      <c r="BS3262" s="128"/>
      <c r="BT3262" s="128"/>
      <c r="BU3262" s="128"/>
      <c r="BV3262" s="128"/>
      <c r="BW3262" s="128"/>
      <c r="BX3262" s="128"/>
      <c r="BY3262" s="128"/>
      <c r="BZ3262" s="128"/>
      <c r="CA3262" s="128"/>
      <c r="CB3262" s="128"/>
      <c r="CC3262" s="128"/>
      <c r="CD3262" s="128"/>
      <c r="CE3262" s="128"/>
      <c r="CF3262" s="128"/>
      <c r="CG3262" s="128"/>
      <c r="CI3262" s="128"/>
      <c r="CJ3262" s="128"/>
      <c r="CK3262" s="128"/>
      <c r="CL3262" s="128"/>
      <c r="CM3262" s="128"/>
      <c r="CN3262" s="128"/>
      <c r="CO3262" s="128"/>
      <c r="CP3262" s="128"/>
      <c r="CQ3262" s="128"/>
      <c r="CR3262" s="128"/>
      <c r="CS3262" s="128"/>
      <c r="CT3262" s="128"/>
      <c r="CU3262" s="128"/>
      <c r="CV3262" s="128"/>
      <c r="CW3262" s="128"/>
      <c r="CX3262" s="128"/>
      <c r="CY3262" s="128"/>
      <c r="CZ3262" s="165"/>
    </row>
    <row r="3263" spans="1:104">
      <c r="A3263" s="149"/>
      <c r="B3263" s="149"/>
      <c r="C3263" s="150"/>
      <c r="D3263" s="102"/>
      <c r="E3263" s="149"/>
      <c r="F3263" s="149"/>
      <c r="G3263" s="149"/>
      <c r="H3263" s="149"/>
      <c r="I3263" s="149"/>
      <c r="J3263" s="149"/>
      <c r="K3263" s="149"/>
      <c r="L3263" s="149"/>
      <c r="M3263" s="149"/>
      <c r="N3263" s="149"/>
      <c r="O3263" s="149"/>
      <c r="P3263" s="149"/>
      <c r="Q3263" s="149"/>
      <c r="R3263" s="149"/>
      <c r="S3263" s="149"/>
      <c r="T3263" s="149"/>
      <c r="U3263" s="149"/>
      <c r="V3263" s="149"/>
      <c r="W3263" s="149"/>
      <c r="X3263" s="149"/>
      <c r="Y3263" s="149"/>
      <c r="Z3263" s="149"/>
      <c r="AA3263" s="149"/>
      <c r="AB3263" s="149"/>
      <c r="AC3263" s="149"/>
      <c r="AD3263" s="149"/>
      <c r="AE3263" s="149"/>
      <c r="AF3263" s="149"/>
      <c r="AG3263" s="149"/>
      <c r="AH3263" s="149"/>
      <c r="AI3263" s="149"/>
      <c r="AJ3263" s="149"/>
      <c r="AK3263" s="149"/>
      <c r="AL3263" s="149"/>
      <c r="AM3263" s="149"/>
      <c r="AN3263" s="149"/>
      <c r="AO3263" s="128"/>
      <c r="AP3263" s="128"/>
      <c r="AQ3263" s="128"/>
      <c r="AR3263" s="128"/>
      <c r="AS3263" s="128"/>
      <c r="AT3263" s="128"/>
      <c r="AU3263" s="128"/>
      <c r="AV3263" s="128"/>
      <c r="AW3263" s="128"/>
      <c r="AX3263" s="128"/>
      <c r="AY3263" s="128"/>
      <c r="AZ3263" s="128"/>
      <c r="BA3263" s="128"/>
      <c r="BB3263" s="128"/>
      <c r="BC3263" s="128"/>
      <c r="BD3263" s="128"/>
      <c r="BE3263" s="128"/>
      <c r="BF3263" s="128"/>
      <c r="BG3263" s="128"/>
      <c r="BH3263" s="128"/>
      <c r="BI3263" s="128"/>
      <c r="BJ3263" s="128"/>
      <c r="BK3263" s="128"/>
      <c r="BL3263" s="128"/>
      <c r="BM3263" s="151"/>
      <c r="BN3263" s="128"/>
      <c r="BO3263" s="128"/>
      <c r="BP3263" s="128"/>
      <c r="BQ3263" s="128"/>
      <c r="BR3263" s="128"/>
      <c r="BS3263" s="128"/>
      <c r="BT3263" s="128"/>
      <c r="BU3263" s="128"/>
      <c r="BV3263" s="128"/>
      <c r="BW3263" s="128"/>
      <c r="BX3263" s="128"/>
      <c r="BY3263" s="128"/>
      <c r="BZ3263" s="128"/>
      <c r="CA3263" s="128"/>
      <c r="CB3263" s="128"/>
      <c r="CC3263" s="128"/>
      <c r="CD3263" s="128"/>
      <c r="CE3263" s="128"/>
      <c r="CF3263" s="128"/>
      <c r="CG3263" s="128"/>
      <c r="CI3263" s="128"/>
      <c r="CJ3263" s="128"/>
      <c r="CK3263" s="128"/>
      <c r="CL3263" s="128"/>
      <c r="CM3263" s="128"/>
      <c r="CN3263" s="128"/>
      <c r="CO3263" s="128"/>
      <c r="CP3263" s="128"/>
      <c r="CQ3263" s="128"/>
      <c r="CR3263" s="128"/>
      <c r="CS3263" s="128"/>
      <c r="CT3263" s="128"/>
      <c r="CU3263" s="128"/>
      <c r="CV3263" s="128"/>
      <c r="CW3263" s="128"/>
      <c r="CX3263" s="128"/>
      <c r="CY3263" s="128"/>
      <c r="CZ3263" s="165"/>
    </row>
    <row r="3264" spans="1:104">
      <c r="A3264" s="149"/>
      <c r="B3264" s="149"/>
      <c r="C3264" s="150"/>
      <c r="D3264" s="102"/>
      <c r="E3264" s="149"/>
      <c r="F3264" s="149"/>
      <c r="G3264" s="149"/>
      <c r="H3264" s="149"/>
      <c r="I3264" s="149"/>
      <c r="J3264" s="149"/>
      <c r="K3264" s="149"/>
      <c r="L3264" s="149"/>
      <c r="M3264" s="149"/>
      <c r="N3264" s="149"/>
      <c r="O3264" s="149"/>
      <c r="P3264" s="149"/>
      <c r="Q3264" s="149"/>
      <c r="R3264" s="149"/>
      <c r="S3264" s="149"/>
      <c r="T3264" s="149"/>
      <c r="U3264" s="149"/>
      <c r="V3264" s="149"/>
      <c r="W3264" s="149"/>
      <c r="X3264" s="149"/>
      <c r="Y3264" s="149"/>
      <c r="Z3264" s="149"/>
      <c r="AA3264" s="149"/>
      <c r="AB3264" s="149"/>
      <c r="AC3264" s="149"/>
      <c r="AD3264" s="149"/>
      <c r="AE3264" s="149"/>
      <c r="AF3264" s="149"/>
      <c r="AG3264" s="149"/>
      <c r="AH3264" s="149"/>
      <c r="AI3264" s="149"/>
      <c r="AJ3264" s="149"/>
      <c r="AK3264" s="149"/>
      <c r="AL3264" s="149"/>
      <c r="AM3264" s="149"/>
      <c r="AN3264" s="149"/>
      <c r="AO3264" s="128"/>
      <c r="AP3264" s="128"/>
      <c r="AQ3264" s="128"/>
      <c r="AR3264" s="128"/>
      <c r="AS3264" s="128"/>
      <c r="AT3264" s="128"/>
      <c r="AU3264" s="128"/>
      <c r="AV3264" s="128"/>
      <c r="AW3264" s="128"/>
      <c r="AX3264" s="128"/>
      <c r="AY3264" s="128"/>
      <c r="AZ3264" s="128"/>
      <c r="BA3264" s="128"/>
      <c r="BB3264" s="128"/>
      <c r="BC3264" s="128"/>
      <c r="BD3264" s="128"/>
      <c r="BE3264" s="128"/>
      <c r="BF3264" s="128"/>
      <c r="BG3264" s="128"/>
      <c r="BH3264" s="128"/>
      <c r="BI3264" s="128"/>
      <c r="BJ3264" s="128"/>
      <c r="BK3264" s="128"/>
      <c r="BL3264" s="128"/>
      <c r="BM3264" s="151"/>
      <c r="BN3264" s="128"/>
      <c r="BO3264" s="128"/>
      <c r="BP3264" s="128"/>
      <c r="BQ3264" s="128"/>
      <c r="BR3264" s="128"/>
      <c r="BS3264" s="128"/>
      <c r="BT3264" s="128"/>
      <c r="BU3264" s="128"/>
      <c r="BV3264" s="128"/>
      <c r="BW3264" s="128"/>
      <c r="BX3264" s="128"/>
      <c r="BY3264" s="128"/>
      <c r="BZ3264" s="128"/>
      <c r="CA3264" s="128"/>
      <c r="CB3264" s="128"/>
      <c r="CC3264" s="128"/>
      <c r="CD3264" s="128"/>
      <c r="CE3264" s="128"/>
      <c r="CF3264" s="128"/>
      <c r="CG3264" s="128"/>
      <c r="CI3264" s="128"/>
      <c r="CJ3264" s="128"/>
      <c r="CK3264" s="128"/>
      <c r="CL3264" s="128"/>
      <c r="CM3264" s="128"/>
      <c r="CN3264" s="128"/>
      <c r="CO3264" s="128"/>
      <c r="CP3264" s="128"/>
      <c r="CQ3264" s="128"/>
      <c r="CR3264" s="128"/>
      <c r="CS3264" s="128"/>
      <c r="CT3264" s="128"/>
      <c r="CU3264" s="128"/>
      <c r="CV3264" s="128"/>
      <c r="CW3264" s="128"/>
      <c r="CX3264" s="128"/>
      <c r="CY3264" s="128"/>
      <c r="CZ3264" s="165"/>
    </row>
    <row r="3265" spans="1:104">
      <c r="A3265" s="149"/>
      <c r="B3265" s="149"/>
      <c r="C3265" s="150"/>
      <c r="D3265" s="102"/>
      <c r="E3265" s="149"/>
      <c r="F3265" s="149"/>
      <c r="G3265" s="149"/>
      <c r="H3265" s="149"/>
      <c r="I3265" s="149"/>
      <c r="J3265" s="149"/>
      <c r="K3265" s="149"/>
      <c r="L3265" s="149"/>
      <c r="M3265" s="149"/>
      <c r="N3265" s="149"/>
      <c r="O3265" s="149"/>
      <c r="P3265" s="149"/>
      <c r="Q3265" s="149"/>
      <c r="R3265" s="149"/>
      <c r="S3265" s="149"/>
      <c r="T3265" s="149"/>
      <c r="U3265" s="149"/>
      <c r="V3265" s="149"/>
      <c r="W3265" s="149"/>
      <c r="X3265" s="149"/>
      <c r="Y3265" s="149"/>
      <c r="Z3265" s="149"/>
      <c r="AA3265" s="149"/>
      <c r="AB3265" s="149"/>
      <c r="AC3265" s="149"/>
      <c r="AD3265" s="149"/>
      <c r="AE3265" s="149"/>
      <c r="AF3265" s="149"/>
      <c r="AG3265" s="149"/>
      <c r="AH3265" s="149"/>
      <c r="AI3265" s="149"/>
      <c r="AJ3265" s="149"/>
      <c r="AK3265" s="149"/>
      <c r="AL3265" s="149"/>
      <c r="AM3265" s="149"/>
      <c r="AN3265" s="149"/>
      <c r="AO3265" s="128"/>
      <c r="AP3265" s="128"/>
      <c r="AQ3265" s="128"/>
      <c r="AR3265" s="128"/>
      <c r="AS3265" s="128"/>
      <c r="AT3265" s="128"/>
      <c r="AU3265" s="128"/>
      <c r="AV3265" s="128"/>
      <c r="AW3265" s="128"/>
      <c r="AX3265" s="128"/>
      <c r="AY3265" s="128"/>
      <c r="AZ3265" s="128"/>
      <c r="BA3265" s="128"/>
      <c r="BB3265" s="128"/>
      <c r="BC3265" s="128"/>
      <c r="BD3265" s="128"/>
      <c r="BE3265" s="128"/>
      <c r="BF3265" s="128"/>
      <c r="BG3265" s="128"/>
      <c r="BH3265" s="128"/>
      <c r="BI3265" s="128"/>
      <c r="BJ3265" s="128"/>
      <c r="BK3265" s="128"/>
      <c r="BL3265" s="128"/>
      <c r="BM3265" s="151"/>
      <c r="BN3265" s="128"/>
      <c r="BO3265" s="128"/>
      <c r="BP3265" s="128"/>
      <c r="BQ3265" s="128"/>
      <c r="BR3265" s="128"/>
      <c r="BS3265" s="128"/>
      <c r="BT3265" s="128"/>
      <c r="BU3265" s="128"/>
      <c r="BV3265" s="128"/>
      <c r="BW3265" s="128"/>
      <c r="BX3265" s="128"/>
      <c r="BY3265" s="128"/>
      <c r="BZ3265" s="128"/>
      <c r="CA3265" s="128"/>
      <c r="CB3265" s="128"/>
      <c r="CC3265" s="128"/>
      <c r="CD3265" s="128"/>
      <c r="CE3265" s="128"/>
      <c r="CF3265" s="128"/>
      <c r="CG3265" s="128"/>
      <c r="CI3265" s="128"/>
      <c r="CJ3265" s="128"/>
      <c r="CK3265" s="128"/>
      <c r="CL3265" s="128"/>
      <c r="CM3265" s="128"/>
      <c r="CN3265" s="128"/>
      <c r="CO3265" s="128"/>
      <c r="CP3265" s="128"/>
      <c r="CQ3265" s="128"/>
      <c r="CR3265" s="128"/>
      <c r="CS3265" s="128"/>
      <c r="CT3265" s="128"/>
      <c r="CU3265" s="128"/>
      <c r="CV3265" s="128"/>
      <c r="CW3265" s="128"/>
      <c r="CX3265" s="128"/>
      <c r="CY3265" s="128"/>
      <c r="CZ3265" s="165"/>
    </row>
    <row r="3266" spans="1:104">
      <c r="A3266" s="149"/>
      <c r="B3266" s="149"/>
      <c r="C3266" s="150"/>
      <c r="D3266" s="102"/>
      <c r="E3266" s="149"/>
      <c r="F3266" s="149"/>
      <c r="G3266" s="149"/>
      <c r="H3266" s="149"/>
      <c r="I3266" s="149"/>
      <c r="J3266" s="149"/>
      <c r="K3266" s="149"/>
      <c r="L3266" s="149"/>
      <c r="M3266" s="149"/>
      <c r="N3266" s="149"/>
      <c r="O3266" s="149"/>
      <c r="P3266" s="149"/>
      <c r="Q3266" s="149"/>
      <c r="R3266" s="149"/>
      <c r="S3266" s="149"/>
      <c r="T3266" s="149"/>
      <c r="U3266" s="149"/>
      <c r="V3266" s="149"/>
      <c r="W3266" s="149"/>
      <c r="X3266" s="149"/>
      <c r="Y3266" s="149"/>
      <c r="Z3266" s="149"/>
      <c r="AA3266" s="149"/>
      <c r="AB3266" s="149"/>
      <c r="AC3266" s="149"/>
      <c r="AD3266" s="149"/>
      <c r="AE3266" s="149"/>
      <c r="AF3266" s="149"/>
      <c r="AG3266" s="149"/>
      <c r="AH3266" s="149"/>
      <c r="AI3266" s="149"/>
      <c r="AJ3266" s="149"/>
      <c r="AK3266" s="149"/>
      <c r="AL3266" s="149"/>
      <c r="AM3266" s="149"/>
      <c r="AN3266" s="149"/>
      <c r="AO3266" s="128"/>
      <c r="AP3266" s="128"/>
      <c r="AQ3266" s="128"/>
      <c r="AR3266" s="128"/>
      <c r="AS3266" s="128"/>
      <c r="AT3266" s="128"/>
      <c r="AU3266" s="128"/>
      <c r="AV3266" s="128"/>
      <c r="AW3266" s="128"/>
      <c r="AX3266" s="128"/>
      <c r="AY3266" s="128"/>
      <c r="AZ3266" s="128"/>
      <c r="BA3266" s="128"/>
      <c r="BB3266" s="128"/>
      <c r="BC3266" s="128"/>
      <c r="BD3266" s="128"/>
      <c r="BE3266" s="128"/>
      <c r="BF3266" s="128"/>
      <c r="BG3266" s="128"/>
      <c r="BH3266" s="128"/>
      <c r="BI3266" s="128"/>
      <c r="BJ3266" s="128"/>
      <c r="BK3266" s="128"/>
      <c r="BL3266" s="128"/>
      <c r="BM3266" s="151"/>
      <c r="BN3266" s="128"/>
      <c r="BO3266" s="128"/>
      <c r="BP3266" s="128"/>
      <c r="BQ3266" s="128"/>
      <c r="BR3266" s="128"/>
      <c r="BS3266" s="128"/>
      <c r="BT3266" s="128"/>
      <c r="BU3266" s="128"/>
      <c r="BV3266" s="128"/>
      <c r="BW3266" s="128"/>
      <c r="BX3266" s="128"/>
      <c r="BY3266" s="128"/>
      <c r="BZ3266" s="128"/>
      <c r="CA3266" s="128"/>
      <c r="CB3266" s="128"/>
      <c r="CC3266" s="128"/>
      <c r="CD3266" s="128"/>
      <c r="CE3266" s="128"/>
      <c r="CF3266" s="128"/>
      <c r="CG3266" s="128"/>
      <c r="CI3266" s="128"/>
      <c r="CJ3266" s="128"/>
      <c r="CK3266" s="128"/>
      <c r="CL3266" s="128"/>
      <c r="CM3266" s="128"/>
      <c r="CN3266" s="128"/>
      <c r="CO3266" s="128"/>
      <c r="CP3266" s="128"/>
      <c r="CQ3266" s="128"/>
      <c r="CR3266" s="128"/>
      <c r="CS3266" s="128"/>
      <c r="CT3266" s="128"/>
      <c r="CU3266" s="128"/>
      <c r="CV3266" s="128"/>
      <c r="CW3266" s="128"/>
      <c r="CX3266" s="128"/>
      <c r="CY3266" s="128"/>
      <c r="CZ3266" s="165"/>
    </row>
    <row r="3267" spans="1:104">
      <c r="A3267" s="149"/>
      <c r="B3267" s="149"/>
      <c r="C3267" s="150"/>
      <c r="D3267" s="102"/>
      <c r="E3267" s="149"/>
      <c r="F3267" s="149"/>
      <c r="G3267" s="149"/>
      <c r="H3267" s="149"/>
      <c r="I3267" s="149"/>
      <c r="J3267" s="149"/>
      <c r="K3267" s="149"/>
      <c r="L3267" s="149"/>
      <c r="M3267" s="149"/>
      <c r="N3267" s="149"/>
      <c r="O3267" s="149"/>
      <c r="P3267" s="149"/>
      <c r="Q3267" s="149"/>
      <c r="R3267" s="149"/>
      <c r="S3267" s="149"/>
      <c r="T3267" s="149"/>
      <c r="U3267" s="149"/>
      <c r="V3267" s="149"/>
      <c r="W3267" s="149"/>
      <c r="X3267" s="149"/>
      <c r="Y3267" s="149"/>
      <c r="Z3267" s="149"/>
      <c r="AA3267" s="149"/>
      <c r="AB3267" s="149"/>
      <c r="AC3267" s="149"/>
      <c r="AD3267" s="149"/>
      <c r="AE3267" s="149"/>
      <c r="AF3267" s="149"/>
      <c r="AG3267" s="149"/>
      <c r="AH3267" s="149"/>
      <c r="AI3267" s="149"/>
      <c r="AJ3267" s="149"/>
      <c r="AK3267" s="149"/>
      <c r="AL3267" s="149"/>
      <c r="AM3267" s="149"/>
      <c r="AN3267" s="149"/>
      <c r="AO3267" s="128"/>
      <c r="AP3267" s="128"/>
      <c r="AQ3267" s="128"/>
      <c r="AR3267" s="128"/>
      <c r="AS3267" s="128"/>
      <c r="AT3267" s="128"/>
      <c r="AU3267" s="128"/>
      <c r="AV3267" s="128"/>
      <c r="AW3267" s="128"/>
      <c r="AX3267" s="128"/>
      <c r="AY3267" s="128"/>
      <c r="AZ3267" s="128"/>
      <c r="BA3267" s="128"/>
      <c r="BB3267" s="128"/>
      <c r="BC3267" s="128"/>
      <c r="BD3267" s="128"/>
      <c r="BE3267" s="128"/>
      <c r="BF3267" s="128"/>
      <c r="BG3267" s="128"/>
      <c r="BH3267" s="128"/>
      <c r="BI3267" s="128"/>
      <c r="BJ3267" s="128"/>
      <c r="BK3267" s="128"/>
      <c r="BL3267" s="128"/>
      <c r="BM3267" s="151"/>
      <c r="BN3267" s="128"/>
      <c r="BO3267" s="128"/>
      <c r="BP3267" s="128"/>
      <c r="BQ3267" s="128"/>
      <c r="BR3267" s="128"/>
      <c r="BS3267" s="128"/>
      <c r="BT3267" s="128"/>
      <c r="BU3267" s="128"/>
      <c r="BV3267" s="128"/>
      <c r="BW3267" s="128"/>
      <c r="BX3267" s="128"/>
      <c r="BY3267" s="128"/>
      <c r="BZ3267" s="128"/>
      <c r="CA3267" s="128"/>
      <c r="CB3267" s="128"/>
      <c r="CC3267" s="128"/>
      <c r="CD3267" s="128"/>
      <c r="CE3267" s="128"/>
      <c r="CF3267" s="128"/>
      <c r="CG3267" s="128"/>
      <c r="CI3267" s="128"/>
      <c r="CJ3267" s="128"/>
      <c r="CK3267" s="128"/>
      <c r="CL3267" s="128"/>
      <c r="CM3267" s="128"/>
      <c r="CN3267" s="128"/>
      <c r="CO3267" s="128"/>
      <c r="CP3267" s="128"/>
      <c r="CQ3267" s="128"/>
      <c r="CR3267" s="128"/>
      <c r="CS3267" s="128"/>
      <c r="CT3267" s="128"/>
      <c r="CU3267" s="128"/>
      <c r="CV3267" s="128"/>
      <c r="CW3267" s="128"/>
      <c r="CX3267" s="128"/>
      <c r="CY3267" s="128"/>
      <c r="CZ3267" s="165"/>
    </row>
    <row r="3268" spans="1:104">
      <c r="A3268" s="149"/>
      <c r="B3268" s="149"/>
      <c r="C3268" s="150"/>
      <c r="D3268" s="102"/>
      <c r="E3268" s="149"/>
      <c r="F3268" s="149"/>
      <c r="G3268" s="149"/>
      <c r="H3268" s="149"/>
      <c r="I3268" s="149"/>
      <c r="J3268" s="149"/>
      <c r="K3268" s="149"/>
      <c r="L3268" s="149"/>
      <c r="M3268" s="149"/>
      <c r="N3268" s="149"/>
      <c r="O3268" s="149"/>
      <c r="P3268" s="149"/>
      <c r="Q3268" s="149"/>
      <c r="R3268" s="149"/>
      <c r="S3268" s="149"/>
      <c r="T3268" s="149"/>
      <c r="U3268" s="149"/>
      <c r="V3268" s="149"/>
      <c r="W3268" s="149"/>
      <c r="X3268" s="149"/>
      <c r="Y3268" s="149"/>
      <c r="Z3268" s="149"/>
      <c r="AA3268" s="149"/>
      <c r="AB3268" s="149"/>
      <c r="AC3268" s="149"/>
      <c r="AD3268" s="149"/>
      <c r="AE3268" s="149"/>
      <c r="AF3268" s="149"/>
      <c r="AG3268" s="149"/>
      <c r="AH3268" s="149"/>
      <c r="AI3268" s="149"/>
      <c r="AJ3268" s="149"/>
      <c r="AK3268" s="149"/>
      <c r="AL3268" s="149"/>
      <c r="AM3268" s="149"/>
      <c r="AN3268" s="149"/>
      <c r="AO3268" s="128"/>
      <c r="AP3268" s="128"/>
      <c r="AQ3268" s="128"/>
      <c r="AR3268" s="128"/>
      <c r="AS3268" s="128"/>
      <c r="AT3268" s="128"/>
      <c r="AU3268" s="128"/>
      <c r="AV3268" s="128"/>
      <c r="AW3268" s="128"/>
      <c r="AX3268" s="128"/>
      <c r="AY3268" s="128"/>
      <c r="AZ3268" s="128"/>
      <c r="BA3268" s="128"/>
      <c r="BB3268" s="128"/>
      <c r="BC3268" s="128"/>
      <c r="BD3268" s="128"/>
      <c r="BE3268" s="128"/>
      <c r="BF3268" s="128"/>
      <c r="BG3268" s="128"/>
      <c r="BH3268" s="128"/>
      <c r="BI3268" s="128"/>
      <c r="BJ3268" s="128"/>
      <c r="BK3268" s="128"/>
      <c r="BL3268" s="128"/>
      <c r="BM3268" s="151"/>
      <c r="BN3268" s="128"/>
      <c r="BO3268" s="128"/>
      <c r="BP3268" s="128"/>
      <c r="BQ3268" s="128"/>
      <c r="BR3268" s="128"/>
      <c r="BS3268" s="128"/>
      <c r="BT3268" s="128"/>
      <c r="BU3268" s="128"/>
      <c r="BV3268" s="128"/>
      <c r="BW3268" s="128"/>
      <c r="BX3268" s="128"/>
      <c r="BY3268" s="128"/>
      <c r="BZ3268" s="128"/>
      <c r="CA3268" s="128"/>
      <c r="CB3268" s="128"/>
      <c r="CC3268" s="128"/>
      <c r="CD3268" s="128"/>
      <c r="CE3268" s="128"/>
      <c r="CF3268" s="128"/>
      <c r="CG3268" s="128"/>
      <c r="CI3268" s="128"/>
      <c r="CJ3268" s="128"/>
      <c r="CK3268" s="128"/>
      <c r="CL3268" s="128"/>
      <c r="CM3268" s="128"/>
      <c r="CN3268" s="128"/>
      <c r="CO3268" s="128"/>
      <c r="CP3268" s="128"/>
      <c r="CQ3268" s="128"/>
      <c r="CR3268" s="128"/>
      <c r="CS3268" s="128"/>
      <c r="CT3268" s="128"/>
      <c r="CU3268" s="128"/>
      <c r="CV3268" s="128"/>
      <c r="CW3268" s="128"/>
      <c r="CX3268" s="128"/>
      <c r="CY3268" s="128"/>
      <c r="CZ3268" s="165"/>
    </row>
    <row r="3269" spans="1:104">
      <c r="A3269" s="149"/>
      <c r="B3269" s="149"/>
      <c r="C3269" s="150"/>
      <c r="D3269" s="102"/>
      <c r="E3269" s="149"/>
      <c r="F3269" s="149"/>
      <c r="G3269" s="149"/>
      <c r="H3269" s="149"/>
      <c r="I3269" s="149"/>
      <c r="J3269" s="149"/>
      <c r="K3269" s="149"/>
      <c r="L3269" s="149"/>
      <c r="M3269" s="149"/>
      <c r="N3269" s="149"/>
      <c r="O3269" s="149"/>
      <c r="P3269" s="149"/>
      <c r="Q3269" s="149"/>
      <c r="R3269" s="149"/>
      <c r="S3269" s="149"/>
      <c r="T3269" s="149"/>
      <c r="U3269" s="149"/>
      <c r="V3269" s="149"/>
      <c r="W3269" s="149"/>
      <c r="X3269" s="149"/>
      <c r="Y3269" s="149"/>
      <c r="Z3269" s="149"/>
      <c r="AA3269" s="149"/>
      <c r="AB3269" s="149"/>
      <c r="AC3269" s="149"/>
      <c r="AD3269" s="149"/>
      <c r="AE3269" s="149"/>
      <c r="AF3269" s="149"/>
      <c r="AG3269" s="149"/>
      <c r="AH3269" s="149"/>
      <c r="AI3269" s="149"/>
      <c r="AJ3269" s="149"/>
      <c r="AK3269" s="149"/>
      <c r="AL3269" s="149"/>
      <c r="AM3269" s="149"/>
      <c r="AN3269" s="149"/>
      <c r="AO3269" s="128"/>
      <c r="AP3269" s="128"/>
      <c r="AQ3269" s="128"/>
      <c r="AR3269" s="128"/>
      <c r="AS3269" s="128"/>
      <c r="AT3269" s="128"/>
      <c r="AU3269" s="128"/>
      <c r="AV3269" s="128"/>
      <c r="AW3269" s="128"/>
      <c r="AX3269" s="128"/>
      <c r="AY3269" s="128"/>
      <c r="AZ3269" s="128"/>
      <c r="BA3269" s="128"/>
      <c r="BB3269" s="128"/>
      <c r="BC3269" s="128"/>
      <c r="BD3269" s="128"/>
      <c r="BE3269" s="128"/>
      <c r="BF3269" s="128"/>
      <c r="BG3269" s="128"/>
      <c r="BH3269" s="128"/>
      <c r="BI3269" s="128"/>
      <c r="BJ3269" s="128"/>
      <c r="BK3269" s="128"/>
      <c r="BL3269" s="128"/>
      <c r="BM3269" s="151"/>
      <c r="BN3269" s="128"/>
      <c r="BO3269" s="128"/>
      <c r="BP3269" s="128"/>
      <c r="BQ3269" s="128"/>
      <c r="BR3269" s="128"/>
      <c r="BS3269" s="128"/>
      <c r="BT3269" s="128"/>
      <c r="BU3269" s="128"/>
      <c r="BV3269" s="128"/>
      <c r="BW3269" s="128"/>
      <c r="BX3269" s="128"/>
      <c r="BY3269" s="128"/>
      <c r="BZ3269" s="128"/>
      <c r="CA3269" s="128"/>
      <c r="CB3269" s="128"/>
      <c r="CC3269" s="128"/>
      <c r="CD3269" s="128"/>
      <c r="CE3269" s="128"/>
      <c r="CF3269" s="128"/>
      <c r="CG3269" s="128"/>
      <c r="CI3269" s="128"/>
      <c r="CJ3269" s="128"/>
      <c r="CK3269" s="128"/>
      <c r="CL3269" s="128"/>
      <c r="CM3269" s="128"/>
      <c r="CN3269" s="128"/>
      <c r="CO3269" s="128"/>
      <c r="CP3269" s="128"/>
      <c r="CQ3269" s="128"/>
      <c r="CR3269" s="128"/>
      <c r="CS3269" s="128"/>
      <c r="CT3269" s="128"/>
      <c r="CU3269" s="128"/>
      <c r="CV3269" s="128"/>
      <c r="CW3269" s="128"/>
      <c r="CX3269" s="128"/>
      <c r="CY3269" s="128"/>
      <c r="CZ3269" s="165"/>
    </row>
    <row r="3270" spans="1:104">
      <c r="A3270" s="149"/>
      <c r="B3270" s="149"/>
      <c r="C3270" s="150"/>
      <c r="D3270" s="102"/>
      <c r="E3270" s="149"/>
      <c r="F3270" s="149"/>
      <c r="G3270" s="149"/>
      <c r="H3270" s="149"/>
      <c r="I3270" s="149"/>
      <c r="J3270" s="149"/>
      <c r="K3270" s="149"/>
      <c r="L3270" s="149"/>
      <c r="M3270" s="149"/>
      <c r="N3270" s="149"/>
      <c r="O3270" s="149"/>
      <c r="P3270" s="149"/>
      <c r="Q3270" s="149"/>
      <c r="R3270" s="149"/>
      <c r="S3270" s="149"/>
      <c r="T3270" s="149"/>
      <c r="U3270" s="149"/>
      <c r="V3270" s="149"/>
      <c r="W3270" s="149"/>
      <c r="X3270" s="149"/>
      <c r="Y3270" s="149"/>
      <c r="Z3270" s="149"/>
      <c r="AA3270" s="149"/>
      <c r="AB3270" s="149"/>
      <c r="AC3270" s="149"/>
      <c r="AD3270" s="149"/>
      <c r="AE3270" s="149"/>
      <c r="AF3270" s="149"/>
      <c r="AG3270" s="149"/>
      <c r="AH3270" s="149"/>
      <c r="AI3270" s="149"/>
      <c r="AJ3270" s="149"/>
      <c r="AK3270" s="149"/>
      <c r="AL3270" s="149"/>
      <c r="AM3270" s="149"/>
      <c r="AN3270" s="149"/>
      <c r="AO3270" s="128"/>
      <c r="AP3270" s="128"/>
      <c r="AQ3270" s="128"/>
      <c r="AR3270" s="128"/>
      <c r="AS3270" s="128"/>
      <c r="AT3270" s="128"/>
      <c r="AU3270" s="128"/>
      <c r="AV3270" s="128"/>
      <c r="AW3270" s="128"/>
      <c r="AX3270" s="128"/>
      <c r="AY3270" s="128"/>
      <c r="AZ3270" s="128"/>
      <c r="BA3270" s="128"/>
      <c r="BB3270" s="128"/>
      <c r="BC3270" s="128"/>
      <c r="BD3270" s="128"/>
      <c r="BE3270" s="128"/>
      <c r="BF3270" s="128"/>
      <c r="BG3270" s="128"/>
      <c r="BH3270" s="128"/>
      <c r="BI3270" s="128"/>
      <c r="BJ3270" s="128"/>
      <c r="BK3270" s="128"/>
      <c r="BL3270" s="128"/>
      <c r="BM3270" s="151"/>
      <c r="BN3270" s="128"/>
      <c r="BO3270" s="128"/>
      <c r="BP3270" s="128"/>
      <c r="BQ3270" s="128"/>
      <c r="BR3270" s="128"/>
      <c r="BS3270" s="128"/>
      <c r="BT3270" s="128"/>
      <c r="BU3270" s="128"/>
      <c r="BV3270" s="128"/>
      <c r="BW3270" s="128"/>
      <c r="BX3270" s="128"/>
      <c r="BY3270" s="128"/>
      <c r="BZ3270" s="128"/>
      <c r="CA3270" s="128"/>
      <c r="CB3270" s="128"/>
      <c r="CC3270" s="128"/>
      <c r="CD3270" s="128"/>
      <c r="CE3270" s="128"/>
      <c r="CF3270" s="128"/>
      <c r="CG3270" s="128"/>
      <c r="CI3270" s="128"/>
      <c r="CJ3270" s="128"/>
      <c r="CK3270" s="128"/>
      <c r="CL3270" s="128"/>
      <c r="CM3270" s="128"/>
      <c r="CN3270" s="128"/>
      <c r="CO3270" s="128"/>
      <c r="CP3270" s="128"/>
      <c r="CQ3270" s="128"/>
      <c r="CR3270" s="128"/>
      <c r="CS3270" s="128"/>
      <c r="CT3270" s="128"/>
      <c r="CU3270" s="128"/>
      <c r="CV3270" s="128"/>
      <c r="CW3270" s="128"/>
      <c r="CX3270" s="128"/>
      <c r="CY3270" s="128"/>
      <c r="CZ3270" s="165"/>
    </row>
    <row r="3271" spans="1:104">
      <c r="A3271" s="149"/>
      <c r="B3271" s="149"/>
      <c r="C3271" s="150"/>
      <c r="D3271" s="102"/>
      <c r="E3271" s="149"/>
      <c r="F3271" s="149"/>
      <c r="G3271" s="149"/>
      <c r="H3271" s="149"/>
      <c r="I3271" s="149"/>
      <c r="J3271" s="149"/>
      <c r="K3271" s="149"/>
      <c r="L3271" s="149"/>
      <c r="M3271" s="149"/>
      <c r="N3271" s="149"/>
      <c r="O3271" s="149"/>
      <c r="P3271" s="149"/>
      <c r="Q3271" s="149"/>
      <c r="R3271" s="149"/>
      <c r="S3271" s="149"/>
      <c r="T3271" s="149"/>
      <c r="U3271" s="149"/>
      <c r="V3271" s="149"/>
      <c r="W3271" s="149"/>
      <c r="X3271" s="149"/>
      <c r="Y3271" s="149"/>
      <c r="Z3271" s="149"/>
      <c r="AA3271" s="149"/>
      <c r="AB3271" s="149"/>
      <c r="AC3271" s="149"/>
      <c r="AD3271" s="149"/>
      <c r="AE3271" s="149"/>
      <c r="AF3271" s="149"/>
      <c r="AG3271" s="149"/>
      <c r="AH3271" s="149"/>
      <c r="AI3271" s="149"/>
      <c r="AJ3271" s="149"/>
      <c r="AK3271" s="149"/>
      <c r="AL3271" s="149"/>
      <c r="AM3271" s="149"/>
      <c r="AN3271" s="149"/>
      <c r="AO3271" s="128"/>
      <c r="AP3271" s="128"/>
      <c r="AQ3271" s="128"/>
      <c r="AR3271" s="128"/>
      <c r="AS3271" s="128"/>
      <c r="AT3271" s="128"/>
      <c r="AU3271" s="128"/>
      <c r="AV3271" s="128"/>
      <c r="AW3271" s="128"/>
      <c r="AX3271" s="128"/>
      <c r="AY3271" s="128"/>
      <c r="AZ3271" s="128"/>
      <c r="BA3271" s="128"/>
      <c r="BB3271" s="128"/>
      <c r="BC3271" s="128"/>
      <c r="BD3271" s="128"/>
      <c r="BE3271" s="128"/>
      <c r="BF3271" s="128"/>
      <c r="BG3271" s="128"/>
      <c r="BH3271" s="128"/>
      <c r="BI3271" s="128"/>
      <c r="BJ3271" s="128"/>
      <c r="BK3271" s="128"/>
      <c r="BL3271" s="128"/>
      <c r="BM3271" s="151"/>
      <c r="BN3271" s="128"/>
      <c r="BO3271" s="128"/>
      <c r="BP3271" s="128"/>
      <c r="BQ3271" s="128"/>
      <c r="BR3271" s="128"/>
      <c r="BS3271" s="128"/>
      <c r="BT3271" s="128"/>
      <c r="BU3271" s="128"/>
      <c r="BV3271" s="128"/>
      <c r="BW3271" s="128"/>
      <c r="BX3271" s="128"/>
      <c r="BY3271" s="128"/>
      <c r="BZ3271" s="128"/>
      <c r="CA3271" s="128"/>
      <c r="CB3271" s="128"/>
      <c r="CC3271" s="128"/>
      <c r="CD3271" s="128"/>
      <c r="CE3271" s="128"/>
      <c r="CF3271" s="128"/>
      <c r="CG3271" s="128"/>
      <c r="CI3271" s="128"/>
      <c r="CJ3271" s="128"/>
      <c r="CK3271" s="128"/>
      <c r="CL3271" s="128"/>
      <c r="CM3271" s="128"/>
      <c r="CN3271" s="128"/>
      <c r="CO3271" s="128"/>
      <c r="CP3271" s="128"/>
      <c r="CQ3271" s="128"/>
      <c r="CR3271" s="128"/>
      <c r="CS3271" s="128"/>
      <c r="CT3271" s="128"/>
      <c r="CU3271" s="128"/>
      <c r="CV3271" s="128"/>
      <c r="CW3271" s="128"/>
      <c r="CX3271" s="128"/>
      <c r="CY3271" s="128"/>
      <c r="CZ3271" s="165"/>
    </row>
    <row r="3272" spans="1:104">
      <c r="A3272" s="149"/>
      <c r="B3272" s="149"/>
      <c r="C3272" s="150"/>
      <c r="D3272" s="102"/>
      <c r="E3272" s="149"/>
      <c r="F3272" s="149"/>
      <c r="G3272" s="149"/>
      <c r="H3272" s="149"/>
      <c r="I3272" s="149"/>
      <c r="J3272" s="149"/>
      <c r="K3272" s="149"/>
      <c r="L3272" s="149"/>
      <c r="M3272" s="149"/>
      <c r="N3272" s="149"/>
      <c r="O3272" s="149"/>
      <c r="P3272" s="149"/>
      <c r="Q3272" s="149"/>
      <c r="R3272" s="149"/>
      <c r="S3272" s="149"/>
      <c r="T3272" s="149"/>
      <c r="U3272" s="149"/>
      <c r="V3272" s="149"/>
      <c r="W3272" s="149"/>
      <c r="X3272" s="149"/>
      <c r="Y3272" s="149"/>
      <c r="Z3272" s="149"/>
      <c r="AA3272" s="149"/>
      <c r="AB3272" s="149"/>
      <c r="AC3272" s="149"/>
      <c r="AD3272" s="149"/>
      <c r="AE3272" s="149"/>
      <c r="AF3272" s="149"/>
      <c r="AG3272" s="149"/>
      <c r="AH3272" s="149"/>
      <c r="AI3272" s="149"/>
      <c r="AJ3272" s="149"/>
      <c r="AK3272" s="149"/>
      <c r="AL3272" s="149"/>
      <c r="AM3272" s="149"/>
      <c r="AN3272" s="149"/>
      <c r="AO3272" s="128"/>
      <c r="AP3272" s="128"/>
      <c r="AQ3272" s="128"/>
      <c r="AR3272" s="128"/>
      <c r="AS3272" s="128"/>
      <c r="AT3272" s="128"/>
      <c r="AU3272" s="128"/>
      <c r="AV3272" s="128"/>
      <c r="AW3272" s="128"/>
      <c r="AX3272" s="128"/>
      <c r="AY3272" s="128"/>
      <c r="AZ3272" s="128"/>
      <c r="BA3272" s="128"/>
      <c r="BB3272" s="128"/>
      <c r="BC3272" s="128"/>
      <c r="BD3272" s="128"/>
      <c r="BE3272" s="128"/>
      <c r="BF3272" s="128"/>
      <c r="BG3272" s="128"/>
      <c r="BH3272" s="128"/>
      <c r="BI3272" s="128"/>
      <c r="BJ3272" s="128"/>
      <c r="BK3272" s="128"/>
      <c r="BL3272" s="128"/>
      <c r="BM3272" s="151"/>
      <c r="BN3272" s="128"/>
      <c r="BO3272" s="128"/>
      <c r="BP3272" s="128"/>
      <c r="BQ3272" s="128"/>
      <c r="BR3272" s="128"/>
      <c r="BS3272" s="128"/>
      <c r="BT3272" s="128"/>
      <c r="BU3272" s="128"/>
      <c r="BV3272" s="128"/>
      <c r="BW3272" s="128"/>
      <c r="BX3272" s="128"/>
      <c r="BY3272" s="128"/>
      <c r="BZ3272" s="128"/>
      <c r="CA3272" s="128"/>
      <c r="CB3272" s="128"/>
      <c r="CC3272" s="128"/>
      <c r="CD3272" s="128"/>
      <c r="CE3272" s="128"/>
      <c r="CF3272" s="128"/>
      <c r="CG3272" s="128"/>
      <c r="CI3272" s="128"/>
      <c r="CJ3272" s="128"/>
      <c r="CK3272" s="128"/>
      <c r="CL3272" s="128"/>
      <c r="CM3272" s="128"/>
      <c r="CN3272" s="128"/>
      <c r="CO3272" s="128"/>
      <c r="CP3272" s="128"/>
      <c r="CQ3272" s="128"/>
      <c r="CR3272" s="128"/>
      <c r="CS3272" s="128"/>
      <c r="CT3272" s="128"/>
      <c r="CU3272" s="128"/>
      <c r="CV3272" s="128"/>
      <c r="CW3272" s="128"/>
      <c r="CX3272" s="128"/>
      <c r="CY3272" s="128"/>
      <c r="CZ3272" s="165"/>
    </row>
    <row r="3273" spans="1:104">
      <c r="A3273" s="149"/>
      <c r="B3273" s="149"/>
      <c r="C3273" s="150"/>
      <c r="D3273" s="102"/>
      <c r="E3273" s="149"/>
      <c r="F3273" s="149"/>
      <c r="G3273" s="149"/>
      <c r="H3273" s="149"/>
      <c r="I3273" s="149"/>
      <c r="J3273" s="149"/>
      <c r="K3273" s="149"/>
      <c r="L3273" s="149"/>
      <c r="M3273" s="149"/>
      <c r="N3273" s="149"/>
      <c r="O3273" s="149"/>
      <c r="P3273" s="149"/>
      <c r="Q3273" s="149"/>
      <c r="R3273" s="149"/>
      <c r="S3273" s="149"/>
      <c r="T3273" s="149"/>
      <c r="U3273" s="149"/>
      <c r="V3273" s="149"/>
      <c r="W3273" s="149"/>
      <c r="X3273" s="149"/>
      <c r="Y3273" s="149"/>
      <c r="Z3273" s="149"/>
      <c r="AA3273" s="149"/>
      <c r="AB3273" s="149"/>
      <c r="AC3273" s="149"/>
      <c r="AD3273" s="149"/>
      <c r="AE3273" s="149"/>
      <c r="AF3273" s="149"/>
      <c r="AG3273" s="149"/>
      <c r="AH3273" s="149"/>
      <c r="AI3273" s="149"/>
      <c r="AJ3273" s="149"/>
      <c r="AK3273" s="149"/>
      <c r="AL3273" s="149"/>
      <c r="AM3273" s="149"/>
      <c r="AN3273" s="149"/>
      <c r="AO3273" s="128"/>
      <c r="AP3273" s="128"/>
      <c r="AQ3273" s="128"/>
      <c r="AR3273" s="128"/>
      <c r="AS3273" s="128"/>
      <c r="AT3273" s="128"/>
      <c r="AU3273" s="128"/>
      <c r="AV3273" s="128"/>
      <c r="AW3273" s="128"/>
      <c r="AX3273" s="128"/>
      <c r="AY3273" s="128"/>
      <c r="AZ3273" s="128"/>
      <c r="BA3273" s="128"/>
      <c r="BB3273" s="128"/>
      <c r="BC3273" s="128"/>
      <c r="BD3273" s="128"/>
      <c r="BE3273" s="128"/>
      <c r="BF3273" s="128"/>
      <c r="BG3273" s="128"/>
      <c r="BH3273" s="128"/>
      <c r="BI3273" s="128"/>
      <c r="BJ3273" s="128"/>
      <c r="BK3273" s="128"/>
      <c r="BL3273" s="128"/>
      <c r="BM3273" s="151"/>
      <c r="BN3273" s="128"/>
      <c r="BO3273" s="128"/>
      <c r="BP3273" s="128"/>
      <c r="BQ3273" s="128"/>
      <c r="BR3273" s="128"/>
      <c r="BS3273" s="128"/>
      <c r="BT3273" s="128"/>
      <c r="BU3273" s="128"/>
      <c r="BV3273" s="128"/>
      <c r="BW3273" s="128"/>
      <c r="BX3273" s="128"/>
      <c r="BY3273" s="128"/>
      <c r="BZ3273" s="128"/>
      <c r="CA3273" s="128"/>
      <c r="CB3273" s="128"/>
      <c r="CC3273" s="128"/>
      <c r="CD3273" s="128"/>
      <c r="CE3273" s="128"/>
      <c r="CF3273" s="128"/>
      <c r="CG3273" s="128"/>
      <c r="CI3273" s="128"/>
      <c r="CJ3273" s="128"/>
      <c r="CK3273" s="128"/>
      <c r="CL3273" s="128"/>
      <c r="CM3273" s="128"/>
      <c r="CN3273" s="128"/>
      <c r="CO3273" s="128"/>
      <c r="CP3273" s="128"/>
      <c r="CQ3273" s="128"/>
      <c r="CR3273" s="128"/>
      <c r="CS3273" s="128"/>
      <c r="CT3273" s="128"/>
      <c r="CU3273" s="128"/>
      <c r="CV3273" s="128"/>
      <c r="CW3273" s="128"/>
      <c r="CX3273" s="128"/>
      <c r="CY3273" s="128"/>
      <c r="CZ3273" s="165"/>
    </row>
    <row r="3274" spans="1:104">
      <c r="A3274" s="149"/>
      <c r="B3274" s="149"/>
      <c r="C3274" s="150"/>
      <c r="D3274" s="102"/>
      <c r="E3274" s="149"/>
      <c r="F3274" s="149"/>
      <c r="G3274" s="149"/>
      <c r="H3274" s="149"/>
      <c r="I3274" s="149"/>
      <c r="J3274" s="149"/>
      <c r="K3274" s="149"/>
      <c r="L3274" s="149"/>
      <c r="M3274" s="149"/>
      <c r="N3274" s="149"/>
      <c r="O3274" s="149"/>
      <c r="P3274" s="149"/>
      <c r="Q3274" s="149"/>
      <c r="R3274" s="149"/>
      <c r="S3274" s="149"/>
      <c r="T3274" s="149"/>
      <c r="U3274" s="149"/>
      <c r="V3274" s="149"/>
      <c r="W3274" s="149"/>
      <c r="X3274" s="149"/>
      <c r="Y3274" s="149"/>
      <c r="Z3274" s="149"/>
      <c r="AA3274" s="149"/>
      <c r="AB3274" s="149"/>
      <c r="AC3274" s="149"/>
      <c r="AD3274" s="149"/>
      <c r="AE3274" s="149"/>
      <c r="AF3274" s="149"/>
      <c r="AG3274" s="149"/>
      <c r="AH3274" s="149"/>
      <c r="AI3274" s="149"/>
      <c r="AJ3274" s="149"/>
      <c r="AK3274" s="149"/>
      <c r="AL3274" s="149"/>
      <c r="AM3274" s="149"/>
      <c r="AN3274" s="149"/>
      <c r="AO3274" s="128"/>
      <c r="AP3274" s="128"/>
      <c r="AQ3274" s="128"/>
      <c r="AR3274" s="128"/>
      <c r="AS3274" s="128"/>
      <c r="AT3274" s="128"/>
      <c r="AU3274" s="128"/>
      <c r="AV3274" s="128"/>
      <c r="AW3274" s="128"/>
      <c r="AX3274" s="128"/>
      <c r="AY3274" s="128"/>
      <c r="AZ3274" s="128"/>
      <c r="BA3274" s="128"/>
      <c r="BB3274" s="128"/>
      <c r="BC3274" s="128"/>
      <c r="BD3274" s="128"/>
      <c r="BE3274" s="128"/>
      <c r="BF3274" s="128"/>
      <c r="BG3274" s="128"/>
      <c r="BH3274" s="128"/>
      <c r="BI3274" s="128"/>
      <c r="BJ3274" s="128"/>
      <c r="BK3274" s="128"/>
      <c r="BL3274" s="128"/>
      <c r="BM3274" s="151"/>
      <c r="BN3274" s="128"/>
      <c r="BO3274" s="128"/>
      <c r="BP3274" s="128"/>
      <c r="BQ3274" s="128"/>
      <c r="BR3274" s="128"/>
      <c r="BS3274" s="128"/>
      <c r="BT3274" s="128"/>
      <c r="BU3274" s="128"/>
      <c r="BV3274" s="128"/>
      <c r="BW3274" s="128"/>
      <c r="BX3274" s="128"/>
      <c r="BY3274" s="128"/>
      <c r="BZ3274" s="128"/>
      <c r="CA3274" s="128"/>
      <c r="CB3274" s="128"/>
      <c r="CC3274" s="128"/>
      <c r="CD3274" s="128"/>
      <c r="CE3274" s="128"/>
      <c r="CF3274" s="128"/>
      <c r="CG3274" s="128"/>
      <c r="CI3274" s="128"/>
      <c r="CJ3274" s="128"/>
      <c r="CK3274" s="128"/>
      <c r="CL3274" s="128"/>
      <c r="CM3274" s="128"/>
      <c r="CN3274" s="128"/>
      <c r="CO3274" s="128"/>
      <c r="CP3274" s="128"/>
      <c r="CQ3274" s="128"/>
      <c r="CR3274" s="128"/>
      <c r="CS3274" s="128"/>
      <c r="CT3274" s="128"/>
      <c r="CU3274" s="128"/>
      <c r="CV3274" s="128"/>
      <c r="CW3274" s="128"/>
      <c r="CX3274" s="128"/>
      <c r="CY3274" s="128"/>
      <c r="CZ3274" s="165"/>
    </row>
    <row r="3275" spans="1:104">
      <c r="A3275" s="149"/>
      <c r="B3275" s="149"/>
      <c r="C3275" s="150"/>
      <c r="D3275" s="102"/>
      <c r="E3275" s="149"/>
      <c r="F3275" s="149"/>
      <c r="G3275" s="149"/>
      <c r="H3275" s="149"/>
      <c r="I3275" s="149"/>
      <c r="J3275" s="149"/>
      <c r="K3275" s="149"/>
      <c r="L3275" s="149"/>
      <c r="M3275" s="149"/>
      <c r="N3275" s="149"/>
      <c r="O3275" s="149"/>
      <c r="P3275" s="149"/>
      <c r="Q3275" s="149"/>
      <c r="R3275" s="149"/>
      <c r="S3275" s="149"/>
      <c r="T3275" s="149"/>
      <c r="U3275" s="149"/>
      <c r="V3275" s="149"/>
      <c r="W3275" s="149"/>
      <c r="X3275" s="149"/>
      <c r="Y3275" s="149"/>
      <c r="Z3275" s="149"/>
      <c r="AA3275" s="149"/>
      <c r="AB3275" s="149"/>
      <c r="AC3275" s="149"/>
      <c r="AD3275" s="149"/>
      <c r="AE3275" s="149"/>
      <c r="AF3275" s="149"/>
      <c r="AG3275" s="149"/>
      <c r="AH3275" s="149"/>
      <c r="AI3275" s="149"/>
      <c r="AJ3275" s="149"/>
      <c r="AK3275" s="149"/>
      <c r="AL3275" s="149"/>
      <c r="AM3275" s="149"/>
      <c r="AN3275" s="149"/>
      <c r="AO3275" s="128"/>
      <c r="AP3275" s="128"/>
      <c r="AQ3275" s="128"/>
      <c r="AR3275" s="128"/>
      <c r="AS3275" s="128"/>
      <c r="AT3275" s="128"/>
      <c r="AU3275" s="128"/>
      <c r="AV3275" s="128"/>
      <c r="AW3275" s="128"/>
      <c r="AX3275" s="128"/>
      <c r="AY3275" s="128"/>
      <c r="AZ3275" s="128"/>
      <c r="BA3275" s="128"/>
      <c r="BB3275" s="128"/>
      <c r="BC3275" s="128"/>
      <c r="BD3275" s="128"/>
      <c r="BE3275" s="128"/>
      <c r="BF3275" s="128"/>
      <c r="BG3275" s="128"/>
      <c r="BH3275" s="128"/>
      <c r="BI3275" s="128"/>
      <c r="BJ3275" s="128"/>
      <c r="BK3275" s="128"/>
      <c r="BL3275" s="128"/>
      <c r="BM3275" s="151"/>
      <c r="BN3275" s="128"/>
      <c r="BO3275" s="128"/>
      <c r="BP3275" s="128"/>
      <c r="BQ3275" s="128"/>
      <c r="BR3275" s="128"/>
      <c r="BS3275" s="128"/>
      <c r="BT3275" s="128"/>
      <c r="BU3275" s="128"/>
      <c r="BV3275" s="128"/>
      <c r="BW3275" s="128"/>
      <c r="BX3275" s="128"/>
      <c r="BY3275" s="128"/>
      <c r="BZ3275" s="128"/>
      <c r="CA3275" s="128"/>
      <c r="CB3275" s="128"/>
      <c r="CC3275" s="128"/>
      <c r="CD3275" s="128"/>
      <c r="CE3275" s="128"/>
      <c r="CF3275" s="128"/>
      <c r="CG3275" s="128"/>
      <c r="CI3275" s="128"/>
      <c r="CJ3275" s="128"/>
      <c r="CK3275" s="128"/>
      <c r="CL3275" s="128"/>
      <c r="CM3275" s="128"/>
      <c r="CN3275" s="128"/>
      <c r="CO3275" s="128"/>
      <c r="CP3275" s="128"/>
      <c r="CQ3275" s="128"/>
      <c r="CR3275" s="128"/>
      <c r="CS3275" s="128"/>
      <c r="CT3275" s="128"/>
      <c r="CU3275" s="128"/>
      <c r="CV3275" s="128"/>
      <c r="CW3275" s="128"/>
      <c r="CX3275" s="128"/>
      <c r="CY3275" s="128"/>
      <c r="CZ3275" s="165"/>
    </row>
    <row r="3276" spans="1:104">
      <c r="A3276" s="149"/>
      <c r="B3276" s="149"/>
      <c r="C3276" s="150"/>
      <c r="D3276" s="102"/>
      <c r="E3276" s="149"/>
      <c r="F3276" s="149"/>
      <c r="G3276" s="149"/>
      <c r="H3276" s="149"/>
      <c r="I3276" s="149"/>
      <c r="J3276" s="149"/>
      <c r="K3276" s="149"/>
      <c r="L3276" s="149"/>
      <c r="M3276" s="149"/>
      <c r="N3276" s="149"/>
      <c r="O3276" s="149"/>
      <c r="P3276" s="149"/>
      <c r="Q3276" s="149"/>
      <c r="R3276" s="149"/>
      <c r="S3276" s="149"/>
      <c r="T3276" s="149"/>
      <c r="U3276" s="149"/>
      <c r="V3276" s="149"/>
      <c r="W3276" s="149"/>
      <c r="X3276" s="149"/>
      <c r="Y3276" s="149"/>
      <c r="Z3276" s="149"/>
      <c r="AA3276" s="149"/>
      <c r="AB3276" s="149"/>
      <c r="AC3276" s="149"/>
      <c r="AD3276" s="149"/>
      <c r="AE3276" s="149"/>
      <c r="AF3276" s="149"/>
      <c r="AG3276" s="149"/>
      <c r="AH3276" s="149"/>
      <c r="AI3276" s="149"/>
      <c r="AJ3276" s="149"/>
      <c r="AK3276" s="149"/>
      <c r="AL3276" s="149"/>
      <c r="AM3276" s="149"/>
      <c r="AN3276" s="149"/>
      <c r="AO3276" s="128"/>
      <c r="AP3276" s="128"/>
      <c r="AQ3276" s="128"/>
      <c r="AR3276" s="128"/>
      <c r="AS3276" s="128"/>
      <c r="AT3276" s="128"/>
      <c r="AU3276" s="128"/>
      <c r="AV3276" s="128"/>
      <c r="AW3276" s="128"/>
      <c r="AX3276" s="128"/>
      <c r="AY3276" s="128"/>
      <c r="AZ3276" s="128"/>
      <c r="BA3276" s="128"/>
      <c r="BB3276" s="128"/>
      <c r="BC3276" s="128"/>
      <c r="BD3276" s="128"/>
      <c r="BE3276" s="128"/>
      <c r="BF3276" s="128"/>
      <c r="BG3276" s="128"/>
      <c r="BH3276" s="128"/>
      <c r="BI3276" s="128"/>
      <c r="BJ3276" s="128"/>
      <c r="BK3276" s="128"/>
      <c r="BL3276" s="128"/>
      <c r="BM3276" s="151"/>
      <c r="BN3276" s="128"/>
      <c r="BO3276" s="128"/>
      <c r="BP3276" s="128"/>
      <c r="BQ3276" s="128"/>
      <c r="BR3276" s="128"/>
      <c r="BS3276" s="128"/>
      <c r="BT3276" s="128"/>
      <c r="BU3276" s="128"/>
      <c r="BV3276" s="128"/>
      <c r="BW3276" s="128"/>
      <c r="BX3276" s="128"/>
      <c r="BY3276" s="128"/>
      <c r="BZ3276" s="128"/>
      <c r="CA3276" s="128"/>
      <c r="CB3276" s="128"/>
      <c r="CC3276" s="128"/>
      <c r="CD3276" s="128"/>
      <c r="CE3276" s="128"/>
      <c r="CF3276" s="128"/>
      <c r="CG3276" s="128"/>
      <c r="CI3276" s="128"/>
      <c r="CJ3276" s="128"/>
      <c r="CK3276" s="128"/>
      <c r="CL3276" s="128"/>
      <c r="CM3276" s="128"/>
      <c r="CN3276" s="128"/>
      <c r="CO3276" s="128"/>
      <c r="CP3276" s="128"/>
      <c r="CQ3276" s="128"/>
      <c r="CR3276" s="128"/>
      <c r="CS3276" s="128"/>
      <c r="CT3276" s="128"/>
      <c r="CU3276" s="128"/>
      <c r="CV3276" s="128"/>
      <c r="CW3276" s="128"/>
      <c r="CX3276" s="128"/>
      <c r="CY3276" s="128"/>
      <c r="CZ3276" s="165"/>
    </row>
    <row r="3277" spans="1:104">
      <c r="A3277" s="149"/>
      <c r="B3277" s="149"/>
      <c r="C3277" s="150"/>
      <c r="D3277" s="102"/>
      <c r="E3277" s="149"/>
      <c r="F3277" s="149"/>
      <c r="G3277" s="149"/>
      <c r="H3277" s="149"/>
      <c r="I3277" s="149"/>
      <c r="J3277" s="149"/>
      <c r="K3277" s="149"/>
      <c r="L3277" s="149"/>
      <c r="M3277" s="149"/>
      <c r="N3277" s="149"/>
      <c r="O3277" s="149"/>
      <c r="P3277" s="149"/>
      <c r="Q3277" s="149"/>
      <c r="R3277" s="149"/>
      <c r="S3277" s="149"/>
      <c r="T3277" s="149"/>
      <c r="U3277" s="149"/>
      <c r="V3277" s="149"/>
      <c r="W3277" s="149"/>
      <c r="X3277" s="149"/>
      <c r="Y3277" s="149"/>
      <c r="Z3277" s="149"/>
      <c r="AA3277" s="149"/>
      <c r="AB3277" s="149"/>
      <c r="AC3277" s="149"/>
      <c r="AD3277" s="149"/>
      <c r="AE3277" s="149"/>
      <c r="AF3277" s="149"/>
      <c r="AG3277" s="149"/>
      <c r="AH3277" s="149"/>
      <c r="AI3277" s="149"/>
      <c r="AJ3277" s="149"/>
      <c r="AK3277" s="149"/>
      <c r="AL3277" s="149"/>
      <c r="AM3277" s="149"/>
      <c r="AN3277" s="149"/>
      <c r="AO3277" s="128"/>
      <c r="AP3277" s="128"/>
      <c r="AQ3277" s="128"/>
      <c r="AR3277" s="128"/>
      <c r="AS3277" s="128"/>
      <c r="AT3277" s="128"/>
      <c r="AU3277" s="128"/>
      <c r="AV3277" s="128"/>
      <c r="AW3277" s="128"/>
      <c r="AX3277" s="128"/>
      <c r="AY3277" s="128"/>
      <c r="AZ3277" s="128"/>
      <c r="BA3277" s="128"/>
      <c r="BB3277" s="128"/>
      <c r="BC3277" s="128"/>
      <c r="BD3277" s="128"/>
      <c r="BE3277" s="128"/>
      <c r="BF3277" s="128"/>
      <c r="BG3277" s="128"/>
      <c r="BH3277" s="128"/>
      <c r="BI3277" s="128"/>
      <c r="BJ3277" s="128"/>
      <c r="BK3277" s="128"/>
      <c r="BL3277" s="128"/>
      <c r="BM3277" s="151"/>
      <c r="BN3277" s="128"/>
      <c r="BO3277" s="128"/>
      <c r="BP3277" s="128"/>
      <c r="BQ3277" s="128"/>
      <c r="BR3277" s="128"/>
      <c r="BS3277" s="128"/>
      <c r="BT3277" s="128"/>
      <c r="BU3277" s="128"/>
      <c r="BV3277" s="128"/>
      <c r="BW3277" s="128"/>
      <c r="BX3277" s="128"/>
      <c r="BY3277" s="128"/>
      <c r="BZ3277" s="128"/>
      <c r="CA3277" s="128"/>
      <c r="CB3277" s="128"/>
      <c r="CC3277" s="128"/>
      <c r="CD3277" s="128"/>
      <c r="CE3277" s="128"/>
      <c r="CF3277" s="128"/>
      <c r="CG3277" s="128"/>
      <c r="CI3277" s="128"/>
      <c r="CJ3277" s="128"/>
      <c r="CK3277" s="128"/>
      <c r="CL3277" s="128"/>
      <c r="CM3277" s="128"/>
      <c r="CN3277" s="128"/>
      <c r="CO3277" s="128"/>
      <c r="CP3277" s="128"/>
      <c r="CQ3277" s="128"/>
      <c r="CR3277" s="128"/>
      <c r="CS3277" s="128"/>
      <c r="CT3277" s="128"/>
      <c r="CU3277" s="128"/>
      <c r="CV3277" s="128"/>
      <c r="CW3277" s="128"/>
      <c r="CX3277" s="128"/>
      <c r="CY3277" s="128"/>
      <c r="CZ3277" s="165"/>
    </row>
    <row r="3278" spans="1:104">
      <c r="A3278" s="149"/>
      <c r="B3278" s="149"/>
      <c r="C3278" s="150"/>
      <c r="D3278" s="102"/>
      <c r="E3278" s="149"/>
      <c r="F3278" s="149"/>
      <c r="G3278" s="149"/>
      <c r="H3278" s="149"/>
      <c r="I3278" s="149"/>
      <c r="J3278" s="149"/>
      <c r="K3278" s="149"/>
      <c r="L3278" s="149"/>
      <c r="M3278" s="149"/>
      <c r="N3278" s="149"/>
      <c r="O3278" s="149"/>
      <c r="P3278" s="149"/>
      <c r="Q3278" s="149"/>
      <c r="R3278" s="149"/>
      <c r="S3278" s="149"/>
      <c r="T3278" s="149"/>
      <c r="U3278" s="149"/>
      <c r="V3278" s="149"/>
      <c r="W3278" s="149"/>
      <c r="X3278" s="149"/>
      <c r="Y3278" s="149"/>
      <c r="Z3278" s="149"/>
      <c r="AA3278" s="149"/>
      <c r="AB3278" s="149"/>
      <c r="AC3278" s="149"/>
      <c r="AD3278" s="149"/>
      <c r="AE3278" s="149"/>
      <c r="AF3278" s="149"/>
      <c r="AG3278" s="149"/>
      <c r="AH3278" s="149"/>
      <c r="AI3278" s="149"/>
      <c r="AJ3278" s="149"/>
      <c r="AK3278" s="149"/>
      <c r="AL3278" s="149"/>
      <c r="AM3278" s="149"/>
      <c r="AN3278" s="149"/>
      <c r="AO3278" s="128"/>
      <c r="AP3278" s="128"/>
      <c r="AQ3278" s="128"/>
      <c r="AR3278" s="128"/>
      <c r="AS3278" s="128"/>
      <c r="AT3278" s="128"/>
      <c r="AU3278" s="128"/>
      <c r="AV3278" s="128"/>
      <c r="AW3278" s="128"/>
      <c r="AX3278" s="128"/>
      <c r="AY3278" s="128"/>
      <c r="AZ3278" s="128"/>
      <c r="BA3278" s="128"/>
      <c r="BB3278" s="128"/>
      <c r="BC3278" s="128"/>
      <c r="BD3278" s="128"/>
      <c r="BE3278" s="128"/>
      <c r="BF3278" s="128"/>
      <c r="BG3278" s="128"/>
      <c r="BH3278" s="128"/>
      <c r="BI3278" s="128"/>
      <c r="BJ3278" s="128"/>
      <c r="BK3278" s="128"/>
      <c r="BL3278" s="128"/>
      <c r="BM3278" s="151"/>
      <c r="BN3278" s="128"/>
      <c r="BO3278" s="128"/>
      <c r="BP3278" s="128"/>
      <c r="BQ3278" s="128"/>
      <c r="BR3278" s="128"/>
      <c r="BS3278" s="128"/>
      <c r="BT3278" s="128"/>
      <c r="BU3278" s="128"/>
      <c r="BV3278" s="128"/>
      <c r="BW3278" s="128"/>
      <c r="BX3278" s="128"/>
      <c r="BY3278" s="128"/>
      <c r="BZ3278" s="128"/>
      <c r="CA3278" s="128"/>
      <c r="CB3278" s="128"/>
      <c r="CC3278" s="128"/>
      <c r="CD3278" s="128"/>
      <c r="CE3278" s="128"/>
      <c r="CF3278" s="128"/>
      <c r="CG3278" s="128"/>
      <c r="CI3278" s="128"/>
      <c r="CJ3278" s="128"/>
      <c r="CK3278" s="128"/>
      <c r="CL3278" s="128"/>
      <c r="CM3278" s="128"/>
      <c r="CN3278" s="128"/>
      <c r="CO3278" s="128"/>
      <c r="CP3278" s="128"/>
      <c r="CQ3278" s="128"/>
      <c r="CR3278" s="128"/>
      <c r="CS3278" s="128"/>
      <c r="CT3278" s="128"/>
      <c r="CU3278" s="128"/>
      <c r="CV3278" s="128"/>
      <c r="CW3278" s="128"/>
      <c r="CX3278" s="128"/>
      <c r="CY3278" s="128"/>
      <c r="CZ3278" s="165"/>
    </row>
    <row r="3279" spans="1:104">
      <c r="A3279" s="149"/>
      <c r="B3279" s="149"/>
      <c r="C3279" s="150"/>
      <c r="D3279" s="102"/>
      <c r="E3279" s="149"/>
      <c r="F3279" s="149"/>
      <c r="G3279" s="149"/>
      <c r="H3279" s="149"/>
      <c r="I3279" s="149"/>
      <c r="J3279" s="149"/>
      <c r="K3279" s="149"/>
      <c r="L3279" s="149"/>
      <c r="M3279" s="149"/>
      <c r="N3279" s="149"/>
      <c r="O3279" s="149"/>
      <c r="P3279" s="149"/>
      <c r="Q3279" s="149"/>
      <c r="R3279" s="149"/>
      <c r="S3279" s="149"/>
      <c r="T3279" s="149"/>
      <c r="U3279" s="149"/>
      <c r="V3279" s="149"/>
      <c r="W3279" s="149"/>
      <c r="X3279" s="149"/>
      <c r="Y3279" s="149"/>
      <c r="Z3279" s="149"/>
      <c r="AA3279" s="149"/>
      <c r="AB3279" s="149"/>
      <c r="AC3279" s="149"/>
      <c r="AD3279" s="149"/>
      <c r="AE3279" s="149"/>
      <c r="AF3279" s="149"/>
      <c r="AG3279" s="149"/>
      <c r="AH3279" s="149"/>
      <c r="AI3279" s="149"/>
      <c r="AJ3279" s="149"/>
      <c r="AK3279" s="149"/>
      <c r="AL3279" s="149"/>
      <c r="AM3279" s="149"/>
      <c r="AN3279" s="149"/>
      <c r="AO3279" s="128"/>
      <c r="AP3279" s="128"/>
      <c r="AQ3279" s="128"/>
      <c r="AR3279" s="128"/>
      <c r="AS3279" s="128"/>
      <c r="AT3279" s="128"/>
      <c r="AU3279" s="128"/>
      <c r="AV3279" s="128"/>
      <c r="AW3279" s="128"/>
      <c r="AX3279" s="128"/>
      <c r="AY3279" s="128"/>
      <c r="AZ3279" s="128"/>
      <c r="BA3279" s="128"/>
      <c r="BB3279" s="128"/>
      <c r="BC3279" s="128"/>
      <c r="BD3279" s="128"/>
      <c r="BE3279" s="128"/>
      <c r="BF3279" s="128"/>
      <c r="BG3279" s="128"/>
      <c r="BH3279" s="128"/>
      <c r="BI3279" s="128"/>
      <c r="BJ3279" s="128"/>
      <c r="BK3279" s="128"/>
      <c r="BL3279" s="128"/>
      <c r="BM3279" s="151"/>
      <c r="BN3279" s="128"/>
      <c r="BO3279" s="128"/>
      <c r="BP3279" s="128"/>
      <c r="BQ3279" s="128"/>
      <c r="BR3279" s="128"/>
      <c r="BS3279" s="128"/>
      <c r="BT3279" s="128"/>
      <c r="BU3279" s="128"/>
      <c r="BV3279" s="128"/>
      <c r="BW3279" s="128"/>
      <c r="BX3279" s="128"/>
      <c r="BY3279" s="128"/>
      <c r="BZ3279" s="128"/>
      <c r="CA3279" s="128"/>
      <c r="CB3279" s="128"/>
      <c r="CC3279" s="128"/>
      <c r="CD3279" s="128"/>
      <c r="CE3279" s="128"/>
      <c r="CF3279" s="128"/>
      <c r="CG3279" s="128"/>
      <c r="CI3279" s="128"/>
      <c r="CJ3279" s="128"/>
      <c r="CK3279" s="128"/>
      <c r="CL3279" s="128"/>
      <c r="CM3279" s="128"/>
      <c r="CN3279" s="128"/>
      <c r="CO3279" s="128"/>
      <c r="CP3279" s="128"/>
      <c r="CQ3279" s="128"/>
      <c r="CR3279" s="128"/>
      <c r="CS3279" s="128"/>
      <c r="CT3279" s="128"/>
      <c r="CU3279" s="128"/>
      <c r="CV3279" s="128"/>
      <c r="CW3279" s="128"/>
      <c r="CX3279" s="128"/>
      <c r="CY3279" s="128"/>
      <c r="CZ3279" s="165"/>
    </row>
    <row r="3280" spans="1:104">
      <c r="A3280" s="149"/>
      <c r="B3280" s="149"/>
      <c r="C3280" s="150"/>
      <c r="D3280" s="102"/>
      <c r="E3280" s="149"/>
      <c r="F3280" s="149"/>
      <c r="G3280" s="149"/>
      <c r="H3280" s="149"/>
      <c r="I3280" s="149"/>
      <c r="J3280" s="149"/>
      <c r="K3280" s="149"/>
      <c r="L3280" s="149"/>
      <c r="M3280" s="149"/>
      <c r="N3280" s="149"/>
      <c r="O3280" s="149"/>
      <c r="P3280" s="149"/>
      <c r="Q3280" s="149"/>
      <c r="R3280" s="149"/>
      <c r="S3280" s="149"/>
      <c r="T3280" s="149"/>
      <c r="U3280" s="149"/>
      <c r="V3280" s="149"/>
      <c r="W3280" s="149"/>
      <c r="X3280" s="149"/>
      <c r="Y3280" s="149"/>
      <c r="Z3280" s="149"/>
      <c r="AA3280" s="149"/>
      <c r="AB3280" s="149"/>
      <c r="AC3280" s="149"/>
      <c r="AD3280" s="149"/>
      <c r="AE3280" s="149"/>
      <c r="AF3280" s="149"/>
      <c r="AG3280" s="149"/>
      <c r="AH3280" s="149"/>
      <c r="AI3280" s="149"/>
      <c r="AJ3280" s="149"/>
      <c r="AK3280" s="149"/>
      <c r="AL3280" s="149"/>
      <c r="AM3280" s="149"/>
      <c r="AN3280" s="149"/>
      <c r="AO3280" s="128"/>
      <c r="AP3280" s="128"/>
      <c r="AQ3280" s="128"/>
      <c r="AR3280" s="128"/>
      <c r="AS3280" s="128"/>
      <c r="AT3280" s="128"/>
      <c r="AU3280" s="128"/>
      <c r="AV3280" s="128"/>
      <c r="AW3280" s="128"/>
      <c r="AX3280" s="128"/>
      <c r="AY3280" s="128"/>
      <c r="AZ3280" s="128"/>
      <c r="BA3280" s="128"/>
      <c r="BB3280" s="128"/>
      <c r="BC3280" s="128"/>
      <c r="BD3280" s="128"/>
      <c r="BE3280" s="128"/>
      <c r="BF3280" s="128"/>
      <c r="BG3280" s="128"/>
      <c r="BH3280" s="128"/>
      <c r="BI3280" s="128"/>
      <c r="BJ3280" s="128"/>
      <c r="BK3280" s="128"/>
      <c r="BL3280" s="128"/>
      <c r="BM3280" s="151"/>
      <c r="BN3280" s="128"/>
      <c r="BO3280" s="128"/>
      <c r="BP3280" s="128"/>
      <c r="BQ3280" s="128"/>
      <c r="BR3280" s="128"/>
      <c r="BS3280" s="128"/>
      <c r="BT3280" s="128"/>
      <c r="BU3280" s="128"/>
      <c r="BV3280" s="128"/>
      <c r="BW3280" s="128"/>
      <c r="BX3280" s="128"/>
      <c r="BY3280" s="128"/>
      <c r="BZ3280" s="128"/>
      <c r="CA3280" s="128"/>
      <c r="CB3280" s="128"/>
      <c r="CC3280" s="128"/>
      <c r="CD3280" s="128"/>
      <c r="CE3280" s="128"/>
      <c r="CF3280" s="128"/>
      <c r="CG3280" s="128"/>
      <c r="CI3280" s="128"/>
      <c r="CJ3280" s="128"/>
      <c r="CK3280" s="128"/>
      <c r="CL3280" s="128"/>
      <c r="CM3280" s="128"/>
      <c r="CN3280" s="128"/>
      <c r="CO3280" s="128"/>
      <c r="CP3280" s="128"/>
      <c r="CQ3280" s="128"/>
      <c r="CR3280" s="128"/>
      <c r="CS3280" s="128"/>
      <c r="CT3280" s="128"/>
      <c r="CU3280" s="128"/>
      <c r="CV3280" s="128"/>
      <c r="CW3280" s="128"/>
      <c r="CX3280" s="128"/>
      <c r="CY3280" s="128"/>
      <c r="CZ3280" s="165"/>
    </row>
    <row r="3281" spans="1:104">
      <c r="A3281" s="149"/>
      <c r="B3281" s="149"/>
      <c r="C3281" s="150"/>
      <c r="D3281" s="102"/>
      <c r="E3281" s="149"/>
      <c r="F3281" s="149"/>
      <c r="G3281" s="149"/>
      <c r="H3281" s="149"/>
      <c r="I3281" s="149"/>
      <c r="J3281" s="149"/>
      <c r="K3281" s="149"/>
      <c r="L3281" s="149"/>
      <c r="M3281" s="149"/>
      <c r="N3281" s="149"/>
      <c r="O3281" s="149"/>
      <c r="P3281" s="149"/>
      <c r="Q3281" s="149"/>
      <c r="R3281" s="149"/>
      <c r="S3281" s="149"/>
      <c r="T3281" s="149"/>
      <c r="U3281" s="149"/>
      <c r="V3281" s="149"/>
      <c r="W3281" s="149"/>
      <c r="X3281" s="149"/>
      <c r="Y3281" s="149"/>
      <c r="Z3281" s="149"/>
      <c r="AA3281" s="149"/>
      <c r="AB3281" s="149"/>
      <c r="AC3281" s="149"/>
      <c r="AD3281" s="149"/>
      <c r="AE3281" s="149"/>
      <c r="AF3281" s="149"/>
      <c r="AG3281" s="149"/>
      <c r="AH3281" s="149"/>
      <c r="AI3281" s="149"/>
      <c r="AJ3281" s="149"/>
      <c r="AK3281" s="149"/>
      <c r="AL3281" s="149"/>
      <c r="AM3281" s="149"/>
      <c r="AN3281" s="149"/>
      <c r="AO3281" s="128"/>
      <c r="AP3281" s="128"/>
      <c r="AQ3281" s="128"/>
      <c r="AR3281" s="128"/>
      <c r="AS3281" s="128"/>
      <c r="AT3281" s="128"/>
      <c r="AU3281" s="128"/>
      <c r="AV3281" s="128"/>
      <c r="AW3281" s="128"/>
      <c r="AX3281" s="128"/>
      <c r="AY3281" s="128"/>
      <c r="AZ3281" s="128"/>
      <c r="BA3281" s="128"/>
      <c r="BB3281" s="128"/>
      <c r="BC3281" s="128"/>
      <c r="BD3281" s="128"/>
      <c r="BE3281" s="128"/>
      <c r="BF3281" s="128"/>
      <c r="BG3281" s="128"/>
      <c r="BH3281" s="128"/>
      <c r="BI3281" s="128"/>
      <c r="BJ3281" s="128"/>
      <c r="BK3281" s="128"/>
      <c r="BL3281" s="128"/>
      <c r="BM3281" s="151"/>
      <c r="BN3281" s="128"/>
      <c r="BO3281" s="128"/>
      <c r="BP3281" s="128"/>
      <c r="BQ3281" s="128"/>
      <c r="BR3281" s="128"/>
      <c r="BS3281" s="128"/>
      <c r="BT3281" s="128"/>
      <c r="BU3281" s="128"/>
      <c r="BV3281" s="128"/>
      <c r="BW3281" s="128"/>
      <c r="BX3281" s="128"/>
      <c r="BY3281" s="128"/>
      <c r="BZ3281" s="128"/>
      <c r="CA3281" s="128"/>
      <c r="CB3281" s="128"/>
      <c r="CC3281" s="128"/>
      <c r="CD3281" s="128"/>
      <c r="CE3281" s="128"/>
      <c r="CF3281" s="128"/>
      <c r="CG3281" s="128"/>
      <c r="CI3281" s="128"/>
      <c r="CJ3281" s="128"/>
      <c r="CK3281" s="128"/>
      <c r="CL3281" s="128"/>
      <c r="CM3281" s="128"/>
      <c r="CN3281" s="128"/>
      <c r="CO3281" s="128"/>
      <c r="CP3281" s="128"/>
      <c r="CQ3281" s="128"/>
      <c r="CR3281" s="128"/>
      <c r="CS3281" s="128"/>
      <c r="CT3281" s="128"/>
      <c r="CU3281" s="128"/>
      <c r="CV3281" s="128"/>
      <c r="CW3281" s="128"/>
      <c r="CX3281" s="128"/>
      <c r="CY3281" s="128"/>
      <c r="CZ3281" s="165"/>
    </row>
    <row r="3282" spans="1:104">
      <c r="A3282" s="149"/>
      <c r="B3282" s="149"/>
      <c r="C3282" s="150"/>
      <c r="D3282" s="102"/>
      <c r="E3282" s="149"/>
      <c r="F3282" s="149"/>
      <c r="G3282" s="149"/>
      <c r="H3282" s="149"/>
      <c r="I3282" s="149"/>
      <c r="J3282" s="149"/>
      <c r="K3282" s="149"/>
      <c r="L3282" s="149"/>
      <c r="M3282" s="149"/>
      <c r="N3282" s="149"/>
      <c r="O3282" s="149"/>
      <c r="P3282" s="149"/>
      <c r="Q3282" s="149"/>
      <c r="R3282" s="149"/>
      <c r="S3282" s="149"/>
      <c r="T3282" s="149"/>
      <c r="U3282" s="149"/>
      <c r="V3282" s="149"/>
      <c r="W3282" s="149"/>
      <c r="X3282" s="149"/>
      <c r="Y3282" s="149"/>
      <c r="Z3282" s="149"/>
      <c r="AA3282" s="149"/>
      <c r="AB3282" s="149"/>
      <c r="AC3282" s="149"/>
      <c r="AD3282" s="149"/>
      <c r="AE3282" s="149"/>
      <c r="AF3282" s="149"/>
      <c r="AG3282" s="149"/>
      <c r="AH3282" s="149"/>
      <c r="AI3282" s="149"/>
      <c r="AJ3282" s="149"/>
      <c r="AK3282" s="149"/>
      <c r="AL3282" s="149"/>
      <c r="AM3282" s="149"/>
      <c r="AN3282" s="149"/>
      <c r="AO3282" s="128"/>
      <c r="AP3282" s="128"/>
      <c r="AQ3282" s="128"/>
      <c r="AR3282" s="128"/>
      <c r="AS3282" s="128"/>
      <c r="AT3282" s="128"/>
      <c r="AU3282" s="128"/>
      <c r="AV3282" s="128"/>
      <c r="AW3282" s="128"/>
      <c r="AX3282" s="128"/>
      <c r="AY3282" s="128"/>
      <c r="AZ3282" s="128"/>
      <c r="BA3282" s="128"/>
      <c r="BB3282" s="128"/>
      <c r="BC3282" s="128"/>
      <c r="BD3282" s="128"/>
      <c r="BE3282" s="128"/>
      <c r="BF3282" s="128"/>
      <c r="BG3282" s="128"/>
      <c r="BH3282" s="128"/>
      <c r="BI3282" s="128"/>
      <c r="BJ3282" s="128"/>
      <c r="BK3282" s="128"/>
      <c r="BL3282" s="128"/>
      <c r="BM3282" s="151"/>
      <c r="BN3282" s="128"/>
      <c r="BO3282" s="128"/>
      <c r="BP3282" s="128"/>
      <c r="BQ3282" s="128"/>
      <c r="BR3282" s="128"/>
      <c r="BS3282" s="128"/>
      <c r="BT3282" s="128"/>
      <c r="BU3282" s="128"/>
      <c r="BV3282" s="128"/>
      <c r="BW3282" s="128"/>
      <c r="BX3282" s="128"/>
      <c r="BY3282" s="128"/>
      <c r="BZ3282" s="128"/>
      <c r="CA3282" s="128"/>
      <c r="CB3282" s="128"/>
      <c r="CC3282" s="128"/>
      <c r="CD3282" s="128"/>
      <c r="CE3282" s="128"/>
      <c r="CF3282" s="128"/>
      <c r="CG3282" s="128"/>
      <c r="CI3282" s="128"/>
      <c r="CJ3282" s="128"/>
      <c r="CK3282" s="128"/>
      <c r="CL3282" s="128"/>
      <c r="CM3282" s="128"/>
      <c r="CN3282" s="128"/>
      <c r="CO3282" s="128"/>
      <c r="CP3282" s="128"/>
      <c r="CQ3282" s="128"/>
      <c r="CR3282" s="128"/>
      <c r="CS3282" s="128"/>
      <c r="CT3282" s="128"/>
      <c r="CU3282" s="128"/>
      <c r="CV3282" s="128"/>
      <c r="CW3282" s="128"/>
      <c r="CX3282" s="128"/>
      <c r="CY3282" s="128"/>
      <c r="CZ3282" s="165"/>
    </row>
    <row r="3283" spans="1:104">
      <c r="A3283" s="149"/>
      <c r="B3283" s="149"/>
      <c r="C3283" s="150"/>
      <c r="D3283" s="102"/>
      <c r="E3283" s="149"/>
      <c r="F3283" s="149"/>
      <c r="G3283" s="149"/>
      <c r="H3283" s="149"/>
      <c r="I3283" s="149"/>
      <c r="J3283" s="149"/>
      <c r="K3283" s="149"/>
      <c r="L3283" s="149"/>
      <c r="M3283" s="149"/>
      <c r="N3283" s="149"/>
      <c r="O3283" s="149"/>
      <c r="P3283" s="149"/>
      <c r="Q3283" s="149"/>
      <c r="R3283" s="149"/>
      <c r="S3283" s="149"/>
      <c r="T3283" s="149"/>
      <c r="U3283" s="149"/>
      <c r="V3283" s="149"/>
      <c r="W3283" s="149"/>
      <c r="X3283" s="149"/>
      <c r="Y3283" s="149"/>
      <c r="Z3283" s="149"/>
      <c r="AA3283" s="149"/>
      <c r="AB3283" s="149"/>
      <c r="AC3283" s="149"/>
      <c r="AD3283" s="149"/>
      <c r="AE3283" s="149"/>
      <c r="AF3283" s="149"/>
      <c r="AG3283" s="149"/>
      <c r="AH3283" s="149"/>
      <c r="AI3283" s="149"/>
      <c r="AJ3283" s="149"/>
      <c r="AK3283" s="149"/>
      <c r="AL3283" s="149"/>
      <c r="AM3283" s="149"/>
      <c r="AN3283" s="149"/>
      <c r="AO3283" s="128"/>
      <c r="AP3283" s="128"/>
      <c r="AQ3283" s="128"/>
      <c r="AR3283" s="128"/>
      <c r="AS3283" s="128"/>
      <c r="AT3283" s="128"/>
      <c r="AU3283" s="128"/>
      <c r="AV3283" s="128"/>
      <c r="AW3283" s="128"/>
      <c r="AX3283" s="128"/>
      <c r="AY3283" s="128"/>
      <c r="AZ3283" s="128"/>
      <c r="BA3283" s="128"/>
      <c r="BB3283" s="128"/>
      <c r="BC3283" s="128"/>
      <c r="BD3283" s="128"/>
      <c r="BE3283" s="128"/>
      <c r="BF3283" s="128"/>
      <c r="BG3283" s="128"/>
      <c r="BH3283" s="128"/>
      <c r="BI3283" s="128"/>
      <c r="BJ3283" s="128"/>
      <c r="BK3283" s="128"/>
      <c r="BL3283" s="128"/>
      <c r="BM3283" s="151"/>
      <c r="BN3283" s="128"/>
      <c r="BO3283" s="128"/>
      <c r="BP3283" s="128"/>
      <c r="BQ3283" s="128"/>
      <c r="BR3283" s="128"/>
      <c r="BS3283" s="128"/>
      <c r="BT3283" s="128"/>
      <c r="BU3283" s="128"/>
      <c r="BV3283" s="128"/>
      <c r="BW3283" s="128"/>
      <c r="BX3283" s="128"/>
      <c r="BY3283" s="128"/>
      <c r="BZ3283" s="128"/>
      <c r="CA3283" s="128"/>
      <c r="CB3283" s="128"/>
      <c r="CC3283" s="128"/>
      <c r="CD3283" s="128"/>
      <c r="CE3283" s="128"/>
      <c r="CF3283" s="128"/>
      <c r="CG3283" s="128"/>
      <c r="CI3283" s="128"/>
      <c r="CJ3283" s="128"/>
      <c r="CK3283" s="128"/>
      <c r="CL3283" s="128"/>
      <c r="CM3283" s="128"/>
      <c r="CN3283" s="128"/>
      <c r="CO3283" s="128"/>
      <c r="CP3283" s="128"/>
      <c r="CQ3283" s="128"/>
      <c r="CR3283" s="128"/>
      <c r="CS3283" s="128"/>
      <c r="CT3283" s="128"/>
      <c r="CU3283" s="128"/>
      <c r="CV3283" s="128"/>
      <c r="CW3283" s="128"/>
      <c r="CX3283" s="128"/>
      <c r="CY3283" s="128"/>
      <c r="CZ3283" s="165"/>
    </row>
    <row r="3284" spans="1:104">
      <c r="A3284" s="149"/>
      <c r="B3284" s="149"/>
      <c r="C3284" s="150"/>
      <c r="D3284" s="102"/>
      <c r="E3284" s="149"/>
      <c r="F3284" s="149"/>
      <c r="G3284" s="149"/>
      <c r="H3284" s="149"/>
      <c r="I3284" s="149"/>
      <c r="J3284" s="149"/>
      <c r="K3284" s="149"/>
      <c r="L3284" s="149"/>
      <c r="M3284" s="149"/>
      <c r="N3284" s="149"/>
      <c r="O3284" s="149"/>
      <c r="P3284" s="149"/>
      <c r="Q3284" s="149"/>
      <c r="R3284" s="149"/>
      <c r="S3284" s="149"/>
      <c r="T3284" s="149"/>
      <c r="U3284" s="149"/>
      <c r="V3284" s="149"/>
      <c r="W3284" s="149"/>
      <c r="X3284" s="149"/>
      <c r="Y3284" s="149"/>
      <c r="Z3284" s="149"/>
      <c r="AA3284" s="149"/>
      <c r="AB3284" s="149"/>
      <c r="AC3284" s="149"/>
      <c r="AD3284" s="149"/>
      <c r="AE3284" s="149"/>
      <c r="AF3284" s="149"/>
      <c r="AG3284" s="149"/>
      <c r="AH3284" s="149"/>
      <c r="AI3284" s="149"/>
      <c r="AJ3284" s="149"/>
      <c r="AK3284" s="149"/>
      <c r="AL3284" s="149"/>
      <c r="AM3284" s="149"/>
      <c r="AN3284" s="149"/>
      <c r="AO3284" s="128"/>
      <c r="AP3284" s="128"/>
      <c r="AQ3284" s="128"/>
      <c r="AR3284" s="128"/>
      <c r="AS3284" s="128"/>
      <c r="AT3284" s="128"/>
      <c r="AU3284" s="128"/>
      <c r="AV3284" s="128"/>
      <c r="AW3284" s="128"/>
      <c r="AX3284" s="128"/>
      <c r="AY3284" s="128"/>
      <c r="AZ3284" s="128"/>
      <c r="BA3284" s="128"/>
      <c r="BB3284" s="128"/>
      <c r="BC3284" s="128"/>
      <c r="BD3284" s="128"/>
      <c r="BE3284" s="128"/>
      <c r="BF3284" s="128"/>
      <c r="BG3284" s="128"/>
      <c r="BH3284" s="128"/>
      <c r="BI3284" s="128"/>
      <c r="BJ3284" s="128"/>
      <c r="BK3284" s="128"/>
      <c r="BL3284" s="128"/>
      <c r="BM3284" s="151"/>
      <c r="BN3284" s="128"/>
      <c r="BO3284" s="128"/>
      <c r="BP3284" s="128"/>
      <c r="BQ3284" s="128"/>
      <c r="BR3284" s="128"/>
      <c r="BS3284" s="128"/>
      <c r="BT3284" s="128"/>
      <c r="BU3284" s="128"/>
      <c r="BV3284" s="128"/>
      <c r="BW3284" s="128"/>
      <c r="BX3284" s="128"/>
      <c r="BY3284" s="128"/>
      <c r="BZ3284" s="128"/>
      <c r="CA3284" s="128"/>
      <c r="CB3284" s="128"/>
      <c r="CC3284" s="128"/>
      <c r="CD3284" s="128"/>
      <c r="CE3284" s="128"/>
      <c r="CF3284" s="128"/>
      <c r="CG3284" s="128"/>
      <c r="CI3284" s="128"/>
      <c r="CJ3284" s="128"/>
      <c r="CK3284" s="128"/>
      <c r="CL3284" s="128"/>
      <c r="CM3284" s="128"/>
      <c r="CN3284" s="128"/>
      <c r="CO3284" s="128"/>
      <c r="CP3284" s="128"/>
      <c r="CQ3284" s="128"/>
      <c r="CR3284" s="128"/>
      <c r="CS3284" s="128"/>
      <c r="CT3284" s="128"/>
      <c r="CU3284" s="128"/>
      <c r="CV3284" s="128"/>
      <c r="CW3284" s="128"/>
      <c r="CX3284" s="128"/>
      <c r="CY3284" s="128"/>
      <c r="CZ3284" s="165"/>
    </row>
    <row r="3285" spans="1:104">
      <c r="A3285" s="149"/>
      <c r="B3285" s="149"/>
      <c r="C3285" s="150"/>
      <c r="D3285" s="102"/>
      <c r="E3285" s="149"/>
      <c r="F3285" s="149"/>
      <c r="G3285" s="149"/>
      <c r="H3285" s="149"/>
      <c r="I3285" s="149"/>
      <c r="J3285" s="149"/>
      <c r="K3285" s="149"/>
      <c r="L3285" s="149"/>
      <c r="M3285" s="149"/>
      <c r="N3285" s="149"/>
      <c r="O3285" s="149"/>
      <c r="P3285" s="149"/>
      <c r="Q3285" s="149"/>
      <c r="R3285" s="149"/>
      <c r="S3285" s="149"/>
      <c r="T3285" s="149"/>
      <c r="U3285" s="149"/>
      <c r="V3285" s="149"/>
      <c r="W3285" s="149"/>
      <c r="X3285" s="149"/>
      <c r="Y3285" s="149"/>
      <c r="Z3285" s="149"/>
      <c r="AA3285" s="149"/>
      <c r="AB3285" s="149"/>
      <c r="AC3285" s="149"/>
      <c r="AD3285" s="149"/>
      <c r="AE3285" s="149"/>
      <c r="AF3285" s="149"/>
      <c r="AG3285" s="149"/>
      <c r="AH3285" s="149"/>
      <c r="AI3285" s="149"/>
      <c r="AJ3285" s="149"/>
      <c r="AK3285" s="149"/>
      <c r="AL3285" s="149"/>
      <c r="AM3285" s="149"/>
      <c r="AN3285" s="149"/>
      <c r="AO3285" s="128"/>
      <c r="AP3285" s="128"/>
      <c r="AQ3285" s="128"/>
      <c r="AR3285" s="128"/>
      <c r="AS3285" s="128"/>
      <c r="AT3285" s="128"/>
      <c r="AU3285" s="128"/>
      <c r="AV3285" s="128"/>
      <c r="AW3285" s="128"/>
      <c r="AX3285" s="128"/>
      <c r="AY3285" s="128"/>
      <c r="AZ3285" s="128"/>
      <c r="BA3285" s="128"/>
      <c r="BB3285" s="128"/>
      <c r="BC3285" s="128"/>
      <c r="BD3285" s="128"/>
      <c r="BE3285" s="128"/>
      <c r="BF3285" s="128"/>
      <c r="BG3285" s="128"/>
      <c r="BH3285" s="128"/>
      <c r="BI3285" s="128"/>
      <c r="BJ3285" s="128"/>
      <c r="BK3285" s="128"/>
      <c r="BL3285" s="128"/>
      <c r="BM3285" s="151"/>
      <c r="BN3285" s="128"/>
      <c r="BO3285" s="128"/>
      <c r="BP3285" s="128"/>
      <c r="BQ3285" s="128"/>
      <c r="BR3285" s="128"/>
      <c r="BS3285" s="128"/>
      <c r="BT3285" s="128"/>
      <c r="BU3285" s="128"/>
      <c r="BV3285" s="128"/>
      <c r="BW3285" s="128"/>
      <c r="BX3285" s="128"/>
      <c r="BY3285" s="128"/>
      <c r="BZ3285" s="128"/>
      <c r="CA3285" s="128"/>
      <c r="CB3285" s="128"/>
      <c r="CC3285" s="128"/>
      <c r="CD3285" s="128"/>
      <c r="CE3285" s="128"/>
      <c r="CF3285" s="128"/>
      <c r="CG3285" s="128"/>
      <c r="CI3285" s="128"/>
      <c r="CJ3285" s="128"/>
      <c r="CK3285" s="128"/>
      <c r="CL3285" s="128"/>
      <c r="CM3285" s="128"/>
      <c r="CN3285" s="128"/>
      <c r="CO3285" s="128"/>
      <c r="CP3285" s="128"/>
      <c r="CQ3285" s="128"/>
      <c r="CR3285" s="128"/>
      <c r="CS3285" s="128"/>
      <c r="CT3285" s="128"/>
      <c r="CU3285" s="128"/>
      <c r="CV3285" s="128"/>
      <c r="CW3285" s="128"/>
      <c r="CX3285" s="128"/>
      <c r="CY3285" s="128"/>
      <c r="CZ3285" s="165"/>
    </row>
    <row r="3286" spans="1:104">
      <c r="A3286" s="149"/>
      <c r="B3286" s="149"/>
      <c r="C3286" s="150"/>
      <c r="D3286" s="102"/>
      <c r="E3286" s="149"/>
      <c r="F3286" s="149"/>
      <c r="G3286" s="149"/>
      <c r="H3286" s="149"/>
      <c r="I3286" s="149"/>
      <c r="J3286" s="149"/>
      <c r="K3286" s="149"/>
      <c r="L3286" s="149"/>
      <c r="M3286" s="149"/>
      <c r="N3286" s="149"/>
      <c r="O3286" s="149"/>
      <c r="P3286" s="149"/>
      <c r="Q3286" s="149"/>
      <c r="R3286" s="149"/>
      <c r="S3286" s="149"/>
      <c r="T3286" s="149"/>
      <c r="U3286" s="149"/>
      <c r="V3286" s="149"/>
      <c r="W3286" s="149"/>
      <c r="X3286" s="149"/>
      <c r="Y3286" s="149"/>
      <c r="Z3286" s="149"/>
      <c r="AA3286" s="149"/>
      <c r="AB3286" s="149"/>
      <c r="AC3286" s="149"/>
      <c r="AD3286" s="149"/>
      <c r="AE3286" s="149"/>
      <c r="AF3286" s="149"/>
      <c r="AG3286" s="149"/>
      <c r="AH3286" s="149"/>
      <c r="AI3286" s="149"/>
      <c r="AJ3286" s="149"/>
      <c r="AK3286" s="149"/>
      <c r="AL3286" s="149"/>
      <c r="AM3286" s="149"/>
      <c r="AN3286" s="149"/>
      <c r="AO3286" s="128"/>
      <c r="AP3286" s="128"/>
      <c r="AQ3286" s="128"/>
      <c r="AR3286" s="128"/>
      <c r="AS3286" s="128"/>
      <c r="AT3286" s="128"/>
      <c r="AU3286" s="128"/>
      <c r="AV3286" s="128"/>
      <c r="AW3286" s="128"/>
      <c r="AX3286" s="128"/>
      <c r="AY3286" s="128"/>
      <c r="AZ3286" s="128"/>
      <c r="BA3286" s="128"/>
      <c r="BB3286" s="128"/>
      <c r="BC3286" s="128"/>
      <c r="BD3286" s="128"/>
      <c r="BE3286" s="128"/>
      <c r="BF3286" s="128"/>
      <c r="BG3286" s="128"/>
      <c r="BH3286" s="128"/>
      <c r="BI3286" s="128"/>
      <c r="BJ3286" s="128"/>
      <c r="BK3286" s="128"/>
      <c r="BL3286" s="128"/>
      <c r="BM3286" s="151"/>
      <c r="BN3286" s="128"/>
      <c r="BO3286" s="128"/>
      <c r="BP3286" s="128"/>
      <c r="BQ3286" s="128"/>
      <c r="BR3286" s="128"/>
      <c r="BS3286" s="128"/>
      <c r="BT3286" s="128"/>
      <c r="BU3286" s="128"/>
      <c r="BV3286" s="128"/>
      <c r="BW3286" s="128"/>
      <c r="BX3286" s="128"/>
      <c r="BY3286" s="128"/>
      <c r="BZ3286" s="128"/>
      <c r="CA3286" s="128"/>
      <c r="CB3286" s="128"/>
      <c r="CC3286" s="128"/>
      <c r="CD3286" s="128"/>
      <c r="CE3286" s="128"/>
      <c r="CF3286" s="128"/>
      <c r="CG3286" s="128"/>
      <c r="CI3286" s="128"/>
      <c r="CJ3286" s="128"/>
      <c r="CK3286" s="128"/>
      <c r="CL3286" s="128"/>
      <c r="CM3286" s="128"/>
      <c r="CN3286" s="128"/>
      <c r="CO3286" s="128"/>
      <c r="CP3286" s="128"/>
      <c r="CQ3286" s="128"/>
      <c r="CR3286" s="128"/>
      <c r="CS3286" s="128"/>
      <c r="CT3286" s="128"/>
      <c r="CU3286" s="128"/>
      <c r="CV3286" s="128"/>
      <c r="CW3286" s="128"/>
      <c r="CX3286" s="128"/>
      <c r="CY3286" s="128"/>
      <c r="CZ3286" s="165"/>
    </row>
    <row r="3287" spans="1:104">
      <c r="A3287" s="149"/>
      <c r="B3287" s="149"/>
      <c r="C3287" s="150"/>
      <c r="D3287" s="102"/>
      <c r="E3287" s="149"/>
      <c r="F3287" s="149"/>
      <c r="G3287" s="149"/>
      <c r="H3287" s="149"/>
      <c r="I3287" s="149"/>
      <c r="J3287" s="149"/>
      <c r="K3287" s="149"/>
      <c r="L3287" s="149"/>
      <c r="M3287" s="149"/>
      <c r="N3287" s="149"/>
      <c r="O3287" s="149"/>
      <c r="P3287" s="149"/>
      <c r="Q3287" s="149"/>
      <c r="R3287" s="149"/>
      <c r="S3287" s="149"/>
      <c r="T3287" s="149"/>
      <c r="U3287" s="149"/>
      <c r="V3287" s="149"/>
      <c r="W3287" s="149"/>
      <c r="X3287" s="149"/>
      <c r="Y3287" s="149"/>
      <c r="Z3287" s="149"/>
      <c r="AA3287" s="149"/>
      <c r="AB3287" s="149"/>
      <c r="AC3287" s="149"/>
      <c r="AD3287" s="149"/>
      <c r="AE3287" s="149"/>
      <c r="AF3287" s="149"/>
      <c r="AG3287" s="149"/>
      <c r="AH3287" s="149"/>
      <c r="AI3287" s="149"/>
      <c r="AJ3287" s="149"/>
      <c r="AK3287" s="149"/>
      <c r="AL3287" s="149"/>
      <c r="AM3287" s="149"/>
      <c r="AN3287" s="149"/>
      <c r="AO3287" s="128"/>
      <c r="AP3287" s="128"/>
      <c r="AQ3287" s="128"/>
      <c r="AR3287" s="128"/>
      <c r="AS3287" s="128"/>
      <c r="AT3287" s="128"/>
      <c r="AU3287" s="128"/>
      <c r="AV3287" s="128"/>
      <c r="AW3287" s="128"/>
      <c r="AX3287" s="128"/>
      <c r="AY3287" s="128"/>
      <c r="AZ3287" s="128"/>
      <c r="BA3287" s="128"/>
      <c r="BB3287" s="128"/>
      <c r="BC3287" s="128"/>
      <c r="BD3287" s="128"/>
      <c r="BE3287" s="128"/>
      <c r="BF3287" s="128"/>
      <c r="BG3287" s="128"/>
      <c r="BH3287" s="128"/>
      <c r="BI3287" s="128"/>
      <c r="BJ3287" s="128"/>
      <c r="BK3287" s="128"/>
      <c r="BL3287" s="128"/>
      <c r="BM3287" s="151"/>
      <c r="BN3287" s="128"/>
      <c r="BO3287" s="128"/>
      <c r="BP3287" s="128"/>
      <c r="BQ3287" s="128"/>
      <c r="BR3287" s="128"/>
      <c r="BS3287" s="128"/>
      <c r="BT3287" s="128"/>
      <c r="BU3287" s="128"/>
      <c r="BV3287" s="128"/>
      <c r="BW3287" s="128"/>
      <c r="BX3287" s="128"/>
      <c r="BY3287" s="128"/>
      <c r="BZ3287" s="128"/>
      <c r="CA3287" s="128"/>
      <c r="CB3287" s="128"/>
      <c r="CC3287" s="128"/>
      <c r="CD3287" s="128"/>
      <c r="CE3287" s="128"/>
      <c r="CF3287" s="128"/>
      <c r="CG3287" s="128"/>
      <c r="CI3287" s="128"/>
      <c r="CJ3287" s="128"/>
      <c r="CK3287" s="128"/>
      <c r="CL3287" s="128"/>
      <c r="CM3287" s="128"/>
      <c r="CN3287" s="128"/>
      <c r="CO3287" s="128"/>
      <c r="CP3287" s="128"/>
      <c r="CQ3287" s="128"/>
      <c r="CR3287" s="128"/>
      <c r="CS3287" s="128"/>
      <c r="CT3287" s="128"/>
      <c r="CU3287" s="128"/>
      <c r="CV3287" s="128"/>
      <c r="CW3287" s="128"/>
      <c r="CX3287" s="128"/>
      <c r="CY3287" s="128"/>
      <c r="CZ3287" s="165"/>
    </row>
    <row r="3288" spans="1:104">
      <c r="A3288" s="149"/>
      <c r="B3288" s="149"/>
      <c r="C3288" s="150"/>
      <c r="D3288" s="102"/>
      <c r="E3288" s="149"/>
      <c r="F3288" s="149"/>
      <c r="G3288" s="149"/>
      <c r="H3288" s="149"/>
      <c r="I3288" s="149"/>
      <c r="J3288" s="149"/>
      <c r="K3288" s="149"/>
      <c r="L3288" s="149"/>
      <c r="M3288" s="149"/>
      <c r="N3288" s="149"/>
      <c r="O3288" s="149"/>
      <c r="P3288" s="149"/>
      <c r="Q3288" s="149"/>
      <c r="R3288" s="149"/>
      <c r="S3288" s="149"/>
      <c r="T3288" s="149"/>
      <c r="U3288" s="149"/>
      <c r="V3288" s="149"/>
      <c r="W3288" s="149"/>
      <c r="X3288" s="149"/>
      <c r="Y3288" s="149"/>
      <c r="Z3288" s="149"/>
      <c r="AA3288" s="149"/>
      <c r="AB3288" s="149"/>
      <c r="AC3288" s="149"/>
      <c r="AD3288" s="149"/>
      <c r="AE3288" s="149"/>
      <c r="AF3288" s="149"/>
      <c r="AG3288" s="149"/>
      <c r="AH3288" s="149"/>
      <c r="AI3288" s="149"/>
      <c r="AJ3288" s="149"/>
      <c r="AK3288" s="149"/>
      <c r="AL3288" s="149"/>
      <c r="AM3288" s="149"/>
      <c r="AN3288" s="149"/>
      <c r="AO3288" s="128"/>
      <c r="AP3288" s="128"/>
      <c r="AQ3288" s="128"/>
      <c r="AR3288" s="128"/>
      <c r="AS3288" s="128"/>
      <c r="AT3288" s="128"/>
      <c r="AU3288" s="128"/>
      <c r="AV3288" s="128"/>
      <c r="AW3288" s="128"/>
      <c r="AX3288" s="128"/>
      <c r="AY3288" s="128"/>
      <c r="AZ3288" s="128"/>
      <c r="BA3288" s="128"/>
      <c r="BB3288" s="128"/>
      <c r="BC3288" s="128"/>
      <c r="BD3288" s="128"/>
      <c r="BE3288" s="128"/>
      <c r="BF3288" s="128"/>
      <c r="BG3288" s="128"/>
      <c r="BH3288" s="128"/>
      <c r="BI3288" s="128"/>
      <c r="BJ3288" s="128"/>
      <c r="BK3288" s="128"/>
      <c r="BL3288" s="128"/>
      <c r="BM3288" s="151"/>
      <c r="BN3288" s="128"/>
      <c r="BO3288" s="128"/>
      <c r="BP3288" s="128"/>
      <c r="BQ3288" s="128"/>
      <c r="BR3288" s="128"/>
      <c r="BS3288" s="128"/>
      <c r="BT3288" s="128"/>
      <c r="BU3288" s="128"/>
      <c r="BV3288" s="128"/>
      <c r="BW3288" s="128"/>
      <c r="BX3288" s="128"/>
      <c r="BY3288" s="128"/>
      <c r="BZ3288" s="128"/>
      <c r="CA3288" s="128"/>
      <c r="CB3288" s="128"/>
      <c r="CC3288" s="128"/>
      <c r="CD3288" s="128"/>
      <c r="CE3288" s="128"/>
      <c r="CF3288" s="128"/>
      <c r="CG3288" s="128"/>
      <c r="CI3288" s="128"/>
      <c r="CJ3288" s="128"/>
      <c r="CK3288" s="128"/>
      <c r="CL3288" s="128"/>
      <c r="CM3288" s="128"/>
      <c r="CN3288" s="128"/>
      <c r="CO3288" s="128"/>
      <c r="CP3288" s="128"/>
      <c r="CQ3288" s="128"/>
      <c r="CR3288" s="128"/>
      <c r="CS3288" s="128"/>
      <c r="CT3288" s="128"/>
      <c r="CU3288" s="128"/>
      <c r="CV3288" s="128"/>
      <c r="CW3288" s="128"/>
      <c r="CX3288" s="128"/>
      <c r="CY3288" s="128"/>
      <c r="CZ3288" s="165"/>
    </row>
    <row r="3289" spans="1:104">
      <c r="A3289" s="149"/>
      <c r="B3289" s="149"/>
      <c r="C3289" s="150"/>
      <c r="D3289" s="102"/>
      <c r="E3289" s="149"/>
      <c r="F3289" s="149"/>
      <c r="G3289" s="149"/>
      <c r="H3289" s="149"/>
      <c r="I3289" s="149"/>
      <c r="J3289" s="149"/>
      <c r="K3289" s="149"/>
      <c r="L3289" s="149"/>
      <c r="M3289" s="149"/>
      <c r="N3289" s="149"/>
      <c r="O3289" s="149"/>
      <c r="P3289" s="149"/>
      <c r="Q3289" s="149"/>
      <c r="R3289" s="149"/>
      <c r="S3289" s="149"/>
      <c r="T3289" s="149"/>
      <c r="U3289" s="149"/>
      <c r="V3289" s="149"/>
      <c r="W3289" s="149"/>
      <c r="X3289" s="149"/>
      <c r="Y3289" s="149"/>
      <c r="Z3289" s="149"/>
      <c r="AA3289" s="149"/>
      <c r="AB3289" s="149"/>
      <c r="AC3289" s="149"/>
      <c r="AD3289" s="149"/>
      <c r="AE3289" s="149"/>
      <c r="AF3289" s="149"/>
      <c r="AG3289" s="149"/>
      <c r="AH3289" s="149"/>
      <c r="AI3289" s="149"/>
      <c r="AJ3289" s="149"/>
      <c r="AK3289" s="149"/>
      <c r="AL3289" s="149"/>
      <c r="AM3289" s="149"/>
      <c r="AN3289" s="149"/>
      <c r="AO3289" s="128"/>
      <c r="AP3289" s="128"/>
      <c r="AQ3289" s="128"/>
      <c r="AR3289" s="128"/>
      <c r="AS3289" s="128"/>
      <c r="AT3289" s="128"/>
      <c r="AU3289" s="128"/>
      <c r="AV3289" s="128"/>
      <c r="AW3289" s="128"/>
      <c r="AX3289" s="128"/>
      <c r="AY3289" s="128"/>
      <c r="AZ3289" s="128"/>
      <c r="BA3289" s="128"/>
      <c r="BB3289" s="128"/>
      <c r="BC3289" s="128"/>
      <c r="BD3289" s="128"/>
      <c r="BE3289" s="128"/>
      <c r="BF3289" s="128"/>
      <c r="BG3289" s="128"/>
      <c r="BH3289" s="128"/>
      <c r="BI3289" s="128"/>
      <c r="BJ3289" s="128"/>
      <c r="BK3289" s="128"/>
      <c r="BL3289" s="128"/>
      <c r="BM3289" s="151"/>
      <c r="BN3289" s="128"/>
      <c r="BO3289" s="128"/>
      <c r="BP3289" s="128"/>
      <c r="BQ3289" s="128"/>
      <c r="BR3289" s="128"/>
      <c r="BS3289" s="128"/>
      <c r="BT3289" s="128"/>
      <c r="BU3289" s="128"/>
      <c r="BV3289" s="128"/>
      <c r="BW3289" s="128"/>
      <c r="BX3289" s="128"/>
      <c r="BY3289" s="128"/>
      <c r="BZ3289" s="128"/>
      <c r="CA3289" s="128"/>
      <c r="CB3289" s="128"/>
      <c r="CC3289" s="128"/>
      <c r="CD3289" s="128"/>
      <c r="CE3289" s="128"/>
      <c r="CF3289" s="128"/>
      <c r="CG3289" s="128"/>
      <c r="CI3289" s="128"/>
      <c r="CJ3289" s="128"/>
      <c r="CK3289" s="128"/>
      <c r="CL3289" s="128"/>
      <c r="CM3289" s="128"/>
      <c r="CN3289" s="128"/>
      <c r="CO3289" s="128"/>
      <c r="CP3289" s="128"/>
      <c r="CQ3289" s="128"/>
      <c r="CR3289" s="128"/>
      <c r="CS3289" s="128"/>
      <c r="CT3289" s="128"/>
      <c r="CU3289" s="128"/>
      <c r="CV3289" s="128"/>
      <c r="CW3289" s="128"/>
      <c r="CX3289" s="128"/>
      <c r="CY3289" s="128"/>
      <c r="CZ3289" s="165"/>
    </row>
    <row r="3290" spans="1:104">
      <c r="A3290" s="149"/>
      <c r="B3290" s="149"/>
      <c r="C3290" s="150"/>
      <c r="D3290" s="102"/>
      <c r="E3290" s="149"/>
      <c r="F3290" s="149"/>
      <c r="G3290" s="149"/>
      <c r="H3290" s="149"/>
      <c r="I3290" s="149"/>
      <c r="J3290" s="149"/>
      <c r="K3290" s="149"/>
      <c r="L3290" s="149"/>
      <c r="M3290" s="149"/>
      <c r="N3290" s="149"/>
      <c r="O3290" s="149"/>
      <c r="P3290" s="149"/>
      <c r="Q3290" s="149"/>
      <c r="R3290" s="149"/>
      <c r="S3290" s="149"/>
      <c r="T3290" s="149"/>
      <c r="U3290" s="149"/>
      <c r="V3290" s="149"/>
      <c r="W3290" s="149"/>
      <c r="X3290" s="149"/>
      <c r="Y3290" s="149"/>
      <c r="Z3290" s="149"/>
      <c r="AA3290" s="149"/>
      <c r="AB3290" s="149"/>
      <c r="AC3290" s="149"/>
      <c r="AD3290" s="149"/>
      <c r="AE3290" s="149"/>
      <c r="AF3290" s="149"/>
      <c r="AG3290" s="149"/>
      <c r="AH3290" s="149"/>
      <c r="AI3290" s="149"/>
      <c r="AJ3290" s="149"/>
      <c r="AK3290" s="149"/>
      <c r="AL3290" s="149"/>
      <c r="AM3290" s="149"/>
      <c r="AN3290" s="149"/>
      <c r="AO3290" s="128"/>
      <c r="AP3290" s="128"/>
      <c r="AQ3290" s="128"/>
      <c r="AR3290" s="128"/>
      <c r="AS3290" s="128"/>
      <c r="AT3290" s="128"/>
      <c r="AU3290" s="128"/>
      <c r="AV3290" s="128"/>
      <c r="AW3290" s="128"/>
      <c r="AX3290" s="128"/>
      <c r="AY3290" s="128"/>
      <c r="AZ3290" s="128"/>
      <c r="BA3290" s="128"/>
      <c r="BB3290" s="128"/>
      <c r="BC3290" s="128"/>
      <c r="BD3290" s="128"/>
      <c r="BE3290" s="128"/>
      <c r="BF3290" s="128"/>
      <c r="BG3290" s="128"/>
      <c r="BH3290" s="128"/>
      <c r="BI3290" s="128"/>
      <c r="BJ3290" s="128"/>
      <c r="BK3290" s="128"/>
      <c r="BL3290" s="128"/>
      <c r="BM3290" s="151"/>
      <c r="BN3290" s="128"/>
      <c r="BO3290" s="128"/>
      <c r="BP3290" s="128"/>
      <c r="BQ3290" s="128"/>
      <c r="BR3290" s="128"/>
      <c r="BS3290" s="128"/>
      <c r="BT3290" s="128"/>
      <c r="BU3290" s="128"/>
      <c r="BV3290" s="128"/>
      <c r="BW3290" s="128"/>
      <c r="BX3290" s="128"/>
      <c r="BY3290" s="128"/>
      <c r="BZ3290" s="128"/>
      <c r="CA3290" s="128"/>
      <c r="CB3290" s="128"/>
      <c r="CC3290" s="128"/>
      <c r="CD3290" s="128"/>
      <c r="CE3290" s="128"/>
      <c r="CF3290" s="128"/>
      <c r="CG3290" s="128"/>
      <c r="CI3290" s="128"/>
      <c r="CJ3290" s="128"/>
      <c r="CK3290" s="128"/>
      <c r="CL3290" s="128"/>
      <c r="CM3290" s="128"/>
      <c r="CN3290" s="128"/>
      <c r="CO3290" s="128"/>
      <c r="CP3290" s="128"/>
      <c r="CQ3290" s="128"/>
      <c r="CR3290" s="128"/>
      <c r="CS3290" s="128"/>
      <c r="CT3290" s="128"/>
      <c r="CU3290" s="128"/>
      <c r="CV3290" s="128"/>
      <c r="CW3290" s="128"/>
      <c r="CX3290" s="128"/>
      <c r="CY3290" s="128"/>
      <c r="CZ3290" s="165"/>
    </row>
    <row r="3291" spans="1:104">
      <c r="A3291" s="149"/>
      <c r="B3291" s="149"/>
      <c r="C3291" s="150"/>
      <c r="D3291" s="102"/>
      <c r="E3291" s="149"/>
      <c r="F3291" s="149"/>
      <c r="G3291" s="149"/>
      <c r="H3291" s="149"/>
      <c r="I3291" s="149"/>
      <c r="J3291" s="149"/>
      <c r="K3291" s="149"/>
      <c r="L3291" s="149"/>
      <c r="M3291" s="149"/>
      <c r="N3291" s="149"/>
      <c r="O3291" s="149"/>
      <c r="P3291" s="149"/>
      <c r="Q3291" s="149"/>
      <c r="R3291" s="149"/>
      <c r="S3291" s="149"/>
      <c r="T3291" s="149"/>
      <c r="U3291" s="149"/>
      <c r="V3291" s="149"/>
      <c r="W3291" s="149"/>
      <c r="X3291" s="149"/>
      <c r="Y3291" s="149"/>
      <c r="Z3291" s="149"/>
      <c r="AA3291" s="149"/>
      <c r="AB3291" s="149"/>
      <c r="AC3291" s="149"/>
      <c r="AD3291" s="149"/>
      <c r="AE3291" s="149"/>
      <c r="AF3291" s="149"/>
      <c r="AG3291" s="149"/>
      <c r="AH3291" s="149"/>
      <c r="AI3291" s="149"/>
      <c r="AJ3291" s="149"/>
      <c r="AK3291" s="149"/>
      <c r="AL3291" s="149"/>
      <c r="AM3291" s="149"/>
      <c r="AN3291" s="149"/>
      <c r="AO3291" s="128"/>
      <c r="AP3291" s="128"/>
      <c r="AQ3291" s="128"/>
      <c r="AR3291" s="128"/>
      <c r="AS3291" s="128"/>
      <c r="AT3291" s="128"/>
      <c r="AU3291" s="128"/>
      <c r="AV3291" s="128"/>
      <c r="AW3291" s="128"/>
      <c r="AX3291" s="128"/>
      <c r="AY3291" s="128"/>
      <c r="AZ3291" s="128"/>
      <c r="BA3291" s="128"/>
      <c r="BB3291" s="128"/>
      <c r="BC3291" s="128"/>
      <c r="BD3291" s="128"/>
      <c r="BE3291" s="128"/>
      <c r="BF3291" s="128"/>
      <c r="BG3291" s="128"/>
      <c r="BH3291" s="128"/>
      <c r="BI3291" s="128"/>
      <c r="BJ3291" s="128"/>
      <c r="BK3291" s="128"/>
      <c r="BL3291" s="128"/>
      <c r="BM3291" s="151"/>
      <c r="BN3291" s="128"/>
      <c r="BO3291" s="128"/>
      <c r="BP3291" s="128"/>
      <c r="BQ3291" s="128"/>
      <c r="BR3291" s="128"/>
      <c r="BS3291" s="128"/>
      <c r="BT3291" s="128"/>
      <c r="BU3291" s="128"/>
      <c r="BV3291" s="128"/>
      <c r="BW3291" s="128"/>
      <c r="BX3291" s="128"/>
      <c r="BY3291" s="128"/>
      <c r="BZ3291" s="128"/>
      <c r="CA3291" s="128"/>
      <c r="CB3291" s="128"/>
      <c r="CC3291" s="128"/>
      <c r="CD3291" s="128"/>
      <c r="CE3291" s="128"/>
      <c r="CF3291" s="128"/>
      <c r="CG3291" s="128"/>
      <c r="CI3291" s="128"/>
      <c r="CJ3291" s="128"/>
      <c r="CK3291" s="128"/>
      <c r="CL3291" s="128"/>
      <c r="CM3291" s="128"/>
      <c r="CN3291" s="128"/>
      <c r="CO3291" s="128"/>
      <c r="CP3291" s="128"/>
      <c r="CQ3291" s="128"/>
      <c r="CR3291" s="128"/>
      <c r="CS3291" s="128"/>
      <c r="CT3291" s="128"/>
      <c r="CU3291" s="128"/>
      <c r="CV3291" s="128"/>
      <c r="CW3291" s="128"/>
      <c r="CX3291" s="128"/>
      <c r="CY3291" s="128"/>
      <c r="CZ3291" s="165"/>
    </row>
    <row r="3292" spans="1:104">
      <c r="A3292" s="149"/>
      <c r="B3292" s="149"/>
      <c r="C3292" s="150"/>
      <c r="D3292" s="102"/>
      <c r="E3292" s="149"/>
      <c r="F3292" s="149"/>
      <c r="G3292" s="149"/>
      <c r="H3292" s="149"/>
      <c r="I3292" s="149"/>
      <c r="J3292" s="149"/>
      <c r="K3292" s="149"/>
      <c r="L3292" s="149"/>
      <c r="M3292" s="149"/>
      <c r="N3292" s="149"/>
      <c r="O3292" s="149"/>
      <c r="P3292" s="149"/>
      <c r="Q3292" s="149"/>
      <c r="R3292" s="149"/>
      <c r="S3292" s="149"/>
      <c r="T3292" s="149"/>
      <c r="U3292" s="149"/>
      <c r="V3292" s="149"/>
      <c r="W3292" s="149"/>
      <c r="X3292" s="149"/>
      <c r="Y3292" s="149"/>
      <c r="Z3292" s="149"/>
      <c r="AA3292" s="149"/>
      <c r="AB3292" s="149"/>
      <c r="AC3292" s="149"/>
      <c r="AD3292" s="149"/>
      <c r="AE3292" s="149"/>
      <c r="AF3292" s="149"/>
      <c r="AG3292" s="149"/>
      <c r="AH3292" s="149"/>
      <c r="AI3292" s="149"/>
      <c r="AJ3292" s="149"/>
      <c r="AK3292" s="149"/>
      <c r="AL3292" s="149"/>
      <c r="AM3292" s="149"/>
      <c r="AN3292" s="149"/>
      <c r="AO3292" s="128"/>
      <c r="AP3292" s="128"/>
      <c r="AQ3292" s="128"/>
      <c r="AR3292" s="128"/>
      <c r="AS3292" s="128"/>
      <c r="AT3292" s="128"/>
      <c r="AU3292" s="128"/>
      <c r="AV3292" s="128"/>
      <c r="AW3292" s="128"/>
      <c r="AX3292" s="128"/>
      <c r="AY3292" s="128"/>
      <c r="AZ3292" s="128"/>
      <c r="BA3292" s="128"/>
      <c r="BB3292" s="128"/>
      <c r="BC3292" s="128"/>
      <c r="BD3292" s="128"/>
      <c r="BE3292" s="128"/>
      <c r="BF3292" s="128"/>
      <c r="BG3292" s="128"/>
      <c r="BH3292" s="128"/>
      <c r="BI3292" s="128"/>
      <c r="BJ3292" s="128"/>
      <c r="BK3292" s="128"/>
      <c r="BL3292" s="128"/>
      <c r="BM3292" s="151"/>
      <c r="BN3292" s="128"/>
      <c r="BO3292" s="128"/>
      <c r="BP3292" s="128"/>
      <c r="BQ3292" s="128"/>
      <c r="BR3292" s="128"/>
      <c r="BS3292" s="128"/>
      <c r="BT3292" s="128"/>
      <c r="BU3292" s="128"/>
      <c r="BV3292" s="128"/>
      <c r="BW3292" s="128"/>
      <c r="BX3292" s="128"/>
      <c r="BY3292" s="128"/>
      <c r="BZ3292" s="128"/>
      <c r="CA3292" s="128"/>
      <c r="CB3292" s="128"/>
      <c r="CC3292" s="128"/>
      <c r="CD3292" s="128"/>
      <c r="CE3292" s="128"/>
      <c r="CF3292" s="128"/>
      <c r="CG3292" s="128"/>
      <c r="CI3292" s="128"/>
      <c r="CJ3292" s="128"/>
      <c r="CK3292" s="128"/>
      <c r="CL3292" s="128"/>
      <c r="CM3292" s="128"/>
      <c r="CN3292" s="128"/>
      <c r="CO3292" s="128"/>
      <c r="CP3292" s="128"/>
      <c r="CQ3292" s="128"/>
      <c r="CR3292" s="128"/>
      <c r="CS3292" s="128"/>
      <c r="CT3292" s="128"/>
      <c r="CU3292" s="128"/>
      <c r="CV3292" s="128"/>
      <c r="CW3292" s="128"/>
      <c r="CX3292" s="128"/>
      <c r="CY3292" s="128"/>
      <c r="CZ3292" s="165"/>
    </row>
    <row r="3293" spans="1:104">
      <c r="A3293" s="149"/>
      <c r="B3293" s="149"/>
      <c r="C3293" s="150"/>
      <c r="D3293" s="102"/>
      <c r="E3293" s="149"/>
      <c r="F3293" s="149"/>
      <c r="G3293" s="149"/>
      <c r="H3293" s="149"/>
      <c r="I3293" s="149"/>
      <c r="J3293" s="149"/>
      <c r="K3293" s="149"/>
      <c r="L3293" s="149"/>
      <c r="M3293" s="149"/>
      <c r="N3293" s="149"/>
      <c r="O3293" s="149"/>
      <c r="P3293" s="149"/>
      <c r="Q3293" s="149"/>
      <c r="R3293" s="149"/>
      <c r="S3293" s="149"/>
      <c r="T3293" s="149"/>
      <c r="U3293" s="149"/>
      <c r="V3293" s="149"/>
      <c r="W3293" s="149"/>
      <c r="X3293" s="149"/>
      <c r="Y3293" s="149"/>
      <c r="Z3293" s="149"/>
      <c r="AA3293" s="149"/>
      <c r="AB3293" s="149"/>
      <c r="AC3293" s="149"/>
      <c r="AD3293" s="149"/>
      <c r="AE3293" s="149"/>
      <c r="AF3293" s="149"/>
      <c r="AG3293" s="149"/>
      <c r="AH3293" s="149"/>
      <c r="AI3293" s="149"/>
      <c r="AJ3293" s="149"/>
      <c r="AK3293" s="149"/>
      <c r="AL3293" s="149"/>
      <c r="AM3293" s="149"/>
      <c r="AN3293" s="149"/>
      <c r="AO3293" s="128"/>
      <c r="AP3293" s="128"/>
      <c r="AQ3293" s="128"/>
      <c r="AR3293" s="128"/>
      <c r="AS3293" s="128"/>
      <c r="AT3293" s="128"/>
      <c r="AU3293" s="128"/>
      <c r="AV3293" s="128"/>
      <c r="AW3293" s="128"/>
      <c r="AX3293" s="128"/>
      <c r="AY3293" s="128"/>
      <c r="AZ3293" s="128"/>
      <c r="BA3293" s="128"/>
      <c r="BB3293" s="128"/>
      <c r="BC3293" s="128"/>
      <c r="BD3293" s="128"/>
      <c r="BE3293" s="128"/>
      <c r="BF3293" s="128"/>
      <c r="BG3293" s="128"/>
      <c r="BH3293" s="128"/>
      <c r="BI3293" s="128"/>
      <c r="BJ3293" s="128"/>
      <c r="BK3293" s="128"/>
      <c r="BL3293" s="128"/>
      <c r="BM3293" s="151"/>
      <c r="BN3293" s="128"/>
      <c r="BO3293" s="128"/>
      <c r="BP3293" s="128"/>
      <c r="BQ3293" s="128"/>
      <c r="BR3293" s="128"/>
      <c r="BS3293" s="128"/>
      <c r="BT3293" s="128"/>
      <c r="BU3293" s="128"/>
      <c r="BV3293" s="128"/>
      <c r="BW3293" s="128"/>
      <c r="BX3293" s="128"/>
      <c r="BY3293" s="128"/>
      <c r="BZ3293" s="128"/>
      <c r="CA3293" s="128"/>
      <c r="CB3293" s="128"/>
      <c r="CC3293" s="128"/>
      <c r="CD3293" s="128"/>
      <c r="CE3293" s="128"/>
      <c r="CF3293" s="128"/>
      <c r="CG3293" s="128"/>
      <c r="CI3293" s="128"/>
      <c r="CJ3293" s="128"/>
      <c r="CK3293" s="128"/>
      <c r="CL3293" s="128"/>
      <c r="CM3293" s="128"/>
      <c r="CN3293" s="128"/>
      <c r="CO3293" s="128"/>
      <c r="CP3293" s="128"/>
      <c r="CQ3293" s="128"/>
      <c r="CR3293" s="128"/>
      <c r="CS3293" s="128"/>
      <c r="CT3293" s="128"/>
      <c r="CU3293" s="128"/>
      <c r="CV3293" s="128"/>
      <c r="CW3293" s="128"/>
      <c r="CX3293" s="128"/>
      <c r="CY3293" s="128"/>
      <c r="CZ3293" s="165"/>
    </row>
    <row r="3294" spans="1:104">
      <c r="A3294" s="149"/>
      <c r="B3294" s="149"/>
      <c r="C3294" s="150"/>
      <c r="D3294" s="102"/>
      <c r="E3294" s="149"/>
      <c r="F3294" s="149"/>
      <c r="G3294" s="149"/>
      <c r="H3294" s="149"/>
      <c r="I3294" s="149"/>
      <c r="J3294" s="149"/>
      <c r="K3294" s="149"/>
      <c r="L3294" s="149"/>
      <c r="M3294" s="149"/>
      <c r="N3294" s="149"/>
      <c r="O3294" s="149"/>
      <c r="P3294" s="149"/>
      <c r="Q3294" s="149"/>
      <c r="R3294" s="149"/>
      <c r="S3294" s="149"/>
      <c r="T3294" s="149"/>
      <c r="U3294" s="149"/>
      <c r="V3294" s="149"/>
      <c r="W3294" s="149"/>
      <c r="X3294" s="149"/>
      <c r="Y3294" s="149"/>
      <c r="Z3294" s="149"/>
      <c r="AA3294" s="149"/>
      <c r="AB3294" s="149"/>
      <c r="AC3294" s="149"/>
      <c r="AD3294" s="149"/>
      <c r="AE3294" s="149"/>
      <c r="AF3294" s="149"/>
      <c r="AG3294" s="149"/>
      <c r="AH3294" s="149"/>
      <c r="AI3294" s="149"/>
      <c r="AJ3294" s="149"/>
      <c r="AK3294" s="149"/>
      <c r="AL3294" s="149"/>
      <c r="AM3294" s="149"/>
      <c r="AN3294" s="149"/>
      <c r="AO3294" s="128"/>
      <c r="AP3294" s="128"/>
      <c r="AQ3294" s="128"/>
      <c r="AR3294" s="128"/>
      <c r="AS3294" s="128"/>
      <c r="AT3294" s="128"/>
      <c r="AU3294" s="128"/>
      <c r="AV3294" s="128"/>
      <c r="AW3294" s="128"/>
      <c r="AX3294" s="128"/>
      <c r="AY3294" s="128"/>
      <c r="AZ3294" s="128"/>
      <c r="BA3294" s="128"/>
      <c r="BB3294" s="128"/>
      <c r="BC3294" s="128"/>
      <c r="BD3294" s="128"/>
      <c r="BE3294" s="128"/>
      <c r="BF3294" s="128"/>
      <c r="BG3294" s="128"/>
      <c r="BH3294" s="128"/>
      <c r="BI3294" s="128"/>
      <c r="BJ3294" s="128"/>
      <c r="BK3294" s="128"/>
      <c r="BL3294" s="128"/>
      <c r="BM3294" s="151"/>
      <c r="BN3294" s="128"/>
      <c r="BO3294" s="128"/>
      <c r="BP3294" s="128"/>
      <c r="BQ3294" s="128"/>
      <c r="BR3294" s="128"/>
      <c r="BS3294" s="128"/>
      <c r="BT3294" s="128"/>
      <c r="BU3294" s="128"/>
      <c r="BV3294" s="128"/>
      <c r="BW3294" s="128"/>
      <c r="BX3294" s="128"/>
      <c r="BY3294" s="128"/>
      <c r="BZ3294" s="128"/>
      <c r="CA3294" s="128"/>
      <c r="CB3294" s="128"/>
      <c r="CC3294" s="128"/>
      <c r="CD3294" s="128"/>
      <c r="CE3294" s="128"/>
      <c r="CF3294" s="128"/>
      <c r="CG3294" s="128"/>
      <c r="CI3294" s="128"/>
      <c r="CJ3294" s="128"/>
      <c r="CK3294" s="128"/>
      <c r="CL3294" s="128"/>
      <c r="CM3294" s="128"/>
      <c r="CN3294" s="128"/>
      <c r="CO3294" s="128"/>
      <c r="CP3294" s="128"/>
      <c r="CQ3294" s="128"/>
      <c r="CR3294" s="128"/>
      <c r="CS3294" s="128"/>
      <c r="CT3294" s="128"/>
      <c r="CU3294" s="128"/>
      <c r="CV3294" s="128"/>
      <c r="CW3294" s="128"/>
      <c r="CX3294" s="128"/>
      <c r="CY3294" s="128"/>
      <c r="CZ3294" s="165"/>
    </row>
    <row r="3295" spans="1:104">
      <c r="A3295" s="149"/>
      <c r="B3295" s="149"/>
      <c r="C3295" s="150"/>
      <c r="D3295" s="102"/>
      <c r="E3295" s="149"/>
      <c r="F3295" s="149"/>
      <c r="G3295" s="149"/>
      <c r="H3295" s="149"/>
      <c r="I3295" s="149"/>
      <c r="J3295" s="149"/>
      <c r="K3295" s="149"/>
      <c r="L3295" s="149"/>
      <c r="M3295" s="149"/>
      <c r="N3295" s="149"/>
      <c r="O3295" s="149"/>
      <c r="P3295" s="149"/>
      <c r="Q3295" s="149"/>
      <c r="R3295" s="149"/>
      <c r="S3295" s="149"/>
      <c r="T3295" s="149"/>
      <c r="U3295" s="149"/>
      <c r="V3295" s="149"/>
      <c r="W3295" s="149"/>
      <c r="X3295" s="149"/>
      <c r="Y3295" s="149"/>
      <c r="Z3295" s="149"/>
      <c r="AA3295" s="149"/>
      <c r="AB3295" s="149"/>
      <c r="AC3295" s="149"/>
      <c r="AD3295" s="149"/>
      <c r="AE3295" s="149"/>
      <c r="AF3295" s="149"/>
      <c r="AG3295" s="149"/>
      <c r="AH3295" s="149"/>
      <c r="AI3295" s="149"/>
      <c r="AJ3295" s="149"/>
      <c r="AK3295" s="149"/>
      <c r="AL3295" s="149"/>
      <c r="AM3295" s="149"/>
      <c r="AN3295" s="149"/>
      <c r="AO3295" s="128"/>
      <c r="AP3295" s="128"/>
      <c r="AQ3295" s="128"/>
      <c r="AR3295" s="128"/>
      <c r="AS3295" s="128"/>
      <c r="AT3295" s="128"/>
      <c r="AU3295" s="128"/>
      <c r="AV3295" s="128"/>
      <c r="AW3295" s="128"/>
      <c r="AX3295" s="128"/>
      <c r="AY3295" s="128"/>
      <c r="AZ3295" s="128"/>
      <c r="BA3295" s="128"/>
      <c r="BB3295" s="128"/>
      <c r="BC3295" s="128"/>
      <c r="BD3295" s="128"/>
      <c r="BE3295" s="128"/>
      <c r="BF3295" s="128"/>
      <c r="BG3295" s="128"/>
      <c r="BH3295" s="128"/>
      <c r="BI3295" s="128"/>
      <c r="BJ3295" s="128"/>
      <c r="BK3295" s="128"/>
      <c r="BL3295" s="128"/>
      <c r="BM3295" s="151"/>
      <c r="BN3295" s="128"/>
      <c r="BO3295" s="128"/>
      <c r="BP3295" s="128"/>
      <c r="BQ3295" s="128"/>
      <c r="BR3295" s="128"/>
      <c r="BS3295" s="128"/>
      <c r="BT3295" s="128"/>
      <c r="BU3295" s="128"/>
      <c r="BV3295" s="128"/>
      <c r="BW3295" s="128"/>
      <c r="BX3295" s="128"/>
      <c r="BY3295" s="128"/>
      <c r="BZ3295" s="128"/>
      <c r="CA3295" s="128"/>
      <c r="CB3295" s="128"/>
      <c r="CC3295" s="128"/>
      <c r="CD3295" s="128"/>
      <c r="CE3295" s="128"/>
      <c r="CF3295" s="128"/>
      <c r="CG3295" s="128"/>
      <c r="CI3295" s="128"/>
      <c r="CJ3295" s="128"/>
      <c r="CK3295" s="128"/>
      <c r="CL3295" s="128"/>
      <c r="CM3295" s="128"/>
      <c r="CN3295" s="128"/>
      <c r="CO3295" s="128"/>
      <c r="CP3295" s="128"/>
      <c r="CQ3295" s="128"/>
      <c r="CR3295" s="128"/>
      <c r="CS3295" s="128"/>
      <c r="CT3295" s="128"/>
      <c r="CU3295" s="128"/>
      <c r="CV3295" s="128"/>
      <c r="CW3295" s="128"/>
      <c r="CX3295" s="128"/>
      <c r="CY3295" s="128"/>
      <c r="CZ3295" s="165"/>
    </row>
    <row r="3296" spans="1:104">
      <c r="A3296" s="149"/>
      <c r="B3296" s="149"/>
      <c r="C3296" s="150"/>
      <c r="D3296" s="102"/>
      <c r="E3296" s="149"/>
      <c r="F3296" s="149"/>
      <c r="G3296" s="149"/>
      <c r="H3296" s="149"/>
      <c r="I3296" s="149"/>
      <c r="J3296" s="149"/>
      <c r="K3296" s="149"/>
      <c r="L3296" s="149"/>
      <c r="M3296" s="149"/>
      <c r="N3296" s="149"/>
      <c r="O3296" s="149"/>
      <c r="P3296" s="149"/>
      <c r="Q3296" s="149"/>
      <c r="R3296" s="149"/>
      <c r="S3296" s="149"/>
      <c r="T3296" s="149"/>
      <c r="U3296" s="149"/>
      <c r="V3296" s="149"/>
      <c r="W3296" s="149"/>
      <c r="X3296" s="149"/>
      <c r="Y3296" s="149"/>
      <c r="Z3296" s="149"/>
      <c r="AA3296" s="149"/>
      <c r="AB3296" s="149"/>
      <c r="AC3296" s="149"/>
      <c r="AD3296" s="149"/>
      <c r="AE3296" s="149"/>
      <c r="AF3296" s="149"/>
      <c r="AG3296" s="149"/>
      <c r="AH3296" s="149"/>
      <c r="AI3296" s="149"/>
      <c r="AJ3296" s="149"/>
      <c r="AK3296" s="149"/>
      <c r="AL3296" s="149"/>
      <c r="AM3296" s="149"/>
      <c r="AN3296" s="149"/>
      <c r="AO3296" s="128"/>
      <c r="AP3296" s="128"/>
      <c r="AQ3296" s="128"/>
      <c r="AR3296" s="128"/>
      <c r="AS3296" s="128"/>
      <c r="AT3296" s="128"/>
      <c r="AU3296" s="128"/>
      <c r="AV3296" s="128"/>
      <c r="AW3296" s="128"/>
      <c r="AX3296" s="128"/>
      <c r="AY3296" s="128"/>
      <c r="AZ3296" s="128"/>
      <c r="BA3296" s="128"/>
      <c r="BB3296" s="128"/>
      <c r="BC3296" s="128"/>
      <c r="BD3296" s="128"/>
      <c r="BE3296" s="128"/>
      <c r="BF3296" s="128"/>
      <c r="BG3296" s="128"/>
      <c r="BH3296" s="128"/>
      <c r="BI3296" s="128"/>
      <c r="BJ3296" s="128"/>
      <c r="BK3296" s="128"/>
      <c r="BL3296" s="128"/>
      <c r="BM3296" s="151"/>
      <c r="BN3296" s="128"/>
      <c r="BO3296" s="128"/>
      <c r="BP3296" s="128"/>
      <c r="BQ3296" s="128"/>
      <c r="BR3296" s="128"/>
      <c r="BS3296" s="128"/>
      <c r="BT3296" s="128"/>
      <c r="BU3296" s="128"/>
      <c r="BV3296" s="128"/>
      <c r="BW3296" s="128"/>
      <c r="BX3296" s="128"/>
      <c r="BY3296" s="128"/>
      <c r="BZ3296" s="128"/>
      <c r="CA3296" s="128"/>
      <c r="CB3296" s="128"/>
      <c r="CC3296" s="128"/>
      <c r="CD3296" s="128"/>
      <c r="CE3296" s="128"/>
      <c r="CF3296" s="128"/>
      <c r="CG3296" s="128"/>
      <c r="CI3296" s="128"/>
      <c r="CJ3296" s="128"/>
      <c r="CK3296" s="128"/>
      <c r="CL3296" s="128"/>
      <c r="CM3296" s="128"/>
      <c r="CN3296" s="128"/>
      <c r="CO3296" s="128"/>
      <c r="CP3296" s="128"/>
      <c r="CQ3296" s="128"/>
      <c r="CR3296" s="128"/>
      <c r="CS3296" s="128"/>
      <c r="CT3296" s="128"/>
      <c r="CU3296" s="128"/>
      <c r="CV3296" s="128"/>
      <c r="CW3296" s="128"/>
      <c r="CX3296" s="128"/>
      <c r="CY3296" s="128"/>
      <c r="CZ3296" s="165"/>
    </row>
    <row r="3297" spans="1:104">
      <c r="A3297" s="149"/>
      <c r="B3297" s="149"/>
      <c r="C3297" s="150"/>
      <c r="D3297" s="102"/>
      <c r="E3297" s="149"/>
      <c r="F3297" s="149"/>
      <c r="G3297" s="149"/>
      <c r="H3297" s="149"/>
      <c r="I3297" s="149"/>
      <c r="J3297" s="149"/>
      <c r="K3297" s="149"/>
      <c r="L3297" s="149"/>
      <c r="M3297" s="149"/>
      <c r="N3297" s="149"/>
      <c r="O3297" s="149"/>
      <c r="P3297" s="149"/>
      <c r="Q3297" s="149"/>
      <c r="R3297" s="149"/>
      <c r="S3297" s="149"/>
      <c r="T3297" s="149"/>
      <c r="U3297" s="149"/>
      <c r="V3297" s="149"/>
      <c r="W3297" s="149"/>
      <c r="X3297" s="149"/>
      <c r="Y3297" s="149"/>
      <c r="Z3297" s="149"/>
      <c r="AA3297" s="149"/>
      <c r="AB3297" s="149"/>
      <c r="AC3297" s="149"/>
      <c r="AD3297" s="149"/>
      <c r="AE3297" s="149"/>
      <c r="AF3297" s="149"/>
      <c r="AG3297" s="149"/>
      <c r="AH3297" s="149"/>
      <c r="AI3297" s="149"/>
      <c r="AJ3297" s="149"/>
      <c r="AK3297" s="149"/>
      <c r="AL3297" s="149"/>
      <c r="AM3297" s="149"/>
      <c r="AN3297" s="149"/>
      <c r="AO3297" s="128"/>
      <c r="AP3297" s="128"/>
      <c r="AQ3297" s="128"/>
      <c r="AR3297" s="128"/>
      <c r="AS3297" s="128"/>
      <c r="AT3297" s="128"/>
      <c r="AU3297" s="128"/>
      <c r="AV3297" s="128"/>
      <c r="AW3297" s="128"/>
      <c r="AX3297" s="128"/>
      <c r="AY3297" s="128"/>
      <c r="AZ3297" s="128"/>
      <c r="BA3297" s="128"/>
      <c r="BB3297" s="128"/>
      <c r="BC3297" s="128"/>
      <c r="BD3297" s="128"/>
      <c r="BE3297" s="128"/>
      <c r="BF3297" s="128"/>
      <c r="BG3297" s="128"/>
      <c r="BH3297" s="128"/>
      <c r="BI3297" s="128"/>
      <c r="BJ3297" s="128"/>
      <c r="BK3297" s="128"/>
      <c r="BL3297" s="128"/>
      <c r="BM3297" s="151"/>
      <c r="BN3297" s="128"/>
      <c r="BO3297" s="128"/>
      <c r="BP3297" s="128"/>
      <c r="BQ3297" s="128"/>
      <c r="BR3297" s="128"/>
      <c r="BS3297" s="128"/>
      <c r="BT3297" s="128"/>
      <c r="BU3297" s="128"/>
      <c r="BV3297" s="128"/>
      <c r="BW3297" s="128"/>
      <c r="BX3297" s="128"/>
      <c r="BY3297" s="128"/>
      <c r="BZ3297" s="128"/>
      <c r="CA3297" s="128"/>
      <c r="CB3297" s="128"/>
      <c r="CC3297" s="128"/>
      <c r="CD3297" s="128"/>
      <c r="CE3297" s="128"/>
      <c r="CF3297" s="128"/>
      <c r="CG3297" s="128"/>
      <c r="CI3297" s="128"/>
      <c r="CJ3297" s="128"/>
      <c r="CK3297" s="128"/>
      <c r="CL3297" s="128"/>
      <c r="CM3297" s="128"/>
      <c r="CN3297" s="128"/>
      <c r="CO3297" s="128"/>
      <c r="CP3297" s="128"/>
      <c r="CQ3297" s="128"/>
      <c r="CR3297" s="128"/>
      <c r="CS3297" s="128"/>
      <c r="CT3297" s="128"/>
      <c r="CU3297" s="128"/>
      <c r="CV3297" s="128"/>
      <c r="CW3297" s="128"/>
      <c r="CX3297" s="128"/>
      <c r="CY3297" s="128"/>
      <c r="CZ3297" s="165"/>
    </row>
    <row r="3298" spans="1:104">
      <c r="A3298" s="149"/>
      <c r="B3298" s="149"/>
      <c r="C3298" s="150"/>
      <c r="D3298" s="102"/>
      <c r="E3298" s="149"/>
      <c r="F3298" s="149"/>
      <c r="G3298" s="149"/>
      <c r="H3298" s="149"/>
      <c r="I3298" s="149"/>
      <c r="J3298" s="149"/>
      <c r="K3298" s="149"/>
      <c r="L3298" s="149"/>
      <c r="M3298" s="149"/>
      <c r="N3298" s="149"/>
      <c r="O3298" s="149"/>
      <c r="P3298" s="149"/>
      <c r="Q3298" s="149"/>
      <c r="R3298" s="149"/>
      <c r="S3298" s="149"/>
      <c r="T3298" s="149"/>
      <c r="U3298" s="149"/>
      <c r="V3298" s="149"/>
      <c r="W3298" s="149"/>
      <c r="X3298" s="149"/>
      <c r="Y3298" s="149"/>
      <c r="Z3298" s="149"/>
      <c r="AA3298" s="149"/>
      <c r="AB3298" s="149"/>
      <c r="AC3298" s="149"/>
      <c r="AD3298" s="149"/>
      <c r="AE3298" s="149"/>
      <c r="AF3298" s="149"/>
      <c r="AG3298" s="149"/>
      <c r="AH3298" s="149"/>
      <c r="AI3298" s="149"/>
      <c r="AJ3298" s="149"/>
      <c r="AK3298" s="149"/>
      <c r="AL3298" s="149"/>
      <c r="AM3298" s="149"/>
      <c r="AN3298" s="149"/>
      <c r="AO3298" s="128"/>
      <c r="AP3298" s="128"/>
      <c r="AQ3298" s="128"/>
      <c r="AR3298" s="128"/>
      <c r="AS3298" s="128"/>
      <c r="AT3298" s="128"/>
      <c r="AU3298" s="128"/>
      <c r="AV3298" s="128"/>
      <c r="AW3298" s="128"/>
      <c r="AX3298" s="128"/>
      <c r="AY3298" s="128"/>
      <c r="AZ3298" s="128"/>
      <c r="BA3298" s="128"/>
      <c r="BB3298" s="128"/>
      <c r="BC3298" s="128"/>
      <c r="BD3298" s="128"/>
      <c r="BE3298" s="128"/>
      <c r="BF3298" s="128"/>
      <c r="BG3298" s="128"/>
      <c r="BH3298" s="128"/>
      <c r="BI3298" s="128"/>
      <c r="BJ3298" s="128"/>
      <c r="BK3298" s="128"/>
      <c r="BL3298" s="128"/>
      <c r="BM3298" s="151"/>
      <c r="BN3298" s="128"/>
      <c r="BO3298" s="128"/>
      <c r="BP3298" s="128"/>
      <c r="BQ3298" s="128"/>
      <c r="BR3298" s="128"/>
      <c r="BS3298" s="128"/>
      <c r="BT3298" s="128"/>
      <c r="BU3298" s="128"/>
      <c r="BV3298" s="128"/>
      <c r="BW3298" s="128"/>
      <c r="BX3298" s="128"/>
      <c r="BY3298" s="128"/>
      <c r="BZ3298" s="128"/>
      <c r="CA3298" s="128"/>
      <c r="CB3298" s="128"/>
      <c r="CC3298" s="128"/>
      <c r="CD3298" s="128"/>
      <c r="CE3298" s="128"/>
      <c r="CF3298" s="128"/>
      <c r="CG3298" s="128"/>
      <c r="CI3298" s="128"/>
      <c r="CJ3298" s="128"/>
      <c r="CK3298" s="128"/>
      <c r="CL3298" s="128"/>
      <c r="CM3298" s="128"/>
      <c r="CN3298" s="128"/>
      <c r="CO3298" s="128"/>
      <c r="CP3298" s="128"/>
      <c r="CQ3298" s="128"/>
      <c r="CR3298" s="128"/>
      <c r="CS3298" s="128"/>
      <c r="CT3298" s="128"/>
      <c r="CU3298" s="128"/>
      <c r="CV3298" s="128"/>
      <c r="CW3298" s="128"/>
      <c r="CX3298" s="128"/>
      <c r="CY3298" s="128"/>
      <c r="CZ3298" s="165"/>
    </row>
    <row r="3299" spans="1:104">
      <c r="A3299" s="149"/>
      <c r="B3299" s="149"/>
      <c r="C3299" s="150"/>
      <c r="D3299" s="102"/>
      <c r="E3299" s="149"/>
      <c r="F3299" s="149"/>
      <c r="G3299" s="149"/>
      <c r="H3299" s="149"/>
      <c r="I3299" s="149"/>
      <c r="J3299" s="149"/>
      <c r="K3299" s="149"/>
      <c r="L3299" s="149"/>
      <c r="M3299" s="149"/>
      <c r="N3299" s="149"/>
      <c r="O3299" s="149"/>
      <c r="P3299" s="149"/>
      <c r="Q3299" s="149"/>
      <c r="R3299" s="149"/>
      <c r="S3299" s="149"/>
      <c r="T3299" s="149"/>
      <c r="U3299" s="149"/>
      <c r="V3299" s="149"/>
      <c r="W3299" s="149"/>
      <c r="X3299" s="149"/>
      <c r="Y3299" s="149"/>
      <c r="Z3299" s="149"/>
      <c r="AA3299" s="149"/>
      <c r="AB3299" s="149"/>
      <c r="AC3299" s="149"/>
      <c r="AD3299" s="149"/>
      <c r="AE3299" s="149"/>
      <c r="AF3299" s="149"/>
      <c r="AG3299" s="149"/>
      <c r="AH3299" s="149"/>
      <c r="AI3299" s="149"/>
      <c r="AJ3299" s="149"/>
      <c r="AK3299" s="149"/>
      <c r="AL3299" s="149"/>
      <c r="AM3299" s="149"/>
      <c r="AN3299" s="149"/>
      <c r="AO3299" s="128"/>
      <c r="AP3299" s="128"/>
      <c r="AQ3299" s="128"/>
      <c r="AR3299" s="128"/>
      <c r="AS3299" s="128"/>
      <c r="AT3299" s="128"/>
      <c r="AU3299" s="128"/>
      <c r="AV3299" s="128"/>
      <c r="AW3299" s="128"/>
      <c r="AX3299" s="128"/>
      <c r="AY3299" s="128"/>
      <c r="AZ3299" s="128"/>
      <c r="BA3299" s="128"/>
      <c r="BB3299" s="128"/>
      <c r="BC3299" s="128"/>
      <c r="BD3299" s="128"/>
      <c r="BE3299" s="128"/>
      <c r="BF3299" s="128"/>
      <c r="BG3299" s="128"/>
      <c r="BH3299" s="128"/>
      <c r="BI3299" s="128"/>
      <c r="BJ3299" s="128"/>
      <c r="BK3299" s="128"/>
      <c r="BL3299" s="128"/>
      <c r="BM3299" s="151"/>
      <c r="BN3299" s="128"/>
      <c r="BO3299" s="128"/>
      <c r="BP3299" s="128"/>
      <c r="BQ3299" s="128"/>
      <c r="BR3299" s="128"/>
      <c r="BS3299" s="128"/>
      <c r="BT3299" s="128"/>
      <c r="BU3299" s="128"/>
      <c r="BV3299" s="128"/>
      <c r="BW3299" s="128"/>
      <c r="BX3299" s="128"/>
      <c r="BY3299" s="128"/>
      <c r="BZ3299" s="128"/>
      <c r="CA3299" s="128"/>
      <c r="CB3299" s="128"/>
      <c r="CC3299" s="128"/>
      <c r="CD3299" s="128"/>
      <c r="CE3299" s="128"/>
      <c r="CF3299" s="128"/>
      <c r="CG3299" s="128"/>
      <c r="CI3299" s="128"/>
      <c r="CJ3299" s="128"/>
      <c r="CK3299" s="128"/>
      <c r="CL3299" s="128"/>
      <c r="CM3299" s="128"/>
      <c r="CN3299" s="128"/>
      <c r="CO3299" s="128"/>
      <c r="CP3299" s="128"/>
      <c r="CQ3299" s="128"/>
      <c r="CR3299" s="128"/>
      <c r="CS3299" s="128"/>
      <c r="CT3299" s="128"/>
      <c r="CU3299" s="128"/>
      <c r="CV3299" s="128"/>
      <c r="CW3299" s="128"/>
      <c r="CX3299" s="128"/>
      <c r="CY3299" s="128"/>
      <c r="CZ3299" s="165"/>
    </row>
    <row r="3300" spans="1:104">
      <c r="A3300" s="149"/>
      <c r="B3300" s="149"/>
      <c r="C3300" s="150"/>
      <c r="D3300" s="102"/>
      <c r="E3300" s="149"/>
      <c r="F3300" s="149"/>
      <c r="G3300" s="149"/>
      <c r="H3300" s="149"/>
      <c r="I3300" s="149"/>
      <c r="J3300" s="149"/>
      <c r="K3300" s="149"/>
      <c r="L3300" s="149"/>
      <c r="M3300" s="149"/>
      <c r="N3300" s="149"/>
      <c r="O3300" s="149"/>
      <c r="P3300" s="149"/>
      <c r="Q3300" s="149"/>
      <c r="R3300" s="149"/>
      <c r="S3300" s="149"/>
      <c r="T3300" s="149"/>
      <c r="U3300" s="149"/>
      <c r="V3300" s="149"/>
      <c r="W3300" s="149"/>
      <c r="X3300" s="149"/>
      <c r="Y3300" s="149"/>
      <c r="Z3300" s="149"/>
      <c r="AA3300" s="149"/>
      <c r="AB3300" s="149"/>
      <c r="AC3300" s="149"/>
      <c r="AD3300" s="149"/>
      <c r="AE3300" s="149"/>
      <c r="AF3300" s="149"/>
      <c r="AG3300" s="149"/>
      <c r="AH3300" s="149"/>
      <c r="AI3300" s="149"/>
      <c r="AJ3300" s="149"/>
      <c r="AK3300" s="149"/>
      <c r="AL3300" s="149"/>
      <c r="AM3300" s="149"/>
      <c r="AN3300" s="149"/>
      <c r="AO3300" s="128"/>
      <c r="AP3300" s="128"/>
      <c r="AQ3300" s="128"/>
      <c r="AR3300" s="128"/>
      <c r="AS3300" s="128"/>
      <c r="AT3300" s="128"/>
      <c r="AU3300" s="128"/>
      <c r="AV3300" s="128"/>
      <c r="AW3300" s="128"/>
      <c r="AX3300" s="128"/>
      <c r="AY3300" s="128"/>
      <c r="AZ3300" s="128"/>
      <c r="BA3300" s="128"/>
      <c r="BB3300" s="128"/>
      <c r="BC3300" s="128"/>
      <c r="BD3300" s="128"/>
      <c r="BE3300" s="128"/>
      <c r="BF3300" s="128"/>
      <c r="BG3300" s="128"/>
      <c r="BH3300" s="128"/>
      <c r="BI3300" s="128"/>
      <c r="BJ3300" s="128"/>
      <c r="BK3300" s="128"/>
      <c r="BL3300" s="128"/>
      <c r="BM3300" s="151"/>
      <c r="BN3300" s="128"/>
      <c r="BO3300" s="128"/>
      <c r="BP3300" s="128"/>
      <c r="BQ3300" s="128"/>
      <c r="BR3300" s="128"/>
      <c r="BS3300" s="128"/>
      <c r="BT3300" s="128"/>
      <c r="BU3300" s="128"/>
      <c r="BV3300" s="128"/>
      <c r="BW3300" s="128"/>
      <c r="BX3300" s="128"/>
      <c r="BY3300" s="128"/>
      <c r="BZ3300" s="128"/>
      <c r="CA3300" s="128"/>
      <c r="CB3300" s="128"/>
      <c r="CC3300" s="128"/>
      <c r="CD3300" s="128"/>
      <c r="CE3300" s="128"/>
      <c r="CF3300" s="128"/>
      <c r="CG3300" s="128"/>
      <c r="CI3300" s="128"/>
      <c r="CJ3300" s="128"/>
      <c r="CK3300" s="128"/>
      <c r="CL3300" s="128"/>
      <c r="CM3300" s="128"/>
      <c r="CN3300" s="128"/>
      <c r="CO3300" s="128"/>
      <c r="CP3300" s="128"/>
      <c r="CQ3300" s="128"/>
      <c r="CR3300" s="128"/>
      <c r="CS3300" s="128"/>
      <c r="CT3300" s="128"/>
      <c r="CU3300" s="128"/>
      <c r="CV3300" s="128"/>
      <c r="CW3300" s="128"/>
      <c r="CX3300" s="128"/>
      <c r="CY3300" s="128"/>
      <c r="CZ3300" s="165"/>
    </row>
    <row r="3301" spans="1:104">
      <c r="A3301" s="149"/>
      <c r="B3301" s="149"/>
      <c r="C3301" s="150"/>
      <c r="D3301" s="102"/>
      <c r="E3301" s="149"/>
      <c r="F3301" s="149"/>
      <c r="G3301" s="149"/>
      <c r="H3301" s="149"/>
      <c r="I3301" s="149"/>
      <c r="J3301" s="149"/>
      <c r="K3301" s="149"/>
      <c r="L3301" s="149"/>
      <c r="M3301" s="149"/>
      <c r="N3301" s="149"/>
      <c r="O3301" s="149"/>
      <c r="P3301" s="149"/>
      <c r="Q3301" s="149"/>
      <c r="R3301" s="149"/>
      <c r="S3301" s="149"/>
      <c r="T3301" s="149"/>
      <c r="U3301" s="149"/>
      <c r="V3301" s="149"/>
      <c r="W3301" s="149"/>
      <c r="X3301" s="149"/>
      <c r="Y3301" s="149"/>
      <c r="Z3301" s="149"/>
      <c r="AA3301" s="149"/>
      <c r="AB3301" s="149"/>
      <c r="AC3301" s="149"/>
      <c r="AD3301" s="149"/>
      <c r="AE3301" s="149"/>
      <c r="AF3301" s="149"/>
      <c r="AG3301" s="149"/>
      <c r="AH3301" s="149"/>
      <c r="AI3301" s="149"/>
      <c r="AJ3301" s="149"/>
      <c r="AK3301" s="149"/>
      <c r="AL3301" s="149"/>
      <c r="AM3301" s="149"/>
      <c r="AN3301" s="149"/>
      <c r="AO3301" s="128"/>
      <c r="AP3301" s="128"/>
      <c r="AQ3301" s="128"/>
      <c r="AR3301" s="128"/>
      <c r="AS3301" s="128"/>
      <c r="AT3301" s="128"/>
      <c r="AU3301" s="128"/>
      <c r="AV3301" s="128"/>
      <c r="AW3301" s="128"/>
      <c r="AX3301" s="128"/>
      <c r="AY3301" s="128"/>
      <c r="AZ3301" s="128"/>
      <c r="BA3301" s="128"/>
      <c r="BB3301" s="128"/>
      <c r="BC3301" s="128"/>
      <c r="BD3301" s="128"/>
      <c r="BE3301" s="128"/>
      <c r="BF3301" s="128"/>
      <c r="BG3301" s="128"/>
      <c r="BH3301" s="128"/>
      <c r="BI3301" s="128"/>
      <c r="BJ3301" s="128"/>
      <c r="BK3301" s="128"/>
      <c r="BL3301" s="128"/>
      <c r="BM3301" s="151"/>
      <c r="BN3301" s="128"/>
      <c r="BO3301" s="128"/>
      <c r="BP3301" s="128"/>
      <c r="BQ3301" s="128"/>
      <c r="BR3301" s="128"/>
      <c r="BS3301" s="128"/>
      <c r="BT3301" s="128"/>
      <c r="BU3301" s="128"/>
      <c r="BV3301" s="128"/>
      <c r="BW3301" s="128"/>
      <c r="BX3301" s="128"/>
      <c r="BY3301" s="128"/>
      <c r="BZ3301" s="128"/>
      <c r="CA3301" s="128"/>
      <c r="CB3301" s="128"/>
      <c r="CC3301" s="128"/>
      <c r="CD3301" s="128"/>
      <c r="CE3301" s="128"/>
      <c r="CF3301" s="128"/>
      <c r="CG3301" s="128"/>
      <c r="CI3301" s="128"/>
      <c r="CJ3301" s="128"/>
      <c r="CK3301" s="128"/>
      <c r="CL3301" s="128"/>
      <c r="CM3301" s="128"/>
      <c r="CN3301" s="128"/>
      <c r="CO3301" s="128"/>
      <c r="CP3301" s="128"/>
      <c r="CQ3301" s="128"/>
      <c r="CR3301" s="128"/>
      <c r="CS3301" s="128"/>
      <c r="CT3301" s="128"/>
      <c r="CU3301" s="128"/>
      <c r="CV3301" s="128"/>
      <c r="CW3301" s="128"/>
      <c r="CX3301" s="128"/>
      <c r="CY3301" s="128"/>
      <c r="CZ3301" s="165"/>
    </row>
    <row r="3302" spans="1:104">
      <c r="A3302" s="149"/>
      <c r="B3302" s="149"/>
      <c r="C3302" s="150"/>
      <c r="D3302" s="102"/>
      <c r="E3302" s="149"/>
      <c r="F3302" s="149"/>
      <c r="G3302" s="149"/>
      <c r="H3302" s="149"/>
      <c r="I3302" s="149"/>
      <c r="J3302" s="149"/>
      <c r="K3302" s="149"/>
      <c r="L3302" s="149"/>
      <c r="M3302" s="149"/>
      <c r="N3302" s="149"/>
      <c r="O3302" s="149"/>
      <c r="P3302" s="149"/>
      <c r="Q3302" s="149"/>
      <c r="R3302" s="149"/>
      <c r="S3302" s="149"/>
      <c r="T3302" s="149"/>
      <c r="U3302" s="149"/>
      <c r="V3302" s="149"/>
      <c r="W3302" s="149"/>
      <c r="X3302" s="149"/>
      <c r="Y3302" s="149"/>
      <c r="Z3302" s="149"/>
      <c r="AA3302" s="149"/>
      <c r="AB3302" s="149"/>
      <c r="AC3302" s="149"/>
      <c r="AD3302" s="149"/>
      <c r="AE3302" s="149"/>
      <c r="AF3302" s="149"/>
      <c r="AG3302" s="149"/>
      <c r="AH3302" s="149"/>
      <c r="AI3302" s="149"/>
      <c r="AJ3302" s="149"/>
      <c r="AK3302" s="149"/>
      <c r="AL3302" s="149"/>
      <c r="AM3302" s="149"/>
      <c r="AN3302" s="149"/>
      <c r="AO3302" s="128"/>
      <c r="AP3302" s="128"/>
      <c r="AQ3302" s="128"/>
      <c r="AR3302" s="128"/>
      <c r="AS3302" s="128"/>
      <c r="AT3302" s="128"/>
      <c r="AU3302" s="128"/>
      <c r="AV3302" s="128"/>
      <c r="AW3302" s="128"/>
      <c r="AX3302" s="128"/>
      <c r="AY3302" s="128"/>
      <c r="AZ3302" s="128"/>
      <c r="BA3302" s="128"/>
      <c r="BB3302" s="128"/>
      <c r="BC3302" s="128"/>
      <c r="BD3302" s="128"/>
      <c r="BE3302" s="128"/>
      <c r="BF3302" s="128"/>
      <c r="BG3302" s="128"/>
      <c r="BH3302" s="128"/>
      <c r="BI3302" s="128"/>
      <c r="BJ3302" s="128"/>
      <c r="BK3302" s="128"/>
      <c r="BL3302" s="128"/>
      <c r="BM3302" s="151"/>
      <c r="BN3302" s="128"/>
      <c r="BO3302" s="128"/>
      <c r="BP3302" s="128"/>
      <c r="BQ3302" s="128"/>
      <c r="BR3302" s="128"/>
      <c r="BS3302" s="128"/>
      <c r="BT3302" s="128"/>
      <c r="BU3302" s="128"/>
      <c r="BV3302" s="128"/>
      <c r="BW3302" s="128"/>
      <c r="BX3302" s="128"/>
      <c r="BY3302" s="128"/>
      <c r="BZ3302" s="128"/>
      <c r="CA3302" s="128"/>
      <c r="CB3302" s="128"/>
      <c r="CC3302" s="128"/>
      <c r="CD3302" s="128"/>
      <c r="CE3302" s="128"/>
      <c r="CF3302" s="128"/>
      <c r="CG3302" s="128"/>
      <c r="CI3302" s="128"/>
      <c r="CJ3302" s="128"/>
      <c r="CK3302" s="128"/>
      <c r="CL3302" s="128"/>
      <c r="CM3302" s="128"/>
      <c r="CN3302" s="128"/>
      <c r="CO3302" s="128"/>
      <c r="CP3302" s="128"/>
      <c r="CQ3302" s="128"/>
      <c r="CR3302" s="128"/>
      <c r="CS3302" s="128"/>
      <c r="CT3302" s="128"/>
      <c r="CU3302" s="128"/>
      <c r="CV3302" s="128"/>
      <c r="CW3302" s="128"/>
      <c r="CX3302" s="128"/>
      <c r="CY3302" s="128"/>
      <c r="CZ3302" s="165"/>
    </row>
    <row r="3303" spans="1:104">
      <c r="A3303" s="149"/>
      <c r="B3303" s="149"/>
      <c r="C3303" s="150"/>
      <c r="D3303" s="102"/>
      <c r="E3303" s="149"/>
      <c r="F3303" s="149"/>
      <c r="G3303" s="149"/>
      <c r="H3303" s="149"/>
      <c r="I3303" s="149"/>
      <c r="J3303" s="149"/>
      <c r="K3303" s="149"/>
      <c r="L3303" s="149"/>
      <c r="M3303" s="149"/>
      <c r="N3303" s="149"/>
      <c r="O3303" s="149"/>
      <c r="P3303" s="149"/>
      <c r="Q3303" s="149"/>
      <c r="R3303" s="149"/>
      <c r="S3303" s="149"/>
      <c r="T3303" s="149"/>
      <c r="U3303" s="149"/>
      <c r="V3303" s="149"/>
      <c r="W3303" s="149"/>
      <c r="X3303" s="149"/>
      <c r="Y3303" s="149"/>
      <c r="Z3303" s="149"/>
      <c r="AA3303" s="149"/>
      <c r="AB3303" s="149"/>
      <c r="AC3303" s="149"/>
      <c r="AD3303" s="149"/>
      <c r="AE3303" s="149"/>
      <c r="AF3303" s="149"/>
      <c r="AG3303" s="149"/>
      <c r="AH3303" s="149"/>
      <c r="AI3303" s="149"/>
      <c r="AJ3303" s="149"/>
      <c r="AK3303" s="149"/>
      <c r="AL3303" s="149"/>
      <c r="AM3303" s="149"/>
      <c r="AN3303" s="149"/>
      <c r="AO3303" s="128"/>
      <c r="AP3303" s="128"/>
      <c r="AQ3303" s="128"/>
      <c r="AR3303" s="128"/>
      <c r="AS3303" s="128"/>
      <c r="AT3303" s="128"/>
      <c r="AU3303" s="128"/>
      <c r="AV3303" s="128"/>
      <c r="AW3303" s="128"/>
      <c r="AX3303" s="128"/>
      <c r="AY3303" s="128"/>
      <c r="AZ3303" s="128"/>
      <c r="BA3303" s="128"/>
      <c r="BB3303" s="128"/>
      <c r="BC3303" s="128"/>
      <c r="BD3303" s="128"/>
      <c r="BE3303" s="128"/>
      <c r="BF3303" s="128"/>
      <c r="BG3303" s="128"/>
      <c r="BH3303" s="128"/>
      <c r="BI3303" s="128"/>
      <c r="BJ3303" s="128"/>
      <c r="BK3303" s="128"/>
      <c r="BL3303" s="128"/>
      <c r="BM3303" s="151"/>
      <c r="BN3303" s="128"/>
      <c r="BO3303" s="128"/>
      <c r="BP3303" s="128"/>
      <c r="BQ3303" s="128"/>
      <c r="BR3303" s="128"/>
      <c r="BS3303" s="128"/>
      <c r="BT3303" s="128"/>
      <c r="BU3303" s="128"/>
      <c r="BV3303" s="128"/>
      <c r="BW3303" s="128"/>
      <c r="BX3303" s="128"/>
      <c r="BY3303" s="128"/>
      <c r="BZ3303" s="128"/>
      <c r="CA3303" s="128"/>
      <c r="CB3303" s="128"/>
      <c r="CC3303" s="128"/>
      <c r="CD3303" s="128"/>
      <c r="CE3303" s="128"/>
      <c r="CF3303" s="128"/>
      <c r="CG3303" s="128"/>
      <c r="CI3303" s="128"/>
      <c r="CJ3303" s="128"/>
      <c r="CK3303" s="128"/>
      <c r="CL3303" s="128"/>
      <c r="CM3303" s="128"/>
      <c r="CN3303" s="128"/>
      <c r="CO3303" s="128"/>
      <c r="CP3303" s="128"/>
      <c r="CQ3303" s="128"/>
      <c r="CR3303" s="128"/>
      <c r="CS3303" s="128"/>
      <c r="CT3303" s="128"/>
      <c r="CU3303" s="128"/>
      <c r="CV3303" s="128"/>
      <c r="CW3303" s="128"/>
      <c r="CX3303" s="128"/>
      <c r="CY3303" s="128"/>
      <c r="CZ3303" s="165"/>
    </row>
    <row r="3304" spans="1:104">
      <c r="A3304" s="149"/>
      <c r="B3304" s="149"/>
      <c r="C3304" s="150"/>
      <c r="D3304" s="102"/>
      <c r="E3304" s="149"/>
      <c r="F3304" s="149"/>
      <c r="G3304" s="149"/>
      <c r="H3304" s="149"/>
      <c r="I3304" s="149"/>
      <c r="J3304" s="149"/>
      <c r="K3304" s="149"/>
      <c r="L3304" s="149"/>
      <c r="M3304" s="149"/>
      <c r="N3304" s="149"/>
      <c r="O3304" s="149"/>
      <c r="P3304" s="149"/>
      <c r="Q3304" s="149"/>
      <c r="R3304" s="149"/>
      <c r="S3304" s="149"/>
      <c r="T3304" s="149"/>
      <c r="U3304" s="149"/>
      <c r="V3304" s="149"/>
      <c r="W3304" s="149"/>
      <c r="X3304" s="149"/>
      <c r="Y3304" s="149"/>
      <c r="Z3304" s="149"/>
      <c r="AA3304" s="149"/>
      <c r="AB3304" s="149"/>
      <c r="AC3304" s="149"/>
      <c r="AD3304" s="149"/>
      <c r="AE3304" s="149"/>
      <c r="AF3304" s="149"/>
      <c r="AG3304" s="149"/>
      <c r="AH3304" s="149"/>
      <c r="AI3304" s="149"/>
      <c r="AJ3304" s="149"/>
      <c r="AK3304" s="149"/>
      <c r="AL3304" s="149"/>
      <c r="AM3304" s="149"/>
      <c r="AN3304" s="149"/>
      <c r="AO3304" s="128"/>
      <c r="AP3304" s="128"/>
      <c r="AQ3304" s="128"/>
      <c r="AR3304" s="128"/>
      <c r="AS3304" s="128"/>
      <c r="AT3304" s="128"/>
      <c r="AU3304" s="128"/>
      <c r="AV3304" s="128"/>
      <c r="AW3304" s="128"/>
      <c r="AX3304" s="128"/>
      <c r="AY3304" s="128"/>
      <c r="AZ3304" s="128"/>
      <c r="BA3304" s="128"/>
      <c r="BB3304" s="128"/>
      <c r="BC3304" s="128"/>
      <c r="BD3304" s="128"/>
      <c r="BE3304" s="128"/>
      <c r="BF3304" s="128"/>
      <c r="BG3304" s="128"/>
      <c r="BH3304" s="128"/>
      <c r="BI3304" s="128"/>
      <c r="BJ3304" s="128"/>
      <c r="BK3304" s="128"/>
      <c r="BL3304" s="128"/>
      <c r="BM3304" s="151"/>
      <c r="BN3304" s="128"/>
      <c r="BO3304" s="128"/>
      <c r="BP3304" s="128"/>
      <c r="BQ3304" s="128"/>
      <c r="BR3304" s="128"/>
      <c r="BS3304" s="128"/>
      <c r="BT3304" s="128"/>
      <c r="BU3304" s="128"/>
      <c r="BV3304" s="128"/>
      <c r="BW3304" s="128"/>
      <c r="BX3304" s="128"/>
      <c r="BY3304" s="128"/>
      <c r="BZ3304" s="128"/>
      <c r="CA3304" s="128"/>
      <c r="CB3304" s="128"/>
      <c r="CC3304" s="128"/>
      <c r="CD3304" s="128"/>
      <c r="CE3304" s="128"/>
      <c r="CF3304" s="128"/>
      <c r="CG3304" s="128"/>
      <c r="CI3304" s="128"/>
      <c r="CJ3304" s="128"/>
      <c r="CK3304" s="128"/>
      <c r="CL3304" s="128"/>
      <c r="CM3304" s="128"/>
      <c r="CN3304" s="128"/>
      <c r="CO3304" s="128"/>
      <c r="CP3304" s="128"/>
      <c r="CQ3304" s="128"/>
      <c r="CR3304" s="128"/>
      <c r="CS3304" s="128"/>
      <c r="CT3304" s="128"/>
      <c r="CU3304" s="128"/>
      <c r="CV3304" s="128"/>
      <c r="CW3304" s="128"/>
      <c r="CX3304" s="128"/>
      <c r="CY3304" s="128"/>
      <c r="CZ3304" s="165"/>
    </row>
    <row r="3305" spans="1:104">
      <c r="A3305" s="149"/>
      <c r="B3305" s="149"/>
      <c r="C3305" s="150"/>
      <c r="D3305" s="102"/>
      <c r="E3305" s="149"/>
      <c r="F3305" s="149"/>
      <c r="G3305" s="149"/>
      <c r="H3305" s="149"/>
      <c r="I3305" s="149"/>
      <c r="J3305" s="149"/>
      <c r="K3305" s="149"/>
      <c r="L3305" s="149"/>
      <c r="M3305" s="149"/>
      <c r="N3305" s="149"/>
      <c r="O3305" s="149"/>
      <c r="P3305" s="149"/>
      <c r="Q3305" s="149"/>
      <c r="R3305" s="149"/>
      <c r="S3305" s="149"/>
      <c r="T3305" s="149"/>
      <c r="U3305" s="149"/>
      <c r="V3305" s="149"/>
      <c r="W3305" s="149"/>
      <c r="X3305" s="149"/>
      <c r="Y3305" s="149"/>
      <c r="Z3305" s="149"/>
      <c r="AA3305" s="149"/>
      <c r="AB3305" s="149"/>
      <c r="AC3305" s="149"/>
      <c r="AD3305" s="149"/>
      <c r="AE3305" s="149"/>
      <c r="AF3305" s="149"/>
      <c r="AG3305" s="149"/>
      <c r="AH3305" s="149"/>
      <c r="AI3305" s="149"/>
      <c r="AJ3305" s="149"/>
      <c r="AK3305" s="149"/>
      <c r="AL3305" s="149"/>
      <c r="AM3305" s="149"/>
      <c r="AN3305" s="149"/>
      <c r="AO3305" s="128"/>
      <c r="AP3305" s="128"/>
      <c r="AQ3305" s="128"/>
      <c r="AR3305" s="128"/>
      <c r="AS3305" s="128"/>
      <c r="AT3305" s="128"/>
      <c r="AU3305" s="128"/>
      <c r="AV3305" s="128"/>
      <c r="AW3305" s="128"/>
      <c r="AX3305" s="128"/>
      <c r="AY3305" s="128"/>
      <c r="AZ3305" s="128"/>
      <c r="BA3305" s="128"/>
      <c r="BB3305" s="128"/>
      <c r="BC3305" s="128"/>
      <c r="BD3305" s="128"/>
      <c r="BE3305" s="128"/>
      <c r="BF3305" s="128"/>
      <c r="BG3305" s="128"/>
      <c r="BH3305" s="128"/>
      <c r="BI3305" s="128"/>
      <c r="BJ3305" s="128"/>
      <c r="BK3305" s="128"/>
      <c r="BL3305" s="128"/>
      <c r="BM3305" s="151"/>
      <c r="BN3305" s="128"/>
      <c r="BO3305" s="128"/>
      <c r="BP3305" s="128"/>
      <c r="BQ3305" s="128"/>
      <c r="BR3305" s="128"/>
      <c r="BS3305" s="128"/>
      <c r="BT3305" s="128"/>
      <c r="BU3305" s="128"/>
      <c r="BV3305" s="128"/>
      <c r="BW3305" s="128"/>
      <c r="BX3305" s="128"/>
      <c r="BY3305" s="128"/>
      <c r="BZ3305" s="128"/>
      <c r="CA3305" s="128"/>
      <c r="CB3305" s="128"/>
      <c r="CC3305" s="128"/>
      <c r="CD3305" s="128"/>
      <c r="CE3305" s="128"/>
      <c r="CF3305" s="128"/>
      <c r="CG3305" s="128"/>
      <c r="CI3305" s="128"/>
      <c r="CJ3305" s="128"/>
      <c r="CK3305" s="128"/>
      <c r="CL3305" s="128"/>
      <c r="CM3305" s="128"/>
      <c r="CN3305" s="128"/>
      <c r="CO3305" s="128"/>
      <c r="CP3305" s="128"/>
      <c r="CQ3305" s="128"/>
      <c r="CR3305" s="128"/>
      <c r="CS3305" s="128"/>
      <c r="CT3305" s="128"/>
      <c r="CU3305" s="128"/>
      <c r="CV3305" s="128"/>
      <c r="CW3305" s="128"/>
      <c r="CX3305" s="128"/>
      <c r="CY3305" s="128"/>
      <c r="CZ3305" s="165"/>
    </row>
    <row r="3306" spans="1:104">
      <c r="A3306" s="149"/>
      <c r="B3306" s="149"/>
      <c r="C3306" s="150"/>
      <c r="D3306" s="102"/>
      <c r="E3306" s="149"/>
      <c r="F3306" s="149"/>
      <c r="G3306" s="149"/>
      <c r="H3306" s="149"/>
      <c r="I3306" s="149"/>
      <c r="J3306" s="149"/>
      <c r="K3306" s="149"/>
      <c r="L3306" s="149"/>
      <c r="M3306" s="149"/>
      <c r="N3306" s="149"/>
      <c r="O3306" s="149"/>
      <c r="P3306" s="149"/>
      <c r="Q3306" s="149"/>
      <c r="R3306" s="149"/>
      <c r="S3306" s="149"/>
      <c r="T3306" s="149"/>
      <c r="U3306" s="149"/>
      <c r="V3306" s="149"/>
      <c r="W3306" s="149"/>
      <c r="X3306" s="149"/>
      <c r="Y3306" s="149"/>
      <c r="Z3306" s="149"/>
      <c r="AA3306" s="149"/>
      <c r="AB3306" s="149"/>
      <c r="AC3306" s="149"/>
      <c r="AD3306" s="149"/>
      <c r="AE3306" s="149"/>
      <c r="AF3306" s="149"/>
      <c r="AG3306" s="149"/>
      <c r="AH3306" s="149"/>
      <c r="AI3306" s="149"/>
      <c r="AJ3306" s="149"/>
      <c r="AK3306" s="149"/>
      <c r="AL3306" s="149"/>
      <c r="AM3306" s="149"/>
      <c r="AN3306" s="149"/>
      <c r="AO3306" s="128"/>
      <c r="AP3306" s="128"/>
      <c r="AQ3306" s="128"/>
      <c r="AR3306" s="128"/>
      <c r="AS3306" s="128"/>
      <c r="AT3306" s="128"/>
      <c r="AU3306" s="128"/>
      <c r="AV3306" s="128"/>
      <c r="AW3306" s="128"/>
      <c r="AX3306" s="128"/>
      <c r="AY3306" s="128"/>
      <c r="AZ3306" s="128"/>
      <c r="BA3306" s="128"/>
      <c r="BB3306" s="128"/>
      <c r="BC3306" s="128"/>
      <c r="BD3306" s="128"/>
      <c r="BE3306" s="128"/>
      <c r="BF3306" s="128"/>
      <c r="BG3306" s="128"/>
      <c r="BH3306" s="128"/>
      <c r="BI3306" s="128"/>
      <c r="BJ3306" s="128"/>
      <c r="BK3306" s="128"/>
      <c r="BL3306" s="128"/>
      <c r="BM3306" s="151"/>
      <c r="BN3306" s="128"/>
      <c r="BO3306" s="128"/>
      <c r="BP3306" s="128"/>
      <c r="BQ3306" s="128"/>
      <c r="BR3306" s="128"/>
      <c r="BS3306" s="128"/>
      <c r="BT3306" s="128"/>
      <c r="BU3306" s="128"/>
      <c r="BV3306" s="128"/>
      <c r="BW3306" s="128"/>
      <c r="BX3306" s="128"/>
      <c r="BY3306" s="128"/>
      <c r="BZ3306" s="128"/>
      <c r="CA3306" s="128"/>
      <c r="CB3306" s="128"/>
      <c r="CC3306" s="128"/>
      <c r="CD3306" s="128"/>
      <c r="CE3306" s="128"/>
      <c r="CF3306" s="128"/>
      <c r="CG3306" s="128"/>
      <c r="CI3306" s="128"/>
      <c r="CJ3306" s="128"/>
      <c r="CK3306" s="128"/>
      <c r="CL3306" s="128"/>
      <c r="CM3306" s="128"/>
      <c r="CN3306" s="128"/>
      <c r="CO3306" s="128"/>
      <c r="CP3306" s="128"/>
      <c r="CQ3306" s="128"/>
      <c r="CR3306" s="128"/>
      <c r="CS3306" s="128"/>
      <c r="CT3306" s="128"/>
      <c r="CU3306" s="128"/>
      <c r="CV3306" s="128"/>
      <c r="CW3306" s="128"/>
      <c r="CX3306" s="128"/>
      <c r="CY3306" s="128"/>
      <c r="CZ3306" s="165"/>
    </row>
    <row r="3307" spans="1:104">
      <c r="A3307" s="149"/>
      <c r="B3307" s="149"/>
      <c r="C3307" s="150"/>
      <c r="D3307" s="102"/>
      <c r="E3307" s="149"/>
      <c r="F3307" s="149"/>
      <c r="G3307" s="149"/>
      <c r="H3307" s="149"/>
      <c r="I3307" s="149"/>
      <c r="J3307" s="149"/>
      <c r="K3307" s="149"/>
      <c r="L3307" s="149"/>
      <c r="M3307" s="149"/>
      <c r="N3307" s="149"/>
      <c r="O3307" s="149"/>
      <c r="P3307" s="149"/>
      <c r="Q3307" s="149"/>
      <c r="R3307" s="149"/>
      <c r="S3307" s="149"/>
      <c r="T3307" s="149"/>
      <c r="U3307" s="149"/>
      <c r="V3307" s="149"/>
      <c r="W3307" s="149"/>
      <c r="X3307" s="149"/>
      <c r="Y3307" s="149"/>
      <c r="Z3307" s="149"/>
      <c r="AA3307" s="149"/>
      <c r="AB3307" s="149"/>
      <c r="AC3307" s="149"/>
      <c r="AD3307" s="149"/>
      <c r="AE3307" s="149"/>
      <c r="AF3307" s="149"/>
      <c r="AG3307" s="149"/>
      <c r="AH3307" s="149"/>
      <c r="AI3307" s="149"/>
      <c r="AJ3307" s="149"/>
      <c r="AK3307" s="149"/>
      <c r="AL3307" s="149"/>
      <c r="AM3307" s="149"/>
      <c r="AN3307" s="149"/>
      <c r="AO3307" s="128"/>
      <c r="AP3307" s="128"/>
      <c r="AQ3307" s="128"/>
      <c r="AR3307" s="128"/>
      <c r="AS3307" s="128"/>
      <c r="AT3307" s="128"/>
      <c r="AU3307" s="128"/>
      <c r="AV3307" s="128"/>
      <c r="AW3307" s="128"/>
      <c r="AX3307" s="128"/>
      <c r="AY3307" s="128"/>
      <c r="AZ3307" s="128"/>
      <c r="BA3307" s="128"/>
      <c r="BB3307" s="128"/>
      <c r="BC3307" s="128"/>
      <c r="BD3307" s="128"/>
      <c r="BE3307" s="128"/>
      <c r="BF3307" s="128"/>
      <c r="BG3307" s="128"/>
      <c r="BH3307" s="128"/>
      <c r="BI3307" s="128"/>
      <c r="BJ3307" s="128"/>
      <c r="BK3307" s="128"/>
      <c r="BL3307" s="128"/>
      <c r="BM3307" s="151"/>
      <c r="BN3307" s="128"/>
      <c r="BO3307" s="128"/>
      <c r="BP3307" s="128"/>
      <c r="BQ3307" s="128"/>
      <c r="BR3307" s="128"/>
      <c r="BS3307" s="128"/>
      <c r="BT3307" s="128"/>
      <c r="BU3307" s="128"/>
      <c r="BV3307" s="128"/>
      <c r="BW3307" s="128"/>
      <c r="BX3307" s="128"/>
      <c r="BY3307" s="128"/>
      <c r="BZ3307" s="128"/>
      <c r="CA3307" s="128"/>
      <c r="CB3307" s="128"/>
      <c r="CC3307" s="128"/>
      <c r="CD3307" s="128"/>
      <c r="CE3307" s="128"/>
      <c r="CF3307" s="128"/>
      <c r="CG3307" s="128"/>
      <c r="CI3307" s="128"/>
      <c r="CJ3307" s="128"/>
      <c r="CK3307" s="128"/>
      <c r="CL3307" s="128"/>
      <c r="CM3307" s="128"/>
      <c r="CN3307" s="128"/>
      <c r="CO3307" s="128"/>
      <c r="CP3307" s="128"/>
      <c r="CQ3307" s="128"/>
      <c r="CR3307" s="128"/>
      <c r="CS3307" s="128"/>
      <c r="CT3307" s="128"/>
      <c r="CU3307" s="128"/>
      <c r="CV3307" s="128"/>
      <c r="CW3307" s="128"/>
      <c r="CX3307" s="128"/>
      <c r="CY3307" s="128"/>
      <c r="CZ3307" s="165"/>
    </row>
    <row r="3308" spans="1:104">
      <c r="A3308" s="149"/>
      <c r="B3308" s="149"/>
      <c r="C3308" s="150"/>
      <c r="D3308" s="102"/>
      <c r="E3308" s="149"/>
      <c r="F3308" s="149"/>
      <c r="G3308" s="149"/>
      <c r="H3308" s="149"/>
      <c r="I3308" s="149"/>
      <c r="J3308" s="149"/>
      <c r="K3308" s="149"/>
      <c r="L3308" s="149"/>
      <c r="M3308" s="149"/>
      <c r="N3308" s="149"/>
      <c r="O3308" s="149"/>
      <c r="P3308" s="149"/>
      <c r="Q3308" s="149"/>
      <c r="R3308" s="149"/>
      <c r="S3308" s="149"/>
      <c r="T3308" s="149"/>
      <c r="U3308" s="149"/>
      <c r="V3308" s="149"/>
      <c r="W3308" s="149"/>
      <c r="X3308" s="149"/>
      <c r="Y3308" s="149"/>
      <c r="Z3308" s="149"/>
      <c r="AA3308" s="149"/>
      <c r="AB3308" s="149"/>
      <c r="AC3308" s="149"/>
      <c r="AD3308" s="149"/>
      <c r="AE3308" s="149"/>
      <c r="AF3308" s="149"/>
      <c r="AG3308" s="149"/>
      <c r="AH3308" s="149"/>
      <c r="AI3308" s="149"/>
      <c r="AJ3308" s="149"/>
      <c r="AK3308" s="149"/>
      <c r="AL3308" s="149"/>
      <c r="AM3308" s="149"/>
      <c r="AN3308" s="149"/>
      <c r="AO3308" s="128"/>
      <c r="AP3308" s="128"/>
      <c r="AQ3308" s="128"/>
      <c r="AR3308" s="128"/>
      <c r="AS3308" s="128"/>
      <c r="AT3308" s="128"/>
      <c r="AU3308" s="128"/>
      <c r="AV3308" s="128"/>
      <c r="AW3308" s="128"/>
      <c r="AX3308" s="128"/>
      <c r="AY3308" s="128"/>
      <c r="AZ3308" s="128"/>
      <c r="BA3308" s="128"/>
      <c r="BB3308" s="128"/>
      <c r="BC3308" s="128"/>
      <c r="BD3308" s="128"/>
      <c r="BE3308" s="128"/>
      <c r="BF3308" s="128"/>
      <c r="BG3308" s="128"/>
      <c r="BH3308" s="128"/>
      <c r="BI3308" s="128"/>
      <c r="BJ3308" s="128"/>
      <c r="BK3308" s="128"/>
      <c r="BL3308" s="128"/>
      <c r="BM3308" s="151"/>
      <c r="BN3308" s="128"/>
      <c r="BO3308" s="128"/>
      <c r="BP3308" s="128"/>
      <c r="BQ3308" s="128"/>
      <c r="BR3308" s="128"/>
      <c r="BS3308" s="128"/>
      <c r="BT3308" s="128"/>
      <c r="BU3308" s="128"/>
      <c r="BV3308" s="128"/>
      <c r="BW3308" s="128"/>
      <c r="BX3308" s="128"/>
      <c r="BY3308" s="128"/>
      <c r="BZ3308" s="128"/>
      <c r="CA3308" s="128"/>
      <c r="CB3308" s="128"/>
      <c r="CC3308" s="128"/>
      <c r="CD3308" s="128"/>
      <c r="CE3308" s="128"/>
      <c r="CF3308" s="128"/>
      <c r="CG3308" s="128"/>
      <c r="CI3308" s="128"/>
      <c r="CJ3308" s="128"/>
      <c r="CK3308" s="128"/>
      <c r="CL3308" s="128"/>
      <c r="CM3308" s="128"/>
      <c r="CN3308" s="128"/>
      <c r="CO3308" s="128"/>
      <c r="CP3308" s="128"/>
      <c r="CQ3308" s="128"/>
      <c r="CR3308" s="128"/>
      <c r="CS3308" s="128"/>
      <c r="CT3308" s="128"/>
      <c r="CU3308" s="128"/>
      <c r="CV3308" s="128"/>
      <c r="CW3308" s="128"/>
      <c r="CX3308" s="128"/>
      <c r="CY3308" s="128"/>
      <c r="CZ3308" s="165"/>
    </row>
    <row r="3309" spans="1:104">
      <c r="A3309" s="149"/>
      <c r="B3309" s="149"/>
      <c r="C3309" s="150"/>
      <c r="D3309" s="102"/>
      <c r="E3309" s="149"/>
      <c r="F3309" s="149"/>
      <c r="G3309" s="149"/>
      <c r="H3309" s="149"/>
      <c r="I3309" s="149"/>
      <c r="J3309" s="149"/>
      <c r="K3309" s="149"/>
      <c r="L3309" s="149"/>
      <c r="M3309" s="149"/>
      <c r="N3309" s="149"/>
      <c r="O3309" s="149"/>
      <c r="P3309" s="149"/>
      <c r="Q3309" s="149"/>
      <c r="R3309" s="149"/>
      <c r="S3309" s="149"/>
      <c r="T3309" s="149"/>
      <c r="U3309" s="149"/>
      <c r="V3309" s="149"/>
      <c r="W3309" s="149"/>
      <c r="X3309" s="149"/>
      <c r="Y3309" s="149"/>
      <c r="Z3309" s="149"/>
      <c r="AA3309" s="149"/>
      <c r="AB3309" s="149"/>
      <c r="AC3309" s="149"/>
      <c r="AD3309" s="149"/>
      <c r="AE3309" s="149"/>
      <c r="AF3309" s="149"/>
      <c r="AG3309" s="149"/>
      <c r="AH3309" s="149"/>
      <c r="AI3309" s="149"/>
      <c r="AJ3309" s="149"/>
      <c r="AK3309" s="149"/>
      <c r="AL3309" s="149"/>
      <c r="AM3309" s="149"/>
      <c r="AN3309" s="149"/>
      <c r="AO3309" s="128"/>
      <c r="AP3309" s="128"/>
      <c r="AQ3309" s="128"/>
      <c r="AR3309" s="128"/>
      <c r="AS3309" s="128"/>
      <c r="AT3309" s="128"/>
      <c r="AU3309" s="128"/>
      <c r="AV3309" s="128"/>
      <c r="AW3309" s="128"/>
      <c r="AX3309" s="128"/>
      <c r="AY3309" s="128"/>
      <c r="AZ3309" s="128"/>
      <c r="BA3309" s="128"/>
      <c r="BB3309" s="128"/>
      <c r="BC3309" s="128"/>
      <c r="BD3309" s="128"/>
      <c r="BE3309" s="128"/>
      <c r="BF3309" s="128"/>
      <c r="BG3309" s="128"/>
      <c r="BH3309" s="128"/>
      <c r="BI3309" s="128"/>
      <c r="BJ3309" s="128"/>
      <c r="BK3309" s="128"/>
      <c r="BL3309" s="128"/>
      <c r="BM3309" s="151"/>
      <c r="BN3309" s="128"/>
      <c r="BO3309" s="128"/>
      <c r="BP3309" s="128"/>
      <c r="BQ3309" s="128"/>
      <c r="BR3309" s="128"/>
      <c r="BS3309" s="128"/>
      <c r="BT3309" s="128"/>
      <c r="BU3309" s="128"/>
      <c r="BV3309" s="128"/>
      <c r="BW3309" s="128"/>
      <c r="BX3309" s="128"/>
      <c r="BY3309" s="128"/>
      <c r="BZ3309" s="128"/>
      <c r="CA3309" s="128"/>
      <c r="CB3309" s="128"/>
      <c r="CC3309" s="128"/>
      <c r="CD3309" s="128"/>
      <c r="CE3309" s="128"/>
      <c r="CF3309" s="128"/>
      <c r="CG3309" s="128"/>
      <c r="CI3309" s="128"/>
      <c r="CJ3309" s="128"/>
      <c r="CK3309" s="128"/>
      <c r="CL3309" s="128"/>
      <c r="CM3309" s="128"/>
      <c r="CN3309" s="128"/>
      <c r="CO3309" s="128"/>
      <c r="CP3309" s="128"/>
      <c r="CQ3309" s="128"/>
      <c r="CR3309" s="128"/>
      <c r="CS3309" s="128"/>
      <c r="CT3309" s="128"/>
      <c r="CU3309" s="128"/>
      <c r="CV3309" s="128"/>
      <c r="CW3309" s="128"/>
      <c r="CX3309" s="128"/>
      <c r="CY3309" s="128"/>
      <c r="CZ3309" s="165"/>
    </row>
    <row r="3310" spans="1:104">
      <c r="A3310" s="149"/>
      <c r="B3310" s="149"/>
      <c r="C3310" s="150"/>
      <c r="D3310" s="102"/>
      <c r="E3310" s="149"/>
      <c r="F3310" s="149"/>
      <c r="G3310" s="149"/>
      <c r="H3310" s="149"/>
      <c r="I3310" s="149"/>
      <c r="J3310" s="149"/>
      <c r="K3310" s="149"/>
      <c r="L3310" s="149"/>
      <c r="M3310" s="149"/>
      <c r="N3310" s="149"/>
      <c r="O3310" s="149"/>
      <c r="P3310" s="149"/>
      <c r="Q3310" s="149"/>
      <c r="R3310" s="149"/>
      <c r="S3310" s="149"/>
      <c r="T3310" s="149"/>
      <c r="U3310" s="149"/>
      <c r="V3310" s="149"/>
      <c r="W3310" s="149"/>
      <c r="X3310" s="149"/>
      <c r="Y3310" s="149"/>
      <c r="Z3310" s="149"/>
      <c r="AA3310" s="149"/>
      <c r="AB3310" s="149"/>
      <c r="AC3310" s="149"/>
      <c r="AD3310" s="149"/>
      <c r="AE3310" s="149"/>
      <c r="AF3310" s="149"/>
      <c r="AG3310" s="149"/>
      <c r="AH3310" s="149"/>
      <c r="AI3310" s="149"/>
      <c r="AJ3310" s="149"/>
      <c r="AK3310" s="149"/>
      <c r="AL3310" s="149"/>
      <c r="AM3310" s="149"/>
      <c r="AN3310" s="149"/>
      <c r="AO3310" s="128"/>
      <c r="AP3310" s="128"/>
      <c r="AQ3310" s="128"/>
      <c r="AR3310" s="128"/>
      <c r="AS3310" s="128"/>
      <c r="AT3310" s="128"/>
      <c r="AU3310" s="128"/>
      <c r="AV3310" s="128"/>
      <c r="AW3310" s="128"/>
      <c r="AX3310" s="128"/>
      <c r="AY3310" s="128"/>
      <c r="AZ3310" s="128"/>
      <c r="BA3310" s="128"/>
      <c r="BB3310" s="128"/>
      <c r="BC3310" s="128"/>
      <c r="BD3310" s="128"/>
      <c r="BE3310" s="128"/>
      <c r="BF3310" s="128"/>
      <c r="BG3310" s="128"/>
      <c r="BH3310" s="128"/>
      <c r="BI3310" s="128"/>
      <c r="BJ3310" s="128"/>
      <c r="BK3310" s="128"/>
      <c r="BL3310" s="128"/>
      <c r="BM3310" s="151"/>
      <c r="BN3310" s="128"/>
      <c r="BO3310" s="128"/>
      <c r="BP3310" s="128"/>
      <c r="BQ3310" s="128"/>
      <c r="BR3310" s="128"/>
      <c r="BS3310" s="128"/>
      <c r="BT3310" s="128"/>
      <c r="BU3310" s="128"/>
      <c r="BV3310" s="128"/>
      <c r="BW3310" s="128"/>
      <c r="BX3310" s="128"/>
      <c r="BY3310" s="128"/>
      <c r="BZ3310" s="128"/>
      <c r="CA3310" s="128"/>
      <c r="CB3310" s="128"/>
      <c r="CC3310" s="128"/>
      <c r="CD3310" s="128"/>
      <c r="CE3310" s="128"/>
      <c r="CF3310" s="128"/>
      <c r="CG3310" s="128"/>
      <c r="CI3310" s="128"/>
      <c r="CJ3310" s="128"/>
      <c r="CK3310" s="128"/>
      <c r="CL3310" s="128"/>
      <c r="CM3310" s="128"/>
      <c r="CN3310" s="128"/>
      <c r="CO3310" s="128"/>
      <c r="CP3310" s="128"/>
      <c r="CQ3310" s="128"/>
      <c r="CR3310" s="128"/>
      <c r="CS3310" s="128"/>
      <c r="CT3310" s="128"/>
      <c r="CU3310" s="128"/>
      <c r="CV3310" s="128"/>
      <c r="CW3310" s="128"/>
      <c r="CX3310" s="128"/>
      <c r="CY3310" s="128"/>
      <c r="CZ3310" s="165"/>
    </row>
    <row r="3311" spans="1:104">
      <c r="A3311" s="149"/>
      <c r="B3311" s="149"/>
      <c r="C3311" s="150"/>
      <c r="D3311" s="102"/>
      <c r="E3311" s="149"/>
      <c r="F3311" s="149"/>
      <c r="G3311" s="149"/>
      <c r="H3311" s="149"/>
      <c r="I3311" s="149"/>
      <c r="J3311" s="149"/>
      <c r="K3311" s="149"/>
      <c r="L3311" s="149"/>
      <c r="M3311" s="149"/>
      <c r="N3311" s="149"/>
      <c r="O3311" s="149"/>
      <c r="P3311" s="149"/>
      <c r="Q3311" s="149"/>
      <c r="R3311" s="149"/>
      <c r="S3311" s="149"/>
      <c r="T3311" s="149"/>
      <c r="U3311" s="149"/>
      <c r="V3311" s="149"/>
      <c r="W3311" s="149"/>
      <c r="X3311" s="149"/>
      <c r="Y3311" s="149"/>
      <c r="Z3311" s="149"/>
      <c r="AA3311" s="149"/>
      <c r="AB3311" s="149"/>
      <c r="AC3311" s="149"/>
      <c r="AD3311" s="149"/>
      <c r="AE3311" s="149"/>
      <c r="AF3311" s="149"/>
      <c r="AG3311" s="149"/>
      <c r="AH3311" s="149"/>
      <c r="AI3311" s="149"/>
      <c r="AJ3311" s="149"/>
      <c r="AK3311" s="149"/>
      <c r="AL3311" s="149"/>
      <c r="AM3311" s="149"/>
      <c r="AN3311" s="149"/>
      <c r="AO3311" s="128"/>
      <c r="AP3311" s="128"/>
      <c r="AQ3311" s="128"/>
      <c r="AR3311" s="128"/>
      <c r="AS3311" s="128"/>
      <c r="AT3311" s="128"/>
      <c r="AU3311" s="128"/>
      <c r="AV3311" s="128"/>
      <c r="AW3311" s="128"/>
      <c r="AX3311" s="128"/>
      <c r="AY3311" s="128"/>
      <c r="AZ3311" s="128"/>
      <c r="BA3311" s="128"/>
      <c r="BB3311" s="128"/>
      <c r="BC3311" s="128"/>
      <c r="BD3311" s="128"/>
      <c r="BE3311" s="128"/>
      <c r="BF3311" s="128"/>
      <c r="BG3311" s="128"/>
      <c r="BH3311" s="128"/>
      <c r="BI3311" s="128"/>
      <c r="BJ3311" s="128"/>
      <c r="BK3311" s="128"/>
      <c r="BL3311" s="128"/>
      <c r="BM3311" s="151"/>
      <c r="BN3311" s="128"/>
      <c r="BO3311" s="128"/>
      <c r="BP3311" s="128"/>
      <c r="BQ3311" s="128"/>
      <c r="BR3311" s="128"/>
      <c r="BS3311" s="128"/>
      <c r="BT3311" s="128"/>
      <c r="BU3311" s="128"/>
      <c r="BV3311" s="128"/>
      <c r="BW3311" s="128"/>
      <c r="BX3311" s="128"/>
      <c r="BY3311" s="128"/>
      <c r="BZ3311" s="128"/>
      <c r="CA3311" s="128"/>
      <c r="CB3311" s="128"/>
      <c r="CC3311" s="128"/>
      <c r="CD3311" s="128"/>
      <c r="CE3311" s="128"/>
      <c r="CF3311" s="128"/>
      <c r="CG3311" s="128"/>
      <c r="CI3311" s="128"/>
      <c r="CJ3311" s="128"/>
      <c r="CK3311" s="128"/>
      <c r="CL3311" s="128"/>
      <c r="CM3311" s="128"/>
      <c r="CN3311" s="128"/>
      <c r="CO3311" s="128"/>
      <c r="CP3311" s="128"/>
      <c r="CQ3311" s="128"/>
      <c r="CR3311" s="128"/>
      <c r="CS3311" s="128"/>
      <c r="CT3311" s="128"/>
      <c r="CU3311" s="128"/>
      <c r="CV3311" s="128"/>
      <c r="CW3311" s="128"/>
      <c r="CX3311" s="128"/>
      <c r="CY3311" s="128"/>
      <c r="CZ3311" s="165"/>
    </row>
    <row r="3312" spans="1:104">
      <c r="A3312" s="149"/>
      <c r="B3312" s="149"/>
      <c r="C3312" s="150"/>
      <c r="D3312" s="102"/>
      <c r="E3312" s="149"/>
      <c r="F3312" s="149"/>
      <c r="G3312" s="149"/>
      <c r="H3312" s="149"/>
      <c r="I3312" s="149"/>
      <c r="J3312" s="149"/>
      <c r="K3312" s="149"/>
      <c r="L3312" s="149"/>
      <c r="M3312" s="149"/>
      <c r="N3312" s="149"/>
      <c r="O3312" s="149"/>
      <c r="P3312" s="149"/>
      <c r="Q3312" s="149"/>
      <c r="R3312" s="149"/>
      <c r="S3312" s="149"/>
      <c r="T3312" s="149"/>
      <c r="U3312" s="149"/>
      <c r="V3312" s="149"/>
      <c r="W3312" s="149"/>
      <c r="X3312" s="149"/>
      <c r="Y3312" s="149"/>
      <c r="Z3312" s="149"/>
      <c r="AA3312" s="149"/>
      <c r="AB3312" s="149"/>
      <c r="AC3312" s="149"/>
      <c r="AD3312" s="149"/>
      <c r="AE3312" s="149"/>
      <c r="AF3312" s="149"/>
      <c r="AG3312" s="149"/>
      <c r="AH3312" s="149"/>
      <c r="AI3312" s="149"/>
      <c r="AJ3312" s="149"/>
      <c r="AK3312" s="149"/>
      <c r="AL3312" s="149"/>
      <c r="AM3312" s="149"/>
      <c r="AN3312" s="149"/>
      <c r="AO3312" s="128"/>
      <c r="AP3312" s="128"/>
      <c r="AQ3312" s="128"/>
      <c r="AR3312" s="128"/>
      <c r="AS3312" s="128"/>
      <c r="AT3312" s="128"/>
      <c r="AU3312" s="128"/>
      <c r="AV3312" s="128"/>
      <c r="AW3312" s="128"/>
      <c r="AX3312" s="128"/>
      <c r="AY3312" s="128"/>
      <c r="AZ3312" s="128"/>
      <c r="BA3312" s="128"/>
      <c r="BB3312" s="128"/>
      <c r="BC3312" s="128"/>
      <c r="BD3312" s="128"/>
      <c r="BE3312" s="128"/>
      <c r="BF3312" s="128"/>
      <c r="BG3312" s="128"/>
      <c r="BH3312" s="128"/>
      <c r="BI3312" s="128"/>
      <c r="BJ3312" s="128"/>
      <c r="BK3312" s="128"/>
      <c r="BL3312" s="128"/>
      <c r="BM3312" s="151"/>
      <c r="BN3312" s="128"/>
      <c r="BO3312" s="128"/>
      <c r="BP3312" s="128"/>
      <c r="BQ3312" s="128"/>
      <c r="BR3312" s="128"/>
      <c r="BS3312" s="128"/>
      <c r="BT3312" s="128"/>
      <c r="BU3312" s="128"/>
      <c r="BV3312" s="128"/>
      <c r="BW3312" s="128"/>
      <c r="BX3312" s="128"/>
      <c r="BY3312" s="128"/>
      <c r="BZ3312" s="128"/>
      <c r="CA3312" s="128"/>
      <c r="CB3312" s="128"/>
      <c r="CC3312" s="128"/>
      <c r="CD3312" s="128"/>
      <c r="CE3312" s="128"/>
      <c r="CF3312" s="128"/>
      <c r="CG3312" s="128"/>
      <c r="CI3312" s="128"/>
      <c r="CJ3312" s="128"/>
      <c r="CK3312" s="128"/>
      <c r="CL3312" s="128"/>
      <c r="CM3312" s="128"/>
      <c r="CN3312" s="128"/>
      <c r="CO3312" s="128"/>
      <c r="CP3312" s="128"/>
      <c r="CQ3312" s="128"/>
      <c r="CR3312" s="128"/>
      <c r="CS3312" s="128"/>
      <c r="CT3312" s="128"/>
      <c r="CU3312" s="128"/>
      <c r="CV3312" s="128"/>
      <c r="CW3312" s="128"/>
      <c r="CX3312" s="128"/>
      <c r="CY3312" s="128"/>
      <c r="CZ3312" s="165"/>
    </row>
    <row r="3313" spans="1:104">
      <c r="A3313" s="149"/>
      <c r="B3313" s="149"/>
      <c r="C3313" s="150"/>
      <c r="D3313" s="102"/>
      <c r="E3313" s="149"/>
      <c r="F3313" s="149"/>
      <c r="G3313" s="149"/>
      <c r="H3313" s="149"/>
      <c r="I3313" s="149"/>
      <c r="J3313" s="149"/>
      <c r="K3313" s="149"/>
      <c r="L3313" s="149"/>
      <c r="M3313" s="149"/>
      <c r="N3313" s="149"/>
      <c r="O3313" s="149"/>
      <c r="P3313" s="149"/>
      <c r="Q3313" s="149"/>
      <c r="R3313" s="149"/>
      <c r="S3313" s="149"/>
      <c r="T3313" s="149"/>
      <c r="U3313" s="149"/>
      <c r="V3313" s="149"/>
      <c r="W3313" s="149"/>
      <c r="X3313" s="149"/>
      <c r="Y3313" s="149"/>
      <c r="Z3313" s="149"/>
      <c r="AA3313" s="149"/>
      <c r="AB3313" s="149"/>
      <c r="AC3313" s="149"/>
      <c r="AD3313" s="149"/>
      <c r="AE3313" s="149"/>
      <c r="AF3313" s="149"/>
      <c r="AG3313" s="149"/>
      <c r="AH3313" s="149"/>
      <c r="AI3313" s="149"/>
      <c r="AJ3313" s="149"/>
      <c r="AK3313" s="149"/>
      <c r="AL3313" s="149"/>
      <c r="AM3313" s="149"/>
      <c r="AN3313" s="149"/>
      <c r="AO3313" s="128"/>
      <c r="AP3313" s="128"/>
      <c r="AQ3313" s="128"/>
      <c r="AR3313" s="128"/>
      <c r="AS3313" s="128"/>
      <c r="AT3313" s="128"/>
      <c r="AU3313" s="128"/>
      <c r="AV3313" s="128"/>
      <c r="AW3313" s="128"/>
      <c r="AX3313" s="128"/>
      <c r="AY3313" s="128"/>
      <c r="AZ3313" s="128"/>
      <c r="BA3313" s="128"/>
      <c r="BB3313" s="128"/>
      <c r="BC3313" s="128"/>
      <c r="BD3313" s="128"/>
      <c r="BE3313" s="128"/>
      <c r="BF3313" s="128"/>
      <c r="BG3313" s="128"/>
      <c r="BH3313" s="128"/>
      <c r="BI3313" s="128"/>
      <c r="BJ3313" s="128"/>
      <c r="BK3313" s="128"/>
      <c r="BL3313" s="128"/>
      <c r="BM3313" s="151"/>
      <c r="BN3313" s="128"/>
      <c r="BO3313" s="128"/>
      <c r="BP3313" s="128"/>
      <c r="BQ3313" s="128"/>
      <c r="BR3313" s="128"/>
      <c r="BS3313" s="128"/>
      <c r="BT3313" s="128"/>
      <c r="BU3313" s="128"/>
      <c r="BV3313" s="128"/>
      <c r="BW3313" s="128"/>
      <c r="BX3313" s="128"/>
      <c r="BY3313" s="128"/>
      <c r="BZ3313" s="128"/>
      <c r="CA3313" s="128"/>
      <c r="CB3313" s="128"/>
      <c r="CC3313" s="128"/>
      <c r="CD3313" s="128"/>
      <c r="CE3313" s="128"/>
      <c r="CF3313" s="128"/>
      <c r="CG3313" s="128"/>
      <c r="CI3313" s="128"/>
      <c r="CJ3313" s="128"/>
      <c r="CK3313" s="128"/>
      <c r="CL3313" s="128"/>
      <c r="CM3313" s="128"/>
      <c r="CN3313" s="128"/>
      <c r="CO3313" s="128"/>
      <c r="CP3313" s="128"/>
      <c r="CQ3313" s="128"/>
      <c r="CR3313" s="128"/>
      <c r="CS3313" s="128"/>
      <c r="CT3313" s="128"/>
      <c r="CU3313" s="128"/>
      <c r="CV3313" s="128"/>
      <c r="CW3313" s="128"/>
      <c r="CX3313" s="128"/>
      <c r="CY3313" s="128"/>
      <c r="CZ3313" s="165"/>
    </row>
    <row r="3314" spans="1:104">
      <c r="A3314" s="149"/>
      <c r="B3314" s="149"/>
      <c r="C3314" s="150"/>
      <c r="D3314" s="102"/>
      <c r="E3314" s="149"/>
      <c r="F3314" s="149"/>
      <c r="G3314" s="149"/>
      <c r="H3314" s="149"/>
      <c r="I3314" s="149"/>
      <c r="J3314" s="149"/>
      <c r="K3314" s="149"/>
      <c r="L3314" s="149"/>
      <c r="M3314" s="149"/>
      <c r="N3314" s="149"/>
      <c r="O3314" s="149"/>
      <c r="P3314" s="149"/>
      <c r="Q3314" s="149"/>
      <c r="R3314" s="149"/>
      <c r="S3314" s="149"/>
      <c r="T3314" s="149"/>
      <c r="U3314" s="149"/>
      <c r="V3314" s="149"/>
      <c r="W3314" s="149"/>
      <c r="X3314" s="149"/>
      <c r="Y3314" s="149"/>
      <c r="Z3314" s="149"/>
      <c r="AA3314" s="149"/>
      <c r="AB3314" s="149"/>
      <c r="AC3314" s="149"/>
      <c r="AD3314" s="149"/>
      <c r="AE3314" s="149"/>
      <c r="AF3314" s="149"/>
      <c r="AG3314" s="149"/>
      <c r="AH3314" s="149"/>
      <c r="AI3314" s="149"/>
      <c r="AJ3314" s="149"/>
      <c r="AK3314" s="149"/>
      <c r="AL3314" s="149"/>
      <c r="AM3314" s="149"/>
      <c r="AN3314" s="149"/>
      <c r="AO3314" s="128"/>
      <c r="AP3314" s="128"/>
      <c r="AQ3314" s="128"/>
      <c r="AR3314" s="128"/>
      <c r="AS3314" s="128"/>
      <c r="AT3314" s="128"/>
      <c r="AU3314" s="128"/>
      <c r="AV3314" s="128"/>
      <c r="AW3314" s="128"/>
      <c r="AX3314" s="128"/>
      <c r="AY3314" s="128"/>
      <c r="AZ3314" s="128"/>
      <c r="BA3314" s="128"/>
      <c r="BB3314" s="128"/>
      <c r="BC3314" s="128"/>
      <c r="BD3314" s="128"/>
      <c r="BE3314" s="128"/>
      <c r="BF3314" s="128"/>
      <c r="BG3314" s="128"/>
      <c r="BH3314" s="128"/>
      <c r="BI3314" s="128"/>
      <c r="BJ3314" s="128"/>
      <c r="BK3314" s="128"/>
      <c r="BL3314" s="128"/>
      <c r="BM3314" s="151"/>
      <c r="BN3314" s="128"/>
      <c r="BO3314" s="128"/>
      <c r="BP3314" s="128"/>
      <c r="BQ3314" s="128"/>
      <c r="BR3314" s="128"/>
      <c r="BS3314" s="128"/>
      <c r="BT3314" s="128"/>
      <c r="BU3314" s="128"/>
      <c r="BV3314" s="128"/>
      <c r="BW3314" s="128"/>
      <c r="BX3314" s="128"/>
      <c r="BY3314" s="128"/>
      <c r="BZ3314" s="128"/>
      <c r="CA3314" s="128"/>
      <c r="CB3314" s="128"/>
      <c r="CC3314" s="128"/>
      <c r="CD3314" s="128"/>
      <c r="CE3314" s="128"/>
      <c r="CF3314" s="128"/>
      <c r="CG3314" s="128"/>
      <c r="CI3314" s="128"/>
      <c r="CJ3314" s="128"/>
      <c r="CK3314" s="128"/>
      <c r="CL3314" s="128"/>
      <c r="CM3314" s="128"/>
      <c r="CN3314" s="128"/>
      <c r="CO3314" s="128"/>
      <c r="CP3314" s="128"/>
      <c r="CQ3314" s="128"/>
      <c r="CR3314" s="128"/>
      <c r="CS3314" s="128"/>
      <c r="CT3314" s="128"/>
      <c r="CU3314" s="128"/>
      <c r="CV3314" s="128"/>
      <c r="CW3314" s="128"/>
      <c r="CX3314" s="128"/>
      <c r="CY3314" s="128"/>
      <c r="CZ3314" s="165"/>
    </row>
    <row r="3315" spans="1:104">
      <c r="A3315" s="149"/>
      <c r="B3315" s="149"/>
      <c r="C3315" s="150"/>
      <c r="D3315" s="102"/>
      <c r="E3315" s="149"/>
      <c r="F3315" s="149"/>
      <c r="G3315" s="149"/>
      <c r="H3315" s="149"/>
      <c r="I3315" s="149"/>
      <c r="J3315" s="149"/>
      <c r="K3315" s="149"/>
      <c r="L3315" s="149"/>
      <c r="M3315" s="149"/>
      <c r="N3315" s="149"/>
      <c r="O3315" s="149"/>
      <c r="P3315" s="149"/>
      <c r="Q3315" s="149"/>
      <c r="R3315" s="149"/>
      <c r="S3315" s="149"/>
      <c r="T3315" s="149"/>
      <c r="U3315" s="149"/>
      <c r="V3315" s="149"/>
      <c r="W3315" s="149"/>
      <c r="X3315" s="149"/>
      <c r="Y3315" s="149"/>
      <c r="Z3315" s="149"/>
      <c r="AA3315" s="149"/>
      <c r="AB3315" s="149"/>
      <c r="AC3315" s="149"/>
      <c r="AD3315" s="149"/>
      <c r="AE3315" s="149"/>
      <c r="AF3315" s="149"/>
      <c r="AG3315" s="149"/>
      <c r="AH3315" s="149"/>
      <c r="AI3315" s="149"/>
      <c r="AJ3315" s="149"/>
      <c r="AK3315" s="149"/>
      <c r="AL3315" s="149"/>
      <c r="AM3315" s="149"/>
      <c r="AN3315" s="149"/>
      <c r="AO3315" s="128"/>
      <c r="AP3315" s="128"/>
      <c r="AQ3315" s="128"/>
      <c r="AR3315" s="128"/>
      <c r="AS3315" s="128"/>
      <c r="AT3315" s="128"/>
      <c r="AU3315" s="128"/>
      <c r="AV3315" s="128"/>
      <c r="AW3315" s="128"/>
      <c r="AX3315" s="128"/>
      <c r="AY3315" s="128"/>
      <c r="AZ3315" s="128"/>
      <c r="BA3315" s="128"/>
      <c r="BB3315" s="128"/>
      <c r="BC3315" s="128"/>
      <c r="BD3315" s="128"/>
      <c r="BE3315" s="128"/>
      <c r="BF3315" s="128"/>
      <c r="BG3315" s="128"/>
      <c r="BH3315" s="128"/>
      <c r="BI3315" s="128"/>
      <c r="BJ3315" s="128"/>
      <c r="BK3315" s="128"/>
      <c r="BL3315" s="128"/>
      <c r="BM3315" s="151"/>
      <c r="BN3315" s="128"/>
      <c r="BO3315" s="128"/>
      <c r="BP3315" s="128"/>
      <c r="BQ3315" s="128"/>
      <c r="BR3315" s="128"/>
      <c r="BS3315" s="128"/>
      <c r="BT3315" s="128"/>
      <c r="BU3315" s="128"/>
      <c r="BV3315" s="128"/>
      <c r="BW3315" s="128"/>
      <c r="BX3315" s="128"/>
      <c r="BY3315" s="128"/>
      <c r="BZ3315" s="128"/>
      <c r="CA3315" s="128"/>
      <c r="CB3315" s="128"/>
      <c r="CC3315" s="128"/>
      <c r="CD3315" s="128"/>
      <c r="CE3315" s="128"/>
      <c r="CF3315" s="128"/>
      <c r="CG3315" s="128"/>
      <c r="CI3315" s="128"/>
      <c r="CJ3315" s="128"/>
      <c r="CK3315" s="128"/>
      <c r="CL3315" s="128"/>
      <c r="CM3315" s="128"/>
      <c r="CN3315" s="128"/>
      <c r="CO3315" s="128"/>
      <c r="CP3315" s="128"/>
      <c r="CQ3315" s="128"/>
      <c r="CR3315" s="128"/>
      <c r="CS3315" s="128"/>
      <c r="CT3315" s="128"/>
      <c r="CU3315" s="128"/>
      <c r="CV3315" s="128"/>
      <c r="CW3315" s="128"/>
      <c r="CX3315" s="128"/>
      <c r="CY3315" s="128"/>
      <c r="CZ3315" s="165"/>
    </row>
    <row r="3316" spans="1:104">
      <c r="A3316" s="149"/>
      <c r="B3316" s="149"/>
      <c r="C3316" s="150"/>
      <c r="D3316" s="102"/>
      <c r="E3316" s="149"/>
      <c r="F3316" s="149"/>
      <c r="G3316" s="149"/>
      <c r="H3316" s="149"/>
      <c r="I3316" s="149"/>
      <c r="J3316" s="149"/>
      <c r="K3316" s="149"/>
      <c r="L3316" s="149"/>
      <c r="M3316" s="149"/>
      <c r="N3316" s="149"/>
      <c r="O3316" s="149"/>
      <c r="P3316" s="149"/>
      <c r="Q3316" s="149"/>
      <c r="R3316" s="149"/>
      <c r="S3316" s="149"/>
      <c r="T3316" s="149"/>
      <c r="U3316" s="149"/>
      <c r="V3316" s="149"/>
      <c r="W3316" s="149"/>
      <c r="X3316" s="149"/>
      <c r="Y3316" s="149"/>
      <c r="Z3316" s="149"/>
      <c r="AA3316" s="149"/>
      <c r="AB3316" s="149"/>
      <c r="AC3316" s="149"/>
      <c r="AD3316" s="149"/>
      <c r="AE3316" s="149"/>
      <c r="AF3316" s="149"/>
      <c r="AG3316" s="149"/>
      <c r="AH3316" s="149"/>
      <c r="AI3316" s="149"/>
      <c r="AJ3316" s="149"/>
      <c r="AK3316" s="149"/>
      <c r="AL3316" s="149"/>
      <c r="AM3316" s="149"/>
      <c r="AN3316" s="149"/>
      <c r="AO3316" s="128"/>
      <c r="AP3316" s="128"/>
      <c r="AQ3316" s="128"/>
      <c r="AR3316" s="128"/>
      <c r="AS3316" s="128"/>
      <c r="AT3316" s="128"/>
      <c r="AU3316" s="128"/>
      <c r="AV3316" s="128"/>
      <c r="AW3316" s="128"/>
      <c r="AX3316" s="128"/>
      <c r="AY3316" s="128"/>
      <c r="AZ3316" s="128"/>
      <c r="BA3316" s="128"/>
      <c r="BB3316" s="128"/>
      <c r="BC3316" s="128"/>
      <c r="BD3316" s="128"/>
      <c r="BE3316" s="128"/>
      <c r="BF3316" s="128"/>
      <c r="BG3316" s="128"/>
      <c r="BH3316" s="128"/>
      <c r="BI3316" s="128"/>
      <c r="BJ3316" s="128"/>
      <c r="BK3316" s="128"/>
      <c r="BL3316" s="128"/>
      <c r="BM3316" s="151"/>
      <c r="BN3316" s="128"/>
      <c r="BO3316" s="128"/>
      <c r="BP3316" s="128"/>
      <c r="BQ3316" s="128"/>
      <c r="BR3316" s="128"/>
      <c r="BS3316" s="128"/>
      <c r="BT3316" s="128"/>
      <c r="BU3316" s="128"/>
      <c r="BV3316" s="128"/>
      <c r="BW3316" s="128"/>
      <c r="BX3316" s="128"/>
      <c r="BY3316" s="128"/>
      <c r="BZ3316" s="128"/>
      <c r="CA3316" s="128"/>
      <c r="CB3316" s="128"/>
      <c r="CC3316" s="128"/>
      <c r="CD3316" s="128"/>
      <c r="CE3316" s="128"/>
      <c r="CF3316" s="128"/>
      <c r="CG3316" s="128"/>
      <c r="CI3316" s="128"/>
      <c r="CJ3316" s="128"/>
      <c r="CK3316" s="128"/>
      <c r="CL3316" s="128"/>
      <c r="CM3316" s="128"/>
      <c r="CN3316" s="128"/>
      <c r="CO3316" s="128"/>
      <c r="CP3316" s="128"/>
      <c r="CQ3316" s="128"/>
      <c r="CR3316" s="128"/>
      <c r="CS3316" s="128"/>
      <c r="CT3316" s="128"/>
      <c r="CU3316" s="128"/>
      <c r="CV3316" s="128"/>
      <c r="CW3316" s="128"/>
      <c r="CX3316" s="128"/>
      <c r="CY3316" s="128"/>
      <c r="CZ3316" s="165"/>
    </row>
    <row r="3317" spans="1:104">
      <c r="A3317" s="149"/>
      <c r="B3317" s="149"/>
      <c r="C3317" s="150"/>
      <c r="D3317" s="102"/>
      <c r="E3317" s="149"/>
      <c r="F3317" s="149"/>
      <c r="G3317" s="149"/>
      <c r="H3317" s="149"/>
      <c r="I3317" s="149"/>
      <c r="J3317" s="149"/>
      <c r="K3317" s="149"/>
      <c r="L3317" s="149"/>
      <c r="M3317" s="149"/>
      <c r="N3317" s="149"/>
      <c r="O3317" s="149"/>
      <c r="P3317" s="149"/>
      <c r="Q3317" s="149"/>
      <c r="R3317" s="149"/>
      <c r="S3317" s="149"/>
      <c r="T3317" s="149"/>
      <c r="U3317" s="149"/>
      <c r="V3317" s="149"/>
      <c r="W3317" s="149"/>
      <c r="X3317" s="149"/>
      <c r="Y3317" s="149"/>
      <c r="Z3317" s="149"/>
      <c r="AA3317" s="149"/>
      <c r="AB3317" s="149"/>
      <c r="AC3317" s="149"/>
      <c r="AD3317" s="149"/>
      <c r="AE3317" s="149"/>
      <c r="AF3317" s="149"/>
      <c r="AG3317" s="149"/>
      <c r="AH3317" s="149"/>
      <c r="AI3317" s="149"/>
      <c r="AJ3317" s="149"/>
      <c r="AK3317" s="149"/>
      <c r="AL3317" s="149"/>
      <c r="AM3317" s="149"/>
      <c r="AN3317" s="149"/>
      <c r="AO3317" s="128"/>
      <c r="AP3317" s="128"/>
      <c r="AQ3317" s="128"/>
      <c r="AR3317" s="128"/>
      <c r="AS3317" s="128"/>
      <c r="AT3317" s="128"/>
      <c r="AU3317" s="128"/>
      <c r="AV3317" s="128"/>
      <c r="AW3317" s="128"/>
      <c r="AX3317" s="128"/>
      <c r="AY3317" s="128"/>
      <c r="AZ3317" s="128"/>
      <c r="BA3317" s="128"/>
      <c r="BB3317" s="128"/>
      <c r="BC3317" s="128"/>
      <c r="BD3317" s="128"/>
      <c r="BE3317" s="128"/>
      <c r="BF3317" s="128"/>
      <c r="BG3317" s="128"/>
      <c r="BH3317" s="128"/>
      <c r="BI3317" s="128"/>
      <c r="BJ3317" s="128"/>
      <c r="BK3317" s="128"/>
      <c r="BL3317" s="128"/>
      <c r="BM3317" s="151"/>
      <c r="BN3317" s="128"/>
      <c r="BO3317" s="128"/>
      <c r="BP3317" s="128"/>
      <c r="BQ3317" s="128"/>
      <c r="BR3317" s="128"/>
      <c r="BS3317" s="128"/>
      <c r="BT3317" s="128"/>
      <c r="BU3317" s="128"/>
      <c r="BV3317" s="128"/>
      <c r="BW3317" s="128"/>
      <c r="BX3317" s="128"/>
      <c r="BY3317" s="128"/>
      <c r="BZ3317" s="128"/>
      <c r="CA3317" s="128"/>
      <c r="CB3317" s="128"/>
      <c r="CC3317" s="128"/>
      <c r="CD3317" s="128"/>
      <c r="CE3317" s="128"/>
      <c r="CF3317" s="128"/>
      <c r="CG3317" s="128"/>
      <c r="CI3317" s="128"/>
      <c r="CJ3317" s="128"/>
      <c r="CK3317" s="128"/>
      <c r="CL3317" s="128"/>
      <c r="CM3317" s="128"/>
      <c r="CN3317" s="128"/>
      <c r="CO3317" s="128"/>
      <c r="CP3317" s="128"/>
      <c r="CQ3317" s="128"/>
      <c r="CR3317" s="128"/>
      <c r="CS3317" s="128"/>
      <c r="CT3317" s="128"/>
      <c r="CU3317" s="128"/>
      <c r="CV3317" s="128"/>
      <c r="CW3317" s="128"/>
      <c r="CX3317" s="128"/>
      <c r="CY3317" s="128"/>
      <c r="CZ3317" s="165"/>
    </row>
    <row r="3318" spans="1:104">
      <c r="A3318" s="149"/>
      <c r="B3318" s="149"/>
      <c r="C3318" s="150"/>
      <c r="D3318" s="102"/>
      <c r="E3318" s="149"/>
      <c r="F3318" s="149"/>
      <c r="G3318" s="149"/>
      <c r="H3318" s="149"/>
      <c r="I3318" s="149"/>
      <c r="J3318" s="149"/>
      <c r="K3318" s="149"/>
      <c r="L3318" s="149"/>
      <c r="M3318" s="149"/>
      <c r="N3318" s="149"/>
      <c r="O3318" s="149"/>
      <c r="P3318" s="149"/>
      <c r="Q3318" s="149"/>
      <c r="R3318" s="149"/>
      <c r="S3318" s="149"/>
      <c r="T3318" s="149"/>
      <c r="U3318" s="149"/>
      <c r="V3318" s="149"/>
      <c r="W3318" s="149"/>
      <c r="X3318" s="149"/>
      <c r="Y3318" s="149"/>
      <c r="Z3318" s="149"/>
      <c r="AA3318" s="149"/>
      <c r="AB3318" s="149"/>
      <c r="AC3318" s="149"/>
      <c r="AD3318" s="149"/>
      <c r="AE3318" s="149"/>
      <c r="AF3318" s="149"/>
      <c r="AG3318" s="149"/>
      <c r="AH3318" s="149"/>
      <c r="AI3318" s="149"/>
      <c r="AJ3318" s="149"/>
      <c r="AK3318" s="149"/>
      <c r="AL3318" s="149"/>
      <c r="AM3318" s="149"/>
      <c r="AN3318" s="149"/>
      <c r="AO3318" s="128"/>
      <c r="AP3318" s="128"/>
      <c r="AQ3318" s="128"/>
      <c r="AR3318" s="128"/>
      <c r="AS3318" s="128"/>
      <c r="AT3318" s="128"/>
      <c r="AU3318" s="128"/>
      <c r="AV3318" s="128"/>
      <c r="AW3318" s="128"/>
      <c r="AX3318" s="128"/>
      <c r="AY3318" s="128"/>
      <c r="AZ3318" s="128"/>
      <c r="BA3318" s="128"/>
      <c r="BB3318" s="128"/>
      <c r="BC3318" s="128"/>
      <c r="BD3318" s="128"/>
      <c r="BE3318" s="128"/>
      <c r="BF3318" s="128"/>
      <c r="BG3318" s="128"/>
      <c r="BH3318" s="128"/>
      <c r="BI3318" s="128"/>
      <c r="BJ3318" s="128"/>
      <c r="BK3318" s="128"/>
      <c r="BL3318" s="128"/>
      <c r="BM3318" s="151"/>
      <c r="BN3318" s="128"/>
      <c r="BO3318" s="128"/>
      <c r="BP3318" s="128"/>
      <c r="BQ3318" s="128"/>
      <c r="BR3318" s="128"/>
      <c r="BS3318" s="128"/>
      <c r="BT3318" s="128"/>
      <c r="BU3318" s="128"/>
      <c r="BV3318" s="128"/>
      <c r="BW3318" s="128"/>
      <c r="BX3318" s="128"/>
      <c r="BY3318" s="128"/>
      <c r="BZ3318" s="128"/>
      <c r="CA3318" s="128"/>
      <c r="CB3318" s="128"/>
      <c r="CC3318" s="128"/>
      <c r="CD3318" s="128"/>
      <c r="CE3318" s="128"/>
      <c r="CF3318" s="128"/>
      <c r="CG3318" s="128"/>
      <c r="CI3318" s="128"/>
      <c r="CJ3318" s="128"/>
      <c r="CK3318" s="128"/>
      <c r="CL3318" s="128"/>
      <c r="CM3318" s="128"/>
      <c r="CN3318" s="128"/>
      <c r="CO3318" s="128"/>
      <c r="CP3318" s="128"/>
      <c r="CQ3318" s="128"/>
      <c r="CR3318" s="128"/>
      <c r="CS3318" s="128"/>
      <c r="CT3318" s="128"/>
      <c r="CU3318" s="128"/>
      <c r="CV3318" s="128"/>
      <c r="CW3318" s="128"/>
      <c r="CX3318" s="128"/>
      <c r="CY3318" s="128"/>
      <c r="CZ3318" s="165"/>
    </row>
    <row r="3319" spans="1:104">
      <c r="A3319" s="149"/>
      <c r="B3319" s="149"/>
      <c r="C3319" s="150"/>
      <c r="D3319" s="102"/>
      <c r="E3319" s="149"/>
      <c r="F3319" s="149"/>
      <c r="G3319" s="149"/>
      <c r="H3319" s="149"/>
      <c r="I3319" s="149"/>
      <c r="J3319" s="149"/>
      <c r="K3319" s="149"/>
      <c r="L3319" s="149"/>
      <c r="M3319" s="149"/>
      <c r="N3319" s="149"/>
      <c r="O3319" s="149"/>
      <c r="P3319" s="149"/>
      <c r="Q3319" s="149"/>
      <c r="R3319" s="149"/>
      <c r="S3319" s="149"/>
      <c r="T3319" s="149"/>
      <c r="U3319" s="149"/>
      <c r="V3319" s="149"/>
      <c r="W3319" s="149"/>
      <c r="X3319" s="149"/>
      <c r="Y3319" s="149"/>
      <c r="Z3319" s="149"/>
      <c r="AA3319" s="149"/>
      <c r="AB3319" s="149"/>
      <c r="AC3319" s="149"/>
      <c r="AD3319" s="149"/>
      <c r="AE3319" s="149"/>
      <c r="AF3319" s="149"/>
      <c r="AG3319" s="149"/>
      <c r="AH3319" s="149"/>
      <c r="AI3319" s="149"/>
      <c r="AJ3319" s="149"/>
      <c r="AK3319" s="149"/>
      <c r="AL3319" s="149"/>
      <c r="AM3319" s="149"/>
      <c r="AN3319" s="149"/>
      <c r="AO3319" s="128"/>
      <c r="AP3319" s="128"/>
      <c r="AQ3319" s="128"/>
      <c r="AR3319" s="128"/>
      <c r="AS3319" s="128"/>
      <c r="AT3319" s="128"/>
      <c r="AU3319" s="128"/>
      <c r="AV3319" s="128"/>
      <c r="AW3319" s="128"/>
      <c r="AX3319" s="128"/>
      <c r="AY3319" s="128"/>
      <c r="AZ3319" s="128"/>
      <c r="BA3319" s="128"/>
      <c r="BB3319" s="128"/>
      <c r="BC3319" s="128"/>
      <c r="BD3319" s="128"/>
      <c r="BE3319" s="128"/>
      <c r="BF3319" s="128"/>
      <c r="BG3319" s="128"/>
      <c r="BH3319" s="128"/>
      <c r="BI3319" s="128"/>
      <c r="BJ3319" s="128"/>
      <c r="BK3319" s="128"/>
      <c r="BL3319" s="128"/>
      <c r="BM3319" s="151"/>
      <c r="BN3319" s="128"/>
      <c r="BO3319" s="128"/>
      <c r="BP3319" s="128"/>
      <c r="BQ3319" s="128"/>
      <c r="BR3319" s="128"/>
      <c r="BS3319" s="128"/>
      <c r="BT3319" s="128"/>
      <c r="BU3319" s="128"/>
      <c r="BV3319" s="128"/>
      <c r="BW3319" s="128"/>
      <c r="BX3319" s="128"/>
      <c r="BY3319" s="128"/>
      <c r="BZ3319" s="128"/>
      <c r="CA3319" s="128"/>
      <c r="CB3319" s="128"/>
      <c r="CC3319" s="128"/>
      <c r="CD3319" s="128"/>
      <c r="CE3319" s="128"/>
      <c r="CF3319" s="128"/>
      <c r="CG3319" s="128"/>
      <c r="CI3319" s="128"/>
      <c r="CJ3319" s="128"/>
      <c r="CK3319" s="128"/>
      <c r="CL3319" s="128"/>
      <c r="CM3319" s="128"/>
      <c r="CN3319" s="128"/>
      <c r="CO3319" s="128"/>
      <c r="CP3319" s="128"/>
      <c r="CQ3319" s="128"/>
      <c r="CR3319" s="128"/>
      <c r="CS3319" s="128"/>
      <c r="CT3319" s="128"/>
      <c r="CU3319" s="128"/>
      <c r="CV3319" s="128"/>
      <c r="CW3319" s="128"/>
      <c r="CX3319" s="128"/>
      <c r="CY3319" s="128"/>
      <c r="CZ3319" s="165"/>
    </row>
    <row r="3320" spans="1:104">
      <c r="A3320" s="149"/>
      <c r="B3320" s="149"/>
      <c r="C3320" s="150"/>
      <c r="D3320" s="102"/>
      <c r="E3320" s="149"/>
      <c r="F3320" s="149"/>
      <c r="G3320" s="149"/>
      <c r="H3320" s="149"/>
      <c r="I3320" s="149"/>
      <c r="J3320" s="149"/>
      <c r="K3320" s="149"/>
      <c r="L3320" s="149"/>
      <c r="M3320" s="149"/>
      <c r="N3320" s="149"/>
      <c r="O3320" s="149"/>
      <c r="P3320" s="149"/>
      <c r="Q3320" s="149"/>
      <c r="R3320" s="149"/>
      <c r="S3320" s="149"/>
      <c r="T3320" s="149"/>
      <c r="U3320" s="149"/>
      <c r="V3320" s="149"/>
      <c r="W3320" s="149"/>
      <c r="X3320" s="149"/>
      <c r="Y3320" s="149"/>
      <c r="Z3320" s="149"/>
      <c r="AA3320" s="149"/>
      <c r="AB3320" s="149"/>
      <c r="AC3320" s="149"/>
      <c r="AD3320" s="149"/>
      <c r="AE3320" s="149"/>
      <c r="AF3320" s="149"/>
      <c r="AG3320" s="149"/>
      <c r="AH3320" s="149"/>
      <c r="AI3320" s="149"/>
      <c r="AJ3320" s="149"/>
      <c r="AK3320" s="149"/>
      <c r="AL3320" s="149"/>
      <c r="AM3320" s="149"/>
      <c r="AN3320" s="149"/>
      <c r="AO3320" s="128"/>
      <c r="AP3320" s="128"/>
      <c r="AQ3320" s="128"/>
      <c r="AR3320" s="128"/>
      <c r="AS3320" s="128"/>
      <c r="AT3320" s="128"/>
      <c r="AU3320" s="128"/>
      <c r="AV3320" s="128"/>
      <c r="AW3320" s="128"/>
      <c r="AX3320" s="128"/>
      <c r="AY3320" s="128"/>
      <c r="AZ3320" s="128"/>
      <c r="BA3320" s="128"/>
      <c r="BB3320" s="128"/>
      <c r="BC3320" s="128"/>
      <c r="BD3320" s="128"/>
      <c r="BE3320" s="128"/>
      <c r="BF3320" s="128"/>
      <c r="BG3320" s="128"/>
      <c r="BH3320" s="128"/>
      <c r="BI3320" s="128"/>
      <c r="BJ3320" s="128"/>
      <c r="BK3320" s="128"/>
      <c r="BL3320" s="128"/>
      <c r="BM3320" s="151"/>
      <c r="BN3320" s="128"/>
      <c r="BO3320" s="128"/>
      <c r="BP3320" s="128"/>
      <c r="BQ3320" s="128"/>
      <c r="BR3320" s="128"/>
      <c r="BS3320" s="128"/>
      <c r="BT3320" s="128"/>
      <c r="BU3320" s="128"/>
      <c r="BV3320" s="128"/>
      <c r="BW3320" s="128"/>
      <c r="BX3320" s="128"/>
      <c r="BY3320" s="128"/>
      <c r="BZ3320" s="128"/>
      <c r="CA3320" s="128"/>
      <c r="CB3320" s="128"/>
      <c r="CC3320" s="128"/>
      <c r="CD3320" s="128"/>
      <c r="CE3320" s="128"/>
      <c r="CF3320" s="128"/>
      <c r="CG3320" s="128"/>
      <c r="CI3320" s="128"/>
      <c r="CJ3320" s="128"/>
      <c r="CK3320" s="128"/>
      <c r="CL3320" s="128"/>
      <c r="CM3320" s="128"/>
      <c r="CN3320" s="128"/>
      <c r="CO3320" s="128"/>
      <c r="CP3320" s="128"/>
      <c r="CQ3320" s="128"/>
      <c r="CR3320" s="128"/>
      <c r="CS3320" s="128"/>
      <c r="CT3320" s="128"/>
      <c r="CU3320" s="128"/>
      <c r="CV3320" s="128"/>
      <c r="CW3320" s="128"/>
      <c r="CX3320" s="128"/>
      <c r="CY3320" s="128"/>
      <c r="CZ3320" s="165"/>
    </row>
    <row r="3321" spans="1:104">
      <c r="A3321" s="149"/>
      <c r="B3321" s="149"/>
      <c r="C3321" s="150"/>
      <c r="D3321" s="102"/>
      <c r="E3321" s="149"/>
      <c r="F3321" s="149"/>
      <c r="G3321" s="149"/>
      <c r="H3321" s="149"/>
      <c r="I3321" s="149"/>
      <c r="J3321" s="149"/>
      <c r="K3321" s="149"/>
      <c r="L3321" s="149"/>
      <c r="M3321" s="149"/>
      <c r="N3321" s="149"/>
      <c r="O3321" s="149"/>
      <c r="P3321" s="149"/>
      <c r="Q3321" s="149"/>
      <c r="R3321" s="149"/>
      <c r="S3321" s="149"/>
      <c r="T3321" s="149"/>
      <c r="U3321" s="149"/>
      <c r="V3321" s="149"/>
      <c r="W3321" s="149"/>
      <c r="X3321" s="149"/>
      <c r="Y3321" s="149"/>
      <c r="Z3321" s="149"/>
      <c r="AA3321" s="149"/>
      <c r="AB3321" s="149"/>
      <c r="AC3321" s="149"/>
      <c r="AD3321" s="149"/>
      <c r="AE3321" s="149"/>
      <c r="AF3321" s="149"/>
      <c r="AG3321" s="149"/>
      <c r="AH3321" s="149"/>
      <c r="AI3321" s="149"/>
      <c r="AJ3321" s="149"/>
      <c r="AK3321" s="149"/>
      <c r="AL3321" s="149"/>
      <c r="AM3321" s="149"/>
      <c r="AN3321" s="149"/>
      <c r="AO3321" s="128"/>
      <c r="AP3321" s="128"/>
      <c r="AQ3321" s="128"/>
      <c r="AR3321" s="128"/>
      <c r="AS3321" s="128"/>
      <c r="AT3321" s="128"/>
      <c r="AU3321" s="128"/>
      <c r="AV3321" s="128"/>
      <c r="AW3321" s="128"/>
      <c r="AX3321" s="128"/>
      <c r="AY3321" s="128"/>
      <c r="AZ3321" s="128"/>
      <c r="BA3321" s="128"/>
      <c r="BB3321" s="128"/>
      <c r="BC3321" s="128"/>
      <c r="BD3321" s="128"/>
      <c r="BE3321" s="128"/>
      <c r="BF3321" s="128"/>
      <c r="BG3321" s="128"/>
      <c r="BH3321" s="128"/>
      <c r="BI3321" s="128"/>
      <c r="BJ3321" s="128"/>
      <c r="BK3321" s="128"/>
      <c r="BL3321" s="128"/>
      <c r="BM3321" s="151"/>
      <c r="BN3321" s="128"/>
      <c r="BO3321" s="128"/>
      <c r="BP3321" s="128"/>
      <c r="BQ3321" s="128"/>
      <c r="BR3321" s="128"/>
      <c r="BS3321" s="128"/>
      <c r="BT3321" s="128"/>
      <c r="BU3321" s="128"/>
      <c r="BV3321" s="128"/>
      <c r="BW3321" s="128"/>
      <c r="BX3321" s="128"/>
      <c r="BY3321" s="128"/>
      <c r="BZ3321" s="128"/>
      <c r="CA3321" s="128"/>
      <c r="CB3321" s="128"/>
      <c r="CC3321" s="128"/>
      <c r="CD3321" s="128"/>
      <c r="CE3321" s="128"/>
      <c r="CF3321" s="128"/>
      <c r="CG3321" s="128"/>
      <c r="CI3321" s="128"/>
      <c r="CJ3321" s="128"/>
      <c r="CK3321" s="128"/>
      <c r="CL3321" s="128"/>
      <c r="CM3321" s="128"/>
      <c r="CN3321" s="128"/>
      <c r="CO3321" s="128"/>
      <c r="CP3321" s="128"/>
      <c r="CQ3321" s="128"/>
      <c r="CR3321" s="128"/>
      <c r="CS3321" s="128"/>
      <c r="CT3321" s="128"/>
      <c r="CU3321" s="128"/>
      <c r="CV3321" s="128"/>
      <c r="CW3321" s="128"/>
      <c r="CX3321" s="128"/>
      <c r="CY3321" s="128"/>
      <c r="CZ3321" s="165"/>
    </row>
    <row r="3322" spans="1:104">
      <c r="A3322" s="149"/>
      <c r="B3322" s="149"/>
      <c r="C3322" s="150"/>
      <c r="D3322" s="102"/>
      <c r="E3322" s="149"/>
      <c r="F3322" s="149"/>
      <c r="G3322" s="149"/>
      <c r="H3322" s="149"/>
      <c r="I3322" s="149"/>
      <c r="J3322" s="149"/>
      <c r="K3322" s="149"/>
      <c r="L3322" s="149"/>
      <c r="M3322" s="149"/>
      <c r="N3322" s="149"/>
      <c r="O3322" s="149"/>
      <c r="P3322" s="149"/>
      <c r="Q3322" s="149"/>
      <c r="R3322" s="149"/>
      <c r="S3322" s="149"/>
      <c r="T3322" s="149"/>
      <c r="U3322" s="149"/>
      <c r="V3322" s="149"/>
      <c r="W3322" s="149"/>
      <c r="X3322" s="149"/>
      <c r="Y3322" s="149"/>
      <c r="Z3322" s="149"/>
      <c r="AA3322" s="149"/>
      <c r="AB3322" s="149"/>
      <c r="AC3322" s="149"/>
      <c r="AD3322" s="149"/>
      <c r="AE3322" s="149"/>
      <c r="AF3322" s="149"/>
      <c r="AG3322" s="149"/>
      <c r="AH3322" s="149"/>
      <c r="AI3322" s="149"/>
      <c r="AJ3322" s="149"/>
      <c r="AK3322" s="149"/>
      <c r="AL3322" s="149"/>
      <c r="AM3322" s="149"/>
      <c r="AN3322" s="149"/>
      <c r="AO3322" s="128"/>
      <c r="AP3322" s="128"/>
      <c r="AQ3322" s="128"/>
      <c r="AR3322" s="128"/>
      <c r="AS3322" s="128"/>
      <c r="AT3322" s="128"/>
      <c r="AU3322" s="128"/>
      <c r="AV3322" s="128"/>
      <c r="AW3322" s="128"/>
      <c r="AX3322" s="128"/>
      <c r="AY3322" s="128"/>
      <c r="AZ3322" s="128"/>
      <c r="BA3322" s="128"/>
      <c r="BB3322" s="128"/>
      <c r="BC3322" s="128"/>
      <c r="BD3322" s="128"/>
      <c r="BE3322" s="128"/>
      <c r="BF3322" s="128"/>
      <c r="BG3322" s="128"/>
      <c r="BH3322" s="128"/>
      <c r="BI3322" s="128"/>
      <c r="BJ3322" s="128"/>
      <c r="BK3322" s="128"/>
      <c r="BL3322" s="128"/>
      <c r="BM3322" s="151"/>
      <c r="BN3322" s="128"/>
      <c r="BO3322" s="128"/>
      <c r="BP3322" s="128"/>
      <c r="BQ3322" s="128"/>
      <c r="BR3322" s="128"/>
      <c r="BS3322" s="128"/>
      <c r="BT3322" s="128"/>
      <c r="BU3322" s="128"/>
      <c r="BV3322" s="128"/>
      <c r="BW3322" s="128"/>
      <c r="BX3322" s="128"/>
      <c r="BY3322" s="128"/>
      <c r="BZ3322" s="128"/>
      <c r="CA3322" s="128"/>
      <c r="CB3322" s="128"/>
      <c r="CC3322" s="128"/>
      <c r="CD3322" s="128"/>
      <c r="CE3322" s="128"/>
      <c r="CF3322" s="128"/>
      <c r="CG3322" s="128"/>
      <c r="CI3322" s="128"/>
      <c r="CJ3322" s="128"/>
      <c r="CK3322" s="128"/>
      <c r="CL3322" s="128"/>
      <c r="CM3322" s="128"/>
      <c r="CN3322" s="128"/>
      <c r="CO3322" s="128"/>
      <c r="CP3322" s="128"/>
      <c r="CQ3322" s="128"/>
      <c r="CR3322" s="128"/>
      <c r="CS3322" s="128"/>
      <c r="CT3322" s="128"/>
      <c r="CU3322" s="128"/>
      <c r="CV3322" s="128"/>
      <c r="CW3322" s="128"/>
      <c r="CX3322" s="128"/>
      <c r="CY3322" s="128"/>
      <c r="CZ3322" s="165"/>
    </row>
    <row r="3323" spans="1:104">
      <c r="A3323" s="149"/>
      <c r="B3323" s="149"/>
      <c r="C3323" s="150"/>
      <c r="D3323" s="102"/>
      <c r="E3323" s="149"/>
      <c r="F3323" s="149"/>
      <c r="G3323" s="149"/>
      <c r="H3323" s="149"/>
      <c r="I3323" s="149"/>
      <c r="J3323" s="149"/>
      <c r="K3323" s="149"/>
      <c r="L3323" s="149"/>
      <c r="M3323" s="149"/>
      <c r="N3323" s="149"/>
      <c r="O3323" s="149"/>
      <c r="P3323" s="149"/>
      <c r="Q3323" s="149"/>
      <c r="R3323" s="149"/>
      <c r="S3323" s="149"/>
      <c r="T3323" s="149"/>
      <c r="U3323" s="149"/>
      <c r="V3323" s="149"/>
      <c r="W3323" s="149"/>
      <c r="X3323" s="149"/>
      <c r="Y3323" s="149"/>
      <c r="Z3323" s="149"/>
      <c r="AA3323" s="149"/>
      <c r="AB3323" s="149"/>
      <c r="AC3323" s="149"/>
      <c r="AD3323" s="149"/>
      <c r="AE3323" s="149"/>
      <c r="AF3323" s="149"/>
      <c r="AG3323" s="149"/>
      <c r="AH3323" s="149"/>
      <c r="AI3323" s="149"/>
      <c r="AJ3323" s="149"/>
      <c r="AK3323" s="149"/>
      <c r="AL3323" s="149"/>
      <c r="AM3323" s="149"/>
      <c r="AN3323" s="149"/>
      <c r="AO3323" s="128"/>
      <c r="AP3323" s="128"/>
      <c r="AQ3323" s="128"/>
      <c r="AR3323" s="128"/>
      <c r="AS3323" s="128"/>
      <c r="AT3323" s="128"/>
      <c r="AU3323" s="128"/>
      <c r="AV3323" s="128"/>
      <c r="AW3323" s="128"/>
      <c r="AX3323" s="128"/>
      <c r="AY3323" s="128"/>
      <c r="AZ3323" s="128"/>
      <c r="BA3323" s="128"/>
      <c r="BB3323" s="128"/>
      <c r="BC3323" s="128"/>
      <c r="BD3323" s="128"/>
      <c r="BE3323" s="128"/>
      <c r="BF3323" s="128"/>
      <c r="BG3323" s="128"/>
      <c r="BH3323" s="128"/>
      <c r="BI3323" s="128"/>
      <c r="BJ3323" s="128"/>
      <c r="BK3323" s="128"/>
      <c r="BL3323" s="128"/>
      <c r="BM3323" s="151"/>
      <c r="BN3323" s="128"/>
      <c r="BO3323" s="128"/>
      <c r="BP3323" s="128"/>
      <c r="BQ3323" s="128"/>
      <c r="BR3323" s="128"/>
      <c r="BS3323" s="128"/>
      <c r="BT3323" s="128"/>
      <c r="BU3323" s="128"/>
      <c r="BV3323" s="128"/>
      <c r="BW3323" s="128"/>
      <c r="BX3323" s="128"/>
      <c r="BY3323" s="128"/>
      <c r="BZ3323" s="128"/>
      <c r="CA3323" s="128"/>
      <c r="CB3323" s="128"/>
      <c r="CC3323" s="128"/>
      <c r="CD3323" s="128"/>
      <c r="CE3323" s="128"/>
      <c r="CF3323" s="128"/>
      <c r="CG3323" s="128"/>
      <c r="CI3323" s="128"/>
      <c r="CJ3323" s="128"/>
      <c r="CK3323" s="128"/>
      <c r="CL3323" s="128"/>
      <c r="CM3323" s="128"/>
      <c r="CN3323" s="128"/>
      <c r="CO3323" s="128"/>
      <c r="CP3323" s="128"/>
      <c r="CQ3323" s="128"/>
      <c r="CR3323" s="128"/>
      <c r="CS3323" s="128"/>
      <c r="CT3323" s="128"/>
      <c r="CU3323" s="128"/>
      <c r="CV3323" s="128"/>
      <c r="CW3323" s="128"/>
      <c r="CX3323" s="128"/>
      <c r="CY3323" s="128"/>
      <c r="CZ3323" s="165"/>
    </row>
    <row r="3324" spans="1:104">
      <c r="A3324" s="149"/>
      <c r="B3324" s="149"/>
      <c r="C3324" s="150"/>
      <c r="D3324" s="102"/>
      <c r="E3324" s="149"/>
      <c r="F3324" s="149"/>
      <c r="G3324" s="149"/>
      <c r="H3324" s="149"/>
      <c r="I3324" s="149"/>
      <c r="J3324" s="149"/>
      <c r="K3324" s="149"/>
      <c r="L3324" s="149"/>
      <c r="M3324" s="149"/>
      <c r="N3324" s="149"/>
      <c r="O3324" s="149"/>
      <c r="P3324" s="149"/>
      <c r="Q3324" s="149"/>
      <c r="R3324" s="149"/>
      <c r="S3324" s="149"/>
      <c r="T3324" s="149"/>
      <c r="U3324" s="149"/>
      <c r="V3324" s="149"/>
      <c r="W3324" s="149"/>
      <c r="X3324" s="149"/>
      <c r="Y3324" s="149"/>
      <c r="Z3324" s="149"/>
      <c r="AA3324" s="149"/>
      <c r="AB3324" s="149"/>
      <c r="AC3324" s="149"/>
      <c r="AD3324" s="149"/>
      <c r="AE3324" s="149"/>
      <c r="AF3324" s="149"/>
      <c r="AG3324" s="149"/>
      <c r="AH3324" s="149"/>
      <c r="AI3324" s="149"/>
      <c r="AJ3324" s="149"/>
      <c r="AK3324" s="149"/>
      <c r="AL3324" s="149"/>
      <c r="AM3324" s="149"/>
      <c r="AN3324" s="149"/>
      <c r="AO3324" s="128"/>
      <c r="AP3324" s="128"/>
      <c r="AQ3324" s="128"/>
      <c r="AR3324" s="128"/>
      <c r="AS3324" s="128"/>
      <c r="AT3324" s="128"/>
      <c r="AU3324" s="128"/>
      <c r="AV3324" s="128"/>
      <c r="AW3324" s="128"/>
      <c r="AX3324" s="128"/>
      <c r="AY3324" s="128"/>
      <c r="AZ3324" s="128"/>
      <c r="BA3324" s="128"/>
      <c r="BB3324" s="128"/>
      <c r="BC3324" s="128"/>
      <c r="BD3324" s="128"/>
      <c r="BE3324" s="128"/>
      <c r="BF3324" s="128"/>
      <c r="BG3324" s="128"/>
      <c r="BH3324" s="128"/>
      <c r="BI3324" s="128"/>
      <c r="BJ3324" s="128"/>
      <c r="BK3324" s="128"/>
      <c r="BL3324" s="128"/>
      <c r="BM3324" s="151"/>
      <c r="BN3324" s="128"/>
      <c r="BO3324" s="128"/>
      <c r="BP3324" s="128"/>
      <c r="BQ3324" s="128"/>
      <c r="BR3324" s="128"/>
      <c r="BS3324" s="128"/>
      <c r="BT3324" s="128"/>
      <c r="BU3324" s="128"/>
      <c r="BV3324" s="128"/>
      <c r="BW3324" s="128"/>
      <c r="BX3324" s="128"/>
      <c r="BY3324" s="128"/>
      <c r="BZ3324" s="128"/>
      <c r="CA3324" s="128"/>
      <c r="CB3324" s="128"/>
      <c r="CC3324" s="128"/>
      <c r="CD3324" s="128"/>
      <c r="CE3324" s="128"/>
      <c r="CF3324" s="128"/>
      <c r="CG3324" s="128"/>
      <c r="CI3324" s="128"/>
      <c r="CJ3324" s="128"/>
      <c r="CK3324" s="128"/>
      <c r="CL3324" s="128"/>
      <c r="CM3324" s="128"/>
      <c r="CN3324" s="128"/>
      <c r="CO3324" s="128"/>
      <c r="CP3324" s="128"/>
      <c r="CQ3324" s="128"/>
      <c r="CR3324" s="128"/>
      <c r="CS3324" s="128"/>
      <c r="CT3324" s="128"/>
      <c r="CU3324" s="128"/>
      <c r="CV3324" s="128"/>
      <c r="CW3324" s="128"/>
      <c r="CX3324" s="128"/>
      <c r="CY3324" s="128"/>
      <c r="CZ3324" s="165"/>
    </row>
    <row r="3325" spans="1:104">
      <c r="A3325" s="149"/>
      <c r="B3325" s="149"/>
      <c r="C3325" s="150"/>
      <c r="D3325" s="102"/>
      <c r="E3325" s="149"/>
      <c r="F3325" s="149"/>
      <c r="G3325" s="149"/>
      <c r="H3325" s="149"/>
      <c r="I3325" s="149"/>
      <c r="J3325" s="149"/>
      <c r="K3325" s="149"/>
      <c r="L3325" s="149"/>
      <c r="M3325" s="149"/>
      <c r="N3325" s="149"/>
      <c r="O3325" s="149"/>
      <c r="P3325" s="149"/>
      <c r="Q3325" s="149"/>
      <c r="R3325" s="149"/>
      <c r="S3325" s="149"/>
      <c r="T3325" s="149"/>
      <c r="U3325" s="149"/>
      <c r="V3325" s="149"/>
      <c r="W3325" s="149"/>
      <c r="X3325" s="149"/>
      <c r="Y3325" s="149"/>
      <c r="Z3325" s="149"/>
      <c r="AA3325" s="149"/>
      <c r="AB3325" s="149"/>
      <c r="AC3325" s="149"/>
      <c r="AD3325" s="149"/>
      <c r="AE3325" s="149"/>
      <c r="AF3325" s="149"/>
      <c r="AG3325" s="149"/>
      <c r="AH3325" s="149"/>
      <c r="AI3325" s="149"/>
      <c r="AJ3325" s="149"/>
      <c r="AK3325" s="149"/>
      <c r="AL3325" s="149"/>
      <c r="AM3325" s="149"/>
      <c r="AN3325" s="149"/>
      <c r="AO3325" s="128"/>
      <c r="AP3325" s="128"/>
      <c r="AQ3325" s="128"/>
      <c r="AR3325" s="128"/>
      <c r="AS3325" s="128"/>
      <c r="AT3325" s="128"/>
      <c r="AU3325" s="128"/>
      <c r="AV3325" s="128"/>
      <c r="AW3325" s="128"/>
      <c r="AX3325" s="128"/>
      <c r="AY3325" s="128"/>
      <c r="AZ3325" s="128"/>
      <c r="BA3325" s="128"/>
      <c r="BB3325" s="128"/>
      <c r="BC3325" s="128"/>
      <c r="BD3325" s="128"/>
      <c r="BE3325" s="128"/>
      <c r="BF3325" s="128"/>
      <c r="BG3325" s="128"/>
      <c r="BH3325" s="128"/>
      <c r="BI3325" s="128"/>
      <c r="BJ3325" s="128"/>
      <c r="BK3325" s="128"/>
      <c r="BL3325" s="128"/>
      <c r="BM3325" s="151"/>
      <c r="BN3325" s="128"/>
      <c r="BO3325" s="128"/>
      <c r="BP3325" s="128"/>
      <c r="BQ3325" s="128"/>
      <c r="BR3325" s="128"/>
      <c r="BS3325" s="128"/>
      <c r="BT3325" s="128"/>
      <c r="BU3325" s="128"/>
      <c r="BV3325" s="128"/>
      <c r="BW3325" s="128"/>
      <c r="BX3325" s="128"/>
      <c r="BY3325" s="128"/>
      <c r="BZ3325" s="128"/>
      <c r="CA3325" s="128"/>
      <c r="CB3325" s="128"/>
      <c r="CC3325" s="128"/>
      <c r="CD3325" s="128"/>
      <c r="CE3325" s="128"/>
      <c r="CF3325" s="128"/>
      <c r="CG3325" s="128"/>
      <c r="CI3325" s="128"/>
      <c r="CJ3325" s="128"/>
      <c r="CK3325" s="128"/>
      <c r="CL3325" s="128"/>
      <c r="CM3325" s="128"/>
      <c r="CN3325" s="128"/>
      <c r="CO3325" s="128"/>
      <c r="CP3325" s="128"/>
      <c r="CQ3325" s="128"/>
      <c r="CR3325" s="128"/>
      <c r="CS3325" s="128"/>
      <c r="CT3325" s="128"/>
      <c r="CU3325" s="128"/>
      <c r="CV3325" s="128"/>
      <c r="CW3325" s="128"/>
      <c r="CX3325" s="128"/>
      <c r="CY3325" s="128"/>
      <c r="CZ3325" s="165"/>
    </row>
    <row r="3326" spans="1:104">
      <c r="A3326" s="149"/>
      <c r="B3326" s="149"/>
      <c r="C3326" s="150"/>
      <c r="D3326" s="102"/>
      <c r="E3326" s="149"/>
      <c r="F3326" s="149"/>
      <c r="G3326" s="149"/>
      <c r="H3326" s="149"/>
      <c r="I3326" s="149"/>
      <c r="J3326" s="149"/>
      <c r="K3326" s="149"/>
      <c r="L3326" s="149"/>
      <c r="M3326" s="149"/>
      <c r="N3326" s="149"/>
      <c r="O3326" s="149"/>
      <c r="P3326" s="149"/>
      <c r="Q3326" s="149"/>
      <c r="R3326" s="149"/>
      <c r="S3326" s="149"/>
      <c r="T3326" s="149"/>
      <c r="U3326" s="149"/>
      <c r="V3326" s="149"/>
      <c r="W3326" s="149"/>
      <c r="X3326" s="149"/>
      <c r="Y3326" s="149"/>
      <c r="Z3326" s="149"/>
      <c r="AA3326" s="149"/>
      <c r="AB3326" s="149"/>
      <c r="AC3326" s="149"/>
      <c r="AD3326" s="149"/>
      <c r="AE3326" s="149"/>
      <c r="AF3326" s="149"/>
      <c r="AG3326" s="149"/>
      <c r="AH3326" s="149"/>
      <c r="AI3326" s="149"/>
      <c r="AJ3326" s="149"/>
      <c r="AK3326" s="149"/>
      <c r="AL3326" s="149"/>
      <c r="AM3326" s="149"/>
      <c r="AN3326" s="149"/>
      <c r="AO3326" s="128"/>
      <c r="AP3326" s="128"/>
      <c r="AQ3326" s="128"/>
      <c r="AR3326" s="128"/>
      <c r="AS3326" s="128"/>
      <c r="AT3326" s="128"/>
      <c r="AU3326" s="128"/>
      <c r="AV3326" s="128"/>
      <c r="AW3326" s="128"/>
      <c r="AX3326" s="128"/>
      <c r="AY3326" s="128"/>
      <c r="AZ3326" s="128"/>
      <c r="BA3326" s="128"/>
      <c r="BB3326" s="128"/>
      <c r="BC3326" s="128"/>
      <c r="BD3326" s="128"/>
      <c r="BE3326" s="128"/>
      <c r="BF3326" s="128"/>
      <c r="BG3326" s="128"/>
      <c r="BH3326" s="128"/>
      <c r="BI3326" s="128"/>
      <c r="BJ3326" s="128"/>
      <c r="BK3326" s="128"/>
      <c r="BL3326" s="128"/>
      <c r="BM3326" s="151"/>
      <c r="BN3326" s="128"/>
      <c r="BO3326" s="128"/>
      <c r="BP3326" s="128"/>
      <c r="BQ3326" s="128"/>
      <c r="BR3326" s="128"/>
      <c r="BS3326" s="128"/>
      <c r="BT3326" s="128"/>
      <c r="BU3326" s="128"/>
      <c r="BV3326" s="128"/>
      <c r="BW3326" s="128"/>
      <c r="BX3326" s="128"/>
      <c r="BY3326" s="128"/>
      <c r="BZ3326" s="128"/>
      <c r="CA3326" s="128"/>
      <c r="CB3326" s="128"/>
      <c r="CC3326" s="128"/>
      <c r="CD3326" s="128"/>
      <c r="CE3326" s="128"/>
      <c r="CF3326" s="128"/>
      <c r="CG3326" s="128"/>
      <c r="CI3326" s="128"/>
      <c r="CJ3326" s="128"/>
      <c r="CK3326" s="128"/>
      <c r="CL3326" s="128"/>
      <c r="CM3326" s="128"/>
      <c r="CN3326" s="128"/>
      <c r="CO3326" s="128"/>
      <c r="CP3326" s="128"/>
      <c r="CQ3326" s="128"/>
      <c r="CR3326" s="128"/>
      <c r="CS3326" s="128"/>
      <c r="CT3326" s="128"/>
      <c r="CU3326" s="128"/>
      <c r="CV3326" s="128"/>
      <c r="CW3326" s="128"/>
      <c r="CX3326" s="128"/>
      <c r="CY3326" s="128"/>
      <c r="CZ3326" s="165"/>
    </row>
    <row r="3327" spans="1:104">
      <c r="A3327" s="149"/>
      <c r="B3327" s="149"/>
      <c r="C3327" s="150"/>
      <c r="D3327" s="102"/>
      <c r="E3327" s="149"/>
      <c r="F3327" s="149"/>
      <c r="G3327" s="149"/>
      <c r="H3327" s="149"/>
      <c r="I3327" s="149"/>
      <c r="J3327" s="149"/>
      <c r="K3327" s="149"/>
      <c r="L3327" s="149"/>
      <c r="M3327" s="149"/>
      <c r="N3327" s="149"/>
      <c r="O3327" s="149"/>
      <c r="P3327" s="149"/>
      <c r="Q3327" s="149"/>
      <c r="R3327" s="149"/>
      <c r="S3327" s="149"/>
      <c r="T3327" s="149"/>
      <c r="U3327" s="149"/>
      <c r="V3327" s="149"/>
      <c r="W3327" s="149"/>
      <c r="X3327" s="149"/>
      <c r="Y3327" s="149"/>
      <c r="Z3327" s="149"/>
      <c r="AA3327" s="149"/>
      <c r="AB3327" s="149"/>
      <c r="AC3327" s="149"/>
      <c r="AD3327" s="149"/>
      <c r="AE3327" s="149"/>
      <c r="AF3327" s="149"/>
      <c r="AG3327" s="149"/>
      <c r="AH3327" s="149"/>
      <c r="AI3327" s="149"/>
      <c r="AJ3327" s="149"/>
      <c r="AK3327" s="149"/>
      <c r="AL3327" s="149"/>
      <c r="AM3327" s="149"/>
      <c r="AN3327" s="149"/>
      <c r="AO3327" s="128"/>
      <c r="AP3327" s="128"/>
      <c r="AQ3327" s="128"/>
      <c r="AR3327" s="128"/>
      <c r="AS3327" s="128"/>
      <c r="AT3327" s="128"/>
      <c r="AU3327" s="128"/>
      <c r="AV3327" s="128"/>
      <c r="AW3327" s="128"/>
      <c r="AX3327" s="128"/>
      <c r="AY3327" s="128"/>
      <c r="AZ3327" s="128"/>
      <c r="BA3327" s="128"/>
      <c r="BB3327" s="128"/>
      <c r="BC3327" s="128"/>
      <c r="BD3327" s="128"/>
      <c r="BE3327" s="128"/>
      <c r="BF3327" s="128"/>
      <c r="BG3327" s="128"/>
      <c r="BH3327" s="128"/>
      <c r="BI3327" s="128"/>
      <c r="BJ3327" s="128"/>
      <c r="BK3327" s="128"/>
      <c r="BL3327" s="128"/>
      <c r="BM3327" s="151"/>
      <c r="BN3327" s="128"/>
      <c r="BO3327" s="128"/>
      <c r="BP3327" s="128"/>
      <c r="BQ3327" s="128"/>
      <c r="BR3327" s="128"/>
      <c r="BS3327" s="128"/>
      <c r="BT3327" s="128"/>
      <c r="BU3327" s="128"/>
      <c r="BV3327" s="128"/>
      <c r="BW3327" s="128"/>
      <c r="BX3327" s="128"/>
      <c r="BY3327" s="128"/>
      <c r="BZ3327" s="128"/>
      <c r="CA3327" s="128"/>
      <c r="CB3327" s="128"/>
      <c r="CC3327" s="128"/>
      <c r="CD3327" s="128"/>
      <c r="CE3327" s="128"/>
      <c r="CF3327" s="128"/>
      <c r="CG3327" s="128"/>
      <c r="CI3327" s="128"/>
      <c r="CJ3327" s="128"/>
      <c r="CK3327" s="128"/>
      <c r="CL3327" s="128"/>
      <c r="CM3327" s="128"/>
      <c r="CN3327" s="128"/>
      <c r="CO3327" s="128"/>
      <c r="CP3327" s="128"/>
      <c r="CQ3327" s="128"/>
      <c r="CR3327" s="128"/>
      <c r="CS3327" s="128"/>
      <c r="CT3327" s="128"/>
      <c r="CU3327" s="128"/>
      <c r="CV3327" s="128"/>
      <c r="CW3327" s="128"/>
      <c r="CX3327" s="128"/>
      <c r="CY3327" s="128"/>
      <c r="CZ3327" s="165"/>
    </row>
    <row r="3328" spans="1:104">
      <c r="A3328" s="149"/>
      <c r="B3328" s="149"/>
      <c r="C3328" s="150"/>
      <c r="D3328" s="102"/>
      <c r="E3328" s="149"/>
      <c r="F3328" s="149"/>
      <c r="G3328" s="149"/>
      <c r="H3328" s="149"/>
      <c r="I3328" s="149"/>
      <c r="J3328" s="149"/>
      <c r="K3328" s="149"/>
      <c r="L3328" s="149"/>
      <c r="M3328" s="149"/>
      <c r="N3328" s="149"/>
      <c r="O3328" s="149"/>
      <c r="P3328" s="149"/>
      <c r="Q3328" s="149"/>
      <c r="R3328" s="149"/>
      <c r="S3328" s="149"/>
      <c r="T3328" s="149"/>
      <c r="U3328" s="149"/>
      <c r="V3328" s="149"/>
      <c r="W3328" s="149"/>
      <c r="X3328" s="149"/>
      <c r="Y3328" s="149"/>
      <c r="Z3328" s="149"/>
      <c r="AA3328" s="149"/>
      <c r="AB3328" s="149"/>
      <c r="AC3328" s="149"/>
      <c r="AD3328" s="149"/>
      <c r="AE3328" s="149"/>
      <c r="AF3328" s="149"/>
      <c r="AG3328" s="149"/>
      <c r="AH3328" s="149"/>
      <c r="AI3328" s="149"/>
      <c r="AJ3328" s="149"/>
      <c r="AK3328" s="149"/>
      <c r="AL3328" s="149"/>
      <c r="AM3328" s="149"/>
      <c r="AN3328" s="149"/>
      <c r="AO3328" s="128"/>
      <c r="AP3328" s="128"/>
      <c r="AQ3328" s="128"/>
      <c r="AR3328" s="128"/>
      <c r="AS3328" s="128"/>
      <c r="AT3328" s="128"/>
      <c r="AU3328" s="128"/>
      <c r="AV3328" s="128"/>
      <c r="AW3328" s="128"/>
      <c r="AX3328" s="128"/>
      <c r="AY3328" s="128"/>
      <c r="AZ3328" s="128"/>
      <c r="BA3328" s="128"/>
      <c r="BB3328" s="128"/>
      <c r="BC3328" s="128"/>
      <c r="BD3328" s="128"/>
      <c r="BE3328" s="128"/>
      <c r="BF3328" s="128"/>
      <c r="BG3328" s="128"/>
      <c r="BH3328" s="128"/>
      <c r="BI3328" s="128"/>
      <c r="BJ3328" s="128"/>
      <c r="BK3328" s="128"/>
      <c r="BL3328" s="128"/>
      <c r="BM3328" s="151"/>
      <c r="BN3328" s="128"/>
      <c r="BO3328" s="128"/>
      <c r="BP3328" s="128"/>
      <c r="BQ3328" s="128"/>
      <c r="BR3328" s="128"/>
      <c r="BS3328" s="128"/>
      <c r="BT3328" s="128"/>
      <c r="BU3328" s="128"/>
      <c r="BV3328" s="128"/>
      <c r="BW3328" s="128"/>
      <c r="BX3328" s="128"/>
      <c r="BY3328" s="128"/>
      <c r="BZ3328" s="128"/>
      <c r="CA3328" s="128"/>
      <c r="CB3328" s="128"/>
      <c r="CC3328" s="128"/>
      <c r="CD3328" s="128"/>
      <c r="CE3328" s="128"/>
      <c r="CF3328" s="128"/>
      <c r="CG3328" s="128"/>
      <c r="CI3328" s="128"/>
      <c r="CJ3328" s="128"/>
      <c r="CK3328" s="128"/>
      <c r="CL3328" s="128"/>
      <c r="CM3328" s="128"/>
      <c r="CN3328" s="128"/>
      <c r="CO3328" s="128"/>
      <c r="CP3328" s="128"/>
      <c r="CQ3328" s="128"/>
      <c r="CR3328" s="128"/>
      <c r="CS3328" s="128"/>
      <c r="CT3328" s="128"/>
      <c r="CU3328" s="128"/>
      <c r="CV3328" s="128"/>
      <c r="CW3328" s="128"/>
      <c r="CX3328" s="128"/>
      <c r="CY3328" s="128"/>
      <c r="CZ3328" s="165"/>
    </row>
    <row r="3329" spans="1:104">
      <c r="A3329" s="149"/>
      <c r="B3329" s="149"/>
      <c r="C3329" s="150"/>
      <c r="D3329" s="102"/>
      <c r="E3329" s="149"/>
      <c r="F3329" s="149"/>
      <c r="G3329" s="149"/>
      <c r="H3329" s="149"/>
      <c r="I3329" s="149"/>
      <c r="J3329" s="149"/>
      <c r="K3329" s="149"/>
      <c r="L3329" s="149"/>
      <c r="M3329" s="149"/>
      <c r="N3329" s="149"/>
      <c r="O3329" s="149"/>
      <c r="P3329" s="149"/>
      <c r="Q3329" s="149"/>
      <c r="R3329" s="149"/>
      <c r="S3329" s="149"/>
      <c r="T3329" s="149"/>
      <c r="U3329" s="149"/>
      <c r="V3329" s="149"/>
      <c r="W3329" s="149"/>
      <c r="X3329" s="149"/>
      <c r="Y3329" s="149"/>
      <c r="Z3329" s="149"/>
      <c r="AA3329" s="149"/>
      <c r="AB3329" s="149"/>
      <c r="AC3329" s="149"/>
      <c r="AD3329" s="149"/>
      <c r="AE3329" s="149"/>
      <c r="AF3329" s="149"/>
      <c r="AG3329" s="149"/>
      <c r="AH3329" s="149"/>
      <c r="AI3329" s="149"/>
      <c r="AJ3329" s="149"/>
      <c r="AK3329" s="149"/>
      <c r="AL3329" s="149"/>
      <c r="AM3329" s="149"/>
      <c r="AN3329" s="149"/>
      <c r="AO3329" s="128"/>
      <c r="AP3329" s="128"/>
      <c r="AQ3329" s="128"/>
      <c r="AR3329" s="128"/>
      <c r="AS3329" s="128"/>
      <c r="AT3329" s="128"/>
      <c r="AU3329" s="128"/>
      <c r="AV3329" s="128"/>
      <c r="AW3329" s="128"/>
      <c r="AX3329" s="128"/>
      <c r="AY3329" s="128"/>
      <c r="AZ3329" s="128"/>
      <c r="BA3329" s="128"/>
      <c r="BB3329" s="128"/>
      <c r="BC3329" s="128"/>
      <c r="BD3329" s="128"/>
      <c r="BE3329" s="128"/>
      <c r="BF3329" s="128"/>
      <c r="BG3329" s="128"/>
      <c r="BH3329" s="128"/>
      <c r="BI3329" s="128"/>
      <c r="BJ3329" s="128"/>
      <c r="BK3329" s="128"/>
      <c r="BL3329" s="128"/>
      <c r="BM3329" s="151"/>
      <c r="BN3329" s="128"/>
      <c r="BO3329" s="128"/>
      <c r="BP3329" s="128"/>
      <c r="BQ3329" s="128"/>
      <c r="BR3329" s="128"/>
      <c r="BS3329" s="128"/>
      <c r="BT3329" s="128"/>
      <c r="BU3329" s="128"/>
      <c r="BV3329" s="128"/>
      <c r="BW3329" s="128"/>
      <c r="BX3329" s="128"/>
      <c r="BY3329" s="128"/>
      <c r="BZ3329" s="128"/>
      <c r="CA3329" s="128"/>
      <c r="CB3329" s="128"/>
      <c r="CC3329" s="128"/>
      <c r="CD3329" s="128"/>
      <c r="CE3329" s="128"/>
      <c r="CF3329" s="128"/>
      <c r="CG3329" s="128"/>
      <c r="CI3329" s="128"/>
      <c r="CJ3329" s="128"/>
      <c r="CK3329" s="128"/>
      <c r="CL3329" s="128"/>
      <c r="CM3329" s="128"/>
      <c r="CN3329" s="128"/>
      <c r="CO3329" s="128"/>
      <c r="CP3329" s="128"/>
      <c r="CQ3329" s="128"/>
      <c r="CR3329" s="128"/>
      <c r="CS3329" s="128"/>
      <c r="CT3329" s="128"/>
      <c r="CU3329" s="128"/>
      <c r="CV3329" s="128"/>
      <c r="CW3329" s="128"/>
      <c r="CX3329" s="128"/>
      <c r="CY3329" s="128"/>
      <c r="CZ3329" s="165"/>
    </row>
    <row r="3330" spans="1:104">
      <c r="A3330" s="149"/>
      <c r="B3330" s="149"/>
      <c r="C3330" s="150"/>
      <c r="D3330" s="102"/>
      <c r="E3330" s="149"/>
      <c r="F3330" s="149"/>
      <c r="G3330" s="149"/>
      <c r="H3330" s="149"/>
      <c r="I3330" s="149"/>
      <c r="J3330" s="149"/>
      <c r="K3330" s="149"/>
      <c r="L3330" s="149"/>
      <c r="M3330" s="149"/>
      <c r="N3330" s="149"/>
      <c r="O3330" s="149"/>
      <c r="P3330" s="149"/>
      <c r="Q3330" s="149"/>
      <c r="R3330" s="149"/>
      <c r="S3330" s="149"/>
      <c r="T3330" s="149"/>
      <c r="U3330" s="149"/>
      <c r="V3330" s="149"/>
      <c r="W3330" s="149"/>
      <c r="X3330" s="149"/>
      <c r="Y3330" s="149"/>
      <c r="Z3330" s="149"/>
      <c r="AA3330" s="149"/>
      <c r="AB3330" s="149"/>
      <c r="AC3330" s="149"/>
      <c r="AD3330" s="149"/>
      <c r="AE3330" s="149"/>
      <c r="AF3330" s="149"/>
      <c r="AG3330" s="149"/>
      <c r="AH3330" s="149"/>
      <c r="AI3330" s="149"/>
      <c r="AJ3330" s="149"/>
      <c r="AK3330" s="149"/>
      <c r="AL3330" s="149"/>
      <c r="AM3330" s="149"/>
      <c r="AN3330" s="149"/>
      <c r="AO3330" s="128"/>
      <c r="AP3330" s="128"/>
      <c r="AQ3330" s="128"/>
      <c r="AR3330" s="128"/>
      <c r="AS3330" s="128"/>
      <c r="AT3330" s="128"/>
      <c r="AU3330" s="128"/>
      <c r="AV3330" s="128"/>
      <c r="AW3330" s="128"/>
      <c r="AX3330" s="128"/>
      <c r="AY3330" s="128"/>
      <c r="AZ3330" s="128"/>
      <c r="BA3330" s="128"/>
      <c r="BB3330" s="128"/>
      <c r="BC3330" s="128"/>
      <c r="BD3330" s="128"/>
      <c r="BE3330" s="128"/>
      <c r="BF3330" s="128"/>
      <c r="BG3330" s="128"/>
      <c r="BH3330" s="128"/>
      <c r="BI3330" s="128"/>
      <c r="BJ3330" s="128"/>
      <c r="BK3330" s="128"/>
      <c r="BL3330" s="128"/>
      <c r="BM3330" s="151"/>
      <c r="BN3330" s="128"/>
      <c r="BO3330" s="128"/>
      <c r="BP3330" s="128"/>
      <c r="BQ3330" s="128"/>
      <c r="BR3330" s="128"/>
      <c r="BS3330" s="128"/>
      <c r="BT3330" s="128"/>
      <c r="BU3330" s="128"/>
      <c r="BV3330" s="128"/>
      <c r="BW3330" s="128"/>
      <c r="BX3330" s="128"/>
      <c r="BY3330" s="128"/>
      <c r="BZ3330" s="128"/>
      <c r="CA3330" s="128"/>
      <c r="CB3330" s="128"/>
      <c r="CC3330" s="128"/>
      <c r="CD3330" s="128"/>
      <c r="CE3330" s="128"/>
      <c r="CF3330" s="128"/>
      <c r="CG3330" s="128"/>
      <c r="CI3330" s="128"/>
      <c r="CJ3330" s="128"/>
      <c r="CK3330" s="128"/>
      <c r="CL3330" s="128"/>
      <c r="CM3330" s="128"/>
      <c r="CN3330" s="128"/>
      <c r="CO3330" s="128"/>
      <c r="CP3330" s="128"/>
      <c r="CQ3330" s="128"/>
      <c r="CR3330" s="128"/>
      <c r="CS3330" s="128"/>
      <c r="CT3330" s="128"/>
      <c r="CU3330" s="128"/>
      <c r="CV3330" s="128"/>
      <c r="CW3330" s="128"/>
      <c r="CX3330" s="128"/>
      <c r="CY3330" s="128"/>
      <c r="CZ3330" s="165"/>
    </row>
    <row r="3331" spans="1:104">
      <c r="A3331" s="149"/>
      <c r="B3331" s="149"/>
      <c r="C3331" s="150"/>
      <c r="D3331" s="102"/>
      <c r="E3331" s="149"/>
      <c r="F3331" s="149"/>
      <c r="G3331" s="149"/>
      <c r="H3331" s="149"/>
      <c r="I3331" s="149"/>
      <c r="J3331" s="149"/>
      <c r="K3331" s="149"/>
      <c r="L3331" s="149"/>
      <c r="M3331" s="149"/>
      <c r="N3331" s="149"/>
      <c r="O3331" s="149"/>
      <c r="P3331" s="149"/>
      <c r="Q3331" s="149"/>
      <c r="R3331" s="149"/>
      <c r="S3331" s="149"/>
      <c r="T3331" s="149"/>
      <c r="U3331" s="149"/>
      <c r="V3331" s="149"/>
      <c r="W3331" s="149"/>
      <c r="X3331" s="149"/>
      <c r="Y3331" s="149"/>
      <c r="Z3331" s="149"/>
      <c r="AA3331" s="149"/>
      <c r="AB3331" s="149"/>
      <c r="AC3331" s="149"/>
      <c r="AD3331" s="149"/>
      <c r="AE3331" s="149"/>
      <c r="AF3331" s="149"/>
      <c r="AG3331" s="149"/>
      <c r="AH3331" s="149"/>
      <c r="AI3331" s="149"/>
      <c r="AJ3331" s="149"/>
      <c r="AK3331" s="149"/>
      <c r="AL3331" s="149"/>
      <c r="AM3331" s="149"/>
      <c r="AN3331" s="149"/>
      <c r="AO3331" s="128"/>
      <c r="AP3331" s="128"/>
      <c r="AQ3331" s="128"/>
      <c r="AR3331" s="128"/>
      <c r="AS3331" s="128"/>
      <c r="AT3331" s="128"/>
      <c r="AU3331" s="128"/>
      <c r="AV3331" s="128"/>
      <c r="AW3331" s="128"/>
      <c r="AX3331" s="128"/>
      <c r="AY3331" s="128"/>
      <c r="AZ3331" s="128"/>
      <c r="BA3331" s="128"/>
      <c r="BB3331" s="128"/>
      <c r="BC3331" s="128"/>
      <c r="BD3331" s="128"/>
      <c r="BE3331" s="128"/>
      <c r="BF3331" s="128"/>
      <c r="BG3331" s="128"/>
      <c r="BH3331" s="128"/>
      <c r="BI3331" s="128"/>
      <c r="BJ3331" s="128"/>
      <c r="BK3331" s="128"/>
      <c r="BL3331" s="128"/>
      <c r="BM3331" s="151"/>
      <c r="BN3331" s="128"/>
      <c r="BO3331" s="128"/>
      <c r="BP3331" s="128"/>
      <c r="BQ3331" s="128"/>
      <c r="BR3331" s="128"/>
      <c r="BS3331" s="128"/>
      <c r="BT3331" s="128"/>
      <c r="BU3331" s="128"/>
      <c r="BV3331" s="128"/>
      <c r="BW3331" s="128"/>
      <c r="BX3331" s="128"/>
      <c r="BY3331" s="128"/>
      <c r="BZ3331" s="128"/>
      <c r="CA3331" s="128"/>
      <c r="CB3331" s="128"/>
      <c r="CC3331" s="128"/>
      <c r="CD3331" s="128"/>
      <c r="CE3331" s="128"/>
      <c r="CF3331" s="128"/>
      <c r="CG3331" s="128"/>
      <c r="CI3331" s="128"/>
      <c r="CJ3331" s="128"/>
      <c r="CK3331" s="128"/>
      <c r="CL3331" s="128"/>
      <c r="CM3331" s="128"/>
      <c r="CN3331" s="128"/>
      <c r="CO3331" s="128"/>
      <c r="CP3331" s="128"/>
      <c r="CQ3331" s="128"/>
      <c r="CR3331" s="128"/>
      <c r="CS3331" s="128"/>
      <c r="CT3331" s="128"/>
      <c r="CU3331" s="128"/>
      <c r="CV3331" s="128"/>
      <c r="CW3331" s="128"/>
      <c r="CX3331" s="128"/>
      <c r="CY3331" s="128"/>
      <c r="CZ3331" s="165"/>
    </row>
    <row r="3332" spans="1:104">
      <c r="A3332" s="149"/>
      <c r="B3332" s="149"/>
      <c r="C3332" s="150"/>
      <c r="D3332" s="102"/>
      <c r="E3332" s="149"/>
      <c r="F3332" s="149"/>
      <c r="G3332" s="149"/>
      <c r="H3332" s="149"/>
      <c r="I3332" s="149"/>
      <c r="J3332" s="149"/>
      <c r="K3332" s="149"/>
      <c r="L3332" s="149"/>
      <c r="M3332" s="149"/>
      <c r="N3332" s="149"/>
      <c r="O3332" s="149"/>
      <c r="P3332" s="149"/>
      <c r="Q3332" s="149"/>
      <c r="R3332" s="149"/>
      <c r="S3332" s="149"/>
      <c r="T3332" s="149"/>
      <c r="U3332" s="149"/>
      <c r="V3332" s="149"/>
      <c r="W3332" s="149"/>
      <c r="X3332" s="149"/>
      <c r="Y3332" s="149"/>
      <c r="Z3332" s="149"/>
      <c r="AA3332" s="149"/>
      <c r="AB3332" s="149"/>
      <c r="AC3332" s="149"/>
      <c r="AD3332" s="149"/>
      <c r="AE3332" s="149"/>
      <c r="AF3332" s="149"/>
      <c r="AG3332" s="149"/>
      <c r="AH3332" s="149"/>
      <c r="AI3332" s="149"/>
      <c r="AJ3332" s="149"/>
      <c r="AK3332" s="149"/>
      <c r="AL3332" s="149"/>
      <c r="AM3332" s="149"/>
      <c r="AN3332" s="149"/>
      <c r="AO3332" s="128"/>
      <c r="AP3332" s="128"/>
      <c r="AQ3332" s="128"/>
      <c r="AR3332" s="128"/>
      <c r="AS3332" s="128"/>
      <c r="AT3332" s="128"/>
      <c r="AU3332" s="128"/>
      <c r="AV3332" s="128"/>
      <c r="AW3332" s="128"/>
      <c r="AX3332" s="128"/>
      <c r="AY3332" s="128"/>
      <c r="AZ3332" s="128"/>
      <c r="BA3332" s="128"/>
      <c r="BB3332" s="128"/>
      <c r="BC3332" s="128"/>
      <c r="BD3332" s="128"/>
      <c r="BE3332" s="128"/>
      <c r="BF3332" s="128"/>
      <c r="BG3332" s="128"/>
      <c r="BH3332" s="128"/>
      <c r="BI3332" s="128"/>
      <c r="BJ3332" s="128"/>
      <c r="BK3332" s="128"/>
      <c r="BL3332" s="128"/>
      <c r="BM3332" s="151"/>
      <c r="BN3332" s="128"/>
      <c r="BO3332" s="128"/>
      <c r="BP3332" s="128"/>
      <c r="BQ3332" s="128"/>
      <c r="BR3332" s="128"/>
      <c r="BS3332" s="128"/>
      <c r="BT3332" s="128"/>
      <c r="BU3332" s="128"/>
      <c r="BV3332" s="128"/>
      <c r="BW3332" s="128"/>
      <c r="BX3332" s="128"/>
      <c r="BY3332" s="128"/>
      <c r="BZ3332" s="128"/>
      <c r="CA3332" s="128"/>
      <c r="CB3332" s="128"/>
      <c r="CC3332" s="128"/>
      <c r="CD3332" s="128"/>
      <c r="CE3332" s="128"/>
      <c r="CF3332" s="128"/>
      <c r="CG3332" s="128"/>
      <c r="CI3332" s="128"/>
      <c r="CJ3332" s="128"/>
      <c r="CK3332" s="128"/>
      <c r="CL3332" s="128"/>
      <c r="CM3332" s="128"/>
      <c r="CN3332" s="128"/>
      <c r="CO3332" s="128"/>
      <c r="CP3332" s="128"/>
      <c r="CQ3332" s="128"/>
      <c r="CR3332" s="128"/>
      <c r="CS3332" s="128"/>
      <c r="CT3332" s="128"/>
      <c r="CU3332" s="128"/>
      <c r="CV3332" s="128"/>
      <c r="CW3332" s="128"/>
      <c r="CX3332" s="128"/>
      <c r="CY3332" s="128"/>
      <c r="CZ3332" s="165"/>
    </row>
    <row r="3333" spans="1:104">
      <c r="A3333" s="149"/>
      <c r="B3333" s="149"/>
      <c r="C3333" s="150"/>
      <c r="D3333" s="102"/>
      <c r="E3333" s="149"/>
      <c r="F3333" s="149"/>
      <c r="G3333" s="149"/>
      <c r="H3333" s="149"/>
      <c r="I3333" s="149"/>
      <c r="J3333" s="149"/>
      <c r="K3333" s="149"/>
      <c r="L3333" s="149"/>
      <c r="M3333" s="149"/>
      <c r="N3333" s="149"/>
      <c r="O3333" s="149"/>
      <c r="P3333" s="149"/>
      <c r="Q3333" s="149"/>
      <c r="R3333" s="149"/>
      <c r="S3333" s="149"/>
      <c r="T3333" s="149"/>
      <c r="U3333" s="149"/>
      <c r="V3333" s="149"/>
      <c r="W3333" s="149"/>
      <c r="X3333" s="149"/>
      <c r="Y3333" s="149"/>
      <c r="Z3333" s="149"/>
      <c r="AA3333" s="149"/>
      <c r="AB3333" s="149"/>
      <c r="AC3333" s="149"/>
      <c r="AD3333" s="149"/>
      <c r="AE3333" s="149"/>
      <c r="AF3333" s="149"/>
      <c r="AG3333" s="149"/>
      <c r="AH3333" s="149"/>
      <c r="AI3333" s="149"/>
      <c r="AJ3333" s="149"/>
      <c r="AK3333" s="149"/>
      <c r="AL3333" s="149"/>
      <c r="AM3333" s="149"/>
      <c r="AN3333" s="149"/>
      <c r="AO3333" s="128"/>
      <c r="AP3333" s="128"/>
      <c r="AQ3333" s="128"/>
      <c r="AR3333" s="128"/>
      <c r="AS3333" s="128"/>
      <c r="AT3333" s="128"/>
      <c r="AU3333" s="128"/>
      <c r="AV3333" s="128"/>
      <c r="AW3333" s="128"/>
      <c r="AX3333" s="128"/>
      <c r="AY3333" s="128"/>
      <c r="AZ3333" s="128"/>
      <c r="BA3333" s="128"/>
      <c r="BB3333" s="128"/>
      <c r="BC3333" s="128"/>
      <c r="BD3333" s="128"/>
      <c r="BE3333" s="128"/>
      <c r="BF3333" s="128"/>
      <c r="BG3333" s="128"/>
      <c r="BH3333" s="128"/>
      <c r="BI3333" s="128"/>
      <c r="BJ3333" s="128"/>
      <c r="BK3333" s="128"/>
      <c r="BL3333" s="128"/>
      <c r="BM3333" s="151"/>
      <c r="BN3333" s="128"/>
      <c r="BO3333" s="128"/>
      <c r="BP3333" s="128"/>
      <c r="BQ3333" s="128"/>
      <c r="BR3333" s="128"/>
      <c r="BS3333" s="128"/>
      <c r="BT3333" s="128"/>
      <c r="BU3333" s="128"/>
      <c r="BV3333" s="128"/>
      <c r="BW3333" s="128"/>
      <c r="BX3333" s="128"/>
      <c r="BY3333" s="128"/>
      <c r="BZ3333" s="128"/>
      <c r="CA3333" s="128"/>
      <c r="CB3333" s="128"/>
      <c r="CC3333" s="128"/>
      <c r="CD3333" s="128"/>
      <c r="CE3333" s="128"/>
      <c r="CF3333" s="128"/>
      <c r="CG3333" s="128"/>
      <c r="CI3333" s="128"/>
      <c r="CJ3333" s="128"/>
      <c r="CK3333" s="128"/>
      <c r="CL3333" s="128"/>
      <c r="CM3333" s="128"/>
      <c r="CN3333" s="128"/>
      <c r="CO3333" s="128"/>
      <c r="CP3333" s="128"/>
      <c r="CQ3333" s="128"/>
      <c r="CR3333" s="128"/>
      <c r="CS3333" s="128"/>
      <c r="CT3333" s="128"/>
      <c r="CU3333" s="128"/>
      <c r="CV3333" s="128"/>
      <c r="CW3333" s="128"/>
      <c r="CX3333" s="128"/>
      <c r="CY3333" s="128"/>
      <c r="CZ3333" s="165"/>
    </row>
    <row r="3334" spans="1:104">
      <c r="A3334" s="149"/>
      <c r="B3334" s="149"/>
      <c r="C3334" s="150"/>
      <c r="D3334" s="102"/>
      <c r="E3334" s="149"/>
      <c r="F3334" s="149"/>
      <c r="G3334" s="149"/>
      <c r="H3334" s="149"/>
      <c r="I3334" s="149"/>
      <c r="J3334" s="149"/>
      <c r="K3334" s="149"/>
      <c r="L3334" s="149"/>
      <c r="M3334" s="149"/>
      <c r="N3334" s="149"/>
      <c r="O3334" s="149"/>
      <c r="P3334" s="149"/>
      <c r="Q3334" s="149"/>
      <c r="R3334" s="149"/>
      <c r="S3334" s="149"/>
      <c r="T3334" s="149"/>
      <c r="U3334" s="149"/>
      <c r="V3334" s="149"/>
      <c r="W3334" s="149"/>
      <c r="X3334" s="149"/>
      <c r="Y3334" s="149"/>
      <c r="Z3334" s="149"/>
      <c r="AA3334" s="149"/>
      <c r="AB3334" s="149"/>
      <c r="AC3334" s="149"/>
      <c r="AD3334" s="149"/>
      <c r="AE3334" s="149"/>
      <c r="AF3334" s="149"/>
      <c r="AG3334" s="149"/>
      <c r="AH3334" s="149"/>
      <c r="AI3334" s="149"/>
      <c r="AJ3334" s="149"/>
      <c r="AK3334" s="149"/>
      <c r="AL3334" s="149"/>
      <c r="AM3334" s="149"/>
      <c r="AN3334" s="149"/>
      <c r="AO3334" s="128"/>
      <c r="AP3334" s="128"/>
      <c r="AQ3334" s="128"/>
      <c r="AR3334" s="128"/>
      <c r="AS3334" s="128"/>
      <c r="AT3334" s="128"/>
      <c r="AU3334" s="128"/>
      <c r="AV3334" s="128"/>
      <c r="AW3334" s="128"/>
      <c r="AX3334" s="128"/>
      <c r="AY3334" s="128"/>
      <c r="AZ3334" s="128"/>
      <c r="BA3334" s="128"/>
      <c r="BB3334" s="128"/>
      <c r="BC3334" s="128"/>
      <c r="BD3334" s="128"/>
      <c r="BE3334" s="128"/>
      <c r="BF3334" s="128"/>
      <c r="BG3334" s="128"/>
      <c r="BH3334" s="128"/>
      <c r="BI3334" s="128"/>
      <c r="BJ3334" s="128"/>
      <c r="BK3334" s="128"/>
      <c r="BL3334" s="128"/>
      <c r="BM3334" s="151"/>
      <c r="BN3334" s="128"/>
      <c r="BO3334" s="128"/>
      <c r="BP3334" s="128"/>
      <c r="BQ3334" s="128"/>
      <c r="BR3334" s="128"/>
      <c r="BS3334" s="128"/>
      <c r="BT3334" s="128"/>
      <c r="BU3334" s="128"/>
      <c r="BV3334" s="128"/>
      <c r="BW3334" s="128"/>
      <c r="BX3334" s="128"/>
      <c r="BY3334" s="128"/>
      <c r="BZ3334" s="128"/>
      <c r="CA3334" s="128"/>
      <c r="CB3334" s="128"/>
      <c r="CC3334" s="128"/>
      <c r="CD3334" s="128"/>
      <c r="CE3334" s="128"/>
      <c r="CF3334" s="128"/>
      <c r="CG3334" s="128"/>
      <c r="CI3334" s="128"/>
      <c r="CJ3334" s="128"/>
      <c r="CK3334" s="128"/>
      <c r="CL3334" s="128"/>
      <c r="CM3334" s="128"/>
      <c r="CN3334" s="128"/>
      <c r="CO3334" s="128"/>
      <c r="CP3334" s="128"/>
      <c r="CQ3334" s="128"/>
      <c r="CR3334" s="128"/>
      <c r="CS3334" s="128"/>
      <c r="CT3334" s="128"/>
      <c r="CU3334" s="128"/>
      <c r="CV3334" s="128"/>
      <c r="CW3334" s="128"/>
      <c r="CX3334" s="128"/>
      <c r="CY3334" s="128"/>
      <c r="CZ3334" s="165"/>
    </row>
    <row r="3335" spans="1:104">
      <c r="A3335" s="149"/>
      <c r="B3335" s="149"/>
      <c r="C3335" s="150"/>
      <c r="D3335" s="102"/>
      <c r="E3335" s="149"/>
      <c r="F3335" s="149"/>
      <c r="G3335" s="149"/>
      <c r="H3335" s="149"/>
      <c r="I3335" s="149"/>
      <c r="J3335" s="149"/>
      <c r="K3335" s="149"/>
      <c r="L3335" s="149"/>
      <c r="M3335" s="149"/>
      <c r="N3335" s="149"/>
      <c r="O3335" s="149"/>
      <c r="P3335" s="149"/>
      <c r="Q3335" s="149"/>
      <c r="R3335" s="149"/>
      <c r="S3335" s="149"/>
      <c r="T3335" s="149"/>
      <c r="U3335" s="149"/>
      <c r="V3335" s="149"/>
      <c r="W3335" s="149"/>
      <c r="X3335" s="149"/>
      <c r="Y3335" s="149"/>
      <c r="Z3335" s="149"/>
      <c r="AA3335" s="149"/>
      <c r="AB3335" s="149"/>
      <c r="AC3335" s="149"/>
      <c r="AD3335" s="149"/>
      <c r="AE3335" s="149"/>
      <c r="AF3335" s="149"/>
      <c r="AG3335" s="149"/>
      <c r="AH3335" s="149"/>
      <c r="AI3335" s="149"/>
      <c r="AJ3335" s="149"/>
      <c r="AK3335" s="149"/>
      <c r="AL3335" s="149"/>
      <c r="AM3335" s="149"/>
      <c r="AN3335" s="149"/>
      <c r="AO3335" s="128"/>
      <c r="AP3335" s="128"/>
      <c r="AQ3335" s="128"/>
      <c r="AR3335" s="128"/>
      <c r="AS3335" s="128"/>
      <c r="AT3335" s="128"/>
      <c r="AU3335" s="128"/>
      <c r="AV3335" s="128"/>
      <c r="AW3335" s="128"/>
      <c r="AX3335" s="128"/>
      <c r="AY3335" s="128"/>
      <c r="AZ3335" s="128"/>
      <c r="BA3335" s="128"/>
      <c r="BB3335" s="128"/>
      <c r="BC3335" s="128"/>
      <c r="BD3335" s="128"/>
      <c r="BE3335" s="128"/>
      <c r="BF3335" s="128"/>
      <c r="BG3335" s="128"/>
      <c r="BH3335" s="128"/>
      <c r="BI3335" s="128"/>
      <c r="BJ3335" s="128"/>
      <c r="BK3335" s="128"/>
      <c r="BL3335" s="128"/>
      <c r="BM3335" s="151"/>
      <c r="BN3335" s="128"/>
      <c r="BO3335" s="128"/>
      <c r="BP3335" s="128"/>
      <c r="BQ3335" s="128"/>
      <c r="BR3335" s="128"/>
      <c r="BS3335" s="128"/>
      <c r="BT3335" s="128"/>
      <c r="BU3335" s="128"/>
      <c r="BV3335" s="128"/>
      <c r="BW3335" s="128"/>
      <c r="BX3335" s="128"/>
      <c r="BY3335" s="128"/>
      <c r="BZ3335" s="128"/>
      <c r="CA3335" s="128"/>
      <c r="CB3335" s="128"/>
      <c r="CC3335" s="128"/>
      <c r="CD3335" s="128"/>
      <c r="CE3335" s="128"/>
      <c r="CF3335" s="128"/>
      <c r="CG3335" s="128"/>
      <c r="CI3335" s="128"/>
      <c r="CJ3335" s="128"/>
      <c r="CK3335" s="128"/>
      <c r="CL3335" s="128"/>
      <c r="CM3335" s="128"/>
      <c r="CN3335" s="128"/>
      <c r="CO3335" s="128"/>
      <c r="CP3335" s="128"/>
      <c r="CQ3335" s="128"/>
      <c r="CR3335" s="128"/>
      <c r="CS3335" s="128"/>
      <c r="CT3335" s="128"/>
      <c r="CU3335" s="128"/>
      <c r="CV3335" s="128"/>
      <c r="CW3335" s="128"/>
      <c r="CX3335" s="128"/>
      <c r="CY3335" s="128"/>
      <c r="CZ3335" s="165"/>
    </row>
    <row r="3336" spans="1:104">
      <c r="A3336" s="149"/>
      <c r="B3336" s="149"/>
      <c r="C3336" s="150"/>
      <c r="D3336" s="102"/>
      <c r="E3336" s="149"/>
      <c r="F3336" s="149"/>
      <c r="G3336" s="149"/>
      <c r="H3336" s="149"/>
      <c r="I3336" s="149"/>
      <c r="J3336" s="149"/>
      <c r="K3336" s="149"/>
      <c r="L3336" s="149"/>
      <c r="M3336" s="149"/>
      <c r="N3336" s="149"/>
      <c r="O3336" s="149"/>
      <c r="P3336" s="149"/>
      <c r="Q3336" s="149"/>
      <c r="R3336" s="149"/>
      <c r="S3336" s="149"/>
      <c r="T3336" s="149"/>
      <c r="U3336" s="149"/>
      <c r="V3336" s="149"/>
      <c r="W3336" s="149"/>
      <c r="X3336" s="149"/>
      <c r="Y3336" s="149"/>
      <c r="Z3336" s="149"/>
      <c r="AA3336" s="149"/>
      <c r="AB3336" s="149"/>
      <c r="AC3336" s="149"/>
      <c r="AD3336" s="149"/>
      <c r="AE3336" s="149"/>
      <c r="AF3336" s="149"/>
      <c r="AG3336" s="149"/>
      <c r="AH3336" s="149"/>
      <c r="AI3336" s="149"/>
      <c r="AJ3336" s="149"/>
      <c r="AK3336" s="149"/>
      <c r="AL3336" s="149"/>
      <c r="AM3336" s="149"/>
      <c r="AN3336" s="149"/>
      <c r="AO3336" s="128"/>
      <c r="AP3336" s="128"/>
      <c r="AQ3336" s="128"/>
      <c r="AR3336" s="128"/>
      <c r="AS3336" s="128"/>
      <c r="AT3336" s="128"/>
      <c r="AU3336" s="128"/>
      <c r="AV3336" s="128"/>
      <c r="AW3336" s="128"/>
      <c r="AX3336" s="128"/>
      <c r="AY3336" s="128"/>
      <c r="AZ3336" s="128"/>
      <c r="BA3336" s="128"/>
      <c r="BB3336" s="128"/>
      <c r="BC3336" s="128"/>
      <c r="BD3336" s="128"/>
      <c r="BE3336" s="128"/>
      <c r="BF3336" s="128"/>
      <c r="BG3336" s="128"/>
      <c r="BH3336" s="128"/>
      <c r="BI3336" s="128"/>
      <c r="BJ3336" s="128"/>
      <c r="BK3336" s="128"/>
      <c r="BL3336" s="128"/>
      <c r="BM3336" s="151"/>
      <c r="BN3336" s="128"/>
      <c r="BO3336" s="128"/>
      <c r="BP3336" s="128"/>
      <c r="BQ3336" s="128"/>
      <c r="BR3336" s="128"/>
      <c r="BS3336" s="128"/>
      <c r="BT3336" s="128"/>
      <c r="BU3336" s="128"/>
      <c r="BV3336" s="128"/>
      <c r="BW3336" s="128"/>
      <c r="BX3336" s="128"/>
      <c r="BY3336" s="128"/>
      <c r="BZ3336" s="128"/>
      <c r="CA3336" s="128"/>
      <c r="CB3336" s="128"/>
      <c r="CC3336" s="128"/>
      <c r="CD3336" s="128"/>
      <c r="CE3336" s="128"/>
      <c r="CF3336" s="128"/>
      <c r="CG3336" s="128"/>
      <c r="CI3336" s="128"/>
      <c r="CJ3336" s="128"/>
      <c r="CK3336" s="128"/>
      <c r="CL3336" s="128"/>
      <c r="CM3336" s="128"/>
      <c r="CN3336" s="128"/>
      <c r="CO3336" s="128"/>
      <c r="CP3336" s="128"/>
      <c r="CQ3336" s="128"/>
      <c r="CR3336" s="128"/>
      <c r="CS3336" s="128"/>
      <c r="CT3336" s="128"/>
      <c r="CU3336" s="128"/>
      <c r="CV3336" s="128"/>
      <c r="CW3336" s="128"/>
      <c r="CX3336" s="128"/>
      <c r="CY3336" s="128"/>
      <c r="CZ3336" s="165"/>
    </row>
    <row r="3337" spans="1:104">
      <c r="A3337" s="149"/>
      <c r="B3337" s="149"/>
      <c r="C3337" s="150"/>
      <c r="D3337" s="102"/>
      <c r="E3337" s="149"/>
      <c r="F3337" s="149"/>
      <c r="G3337" s="149"/>
      <c r="H3337" s="149"/>
      <c r="I3337" s="149"/>
      <c r="J3337" s="149"/>
      <c r="K3337" s="149"/>
      <c r="L3337" s="149"/>
      <c r="M3337" s="149"/>
      <c r="N3337" s="149"/>
      <c r="O3337" s="149"/>
      <c r="P3337" s="149"/>
      <c r="Q3337" s="149"/>
      <c r="R3337" s="149"/>
      <c r="S3337" s="149"/>
      <c r="T3337" s="149"/>
      <c r="U3337" s="149"/>
      <c r="V3337" s="149"/>
      <c r="W3337" s="149"/>
      <c r="X3337" s="149"/>
      <c r="Y3337" s="149"/>
      <c r="Z3337" s="149"/>
      <c r="AA3337" s="149"/>
      <c r="AB3337" s="149"/>
      <c r="AC3337" s="149"/>
      <c r="AD3337" s="149"/>
      <c r="AE3337" s="149"/>
      <c r="AF3337" s="149"/>
      <c r="AG3337" s="149"/>
      <c r="AH3337" s="149"/>
      <c r="AI3337" s="149"/>
      <c r="AJ3337" s="149"/>
      <c r="AK3337" s="149"/>
      <c r="AL3337" s="149"/>
      <c r="AM3337" s="149"/>
      <c r="AN3337" s="149"/>
      <c r="AO3337" s="128"/>
      <c r="AP3337" s="128"/>
      <c r="AQ3337" s="128"/>
      <c r="AR3337" s="128"/>
      <c r="AS3337" s="128"/>
      <c r="AT3337" s="128"/>
      <c r="AU3337" s="128"/>
      <c r="AV3337" s="128"/>
      <c r="AW3337" s="128"/>
      <c r="AX3337" s="128"/>
      <c r="AY3337" s="128"/>
      <c r="AZ3337" s="128"/>
      <c r="BA3337" s="128"/>
      <c r="BB3337" s="128"/>
      <c r="BC3337" s="128"/>
      <c r="BD3337" s="128"/>
      <c r="BE3337" s="128"/>
      <c r="BF3337" s="128"/>
      <c r="BG3337" s="128"/>
      <c r="BH3337" s="128"/>
      <c r="BI3337" s="128"/>
      <c r="BJ3337" s="128"/>
      <c r="BK3337" s="128"/>
      <c r="BL3337" s="128"/>
      <c r="BM3337" s="151"/>
      <c r="BN3337" s="128"/>
      <c r="BO3337" s="128"/>
      <c r="BP3337" s="128"/>
      <c r="BQ3337" s="128"/>
      <c r="BR3337" s="128"/>
      <c r="BS3337" s="128"/>
      <c r="BT3337" s="128"/>
      <c r="BU3337" s="128"/>
      <c r="BV3337" s="128"/>
      <c r="BW3337" s="128"/>
      <c r="BX3337" s="128"/>
      <c r="BY3337" s="128"/>
      <c r="BZ3337" s="128"/>
      <c r="CA3337" s="128"/>
      <c r="CB3337" s="128"/>
      <c r="CC3337" s="128"/>
      <c r="CD3337" s="128"/>
      <c r="CE3337" s="128"/>
      <c r="CF3337" s="128"/>
      <c r="CG3337" s="128"/>
      <c r="CI3337" s="128"/>
      <c r="CJ3337" s="128"/>
      <c r="CK3337" s="128"/>
      <c r="CL3337" s="128"/>
      <c r="CM3337" s="128"/>
      <c r="CN3337" s="128"/>
      <c r="CO3337" s="128"/>
      <c r="CP3337" s="128"/>
      <c r="CQ3337" s="128"/>
      <c r="CR3337" s="128"/>
      <c r="CS3337" s="128"/>
      <c r="CT3337" s="128"/>
      <c r="CU3337" s="128"/>
      <c r="CV3337" s="128"/>
      <c r="CW3337" s="128"/>
      <c r="CX3337" s="128"/>
      <c r="CY3337" s="128"/>
      <c r="CZ3337" s="165"/>
    </row>
    <row r="3338" spans="1:104">
      <c r="A3338" s="149"/>
      <c r="B3338" s="149"/>
      <c r="C3338" s="150"/>
      <c r="D3338" s="102"/>
      <c r="E3338" s="149"/>
      <c r="F3338" s="149"/>
      <c r="G3338" s="149"/>
      <c r="H3338" s="149"/>
      <c r="I3338" s="149"/>
      <c r="J3338" s="149"/>
      <c r="K3338" s="149"/>
      <c r="L3338" s="149"/>
      <c r="M3338" s="149"/>
      <c r="N3338" s="149"/>
      <c r="O3338" s="149"/>
      <c r="P3338" s="149"/>
      <c r="Q3338" s="149"/>
      <c r="R3338" s="149"/>
      <c r="S3338" s="149"/>
      <c r="T3338" s="149"/>
      <c r="U3338" s="149"/>
      <c r="V3338" s="149"/>
      <c r="W3338" s="149"/>
      <c r="X3338" s="149"/>
      <c r="Y3338" s="149"/>
      <c r="Z3338" s="149"/>
      <c r="AA3338" s="149"/>
      <c r="AB3338" s="149"/>
      <c r="AC3338" s="149"/>
      <c r="AD3338" s="149"/>
      <c r="AE3338" s="149"/>
      <c r="AF3338" s="149"/>
      <c r="AG3338" s="149"/>
      <c r="AH3338" s="149"/>
      <c r="AI3338" s="149"/>
      <c r="AJ3338" s="149"/>
      <c r="AK3338" s="149"/>
      <c r="AL3338" s="149"/>
      <c r="AM3338" s="149"/>
      <c r="AN3338" s="149"/>
      <c r="AO3338" s="128"/>
      <c r="AP3338" s="128"/>
      <c r="AQ3338" s="128"/>
      <c r="AR3338" s="128"/>
      <c r="AS3338" s="128"/>
      <c r="AT3338" s="128"/>
      <c r="AU3338" s="128"/>
      <c r="AV3338" s="128"/>
      <c r="AW3338" s="128"/>
      <c r="AX3338" s="128"/>
      <c r="AY3338" s="128"/>
      <c r="AZ3338" s="128"/>
      <c r="BA3338" s="128"/>
      <c r="BB3338" s="128"/>
      <c r="BC3338" s="128"/>
      <c r="BD3338" s="128"/>
      <c r="BE3338" s="128"/>
      <c r="BF3338" s="128"/>
      <c r="BG3338" s="128"/>
      <c r="BH3338" s="128"/>
      <c r="BI3338" s="128"/>
      <c r="BJ3338" s="128"/>
      <c r="BK3338" s="128"/>
      <c r="BL3338" s="128"/>
      <c r="BM3338" s="151"/>
      <c r="BN3338" s="128"/>
      <c r="BO3338" s="128"/>
      <c r="BP3338" s="128"/>
      <c r="BQ3338" s="128"/>
      <c r="BR3338" s="128"/>
      <c r="BS3338" s="128"/>
      <c r="BT3338" s="128"/>
      <c r="BU3338" s="128"/>
      <c r="BV3338" s="128"/>
      <c r="BW3338" s="128"/>
      <c r="BX3338" s="128"/>
      <c r="BY3338" s="128"/>
      <c r="BZ3338" s="128"/>
      <c r="CA3338" s="128"/>
      <c r="CB3338" s="128"/>
      <c r="CC3338" s="128"/>
      <c r="CD3338" s="128"/>
      <c r="CE3338" s="128"/>
      <c r="CF3338" s="128"/>
      <c r="CG3338" s="128"/>
      <c r="CI3338" s="128"/>
      <c r="CJ3338" s="128"/>
      <c r="CK3338" s="128"/>
      <c r="CL3338" s="128"/>
      <c r="CM3338" s="128"/>
      <c r="CN3338" s="128"/>
      <c r="CO3338" s="128"/>
      <c r="CP3338" s="128"/>
      <c r="CQ3338" s="128"/>
      <c r="CR3338" s="128"/>
      <c r="CS3338" s="128"/>
      <c r="CT3338" s="128"/>
      <c r="CU3338" s="128"/>
      <c r="CV3338" s="128"/>
      <c r="CW3338" s="128"/>
      <c r="CX3338" s="128"/>
      <c r="CY3338" s="128"/>
      <c r="CZ3338" s="165"/>
    </row>
    <row r="3339" spans="1:104">
      <c r="A3339" s="149"/>
      <c r="B3339" s="149"/>
      <c r="C3339" s="150"/>
      <c r="D3339" s="102"/>
      <c r="E3339" s="149"/>
      <c r="F3339" s="149"/>
      <c r="G3339" s="149"/>
      <c r="H3339" s="149"/>
      <c r="I3339" s="149"/>
      <c r="J3339" s="149"/>
      <c r="K3339" s="149"/>
      <c r="L3339" s="149"/>
      <c r="M3339" s="149"/>
      <c r="N3339" s="149"/>
      <c r="O3339" s="149"/>
      <c r="P3339" s="149"/>
      <c r="Q3339" s="149"/>
      <c r="R3339" s="149"/>
      <c r="S3339" s="149"/>
      <c r="T3339" s="149"/>
      <c r="U3339" s="149"/>
      <c r="V3339" s="149"/>
      <c r="W3339" s="149"/>
      <c r="X3339" s="149"/>
      <c r="Y3339" s="149"/>
      <c r="Z3339" s="149"/>
      <c r="AA3339" s="149"/>
      <c r="AB3339" s="149"/>
      <c r="AC3339" s="149"/>
      <c r="AD3339" s="149"/>
      <c r="AE3339" s="149"/>
      <c r="AF3339" s="149"/>
      <c r="AG3339" s="149"/>
      <c r="AH3339" s="149"/>
      <c r="AI3339" s="149"/>
      <c r="AJ3339" s="149"/>
      <c r="AK3339" s="149"/>
      <c r="AL3339" s="149"/>
      <c r="AM3339" s="149"/>
      <c r="AN3339" s="149"/>
      <c r="AO3339" s="128"/>
      <c r="AP3339" s="128"/>
      <c r="AQ3339" s="128"/>
      <c r="AR3339" s="128"/>
      <c r="AS3339" s="128"/>
      <c r="AT3339" s="128"/>
      <c r="AU3339" s="128"/>
      <c r="AV3339" s="128"/>
      <c r="AW3339" s="128"/>
      <c r="AX3339" s="128"/>
      <c r="AY3339" s="128"/>
      <c r="AZ3339" s="128"/>
      <c r="BA3339" s="128"/>
      <c r="BB3339" s="128"/>
      <c r="BC3339" s="128"/>
      <c r="BD3339" s="128"/>
      <c r="BE3339" s="128"/>
      <c r="BF3339" s="128"/>
      <c r="BG3339" s="128"/>
      <c r="BH3339" s="128"/>
      <c r="BI3339" s="128"/>
      <c r="BJ3339" s="128"/>
      <c r="BK3339" s="128"/>
      <c r="BL3339" s="128"/>
      <c r="BM3339" s="151"/>
      <c r="BN3339" s="128"/>
      <c r="BO3339" s="128"/>
      <c r="BP3339" s="128"/>
      <c r="BQ3339" s="128"/>
      <c r="BR3339" s="128"/>
      <c r="BS3339" s="128"/>
      <c r="BT3339" s="128"/>
      <c r="BU3339" s="128"/>
      <c r="BV3339" s="128"/>
      <c r="BW3339" s="128"/>
      <c r="BX3339" s="128"/>
      <c r="BY3339" s="128"/>
      <c r="BZ3339" s="128"/>
      <c r="CA3339" s="128"/>
      <c r="CB3339" s="128"/>
      <c r="CC3339" s="128"/>
      <c r="CD3339" s="128"/>
      <c r="CE3339" s="128"/>
      <c r="CF3339" s="128"/>
      <c r="CG3339" s="128"/>
      <c r="CI3339" s="128"/>
      <c r="CJ3339" s="128"/>
      <c r="CK3339" s="128"/>
      <c r="CL3339" s="128"/>
      <c r="CM3339" s="128"/>
      <c r="CN3339" s="128"/>
      <c r="CO3339" s="128"/>
      <c r="CP3339" s="128"/>
      <c r="CQ3339" s="128"/>
      <c r="CR3339" s="128"/>
      <c r="CS3339" s="128"/>
      <c r="CT3339" s="128"/>
      <c r="CU3339" s="128"/>
      <c r="CV3339" s="128"/>
      <c r="CW3339" s="128"/>
      <c r="CX3339" s="128"/>
      <c r="CY3339" s="128"/>
      <c r="CZ3339" s="165"/>
    </row>
    <row r="3340" spans="1:104">
      <c r="A3340" s="149"/>
      <c r="B3340" s="149"/>
      <c r="C3340" s="150"/>
      <c r="D3340" s="102"/>
      <c r="E3340" s="149"/>
      <c r="F3340" s="149"/>
      <c r="G3340" s="149"/>
      <c r="H3340" s="149"/>
      <c r="I3340" s="149"/>
      <c r="J3340" s="149"/>
      <c r="K3340" s="149"/>
      <c r="L3340" s="149"/>
      <c r="M3340" s="149"/>
      <c r="N3340" s="149"/>
      <c r="O3340" s="149"/>
      <c r="P3340" s="149"/>
      <c r="Q3340" s="149"/>
      <c r="R3340" s="149"/>
      <c r="S3340" s="149"/>
      <c r="T3340" s="149"/>
      <c r="U3340" s="149"/>
      <c r="V3340" s="149"/>
      <c r="W3340" s="149"/>
      <c r="X3340" s="149"/>
      <c r="Y3340" s="149"/>
      <c r="Z3340" s="149"/>
      <c r="AA3340" s="149"/>
      <c r="AB3340" s="149"/>
      <c r="AC3340" s="149"/>
      <c r="AD3340" s="149"/>
      <c r="AE3340" s="149"/>
      <c r="AF3340" s="149"/>
      <c r="AG3340" s="149"/>
      <c r="AH3340" s="149"/>
      <c r="AI3340" s="149"/>
      <c r="AJ3340" s="149"/>
      <c r="AK3340" s="149"/>
      <c r="AL3340" s="149"/>
      <c r="AM3340" s="149"/>
      <c r="AN3340" s="149"/>
      <c r="AO3340" s="128"/>
      <c r="AP3340" s="128"/>
      <c r="AQ3340" s="128"/>
      <c r="AR3340" s="128"/>
      <c r="AS3340" s="128"/>
      <c r="AT3340" s="128"/>
      <c r="AU3340" s="128"/>
      <c r="AV3340" s="128"/>
      <c r="AW3340" s="128"/>
      <c r="AX3340" s="128"/>
      <c r="AY3340" s="128"/>
      <c r="AZ3340" s="128"/>
      <c r="BA3340" s="128"/>
      <c r="BB3340" s="128"/>
      <c r="BC3340" s="128"/>
      <c r="BD3340" s="128"/>
      <c r="BE3340" s="128"/>
      <c r="BF3340" s="128"/>
      <c r="BG3340" s="128"/>
      <c r="BH3340" s="128"/>
      <c r="BI3340" s="128"/>
      <c r="BJ3340" s="128"/>
      <c r="BK3340" s="128"/>
      <c r="BL3340" s="128"/>
      <c r="BM3340" s="151"/>
      <c r="BN3340" s="128"/>
      <c r="BO3340" s="128"/>
      <c r="BP3340" s="128"/>
      <c r="BQ3340" s="128"/>
      <c r="BR3340" s="128"/>
      <c r="BS3340" s="128"/>
      <c r="BT3340" s="128"/>
      <c r="BU3340" s="128"/>
      <c r="BV3340" s="128"/>
      <c r="BW3340" s="128"/>
      <c r="BX3340" s="128"/>
      <c r="BY3340" s="128"/>
      <c r="BZ3340" s="128"/>
      <c r="CA3340" s="128"/>
      <c r="CB3340" s="128"/>
      <c r="CC3340" s="128"/>
      <c r="CD3340" s="128"/>
      <c r="CE3340" s="128"/>
      <c r="CF3340" s="128"/>
      <c r="CG3340" s="128"/>
      <c r="CI3340" s="128"/>
      <c r="CJ3340" s="128"/>
      <c r="CK3340" s="128"/>
      <c r="CL3340" s="128"/>
      <c r="CM3340" s="128"/>
      <c r="CN3340" s="128"/>
      <c r="CO3340" s="128"/>
      <c r="CP3340" s="128"/>
      <c r="CQ3340" s="128"/>
      <c r="CR3340" s="128"/>
      <c r="CS3340" s="128"/>
      <c r="CT3340" s="128"/>
      <c r="CU3340" s="128"/>
      <c r="CV3340" s="128"/>
      <c r="CW3340" s="128"/>
      <c r="CX3340" s="128"/>
      <c r="CY3340" s="128"/>
      <c r="CZ3340" s="165"/>
    </row>
    <row r="3341" spans="1:104">
      <c r="A3341" s="149"/>
      <c r="B3341" s="149"/>
      <c r="C3341" s="150"/>
      <c r="D3341" s="102"/>
      <c r="E3341" s="149"/>
      <c r="F3341" s="149"/>
      <c r="G3341" s="149"/>
      <c r="H3341" s="149"/>
      <c r="I3341" s="149"/>
      <c r="J3341" s="149"/>
      <c r="K3341" s="149"/>
      <c r="L3341" s="149"/>
      <c r="M3341" s="149"/>
      <c r="N3341" s="149"/>
      <c r="O3341" s="149"/>
      <c r="P3341" s="149"/>
      <c r="Q3341" s="149"/>
      <c r="R3341" s="149"/>
      <c r="S3341" s="149"/>
      <c r="T3341" s="149"/>
      <c r="U3341" s="149"/>
      <c r="V3341" s="149"/>
      <c r="W3341" s="149"/>
      <c r="X3341" s="149"/>
      <c r="Y3341" s="149"/>
      <c r="Z3341" s="149"/>
      <c r="AA3341" s="149"/>
      <c r="AB3341" s="149"/>
      <c r="AC3341" s="149"/>
      <c r="AD3341" s="149"/>
      <c r="AE3341" s="149"/>
      <c r="AF3341" s="149"/>
      <c r="AG3341" s="149"/>
      <c r="AH3341" s="149"/>
      <c r="AI3341" s="149"/>
      <c r="AJ3341" s="149"/>
      <c r="AK3341" s="149"/>
      <c r="AL3341" s="149"/>
      <c r="AM3341" s="149"/>
      <c r="AN3341" s="149"/>
      <c r="AO3341" s="128"/>
      <c r="AP3341" s="128"/>
      <c r="AQ3341" s="128"/>
      <c r="AR3341" s="128"/>
      <c r="AS3341" s="128"/>
      <c r="AT3341" s="128"/>
      <c r="AU3341" s="128"/>
      <c r="AV3341" s="128"/>
      <c r="AW3341" s="128"/>
      <c r="AX3341" s="128"/>
      <c r="AY3341" s="128"/>
      <c r="AZ3341" s="128"/>
      <c r="BA3341" s="128"/>
      <c r="BB3341" s="128"/>
      <c r="BC3341" s="128"/>
      <c r="BD3341" s="128"/>
      <c r="BE3341" s="128"/>
      <c r="BF3341" s="128"/>
      <c r="BG3341" s="128"/>
      <c r="BH3341" s="128"/>
      <c r="BI3341" s="128"/>
      <c r="BJ3341" s="128"/>
      <c r="BK3341" s="128"/>
      <c r="BL3341" s="128"/>
      <c r="BM3341" s="151"/>
      <c r="BN3341" s="128"/>
      <c r="BO3341" s="128"/>
      <c r="BP3341" s="128"/>
      <c r="BQ3341" s="128"/>
      <c r="BR3341" s="128"/>
      <c r="BS3341" s="128"/>
      <c r="BT3341" s="128"/>
      <c r="BU3341" s="128"/>
      <c r="BV3341" s="128"/>
      <c r="BW3341" s="128"/>
      <c r="BX3341" s="128"/>
      <c r="BY3341" s="128"/>
      <c r="BZ3341" s="128"/>
      <c r="CA3341" s="128"/>
      <c r="CB3341" s="128"/>
      <c r="CC3341" s="128"/>
      <c r="CD3341" s="128"/>
      <c r="CE3341" s="128"/>
      <c r="CF3341" s="128"/>
      <c r="CG3341" s="128"/>
      <c r="CI3341" s="128"/>
      <c r="CJ3341" s="128"/>
      <c r="CK3341" s="128"/>
      <c r="CL3341" s="128"/>
      <c r="CM3341" s="128"/>
      <c r="CN3341" s="128"/>
      <c r="CO3341" s="128"/>
      <c r="CP3341" s="128"/>
      <c r="CQ3341" s="128"/>
      <c r="CR3341" s="128"/>
      <c r="CS3341" s="128"/>
      <c r="CT3341" s="128"/>
      <c r="CU3341" s="128"/>
      <c r="CV3341" s="128"/>
      <c r="CW3341" s="128"/>
      <c r="CX3341" s="128"/>
      <c r="CY3341" s="128"/>
      <c r="CZ3341" s="165"/>
    </row>
    <row r="3342" spans="1:104">
      <c r="A3342" s="149"/>
      <c r="B3342" s="149"/>
      <c r="C3342" s="150"/>
      <c r="D3342" s="102"/>
      <c r="E3342" s="149"/>
      <c r="F3342" s="149"/>
      <c r="G3342" s="149"/>
      <c r="H3342" s="149"/>
      <c r="I3342" s="149"/>
      <c r="J3342" s="149"/>
      <c r="K3342" s="149"/>
      <c r="L3342" s="149"/>
      <c r="M3342" s="149"/>
      <c r="N3342" s="149"/>
      <c r="O3342" s="149"/>
      <c r="P3342" s="149"/>
      <c r="Q3342" s="149"/>
      <c r="R3342" s="149"/>
      <c r="S3342" s="149"/>
      <c r="T3342" s="149"/>
      <c r="U3342" s="149"/>
      <c r="V3342" s="149"/>
      <c r="W3342" s="149"/>
      <c r="X3342" s="149"/>
      <c r="Y3342" s="149"/>
      <c r="Z3342" s="149"/>
      <c r="AA3342" s="149"/>
      <c r="AB3342" s="149"/>
      <c r="AC3342" s="149"/>
      <c r="AD3342" s="149"/>
      <c r="AE3342" s="149"/>
      <c r="AF3342" s="149"/>
      <c r="AG3342" s="149"/>
      <c r="AH3342" s="149"/>
      <c r="AI3342" s="149"/>
      <c r="AJ3342" s="149"/>
      <c r="AK3342" s="149"/>
      <c r="AL3342" s="149"/>
      <c r="AM3342" s="149"/>
      <c r="AN3342" s="149"/>
      <c r="AO3342" s="128"/>
      <c r="AP3342" s="128"/>
      <c r="AQ3342" s="128"/>
      <c r="AR3342" s="128"/>
      <c r="AS3342" s="128"/>
      <c r="AT3342" s="128"/>
      <c r="AU3342" s="128"/>
      <c r="AV3342" s="128"/>
      <c r="AW3342" s="128"/>
      <c r="AX3342" s="128"/>
      <c r="AY3342" s="128"/>
      <c r="AZ3342" s="128"/>
      <c r="BA3342" s="128"/>
      <c r="BB3342" s="128"/>
      <c r="BC3342" s="128"/>
      <c r="BD3342" s="128"/>
      <c r="BE3342" s="128"/>
      <c r="BF3342" s="128"/>
      <c r="BG3342" s="128"/>
      <c r="BH3342" s="128"/>
      <c r="BI3342" s="128"/>
      <c r="BJ3342" s="128"/>
      <c r="BK3342" s="128"/>
      <c r="BL3342" s="128"/>
      <c r="BM3342" s="151"/>
      <c r="BN3342" s="128"/>
      <c r="BO3342" s="128"/>
      <c r="BP3342" s="128"/>
      <c r="BQ3342" s="128"/>
      <c r="BR3342" s="128"/>
      <c r="BS3342" s="128"/>
      <c r="BT3342" s="128"/>
      <c r="BU3342" s="128"/>
      <c r="BV3342" s="128"/>
      <c r="BW3342" s="128"/>
      <c r="BX3342" s="128"/>
      <c r="BY3342" s="128"/>
      <c r="BZ3342" s="128"/>
      <c r="CA3342" s="128"/>
      <c r="CB3342" s="128"/>
      <c r="CC3342" s="128"/>
      <c r="CD3342" s="128"/>
      <c r="CE3342" s="128"/>
      <c r="CF3342" s="128"/>
      <c r="CG3342" s="128"/>
      <c r="CI3342" s="128"/>
      <c r="CJ3342" s="128"/>
      <c r="CK3342" s="128"/>
      <c r="CL3342" s="128"/>
      <c r="CM3342" s="128"/>
      <c r="CN3342" s="128"/>
      <c r="CO3342" s="128"/>
      <c r="CP3342" s="128"/>
      <c r="CQ3342" s="128"/>
      <c r="CR3342" s="128"/>
      <c r="CS3342" s="128"/>
      <c r="CT3342" s="128"/>
      <c r="CU3342" s="128"/>
      <c r="CV3342" s="128"/>
      <c r="CW3342" s="128"/>
      <c r="CX3342" s="128"/>
      <c r="CY3342" s="128"/>
      <c r="CZ3342" s="165"/>
    </row>
    <row r="3343" spans="1:104">
      <c r="A3343" s="149"/>
      <c r="B3343" s="149"/>
      <c r="C3343" s="150"/>
      <c r="D3343" s="102"/>
      <c r="E3343" s="149"/>
      <c r="F3343" s="149"/>
      <c r="G3343" s="149"/>
      <c r="H3343" s="149"/>
      <c r="I3343" s="149"/>
      <c r="J3343" s="149"/>
      <c r="K3343" s="149"/>
      <c r="L3343" s="149"/>
      <c r="M3343" s="149"/>
      <c r="N3343" s="149"/>
      <c r="O3343" s="149"/>
      <c r="P3343" s="149"/>
      <c r="Q3343" s="149"/>
      <c r="R3343" s="149"/>
      <c r="S3343" s="149"/>
      <c r="T3343" s="149"/>
      <c r="U3343" s="149"/>
      <c r="V3343" s="149"/>
      <c r="W3343" s="149"/>
      <c r="X3343" s="149"/>
      <c r="Y3343" s="149"/>
      <c r="Z3343" s="149"/>
      <c r="AA3343" s="149"/>
      <c r="AB3343" s="149"/>
      <c r="AC3343" s="149"/>
      <c r="AD3343" s="149"/>
      <c r="AE3343" s="149"/>
      <c r="AF3343" s="149"/>
      <c r="AG3343" s="149"/>
      <c r="AH3343" s="149"/>
      <c r="AI3343" s="149"/>
      <c r="AJ3343" s="149"/>
      <c r="AK3343" s="149"/>
      <c r="AL3343" s="149"/>
      <c r="AM3343" s="149"/>
      <c r="AN3343" s="149"/>
      <c r="AO3343" s="128"/>
      <c r="AP3343" s="128"/>
      <c r="AQ3343" s="128"/>
      <c r="AR3343" s="128"/>
      <c r="AS3343" s="128"/>
      <c r="AT3343" s="128"/>
      <c r="AU3343" s="128"/>
      <c r="AV3343" s="128"/>
      <c r="AW3343" s="128"/>
      <c r="AX3343" s="128"/>
      <c r="AY3343" s="128"/>
      <c r="AZ3343" s="128"/>
      <c r="BA3343" s="128"/>
      <c r="BB3343" s="128"/>
      <c r="BC3343" s="128"/>
      <c r="BD3343" s="128"/>
      <c r="BE3343" s="128"/>
      <c r="BF3343" s="128"/>
      <c r="BG3343" s="128"/>
      <c r="BH3343" s="128"/>
      <c r="BI3343" s="128"/>
      <c r="BJ3343" s="128"/>
      <c r="BK3343" s="128"/>
      <c r="BL3343" s="128"/>
      <c r="BM3343" s="151"/>
      <c r="BN3343" s="128"/>
      <c r="BO3343" s="128"/>
      <c r="BP3343" s="128"/>
      <c r="BQ3343" s="128"/>
      <c r="BR3343" s="128"/>
      <c r="BS3343" s="128"/>
      <c r="BT3343" s="128"/>
      <c r="BU3343" s="128"/>
      <c r="BV3343" s="128"/>
      <c r="BW3343" s="128"/>
      <c r="BX3343" s="128"/>
      <c r="BY3343" s="128"/>
      <c r="BZ3343" s="128"/>
      <c r="CA3343" s="128"/>
      <c r="CB3343" s="128"/>
      <c r="CC3343" s="128"/>
      <c r="CD3343" s="128"/>
      <c r="CE3343" s="128"/>
      <c r="CF3343" s="128"/>
      <c r="CG3343" s="128"/>
      <c r="CI3343" s="128"/>
      <c r="CJ3343" s="128"/>
      <c r="CK3343" s="128"/>
      <c r="CL3343" s="128"/>
      <c r="CM3343" s="128"/>
      <c r="CN3343" s="128"/>
      <c r="CO3343" s="128"/>
      <c r="CP3343" s="128"/>
      <c r="CQ3343" s="128"/>
      <c r="CR3343" s="128"/>
      <c r="CS3343" s="128"/>
      <c r="CT3343" s="128"/>
      <c r="CU3343" s="128"/>
      <c r="CV3343" s="128"/>
      <c r="CW3343" s="128"/>
      <c r="CX3343" s="128"/>
      <c r="CY3343" s="128"/>
      <c r="CZ3343" s="165"/>
    </row>
    <row r="3344" spans="1:104">
      <c r="A3344" s="149"/>
      <c r="B3344" s="149"/>
      <c r="C3344" s="150"/>
      <c r="D3344" s="102"/>
      <c r="E3344" s="149"/>
      <c r="F3344" s="149"/>
      <c r="G3344" s="149"/>
      <c r="H3344" s="149"/>
      <c r="I3344" s="149"/>
      <c r="J3344" s="149"/>
      <c r="K3344" s="149"/>
      <c r="L3344" s="149"/>
      <c r="M3344" s="149"/>
      <c r="N3344" s="149"/>
      <c r="O3344" s="149"/>
      <c r="P3344" s="149"/>
      <c r="Q3344" s="149"/>
      <c r="R3344" s="149"/>
      <c r="S3344" s="149"/>
      <c r="T3344" s="149"/>
      <c r="U3344" s="149"/>
      <c r="V3344" s="149"/>
      <c r="W3344" s="149"/>
      <c r="X3344" s="149"/>
      <c r="Y3344" s="149"/>
      <c r="Z3344" s="149"/>
      <c r="AA3344" s="149"/>
      <c r="AB3344" s="149"/>
      <c r="AC3344" s="149"/>
      <c r="AD3344" s="149"/>
      <c r="AE3344" s="149"/>
      <c r="AF3344" s="149"/>
      <c r="AG3344" s="149"/>
      <c r="AH3344" s="149"/>
      <c r="AI3344" s="149"/>
      <c r="AJ3344" s="149"/>
      <c r="AK3344" s="149"/>
      <c r="AL3344" s="149"/>
      <c r="AM3344" s="149"/>
      <c r="AN3344" s="149"/>
      <c r="AO3344" s="128"/>
      <c r="AP3344" s="128"/>
      <c r="AQ3344" s="128"/>
      <c r="AR3344" s="128"/>
      <c r="AS3344" s="128"/>
      <c r="AT3344" s="128"/>
      <c r="AU3344" s="128"/>
      <c r="AV3344" s="128"/>
      <c r="AW3344" s="128"/>
      <c r="AX3344" s="128"/>
      <c r="AY3344" s="128"/>
      <c r="AZ3344" s="128"/>
      <c r="BA3344" s="128"/>
      <c r="BB3344" s="128"/>
      <c r="BC3344" s="128"/>
      <c r="BD3344" s="128"/>
      <c r="BE3344" s="128"/>
      <c r="BF3344" s="128"/>
      <c r="BG3344" s="128"/>
      <c r="BH3344" s="128"/>
      <c r="BI3344" s="128"/>
      <c r="BJ3344" s="128"/>
      <c r="BK3344" s="128"/>
      <c r="BL3344" s="128"/>
      <c r="BM3344" s="151"/>
      <c r="BN3344" s="128"/>
      <c r="BO3344" s="128"/>
      <c r="BP3344" s="128"/>
      <c r="BQ3344" s="128"/>
      <c r="BR3344" s="128"/>
      <c r="BS3344" s="128"/>
      <c r="BT3344" s="128"/>
      <c r="BU3344" s="128"/>
      <c r="BV3344" s="128"/>
      <c r="BW3344" s="128"/>
      <c r="BX3344" s="128"/>
      <c r="BY3344" s="128"/>
      <c r="BZ3344" s="128"/>
      <c r="CA3344" s="128"/>
      <c r="CB3344" s="128"/>
      <c r="CC3344" s="128"/>
      <c r="CD3344" s="128"/>
      <c r="CE3344" s="128"/>
      <c r="CF3344" s="128"/>
      <c r="CG3344" s="128"/>
      <c r="CI3344" s="128"/>
      <c r="CJ3344" s="128"/>
      <c r="CK3344" s="128"/>
      <c r="CL3344" s="128"/>
      <c r="CM3344" s="128"/>
      <c r="CN3344" s="128"/>
      <c r="CO3344" s="128"/>
      <c r="CP3344" s="128"/>
      <c r="CQ3344" s="128"/>
      <c r="CR3344" s="128"/>
      <c r="CS3344" s="128"/>
      <c r="CT3344" s="128"/>
      <c r="CU3344" s="128"/>
      <c r="CV3344" s="128"/>
      <c r="CW3344" s="128"/>
      <c r="CX3344" s="128"/>
      <c r="CY3344" s="128"/>
      <c r="CZ3344" s="165"/>
    </row>
    <row r="3345" spans="1:104">
      <c r="A3345" s="149"/>
      <c r="B3345" s="149"/>
      <c r="C3345" s="150"/>
      <c r="D3345" s="102"/>
      <c r="E3345" s="149"/>
      <c r="F3345" s="149"/>
      <c r="G3345" s="149"/>
      <c r="H3345" s="149"/>
      <c r="I3345" s="149"/>
      <c r="J3345" s="149"/>
      <c r="K3345" s="149"/>
      <c r="L3345" s="149"/>
      <c r="M3345" s="149"/>
      <c r="N3345" s="149"/>
      <c r="O3345" s="149"/>
      <c r="P3345" s="149"/>
      <c r="Q3345" s="149"/>
      <c r="R3345" s="149"/>
      <c r="S3345" s="149"/>
      <c r="T3345" s="149"/>
      <c r="U3345" s="149"/>
      <c r="V3345" s="149"/>
      <c r="W3345" s="149"/>
      <c r="X3345" s="149"/>
      <c r="Y3345" s="149"/>
      <c r="Z3345" s="149"/>
      <c r="AA3345" s="149"/>
      <c r="AB3345" s="149"/>
      <c r="AC3345" s="149"/>
      <c r="AD3345" s="149"/>
      <c r="AE3345" s="149"/>
      <c r="AF3345" s="149"/>
      <c r="AG3345" s="149"/>
      <c r="AH3345" s="149"/>
      <c r="AI3345" s="149"/>
      <c r="AJ3345" s="149"/>
      <c r="AK3345" s="149"/>
      <c r="AL3345" s="149"/>
      <c r="AM3345" s="149"/>
      <c r="AN3345" s="149"/>
      <c r="AO3345" s="128"/>
      <c r="AP3345" s="128"/>
      <c r="AQ3345" s="128"/>
      <c r="AR3345" s="128"/>
      <c r="AS3345" s="128"/>
      <c r="AT3345" s="128"/>
      <c r="AU3345" s="128"/>
      <c r="AV3345" s="128"/>
      <c r="AW3345" s="128"/>
      <c r="AX3345" s="128"/>
      <c r="AY3345" s="128"/>
      <c r="AZ3345" s="128"/>
      <c r="BA3345" s="128"/>
      <c r="BB3345" s="128"/>
      <c r="BC3345" s="128"/>
      <c r="BD3345" s="128"/>
      <c r="BE3345" s="128"/>
      <c r="BF3345" s="128"/>
      <c r="BG3345" s="128"/>
      <c r="BH3345" s="128"/>
      <c r="BI3345" s="128"/>
      <c r="BJ3345" s="128"/>
      <c r="BK3345" s="128"/>
      <c r="BL3345" s="128"/>
      <c r="BM3345" s="151"/>
      <c r="BN3345" s="128"/>
      <c r="BO3345" s="128"/>
      <c r="BP3345" s="128"/>
      <c r="BQ3345" s="128"/>
      <c r="BR3345" s="128"/>
      <c r="BS3345" s="128"/>
      <c r="BT3345" s="128"/>
      <c r="BU3345" s="128"/>
      <c r="BV3345" s="128"/>
      <c r="BW3345" s="128"/>
      <c r="BX3345" s="128"/>
      <c r="BY3345" s="128"/>
      <c r="BZ3345" s="128"/>
      <c r="CA3345" s="128"/>
      <c r="CB3345" s="128"/>
      <c r="CC3345" s="128"/>
      <c r="CD3345" s="128"/>
      <c r="CE3345" s="128"/>
      <c r="CF3345" s="128"/>
      <c r="CG3345" s="128"/>
      <c r="CI3345" s="128"/>
      <c r="CJ3345" s="128"/>
      <c r="CK3345" s="128"/>
      <c r="CL3345" s="128"/>
      <c r="CM3345" s="128"/>
      <c r="CN3345" s="128"/>
      <c r="CO3345" s="128"/>
      <c r="CP3345" s="128"/>
      <c r="CQ3345" s="128"/>
      <c r="CR3345" s="128"/>
      <c r="CS3345" s="128"/>
      <c r="CT3345" s="128"/>
      <c r="CU3345" s="128"/>
      <c r="CV3345" s="128"/>
      <c r="CW3345" s="128"/>
      <c r="CX3345" s="128"/>
      <c r="CY3345" s="128"/>
      <c r="CZ3345" s="165"/>
    </row>
    <row r="3346" spans="1:104">
      <c r="A3346" s="149"/>
      <c r="B3346" s="149"/>
      <c r="C3346" s="150"/>
      <c r="D3346" s="102"/>
      <c r="E3346" s="149"/>
      <c r="F3346" s="149"/>
      <c r="G3346" s="149"/>
      <c r="H3346" s="149"/>
      <c r="I3346" s="149"/>
      <c r="J3346" s="149"/>
      <c r="K3346" s="149"/>
      <c r="L3346" s="149"/>
      <c r="M3346" s="149"/>
      <c r="N3346" s="149"/>
      <c r="O3346" s="149"/>
      <c r="P3346" s="149"/>
      <c r="Q3346" s="149"/>
      <c r="R3346" s="149"/>
      <c r="S3346" s="149"/>
      <c r="T3346" s="149"/>
      <c r="U3346" s="149"/>
      <c r="V3346" s="149"/>
      <c r="W3346" s="149"/>
      <c r="X3346" s="149"/>
      <c r="Y3346" s="149"/>
      <c r="Z3346" s="149"/>
      <c r="AA3346" s="149"/>
      <c r="AB3346" s="149"/>
      <c r="AC3346" s="149"/>
      <c r="AD3346" s="149"/>
      <c r="AE3346" s="149"/>
      <c r="AF3346" s="149"/>
      <c r="AG3346" s="149"/>
      <c r="AH3346" s="149"/>
      <c r="AI3346" s="149"/>
      <c r="AJ3346" s="149"/>
      <c r="AK3346" s="149"/>
      <c r="AL3346" s="149"/>
      <c r="AM3346" s="149"/>
      <c r="AN3346" s="149"/>
      <c r="AO3346" s="128"/>
      <c r="AP3346" s="128"/>
      <c r="AQ3346" s="128"/>
      <c r="AR3346" s="128"/>
      <c r="AS3346" s="128"/>
      <c r="AT3346" s="128"/>
      <c r="AU3346" s="128"/>
      <c r="AV3346" s="128"/>
      <c r="AW3346" s="128"/>
      <c r="AX3346" s="128"/>
      <c r="AY3346" s="128"/>
      <c r="AZ3346" s="128"/>
      <c r="BA3346" s="128"/>
      <c r="BB3346" s="128"/>
      <c r="BC3346" s="128"/>
      <c r="BD3346" s="128"/>
      <c r="BE3346" s="128"/>
      <c r="BF3346" s="128"/>
      <c r="BG3346" s="128"/>
      <c r="BH3346" s="128"/>
      <c r="BI3346" s="128"/>
      <c r="BJ3346" s="128"/>
      <c r="BK3346" s="128"/>
      <c r="BL3346" s="128"/>
      <c r="BM3346" s="151"/>
      <c r="BN3346" s="128"/>
      <c r="BO3346" s="128"/>
      <c r="BP3346" s="128"/>
      <c r="BQ3346" s="128"/>
      <c r="BR3346" s="128"/>
      <c r="BS3346" s="128"/>
      <c r="BT3346" s="128"/>
      <c r="BU3346" s="128"/>
      <c r="BV3346" s="128"/>
      <c r="BW3346" s="128"/>
      <c r="BX3346" s="128"/>
      <c r="BY3346" s="128"/>
      <c r="BZ3346" s="128"/>
      <c r="CA3346" s="128"/>
      <c r="CB3346" s="128"/>
      <c r="CC3346" s="128"/>
      <c r="CD3346" s="128"/>
      <c r="CE3346" s="128"/>
      <c r="CF3346" s="128"/>
      <c r="CG3346" s="128"/>
      <c r="CI3346" s="128"/>
      <c r="CJ3346" s="128"/>
      <c r="CK3346" s="128"/>
      <c r="CL3346" s="128"/>
      <c r="CM3346" s="128"/>
      <c r="CN3346" s="128"/>
      <c r="CO3346" s="128"/>
      <c r="CP3346" s="128"/>
      <c r="CQ3346" s="128"/>
      <c r="CR3346" s="128"/>
      <c r="CS3346" s="128"/>
      <c r="CT3346" s="128"/>
      <c r="CU3346" s="128"/>
      <c r="CV3346" s="128"/>
      <c r="CW3346" s="128"/>
      <c r="CX3346" s="128"/>
      <c r="CY3346" s="128"/>
      <c r="CZ3346" s="165"/>
    </row>
    <row r="3347" spans="1:104">
      <c r="A3347" s="149"/>
      <c r="B3347" s="149"/>
      <c r="C3347" s="150"/>
      <c r="D3347" s="102"/>
      <c r="E3347" s="149"/>
      <c r="F3347" s="149"/>
      <c r="G3347" s="149"/>
      <c r="H3347" s="149"/>
      <c r="I3347" s="149"/>
      <c r="J3347" s="149"/>
      <c r="K3347" s="149"/>
      <c r="L3347" s="149"/>
      <c r="M3347" s="149"/>
      <c r="N3347" s="149"/>
      <c r="O3347" s="149"/>
      <c r="P3347" s="149"/>
      <c r="Q3347" s="149"/>
      <c r="R3347" s="149"/>
      <c r="S3347" s="149"/>
      <c r="T3347" s="149"/>
      <c r="U3347" s="149"/>
      <c r="V3347" s="149"/>
      <c r="W3347" s="149"/>
      <c r="X3347" s="149"/>
      <c r="Y3347" s="149"/>
      <c r="Z3347" s="149"/>
      <c r="AA3347" s="149"/>
      <c r="AB3347" s="149"/>
      <c r="AC3347" s="149"/>
      <c r="AD3347" s="149"/>
      <c r="AE3347" s="149"/>
      <c r="AF3347" s="149"/>
      <c r="AG3347" s="149"/>
      <c r="AH3347" s="149"/>
      <c r="AI3347" s="149"/>
      <c r="AJ3347" s="149"/>
      <c r="AK3347" s="149"/>
      <c r="AL3347" s="149"/>
      <c r="AM3347" s="149"/>
      <c r="AN3347" s="149"/>
      <c r="AO3347" s="128"/>
      <c r="AP3347" s="128"/>
      <c r="AQ3347" s="128"/>
      <c r="AR3347" s="128"/>
      <c r="AS3347" s="128"/>
      <c r="AT3347" s="128"/>
      <c r="AU3347" s="128"/>
      <c r="AV3347" s="128"/>
      <c r="AW3347" s="128"/>
      <c r="AX3347" s="128"/>
      <c r="AY3347" s="128"/>
      <c r="AZ3347" s="128"/>
      <c r="BA3347" s="128"/>
      <c r="BB3347" s="128"/>
      <c r="BC3347" s="128"/>
      <c r="BD3347" s="128"/>
      <c r="BE3347" s="128"/>
      <c r="BF3347" s="128"/>
      <c r="BG3347" s="128"/>
      <c r="BH3347" s="128"/>
      <c r="BI3347" s="128"/>
      <c r="BJ3347" s="128"/>
      <c r="BK3347" s="128"/>
      <c r="BL3347" s="128"/>
      <c r="BM3347" s="151"/>
      <c r="BN3347" s="128"/>
      <c r="BO3347" s="128"/>
      <c r="BP3347" s="128"/>
      <c r="BQ3347" s="128"/>
      <c r="BR3347" s="128"/>
      <c r="BS3347" s="128"/>
      <c r="BT3347" s="128"/>
      <c r="BU3347" s="128"/>
      <c r="BV3347" s="128"/>
      <c r="BW3347" s="128"/>
      <c r="BX3347" s="128"/>
      <c r="BY3347" s="128"/>
      <c r="BZ3347" s="128"/>
      <c r="CA3347" s="128"/>
      <c r="CB3347" s="128"/>
      <c r="CC3347" s="128"/>
      <c r="CD3347" s="128"/>
      <c r="CE3347" s="128"/>
      <c r="CF3347" s="128"/>
      <c r="CG3347" s="128"/>
      <c r="CI3347" s="128"/>
      <c r="CJ3347" s="128"/>
      <c r="CK3347" s="128"/>
      <c r="CL3347" s="128"/>
      <c r="CM3347" s="128"/>
      <c r="CN3347" s="128"/>
      <c r="CO3347" s="128"/>
      <c r="CP3347" s="128"/>
      <c r="CQ3347" s="128"/>
      <c r="CR3347" s="128"/>
      <c r="CS3347" s="128"/>
      <c r="CT3347" s="128"/>
      <c r="CU3347" s="128"/>
      <c r="CV3347" s="128"/>
      <c r="CW3347" s="128"/>
      <c r="CX3347" s="128"/>
      <c r="CY3347" s="128"/>
      <c r="CZ3347" s="165"/>
    </row>
    <row r="3348" spans="1:104">
      <c r="A3348" s="149"/>
      <c r="B3348" s="149"/>
      <c r="C3348" s="150"/>
      <c r="D3348" s="102"/>
      <c r="E3348" s="149"/>
      <c r="F3348" s="149"/>
      <c r="G3348" s="149"/>
      <c r="H3348" s="149"/>
      <c r="I3348" s="149"/>
      <c r="J3348" s="149"/>
      <c r="K3348" s="149"/>
      <c r="L3348" s="149"/>
      <c r="M3348" s="149"/>
      <c r="N3348" s="149"/>
      <c r="O3348" s="149"/>
      <c r="P3348" s="149"/>
      <c r="Q3348" s="149"/>
      <c r="R3348" s="149"/>
      <c r="S3348" s="149"/>
      <c r="T3348" s="149"/>
      <c r="U3348" s="149"/>
      <c r="V3348" s="149"/>
      <c r="W3348" s="149"/>
      <c r="X3348" s="149"/>
      <c r="Y3348" s="149"/>
      <c r="Z3348" s="149"/>
      <c r="AA3348" s="149"/>
      <c r="AB3348" s="149"/>
      <c r="AC3348" s="149"/>
      <c r="AD3348" s="149"/>
      <c r="AE3348" s="149"/>
      <c r="AF3348" s="149"/>
      <c r="AG3348" s="149"/>
      <c r="AH3348" s="149"/>
      <c r="AI3348" s="149"/>
      <c r="AJ3348" s="149"/>
      <c r="AK3348" s="149"/>
      <c r="AL3348" s="149"/>
      <c r="AM3348" s="149"/>
      <c r="AN3348" s="149"/>
      <c r="AO3348" s="128"/>
      <c r="AP3348" s="128"/>
      <c r="AQ3348" s="128"/>
      <c r="AR3348" s="128"/>
      <c r="AS3348" s="128"/>
      <c r="AT3348" s="128"/>
      <c r="AU3348" s="128"/>
      <c r="AV3348" s="128"/>
      <c r="AW3348" s="128"/>
      <c r="AX3348" s="128"/>
      <c r="AY3348" s="128"/>
      <c r="AZ3348" s="128"/>
      <c r="BA3348" s="128"/>
      <c r="BB3348" s="128"/>
      <c r="BC3348" s="128"/>
      <c r="BD3348" s="128"/>
      <c r="BE3348" s="128"/>
      <c r="BF3348" s="128"/>
      <c r="BG3348" s="128"/>
      <c r="BH3348" s="128"/>
      <c r="BI3348" s="128"/>
      <c r="BJ3348" s="128"/>
      <c r="BK3348" s="128"/>
      <c r="BL3348" s="128"/>
      <c r="BM3348" s="151"/>
      <c r="BN3348" s="128"/>
      <c r="BO3348" s="128"/>
      <c r="BP3348" s="128"/>
      <c r="BQ3348" s="128"/>
      <c r="BR3348" s="128"/>
      <c r="BS3348" s="128"/>
      <c r="BT3348" s="128"/>
      <c r="BU3348" s="128"/>
      <c r="BV3348" s="128"/>
      <c r="BW3348" s="128"/>
      <c r="BX3348" s="128"/>
      <c r="BY3348" s="128"/>
      <c r="BZ3348" s="128"/>
      <c r="CA3348" s="128"/>
      <c r="CB3348" s="128"/>
      <c r="CC3348" s="128"/>
      <c r="CD3348" s="128"/>
      <c r="CE3348" s="128"/>
      <c r="CF3348" s="128"/>
      <c r="CG3348" s="128"/>
      <c r="CI3348" s="128"/>
      <c r="CJ3348" s="128"/>
      <c r="CK3348" s="128"/>
      <c r="CL3348" s="128"/>
      <c r="CM3348" s="128"/>
      <c r="CN3348" s="128"/>
      <c r="CO3348" s="128"/>
      <c r="CP3348" s="128"/>
      <c r="CQ3348" s="128"/>
      <c r="CR3348" s="128"/>
      <c r="CS3348" s="128"/>
      <c r="CT3348" s="128"/>
      <c r="CU3348" s="128"/>
      <c r="CV3348" s="128"/>
      <c r="CW3348" s="128"/>
      <c r="CX3348" s="128"/>
      <c r="CY3348" s="128"/>
      <c r="CZ3348" s="165"/>
    </row>
    <row r="3349" spans="1:104">
      <c r="A3349" s="149"/>
      <c r="B3349" s="149"/>
      <c r="C3349" s="150"/>
      <c r="D3349" s="102"/>
      <c r="E3349" s="149"/>
      <c r="F3349" s="149"/>
      <c r="G3349" s="149"/>
      <c r="H3349" s="149"/>
      <c r="I3349" s="149"/>
      <c r="J3349" s="149"/>
      <c r="K3349" s="149"/>
      <c r="L3349" s="149"/>
      <c r="M3349" s="149"/>
      <c r="N3349" s="149"/>
      <c r="O3349" s="149"/>
      <c r="P3349" s="149"/>
      <c r="Q3349" s="149"/>
      <c r="R3349" s="149"/>
      <c r="S3349" s="149"/>
      <c r="T3349" s="149"/>
      <c r="U3349" s="149"/>
      <c r="V3349" s="149"/>
      <c r="W3349" s="149"/>
      <c r="X3349" s="149"/>
      <c r="Y3349" s="149"/>
      <c r="Z3349" s="149"/>
      <c r="AA3349" s="149"/>
      <c r="AB3349" s="149"/>
      <c r="AC3349" s="149"/>
      <c r="AD3349" s="149"/>
      <c r="AE3349" s="149"/>
      <c r="AF3349" s="149"/>
      <c r="AG3349" s="149"/>
      <c r="AH3349" s="149"/>
      <c r="AI3349" s="149"/>
      <c r="AJ3349" s="149"/>
      <c r="AK3349" s="149"/>
      <c r="AL3349" s="149"/>
      <c r="AM3349" s="149"/>
      <c r="AN3349" s="149"/>
      <c r="AO3349" s="128"/>
      <c r="AP3349" s="128"/>
      <c r="AQ3349" s="128"/>
      <c r="AR3349" s="128"/>
      <c r="AS3349" s="128"/>
      <c r="AT3349" s="128"/>
      <c r="AU3349" s="128"/>
      <c r="AV3349" s="128"/>
      <c r="AW3349" s="128"/>
      <c r="AX3349" s="128"/>
      <c r="AY3349" s="128"/>
      <c r="AZ3349" s="128"/>
      <c r="BA3349" s="128"/>
      <c r="BB3349" s="128"/>
      <c r="BC3349" s="128"/>
      <c r="BD3349" s="128"/>
      <c r="BE3349" s="128"/>
      <c r="BF3349" s="128"/>
      <c r="BG3349" s="128"/>
      <c r="BH3349" s="128"/>
      <c r="BI3349" s="128"/>
      <c r="BJ3349" s="128"/>
      <c r="BK3349" s="128"/>
      <c r="BL3349" s="128"/>
      <c r="BM3349" s="151"/>
      <c r="BN3349" s="128"/>
      <c r="BO3349" s="128"/>
      <c r="BP3349" s="128"/>
      <c r="BQ3349" s="128"/>
      <c r="BR3349" s="128"/>
      <c r="BS3349" s="128"/>
      <c r="BT3349" s="128"/>
      <c r="BU3349" s="128"/>
      <c r="BV3349" s="128"/>
      <c r="BW3349" s="128"/>
      <c r="BX3349" s="128"/>
      <c r="BY3349" s="128"/>
      <c r="BZ3349" s="128"/>
      <c r="CA3349" s="128"/>
      <c r="CB3349" s="128"/>
      <c r="CC3349" s="128"/>
      <c r="CD3349" s="128"/>
      <c r="CE3349" s="128"/>
      <c r="CF3349" s="128"/>
      <c r="CG3349" s="128"/>
      <c r="CI3349" s="128"/>
      <c r="CJ3349" s="128"/>
      <c r="CK3349" s="128"/>
      <c r="CL3349" s="128"/>
      <c r="CM3349" s="128"/>
      <c r="CN3349" s="128"/>
      <c r="CO3349" s="128"/>
      <c r="CP3349" s="128"/>
      <c r="CQ3349" s="128"/>
      <c r="CR3349" s="128"/>
      <c r="CS3349" s="128"/>
      <c r="CT3349" s="128"/>
      <c r="CU3349" s="128"/>
      <c r="CV3349" s="128"/>
      <c r="CW3349" s="128"/>
      <c r="CX3349" s="128"/>
      <c r="CY3349" s="128"/>
      <c r="CZ3349" s="165"/>
    </row>
    <row r="3350" spans="1:104">
      <c r="A3350" s="149"/>
      <c r="B3350" s="149"/>
      <c r="C3350" s="150"/>
      <c r="D3350" s="102"/>
      <c r="E3350" s="149"/>
      <c r="F3350" s="149"/>
      <c r="G3350" s="149"/>
      <c r="H3350" s="149"/>
      <c r="I3350" s="149"/>
      <c r="J3350" s="149"/>
      <c r="K3350" s="149"/>
      <c r="L3350" s="149"/>
      <c r="M3350" s="149"/>
      <c r="N3350" s="149"/>
      <c r="O3350" s="149"/>
      <c r="P3350" s="149"/>
      <c r="Q3350" s="149"/>
      <c r="R3350" s="149"/>
      <c r="S3350" s="149"/>
      <c r="T3350" s="149"/>
      <c r="U3350" s="149"/>
      <c r="V3350" s="149"/>
      <c r="W3350" s="149"/>
      <c r="X3350" s="149"/>
      <c r="Y3350" s="149"/>
      <c r="Z3350" s="149"/>
      <c r="AA3350" s="149"/>
      <c r="AB3350" s="149"/>
      <c r="AC3350" s="149"/>
      <c r="AD3350" s="149"/>
      <c r="AE3350" s="149"/>
      <c r="AF3350" s="149"/>
      <c r="AG3350" s="149"/>
      <c r="AH3350" s="149"/>
      <c r="AI3350" s="149"/>
      <c r="AJ3350" s="149"/>
      <c r="AK3350" s="149"/>
      <c r="AL3350" s="149"/>
      <c r="AM3350" s="149"/>
      <c r="AN3350" s="149"/>
      <c r="AO3350" s="128"/>
      <c r="AP3350" s="128"/>
      <c r="AQ3350" s="128"/>
      <c r="AR3350" s="128"/>
      <c r="AS3350" s="128"/>
      <c r="AT3350" s="128"/>
      <c r="AU3350" s="128"/>
      <c r="AV3350" s="128"/>
      <c r="AW3350" s="128"/>
      <c r="AX3350" s="128"/>
      <c r="AY3350" s="128"/>
      <c r="AZ3350" s="128"/>
      <c r="BA3350" s="128"/>
      <c r="BB3350" s="128"/>
      <c r="BC3350" s="128"/>
      <c r="BD3350" s="128"/>
      <c r="BE3350" s="128"/>
      <c r="BF3350" s="128"/>
      <c r="BG3350" s="128"/>
      <c r="BH3350" s="128"/>
      <c r="BI3350" s="128"/>
      <c r="BJ3350" s="128"/>
      <c r="BK3350" s="128"/>
      <c r="BL3350" s="128"/>
      <c r="BM3350" s="151"/>
      <c r="BN3350" s="128"/>
      <c r="BO3350" s="128"/>
      <c r="BP3350" s="128"/>
      <c r="BQ3350" s="128"/>
      <c r="BR3350" s="128"/>
      <c r="BS3350" s="128"/>
      <c r="BT3350" s="128"/>
      <c r="BU3350" s="128"/>
      <c r="BV3350" s="128"/>
      <c r="BW3350" s="128"/>
      <c r="BX3350" s="128"/>
      <c r="BY3350" s="128"/>
      <c r="BZ3350" s="128"/>
      <c r="CA3350" s="128"/>
      <c r="CB3350" s="128"/>
      <c r="CC3350" s="128"/>
      <c r="CD3350" s="128"/>
      <c r="CE3350" s="128"/>
      <c r="CF3350" s="128"/>
      <c r="CG3350" s="128"/>
      <c r="CI3350" s="128"/>
      <c r="CJ3350" s="128"/>
      <c r="CK3350" s="128"/>
      <c r="CL3350" s="128"/>
      <c r="CM3350" s="128"/>
      <c r="CN3350" s="128"/>
      <c r="CO3350" s="128"/>
      <c r="CP3350" s="128"/>
      <c r="CQ3350" s="128"/>
      <c r="CR3350" s="128"/>
      <c r="CS3350" s="128"/>
      <c r="CT3350" s="128"/>
      <c r="CU3350" s="128"/>
      <c r="CV3350" s="128"/>
      <c r="CW3350" s="128"/>
      <c r="CX3350" s="128"/>
      <c r="CY3350" s="128"/>
      <c r="CZ3350" s="165"/>
    </row>
    <row r="3351" spans="1:104">
      <c r="A3351" s="149"/>
      <c r="B3351" s="149"/>
      <c r="C3351" s="150"/>
      <c r="D3351" s="102"/>
      <c r="E3351" s="149"/>
      <c r="F3351" s="149"/>
      <c r="G3351" s="149"/>
      <c r="H3351" s="149"/>
      <c r="I3351" s="149"/>
      <c r="J3351" s="149"/>
      <c r="K3351" s="149"/>
      <c r="L3351" s="149"/>
      <c r="M3351" s="149"/>
      <c r="N3351" s="149"/>
      <c r="O3351" s="149"/>
      <c r="P3351" s="149"/>
      <c r="Q3351" s="149"/>
      <c r="R3351" s="149"/>
      <c r="S3351" s="149"/>
      <c r="T3351" s="149"/>
      <c r="U3351" s="149"/>
      <c r="V3351" s="149"/>
      <c r="W3351" s="149"/>
      <c r="X3351" s="149"/>
      <c r="Y3351" s="149"/>
      <c r="Z3351" s="149"/>
      <c r="AA3351" s="149"/>
      <c r="AB3351" s="149"/>
      <c r="AC3351" s="149"/>
      <c r="AD3351" s="149"/>
      <c r="AE3351" s="149"/>
      <c r="AF3351" s="149"/>
      <c r="AG3351" s="149"/>
      <c r="AH3351" s="149"/>
      <c r="AI3351" s="149"/>
      <c r="AJ3351" s="149"/>
      <c r="AK3351" s="149"/>
      <c r="AL3351" s="149"/>
      <c r="AM3351" s="149"/>
      <c r="AN3351" s="149"/>
      <c r="AO3351" s="128"/>
      <c r="AP3351" s="128"/>
      <c r="AQ3351" s="128"/>
      <c r="AR3351" s="128"/>
      <c r="AS3351" s="128"/>
      <c r="AT3351" s="128"/>
      <c r="AU3351" s="128"/>
      <c r="AV3351" s="128"/>
      <c r="AW3351" s="128"/>
      <c r="AX3351" s="128"/>
      <c r="AY3351" s="128"/>
      <c r="AZ3351" s="128"/>
      <c r="BA3351" s="128"/>
      <c r="BB3351" s="128"/>
      <c r="BC3351" s="128"/>
      <c r="BD3351" s="128"/>
      <c r="BE3351" s="128"/>
      <c r="BF3351" s="128"/>
      <c r="BG3351" s="128"/>
      <c r="BH3351" s="128"/>
      <c r="BI3351" s="128"/>
      <c r="BJ3351" s="128"/>
      <c r="BK3351" s="128"/>
      <c r="BL3351" s="128"/>
      <c r="BM3351" s="151"/>
      <c r="BN3351" s="128"/>
      <c r="BO3351" s="128"/>
      <c r="BP3351" s="128"/>
      <c r="BQ3351" s="128"/>
      <c r="BR3351" s="128"/>
      <c r="BS3351" s="128"/>
      <c r="BT3351" s="128"/>
      <c r="BU3351" s="128"/>
      <c r="BV3351" s="128"/>
      <c r="BW3351" s="128"/>
      <c r="BX3351" s="128"/>
      <c r="BY3351" s="128"/>
      <c r="BZ3351" s="128"/>
      <c r="CA3351" s="128"/>
      <c r="CB3351" s="128"/>
      <c r="CC3351" s="128"/>
      <c r="CD3351" s="128"/>
      <c r="CE3351" s="128"/>
      <c r="CF3351" s="128"/>
      <c r="CG3351" s="128"/>
      <c r="CI3351" s="128"/>
      <c r="CJ3351" s="128"/>
      <c r="CK3351" s="128"/>
      <c r="CL3351" s="128"/>
      <c r="CM3351" s="128"/>
      <c r="CN3351" s="128"/>
      <c r="CO3351" s="128"/>
      <c r="CP3351" s="128"/>
      <c r="CQ3351" s="128"/>
      <c r="CR3351" s="128"/>
      <c r="CS3351" s="128"/>
      <c r="CT3351" s="128"/>
      <c r="CU3351" s="128"/>
      <c r="CV3351" s="128"/>
      <c r="CW3351" s="128"/>
      <c r="CX3351" s="128"/>
      <c r="CY3351" s="128"/>
      <c r="CZ3351" s="165"/>
    </row>
    <row r="3352" spans="1:104">
      <c r="A3352" s="149"/>
      <c r="B3352" s="149"/>
      <c r="C3352" s="150"/>
      <c r="D3352" s="102"/>
      <c r="E3352" s="149"/>
      <c r="F3352" s="149"/>
      <c r="G3352" s="149"/>
      <c r="H3352" s="149"/>
      <c r="I3352" s="149"/>
      <c r="J3352" s="149"/>
      <c r="K3352" s="149"/>
      <c r="L3352" s="149"/>
      <c r="M3352" s="149"/>
      <c r="N3352" s="149"/>
      <c r="O3352" s="149"/>
      <c r="P3352" s="149"/>
      <c r="Q3352" s="149"/>
      <c r="R3352" s="149"/>
      <c r="S3352" s="149"/>
      <c r="T3352" s="149"/>
      <c r="U3352" s="149"/>
      <c r="V3352" s="149"/>
      <c r="W3352" s="149"/>
      <c r="X3352" s="149"/>
      <c r="Y3352" s="149"/>
      <c r="Z3352" s="149"/>
      <c r="AA3352" s="149"/>
      <c r="AB3352" s="149"/>
      <c r="AC3352" s="149"/>
      <c r="AD3352" s="149"/>
      <c r="AE3352" s="149"/>
      <c r="AF3352" s="149"/>
      <c r="AG3352" s="149"/>
      <c r="AH3352" s="149"/>
      <c r="AI3352" s="149"/>
      <c r="AJ3352" s="149"/>
      <c r="AK3352" s="149"/>
      <c r="AL3352" s="149"/>
      <c r="AM3352" s="149"/>
      <c r="AN3352" s="149"/>
      <c r="AO3352" s="128"/>
      <c r="AP3352" s="128"/>
      <c r="AQ3352" s="128"/>
      <c r="AR3352" s="128"/>
      <c r="AS3352" s="128"/>
      <c r="AT3352" s="128"/>
      <c r="AU3352" s="128"/>
      <c r="AV3352" s="128"/>
      <c r="AW3352" s="128"/>
      <c r="AX3352" s="128"/>
      <c r="AY3352" s="128"/>
      <c r="AZ3352" s="128"/>
      <c r="BA3352" s="128"/>
      <c r="BB3352" s="128"/>
      <c r="BC3352" s="128"/>
      <c r="BD3352" s="128"/>
      <c r="BE3352" s="128"/>
      <c r="BF3352" s="128"/>
      <c r="BG3352" s="128"/>
      <c r="BH3352" s="128"/>
      <c r="BI3352" s="128"/>
      <c r="BJ3352" s="128"/>
      <c r="BK3352" s="128"/>
      <c r="BL3352" s="128"/>
      <c r="BM3352" s="151"/>
      <c r="BN3352" s="128"/>
      <c r="BO3352" s="128"/>
      <c r="BP3352" s="128"/>
      <c r="BQ3352" s="128"/>
      <c r="BR3352" s="128"/>
      <c r="BS3352" s="128"/>
      <c r="BT3352" s="128"/>
      <c r="BU3352" s="128"/>
      <c r="BV3352" s="128"/>
      <c r="BW3352" s="128"/>
      <c r="BX3352" s="128"/>
      <c r="BY3352" s="128"/>
      <c r="BZ3352" s="128"/>
      <c r="CA3352" s="128"/>
      <c r="CB3352" s="128"/>
      <c r="CC3352" s="128"/>
      <c r="CD3352" s="128"/>
      <c r="CE3352" s="128"/>
      <c r="CF3352" s="128"/>
      <c r="CG3352" s="128"/>
      <c r="CI3352" s="128"/>
      <c r="CJ3352" s="128"/>
      <c r="CK3352" s="128"/>
      <c r="CL3352" s="128"/>
      <c r="CM3352" s="128"/>
      <c r="CN3352" s="128"/>
      <c r="CO3352" s="128"/>
      <c r="CP3352" s="128"/>
      <c r="CQ3352" s="128"/>
      <c r="CR3352" s="128"/>
      <c r="CS3352" s="128"/>
      <c r="CT3352" s="128"/>
      <c r="CU3352" s="128"/>
      <c r="CV3352" s="128"/>
      <c r="CW3352" s="128"/>
      <c r="CX3352" s="128"/>
      <c r="CY3352" s="128"/>
      <c r="CZ3352" s="165"/>
    </row>
    <row r="3353" spans="1:104">
      <c r="A3353" s="149"/>
      <c r="B3353" s="149"/>
      <c r="C3353" s="150"/>
      <c r="D3353" s="102"/>
      <c r="E3353" s="149"/>
      <c r="F3353" s="149"/>
      <c r="G3353" s="149"/>
      <c r="H3353" s="149"/>
      <c r="I3353" s="149"/>
      <c r="J3353" s="149"/>
      <c r="K3353" s="149"/>
      <c r="L3353" s="149"/>
      <c r="M3353" s="149"/>
      <c r="N3353" s="149"/>
      <c r="O3353" s="149"/>
      <c r="P3353" s="149"/>
      <c r="Q3353" s="149"/>
      <c r="R3353" s="149"/>
      <c r="S3353" s="149"/>
      <c r="T3353" s="149"/>
      <c r="U3353" s="149"/>
      <c r="V3353" s="149"/>
      <c r="W3353" s="149"/>
      <c r="X3353" s="149"/>
      <c r="Y3353" s="149"/>
      <c r="Z3353" s="149"/>
      <c r="AA3353" s="149"/>
      <c r="AB3353" s="149"/>
      <c r="AC3353" s="149"/>
      <c r="AD3353" s="149"/>
      <c r="AE3353" s="149"/>
      <c r="AF3353" s="149"/>
      <c r="AG3353" s="149"/>
      <c r="AH3353" s="149"/>
      <c r="AI3353" s="149"/>
      <c r="AJ3353" s="149"/>
      <c r="AK3353" s="149"/>
      <c r="AL3353" s="149"/>
      <c r="AM3353" s="149"/>
      <c r="AN3353" s="149"/>
      <c r="AO3353" s="128"/>
      <c r="AP3353" s="128"/>
      <c r="AQ3353" s="128"/>
      <c r="AR3353" s="128"/>
      <c r="AS3353" s="128"/>
      <c r="AT3353" s="128"/>
      <c r="AU3353" s="128"/>
      <c r="AV3353" s="128"/>
      <c r="AW3353" s="128"/>
      <c r="AX3353" s="128"/>
      <c r="AY3353" s="128"/>
      <c r="AZ3353" s="128"/>
      <c r="BA3353" s="128"/>
      <c r="BB3353" s="128"/>
      <c r="BC3353" s="128"/>
      <c r="BD3353" s="128"/>
      <c r="BE3353" s="128"/>
      <c r="BF3353" s="128"/>
      <c r="BG3353" s="128"/>
      <c r="BH3353" s="128"/>
      <c r="BI3353" s="128"/>
      <c r="BJ3353" s="128"/>
      <c r="BK3353" s="128"/>
      <c r="BL3353" s="128"/>
      <c r="BM3353" s="151"/>
      <c r="BN3353" s="128"/>
      <c r="BO3353" s="128"/>
      <c r="BP3353" s="128"/>
      <c r="BQ3353" s="128"/>
      <c r="BR3353" s="128"/>
      <c r="BS3353" s="128"/>
      <c r="BT3353" s="128"/>
      <c r="BU3353" s="128"/>
      <c r="BV3353" s="128"/>
      <c r="BW3353" s="128"/>
      <c r="BX3353" s="128"/>
      <c r="BY3353" s="128"/>
      <c r="BZ3353" s="128"/>
      <c r="CA3353" s="128"/>
      <c r="CB3353" s="128"/>
      <c r="CC3353" s="128"/>
      <c r="CD3353" s="128"/>
      <c r="CE3353" s="128"/>
      <c r="CF3353" s="128"/>
      <c r="CG3353" s="128"/>
      <c r="CI3353" s="128"/>
      <c r="CJ3353" s="128"/>
      <c r="CK3353" s="128"/>
      <c r="CL3353" s="128"/>
      <c r="CM3353" s="128"/>
      <c r="CN3353" s="128"/>
      <c r="CO3353" s="128"/>
      <c r="CP3353" s="128"/>
      <c r="CQ3353" s="128"/>
      <c r="CR3353" s="128"/>
      <c r="CS3353" s="128"/>
      <c r="CT3353" s="128"/>
      <c r="CU3353" s="128"/>
      <c r="CV3353" s="128"/>
      <c r="CW3353" s="128"/>
      <c r="CX3353" s="128"/>
      <c r="CY3353" s="128"/>
      <c r="CZ3353" s="165"/>
    </row>
    <row r="3354" spans="1:104">
      <c r="A3354" s="149"/>
      <c r="B3354" s="149"/>
      <c r="C3354" s="150"/>
      <c r="D3354" s="102"/>
      <c r="E3354" s="149"/>
      <c r="F3354" s="149"/>
      <c r="G3354" s="149"/>
      <c r="H3354" s="149"/>
      <c r="I3354" s="149"/>
      <c r="J3354" s="149"/>
      <c r="K3354" s="149"/>
      <c r="L3354" s="149"/>
      <c r="M3354" s="149"/>
      <c r="N3354" s="149"/>
      <c r="O3354" s="149"/>
      <c r="P3354" s="149"/>
      <c r="Q3354" s="149"/>
      <c r="R3354" s="149"/>
      <c r="S3354" s="149"/>
      <c r="T3354" s="149"/>
      <c r="U3354" s="149"/>
      <c r="V3354" s="149"/>
      <c r="W3354" s="149"/>
      <c r="X3354" s="149"/>
      <c r="Y3354" s="149"/>
      <c r="Z3354" s="149"/>
      <c r="AA3354" s="149"/>
      <c r="AB3354" s="149"/>
      <c r="AC3354" s="149"/>
      <c r="AD3354" s="149"/>
      <c r="AE3354" s="149"/>
      <c r="AF3354" s="149"/>
      <c r="AG3354" s="149"/>
      <c r="AH3354" s="149"/>
      <c r="AI3354" s="149"/>
      <c r="AJ3354" s="149"/>
      <c r="AK3354" s="149"/>
      <c r="AL3354" s="149"/>
      <c r="AM3354" s="149"/>
      <c r="AN3354" s="149"/>
      <c r="AO3354" s="128"/>
      <c r="AP3354" s="128"/>
      <c r="AQ3354" s="128"/>
      <c r="AR3354" s="128"/>
      <c r="AS3354" s="128"/>
      <c r="AT3354" s="128"/>
      <c r="AU3354" s="128"/>
      <c r="AV3354" s="128"/>
      <c r="AW3354" s="128"/>
      <c r="AX3354" s="128"/>
      <c r="AY3354" s="128"/>
      <c r="AZ3354" s="128"/>
      <c r="BA3354" s="128"/>
      <c r="BB3354" s="128"/>
      <c r="BC3354" s="128"/>
      <c r="BD3354" s="128"/>
      <c r="BE3354" s="128"/>
      <c r="BF3354" s="128"/>
      <c r="BG3354" s="128"/>
      <c r="BH3354" s="128"/>
      <c r="BI3354" s="128"/>
      <c r="BJ3354" s="128"/>
      <c r="BK3354" s="128"/>
      <c r="BL3354" s="128"/>
      <c r="BM3354" s="151"/>
      <c r="BN3354" s="128"/>
      <c r="BO3354" s="128"/>
      <c r="BP3354" s="128"/>
      <c r="BQ3354" s="128"/>
      <c r="BR3354" s="128"/>
      <c r="BS3354" s="128"/>
      <c r="BT3354" s="128"/>
      <c r="BU3354" s="128"/>
      <c r="BV3354" s="128"/>
      <c r="BW3354" s="128"/>
      <c r="BX3354" s="128"/>
      <c r="BY3354" s="128"/>
      <c r="BZ3354" s="128"/>
      <c r="CA3354" s="128"/>
      <c r="CB3354" s="128"/>
      <c r="CC3354" s="128"/>
      <c r="CD3354" s="128"/>
      <c r="CE3354" s="128"/>
      <c r="CF3354" s="128"/>
      <c r="CG3354" s="128"/>
      <c r="CI3354" s="128"/>
      <c r="CJ3354" s="128"/>
      <c r="CK3354" s="128"/>
      <c r="CL3354" s="128"/>
      <c r="CM3354" s="128"/>
      <c r="CN3354" s="128"/>
      <c r="CO3354" s="128"/>
      <c r="CP3354" s="128"/>
      <c r="CQ3354" s="128"/>
      <c r="CR3354" s="128"/>
      <c r="CS3354" s="128"/>
      <c r="CT3354" s="128"/>
      <c r="CU3354" s="128"/>
      <c r="CV3354" s="128"/>
      <c r="CW3354" s="128"/>
      <c r="CX3354" s="128"/>
      <c r="CY3354" s="128"/>
      <c r="CZ3354" s="165"/>
    </row>
    <row r="3355" spans="1:104">
      <c r="A3355" s="149"/>
      <c r="B3355" s="149"/>
      <c r="C3355" s="150"/>
      <c r="D3355" s="102"/>
      <c r="E3355" s="149"/>
      <c r="F3355" s="149"/>
      <c r="G3355" s="149"/>
      <c r="H3355" s="149"/>
      <c r="I3355" s="149"/>
      <c r="J3355" s="149"/>
      <c r="K3355" s="149"/>
      <c r="L3355" s="149"/>
      <c r="M3355" s="149"/>
      <c r="N3355" s="149"/>
      <c r="O3355" s="149"/>
      <c r="P3355" s="149"/>
      <c r="Q3355" s="149"/>
      <c r="R3355" s="149"/>
      <c r="S3355" s="149"/>
      <c r="T3355" s="149"/>
      <c r="U3355" s="149"/>
      <c r="V3355" s="149"/>
      <c r="W3355" s="149"/>
      <c r="X3355" s="149"/>
      <c r="Y3355" s="149"/>
      <c r="Z3355" s="149"/>
      <c r="AA3355" s="149"/>
      <c r="AB3355" s="149"/>
      <c r="AC3355" s="149"/>
      <c r="AD3355" s="149"/>
      <c r="AE3355" s="149"/>
      <c r="AF3355" s="149"/>
      <c r="AG3355" s="149"/>
      <c r="AH3355" s="149"/>
      <c r="AI3355" s="149"/>
      <c r="AJ3355" s="149"/>
      <c r="AK3355" s="149"/>
      <c r="AL3355" s="149"/>
      <c r="AM3355" s="149"/>
      <c r="AN3355" s="149"/>
      <c r="AO3355" s="128"/>
      <c r="AP3355" s="128"/>
      <c r="AQ3355" s="128"/>
      <c r="AR3355" s="128"/>
      <c r="AS3355" s="128"/>
      <c r="AT3355" s="128"/>
      <c r="AU3355" s="128"/>
      <c r="AV3355" s="128"/>
      <c r="AW3355" s="128"/>
      <c r="AX3355" s="128"/>
      <c r="AY3355" s="128"/>
      <c r="AZ3355" s="128"/>
      <c r="BA3355" s="128"/>
      <c r="BB3355" s="128"/>
      <c r="BC3355" s="128"/>
      <c r="BD3355" s="128"/>
      <c r="BE3355" s="128"/>
      <c r="BF3355" s="128"/>
      <c r="BG3355" s="128"/>
      <c r="BH3355" s="128"/>
      <c r="BI3355" s="128"/>
      <c r="BJ3355" s="128"/>
      <c r="BK3355" s="128"/>
      <c r="BL3355" s="128"/>
      <c r="BM3355" s="151"/>
      <c r="BN3355" s="128"/>
      <c r="BO3355" s="128"/>
      <c r="BP3355" s="128"/>
      <c r="BQ3355" s="128"/>
      <c r="BR3355" s="128"/>
      <c r="BS3355" s="128"/>
      <c r="BT3355" s="128"/>
      <c r="BU3355" s="128"/>
      <c r="BV3355" s="128"/>
      <c r="BW3355" s="128"/>
      <c r="BX3355" s="128"/>
      <c r="BY3355" s="128"/>
      <c r="BZ3355" s="128"/>
      <c r="CA3355" s="128"/>
      <c r="CB3355" s="128"/>
      <c r="CC3355" s="128"/>
      <c r="CD3355" s="128"/>
      <c r="CE3355" s="128"/>
      <c r="CF3355" s="128"/>
      <c r="CG3355" s="128"/>
      <c r="CI3355" s="128"/>
      <c r="CJ3355" s="128"/>
      <c r="CK3355" s="128"/>
      <c r="CL3355" s="128"/>
      <c r="CM3355" s="128"/>
      <c r="CN3355" s="128"/>
      <c r="CO3355" s="128"/>
      <c r="CP3355" s="128"/>
      <c r="CQ3355" s="128"/>
      <c r="CR3355" s="128"/>
      <c r="CS3355" s="128"/>
      <c r="CT3355" s="128"/>
      <c r="CU3355" s="128"/>
      <c r="CV3355" s="128"/>
      <c r="CW3355" s="128"/>
      <c r="CX3355" s="128"/>
      <c r="CY3355" s="128"/>
      <c r="CZ3355" s="165"/>
    </row>
    <row r="3356" spans="1:104">
      <c r="A3356" s="149"/>
      <c r="B3356" s="149"/>
      <c r="C3356" s="150"/>
      <c r="D3356" s="102"/>
      <c r="E3356" s="149"/>
      <c r="F3356" s="149"/>
      <c r="G3356" s="149"/>
      <c r="H3356" s="149"/>
      <c r="I3356" s="149"/>
      <c r="J3356" s="149"/>
      <c r="K3356" s="149"/>
      <c r="L3356" s="149"/>
      <c r="M3356" s="149"/>
      <c r="N3356" s="149"/>
      <c r="O3356" s="149"/>
      <c r="P3356" s="149"/>
      <c r="Q3356" s="149"/>
      <c r="R3356" s="149"/>
      <c r="S3356" s="149"/>
      <c r="T3356" s="149"/>
      <c r="U3356" s="149"/>
      <c r="V3356" s="149"/>
      <c r="W3356" s="149"/>
      <c r="X3356" s="149"/>
      <c r="Y3356" s="149"/>
      <c r="Z3356" s="149"/>
      <c r="AA3356" s="149"/>
      <c r="AB3356" s="149"/>
      <c r="AC3356" s="149"/>
      <c r="AD3356" s="149"/>
      <c r="AE3356" s="149"/>
      <c r="AF3356" s="149"/>
      <c r="AG3356" s="149"/>
      <c r="AH3356" s="149"/>
      <c r="AI3356" s="149"/>
      <c r="AJ3356" s="149"/>
      <c r="AK3356" s="149"/>
      <c r="AL3356" s="149"/>
      <c r="AM3356" s="149"/>
      <c r="AN3356" s="149"/>
      <c r="AO3356" s="128"/>
      <c r="AP3356" s="128"/>
      <c r="AQ3356" s="128"/>
      <c r="AR3356" s="128"/>
      <c r="AS3356" s="128"/>
      <c r="AT3356" s="128"/>
      <c r="AU3356" s="128"/>
      <c r="AV3356" s="128"/>
      <c r="AW3356" s="128"/>
      <c r="AX3356" s="128"/>
      <c r="AY3356" s="128"/>
      <c r="AZ3356" s="128"/>
      <c r="BA3356" s="128"/>
      <c r="BB3356" s="128"/>
      <c r="BC3356" s="128"/>
      <c r="BD3356" s="128"/>
      <c r="BE3356" s="128"/>
      <c r="BF3356" s="128"/>
      <c r="BG3356" s="128"/>
      <c r="BH3356" s="128"/>
      <c r="BI3356" s="128"/>
      <c r="BJ3356" s="128"/>
      <c r="BK3356" s="128"/>
      <c r="BL3356" s="128"/>
      <c r="BM3356" s="151"/>
      <c r="BN3356" s="128"/>
      <c r="BO3356" s="128"/>
      <c r="BP3356" s="128"/>
      <c r="BQ3356" s="128"/>
      <c r="BR3356" s="128"/>
      <c r="BS3356" s="128"/>
      <c r="BT3356" s="128"/>
      <c r="BU3356" s="128"/>
      <c r="BV3356" s="128"/>
      <c r="BW3356" s="128"/>
      <c r="BX3356" s="128"/>
      <c r="BY3356" s="128"/>
      <c r="BZ3356" s="128"/>
      <c r="CA3356" s="128"/>
      <c r="CB3356" s="128"/>
      <c r="CC3356" s="128"/>
      <c r="CD3356" s="128"/>
      <c r="CE3356" s="128"/>
      <c r="CF3356" s="128"/>
      <c r="CG3356" s="128"/>
      <c r="CI3356" s="128"/>
      <c r="CJ3356" s="128"/>
      <c r="CK3356" s="128"/>
      <c r="CL3356" s="128"/>
      <c r="CM3356" s="128"/>
      <c r="CN3356" s="128"/>
      <c r="CO3356" s="128"/>
      <c r="CP3356" s="128"/>
      <c r="CQ3356" s="128"/>
      <c r="CR3356" s="128"/>
      <c r="CS3356" s="128"/>
      <c r="CT3356" s="128"/>
      <c r="CU3356" s="128"/>
      <c r="CV3356" s="128"/>
      <c r="CW3356" s="128"/>
      <c r="CX3356" s="128"/>
      <c r="CY3356" s="128"/>
      <c r="CZ3356" s="165"/>
    </row>
    <row r="3357" spans="1:104">
      <c r="A3357" s="149"/>
      <c r="B3357" s="149"/>
      <c r="C3357" s="150"/>
      <c r="D3357" s="102"/>
      <c r="E3357" s="149"/>
      <c r="F3357" s="149"/>
      <c r="G3357" s="149"/>
      <c r="H3357" s="149"/>
      <c r="I3357" s="149"/>
      <c r="J3357" s="149"/>
      <c r="K3357" s="149"/>
      <c r="L3357" s="149"/>
      <c r="M3357" s="149"/>
      <c r="N3357" s="149"/>
      <c r="O3357" s="149"/>
      <c r="P3357" s="149"/>
      <c r="Q3357" s="149"/>
      <c r="R3357" s="149"/>
      <c r="S3357" s="149"/>
      <c r="T3357" s="149"/>
      <c r="U3357" s="149"/>
      <c r="V3357" s="149"/>
      <c r="W3357" s="149"/>
      <c r="X3357" s="149"/>
      <c r="Y3357" s="149"/>
      <c r="Z3357" s="149"/>
      <c r="AA3357" s="149"/>
      <c r="AB3357" s="149"/>
      <c r="AC3357" s="149"/>
      <c r="AD3357" s="149"/>
      <c r="AE3357" s="149"/>
      <c r="AF3357" s="149"/>
      <c r="AG3357" s="149"/>
      <c r="AH3357" s="149"/>
      <c r="AI3357" s="149"/>
      <c r="AJ3357" s="149"/>
      <c r="AK3357" s="149"/>
      <c r="AL3357" s="149"/>
      <c r="AM3357" s="149"/>
      <c r="AN3357" s="149"/>
      <c r="AO3357" s="128"/>
      <c r="AP3357" s="128"/>
      <c r="AQ3357" s="128"/>
      <c r="AR3357" s="128"/>
      <c r="AS3357" s="128"/>
      <c r="AT3357" s="128"/>
      <c r="AU3357" s="128"/>
      <c r="AV3357" s="128"/>
      <c r="AW3357" s="128"/>
      <c r="AX3357" s="128"/>
      <c r="AY3357" s="128"/>
      <c r="AZ3357" s="128"/>
      <c r="BA3357" s="128"/>
      <c r="BB3357" s="128"/>
      <c r="BC3357" s="128"/>
      <c r="BD3357" s="128"/>
      <c r="BE3357" s="128"/>
      <c r="BF3357" s="128"/>
      <c r="BG3357" s="128"/>
      <c r="BH3357" s="128"/>
      <c r="BI3357" s="128"/>
      <c r="BJ3357" s="128"/>
      <c r="BK3357" s="128"/>
      <c r="BL3357" s="128"/>
      <c r="BM3357" s="151"/>
      <c r="BN3357" s="128"/>
      <c r="BO3357" s="128"/>
      <c r="BP3357" s="128"/>
      <c r="BQ3357" s="128"/>
      <c r="BR3357" s="128"/>
      <c r="BS3357" s="128"/>
      <c r="BT3357" s="128"/>
      <c r="BU3357" s="128"/>
      <c r="BV3357" s="128"/>
      <c r="BW3357" s="128"/>
      <c r="BX3357" s="128"/>
      <c r="BY3357" s="128"/>
      <c r="BZ3357" s="128"/>
      <c r="CA3357" s="128"/>
      <c r="CB3357" s="128"/>
      <c r="CC3357" s="128"/>
      <c r="CD3357" s="128"/>
      <c r="CE3357" s="128"/>
      <c r="CF3357" s="128"/>
      <c r="CG3357" s="128"/>
      <c r="CI3357" s="128"/>
      <c r="CJ3357" s="128"/>
      <c r="CK3357" s="128"/>
      <c r="CL3357" s="128"/>
      <c r="CM3357" s="128"/>
      <c r="CN3357" s="128"/>
      <c r="CO3357" s="128"/>
      <c r="CP3357" s="128"/>
      <c r="CQ3357" s="128"/>
      <c r="CR3357" s="128"/>
      <c r="CS3357" s="128"/>
      <c r="CT3357" s="128"/>
      <c r="CU3357" s="128"/>
      <c r="CV3357" s="128"/>
      <c r="CW3357" s="128"/>
      <c r="CX3357" s="128"/>
      <c r="CY3357" s="128"/>
      <c r="CZ3357" s="165"/>
    </row>
    <row r="3358" spans="1:104">
      <c r="A3358" s="149"/>
      <c r="B3358" s="149"/>
      <c r="C3358" s="150"/>
      <c r="D3358" s="102"/>
      <c r="E3358" s="149"/>
      <c r="F3358" s="149"/>
      <c r="G3358" s="149"/>
      <c r="H3358" s="149"/>
      <c r="I3358" s="149"/>
      <c r="J3358" s="149"/>
      <c r="K3358" s="149"/>
      <c r="L3358" s="149"/>
      <c r="M3358" s="149"/>
      <c r="N3358" s="149"/>
      <c r="O3358" s="149"/>
      <c r="P3358" s="149"/>
      <c r="Q3358" s="149"/>
      <c r="R3358" s="149"/>
      <c r="S3358" s="149"/>
      <c r="T3358" s="149"/>
      <c r="U3358" s="149"/>
      <c r="V3358" s="149"/>
      <c r="W3358" s="149"/>
      <c r="X3358" s="149"/>
      <c r="Y3358" s="149"/>
      <c r="Z3358" s="149"/>
      <c r="AA3358" s="149"/>
      <c r="AB3358" s="149"/>
      <c r="AC3358" s="149"/>
      <c r="AD3358" s="149"/>
      <c r="AE3358" s="149"/>
      <c r="AF3358" s="149"/>
      <c r="AG3358" s="149"/>
      <c r="AH3358" s="149"/>
      <c r="AI3358" s="149"/>
      <c r="AJ3358" s="149"/>
      <c r="AK3358" s="149"/>
      <c r="AL3358" s="149"/>
      <c r="AM3358" s="149"/>
      <c r="AN3358" s="149"/>
      <c r="AO3358" s="128"/>
      <c r="AP3358" s="128"/>
      <c r="AQ3358" s="128"/>
      <c r="AR3358" s="128"/>
      <c r="AS3358" s="128"/>
      <c r="AT3358" s="128"/>
      <c r="AU3358" s="128"/>
      <c r="AV3358" s="128"/>
      <c r="AW3358" s="128"/>
      <c r="AX3358" s="128"/>
      <c r="AY3358" s="128"/>
      <c r="AZ3358" s="128"/>
      <c r="BA3358" s="128"/>
      <c r="BB3358" s="128"/>
      <c r="BC3358" s="128"/>
      <c r="BD3358" s="128"/>
      <c r="BE3358" s="128"/>
      <c r="BF3358" s="128"/>
      <c r="BG3358" s="128"/>
      <c r="BH3358" s="128"/>
      <c r="BI3358" s="128"/>
      <c r="BJ3358" s="128"/>
      <c r="BK3358" s="128"/>
      <c r="BL3358" s="128"/>
      <c r="BM3358" s="151"/>
      <c r="BN3358" s="128"/>
      <c r="BO3358" s="128"/>
      <c r="BP3358" s="128"/>
      <c r="BQ3358" s="128"/>
      <c r="BR3358" s="128"/>
      <c r="BS3358" s="128"/>
      <c r="BT3358" s="128"/>
      <c r="BU3358" s="128"/>
      <c r="BV3358" s="128"/>
      <c r="BW3358" s="128"/>
      <c r="BX3358" s="128"/>
      <c r="BY3358" s="128"/>
      <c r="BZ3358" s="128"/>
      <c r="CA3358" s="128"/>
      <c r="CB3358" s="128"/>
      <c r="CC3358" s="128"/>
      <c r="CD3358" s="128"/>
      <c r="CE3358" s="128"/>
      <c r="CF3358" s="128"/>
      <c r="CG3358" s="128"/>
      <c r="CI3358" s="128"/>
      <c r="CJ3358" s="128"/>
      <c r="CK3358" s="128"/>
      <c r="CL3358" s="128"/>
      <c r="CM3358" s="128"/>
      <c r="CN3358" s="128"/>
      <c r="CO3358" s="128"/>
      <c r="CP3358" s="128"/>
      <c r="CQ3358" s="128"/>
      <c r="CR3358" s="128"/>
      <c r="CS3358" s="128"/>
      <c r="CT3358" s="128"/>
      <c r="CU3358" s="128"/>
      <c r="CV3358" s="128"/>
      <c r="CW3358" s="128"/>
      <c r="CX3358" s="128"/>
      <c r="CY3358" s="128"/>
      <c r="CZ3358" s="165"/>
    </row>
    <row r="3359" spans="1:104">
      <c r="A3359" s="149"/>
      <c r="B3359" s="149"/>
      <c r="C3359" s="150"/>
      <c r="D3359" s="102"/>
      <c r="E3359" s="149"/>
      <c r="F3359" s="149"/>
      <c r="G3359" s="149"/>
      <c r="H3359" s="149"/>
      <c r="I3359" s="149"/>
      <c r="J3359" s="149"/>
      <c r="K3359" s="149"/>
      <c r="L3359" s="149"/>
      <c r="M3359" s="149"/>
      <c r="N3359" s="149"/>
      <c r="O3359" s="149"/>
      <c r="P3359" s="149"/>
      <c r="Q3359" s="149"/>
      <c r="R3359" s="149"/>
      <c r="S3359" s="149"/>
      <c r="T3359" s="149"/>
      <c r="U3359" s="149"/>
      <c r="V3359" s="149"/>
      <c r="W3359" s="149"/>
      <c r="X3359" s="149"/>
      <c r="Y3359" s="149"/>
      <c r="Z3359" s="149"/>
      <c r="AA3359" s="149"/>
      <c r="AB3359" s="149"/>
      <c r="AC3359" s="149"/>
      <c r="AD3359" s="149"/>
      <c r="AE3359" s="149"/>
      <c r="AF3359" s="149"/>
      <c r="AG3359" s="149"/>
      <c r="AH3359" s="149"/>
      <c r="AI3359" s="149"/>
      <c r="AJ3359" s="149"/>
      <c r="AK3359" s="149"/>
      <c r="AL3359" s="149"/>
      <c r="AM3359" s="149"/>
      <c r="AN3359" s="149"/>
      <c r="AO3359" s="128"/>
      <c r="AP3359" s="128"/>
      <c r="AQ3359" s="128"/>
      <c r="AR3359" s="128"/>
      <c r="AS3359" s="128"/>
      <c r="AT3359" s="128"/>
      <c r="AU3359" s="128"/>
      <c r="AV3359" s="128"/>
      <c r="AW3359" s="128"/>
      <c r="AX3359" s="128"/>
      <c r="AY3359" s="128"/>
      <c r="AZ3359" s="128"/>
      <c r="BA3359" s="128"/>
      <c r="BB3359" s="128"/>
      <c r="BC3359" s="128"/>
      <c r="BD3359" s="128"/>
      <c r="BE3359" s="128"/>
      <c r="BF3359" s="128"/>
      <c r="BG3359" s="128"/>
      <c r="BH3359" s="128"/>
      <c r="BI3359" s="128"/>
      <c r="BJ3359" s="128"/>
      <c r="BK3359" s="128"/>
      <c r="BL3359" s="128"/>
      <c r="BM3359" s="151"/>
      <c r="BN3359" s="128"/>
      <c r="BO3359" s="128"/>
      <c r="BP3359" s="128"/>
      <c r="BQ3359" s="128"/>
      <c r="BR3359" s="128"/>
      <c r="BS3359" s="128"/>
      <c r="BT3359" s="128"/>
      <c r="BU3359" s="128"/>
      <c r="BV3359" s="128"/>
      <c r="BW3359" s="128"/>
      <c r="BX3359" s="128"/>
      <c r="BY3359" s="128"/>
      <c r="BZ3359" s="128"/>
      <c r="CA3359" s="128"/>
      <c r="CB3359" s="128"/>
      <c r="CC3359" s="128"/>
      <c r="CD3359" s="128"/>
      <c r="CE3359" s="128"/>
      <c r="CF3359" s="128"/>
      <c r="CG3359" s="128"/>
      <c r="CI3359" s="128"/>
      <c r="CJ3359" s="128"/>
      <c r="CK3359" s="128"/>
      <c r="CL3359" s="128"/>
      <c r="CM3359" s="128"/>
      <c r="CN3359" s="128"/>
      <c r="CO3359" s="128"/>
      <c r="CP3359" s="128"/>
      <c r="CQ3359" s="128"/>
      <c r="CR3359" s="128"/>
      <c r="CS3359" s="128"/>
      <c r="CT3359" s="128"/>
      <c r="CU3359" s="128"/>
      <c r="CV3359" s="128"/>
      <c r="CW3359" s="128"/>
      <c r="CX3359" s="128"/>
      <c r="CY3359" s="128"/>
      <c r="CZ3359" s="165"/>
    </row>
    <row r="3360" spans="1:104">
      <c r="A3360" s="149"/>
      <c r="B3360" s="149"/>
      <c r="C3360" s="150"/>
      <c r="D3360" s="102"/>
      <c r="E3360" s="149"/>
      <c r="F3360" s="149"/>
      <c r="G3360" s="149"/>
      <c r="H3360" s="149"/>
      <c r="I3360" s="149"/>
      <c r="J3360" s="149"/>
      <c r="K3360" s="149"/>
      <c r="L3360" s="149"/>
      <c r="M3360" s="149"/>
      <c r="N3360" s="149"/>
      <c r="O3360" s="149"/>
      <c r="P3360" s="149"/>
      <c r="Q3360" s="149"/>
      <c r="R3360" s="149"/>
      <c r="S3360" s="149"/>
      <c r="T3360" s="149"/>
      <c r="U3360" s="149"/>
      <c r="V3360" s="149"/>
      <c r="W3360" s="149"/>
      <c r="X3360" s="149"/>
      <c r="Y3360" s="149"/>
      <c r="Z3360" s="149"/>
      <c r="AA3360" s="149"/>
      <c r="AB3360" s="149"/>
      <c r="AC3360" s="149"/>
      <c r="AD3360" s="149"/>
      <c r="AE3360" s="149"/>
      <c r="AF3360" s="149"/>
      <c r="AG3360" s="149"/>
      <c r="AH3360" s="149"/>
      <c r="AI3360" s="149"/>
      <c r="AJ3360" s="149"/>
      <c r="AK3360" s="149"/>
      <c r="AL3360" s="149"/>
      <c r="AM3360" s="149"/>
      <c r="AN3360" s="149"/>
      <c r="AO3360" s="128"/>
      <c r="AP3360" s="128"/>
      <c r="AQ3360" s="128"/>
      <c r="AR3360" s="128"/>
      <c r="AS3360" s="128"/>
      <c r="AT3360" s="128"/>
      <c r="AU3360" s="128"/>
      <c r="AV3360" s="128"/>
      <c r="AW3360" s="128"/>
      <c r="AX3360" s="128"/>
      <c r="AY3360" s="128"/>
      <c r="AZ3360" s="128"/>
      <c r="BA3360" s="128"/>
      <c r="BB3360" s="128"/>
      <c r="BC3360" s="128"/>
      <c r="BD3360" s="128"/>
      <c r="BE3360" s="128"/>
      <c r="BF3360" s="128"/>
      <c r="BG3360" s="128"/>
      <c r="BH3360" s="128"/>
      <c r="BI3360" s="128"/>
      <c r="BJ3360" s="128"/>
      <c r="BK3360" s="128"/>
      <c r="BL3360" s="128"/>
      <c r="BM3360" s="151"/>
      <c r="BN3360" s="128"/>
      <c r="BO3360" s="128"/>
      <c r="BP3360" s="128"/>
      <c r="BQ3360" s="128"/>
      <c r="BR3360" s="128"/>
      <c r="BS3360" s="128"/>
      <c r="BT3360" s="128"/>
      <c r="BU3360" s="128"/>
      <c r="BV3360" s="128"/>
      <c r="BW3360" s="128"/>
      <c r="BX3360" s="128"/>
      <c r="BY3360" s="128"/>
      <c r="BZ3360" s="128"/>
      <c r="CA3360" s="128"/>
      <c r="CB3360" s="128"/>
      <c r="CC3360" s="128"/>
      <c r="CD3360" s="128"/>
      <c r="CE3360" s="128"/>
      <c r="CF3360" s="128"/>
      <c r="CG3360" s="128"/>
      <c r="CI3360" s="128"/>
      <c r="CJ3360" s="128"/>
      <c r="CK3360" s="128"/>
      <c r="CL3360" s="128"/>
      <c r="CM3360" s="128"/>
      <c r="CN3360" s="128"/>
      <c r="CO3360" s="128"/>
      <c r="CP3360" s="128"/>
      <c r="CQ3360" s="128"/>
      <c r="CR3360" s="128"/>
      <c r="CS3360" s="128"/>
      <c r="CT3360" s="128"/>
      <c r="CU3360" s="128"/>
      <c r="CV3360" s="128"/>
      <c r="CW3360" s="128"/>
      <c r="CX3360" s="128"/>
      <c r="CY3360" s="128"/>
      <c r="CZ3360" s="165"/>
    </row>
    <row r="3361" spans="1:104">
      <c r="A3361" s="149"/>
      <c r="B3361" s="149"/>
      <c r="C3361" s="150"/>
      <c r="D3361" s="102"/>
      <c r="E3361" s="149"/>
      <c r="F3361" s="149"/>
      <c r="G3361" s="149"/>
      <c r="H3361" s="149"/>
      <c r="I3361" s="149"/>
      <c r="J3361" s="149"/>
      <c r="K3361" s="149"/>
      <c r="L3361" s="149"/>
      <c r="M3361" s="149"/>
      <c r="N3361" s="149"/>
      <c r="O3361" s="149"/>
      <c r="P3361" s="149"/>
      <c r="Q3361" s="149"/>
      <c r="R3361" s="149"/>
      <c r="S3361" s="149"/>
      <c r="T3361" s="149"/>
      <c r="U3361" s="149"/>
      <c r="V3361" s="149"/>
      <c r="W3361" s="149"/>
      <c r="X3361" s="149"/>
      <c r="Y3361" s="149"/>
      <c r="Z3361" s="149"/>
      <c r="AA3361" s="149"/>
      <c r="AB3361" s="149"/>
      <c r="AC3361" s="149"/>
      <c r="AD3361" s="149"/>
      <c r="AE3361" s="149"/>
      <c r="AF3361" s="149"/>
      <c r="AG3361" s="149"/>
      <c r="AH3361" s="149"/>
      <c r="AI3361" s="149"/>
      <c r="AJ3361" s="149"/>
      <c r="AK3361" s="149"/>
      <c r="AL3361" s="149"/>
      <c r="AM3361" s="149"/>
      <c r="AN3361" s="149"/>
      <c r="AO3361" s="128"/>
      <c r="AP3361" s="128"/>
      <c r="AQ3361" s="128"/>
      <c r="AR3361" s="128"/>
      <c r="AS3361" s="128"/>
      <c r="AT3361" s="128"/>
      <c r="AU3361" s="128"/>
      <c r="AV3361" s="128"/>
      <c r="AW3361" s="128"/>
      <c r="AX3361" s="128"/>
      <c r="AY3361" s="128"/>
      <c r="AZ3361" s="128"/>
      <c r="BA3361" s="128"/>
      <c r="BB3361" s="128"/>
      <c r="BC3361" s="128"/>
      <c r="BD3361" s="128"/>
      <c r="BE3361" s="128"/>
      <c r="BF3361" s="128"/>
      <c r="BG3361" s="128"/>
      <c r="BH3361" s="128"/>
      <c r="BI3361" s="128"/>
      <c r="BJ3361" s="128"/>
      <c r="BK3361" s="128"/>
      <c r="BL3361" s="128"/>
      <c r="BM3361" s="151"/>
      <c r="BN3361" s="128"/>
      <c r="BO3361" s="128"/>
      <c r="BP3361" s="128"/>
      <c r="BQ3361" s="128"/>
      <c r="BR3361" s="128"/>
      <c r="BS3361" s="128"/>
      <c r="BT3361" s="128"/>
      <c r="BU3361" s="128"/>
      <c r="BV3361" s="128"/>
      <c r="BW3361" s="128"/>
      <c r="BX3361" s="128"/>
      <c r="BY3361" s="128"/>
      <c r="BZ3361" s="128"/>
      <c r="CA3361" s="128"/>
      <c r="CB3361" s="128"/>
      <c r="CC3361" s="128"/>
      <c r="CD3361" s="128"/>
      <c r="CE3361" s="128"/>
      <c r="CF3361" s="128"/>
      <c r="CG3361" s="128"/>
      <c r="CI3361" s="128"/>
      <c r="CJ3361" s="128"/>
      <c r="CK3361" s="128"/>
      <c r="CL3361" s="128"/>
      <c r="CM3361" s="128"/>
      <c r="CN3361" s="128"/>
      <c r="CO3361" s="128"/>
      <c r="CP3361" s="128"/>
      <c r="CQ3361" s="128"/>
      <c r="CR3361" s="128"/>
      <c r="CS3361" s="128"/>
      <c r="CT3361" s="128"/>
      <c r="CU3361" s="128"/>
      <c r="CV3361" s="128"/>
      <c r="CW3361" s="128"/>
      <c r="CX3361" s="128"/>
      <c r="CY3361" s="128"/>
      <c r="CZ3361" s="165"/>
    </row>
    <row r="3362" spans="1:104">
      <c r="A3362" s="149"/>
      <c r="B3362" s="149"/>
      <c r="C3362" s="150"/>
      <c r="D3362" s="102"/>
      <c r="E3362" s="149"/>
      <c r="F3362" s="149"/>
      <c r="G3362" s="149"/>
      <c r="H3362" s="149"/>
      <c r="I3362" s="149"/>
      <c r="J3362" s="149"/>
      <c r="K3362" s="149"/>
      <c r="L3362" s="149"/>
      <c r="M3362" s="149"/>
      <c r="N3362" s="149"/>
      <c r="O3362" s="149"/>
      <c r="P3362" s="149"/>
      <c r="Q3362" s="149"/>
      <c r="R3362" s="149"/>
      <c r="S3362" s="149"/>
      <c r="T3362" s="149"/>
      <c r="U3362" s="149"/>
      <c r="V3362" s="149"/>
      <c r="W3362" s="149"/>
      <c r="X3362" s="149"/>
      <c r="Y3362" s="149"/>
      <c r="Z3362" s="149"/>
      <c r="AA3362" s="149"/>
      <c r="AB3362" s="149"/>
      <c r="AC3362" s="149"/>
      <c r="AD3362" s="149"/>
      <c r="AE3362" s="149"/>
      <c r="AF3362" s="149"/>
      <c r="AG3362" s="149"/>
      <c r="AH3362" s="149"/>
      <c r="AI3362" s="149"/>
      <c r="AJ3362" s="149"/>
      <c r="AK3362" s="149"/>
      <c r="AL3362" s="149"/>
      <c r="AM3362" s="149"/>
      <c r="AN3362" s="149"/>
      <c r="AO3362" s="128"/>
      <c r="AP3362" s="128"/>
      <c r="AQ3362" s="128"/>
      <c r="AR3362" s="128"/>
      <c r="AS3362" s="128"/>
      <c r="AT3362" s="128"/>
      <c r="AU3362" s="128"/>
      <c r="AV3362" s="128"/>
      <c r="AW3362" s="128"/>
      <c r="AX3362" s="128"/>
      <c r="AY3362" s="128"/>
      <c r="AZ3362" s="128"/>
      <c r="BA3362" s="128"/>
      <c r="BB3362" s="128"/>
      <c r="BC3362" s="128"/>
      <c r="BD3362" s="128"/>
      <c r="BE3362" s="128"/>
      <c r="BF3362" s="128"/>
      <c r="BG3362" s="128"/>
      <c r="BH3362" s="128"/>
      <c r="BI3362" s="128"/>
      <c r="BJ3362" s="128"/>
      <c r="BK3362" s="128"/>
      <c r="BL3362" s="128"/>
      <c r="BM3362" s="151"/>
      <c r="BN3362" s="128"/>
      <c r="BO3362" s="128"/>
      <c r="BP3362" s="128"/>
      <c r="BQ3362" s="128"/>
      <c r="BR3362" s="128"/>
      <c r="BS3362" s="128"/>
      <c r="BT3362" s="128"/>
      <c r="BU3362" s="128"/>
      <c r="BV3362" s="128"/>
      <c r="BW3362" s="128"/>
      <c r="BX3362" s="128"/>
      <c r="BY3362" s="128"/>
      <c r="BZ3362" s="128"/>
      <c r="CA3362" s="128"/>
      <c r="CB3362" s="128"/>
      <c r="CC3362" s="128"/>
      <c r="CD3362" s="128"/>
      <c r="CE3362" s="128"/>
      <c r="CF3362" s="128"/>
      <c r="CG3362" s="128"/>
      <c r="CI3362" s="128"/>
      <c r="CJ3362" s="128"/>
      <c r="CK3362" s="128"/>
      <c r="CL3362" s="128"/>
      <c r="CM3362" s="128"/>
      <c r="CN3362" s="128"/>
      <c r="CO3362" s="128"/>
      <c r="CP3362" s="128"/>
      <c r="CQ3362" s="128"/>
      <c r="CR3362" s="128"/>
      <c r="CS3362" s="128"/>
      <c r="CT3362" s="128"/>
      <c r="CU3362" s="128"/>
      <c r="CV3362" s="128"/>
      <c r="CW3362" s="128"/>
      <c r="CX3362" s="128"/>
      <c r="CY3362" s="128"/>
      <c r="CZ3362" s="165"/>
    </row>
    <row r="3363" spans="1:104">
      <c r="A3363" s="149"/>
      <c r="B3363" s="149"/>
      <c r="C3363" s="150"/>
      <c r="D3363" s="102"/>
      <c r="E3363" s="149"/>
      <c r="F3363" s="149"/>
      <c r="G3363" s="149"/>
      <c r="H3363" s="149"/>
      <c r="I3363" s="149"/>
      <c r="J3363" s="149"/>
      <c r="K3363" s="149"/>
      <c r="L3363" s="149"/>
      <c r="M3363" s="149"/>
      <c r="N3363" s="149"/>
      <c r="O3363" s="149"/>
      <c r="P3363" s="149"/>
      <c r="Q3363" s="149"/>
      <c r="R3363" s="149"/>
      <c r="S3363" s="149"/>
      <c r="T3363" s="149"/>
      <c r="U3363" s="149"/>
      <c r="V3363" s="149"/>
      <c r="W3363" s="149"/>
      <c r="X3363" s="149"/>
      <c r="Y3363" s="149"/>
      <c r="Z3363" s="149"/>
      <c r="AA3363" s="149"/>
      <c r="AB3363" s="149"/>
      <c r="AC3363" s="149"/>
      <c r="AD3363" s="149"/>
      <c r="AE3363" s="149"/>
      <c r="AF3363" s="149"/>
      <c r="AG3363" s="149"/>
      <c r="AH3363" s="149"/>
      <c r="AI3363" s="149"/>
      <c r="AJ3363" s="149"/>
      <c r="AK3363" s="149"/>
      <c r="AL3363" s="149"/>
      <c r="AM3363" s="149"/>
      <c r="AN3363" s="149"/>
      <c r="AO3363" s="128"/>
      <c r="AP3363" s="128"/>
      <c r="AQ3363" s="128"/>
      <c r="AR3363" s="128"/>
      <c r="AS3363" s="128"/>
      <c r="AT3363" s="128"/>
      <c r="AU3363" s="128"/>
      <c r="AV3363" s="128"/>
      <c r="AW3363" s="128"/>
      <c r="AX3363" s="128"/>
      <c r="AY3363" s="128"/>
      <c r="AZ3363" s="128"/>
      <c r="BA3363" s="128"/>
      <c r="BB3363" s="128"/>
      <c r="BC3363" s="128"/>
      <c r="BD3363" s="128"/>
      <c r="BE3363" s="128"/>
      <c r="BF3363" s="128"/>
      <c r="BG3363" s="128"/>
      <c r="BH3363" s="128"/>
      <c r="BI3363" s="128"/>
      <c r="BJ3363" s="128"/>
      <c r="BK3363" s="128"/>
      <c r="BL3363" s="128"/>
      <c r="BM3363" s="151"/>
      <c r="BN3363" s="128"/>
      <c r="BO3363" s="128"/>
      <c r="BP3363" s="128"/>
      <c r="BQ3363" s="128"/>
      <c r="BR3363" s="128"/>
      <c r="BS3363" s="128"/>
      <c r="BT3363" s="128"/>
      <c r="BU3363" s="128"/>
      <c r="BV3363" s="128"/>
      <c r="BW3363" s="128"/>
      <c r="BX3363" s="128"/>
      <c r="BY3363" s="128"/>
      <c r="BZ3363" s="128"/>
      <c r="CA3363" s="128"/>
      <c r="CB3363" s="128"/>
      <c r="CC3363" s="128"/>
      <c r="CD3363" s="128"/>
      <c r="CE3363" s="128"/>
      <c r="CF3363" s="128"/>
      <c r="CG3363" s="128"/>
      <c r="CI3363" s="128"/>
      <c r="CJ3363" s="128"/>
      <c r="CK3363" s="128"/>
      <c r="CL3363" s="128"/>
      <c r="CM3363" s="128"/>
      <c r="CN3363" s="128"/>
      <c r="CO3363" s="128"/>
      <c r="CP3363" s="128"/>
      <c r="CQ3363" s="128"/>
      <c r="CR3363" s="128"/>
      <c r="CS3363" s="128"/>
      <c r="CT3363" s="128"/>
      <c r="CU3363" s="128"/>
      <c r="CV3363" s="128"/>
      <c r="CW3363" s="128"/>
      <c r="CX3363" s="128"/>
      <c r="CY3363" s="128"/>
      <c r="CZ3363" s="165"/>
    </row>
    <row r="3364" spans="1:104">
      <c r="A3364" s="149"/>
      <c r="B3364" s="149"/>
      <c r="C3364" s="150"/>
      <c r="D3364" s="102"/>
      <c r="E3364" s="149"/>
      <c r="F3364" s="149"/>
      <c r="G3364" s="149"/>
      <c r="H3364" s="149"/>
      <c r="I3364" s="149"/>
      <c r="J3364" s="149"/>
      <c r="K3364" s="149"/>
      <c r="L3364" s="149"/>
      <c r="M3364" s="149"/>
      <c r="N3364" s="149"/>
      <c r="O3364" s="149"/>
      <c r="P3364" s="149"/>
      <c r="Q3364" s="149"/>
      <c r="R3364" s="149"/>
      <c r="S3364" s="149"/>
      <c r="T3364" s="149"/>
      <c r="U3364" s="149"/>
      <c r="V3364" s="149"/>
      <c r="W3364" s="149"/>
      <c r="X3364" s="149"/>
      <c r="Y3364" s="149"/>
      <c r="Z3364" s="149"/>
      <c r="AA3364" s="149"/>
      <c r="AB3364" s="149"/>
      <c r="AC3364" s="149"/>
      <c r="AD3364" s="149"/>
      <c r="AE3364" s="149"/>
      <c r="AF3364" s="149"/>
      <c r="AG3364" s="149"/>
      <c r="AH3364" s="149"/>
      <c r="AI3364" s="149"/>
      <c r="AJ3364" s="149"/>
      <c r="AK3364" s="149"/>
      <c r="AL3364" s="149"/>
      <c r="AM3364" s="149"/>
      <c r="AN3364" s="149"/>
      <c r="AO3364" s="128"/>
      <c r="AP3364" s="128"/>
      <c r="AQ3364" s="128"/>
      <c r="AR3364" s="128"/>
      <c r="AS3364" s="128"/>
      <c r="AT3364" s="128"/>
      <c r="AU3364" s="128"/>
      <c r="AV3364" s="128"/>
      <c r="AW3364" s="128"/>
      <c r="AX3364" s="128"/>
      <c r="AY3364" s="128"/>
      <c r="AZ3364" s="128"/>
      <c r="BA3364" s="128"/>
      <c r="BB3364" s="128"/>
      <c r="BC3364" s="128"/>
      <c r="BD3364" s="128"/>
      <c r="BE3364" s="128"/>
      <c r="BF3364" s="128"/>
      <c r="BG3364" s="128"/>
      <c r="BH3364" s="128"/>
      <c r="BI3364" s="128"/>
      <c r="BJ3364" s="128"/>
      <c r="BK3364" s="128"/>
      <c r="BL3364" s="128"/>
      <c r="BM3364" s="151"/>
      <c r="BN3364" s="128"/>
      <c r="BO3364" s="128"/>
      <c r="BP3364" s="128"/>
      <c r="BQ3364" s="128"/>
      <c r="BR3364" s="128"/>
      <c r="BS3364" s="128"/>
      <c r="BT3364" s="128"/>
      <c r="BU3364" s="128"/>
      <c r="BV3364" s="128"/>
      <c r="BW3364" s="128"/>
      <c r="BX3364" s="128"/>
      <c r="BY3364" s="128"/>
      <c r="BZ3364" s="128"/>
      <c r="CA3364" s="128"/>
      <c r="CB3364" s="128"/>
      <c r="CC3364" s="128"/>
      <c r="CD3364" s="128"/>
      <c r="CE3364" s="128"/>
      <c r="CF3364" s="128"/>
      <c r="CG3364" s="128"/>
      <c r="CI3364" s="128"/>
      <c r="CJ3364" s="128"/>
      <c r="CK3364" s="128"/>
      <c r="CL3364" s="128"/>
      <c r="CM3364" s="128"/>
      <c r="CN3364" s="128"/>
      <c r="CO3364" s="128"/>
      <c r="CP3364" s="128"/>
      <c r="CQ3364" s="128"/>
      <c r="CR3364" s="128"/>
      <c r="CS3364" s="128"/>
      <c r="CT3364" s="128"/>
      <c r="CU3364" s="128"/>
      <c r="CV3364" s="128"/>
      <c r="CW3364" s="128"/>
      <c r="CX3364" s="128"/>
      <c r="CY3364" s="128"/>
      <c r="CZ3364" s="165"/>
    </row>
    <row r="3365" spans="1:104">
      <c r="A3365" s="149"/>
      <c r="B3365" s="149"/>
      <c r="C3365" s="150"/>
      <c r="D3365" s="102"/>
      <c r="E3365" s="149"/>
      <c r="F3365" s="149"/>
      <c r="G3365" s="149"/>
      <c r="H3365" s="149"/>
      <c r="I3365" s="149"/>
      <c r="J3365" s="149"/>
      <c r="K3365" s="149"/>
      <c r="L3365" s="149"/>
      <c r="M3365" s="149"/>
      <c r="N3365" s="149"/>
      <c r="O3365" s="149"/>
      <c r="P3365" s="149"/>
      <c r="Q3365" s="149"/>
      <c r="R3365" s="149"/>
      <c r="S3365" s="149"/>
      <c r="T3365" s="149"/>
      <c r="U3365" s="149"/>
      <c r="V3365" s="149"/>
      <c r="W3365" s="149"/>
      <c r="X3365" s="149"/>
      <c r="Y3365" s="149"/>
      <c r="Z3365" s="149"/>
      <c r="AA3365" s="149"/>
      <c r="AB3365" s="149"/>
      <c r="AC3365" s="149"/>
      <c r="AD3365" s="149"/>
      <c r="AE3365" s="149"/>
      <c r="AF3365" s="149"/>
      <c r="AG3365" s="149"/>
      <c r="AH3365" s="149"/>
      <c r="AI3365" s="149"/>
      <c r="AJ3365" s="149"/>
      <c r="AK3365" s="149"/>
      <c r="AL3365" s="149"/>
      <c r="AM3365" s="149"/>
      <c r="AN3365" s="149"/>
      <c r="AO3365" s="128"/>
      <c r="AP3365" s="128"/>
      <c r="AQ3365" s="128"/>
      <c r="AR3365" s="128"/>
      <c r="AS3365" s="128"/>
      <c r="AT3365" s="128"/>
      <c r="AU3365" s="128"/>
      <c r="AV3365" s="128"/>
      <c r="AW3365" s="128"/>
      <c r="AX3365" s="128"/>
      <c r="AY3365" s="128"/>
      <c r="AZ3365" s="128"/>
      <c r="BA3365" s="128"/>
      <c r="BB3365" s="128"/>
      <c r="BC3365" s="128"/>
      <c r="BD3365" s="128"/>
      <c r="BE3365" s="128"/>
      <c r="BF3365" s="128"/>
      <c r="BG3365" s="128"/>
      <c r="BH3365" s="128"/>
      <c r="BI3365" s="128"/>
      <c r="BJ3365" s="128"/>
      <c r="BK3365" s="128"/>
      <c r="BL3365" s="128"/>
      <c r="BM3365" s="151"/>
      <c r="BN3365" s="128"/>
      <c r="BO3365" s="128"/>
      <c r="BP3365" s="128"/>
      <c r="BQ3365" s="128"/>
      <c r="BR3365" s="128"/>
      <c r="BS3365" s="128"/>
      <c r="BT3365" s="128"/>
      <c r="BU3365" s="128"/>
      <c r="BV3365" s="128"/>
      <c r="BW3365" s="128"/>
      <c r="BX3365" s="128"/>
      <c r="BY3365" s="128"/>
      <c r="BZ3365" s="128"/>
      <c r="CA3365" s="128"/>
      <c r="CB3365" s="128"/>
      <c r="CC3365" s="128"/>
      <c r="CD3365" s="128"/>
      <c r="CE3365" s="128"/>
      <c r="CF3365" s="128"/>
      <c r="CG3365" s="128"/>
      <c r="CI3365" s="128"/>
      <c r="CJ3365" s="128"/>
      <c r="CK3365" s="128"/>
      <c r="CL3365" s="128"/>
      <c r="CM3365" s="128"/>
      <c r="CN3365" s="128"/>
      <c r="CO3365" s="128"/>
      <c r="CP3365" s="128"/>
      <c r="CQ3365" s="128"/>
      <c r="CR3365" s="128"/>
      <c r="CS3365" s="128"/>
      <c r="CT3365" s="128"/>
      <c r="CU3365" s="128"/>
      <c r="CV3365" s="128"/>
      <c r="CW3365" s="128"/>
      <c r="CX3365" s="128"/>
      <c r="CY3365" s="128"/>
      <c r="CZ3365" s="165"/>
    </row>
    <row r="3366" spans="1:104">
      <c r="A3366" s="149"/>
      <c r="B3366" s="149"/>
      <c r="C3366" s="150"/>
      <c r="D3366" s="102"/>
      <c r="E3366" s="149"/>
      <c r="F3366" s="149"/>
      <c r="G3366" s="149"/>
      <c r="H3366" s="149"/>
      <c r="I3366" s="149"/>
      <c r="J3366" s="149"/>
      <c r="K3366" s="149"/>
      <c r="L3366" s="149"/>
      <c r="M3366" s="149"/>
      <c r="N3366" s="149"/>
      <c r="O3366" s="149"/>
      <c r="P3366" s="149"/>
      <c r="Q3366" s="149"/>
      <c r="R3366" s="149"/>
      <c r="S3366" s="149"/>
      <c r="T3366" s="149"/>
      <c r="U3366" s="149"/>
      <c r="V3366" s="149"/>
      <c r="W3366" s="149"/>
      <c r="X3366" s="149"/>
      <c r="Y3366" s="149"/>
      <c r="Z3366" s="149"/>
      <c r="AA3366" s="149"/>
      <c r="AB3366" s="149"/>
      <c r="AC3366" s="149"/>
      <c r="AD3366" s="149"/>
      <c r="AE3366" s="149"/>
      <c r="AF3366" s="149"/>
      <c r="AG3366" s="149"/>
      <c r="AH3366" s="149"/>
      <c r="AI3366" s="149"/>
      <c r="AJ3366" s="149"/>
      <c r="AK3366" s="149"/>
      <c r="AL3366" s="149"/>
      <c r="AM3366" s="149"/>
      <c r="AN3366" s="149"/>
      <c r="AO3366" s="128"/>
      <c r="AP3366" s="128"/>
      <c r="AQ3366" s="128"/>
      <c r="AR3366" s="128"/>
      <c r="AS3366" s="128"/>
      <c r="AT3366" s="128"/>
      <c r="AU3366" s="128"/>
      <c r="AV3366" s="128"/>
      <c r="AW3366" s="128"/>
      <c r="AX3366" s="128"/>
      <c r="AY3366" s="128"/>
      <c r="AZ3366" s="128"/>
      <c r="BA3366" s="128"/>
      <c r="BB3366" s="128"/>
      <c r="BC3366" s="128"/>
      <c r="BD3366" s="128"/>
      <c r="BE3366" s="128"/>
      <c r="BF3366" s="128"/>
      <c r="BG3366" s="128"/>
      <c r="BH3366" s="128"/>
      <c r="BI3366" s="128"/>
      <c r="BJ3366" s="128"/>
      <c r="BK3366" s="128"/>
      <c r="BL3366" s="128"/>
      <c r="BM3366" s="151"/>
      <c r="BN3366" s="128"/>
      <c r="BO3366" s="128"/>
      <c r="BP3366" s="128"/>
      <c r="BQ3366" s="128"/>
      <c r="BR3366" s="128"/>
      <c r="BS3366" s="128"/>
      <c r="BT3366" s="128"/>
      <c r="BU3366" s="128"/>
      <c r="BV3366" s="128"/>
      <c r="BW3366" s="128"/>
      <c r="BX3366" s="128"/>
      <c r="BY3366" s="128"/>
      <c r="BZ3366" s="128"/>
      <c r="CA3366" s="128"/>
      <c r="CB3366" s="128"/>
      <c r="CC3366" s="128"/>
      <c r="CD3366" s="128"/>
      <c r="CE3366" s="128"/>
      <c r="CF3366" s="128"/>
      <c r="CG3366" s="128"/>
      <c r="CI3366" s="128"/>
      <c r="CJ3366" s="128"/>
      <c r="CK3366" s="128"/>
      <c r="CL3366" s="128"/>
      <c r="CM3366" s="128"/>
      <c r="CN3366" s="128"/>
      <c r="CO3366" s="128"/>
      <c r="CP3366" s="128"/>
      <c r="CQ3366" s="128"/>
      <c r="CR3366" s="128"/>
      <c r="CS3366" s="128"/>
      <c r="CT3366" s="128"/>
      <c r="CU3366" s="128"/>
      <c r="CV3366" s="128"/>
      <c r="CW3366" s="128"/>
      <c r="CX3366" s="128"/>
      <c r="CY3366" s="128"/>
      <c r="CZ3366" s="165"/>
    </row>
    <row r="3367" spans="1:104">
      <c r="A3367" s="149"/>
      <c r="B3367" s="149"/>
      <c r="C3367" s="150"/>
      <c r="D3367" s="102"/>
      <c r="E3367" s="149"/>
      <c r="F3367" s="149"/>
      <c r="G3367" s="149"/>
      <c r="H3367" s="149"/>
      <c r="I3367" s="149"/>
      <c r="J3367" s="149"/>
      <c r="K3367" s="149"/>
      <c r="L3367" s="149"/>
      <c r="M3367" s="149"/>
      <c r="N3367" s="149"/>
      <c r="O3367" s="149"/>
      <c r="P3367" s="149"/>
      <c r="Q3367" s="149"/>
      <c r="R3367" s="149"/>
      <c r="S3367" s="149"/>
      <c r="T3367" s="149"/>
      <c r="U3367" s="149"/>
      <c r="V3367" s="149"/>
      <c r="W3367" s="149"/>
      <c r="X3367" s="149"/>
      <c r="Y3367" s="149"/>
      <c r="Z3367" s="149"/>
      <c r="AA3367" s="149"/>
      <c r="AB3367" s="149"/>
      <c r="AC3367" s="149"/>
      <c r="AD3367" s="149"/>
      <c r="AE3367" s="149"/>
      <c r="AF3367" s="149"/>
      <c r="AG3367" s="149"/>
      <c r="AH3367" s="149"/>
      <c r="AI3367" s="149"/>
      <c r="AJ3367" s="149"/>
      <c r="AK3367" s="149"/>
      <c r="AL3367" s="149"/>
      <c r="AM3367" s="149"/>
      <c r="AN3367" s="149"/>
      <c r="AO3367" s="128"/>
      <c r="AP3367" s="128"/>
      <c r="AQ3367" s="128"/>
      <c r="AR3367" s="128"/>
      <c r="AS3367" s="128"/>
      <c r="AT3367" s="128"/>
      <c r="AU3367" s="128"/>
      <c r="AV3367" s="128"/>
      <c r="AW3367" s="128"/>
      <c r="AX3367" s="128"/>
      <c r="AY3367" s="128"/>
      <c r="AZ3367" s="128"/>
      <c r="BA3367" s="128"/>
      <c r="BB3367" s="128"/>
      <c r="BC3367" s="128"/>
      <c r="BD3367" s="128"/>
      <c r="BE3367" s="128"/>
      <c r="BF3367" s="128"/>
      <c r="BG3367" s="128"/>
      <c r="BH3367" s="128"/>
      <c r="BI3367" s="128"/>
      <c r="BJ3367" s="128"/>
      <c r="BK3367" s="128"/>
      <c r="BL3367" s="128"/>
      <c r="BM3367" s="151"/>
      <c r="BN3367" s="128"/>
      <c r="BO3367" s="128"/>
      <c r="BP3367" s="128"/>
      <c r="BQ3367" s="128"/>
      <c r="BR3367" s="128"/>
      <c r="BS3367" s="128"/>
      <c r="BT3367" s="128"/>
      <c r="BU3367" s="128"/>
      <c r="BV3367" s="128"/>
      <c r="BW3367" s="128"/>
      <c r="BX3367" s="128"/>
      <c r="BY3367" s="128"/>
      <c r="BZ3367" s="128"/>
      <c r="CA3367" s="128"/>
      <c r="CB3367" s="128"/>
      <c r="CC3367" s="128"/>
      <c r="CD3367" s="128"/>
      <c r="CE3367" s="128"/>
      <c r="CF3367" s="128"/>
      <c r="CG3367" s="128"/>
      <c r="CI3367" s="128"/>
      <c r="CJ3367" s="128"/>
      <c r="CK3367" s="128"/>
      <c r="CL3367" s="128"/>
      <c r="CM3367" s="128"/>
      <c r="CN3367" s="128"/>
      <c r="CO3367" s="128"/>
      <c r="CP3367" s="128"/>
      <c r="CQ3367" s="128"/>
      <c r="CR3367" s="128"/>
      <c r="CS3367" s="128"/>
      <c r="CT3367" s="128"/>
      <c r="CU3367" s="128"/>
      <c r="CV3367" s="128"/>
      <c r="CW3367" s="128"/>
      <c r="CX3367" s="128"/>
      <c r="CY3367" s="128"/>
      <c r="CZ3367" s="165"/>
    </row>
    <row r="3368" spans="1:104">
      <c r="A3368" s="149"/>
      <c r="B3368" s="149"/>
      <c r="C3368" s="150"/>
      <c r="D3368" s="102"/>
      <c r="E3368" s="149"/>
      <c r="F3368" s="149"/>
      <c r="G3368" s="149"/>
      <c r="H3368" s="149"/>
      <c r="I3368" s="149"/>
      <c r="J3368" s="149"/>
      <c r="K3368" s="149"/>
      <c r="L3368" s="149"/>
      <c r="M3368" s="149"/>
      <c r="N3368" s="149"/>
      <c r="O3368" s="149"/>
      <c r="P3368" s="149"/>
      <c r="Q3368" s="149"/>
      <c r="R3368" s="149"/>
      <c r="S3368" s="149"/>
      <c r="T3368" s="149"/>
      <c r="U3368" s="149"/>
      <c r="V3368" s="149"/>
      <c r="W3368" s="149"/>
      <c r="X3368" s="149"/>
      <c r="Y3368" s="149"/>
      <c r="Z3368" s="149"/>
      <c r="AA3368" s="149"/>
      <c r="AB3368" s="149"/>
      <c r="AC3368" s="149"/>
      <c r="AD3368" s="149"/>
      <c r="AE3368" s="149"/>
      <c r="AF3368" s="149"/>
      <c r="AG3368" s="149"/>
      <c r="AH3368" s="149"/>
      <c r="AI3368" s="149"/>
      <c r="AJ3368" s="149"/>
      <c r="AK3368" s="149"/>
      <c r="AL3368" s="149"/>
      <c r="AM3368" s="149"/>
      <c r="AN3368" s="149"/>
      <c r="AO3368" s="128"/>
      <c r="AP3368" s="128"/>
      <c r="AQ3368" s="128"/>
      <c r="AR3368" s="128"/>
      <c r="AS3368" s="128"/>
      <c r="AT3368" s="128"/>
      <c r="AU3368" s="128"/>
      <c r="AV3368" s="128"/>
      <c r="AW3368" s="128"/>
      <c r="AX3368" s="128"/>
      <c r="AY3368" s="128"/>
      <c r="AZ3368" s="128"/>
      <c r="BA3368" s="128"/>
      <c r="BB3368" s="128"/>
      <c r="BC3368" s="128"/>
      <c r="BD3368" s="128"/>
      <c r="BE3368" s="128"/>
      <c r="BF3368" s="128"/>
      <c r="BG3368" s="128"/>
      <c r="BH3368" s="128"/>
      <c r="BI3368" s="128"/>
      <c r="BJ3368" s="128"/>
      <c r="BK3368" s="128"/>
      <c r="BL3368" s="128"/>
      <c r="BM3368" s="151"/>
      <c r="BN3368" s="128"/>
      <c r="BO3368" s="128"/>
      <c r="BP3368" s="128"/>
      <c r="BQ3368" s="128"/>
      <c r="BR3368" s="128"/>
      <c r="BS3368" s="128"/>
      <c r="BT3368" s="128"/>
      <c r="BU3368" s="128"/>
      <c r="BV3368" s="128"/>
      <c r="BW3368" s="128"/>
      <c r="BX3368" s="128"/>
      <c r="BY3368" s="128"/>
      <c r="BZ3368" s="128"/>
      <c r="CA3368" s="128"/>
      <c r="CB3368" s="128"/>
      <c r="CC3368" s="128"/>
      <c r="CD3368" s="128"/>
      <c r="CE3368" s="128"/>
      <c r="CF3368" s="128"/>
      <c r="CG3368" s="128"/>
      <c r="CI3368" s="128"/>
      <c r="CJ3368" s="128"/>
      <c r="CK3368" s="128"/>
      <c r="CL3368" s="128"/>
      <c r="CM3368" s="128"/>
      <c r="CN3368" s="128"/>
      <c r="CO3368" s="128"/>
      <c r="CP3368" s="128"/>
      <c r="CQ3368" s="128"/>
      <c r="CR3368" s="128"/>
      <c r="CS3368" s="128"/>
      <c r="CT3368" s="128"/>
      <c r="CU3368" s="128"/>
      <c r="CV3368" s="128"/>
      <c r="CW3368" s="128"/>
      <c r="CX3368" s="128"/>
      <c r="CY3368" s="128"/>
      <c r="CZ3368" s="165"/>
    </row>
    <row r="3369" spans="1:104">
      <c r="A3369" s="149"/>
      <c r="B3369" s="149"/>
      <c r="C3369" s="150"/>
      <c r="D3369" s="102"/>
      <c r="E3369" s="149"/>
      <c r="F3369" s="149"/>
      <c r="G3369" s="149"/>
      <c r="H3369" s="149"/>
      <c r="I3369" s="149"/>
      <c r="J3369" s="149"/>
      <c r="K3369" s="149"/>
      <c r="L3369" s="149"/>
      <c r="M3369" s="149"/>
      <c r="N3369" s="149"/>
      <c r="O3369" s="149"/>
      <c r="P3369" s="149"/>
      <c r="Q3369" s="149"/>
      <c r="R3369" s="149"/>
      <c r="S3369" s="149"/>
      <c r="T3369" s="149"/>
      <c r="U3369" s="149"/>
      <c r="V3369" s="149"/>
      <c r="W3369" s="149"/>
      <c r="X3369" s="149"/>
      <c r="Y3369" s="149"/>
      <c r="Z3369" s="149"/>
      <c r="AA3369" s="149"/>
      <c r="AB3369" s="149"/>
      <c r="AC3369" s="149"/>
      <c r="AD3369" s="149"/>
      <c r="AE3369" s="149"/>
      <c r="AF3369" s="149"/>
      <c r="AG3369" s="149"/>
      <c r="AH3369" s="149"/>
      <c r="AI3369" s="149"/>
      <c r="AJ3369" s="149"/>
      <c r="AK3369" s="149"/>
      <c r="AL3369" s="149"/>
      <c r="AM3369" s="149"/>
      <c r="AN3369" s="149"/>
      <c r="AO3369" s="128"/>
      <c r="AP3369" s="128"/>
      <c r="AQ3369" s="128"/>
      <c r="AR3369" s="128"/>
      <c r="AS3369" s="128"/>
      <c r="AT3369" s="128"/>
      <c r="AU3369" s="128"/>
      <c r="AV3369" s="128"/>
      <c r="AW3369" s="128"/>
      <c r="AX3369" s="128"/>
      <c r="AY3369" s="128"/>
      <c r="AZ3369" s="128"/>
      <c r="BA3369" s="128"/>
      <c r="BB3369" s="128"/>
      <c r="BC3369" s="128"/>
      <c r="BD3369" s="128"/>
      <c r="BE3369" s="128"/>
      <c r="BF3369" s="128"/>
      <c r="BG3369" s="128"/>
      <c r="BH3369" s="128"/>
      <c r="BI3369" s="128"/>
      <c r="BJ3369" s="128"/>
      <c r="BK3369" s="128"/>
      <c r="BL3369" s="128"/>
      <c r="BM3369" s="151"/>
      <c r="BN3369" s="128"/>
      <c r="BO3369" s="128"/>
      <c r="BP3369" s="128"/>
      <c r="BQ3369" s="128"/>
      <c r="BR3369" s="128"/>
      <c r="BS3369" s="128"/>
      <c r="BT3369" s="128"/>
      <c r="BU3369" s="128"/>
      <c r="BV3369" s="128"/>
      <c r="BW3369" s="128"/>
      <c r="BX3369" s="128"/>
      <c r="BY3369" s="128"/>
      <c r="BZ3369" s="128"/>
      <c r="CA3369" s="128"/>
      <c r="CB3369" s="128"/>
      <c r="CC3369" s="128"/>
      <c r="CD3369" s="128"/>
      <c r="CE3369" s="128"/>
      <c r="CF3369" s="128"/>
      <c r="CG3369" s="128"/>
      <c r="CI3369" s="128"/>
      <c r="CJ3369" s="128"/>
      <c r="CK3369" s="128"/>
      <c r="CL3369" s="128"/>
      <c r="CM3369" s="128"/>
      <c r="CN3369" s="128"/>
      <c r="CO3369" s="128"/>
      <c r="CP3369" s="128"/>
      <c r="CQ3369" s="128"/>
      <c r="CR3369" s="128"/>
      <c r="CS3369" s="128"/>
      <c r="CT3369" s="128"/>
      <c r="CU3369" s="128"/>
      <c r="CV3369" s="128"/>
      <c r="CW3369" s="128"/>
      <c r="CX3369" s="128"/>
      <c r="CY3369" s="128"/>
      <c r="CZ3369" s="165"/>
    </row>
    <row r="3370" spans="1:104">
      <c r="A3370" s="149"/>
      <c r="B3370" s="149"/>
      <c r="C3370" s="150"/>
      <c r="D3370" s="102"/>
      <c r="E3370" s="149"/>
      <c r="F3370" s="149"/>
      <c r="G3370" s="149"/>
      <c r="H3370" s="149"/>
      <c r="I3370" s="149"/>
      <c r="J3370" s="149"/>
      <c r="K3370" s="149"/>
      <c r="L3370" s="149"/>
      <c r="M3370" s="149"/>
      <c r="N3370" s="149"/>
      <c r="O3370" s="149"/>
      <c r="P3370" s="149"/>
      <c r="Q3370" s="149"/>
      <c r="R3370" s="149"/>
      <c r="S3370" s="149"/>
      <c r="T3370" s="149"/>
      <c r="U3370" s="149"/>
      <c r="V3370" s="149"/>
      <c r="W3370" s="149"/>
      <c r="X3370" s="149"/>
      <c r="Y3370" s="149"/>
      <c r="Z3370" s="149"/>
      <c r="AA3370" s="149"/>
      <c r="AB3370" s="149"/>
      <c r="AC3370" s="149"/>
      <c r="AD3370" s="149"/>
      <c r="AE3370" s="149"/>
      <c r="AF3370" s="149"/>
      <c r="AG3370" s="149"/>
      <c r="AH3370" s="149"/>
      <c r="AI3370" s="149"/>
      <c r="AJ3370" s="149"/>
      <c r="AK3370" s="149"/>
      <c r="AL3370" s="149"/>
      <c r="AM3370" s="149"/>
      <c r="AN3370" s="149"/>
      <c r="AO3370" s="128"/>
      <c r="AP3370" s="128"/>
      <c r="AQ3370" s="128"/>
      <c r="AR3370" s="128"/>
      <c r="AS3370" s="128"/>
      <c r="AT3370" s="128"/>
      <c r="AU3370" s="128"/>
      <c r="AV3370" s="128"/>
      <c r="AW3370" s="128"/>
      <c r="AX3370" s="128"/>
      <c r="AY3370" s="128"/>
      <c r="AZ3370" s="128"/>
      <c r="BA3370" s="128"/>
      <c r="BB3370" s="128"/>
      <c r="BC3370" s="128"/>
      <c r="BD3370" s="128"/>
      <c r="BE3370" s="128"/>
      <c r="BF3370" s="128"/>
      <c r="BG3370" s="128"/>
      <c r="BH3370" s="128"/>
      <c r="BI3370" s="128"/>
      <c r="BJ3370" s="128"/>
      <c r="BK3370" s="128"/>
      <c r="BL3370" s="128"/>
      <c r="BM3370" s="151"/>
      <c r="BN3370" s="128"/>
      <c r="BO3370" s="128"/>
      <c r="BP3370" s="128"/>
      <c r="BQ3370" s="128"/>
      <c r="BR3370" s="128"/>
      <c r="BS3370" s="128"/>
      <c r="BT3370" s="128"/>
      <c r="BU3370" s="128"/>
      <c r="BV3370" s="128"/>
      <c r="BW3370" s="128"/>
      <c r="BX3370" s="128"/>
      <c r="BY3370" s="128"/>
      <c r="BZ3370" s="128"/>
      <c r="CA3370" s="128"/>
      <c r="CB3370" s="128"/>
      <c r="CC3370" s="128"/>
      <c r="CD3370" s="128"/>
      <c r="CE3370" s="128"/>
      <c r="CF3370" s="128"/>
      <c r="CG3370" s="128"/>
      <c r="CI3370" s="128"/>
      <c r="CJ3370" s="128"/>
      <c r="CK3370" s="128"/>
      <c r="CL3370" s="128"/>
      <c r="CM3370" s="128"/>
      <c r="CN3370" s="128"/>
      <c r="CO3370" s="128"/>
      <c r="CP3370" s="128"/>
      <c r="CQ3370" s="128"/>
      <c r="CR3370" s="128"/>
      <c r="CS3370" s="128"/>
      <c r="CT3370" s="128"/>
      <c r="CU3370" s="128"/>
      <c r="CV3370" s="128"/>
      <c r="CW3370" s="128"/>
      <c r="CX3370" s="128"/>
      <c r="CY3370" s="128"/>
      <c r="CZ3370" s="165"/>
    </row>
    <row r="3371" spans="1:104">
      <c r="A3371" s="149"/>
      <c r="B3371" s="149"/>
      <c r="C3371" s="150"/>
      <c r="D3371" s="102"/>
      <c r="E3371" s="149"/>
      <c r="F3371" s="149"/>
      <c r="G3371" s="149"/>
      <c r="H3371" s="149"/>
      <c r="I3371" s="149"/>
      <c r="J3371" s="149"/>
      <c r="K3371" s="149"/>
      <c r="L3371" s="149"/>
      <c r="M3371" s="149"/>
      <c r="N3371" s="149"/>
      <c r="O3371" s="149"/>
      <c r="P3371" s="149"/>
      <c r="Q3371" s="149"/>
      <c r="R3371" s="149"/>
      <c r="S3371" s="149"/>
      <c r="T3371" s="149"/>
      <c r="U3371" s="149"/>
      <c r="V3371" s="149"/>
      <c r="W3371" s="149"/>
      <c r="X3371" s="149"/>
      <c r="Y3371" s="149"/>
      <c r="Z3371" s="149"/>
      <c r="AA3371" s="149"/>
      <c r="AB3371" s="149"/>
      <c r="AC3371" s="149"/>
      <c r="AD3371" s="149"/>
      <c r="AE3371" s="149"/>
      <c r="AF3371" s="149"/>
      <c r="AG3371" s="149"/>
      <c r="AH3371" s="149"/>
      <c r="AI3371" s="149"/>
      <c r="AJ3371" s="149"/>
      <c r="AK3371" s="149"/>
      <c r="AL3371" s="149"/>
      <c r="AM3371" s="149"/>
      <c r="AN3371" s="149"/>
      <c r="AO3371" s="128"/>
      <c r="AP3371" s="128"/>
      <c r="AQ3371" s="128"/>
      <c r="AR3371" s="128"/>
      <c r="AS3371" s="128"/>
      <c r="AT3371" s="128"/>
      <c r="AU3371" s="128"/>
      <c r="AV3371" s="128"/>
      <c r="AW3371" s="128"/>
      <c r="AX3371" s="128"/>
      <c r="AY3371" s="128"/>
      <c r="AZ3371" s="128"/>
      <c r="BA3371" s="128"/>
      <c r="BB3371" s="128"/>
      <c r="BC3371" s="128"/>
      <c r="BD3371" s="128"/>
      <c r="BE3371" s="128"/>
      <c r="BF3371" s="128"/>
      <c r="BG3371" s="128"/>
      <c r="BH3371" s="128"/>
      <c r="BI3371" s="128"/>
      <c r="BJ3371" s="128"/>
      <c r="BK3371" s="128"/>
      <c r="BL3371" s="128"/>
      <c r="BM3371" s="151"/>
      <c r="BN3371" s="128"/>
      <c r="BO3371" s="128"/>
      <c r="BP3371" s="128"/>
      <c r="BQ3371" s="128"/>
      <c r="BR3371" s="128"/>
      <c r="BS3371" s="128"/>
      <c r="BT3371" s="128"/>
      <c r="BU3371" s="128"/>
      <c r="BV3371" s="128"/>
      <c r="BW3371" s="128"/>
      <c r="BX3371" s="128"/>
      <c r="BY3371" s="128"/>
      <c r="BZ3371" s="128"/>
      <c r="CA3371" s="128"/>
      <c r="CB3371" s="128"/>
      <c r="CC3371" s="128"/>
      <c r="CD3371" s="128"/>
      <c r="CE3371" s="128"/>
      <c r="CF3371" s="128"/>
      <c r="CG3371" s="128"/>
      <c r="CI3371" s="128"/>
      <c r="CJ3371" s="128"/>
      <c r="CK3371" s="128"/>
      <c r="CL3371" s="128"/>
      <c r="CM3371" s="128"/>
      <c r="CN3371" s="128"/>
      <c r="CO3371" s="128"/>
      <c r="CP3371" s="128"/>
      <c r="CQ3371" s="128"/>
      <c r="CR3371" s="128"/>
      <c r="CS3371" s="128"/>
      <c r="CT3371" s="128"/>
      <c r="CU3371" s="128"/>
      <c r="CV3371" s="128"/>
      <c r="CW3371" s="128"/>
      <c r="CX3371" s="128"/>
      <c r="CY3371" s="128"/>
      <c r="CZ3371" s="165"/>
    </row>
    <row r="3372" spans="1:104">
      <c r="A3372" s="149"/>
      <c r="B3372" s="149"/>
      <c r="C3372" s="150"/>
      <c r="D3372" s="102"/>
      <c r="E3372" s="149"/>
      <c r="F3372" s="149"/>
      <c r="G3372" s="149"/>
      <c r="H3372" s="149"/>
      <c r="I3372" s="149"/>
      <c r="J3372" s="149"/>
      <c r="K3372" s="149"/>
      <c r="L3372" s="149"/>
      <c r="M3372" s="149"/>
      <c r="N3372" s="149"/>
      <c r="O3372" s="149"/>
      <c r="P3372" s="149"/>
      <c r="Q3372" s="149"/>
      <c r="R3372" s="149"/>
      <c r="S3372" s="149"/>
      <c r="T3372" s="149"/>
      <c r="U3372" s="149"/>
      <c r="V3372" s="149"/>
      <c r="W3372" s="149"/>
      <c r="X3372" s="149"/>
      <c r="Y3372" s="149"/>
      <c r="Z3372" s="149"/>
      <c r="AA3372" s="149"/>
      <c r="AB3372" s="149"/>
      <c r="AC3372" s="149"/>
      <c r="AD3372" s="149"/>
      <c r="AE3372" s="149"/>
      <c r="AF3372" s="149"/>
      <c r="AG3372" s="149"/>
      <c r="AH3372" s="149"/>
      <c r="AI3372" s="149"/>
      <c r="AJ3372" s="149"/>
      <c r="AK3372" s="149"/>
      <c r="AL3372" s="149"/>
      <c r="AM3372" s="149"/>
      <c r="AN3372" s="149"/>
      <c r="AO3372" s="128"/>
      <c r="AP3372" s="128"/>
      <c r="AQ3372" s="128"/>
      <c r="AR3372" s="128"/>
      <c r="AS3372" s="128"/>
      <c r="AT3372" s="128"/>
      <c r="AU3372" s="128"/>
      <c r="AV3372" s="128"/>
      <c r="AW3372" s="128"/>
      <c r="AX3372" s="128"/>
      <c r="AY3372" s="128"/>
      <c r="AZ3372" s="128"/>
      <c r="BA3372" s="128"/>
      <c r="BB3372" s="128"/>
      <c r="BC3372" s="128"/>
      <c r="BD3372" s="128"/>
      <c r="BE3372" s="128"/>
      <c r="BF3372" s="128"/>
      <c r="BG3372" s="128"/>
      <c r="BH3372" s="128"/>
      <c r="BI3372" s="128"/>
      <c r="BJ3372" s="128"/>
      <c r="BK3372" s="128"/>
      <c r="BL3372" s="128"/>
      <c r="BM3372" s="151"/>
      <c r="BN3372" s="128"/>
      <c r="BO3372" s="128"/>
      <c r="BP3372" s="128"/>
      <c r="BQ3372" s="128"/>
      <c r="BR3372" s="128"/>
      <c r="BS3372" s="128"/>
      <c r="BT3372" s="128"/>
      <c r="BU3372" s="128"/>
      <c r="BV3372" s="128"/>
      <c r="BW3372" s="128"/>
      <c r="BX3372" s="128"/>
      <c r="BY3372" s="128"/>
      <c r="BZ3372" s="128"/>
      <c r="CA3372" s="128"/>
      <c r="CB3372" s="128"/>
      <c r="CC3372" s="128"/>
      <c r="CD3372" s="128"/>
      <c r="CE3372" s="128"/>
      <c r="CF3372" s="128"/>
      <c r="CG3372" s="128"/>
      <c r="CI3372" s="128"/>
      <c r="CJ3372" s="128"/>
      <c r="CK3372" s="128"/>
      <c r="CL3372" s="128"/>
      <c r="CM3372" s="128"/>
      <c r="CN3372" s="128"/>
      <c r="CO3372" s="128"/>
      <c r="CP3372" s="128"/>
      <c r="CQ3372" s="128"/>
      <c r="CR3372" s="128"/>
      <c r="CS3372" s="128"/>
      <c r="CT3372" s="128"/>
      <c r="CU3372" s="128"/>
      <c r="CV3372" s="128"/>
      <c r="CW3372" s="128"/>
      <c r="CX3372" s="128"/>
      <c r="CY3372" s="128"/>
      <c r="CZ3372" s="165"/>
    </row>
    <row r="3373" spans="1:104">
      <c r="A3373" s="149"/>
      <c r="B3373" s="149"/>
      <c r="C3373" s="150"/>
      <c r="D3373" s="102"/>
      <c r="E3373" s="149"/>
      <c r="F3373" s="149"/>
      <c r="G3373" s="149"/>
      <c r="H3373" s="149"/>
      <c r="I3373" s="149"/>
      <c r="J3373" s="149"/>
      <c r="K3373" s="149"/>
      <c r="L3373" s="149"/>
      <c r="M3373" s="149"/>
      <c r="N3373" s="149"/>
      <c r="O3373" s="149"/>
      <c r="P3373" s="149"/>
      <c r="Q3373" s="149"/>
      <c r="R3373" s="149"/>
      <c r="S3373" s="149"/>
      <c r="T3373" s="149"/>
      <c r="U3373" s="149"/>
      <c r="V3373" s="149"/>
      <c r="W3373" s="149"/>
      <c r="X3373" s="149"/>
      <c r="Y3373" s="149"/>
      <c r="Z3373" s="149"/>
      <c r="AA3373" s="149"/>
      <c r="AB3373" s="149"/>
      <c r="AC3373" s="149"/>
      <c r="AD3373" s="149"/>
      <c r="AE3373" s="149"/>
      <c r="AF3373" s="149"/>
      <c r="AG3373" s="149"/>
      <c r="AH3373" s="149"/>
      <c r="AI3373" s="149"/>
      <c r="AJ3373" s="149"/>
      <c r="AK3373" s="149"/>
      <c r="AL3373" s="149"/>
      <c r="AM3373" s="149"/>
      <c r="AN3373" s="149"/>
      <c r="AO3373" s="128"/>
      <c r="AP3373" s="128"/>
      <c r="AQ3373" s="128"/>
      <c r="AR3373" s="128"/>
      <c r="AS3373" s="128"/>
      <c r="AT3373" s="128"/>
      <c r="AU3373" s="128"/>
      <c r="AV3373" s="128"/>
      <c r="AW3373" s="128"/>
      <c r="AX3373" s="128"/>
      <c r="AY3373" s="128"/>
      <c r="AZ3373" s="128"/>
      <c r="BA3373" s="128"/>
      <c r="BB3373" s="128"/>
      <c r="BC3373" s="128"/>
      <c r="BD3373" s="128"/>
      <c r="BE3373" s="128"/>
      <c r="BF3373" s="128"/>
      <c r="BG3373" s="128"/>
      <c r="BH3373" s="128"/>
      <c r="BI3373" s="128"/>
      <c r="BJ3373" s="128"/>
      <c r="BK3373" s="128"/>
      <c r="BL3373" s="128"/>
      <c r="BM3373" s="151"/>
      <c r="BN3373" s="128"/>
      <c r="BO3373" s="128"/>
      <c r="BP3373" s="128"/>
      <c r="BQ3373" s="128"/>
      <c r="BR3373" s="128"/>
      <c r="BS3373" s="128"/>
      <c r="BT3373" s="128"/>
      <c r="BU3373" s="128"/>
      <c r="BV3373" s="128"/>
      <c r="BW3373" s="128"/>
      <c r="BX3373" s="128"/>
      <c r="BY3373" s="128"/>
      <c r="BZ3373" s="128"/>
      <c r="CA3373" s="128"/>
      <c r="CB3373" s="128"/>
      <c r="CC3373" s="128"/>
      <c r="CD3373" s="128"/>
      <c r="CE3373" s="128"/>
      <c r="CF3373" s="128"/>
      <c r="CG3373" s="128"/>
      <c r="CI3373" s="128"/>
      <c r="CJ3373" s="128"/>
      <c r="CK3373" s="128"/>
      <c r="CL3373" s="128"/>
      <c r="CM3373" s="128"/>
      <c r="CN3373" s="128"/>
      <c r="CO3373" s="128"/>
      <c r="CP3373" s="128"/>
      <c r="CQ3373" s="128"/>
      <c r="CR3373" s="128"/>
      <c r="CS3373" s="128"/>
      <c r="CT3373" s="128"/>
      <c r="CU3373" s="128"/>
      <c r="CV3373" s="128"/>
      <c r="CW3373" s="128"/>
      <c r="CX3373" s="128"/>
      <c r="CY3373" s="128"/>
      <c r="CZ3373" s="165"/>
    </row>
    <row r="3374" spans="1:104">
      <c r="A3374" s="149"/>
      <c r="B3374" s="149"/>
      <c r="C3374" s="150"/>
      <c r="D3374" s="102"/>
      <c r="E3374" s="149"/>
      <c r="F3374" s="149"/>
      <c r="G3374" s="149"/>
      <c r="H3374" s="149"/>
      <c r="I3374" s="149"/>
      <c r="J3374" s="149"/>
      <c r="K3374" s="149"/>
      <c r="L3374" s="149"/>
      <c r="M3374" s="149"/>
      <c r="N3374" s="149"/>
      <c r="O3374" s="149"/>
      <c r="P3374" s="149"/>
      <c r="Q3374" s="149"/>
      <c r="R3374" s="149"/>
      <c r="S3374" s="149"/>
      <c r="T3374" s="149"/>
      <c r="U3374" s="149"/>
      <c r="V3374" s="149"/>
      <c r="W3374" s="149"/>
      <c r="X3374" s="149"/>
      <c r="Y3374" s="149"/>
      <c r="Z3374" s="149"/>
      <c r="AA3374" s="149"/>
      <c r="AB3374" s="149"/>
      <c r="AC3374" s="149"/>
      <c r="AD3374" s="149"/>
      <c r="AE3374" s="149"/>
      <c r="AF3374" s="149"/>
      <c r="AG3374" s="149"/>
      <c r="AH3374" s="149"/>
      <c r="AI3374" s="149"/>
      <c r="AJ3374" s="149"/>
      <c r="AK3374" s="149"/>
      <c r="AL3374" s="149"/>
      <c r="AM3374" s="149"/>
      <c r="AN3374" s="149"/>
      <c r="AO3374" s="128"/>
      <c r="AP3374" s="128"/>
      <c r="AQ3374" s="128"/>
      <c r="AR3374" s="128"/>
      <c r="AS3374" s="128"/>
      <c r="AT3374" s="128"/>
      <c r="AU3374" s="128"/>
      <c r="AV3374" s="128"/>
      <c r="AW3374" s="128"/>
      <c r="AX3374" s="128"/>
      <c r="AY3374" s="128"/>
      <c r="AZ3374" s="128"/>
      <c r="BA3374" s="128"/>
      <c r="BB3374" s="128"/>
      <c r="BC3374" s="128"/>
      <c r="BD3374" s="128"/>
      <c r="BE3374" s="128"/>
      <c r="BF3374" s="128"/>
      <c r="BG3374" s="128"/>
      <c r="BH3374" s="128"/>
      <c r="BI3374" s="128"/>
      <c r="BJ3374" s="128"/>
      <c r="BK3374" s="128"/>
      <c r="BL3374" s="128"/>
      <c r="BM3374" s="151"/>
      <c r="BN3374" s="128"/>
      <c r="BO3374" s="128"/>
      <c r="BP3374" s="128"/>
      <c r="BQ3374" s="128"/>
      <c r="BR3374" s="128"/>
      <c r="BS3374" s="128"/>
      <c r="BT3374" s="128"/>
      <c r="BU3374" s="128"/>
      <c r="BV3374" s="128"/>
      <c r="BW3374" s="128"/>
      <c r="BX3374" s="128"/>
      <c r="BY3374" s="128"/>
      <c r="BZ3374" s="128"/>
      <c r="CA3374" s="128"/>
      <c r="CB3374" s="128"/>
      <c r="CC3374" s="128"/>
      <c r="CD3374" s="128"/>
      <c r="CE3374" s="128"/>
      <c r="CF3374" s="128"/>
      <c r="CG3374" s="128"/>
      <c r="CI3374" s="128"/>
      <c r="CJ3374" s="128"/>
      <c r="CK3374" s="128"/>
      <c r="CL3374" s="128"/>
      <c r="CM3374" s="128"/>
      <c r="CN3374" s="128"/>
      <c r="CO3374" s="128"/>
      <c r="CP3374" s="128"/>
      <c r="CQ3374" s="128"/>
      <c r="CR3374" s="128"/>
      <c r="CS3374" s="128"/>
      <c r="CT3374" s="128"/>
      <c r="CU3374" s="128"/>
      <c r="CV3374" s="128"/>
      <c r="CW3374" s="128"/>
      <c r="CX3374" s="128"/>
      <c r="CY3374" s="128"/>
      <c r="CZ3374" s="165"/>
    </row>
    <row r="3375" spans="1:104">
      <c r="A3375" s="149"/>
      <c r="B3375" s="149"/>
      <c r="C3375" s="150"/>
      <c r="D3375" s="102"/>
      <c r="E3375" s="149"/>
      <c r="F3375" s="149"/>
      <c r="G3375" s="149"/>
      <c r="H3375" s="149"/>
      <c r="I3375" s="149"/>
      <c r="J3375" s="149"/>
      <c r="K3375" s="149"/>
      <c r="L3375" s="149"/>
      <c r="M3375" s="149"/>
      <c r="N3375" s="149"/>
      <c r="O3375" s="149"/>
      <c r="P3375" s="149"/>
      <c r="Q3375" s="149"/>
      <c r="R3375" s="149"/>
      <c r="S3375" s="149"/>
      <c r="T3375" s="149"/>
      <c r="U3375" s="149"/>
      <c r="V3375" s="149"/>
      <c r="W3375" s="149"/>
      <c r="X3375" s="149"/>
      <c r="Y3375" s="149"/>
      <c r="Z3375" s="149"/>
      <c r="AA3375" s="149"/>
      <c r="AB3375" s="149"/>
      <c r="AC3375" s="149"/>
      <c r="AD3375" s="149"/>
      <c r="AE3375" s="149"/>
      <c r="AF3375" s="149"/>
      <c r="AG3375" s="149"/>
      <c r="AH3375" s="149"/>
      <c r="AI3375" s="149"/>
      <c r="AJ3375" s="149"/>
      <c r="AK3375" s="149"/>
      <c r="AL3375" s="149"/>
      <c r="AM3375" s="149"/>
      <c r="AN3375" s="149"/>
      <c r="AO3375" s="128"/>
      <c r="AP3375" s="128"/>
      <c r="AQ3375" s="128"/>
      <c r="AR3375" s="128"/>
      <c r="AS3375" s="128"/>
      <c r="AT3375" s="128"/>
      <c r="AU3375" s="128"/>
      <c r="AV3375" s="128"/>
      <c r="AW3375" s="128"/>
      <c r="AX3375" s="128"/>
      <c r="AY3375" s="128"/>
      <c r="AZ3375" s="128"/>
      <c r="BA3375" s="128"/>
      <c r="BB3375" s="128"/>
      <c r="BC3375" s="128"/>
      <c r="BD3375" s="128"/>
      <c r="BE3375" s="128"/>
      <c r="BF3375" s="128"/>
      <c r="BG3375" s="128"/>
      <c r="BH3375" s="128"/>
      <c r="BI3375" s="128"/>
      <c r="BJ3375" s="128"/>
      <c r="BK3375" s="128"/>
      <c r="BL3375" s="128"/>
      <c r="BM3375" s="151"/>
      <c r="BN3375" s="128"/>
      <c r="BO3375" s="128"/>
      <c r="BP3375" s="128"/>
      <c r="BQ3375" s="128"/>
      <c r="BR3375" s="128"/>
      <c r="BS3375" s="128"/>
      <c r="BT3375" s="128"/>
      <c r="BU3375" s="128"/>
      <c r="BV3375" s="128"/>
      <c r="BW3375" s="128"/>
      <c r="BX3375" s="128"/>
      <c r="BY3375" s="128"/>
      <c r="BZ3375" s="128"/>
      <c r="CA3375" s="128"/>
      <c r="CB3375" s="128"/>
      <c r="CC3375" s="128"/>
      <c r="CD3375" s="128"/>
      <c r="CE3375" s="128"/>
      <c r="CF3375" s="128"/>
      <c r="CG3375" s="128"/>
      <c r="CI3375" s="128"/>
      <c r="CJ3375" s="128"/>
      <c r="CK3375" s="128"/>
      <c r="CL3375" s="128"/>
      <c r="CM3375" s="128"/>
      <c r="CN3375" s="128"/>
      <c r="CO3375" s="128"/>
      <c r="CP3375" s="128"/>
      <c r="CQ3375" s="128"/>
      <c r="CR3375" s="128"/>
      <c r="CS3375" s="128"/>
      <c r="CT3375" s="128"/>
      <c r="CU3375" s="128"/>
      <c r="CV3375" s="128"/>
      <c r="CW3375" s="128"/>
      <c r="CX3375" s="128"/>
      <c r="CY3375" s="128"/>
      <c r="CZ3375" s="165"/>
    </row>
    <row r="3376" spans="1:104">
      <c r="A3376" s="149"/>
      <c r="B3376" s="149"/>
      <c r="C3376" s="150"/>
      <c r="D3376" s="102"/>
      <c r="E3376" s="149"/>
      <c r="F3376" s="149"/>
      <c r="G3376" s="149"/>
      <c r="H3376" s="149"/>
      <c r="I3376" s="149"/>
      <c r="J3376" s="149"/>
      <c r="K3376" s="149"/>
      <c r="L3376" s="149"/>
      <c r="M3376" s="149"/>
      <c r="N3376" s="149"/>
      <c r="O3376" s="149"/>
      <c r="P3376" s="149"/>
      <c r="Q3376" s="149"/>
      <c r="R3376" s="149"/>
      <c r="S3376" s="149"/>
      <c r="T3376" s="149"/>
      <c r="U3376" s="149"/>
      <c r="V3376" s="149"/>
      <c r="W3376" s="149"/>
      <c r="X3376" s="149"/>
      <c r="Y3376" s="149"/>
      <c r="Z3376" s="149"/>
      <c r="AA3376" s="149"/>
      <c r="AB3376" s="149"/>
      <c r="AC3376" s="149"/>
      <c r="AD3376" s="149"/>
      <c r="AE3376" s="149"/>
      <c r="AF3376" s="149"/>
      <c r="AG3376" s="149"/>
      <c r="AH3376" s="149"/>
      <c r="AI3376" s="149"/>
      <c r="AJ3376" s="149"/>
      <c r="AK3376" s="149"/>
      <c r="AL3376" s="149"/>
      <c r="AM3376" s="149"/>
      <c r="AN3376" s="149"/>
      <c r="AO3376" s="128"/>
      <c r="AP3376" s="128"/>
      <c r="AQ3376" s="128"/>
      <c r="AR3376" s="128"/>
      <c r="AS3376" s="128"/>
      <c r="AT3376" s="128"/>
      <c r="AU3376" s="128"/>
      <c r="AV3376" s="128"/>
      <c r="AW3376" s="128"/>
      <c r="AX3376" s="128"/>
      <c r="AY3376" s="128"/>
      <c r="AZ3376" s="128"/>
      <c r="BA3376" s="128"/>
      <c r="BB3376" s="128"/>
      <c r="BC3376" s="128"/>
      <c r="BD3376" s="128"/>
      <c r="BE3376" s="128"/>
      <c r="BF3376" s="128"/>
      <c r="BG3376" s="128"/>
      <c r="BH3376" s="128"/>
      <c r="BI3376" s="128"/>
      <c r="BJ3376" s="128"/>
      <c r="BK3376" s="128"/>
      <c r="BL3376" s="128"/>
      <c r="BM3376" s="151"/>
      <c r="BN3376" s="128"/>
      <c r="BO3376" s="128"/>
      <c r="BP3376" s="128"/>
      <c r="BQ3376" s="128"/>
      <c r="BR3376" s="128"/>
      <c r="BS3376" s="128"/>
      <c r="BT3376" s="128"/>
      <c r="BU3376" s="128"/>
      <c r="BV3376" s="128"/>
      <c r="BW3376" s="128"/>
      <c r="BX3376" s="128"/>
      <c r="BY3376" s="128"/>
      <c r="BZ3376" s="128"/>
      <c r="CA3376" s="128"/>
      <c r="CB3376" s="128"/>
      <c r="CC3376" s="128"/>
      <c r="CD3376" s="128"/>
      <c r="CE3376" s="128"/>
      <c r="CF3376" s="128"/>
      <c r="CG3376" s="128"/>
      <c r="CI3376" s="128"/>
      <c r="CJ3376" s="128"/>
      <c r="CK3376" s="128"/>
      <c r="CL3376" s="128"/>
      <c r="CM3376" s="128"/>
      <c r="CN3376" s="128"/>
      <c r="CO3376" s="128"/>
      <c r="CP3376" s="128"/>
      <c r="CQ3376" s="128"/>
      <c r="CR3376" s="128"/>
      <c r="CS3376" s="128"/>
      <c r="CT3376" s="128"/>
      <c r="CU3376" s="128"/>
      <c r="CV3376" s="128"/>
      <c r="CW3376" s="128"/>
      <c r="CX3376" s="128"/>
      <c r="CY3376" s="128"/>
      <c r="CZ3376" s="165"/>
    </row>
    <row r="3377" spans="1:104">
      <c r="A3377" s="149"/>
      <c r="B3377" s="149"/>
      <c r="C3377" s="150"/>
      <c r="D3377" s="102"/>
      <c r="E3377" s="149"/>
      <c r="F3377" s="149"/>
      <c r="G3377" s="149"/>
      <c r="H3377" s="149"/>
      <c r="I3377" s="149"/>
      <c r="J3377" s="149"/>
      <c r="K3377" s="149"/>
      <c r="L3377" s="149"/>
      <c r="M3377" s="149"/>
      <c r="N3377" s="149"/>
      <c r="O3377" s="149"/>
      <c r="P3377" s="149"/>
      <c r="Q3377" s="149"/>
      <c r="R3377" s="149"/>
      <c r="S3377" s="149"/>
      <c r="T3377" s="149"/>
      <c r="U3377" s="149"/>
      <c r="V3377" s="149"/>
      <c r="W3377" s="149"/>
      <c r="X3377" s="149"/>
      <c r="Y3377" s="149"/>
      <c r="Z3377" s="149"/>
      <c r="AA3377" s="149"/>
      <c r="AB3377" s="149"/>
      <c r="AC3377" s="149"/>
      <c r="AD3377" s="149"/>
      <c r="AE3377" s="149"/>
      <c r="AF3377" s="149"/>
      <c r="AG3377" s="149"/>
      <c r="AH3377" s="149"/>
      <c r="AI3377" s="149"/>
      <c r="AJ3377" s="149"/>
      <c r="AK3377" s="149"/>
      <c r="AL3377" s="149"/>
      <c r="AM3377" s="149"/>
      <c r="AN3377" s="149"/>
      <c r="AO3377" s="128"/>
      <c r="AP3377" s="128"/>
      <c r="AQ3377" s="128"/>
      <c r="AR3377" s="128"/>
      <c r="AS3377" s="128"/>
      <c r="AT3377" s="128"/>
      <c r="AU3377" s="128"/>
      <c r="AV3377" s="128"/>
      <c r="AW3377" s="128"/>
      <c r="AX3377" s="128"/>
      <c r="AY3377" s="128"/>
      <c r="AZ3377" s="128"/>
      <c r="BA3377" s="128"/>
      <c r="BB3377" s="128"/>
      <c r="BC3377" s="128"/>
      <c r="BD3377" s="128"/>
      <c r="BE3377" s="128"/>
      <c r="BF3377" s="128"/>
      <c r="BG3377" s="128"/>
      <c r="BH3377" s="128"/>
      <c r="BI3377" s="128"/>
      <c r="BJ3377" s="128"/>
      <c r="BK3377" s="128"/>
      <c r="BL3377" s="128"/>
      <c r="BM3377" s="151"/>
      <c r="BN3377" s="128"/>
      <c r="BO3377" s="128"/>
      <c r="BP3377" s="128"/>
      <c r="BQ3377" s="128"/>
      <c r="BR3377" s="128"/>
      <c r="BS3377" s="128"/>
      <c r="BT3377" s="128"/>
      <c r="BU3377" s="128"/>
      <c r="BV3377" s="128"/>
      <c r="BW3377" s="128"/>
      <c r="BX3377" s="128"/>
      <c r="BY3377" s="128"/>
      <c r="BZ3377" s="128"/>
      <c r="CA3377" s="128"/>
      <c r="CB3377" s="128"/>
      <c r="CC3377" s="128"/>
      <c r="CD3377" s="128"/>
      <c r="CE3377" s="128"/>
      <c r="CF3377" s="128"/>
      <c r="CG3377" s="128"/>
      <c r="CI3377" s="128"/>
      <c r="CJ3377" s="128"/>
      <c r="CK3377" s="128"/>
      <c r="CL3377" s="128"/>
      <c r="CM3377" s="128"/>
      <c r="CN3377" s="128"/>
      <c r="CO3377" s="128"/>
      <c r="CP3377" s="128"/>
      <c r="CQ3377" s="128"/>
      <c r="CR3377" s="128"/>
      <c r="CS3377" s="128"/>
      <c r="CT3377" s="128"/>
      <c r="CU3377" s="128"/>
      <c r="CV3377" s="128"/>
      <c r="CW3377" s="128"/>
      <c r="CX3377" s="128"/>
      <c r="CY3377" s="128"/>
      <c r="CZ3377" s="165"/>
    </row>
    <row r="3378" spans="1:104">
      <c r="A3378" s="149"/>
      <c r="B3378" s="149"/>
      <c r="C3378" s="150"/>
      <c r="D3378" s="102"/>
      <c r="E3378" s="149"/>
      <c r="F3378" s="149"/>
      <c r="G3378" s="149"/>
      <c r="H3378" s="149"/>
      <c r="I3378" s="149"/>
      <c r="J3378" s="149"/>
      <c r="K3378" s="149"/>
      <c r="L3378" s="149"/>
      <c r="M3378" s="149"/>
      <c r="N3378" s="149"/>
      <c r="O3378" s="149"/>
      <c r="P3378" s="149"/>
      <c r="Q3378" s="149"/>
      <c r="R3378" s="149"/>
      <c r="S3378" s="149"/>
      <c r="T3378" s="149"/>
      <c r="U3378" s="149"/>
      <c r="V3378" s="149"/>
      <c r="W3378" s="149"/>
      <c r="X3378" s="149"/>
      <c r="Y3378" s="149"/>
      <c r="Z3378" s="149"/>
      <c r="AA3378" s="149"/>
      <c r="AB3378" s="149"/>
      <c r="AC3378" s="149"/>
      <c r="AD3378" s="149"/>
      <c r="AE3378" s="149"/>
      <c r="AF3378" s="149"/>
      <c r="AG3378" s="149"/>
      <c r="AH3378" s="149"/>
      <c r="AI3378" s="149"/>
      <c r="AJ3378" s="149"/>
      <c r="AK3378" s="149"/>
      <c r="AL3378" s="149"/>
      <c r="AM3378" s="149"/>
      <c r="AN3378" s="149"/>
      <c r="AO3378" s="128"/>
      <c r="AP3378" s="128"/>
      <c r="AQ3378" s="128"/>
      <c r="AR3378" s="128"/>
      <c r="AS3378" s="128"/>
      <c r="AT3378" s="128"/>
      <c r="AU3378" s="128"/>
      <c r="AV3378" s="128"/>
      <c r="AW3378" s="128"/>
      <c r="AX3378" s="128"/>
      <c r="AY3378" s="128"/>
      <c r="AZ3378" s="128"/>
      <c r="BA3378" s="128"/>
      <c r="BB3378" s="128"/>
      <c r="BC3378" s="128"/>
      <c r="BD3378" s="128"/>
      <c r="BE3378" s="128"/>
      <c r="BF3378" s="128"/>
      <c r="BG3378" s="128"/>
      <c r="BH3378" s="128"/>
      <c r="BI3378" s="128"/>
      <c r="BJ3378" s="128"/>
      <c r="BK3378" s="128"/>
      <c r="BL3378" s="128"/>
      <c r="BM3378" s="151"/>
      <c r="BN3378" s="128"/>
      <c r="BO3378" s="128"/>
      <c r="BP3378" s="128"/>
      <c r="BQ3378" s="128"/>
      <c r="BR3378" s="128"/>
      <c r="BS3378" s="128"/>
      <c r="BT3378" s="128"/>
      <c r="BU3378" s="128"/>
      <c r="BV3378" s="128"/>
      <c r="BW3378" s="128"/>
      <c r="BX3378" s="128"/>
      <c r="BY3378" s="128"/>
      <c r="BZ3378" s="128"/>
      <c r="CA3378" s="128"/>
      <c r="CB3378" s="128"/>
      <c r="CC3378" s="128"/>
      <c r="CD3378" s="128"/>
      <c r="CE3378" s="128"/>
      <c r="CF3378" s="128"/>
      <c r="CG3378" s="128"/>
      <c r="CI3378" s="128"/>
      <c r="CJ3378" s="128"/>
      <c r="CK3378" s="128"/>
      <c r="CL3378" s="128"/>
      <c r="CM3378" s="128"/>
      <c r="CN3378" s="128"/>
      <c r="CO3378" s="128"/>
      <c r="CP3378" s="128"/>
      <c r="CQ3378" s="128"/>
      <c r="CR3378" s="128"/>
      <c r="CS3378" s="128"/>
      <c r="CT3378" s="128"/>
      <c r="CU3378" s="128"/>
      <c r="CV3378" s="128"/>
      <c r="CW3378" s="128"/>
      <c r="CX3378" s="128"/>
      <c r="CY3378" s="128"/>
      <c r="CZ3378" s="165"/>
    </row>
    <row r="3379" spans="1:104">
      <c r="A3379" s="149"/>
      <c r="B3379" s="149"/>
      <c r="C3379" s="150"/>
      <c r="D3379" s="102"/>
      <c r="E3379" s="149"/>
      <c r="F3379" s="149"/>
      <c r="G3379" s="149"/>
      <c r="H3379" s="149"/>
      <c r="I3379" s="149"/>
      <c r="J3379" s="149"/>
      <c r="K3379" s="149"/>
      <c r="L3379" s="149"/>
      <c r="M3379" s="149"/>
      <c r="N3379" s="149"/>
      <c r="O3379" s="149"/>
      <c r="P3379" s="149"/>
      <c r="Q3379" s="149"/>
      <c r="R3379" s="149"/>
      <c r="S3379" s="149"/>
      <c r="T3379" s="149"/>
      <c r="U3379" s="149"/>
      <c r="V3379" s="149"/>
      <c r="W3379" s="149"/>
      <c r="X3379" s="149"/>
      <c r="Y3379" s="149"/>
      <c r="Z3379" s="149"/>
      <c r="AA3379" s="149"/>
      <c r="AB3379" s="149"/>
      <c r="AC3379" s="149"/>
      <c r="AD3379" s="149"/>
      <c r="AE3379" s="149"/>
      <c r="AF3379" s="149"/>
      <c r="AG3379" s="149"/>
      <c r="AH3379" s="149"/>
      <c r="AI3379" s="149"/>
      <c r="AJ3379" s="149"/>
      <c r="AK3379" s="149"/>
      <c r="AL3379" s="149"/>
      <c r="AM3379" s="149"/>
      <c r="AN3379" s="149"/>
      <c r="AO3379" s="128"/>
      <c r="AP3379" s="128"/>
      <c r="AQ3379" s="128"/>
      <c r="AR3379" s="128"/>
      <c r="AS3379" s="128"/>
      <c r="AT3379" s="128"/>
      <c r="AU3379" s="128"/>
      <c r="AV3379" s="128"/>
      <c r="AW3379" s="128"/>
      <c r="AX3379" s="128"/>
      <c r="AY3379" s="128"/>
      <c r="AZ3379" s="128"/>
      <c r="BA3379" s="128"/>
      <c r="BB3379" s="128"/>
      <c r="BC3379" s="128"/>
      <c r="BD3379" s="128"/>
      <c r="BE3379" s="128"/>
      <c r="BF3379" s="128"/>
      <c r="BG3379" s="128"/>
      <c r="BH3379" s="128"/>
      <c r="BI3379" s="128"/>
      <c r="BJ3379" s="128"/>
      <c r="BK3379" s="128"/>
      <c r="BL3379" s="128"/>
      <c r="BM3379" s="151"/>
      <c r="BN3379" s="128"/>
      <c r="BO3379" s="128"/>
      <c r="BP3379" s="128"/>
      <c r="BQ3379" s="128"/>
      <c r="BR3379" s="128"/>
      <c r="BS3379" s="128"/>
      <c r="BT3379" s="128"/>
      <c r="BU3379" s="128"/>
      <c r="BV3379" s="128"/>
      <c r="BW3379" s="128"/>
      <c r="BX3379" s="128"/>
      <c r="BY3379" s="128"/>
      <c r="BZ3379" s="128"/>
      <c r="CA3379" s="128"/>
      <c r="CB3379" s="128"/>
      <c r="CC3379" s="128"/>
      <c r="CD3379" s="128"/>
      <c r="CE3379" s="128"/>
      <c r="CF3379" s="128"/>
      <c r="CG3379" s="128"/>
      <c r="CI3379" s="128"/>
      <c r="CJ3379" s="128"/>
      <c r="CK3379" s="128"/>
      <c r="CL3379" s="128"/>
      <c r="CM3379" s="128"/>
      <c r="CN3379" s="128"/>
      <c r="CO3379" s="128"/>
      <c r="CP3379" s="128"/>
      <c r="CQ3379" s="128"/>
      <c r="CR3379" s="128"/>
      <c r="CS3379" s="128"/>
      <c r="CT3379" s="128"/>
      <c r="CU3379" s="128"/>
      <c r="CV3379" s="128"/>
      <c r="CW3379" s="128"/>
      <c r="CX3379" s="128"/>
      <c r="CY3379" s="128"/>
      <c r="CZ3379" s="165"/>
    </row>
    <row r="3380" spans="1:104">
      <c r="A3380" s="149"/>
      <c r="B3380" s="149"/>
      <c r="C3380" s="150"/>
      <c r="D3380" s="102"/>
      <c r="E3380" s="149"/>
      <c r="F3380" s="149"/>
      <c r="G3380" s="149"/>
      <c r="H3380" s="149"/>
      <c r="I3380" s="149"/>
      <c r="J3380" s="149"/>
      <c r="K3380" s="149"/>
      <c r="L3380" s="149"/>
      <c r="M3380" s="149"/>
      <c r="N3380" s="149"/>
      <c r="O3380" s="149"/>
      <c r="P3380" s="149"/>
      <c r="Q3380" s="149"/>
      <c r="R3380" s="149"/>
      <c r="S3380" s="149"/>
      <c r="T3380" s="149"/>
      <c r="U3380" s="149"/>
      <c r="V3380" s="149"/>
      <c r="W3380" s="149"/>
      <c r="X3380" s="149"/>
      <c r="Y3380" s="149"/>
      <c r="Z3380" s="149"/>
      <c r="AA3380" s="149"/>
      <c r="AB3380" s="149"/>
      <c r="AC3380" s="149"/>
      <c r="AD3380" s="149"/>
      <c r="AE3380" s="149"/>
      <c r="AF3380" s="149"/>
      <c r="AG3380" s="149"/>
      <c r="AH3380" s="149"/>
      <c r="AI3380" s="149"/>
      <c r="AJ3380" s="149"/>
      <c r="AK3380" s="149"/>
      <c r="AL3380" s="149"/>
      <c r="AM3380" s="149"/>
      <c r="AN3380" s="149"/>
      <c r="AO3380" s="128"/>
      <c r="AP3380" s="128"/>
      <c r="AQ3380" s="128"/>
      <c r="AR3380" s="128"/>
      <c r="AS3380" s="128"/>
      <c r="AT3380" s="128"/>
      <c r="AU3380" s="128"/>
      <c r="AV3380" s="128"/>
      <c r="AW3380" s="128"/>
      <c r="AX3380" s="128"/>
      <c r="AY3380" s="128"/>
      <c r="AZ3380" s="128"/>
      <c r="BA3380" s="128"/>
      <c r="BB3380" s="128"/>
      <c r="BC3380" s="128"/>
      <c r="BD3380" s="128"/>
      <c r="BE3380" s="128"/>
      <c r="BF3380" s="128"/>
      <c r="BG3380" s="128"/>
      <c r="BH3380" s="128"/>
      <c r="BI3380" s="128"/>
      <c r="BJ3380" s="128"/>
      <c r="BK3380" s="128"/>
      <c r="BL3380" s="128"/>
      <c r="BM3380" s="151"/>
      <c r="BN3380" s="128"/>
      <c r="BO3380" s="128"/>
      <c r="BP3380" s="128"/>
      <c r="BQ3380" s="128"/>
      <c r="BR3380" s="128"/>
      <c r="BS3380" s="128"/>
      <c r="BT3380" s="128"/>
      <c r="BU3380" s="128"/>
      <c r="BV3380" s="128"/>
      <c r="BW3380" s="128"/>
      <c r="BX3380" s="128"/>
      <c r="BY3380" s="128"/>
      <c r="BZ3380" s="128"/>
      <c r="CA3380" s="128"/>
      <c r="CB3380" s="128"/>
      <c r="CC3380" s="128"/>
      <c r="CD3380" s="128"/>
      <c r="CE3380" s="128"/>
      <c r="CF3380" s="128"/>
      <c r="CG3380" s="128"/>
      <c r="CI3380" s="128"/>
      <c r="CJ3380" s="128"/>
      <c r="CK3380" s="128"/>
      <c r="CL3380" s="128"/>
      <c r="CM3380" s="128"/>
      <c r="CN3380" s="128"/>
      <c r="CO3380" s="128"/>
      <c r="CP3380" s="128"/>
      <c r="CQ3380" s="128"/>
      <c r="CR3380" s="128"/>
      <c r="CS3380" s="128"/>
      <c r="CT3380" s="128"/>
      <c r="CU3380" s="128"/>
      <c r="CV3380" s="128"/>
      <c r="CW3380" s="128"/>
      <c r="CX3380" s="128"/>
      <c r="CY3380" s="128"/>
      <c r="CZ3380" s="165"/>
    </row>
    <row r="3381" spans="1:104">
      <c r="A3381" s="149"/>
      <c r="B3381" s="149"/>
      <c r="C3381" s="150"/>
      <c r="D3381" s="102"/>
      <c r="E3381" s="149"/>
      <c r="F3381" s="149"/>
      <c r="G3381" s="149"/>
      <c r="H3381" s="149"/>
      <c r="I3381" s="149"/>
      <c r="J3381" s="149"/>
      <c r="K3381" s="149"/>
      <c r="L3381" s="149"/>
      <c r="M3381" s="149"/>
      <c r="N3381" s="149"/>
      <c r="O3381" s="149"/>
      <c r="P3381" s="149"/>
      <c r="Q3381" s="149"/>
      <c r="R3381" s="149"/>
      <c r="S3381" s="149"/>
      <c r="T3381" s="149"/>
      <c r="U3381" s="149"/>
      <c r="V3381" s="149"/>
      <c r="W3381" s="149"/>
      <c r="X3381" s="149"/>
      <c r="Y3381" s="149"/>
      <c r="Z3381" s="149"/>
      <c r="AA3381" s="149"/>
      <c r="AB3381" s="149"/>
      <c r="AC3381" s="149"/>
      <c r="AD3381" s="149"/>
      <c r="AE3381" s="149"/>
      <c r="AF3381" s="149"/>
      <c r="AG3381" s="149"/>
      <c r="AH3381" s="149"/>
      <c r="AI3381" s="149"/>
      <c r="AJ3381" s="149"/>
      <c r="AK3381" s="149"/>
      <c r="AL3381" s="149"/>
      <c r="AM3381" s="149"/>
      <c r="AN3381" s="149"/>
      <c r="AO3381" s="128"/>
      <c r="AP3381" s="128"/>
      <c r="AQ3381" s="128"/>
      <c r="AR3381" s="128"/>
      <c r="AS3381" s="128"/>
      <c r="AT3381" s="128"/>
      <c r="AU3381" s="128"/>
      <c r="AV3381" s="128"/>
      <c r="AW3381" s="128"/>
      <c r="AX3381" s="128"/>
      <c r="AY3381" s="128"/>
      <c r="AZ3381" s="128"/>
      <c r="BA3381" s="128"/>
      <c r="BB3381" s="128"/>
      <c r="BC3381" s="128"/>
      <c r="BD3381" s="128"/>
      <c r="BE3381" s="128"/>
      <c r="BF3381" s="128"/>
      <c r="BG3381" s="128"/>
      <c r="BH3381" s="128"/>
      <c r="BI3381" s="128"/>
      <c r="BJ3381" s="128"/>
      <c r="BK3381" s="128"/>
      <c r="BL3381" s="128"/>
      <c r="BM3381" s="151"/>
      <c r="BN3381" s="128"/>
      <c r="BO3381" s="128"/>
      <c r="BP3381" s="128"/>
      <c r="BQ3381" s="128"/>
      <c r="BR3381" s="128"/>
      <c r="BS3381" s="128"/>
      <c r="BT3381" s="128"/>
      <c r="BU3381" s="128"/>
      <c r="BV3381" s="128"/>
      <c r="BW3381" s="128"/>
      <c r="BX3381" s="128"/>
      <c r="BY3381" s="128"/>
      <c r="BZ3381" s="128"/>
      <c r="CA3381" s="128"/>
      <c r="CB3381" s="128"/>
      <c r="CC3381" s="128"/>
      <c r="CD3381" s="128"/>
      <c r="CE3381" s="128"/>
      <c r="CF3381" s="128"/>
      <c r="CG3381" s="128"/>
      <c r="CI3381" s="128"/>
      <c r="CJ3381" s="128"/>
      <c r="CK3381" s="128"/>
      <c r="CL3381" s="128"/>
      <c r="CM3381" s="128"/>
      <c r="CN3381" s="128"/>
      <c r="CO3381" s="128"/>
      <c r="CP3381" s="128"/>
      <c r="CQ3381" s="128"/>
      <c r="CR3381" s="128"/>
      <c r="CS3381" s="128"/>
      <c r="CT3381" s="128"/>
      <c r="CU3381" s="128"/>
      <c r="CV3381" s="128"/>
      <c r="CW3381" s="128"/>
      <c r="CX3381" s="128"/>
      <c r="CY3381" s="128"/>
      <c r="CZ3381" s="165"/>
    </row>
    <row r="3382" spans="1:104">
      <c r="A3382" s="149"/>
      <c r="B3382" s="149"/>
      <c r="C3382" s="150"/>
      <c r="D3382" s="102"/>
      <c r="E3382" s="149"/>
      <c r="F3382" s="149"/>
      <c r="G3382" s="149"/>
      <c r="H3382" s="149"/>
      <c r="I3382" s="149"/>
      <c r="J3382" s="149"/>
      <c r="K3382" s="149"/>
      <c r="L3382" s="149"/>
      <c r="M3382" s="149"/>
      <c r="N3382" s="149"/>
      <c r="O3382" s="149"/>
      <c r="P3382" s="149"/>
      <c r="Q3382" s="149"/>
      <c r="R3382" s="149"/>
      <c r="S3382" s="149"/>
      <c r="T3382" s="149"/>
      <c r="U3382" s="149"/>
      <c r="V3382" s="149"/>
      <c r="W3382" s="149"/>
      <c r="X3382" s="149"/>
      <c r="Y3382" s="149"/>
      <c r="Z3382" s="149"/>
      <c r="AA3382" s="149"/>
      <c r="AB3382" s="149"/>
      <c r="AC3382" s="149"/>
      <c r="AD3382" s="149"/>
      <c r="AE3382" s="149"/>
      <c r="AF3382" s="149"/>
      <c r="AG3382" s="149"/>
      <c r="AH3382" s="149"/>
      <c r="AI3382" s="149"/>
      <c r="AJ3382" s="149"/>
      <c r="AK3382" s="149"/>
      <c r="AL3382" s="149"/>
      <c r="AM3382" s="149"/>
      <c r="AN3382" s="149"/>
      <c r="AO3382" s="128"/>
      <c r="AP3382" s="128"/>
      <c r="AQ3382" s="128"/>
      <c r="AR3382" s="128"/>
      <c r="AS3382" s="128"/>
      <c r="AT3382" s="128"/>
      <c r="AU3382" s="128"/>
      <c r="AV3382" s="128"/>
      <c r="AW3382" s="128"/>
      <c r="AX3382" s="128"/>
      <c r="AY3382" s="128"/>
      <c r="AZ3382" s="128"/>
      <c r="BA3382" s="128"/>
      <c r="BB3382" s="128"/>
      <c r="BC3382" s="128"/>
      <c r="BD3382" s="128"/>
      <c r="BE3382" s="128"/>
      <c r="BF3382" s="128"/>
      <c r="BG3382" s="128"/>
      <c r="BH3382" s="128"/>
      <c r="BI3382" s="128"/>
      <c r="BJ3382" s="128"/>
      <c r="BK3382" s="128"/>
      <c r="BL3382" s="128"/>
      <c r="BM3382" s="151"/>
      <c r="BN3382" s="128"/>
      <c r="BO3382" s="128"/>
      <c r="BP3382" s="128"/>
      <c r="BQ3382" s="128"/>
      <c r="BR3382" s="128"/>
      <c r="BS3382" s="128"/>
      <c r="BT3382" s="128"/>
      <c r="BU3382" s="128"/>
      <c r="BV3382" s="128"/>
      <c r="BW3382" s="128"/>
      <c r="BX3382" s="128"/>
      <c r="BY3382" s="128"/>
      <c r="BZ3382" s="128"/>
      <c r="CA3382" s="128"/>
      <c r="CB3382" s="128"/>
      <c r="CC3382" s="128"/>
      <c r="CD3382" s="128"/>
      <c r="CE3382" s="128"/>
      <c r="CF3382" s="128"/>
      <c r="CG3382" s="128"/>
      <c r="CI3382" s="128"/>
      <c r="CJ3382" s="128"/>
      <c r="CK3382" s="128"/>
      <c r="CL3382" s="128"/>
      <c r="CM3382" s="128"/>
      <c r="CN3382" s="128"/>
      <c r="CO3382" s="128"/>
      <c r="CP3382" s="128"/>
      <c r="CQ3382" s="128"/>
      <c r="CR3382" s="128"/>
      <c r="CS3382" s="128"/>
      <c r="CT3382" s="128"/>
      <c r="CU3382" s="128"/>
      <c r="CV3382" s="128"/>
      <c r="CW3382" s="128"/>
      <c r="CX3382" s="128"/>
      <c r="CY3382" s="128"/>
      <c r="CZ3382" s="165"/>
    </row>
    <row r="3383" spans="1:104">
      <c r="A3383" s="149"/>
      <c r="B3383" s="149"/>
      <c r="C3383" s="150"/>
      <c r="D3383" s="102"/>
      <c r="E3383" s="149"/>
      <c r="F3383" s="149"/>
      <c r="G3383" s="149"/>
      <c r="H3383" s="149"/>
      <c r="I3383" s="149"/>
      <c r="J3383" s="149"/>
      <c r="K3383" s="149"/>
      <c r="L3383" s="149"/>
      <c r="M3383" s="149"/>
      <c r="N3383" s="149"/>
      <c r="O3383" s="149"/>
      <c r="P3383" s="149"/>
      <c r="Q3383" s="149"/>
      <c r="R3383" s="149"/>
      <c r="S3383" s="149"/>
      <c r="T3383" s="149"/>
      <c r="U3383" s="149"/>
      <c r="V3383" s="149"/>
      <c r="W3383" s="149"/>
      <c r="X3383" s="149"/>
      <c r="Y3383" s="149"/>
      <c r="Z3383" s="149"/>
      <c r="AA3383" s="149"/>
      <c r="AB3383" s="149"/>
      <c r="AC3383" s="149"/>
      <c r="AD3383" s="149"/>
      <c r="AE3383" s="149"/>
      <c r="AF3383" s="149"/>
      <c r="AG3383" s="149"/>
      <c r="AH3383" s="149"/>
      <c r="AI3383" s="149"/>
      <c r="AJ3383" s="149"/>
      <c r="AK3383" s="149"/>
      <c r="AL3383" s="149"/>
      <c r="AM3383" s="149"/>
      <c r="AN3383" s="149"/>
      <c r="AO3383" s="128"/>
      <c r="AP3383" s="128"/>
      <c r="AQ3383" s="128"/>
      <c r="AR3383" s="128"/>
      <c r="AS3383" s="128"/>
      <c r="AT3383" s="128"/>
      <c r="AU3383" s="128"/>
      <c r="AV3383" s="128"/>
      <c r="AW3383" s="128"/>
      <c r="AX3383" s="128"/>
      <c r="AY3383" s="128"/>
      <c r="AZ3383" s="128"/>
      <c r="BA3383" s="128"/>
      <c r="BB3383" s="128"/>
      <c r="BC3383" s="128"/>
      <c r="BD3383" s="128"/>
      <c r="BE3383" s="128"/>
      <c r="BF3383" s="128"/>
      <c r="BG3383" s="128"/>
      <c r="BH3383" s="128"/>
      <c r="BI3383" s="128"/>
      <c r="BJ3383" s="128"/>
      <c r="BK3383" s="128"/>
      <c r="BL3383" s="128"/>
      <c r="BM3383" s="151"/>
      <c r="BN3383" s="128"/>
      <c r="BO3383" s="128"/>
      <c r="BP3383" s="128"/>
      <c r="BQ3383" s="128"/>
      <c r="BR3383" s="128"/>
      <c r="BS3383" s="128"/>
      <c r="BT3383" s="128"/>
      <c r="BU3383" s="128"/>
      <c r="BV3383" s="128"/>
      <c r="BW3383" s="128"/>
      <c r="BX3383" s="128"/>
      <c r="BY3383" s="128"/>
      <c r="BZ3383" s="128"/>
      <c r="CA3383" s="128"/>
      <c r="CB3383" s="128"/>
      <c r="CC3383" s="128"/>
      <c r="CD3383" s="128"/>
      <c r="CE3383" s="128"/>
      <c r="CF3383" s="128"/>
      <c r="CG3383" s="128"/>
      <c r="CI3383" s="128"/>
      <c r="CJ3383" s="128"/>
      <c r="CK3383" s="128"/>
      <c r="CL3383" s="128"/>
      <c r="CM3383" s="128"/>
      <c r="CN3383" s="128"/>
      <c r="CO3383" s="128"/>
      <c r="CP3383" s="128"/>
      <c r="CQ3383" s="128"/>
      <c r="CR3383" s="128"/>
      <c r="CS3383" s="128"/>
      <c r="CT3383" s="128"/>
      <c r="CU3383" s="128"/>
      <c r="CV3383" s="128"/>
      <c r="CW3383" s="128"/>
      <c r="CX3383" s="128"/>
      <c r="CY3383" s="128"/>
      <c r="CZ3383" s="165"/>
    </row>
    <row r="3384" spans="1:104">
      <c r="A3384" s="149"/>
      <c r="B3384" s="149"/>
      <c r="C3384" s="150"/>
      <c r="D3384" s="102"/>
      <c r="E3384" s="149"/>
      <c r="F3384" s="149"/>
      <c r="G3384" s="149"/>
      <c r="H3384" s="149"/>
      <c r="I3384" s="149"/>
      <c r="J3384" s="149"/>
      <c r="K3384" s="149"/>
      <c r="L3384" s="149"/>
      <c r="M3384" s="149"/>
      <c r="N3384" s="149"/>
      <c r="O3384" s="149"/>
      <c r="P3384" s="149"/>
      <c r="Q3384" s="149"/>
      <c r="R3384" s="149"/>
      <c r="S3384" s="149"/>
      <c r="T3384" s="149"/>
      <c r="U3384" s="149"/>
      <c r="V3384" s="149"/>
      <c r="W3384" s="149"/>
      <c r="X3384" s="149"/>
      <c r="Y3384" s="149"/>
      <c r="Z3384" s="149"/>
      <c r="AA3384" s="149"/>
      <c r="AB3384" s="149"/>
      <c r="AC3384" s="149"/>
      <c r="AD3384" s="149"/>
      <c r="AE3384" s="149"/>
      <c r="AF3384" s="149"/>
      <c r="AG3384" s="149"/>
      <c r="AH3384" s="149"/>
      <c r="AI3384" s="149"/>
      <c r="AJ3384" s="149"/>
      <c r="AK3384" s="149"/>
      <c r="AL3384" s="149"/>
      <c r="AM3384" s="149"/>
      <c r="AN3384" s="149"/>
      <c r="AO3384" s="128"/>
      <c r="AP3384" s="128"/>
      <c r="AQ3384" s="128"/>
      <c r="AR3384" s="128"/>
      <c r="AS3384" s="128"/>
      <c r="AT3384" s="128"/>
      <c r="AU3384" s="128"/>
      <c r="AV3384" s="128"/>
      <c r="AW3384" s="128"/>
      <c r="AX3384" s="128"/>
      <c r="AY3384" s="128"/>
      <c r="AZ3384" s="128"/>
      <c r="BA3384" s="128"/>
      <c r="BB3384" s="128"/>
      <c r="BC3384" s="128"/>
      <c r="BD3384" s="128"/>
      <c r="BE3384" s="128"/>
      <c r="BF3384" s="128"/>
      <c r="BG3384" s="128"/>
      <c r="BH3384" s="128"/>
      <c r="BI3384" s="128"/>
      <c r="BJ3384" s="128"/>
      <c r="BK3384" s="128"/>
      <c r="BL3384" s="128"/>
      <c r="BM3384" s="151"/>
      <c r="BN3384" s="128"/>
      <c r="BO3384" s="128"/>
      <c r="BP3384" s="128"/>
      <c r="BQ3384" s="128"/>
      <c r="BR3384" s="128"/>
      <c r="BS3384" s="128"/>
      <c r="BT3384" s="128"/>
      <c r="BU3384" s="128"/>
      <c r="BV3384" s="128"/>
      <c r="BW3384" s="128"/>
      <c r="BX3384" s="128"/>
      <c r="BY3384" s="128"/>
      <c r="BZ3384" s="128"/>
      <c r="CA3384" s="128"/>
      <c r="CB3384" s="128"/>
      <c r="CC3384" s="128"/>
      <c r="CD3384" s="128"/>
      <c r="CE3384" s="128"/>
      <c r="CF3384" s="128"/>
      <c r="CG3384" s="128"/>
      <c r="CI3384" s="128"/>
      <c r="CJ3384" s="128"/>
      <c r="CK3384" s="128"/>
      <c r="CL3384" s="128"/>
      <c r="CM3384" s="128"/>
      <c r="CN3384" s="128"/>
      <c r="CO3384" s="128"/>
      <c r="CP3384" s="128"/>
      <c r="CQ3384" s="128"/>
      <c r="CR3384" s="128"/>
      <c r="CS3384" s="128"/>
      <c r="CT3384" s="128"/>
      <c r="CU3384" s="128"/>
      <c r="CV3384" s="128"/>
      <c r="CW3384" s="128"/>
      <c r="CX3384" s="128"/>
      <c r="CY3384" s="128"/>
      <c r="CZ3384" s="165"/>
    </row>
    <row r="3385" spans="1:104">
      <c r="A3385" s="149"/>
      <c r="B3385" s="149"/>
      <c r="C3385" s="150"/>
      <c r="D3385" s="102"/>
      <c r="E3385" s="149"/>
      <c r="F3385" s="149"/>
      <c r="G3385" s="149"/>
      <c r="H3385" s="149"/>
      <c r="I3385" s="149"/>
      <c r="J3385" s="149"/>
      <c r="K3385" s="149"/>
      <c r="L3385" s="149"/>
      <c r="M3385" s="149"/>
      <c r="N3385" s="149"/>
      <c r="O3385" s="149"/>
      <c r="P3385" s="149"/>
      <c r="Q3385" s="149"/>
      <c r="R3385" s="149"/>
      <c r="S3385" s="149"/>
      <c r="T3385" s="149"/>
      <c r="U3385" s="149"/>
      <c r="V3385" s="149"/>
      <c r="W3385" s="149"/>
      <c r="X3385" s="149"/>
      <c r="Y3385" s="149"/>
      <c r="Z3385" s="149"/>
      <c r="AA3385" s="149"/>
      <c r="AB3385" s="149"/>
      <c r="AC3385" s="149"/>
      <c r="AD3385" s="149"/>
      <c r="AE3385" s="149"/>
      <c r="AF3385" s="149"/>
      <c r="AG3385" s="149"/>
      <c r="AH3385" s="149"/>
      <c r="AI3385" s="149"/>
      <c r="AJ3385" s="149"/>
      <c r="AK3385" s="149"/>
      <c r="AL3385" s="149"/>
      <c r="AM3385" s="149"/>
      <c r="AN3385" s="149"/>
      <c r="AO3385" s="128"/>
      <c r="AP3385" s="128"/>
      <c r="AQ3385" s="128"/>
      <c r="AR3385" s="128"/>
      <c r="AS3385" s="128"/>
      <c r="AT3385" s="128"/>
      <c r="AU3385" s="128"/>
      <c r="AV3385" s="128"/>
      <c r="AW3385" s="128"/>
      <c r="AX3385" s="128"/>
      <c r="AY3385" s="128"/>
      <c r="AZ3385" s="128"/>
      <c r="BA3385" s="128"/>
      <c r="BB3385" s="128"/>
      <c r="BC3385" s="128"/>
      <c r="BD3385" s="128"/>
      <c r="BE3385" s="128"/>
      <c r="BF3385" s="128"/>
      <c r="BG3385" s="128"/>
      <c r="BH3385" s="128"/>
      <c r="BI3385" s="128"/>
      <c r="BJ3385" s="128"/>
      <c r="BK3385" s="128"/>
      <c r="BL3385" s="128"/>
      <c r="BM3385" s="151"/>
      <c r="BN3385" s="128"/>
      <c r="BO3385" s="128"/>
      <c r="BP3385" s="128"/>
      <c r="BQ3385" s="128"/>
      <c r="BR3385" s="128"/>
      <c r="BS3385" s="128"/>
      <c r="BT3385" s="128"/>
      <c r="BU3385" s="128"/>
      <c r="BV3385" s="128"/>
      <c r="BW3385" s="128"/>
      <c r="BX3385" s="128"/>
      <c r="BY3385" s="128"/>
      <c r="BZ3385" s="128"/>
      <c r="CA3385" s="128"/>
      <c r="CB3385" s="128"/>
      <c r="CC3385" s="128"/>
      <c r="CD3385" s="128"/>
      <c r="CE3385" s="128"/>
      <c r="CF3385" s="128"/>
      <c r="CG3385" s="128"/>
      <c r="CI3385" s="128"/>
      <c r="CJ3385" s="128"/>
      <c r="CK3385" s="128"/>
      <c r="CL3385" s="128"/>
      <c r="CM3385" s="128"/>
      <c r="CN3385" s="128"/>
      <c r="CO3385" s="128"/>
      <c r="CP3385" s="128"/>
      <c r="CQ3385" s="128"/>
      <c r="CR3385" s="128"/>
      <c r="CS3385" s="128"/>
      <c r="CT3385" s="128"/>
      <c r="CU3385" s="128"/>
      <c r="CV3385" s="128"/>
      <c r="CW3385" s="128"/>
      <c r="CX3385" s="128"/>
      <c r="CY3385" s="128"/>
      <c r="CZ3385" s="165"/>
    </row>
    <row r="3386" spans="1:104">
      <c r="A3386" s="149"/>
      <c r="B3386" s="149"/>
      <c r="C3386" s="150"/>
      <c r="D3386" s="102"/>
      <c r="E3386" s="149"/>
      <c r="F3386" s="149"/>
      <c r="G3386" s="149"/>
      <c r="H3386" s="149"/>
      <c r="I3386" s="149"/>
      <c r="J3386" s="149"/>
      <c r="K3386" s="149"/>
      <c r="L3386" s="149"/>
      <c r="M3386" s="149"/>
      <c r="N3386" s="149"/>
      <c r="O3386" s="149"/>
      <c r="P3386" s="149"/>
      <c r="Q3386" s="149"/>
      <c r="R3386" s="149"/>
      <c r="S3386" s="149"/>
      <c r="T3386" s="149"/>
      <c r="U3386" s="149"/>
      <c r="V3386" s="149"/>
      <c r="W3386" s="149"/>
      <c r="X3386" s="149"/>
      <c r="Y3386" s="149"/>
      <c r="Z3386" s="149"/>
      <c r="AA3386" s="149"/>
      <c r="AB3386" s="149"/>
      <c r="AC3386" s="149"/>
      <c r="AD3386" s="149"/>
      <c r="AE3386" s="149"/>
      <c r="AF3386" s="149"/>
      <c r="AG3386" s="149"/>
      <c r="AH3386" s="149"/>
      <c r="AI3386" s="149"/>
      <c r="AJ3386" s="149"/>
      <c r="AK3386" s="149"/>
      <c r="AL3386" s="149"/>
      <c r="AM3386" s="149"/>
      <c r="AN3386" s="149"/>
      <c r="AO3386" s="128"/>
      <c r="AP3386" s="128"/>
      <c r="AQ3386" s="128"/>
      <c r="AR3386" s="128"/>
      <c r="AS3386" s="128"/>
      <c r="AT3386" s="128"/>
      <c r="AU3386" s="128"/>
      <c r="AV3386" s="128"/>
      <c r="AW3386" s="128"/>
      <c r="AX3386" s="128"/>
      <c r="AY3386" s="128"/>
      <c r="AZ3386" s="128"/>
      <c r="BA3386" s="128"/>
      <c r="BB3386" s="128"/>
      <c r="BC3386" s="128"/>
      <c r="BD3386" s="128"/>
      <c r="BE3386" s="128"/>
      <c r="BF3386" s="128"/>
      <c r="BG3386" s="128"/>
      <c r="BH3386" s="128"/>
      <c r="BI3386" s="128"/>
      <c r="BJ3386" s="128"/>
      <c r="BK3386" s="128"/>
      <c r="BL3386" s="128"/>
      <c r="BM3386" s="151"/>
      <c r="BN3386" s="128"/>
      <c r="BO3386" s="128"/>
      <c r="BP3386" s="128"/>
      <c r="BQ3386" s="128"/>
      <c r="BR3386" s="128"/>
      <c r="BS3386" s="128"/>
      <c r="BT3386" s="128"/>
      <c r="BU3386" s="128"/>
      <c r="BV3386" s="128"/>
      <c r="BW3386" s="128"/>
      <c r="BX3386" s="128"/>
      <c r="BY3386" s="128"/>
      <c r="BZ3386" s="128"/>
      <c r="CA3386" s="128"/>
      <c r="CB3386" s="128"/>
      <c r="CC3386" s="128"/>
      <c r="CD3386" s="128"/>
      <c r="CE3386" s="128"/>
      <c r="CF3386" s="128"/>
      <c r="CG3386" s="128"/>
      <c r="CI3386" s="128"/>
      <c r="CJ3386" s="128"/>
      <c r="CK3386" s="128"/>
      <c r="CL3386" s="128"/>
      <c r="CM3386" s="128"/>
      <c r="CN3386" s="128"/>
      <c r="CO3386" s="128"/>
      <c r="CP3386" s="128"/>
      <c r="CQ3386" s="128"/>
      <c r="CR3386" s="128"/>
      <c r="CS3386" s="128"/>
      <c r="CT3386" s="128"/>
      <c r="CU3386" s="128"/>
      <c r="CV3386" s="128"/>
      <c r="CW3386" s="128"/>
      <c r="CX3386" s="128"/>
      <c r="CY3386" s="128"/>
      <c r="CZ3386" s="165"/>
    </row>
    <row r="3387" spans="1:104">
      <c r="A3387" s="149"/>
      <c r="B3387" s="149"/>
      <c r="C3387" s="150"/>
      <c r="D3387" s="102"/>
      <c r="E3387" s="149"/>
      <c r="F3387" s="149"/>
      <c r="G3387" s="149"/>
      <c r="H3387" s="149"/>
      <c r="I3387" s="149"/>
      <c r="J3387" s="149"/>
      <c r="K3387" s="149"/>
      <c r="L3387" s="149"/>
      <c r="M3387" s="149"/>
      <c r="N3387" s="149"/>
      <c r="O3387" s="149"/>
      <c r="P3387" s="149"/>
      <c r="Q3387" s="149"/>
      <c r="R3387" s="149"/>
      <c r="S3387" s="149"/>
      <c r="T3387" s="149"/>
      <c r="U3387" s="149"/>
      <c r="V3387" s="149"/>
      <c r="W3387" s="149"/>
      <c r="X3387" s="149"/>
      <c r="Y3387" s="149"/>
      <c r="Z3387" s="149"/>
      <c r="AA3387" s="149"/>
      <c r="AB3387" s="149"/>
      <c r="AC3387" s="149"/>
      <c r="AD3387" s="149"/>
      <c r="AE3387" s="149"/>
      <c r="AF3387" s="149"/>
      <c r="AG3387" s="149"/>
      <c r="AH3387" s="149"/>
      <c r="AI3387" s="149"/>
      <c r="AJ3387" s="149"/>
      <c r="AK3387" s="149"/>
      <c r="AL3387" s="149"/>
      <c r="AM3387" s="149"/>
      <c r="AN3387" s="149"/>
      <c r="AO3387" s="128"/>
      <c r="AP3387" s="128"/>
      <c r="AQ3387" s="128"/>
      <c r="AR3387" s="128"/>
      <c r="AS3387" s="128"/>
      <c r="AT3387" s="128"/>
      <c r="AU3387" s="128"/>
      <c r="AV3387" s="128"/>
      <c r="AW3387" s="128"/>
      <c r="AX3387" s="128"/>
      <c r="AY3387" s="128"/>
      <c r="AZ3387" s="128"/>
      <c r="BA3387" s="128"/>
      <c r="BB3387" s="128"/>
      <c r="BC3387" s="128"/>
      <c r="BD3387" s="128"/>
      <c r="BE3387" s="128"/>
      <c r="BF3387" s="128"/>
      <c r="BG3387" s="128"/>
      <c r="BH3387" s="128"/>
      <c r="BI3387" s="128"/>
      <c r="BJ3387" s="128"/>
      <c r="BK3387" s="128"/>
      <c r="BL3387" s="128"/>
      <c r="BM3387" s="151"/>
      <c r="BN3387" s="128"/>
      <c r="BO3387" s="128"/>
      <c r="BP3387" s="128"/>
      <c r="BQ3387" s="128"/>
      <c r="BR3387" s="128"/>
      <c r="BS3387" s="128"/>
      <c r="BT3387" s="128"/>
      <c r="BU3387" s="128"/>
      <c r="BV3387" s="128"/>
      <c r="BW3387" s="128"/>
      <c r="BX3387" s="128"/>
      <c r="BY3387" s="128"/>
      <c r="BZ3387" s="128"/>
      <c r="CA3387" s="128"/>
      <c r="CB3387" s="128"/>
      <c r="CC3387" s="128"/>
      <c r="CD3387" s="128"/>
      <c r="CE3387" s="128"/>
      <c r="CF3387" s="128"/>
      <c r="CG3387" s="128"/>
      <c r="CI3387" s="128"/>
      <c r="CJ3387" s="128"/>
      <c r="CK3387" s="128"/>
      <c r="CL3387" s="128"/>
      <c r="CM3387" s="128"/>
      <c r="CN3387" s="128"/>
      <c r="CO3387" s="128"/>
      <c r="CP3387" s="128"/>
      <c r="CQ3387" s="128"/>
      <c r="CR3387" s="128"/>
      <c r="CS3387" s="128"/>
      <c r="CT3387" s="128"/>
      <c r="CU3387" s="128"/>
      <c r="CV3387" s="128"/>
      <c r="CW3387" s="128"/>
      <c r="CX3387" s="128"/>
      <c r="CY3387" s="128"/>
      <c r="CZ3387" s="165"/>
    </row>
    <row r="3388" spans="1:104">
      <c r="A3388" s="149"/>
      <c r="B3388" s="149"/>
      <c r="C3388" s="150"/>
      <c r="D3388" s="102"/>
      <c r="E3388" s="149"/>
      <c r="F3388" s="149"/>
      <c r="G3388" s="149"/>
      <c r="H3388" s="149"/>
      <c r="I3388" s="149"/>
      <c r="J3388" s="149"/>
      <c r="K3388" s="149"/>
      <c r="L3388" s="149"/>
      <c r="M3388" s="149"/>
      <c r="N3388" s="149"/>
      <c r="O3388" s="149"/>
      <c r="P3388" s="149"/>
      <c r="Q3388" s="149"/>
      <c r="R3388" s="149"/>
      <c r="S3388" s="149"/>
      <c r="T3388" s="149"/>
      <c r="U3388" s="149"/>
      <c r="V3388" s="149"/>
      <c r="W3388" s="149"/>
      <c r="X3388" s="149"/>
      <c r="Y3388" s="149"/>
      <c r="Z3388" s="149"/>
      <c r="AA3388" s="149"/>
      <c r="AB3388" s="149"/>
      <c r="AC3388" s="149"/>
      <c r="AD3388" s="149"/>
      <c r="AE3388" s="149"/>
      <c r="AF3388" s="149"/>
      <c r="AG3388" s="149"/>
      <c r="AH3388" s="149"/>
      <c r="AI3388" s="149"/>
      <c r="AJ3388" s="149"/>
      <c r="AK3388" s="149"/>
      <c r="AL3388" s="149"/>
      <c r="AM3388" s="149"/>
      <c r="AN3388" s="149"/>
      <c r="AO3388" s="128"/>
      <c r="AP3388" s="128"/>
      <c r="AQ3388" s="128"/>
      <c r="AR3388" s="128"/>
      <c r="AS3388" s="128"/>
      <c r="AT3388" s="128"/>
      <c r="AU3388" s="128"/>
      <c r="AV3388" s="128"/>
      <c r="AW3388" s="128"/>
      <c r="AX3388" s="128"/>
      <c r="AY3388" s="128"/>
      <c r="AZ3388" s="128"/>
      <c r="BA3388" s="128"/>
      <c r="BB3388" s="128"/>
      <c r="BC3388" s="128"/>
      <c r="BD3388" s="128"/>
      <c r="BE3388" s="128"/>
      <c r="BF3388" s="128"/>
      <c r="BG3388" s="128"/>
      <c r="BH3388" s="128"/>
      <c r="BI3388" s="128"/>
      <c r="BJ3388" s="128"/>
      <c r="BK3388" s="128"/>
      <c r="BL3388" s="128"/>
      <c r="BM3388" s="151"/>
      <c r="BN3388" s="128"/>
      <c r="BO3388" s="128"/>
      <c r="BP3388" s="128"/>
      <c r="BQ3388" s="128"/>
      <c r="BR3388" s="128"/>
      <c r="BS3388" s="128"/>
      <c r="BT3388" s="128"/>
      <c r="BU3388" s="128"/>
      <c r="BV3388" s="128"/>
      <c r="BW3388" s="128"/>
      <c r="BX3388" s="128"/>
      <c r="BY3388" s="128"/>
      <c r="BZ3388" s="128"/>
      <c r="CA3388" s="128"/>
      <c r="CB3388" s="128"/>
      <c r="CC3388" s="128"/>
      <c r="CD3388" s="128"/>
      <c r="CE3388" s="128"/>
      <c r="CF3388" s="128"/>
      <c r="CG3388" s="128"/>
      <c r="CI3388" s="128"/>
      <c r="CJ3388" s="128"/>
      <c r="CK3388" s="128"/>
      <c r="CL3388" s="128"/>
      <c r="CM3388" s="128"/>
      <c r="CN3388" s="128"/>
      <c r="CO3388" s="128"/>
      <c r="CP3388" s="128"/>
      <c r="CQ3388" s="128"/>
      <c r="CR3388" s="128"/>
      <c r="CS3388" s="128"/>
      <c r="CT3388" s="128"/>
      <c r="CU3388" s="128"/>
      <c r="CV3388" s="128"/>
      <c r="CW3388" s="128"/>
      <c r="CX3388" s="128"/>
      <c r="CY3388" s="128"/>
      <c r="CZ3388" s="165"/>
    </row>
    <row r="3389" spans="1:104">
      <c r="A3389" s="149"/>
      <c r="B3389" s="149"/>
      <c r="C3389" s="150"/>
      <c r="D3389" s="102"/>
      <c r="E3389" s="149"/>
      <c r="F3389" s="149"/>
      <c r="G3389" s="149"/>
      <c r="H3389" s="149"/>
      <c r="I3389" s="149"/>
      <c r="J3389" s="149"/>
      <c r="K3389" s="149"/>
      <c r="L3389" s="149"/>
      <c r="M3389" s="149"/>
      <c r="N3389" s="149"/>
      <c r="O3389" s="149"/>
      <c r="P3389" s="149"/>
      <c r="Q3389" s="149"/>
      <c r="R3389" s="149"/>
      <c r="S3389" s="149"/>
      <c r="T3389" s="149"/>
      <c r="U3389" s="149"/>
      <c r="V3389" s="149"/>
      <c r="W3389" s="149"/>
      <c r="X3389" s="149"/>
      <c r="Y3389" s="149"/>
      <c r="Z3389" s="149"/>
      <c r="AA3389" s="149"/>
      <c r="AB3389" s="149"/>
      <c r="AC3389" s="149"/>
      <c r="AD3389" s="149"/>
      <c r="AE3389" s="149"/>
      <c r="AF3389" s="149"/>
      <c r="AG3389" s="149"/>
      <c r="AH3389" s="149"/>
      <c r="AI3389" s="149"/>
      <c r="AJ3389" s="149"/>
      <c r="AK3389" s="149"/>
      <c r="AL3389" s="149"/>
      <c r="AM3389" s="149"/>
      <c r="AN3389" s="149"/>
      <c r="AO3389" s="128"/>
      <c r="AP3389" s="128"/>
      <c r="AQ3389" s="128"/>
      <c r="AR3389" s="128"/>
      <c r="AS3389" s="128"/>
      <c r="AT3389" s="128"/>
      <c r="AU3389" s="128"/>
      <c r="AV3389" s="128"/>
      <c r="AW3389" s="128"/>
      <c r="AX3389" s="128"/>
      <c r="AY3389" s="128"/>
      <c r="AZ3389" s="128"/>
      <c r="BA3389" s="128"/>
      <c r="BB3389" s="128"/>
      <c r="BC3389" s="128"/>
      <c r="BD3389" s="128"/>
      <c r="BE3389" s="128"/>
      <c r="BF3389" s="128"/>
      <c r="BG3389" s="128"/>
      <c r="BH3389" s="128"/>
      <c r="BI3389" s="128"/>
      <c r="BJ3389" s="128"/>
      <c r="BK3389" s="128"/>
      <c r="BL3389" s="128"/>
      <c r="BM3389" s="151"/>
      <c r="BN3389" s="128"/>
      <c r="BO3389" s="128"/>
      <c r="BP3389" s="128"/>
      <c r="BQ3389" s="128"/>
      <c r="BR3389" s="128"/>
      <c r="BS3389" s="128"/>
      <c r="BT3389" s="128"/>
      <c r="BU3389" s="128"/>
      <c r="BV3389" s="128"/>
      <c r="BW3389" s="128"/>
      <c r="BX3389" s="128"/>
      <c r="BY3389" s="128"/>
      <c r="BZ3389" s="128"/>
      <c r="CA3389" s="128"/>
      <c r="CB3389" s="128"/>
      <c r="CC3389" s="128"/>
      <c r="CD3389" s="128"/>
      <c r="CE3389" s="128"/>
      <c r="CF3389" s="128"/>
      <c r="CG3389" s="128"/>
      <c r="CI3389" s="128"/>
      <c r="CJ3389" s="128"/>
      <c r="CK3389" s="128"/>
      <c r="CL3389" s="128"/>
      <c r="CM3389" s="128"/>
      <c r="CN3389" s="128"/>
      <c r="CO3389" s="128"/>
      <c r="CP3389" s="128"/>
      <c r="CQ3389" s="128"/>
      <c r="CR3389" s="128"/>
      <c r="CS3389" s="128"/>
      <c r="CT3389" s="128"/>
      <c r="CU3389" s="128"/>
      <c r="CV3389" s="128"/>
      <c r="CW3389" s="128"/>
      <c r="CX3389" s="128"/>
      <c r="CY3389" s="128"/>
      <c r="CZ3389" s="165"/>
    </row>
    <row r="3390" spans="1:104">
      <c r="A3390" s="149"/>
      <c r="B3390" s="149"/>
      <c r="C3390" s="150"/>
      <c r="D3390" s="102"/>
      <c r="E3390" s="149"/>
      <c r="F3390" s="149"/>
      <c r="G3390" s="149"/>
      <c r="H3390" s="149"/>
      <c r="I3390" s="149"/>
      <c r="J3390" s="149"/>
      <c r="K3390" s="149"/>
      <c r="L3390" s="149"/>
      <c r="M3390" s="149"/>
      <c r="N3390" s="149"/>
      <c r="O3390" s="149"/>
      <c r="P3390" s="149"/>
      <c r="Q3390" s="149"/>
      <c r="R3390" s="149"/>
      <c r="S3390" s="149"/>
      <c r="T3390" s="149"/>
      <c r="U3390" s="149"/>
      <c r="V3390" s="149"/>
      <c r="W3390" s="149"/>
      <c r="X3390" s="149"/>
      <c r="Y3390" s="149"/>
      <c r="Z3390" s="149"/>
      <c r="AA3390" s="149"/>
      <c r="AB3390" s="149"/>
      <c r="AC3390" s="149"/>
      <c r="AD3390" s="149"/>
      <c r="AE3390" s="149"/>
      <c r="AF3390" s="149"/>
      <c r="AG3390" s="149"/>
      <c r="AH3390" s="149"/>
      <c r="AI3390" s="149"/>
      <c r="AJ3390" s="149"/>
      <c r="AK3390" s="149"/>
      <c r="AL3390" s="149"/>
      <c r="AM3390" s="149"/>
      <c r="AN3390" s="149"/>
      <c r="AO3390" s="128"/>
      <c r="AP3390" s="128"/>
      <c r="AQ3390" s="128"/>
      <c r="AR3390" s="128"/>
      <c r="AS3390" s="128"/>
      <c r="AT3390" s="128"/>
      <c r="AU3390" s="128"/>
      <c r="AV3390" s="128"/>
      <c r="AW3390" s="128"/>
      <c r="AX3390" s="128"/>
      <c r="AY3390" s="128"/>
      <c r="AZ3390" s="128"/>
      <c r="BA3390" s="128"/>
      <c r="BB3390" s="128"/>
      <c r="BC3390" s="128"/>
      <c r="BD3390" s="128"/>
      <c r="BE3390" s="128"/>
      <c r="BF3390" s="128"/>
      <c r="BG3390" s="128"/>
      <c r="BH3390" s="128"/>
      <c r="BI3390" s="128"/>
      <c r="BJ3390" s="128"/>
      <c r="BK3390" s="128"/>
      <c r="BL3390" s="128"/>
      <c r="BM3390" s="151"/>
      <c r="BN3390" s="128"/>
      <c r="BO3390" s="128"/>
      <c r="BP3390" s="128"/>
      <c r="BQ3390" s="128"/>
      <c r="BR3390" s="128"/>
      <c r="BS3390" s="128"/>
      <c r="BT3390" s="128"/>
      <c r="BU3390" s="128"/>
      <c r="BV3390" s="128"/>
      <c r="BW3390" s="128"/>
      <c r="BX3390" s="128"/>
      <c r="BY3390" s="128"/>
      <c r="BZ3390" s="128"/>
      <c r="CA3390" s="128"/>
      <c r="CB3390" s="128"/>
      <c r="CC3390" s="128"/>
      <c r="CD3390" s="128"/>
      <c r="CE3390" s="128"/>
      <c r="CF3390" s="128"/>
      <c r="CG3390" s="128"/>
      <c r="CI3390" s="128"/>
      <c r="CJ3390" s="128"/>
      <c r="CK3390" s="128"/>
      <c r="CL3390" s="128"/>
      <c r="CM3390" s="128"/>
      <c r="CN3390" s="128"/>
      <c r="CO3390" s="128"/>
      <c r="CP3390" s="128"/>
      <c r="CQ3390" s="128"/>
      <c r="CR3390" s="128"/>
      <c r="CS3390" s="128"/>
      <c r="CT3390" s="128"/>
      <c r="CU3390" s="128"/>
      <c r="CV3390" s="128"/>
      <c r="CW3390" s="128"/>
      <c r="CX3390" s="128"/>
      <c r="CY3390" s="128"/>
      <c r="CZ3390" s="165"/>
    </row>
    <row r="3391" spans="1:104">
      <c r="A3391" s="149"/>
      <c r="B3391" s="149"/>
      <c r="C3391" s="150"/>
      <c r="D3391" s="102"/>
      <c r="E3391" s="149"/>
      <c r="F3391" s="149"/>
      <c r="G3391" s="149"/>
      <c r="H3391" s="149"/>
      <c r="I3391" s="149"/>
      <c r="J3391" s="149"/>
      <c r="K3391" s="149"/>
      <c r="L3391" s="149"/>
      <c r="M3391" s="149"/>
      <c r="N3391" s="149"/>
      <c r="O3391" s="149"/>
      <c r="P3391" s="149"/>
      <c r="Q3391" s="149"/>
      <c r="R3391" s="149"/>
      <c r="S3391" s="149"/>
      <c r="T3391" s="149"/>
      <c r="U3391" s="149"/>
      <c r="V3391" s="149"/>
      <c r="W3391" s="149"/>
      <c r="X3391" s="149"/>
      <c r="Y3391" s="149"/>
      <c r="Z3391" s="149"/>
      <c r="AA3391" s="149"/>
      <c r="AB3391" s="149"/>
      <c r="AC3391" s="149"/>
      <c r="AD3391" s="149"/>
      <c r="AE3391" s="149"/>
      <c r="AF3391" s="149"/>
      <c r="AG3391" s="149"/>
      <c r="AH3391" s="149"/>
      <c r="AI3391" s="149"/>
      <c r="AJ3391" s="149"/>
      <c r="AK3391" s="149"/>
      <c r="AL3391" s="149"/>
      <c r="AM3391" s="149"/>
      <c r="AN3391" s="149"/>
      <c r="AO3391" s="128"/>
      <c r="AP3391" s="128"/>
      <c r="AQ3391" s="128"/>
      <c r="AR3391" s="128"/>
      <c r="AS3391" s="128"/>
      <c r="AT3391" s="128"/>
      <c r="AU3391" s="128"/>
      <c r="AV3391" s="128"/>
      <c r="AW3391" s="128"/>
      <c r="AX3391" s="128"/>
      <c r="AY3391" s="128"/>
      <c r="AZ3391" s="128"/>
      <c r="BA3391" s="128"/>
      <c r="BB3391" s="128"/>
      <c r="BC3391" s="128"/>
      <c r="BD3391" s="128"/>
      <c r="BE3391" s="128"/>
      <c r="BF3391" s="128"/>
      <c r="BG3391" s="128"/>
      <c r="BH3391" s="128"/>
      <c r="BI3391" s="128"/>
      <c r="BJ3391" s="128"/>
      <c r="BK3391" s="128"/>
      <c r="BL3391" s="128"/>
      <c r="BM3391" s="151"/>
      <c r="BN3391" s="128"/>
      <c r="BO3391" s="128"/>
      <c r="BP3391" s="128"/>
      <c r="BQ3391" s="128"/>
      <c r="BR3391" s="128"/>
      <c r="BS3391" s="128"/>
      <c r="BT3391" s="128"/>
      <c r="BU3391" s="128"/>
      <c r="BV3391" s="128"/>
      <c r="BW3391" s="128"/>
      <c r="BX3391" s="128"/>
      <c r="BY3391" s="128"/>
      <c r="BZ3391" s="128"/>
      <c r="CA3391" s="128"/>
      <c r="CB3391" s="128"/>
      <c r="CC3391" s="128"/>
      <c r="CD3391" s="128"/>
      <c r="CE3391" s="128"/>
      <c r="CF3391" s="128"/>
      <c r="CG3391" s="128"/>
      <c r="CI3391" s="128"/>
      <c r="CJ3391" s="128"/>
      <c r="CK3391" s="128"/>
      <c r="CL3391" s="128"/>
      <c r="CM3391" s="128"/>
      <c r="CN3391" s="128"/>
      <c r="CO3391" s="128"/>
      <c r="CP3391" s="128"/>
      <c r="CQ3391" s="128"/>
      <c r="CR3391" s="128"/>
      <c r="CS3391" s="128"/>
      <c r="CT3391" s="128"/>
      <c r="CU3391" s="128"/>
      <c r="CV3391" s="128"/>
      <c r="CW3391" s="128"/>
      <c r="CX3391" s="128"/>
      <c r="CY3391" s="128"/>
      <c r="CZ3391" s="165"/>
    </row>
    <row r="3392" spans="1:104">
      <c r="A3392" s="149"/>
      <c r="B3392" s="149"/>
      <c r="C3392" s="150"/>
      <c r="D3392" s="102"/>
      <c r="E3392" s="149"/>
      <c r="F3392" s="149"/>
      <c r="G3392" s="149"/>
      <c r="H3392" s="149"/>
      <c r="I3392" s="149"/>
      <c r="J3392" s="149"/>
      <c r="K3392" s="149"/>
      <c r="L3392" s="149"/>
      <c r="M3392" s="149"/>
      <c r="N3392" s="149"/>
      <c r="O3392" s="149"/>
      <c r="P3392" s="149"/>
      <c r="Q3392" s="149"/>
      <c r="R3392" s="149"/>
      <c r="S3392" s="149"/>
      <c r="T3392" s="149"/>
      <c r="U3392" s="149"/>
      <c r="V3392" s="149"/>
      <c r="W3392" s="149"/>
      <c r="X3392" s="149"/>
      <c r="Y3392" s="149"/>
      <c r="Z3392" s="149"/>
      <c r="AA3392" s="149"/>
      <c r="AB3392" s="149"/>
      <c r="AC3392" s="149"/>
      <c r="AD3392" s="149"/>
      <c r="AE3392" s="149"/>
      <c r="AF3392" s="149"/>
      <c r="AG3392" s="149"/>
      <c r="AH3392" s="149"/>
      <c r="AI3392" s="149"/>
      <c r="AJ3392" s="149"/>
      <c r="AK3392" s="149"/>
      <c r="AL3392" s="149"/>
      <c r="AM3392" s="149"/>
      <c r="AN3392" s="149"/>
      <c r="AO3392" s="128"/>
      <c r="AP3392" s="128"/>
      <c r="AQ3392" s="128"/>
      <c r="AR3392" s="128"/>
      <c r="AS3392" s="128"/>
      <c r="AT3392" s="128"/>
      <c r="AU3392" s="128"/>
      <c r="AV3392" s="128"/>
      <c r="AW3392" s="128"/>
      <c r="AX3392" s="128"/>
      <c r="AY3392" s="128"/>
      <c r="AZ3392" s="128"/>
      <c r="BA3392" s="128"/>
      <c r="BB3392" s="128"/>
      <c r="BC3392" s="128"/>
      <c r="BD3392" s="128"/>
      <c r="BE3392" s="128"/>
      <c r="BF3392" s="128"/>
      <c r="BG3392" s="128"/>
      <c r="BH3392" s="128"/>
      <c r="BI3392" s="128"/>
      <c r="BJ3392" s="128"/>
      <c r="BK3392" s="128"/>
      <c r="BL3392" s="128"/>
      <c r="BM3392" s="151"/>
      <c r="BN3392" s="128"/>
      <c r="BO3392" s="128"/>
      <c r="BP3392" s="128"/>
      <c r="BQ3392" s="128"/>
      <c r="BR3392" s="128"/>
      <c r="BS3392" s="128"/>
      <c r="BT3392" s="128"/>
      <c r="BU3392" s="128"/>
      <c r="BV3392" s="128"/>
      <c r="BW3392" s="128"/>
      <c r="BX3392" s="128"/>
      <c r="BY3392" s="128"/>
      <c r="BZ3392" s="128"/>
      <c r="CA3392" s="128"/>
      <c r="CB3392" s="128"/>
      <c r="CC3392" s="128"/>
      <c r="CD3392" s="128"/>
      <c r="CE3392" s="128"/>
      <c r="CF3392" s="128"/>
      <c r="CG3392" s="128"/>
      <c r="CI3392" s="128"/>
      <c r="CJ3392" s="128"/>
      <c r="CK3392" s="128"/>
      <c r="CL3392" s="128"/>
      <c r="CM3392" s="128"/>
      <c r="CN3392" s="128"/>
      <c r="CO3392" s="128"/>
      <c r="CP3392" s="128"/>
      <c r="CQ3392" s="128"/>
      <c r="CR3392" s="128"/>
      <c r="CS3392" s="128"/>
      <c r="CT3392" s="128"/>
      <c r="CU3392" s="128"/>
      <c r="CV3392" s="128"/>
      <c r="CW3392" s="128"/>
      <c r="CX3392" s="128"/>
      <c r="CY3392" s="128"/>
      <c r="CZ3392" s="165"/>
    </row>
    <row r="3393" spans="1:104">
      <c r="A3393" s="149"/>
      <c r="B3393" s="149"/>
      <c r="C3393" s="150"/>
      <c r="D3393" s="102"/>
      <c r="E3393" s="149"/>
      <c r="F3393" s="149"/>
      <c r="G3393" s="149"/>
      <c r="H3393" s="149"/>
      <c r="I3393" s="149"/>
      <c r="J3393" s="149"/>
      <c r="K3393" s="149"/>
      <c r="L3393" s="149"/>
      <c r="M3393" s="149"/>
      <c r="N3393" s="149"/>
      <c r="O3393" s="149"/>
      <c r="P3393" s="149"/>
      <c r="Q3393" s="149"/>
      <c r="R3393" s="149"/>
      <c r="S3393" s="149"/>
      <c r="T3393" s="149"/>
      <c r="U3393" s="149"/>
      <c r="V3393" s="149"/>
      <c r="W3393" s="149"/>
      <c r="X3393" s="149"/>
      <c r="Y3393" s="149"/>
      <c r="Z3393" s="149"/>
      <c r="AA3393" s="149"/>
      <c r="AB3393" s="149"/>
      <c r="AC3393" s="149"/>
      <c r="AD3393" s="149"/>
      <c r="AE3393" s="149"/>
      <c r="AF3393" s="149"/>
      <c r="AG3393" s="149"/>
      <c r="AH3393" s="149"/>
      <c r="AI3393" s="149"/>
      <c r="AJ3393" s="149"/>
      <c r="AK3393" s="149"/>
      <c r="AL3393" s="149"/>
      <c r="AM3393" s="149"/>
      <c r="AN3393" s="149"/>
      <c r="AO3393" s="128"/>
      <c r="AP3393" s="128"/>
      <c r="AQ3393" s="128"/>
      <c r="AR3393" s="128"/>
      <c r="AS3393" s="128"/>
      <c r="AT3393" s="128"/>
      <c r="AU3393" s="128"/>
      <c r="AV3393" s="128"/>
      <c r="AW3393" s="128"/>
      <c r="AX3393" s="128"/>
      <c r="AY3393" s="128"/>
      <c r="AZ3393" s="128"/>
      <c r="BA3393" s="128"/>
      <c r="BB3393" s="128"/>
      <c r="BC3393" s="128"/>
      <c r="BD3393" s="128"/>
      <c r="BE3393" s="128"/>
      <c r="BF3393" s="128"/>
      <c r="BG3393" s="128"/>
      <c r="BH3393" s="128"/>
      <c r="BI3393" s="128"/>
      <c r="BJ3393" s="128"/>
      <c r="BK3393" s="128"/>
      <c r="BL3393" s="128"/>
      <c r="BM3393" s="151"/>
      <c r="BN3393" s="128"/>
      <c r="BO3393" s="128"/>
      <c r="BP3393" s="128"/>
      <c r="BQ3393" s="128"/>
      <c r="BR3393" s="128"/>
      <c r="BS3393" s="128"/>
      <c r="BT3393" s="128"/>
      <c r="BU3393" s="128"/>
      <c r="BV3393" s="128"/>
      <c r="BW3393" s="128"/>
      <c r="BX3393" s="128"/>
      <c r="BY3393" s="128"/>
      <c r="BZ3393" s="128"/>
      <c r="CA3393" s="128"/>
      <c r="CB3393" s="128"/>
      <c r="CC3393" s="128"/>
      <c r="CD3393" s="128"/>
      <c r="CE3393" s="128"/>
      <c r="CF3393" s="128"/>
      <c r="CG3393" s="128"/>
      <c r="CI3393" s="128"/>
      <c r="CJ3393" s="128"/>
      <c r="CK3393" s="128"/>
      <c r="CL3393" s="128"/>
      <c r="CM3393" s="128"/>
      <c r="CN3393" s="128"/>
      <c r="CO3393" s="128"/>
      <c r="CP3393" s="128"/>
      <c r="CQ3393" s="128"/>
      <c r="CR3393" s="128"/>
      <c r="CS3393" s="128"/>
      <c r="CT3393" s="128"/>
      <c r="CU3393" s="128"/>
      <c r="CV3393" s="128"/>
      <c r="CW3393" s="128"/>
      <c r="CX3393" s="128"/>
      <c r="CY3393" s="128"/>
      <c r="CZ3393" s="165"/>
    </row>
    <row r="3394" spans="1:104">
      <c r="A3394" s="149"/>
      <c r="B3394" s="149"/>
      <c r="C3394" s="150"/>
      <c r="D3394" s="102"/>
      <c r="E3394" s="149"/>
      <c r="F3394" s="149"/>
      <c r="G3394" s="149"/>
      <c r="H3394" s="149"/>
      <c r="I3394" s="149"/>
      <c r="J3394" s="149"/>
      <c r="K3394" s="149"/>
      <c r="L3394" s="149"/>
      <c r="M3394" s="149"/>
      <c r="N3394" s="149"/>
      <c r="O3394" s="149"/>
      <c r="P3394" s="149"/>
      <c r="Q3394" s="149"/>
      <c r="R3394" s="149"/>
      <c r="S3394" s="149"/>
      <c r="T3394" s="149"/>
      <c r="U3394" s="149"/>
      <c r="V3394" s="149"/>
      <c r="W3394" s="149"/>
      <c r="X3394" s="149"/>
      <c r="Y3394" s="149"/>
      <c r="Z3394" s="149"/>
      <c r="AA3394" s="149"/>
      <c r="AB3394" s="149"/>
      <c r="AC3394" s="149"/>
      <c r="AD3394" s="149"/>
      <c r="AE3394" s="149"/>
      <c r="AF3394" s="149"/>
      <c r="AG3394" s="149"/>
      <c r="AH3394" s="149"/>
      <c r="AI3394" s="149"/>
      <c r="AJ3394" s="149"/>
      <c r="AK3394" s="149"/>
      <c r="AL3394" s="149"/>
      <c r="AM3394" s="149"/>
      <c r="AN3394" s="149"/>
      <c r="AO3394" s="128"/>
      <c r="AP3394" s="128"/>
      <c r="AQ3394" s="128"/>
      <c r="AR3394" s="128"/>
      <c r="AS3394" s="128"/>
      <c r="AT3394" s="128"/>
      <c r="AU3394" s="128"/>
      <c r="AV3394" s="128"/>
      <c r="AW3394" s="128"/>
      <c r="AX3394" s="128"/>
      <c r="AY3394" s="128"/>
      <c r="AZ3394" s="128"/>
      <c r="BA3394" s="128"/>
      <c r="BB3394" s="128"/>
      <c r="BC3394" s="128"/>
      <c r="BD3394" s="128"/>
      <c r="BE3394" s="128"/>
      <c r="BF3394" s="128"/>
      <c r="BG3394" s="128"/>
      <c r="BH3394" s="128"/>
      <c r="BI3394" s="128"/>
      <c r="BJ3394" s="128"/>
      <c r="BK3394" s="128"/>
      <c r="BL3394" s="128"/>
      <c r="BM3394" s="151"/>
      <c r="BN3394" s="128"/>
      <c r="BO3394" s="128"/>
      <c r="BP3394" s="128"/>
      <c r="BQ3394" s="128"/>
      <c r="BR3394" s="128"/>
      <c r="BS3394" s="128"/>
      <c r="BT3394" s="128"/>
      <c r="BU3394" s="128"/>
      <c r="BV3394" s="128"/>
      <c r="BW3394" s="128"/>
      <c r="BX3394" s="128"/>
      <c r="BY3394" s="128"/>
      <c r="BZ3394" s="128"/>
      <c r="CA3394" s="128"/>
      <c r="CB3394" s="128"/>
      <c r="CC3394" s="128"/>
      <c r="CD3394" s="128"/>
      <c r="CE3394" s="128"/>
      <c r="CF3394" s="128"/>
      <c r="CG3394" s="128"/>
      <c r="CI3394" s="128"/>
      <c r="CJ3394" s="128"/>
      <c r="CK3394" s="128"/>
      <c r="CL3394" s="128"/>
      <c r="CM3394" s="128"/>
      <c r="CN3394" s="128"/>
      <c r="CO3394" s="128"/>
      <c r="CP3394" s="128"/>
      <c r="CQ3394" s="128"/>
      <c r="CR3394" s="128"/>
      <c r="CS3394" s="128"/>
      <c r="CT3394" s="128"/>
      <c r="CU3394" s="128"/>
      <c r="CV3394" s="128"/>
      <c r="CW3394" s="128"/>
      <c r="CX3394" s="128"/>
      <c r="CY3394" s="128"/>
      <c r="CZ3394" s="165"/>
    </row>
    <row r="3395" spans="1:104">
      <c r="A3395" s="149"/>
      <c r="B3395" s="149"/>
      <c r="C3395" s="150"/>
      <c r="D3395" s="102"/>
      <c r="E3395" s="149"/>
      <c r="F3395" s="149"/>
      <c r="G3395" s="149"/>
      <c r="H3395" s="149"/>
      <c r="I3395" s="149"/>
      <c r="J3395" s="149"/>
      <c r="K3395" s="149"/>
      <c r="L3395" s="149"/>
      <c r="M3395" s="149"/>
      <c r="N3395" s="149"/>
      <c r="O3395" s="149"/>
      <c r="P3395" s="149"/>
      <c r="Q3395" s="149"/>
      <c r="R3395" s="149"/>
      <c r="S3395" s="149"/>
      <c r="T3395" s="149"/>
      <c r="U3395" s="149"/>
      <c r="V3395" s="149"/>
      <c r="W3395" s="149"/>
      <c r="X3395" s="149"/>
      <c r="Y3395" s="149"/>
      <c r="Z3395" s="149"/>
      <c r="AA3395" s="149"/>
      <c r="AB3395" s="149"/>
      <c r="AC3395" s="149"/>
      <c r="AD3395" s="149"/>
      <c r="AE3395" s="149"/>
      <c r="AF3395" s="149"/>
      <c r="AG3395" s="149"/>
      <c r="AH3395" s="149"/>
      <c r="AI3395" s="149"/>
      <c r="AJ3395" s="149"/>
      <c r="AK3395" s="149"/>
      <c r="AL3395" s="149"/>
      <c r="AM3395" s="149"/>
      <c r="AN3395" s="149"/>
      <c r="AO3395" s="128"/>
      <c r="AP3395" s="128"/>
      <c r="AQ3395" s="128"/>
      <c r="AR3395" s="128"/>
      <c r="AS3395" s="128"/>
      <c r="AT3395" s="128"/>
      <c r="AU3395" s="128"/>
      <c r="AV3395" s="128"/>
      <c r="AW3395" s="128"/>
      <c r="AX3395" s="128"/>
      <c r="AY3395" s="128"/>
      <c r="AZ3395" s="128"/>
      <c r="BA3395" s="128"/>
      <c r="BB3395" s="128"/>
      <c r="BC3395" s="128"/>
      <c r="BD3395" s="128"/>
      <c r="BE3395" s="128"/>
      <c r="BF3395" s="128"/>
      <c r="BG3395" s="128"/>
      <c r="BH3395" s="128"/>
      <c r="BI3395" s="128"/>
      <c r="BJ3395" s="128"/>
      <c r="BK3395" s="128"/>
      <c r="BL3395" s="128"/>
      <c r="BM3395" s="151"/>
      <c r="BN3395" s="128"/>
      <c r="BO3395" s="128"/>
      <c r="BP3395" s="128"/>
      <c r="BQ3395" s="128"/>
      <c r="BR3395" s="128"/>
      <c r="BS3395" s="128"/>
      <c r="BT3395" s="128"/>
      <c r="BU3395" s="128"/>
      <c r="BV3395" s="128"/>
      <c r="BW3395" s="128"/>
      <c r="BX3395" s="128"/>
      <c r="BY3395" s="128"/>
      <c r="BZ3395" s="128"/>
      <c r="CA3395" s="128"/>
      <c r="CB3395" s="128"/>
      <c r="CC3395" s="128"/>
      <c r="CD3395" s="128"/>
      <c r="CE3395" s="128"/>
      <c r="CF3395" s="128"/>
      <c r="CG3395" s="128"/>
      <c r="CI3395" s="128"/>
      <c r="CJ3395" s="128"/>
      <c r="CK3395" s="128"/>
      <c r="CL3395" s="128"/>
      <c r="CM3395" s="128"/>
      <c r="CN3395" s="128"/>
      <c r="CO3395" s="128"/>
      <c r="CP3395" s="128"/>
      <c r="CQ3395" s="128"/>
      <c r="CR3395" s="128"/>
      <c r="CS3395" s="128"/>
      <c r="CT3395" s="128"/>
      <c r="CU3395" s="128"/>
      <c r="CV3395" s="128"/>
      <c r="CW3395" s="128"/>
      <c r="CX3395" s="128"/>
      <c r="CY3395" s="128"/>
      <c r="CZ3395" s="165"/>
    </row>
    <row r="3396" spans="1:104">
      <c r="A3396" s="149"/>
      <c r="B3396" s="149"/>
      <c r="C3396" s="150"/>
      <c r="D3396" s="102"/>
      <c r="E3396" s="149"/>
      <c r="F3396" s="149"/>
      <c r="G3396" s="149"/>
      <c r="H3396" s="149"/>
      <c r="I3396" s="149"/>
      <c r="J3396" s="149"/>
      <c r="K3396" s="149"/>
      <c r="L3396" s="149"/>
      <c r="M3396" s="149"/>
      <c r="N3396" s="149"/>
      <c r="O3396" s="149"/>
      <c r="P3396" s="149"/>
      <c r="Q3396" s="149"/>
      <c r="R3396" s="149"/>
      <c r="S3396" s="149"/>
      <c r="T3396" s="149"/>
      <c r="U3396" s="149"/>
      <c r="V3396" s="149"/>
      <c r="W3396" s="149"/>
      <c r="X3396" s="149"/>
      <c r="Y3396" s="149"/>
      <c r="Z3396" s="149"/>
      <c r="AA3396" s="149"/>
      <c r="AB3396" s="149"/>
      <c r="AC3396" s="149"/>
      <c r="AD3396" s="149"/>
      <c r="AE3396" s="149"/>
      <c r="AF3396" s="149"/>
      <c r="AG3396" s="149"/>
      <c r="AH3396" s="149"/>
      <c r="AI3396" s="149"/>
      <c r="AJ3396" s="149"/>
      <c r="AK3396" s="149"/>
      <c r="AL3396" s="149"/>
      <c r="AM3396" s="149"/>
      <c r="AN3396" s="149"/>
      <c r="AO3396" s="128"/>
      <c r="AP3396" s="128"/>
      <c r="AQ3396" s="128"/>
      <c r="AR3396" s="128"/>
      <c r="AS3396" s="128"/>
      <c r="AT3396" s="128"/>
      <c r="AU3396" s="128"/>
      <c r="AV3396" s="128"/>
      <c r="AW3396" s="128"/>
      <c r="AX3396" s="128"/>
      <c r="AY3396" s="128"/>
      <c r="AZ3396" s="128"/>
      <c r="BA3396" s="128"/>
      <c r="BB3396" s="128"/>
      <c r="BC3396" s="128"/>
      <c r="BD3396" s="128"/>
      <c r="BE3396" s="128"/>
      <c r="BF3396" s="128"/>
      <c r="BG3396" s="128"/>
      <c r="BH3396" s="128"/>
      <c r="BI3396" s="128"/>
      <c r="BJ3396" s="128"/>
      <c r="BK3396" s="128"/>
      <c r="BL3396" s="128"/>
      <c r="BM3396" s="151"/>
      <c r="BN3396" s="128"/>
      <c r="BO3396" s="128"/>
      <c r="BP3396" s="128"/>
      <c r="BQ3396" s="128"/>
      <c r="BR3396" s="128"/>
      <c r="BS3396" s="128"/>
      <c r="BT3396" s="128"/>
      <c r="BU3396" s="128"/>
      <c r="BV3396" s="128"/>
      <c r="BW3396" s="128"/>
      <c r="BX3396" s="128"/>
      <c r="BY3396" s="128"/>
      <c r="BZ3396" s="128"/>
      <c r="CA3396" s="128"/>
      <c r="CB3396" s="128"/>
      <c r="CC3396" s="128"/>
      <c r="CD3396" s="128"/>
      <c r="CE3396" s="128"/>
      <c r="CF3396" s="128"/>
      <c r="CG3396" s="128"/>
      <c r="CI3396" s="128"/>
      <c r="CJ3396" s="128"/>
      <c r="CK3396" s="128"/>
      <c r="CL3396" s="128"/>
      <c r="CM3396" s="128"/>
      <c r="CN3396" s="128"/>
      <c r="CO3396" s="128"/>
      <c r="CP3396" s="128"/>
      <c r="CQ3396" s="128"/>
      <c r="CR3396" s="128"/>
      <c r="CS3396" s="128"/>
      <c r="CT3396" s="128"/>
      <c r="CU3396" s="128"/>
      <c r="CV3396" s="128"/>
      <c r="CW3396" s="128"/>
      <c r="CX3396" s="128"/>
      <c r="CY3396" s="128"/>
      <c r="CZ3396" s="165"/>
    </row>
    <row r="3397" spans="1:104">
      <c r="A3397" s="149"/>
      <c r="B3397" s="149"/>
      <c r="C3397" s="150"/>
      <c r="D3397" s="102"/>
      <c r="E3397" s="149"/>
      <c r="F3397" s="149"/>
      <c r="G3397" s="149"/>
      <c r="H3397" s="149"/>
      <c r="I3397" s="149"/>
      <c r="J3397" s="149"/>
      <c r="K3397" s="149"/>
      <c r="L3397" s="149"/>
      <c r="M3397" s="149"/>
      <c r="N3397" s="149"/>
      <c r="O3397" s="149"/>
      <c r="P3397" s="149"/>
      <c r="Q3397" s="149"/>
      <c r="R3397" s="149"/>
      <c r="S3397" s="149"/>
      <c r="T3397" s="149"/>
      <c r="U3397" s="149"/>
      <c r="V3397" s="149"/>
      <c r="W3397" s="149"/>
      <c r="X3397" s="149"/>
      <c r="Y3397" s="149"/>
      <c r="Z3397" s="149"/>
      <c r="AA3397" s="149"/>
      <c r="AB3397" s="149"/>
      <c r="AC3397" s="149"/>
      <c r="AD3397" s="149"/>
      <c r="AE3397" s="149"/>
      <c r="AF3397" s="149"/>
      <c r="AG3397" s="149"/>
      <c r="AH3397" s="149"/>
      <c r="AI3397" s="149"/>
      <c r="AJ3397" s="149"/>
      <c r="AK3397" s="149"/>
      <c r="AL3397" s="149"/>
      <c r="AM3397" s="149"/>
      <c r="AN3397" s="149"/>
      <c r="AO3397" s="128"/>
      <c r="AP3397" s="128"/>
      <c r="AQ3397" s="128"/>
      <c r="AR3397" s="128"/>
      <c r="AS3397" s="128"/>
      <c r="AT3397" s="128"/>
      <c r="AU3397" s="128"/>
      <c r="AV3397" s="128"/>
      <c r="AW3397" s="128"/>
      <c r="AX3397" s="128"/>
      <c r="AY3397" s="128"/>
      <c r="AZ3397" s="128"/>
      <c r="BA3397" s="128"/>
      <c r="BB3397" s="128"/>
      <c r="BC3397" s="128"/>
      <c r="BD3397" s="128"/>
      <c r="BE3397" s="128"/>
      <c r="BF3397" s="128"/>
      <c r="BG3397" s="128"/>
      <c r="BH3397" s="128"/>
      <c r="BI3397" s="128"/>
      <c r="BJ3397" s="128"/>
      <c r="BK3397" s="128"/>
      <c r="BL3397" s="128"/>
      <c r="BM3397" s="151"/>
      <c r="BN3397" s="128"/>
      <c r="BO3397" s="128"/>
      <c r="BP3397" s="128"/>
      <c r="BQ3397" s="128"/>
      <c r="BR3397" s="128"/>
      <c r="BS3397" s="128"/>
      <c r="BT3397" s="128"/>
      <c r="BU3397" s="128"/>
      <c r="BV3397" s="128"/>
      <c r="BW3397" s="128"/>
      <c r="BX3397" s="128"/>
      <c r="BY3397" s="128"/>
      <c r="BZ3397" s="128"/>
      <c r="CA3397" s="128"/>
      <c r="CB3397" s="128"/>
      <c r="CC3397" s="128"/>
      <c r="CD3397" s="128"/>
      <c r="CE3397" s="128"/>
      <c r="CF3397" s="128"/>
      <c r="CG3397" s="128"/>
      <c r="CI3397" s="128"/>
      <c r="CJ3397" s="128"/>
      <c r="CK3397" s="128"/>
      <c r="CL3397" s="128"/>
      <c r="CM3397" s="128"/>
      <c r="CN3397" s="128"/>
      <c r="CO3397" s="128"/>
      <c r="CP3397" s="128"/>
      <c r="CQ3397" s="128"/>
      <c r="CR3397" s="128"/>
      <c r="CS3397" s="128"/>
      <c r="CT3397" s="128"/>
      <c r="CU3397" s="128"/>
      <c r="CV3397" s="128"/>
      <c r="CW3397" s="128"/>
      <c r="CX3397" s="128"/>
      <c r="CY3397" s="128"/>
      <c r="CZ3397" s="165"/>
    </row>
    <row r="3398" spans="1:104">
      <c r="A3398" s="149"/>
      <c r="B3398" s="149"/>
      <c r="C3398" s="150"/>
      <c r="D3398" s="102"/>
      <c r="E3398" s="149"/>
      <c r="F3398" s="149"/>
      <c r="G3398" s="149"/>
      <c r="H3398" s="149"/>
      <c r="I3398" s="149"/>
      <c r="J3398" s="149"/>
      <c r="K3398" s="149"/>
      <c r="L3398" s="149"/>
      <c r="M3398" s="149"/>
      <c r="N3398" s="149"/>
      <c r="O3398" s="149"/>
      <c r="P3398" s="149"/>
      <c r="Q3398" s="149"/>
      <c r="R3398" s="149"/>
      <c r="S3398" s="149"/>
      <c r="T3398" s="149"/>
      <c r="U3398" s="149"/>
      <c r="V3398" s="149"/>
      <c r="W3398" s="149"/>
      <c r="X3398" s="149"/>
      <c r="Y3398" s="149"/>
      <c r="Z3398" s="149"/>
      <c r="AA3398" s="149"/>
      <c r="AB3398" s="149"/>
      <c r="AC3398" s="149"/>
      <c r="AD3398" s="149"/>
      <c r="AE3398" s="149"/>
      <c r="AF3398" s="149"/>
      <c r="AG3398" s="149"/>
      <c r="AH3398" s="149"/>
      <c r="AI3398" s="149"/>
      <c r="AJ3398" s="149"/>
      <c r="AK3398" s="149"/>
      <c r="AL3398" s="149"/>
      <c r="AM3398" s="149"/>
      <c r="AN3398" s="149"/>
      <c r="AO3398" s="128"/>
      <c r="AP3398" s="128"/>
      <c r="AQ3398" s="128"/>
      <c r="AR3398" s="128"/>
      <c r="AS3398" s="128"/>
      <c r="AT3398" s="128"/>
      <c r="AU3398" s="128"/>
      <c r="AV3398" s="128"/>
      <c r="AW3398" s="128"/>
      <c r="AX3398" s="128"/>
      <c r="AY3398" s="128"/>
      <c r="AZ3398" s="128"/>
      <c r="BA3398" s="128"/>
      <c r="BB3398" s="128"/>
      <c r="BC3398" s="128"/>
      <c r="BD3398" s="128"/>
      <c r="BE3398" s="128"/>
      <c r="BF3398" s="128"/>
      <c r="BG3398" s="128"/>
      <c r="BH3398" s="128"/>
      <c r="BI3398" s="128"/>
      <c r="BJ3398" s="128"/>
      <c r="BK3398" s="128"/>
      <c r="BL3398" s="128"/>
      <c r="BM3398" s="151"/>
      <c r="BN3398" s="128"/>
      <c r="BO3398" s="128"/>
      <c r="BP3398" s="128"/>
      <c r="BQ3398" s="128"/>
      <c r="BR3398" s="128"/>
      <c r="BS3398" s="128"/>
      <c r="BT3398" s="128"/>
      <c r="BU3398" s="128"/>
      <c r="BV3398" s="128"/>
      <c r="BW3398" s="128"/>
      <c r="BX3398" s="128"/>
      <c r="BY3398" s="128"/>
      <c r="BZ3398" s="128"/>
      <c r="CA3398" s="128"/>
      <c r="CB3398" s="128"/>
      <c r="CC3398" s="128"/>
      <c r="CD3398" s="128"/>
      <c r="CE3398" s="128"/>
      <c r="CF3398" s="128"/>
      <c r="CG3398" s="128"/>
      <c r="CI3398" s="128"/>
      <c r="CJ3398" s="128"/>
      <c r="CK3398" s="128"/>
      <c r="CL3398" s="128"/>
      <c r="CM3398" s="128"/>
      <c r="CN3398" s="128"/>
      <c r="CO3398" s="128"/>
      <c r="CP3398" s="128"/>
      <c r="CQ3398" s="128"/>
      <c r="CR3398" s="128"/>
      <c r="CS3398" s="128"/>
      <c r="CT3398" s="128"/>
      <c r="CU3398" s="128"/>
      <c r="CV3398" s="128"/>
      <c r="CW3398" s="128"/>
      <c r="CX3398" s="128"/>
      <c r="CY3398" s="128"/>
      <c r="CZ3398" s="165"/>
    </row>
    <row r="3399" spans="1:104">
      <c r="A3399" s="149"/>
      <c r="B3399" s="149"/>
      <c r="C3399" s="150"/>
      <c r="D3399" s="102"/>
      <c r="E3399" s="149"/>
      <c r="F3399" s="149"/>
      <c r="G3399" s="149"/>
      <c r="H3399" s="149"/>
      <c r="I3399" s="149"/>
      <c r="J3399" s="149"/>
      <c r="K3399" s="149"/>
      <c r="L3399" s="149"/>
      <c r="M3399" s="149"/>
      <c r="N3399" s="149"/>
      <c r="O3399" s="149"/>
      <c r="P3399" s="149"/>
      <c r="Q3399" s="149"/>
      <c r="R3399" s="149"/>
      <c r="S3399" s="149"/>
      <c r="T3399" s="149"/>
      <c r="U3399" s="149"/>
      <c r="V3399" s="149"/>
      <c r="W3399" s="149"/>
      <c r="X3399" s="149"/>
      <c r="Y3399" s="149"/>
      <c r="Z3399" s="149"/>
      <c r="AA3399" s="149"/>
      <c r="AB3399" s="149"/>
      <c r="AC3399" s="149"/>
      <c r="AD3399" s="149"/>
      <c r="AE3399" s="149"/>
      <c r="AF3399" s="149"/>
      <c r="AG3399" s="149"/>
      <c r="AH3399" s="149"/>
      <c r="AI3399" s="149"/>
      <c r="AJ3399" s="149"/>
      <c r="AK3399" s="149"/>
      <c r="AL3399" s="149"/>
      <c r="AM3399" s="149"/>
      <c r="AN3399" s="149"/>
      <c r="AO3399" s="128"/>
      <c r="AP3399" s="128"/>
      <c r="AQ3399" s="128"/>
      <c r="AR3399" s="128"/>
      <c r="AS3399" s="128"/>
      <c r="AT3399" s="128"/>
      <c r="AU3399" s="128"/>
      <c r="AV3399" s="128"/>
      <c r="AW3399" s="128"/>
      <c r="AX3399" s="128"/>
      <c r="AY3399" s="128"/>
      <c r="AZ3399" s="128"/>
      <c r="BA3399" s="128"/>
      <c r="BB3399" s="128"/>
      <c r="BC3399" s="128"/>
      <c r="BD3399" s="128"/>
      <c r="BE3399" s="128"/>
      <c r="BF3399" s="128"/>
      <c r="BG3399" s="128"/>
      <c r="BH3399" s="128"/>
      <c r="BI3399" s="128"/>
      <c r="BJ3399" s="128"/>
      <c r="BK3399" s="128"/>
      <c r="BL3399" s="128"/>
      <c r="BM3399" s="151"/>
      <c r="BN3399" s="128"/>
      <c r="BO3399" s="128"/>
      <c r="BP3399" s="128"/>
      <c r="BQ3399" s="128"/>
      <c r="BR3399" s="128"/>
      <c r="BS3399" s="128"/>
      <c r="BT3399" s="128"/>
      <c r="BU3399" s="128"/>
      <c r="BV3399" s="128"/>
      <c r="BW3399" s="128"/>
      <c r="BX3399" s="128"/>
      <c r="BY3399" s="128"/>
      <c r="BZ3399" s="128"/>
      <c r="CA3399" s="128"/>
      <c r="CB3399" s="128"/>
      <c r="CC3399" s="128"/>
      <c r="CD3399" s="128"/>
      <c r="CE3399" s="128"/>
      <c r="CF3399" s="128"/>
      <c r="CG3399" s="128"/>
      <c r="CI3399" s="128"/>
      <c r="CJ3399" s="128"/>
      <c r="CK3399" s="128"/>
      <c r="CL3399" s="128"/>
      <c r="CM3399" s="128"/>
      <c r="CN3399" s="128"/>
      <c r="CO3399" s="128"/>
      <c r="CP3399" s="128"/>
      <c r="CQ3399" s="128"/>
      <c r="CR3399" s="128"/>
      <c r="CS3399" s="128"/>
      <c r="CT3399" s="128"/>
      <c r="CU3399" s="128"/>
      <c r="CV3399" s="128"/>
      <c r="CW3399" s="128"/>
      <c r="CX3399" s="128"/>
      <c r="CY3399" s="128"/>
      <c r="CZ3399" s="165"/>
    </row>
    <row r="3400" spans="1:104">
      <c r="A3400" s="149"/>
      <c r="B3400" s="149"/>
      <c r="C3400" s="150"/>
      <c r="D3400" s="102"/>
      <c r="E3400" s="149"/>
      <c r="F3400" s="149"/>
      <c r="G3400" s="149"/>
      <c r="H3400" s="149"/>
      <c r="I3400" s="149"/>
      <c r="J3400" s="149"/>
      <c r="K3400" s="149"/>
      <c r="L3400" s="149"/>
      <c r="M3400" s="149"/>
      <c r="N3400" s="149"/>
      <c r="O3400" s="149"/>
      <c r="P3400" s="149"/>
      <c r="Q3400" s="149"/>
      <c r="R3400" s="149"/>
      <c r="S3400" s="149"/>
      <c r="T3400" s="149"/>
      <c r="U3400" s="149"/>
      <c r="V3400" s="149"/>
      <c r="W3400" s="149"/>
      <c r="X3400" s="149"/>
      <c r="Y3400" s="149"/>
      <c r="Z3400" s="149"/>
      <c r="AA3400" s="149"/>
      <c r="AB3400" s="149"/>
      <c r="AC3400" s="149"/>
      <c r="AD3400" s="149"/>
      <c r="AE3400" s="149"/>
      <c r="AF3400" s="149"/>
      <c r="AG3400" s="149"/>
      <c r="AH3400" s="149"/>
      <c r="AI3400" s="149"/>
      <c r="AJ3400" s="149"/>
      <c r="AK3400" s="149"/>
      <c r="AL3400" s="149"/>
      <c r="AM3400" s="149"/>
      <c r="AN3400" s="149"/>
      <c r="AO3400" s="128"/>
      <c r="AP3400" s="128"/>
      <c r="AQ3400" s="128"/>
      <c r="AR3400" s="128"/>
      <c r="AS3400" s="128"/>
      <c r="AT3400" s="128"/>
      <c r="AU3400" s="128"/>
      <c r="AV3400" s="128"/>
      <c r="AW3400" s="128"/>
      <c r="AX3400" s="128"/>
      <c r="AY3400" s="128"/>
      <c r="AZ3400" s="128"/>
      <c r="BA3400" s="128"/>
      <c r="BB3400" s="128"/>
      <c r="BC3400" s="128"/>
      <c r="BD3400" s="128"/>
      <c r="BE3400" s="128"/>
      <c r="BF3400" s="128"/>
      <c r="BG3400" s="128"/>
      <c r="BH3400" s="128"/>
      <c r="BI3400" s="128"/>
      <c r="BJ3400" s="128"/>
      <c r="BK3400" s="128"/>
      <c r="BL3400" s="128"/>
      <c r="BM3400" s="151"/>
      <c r="BN3400" s="128"/>
      <c r="BO3400" s="128"/>
      <c r="BP3400" s="128"/>
      <c r="BQ3400" s="128"/>
      <c r="BR3400" s="128"/>
      <c r="BS3400" s="128"/>
      <c r="BT3400" s="128"/>
      <c r="BU3400" s="128"/>
      <c r="BV3400" s="128"/>
      <c r="BW3400" s="128"/>
      <c r="BX3400" s="128"/>
      <c r="BY3400" s="128"/>
      <c r="BZ3400" s="128"/>
      <c r="CA3400" s="128"/>
      <c r="CB3400" s="128"/>
      <c r="CC3400" s="128"/>
      <c r="CD3400" s="128"/>
      <c r="CE3400" s="128"/>
      <c r="CF3400" s="128"/>
      <c r="CG3400" s="128"/>
      <c r="CI3400" s="128"/>
      <c r="CJ3400" s="128"/>
      <c r="CK3400" s="128"/>
      <c r="CL3400" s="128"/>
      <c r="CM3400" s="128"/>
      <c r="CN3400" s="128"/>
      <c r="CO3400" s="128"/>
      <c r="CP3400" s="128"/>
      <c r="CQ3400" s="128"/>
      <c r="CR3400" s="128"/>
      <c r="CS3400" s="128"/>
      <c r="CT3400" s="128"/>
      <c r="CU3400" s="128"/>
      <c r="CV3400" s="128"/>
      <c r="CW3400" s="128"/>
      <c r="CX3400" s="128"/>
      <c r="CY3400" s="128"/>
      <c r="CZ3400" s="165"/>
    </row>
    <row r="3401" spans="1:104">
      <c r="A3401" s="149"/>
      <c r="B3401" s="149"/>
      <c r="C3401" s="150"/>
      <c r="D3401" s="102"/>
      <c r="E3401" s="149"/>
      <c r="F3401" s="149"/>
      <c r="G3401" s="149"/>
      <c r="H3401" s="149"/>
      <c r="I3401" s="149"/>
      <c r="J3401" s="149"/>
      <c r="K3401" s="149"/>
      <c r="L3401" s="149"/>
      <c r="M3401" s="149"/>
      <c r="N3401" s="149"/>
      <c r="O3401" s="149"/>
      <c r="P3401" s="149"/>
      <c r="Q3401" s="149"/>
      <c r="R3401" s="149"/>
      <c r="S3401" s="149"/>
      <c r="T3401" s="149"/>
      <c r="U3401" s="149"/>
      <c r="V3401" s="149"/>
      <c r="W3401" s="149"/>
      <c r="X3401" s="149"/>
      <c r="Y3401" s="149"/>
      <c r="Z3401" s="149"/>
      <c r="AA3401" s="149"/>
      <c r="AB3401" s="149"/>
      <c r="AC3401" s="149"/>
      <c r="AD3401" s="149"/>
      <c r="AE3401" s="149"/>
      <c r="AF3401" s="149"/>
      <c r="AG3401" s="149"/>
      <c r="AH3401" s="149"/>
      <c r="AI3401" s="149"/>
      <c r="AJ3401" s="149"/>
      <c r="AK3401" s="149"/>
      <c r="AL3401" s="149"/>
      <c r="AM3401" s="149"/>
      <c r="AN3401" s="149"/>
      <c r="AO3401" s="128"/>
      <c r="AP3401" s="128"/>
      <c r="AQ3401" s="128"/>
      <c r="AR3401" s="128"/>
      <c r="AS3401" s="128"/>
      <c r="AT3401" s="128"/>
      <c r="AU3401" s="128"/>
      <c r="AV3401" s="128"/>
      <c r="AW3401" s="128"/>
      <c r="AX3401" s="128"/>
      <c r="AY3401" s="128"/>
      <c r="AZ3401" s="128"/>
      <c r="BA3401" s="128"/>
      <c r="BB3401" s="128"/>
      <c r="BC3401" s="128"/>
      <c r="BD3401" s="128"/>
      <c r="BE3401" s="128"/>
      <c r="BF3401" s="128"/>
      <c r="BG3401" s="128"/>
      <c r="BH3401" s="128"/>
      <c r="BI3401" s="128"/>
      <c r="BJ3401" s="128"/>
      <c r="BK3401" s="128"/>
      <c r="BL3401" s="128"/>
      <c r="BM3401" s="151"/>
      <c r="BN3401" s="128"/>
      <c r="BO3401" s="128"/>
      <c r="BP3401" s="128"/>
      <c r="BQ3401" s="128"/>
      <c r="BR3401" s="128"/>
      <c r="BS3401" s="128"/>
      <c r="BT3401" s="128"/>
      <c r="BU3401" s="128"/>
      <c r="BV3401" s="128"/>
      <c r="BW3401" s="128"/>
      <c r="BX3401" s="128"/>
      <c r="BY3401" s="128"/>
      <c r="BZ3401" s="128"/>
      <c r="CA3401" s="128"/>
      <c r="CB3401" s="128"/>
      <c r="CC3401" s="128"/>
      <c r="CD3401" s="128"/>
      <c r="CE3401" s="128"/>
      <c r="CF3401" s="128"/>
      <c r="CG3401" s="128"/>
      <c r="CI3401" s="128"/>
      <c r="CJ3401" s="128"/>
      <c r="CK3401" s="128"/>
      <c r="CL3401" s="128"/>
      <c r="CM3401" s="128"/>
      <c r="CN3401" s="128"/>
      <c r="CO3401" s="128"/>
      <c r="CP3401" s="128"/>
      <c r="CQ3401" s="128"/>
      <c r="CR3401" s="128"/>
      <c r="CS3401" s="128"/>
      <c r="CT3401" s="128"/>
      <c r="CU3401" s="128"/>
      <c r="CV3401" s="128"/>
      <c r="CW3401" s="128"/>
      <c r="CX3401" s="128"/>
      <c r="CY3401" s="128"/>
      <c r="CZ3401" s="165"/>
    </row>
    <row r="3402" spans="1:104">
      <c r="A3402" s="149"/>
      <c r="B3402" s="149"/>
      <c r="C3402" s="150"/>
      <c r="D3402" s="102"/>
      <c r="E3402" s="149"/>
      <c r="F3402" s="149"/>
      <c r="G3402" s="149"/>
      <c r="H3402" s="149"/>
      <c r="I3402" s="149"/>
      <c r="J3402" s="149"/>
      <c r="K3402" s="149"/>
      <c r="L3402" s="149"/>
      <c r="M3402" s="149"/>
      <c r="N3402" s="149"/>
      <c r="O3402" s="149"/>
      <c r="P3402" s="149"/>
      <c r="Q3402" s="149"/>
      <c r="R3402" s="149"/>
      <c r="S3402" s="149"/>
      <c r="T3402" s="149"/>
      <c r="U3402" s="149"/>
      <c r="V3402" s="149"/>
      <c r="W3402" s="149"/>
      <c r="X3402" s="149"/>
      <c r="Y3402" s="149"/>
      <c r="Z3402" s="149"/>
      <c r="AA3402" s="149"/>
      <c r="AB3402" s="149"/>
      <c r="AC3402" s="149"/>
      <c r="AD3402" s="149"/>
      <c r="AE3402" s="149"/>
      <c r="AF3402" s="149"/>
      <c r="AG3402" s="149"/>
      <c r="AH3402" s="149"/>
      <c r="AI3402" s="149"/>
      <c r="AJ3402" s="149"/>
      <c r="AK3402" s="149"/>
      <c r="AL3402" s="149"/>
      <c r="AM3402" s="149"/>
      <c r="AN3402" s="149"/>
      <c r="AO3402" s="128"/>
      <c r="AP3402" s="128"/>
      <c r="AQ3402" s="128"/>
      <c r="AR3402" s="128"/>
      <c r="AS3402" s="128"/>
      <c r="AT3402" s="128"/>
      <c r="AU3402" s="128"/>
      <c r="AV3402" s="128"/>
      <c r="AW3402" s="128"/>
      <c r="AX3402" s="128"/>
      <c r="AY3402" s="128"/>
      <c r="AZ3402" s="128"/>
      <c r="BA3402" s="128"/>
      <c r="BB3402" s="128"/>
      <c r="BC3402" s="128"/>
      <c r="BD3402" s="128"/>
      <c r="BE3402" s="128"/>
      <c r="BF3402" s="128"/>
      <c r="BG3402" s="128"/>
      <c r="BH3402" s="128"/>
      <c r="BI3402" s="128"/>
      <c r="BJ3402" s="128"/>
      <c r="BK3402" s="128"/>
      <c r="BL3402" s="128"/>
      <c r="BM3402" s="151"/>
      <c r="BN3402" s="128"/>
      <c r="BO3402" s="128"/>
      <c r="BP3402" s="128"/>
      <c r="BQ3402" s="128"/>
      <c r="BR3402" s="128"/>
      <c r="BS3402" s="128"/>
      <c r="BT3402" s="128"/>
      <c r="BU3402" s="128"/>
      <c r="BV3402" s="128"/>
      <c r="BW3402" s="128"/>
      <c r="BX3402" s="128"/>
      <c r="BY3402" s="128"/>
      <c r="BZ3402" s="128"/>
      <c r="CA3402" s="128"/>
      <c r="CB3402" s="128"/>
      <c r="CC3402" s="128"/>
      <c r="CD3402" s="128"/>
      <c r="CE3402" s="128"/>
      <c r="CF3402" s="128"/>
      <c r="CG3402" s="128"/>
      <c r="CI3402" s="128"/>
      <c r="CJ3402" s="128"/>
      <c r="CK3402" s="128"/>
      <c r="CL3402" s="128"/>
      <c r="CM3402" s="128"/>
      <c r="CN3402" s="128"/>
      <c r="CO3402" s="128"/>
      <c r="CP3402" s="128"/>
      <c r="CQ3402" s="128"/>
      <c r="CR3402" s="128"/>
      <c r="CS3402" s="128"/>
      <c r="CT3402" s="128"/>
      <c r="CU3402" s="128"/>
      <c r="CV3402" s="128"/>
      <c r="CW3402" s="128"/>
      <c r="CX3402" s="128"/>
      <c r="CY3402" s="128"/>
      <c r="CZ3402" s="165"/>
    </row>
    <row r="3403" spans="1:104">
      <c r="A3403" s="149"/>
      <c r="B3403" s="149"/>
      <c r="C3403" s="150"/>
      <c r="D3403" s="102"/>
      <c r="E3403" s="149"/>
      <c r="F3403" s="149"/>
      <c r="G3403" s="149"/>
      <c r="H3403" s="149"/>
      <c r="I3403" s="149"/>
      <c r="J3403" s="149"/>
      <c r="K3403" s="149"/>
      <c r="L3403" s="149"/>
      <c r="M3403" s="149"/>
      <c r="N3403" s="149"/>
      <c r="O3403" s="149"/>
      <c r="P3403" s="149"/>
      <c r="Q3403" s="149"/>
      <c r="R3403" s="149"/>
      <c r="S3403" s="149"/>
      <c r="T3403" s="149"/>
      <c r="U3403" s="149"/>
      <c r="V3403" s="149"/>
      <c r="W3403" s="149"/>
      <c r="X3403" s="149"/>
      <c r="Y3403" s="149"/>
      <c r="Z3403" s="149"/>
      <c r="AA3403" s="149"/>
      <c r="AB3403" s="149"/>
      <c r="AC3403" s="149"/>
      <c r="AD3403" s="149"/>
      <c r="AE3403" s="149"/>
      <c r="AF3403" s="149"/>
      <c r="AG3403" s="149"/>
      <c r="AH3403" s="149"/>
      <c r="AI3403" s="149"/>
      <c r="AJ3403" s="149"/>
      <c r="AK3403" s="149"/>
      <c r="AL3403" s="149"/>
      <c r="AM3403" s="149"/>
      <c r="AN3403" s="149"/>
      <c r="AO3403" s="128"/>
      <c r="AP3403" s="128"/>
      <c r="AQ3403" s="128"/>
      <c r="AR3403" s="128"/>
      <c r="AS3403" s="128"/>
      <c r="AT3403" s="128"/>
      <c r="AU3403" s="128"/>
      <c r="AV3403" s="128"/>
      <c r="AW3403" s="128"/>
      <c r="AX3403" s="128"/>
      <c r="AY3403" s="128"/>
      <c r="AZ3403" s="128"/>
      <c r="BA3403" s="128"/>
      <c r="BB3403" s="128"/>
      <c r="BC3403" s="128"/>
      <c r="BD3403" s="128"/>
      <c r="BE3403" s="128"/>
      <c r="BF3403" s="128"/>
      <c r="BG3403" s="128"/>
      <c r="BH3403" s="128"/>
      <c r="BI3403" s="128"/>
      <c r="BJ3403" s="128"/>
      <c r="BK3403" s="128"/>
      <c r="BL3403" s="128"/>
      <c r="BM3403" s="151"/>
      <c r="BN3403" s="128"/>
      <c r="BO3403" s="128"/>
      <c r="BP3403" s="128"/>
      <c r="BQ3403" s="128"/>
      <c r="BR3403" s="128"/>
      <c r="BS3403" s="128"/>
      <c r="BT3403" s="128"/>
      <c r="BU3403" s="128"/>
      <c r="BV3403" s="128"/>
      <c r="BW3403" s="128"/>
      <c r="BX3403" s="128"/>
      <c r="BY3403" s="128"/>
      <c r="BZ3403" s="128"/>
      <c r="CA3403" s="128"/>
      <c r="CB3403" s="128"/>
      <c r="CC3403" s="128"/>
      <c r="CD3403" s="128"/>
      <c r="CE3403" s="128"/>
      <c r="CF3403" s="128"/>
      <c r="CG3403" s="128"/>
      <c r="CI3403" s="128"/>
      <c r="CJ3403" s="128"/>
      <c r="CK3403" s="128"/>
      <c r="CL3403" s="128"/>
      <c r="CM3403" s="128"/>
      <c r="CN3403" s="128"/>
      <c r="CO3403" s="128"/>
      <c r="CP3403" s="128"/>
      <c r="CQ3403" s="128"/>
      <c r="CR3403" s="128"/>
      <c r="CS3403" s="128"/>
      <c r="CT3403" s="128"/>
      <c r="CU3403" s="128"/>
      <c r="CV3403" s="128"/>
      <c r="CW3403" s="128"/>
      <c r="CX3403" s="128"/>
      <c r="CY3403" s="128"/>
      <c r="CZ3403" s="165"/>
    </row>
    <row r="3404" spans="1:104">
      <c r="A3404" s="149"/>
      <c r="B3404" s="149"/>
      <c r="C3404" s="150"/>
      <c r="D3404" s="102"/>
      <c r="E3404" s="149"/>
      <c r="F3404" s="149"/>
      <c r="G3404" s="149"/>
      <c r="H3404" s="149"/>
      <c r="I3404" s="149"/>
      <c r="J3404" s="149"/>
      <c r="K3404" s="149"/>
      <c r="L3404" s="149"/>
      <c r="M3404" s="149"/>
      <c r="N3404" s="149"/>
      <c r="O3404" s="149"/>
      <c r="P3404" s="149"/>
      <c r="Q3404" s="149"/>
      <c r="R3404" s="149"/>
      <c r="S3404" s="149"/>
      <c r="T3404" s="149"/>
      <c r="U3404" s="149"/>
      <c r="V3404" s="149"/>
      <c r="W3404" s="149"/>
      <c r="X3404" s="149"/>
      <c r="Y3404" s="149"/>
      <c r="Z3404" s="149"/>
      <c r="AA3404" s="149"/>
      <c r="AB3404" s="149"/>
      <c r="AC3404" s="149"/>
      <c r="AD3404" s="149"/>
      <c r="AE3404" s="149"/>
      <c r="AF3404" s="149"/>
      <c r="AG3404" s="149"/>
      <c r="AH3404" s="149"/>
      <c r="AI3404" s="149"/>
      <c r="AJ3404" s="149"/>
      <c r="AK3404" s="149"/>
      <c r="AL3404" s="149"/>
      <c r="AM3404" s="149"/>
      <c r="AN3404" s="149"/>
      <c r="AO3404" s="128"/>
      <c r="AP3404" s="128"/>
      <c r="AQ3404" s="128"/>
      <c r="AR3404" s="128"/>
      <c r="AS3404" s="128"/>
      <c r="AT3404" s="128"/>
      <c r="AU3404" s="128"/>
      <c r="AV3404" s="128"/>
      <c r="AW3404" s="128"/>
      <c r="AX3404" s="128"/>
      <c r="AY3404" s="128"/>
      <c r="AZ3404" s="128"/>
      <c r="BA3404" s="128"/>
      <c r="BB3404" s="128"/>
      <c r="BC3404" s="128"/>
      <c r="BD3404" s="128"/>
      <c r="BE3404" s="128"/>
      <c r="BF3404" s="128"/>
      <c r="BG3404" s="128"/>
      <c r="BH3404" s="128"/>
      <c r="BI3404" s="128"/>
      <c r="BJ3404" s="128"/>
      <c r="BK3404" s="128"/>
      <c r="BL3404" s="128"/>
      <c r="BM3404" s="151"/>
      <c r="BN3404" s="128"/>
      <c r="BO3404" s="128"/>
      <c r="BP3404" s="128"/>
      <c r="BQ3404" s="128"/>
      <c r="BR3404" s="128"/>
      <c r="BS3404" s="128"/>
      <c r="BT3404" s="128"/>
      <c r="BU3404" s="128"/>
      <c r="BV3404" s="128"/>
      <c r="BW3404" s="128"/>
      <c r="BX3404" s="128"/>
      <c r="BY3404" s="128"/>
      <c r="BZ3404" s="128"/>
      <c r="CA3404" s="128"/>
      <c r="CB3404" s="128"/>
      <c r="CC3404" s="128"/>
      <c r="CD3404" s="128"/>
      <c r="CE3404" s="128"/>
      <c r="CF3404" s="128"/>
      <c r="CG3404" s="128"/>
      <c r="CI3404" s="128"/>
      <c r="CJ3404" s="128"/>
      <c r="CK3404" s="128"/>
      <c r="CL3404" s="128"/>
      <c r="CM3404" s="128"/>
      <c r="CN3404" s="128"/>
      <c r="CO3404" s="128"/>
      <c r="CP3404" s="128"/>
      <c r="CQ3404" s="128"/>
      <c r="CR3404" s="128"/>
      <c r="CS3404" s="128"/>
      <c r="CT3404" s="128"/>
      <c r="CU3404" s="128"/>
      <c r="CV3404" s="128"/>
      <c r="CW3404" s="128"/>
      <c r="CX3404" s="128"/>
      <c r="CY3404" s="128"/>
      <c r="CZ3404" s="165"/>
    </row>
    <row r="3405" spans="1:104">
      <c r="A3405" s="149"/>
      <c r="B3405" s="149"/>
      <c r="C3405" s="150"/>
      <c r="D3405" s="102"/>
      <c r="E3405" s="149"/>
      <c r="F3405" s="149"/>
      <c r="G3405" s="149"/>
      <c r="H3405" s="149"/>
      <c r="I3405" s="149"/>
      <c r="J3405" s="149"/>
      <c r="K3405" s="149"/>
      <c r="L3405" s="149"/>
      <c r="M3405" s="149"/>
      <c r="N3405" s="149"/>
      <c r="O3405" s="149"/>
      <c r="P3405" s="149"/>
      <c r="Q3405" s="149"/>
      <c r="R3405" s="149"/>
      <c r="S3405" s="149"/>
      <c r="T3405" s="149"/>
      <c r="U3405" s="149"/>
      <c r="V3405" s="149"/>
      <c r="W3405" s="149"/>
      <c r="X3405" s="149"/>
      <c r="Y3405" s="149"/>
      <c r="Z3405" s="149"/>
      <c r="AA3405" s="149"/>
      <c r="AB3405" s="149"/>
      <c r="AC3405" s="149"/>
      <c r="AD3405" s="149"/>
      <c r="AE3405" s="149"/>
      <c r="AF3405" s="149"/>
      <c r="AG3405" s="149"/>
      <c r="AH3405" s="149"/>
      <c r="AI3405" s="149"/>
      <c r="AJ3405" s="149"/>
      <c r="AK3405" s="149"/>
      <c r="AL3405" s="149"/>
      <c r="AM3405" s="149"/>
      <c r="AN3405" s="149"/>
      <c r="AO3405" s="128"/>
      <c r="AP3405" s="128"/>
      <c r="AQ3405" s="128"/>
      <c r="AR3405" s="128"/>
      <c r="AS3405" s="128"/>
      <c r="AT3405" s="128"/>
      <c r="AU3405" s="128"/>
      <c r="AV3405" s="128"/>
      <c r="AW3405" s="128"/>
      <c r="AX3405" s="128"/>
      <c r="AY3405" s="128"/>
      <c r="AZ3405" s="128"/>
      <c r="BA3405" s="128"/>
      <c r="BB3405" s="128"/>
      <c r="BC3405" s="128"/>
      <c r="BD3405" s="128"/>
      <c r="BE3405" s="128"/>
      <c r="BF3405" s="128"/>
      <c r="BG3405" s="128"/>
      <c r="BH3405" s="128"/>
      <c r="BI3405" s="128"/>
      <c r="BJ3405" s="128"/>
      <c r="BK3405" s="128"/>
      <c r="BL3405" s="128"/>
      <c r="BM3405" s="151"/>
      <c r="BN3405" s="128"/>
      <c r="BO3405" s="128"/>
      <c r="BP3405" s="128"/>
      <c r="BQ3405" s="128"/>
      <c r="BR3405" s="128"/>
      <c r="BS3405" s="128"/>
      <c r="BT3405" s="128"/>
      <c r="BU3405" s="128"/>
      <c r="BV3405" s="128"/>
      <c r="BW3405" s="128"/>
      <c r="BX3405" s="128"/>
      <c r="BY3405" s="128"/>
      <c r="BZ3405" s="128"/>
      <c r="CA3405" s="128"/>
      <c r="CB3405" s="128"/>
      <c r="CC3405" s="128"/>
      <c r="CD3405" s="128"/>
      <c r="CE3405" s="128"/>
      <c r="CF3405" s="128"/>
      <c r="CG3405" s="128"/>
      <c r="CI3405" s="128"/>
      <c r="CJ3405" s="128"/>
      <c r="CK3405" s="128"/>
      <c r="CL3405" s="128"/>
      <c r="CM3405" s="128"/>
      <c r="CN3405" s="128"/>
      <c r="CO3405" s="128"/>
      <c r="CP3405" s="128"/>
      <c r="CQ3405" s="128"/>
      <c r="CR3405" s="128"/>
      <c r="CS3405" s="128"/>
      <c r="CT3405" s="128"/>
      <c r="CU3405" s="128"/>
      <c r="CV3405" s="128"/>
      <c r="CW3405" s="128"/>
      <c r="CX3405" s="128"/>
      <c r="CY3405" s="128"/>
      <c r="CZ3405" s="165"/>
    </row>
    <row r="3406" spans="1:104">
      <c r="A3406" s="149"/>
      <c r="B3406" s="149"/>
      <c r="C3406" s="150"/>
      <c r="D3406" s="102"/>
      <c r="E3406" s="149"/>
      <c r="F3406" s="149"/>
      <c r="G3406" s="149"/>
      <c r="H3406" s="149"/>
      <c r="I3406" s="149"/>
      <c r="J3406" s="149"/>
      <c r="K3406" s="149"/>
      <c r="L3406" s="149"/>
      <c r="M3406" s="149"/>
      <c r="N3406" s="149"/>
      <c r="O3406" s="149"/>
      <c r="P3406" s="149"/>
      <c r="Q3406" s="149"/>
      <c r="R3406" s="149"/>
      <c r="S3406" s="149"/>
      <c r="T3406" s="149"/>
      <c r="U3406" s="149"/>
      <c r="V3406" s="149"/>
      <c r="W3406" s="149"/>
      <c r="X3406" s="149"/>
      <c r="Y3406" s="149"/>
      <c r="Z3406" s="149"/>
      <c r="AA3406" s="149"/>
      <c r="AB3406" s="149"/>
      <c r="AC3406" s="149"/>
      <c r="AD3406" s="149"/>
      <c r="AE3406" s="149"/>
      <c r="AF3406" s="149"/>
      <c r="AG3406" s="149"/>
      <c r="AH3406" s="149"/>
      <c r="AI3406" s="149"/>
      <c r="AJ3406" s="149"/>
      <c r="AK3406" s="149"/>
      <c r="AL3406" s="149"/>
      <c r="AM3406" s="149"/>
      <c r="AN3406" s="149"/>
      <c r="AO3406" s="128"/>
      <c r="AP3406" s="128"/>
      <c r="AQ3406" s="128"/>
      <c r="AR3406" s="128"/>
      <c r="AS3406" s="128"/>
      <c r="AT3406" s="128"/>
      <c r="AU3406" s="128"/>
      <c r="AV3406" s="128"/>
      <c r="AW3406" s="128"/>
      <c r="AX3406" s="128"/>
      <c r="AY3406" s="128"/>
      <c r="AZ3406" s="128"/>
      <c r="BA3406" s="128"/>
      <c r="BB3406" s="128"/>
      <c r="BC3406" s="128"/>
      <c r="BD3406" s="128"/>
      <c r="BE3406" s="128"/>
      <c r="BF3406" s="128"/>
      <c r="BG3406" s="128"/>
      <c r="BH3406" s="128"/>
      <c r="BI3406" s="128"/>
      <c r="BJ3406" s="128"/>
      <c r="BK3406" s="128"/>
      <c r="BL3406" s="128"/>
      <c r="BM3406" s="151"/>
      <c r="BN3406" s="128"/>
      <c r="BO3406" s="128"/>
      <c r="BP3406" s="128"/>
      <c r="BQ3406" s="128"/>
      <c r="BR3406" s="128"/>
      <c r="BS3406" s="128"/>
      <c r="BT3406" s="128"/>
      <c r="BU3406" s="128"/>
      <c r="BV3406" s="128"/>
      <c r="BW3406" s="128"/>
      <c r="BX3406" s="128"/>
      <c r="BY3406" s="128"/>
      <c r="BZ3406" s="128"/>
      <c r="CA3406" s="128"/>
      <c r="CB3406" s="128"/>
      <c r="CC3406" s="128"/>
      <c r="CD3406" s="128"/>
      <c r="CE3406" s="128"/>
      <c r="CF3406" s="128"/>
      <c r="CG3406" s="128"/>
      <c r="CI3406" s="128"/>
      <c r="CJ3406" s="128"/>
      <c r="CK3406" s="128"/>
      <c r="CL3406" s="128"/>
      <c r="CM3406" s="128"/>
      <c r="CN3406" s="128"/>
      <c r="CO3406" s="128"/>
      <c r="CP3406" s="128"/>
      <c r="CQ3406" s="128"/>
      <c r="CR3406" s="128"/>
      <c r="CS3406" s="128"/>
      <c r="CT3406" s="128"/>
      <c r="CU3406" s="128"/>
      <c r="CV3406" s="128"/>
      <c r="CW3406" s="128"/>
      <c r="CX3406" s="128"/>
      <c r="CY3406" s="128"/>
      <c r="CZ3406" s="165"/>
    </row>
    <row r="3407" spans="1:104">
      <c r="A3407" s="149"/>
      <c r="B3407" s="149"/>
      <c r="C3407" s="150"/>
      <c r="D3407" s="102"/>
      <c r="E3407" s="149"/>
      <c r="F3407" s="149"/>
      <c r="G3407" s="149"/>
      <c r="H3407" s="149"/>
      <c r="I3407" s="149"/>
      <c r="J3407" s="149"/>
      <c r="K3407" s="149"/>
      <c r="L3407" s="149"/>
      <c r="M3407" s="149"/>
      <c r="N3407" s="149"/>
      <c r="O3407" s="149"/>
      <c r="P3407" s="149"/>
      <c r="Q3407" s="149"/>
      <c r="R3407" s="149"/>
      <c r="S3407" s="149"/>
      <c r="T3407" s="149"/>
      <c r="U3407" s="149"/>
      <c r="V3407" s="149"/>
      <c r="W3407" s="149"/>
      <c r="X3407" s="149"/>
      <c r="Y3407" s="149"/>
      <c r="Z3407" s="149"/>
      <c r="AA3407" s="149"/>
      <c r="AB3407" s="149"/>
      <c r="AC3407" s="149"/>
      <c r="AD3407" s="149"/>
      <c r="AE3407" s="149"/>
      <c r="AF3407" s="149"/>
      <c r="AG3407" s="149"/>
      <c r="AH3407" s="149"/>
      <c r="AI3407" s="149"/>
      <c r="AJ3407" s="149"/>
      <c r="AK3407" s="149"/>
      <c r="AL3407" s="149"/>
      <c r="AM3407" s="149"/>
      <c r="AN3407" s="149"/>
      <c r="AO3407" s="128"/>
      <c r="AP3407" s="128"/>
      <c r="AQ3407" s="128"/>
      <c r="AR3407" s="128"/>
      <c r="AS3407" s="128"/>
      <c r="AT3407" s="128"/>
      <c r="AU3407" s="128"/>
      <c r="AV3407" s="128"/>
      <c r="AW3407" s="128"/>
      <c r="AX3407" s="128"/>
      <c r="AY3407" s="128"/>
      <c r="AZ3407" s="128"/>
      <c r="BA3407" s="128"/>
      <c r="BB3407" s="128"/>
      <c r="BC3407" s="128"/>
      <c r="BD3407" s="128"/>
      <c r="BE3407" s="128"/>
      <c r="BF3407" s="128"/>
      <c r="BG3407" s="128"/>
      <c r="BH3407" s="128"/>
      <c r="BI3407" s="128"/>
      <c r="BJ3407" s="128"/>
      <c r="BK3407" s="128"/>
      <c r="BL3407" s="128"/>
      <c r="BM3407" s="151"/>
      <c r="BN3407" s="128"/>
      <c r="BO3407" s="128"/>
      <c r="BP3407" s="128"/>
      <c r="BQ3407" s="128"/>
      <c r="BR3407" s="128"/>
      <c r="BS3407" s="128"/>
      <c r="BT3407" s="128"/>
      <c r="BU3407" s="128"/>
      <c r="BV3407" s="128"/>
      <c r="BW3407" s="128"/>
      <c r="BX3407" s="128"/>
      <c r="BY3407" s="128"/>
      <c r="BZ3407" s="128"/>
      <c r="CA3407" s="128"/>
      <c r="CB3407" s="128"/>
      <c r="CC3407" s="128"/>
      <c r="CD3407" s="128"/>
      <c r="CE3407" s="128"/>
      <c r="CF3407" s="128"/>
      <c r="CG3407" s="128"/>
      <c r="CI3407" s="128"/>
      <c r="CJ3407" s="128"/>
      <c r="CK3407" s="128"/>
      <c r="CL3407" s="128"/>
      <c r="CM3407" s="128"/>
      <c r="CN3407" s="128"/>
      <c r="CO3407" s="128"/>
      <c r="CP3407" s="128"/>
      <c r="CQ3407" s="128"/>
      <c r="CR3407" s="128"/>
      <c r="CS3407" s="128"/>
      <c r="CT3407" s="128"/>
      <c r="CU3407" s="128"/>
      <c r="CV3407" s="128"/>
      <c r="CW3407" s="128"/>
      <c r="CX3407" s="128"/>
      <c r="CY3407" s="128"/>
      <c r="CZ3407" s="165"/>
    </row>
    <row r="3408" spans="1:104">
      <c r="A3408" s="149"/>
      <c r="B3408" s="149"/>
      <c r="C3408" s="150"/>
      <c r="D3408" s="102"/>
      <c r="E3408" s="149"/>
      <c r="F3408" s="149"/>
      <c r="G3408" s="149"/>
      <c r="H3408" s="149"/>
      <c r="I3408" s="149"/>
      <c r="J3408" s="149"/>
      <c r="K3408" s="149"/>
      <c r="L3408" s="149"/>
      <c r="M3408" s="149"/>
      <c r="N3408" s="149"/>
      <c r="O3408" s="149"/>
      <c r="P3408" s="149"/>
      <c r="Q3408" s="149"/>
      <c r="R3408" s="149"/>
      <c r="S3408" s="149"/>
      <c r="T3408" s="149"/>
      <c r="U3408" s="149"/>
      <c r="V3408" s="149"/>
      <c r="W3408" s="149"/>
      <c r="X3408" s="149"/>
      <c r="Y3408" s="149"/>
      <c r="Z3408" s="149"/>
      <c r="AA3408" s="149"/>
      <c r="AB3408" s="149"/>
      <c r="AC3408" s="149"/>
      <c r="AD3408" s="149"/>
      <c r="AE3408" s="149"/>
      <c r="AF3408" s="149"/>
      <c r="AG3408" s="149"/>
      <c r="AH3408" s="149"/>
      <c r="AI3408" s="149"/>
      <c r="AJ3408" s="149"/>
      <c r="AK3408" s="149"/>
      <c r="AL3408" s="149"/>
      <c r="AM3408" s="149"/>
      <c r="AN3408" s="149"/>
      <c r="AO3408" s="128"/>
      <c r="AP3408" s="128"/>
      <c r="AQ3408" s="128"/>
      <c r="AR3408" s="128"/>
      <c r="AS3408" s="128"/>
      <c r="AT3408" s="128"/>
      <c r="AU3408" s="128"/>
      <c r="AV3408" s="128"/>
      <c r="AW3408" s="128"/>
      <c r="AX3408" s="128"/>
      <c r="AY3408" s="128"/>
      <c r="AZ3408" s="128"/>
      <c r="BA3408" s="128"/>
      <c r="BB3408" s="128"/>
      <c r="BC3408" s="128"/>
      <c r="BD3408" s="128"/>
      <c r="BE3408" s="128"/>
      <c r="BF3408" s="128"/>
      <c r="BG3408" s="128"/>
      <c r="BH3408" s="128"/>
      <c r="BI3408" s="128"/>
      <c r="BJ3408" s="128"/>
      <c r="BK3408" s="128"/>
      <c r="BL3408" s="128"/>
      <c r="BM3408" s="151"/>
      <c r="BN3408" s="128"/>
      <c r="BO3408" s="128"/>
      <c r="BP3408" s="128"/>
      <c r="BQ3408" s="128"/>
      <c r="BR3408" s="128"/>
      <c r="BS3408" s="128"/>
      <c r="BT3408" s="128"/>
      <c r="BU3408" s="128"/>
      <c r="BV3408" s="128"/>
      <c r="BW3408" s="128"/>
      <c r="BX3408" s="128"/>
      <c r="BY3408" s="128"/>
      <c r="BZ3408" s="128"/>
      <c r="CA3408" s="128"/>
      <c r="CB3408" s="128"/>
      <c r="CC3408" s="128"/>
      <c r="CD3408" s="128"/>
      <c r="CE3408" s="128"/>
      <c r="CF3408" s="128"/>
      <c r="CG3408" s="128"/>
      <c r="CI3408" s="128"/>
      <c r="CJ3408" s="128"/>
      <c r="CK3408" s="128"/>
      <c r="CL3408" s="128"/>
      <c r="CM3408" s="128"/>
      <c r="CN3408" s="128"/>
      <c r="CO3408" s="128"/>
      <c r="CP3408" s="128"/>
      <c r="CQ3408" s="128"/>
      <c r="CR3408" s="128"/>
      <c r="CS3408" s="128"/>
      <c r="CT3408" s="128"/>
      <c r="CU3408" s="128"/>
      <c r="CV3408" s="128"/>
      <c r="CW3408" s="128"/>
      <c r="CX3408" s="128"/>
      <c r="CY3408" s="128"/>
      <c r="CZ3408" s="165"/>
    </row>
    <row r="3409" spans="1:104">
      <c r="A3409" s="149"/>
      <c r="B3409" s="149"/>
      <c r="C3409" s="150"/>
      <c r="D3409" s="102"/>
      <c r="E3409" s="149"/>
      <c r="F3409" s="149"/>
      <c r="G3409" s="149"/>
      <c r="H3409" s="149"/>
      <c r="I3409" s="149"/>
      <c r="J3409" s="149"/>
      <c r="K3409" s="149"/>
      <c r="L3409" s="149"/>
      <c r="M3409" s="149"/>
      <c r="N3409" s="149"/>
      <c r="O3409" s="149"/>
      <c r="P3409" s="149"/>
      <c r="Q3409" s="149"/>
      <c r="R3409" s="149"/>
      <c r="S3409" s="149"/>
      <c r="T3409" s="149"/>
      <c r="U3409" s="149"/>
      <c r="V3409" s="149"/>
      <c r="W3409" s="149"/>
      <c r="X3409" s="149"/>
      <c r="Y3409" s="149"/>
      <c r="Z3409" s="149"/>
      <c r="AA3409" s="149"/>
      <c r="AB3409" s="149"/>
      <c r="AC3409" s="149"/>
      <c r="AD3409" s="149"/>
      <c r="AE3409" s="149"/>
      <c r="AF3409" s="149"/>
      <c r="AG3409" s="149"/>
      <c r="AH3409" s="149"/>
      <c r="AI3409" s="149"/>
      <c r="AJ3409" s="149"/>
      <c r="AK3409" s="149"/>
      <c r="AL3409" s="149"/>
      <c r="AM3409" s="149"/>
      <c r="AN3409" s="149"/>
      <c r="AO3409" s="128"/>
      <c r="AP3409" s="128"/>
      <c r="AQ3409" s="128"/>
      <c r="AR3409" s="128"/>
      <c r="AS3409" s="128"/>
      <c r="AT3409" s="128"/>
      <c r="AU3409" s="128"/>
      <c r="AV3409" s="128"/>
      <c r="AW3409" s="128"/>
      <c r="AX3409" s="128"/>
      <c r="AY3409" s="128"/>
      <c r="AZ3409" s="128"/>
      <c r="BA3409" s="128"/>
      <c r="BB3409" s="128"/>
      <c r="BC3409" s="128"/>
      <c r="BD3409" s="128"/>
      <c r="BE3409" s="128"/>
      <c r="BF3409" s="128"/>
      <c r="BG3409" s="128"/>
      <c r="BH3409" s="128"/>
      <c r="BI3409" s="128"/>
      <c r="BJ3409" s="128"/>
      <c r="BK3409" s="128"/>
      <c r="BL3409" s="128"/>
      <c r="BM3409" s="151"/>
      <c r="BN3409" s="128"/>
      <c r="BO3409" s="128"/>
      <c r="BP3409" s="128"/>
      <c r="BQ3409" s="128"/>
      <c r="BR3409" s="128"/>
      <c r="BS3409" s="128"/>
      <c r="BT3409" s="128"/>
      <c r="BU3409" s="128"/>
      <c r="BV3409" s="128"/>
      <c r="BW3409" s="128"/>
      <c r="BX3409" s="128"/>
      <c r="BY3409" s="128"/>
      <c r="BZ3409" s="128"/>
      <c r="CA3409" s="128"/>
      <c r="CB3409" s="128"/>
      <c r="CC3409" s="128"/>
      <c r="CD3409" s="128"/>
      <c r="CE3409" s="128"/>
      <c r="CF3409" s="128"/>
      <c r="CG3409" s="128"/>
      <c r="CI3409" s="128"/>
      <c r="CJ3409" s="128"/>
      <c r="CK3409" s="128"/>
      <c r="CL3409" s="128"/>
      <c r="CM3409" s="128"/>
      <c r="CN3409" s="128"/>
      <c r="CO3409" s="128"/>
      <c r="CP3409" s="128"/>
      <c r="CQ3409" s="128"/>
      <c r="CR3409" s="128"/>
      <c r="CS3409" s="128"/>
      <c r="CT3409" s="128"/>
      <c r="CU3409" s="128"/>
      <c r="CV3409" s="128"/>
      <c r="CW3409" s="128"/>
      <c r="CX3409" s="128"/>
      <c r="CY3409" s="128"/>
      <c r="CZ3409" s="165"/>
    </row>
    <row r="3410" spans="1:104">
      <c r="A3410" s="149"/>
      <c r="B3410" s="149"/>
      <c r="C3410" s="150"/>
      <c r="D3410" s="102"/>
      <c r="E3410" s="149"/>
      <c r="F3410" s="149"/>
      <c r="G3410" s="149"/>
      <c r="H3410" s="149"/>
      <c r="I3410" s="149"/>
      <c r="J3410" s="149"/>
      <c r="K3410" s="149"/>
      <c r="L3410" s="149"/>
      <c r="M3410" s="149"/>
      <c r="N3410" s="149"/>
      <c r="O3410" s="149"/>
      <c r="P3410" s="149"/>
      <c r="Q3410" s="149"/>
      <c r="R3410" s="149"/>
      <c r="S3410" s="149"/>
      <c r="T3410" s="149"/>
      <c r="U3410" s="149"/>
      <c r="V3410" s="149"/>
      <c r="W3410" s="149"/>
      <c r="X3410" s="149"/>
      <c r="Y3410" s="149"/>
      <c r="Z3410" s="149"/>
      <c r="AA3410" s="149"/>
      <c r="AB3410" s="149"/>
      <c r="AC3410" s="149"/>
      <c r="AD3410" s="149"/>
      <c r="AE3410" s="149"/>
      <c r="AF3410" s="149"/>
      <c r="AG3410" s="149"/>
      <c r="AH3410" s="149"/>
      <c r="AI3410" s="149"/>
      <c r="AJ3410" s="149"/>
      <c r="AK3410" s="149"/>
      <c r="AL3410" s="149"/>
      <c r="AM3410" s="149"/>
      <c r="AN3410" s="149"/>
      <c r="AO3410" s="128"/>
      <c r="AP3410" s="128"/>
      <c r="AQ3410" s="128"/>
      <c r="AR3410" s="128"/>
      <c r="AS3410" s="128"/>
      <c r="AT3410" s="128"/>
      <c r="AU3410" s="128"/>
      <c r="AV3410" s="128"/>
      <c r="AW3410" s="128"/>
      <c r="AX3410" s="128"/>
      <c r="AY3410" s="128"/>
      <c r="AZ3410" s="128"/>
      <c r="BA3410" s="128"/>
      <c r="BB3410" s="128"/>
      <c r="BC3410" s="128"/>
      <c r="BD3410" s="128"/>
      <c r="BE3410" s="128"/>
      <c r="BF3410" s="128"/>
      <c r="BG3410" s="128"/>
      <c r="BH3410" s="128"/>
      <c r="BI3410" s="128"/>
      <c r="BJ3410" s="128"/>
      <c r="BK3410" s="128"/>
      <c r="BL3410" s="128"/>
      <c r="BM3410" s="151"/>
      <c r="BN3410" s="128"/>
      <c r="BO3410" s="128"/>
      <c r="BP3410" s="128"/>
      <c r="BQ3410" s="128"/>
      <c r="BR3410" s="128"/>
      <c r="BS3410" s="128"/>
      <c r="BT3410" s="128"/>
      <c r="BU3410" s="128"/>
      <c r="BV3410" s="128"/>
      <c r="BW3410" s="128"/>
      <c r="BX3410" s="128"/>
      <c r="BY3410" s="128"/>
      <c r="BZ3410" s="128"/>
      <c r="CA3410" s="128"/>
      <c r="CB3410" s="128"/>
      <c r="CC3410" s="128"/>
      <c r="CD3410" s="128"/>
      <c r="CE3410" s="128"/>
      <c r="CF3410" s="128"/>
      <c r="CG3410" s="128"/>
      <c r="CI3410" s="128"/>
      <c r="CJ3410" s="128"/>
      <c r="CK3410" s="128"/>
      <c r="CL3410" s="128"/>
      <c r="CM3410" s="128"/>
      <c r="CN3410" s="128"/>
      <c r="CO3410" s="128"/>
      <c r="CP3410" s="128"/>
      <c r="CQ3410" s="128"/>
      <c r="CR3410" s="128"/>
      <c r="CS3410" s="128"/>
      <c r="CT3410" s="128"/>
      <c r="CU3410" s="128"/>
      <c r="CV3410" s="128"/>
      <c r="CW3410" s="128"/>
      <c r="CX3410" s="128"/>
      <c r="CY3410" s="128"/>
      <c r="CZ3410" s="165"/>
    </row>
    <row r="3411" spans="1:104">
      <c r="A3411" s="149"/>
      <c r="B3411" s="149"/>
      <c r="C3411" s="150"/>
      <c r="D3411" s="102"/>
      <c r="E3411" s="149"/>
      <c r="F3411" s="149"/>
      <c r="G3411" s="149"/>
      <c r="H3411" s="149"/>
      <c r="I3411" s="149"/>
      <c r="J3411" s="149"/>
      <c r="K3411" s="149"/>
      <c r="L3411" s="149"/>
      <c r="M3411" s="149"/>
      <c r="N3411" s="149"/>
      <c r="O3411" s="149"/>
      <c r="P3411" s="149"/>
      <c r="Q3411" s="149"/>
      <c r="R3411" s="149"/>
      <c r="S3411" s="149"/>
      <c r="T3411" s="149"/>
      <c r="U3411" s="149"/>
      <c r="V3411" s="149"/>
      <c r="W3411" s="149"/>
      <c r="X3411" s="149"/>
      <c r="Y3411" s="149"/>
      <c r="Z3411" s="149"/>
      <c r="AA3411" s="149"/>
      <c r="AB3411" s="149"/>
      <c r="AC3411" s="149"/>
      <c r="AD3411" s="149"/>
      <c r="AE3411" s="149"/>
      <c r="AF3411" s="149"/>
      <c r="AG3411" s="149"/>
      <c r="AH3411" s="149"/>
      <c r="AI3411" s="149"/>
      <c r="AJ3411" s="149"/>
      <c r="AK3411" s="149"/>
      <c r="AL3411" s="149"/>
      <c r="AM3411" s="149"/>
      <c r="AN3411" s="149"/>
      <c r="AO3411" s="128"/>
      <c r="AP3411" s="128"/>
      <c r="AQ3411" s="128"/>
      <c r="AR3411" s="128"/>
      <c r="AS3411" s="128"/>
      <c r="AT3411" s="128"/>
      <c r="AU3411" s="128"/>
      <c r="AV3411" s="128"/>
      <c r="AW3411" s="128"/>
      <c r="AX3411" s="128"/>
      <c r="AY3411" s="128"/>
      <c r="AZ3411" s="128"/>
      <c r="BA3411" s="128"/>
      <c r="BB3411" s="128"/>
      <c r="BC3411" s="128"/>
      <c r="BD3411" s="128"/>
      <c r="BE3411" s="128"/>
      <c r="BF3411" s="128"/>
      <c r="BG3411" s="128"/>
      <c r="BH3411" s="128"/>
      <c r="BI3411" s="128"/>
      <c r="BJ3411" s="128"/>
      <c r="BK3411" s="128"/>
      <c r="BL3411" s="128"/>
      <c r="BM3411" s="151"/>
      <c r="BN3411" s="128"/>
      <c r="BO3411" s="128"/>
      <c r="BP3411" s="128"/>
      <c r="BQ3411" s="128"/>
      <c r="BR3411" s="128"/>
      <c r="BS3411" s="128"/>
      <c r="BT3411" s="128"/>
      <c r="BU3411" s="128"/>
      <c r="BV3411" s="128"/>
      <c r="BW3411" s="128"/>
      <c r="BX3411" s="128"/>
      <c r="BY3411" s="128"/>
      <c r="BZ3411" s="128"/>
      <c r="CA3411" s="128"/>
      <c r="CB3411" s="128"/>
      <c r="CC3411" s="128"/>
      <c r="CD3411" s="128"/>
      <c r="CE3411" s="128"/>
      <c r="CF3411" s="128"/>
      <c r="CG3411" s="128"/>
      <c r="CI3411" s="128"/>
      <c r="CJ3411" s="128"/>
      <c r="CK3411" s="128"/>
      <c r="CL3411" s="128"/>
      <c r="CM3411" s="128"/>
      <c r="CN3411" s="128"/>
      <c r="CO3411" s="128"/>
      <c r="CP3411" s="128"/>
      <c r="CQ3411" s="128"/>
      <c r="CR3411" s="128"/>
      <c r="CS3411" s="128"/>
      <c r="CT3411" s="128"/>
      <c r="CU3411" s="128"/>
      <c r="CV3411" s="128"/>
      <c r="CW3411" s="128"/>
      <c r="CX3411" s="128"/>
      <c r="CY3411" s="128"/>
      <c r="CZ3411" s="165"/>
    </row>
    <row r="3412" spans="1:104">
      <c r="A3412" s="149"/>
      <c r="B3412" s="149"/>
      <c r="C3412" s="150"/>
      <c r="D3412" s="102"/>
      <c r="E3412" s="149"/>
      <c r="F3412" s="149"/>
      <c r="G3412" s="149"/>
      <c r="H3412" s="149"/>
      <c r="I3412" s="149"/>
      <c r="J3412" s="149"/>
      <c r="K3412" s="149"/>
      <c r="L3412" s="149"/>
      <c r="M3412" s="149"/>
      <c r="N3412" s="149"/>
      <c r="O3412" s="149"/>
      <c r="P3412" s="149"/>
      <c r="Q3412" s="149"/>
      <c r="R3412" s="149"/>
      <c r="S3412" s="149"/>
      <c r="T3412" s="149"/>
      <c r="U3412" s="149"/>
      <c r="V3412" s="149"/>
      <c r="W3412" s="149"/>
      <c r="X3412" s="149"/>
      <c r="Y3412" s="149"/>
      <c r="Z3412" s="149"/>
      <c r="AA3412" s="149"/>
      <c r="AB3412" s="149"/>
      <c r="AC3412" s="149"/>
      <c r="AD3412" s="149"/>
      <c r="AE3412" s="149"/>
      <c r="AF3412" s="149"/>
      <c r="AG3412" s="149"/>
      <c r="AH3412" s="149"/>
      <c r="AI3412" s="149"/>
      <c r="AJ3412" s="149"/>
      <c r="AK3412" s="149"/>
      <c r="AL3412" s="149"/>
      <c r="AM3412" s="149"/>
      <c r="AN3412" s="149"/>
      <c r="AO3412" s="128"/>
      <c r="AP3412" s="128"/>
      <c r="AQ3412" s="128"/>
      <c r="AR3412" s="128"/>
      <c r="AS3412" s="128"/>
      <c r="AT3412" s="128"/>
      <c r="AU3412" s="128"/>
      <c r="AV3412" s="128"/>
      <c r="AW3412" s="128"/>
      <c r="AX3412" s="128"/>
      <c r="AY3412" s="128"/>
      <c r="AZ3412" s="128"/>
      <c r="BA3412" s="128"/>
      <c r="BB3412" s="128"/>
      <c r="BC3412" s="128"/>
      <c r="BD3412" s="128"/>
      <c r="BE3412" s="128"/>
      <c r="BF3412" s="128"/>
      <c r="BG3412" s="128"/>
      <c r="BH3412" s="128"/>
      <c r="BI3412" s="128"/>
      <c r="BJ3412" s="128"/>
      <c r="BK3412" s="128"/>
      <c r="BL3412" s="128"/>
      <c r="BM3412" s="151"/>
      <c r="BN3412" s="128"/>
      <c r="BO3412" s="128"/>
      <c r="BP3412" s="128"/>
      <c r="BQ3412" s="128"/>
      <c r="BR3412" s="128"/>
      <c r="BS3412" s="128"/>
      <c r="BT3412" s="128"/>
      <c r="BU3412" s="128"/>
      <c r="BV3412" s="128"/>
      <c r="BW3412" s="128"/>
      <c r="BX3412" s="128"/>
      <c r="BY3412" s="128"/>
      <c r="BZ3412" s="128"/>
      <c r="CA3412" s="128"/>
      <c r="CB3412" s="128"/>
      <c r="CC3412" s="128"/>
      <c r="CD3412" s="128"/>
      <c r="CE3412" s="128"/>
      <c r="CF3412" s="128"/>
      <c r="CG3412" s="128"/>
      <c r="CI3412" s="128"/>
      <c r="CJ3412" s="128"/>
      <c r="CK3412" s="128"/>
      <c r="CL3412" s="128"/>
      <c r="CM3412" s="128"/>
      <c r="CN3412" s="128"/>
      <c r="CO3412" s="128"/>
      <c r="CP3412" s="128"/>
      <c r="CQ3412" s="128"/>
      <c r="CR3412" s="128"/>
      <c r="CS3412" s="128"/>
      <c r="CT3412" s="128"/>
      <c r="CU3412" s="128"/>
      <c r="CV3412" s="128"/>
      <c r="CW3412" s="128"/>
      <c r="CX3412" s="128"/>
      <c r="CY3412" s="128"/>
      <c r="CZ3412" s="165"/>
    </row>
    <row r="3413" spans="1:104">
      <c r="A3413" s="149"/>
      <c r="B3413" s="149"/>
      <c r="C3413" s="150"/>
      <c r="D3413" s="102"/>
      <c r="E3413" s="149"/>
      <c r="F3413" s="149"/>
      <c r="G3413" s="149"/>
      <c r="H3413" s="149"/>
      <c r="I3413" s="149"/>
      <c r="J3413" s="149"/>
      <c r="K3413" s="149"/>
      <c r="L3413" s="149"/>
      <c r="M3413" s="149"/>
      <c r="N3413" s="149"/>
      <c r="O3413" s="149"/>
      <c r="P3413" s="149"/>
      <c r="Q3413" s="149"/>
      <c r="R3413" s="149"/>
      <c r="S3413" s="149"/>
      <c r="T3413" s="149"/>
      <c r="U3413" s="149"/>
      <c r="V3413" s="149"/>
      <c r="W3413" s="149"/>
      <c r="X3413" s="149"/>
      <c r="Y3413" s="149"/>
      <c r="Z3413" s="149"/>
      <c r="AA3413" s="149"/>
      <c r="AB3413" s="149"/>
      <c r="AC3413" s="149"/>
      <c r="AD3413" s="149"/>
      <c r="AE3413" s="149"/>
      <c r="AF3413" s="149"/>
      <c r="AG3413" s="149"/>
      <c r="AH3413" s="149"/>
      <c r="AI3413" s="149"/>
      <c r="AJ3413" s="149"/>
      <c r="AK3413" s="149"/>
      <c r="AL3413" s="149"/>
      <c r="AM3413" s="149"/>
      <c r="AN3413" s="149"/>
      <c r="AO3413" s="128"/>
      <c r="AP3413" s="128"/>
      <c r="AQ3413" s="128"/>
      <c r="AR3413" s="128"/>
      <c r="AS3413" s="128"/>
      <c r="AT3413" s="128"/>
      <c r="AU3413" s="128"/>
      <c r="AV3413" s="128"/>
      <c r="AW3413" s="128"/>
      <c r="AX3413" s="128"/>
      <c r="AY3413" s="128"/>
      <c r="AZ3413" s="128"/>
      <c r="BA3413" s="128"/>
      <c r="BB3413" s="128"/>
      <c r="BC3413" s="128"/>
      <c r="BD3413" s="128"/>
      <c r="BE3413" s="128"/>
      <c r="BF3413" s="128"/>
      <c r="BG3413" s="128"/>
      <c r="BH3413" s="128"/>
      <c r="BI3413" s="128"/>
      <c r="BJ3413" s="128"/>
      <c r="BK3413" s="128"/>
      <c r="BL3413" s="128"/>
      <c r="BM3413" s="151"/>
      <c r="BN3413" s="128"/>
      <c r="BO3413" s="128"/>
      <c r="BP3413" s="128"/>
      <c r="BQ3413" s="128"/>
      <c r="BR3413" s="128"/>
      <c r="BS3413" s="128"/>
      <c r="BT3413" s="128"/>
      <c r="BU3413" s="128"/>
      <c r="BV3413" s="128"/>
      <c r="BW3413" s="128"/>
      <c r="BX3413" s="128"/>
      <c r="BY3413" s="128"/>
      <c r="BZ3413" s="128"/>
      <c r="CA3413" s="128"/>
      <c r="CB3413" s="128"/>
      <c r="CC3413" s="128"/>
      <c r="CD3413" s="128"/>
      <c r="CE3413" s="128"/>
      <c r="CF3413" s="128"/>
      <c r="CG3413" s="128"/>
      <c r="CI3413" s="128"/>
      <c r="CJ3413" s="128"/>
      <c r="CK3413" s="128"/>
      <c r="CL3413" s="128"/>
      <c r="CM3413" s="128"/>
      <c r="CN3413" s="128"/>
      <c r="CO3413" s="128"/>
      <c r="CP3413" s="128"/>
      <c r="CQ3413" s="128"/>
      <c r="CR3413" s="128"/>
      <c r="CS3413" s="128"/>
      <c r="CT3413" s="128"/>
      <c r="CU3413" s="128"/>
      <c r="CV3413" s="128"/>
      <c r="CW3413" s="128"/>
      <c r="CX3413" s="128"/>
      <c r="CY3413" s="128"/>
      <c r="CZ3413" s="165"/>
    </row>
    <row r="3414" spans="1:104">
      <c r="A3414" s="149"/>
      <c r="B3414" s="149"/>
      <c r="C3414" s="150"/>
      <c r="D3414" s="102"/>
      <c r="E3414" s="149"/>
      <c r="F3414" s="149"/>
      <c r="G3414" s="149"/>
      <c r="H3414" s="149"/>
      <c r="I3414" s="149"/>
      <c r="J3414" s="149"/>
      <c r="K3414" s="149"/>
      <c r="L3414" s="149"/>
      <c r="M3414" s="149"/>
      <c r="N3414" s="149"/>
      <c r="O3414" s="149"/>
      <c r="P3414" s="149"/>
      <c r="Q3414" s="149"/>
      <c r="R3414" s="149"/>
      <c r="S3414" s="149"/>
      <c r="T3414" s="149"/>
      <c r="U3414" s="149"/>
      <c r="V3414" s="149"/>
      <c r="W3414" s="149"/>
      <c r="X3414" s="149"/>
      <c r="Y3414" s="149"/>
      <c r="Z3414" s="149"/>
      <c r="AA3414" s="149"/>
      <c r="AB3414" s="149"/>
      <c r="AC3414" s="149"/>
      <c r="AD3414" s="149"/>
      <c r="AE3414" s="149"/>
      <c r="AF3414" s="149"/>
      <c r="AG3414" s="149"/>
      <c r="AH3414" s="149"/>
      <c r="AI3414" s="149"/>
      <c r="AJ3414" s="149"/>
      <c r="AK3414" s="149"/>
      <c r="AL3414" s="149"/>
      <c r="AM3414" s="149"/>
      <c r="AN3414" s="149"/>
      <c r="AO3414" s="128"/>
      <c r="AP3414" s="128"/>
      <c r="AQ3414" s="128"/>
      <c r="AR3414" s="128"/>
      <c r="AS3414" s="128"/>
      <c r="AT3414" s="128"/>
      <c r="AU3414" s="128"/>
      <c r="AV3414" s="128"/>
      <c r="AW3414" s="128"/>
      <c r="AX3414" s="128"/>
      <c r="AY3414" s="128"/>
      <c r="AZ3414" s="128"/>
      <c r="BA3414" s="128"/>
      <c r="BB3414" s="128"/>
      <c r="BC3414" s="128"/>
      <c r="BD3414" s="128"/>
      <c r="BE3414" s="128"/>
      <c r="BF3414" s="128"/>
      <c r="BG3414" s="128"/>
      <c r="BH3414" s="128"/>
      <c r="BI3414" s="128"/>
      <c r="BJ3414" s="128"/>
      <c r="BK3414" s="128"/>
      <c r="BL3414" s="128"/>
      <c r="BM3414" s="151"/>
      <c r="BN3414" s="128"/>
      <c r="BO3414" s="128"/>
      <c r="BP3414" s="128"/>
      <c r="BQ3414" s="128"/>
      <c r="BR3414" s="128"/>
      <c r="BS3414" s="128"/>
      <c r="BT3414" s="128"/>
      <c r="BU3414" s="128"/>
      <c r="BV3414" s="128"/>
      <c r="BW3414" s="128"/>
      <c r="BX3414" s="128"/>
      <c r="BY3414" s="128"/>
      <c r="BZ3414" s="128"/>
      <c r="CA3414" s="128"/>
      <c r="CB3414" s="128"/>
      <c r="CC3414" s="128"/>
      <c r="CD3414" s="128"/>
      <c r="CE3414" s="128"/>
      <c r="CF3414" s="128"/>
      <c r="CG3414" s="128"/>
      <c r="CI3414" s="128"/>
      <c r="CJ3414" s="128"/>
      <c r="CK3414" s="128"/>
      <c r="CL3414" s="128"/>
      <c r="CM3414" s="128"/>
      <c r="CN3414" s="128"/>
      <c r="CO3414" s="128"/>
      <c r="CP3414" s="128"/>
      <c r="CQ3414" s="128"/>
      <c r="CR3414" s="128"/>
      <c r="CS3414" s="128"/>
      <c r="CT3414" s="128"/>
      <c r="CU3414" s="128"/>
      <c r="CV3414" s="128"/>
      <c r="CW3414" s="128"/>
      <c r="CX3414" s="128"/>
      <c r="CY3414" s="128"/>
      <c r="CZ3414" s="165"/>
    </row>
    <row r="3415" spans="1:104">
      <c r="A3415" s="149"/>
      <c r="B3415" s="149"/>
      <c r="C3415" s="150"/>
      <c r="D3415" s="102"/>
      <c r="E3415" s="149"/>
      <c r="F3415" s="149"/>
      <c r="G3415" s="149"/>
      <c r="H3415" s="149"/>
      <c r="I3415" s="149"/>
      <c r="J3415" s="149"/>
      <c r="K3415" s="149"/>
      <c r="L3415" s="149"/>
      <c r="M3415" s="149"/>
      <c r="N3415" s="149"/>
      <c r="O3415" s="149"/>
      <c r="P3415" s="149"/>
      <c r="Q3415" s="149"/>
      <c r="R3415" s="149"/>
      <c r="S3415" s="149"/>
      <c r="T3415" s="149"/>
      <c r="U3415" s="149"/>
      <c r="V3415" s="149"/>
      <c r="W3415" s="149"/>
      <c r="X3415" s="149"/>
      <c r="Y3415" s="149"/>
      <c r="Z3415" s="149"/>
      <c r="AA3415" s="149"/>
      <c r="AB3415" s="149"/>
      <c r="AC3415" s="149"/>
      <c r="AD3415" s="149"/>
      <c r="AE3415" s="149"/>
      <c r="AF3415" s="149"/>
      <c r="AG3415" s="149"/>
      <c r="AH3415" s="149"/>
      <c r="AI3415" s="149"/>
      <c r="AJ3415" s="149"/>
      <c r="AK3415" s="149"/>
      <c r="AL3415" s="149"/>
      <c r="AM3415" s="149"/>
      <c r="AN3415" s="149"/>
      <c r="AO3415" s="128"/>
      <c r="AP3415" s="128"/>
      <c r="AQ3415" s="128"/>
      <c r="AR3415" s="128"/>
      <c r="AS3415" s="128"/>
      <c r="AT3415" s="128"/>
      <c r="AU3415" s="128"/>
      <c r="AV3415" s="128"/>
      <c r="AW3415" s="128"/>
      <c r="AX3415" s="128"/>
      <c r="AY3415" s="128"/>
      <c r="AZ3415" s="128"/>
      <c r="BA3415" s="128"/>
      <c r="BB3415" s="128"/>
      <c r="BC3415" s="128"/>
      <c r="BD3415" s="128"/>
      <c r="BE3415" s="128"/>
      <c r="BF3415" s="128"/>
      <c r="BG3415" s="128"/>
      <c r="BH3415" s="128"/>
      <c r="BI3415" s="128"/>
      <c r="BJ3415" s="128"/>
      <c r="BK3415" s="128"/>
      <c r="BL3415" s="128"/>
      <c r="BM3415" s="151"/>
      <c r="BN3415" s="128"/>
      <c r="BO3415" s="128"/>
      <c r="BP3415" s="128"/>
      <c r="BQ3415" s="128"/>
      <c r="BR3415" s="128"/>
      <c r="BS3415" s="128"/>
      <c r="BT3415" s="128"/>
      <c r="BU3415" s="128"/>
      <c r="BV3415" s="128"/>
      <c r="BW3415" s="128"/>
      <c r="BX3415" s="128"/>
      <c r="BY3415" s="128"/>
      <c r="BZ3415" s="128"/>
      <c r="CA3415" s="128"/>
      <c r="CB3415" s="128"/>
      <c r="CC3415" s="128"/>
      <c r="CD3415" s="128"/>
      <c r="CE3415" s="128"/>
      <c r="CF3415" s="128"/>
      <c r="CG3415" s="128"/>
      <c r="CI3415" s="128"/>
      <c r="CJ3415" s="128"/>
      <c r="CK3415" s="128"/>
      <c r="CL3415" s="128"/>
      <c r="CM3415" s="128"/>
      <c r="CN3415" s="128"/>
      <c r="CO3415" s="128"/>
      <c r="CP3415" s="128"/>
      <c r="CQ3415" s="128"/>
      <c r="CR3415" s="128"/>
      <c r="CS3415" s="128"/>
      <c r="CT3415" s="128"/>
      <c r="CU3415" s="128"/>
      <c r="CV3415" s="128"/>
      <c r="CW3415" s="128"/>
      <c r="CX3415" s="128"/>
      <c r="CY3415" s="128"/>
      <c r="CZ3415" s="165"/>
    </row>
    <row r="3416" spans="1:104">
      <c r="A3416" s="149"/>
      <c r="B3416" s="149"/>
      <c r="C3416" s="150"/>
      <c r="D3416" s="102"/>
      <c r="E3416" s="149"/>
      <c r="F3416" s="149"/>
      <c r="G3416" s="149"/>
      <c r="H3416" s="149"/>
      <c r="I3416" s="149"/>
      <c r="J3416" s="149"/>
      <c r="K3416" s="149"/>
      <c r="L3416" s="149"/>
      <c r="M3416" s="149"/>
      <c r="N3416" s="149"/>
      <c r="O3416" s="149"/>
      <c r="P3416" s="149"/>
      <c r="Q3416" s="149"/>
      <c r="R3416" s="149"/>
      <c r="S3416" s="149"/>
      <c r="T3416" s="149"/>
      <c r="U3416" s="149"/>
      <c r="V3416" s="149"/>
      <c r="W3416" s="149"/>
      <c r="X3416" s="149"/>
      <c r="Y3416" s="149"/>
      <c r="Z3416" s="149"/>
      <c r="AA3416" s="149"/>
      <c r="AB3416" s="149"/>
      <c r="AC3416" s="149"/>
      <c r="AD3416" s="149"/>
      <c r="AE3416" s="149"/>
      <c r="AF3416" s="149"/>
      <c r="AG3416" s="149"/>
      <c r="AH3416" s="149"/>
      <c r="AI3416" s="149"/>
      <c r="AJ3416" s="149"/>
      <c r="AK3416" s="149"/>
      <c r="AL3416" s="149"/>
      <c r="AM3416" s="149"/>
      <c r="AN3416" s="149"/>
      <c r="AO3416" s="128"/>
      <c r="AP3416" s="128"/>
      <c r="AQ3416" s="128"/>
      <c r="AR3416" s="128"/>
      <c r="AS3416" s="128"/>
      <c r="AT3416" s="128"/>
      <c r="AU3416" s="128"/>
      <c r="AV3416" s="128"/>
      <c r="AW3416" s="128"/>
      <c r="AX3416" s="128"/>
      <c r="AY3416" s="128"/>
      <c r="AZ3416" s="128"/>
      <c r="BA3416" s="128"/>
      <c r="BB3416" s="128"/>
      <c r="BC3416" s="128"/>
      <c r="BD3416" s="128"/>
      <c r="BE3416" s="128"/>
      <c r="BF3416" s="128"/>
      <c r="BG3416" s="128"/>
      <c r="BH3416" s="128"/>
      <c r="BI3416" s="128"/>
      <c r="BJ3416" s="128"/>
      <c r="BK3416" s="128"/>
      <c r="BL3416" s="128"/>
      <c r="BM3416" s="151"/>
      <c r="BN3416" s="128"/>
      <c r="BO3416" s="128"/>
      <c r="BP3416" s="128"/>
      <c r="BQ3416" s="128"/>
      <c r="BR3416" s="128"/>
      <c r="BS3416" s="128"/>
      <c r="BT3416" s="128"/>
      <c r="BU3416" s="128"/>
      <c r="BV3416" s="128"/>
      <c r="BW3416" s="128"/>
      <c r="BX3416" s="128"/>
      <c r="BY3416" s="128"/>
      <c r="BZ3416" s="128"/>
      <c r="CA3416" s="128"/>
      <c r="CB3416" s="128"/>
      <c r="CC3416" s="128"/>
      <c r="CD3416" s="128"/>
      <c r="CE3416" s="128"/>
      <c r="CF3416" s="128"/>
      <c r="CG3416" s="128"/>
      <c r="CI3416" s="128"/>
      <c r="CJ3416" s="128"/>
      <c r="CK3416" s="128"/>
      <c r="CL3416" s="128"/>
      <c r="CM3416" s="128"/>
      <c r="CN3416" s="128"/>
      <c r="CO3416" s="128"/>
      <c r="CP3416" s="128"/>
      <c r="CQ3416" s="128"/>
      <c r="CR3416" s="128"/>
      <c r="CS3416" s="128"/>
      <c r="CT3416" s="128"/>
      <c r="CU3416" s="128"/>
      <c r="CV3416" s="128"/>
      <c r="CW3416" s="128"/>
      <c r="CX3416" s="128"/>
      <c r="CY3416" s="128"/>
      <c r="CZ3416" s="165"/>
    </row>
    <row r="3417" spans="1:104">
      <c r="A3417" s="149"/>
      <c r="B3417" s="149"/>
      <c r="C3417" s="150"/>
      <c r="D3417" s="102"/>
      <c r="E3417" s="149"/>
      <c r="F3417" s="149"/>
      <c r="G3417" s="149"/>
      <c r="H3417" s="149"/>
      <c r="I3417" s="149"/>
      <c r="J3417" s="149"/>
      <c r="K3417" s="149"/>
      <c r="L3417" s="149"/>
      <c r="M3417" s="149"/>
      <c r="N3417" s="149"/>
      <c r="O3417" s="149"/>
      <c r="P3417" s="149"/>
      <c r="Q3417" s="149"/>
      <c r="R3417" s="149"/>
      <c r="S3417" s="149"/>
      <c r="T3417" s="149"/>
      <c r="U3417" s="149"/>
      <c r="V3417" s="149"/>
      <c r="W3417" s="149"/>
      <c r="X3417" s="149"/>
      <c r="Y3417" s="149"/>
      <c r="Z3417" s="149"/>
      <c r="AA3417" s="149"/>
      <c r="AB3417" s="149"/>
      <c r="AC3417" s="149"/>
      <c r="AD3417" s="149"/>
      <c r="AE3417" s="149"/>
      <c r="AF3417" s="149"/>
      <c r="AG3417" s="149"/>
      <c r="AH3417" s="149"/>
      <c r="AI3417" s="149"/>
      <c r="AJ3417" s="149"/>
      <c r="AK3417" s="149"/>
      <c r="AL3417" s="149"/>
      <c r="AM3417" s="149"/>
      <c r="AN3417" s="149"/>
      <c r="AO3417" s="128"/>
      <c r="AP3417" s="128"/>
      <c r="AQ3417" s="128"/>
      <c r="AR3417" s="128"/>
      <c r="AS3417" s="128"/>
      <c r="AT3417" s="128"/>
      <c r="AU3417" s="128"/>
      <c r="AV3417" s="128"/>
      <c r="AW3417" s="128"/>
      <c r="AX3417" s="128"/>
      <c r="AY3417" s="128"/>
      <c r="AZ3417" s="128"/>
      <c r="BA3417" s="128"/>
      <c r="BB3417" s="128"/>
      <c r="BC3417" s="128"/>
      <c r="BD3417" s="128"/>
      <c r="BE3417" s="128"/>
      <c r="BF3417" s="128"/>
      <c r="BG3417" s="128"/>
      <c r="BH3417" s="128"/>
      <c r="BI3417" s="128"/>
      <c r="BJ3417" s="128"/>
      <c r="BK3417" s="128"/>
      <c r="BL3417" s="128"/>
      <c r="BM3417" s="151"/>
      <c r="BN3417" s="128"/>
      <c r="BO3417" s="128"/>
      <c r="BP3417" s="128"/>
      <c r="BQ3417" s="128"/>
      <c r="BR3417" s="128"/>
      <c r="BS3417" s="128"/>
      <c r="BT3417" s="128"/>
      <c r="BU3417" s="128"/>
      <c r="BV3417" s="128"/>
      <c r="BW3417" s="128"/>
      <c r="BX3417" s="128"/>
      <c r="BY3417" s="128"/>
      <c r="BZ3417" s="128"/>
      <c r="CA3417" s="128"/>
      <c r="CB3417" s="128"/>
      <c r="CC3417" s="128"/>
      <c r="CD3417" s="128"/>
      <c r="CE3417" s="128"/>
      <c r="CF3417" s="128"/>
      <c r="CG3417" s="128"/>
      <c r="CI3417" s="128"/>
      <c r="CJ3417" s="128"/>
      <c r="CK3417" s="128"/>
      <c r="CL3417" s="128"/>
      <c r="CM3417" s="128"/>
      <c r="CN3417" s="128"/>
      <c r="CO3417" s="128"/>
      <c r="CP3417" s="128"/>
      <c r="CQ3417" s="128"/>
      <c r="CR3417" s="128"/>
      <c r="CS3417" s="128"/>
      <c r="CT3417" s="128"/>
      <c r="CU3417" s="128"/>
      <c r="CV3417" s="128"/>
      <c r="CW3417" s="128"/>
      <c r="CX3417" s="128"/>
      <c r="CY3417" s="128"/>
      <c r="CZ3417" s="165"/>
    </row>
    <row r="3418" spans="1:104">
      <c r="A3418" s="149"/>
      <c r="B3418" s="149"/>
      <c r="C3418" s="150"/>
      <c r="D3418" s="102"/>
      <c r="E3418" s="149"/>
      <c r="F3418" s="149"/>
      <c r="G3418" s="149"/>
      <c r="H3418" s="149"/>
      <c r="I3418" s="149"/>
      <c r="J3418" s="149"/>
      <c r="K3418" s="149"/>
      <c r="L3418" s="149"/>
      <c r="M3418" s="149"/>
      <c r="N3418" s="149"/>
      <c r="O3418" s="149"/>
      <c r="P3418" s="149"/>
      <c r="Q3418" s="149"/>
      <c r="R3418" s="149"/>
      <c r="S3418" s="149"/>
      <c r="T3418" s="149"/>
      <c r="U3418" s="149"/>
      <c r="V3418" s="149"/>
      <c r="W3418" s="149"/>
      <c r="X3418" s="149"/>
      <c r="Y3418" s="149"/>
      <c r="Z3418" s="149"/>
      <c r="AA3418" s="149"/>
      <c r="AB3418" s="149"/>
      <c r="AC3418" s="149"/>
      <c r="AD3418" s="149"/>
      <c r="AE3418" s="149"/>
      <c r="AF3418" s="149"/>
      <c r="AG3418" s="149"/>
      <c r="AH3418" s="149"/>
      <c r="AI3418" s="149"/>
      <c r="AJ3418" s="149"/>
      <c r="AK3418" s="149"/>
      <c r="AL3418" s="149"/>
      <c r="AM3418" s="149"/>
      <c r="AN3418" s="149"/>
      <c r="AO3418" s="128"/>
      <c r="AP3418" s="128"/>
      <c r="AQ3418" s="128"/>
      <c r="AR3418" s="128"/>
      <c r="AS3418" s="128"/>
      <c r="AT3418" s="128"/>
      <c r="AU3418" s="128"/>
      <c r="AV3418" s="128"/>
      <c r="AW3418" s="128"/>
      <c r="AX3418" s="128"/>
      <c r="AY3418" s="128"/>
      <c r="AZ3418" s="128"/>
      <c r="BA3418" s="128"/>
      <c r="BB3418" s="128"/>
      <c r="BC3418" s="128"/>
      <c r="BD3418" s="128"/>
      <c r="BE3418" s="128"/>
      <c r="BF3418" s="128"/>
      <c r="BG3418" s="128"/>
      <c r="BH3418" s="128"/>
      <c r="BI3418" s="128"/>
      <c r="BJ3418" s="128"/>
      <c r="BK3418" s="128"/>
      <c r="BL3418" s="128"/>
      <c r="BM3418" s="151"/>
      <c r="BN3418" s="128"/>
      <c r="BO3418" s="128"/>
      <c r="BP3418" s="128"/>
      <c r="BQ3418" s="128"/>
      <c r="BR3418" s="128"/>
      <c r="BS3418" s="128"/>
      <c r="BT3418" s="128"/>
      <c r="BU3418" s="128"/>
      <c r="BV3418" s="128"/>
      <c r="BW3418" s="128"/>
      <c r="BX3418" s="128"/>
      <c r="BY3418" s="128"/>
      <c r="BZ3418" s="128"/>
      <c r="CA3418" s="128"/>
      <c r="CB3418" s="128"/>
      <c r="CC3418" s="128"/>
      <c r="CD3418" s="128"/>
      <c r="CE3418" s="128"/>
      <c r="CF3418" s="128"/>
      <c r="CG3418" s="128"/>
      <c r="CI3418" s="128"/>
      <c r="CJ3418" s="128"/>
      <c r="CK3418" s="128"/>
      <c r="CL3418" s="128"/>
      <c r="CM3418" s="128"/>
      <c r="CN3418" s="128"/>
      <c r="CO3418" s="128"/>
      <c r="CP3418" s="128"/>
      <c r="CQ3418" s="128"/>
      <c r="CR3418" s="128"/>
      <c r="CS3418" s="128"/>
      <c r="CT3418" s="128"/>
      <c r="CU3418" s="128"/>
      <c r="CV3418" s="128"/>
      <c r="CW3418" s="128"/>
      <c r="CX3418" s="128"/>
      <c r="CY3418" s="128"/>
      <c r="CZ3418" s="165"/>
    </row>
    <row r="3419" spans="1:104">
      <c r="A3419" s="149"/>
      <c r="B3419" s="149"/>
      <c r="C3419" s="150"/>
      <c r="D3419" s="102"/>
      <c r="E3419" s="149"/>
      <c r="F3419" s="149"/>
      <c r="G3419" s="149"/>
      <c r="H3419" s="149"/>
      <c r="I3419" s="149"/>
      <c r="J3419" s="149"/>
      <c r="K3419" s="149"/>
      <c r="L3419" s="149"/>
      <c r="M3419" s="149"/>
      <c r="N3419" s="149"/>
      <c r="O3419" s="149"/>
      <c r="P3419" s="149"/>
      <c r="Q3419" s="149"/>
      <c r="R3419" s="149"/>
      <c r="S3419" s="149"/>
      <c r="T3419" s="149"/>
      <c r="U3419" s="149"/>
      <c r="V3419" s="149"/>
      <c r="W3419" s="149"/>
      <c r="X3419" s="149"/>
      <c r="Y3419" s="149"/>
      <c r="Z3419" s="149"/>
      <c r="AA3419" s="149"/>
      <c r="AB3419" s="149"/>
      <c r="AC3419" s="149"/>
      <c r="AD3419" s="149"/>
      <c r="AE3419" s="149"/>
      <c r="AF3419" s="149"/>
      <c r="AG3419" s="149"/>
      <c r="AH3419" s="149"/>
      <c r="AI3419" s="149"/>
      <c r="AJ3419" s="149"/>
      <c r="AK3419" s="149"/>
      <c r="AL3419" s="149"/>
      <c r="AM3419" s="149"/>
      <c r="AN3419" s="149"/>
      <c r="AO3419" s="128"/>
      <c r="AP3419" s="128"/>
      <c r="AQ3419" s="128"/>
      <c r="AR3419" s="128"/>
      <c r="AS3419" s="128"/>
      <c r="AT3419" s="128"/>
      <c r="AU3419" s="128"/>
      <c r="AV3419" s="128"/>
      <c r="AW3419" s="128"/>
      <c r="AX3419" s="128"/>
      <c r="AY3419" s="128"/>
      <c r="AZ3419" s="128"/>
      <c r="BA3419" s="128"/>
      <c r="BB3419" s="128"/>
      <c r="BC3419" s="128"/>
      <c r="BD3419" s="128"/>
      <c r="BE3419" s="128"/>
      <c r="BF3419" s="128"/>
      <c r="BG3419" s="128"/>
      <c r="BH3419" s="128"/>
      <c r="BI3419" s="128"/>
      <c r="BJ3419" s="128"/>
      <c r="BK3419" s="128"/>
      <c r="BL3419" s="128"/>
      <c r="BM3419" s="151"/>
      <c r="BN3419" s="128"/>
      <c r="BO3419" s="128"/>
      <c r="BP3419" s="128"/>
      <c r="BQ3419" s="128"/>
      <c r="BR3419" s="128"/>
      <c r="BS3419" s="128"/>
      <c r="BT3419" s="128"/>
      <c r="BU3419" s="128"/>
      <c r="BV3419" s="128"/>
      <c r="BW3419" s="128"/>
      <c r="BX3419" s="128"/>
      <c r="BY3419" s="128"/>
      <c r="BZ3419" s="128"/>
      <c r="CA3419" s="128"/>
      <c r="CB3419" s="128"/>
      <c r="CC3419" s="128"/>
      <c r="CD3419" s="128"/>
      <c r="CE3419" s="128"/>
      <c r="CF3419" s="128"/>
      <c r="CG3419" s="128"/>
      <c r="CI3419" s="128"/>
      <c r="CJ3419" s="128"/>
      <c r="CK3419" s="128"/>
      <c r="CL3419" s="128"/>
      <c r="CM3419" s="128"/>
      <c r="CN3419" s="128"/>
      <c r="CO3419" s="128"/>
      <c r="CP3419" s="128"/>
      <c r="CQ3419" s="128"/>
      <c r="CR3419" s="128"/>
      <c r="CS3419" s="128"/>
      <c r="CT3419" s="128"/>
      <c r="CU3419" s="128"/>
      <c r="CV3419" s="128"/>
      <c r="CW3419" s="128"/>
      <c r="CX3419" s="128"/>
      <c r="CY3419" s="128"/>
      <c r="CZ3419" s="165"/>
    </row>
    <row r="3420" spans="1:104">
      <c r="A3420" s="149"/>
      <c r="B3420" s="149"/>
      <c r="C3420" s="150"/>
      <c r="D3420" s="102"/>
      <c r="E3420" s="149"/>
      <c r="F3420" s="149"/>
      <c r="G3420" s="149"/>
      <c r="H3420" s="149"/>
      <c r="I3420" s="149"/>
      <c r="J3420" s="149"/>
      <c r="K3420" s="149"/>
      <c r="L3420" s="149"/>
      <c r="M3420" s="149"/>
      <c r="N3420" s="149"/>
      <c r="O3420" s="149"/>
      <c r="P3420" s="149"/>
      <c r="Q3420" s="149"/>
      <c r="R3420" s="149"/>
      <c r="S3420" s="149"/>
      <c r="T3420" s="149"/>
      <c r="U3420" s="149"/>
      <c r="V3420" s="149"/>
      <c r="W3420" s="149"/>
      <c r="X3420" s="149"/>
      <c r="Y3420" s="149"/>
      <c r="Z3420" s="149"/>
      <c r="AA3420" s="149"/>
      <c r="AB3420" s="149"/>
      <c r="AC3420" s="149"/>
      <c r="AD3420" s="149"/>
      <c r="AE3420" s="149"/>
      <c r="AF3420" s="149"/>
      <c r="AG3420" s="149"/>
      <c r="AH3420" s="149"/>
      <c r="AI3420" s="149"/>
      <c r="AJ3420" s="149"/>
      <c r="AK3420" s="149"/>
      <c r="AL3420" s="149"/>
      <c r="AM3420" s="149"/>
      <c r="AN3420" s="149"/>
      <c r="AO3420" s="128"/>
      <c r="AP3420" s="128"/>
      <c r="AQ3420" s="128"/>
      <c r="AR3420" s="128"/>
      <c r="AS3420" s="128"/>
      <c r="AT3420" s="128"/>
      <c r="AU3420" s="128"/>
      <c r="AV3420" s="128"/>
      <c r="AW3420" s="128"/>
      <c r="AX3420" s="128"/>
      <c r="AY3420" s="128"/>
      <c r="AZ3420" s="128"/>
      <c r="BA3420" s="128"/>
      <c r="BB3420" s="128"/>
      <c r="BC3420" s="128"/>
      <c r="BD3420" s="128"/>
      <c r="BE3420" s="128"/>
      <c r="BF3420" s="128"/>
      <c r="BG3420" s="128"/>
      <c r="BH3420" s="128"/>
      <c r="BI3420" s="128"/>
      <c r="BJ3420" s="128"/>
      <c r="BK3420" s="128"/>
      <c r="BL3420" s="128"/>
      <c r="BM3420" s="151"/>
      <c r="BN3420" s="128"/>
      <c r="BO3420" s="128"/>
      <c r="BP3420" s="128"/>
      <c r="BQ3420" s="128"/>
      <c r="BR3420" s="128"/>
      <c r="BS3420" s="128"/>
      <c r="BT3420" s="128"/>
      <c r="BU3420" s="128"/>
      <c r="BV3420" s="128"/>
      <c r="BW3420" s="128"/>
      <c r="BX3420" s="128"/>
      <c r="BY3420" s="128"/>
      <c r="BZ3420" s="128"/>
      <c r="CA3420" s="128"/>
      <c r="CB3420" s="128"/>
      <c r="CC3420" s="128"/>
      <c r="CD3420" s="128"/>
      <c r="CE3420" s="128"/>
      <c r="CF3420" s="128"/>
      <c r="CG3420" s="128"/>
      <c r="CI3420" s="128"/>
      <c r="CJ3420" s="128"/>
      <c r="CK3420" s="128"/>
      <c r="CL3420" s="128"/>
      <c r="CM3420" s="128"/>
      <c r="CN3420" s="128"/>
      <c r="CO3420" s="128"/>
      <c r="CP3420" s="128"/>
      <c r="CQ3420" s="128"/>
      <c r="CR3420" s="128"/>
      <c r="CS3420" s="128"/>
      <c r="CT3420" s="128"/>
      <c r="CU3420" s="128"/>
      <c r="CV3420" s="128"/>
      <c r="CW3420" s="128"/>
      <c r="CX3420" s="128"/>
      <c r="CY3420" s="128"/>
      <c r="CZ3420" s="165"/>
    </row>
    <row r="3421" spans="1:104">
      <c r="A3421" s="149"/>
      <c r="B3421" s="149"/>
      <c r="C3421" s="150"/>
      <c r="D3421" s="102"/>
      <c r="E3421" s="149"/>
      <c r="F3421" s="149"/>
      <c r="G3421" s="149"/>
      <c r="H3421" s="149"/>
      <c r="I3421" s="149"/>
      <c r="J3421" s="149"/>
      <c r="K3421" s="149"/>
      <c r="L3421" s="149"/>
      <c r="M3421" s="149"/>
      <c r="N3421" s="149"/>
      <c r="O3421" s="149"/>
      <c r="P3421" s="149"/>
      <c r="Q3421" s="149"/>
      <c r="R3421" s="149"/>
      <c r="S3421" s="149"/>
      <c r="T3421" s="149"/>
      <c r="U3421" s="149"/>
      <c r="V3421" s="149"/>
      <c r="W3421" s="149"/>
      <c r="X3421" s="149"/>
      <c r="Y3421" s="149"/>
      <c r="Z3421" s="149"/>
      <c r="AA3421" s="149"/>
      <c r="AB3421" s="149"/>
      <c r="AC3421" s="149"/>
      <c r="AD3421" s="149"/>
      <c r="AE3421" s="149"/>
      <c r="AF3421" s="149"/>
      <c r="AG3421" s="149"/>
      <c r="AH3421" s="149"/>
      <c r="AI3421" s="149"/>
      <c r="AJ3421" s="149"/>
      <c r="AK3421" s="149"/>
      <c r="AL3421" s="149"/>
      <c r="AM3421" s="149"/>
      <c r="AN3421" s="149"/>
      <c r="AO3421" s="128"/>
      <c r="AP3421" s="128"/>
      <c r="AQ3421" s="128"/>
      <c r="AR3421" s="128"/>
      <c r="AS3421" s="128"/>
      <c r="AT3421" s="128"/>
      <c r="AU3421" s="128"/>
      <c r="AV3421" s="128"/>
      <c r="AW3421" s="128"/>
      <c r="AX3421" s="128"/>
      <c r="AY3421" s="128"/>
      <c r="AZ3421" s="128"/>
      <c r="BA3421" s="128"/>
      <c r="BB3421" s="128"/>
      <c r="BC3421" s="128"/>
      <c r="BD3421" s="128"/>
      <c r="BE3421" s="128"/>
      <c r="BF3421" s="128"/>
      <c r="BG3421" s="128"/>
      <c r="BH3421" s="128"/>
      <c r="BI3421" s="128"/>
      <c r="BJ3421" s="128"/>
      <c r="BK3421" s="128"/>
      <c r="BL3421" s="128"/>
      <c r="BM3421" s="151"/>
      <c r="BN3421" s="128"/>
      <c r="BO3421" s="128"/>
      <c r="BP3421" s="128"/>
      <c r="BQ3421" s="128"/>
      <c r="BR3421" s="128"/>
      <c r="BS3421" s="128"/>
      <c r="BT3421" s="128"/>
      <c r="BU3421" s="128"/>
      <c r="BV3421" s="128"/>
      <c r="BW3421" s="128"/>
      <c r="BX3421" s="128"/>
      <c r="BY3421" s="128"/>
      <c r="BZ3421" s="128"/>
      <c r="CA3421" s="128"/>
      <c r="CB3421" s="128"/>
      <c r="CC3421" s="128"/>
      <c r="CD3421" s="128"/>
      <c r="CE3421" s="128"/>
      <c r="CF3421" s="128"/>
      <c r="CG3421" s="128"/>
      <c r="CI3421" s="128"/>
      <c r="CJ3421" s="128"/>
      <c r="CK3421" s="128"/>
      <c r="CL3421" s="128"/>
      <c r="CM3421" s="128"/>
      <c r="CN3421" s="128"/>
      <c r="CO3421" s="128"/>
      <c r="CP3421" s="128"/>
      <c r="CQ3421" s="128"/>
      <c r="CR3421" s="128"/>
      <c r="CS3421" s="128"/>
      <c r="CT3421" s="128"/>
      <c r="CU3421" s="128"/>
      <c r="CV3421" s="128"/>
      <c r="CW3421" s="128"/>
      <c r="CX3421" s="128"/>
      <c r="CY3421" s="128"/>
      <c r="CZ3421" s="165"/>
    </row>
    <row r="3422" spans="1:104">
      <c r="A3422" s="149"/>
      <c r="B3422" s="149"/>
      <c r="C3422" s="150"/>
      <c r="D3422" s="102"/>
      <c r="E3422" s="149"/>
      <c r="F3422" s="149"/>
      <c r="G3422" s="149"/>
      <c r="H3422" s="149"/>
      <c r="I3422" s="149"/>
      <c r="J3422" s="149"/>
      <c r="K3422" s="149"/>
      <c r="L3422" s="149"/>
      <c r="M3422" s="149"/>
      <c r="N3422" s="149"/>
      <c r="O3422" s="149"/>
      <c r="P3422" s="149"/>
      <c r="Q3422" s="149"/>
      <c r="R3422" s="149"/>
      <c r="S3422" s="149"/>
      <c r="T3422" s="149"/>
      <c r="U3422" s="149"/>
      <c r="V3422" s="149"/>
      <c r="W3422" s="149"/>
      <c r="X3422" s="149"/>
      <c r="Y3422" s="149"/>
      <c r="Z3422" s="149"/>
      <c r="AA3422" s="149"/>
      <c r="AB3422" s="149"/>
      <c r="AC3422" s="149"/>
      <c r="AD3422" s="149"/>
      <c r="AE3422" s="149"/>
      <c r="AF3422" s="149"/>
      <c r="AG3422" s="149"/>
      <c r="AH3422" s="149"/>
      <c r="AI3422" s="149"/>
      <c r="AJ3422" s="149"/>
      <c r="AK3422" s="149"/>
      <c r="AL3422" s="149"/>
      <c r="AM3422" s="149"/>
      <c r="AN3422" s="149"/>
      <c r="AO3422" s="128"/>
      <c r="AP3422" s="128"/>
      <c r="AQ3422" s="128"/>
      <c r="AR3422" s="128"/>
      <c r="AS3422" s="128"/>
      <c r="AT3422" s="128"/>
      <c r="AU3422" s="128"/>
      <c r="AV3422" s="128"/>
      <c r="AW3422" s="128"/>
      <c r="AX3422" s="128"/>
      <c r="AY3422" s="128"/>
      <c r="AZ3422" s="128"/>
      <c r="BA3422" s="128"/>
      <c r="BB3422" s="128"/>
      <c r="BC3422" s="128"/>
      <c r="BD3422" s="128"/>
      <c r="BE3422" s="128"/>
      <c r="BF3422" s="128"/>
      <c r="BG3422" s="128"/>
      <c r="BH3422" s="128"/>
      <c r="BI3422" s="128"/>
      <c r="BJ3422" s="128"/>
      <c r="BK3422" s="128"/>
      <c r="BL3422" s="128"/>
      <c r="BM3422" s="151"/>
      <c r="BN3422" s="128"/>
      <c r="BO3422" s="128"/>
      <c r="BP3422" s="128"/>
      <c r="BQ3422" s="128"/>
      <c r="BR3422" s="128"/>
      <c r="BS3422" s="128"/>
      <c r="BT3422" s="128"/>
      <c r="BU3422" s="128"/>
      <c r="BV3422" s="128"/>
      <c r="BW3422" s="128"/>
      <c r="BX3422" s="128"/>
      <c r="BY3422" s="128"/>
      <c r="BZ3422" s="128"/>
      <c r="CA3422" s="128"/>
      <c r="CB3422" s="128"/>
      <c r="CC3422" s="128"/>
      <c r="CD3422" s="128"/>
      <c r="CE3422" s="128"/>
      <c r="CF3422" s="128"/>
      <c r="CG3422" s="128"/>
      <c r="CI3422" s="128"/>
      <c r="CJ3422" s="128"/>
      <c r="CK3422" s="128"/>
      <c r="CL3422" s="128"/>
      <c r="CM3422" s="128"/>
      <c r="CN3422" s="128"/>
      <c r="CO3422" s="128"/>
      <c r="CP3422" s="128"/>
      <c r="CQ3422" s="128"/>
      <c r="CR3422" s="128"/>
      <c r="CS3422" s="128"/>
      <c r="CT3422" s="128"/>
      <c r="CU3422" s="128"/>
      <c r="CV3422" s="128"/>
      <c r="CW3422" s="128"/>
      <c r="CX3422" s="128"/>
      <c r="CY3422" s="128"/>
      <c r="CZ3422" s="165"/>
    </row>
    <row r="3423" spans="1:104">
      <c r="A3423" s="149"/>
      <c r="B3423" s="149"/>
      <c r="C3423" s="150"/>
      <c r="D3423" s="102"/>
      <c r="E3423" s="149"/>
      <c r="F3423" s="149"/>
      <c r="G3423" s="149"/>
      <c r="H3423" s="149"/>
      <c r="I3423" s="149"/>
      <c r="J3423" s="149"/>
      <c r="K3423" s="149"/>
      <c r="L3423" s="149"/>
      <c r="M3423" s="149"/>
      <c r="N3423" s="149"/>
      <c r="O3423" s="149"/>
      <c r="P3423" s="149"/>
      <c r="Q3423" s="149"/>
      <c r="R3423" s="149"/>
      <c r="S3423" s="149"/>
      <c r="T3423" s="149"/>
      <c r="U3423" s="149"/>
      <c r="V3423" s="149"/>
      <c r="W3423" s="149"/>
      <c r="X3423" s="149"/>
      <c r="Y3423" s="149"/>
      <c r="Z3423" s="149"/>
      <c r="AA3423" s="149"/>
      <c r="AB3423" s="149"/>
      <c r="AC3423" s="149"/>
      <c r="AD3423" s="149"/>
      <c r="AE3423" s="149"/>
      <c r="AF3423" s="149"/>
      <c r="AG3423" s="149"/>
      <c r="AH3423" s="149"/>
      <c r="AI3423" s="149"/>
      <c r="AJ3423" s="149"/>
      <c r="AK3423" s="149"/>
      <c r="AL3423" s="149"/>
      <c r="AM3423" s="149"/>
      <c r="AN3423" s="149"/>
      <c r="AO3423" s="128"/>
      <c r="AP3423" s="128"/>
      <c r="AQ3423" s="128"/>
      <c r="AR3423" s="128"/>
      <c r="AS3423" s="128"/>
      <c r="AT3423" s="128"/>
      <c r="AU3423" s="128"/>
      <c r="AV3423" s="128"/>
      <c r="AW3423" s="128"/>
      <c r="AX3423" s="128"/>
      <c r="AY3423" s="128"/>
      <c r="AZ3423" s="128"/>
      <c r="BA3423" s="128"/>
      <c r="BB3423" s="128"/>
      <c r="BC3423" s="128"/>
      <c r="BD3423" s="128"/>
      <c r="BE3423" s="128"/>
      <c r="BF3423" s="128"/>
      <c r="BG3423" s="128"/>
      <c r="BH3423" s="128"/>
      <c r="BI3423" s="128"/>
      <c r="BJ3423" s="128"/>
      <c r="BK3423" s="128"/>
      <c r="BL3423" s="128"/>
      <c r="BM3423" s="151"/>
      <c r="BN3423" s="128"/>
      <c r="BO3423" s="128"/>
      <c r="BP3423" s="128"/>
      <c r="BQ3423" s="128"/>
      <c r="BR3423" s="128"/>
      <c r="BS3423" s="128"/>
      <c r="BT3423" s="128"/>
      <c r="BU3423" s="128"/>
      <c r="BV3423" s="128"/>
      <c r="BW3423" s="128"/>
      <c r="BX3423" s="128"/>
      <c r="BY3423" s="128"/>
      <c r="BZ3423" s="128"/>
      <c r="CA3423" s="128"/>
      <c r="CB3423" s="128"/>
      <c r="CC3423" s="128"/>
      <c r="CD3423" s="128"/>
      <c r="CE3423" s="128"/>
      <c r="CF3423" s="128"/>
      <c r="CG3423" s="128"/>
      <c r="CI3423" s="128"/>
      <c r="CJ3423" s="128"/>
      <c r="CK3423" s="128"/>
      <c r="CL3423" s="128"/>
      <c r="CM3423" s="128"/>
      <c r="CN3423" s="128"/>
      <c r="CO3423" s="128"/>
      <c r="CP3423" s="128"/>
      <c r="CQ3423" s="128"/>
      <c r="CR3423" s="128"/>
      <c r="CS3423" s="128"/>
      <c r="CT3423" s="128"/>
      <c r="CU3423" s="128"/>
      <c r="CV3423" s="128"/>
      <c r="CW3423" s="128"/>
      <c r="CX3423" s="128"/>
      <c r="CY3423" s="128"/>
      <c r="CZ3423" s="165"/>
    </row>
    <row r="3424" spans="1:104">
      <c r="A3424" s="149"/>
      <c r="B3424" s="149"/>
      <c r="C3424" s="150"/>
      <c r="D3424" s="102"/>
      <c r="E3424" s="149"/>
      <c r="F3424" s="149"/>
      <c r="G3424" s="149"/>
      <c r="H3424" s="149"/>
      <c r="I3424" s="149"/>
      <c r="J3424" s="149"/>
      <c r="K3424" s="149"/>
      <c r="L3424" s="149"/>
      <c r="M3424" s="149"/>
      <c r="N3424" s="149"/>
      <c r="O3424" s="149"/>
      <c r="P3424" s="149"/>
      <c r="Q3424" s="149"/>
      <c r="R3424" s="149"/>
      <c r="S3424" s="149"/>
      <c r="T3424" s="149"/>
      <c r="U3424" s="149"/>
      <c r="V3424" s="149"/>
      <c r="W3424" s="149"/>
      <c r="X3424" s="149"/>
      <c r="Y3424" s="149"/>
      <c r="Z3424" s="149"/>
      <c r="AA3424" s="149"/>
      <c r="AB3424" s="149"/>
      <c r="AC3424" s="149"/>
      <c r="AD3424" s="149"/>
      <c r="AE3424" s="149"/>
      <c r="AF3424" s="149"/>
      <c r="AG3424" s="149"/>
      <c r="AH3424" s="149"/>
      <c r="AI3424" s="149"/>
      <c r="AJ3424" s="149"/>
      <c r="AK3424" s="149"/>
      <c r="AL3424" s="149"/>
      <c r="AM3424" s="149"/>
      <c r="AN3424" s="149"/>
      <c r="AO3424" s="128"/>
      <c r="AP3424" s="128"/>
      <c r="AQ3424" s="128"/>
      <c r="AR3424" s="128"/>
      <c r="AS3424" s="128"/>
      <c r="AT3424" s="128"/>
      <c r="AU3424" s="128"/>
      <c r="AV3424" s="128"/>
      <c r="AW3424" s="128"/>
      <c r="AX3424" s="128"/>
      <c r="AY3424" s="128"/>
      <c r="AZ3424" s="128"/>
      <c r="BA3424" s="128"/>
      <c r="BB3424" s="128"/>
      <c r="BC3424" s="128"/>
      <c r="BD3424" s="128"/>
      <c r="BE3424" s="128"/>
      <c r="BF3424" s="128"/>
      <c r="BG3424" s="128"/>
      <c r="BH3424" s="128"/>
      <c r="BI3424" s="128"/>
      <c r="BJ3424" s="128"/>
      <c r="BK3424" s="128"/>
      <c r="BL3424" s="128"/>
      <c r="BM3424" s="151"/>
      <c r="BN3424" s="128"/>
      <c r="BO3424" s="128"/>
      <c r="BP3424" s="128"/>
      <c r="BQ3424" s="128"/>
      <c r="BR3424" s="128"/>
      <c r="BS3424" s="128"/>
      <c r="BT3424" s="128"/>
      <c r="BU3424" s="128"/>
      <c r="BV3424" s="128"/>
      <c r="BW3424" s="128"/>
      <c r="BX3424" s="128"/>
      <c r="BY3424" s="128"/>
      <c r="BZ3424" s="128"/>
      <c r="CA3424" s="128"/>
      <c r="CB3424" s="128"/>
      <c r="CC3424" s="128"/>
      <c r="CD3424" s="128"/>
      <c r="CE3424" s="128"/>
      <c r="CF3424" s="128"/>
      <c r="CG3424" s="128"/>
      <c r="CI3424" s="128"/>
      <c r="CJ3424" s="128"/>
      <c r="CK3424" s="128"/>
      <c r="CL3424" s="128"/>
      <c r="CM3424" s="128"/>
      <c r="CN3424" s="128"/>
      <c r="CO3424" s="128"/>
      <c r="CP3424" s="128"/>
      <c r="CQ3424" s="128"/>
      <c r="CR3424" s="128"/>
      <c r="CS3424" s="128"/>
      <c r="CT3424" s="128"/>
      <c r="CU3424" s="128"/>
      <c r="CV3424" s="128"/>
      <c r="CW3424" s="128"/>
      <c r="CX3424" s="128"/>
      <c r="CY3424" s="128"/>
      <c r="CZ3424" s="165"/>
    </row>
    <row r="3425" spans="1:104">
      <c r="A3425" s="149"/>
      <c r="B3425" s="149"/>
      <c r="C3425" s="150"/>
      <c r="D3425" s="102"/>
      <c r="E3425" s="149"/>
      <c r="F3425" s="149"/>
      <c r="G3425" s="149"/>
      <c r="H3425" s="149"/>
      <c r="I3425" s="149"/>
      <c r="J3425" s="149"/>
      <c r="K3425" s="149"/>
      <c r="L3425" s="149"/>
      <c r="M3425" s="149"/>
      <c r="N3425" s="149"/>
      <c r="O3425" s="149"/>
      <c r="P3425" s="149"/>
      <c r="Q3425" s="149"/>
      <c r="R3425" s="149"/>
      <c r="S3425" s="149"/>
      <c r="T3425" s="149"/>
      <c r="U3425" s="149"/>
      <c r="V3425" s="149"/>
      <c r="W3425" s="149"/>
      <c r="X3425" s="149"/>
      <c r="Y3425" s="149"/>
      <c r="Z3425" s="149"/>
      <c r="AA3425" s="149"/>
      <c r="AB3425" s="149"/>
      <c r="AC3425" s="149"/>
      <c r="AD3425" s="149"/>
      <c r="AE3425" s="149"/>
      <c r="AF3425" s="149"/>
      <c r="AG3425" s="149"/>
      <c r="AH3425" s="149"/>
      <c r="AI3425" s="149"/>
      <c r="AJ3425" s="149"/>
      <c r="AK3425" s="149"/>
      <c r="AL3425" s="149"/>
      <c r="AM3425" s="149"/>
      <c r="AN3425" s="149"/>
      <c r="AO3425" s="128"/>
      <c r="AP3425" s="128"/>
      <c r="AQ3425" s="128"/>
      <c r="AR3425" s="128"/>
      <c r="AS3425" s="128"/>
      <c r="AT3425" s="128"/>
      <c r="AU3425" s="128"/>
      <c r="AV3425" s="128"/>
      <c r="AW3425" s="128"/>
      <c r="AX3425" s="128"/>
      <c r="AY3425" s="128"/>
      <c r="AZ3425" s="128"/>
      <c r="BA3425" s="128"/>
      <c r="BB3425" s="128"/>
      <c r="BC3425" s="128"/>
      <c r="BD3425" s="128"/>
      <c r="BE3425" s="128"/>
      <c r="BF3425" s="128"/>
      <c r="BG3425" s="128"/>
      <c r="BH3425" s="128"/>
      <c r="BI3425" s="128"/>
      <c r="BJ3425" s="128"/>
      <c r="BK3425" s="128"/>
      <c r="BL3425" s="128"/>
      <c r="BM3425" s="151"/>
      <c r="BN3425" s="128"/>
      <c r="BO3425" s="128"/>
      <c r="BP3425" s="128"/>
      <c r="BQ3425" s="128"/>
      <c r="BR3425" s="128"/>
      <c r="BS3425" s="128"/>
      <c r="BT3425" s="128"/>
      <c r="BU3425" s="128"/>
      <c r="BV3425" s="128"/>
      <c r="BW3425" s="128"/>
      <c r="BX3425" s="128"/>
      <c r="BY3425" s="128"/>
      <c r="BZ3425" s="128"/>
      <c r="CA3425" s="128"/>
      <c r="CB3425" s="128"/>
      <c r="CC3425" s="128"/>
      <c r="CD3425" s="128"/>
      <c r="CE3425" s="128"/>
      <c r="CF3425" s="128"/>
      <c r="CG3425" s="128"/>
      <c r="CI3425" s="128"/>
      <c r="CJ3425" s="128"/>
      <c r="CK3425" s="128"/>
      <c r="CL3425" s="128"/>
      <c r="CM3425" s="128"/>
      <c r="CN3425" s="128"/>
      <c r="CO3425" s="128"/>
      <c r="CP3425" s="128"/>
      <c r="CQ3425" s="128"/>
      <c r="CR3425" s="128"/>
      <c r="CS3425" s="128"/>
      <c r="CT3425" s="128"/>
      <c r="CU3425" s="128"/>
      <c r="CV3425" s="128"/>
      <c r="CW3425" s="128"/>
      <c r="CX3425" s="128"/>
      <c r="CY3425" s="128"/>
      <c r="CZ3425" s="165"/>
    </row>
    <row r="3426" spans="1:104">
      <c r="A3426" s="149"/>
      <c r="B3426" s="149"/>
      <c r="C3426" s="150"/>
      <c r="D3426" s="102"/>
      <c r="E3426" s="149"/>
      <c r="F3426" s="149"/>
      <c r="G3426" s="149"/>
      <c r="H3426" s="149"/>
      <c r="I3426" s="149"/>
      <c r="J3426" s="149"/>
      <c r="K3426" s="149"/>
      <c r="L3426" s="149"/>
      <c r="M3426" s="149"/>
      <c r="N3426" s="149"/>
      <c r="O3426" s="149"/>
      <c r="P3426" s="149"/>
      <c r="Q3426" s="149"/>
      <c r="R3426" s="149"/>
      <c r="S3426" s="149"/>
      <c r="T3426" s="149"/>
      <c r="U3426" s="149"/>
      <c r="V3426" s="149"/>
      <c r="W3426" s="149"/>
      <c r="X3426" s="149"/>
      <c r="Y3426" s="149"/>
      <c r="Z3426" s="149"/>
      <c r="AA3426" s="149"/>
      <c r="AB3426" s="149"/>
      <c r="AC3426" s="149"/>
      <c r="AD3426" s="149"/>
      <c r="AE3426" s="149"/>
      <c r="AF3426" s="149"/>
      <c r="AG3426" s="149"/>
      <c r="AH3426" s="149"/>
      <c r="AI3426" s="149"/>
      <c r="AJ3426" s="149"/>
      <c r="AK3426" s="149"/>
      <c r="AL3426" s="149"/>
      <c r="AM3426" s="149"/>
      <c r="AN3426" s="149"/>
      <c r="AO3426" s="128"/>
      <c r="AP3426" s="128"/>
      <c r="AQ3426" s="128"/>
      <c r="AR3426" s="128"/>
      <c r="AS3426" s="128"/>
      <c r="AT3426" s="128"/>
      <c r="AU3426" s="128"/>
      <c r="AV3426" s="128"/>
      <c r="AW3426" s="128"/>
      <c r="AX3426" s="128"/>
      <c r="AY3426" s="128"/>
      <c r="AZ3426" s="128"/>
      <c r="BA3426" s="128"/>
      <c r="BB3426" s="128"/>
      <c r="BC3426" s="128"/>
      <c r="BD3426" s="128"/>
      <c r="BE3426" s="128"/>
      <c r="BF3426" s="128"/>
      <c r="BG3426" s="128"/>
      <c r="BH3426" s="128"/>
      <c r="BI3426" s="128"/>
      <c r="BJ3426" s="128"/>
      <c r="BK3426" s="128"/>
      <c r="BL3426" s="128"/>
      <c r="BM3426" s="151"/>
      <c r="BN3426" s="128"/>
      <c r="BO3426" s="128"/>
      <c r="BP3426" s="128"/>
      <c r="BQ3426" s="128"/>
      <c r="BR3426" s="128"/>
      <c r="BS3426" s="128"/>
      <c r="BT3426" s="128"/>
      <c r="BU3426" s="128"/>
      <c r="BV3426" s="128"/>
      <c r="BW3426" s="128"/>
      <c r="BX3426" s="128"/>
      <c r="BY3426" s="128"/>
      <c r="BZ3426" s="128"/>
      <c r="CA3426" s="128"/>
      <c r="CB3426" s="128"/>
      <c r="CC3426" s="128"/>
      <c r="CD3426" s="128"/>
      <c r="CE3426" s="128"/>
      <c r="CF3426" s="128"/>
      <c r="CG3426" s="128"/>
      <c r="CI3426" s="128"/>
      <c r="CJ3426" s="128"/>
      <c r="CK3426" s="128"/>
      <c r="CL3426" s="128"/>
      <c r="CM3426" s="128"/>
      <c r="CN3426" s="128"/>
      <c r="CO3426" s="128"/>
      <c r="CP3426" s="128"/>
      <c r="CQ3426" s="128"/>
      <c r="CR3426" s="128"/>
      <c r="CS3426" s="128"/>
      <c r="CT3426" s="128"/>
      <c r="CU3426" s="128"/>
      <c r="CV3426" s="128"/>
      <c r="CW3426" s="128"/>
      <c r="CX3426" s="128"/>
      <c r="CY3426" s="128"/>
      <c r="CZ3426" s="165"/>
    </row>
    <row r="3427" spans="1:104">
      <c r="A3427" s="149"/>
      <c r="B3427" s="149"/>
      <c r="C3427" s="150"/>
      <c r="D3427" s="102"/>
      <c r="E3427" s="149"/>
      <c r="F3427" s="149"/>
      <c r="G3427" s="149"/>
      <c r="H3427" s="149"/>
      <c r="I3427" s="149"/>
      <c r="J3427" s="149"/>
      <c r="K3427" s="149"/>
      <c r="L3427" s="149"/>
      <c r="M3427" s="149"/>
      <c r="N3427" s="149"/>
      <c r="O3427" s="149"/>
      <c r="P3427" s="149"/>
      <c r="Q3427" s="149"/>
      <c r="R3427" s="149"/>
      <c r="S3427" s="149"/>
      <c r="T3427" s="149"/>
      <c r="U3427" s="149"/>
      <c r="V3427" s="149"/>
      <c r="W3427" s="149"/>
      <c r="X3427" s="149"/>
      <c r="Y3427" s="149"/>
      <c r="Z3427" s="149"/>
      <c r="AA3427" s="149"/>
      <c r="AB3427" s="149"/>
      <c r="AC3427" s="149"/>
      <c r="AD3427" s="149"/>
      <c r="AE3427" s="149"/>
      <c r="AF3427" s="149"/>
      <c r="AG3427" s="149"/>
      <c r="AH3427" s="149"/>
      <c r="AI3427" s="149"/>
      <c r="AJ3427" s="149"/>
      <c r="AK3427" s="149"/>
      <c r="AL3427" s="149"/>
      <c r="AM3427" s="149"/>
      <c r="AN3427" s="149"/>
      <c r="AO3427" s="128"/>
      <c r="AP3427" s="128"/>
      <c r="AQ3427" s="128"/>
      <c r="AR3427" s="128"/>
      <c r="AS3427" s="128"/>
      <c r="AT3427" s="128"/>
      <c r="AU3427" s="128"/>
      <c r="AV3427" s="128"/>
      <c r="AW3427" s="128"/>
      <c r="AX3427" s="128"/>
      <c r="AY3427" s="128"/>
      <c r="AZ3427" s="128"/>
      <c r="BA3427" s="128"/>
      <c r="BB3427" s="128"/>
      <c r="BC3427" s="128"/>
      <c r="BD3427" s="128"/>
      <c r="BE3427" s="128"/>
      <c r="BF3427" s="128"/>
      <c r="BG3427" s="128"/>
      <c r="BH3427" s="128"/>
      <c r="BI3427" s="128"/>
      <c r="BJ3427" s="128"/>
      <c r="BK3427" s="128"/>
      <c r="BL3427" s="128"/>
      <c r="BM3427" s="151"/>
      <c r="BN3427" s="128"/>
      <c r="BO3427" s="128"/>
      <c r="BP3427" s="128"/>
      <c r="BQ3427" s="128"/>
      <c r="BR3427" s="128"/>
      <c r="BS3427" s="128"/>
      <c r="BT3427" s="128"/>
      <c r="BU3427" s="128"/>
      <c r="BV3427" s="128"/>
      <c r="BW3427" s="128"/>
      <c r="BX3427" s="128"/>
      <c r="BY3427" s="128"/>
      <c r="BZ3427" s="128"/>
      <c r="CA3427" s="128"/>
      <c r="CB3427" s="128"/>
      <c r="CC3427" s="128"/>
      <c r="CD3427" s="128"/>
      <c r="CE3427" s="128"/>
      <c r="CF3427" s="128"/>
      <c r="CG3427" s="128"/>
      <c r="CI3427" s="128"/>
      <c r="CJ3427" s="128"/>
      <c r="CK3427" s="128"/>
      <c r="CL3427" s="128"/>
      <c r="CM3427" s="128"/>
      <c r="CN3427" s="128"/>
      <c r="CO3427" s="128"/>
      <c r="CP3427" s="128"/>
      <c r="CQ3427" s="128"/>
      <c r="CR3427" s="128"/>
      <c r="CS3427" s="128"/>
      <c r="CT3427" s="128"/>
      <c r="CU3427" s="128"/>
      <c r="CV3427" s="128"/>
      <c r="CW3427" s="128"/>
      <c r="CX3427" s="128"/>
      <c r="CY3427" s="128"/>
      <c r="CZ3427" s="165"/>
    </row>
    <row r="3428" spans="1:104">
      <c r="A3428" s="149"/>
      <c r="B3428" s="149"/>
      <c r="C3428" s="150"/>
      <c r="D3428" s="102"/>
      <c r="E3428" s="149"/>
      <c r="F3428" s="149"/>
      <c r="G3428" s="149"/>
      <c r="H3428" s="149"/>
      <c r="I3428" s="149"/>
      <c r="J3428" s="149"/>
      <c r="K3428" s="149"/>
      <c r="L3428" s="149"/>
      <c r="M3428" s="149"/>
      <c r="N3428" s="149"/>
      <c r="O3428" s="149"/>
      <c r="P3428" s="149"/>
      <c r="Q3428" s="149"/>
      <c r="R3428" s="149"/>
      <c r="S3428" s="149"/>
      <c r="T3428" s="149"/>
      <c r="U3428" s="149"/>
      <c r="V3428" s="149"/>
      <c r="W3428" s="149"/>
      <c r="X3428" s="149"/>
      <c r="Y3428" s="149"/>
      <c r="Z3428" s="149"/>
      <c r="AA3428" s="149"/>
      <c r="AB3428" s="149"/>
      <c r="AC3428" s="149"/>
      <c r="AD3428" s="149"/>
      <c r="AE3428" s="149"/>
      <c r="AF3428" s="149"/>
      <c r="AG3428" s="149"/>
      <c r="AH3428" s="149"/>
      <c r="AI3428" s="149"/>
      <c r="AJ3428" s="149"/>
      <c r="AK3428" s="149"/>
      <c r="AL3428" s="149"/>
      <c r="AM3428" s="149"/>
      <c r="AN3428" s="149"/>
      <c r="AO3428" s="128"/>
      <c r="AP3428" s="128"/>
      <c r="AQ3428" s="128"/>
      <c r="AR3428" s="128"/>
      <c r="AS3428" s="128"/>
      <c r="AT3428" s="128"/>
      <c r="AU3428" s="128"/>
      <c r="AV3428" s="128"/>
      <c r="AW3428" s="128"/>
      <c r="AX3428" s="128"/>
      <c r="AY3428" s="128"/>
      <c r="AZ3428" s="128"/>
      <c r="BA3428" s="128"/>
      <c r="BB3428" s="128"/>
      <c r="BC3428" s="128"/>
      <c r="BD3428" s="128"/>
      <c r="BE3428" s="128"/>
      <c r="BF3428" s="128"/>
      <c r="BG3428" s="128"/>
      <c r="BH3428" s="128"/>
      <c r="BI3428" s="128"/>
      <c r="BJ3428" s="128"/>
      <c r="BK3428" s="128"/>
      <c r="BL3428" s="128"/>
      <c r="BM3428" s="151"/>
      <c r="BN3428" s="128"/>
      <c r="BO3428" s="128"/>
      <c r="BP3428" s="128"/>
      <c r="BQ3428" s="128"/>
      <c r="BR3428" s="128"/>
      <c r="BS3428" s="128"/>
      <c r="BT3428" s="128"/>
      <c r="BU3428" s="128"/>
      <c r="BV3428" s="128"/>
      <c r="BW3428" s="128"/>
      <c r="BX3428" s="128"/>
      <c r="BY3428" s="128"/>
      <c r="BZ3428" s="128"/>
      <c r="CA3428" s="128"/>
      <c r="CB3428" s="128"/>
      <c r="CC3428" s="128"/>
      <c r="CD3428" s="128"/>
      <c r="CE3428" s="128"/>
      <c r="CF3428" s="128"/>
      <c r="CG3428" s="128"/>
      <c r="CI3428" s="128"/>
      <c r="CJ3428" s="128"/>
      <c r="CK3428" s="128"/>
      <c r="CL3428" s="128"/>
      <c r="CM3428" s="128"/>
      <c r="CN3428" s="128"/>
      <c r="CO3428" s="128"/>
      <c r="CP3428" s="128"/>
      <c r="CQ3428" s="128"/>
      <c r="CR3428" s="128"/>
      <c r="CS3428" s="128"/>
      <c r="CT3428" s="128"/>
      <c r="CU3428" s="128"/>
      <c r="CV3428" s="128"/>
      <c r="CW3428" s="128"/>
      <c r="CX3428" s="128"/>
      <c r="CY3428" s="128"/>
      <c r="CZ3428" s="165"/>
    </row>
    <row r="3429" spans="1:104">
      <c r="A3429" s="149"/>
      <c r="B3429" s="149"/>
      <c r="C3429" s="150"/>
      <c r="D3429" s="102"/>
      <c r="E3429" s="149"/>
      <c r="F3429" s="149"/>
      <c r="G3429" s="149"/>
      <c r="H3429" s="149"/>
      <c r="I3429" s="149"/>
      <c r="J3429" s="149"/>
      <c r="K3429" s="149"/>
      <c r="L3429" s="149"/>
      <c r="M3429" s="149"/>
      <c r="N3429" s="149"/>
      <c r="O3429" s="149"/>
      <c r="P3429" s="149"/>
      <c r="Q3429" s="149"/>
      <c r="R3429" s="149"/>
      <c r="S3429" s="149"/>
      <c r="T3429" s="149"/>
      <c r="U3429" s="149"/>
      <c r="V3429" s="149"/>
      <c r="W3429" s="149"/>
      <c r="X3429" s="149"/>
      <c r="Y3429" s="149"/>
      <c r="Z3429" s="149"/>
      <c r="AA3429" s="149"/>
      <c r="AB3429" s="149"/>
      <c r="AC3429" s="149"/>
      <c r="AD3429" s="149"/>
      <c r="AE3429" s="149"/>
      <c r="AF3429" s="149"/>
      <c r="AG3429" s="149"/>
      <c r="AH3429" s="149"/>
      <c r="AI3429" s="149"/>
      <c r="AJ3429" s="149"/>
      <c r="AK3429" s="149"/>
      <c r="AL3429" s="149"/>
      <c r="AM3429" s="149"/>
      <c r="AN3429" s="149"/>
      <c r="AO3429" s="128"/>
      <c r="AP3429" s="128"/>
      <c r="AQ3429" s="128"/>
      <c r="AR3429" s="128"/>
      <c r="AS3429" s="128"/>
      <c r="AT3429" s="128"/>
      <c r="AU3429" s="128"/>
      <c r="AV3429" s="128"/>
      <c r="AW3429" s="128"/>
      <c r="AX3429" s="128"/>
      <c r="AY3429" s="128"/>
      <c r="AZ3429" s="128"/>
      <c r="BA3429" s="128"/>
      <c r="BB3429" s="128"/>
      <c r="BC3429" s="128"/>
      <c r="BD3429" s="128"/>
      <c r="BE3429" s="128"/>
      <c r="BF3429" s="128"/>
      <c r="BG3429" s="128"/>
      <c r="BH3429" s="128"/>
      <c r="BI3429" s="128"/>
      <c r="BJ3429" s="128"/>
      <c r="BK3429" s="128"/>
      <c r="BL3429" s="128"/>
      <c r="BM3429" s="151"/>
      <c r="BN3429" s="128"/>
      <c r="BO3429" s="128"/>
      <c r="BP3429" s="128"/>
      <c r="BQ3429" s="128"/>
      <c r="BR3429" s="128"/>
      <c r="BS3429" s="128"/>
      <c r="BT3429" s="128"/>
      <c r="BU3429" s="128"/>
      <c r="BV3429" s="128"/>
      <c r="BW3429" s="128"/>
      <c r="BX3429" s="128"/>
      <c r="BY3429" s="128"/>
      <c r="BZ3429" s="128"/>
      <c r="CA3429" s="128"/>
      <c r="CB3429" s="128"/>
      <c r="CC3429" s="128"/>
      <c r="CD3429" s="128"/>
      <c r="CE3429" s="128"/>
      <c r="CF3429" s="128"/>
      <c r="CG3429" s="128"/>
      <c r="CI3429" s="128"/>
      <c r="CJ3429" s="128"/>
      <c r="CK3429" s="128"/>
      <c r="CL3429" s="128"/>
      <c r="CM3429" s="128"/>
      <c r="CN3429" s="128"/>
      <c r="CO3429" s="128"/>
      <c r="CP3429" s="128"/>
      <c r="CQ3429" s="128"/>
      <c r="CR3429" s="128"/>
      <c r="CS3429" s="128"/>
      <c r="CT3429" s="128"/>
      <c r="CU3429" s="128"/>
      <c r="CV3429" s="128"/>
      <c r="CW3429" s="128"/>
      <c r="CX3429" s="128"/>
      <c r="CY3429" s="128"/>
      <c r="CZ3429" s="165"/>
    </row>
    <row r="3430" spans="1:104">
      <c r="A3430" s="149"/>
      <c r="B3430" s="149"/>
      <c r="C3430" s="150"/>
      <c r="D3430" s="102"/>
      <c r="E3430" s="149"/>
      <c r="F3430" s="149"/>
      <c r="G3430" s="149"/>
      <c r="H3430" s="149"/>
      <c r="I3430" s="149"/>
      <c r="J3430" s="149"/>
      <c r="K3430" s="149"/>
      <c r="L3430" s="149"/>
      <c r="M3430" s="149"/>
      <c r="N3430" s="149"/>
      <c r="O3430" s="149"/>
      <c r="P3430" s="149"/>
      <c r="Q3430" s="149"/>
      <c r="R3430" s="149"/>
      <c r="S3430" s="149"/>
      <c r="T3430" s="149"/>
      <c r="U3430" s="149"/>
      <c r="V3430" s="149"/>
      <c r="W3430" s="149"/>
      <c r="X3430" s="149"/>
      <c r="Y3430" s="149"/>
      <c r="Z3430" s="149"/>
      <c r="AA3430" s="149"/>
      <c r="AB3430" s="149"/>
      <c r="AC3430" s="149"/>
      <c r="AD3430" s="149"/>
      <c r="AE3430" s="149"/>
      <c r="AF3430" s="149"/>
      <c r="AG3430" s="149"/>
      <c r="AH3430" s="149"/>
      <c r="AI3430" s="149"/>
      <c r="AJ3430" s="149"/>
      <c r="AK3430" s="149"/>
      <c r="AL3430" s="149"/>
      <c r="AM3430" s="149"/>
      <c r="AN3430" s="149"/>
      <c r="AO3430" s="128"/>
      <c r="AP3430" s="128"/>
      <c r="AQ3430" s="128"/>
      <c r="AR3430" s="128"/>
      <c r="AS3430" s="128"/>
      <c r="AT3430" s="128"/>
      <c r="AU3430" s="128"/>
      <c r="AV3430" s="128"/>
      <c r="AW3430" s="128"/>
      <c r="AX3430" s="128"/>
      <c r="AY3430" s="128"/>
      <c r="AZ3430" s="128"/>
      <c r="BA3430" s="128"/>
      <c r="BB3430" s="128"/>
      <c r="BC3430" s="128"/>
      <c r="BD3430" s="128"/>
      <c r="BE3430" s="128"/>
      <c r="BF3430" s="128"/>
      <c r="BG3430" s="128"/>
      <c r="BH3430" s="128"/>
      <c r="BI3430" s="128"/>
      <c r="BJ3430" s="128"/>
      <c r="BK3430" s="128"/>
      <c r="BL3430" s="128"/>
      <c r="BM3430" s="151"/>
      <c r="BN3430" s="128"/>
      <c r="BO3430" s="128"/>
      <c r="BP3430" s="128"/>
      <c r="BQ3430" s="128"/>
      <c r="BR3430" s="128"/>
      <c r="BS3430" s="128"/>
      <c r="BT3430" s="128"/>
      <c r="BU3430" s="128"/>
      <c r="BV3430" s="128"/>
      <c r="BW3430" s="128"/>
      <c r="BX3430" s="128"/>
      <c r="BY3430" s="128"/>
      <c r="BZ3430" s="128"/>
      <c r="CA3430" s="128"/>
      <c r="CB3430" s="128"/>
      <c r="CC3430" s="128"/>
      <c r="CD3430" s="128"/>
      <c r="CE3430" s="128"/>
      <c r="CF3430" s="128"/>
      <c r="CG3430" s="128"/>
      <c r="CI3430" s="128"/>
      <c r="CJ3430" s="128"/>
      <c r="CK3430" s="128"/>
      <c r="CL3430" s="128"/>
      <c r="CM3430" s="128"/>
      <c r="CN3430" s="128"/>
      <c r="CO3430" s="128"/>
      <c r="CP3430" s="128"/>
      <c r="CQ3430" s="128"/>
      <c r="CR3430" s="128"/>
      <c r="CS3430" s="128"/>
      <c r="CT3430" s="128"/>
      <c r="CU3430" s="128"/>
      <c r="CV3430" s="128"/>
      <c r="CW3430" s="128"/>
      <c r="CX3430" s="128"/>
      <c r="CY3430" s="128"/>
      <c r="CZ3430" s="165"/>
    </row>
    <row r="3431" spans="1:104">
      <c r="A3431" s="149"/>
      <c r="B3431" s="149"/>
      <c r="C3431" s="150"/>
      <c r="D3431" s="102"/>
      <c r="E3431" s="149"/>
      <c r="F3431" s="149"/>
      <c r="G3431" s="149"/>
      <c r="H3431" s="149"/>
      <c r="I3431" s="149"/>
      <c r="J3431" s="149"/>
      <c r="K3431" s="149"/>
      <c r="L3431" s="149"/>
      <c r="M3431" s="149"/>
      <c r="N3431" s="149"/>
      <c r="O3431" s="149"/>
      <c r="P3431" s="149"/>
      <c r="Q3431" s="149"/>
      <c r="R3431" s="149"/>
      <c r="S3431" s="149"/>
      <c r="T3431" s="149"/>
      <c r="U3431" s="149"/>
      <c r="V3431" s="149"/>
      <c r="W3431" s="149"/>
      <c r="X3431" s="149"/>
      <c r="Y3431" s="149"/>
      <c r="Z3431" s="149"/>
      <c r="AA3431" s="149"/>
      <c r="AB3431" s="149"/>
      <c r="AC3431" s="149"/>
      <c r="AD3431" s="149"/>
      <c r="AE3431" s="149"/>
      <c r="AF3431" s="149"/>
      <c r="AG3431" s="149"/>
      <c r="AH3431" s="149"/>
      <c r="AI3431" s="149"/>
      <c r="AJ3431" s="149"/>
      <c r="AK3431" s="149"/>
      <c r="AL3431" s="149"/>
      <c r="AM3431" s="149"/>
      <c r="AN3431" s="149"/>
      <c r="AO3431" s="128"/>
      <c r="AP3431" s="128"/>
      <c r="AQ3431" s="128"/>
      <c r="AR3431" s="128"/>
      <c r="AS3431" s="128"/>
      <c r="AT3431" s="128"/>
      <c r="AU3431" s="128"/>
      <c r="AV3431" s="128"/>
      <c r="AW3431" s="128"/>
      <c r="AX3431" s="128"/>
      <c r="AY3431" s="128"/>
      <c r="AZ3431" s="128"/>
      <c r="BA3431" s="128"/>
      <c r="BB3431" s="128"/>
      <c r="BC3431" s="128"/>
      <c r="BD3431" s="128"/>
      <c r="BE3431" s="128"/>
      <c r="BF3431" s="128"/>
      <c r="BG3431" s="128"/>
      <c r="BH3431" s="128"/>
      <c r="BI3431" s="128"/>
      <c r="BJ3431" s="128"/>
      <c r="BK3431" s="128"/>
      <c r="BL3431" s="128"/>
      <c r="BM3431" s="151"/>
      <c r="BN3431" s="128"/>
      <c r="BO3431" s="128"/>
      <c r="BP3431" s="128"/>
      <c r="BQ3431" s="128"/>
      <c r="BR3431" s="128"/>
      <c r="BS3431" s="128"/>
      <c r="BT3431" s="128"/>
      <c r="BU3431" s="128"/>
      <c r="BV3431" s="128"/>
      <c r="BW3431" s="128"/>
      <c r="BX3431" s="128"/>
      <c r="BY3431" s="128"/>
      <c r="BZ3431" s="128"/>
      <c r="CA3431" s="128"/>
      <c r="CB3431" s="128"/>
      <c r="CC3431" s="128"/>
      <c r="CD3431" s="128"/>
      <c r="CE3431" s="128"/>
      <c r="CF3431" s="128"/>
      <c r="CG3431" s="128"/>
      <c r="CI3431" s="128"/>
      <c r="CJ3431" s="128"/>
      <c r="CK3431" s="128"/>
      <c r="CL3431" s="128"/>
      <c r="CM3431" s="128"/>
      <c r="CN3431" s="128"/>
      <c r="CO3431" s="128"/>
      <c r="CP3431" s="128"/>
      <c r="CQ3431" s="128"/>
      <c r="CR3431" s="128"/>
      <c r="CS3431" s="128"/>
      <c r="CT3431" s="128"/>
      <c r="CU3431" s="128"/>
      <c r="CV3431" s="128"/>
      <c r="CW3431" s="128"/>
      <c r="CX3431" s="128"/>
      <c r="CY3431" s="128"/>
      <c r="CZ3431" s="165"/>
    </row>
    <row r="3432" spans="1:104">
      <c r="A3432" s="149"/>
      <c r="B3432" s="149"/>
      <c r="C3432" s="150"/>
      <c r="D3432" s="102"/>
      <c r="E3432" s="149"/>
      <c r="F3432" s="149"/>
      <c r="G3432" s="149"/>
      <c r="H3432" s="149"/>
      <c r="I3432" s="149"/>
      <c r="J3432" s="149"/>
      <c r="K3432" s="149"/>
      <c r="L3432" s="149"/>
      <c r="M3432" s="149"/>
      <c r="N3432" s="149"/>
      <c r="O3432" s="149"/>
      <c r="P3432" s="149"/>
      <c r="Q3432" s="149"/>
      <c r="R3432" s="149"/>
      <c r="S3432" s="149"/>
      <c r="T3432" s="149"/>
      <c r="U3432" s="149"/>
      <c r="V3432" s="149"/>
      <c r="W3432" s="149"/>
      <c r="X3432" s="149"/>
      <c r="Y3432" s="149"/>
      <c r="Z3432" s="149"/>
      <c r="AA3432" s="149"/>
      <c r="AB3432" s="149"/>
      <c r="AC3432" s="149"/>
      <c r="AD3432" s="149"/>
      <c r="AE3432" s="149"/>
      <c r="AF3432" s="149"/>
      <c r="AG3432" s="149"/>
      <c r="AH3432" s="149"/>
      <c r="AI3432" s="149"/>
      <c r="AJ3432" s="149"/>
      <c r="AK3432" s="149"/>
      <c r="AL3432" s="149"/>
      <c r="AM3432" s="149"/>
      <c r="AN3432" s="149"/>
      <c r="AO3432" s="128"/>
      <c r="AP3432" s="128"/>
      <c r="AQ3432" s="128"/>
      <c r="AR3432" s="128"/>
      <c r="AS3432" s="128"/>
      <c r="AT3432" s="128"/>
      <c r="AU3432" s="128"/>
      <c r="AV3432" s="128"/>
      <c r="AW3432" s="128"/>
      <c r="AX3432" s="128"/>
      <c r="AY3432" s="128"/>
      <c r="AZ3432" s="128"/>
      <c r="BA3432" s="128"/>
      <c r="BB3432" s="128"/>
      <c r="BC3432" s="128"/>
      <c r="BD3432" s="128"/>
      <c r="BE3432" s="128"/>
      <c r="BF3432" s="128"/>
      <c r="BG3432" s="128"/>
      <c r="BH3432" s="128"/>
      <c r="BI3432" s="128"/>
      <c r="BJ3432" s="128"/>
      <c r="BK3432" s="128"/>
      <c r="BL3432" s="128"/>
      <c r="BM3432" s="151"/>
      <c r="BN3432" s="128"/>
      <c r="BO3432" s="128"/>
      <c r="BP3432" s="128"/>
      <c r="BQ3432" s="128"/>
      <c r="BR3432" s="128"/>
      <c r="BS3432" s="128"/>
      <c r="BT3432" s="128"/>
      <c r="BU3432" s="128"/>
      <c r="BV3432" s="128"/>
      <c r="BW3432" s="128"/>
      <c r="BX3432" s="128"/>
      <c r="BY3432" s="128"/>
      <c r="BZ3432" s="128"/>
      <c r="CA3432" s="128"/>
      <c r="CB3432" s="128"/>
      <c r="CC3432" s="128"/>
      <c r="CD3432" s="128"/>
      <c r="CE3432" s="128"/>
      <c r="CF3432" s="128"/>
      <c r="CG3432" s="128"/>
      <c r="CI3432" s="128"/>
      <c r="CJ3432" s="128"/>
      <c r="CK3432" s="128"/>
      <c r="CL3432" s="128"/>
      <c r="CM3432" s="128"/>
      <c r="CN3432" s="128"/>
      <c r="CO3432" s="128"/>
      <c r="CP3432" s="128"/>
      <c r="CQ3432" s="128"/>
      <c r="CR3432" s="128"/>
      <c r="CS3432" s="128"/>
      <c r="CT3432" s="128"/>
      <c r="CU3432" s="128"/>
      <c r="CV3432" s="128"/>
      <c r="CW3432" s="128"/>
      <c r="CX3432" s="128"/>
      <c r="CY3432" s="128"/>
      <c r="CZ3432" s="165"/>
    </row>
    <row r="3433" spans="1:104">
      <c r="A3433" s="149"/>
      <c r="B3433" s="149"/>
      <c r="C3433" s="150"/>
      <c r="D3433" s="102"/>
      <c r="E3433" s="149"/>
      <c r="F3433" s="149"/>
      <c r="G3433" s="149"/>
      <c r="H3433" s="149"/>
      <c r="I3433" s="149"/>
      <c r="J3433" s="149"/>
      <c r="K3433" s="149"/>
      <c r="L3433" s="149"/>
      <c r="M3433" s="149"/>
      <c r="N3433" s="149"/>
      <c r="O3433" s="149"/>
      <c r="P3433" s="149"/>
      <c r="Q3433" s="149"/>
      <c r="R3433" s="149"/>
      <c r="S3433" s="149"/>
      <c r="T3433" s="149"/>
      <c r="U3433" s="149"/>
      <c r="V3433" s="149"/>
      <c r="W3433" s="149"/>
      <c r="X3433" s="149"/>
      <c r="Y3433" s="149"/>
      <c r="Z3433" s="149"/>
      <c r="AA3433" s="149"/>
      <c r="AB3433" s="149"/>
      <c r="AC3433" s="149"/>
      <c r="AD3433" s="149"/>
      <c r="AE3433" s="149"/>
      <c r="AF3433" s="149"/>
      <c r="AG3433" s="149"/>
      <c r="AH3433" s="149"/>
      <c r="AI3433" s="149"/>
      <c r="AJ3433" s="149"/>
      <c r="AK3433" s="149"/>
      <c r="AL3433" s="149"/>
      <c r="AM3433" s="149"/>
      <c r="AN3433" s="149"/>
      <c r="AO3433" s="128"/>
      <c r="AP3433" s="128"/>
      <c r="AQ3433" s="128"/>
      <c r="AR3433" s="128"/>
      <c r="AS3433" s="128"/>
      <c r="AT3433" s="128"/>
      <c r="AU3433" s="128"/>
      <c r="AV3433" s="128"/>
      <c r="AW3433" s="128"/>
      <c r="AX3433" s="128"/>
      <c r="AY3433" s="128"/>
      <c r="AZ3433" s="128"/>
      <c r="BA3433" s="128"/>
      <c r="BB3433" s="128"/>
      <c r="BC3433" s="128"/>
      <c r="BD3433" s="128"/>
      <c r="BE3433" s="128"/>
      <c r="BF3433" s="128"/>
      <c r="BG3433" s="128"/>
      <c r="BH3433" s="128"/>
      <c r="BI3433" s="128"/>
      <c r="BJ3433" s="128"/>
      <c r="BK3433" s="128"/>
      <c r="BL3433" s="128"/>
      <c r="BM3433" s="151"/>
      <c r="BN3433" s="128"/>
      <c r="BO3433" s="128"/>
      <c r="BP3433" s="128"/>
      <c r="BQ3433" s="128"/>
      <c r="BR3433" s="128"/>
      <c r="BS3433" s="128"/>
      <c r="BT3433" s="128"/>
      <c r="BU3433" s="128"/>
      <c r="BV3433" s="128"/>
      <c r="BW3433" s="128"/>
      <c r="BX3433" s="128"/>
      <c r="BY3433" s="128"/>
      <c r="BZ3433" s="128"/>
      <c r="CA3433" s="128"/>
      <c r="CB3433" s="128"/>
      <c r="CC3433" s="128"/>
      <c r="CD3433" s="128"/>
      <c r="CE3433" s="128"/>
      <c r="CF3433" s="128"/>
      <c r="CG3433" s="128"/>
      <c r="CI3433" s="128"/>
      <c r="CJ3433" s="128"/>
      <c r="CK3433" s="128"/>
      <c r="CL3433" s="128"/>
      <c r="CM3433" s="128"/>
      <c r="CN3433" s="128"/>
      <c r="CO3433" s="128"/>
      <c r="CP3433" s="128"/>
      <c r="CQ3433" s="128"/>
      <c r="CR3433" s="128"/>
      <c r="CS3433" s="128"/>
      <c r="CT3433" s="128"/>
      <c r="CU3433" s="128"/>
      <c r="CV3433" s="128"/>
      <c r="CW3433" s="128"/>
      <c r="CX3433" s="128"/>
      <c r="CY3433" s="128"/>
      <c r="CZ3433" s="165"/>
    </row>
    <row r="3434" spans="1:104">
      <c r="A3434" s="149"/>
      <c r="B3434" s="149"/>
      <c r="C3434" s="150"/>
      <c r="D3434" s="102"/>
      <c r="E3434" s="149"/>
      <c r="F3434" s="149"/>
      <c r="G3434" s="149"/>
      <c r="H3434" s="149"/>
      <c r="I3434" s="149"/>
      <c r="J3434" s="149"/>
      <c r="K3434" s="149"/>
      <c r="L3434" s="149"/>
      <c r="M3434" s="149"/>
      <c r="N3434" s="149"/>
      <c r="O3434" s="149"/>
      <c r="P3434" s="149"/>
      <c r="Q3434" s="149"/>
      <c r="R3434" s="149"/>
      <c r="S3434" s="149"/>
      <c r="T3434" s="149"/>
      <c r="U3434" s="149"/>
      <c r="V3434" s="149"/>
      <c r="W3434" s="149"/>
      <c r="X3434" s="149"/>
      <c r="Y3434" s="149"/>
      <c r="Z3434" s="149"/>
      <c r="AA3434" s="149"/>
      <c r="AB3434" s="149"/>
      <c r="AC3434" s="149"/>
      <c r="AD3434" s="149"/>
      <c r="AE3434" s="149"/>
      <c r="AF3434" s="149"/>
      <c r="AG3434" s="149"/>
      <c r="AH3434" s="149"/>
      <c r="AI3434" s="149"/>
      <c r="AJ3434" s="149"/>
      <c r="AK3434" s="149"/>
      <c r="AL3434" s="149"/>
      <c r="AM3434" s="149"/>
      <c r="AN3434" s="149"/>
      <c r="AO3434" s="128"/>
      <c r="AP3434" s="128"/>
      <c r="AQ3434" s="128"/>
      <c r="AR3434" s="128"/>
      <c r="AS3434" s="128"/>
      <c r="AT3434" s="128"/>
      <c r="AU3434" s="128"/>
      <c r="AV3434" s="128"/>
      <c r="AW3434" s="128"/>
      <c r="AX3434" s="128"/>
      <c r="AY3434" s="128"/>
      <c r="AZ3434" s="128"/>
      <c r="BA3434" s="128"/>
      <c r="BB3434" s="128"/>
      <c r="BC3434" s="128"/>
      <c r="BD3434" s="128"/>
      <c r="BE3434" s="128"/>
      <c r="BF3434" s="128"/>
      <c r="BG3434" s="128"/>
      <c r="BH3434" s="128"/>
      <c r="BI3434" s="128"/>
      <c r="BJ3434" s="128"/>
      <c r="BK3434" s="128"/>
      <c r="BL3434" s="128"/>
      <c r="BM3434" s="151"/>
      <c r="BN3434" s="128"/>
      <c r="BO3434" s="128"/>
      <c r="BP3434" s="128"/>
      <c r="BQ3434" s="128"/>
      <c r="BR3434" s="128"/>
      <c r="BS3434" s="128"/>
      <c r="BT3434" s="128"/>
      <c r="BU3434" s="128"/>
      <c r="BV3434" s="128"/>
      <c r="BW3434" s="128"/>
      <c r="BX3434" s="128"/>
      <c r="BY3434" s="128"/>
      <c r="BZ3434" s="128"/>
      <c r="CA3434" s="128"/>
      <c r="CB3434" s="128"/>
      <c r="CC3434" s="128"/>
      <c r="CD3434" s="128"/>
      <c r="CE3434" s="128"/>
      <c r="CF3434" s="128"/>
      <c r="CG3434" s="128"/>
      <c r="CI3434" s="128"/>
      <c r="CJ3434" s="128"/>
      <c r="CK3434" s="128"/>
      <c r="CL3434" s="128"/>
      <c r="CM3434" s="128"/>
      <c r="CN3434" s="128"/>
      <c r="CO3434" s="128"/>
      <c r="CP3434" s="128"/>
      <c r="CQ3434" s="128"/>
      <c r="CR3434" s="128"/>
      <c r="CS3434" s="128"/>
      <c r="CT3434" s="128"/>
      <c r="CU3434" s="128"/>
      <c r="CV3434" s="128"/>
      <c r="CW3434" s="128"/>
      <c r="CX3434" s="128"/>
      <c r="CY3434" s="128"/>
      <c r="CZ3434" s="165"/>
    </row>
    <row r="3435" spans="1:104">
      <c r="A3435" s="149"/>
      <c r="B3435" s="149"/>
      <c r="C3435" s="150"/>
      <c r="D3435" s="102"/>
      <c r="E3435" s="149"/>
      <c r="F3435" s="149"/>
      <c r="G3435" s="149"/>
      <c r="H3435" s="149"/>
      <c r="I3435" s="149"/>
      <c r="J3435" s="149"/>
      <c r="K3435" s="149"/>
      <c r="L3435" s="149"/>
      <c r="M3435" s="149"/>
      <c r="N3435" s="149"/>
      <c r="O3435" s="149"/>
      <c r="P3435" s="149"/>
      <c r="Q3435" s="149"/>
      <c r="R3435" s="149"/>
      <c r="S3435" s="149"/>
      <c r="T3435" s="149"/>
      <c r="U3435" s="149"/>
      <c r="V3435" s="149"/>
      <c r="W3435" s="149"/>
      <c r="X3435" s="149"/>
      <c r="Y3435" s="149"/>
      <c r="Z3435" s="149"/>
      <c r="AA3435" s="149"/>
      <c r="AB3435" s="149"/>
      <c r="AC3435" s="149"/>
      <c r="AD3435" s="149"/>
      <c r="AE3435" s="149"/>
      <c r="AF3435" s="149"/>
      <c r="AG3435" s="149"/>
      <c r="AH3435" s="149"/>
      <c r="AI3435" s="149"/>
      <c r="AJ3435" s="149"/>
      <c r="AK3435" s="149"/>
      <c r="AL3435" s="149"/>
      <c r="AM3435" s="149"/>
      <c r="AN3435" s="149"/>
      <c r="AO3435" s="128"/>
      <c r="AP3435" s="128"/>
      <c r="AQ3435" s="128"/>
      <c r="AR3435" s="128"/>
      <c r="AS3435" s="128"/>
      <c r="AT3435" s="128"/>
      <c r="AU3435" s="128"/>
      <c r="AV3435" s="128"/>
      <c r="AW3435" s="128"/>
      <c r="AX3435" s="128"/>
      <c r="AY3435" s="128"/>
      <c r="AZ3435" s="128"/>
      <c r="BA3435" s="128"/>
      <c r="BB3435" s="128"/>
      <c r="BC3435" s="128"/>
      <c r="BD3435" s="128"/>
      <c r="BE3435" s="128"/>
      <c r="BF3435" s="128"/>
      <c r="BG3435" s="128"/>
      <c r="BH3435" s="128"/>
      <c r="BI3435" s="128"/>
      <c r="BJ3435" s="128"/>
      <c r="BK3435" s="128"/>
      <c r="BL3435" s="128"/>
      <c r="BM3435" s="151"/>
      <c r="BN3435" s="128"/>
      <c r="BO3435" s="128"/>
      <c r="BP3435" s="128"/>
      <c r="BQ3435" s="128"/>
      <c r="BR3435" s="128"/>
      <c r="BS3435" s="128"/>
      <c r="BT3435" s="128"/>
      <c r="BU3435" s="128"/>
      <c r="BV3435" s="128"/>
      <c r="BW3435" s="128"/>
      <c r="BX3435" s="128"/>
      <c r="BY3435" s="128"/>
      <c r="BZ3435" s="128"/>
      <c r="CA3435" s="128"/>
      <c r="CB3435" s="128"/>
      <c r="CC3435" s="128"/>
      <c r="CD3435" s="128"/>
      <c r="CE3435" s="128"/>
      <c r="CF3435" s="128"/>
      <c r="CG3435" s="128"/>
      <c r="CI3435" s="128"/>
      <c r="CJ3435" s="128"/>
      <c r="CK3435" s="128"/>
      <c r="CL3435" s="128"/>
      <c r="CM3435" s="128"/>
      <c r="CN3435" s="128"/>
      <c r="CO3435" s="128"/>
      <c r="CP3435" s="128"/>
      <c r="CQ3435" s="128"/>
      <c r="CR3435" s="128"/>
      <c r="CS3435" s="128"/>
      <c r="CT3435" s="128"/>
      <c r="CU3435" s="128"/>
      <c r="CV3435" s="128"/>
      <c r="CW3435" s="128"/>
      <c r="CX3435" s="128"/>
      <c r="CY3435" s="128"/>
      <c r="CZ3435" s="165"/>
    </row>
    <row r="3436" spans="1:104">
      <c r="A3436" s="149"/>
      <c r="B3436" s="149"/>
      <c r="C3436" s="150"/>
      <c r="D3436" s="102"/>
      <c r="E3436" s="149"/>
      <c r="F3436" s="149"/>
      <c r="G3436" s="149"/>
      <c r="H3436" s="149"/>
      <c r="I3436" s="149"/>
      <c r="J3436" s="149"/>
      <c r="K3436" s="149"/>
      <c r="L3436" s="149"/>
      <c r="M3436" s="149"/>
      <c r="N3436" s="149"/>
      <c r="O3436" s="149"/>
      <c r="P3436" s="149"/>
      <c r="Q3436" s="149"/>
      <c r="R3436" s="149"/>
      <c r="S3436" s="149"/>
      <c r="T3436" s="149"/>
      <c r="U3436" s="149"/>
      <c r="V3436" s="149"/>
      <c r="W3436" s="149"/>
      <c r="X3436" s="149"/>
      <c r="Y3436" s="149"/>
      <c r="Z3436" s="149"/>
      <c r="AA3436" s="149"/>
      <c r="AB3436" s="149"/>
      <c r="AC3436" s="149"/>
      <c r="AD3436" s="149"/>
      <c r="AE3436" s="149"/>
      <c r="AF3436" s="149"/>
      <c r="AG3436" s="149"/>
      <c r="AH3436" s="149"/>
      <c r="AI3436" s="149"/>
      <c r="AJ3436" s="149"/>
      <c r="AK3436" s="149"/>
      <c r="AL3436" s="149"/>
      <c r="AM3436" s="149"/>
      <c r="AN3436" s="149"/>
      <c r="AO3436" s="128"/>
      <c r="AP3436" s="128"/>
      <c r="AQ3436" s="128"/>
      <c r="AR3436" s="128"/>
      <c r="AS3436" s="128"/>
      <c r="AT3436" s="128"/>
      <c r="AU3436" s="128"/>
      <c r="AV3436" s="128"/>
      <c r="AW3436" s="128"/>
      <c r="AX3436" s="128"/>
      <c r="AY3436" s="128"/>
      <c r="AZ3436" s="128"/>
      <c r="BA3436" s="128"/>
      <c r="BB3436" s="128"/>
      <c r="BC3436" s="128"/>
      <c r="BD3436" s="128"/>
      <c r="BE3436" s="128"/>
      <c r="BF3436" s="128"/>
      <c r="BG3436" s="128"/>
      <c r="BH3436" s="128"/>
      <c r="BI3436" s="128"/>
      <c r="BJ3436" s="128"/>
      <c r="BK3436" s="128"/>
      <c r="BL3436" s="128"/>
      <c r="BM3436" s="151"/>
      <c r="BN3436" s="128"/>
      <c r="BO3436" s="128"/>
      <c r="BP3436" s="128"/>
      <c r="BQ3436" s="128"/>
      <c r="BR3436" s="128"/>
      <c r="BS3436" s="128"/>
      <c r="BT3436" s="128"/>
      <c r="BU3436" s="128"/>
      <c r="BV3436" s="128"/>
      <c r="BW3436" s="128"/>
      <c r="BX3436" s="128"/>
      <c r="BY3436" s="128"/>
      <c r="BZ3436" s="128"/>
      <c r="CA3436" s="128"/>
      <c r="CB3436" s="128"/>
      <c r="CC3436" s="128"/>
      <c r="CD3436" s="128"/>
      <c r="CE3436" s="128"/>
      <c r="CF3436" s="128"/>
      <c r="CG3436" s="128"/>
      <c r="CI3436" s="128"/>
      <c r="CJ3436" s="128"/>
      <c r="CK3436" s="128"/>
      <c r="CL3436" s="128"/>
      <c r="CM3436" s="128"/>
      <c r="CN3436" s="128"/>
      <c r="CO3436" s="128"/>
      <c r="CP3436" s="128"/>
      <c r="CQ3436" s="128"/>
      <c r="CR3436" s="128"/>
      <c r="CS3436" s="128"/>
      <c r="CT3436" s="128"/>
      <c r="CU3436" s="128"/>
      <c r="CV3436" s="128"/>
      <c r="CW3436" s="128"/>
      <c r="CX3436" s="128"/>
      <c r="CY3436" s="128"/>
      <c r="CZ3436" s="165"/>
    </row>
    <row r="3437" spans="1:104">
      <c r="A3437" s="149"/>
      <c r="B3437" s="149"/>
      <c r="C3437" s="150"/>
      <c r="D3437" s="102"/>
      <c r="E3437" s="149"/>
      <c r="F3437" s="149"/>
      <c r="G3437" s="149"/>
      <c r="H3437" s="149"/>
      <c r="I3437" s="149"/>
      <c r="J3437" s="149"/>
      <c r="K3437" s="149"/>
      <c r="L3437" s="149"/>
      <c r="M3437" s="149"/>
      <c r="N3437" s="149"/>
      <c r="O3437" s="149"/>
      <c r="P3437" s="149"/>
      <c r="Q3437" s="149"/>
      <c r="R3437" s="149"/>
      <c r="S3437" s="149"/>
      <c r="T3437" s="149"/>
      <c r="U3437" s="149"/>
      <c r="V3437" s="149"/>
      <c r="W3437" s="149"/>
      <c r="X3437" s="149"/>
      <c r="Y3437" s="149"/>
      <c r="Z3437" s="149"/>
      <c r="AA3437" s="149"/>
      <c r="AB3437" s="149"/>
      <c r="AC3437" s="149"/>
      <c r="AD3437" s="149"/>
      <c r="AE3437" s="149"/>
      <c r="AF3437" s="149"/>
      <c r="AG3437" s="149"/>
      <c r="AH3437" s="149"/>
      <c r="AI3437" s="149"/>
      <c r="AJ3437" s="149"/>
      <c r="AK3437" s="149"/>
      <c r="AL3437" s="149"/>
      <c r="AM3437" s="149"/>
      <c r="AN3437" s="149"/>
      <c r="AO3437" s="128"/>
      <c r="AP3437" s="128"/>
      <c r="AQ3437" s="128"/>
      <c r="AR3437" s="128"/>
      <c r="AS3437" s="128"/>
      <c r="AT3437" s="128"/>
      <c r="AU3437" s="128"/>
      <c r="AV3437" s="128"/>
      <c r="AW3437" s="128"/>
      <c r="AX3437" s="128"/>
      <c r="AY3437" s="128"/>
      <c r="AZ3437" s="128"/>
      <c r="BA3437" s="128"/>
      <c r="BB3437" s="128"/>
      <c r="BC3437" s="128"/>
      <c r="BD3437" s="128"/>
      <c r="BE3437" s="128"/>
      <c r="BF3437" s="128"/>
      <c r="BG3437" s="128"/>
      <c r="BH3437" s="128"/>
      <c r="BI3437" s="128"/>
      <c r="BJ3437" s="128"/>
      <c r="BK3437" s="128"/>
      <c r="BL3437" s="128"/>
      <c r="BM3437" s="151"/>
      <c r="BN3437" s="128"/>
      <c r="BO3437" s="128"/>
      <c r="BP3437" s="128"/>
      <c r="BQ3437" s="128"/>
      <c r="BR3437" s="128"/>
      <c r="BS3437" s="128"/>
      <c r="BT3437" s="128"/>
      <c r="BU3437" s="128"/>
      <c r="BV3437" s="128"/>
      <c r="BW3437" s="128"/>
      <c r="BX3437" s="128"/>
      <c r="BY3437" s="128"/>
      <c r="BZ3437" s="128"/>
      <c r="CA3437" s="128"/>
      <c r="CB3437" s="128"/>
      <c r="CC3437" s="128"/>
      <c r="CD3437" s="128"/>
      <c r="CE3437" s="128"/>
      <c r="CF3437" s="128"/>
      <c r="CG3437" s="128"/>
      <c r="CI3437" s="128"/>
      <c r="CJ3437" s="128"/>
      <c r="CK3437" s="128"/>
      <c r="CL3437" s="128"/>
      <c r="CM3437" s="128"/>
      <c r="CN3437" s="128"/>
      <c r="CO3437" s="128"/>
      <c r="CP3437" s="128"/>
      <c r="CQ3437" s="128"/>
      <c r="CR3437" s="128"/>
      <c r="CS3437" s="128"/>
      <c r="CT3437" s="128"/>
      <c r="CU3437" s="128"/>
      <c r="CV3437" s="128"/>
      <c r="CW3437" s="128"/>
      <c r="CX3437" s="128"/>
      <c r="CY3437" s="128"/>
      <c r="CZ3437" s="165"/>
    </row>
    <row r="3438" spans="1:104">
      <c r="A3438" s="149"/>
      <c r="B3438" s="149"/>
      <c r="C3438" s="150"/>
      <c r="D3438" s="102"/>
      <c r="E3438" s="149"/>
      <c r="F3438" s="149"/>
      <c r="G3438" s="149"/>
      <c r="H3438" s="149"/>
      <c r="I3438" s="149"/>
      <c r="J3438" s="149"/>
      <c r="K3438" s="149"/>
      <c r="L3438" s="149"/>
      <c r="M3438" s="149"/>
      <c r="N3438" s="149"/>
      <c r="O3438" s="149"/>
      <c r="P3438" s="149"/>
      <c r="Q3438" s="149"/>
      <c r="R3438" s="149"/>
      <c r="S3438" s="149"/>
      <c r="T3438" s="149"/>
      <c r="U3438" s="149"/>
      <c r="V3438" s="149"/>
      <c r="W3438" s="149"/>
      <c r="X3438" s="149"/>
      <c r="Y3438" s="149"/>
      <c r="Z3438" s="149"/>
      <c r="AA3438" s="149"/>
      <c r="AB3438" s="149"/>
      <c r="AC3438" s="149"/>
      <c r="AD3438" s="149"/>
      <c r="AE3438" s="149"/>
      <c r="AF3438" s="149"/>
      <c r="AG3438" s="149"/>
      <c r="AH3438" s="149"/>
      <c r="AI3438" s="149"/>
      <c r="AJ3438" s="149"/>
      <c r="AK3438" s="149"/>
      <c r="AL3438" s="149"/>
      <c r="AM3438" s="149"/>
      <c r="AN3438" s="149"/>
      <c r="AO3438" s="128"/>
      <c r="AP3438" s="128"/>
      <c r="AQ3438" s="128"/>
      <c r="AR3438" s="128"/>
      <c r="AS3438" s="128"/>
      <c r="AT3438" s="128"/>
      <c r="AU3438" s="128"/>
      <c r="AV3438" s="128"/>
      <c r="AW3438" s="128"/>
      <c r="AX3438" s="128"/>
      <c r="AY3438" s="128"/>
      <c r="AZ3438" s="128"/>
      <c r="BA3438" s="128"/>
      <c r="BB3438" s="128"/>
      <c r="BC3438" s="128"/>
      <c r="BD3438" s="128"/>
      <c r="BE3438" s="128"/>
      <c r="BF3438" s="128"/>
      <c r="BG3438" s="128"/>
      <c r="BH3438" s="128"/>
      <c r="BI3438" s="128"/>
      <c r="BJ3438" s="128"/>
      <c r="BK3438" s="128"/>
      <c r="BL3438" s="128"/>
      <c r="BM3438" s="151"/>
      <c r="BN3438" s="128"/>
      <c r="BO3438" s="128"/>
      <c r="BP3438" s="128"/>
      <c r="BQ3438" s="128"/>
      <c r="BR3438" s="128"/>
      <c r="BS3438" s="128"/>
      <c r="BT3438" s="128"/>
      <c r="BU3438" s="128"/>
      <c r="BV3438" s="128"/>
      <c r="BW3438" s="128"/>
      <c r="BX3438" s="128"/>
      <c r="BY3438" s="128"/>
      <c r="BZ3438" s="128"/>
      <c r="CA3438" s="128"/>
      <c r="CB3438" s="128"/>
      <c r="CC3438" s="128"/>
      <c r="CD3438" s="128"/>
      <c r="CE3438" s="128"/>
      <c r="CF3438" s="128"/>
      <c r="CG3438" s="128"/>
      <c r="CI3438" s="128"/>
      <c r="CJ3438" s="128"/>
      <c r="CK3438" s="128"/>
      <c r="CL3438" s="128"/>
      <c r="CM3438" s="128"/>
      <c r="CN3438" s="128"/>
      <c r="CO3438" s="128"/>
      <c r="CP3438" s="128"/>
      <c r="CQ3438" s="128"/>
      <c r="CR3438" s="128"/>
      <c r="CS3438" s="128"/>
      <c r="CT3438" s="128"/>
      <c r="CU3438" s="128"/>
      <c r="CV3438" s="128"/>
      <c r="CW3438" s="128"/>
      <c r="CX3438" s="128"/>
      <c r="CY3438" s="128"/>
      <c r="CZ3438" s="165"/>
    </row>
    <row r="3439" spans="1:104">
      <c r="A3439" s="149"/>
      <c r="B3439" s="149"/>
      <c r="C3439" s="150"/>
      <c r="D3439" s="102"/>
      <c r="E3439" s="149"/>
      <c r="F3439" s="149"/>
      <c r="G3439" s="149"/>
      <c r="H3439" s="149"/>
      <c r="I3439" s="149"/>
      <c r="J3439" s="149"/>
      <c r="K3439" s="149"/>
      <c r="L3439" s="149"/>
      <c r="M3439" s="149"/>
      <c r="N3439" s="149"/>
      <c r="O3439" s="149"/>
      <c r="P3439" s="149"/>
      <c r="Q3439" s="149"/>
      <c r="R3439" s="149"/>
      <c r="S3439" s="149"/>
      <c r="T3439" s="149"/>
      <c r="U3439" s="149"/>
      <c r="V3439" s="149"/>
      <c r="W3439" s="149"/>
      <c r="X3439" s="149"/>
      <c r="Y3439" s="149"/>
      <c r="Z3439" s="149"/>
      <c r="AA3439" s="149"/>
      <c r="AB3439" s="149"/>
      <c r="AC3439" s="149"/>
      <c r="AD3439" s="149"/>
      <c r="AE3439" s="149"/>
      <c r="AF3439" s="149"/>
      <c r="AG3439" s="149"/>
      <c r="AH3439" s="149"/>
      <c r="AI3439" s="149"/>
      <c r="AJ3439" s="149"/>
      <c r="AK3439" s="149"/>
      <c r="AL3439" s="149"/>
      <c r="AM3439" s="149"/>
      <c r="AN3439" s="149"/>
      <c r="AO3439" s="128"/>
      <c r="AP3439" s="128"/>
      <c r="AQ3439" s="128"/>
      <c r="AR3439" s="128"/>
      <c r="AS3439" s="128"/>
      <c r="AT3439" s="128"/>
      <c r="AU3439" s="128"/>
      <c r="AV3439" s="128"/>
      <c r="AW3439" s="128"/>
      <c r="AX3439" s="128"/>
      <c r="AY3439" s="128"/>
      <c r="AZ3439" s="128"/>
      <c r="BA3439" s="128"/>
      <c r="BB3439" s="128"/>
      <c r="BC3439" s="128"/>
      <c r="BD3439" s="128"/>
      <c r="BE3439" s="128"/>
      <c r="BF3439" s="128"/>
      <c r="BG3439" s="128"/>
      <c r="BH3439" s="128"/>
      <c r="BI3439" s="128"/>
      <c r="BJ3439" s="128"/>
      <c r="BK3439" s="128"/>
      <c r="BL3439" s="128"/>
      <c r="BM3439" s="151"/>
      <c r="BN3439" s="128"/>
      <c r="BO3439" s="128"/>
      <c r="BP3439" s="128"/>
      <c r="BQ3439" s="128"/>
      <c r="BR3439" s="128"/>
      <c r="BS3439" s="128"/>
      <c r="BT3439" s="128"/>
      <c r="BU3439" s="128"/>
      <c r="BV3439" s="128"/>
      <c r="BW3439" s="128"/>
      <c r="BX3439" s="128"/>
      <c r="BY3439" s="128"/>
      <c r="BZ3439" s="128"/>
      <c r="CA3439" s="128"/>
      <c r="CB3439" s="128"/>
      <c r="CC3439" s="128"/>
      <c r="CD3439" s="128"/>
      <c r="CE3439" s="128"/>
      <c r="CF3439" s="128"/>
      <c r="CG3439" s="128"/>
      <c r="CI3439" s="128"/>
      <c r="CJ3439" s="128"/>
      <c r="CK3439" s="128"/>
      <c r="CL3439" s="128"/>
      <c r="CM3439" s="128"/>
      <c r="CN3439" s="128"/>
      <c r="CO3439" s="128"/>
      <c r="CP3439" s="128"/>
      <c r="CQ3439" s="128"/>
      <c r="CR3439" s="128"/>
      <c r="CS3439" s="128"/>
      <c r="CT3439" s="128"/>
      <c r="CU3439" s="128"/>
      <c r="CV3439" s="128"/>
      <c r="CW3439" s="128"/>
      <c r="CX3439" s="128"/>
      <c r="CY3439" s="128"/>
      <c r="CZ3439" s="165"/>
    </row>
    <row r="3440" spans="1:104">
      <c r="A3440" s="149"/>
      <c r="B3440" s="149"/>
      <c r="C3440" s="150"/>
      <c r="D3440" s="102"/>
      <c r="E3440" s="149"/>
      <c r="F3440" s="149"/>
      <c r="G3440" s="149"/>
      <c r="H3440" s="149"/>
      <c r="I3440" s="149"/>
      <c r="J3440" s="149"/>
      <c r="K3440" s="149"/>
      <c r="L3440" s="149"/>
      <c r="M3440" s="149"/>
      <c r="N3440" s="149"/>
      <c r="O3440" s="149"/>
      <c r="P3440" s="149"/>
      <c r="Q3440" s="149"/>
      <c r="R3440" s="149"/>
      <c r="S3440" s="149"/>
      <c r="T3440" s="149"/>
      <c r="U3440" s="149"/>
      <c r="V3440" s="149"/>
      <c r="W3440" s="149"/>
      <c r="X3440" s="149"/>
      <c r="Y3440" s="149"/>
      <c r="Z3440" s="149"/>
      <c r="AA3440" s="149"/>
      <c r="AB3440" s="149"/>
      <c r="AC3440" s="149"/>
      <c r="AD3440" s="149"/>
      <c r="AE3440" s="149"/>
      <c r="AF3440" s="149"/>
      <c r="AG3440" s="149"/>
      <c r="AH3440" s="149"/>
      <c r="AI3440" s="149"/>
      <c r="AJ3440" s="149"/>
      <c r="AK3440" s="149"/>
      <c r="AL3440" s="149"/>
      <c r="AM3440" s="149"/>
      <c r="AN3440" s="149"/>
      <c r="AO3440" s="128"/>
      <c r="AP3440" s="128"/>
      <c r="AQ3440" s="128"/>
      <c r="AR3440" s="128"/>
      <c r="AS3440" s="128"/>
      <c r="AT3440" s="128"/>
      <c r="AU3440" s="128"/>
      <c r="AV3440" s="128"/>
      <c r="AW3440" s="128"/>
      <c r="AX3440" s="128"/>
      <c r="AY3440" s="128"/>
      <c r="AZ3440" s="128"/>
      <c r="BA3440" s="128"/>
      <c r="BB3440" s="128"/>
      <c r="BC3440" s="128"/>
      <c r="BD3440" s="128"/>
      <c r="BE3440" s="128"/>
      <c r="BF3440" s="128"/>
      <c r="BG3440" s="128"/>
      <c r="BH3440" s="128"/>
      <c r="BI3440" s="128"/>
      <c r="BJ3440" s="128"/>
      <c r="BK3440" s="128"/>
      <c r="BL3440" s="128"/>
      <c r="BM3440" s="151"/>
      <c r="BN3440" s="128"/>
      <c r="BO3440" s="128"/>
      <c r="BP3440" s="128"/>
      <c r="BQ3440" s="128"/>
      <c r="BR3440" s="128"/>
      <c r="BS3440" s="128"/>
      <c r="BT3440" s="128"/>
      <c r="BU3440" s="128"/>
      <c r="BV3440" s="128"/>
      <c r="BW3440" s="128"/>
      <c r="BX3440" s="128"/>
      <c r="BY3440" s="128"/>
      <c r="BZ3440" s="128"/>
      <c r="CA3440" s="128"/>
      <c r="CB3440" s="128"/>
      <c r="CC3440" s="128"/>
      <c r="CD3440" s="128"/>
      <c r="CE3440" s="128"/>
      <c r="CF3440" s="128"/>
      <c r="CG3440" s="128"/>
      <c r="CI3440" s="128"/>
      <c r="CJ3440" s="128"/>
      <c r="CK3440" s="128"/>
      <c r="CL3440" s="128"/>
      <c r="CM3440" s="128"/>
      <c r="CN3440" s="128"/>
      <c r="CO3440" s="128"/>
      <c r="CP3440" s="128"/>
      <c r="CQ3440" s="128"/>
      <c r="CR3440" s="128"/>
      <c r="CS3440" s="128"/>
      <c r="CT3440" s="128"/>
      <c r="CU3440" s="128"/>
      <c r="CV3440" s="128"/>
      <c r="CW3440" s="128"/>
      <c r="CX3440" s="128"/>
      <c r="CY3440" s="128"/>
      <c r="CZ3440" s="165"/>
    </row>
    <row r="3441" spans="1:104">
      <c r="A3441" s="149"/>
      <c r="B3441" s="149"/>
      <c r="C3441" s="150"/>
      <c r="D3441" s="102"/>
      <c r="E3441" s="149"/>
      <c r="F3441" s="149"/>
      <c r="G3441" s="149"/>
      <c r="H3441" s="149"/>
      <c r="I3441" s="149"/>
      <c r="J3441" s="149"/>
      <c r="K3441" s="149"/>
      <c r="L3441" s="149"/>
      <c r="M3441" s="149"/>
      <c r="N3441" s="149"/>
      <c r="O3441" s="149"/>
      <c r="P3441" s="149"/>
      <c r="Q3441" s="149"/>
      <c r="R3441" s="149"/>
      <c r="S3441" s="149"/>
      <c r="T3441" s="149"/>
      <c r="U3441" s="149"/>
      <c r="V3441" s="149"/>
      <c r="W3441" s="149"/>
      <c r="X3441" s="149"/>
      <c r="Y3441" s="149"/>
      <c r="Z3441" s="149"/>
      <c r="AA3441" s="149"/>
      <c r="AB3441" s="149"/>
      <c r="AC3441" s="149"/>
      <c r="AD3441" s="149"/>
      <c r="AE3441" s="149"/>
      <c r="AF3441" s="149"/>
      <c r="AG3441" s="149"/>
      <c r="AH3441" s="149"/>
      <c r="AI3441" s="149"/>
      <c r="AJ3441" s="149"/>
      <c r="AK3441" s="149"/>
      <c r="AL3441" s="149"/>
      <c r="AM3441" s="149"/>
      <c r="AN3441" s="149"/>
      <c r="AO3441" s="128"/>
      <c r="AP3441" s="128"/>
      <c r="AQ3441" s="128"/>
      <c r="AR3441" s="128"/>
      <c r="AS3441" s="128"/>
      <c r="AT3441" s="128"/>
      <c r="AU3441" s="128"/>
      <c r="AV3441" s="128"/>
      <c r="AW3441" s="128"/>
      <c r="AX3441" s="128"/>
      <c r="AY3441" s="128"/>
      <c r="AZ3441" s="128"/>
      <c r="BA3441" s="128"/>
      <c r="BB3441" s="128"/>
      <c r="BC3441" s="128"/>
      <c r="BD3441" s="128"/>
      <c r="BE3441" s="128"/>
      <c r="BF3441" s="128"/>
      <c r="BG3441" s="128"/>
      <c r="BH3441" s="128"/>
      <c r="BI3441" s="128"/>
      <c r="BJ3441" s="128"/>
      <c r="BK3441" s="128"/>
      <c r="BL3441" s="128"/>
      <c r="BM3441" s="151"/>
      <c r="BN3441" s="128"/>
      <c r="BO3441" s="128"/>
      <c r="BP3441" s="128"/>
      <c r="BQ3441" s="128"/>
      <c r="BR3441" s="128"/>
      <c r="BS3441" s="128"/>
      <c r="BT3441" s="128"/>
      <c r="BU3441" s="128"/>
      <c r="BV3441" s="128"/>
      <c r="BW3441" s="128"/>
      <c r="BX3441" s="128"/>
      <c r="BY3441" s="128"/>
      <c r="BZ3441" s="128"/>
      <c r="CA3441" s="128"/>
      <c r="CB3441" s="128"/>
      <c r="CC3441" s="128"/>
      <c r="CD3441" s="128"/>
      <c r="CE3441" s="128"/>
      <c r="CF3441" s="128"/>
      <c r="CG3441" s="128"/>
      <c r="CI3441" s="128"/>
      <c r="CJ3441" s="128"/>
      <c r="CK3441" s="128"/>
      <c r="CL3441" s="128"/>
      <c r="CM3441" s="128"/>
      <c r="CN3441" s="128"/>
      <c r="CO3441" s="128"/>
      <c r="CP3441" s="128"/>
      <c r="CQ3441" s="128"/>
      <c r="CR3441" s="128"/>
      <c r="CS3441" s="128"/>
      <c r="CT3441" s="128"/>
      <c r="CU3441" s="128"/>
      <c r="CV3441" s="128"/>
      <c r="CW3441" s="128"/>
      <c r="CX3441" s="128"/>
      <c r="CY3441" s="128"/>
      <c r="CZ3441" s="165"/>
    </row>
    <row r="3442" spans="1:104">
      <c r="A3442" s="149"/>
      <c r="B3442" s="149"/>
      <c r="C3442" s="150"/>
      <c r="D3442" s="102"/>
      <c r="E3442" s="149"/>
      <c r="F3442" s="149"/>
      <c r="G3442" s="149"/>
      <c r="H3442" s="149"/>
      <c r="I3442" s="149"/>
      <c r="J3442" s="149"/>
      <c r="K3442" s="149"/>
      <c r="L3442" s="149"/>
      <c r="M3442" s="149"/>
      <c r="N3442" s="149"/>
      <c r="O3442" s="149"/>
      <c r="P3442" s="149"/>
      <c r="Q3442" s="149"/>
      <c r="R3442" s="149"/>
      <c r="S3442" s="149"/>
      <c r="T3442" s="149"/>
      <c r="U3442" s="149"/>
      <c r="V3442" s="149"/>
      <c r="W3442" s="149"/>
      <c r="X3442" s="149"/>
      <c r="Y3442" s="149"/>
      <c r="Z3442" s="149"/>
      <c r="AA3442" s="149"/>
      <c r="AB3442" s="149"/>
      <c r="AC3442" s="149"/>
      <c r="AD3442" s="149"/>
      <c r="AE3442" s="149"/>
      <c r="AF3442" s="149"/>
      <c r="AG3442" s="149"/>
      <c r="AH3442" s="149"/>
      <c r="AI3442" s="149"/>
      <c r="AJ3442" s="149"/>
      <c r="AK3442" s="149"/>
      <c r="AL3442" s="149"/>
      <c r="AM3442" s="149"/>
      <c r="AN3442" s="149"/>
      <c r="AO3442" s="128"/>
      <c r="AP3442" s="128"/>
      <c r="AQ3442" s="128"/>
      <c r="AR3442" s="128"/>
      <c r="AS3442" s="128"/>
      <c r="AT3442" s="128"/>
      <c r="AU3442" s="128"/>
      <c r="AV3442" s="128"/>
      <c r="AW3442" s="128"/>
      <c r="AX3442" s="128"/>
      <c r="AY3442" s="128"/>
      <c r="AZ3442" s="128"/>
      <c r="BA3442" s="128"/>
      <c r="BB3442" s="128"/>
      <c r="BC3442" s="128"/>
      <c r="BD3442" s="128"/>
      <c r="BE3442" s="128"/>
      <c r="BF3442" s="128"/>
      <c r="BG3442" s="128"/>
      <c r="BH3442" s="128"/>
      <c r="BI3442" s="128"/>
      <c r="BJ3442" s="128"/>
      <c r="BK3442" s="128"/>
      <c r="BL3442" s="128"/>
      <c r="BM3442" s="151"/>
      <c r="BN3442" s="128"/>
      <c r="BO3442" s="128"/>
      <c r="BP3442" s="128"/>
      <c r="BQ3442" s="128"/>
      <c r="BR3442" s="128"/>
      <c r="BS3442" s="128"/>
      <c r="BT3442" s="128"/>
      <c r="BU3442" s="128"/>
      <c r="BV3442" s="128"/>
      <c r="BW3442" s="128"/>
      <c r="BX3442" s="128"/>
      <c r="BY3442" s="128"/>
      <c r="BZ3442" s="128"/>
      <c r="CA3442" s="128"/>
      <c r="CB3442" s="128"/>
      <c r="CC3442" s="128"/>
      <c r="CD3442" s="128"/>
      <c r="CE3442" s="128"/>
      <c r="CF3442" s="128"/>
      <c r="CG3442" s="128"/>
      <c r="CI3442" s="128"/>
      <c r="CJ3442" s="128"/>
      <c r="CK3442" s="128"/>
      <c r="CL3442" s="128"/>
      <c r="CM3442" s="128"/>
      <c r="CN3442" s="128"/>
      <c r="CO3442" s="128"/>
      <c r="CP3442" s="128"/>
      <c r="CQ3442" s="128"/>
      <c r="CR3442" s="128"/>
      <c r="CS3442" s="128"/>
      <c r="CT3442" s="128"/>
      <c r="CU3442" s="128"/>
      <c r="CV3442" s="128"/>
      <c r="CW3442" s="128"/>
      <c r="CX3442" s="128"/>
      <c r="CY3442" s="128"/>
      <c r="CZ3442" s="165"/>
    </row>
    <row r="3443" spans="1:104">
      <c r="A3443" s="149"/>
      <c r="B3443" s="149"/>
      <c r="C3443" s="150"/>
      <c r="D3443" s="102"/>
      <c r="E3443" s="149"/>
      <c r="F3443" s="149"/>
      <c r="G3443" s="149"/>
      <c r="H3443" s="149"/>
      <c r="I3443" s="149"/>
      <c r="J3443" s="149"/>
      <c r="K3443" s="149"/>
      <c r="L3443" s="149"/>
      <c r="M3443" s="149"/>
      <c r="N3443" s="149"/>
      <c r="O3443" s="149"/>
      <c r="P3443" s="149"/>
      <c r="Q3443" s="149"/>
      <c r="R3443" s="149"/>
      <c r="S3443" s="149"/>
      <c r="T3443" s="149"/>
      <c r="U3443" s="149"/>
      <c r="V3443" s="149"/>
      <c r="W3443" s="149"/>
      <c r="X3443" s="149"/>
      <c r="Y3443" s="149"/>
      <c r="Z3443" s="149"/>
      <c r="AA3443" s="149"/>
      <c r="AB3443" s="149"/>
      <c r="AC3443" s="149"/>
      <c r="AD3443" s="149"/>
      <c r="AE3443" s="149"/>
      <c r="AF3443" s="149"/>
      <c r="AG3443" s="149"/>
      <c r="AH3443" s="149"/>
      <c r="AI3443" s="149"/>
      <c r="AJ3443" s="149"/>
      <c r="AK3443" s="149"/>
      <c r="AL3443" s="149"/>
      <c r="AM3443" s="149"/>
      <c r="AN3443" s="149"/>
      <c r="AO3443" s="128"/>
      <c r="AP3443" s="128"/>
      <c r="AQ3443" s="128"/>
      <c r="AR3443" s="128"/>
      <c r="AS3443" s="128"/>
      <c r="AT3443" s="128"/>
      <c r="AU3443" s="128"/>
      <c r="AV3443" s="128"/>
      <c r="AW3443" s="128"/>
      <c r="AX3443" s="128"/>
      <c r="AY3443" s="128"/>
      <c r="AZ3443" s="128"/>
      <c r="BA3443" s="128"/>
      <c r="BB3443" s="128"/>
      <c r="BC3443" s="128"/>
      <c r="BD3443" s="128"/>
      <c r="BE3443" s="128"/>
      <c r="BF3443" s="128"/>
      <c r="BG3443" s="128"/>
      <c r="BH3443" s="128"/>
      <c r="BI3443" s="128"/>
      <c r="BJ3443" s="128"/>
      <c r="BK3443" s="128"/>
      <c r="BL3443" s="128"/>
      <c r="BM3443" s="151"/>
      <c r="BN3443" s="128"/>
      <c r="BO3443" s="128"/>
      <c r="BP3443" s="128"/>
      <c r="BQ3443" s="128"/>
      <c r="BR3443" s="128"/>
      <c r="BS3443" s="128"/>
      <c r="BT3443" s="128"/>
      <c r="BU3443" s="128"/>
      <c r="BV3443" s="128"/>
      <c r="BW3443" s="128"/>
      <c r="BX3443" s="128"/>
      <c r="BY3443" s="128"/>
      <c r="BZ3443" s="128"/>
      <c r="CA3443" s="128"/>
      <c r="CB3443" s="128"/>
      <c r="CC3443" s="128"/>
      <c r="CD3443" s="128"/>
      <c r="CE3443" s="128"/>
      <c r="CF3443" s="128"/>
      <c r="CG3443" s="128"/>
      <c r="CI3443" s="128"/>
      <c r="CJ3443" s="128"/>
      <c r="CK3443" s="128"/>
      <c r="CL3443" s="128"/>
      <c r="CM3443" s="128"/>
      <c r="CN3443" s="128"/>
      <c r="CO3443" s="128"/>
      <c r="CP3443" s="128"/>
      <c r="CQ3443" s="128"/>
      <c r="CR3443" s="128"/>
      <c r="CS3443" s="128"/>
      <c r="CT3443" s="128"/>
      <c r="CU3443" s="128"/>
      <c r="CV3443" s="128"/>
      <c r="CW3443" s="128"/>
      <c r="CX3443" s="128"/>
      <c r="CY3443" s="128"/>
      <c r="CZ3443" s="165"/>
    </row>
    <row r="3444" spans="1:104">
      <c r="A3444" s="149"/>
      <c r="B3444" s="149"/>
      <c r="C3444" s="150"/>
      <c r="D3444" s="102"/>
      <c r="E3444" s="149"/>
      <c r="F3444" s="149"/>
      <c r="G3444" s="149"/>
      <c r="H3444" s="149"/>
      <c r="I3444" s="149"/>
      <c r="J3444" s="149"/>
      <c r="K3444" s="149"/>
      <c r="L3444" s="149"/>
      <c r="M3444" s="149"/>
      <c r="N3444" s="149"/>
      <c r="O3444" s="149"/>
      <c r="P3444" s="149"/>
      <c r="Q3444" s="149"/>
      <c r="R3444" s="149"/>
      <c r="S3444" s="149"/>
      <c r="T3444" s="149"/>
      <c r="U3444" s="149"/>
      <c r="V3444" s="149"/>
      <c r="W3444" s="149"/>
      <c r="X3444" s="149"/>
      <c r="Y3444" s="149"/>
      <c r="Z3444" s="149"/>
      <c r="AA3444" s="149"/>
      <c r="AB3444" s="149"/>
      <c r="AC3444" s="149"/>
      <c r="AD3444" s="149"/>
      <c r="AE3444" s="149"/>
      <c r="AF3444" s="149"/>
      <c r="AG3444" s="149"/>
      <c r="AH3444" s="149"/>
      <c r="AI3444" s="149"/>
      <c r="AJ3444" s="149"/>
      <c r="AK3444" s="149"/>
      <c r="AL3444" s="149"/>
      <c r="AM3444" s="149"/>
      <c r="AN3444" s="149"/>
      <c r="AO3444" s="128"/>
      <c r="AP3444" s="128"/>
      <c r="AQ3444" s="128"/>
      <c r="AR3444" s="128"/>
      <c r="AS3444" s="128"/>
      <c r="AT3444" s="128"/>
      <c r="AU3444" s="128"/>
      <c r="AV3444" s="128"/>
      <c r="AW3444" s="128"/>
      <c r="AX3444" s="128"/>
      <c r="AY3444" s="128"/>
      <c r="AZ3444" s="128"/>
      <c r="BA3444" s="128"/>
      <c r="BB3444" s="128"/>
      <c r="BC3444" s="128"/>
      <c r="BD3444" s="128"/>
      <c r="BE3444" s="128"/>
      <c r="BF3444" s="128"/>
      <c r="BG3444" s="128"/>
      <c r="BH3444" s="128"/>
      <c r="BI3444" s="128"/>
      <c r="BJ3444" s="128"/>
      <c r="BK3444" s="128"/>
      <c r="BL3444" s="128"/>
      <c r="BM3444" s="151"/>
      <c r="BN3444" s="128"/>
      <c r="BO3444" s="128"/>
      <c r="BP3444" s="128"/>
      <c r="BQ3444" s="128"/>
      <c r="BR3444" s="128"/>
      <c r="BS3444" s="128"/>
      <c r="BT3444" s="128"/>
      <c r="BU3444" s="128"/>
      <c r="BV3444" s="128"/>
      <c r="BW3444" s="128"/>
      <c r="BX3444" s="128"/>
      <c r="BY3444" s="128"/>
      <c r="BZ3444" s="128"/>
      <c r="CA3444" s="128"/>
      <c r="CB3444" s="128"/>
      <c r="CC3444" s="128"/>
      <c r="CD3444" s="128"/>
      <c r="CE3444" s="128"/>
      <c r="CF3444" s="128"/>
      <c r="CG3444" s="128"/>
      <c r="CI3444" s="128"/>
      <c r="CJ3444" s="128"/>
      <c r="CK3444" s="128"/>
      <c r="CL3444" s="128"/>
      <c r="CM3444" s="128"/>
      <c r="CN3444" s="128"/>
      <c r="CO3444" s="128"/>
      <c r="CP3444" s="128"/>
      <c r="CQ3444" s="128"/>
      <c r="CR3444" s="128"/>
      <c r="CS3444" s="128"/>
      <c r="CT3444" s="128"/>
      <c r="CU3444" s="128"/>
      <c r="CV3444" s="128"/>
      <c r="CW3444" s="128"/>
      <c r="CX3444" s="128"/>
      <c r="CY3444" s="128"/>
      <c r="CZ3444" s="165"/>
    </row>
    <row r="3445" spans="1:104">
      <c r="A3445" s="149"/>
      <c r="B3445" s="149"/>
      <c r="C3445" s="150"/>
      <c r="D3445" s="102"/>
      <c r="E3445" s="149"/>
      <c r="F3445" s="149"/>
      <c r="G3445" s="149"/>
      <c r="H3445" s="149"/>
      <c r="I3445" s="149"/>
      <c r="J3445" s="149"/>
      <c r="K3445" s="149"/>
      <c r="L3445" s="149"/>
      <c r="M3445" s="149"/>
      <c r="N3445" s="149"/>
      <c r="O3445" s="149"/>
      <c r="P3445" s="149"/>
      <c r="Q3445" s="149"/>
      <c r="R3445" s="149"/>
      <c r="S3445" s="149"/>
      <c r="T3445" s="149"/>
      <c r="U3445" s="149"/>
      <c r="V3445" s="149"/>
      <c r="W3445" s="149"/>
      <c r="X3445" s="149"/>
      <c r="Y3445" s="149"/>
      <c r="Z3445" s="149"/>
      <c r="AA3445" s="149"/>
      <c r="AB3445" s="149"/>
      <c r="AC3445" s="149"/>
      <c r="AD3445" s="149"/>
      <c r="AE3445" s="149"/>
      <c r="AF3445" s="149"/>
      <c r="AG3445" s="149"/>
      <c r="AH3445" s="149"/>
      <c r="AI3445" s="149"/>
      <c r="AJ3445" s="149"/>
      <c r="AK3445" s="149"/>
      <c r="AL3445" s="149"/>
      <c r="AM3445" s="149"/>
      <c r="AN3445" s="149"/>
      <c r="AO3445" s="128"/>
      <c r="AP3445" s="128"/>
      <c r="AQ3445" s="128"/>
      <c r="AR3445" s="128"/>
      <c r="AS3445" s="128"/>
      <c r="AT3445" s="128"/>
      <c r="AU3445" s="128"/>
      <c r="AV3445" s="128"/>
      <c r="AW3445" s="128"/>
      <c r="AX3445" s="128"/>
      <c r="AY3445" s="128"/>
      <c r="AZ3445" s="128"/>
      <c r="BA3445" s="128"/>
      <c r="BB3445" s="128"/>
      <c r="BC3445" s="128"/>
      <c r="BD3445" s="128"/>
      <c r="BE3445" s="128"/>
      <c r="BF3445" s="128"/>
      <c r="BG3445" s="128"/>
      <c r="BH3445" s="128"/>
      <c r="BI3445" s="128"/>
      <c r="BJ3445" s="128"/>
      <c r="BK3445" s="128"/>
      <c r="BL3445" s="128"/>
      <c r="BM3445" s="151"/>
      <c r="BN3445" s="128"/>
      <c r="BO3445" s="128"/>
      <c r="BP3445" s="128"/>
      <c r="BQ3445" s="128"/>
      <c r="BR3445" s="128"/>
      <c r="BS3445" s="128"/>
      <c r="BT3445" s="128"/>
      <c r="BU3445" s="128"/>
      <c r="BV3445" s="128"/>
      <c r="BW3445" s="128"/>
      <c r="BX3445" s="128"/>
      <c r="BY3445" s="128"/>
      <c r="BZ3445" s="128"/>
      <c r="CA3445" s="128"/>
      <c r="CB3445" s="128"/>
      <c r="CC3445" s="128"/>
      <c r="CD3445" s="128"/>
      <c r="CE3445" s="128"/>
      <c r="CF3445" s="128"/>
      <c r="CG3445" s="128"/>
      <c r="CI3445" s="128"/>
      <c r="CJ3445" s="128"/>
      <c r="CK3445" s="128"/>
      <c r="CL3445" s="128"/>
      <c r="CM3445" s="128"/>
      <c r="CN3445" s="128"/>
      <c r="CO3445" s="128"/>
      <c r="CP3445" s="128"/>
      <c r="CQ3445" s="128"/>
      <c r="CR3445" s="128"/>
      <c r="CS3445" s="128"/>
      <c r="CT3445" s="128"/>
      <c r="CU3445" s="128"/>
      <c r="CV3445" s="128"/>
      <c r="CW3445" s="128"/>
      <c r="CX3445" s="128"/>
      <c r="CY3445" s="128"/>
      <c r="CZ3445" s="165"/>
    </row>
    <row r="3446" spans="1:104">
      <c r="A3446" s="149"/>
      <c r="B3446" s="149"/>
      <c r="C3446" s="150"/>
      <c r="D3446" s="102"/>
      <c r="E3446" s="149"/>
      <c r="F3446" s="149"/>
      <c r="G3446" s="149"/>
      <c r="H3446" s="149"/>
      <c r="I3446" s="149"/>
      <c r="J3446" s="149"/>
      <c r="K3446" s="149"/>
      <c r="L3446" s="149"/>
      <c r="M3446" s="149"/>
      <c r="N3446" s="149"/>
      <c r="O3446" s="149"/>
      <c r="P3446" s="149"/>
      <c r="Q3446" s="149"/>
      <c r="R3446" s="149"/>
      <c r="S3446" s="149"/>
      <c r="T3446" s="149"/>
      <c r="U3446" s="149"/>
      <c r="V3446" s="149"/>
      <c r="W3446" s="149"/>
      <c r="X3446" s="149"/>
      <c r="Y3446" s="149"/>
      <c r="Z3446" s="149"/>
      <c r="AA3446" s="149"/>
      <c r="AB3446" s="149"/>
      <c r="AC3446" s="149"/>
      <c r="AD3446" s="149"/>
      <c r="AE3446" s="149"/>
      <c r="AF3446" s="149"/>
      <c r="AG3446" s="149"/>
      <c r="AH3446" s="149"/>
      <c r="AI3446" s="149"/>
      <c r="AJ3446" s="149"/>
      <c r="AK3446" s="149"/>
      <c r="AL3446" s="149"/>
      <c r="AM3446" s="149"/>
      <c r="AN3446" s="149"/>
      <c r="AO3446" s="128"/>
      <c r="AP3446" s="128"/>
      <c r="AQ3446" s="128"/>
      <c r="AR3446" s="128"/>
      <c r="AS3446" s="128"/>
      <c r="AT3446" s="128"/>
      <c r="AU3446" s="128"/>
      <c r="AV3446" s="128"/>
      <c r="AW3446" s="128"/>
      <c r="AX3446" s="128"/>
      <c r="AY3446" s="128"/>
      <c r="AZ3446" s="128"/>
      <c r="BA3446" s="128"/>
      <c r="BB3446" s="128"/>
      <c r="BC3446" s="128"/>
      <c r="BD3446" s="128"/>
      <c r="BE3446" s="128"/>
      <c r="BF3446" s="128"/>
      <c r="BG3446" s="128"/>
      <c r="BH3446" s="128"/>
      <c r="BI3446" s="128"/>
      <c r="BJ3446" s="128"/>
      <c r="BK3446" s="128"/>
      <c r="BL3446" s="128"/>
      <c r="BM3446" s="151"/>
      <c r="BN3446" s="128"/>
      <c r="BO3446" s="128"/>
      <c r="BP3446" s="128"/>
      <c r="BQ3446" s="128"/>
      <c r="BR3446" s="128"/>
      <c r="BS3446" s="128"/>
      <c r="BT3446" s="128"/>
      <c r="BU3446" s="128"/>
      <c r="BV3446" s="128"/>
      <c r="BW3446" s="128"/>
      <c r="BX3446" s="128"/>
      <c r="BY3446" s="128"/>
      <c r="BZ3446" s="128"/>
      <c r="CA3446" s="128"/>
      <c r="CB3446" s="128"/>
      <c r="CC3446" s="128"/>
      <c r="CD3446" s="128"/>
      <c r="CE3446" s="128"/>
      <c r="CF3446" s="128"/>
      <c r="CG3446" s="128"/>
      <c r="CI3446" s="128"/>
      <c r="CJ3446" s="128"/>
      <c r="CK3446" s="128"/>
      <c r="CL3446" s="128"/>
      <c r="CM3446" s="128"/>
      <c r="CN3446" s="128"/>
      <c r="CO3446" s="128"/>
      <c r="CP3446" s="128"/>
      <c r="CQ3446" s="128"/>
      <c r="CR3446" s="128"/>
      <c r="CS3446" s="128"/>
      <c r="CT3446" s="128"/>
      <c r="CU3446" s="128"/>
      <c r="CV3446" s="128"/>
      <c r="CW3446" s="128"/>
      <c r="CX3446" s="128"/>
      <c r="CY3446" s="128"/>
      <c r="CZ3446" s="165"/>
    </row>
    <row r="3447" spans="1:104">
      <c r="A3447" s="149"/>
      <c r="B3447" s="149"/>
      <c r="C3447" s="150"/>
      <c r="D3447" s="102"/>
      <c r="E3447" s="149"/>
      <c r="F3447" s="149"/>
      <c r="G3447" s="149"/>
      <c r="H3447" s="149"/>
      <c r="I3447" s="149"/>
      <c r="J3447" s="149"/>
      <c r="K3447" s="149"/>
      <c r="L3447" s="149"/>
      <c r="M3447" s="149"/>
      <c r="N3447" s="149"/>
      <c r="O3447" s="149"/>
      <c r="P3447" s="149"/>
      <c r="Q3447" s="149"/>
      <c r="R3447" s="149"/>
      <c r="S3447" s="149"/>
      <c r="T3447" s="149"/>
      <c r="U3447" s="149"/>
      <c r="V3447" s="149"/>
      <c r="W3447" s="149"/>
      <c r="X3447" s="149"/>
      <c r="Y3447" s="149"/>
      <c r="Z3447" s="149"/>
      <c r="AA3447" s="149"/>
      <c r="AB3447" s="149"/>
      <c r="AC3447" s="149"/>
      <c r="AD3447" s="149"/>
      <c r="AE3447" s="149"/>
      <c r="AF3447" s="149"/>
      <c r="AG3447" s="149"/>
      <c r="AH3447" s="149"/>
      <c r="AI3447" s="149"/>
      <c r="AJ3447" s="149"/>
      <c r="AK3447" s="149"/>
      <c r="AL3447" s="149"/>
      <c r="AM3447" s="149"/>
      <c r="AN3447" s="149"/>
      <c r="AO3447" s="128"/>
      <c r="AP3447" s="128"/>
      <c r="AQ3447" s="128"/>
      <c r="AR3447" s="128"/>
      <c r="AS3447" s="128"/>
      <c r="AT3447" s="128"/>
      <c r="AU3447" s="128"/>
      <c r="AV3447" s="128"/>
      <c r="AW3447" s="128"/>
      <c r="AX3447" s="128"/>
      <c r="AY3447" s="128"/>
      <c r="AZ3447" s="128"/>
      <c r="BA3447" s="128"/>
      <c r="BB3447" s="128"/>
      <c r="BC3447" s="128"/>
      <c r="BD3447" s="128"/>
      <c r="BE3447" s="128"/>
      <c r="BF3447" s="128"/>
      <c r="BG3447" s="128"/>
      <c r="BH3447" s="128"/>
      <c r="BI3447" s="128"/>
      <c r="BJ3447" s="128"/>
      <c r="BK3447" s="128"/>
      <c r="BL3447" s="128"/>
      <c r="BM3447" s="151"/>
      <c r="BN3447" s="128"/>
      <c r="BO3447" s="128"/>
      <c r="BP3447" s="128"/>
      <c r="BQ3447" s="128"/>
      <c r="BR3447" s="128"/>
      <c r="BS3447" s="128"/>
      <c r="BT3447" s="128"/>
      <c r="BU3447" s="128"/>
      <c r="BV3447" s="128"/>
      <c r="BW3447" s="128"/>
      <c r="BX3447" s="128"/>
      <c r="BY3447" s="128"/>
      <c r="BZ3447" s="128"/>
      <c r="CA3447" s="128"/>
      <c r="CB3447" s="128"/>
      <c r="CC3447" s="128"/>
      <c r="CD3447" s="128"/>
      <c r="CE3447" s="128"/>
      <c r="CF3447" s="128"/>
      <c r="CG3447" s="128"/>
      <c r="CI3447" s="128"/>
      <c r="CJ3447" s="128"/>
      <c r="CK3447" s="128"/>
      <c r="CL3447" s="128"/>
      <c r="CM3447" s="128"/>
      <c r="CN3447" s="128"/>
      <c r="CO3447" s="128"/>
      <c r="CP3447" s="128"/>
      <c r="CQ3447" s="128"/>
      <c r="CR3447" s="128"/>
      <c r="CS3447" s="128"/>
      <c r="CT3447" s="128"/>
      <c r="CU3447" s="128"/>
      <c r="CV3447" s="128"/>
      <c r="CW3447" s="128"/>
      <c r="CX3447" s="128"/>
      <c r="CY3447" s="128"/>
      <c r="CZ3447" s="165"/>
    </row>
    <row r="3448" spans="1:104">
      <c r="A3448" s="149"/>
      <c r="B3448" s="149"/>
      <c r="C3448" s="150"/>
      <c r="D3448" s="102"/>
      <c r="E3448" s="149"/>
      <c r="F3448" s="149"/>
      <c r="G3448" s="149"/>
      <c r="H3448" s="149"/>
      <c r="I3448" s="149"/>
      <c r="J3448" s="149"/>
      <c r="K3448" s="149"/>
      <c r="L3448" s="149"/>
      <c r="M3448" s="149"/>
      <c r="N3448" s="149"/>
      <c r="O3448" s="149"/>
      <c r="P3448" s="149"/>
      <c r="Q3448" s="149"/>
      <c r="R3448" s="149"/>
      <c r="S3448" s="149"/>
      <c r="T3448" s="149"/>
      <c r="U3448" s="149"/>
      <c r="V3448" s="149"/>
      <c r="W3448" s="149"/>
      <c r="X3448" s="149"/>
      <c r="Y3448" s="149"/>
      <c r="Z3448" s="149"/>
      <c r="AA3448" s="149"/>
      <c r="AB3448" s="149"/>
      <c r="AC3448" s="149"/>
      <c r="AD3448" s="149"/>
      <c r="AE3448" s="149"/>
      <c r="AF3448" s="149"/>
      <c r="AG3448" s="149"/>
      <c r="AH3448" s="149"/>
      <c r="AI3448" s="149"/>
      <c r="AJ3448" s="149"/>
      <c r="AK3448" s="149"/>
      <c r="AL3448" s="149"/>
      <c r="AM3448" s="149"/>
      <c r="AN3448" s="149"/>
      <c r="AO3448" s="128"/>
      <c r="AP3448" s="128"/>
      <c r="AQ3448" s="128"/>
      <c r="AR3448" s="128"/>
      <c r="AS3448" s="128"/>
      <c r="AT3448" s="128"/>
      <c r="AU3448" s="128"/>
      <c r="AV3448" s="128"/>
      <c r="AW3448" s="128"/>
      <c r="AX3448" s="128"/>
      <c r="AY3448" s="128"/>
      <c r="AZ3448" s="128"/>
      <c r="BA3448" s="128"/>
      <c r="BB3448" s="128"/>
      <c r="BC3448" s="128"/>
      <c r="BD3448" s="128"/>
      <c r="BE3448" s="128"/>
      <c r="BF3448" s="128"/>
      <c r="BG3448" s="128"/>
      <c r="BH3448" s="128"/>
      <c r="BI3448" s="128"/>
      <c r="BJ3448" s="128"/>
      <c r="BK3448" s="128"/>
      <c r="BL3448" s="128"/>
      <c r="BM3448" s="151"/>
      <c r="BN3448" s="128"/>
      <c r="BO3448" s="128"/>
      <c r="BP3448" s="128"/>
      <c r="BQ3448" s="128"/>
      <c r="BR3448" s="128"/>
      <c r="BS3448" s="128"/>
      <c r="BT3448" s="128"/>
      <c r="BU3448" s="128"/>
      <c r="BV3448" s="128"/>
      <c r="BW3448" s="128"/>
      <c r="BX3448" s="128"/>
      <c r="BY3448" s="128"/>
      <c r="BZ3448" s="128"/>
      <c r="CA3448" s="128"/>
      <c r="CB3448" s="128"/>
      <c r="CC3448" s="128"/>
      <c r="CD3448" s="128"/>
      <c r="CE3448" s="128"/>
      <c r="CF3448" s="128"/>
      <c r="CG3448" s="128"/>
      <c r="CI3448" s="128"/>
      <c r="CJ3448" s="128"/>
      <c r="CK3448" s="128"/>
      <c r="CL3448" s="128"/>
      <c r="CM3448" s="128"/>
      <c r="CN3448" s="128"/>
      <c r="CO3448" s="128"/>
      <c r="CP3448" s="128"/>
      <c r="CQ3448" s="128"/>
      <c r="CR3448" s="128"/>
      <c r="CS3448" s="128"/>
      <c r="CT3448" s="128"/>
      <c r="CU3448" s="128"/>
      <c r="CV3448" s="128"/>
      <c r="CW3448" s="128"/>
      <c r="CX3448" s="128"/>
      <c r="CY3448" s="128"/>
      <c r="CZ3448" s="165"/>
    </row>
    <row r="3449" spans="1:104">
      <c r="A3449" s="149"/>
      <c r="B3449" s="149"/>
      <c r="C3449" s="150"/>
      <c r="D3449" s="102"/>
      <c r="E3449" s="149"/>
      <c r="F3449" s="149"/>
      <c r="G3449" s="149"/>
      <c r="H3449" s="149"/>
      <c r="I3449" s="149"/>
      <c r="J3449" s="149"/>
      <c r="K3449" s="149"/>
      <c r="L3449" s="149"/>
      <c r="M3449" s="149"/>
      <c r="N3449" s="149"/>
      <c r="O3449" s="149"/>
      <c r="P3449" s="149"/>
      <c r="Q3449" s="149"/>
      <c r="R3449" s="149"/>
      <c r="S3449" s="149"/>
      <c r="T3449" s="149"/>
      <c r="U3449" s="149"/>
      <c r="V3449" s="149"/>
      <c r="W3449" s="149"/>
      <c r="X3449" s="149"/>
      <c r="Y3449" s="149"/>
      <c r="Z3449" s="149"/>
      <c r="AA3449" s="149"/>
      <c r="AB3449" s="149"/>
      <c r="AC3449" s="149"/>
      <c r="AD3449" s="149"/>
      <c r="AE3449" s="149"/>
      <c r="AF3449" s="149"/>
      <c r="AG3449" s="149"/>
      <c r="AH3449" s="149"/>
      <c r="AI3449" s="149"/>
      <c r="AJ3449" s="149"/>
      <c r="AK3449" s="149"/>
      <c r="AL3449" s="149"/>
      <c r="AM3449" s="149"/>
      <c r="AN3449" s="149"/>
      <c r="AO3449" s="128"/>
      <c r="AP3449" s="128"/>
      <c r="AQ3449" s="128"/>
      <c r="AR3449" s="128"/>
      <c r="AS3449" s="128"/>
      <c r="AT3449" s="128"/>
      <c r="AU3449" s="128"/>
      <c r="AV3449" s="128"/>
      <c r="AW3449" s="128"/>
      <c r="AX3449" s="128"/>
      <c r="AY3449" s="128"/>
      <c r="AZ3449" s="128"/>
      <c r="BA3449" s="128"/>
      <c r="BB3449" s="128"/>
      <c r="BC3449" s="128"/>
      <c r="BD3449" s="128"/>
      <c r="BE3449" s="128"/>
      <c r="BF3449" s="128"/>
      <c r="BG3449" s="128"/>
      <c r="BH3449" s="128"/>
      <c r="BI3449" s="128"/>
      <c r="BJ3449" s="128"/>
      <c r="BK3449" s="128"/>
      <c r="BL3449" s="128"/>
      <c r="BM3449" s="151"/>
      <c r="BN3449" s="128"/>
      <c r="BO3449" s="128"/>
      <c r="BP3449" s="128"/>
      <c r="BQ3449" s="128"/>
      <c r="BR3449" s="128"/>
      <c r="BS3449" s="128"/>
      <c r="BT3449" s="128"/>
      <c r="BU3449" s="128"/>
      <c r="BV3449" s="128"/>
      <c r="BW3449" s="128"/>
      <c r="BX3449" s="128"/>
      <c r="BY3449" s="128"/>
      <c r="BZ3449" s="128"/>
      <c r="CA3449" s="128"/>
      <c r="CB3449" s="128"/>
      <c r="CC3449" s="128"/>
      <c r="CD3449" s="128"/>
      <c r="CE3449" s="128"/>
      <c r="CF3449" s="128"/>
      <c r="CG3449" s="128"/>
      <c r="CI3449" s="128"/>
      <c r="CJ3449" s="128"/>
      <c r="CK3449" s="128"/>
      <c r="CL3449" s="128"/>
      <c r="CM3449" s="128"/>
      <c r="CN3449" s="128"/>
      <c r="CO3449" s="128"/>
      <c r="CP3449" s="128"/>
      <c r="CQ3449" s="128"/>
      <c r="CR3449" s="128"/>
      <c r="CS3449" s="128"/>
      <c r="CT3449" s="128"/>
      <c r="CU3449" s="128"/>
      <c r="CV3449" s="128"/>
      <c r="CW3449" s="128"/>
      <c r="CX3449" s="128"/>
      <c r="CY3449" s="128"/>
      <c r="CZ3449" s="165"/>
    </row>
    <row r="3450" spans="1:104">
      <c r="A3450" s="149"/>
      <c r="B3450" s="149"/>
      <c r="C3450" s="150"/>
      <c r="D3450" s="102"/>
      <c r="E3450" s="149"/>
      <c r="F3450" s="149"/>
      <c r="G3450" s="149"/>
      <c r="H3450" s="149"/>
      <c r="I3450" s="149"/>
      <c r="J3450" s="149"/>
      <c r="K3450" s="149"/>
      <c r="L3450" s="149"/>
      <c r="M3450" s="149"/>
      <c r="N3450" s="149"/>
      <c r="O3450" s="149"/>
      <c r="P3450" s="149"/>
      <c r="Q3450" s="149"/>
      <c r="R3450" s="149"/>
      <c r="S3450" s="149"/>
      <c r="T3450" s="149"/>
      <c r="U3450" s="149"/>
      <c r="V3450" s="149"/>
      <c r="W3450" s="149"/>
      <c r="X3450" s="149"/>
      <c r="Y3450" s="149"/>
      <c r="Z3450" s="149"/>
      <c r="AA3450" s="149"/>
      <c r="AB3450" s="149"/>
      <c r="AC3450" s="149"/>
      <c r="AD3450" s="149"/>
      <c r="AE3450" s="149"/>
      <c r="AF3450" s="149"/>
      <c r="AG3450" s="149"/>
      <c r="AH3450" s="149"/>
      <c r="AI3450" s="149"/>
      <c r="AJ3450" s="149"/>
      <c r="AK3450" s="149"/>
      <c r="AL3450" s="149"/>
      <c r="AM3450" s="149"/>
      <c r="AN3450" s="149"/>
      <c r="AO3450" s="128"/>
      <c r="AP3450" s="128"/>
      <c r="AQ3450" s="128"/>
      <c r="AR3450" s="128"/>
      <c r="AS3450" s="128"/>
      <c r="AT3450" s="128"/>
      <c r="AU3450" s="128"/>
      <c r="AV3450" s="128"/>
      <c r="AW3450" s="128"/>
      <c r="AX3450" s="128"/>
      <c r="AY3450" s="128"/>
      <c r="AZ3450" s="128"/>
      <c r="BA3450" s="128"/>
      <c r="BB3450" s="128"/>
      <c r="BC3450" s="128"/>
      <c r="BD3450" s="128"/>
      <c r="BE3450" s="128"/>
      <c r="BF3450" s="128"/>
      <c r="BG3450" s="128"/>
      <c r="BH3450" s="128"/>
      <c r="BI3450" s="128"/>
      <c r="BJ3450" s="128"/>
      <c r="BK3450" s="128"/>
      <c r="BL3450" s="128"/>
      <c r="BM3450" s="151"/>
      <c r="BN3450" s="128"/>
      <c r="BO3450" s="128"/>
      <c r="BP3450" s="128"/>
      <c r="BQ3450" s="128"/>
      <c r="BR3450" s="128"/>
      <c r="BS3450" s="128"/>
      <c r="BT3450" s="128"/>
      <c r="BU3450" s="128"/>
      <c r="BV3450" s="128"/>
      <c r="BW3450" s="128"/>
      <c r="BX3450" s="128"/>
      <c r="BY3450" s="128"/>
      <c r="BZ3450" s="128"/>
      <c r="CA3450" s="128"/>
      <c r="CB3450" s="128"/>
      <c r="CC3450" s="128"/>
      <c r="CD3450" s="128"/>
      <c r="CE3450" s="128"/>
      <c r="CF3450" s="128"/>
      <c r="CG3450" s="128"/>
      <c r="CI3450" s="128"/>
      <c r="CJ3450" s="128"/>
      <c r="CK3450" s="128"/>
      <c r="CL3450" s="128"/>
      <c r="CM3450" s="128"/>
      <c r="CN3450" s="128"/>
      <c r="CO3450" s="128"/>
      <c r="CP3450" s="128"/>
      <c r="CQ3450" s="128"/>
      <c r="CR3450" s="128"/>
      <c r="CS3450" s="128"/>
      <c r="CT3450" s="128"/>
      <c r="CU3450" s="128"/>
      <c r="CV3450" s="128"/>
      <c r="CW3450" s="128"/>
      <c r="CX3450" s="128"/>
      <c r="CY3450" s="128"/>
      <c r="CZ3450" s="165"/>
    </row>
    <row r="3451" spans="1:104">
      <c r="A3451" s="149"/>
      <c r="B3451" s="149"/>
      <c r="C3451" s="150"/>
      <c r="D3451" s="102"/>
      <c r="E3451" s="149"/>
      <c r="F3451" s="149"/>
      <c r="G3451" s="149"/>
      <c r="H3451" s="149"/>
      <c r="I3451" s="149"/>
      <c r="J3451" s="149"/>
      <c r="K3451" s="149"/>
      <c r="L3451" s="149"/>
      <c r="M3451" s="149"/>
      <c r="N3451" s="149"/>
      <c r="O3451" s="149"/>
      <c r="P3451" s="149"/>
      <c r="Q3451" s="149"/>
      <c r="R3451" s="149"/>
      <c r="S3451" s="149"/>
      <c r="T3451" s="149"/>
      <c r="U3451" s="149"/>
      <c r="V3451" s="149"/>
      <c r="W3451" s="149"/>
      <c r="X3451" s="149"/>
      <c r="Y3451" s="149"/>
      <c r="Z3451" s="149"/>
      <c r="AA3451" s="149"/>
      <c r="AB3451" s="149"/>
      <c r="AC3451" s="149"/>
      <c r="AD3451" s="149"/>
      <c r="AE3451" s="149"/>
      <c r="AF3451" s="149"/>
      <c r="AG3451" s="149"/>
      <c r="AH3451" s="149"/>
      <c r="AI3451" s="149"/>
      <c r="AJ3451" s="149"/>
      <c r="AK3451" s="149"/>
      <c r="AL3451" s="149"/>
      <c r="AM3451" s="149"/>
      <c r="AN3451" s="149"/>
      <c r="AO3451" s="128"/>
      <c r="AP3451" s="128"/>
      <c r="AQ3451" s="128"/>
      <c r="AR3451" s="128"/>
      <c r="AS3451" s="128"/>
      <c r="AT3451" s="128"/>
      <c r="AU3451" s="128"/>
      <c r="AV3451" s="128"/>
      <c r="AW3451" s="128"/>
      <c r="AX3451" s="128"/>
      <c r="AY3451" s="128"/>
      <c r="AZ3451" s="128"/>
      <c r="BA3451" s="128"/>
      <c r="BB3451" s="128"/>
      <c r="BC3451" s="128"/>
      <c r="BD3451" s="128"/>
      <c r="BE3451" s="128"/>
      <c r="BF3451" s="128"/>
      <c r="BG3451" s="128"/>
      <c r="BH3451" s="128"/>
      <c r="BI3451" s="128"/>
      <c r="BJ3451" s="128"/>
      <c r="BK3451" s="128"/>
      <c r="BL3451" s="128"/>
      <c r="BM3451" s="151"/>
      <c r="BN3451" s="128"/>
      <c r="BO3451" s="128"/>
      <c r="BP3451" s="128"/>
      <c r="BQ3451" s="128"/>
      <c r="BR3451" s="128"/>
      <c r="BS3451" s="128"/>
      <c r="BT3451" s="128"/>
      <c r="BU3451" s="128"/>
      <c r="BV3451" s="128"/>
      <c r="BW3451" s="128"/>
      <c r="BX3451" s="128"/>
      <c r="BY3451" s="128"/>
      <c r="BZ3451" s="128"/>
      <c r="CA3451" s="128"/>
      <c r="CB3451" s="128"/>
      <c r="CC3451" s="128"/>
      <c r="CD3451" s="128"/>
      <c r="CE3451" s="128"/>
      <c r="CF3451" s="128"/>
      <c r="CG3451" s="128"/>
      <c r="CI3451" s="128"/>
      <c r="CJ3451" s="128"/>
      <c r="CK3451" s="128"/>
      <c r="CL3451" s="128"/>
      <c r="CM3451" s="128"/>
      <c r="CN3451" s="128"/>
      <c r="CO3451" s="128"/>
      <c r="CP3451" s="128"/>
      <c r="CQ3451" s="128"/>
      <c r="CR3451" s="128"/>
      <c r="CS3451" s="128"/>
      <c r="CT3451" s="128"/>
      <c r="CU3451" s="128"/>
      <c r="CV3451" s="128"/>
      <c r="CW3451" s="128"/>
      <c r="CX3451" s="128"/>
      <c r="CY3451" s="128"/>
      <c r="CZ3451" s="165"/>
    </row>
    <row r="3452" spans="1:104">
      <c r="A3452" s="149"/>
      <c r="B3452" s="149"/>
      <c r="C3452" s="150"/>
      <c r="D3452" s="102"/>
      <c r="E3452" s="149"/>
      <c r="F3452" s="149"/>
      <c r="G3452" s="149"/>
      <c r="H3452" s="149"/>
      <c r="I3452" s="149"/>
      <c r="J3452" s="149"/>
      <c r="K3452" s="149"/>
      <c r="L3452" s="149"/>
      <c r="M3452" s="149"/>
      <c r="N3452" s="149"/>
      <c r="O3452" s="149"/>
      <c r="P3452" s="149"/>
      <c r="Q3452" s="149"/>
      <c r="R3452" s="149"/>
      <c r="S3452" s="149"/>
      <c r="T3452" s="149"/>
      <c r="U3452" s="149"/>
      <c r="V3452" s="149"/>
      <c r="W3452" s="149"/>
      <c r="X3452" s="149"/>
      <c r="Y3452" s="149"/>
      <c r="Z3452" s="149"/>
      <c r="AA3452" s="149"/>
      <c r="AB3452" s="149"/>
      <c r="AC3452" s="149"/>
      <c r="AD3452" s="149"/>
      <c r="AE3452" s="149"/>
      <c r="AF3452" s="149"/>
      <c r="AG3452" s="149"/>
      <c r="AH3452" s="149"/>
      <c r="AI3452" s="149"/>
      <c r="AJ3452" s="149"/>
      <c r="AK3452" s="149"/>
      <c r="AL3452" s="149"/>
      <c r="AM3452" s="149"/>
      <c r="AN3452" s="149"/>
      <c r="AO3452" s="128"/>
      <c r="AP3452" s="128"/>
      <c r="AQ3452" s="128"/>
      <c r="AR3452" s="128"/>
      <c r="AS3452" s="128"/>
      <c r="AT3452" s="128"/>
      <c r="AU3452" s="128"/>
      <c r="AV3452" s="128"/>
      <c r="AW3452" s="128"/>
      <c r="AX3452" s="128"/>
      <c r="AY3452" s="128"/>
      <c r="AZ3452" s="128"/>
      <c r="BA3452" s="128"/>
      <c r="BB3452" s="128"/>
      <c r="BC3452" s="128"/>
      <c r="BD3452" s="128"/>
      <c r="BE3452" s="128"/>
      <c r="BF3452" s="128"/>
      <c r="BG3452" s="128"/>
      <c r="BH3452" s="128"/>
      <c r="BI3452" s="128"/>
      <c r="BJ3452" s="128"/>
      <c r="BK3452" s="128"/>
      <c r="BL3452" s="128"/>
      <c r="BM3452" s="151"/>
      <c r="BN3452" s="128"/>
      <c r="BO3452" s="128"/>
      <c r="BP3452" s="128"/>
      <c r="BQ3452" s="128"/>
      <c r="BR3452" s="128"/>
      <c r="BS3452" s="128"/>
      <c r="BT3452" s="128"/>
      <c r="BU3452" s="128"/>
      <c r="BV3452" s="128"/>
      <c r="BW3452" s="128"/>
      <c r="BX3452" s="128"/>
      <c r="BY3452" s="128"/>
      <c r="BZ3452" s="128"/>
      <c r="CA3452" s="128"/>
      <c r="CB3452" s="128"/>
      <c r="CC3452" s="128"/>
      <c r="CD3452" s="128"/>
      <c r="CE3452" s="128"/>
      <c r="CF3452" s="128"/>
      <c r="CG3452" s="128"/>
      <c r="CI3452" s="128"/>
      <c r="CJ3452" s="128"/>
      <c r="CK3452" s="128"/>
      <c r="CL3452" s="128"/>
      <c r="CM3452" s="128"/>
      <c r="CN3452" s="128"/>
      <c r="CO3452" s="128"/>
      <c r="CP3452" s="128"/>
      <c r="CQ3452" s="128"/>
      <c r="CR3452" s="128"/>
      <c r="CS3452" s="128"/>
      <c r="CT3452" s="128"/>
      <c r="CU3452" s="128"/>
      <c r="CV3452" s="128"/>
      <c r="CW3452" s="128"/>
      <c r="CX3452" s="128"/>
      <c r="CY3452" s="128"/>
      <c r="CZ3452" s="165"/>
    </row>
    <row r="3453" spans="1:104">
      <c r="A3453" s="149"/>
      <c r="B3453" s="149"/>
      <c r="C3453" s="150"/>
      <c r="D3453" s="102"/>
      <c r="E3453" s="149"/>
      <c r="F3453" s="149"/>
      <c r="G3453" s="149"/>
      <c r="H3453" s="149"/>
      <c r="I3453" s="149"/>
      <c r="J3453" s="149"/>
      <c r="K3453" s="149"/>
      <c r="L3453" s="149"/>
      <c r="M3453" s="149"/>
      <c r="N3453" s="149"/>
      <c r="O3453" s="149"/>
      <c r="P3453" s="149"/>
      <c r="Q3453" s="149"/>
      <c r="R3453" s="149"/>
      <c r="S3453" s="149"/>
      <c r="T3453" s="149"/>
      <c r="U3453" s="149"/>
      <c r="V3453" s="149"/>
      <c r="W3453" s="149"/>
      <c r="X3453" s="149"/>
      <c r="Y3453" s="149"/>
      <c r="Z3453" s="149"/>
      <c r="AA3453" s="149"/>
      <c r="AB3453" s="149"/>
      <c r="AC3453" s="149"/>
      <c r="AD3453" s="149"/>
      <c r="AE3453" s="149"/>
      <c r="AF3453" s="149"/>
      <c r="AG3453" s="149"/>
      <c r="AH3453" s="149"/>
      <c r="AI3453" s="149"/>
      <c r="AJ3453" s="149"/>
      <c r="AK3453" s="149"/>
      <c r="AL3453" s="149"/>
      <c r="AM3453" s="149"/>
      <c r="AN3453" s="149"/>
      <c r="AO3453" s="128"/>
      <c r="AP3453" s="128"/>
      <c r="AQ3453" s="128"/>
      <c r="AR3453" s="128"/>
      <c r="AS3453" s="128"/>
      <c r="AT3453" s="128"/>
      <c r="AU3453" s="128"/>
      <c r="AV3453" s="128"/>
      <c r="AW3453" s="128"/>
      <c r="AX3453" s="128"/>
      <c r="AY3453" s="128"/>
      <c r="AZ3453" s="128"/>
      <c r="BA3453" s="128"/>
      <c r="BB3453" s="128"/>
      <c r="BC3453" s="128"/>
      <c r="BD3453" s="128"/>
      <c r="BE3453" s="128"/>
      <c r="BF3453" s="128"/>
      <c r="BG3453" s="128"/>
      <c r="BH3453" s="128"/>
      <c r="BI3453" s="128"/>
      <c r="BJ3453" s="128"/>
      <c r="BK3453" s="128"/>
      <c r="BL3453" s="128"/>
      <c r="BM3453" s="151"/>
      <c r="BN3453" s="128"/>
      <c r="BO3453" s="128"/>
      <c r="BP3453" s="128"/>
      <c r="BQ3453" s="128"/>
      <c r="BR3453" s="128"/>
      <c r="BS3453" s="128"/>
      <c r="BT3453" s="128"/>
      <c r="BU3453" s="128"/>
      <c r="BV3453" s="128"/>
      <c r="BW3453" s="128"/>
      <c r="BX3453" s="128"/>
      <c r="BY3453" s="128"/>
      <c r="BZ3453" s="128"/>
      <c r="CA3453" s="128"/>
      <c r="CB3453" s="128"/>
      <c r="CC3453" s="128"/>
      <c r="CD3453" s="128"/>
      <c r="CE3453" s="128"/>
      <c r="CF3453" s="128"/>
      <c r="CG3453" s="128"/>
      <c r="CI3453" s="128"/>
      <c r="CJ3453" s="128"/>
      <c r="CK3453" s="128"/>
      <c r="CL3453" s="128"/>
      <c r="CM3453" s="128"/>
      <c r="CN3453" s="128"/>
      <c r="CO3453" s="128"/>
      <c r="CP3453" s="128"/>
      <c r="CQ3453" s="128"/>
      <c r="CR3453" s="128"/>
      <c r="CS3453" s="128"/>
      <c r="CT3453" s="128"/>
      <c r="CU3453" s="128"/>
      <c r="CV3453" s="128"/>
      <c r="CW3453" s="128"/>
      <c r="CX3453" s="128"/>
      <c r="CY3453" s="128"/>
      <c r="CZ3453" s="165"/>
    </row>
    <row r="3454" spans="1:104">
      <c r="A3454" s="149"/>
      <c r="B3454" s="149"/>
      <c r="C3454" s="150"/>
      <c r="D3454" s="102"/>
      <c r="E3454" s="149"/>
      <c r="F3454" s="149"/>
      <c r="G3454" s="149"/>
      <c r="H3454" s="149"/>
      <c r="I3454" s="149"/>
      <c r="J3454" s="149"/>
      <c r="K3454" s="149"/>
      <c r="L3454" s="149"/>
      <c r="M3454" s="149"/>
      <c r="N3454" s="149"/>
      <c r="O3454" s="149"/>
      <c r="P3454" s="149"/>
      <c r="Q3454" s="149"/>
      <c r="R3454" s="149"/>
      <c r="S3454" s="149"/>
      <c r="T3454" s="149"/>
      <c r="U3454" s="149"/>
      <c r="V3454" s="149"/>
      <c r="W3454" s="149"/>
      <c r="X3454" s="149"/>
      <c r="Y3454" s="149"/>
      <c r="Z3454" s="149"/>
      <c r="AA3454" s="149"/>
      <c r="AB3454" s="149"/>
      <c r="AC3454" s="149"/>
      <c r="AD3454" s="149"/>
      <c r="AE3454" s="149"/>
      <c r="AF3454" s="149"/>
      <c r="AG3454" s="149"/>
      <c r="AH3454" s="149"/>
      <c r="AI3454" s="149"/>
      <c r="AJ3454" s="149"/>
      <c r="AK3454" s="149"/>
      <c r="AL3454" s="149"/>
      <c r="AM3454" s="149"/>
      <c r="AN3454" s="149"/>
      <c r="AO3454" s="128"/>
      <c r="AP3454" s="128"/>
      <c r="AQ3454" s="128"/>
      <c r="AR3454" s="128"/>
      <c r="AS3454" s="128"/>
      <c r="AT3454" s="128"/>
      <c r="AU3454" s="128"/>
      <c r="AV3454" s="128"/>
      <c r="AW3454" s="128"/>
      <c r="AX3454" s="128"/>
      <c r="AY3454" s="128"/>
      <c r="AZ3454" s="128"/>
      <c r="BA3454" s="128"/>
      <c r="BB3454" s="128"/>
      <c r="BC3454" s="128"/>
      <c r="BD3454" s="128"/>
      <c r="BE3454" s="128"/>
      <c r="BF3454" s="128"/>
      <c r="BG3454" s="128"/>
      <c r="BH3454" s="128"/>
      <c r="BI3454" s="128"/>
      <c r="BJ3454" s="128"/>
      <c r="BK3454" s="128"/>
      <c r="BL3454" s="128"/>
      <c r="BM3454" s="151"/>
      <c r="BN3454" s="128"/>
      <c r="BO3454" s="128"/>
      <c r="BP3454" s="128"/>
      <c r="BQ3454" s="128"/>
      <c r="BR3454" s="128"/>
      <c r="BS3454" s="128"/>
      <c r="BT3454" s="128"/>
      <c r="BU3454" s="128"/>
      <c r="BV3454" s="128"/>
      <c r="BW3454" s="128"/>
      <c r="BX3454" s="128"/>
      <c r="BY3454" s="128"/>
      <c r="BZ3454" s="128"/>
      <c r="CA3454" s="128"/>
      <c r="CB3454" s="128"/>
      <c r="CC3454" s="128"/>
      <c r="CD3454" s="128"/>
      <c r="CE3454" s="128"/>
      <c r="CF3454" s="128"/>
      <c r="CG3454" s="128"/>
      <c r="CI3454" s="128"/>
      <c r="CJ3454" s="128"/>
      <c r="CK3454" s="128"/>
      <c r="CL3454" s="128"/>
      <c r="CM3454" s="128"/>
      <c r="CN3454" s="128"/>
      <c r="CO3454" s="128"/>
      <c r="CP3454" s="128"/>
      <c r="CQ3454" s="128"/>
      <c r="CR3454" s="128"/>
      <c r="CS3454" s="128"/>
      <c r="CT3454" s="128"/>
      <c r="CU3454" s="128"/>
      <c r="CV3454" s="128"/>
      <c r="CW3454" s="128"/>
      <c r="CX3454" s="128"/>
      <c r="CY3454" s="128"/>
      <c r="CZ3454" s="165"/>
    </row>
    <row r="3455" spans="1:104">
      <c r="A3455" s="149"/>
      <c r="B3455" s="149"/>
      <c r="C3455" s="150"/>
      <c r="D3455" s="102"/>
      <c r="E3455" s="149"/>
      <c r="F3455" s="149"/>
      <c r="G3455" s="149"/>
      <c r="H3455" s="149"/>
      <c r="I3455" s="149"/>
      <c r="J3455" s="149"/>
      <c r="K3455" s="149"/>
      <c r="L3455" s="149"/>
      <c r="M3455" s="149"/>
      <c r="N3455" s="149"/>
      <c r="O3455" s="149"/>
      <c r="P3455" s="149"/>
      <c r="Q3455" s="149"/>
      <c r="R3455" s="149"/>
      <c r="S3455" s="149"/>
      <c r="T3455" s="149"/>
      <c r="U3455" s="149"/>
      <c r="V3455" s="149"/>
      <c r="W3455" s="149"/>
      <c r="X3455" s="149"/>
      <c r="Y3455" s="149"/>
      <c r="Z3455" s="149"/>
      <c r="AA3455" s="149"/>
      <c r="AB3455" s="149"/>
      <c r="AC3455" s="149"/>
      <c r="AD3455" s="149"/>
      <c r="AE3455" s="149"/>
      <c r="AF3455" s="149"/>
      <c r="AG3455" s="149"/>
      <c r="AH3455" s="149"/>
      <c r="AI3455" s="149"/>
      <c r="AJ3455" s="149"/>
      <c r="AK3455" s="149"/>
      <c r="AL3455" s="149"/>
      <c r="AM3455" s="149"/>
      <c r="AN3455" s="149"/>
      <c r="AO3455" s="128"/>
      <c r="AP3455" s="128"/>
      <c r="AQ3455" s="128"/>
      <c r="AR3455" s="128"/>
      <c r="AS3455" s="128"/>
      <c r="AT3455" s="128"/>
      <c r="AU3455" s="128"/>
      <c r="AV3455" s="128"/>
      <c r="AW3455" s="128"/>
      <c r="AX3455" s="128"/>
      <c r="AY3455" s="128"/>
      <c r="AZ3455" s="128"/>
      <c r="BA3455" s="128"/>
      <c r="BB3455" s="128"/>
      <c r="BC3455" s="128"/>
      <c r="BD3455" s="128"/>
      <c r="BE3455" s="128"/>
      <c r="BF3455" s="128"/>
      <c r="BG3455" s="128"/>
      <c r="BH3455" s="128"/>
      <c r="BI3455" s="128"/>
      <c r="BJ3455" s="128"/>
      <c r="BK3455" s="128"/>
      <c r="BL3455" s="128"/>
      <c r="BM3455" s="151"/>
      <c r="BN3455" s="128"/>
      <c r="BO3455" s="128"/>
      <c r="BP3455" s="128"/>
      <c r="BQ3455" s="128"/>
      <c r="BR3455" s="128"/>
      <c r="BS3455" s="128"/>
      <c r="BT3455" s="128"/>
      <c r="BU3455" s="128"/>
      <c r="BV3455" s="128"/>
      <c r="BW3455" s="128"/>
      <c r="BX3455" s="128"/>
      <c r="BY3455" s="128"/>
      <c r="BZ3455" s="128"/>
      <c r="CA3455" s="128"/>
      <c r="CB3455" s="128"/>
      <c r="CC3455" s="128"/>
      <c r="CD3455" s="128"/>
      <c r="CE3455" s="128"/>
      <c r="CF3455" s="128"/>
      <c r="CG3455" s="128"/>
      <c r="CI3455" s="128"/>
      <c r="CJ3455" s="128"/>
      <c r="CK3455" s="128"/>
      <c r="CL3455" s="128"/>
      <c r="CM3455" s="128"/>
      <c r="CN3455" s="128"/>
      <c r="CO3455" s="128"/>
      <c r="CP3455" s="128"/>
      <c r="CQ3455" s="128"/>
      <c r="CR3455" s="128"/>
      <c r="CS3455" s="128"/>
      <c r="CT3455" s="128"/>
      <c r="CU3455" s="128"/>
      <c r="CV3455" s="128"/>
      <c r="CW3455" s="128"/>
      <c r="CX3455" s="128"/>
      <c r="CY3455" s="128"/>
      <c r="CZ3455" s="165"/>
    </row>
    <row r="3456" spans="1:104">
      <c r="A3456" s="149"/>
      <c r="B3456" s="149"/>
      <c r="C3456" s="150"/>
      <c r="D3456" s="102"/>
      <c r="E3456" s="149"/>
      <c r="F3456" s="149"/>
      <c r="G3456" s="149"/>
      <c r="H3456" s="149"/>
      <c r="I3456" s="149"/>
      <c r="J3456" s="149"/>
      <c r="K3456" s="149"/>
      <c r="L3456" s="149"/>
      <c r="M3456" s="149"/>
      <c r="N3456" s="149"/>
      <c r="O3456" s="149"/>
      <c r="P3456" s="149"/>
      <c r="Q3456" s="149"/>
      <c r="R3456" s="149"/>
      <c r="S3456" s="149"/>
      <c r="T3456" s="149"/>
      <c r="U3456" s="149"/>
      <c r="V3456" s="149"/>
      <c r="W3456" s="149"/>
      <c r="X3456" s="149"/>
      <c r="Y3456" s="149"/>
      <c r="Z3456" s="149"/>
      <c r="AA3456" s="149"/>
      <c r="AB3456" s="149"/>
      <c r="AC3456" s="149"/>
      <c r="AD3456" s="149"/>
      <c r="AE3456" s="149"/>
      <c r="AF3456" s="149"/>
      <c r="AG3456" s="149"/>
      <c r="AH3456" s="149"/>
      <c r="AI3456" s="149"/>
      <c r="AJ3456" s="149"/>
      <c r="AK3456" s="149"/>
      <c r="AL3456" s="149"/>
      <c r="AM3456" s="149"/>
      <c r="AN3456" s="149"/>
      <c r="AO3456" s="128"/>
      <c r="AP3456" s="128"/>
      <c r="AQ3456" s="128"/>
      <c r="AR3456" s="128"/>
      <c r="AS3456" s="128"/>
      <c r="AT3456" s="128"/>
      <c r="AU3456" s="128"/>
      <c r="AV3456" s="128"/>
      <c r="AW3456" s="128"/>
      <c r="AX3456" s="128"/>
      <c r="AY3456" s="128"/>
      <c r="AZ3456" s="128"/>
      <c r="BA3456" s="128"/>
      <c r="BB3456" s="128"/>
      <c r="BC3456" s="128"/>
      <c r="BD3456" s="128"/>
      <c r="BE3456" s="128"/>
      <c r="BF3456" s="128"/>
      <c r="BG3456" s="128"/>
      <c r="BH3456" s="128"/>
      <c r="BI3456" s="128"/>
      <c r="BJ3456" s="128"/>
      <c r="BK3456" s="128"/>
      <c r="BL3456" s="128"/>
      <c r="BM3456" s="151"/>
      <c r="BN3456" s="128"/>
      <c r="BO3456" s="128"/>
      <c r="BP3456" s="128"/>
      <c r="BQ3456" s="128"/>
      <c r="BR3456" s="128"/>
      <c r="BS3456" s="128"/>
      <c r="BT3456" s="128"/>
      <c r="BU3456" s="128"/>
      <c r="BV3456" s="128"/>
      <c r="BW3456" s="128"/>
      <c r="BX3456" s="128"/>
      <c r="BY3456" s="128"/>
      <c r="BZ3456" s="128"/>
      <c r="CA3456" s="128"/>
      <c r="CB3456" s="128"/>
      <c r="CC3456" s="128"/>
      <c r="CD3456" s="128"/>
      <c r="CE3456" s="128"/>
      <c r="CF3456" s="128"/>
      <c r="CG3456" s="128"/>
      <c r="CI3456" s="128"/>
      <c r="CJ3456" s="128"/>
      <c r="CK3456" s="128"/>
      <c r="CL3456" s="128"/>
      <c r="CM3456" s="128"/>
      <c r="CN3456" s="128"/>
      <c r="CO3456" s="128"/>
      <c r="CP3456" s="128"/>
      <c r="CQ3456" s="128"/>
      <c r="CR3456" s="128"/>
      <c r="CS3456" s="128"/>
      <c r="CT3456" s="128"/>
      <c r="CU3456" s="128"/>
      <c r="CV3456" s="128"/>
      <c r="CW3456" s="128"/>
      <c r="CX3456" s="128"/>
      <c r="CY3456" s="128"/>
      <c r="CZ3456" s="165"/>
    </row>
    <row r="3457" spans="1:104">
      <c r="A3457" s="149"/>
      <c r="B3457" s="149"/>
      <c r="C3457" s="150"/>
      <c r="D3457" s="102"/>
      <c r="E3457" s="149"/>
      <c r="F3457" s="149"/>
      <c r="G3457" s="149"/>
      <c r="H3457" s="149"/>
      <c r="I3457" s="149"/>
      <c r="J3457" s="149"/>
      <c r="K3457" s="149"/>
      <c r="L3457" s="149"/>
      <c r="M3457" s="149"/>
      <c r="N3457" s="149"/>
      <c r="O3457" s="149"/>
      <c r="P3457" s="149"/>
      <c r="Q3457" s="149"/>
      <c r="R3457" s="149"/>
      <c r="S3457" s="149"/>
      <c r="T3457" s="149"/>
      <c r="U3457" s="149"/>
      <c r="V3457" s="149"/>
      <c r="W3457" s="149"/>
      <c r="X3457" s="149"/>
      <c r="Y3457" s="149"/>
      <c r="Z3457" s="149"/>
      <c r="AA3457" s="149"/>
      <c r="AB3457" s="149"/>
      <c r="AC3457" s="149"/>
      <c r="AD3457" s="149"/>
      <c r="AE3457" s="149"/>
      <c r="AF3457" s="149"/>
      <c r="AG3457" s="149"/>
      <c r="AH3457" s="149"/>
      <c r="AI3457" s="149"/>
      <c r="AJ3457" s="149"/>
      <c r="AK3457" s="149"/>
      <c r="AL3457" s="149"/>
      <c r="AM3457" s="149"/>
      <c r="AN3457" s="149"/>
      <c r="AO3457" s="128"/>
      <c r="AP3457" s="128"/>
      <c r="AQ3457" s="128"/>
      <c r="AR3457" s="128"/>
      <c r="AS3457" s="128"/>
      <c r="AT3457" s="128"/>
      <c r="AU3457" s="128"/>
      <c r="AV3457" s="128"/>
      <c r="AW3457" s="128"/>
      <c r="AX3457" s="128"/>
      <c r="AY3457" s="128"/>
      <c r="AZ3457" s="128"/>
      <c r="BA3457" s="128"/>
      <c r="BB3457" s="128"/>
      <c r="BC3457" s="128"/>
      <c r="BD3457" s="128"/>
      <c r="BE3457" s="128"/>
      <c r="BF3457" s="128"/>
      <c r="BG3457" s="128"/>
      <c r="BH3457" s="128"/>
      <c r="BI3457" s="128"/>
      <c r="BJ3457" s="128"/>
      <c r="BK3457" s="128"/>
      <c r="BL3457" s="128"/>
      <c r="BM3457" s="151"/>
      <c r="BN3457" s="128"/>
      <c r="BO3457" s="128"/>
      <c r="BP3457" s="128"/>
      <c r="BQ3457" s="128"/>
      <c r="BR3457" s="128"/>
      <c r="BS3457" s="128"/>
      <c r="BT3457" s="128"/>
      <c r="BU3457" s="128"/>
      <c r="BV3457" s="128"/>
      <c r="BW3457" s="128"/>
      <c r="BX3457" s="128"/>
      <c r="BY3457" s="128"/>
      <c r="BZ3457" s="128"/>
      <c r="CA3457" s="128"/>
      <c r="CB3457" s="128"/>
      <c r="CC3457" s="128"/>
      <c r="CD3457" s="128"/>
      <c r="CE3457" s="128"/>
      <c r="CF3457" s="128"/>
      <c r="CG3457" s="128"/>
      <c r="CI3457" s="128"/>
      <c r="CJ3457" s="128"/>
      <c r="CK3457" s="128"/>
      <c r="CL3457" s="128"/>
      <c r="CM3457" s="128"/>
      <c r="CN3457" s="128"/>
      <c r="CO3457" s="128"/>
      <c r="CP3457" s="128"/>
      <c r="CQ3457" s="128"/>
      <c r="CR3457" s="128"/>
      <c r="CS3457" s="128"/>
      <c r="CT3457" s="128"/>
      <c r="CU3457" s="128"/>
      <c r="CV3457" s="128"/>
      <c r="CW3457" s="128"/>
      <c r="CX3457" s="128"/>
      <c r="CY3457" s="128"/>
      <c r="CZ3457" s="165"/>
    </row>
    <row r="3458" spans="1:104">
      <c r="A3458" s="149"/>
      <c r="B3458" s="149"/>
      <c r="C3458" s="150"/>
      <c r="D3458" s="102"/>
      <c r="E3458" s="149"/>
      <c r="F3458" s="149"/>
      <c r="G3458" s="149"/>
      <c r="H3458" s="149"/>
      <c r="I3458" s="149"/>
      <c r="J3458" s="149"/>
      <c r="K3458" s="149"/>
      <c r="L3458" s="149"/>
      <c r="M3458" s="149"/>
      <c r="N3458" s="149"/>
      <c r="O3458" s="149"/>
      <c r="P3458" s="149"/>
      <c r="Q3458" s="149"/>
      <c r="R3458" s="149"/>
      <c r="S3458" s="149"/>
      <c r="T3458" s="149"/>
      <c r="U3458" s="149"/>
      <c r="V3458" s="149"/>
      <c r="W3458" s="149"/>
      <c r="X3458" s="149"/>
      <c r="Y3458" s="149"/>
      <c r="Z3458" s="149"/>
      <c r="AA3458" s="149"/>
      <c r="AB3458" s="149"/>
      <c r="AC3458" s="149"/>
      <c r="AD3458" s="149"/>
      <c r="AE3458" s="149"/>
      <c r="AF3458" s="149"/>
      <c r="AG3458" s="149"/>
      <c r="AH3458" s="149"/>
      <c r="AI3458" s="149"/>
      <c r="AJ3458" s="149"/>
      <c r="AK3458" s="149"/>
      <c r="AL3458" s="149"/>
      <c r="AM3458" s="149"/>
      <c r="AN3458" s="149"/>
      <c r="AO3458" s="128"/>
      <c r="AP3458" s="128"/>
      <c r="AQ3458" s="128"/>
      <c r="AR3458" s="128"/>
      <c r="AS3458" s="128"/>
      <c r="AT3458" s="128"/>
      <c r="AU3458" s="128"/>
      <c r="AV3458" s="128"/>
      <c r="AW3458" s="128"/>
      <c r="AX3458" s="128"/>
      <c r="AY3458" s="128"/>
      <c r="AZ3458" s="128"/>
      <c r="BA3458" s="128"/>
      <c r="BB3458" s="128"/>
      <c r="BC3458" s="128"/>
      <c r="BD3458" s="128"/>
      <c r="BE3458" s="128"/>
      <c r="BF3458" s="128"/>
      <c r="BG3458" s="128"/>
      <c r="BH3458" s="128"/>
      <c r="BI3458" s="128"/>
      <c r="BJ3458" s="128"/>
      <c r="BK3458" s="128"/>
      <c r="BL3458" s="128"/>
      <c r="BM3458" s="151"/>
      <c r="BN3458" s="128"/>
      <c r="BO3458" s="128"/>
      <c r="BP3458" s="128"/>
      <c r="BQ3458" s="128"/>
      <c r="BR3458" s="128"/>
      <c r="BS3458" s="128"/>
      <c r="BT3458" s="128"/>
      <c r="BU3458" s="128"/>
      <c r="BV3458" s="128"/>
      <c r="BW3458" s="128"/>
      <c r="BX3458" s="128"/>
      <c r="BY3458" s="128"/>
      <c r="BZ3458" s="128"/>
      <c r="CA3458" s="128"/>
      <c r="CB3458" s="128"/>
      <c r="CC3458" s="128"/>
      <c r="CD3458" s="128"/>
      <c r="CE3458" s="128"/>
      <c r="CF3458" s="128"/>
      <c r="CG3458" s="128"/>
      <c r="CI3458" s="128"/>
      <c r="CJ3458" s="128"/>
      <c r="CK3458" s="128"/>
      <c r="CL3458" s="128"/>
      <c r="CM3458" s="128"/>
      <c r="CN3458" s="128"/>
      <c r="CO3458" s="128"/>
      <c r="CP3458" s="128"/>
      <c r="CQ3458" s="128"/>
      <c r="CR3458" s="128"/>
      <c r="CS3458" s="128"/>
      <c r="CT3458" s="128"/>
      <c r="CU3458" s="128"/>
      <c r="CV3458" s="128"/>
      <c r="CW3458" s="128"/>
      <c r="CX3458" s="128"/>
      <c r="CY3458" s="128"/>
      <c r="CZ3458" s="165"/>
    </row>
    <row r="3459" spans="1:104">
      <c r="A3459" s="149"/>
      <c r="B3459" s="149"/>
      <c r="C3459" s="150"/>
      <c r="D3459" s="102"/>
      <c r="E3459" s="149"/>
      <c r="F3459" s="149"/>
      <c r="G3459" s="149"/>
      <c r="H3459" s="149"/>
      <c r="I3459" s="149"/>
      <c r="J3459" s="149"/>
      <c r="K3459" s="149"/>
      <c r="L3459" s="149"/>
      <c r="M3459" s="149"/>
      <c r="N3459" s="149"/>
      <c r="O3459" s="149"/>
      <c r="P3459" s="149"/>
      <c r="Q3459" s="149"/>
      <c r="R3459" s="149"/>
      <c r="S3459" s="149"/>
      <c r="T3459" s="149"/>
      <c r="U3459" s="149"/>
      <c r="V3459" s="149"/>
      <c r="W3459" s="149"/>
      <c r="X3459" s="149"/>
      <c r="Y3459" s="149"/>
      <c r="Z3459" s="149"/>
      <c r="AA3459" s="149"/>
      <c r="AB3459" s="149"/>
      <c r="AC3459" s="149"/>
      <c r="AD3459" s="149"/>
      <c r="AE3459" s="149"/>
      <c r="AF3459" s="149"/>
      <c r="AG3459" s="149"/>
      <c r="AH3459" s="149"/>
      <c r="AI3459" s="149"/>
      <c r="AJ3459" s="149"/>
      <c r="AK3459" s="149"/>
      <c r="AL3459" s="149"/>
      <c r="AM3459" s="149"/>
      <c r="AN3459" s="149"/>
      <c r="AO3459" s="128"/>
      <c r="AP3459" s="128"/>
      <c r="AQ3459" s="128"/>
      <c r="AR3459" s="128"/>
      <c r="AS3459" s="128"/>
      <c r="AT3459" s="128"/>
      <c r="AU3459" s="128"/>
      <c r="AV3459" s="128"/>
      <c r="AW3459" s="128"/>
      <c r="AX3459" s="128"/>
      <c r="AY3459" s="128"/>
      <c r="AZ3459" s="128"/>
      <c r="BA3459" s="128"/>
      <c r="BB3459" s="128"/>
      <c r="BC3459" s="128"/>
      <c r="BD3459" s="128"/>
      <c r="BE3459" s="128"/>
      <c r="BF3459" s="128"/>
      <c r="BG3459" s="128"/>
      <c r="BH3459" s="128"/>
      <c r="BI3459" s="128"/>
      <c r="BJ3459" s="128"/>
      <c r="BK3459" s="128"/>
      <c r="BL3459" s="128"/>
      <c r="BM3459" s="151"/>
      <c r="BN3459" s="128"/>
      <c r="BO3459" s="128"/>
      <c r="BP3459" s="128"/>
      <c r="BQ3459" s="128"/>
      <c r="BR3459" s="128"/>
      <c r="BS3459" s="128"/>
      <c r="BT3459" s="128"/>
      <c r="BU3459" s="128"/>
      <c r="BV3459" s="128"/>
      <c r="BW3459" s="128"/>
      <c r="BX3459" s="128"/>
      <c r="BY3459" s="128"/>
      <c r="BZ3459" s="128"/>
      <c r="CA3459" s="128"/>
      <c r="CB3459" s="128"/>
      <c r="CC3459" s="128"/>
      <c r="CD3459" s="128"/>
      <c r="CE3459" s="128"/>
      <c r="CF3459" s="128"/>
      <c r="CG3459" s="128"/>
      <c r="CI3459" s="128"/>
      <c r="CJ3459" s="128"/>
      <c r="CK3459" s="128"/>
      <c r="CL3459" s="128"/>
      <c r="CM3459" s="128"/>
      <c r="CN3459" s="128"/>
      <c r="CO3459" s="128"/>
      <c r="CP3459" s="128"/>
      <c r="CQ3459" s="128"/>
      <c r="CR3459" s="128"/>
      <c r="CS3459" s="128"/>
      <c r="CT3459" s="128"/>
      <c r="CU3459" s="128"/>
      <c r="CV3459" s="128"/>
      <c r="CW3459" s="128"/>
      <c r="CX3459" s="128"/>
      <c r="CY3459" s="128"/>
      <c r="CZ3459" s="165"/>
    </row>
    <row r="3460" spans="1:104">
      <c r="A3460" s="149"/>
      <c r="B3460" s="149"/>
      <c r="C3460" s="150"/>
      <c r="D3460" s="102"/>
      <c r="E3460" s="149"/>
      <c r="F3460" s="149"/>
      <c r="G3460" s="149"/>
      <c r="H3460" s="149"/>
      <c r="I3460" s="149"/>
      <c r="J3460" s="149"/>
      <c r="K3460" s="149"/>
      <c r="L3460" s="149"/>
      <c r="M3460" s="149"/>
      <c r="N3460" s="149"/>
      <c r="O3460" s="149"/>
      <c r="P3460" s="149"/>
      <c r="Q3460" s="149"/>
      <c r="R3460" s="149"/>
      <c r="S3460" s="149"/>
      <c r="T3460" s="149"/>
      <c r="U3460" s="149"/>
      <c r="V3460" s="149"/>
      <c r="W3460" s="149"/>
      <c r="X3460" s="149"/>
      <c r="Y3460" s="149"/>
      <c r="Z3460" s="149"/>
      <c r="AA3460" s="149"/>
      <c r="AB3460" s="149"/>
      <c r="AC3460" s="149"/>
      <c r="AD3460" s="149"/>
      <c r="AE3460" s="149"/>
      <c r="AF3460" s="149"/>
      <c r="AG3460" s="149"/>
      <c r="AH3460" s="149"/>
      <c r="AI3460" s="149"/>
      <c r="AJ3460" s="149"/>
      <c r="AK3460" s="149"/>
      <c r="AL3460" s="149"/>
      <c r="AM3460" s="149"/>
      <c r="AN3460" s="149"/>
      <c r="AO3460" s="128"/>
      <c r="AP3460" s="128"/>
      <c r="AQ3460" s="128"/>
      <c r="AR3460" s="128"/>
      <c r="AS3460" s="128"/>
      <c r="AT3460" s="128"/>
      <c r="AU3460" s="128"/>
      <c r="AV3460" s="128"/>
      <c r="AW3460" s="128"/>
      <c r="AX3460" s="128"/>
      <c r="AY3460" s="128"/>
      <c r="AZ3460" s="128"/>
      <c r="BA3460" s="128"/>
      <c r="BB3460" s="128"/>
      <c r="BC3460" s="128"/>
      <c r="BD3460" s="128"/>
      <c r="BE3460" s="128"/>
      <c r="BF3460" s="128"/>
      <c r="BG3460" s="128"/>
      <c r="BH3460" s="128"/>
      <c r="BI3460" s="128"/>
      <c r="BJ3460" s="128"/>
      <c r="BK3460" s="128"/>
      <c r="BL3460" s="128"/>
      <c r="BM3460" s="151"/>
      <c r="BN3460" s="128"/>
      <c r="BO3460" s="128"/>
      <c r="BP3460" s="128"/>
      <c r="BQ3460" s="128"/>
      <c r="BR3460" s="128"/>
      <c r="BS3460" s="128"/>
      <c r="BT3460" s="128"/>
      <c r="BU3460" s="128"/>
      <c r="BV3460" s="128"/>
      <c r="BW3460" s="128"/>
      <c r="BX3460" s="128"/>
      <c r="BY3460" s="128"/>
      <c r="BZ3460" s="128"/>
      <c r="CA3460" s="128"/>
      <c r="CB3460" s="128"/>
      <c r="CC3460" s="128"/>
      <c r="CD3460" s="128"/>
      <c r="CE3460" s="128"/>
      <c r="CF3460" s="128"/>
      <c r="CG3460" s="128"/>
      <c r="CI3460" s="128"/>
      <c r="CJ3460" s="128"/>
      <c r="CK3460" s="128"/>
      <c r="CL3460" s="128"/>
      <c r="CM3460" s="128"/>
      <c r="CN3460" s="128"/>
      <c r="CO3460" s="128"/>
      <c r="CP3460" s="128"/>
      <c r="CQ3460" s="128"/>
      <c r="CR3460" s="128"/>
      <c r="CS3460" s="128"/>
      <c r="CT3460" s="128"/>
      <c r="CU3460" s="128"/>
      <c r="CV3460" s="128"/>
      <c r="CW3460" s="128"/>
      <c r="CX3460" s="128"/>
      <c r="CY3460" s="128"/>
      <c r="CZ3460" s="165"/>
    </row>
    <row r="3461" spans="1:104">
      <c r="A3461" s="149"/>
      <c r="B3461" s="149"/>
      <c r="C3461" s="150"/>
      <c r="D3461" s="102"/>
      <c r="E3461" s="149"/>
      <c r="F3461" s="149"/>
      <c r="G3461" s="149"/>
      <c r="H3461" s="149"/>
      <c r="I3461" s="149"/>
      <c r="J3461" s="149"/>
      <c r="K3461" s="149"/>
      <c r="L3461" s="149"/>
      <c r="M3461" s="149"/>
      <c r="N3461" s="149"/>
      <c r="O3461" s="149"/>
      <c r="P3461" s="149"/>
      <c r="Q3461" s="149"/>
      <c r="R3461" s="149"/>
      <c r="S3461" s="149"/>
      <c r="T3461" s="149"/>
      <c r="U3461" s="149"/>
      <c r="V3461" s="149"/>
      <c r="W3461" s="149"/>
      <c r="X3461" s="149"/>
      <c r="Y3461" s="149"/>
      <c r="Z3461" s="149"/>
      <c r="AA3461" s="149"/>
      <c r="AB3461" s="149"/>
      <c r="AC3461" s="149"/>
      <c r="AD3461" s="149"/>
      <c r="AE3461" s="149"/>
      <c r="AF3461" s="149"/>
      <c r="AG3461" s="149"/>
      <c r="AH3461" s="149"/>
      <c r="AI3461" s="149"/>
      <c r="AJ3461" s="149"/>
      <c r="AK3461" s="149"/>
      <c r="AL3461" s="149"/>
      <c r="AM3461" s="149"/>
      <c r="AN3461" s="149"/>
      <c r="AO3461" s="128"/>
      <c r="AP3461" s="128"/>
      <c r="AQ3461" s="128"/>
      <c r="AR3461" s="128"/>
      <c r="AS3461" s="128"/>
      <c r="AT3461" s="128"/>
      <c r="AU3461" s="128"/>
      <c r="AV3461" s="128"/>
      <c r="AW3461" s="128"/>
      <c r="AX3461" s="128"/>
      <c r="AY3461" s="128"/>
      <c r="AZ3461" s="128"/>
      <c r="BA3461" s="128"/>
      <c r="BB3461" s="128"/>
      <c r="BC3461" s="128"/>
      <c r="BD3461" s="128"/>
      <c r="BE3461" s="128"/>
      <c r="BF3461" s="128"/>
      <c r="BG3461" s="128"/>
      <c r="BH3461" s="128"/>
      <c r="BI3461" s="128"/>
      <c r="BJ3461" s="128"/>
      <c r="BK3461" s="128"/>
      <c r="BL3461" s="128"/>
      <c r="BM3461" s="151"/>
      <c r="BN3461" s="128"/>
      <c r="BO3461" s="128"/>
      <c r="BP3461" s="128"/>
      <c r="BQ3461" s="128"/>
      <c r="BR3461" s="128"/>
      <c r="BS3461" s="128"/>
      <c r="BT3461" s="128"/>
      <c r="BU3461" s="128"/>
      <c r="BV3461" s="128"/>
      <c r="BW3461" s="128"/>
      <c r="BX3461" s="128"/>
      <c r="BY3461" s="128"/>
      <c r="BZ3461" s="128"/>
      <c r="CA3461" s="128"/>
      <c r="CB3461" s="128"/>
      <c r="CC3461" s="128"/>
      <c r="CD3461" s="128"/>
      <c r="CE3461" s="128"/>
      <c r="CF3461" s="128"/>
      <c r="CG3461" s="128"/>
      <c r="CI3461" s="128"/>
      <c r="CJ3461" s="128"/>
      <c r="CK3461" s="128"/>
      <c r="CL3461" s="128"/>
      <c r="CM3461" s="128"/>
      <c r="CN3461" s="128"/>
      <c r="CO3461" s="128"/>
      <c r="CP3461" s="128"/>
      <c r="CQ3461" s="128"/>
      <c r="CR3461" s="128"/>
      <c r="CS3461" s="128"/>
      <c r="CT3461" s="128"/>
      <c r="CU3461" s="128"/>
      <c r="CV3461" s="128"/>
      <c r="CW3461" s="128"/>
      <c r="CX3461" s="128"/>
      <c r="CY3461" s="128"/>
      <c r="CZ3461" s="165"/>
    </row>
    <row r="3462" spans="1:104">
      <c r="A3462" s="149"/>
      <c r="B3462" s="149"/>
      <c r="C3462" s="150"/>
      <c r="D3462" s="102"/>
      <c r="E3462" s="149"/>
      <c r="F3462" s="149"/>
      <c r="G3462" s="149"/>
      <c r="H3462" s="149"/>
      <c r="I3462" s="149"/>
      <c r="J3462" s="149"/>
      <c r="K3462" s="149"/>
      <c r="L3462" s="149"/>
      <c r="M3462" s="149"/>
      <c r="N3462" s="149"/>
      <c r="O3462" s="149"/>
      <c r="P3462" s="149"/>
      <c r="Q3462" s="149"/>
      <c r="R3462" s="149"/>
      <c r="S3462" s="149"/>
      <c r="T3462" s="149"/>
      <c r="U3462" s="149"/>
      <c r="V3462" s="149"/>
      <c r="W3462" s="149"/>
      <c r="X3462" s="149"/>
      <c r="Y3462" s="149"/>
      <c r="Z3462" s="149"/>
      <c r="AA3462" s="149"/>
      <c r="AB3462" s="149"/>
      <c r="AC3462" s="149"/>
      <c r="AD3462" s="149"/>
      <c r="AE3462" s="149"/>
      <c r="AF3462" s="149"/>
      <c r="AG3462" s="149"/>
      <c r="AH3462" s="149"/>
      <c r="AI3462" s="149"/>
      <c r="AJ3462" s="149"/>
      <c r="AK3462" s="149"/>
      <c r="AL3462" s="149"/>
      <c r="AM3462" s="149"/>
      <c r="AN3462" s="149"/>
      <c r="AO3462" s="128"/>
      <c r="AP3462" s="128"/>
      <c r="AQ3462" s="128"/>
      <c r="AR3462" s="128"/>
      <c r="AS3462" s="128"/>
      <c r="AT3462" s="128"/>
      <c r="AU3462" s="128"/>
      <c r="AV3462" s="128"/>
      <c r="AW3462" s="128"/>
      <c r="AX3462" s="128"/>
      <c r="AY3462" s="128"/>
      <c r="AZ3462" s="128"/>
      <c r="BA3462" s="128"/>
      <c r="BB3462" s="128"/>
      <c r="BC3462" s="128"/>
      <c r="BD3462" s="128"/>
      <c r="BE3462" s="128"/>
      <c r="BF3462" s="128"/>
      <c r="BG3462" s="128"/>
      <c r="BH3462" s="128"/>
      <c r="BI3462" s="128"/>
      <c r="BJ3462" s="128"/>
      <c r="BK3462" s="128"/>
      <c r="BL3462" s="128"/>
      <c r="BM3462" s="151"/>
      <c r="BN3462" s="128"/>
      <c r="BO3462" s="128"/>
      <c r="BP3462" s="128"/>
      <c r="BQ3462" s="128"/>
      <c r="BR3462" s="128"/>
      <c r="BS3462" s="128"/>
      <c r="BT3462" s="128"/>
      <c r="BU3462" s="128"/>
      <c r="BV3462" s="128"/>
      <c r="BW3462" s="128"/>
      <c r="BX3462" s="128"/>
      <c r="BY3462" s="128"/>
      <c r="BZ3462" s="128"/>
      <c r="CA3462" s="128"/>
      <c r="CB3462" s="128"/>
      <c r="CC3462" s="128"/>
      <c r="CD3462" s="128"/>
      <c r="CE3462" s="128"/>
      <c r="CF3462" s="128"/>
      <c r="CG3462" s="128"/>
      <c r="CI3462" s="128"/>
      <c r="CJ3462" s="128"/>
      <c r="CK3462" s="128"/>
      <c r="CL3462" s="128"/>
      <c r="CM3462" s="128"/>
      <c r="CN3462" s="128"/>
      <c r="CO3462" s="128"/>
      <c r="CP3462" s="128"/>
      <c r="CQ3462" s="128"/>
      <c r="CR3462" s="128"/>
      <c r="CS3462" s="128"/>
      <c r="CT3462" s="128"/>
      <c r="CU3462" s="128"/>
      <c r="CV3462" s="128"/>
      <c r="CW3462" s="128"/>
      <c r="CX3462" s="128"/>
      <c r="CY3462" s="128"/>
      <c r="CZ3462" s="165"/>
    </row>
    <row r="3463" spans="1:104">
      <c r="A3463" s="149"/>
      <c r="B3463" s="149"/>
      <c r="C3463" s="150"/>
      <c r="D3463" s="102"/>
      <c r="E3463" s="149"/>
      <c r="F3463" s="149"/>
      <c r="G3463" s="149"/>
      <c r="H3463" s="149"/>
      <c r="I3463" s="149"/>
      <c r="J3463" s="149"/>
      <c r="K3463" s="149"/>
      <c r="L3463" s="149"/>
      <c r="M3463" s="149"/>
      <c r="N3463" s="149"/>
      <c r="O3463" s="149"/>
      <c r="P3463" s="149"/>
      <c r="Q3463" s="149"/>
      <c r="R3463" s="149"/>
      <c r="S3463" s="149"/>
      <c r="T3463" s="149"/>
      <c r="U3463" s="149"/>
      <c r="V3463" s="149"/>
      <c r="W3463" s="149"/>
      <c r="X3463" s="149"/>
      <c r="Y3463" s="149"/>
      <c r="Z3463" s="149"/>
      <c r="AA3463" s="149"/>
      <c r="AB3463" s="149"/>
      <c r="AC3463" s="149"/>
      <c r="AD3463" s="149"/>
      <c r="AE3463" s="149"/>
      <c r="AF3463" s="149"/>
      <c r="AG3463" s="149"/>
      <c r="AH3463" s="149"/>
      <c r="AI3463" s="149"/>
      <c r="AJ3463" s="149"/>
      <c r="AK3463" s="149"/>
      <c r="AL3463" s="149"/>
      <c r="AM3463" s="149"/>
      <c r="AN3463" s="149"/>
      <c r="AO3463" s="128"/>
      <c r="AP3463" s="128"/>
      <c r="AQ3463" s="128"/>
      <c r="AR3463" s="128"/>
      <c r="AS3463" s="128"/>
      <c r="AT3463" s="128"/>
      <c r="AU3463" s="128"/>
      <c r="AV3463" s="128"/>
      <c r="AW3463" s="128"/>
      <c r="AX3463" s="128"/>
      <c r="AY3463" s="128"/>
      <c r="AZ3463" s="128"/>
      <c r="BA3463" s="128"/>
      <c r="BB3463" s="128"/>
      <c r="BC3463" s="128"/>
      <c r="BD3463" s="128"/>
      <c r="BE3463" s="128"/>
      <c r="BF3463" s="128"/>
      <c r="BG3463" s="128"/>
      <c r="BH3463" s="128"/>
      <c r="BI3463" s="128"/>
      <c r="BJ3463" s="128"/>
      <c r="BK3463" s="128"/>
      <c r="BL3463" s="128"/>
      <c r="BM3463" s="151"/>
      <c r="BN3463" s="128"/>
      <c r="BO3463" s="128"/>
      <c r="BP3463" s="128"/>
      <c r="BQ3463" s="128"/>
      <c r="BR3463" s="128"/>
      <c r="BS3463" s="128"/>
      <c r="BT3463" s="128"/>
      <c r="BU3463" s="128"/>
      <c r="BV3463" s="128"/>
      <c r="BW3463" s="128"/>
      <c r="BX3463" s="128"/>
      <c r="BY3463" s="128"/>
      <c r="BZ3463" s="128"/>
      <c r="CA3463" s="128"/>
      <c r="CB3463" s="128"/>
      <c r="CC3463" s="128"/>
      <c r="CD3463" s="128"/>
      <c r="CE3463" s="128"/>
      <c r="CF3463" s="128"/>
      <c r="CG3463" s="128"/>
      <c r="CI3463" s="128"/>
      <c r="CJ3463" s="128"/>
      <c r="CK3463" s="128"/>
      <c r="CL3463" s="128"/>
      <c r="CM3463" s="128"/>
      <c r="CN3463" s="128"/>
      <c r="CO3463" s="128"/>
      <c r="CP3463" s="128"/>
      <c r="CQ3463" s="128"/>
      <c r="CR3463" s="128"/>
      <c r="CS3463" s="128"/>
      <c r="CT3463" s="128"/>
      <c r="CU3463" s="128"/>
      <c r="CV3463" s="128"/>
      <c r="CW3463" s="128"/>
      <c r="CX3463" s="128"/>
      <c r="CY3463" s="128"/>
      <c r="CZ3463" s="165"/>
    </row>
    <row r="3464" spans="1:104">
      <c r="A3464" s="149"/>
      <c r="B3464" s="149"/>
      <c r="C3464" s="150"/>
      <c r="D3464" s="102"/>
      <c r="E3464" s="149"/>
      <c r="F3464" s="149"/>
      <c r="G3464" s="149"/>
      <c r="H3464" s="149"/>
      <c r="I3464" s="149"/>
      <c r="J3464" s="149"/>
      <c r="K3464" s="149"/>
      <c r="L3464" s="149"/>
      <c r="M3464" s="149"/>
      <c r="N3464" s="149"/>
      <c r="O3464" s="149"/>
      <c r="P3464" s="149"/>
      <c r="Q3464" s="149"/>
      <c r="R3464" s="149"/>
      <c r="S3464" s="149"/>
      <c r="T3464" s="149"/>
      <c r="U3464" s="149"/>
      <c r="V3464" s="149"/>
      <c r="W3464" s="149"/>
      <c r="X3464" s="149"/>
      <c r="Y3464" s="149"/>
      <c r="Z3464" s="149"/>
      <c r="AA3464" s="149"/>
      <c r="AB3464" s="149"/>
      <c r="AC3464" s="149"/>
      <c r="AD3464" s="149"/>
      <c r="AE3464" s="149"/>
      <c r="AF3464" s="149"/>
      <c r="AG3464" s="149"/>
      <c r="AH3464" s="149"/>
      <c r="AI3464" s="149"/>
      <c r="AJ3464" s="149"/>
      <c r="AK3464" s="149"/>
      <c r="AL3464" s="149"/>
      <c r="AM3464" s="149"/>
      <c r="AN3464" s="149"/>
      <c r="AO3464" s="128"/>
      <c r="AP3464" s="128"/>
      <c r="AQ3464" s="128"/>
      <c r="AR3464" s="128"/>
      <c r="AS3464" s="128"/>
      <c r="AT3464" s="128"/>
      <c r="AU3464" s="128"/>
      <c r="AV3464" s="128"/>
      <c r="AW3464" s="128"/>
      <c r="AX3464" s="128"/>
      <c r="AY3464" s="128"/>
      <c r="AZ3464" s="128"/>
      <c r="BA3464" s="128"/>
      <c r="BB3464" s="128"/>
      <c r="BC3464" s="128"/>
      <c r="BD3464" s="128"/>
      <c r="BE3464" s="128"/>
      <c r="BF3464" s="128"/>
      <c r="BG3464" s="128"/>
      <c r="BH3464" s="128"/>
      <c r="BI3464" s="128"/>
      <c r="BJ3464" s="128"/>
      <c r="BK3464" s="128"/>
      <c r="BL3464" s="128"/>
      <c r="BM3464" s="151"/>
      <c r="BN3464" s="128"/>
      <c r="BO3464" s="128"/>
      <c r="BP3464" s="128"/>
      <c r="BQ3464" s="128"/>
      <c r="BR3464" s="128"/>
      <c r="BS3464" s="128"/>
      <c r="BT3464" s="128"/>
      <c r="BU3464" s="128"/>
      <c r="BV3464" s="128"/>
      <c r="BW3464" s="128"/>
      <c r="BX3464" s="128"/>
      <c r="BY3464" s="128"/>
      <c r="BZ3464" s="128"/>
      <c r="CA3464" s="128"/>
      <c r="CB3464" s="128"/>
      <c r="CC3464" s="128"/>
      <c r="CD3464" s="128"/>
      <c r="CE3464" s="128"/>
      <c r="CF3464" s="128"/>
      <c r="CG3464" s="128"/>
      <c r="CI3464" s="128"/>
      <c r="CJ3464" s="128"/>
      <c r="CK3464" s="128"/>
      <c r="CL3464" s="128"/>
      <c r="CM3464" s="128"/>
      <c r="CN3464" s="128"/>
      <c r="CO3464" s="128"/>
      <c r="CP3464" s="128"/>
      <c r="CQ3464" s="128"/>
      <c r="CR3464" s="128"/>
      <c r="CS3464" s="128"/>
      <c r="CT3464" s="128"/>
      <c r="CU3464" s="128"/>
      <c r="CV3464" s="128"/>
      <c r="CW3464" s="128"/>
      <c r="CX3464" s="128"/>
      <c r="CY3464" s="128"/>
      <c r="CZ3464" s="165"/>
    </row>
    <row r="3465" spans="1:104">
      <c r="A3465" s="149"/>
      <c r="B3465" s="149"/>
      <c r="C3465" s="150"/>
      <c r="D3465" s="102"/>
      <c r="E3465" s="149"/>
      <c r="F3465" s="149"/>
      <c r="G3465" s="149"/>
      <c r="H3465" s="149"/>
      <c r="I3465" s="149"/>
      <c r="J3465" s="149"/>
      <c r="K3465" s="149"/>
      <c r="L3465" s="149"/>
      <c r="M3465" s="149"/>
      <c r="N3465" s="149"/>
      <c r="O3465" s="149"/>
      <c r="P3465" s="149"/>
      <c r="Q3465" s="149"/>
      <c r="R3465" s="149"/>
      <c r="S3465" s="149"/>
      <c r="T3465" s="149"/>
      <c r="U3465" s="149"/>
      <c r="V3465" s="149"/>
      <c r="W3465" s="149"/>
      <c r="X3465" s="149"/>
      <c r="Y3465" s="149"/>
      <c r="Z3465" s="149"/>
      <c r="AA3465" s="149"/>
      <c r="AB3465" s="149"/>
      <c r="AC3465" s="149"/>
      <c r="AD3465" s="149"/>
      <c r="AE3465" s="149"/>
      <c r="AF3465" s="149"/>
      <c r="AG3465" s="149"/>
      <c r="AH3465" s="149"/>
      <c r="AI3465" s="149"/>
      <c r="AJ3465" s="149"/>
      <c r="AK3465" s="149"/>
      <c r="AL3465" s="149"/>
      <c r="AM3465" s="149"/>
      <c r="AN3465" s="149"/>
      <c r="AO3465" s="128"/>
      <c r="AP3465" s="128"/>
      <c r="AQ3465" s="128"/>
      <c r="AR3465" s="128"/>
      <c r="AS3465" s="128"/>
      <c r="AT3465" s="128"/>
      <c r="AU3465" s="128"/>
      <c r="AV3465" s="128"/>
      <c r="AW3465" s="128"/>
      <c r="AX3465" s="128"/>
      <c r="AY3465" s="128"/>
      <c r="AZ3465" s="128"/>
      <c r="BA3465" s="128"/>
      <c r="BB3465" s="128"/>
      <c r="BC3465" s="128"/>
      <c r="BD3465" s="128"/>
      <c r="BE3465" s="128"/>
      <c r="BF3465" s="128"/>
      <c r="BG3465" s="128"/>
      <c r="BH3465" s="128"/>
      <c r="BI3465" s="128"/>
      <c r="BJ3465" s="128"/>
      <c r="BK3465" s="128"/>
      <c r="BL3465" s="128"/>
      <c r="BM3465" s="151"/>
      <c r="BN3465" s="128"/>
      <c r="BO3465" s="128"/>
      <c r="BP3465" s="128"/>
      <c r="BQ3465" s="128"/>
      <c r="BR3465" s="128"/>
      <c r="BS3465" s="128"/>
      <c r="BT3465" s="128"/>
      <c r="BU3465" s="128"/>
      <c r="BV3465" s="128"/>
      <c r="BW3465" s="128"/>
      <c r="BX3465" s="128"/>
      <c r="BY3465" s="128"/>
      <c r="BZ3465" s="128"/>
      <c r="CA3465" s="128"/>
      <c r="CB3465" s="128"/>
      <c r="CC3465" s="128"/>
      <c r="CD3465" s="128"/>
      <c r="CE3465" s="128"/>
      <c r="CF3465" s="128"/>
      <c r="CG3465" s="128"/>
      <c r="CI3465" s="128"/>
      <c r="CJ3465" s="128"/>
      <c r="CK3465" s="128"/>
      <c r="CL3465" s="128"/>
      <c r="CM3465" s="128"/>
      <c r="CN3465" s="128"/>
      <c r="CO3465" s="128"/>
      <c r="CP3465" s="128"/>
      <c r="CQ3465" s="128"/>
      <c r="CR3465" s="128"/>
      <c r="CS3465" s="128"/>
      <c r="CT3465" s="128"/>
      <c r="CU3465" s="128"/>
      <c r="CV3465" s="128"/>
      <c r="CW3465" s="128"/>
      <c r="CX3465" s="128"/>
      <c r="CY3465" s="128"/>
      <c r="CZ3465" s="165"/>
    </row>
    <row r="3466" spans="1:104">
      <c r="A3466" s="149"/>
      <c r="B3466" s="149"/>
      <c r="C3466" s="150"/>
      <c r="D3466" s="102"/>
      <c r="E3466" s="149"/>
      <c r="F3466" s="149"/>
      <c r="G3466" s="149"/>
      <c r="H3466" s="149"/>
      <c r="I3466" s="149"/>
      <c r="J3466" s="149"/>
      <c r="K3466" s="149"/>
      <c r="L3466" s="149"/>
      <c r="M3466" s="149"/>
      <c r="N3466" s="149"/>
      <c r="O3466" s="149"/>
      <c r="P3466" s="149"/>
      <c r="Q3466" s="149"/>
      <c r="R3466" s="149"/>
      <c r="S3466" s="149"/>
      <c r="T3466" s="149"/>
      <c r="U3466" s="149"/>
      <c r="V3466" s="149"/>
      <c r="W3466" s="149"/>
      <c r="X3466" s="149"/>
      <c r="Y3466" s="149"/>
      <c r="Z3466" s="149"/>
      <c r="AA3466" s="149"/>
      <c r="AB3466" s="149"/>
      <c r="AC3466" s="149"/>
      <c r="AD3466" s="149"/>
      <c r="AE3466" s="149"/>
      <c r="AF3466" s="149"/>
      <c r="AG3466" s="149"/>
      <c r="AH3466" s="149"/>
      <c r="AI3466" s="149"/>
      <c r="AJ3466" s="149"/>
      <c r="AK3466" s="149"/>
      <c r="AL3466" s="149"/>
      <c r="AM3466" s="149"/>
      <c r="AN3466" s="149"/>
      <c r="AO3466" s="128"/>
      <c r="AP3466" s="128"/>
      <c r="AQ3466" s="128"/>
      <c r="AR3466" s="128"/>
      <c r="AS3466" s="128"/>
      <c r="AT3466" s="128"/>
      <c r="AU3466" s="128"/>
      <c r="AV3466" s="128"/>
      <c r="AW3466" s="128"/>
      <c r="AX3466" s="128"/>
      <c r="AY3466" s="128"/>
      <c r="AZ3466" s="128"/>
      <c r="BA3466" s="128"/>
      <c r="BB3466" s="128"/>
      <c r="BC3466" s="128"/>
      <c r="BD3466" s="128"/>
      <c r="BE3466" s="128"/>
      <c r="BF3466" s="128"/>
      <c r="BG3466" s="128"/>
      <c r="BH3466" s="128"/>
      <c r="BI3466" s="128"/>
      <c r="BJ3466" s="128"/>
      <c r="BK3466" s="128"/>
      <c r="BL3466" s="128"/>
      <c r="BM3466" s="151"/>
      <c r="BN3466" s="128"/>
      <c r="BO3466" s="128"/>
      <c r="BP3466" s="128"/>
      <c r="BQ3466" s="128"/>
      <c r="BR3466" s="128"/>
      <c r="BS3466" s="128"/>
      <c r="BT3466" s="128"/>
      <c r="BU3466" s="128"/>
      <c r="BV3466" s="128"/>
      <c r="BW3466" s="128"/>
      <c r="BX3466" s="128"/>
      <c r="BY3466" s="128"/>
      <c r="BZ3466" s="128"/>
      <c r="CA3466" s="128"/>
      <c r="CB3466" s="128"/>
      <c r="CC3466" s="128"/>
      <c r="CD3466" s="128"/>
      <c r="CE3466" s="128"/>
      <c r="CF3466" s="128"/>
      <c r="CG3466" s="128"/>
      <c r="CI3466" s="128"/>
      <c r="CJ3466" s="128"/>
      <c r="CK3466" s="128"/>
      <c r="CL3466" s="128"/>
      <c r="CM3466" s="128"/>
      <c r="CN3466" s="128"/>
      <c r="CO3466" s="128"/>
      <c r="CP3466" s="128"/>
      <c r="CQ3466" s="128"/>
      <c r="CR3466" s="128"/>
      <c r="CS3466" s="128"/>
      <c r="CT3466" s="128"/>
      <c r="CU3466" s="128"/>
      <c r="CV3466" s="128"/>
      <c r="CW3466" s="128"/>
      <c r="CX3466" s="128"/>
      <c r="CY3466" s="128"/>
      <c r="CZ3466" s="165"/>
    </row>
    <row r="3467" spans="1:104">
      <c r="A3467" s="149"/>
      <c r="B3467" s="149"/>
      <c r="C3467" s="150"/>
      <c r="D3467" s="102"/>
      <c r="E3467" s="149"/>
      <c r="F3467" s="149"/>
      <c r="G3467" s="149"/>
      <c r="H3467" s="149"/>
      <c r="I3467" s="149"/>
      <c r="J3467" s="149"/>
      <c r="K3467" s="149"/>
      <c r="L3467" s="149"/>
      <c r="M3467" s="149"/>
      <c r="N3467" s="149"/>
      <c r="O3467" s="149"/>
      <c r="P3467" s="149"/>
      <c r="Q3467" s="149"/>
      <c r="R3467" s="149"/>
      <c r="S3467" s="149"/>
      <c r="T3467" s="149"/>
      <c r="U3467" s="149"/>
      <c r="V3467" s="149"/>
      <c r="W3467" s="149"/>
      <c r="X3467" s="149"/>
      <c r="Y3467" s="149"/>
      <c r="Z3467" s="149"/>
      <c r="AA3467" s="149"/>
      <c r="AB3467" s="149"/>
      <c r="AC3467" s="149"/>
      <c r="AD3467" s="149"/>
      <c r="AE3467" s="149"/>
      <c r="AF3467" s="149"/>
      <c r="AG3467" s="149"/>
      <c r="AH3467" s="149"/>
      <c r="AI3467" s="149"/>
      <c r="AJ3467" s="149"/>
      <c r="AK3467" s="149"/>
      <c r="AL3467" s="149"/>
      <c r="AM3467" s="149"/>
      <c r="AN3467" s="149"/>
      <c r="AO3467" s="128"/>
      <c r="AP3467" s="128"/>
      <c r="AQ3467" s="128"/>
      <c r="AR3467" s="128"/>
      <c r="AS3467" s="128"/>
      <c r="AT3467" s="128"/>
      <c r="AU3467" s="128"/>
      <c r="AV3467" s="128"/>
      <c r="AW3467" s="128"/>
      <c r="AX3467" s="128"/>
      <c r="AY3467" s="128"/>
      <c r="AZ3467" s="128"/>
      <c r="BA3467" s="128"/>
      <c r="BB3467" s="128"/>
      <c r="BC3467" s="128"/>
      <c r="BD3467" s="128"/>
      <c r="BE3467" s="128"/>
      <c r="BF3467" s="128"/>
      <c r="BG3467" s="128"/>
      <c r="BH3467" s="128"/>
      <c r="BI3467" s="128"/>
      <c r="BJ3467" s="128"/>
      <c r="BK3467" s="128"/>
      <c r="BL3467" s="128"/>
      <c r="BM3467" s="151"/>
      <c r="BN3467" s="128"/>
      <c r="BO3467" s="128"/>
      <c r="BP3467" s="128"/>
      <c r="BQ3467" s="128"/>
      <c r="BR3467" s="128"/>
      <c r="BS3467" s="128"/>
      <c r="BT3467" s="128"/>
      <c r="BU3467" s="128"/>
      <c r="BV3467" s="128"/>
      <c r="BW3467" s="128"/>
      <c r="BX3467" s="128"/>
      <c r="BY3467" s="128"/>
      <c r="BZ3467" s="128"/>
      <c r="CA3467" s="128"/>
      <c r="CB3467" s="128"/>
      <c r="CC3467" s="128"/>
      <c r="CD3467" s="128"/>
      <c r="CE3467" s="128"/>
      <c r="CF3467" s="128"/>
      <c r="CG3467" s="128"/>
      <c r="CI3467" s="128"/>
      <c r="CJ3467" s="128"/>
      <c r="CK3467" s="128"/>
      <c r="CL3467" s="128"/>
      <c r="CM3467" s="128"/>
      <c r="CN3467" s="128"/>
      <c r="CO3467" s="128"/>
      <c r="CP3467" s="128"/>
      <c r="CQ3467" s="128"/>
      <c r="CR3467" s="128"/>
      <c r="CS3467" s="128"/>
      <c r="CT3467" s="128"/>
      <c r="CU3467" s="128"/>
      <c r="CV3467" s="128"/>
      <c r="CW3467" s="128"/>
      <c r="CX3467" s="128"/>
      <c r="CY3467" s="128"/>
      <c r="CZ3467" s="165"/>
    </row>
    <row r="3468" spans="1:104">
      <c r="A3468" s="149"/>
      <c r="B3468" s="149"/>
      <c r="C3468" s="150"/>
      <c r="D3468" s="102"/>
      <c r="E3468" s="149"/>
      <c r="F3468" s="149"/>
      <c r="G3468" s="149"/>
      <c r="H3468" s="149"/>
      <c r="I3468" s="149"/>
      <c r="J3468" s="149"/>
      <c r="K3468" s="149"/>
      <c r="L3468" s="149"/>
      <c r="M3468" s="149"/>
      <c r="N3468" s="149"/>
      <c r="O3468" s="149"/>
      <c r="P3468" s="149"/>
      <c r="Q3468" s="149"/>
      <c r="R3468" s="149"/>
      <c r="S3468" s="149"/>
      <c r="T3468" s="149"/>
      <c r="U3468" s="149"/>
      <c r="V3468" s="149"/>
      <c r="W3468" s="149"/>
      <c r="X3468" s="149"/>
      <c r="Y3468" s="149"/>
      <c r="Z3468" s="149"/>
      <c r="AA3468" s="149"/>
      <c r="AB3468" s="149"/>
      <c r="AC3468" s="149"/>
      <c r="AD3468" s="149"/>
      <c r="AE3468" s="149"/>
      <c r="AF3468" s="149"/>
      <c r="AG3468" s="149"/>
      <c r="AH3468" s="149"/>
      <c r="AI3468" s="149"/>
      <c r="AJ3468" s="149"/>
      <c r="AK3468" s="149"/>
      <c r="AL3468" s="149"/>
      <c r="AM3468" s="149"/>
      <c r="AN3468" s="149"/>
      <c r="AO3468" s="128"/>
      <c r="AP3468" s="128"/>
      <c r="AQ3468" s="128"/>
      <c r="AR3468" s="128"/>
      <c r="AS3468" s="128"/>
      <c r="AT3468" s="128"/>
      <c r="AU3468" s="128"/>
      <c r="AV3468" s="128"/>
      <c r="AW3468" s="128"/>
      <c r="AX3468" s="128"/>
      <c r="AY3468" s="128"/>
      <c r="AZ3468" s="128"/>
      <c r="BA3468" s="128"/>
      <c r="BB3468" s="128"/>
      <c r="BC3468" s="128"/>
      <c r="BD3468" s="128"/>
      <c r="BE3468" s="128"/>
      <c r="BF3468" s="128"/>
      <c r="BG3468" s="128"/>
      <c r="BH3468" s="128"/>
      <c r="BI3468" s="128"/>
      <c r="BJ3468" s="128"/>
      <c r="BK3468" s="128"/>
      <c r="BL3468" s="128"/>
      <c r="BM3468" s="151"/>
      <c r="BN3468" s="128"/>
      <c r="BO3468" s="128"/>
      <c r="BP3468" s="128"/>
      <c r="BQ3468" s="128"/>
      <c r="BR3468" s="128"/>
      <c r="BS3468" s="128"/>
      <c r="BT3468" s="128"/>
      <c r="BU3468" s="128"/>
      <c r="BV3468" s="128"/>
      <c r="BW3468" s="128"/>
      <c r="BX3468" s="128"/>
      <c r="BY3468" s="128"/>
      <c r="BZ3468" s="128"/>
      <c r="CA3468" s="128"/>
      <c r="CB3468" s="128"/>
      <c r="CC3468" s="128"/>
      <c r="CD3468" s="128"/>
      <c r="CE3468" s="128"/>
      <c r="CF3468" s="128"/>
      <c r="CG3468" s="128"/>
      <c r="CI3468" s="128"/>
      <c r="CJ3468" s="128"/>
      <c r="CK3468" s="128"/>
      <c r="CL3468" s="128"/>
      <c r="CM3468" s="128"/>
      <c r="CN3468" s="128"/>
      <c r="CO3468" s="128"/>
      <c r="CP3468" s="128"/>
      <c r="CQ3468" s="128"/>
      <c r="CR3468" s="128"/>
      <c r="CS3468" s="128"/>
      <c r="CT3468" s="128"/>
      <c r="CU3468" s="128"/>
      <c r="CV3468" s="128"/>
      <c r="CW3468" s="128"/>
      <c r="CX3468" s="128"/>
      <c r="CY3468" s="128"/>
      <c r="CZ3468" s="165"/>
    </row>
    <row r="3469" spans="1:104">
      <c r="A3469" s="149"/>
      <c r="B3469" s="149"/>
      <c r="C3469" s="150"/>
      <c r="D3469" s="102"/>
      <c r="E3469" s="149"/>
      <c r="F3469" s="149"/>
      <c r="G3469" s="149"/>
      <c r="H3469" s="149"/>
      <c r="I3469" s="149"/>
      <c r="J3469" s="149"/>
      <c r="K3469" s="149"/>
      <c r="L3469" s="149"/>
      <c r="M3469" s="149"/>
      <c r="N3469" s="149"/>
      <c r="O3469" s="149"/>
      <c r="P3469" s="149"/>
      <c r="Q3469" s="149"/>
      <c r="R3469" s="149"/>
      <c r="S3469" s="149"/>
      <c r="T3469" s="149"/>
      <c r="U3469" s="149"/>
      <c r="V3469" s="149"/>
      <c r="W3469" s="149"/>
      <c r="X3469" s="149"/>
      <c r="Y3469" s="149"/>
      <c r="Z3469" s="149"/>
      <c r="AA3469" s="149"/>
      <c r="AB3469" s="149"/>
      <c r="AC3469" s="149"/>
      <c r="AD3469" s="149"/>
      <c r="AE3469" s="149"/>
      <c r="AF3469" s="149"/>
      <c r="AG3469" s="149"/>
      <c r="AH3469" s="149"/>
      <c r="AI3469" s="149"/>
      <c r="AJ3469" s="149"/>
      <c r="AK3469" s="149"/>
      <c r="AL3469" s="149"/>
      <c r="AM3469" s="149"/>
      <c r="AN3469" s="149"/>
      <c r="AO3469" s="128"/>
      <c r="AP3469" s="128"/>
      <c r="AQ3469" s="128"/>
      <c r="AR3469" s="128"/>
      <c r="AS3469" s="128"/>
      <c r="AT3469" s="128"/>
      <c r="AU3469" s="128"/>
      <c r="AV3469" s="128"/>
      <c r="AW3469" s="128"/>
      <c r="AX3469" s="128"/>
      <c r="AY3469" s="128"/>
      <c r="AZ3469" s="128"/>
      <c r="BA3469" s="128"/>
      <c r="BB3469" s="128"/>
      <c r="BC3469" s="128"/>
      <c r="BD3469" s="128"/>
      <c r="BE3469" s="128"/>
      <c r="BF3469" s="128"/>
      <c r="BG3469" s="128"/>
      <c r="BH3469" s="128"/>
      <c r="BI3469" s="128"/>
      <c r="BJ3469" s="128"/>
      <c r="BK3469" s="128"/>
      <c r="BL3469" s="128"/>
      <c r="BM3469" s="151"/>
      <c r="BN3469" s="128"/>
      <c r="BO3469" s="128"/>
      <c r="BP3469" s="128"/>
      <c r="BQ3469" s="128"/>
      <c r="BR3469" s="128"/>
      <c r="BS3469" s="128"/>
      <c r="BT3469" s="128"/>
      <c r="BU3469" s="128"/>
      <c r="BV3469" s="128"/>
      <c r="BW3469" s="128"/>
      <c r="BX3469" s="128"/>
      <c r="BY3469" s="128"/>
      <c r="BZ3469" s="128"/>
      <c r="CA3469" s="128"/>
      <c r="CB3469" s="128"/>
      <c r="CC3469" s="128"/>
      <c r="CD3469" s="128"/>
      <c r="CE3469" s="128"/>
      <c r="CF3469" s="128"/>
      <c r="CG3469" s="128"/>
      <c r="CI3469" s="128"/>
      <c r="CJ3469" s="128"/>
      <c r="CK3469" s="128"/>
      <c r="CL3469" s="128"/>
      <c r="CM3469" s="128"/>
      <c r="CN3469" s="128"/>
      <c r="CO3469" s="128"/>
      <c r="CP3469" s="128"/>
      <c r="CQ3469" s="128"/>
      <c r="CR3469" s="128"/>
      <c r="CS3469" s="128"/>
      <c r="CT3469" s="128"/>
      <c r="CU3469" s="128"/>
      <c r="CV3469" s="128"/>
      <c r="CW3469" s="128"/>
      <c r="CX3469" s="128"/>
      <c r="CY3469" s="128"/>
      <c r="CZ3469" s="165"/>
    </row>
    <row r="3470" spans="1:104">
      <c r="A3470" s="149"/>
      <c r="B3470" s="149"/>
      <c r="C3470" s="150"/>
      <c r="D3470" s="102"/>
      <c r="E3470" s="149"/>
      <c r="F3470" s="149"/>
      <c r="G3470" s="149"/>
      <c r="H3470" s="149"/>
      <c r="I3470" s="149"/>
      <c r="J3470" s="149"/>
      <c r="K3470" s="149"/>
      <c r="L3470" s="149"/>
      <c r="M3470" s="149"/>
      <c r="N3470" s="149"/>
      <c r="O3470" s="149"/>
      <c r="P3470" s="149"/>
      <c r="Q3470" s="149"/>
      <c r="R3470" s="149"/>
      <c r="S3470" s="149"/>
      <c r="T3470" s="149"/>
      <c r="U3470" s="149"/>
      <c r="V3470" s="149"/>
      <c r="W3470" s="149"/>
      <c r="X3470" s="149"/>
      <c r="Y3470" s="149"/>
      <c r="Z3470" s="149"/>
      <c r="AA3470" s="149"/>
      <c r="AB3470" s="149"/>
      <c r="AC3470" s="149"/>
      <c r="AD3470" s="149"/>
      <c r="AE3470" s="149"/>
      <c r="AF3470" s="149"/>
      <c r="AG3470" s="149"/>
      <c r="AH3470" s="149"/>
      <c r="AI3470" s="149"/>
      <c r="AJ3470" s="149"/>
      <c r="AK3470" s="149"/>
      <c r="AL3470" s="149"/>
      <c r="AM3470" s="149"/>
      <c r="AN3470" s="149"/>
      <c r="AO3470" s="128"/>
      <c r="AP3470" s="128"/>
      <c r="AQ3470" s="128"/>
      <c r="AR3470" s="128"/>
      <c r="AS3470" s="128"/>
      <c r="AT3470" s="128"/>
      <c r="AU3470" s="128"/>
      <c r="AV3470" s="128"/>
      <c r="AW3470" s="128"/>
      <c r="AX3470" s="128"/>
      <c r="AY3470" s="128"/>
      <c r="AZ3470" s="128"/>
      <c r="BA3470" s="128"/>
      <c r="BB3470" s="128"/>
      <c r="BC3470" s="128"/>
      <c r="BD3470" s="128"/>
      <c r="BE3470" s="128"/>
      <c r="BF3470" s="128"/>
      <c r="BG3470" s="128"/>
      <c r="BH3470" s="128"/>
      <c r="BI3470" s="128"/>
      <c r="BJ3470" s="128"/>
      <c r="BK3470" s="128"/>
      <c r="BL3470" s="128"/>
      <c r="BM3470" s="151"/>
      <c r="BN3470" s="128"/>
      <c r="BO3470" s="128"/>
      <c r="BP3470" s="128"/>
      <c r="BQ3470" s="128"/>
      <c r="BR3470" s="128"/>
      <c r="BS3470" s="128"/>
      <c r="BT3470" s="128"/>
      <c r="BU3470" s="128"/>
      <c r="BV3470" s="128"/>
      <c r="BW3470" s="128"/>
      <c r="BX3470" s="128"/>
      <c r="BY3470" s="128"/>
      <c r="BZ3470" s="128"/>
      <c r="CA3470" s="128"/>
      <c r="CB3470" s="128"/>
      <c r="CC3470" s="128"/>
      <c r="CD3470" s="128"/>
      <c r="CE3470" s="128"/>
      <c r="CF3470" s="128"/>
      <c r="CG3470" s="128"/>
      <c r="CI3470" s="128"/>
      <c r="CJ3470" s="128"/>
      <c r="CK3470" s="128"/>
      <c r="CL3470" s="128"/>
      <c r="CM3470" s="128"/>
      <c r="CN3470" s="128"/>
      <c r="CO3470" s="128"/>
      <c r="CP3470" s="128"/>
      <c r="CQ3470" s="128"/>
      <c r="CR3470" s="128"/>
      <c r="CS3470" s="128"/>
      <c r="CT3470" s="128"/>
      <c r="CU3470" s="128"/>
      <c r="CV3470" s="128"/>
      <c r="CW3470" s="128"/>
      <c r="CX3470" s="128"/>
      <c r="CY3470" s="128"/>
      <c r="CZ3470" s="165"/>
    </row>
    <row r="3471" spans="1:104">
      <c r="A3471" s="149"/>
      <c r="B3471" s="149"/>
      <c r="C3471" s="150"/>
      <c r="D3471" s="102"/>
      <c r="E3471" s="149"/>
      <c r="F3471" s="149"/>
      <c r="G3471" s="149"/>
      <c r="H3471" s="149"/>
      <c r="I3471" s="149"/>
      <c r="J3471" s="149"/>
      <c r="K3471" s="149"/>
      <c r="L3471" s="149"/>
      <c r="M3471" s="149"/>
      <c r="N3471" s="149"/>
      <c r="O3471" s="149"/>
      <c r="P3471" s="149"/>
      <c r="Q3471" s="149"/>
      <c r="R3471" s="149"/>
      <c r="S3471" s="149"/>
      <c r="T3471" s="149"/>
      <c r="U3471" s="149"/>
      <c r="V3471" s="149"/>
      <c r="W3471" s="149"/>
      <c r="X3471" s="149"/>
      <c r="Y3471" s="149"/>
      <c r="Z3471" s="149"/>
      <c r="AA3471" s="149"/>
      <c r="AB3471" s="149"/>
      <c r="AC3471" s="149"/>
      <c r="AD3471" s="149"/>
      <c r="AE3471" s="149"/>
      <c r="AF3471" s="149"/>
      <c r="AG3471" s="149"/>
      <c r="AH3471" s="149"/>
      <c r="AI3471" s="149"/>
      <c r="AJ3471" s="149"/>
      <c r="AK3471" s="149"/>
      <c r="AL3471" s="149"/>
      <c r="AM3471" s="149"/>
      <c r="AN3471" s="149"/>
      <c r="AO3471" s="128"/>
      <c r="AP3471" s="128"/>
      <c r="AQ3471" s="128"/>
      <c r="AR3471" s="128"/>
      <c r="AS3471" s="128"/>
      <c r="AT3471" s="128"/>
      <c r="AU3471" s="128"/>
      <c r="AV3471" s="128"/>
      <c r="AW3471" s="128"/>
      <c r="AX3471" s="128"/>
      <c r="AY3471" s="128"/>
      <c r="AZ3471" s="128"/>
      <c r="BA3471" s="128"/>
      <c r="BB3471" s="128"/>
      <c r="BC3471" s="128"/>
      <c r="BD3471" s="128"/>
      <c r="BE3471" s="128"/>
      <c r="BF3471" s="128"/>
      <c r="BG3471" s="128"/>
      <c r="BH3471" s="128"/>
      <c r="BI3471" s="128"/>
      <c r="BJ3471" s="128"/>
      <c r="BK3471" s="128"/>
      <c r="BL3471" s="128"/>
      <c r="BM3471" s="151"/>
      <c r="BN3471" s="128"/>
      <c r="BO3471" s="128"/>
      <c r="BP3471" s="128"/>
      <c r="BQ3471" s="128"/>
      <c r="BR3471" s="128"/>
      <c r="BS3471" s="128"/>
      <c r="BT3471" s="128"/>
      <c r="BU3471" s="128"/>
      <c r="BV3471" s="128"/>
      <c r="BW3471" s="128"/>
      <c r="BX3471" s="128"/>
      <c r="BY3471" s="128"/>
      <c r="BZ3471" s="128"/>
      <c r="CA3471" s="128"/>
      <c r="CB3471" s="128"/>
      <c r="CC3471" s="128"/>
      <c r="CD3471" s="128"/>
      <c r="CE3471" s="128"/>
      <c r="CF3471" s="128"/>
      <c r="CG3471" s="128"/>
      <c r="CI3471" s="128"/>
      <c r="CJ3471" s="128"/>
      <c r="CK3471" s="128"/>
      <c r="CL3471" s="128"/>
      <c r="CM3471" s="128"/>
      <c r="CN3471" s="128"/>
      <c r="CO3471" s="128"/>
      <c r="CP3471" s="128"/>
      <c r="CQ3471" s="128"/>
      <c r="CR3471" s="128"/>
      <c r="CS3471" s="128"/>
      <c r="CT3471" s="128"/>
      <c r="CU3471" s="128"/>
      <c r="CV3471" s="128"/>
      <c r="CW3471" s="128"/>
      <c r="CX3471" s="128"/>
      <c r="CY3471" s="128"/>
      <c r="CZ3471" s="165"/>
    </row>
    <row r="3472" spans="1:104">
      <c r="A3472" s="149"/>
      <c r="B3472" s="149"/>
      <c r="C3472" s="150"/>
      <c r="D3472" s="102"/>
      <c r="E3472" s="149"/>
      <c r="F3472" s="149"/>
      <c r="G3472" s="149"/>
      <c r="H3472" s="149"/>
      <c r="I3472" s="149"/>
      <c r="J3472" s="149"/>
      <c r="K3472" s="149"/>
      <c r="L3472" s="149"/>
      <c r="M3472" s="149"/>
      <c r="N3472" s="149"/>
      <c r="O3472" s="149"/>
      <c r="P3472" s="149"/>
      <c r="Q3472" s="149"/>
      <c r="R3472" s="149"/>
      <c r="S3472" s="149"/>
      <c r="T3472" s="149"/>
      <c r="U3472" s="149"/>
      <c r="V3472" s="149"/>
      <c r="W3472" s="149"/>
      <c r="X3472" s="149"/>
      <c r="Y3472" s="149"/>
      <c r="Z3472" s="149"/>
      <c r="AA3472" s="149"/>
      <c r="AB3472" s="149"/>
      <c r="AC3472" s="149"/>
      <c r="AD3472" s="149"/>
      <c r="AE3472" s="149"/>
      <c r="AF3472" s="149"/>
      <c r="AG3472" s="149"/>
      <c r="AH3472" s="149"/>
      <c r="AI3472" s="149"/>
      <c r="AJ3472" s="149"/>
      <c r="AK3472" s="149"/>
      <c r="AL3472" s="149"/>
      <c r="AM3472" s="149"/>
      <c r="AN3472" s="149"/>
      <c r="AO3472" s="128"/>
      <c r="AP3472" s="128"/>
      <c r="AQ3472" s="128"/>
      <c r="AR3472" s="128"/>
      <c r="AS3472" s="128"/>
      <c r="AT3472" s="128"/>
      <c r="AU3472" s="128"/>
      <c r="AV3472" s="128"/>
      <c r="AW3472" s="128"/>
      <c r="AX3472" s="128"/>
      <c r="AY3472" s="128"/>
      <c r="AZ3472" s="128"/>
      <c r="BA3472" s="128"/>
      <c r="BB3472" s="128"/>
      <c r="BC3472" s="128"/>
      <c r="BD3472" s="128"/>
      <c r="BE3472" s="128"/>
      <c r="BF3472" s="128"/>
      <c r="BG3472" s="128"/>
      <c r="BH3472" s="128"/>
      <c r="BI3472" s="128"/>
      <c r="BJ3472" s="128"/>
      <c r="BK3472" s="128"/>
      <c r="BL3472" s="128"/>
      <c r="BM3472" s="151"/>
      <c r="BN3472" s="128"/>
      <c r="BO3472" s="128"/>
      <c r="BP3472" s="128"/>
      <c r="BQ3472" s="128"/>
      <c r="BR3472" s="128"/>
      <c r="BS3472" s="128"/>
      <c r="BT3472" s="128"/>
      <c r="BU3472" s="128"/>
      <c r="BV3472" s="128"/>
      <c r="BW3472" s="128"/>
      <c r="BX3472" s="128"/>
      <c r="BY3472" s="128"/>
      <c r="BZ3472" s="128"/>
      <c r="CA3472" s="128"/>
      <c r="CB3472" s="128"/>
      <c r="CC3472" s="128"/>
      <c r="CD3472" s="128"/>
      <c r="CE3472" s="128"/>
      <c r="CF3472" s="128"/>
      <c r="CG3472" s="128"/>
      <c r="CI3472" s="128"/>
      <c r="CJ3472" s="128"/>
      <c r="CK3472" s="128"/>
      <c r="CL3472" s="128"/>
      <c r="CM3472" s="128"/>
      <c r="CN3472" s="128"/>
      <c r="CO3472" s="128"/>
      <c r="CP3472" s="128"/>
      <c r="CQ3472" s="128"/>
      <c r="CR3472" s="128"/>
      <c r="CS3472" s="128"/>
      <c r="CT3472" s="128"/>
      <c r="CU3472" s="128"/>
      <c r="CV3472" s="128"/>
      <c r="CW3472" s="128"/>
      <c r="CX3472" s="128"/>
      <c r="CY3472" s="128"/>
      <c r="CZ3472" s="165"/>
    </row>
    <row r="3473" spans="1:104">
      <c r="A3473" s="149"/>
      <c r="B3473" s="149"/>
      <c r="C3473" s="150"/>
      <c r="D3473" s="102"/>
      <c r="E3473" s="149"/>
      <c r="F3473" s="149"/>
      <c r="G3473" s="149"/>
      <c r="H3473" s="149"/>
      <c r="I3473" s="149"/>
      <c r="J3473" s="149"/>
      <c r="K3473" s="149"/>
      <c r="L3473" s="149"/>
      <c r="M3473" s="149"/>
      <c r="N3473" s="149"/>
      <c r="O3473" s="149"/>
      <c r="P3473" s="149"/>
      <c r="Q3473" s="149"/>
      <c r="R3473" s="149"/>
      <c r="S3473" s="149"/>
      <c r="T3473" s="149"/>
      <c r="U3473" s="149"/>
      <c r="V3473" s="149"/>
      <c r="W3473" s="149"/>
      <c r="X3473" s="149"/>
      <c r="Y3473" s="149"/>
      <c r="Z3473" s="149"/>
      <c r="AA3473" s="149"/>
      <c r="AB3473" s="149"/>
      <c r="AC3473" s="149"/>
      <c r="AD3473" s="149"/>
      <c r="AE3473" s="149"/>
      <c r="AF3473" s="149"/>
      <c r="AG3473" s="149"/>
      <c r="AH3473" s="149"/>
      <c r="AI3473" s="149"/>
      <c r="AJ3473" s="149"/>
      <c r="AK3473" s="149"/>
      <c r="AL3473" s="149"/>
      <c r="AM3473" s="149"/>
      <c r="AN3473" s="149"/>
      <c r="AO3473" s="128"/>
      <c r="AP3473" s="128"/>
      <c r="AQ3473" s="128"/>
      <c r="AR3473" s="128"/>
      <c r="AS3473" s="128"/>
      <c r="AT3473" s="128"/>
      <c r="AU3473" s="128"/>
      <c r="AV3473" s="128"/>
      <c r="AW3473" s="128"/>
      <c r="AX3473" s="128"/>
      <c r="AY3473" s="128"/>
      <c r="AZ3473" s="128"/>
      <c r="BA3473" s="128"/>
      <c r="BB3473" s="128"/>
      <c r="BC3473" s="128"/>
      <c r="BD3473" s="128"/>
      <c r="BE3473" s="128"/>
      <c r="BF3473" s="128"/>
      <c r="BG3473" s="128"/>
      <c r="BH3473" s="128"/>
      <c r="BI3473" s="128"/>
      <c r="BJ3473" s="128"/>
      <c r="BK3473" s="128"/>
      <c r="BL3473" s="128"/>
      <c r="BM3473" s="151"/>
      <c r="BN3473" s="128"/>
      <c r="BO3473" s="128"/>
      <c r="BP3473" s="128"/>
      <c r="BQ3473" s="128"/>
      <c r="BR3473" s="128"/>
      <c r="BS3473" s="128"/>
      <c r="BT3473" s="128"/>
      <c r="BU3473" s="128"/>
      <c r="BV3473" s="128"/>
      <c r="BW3473" s="128"/>
      <c r="BX3473" s="128"/>
      <c r="BY3473" s="128"/>
      <c r="BZ3473" s="128"/>
      <c r="CA3473" s="128"/>
      <c r="CB3473" s="128"/>
      <c r="CC3473" s="128"/>
      <c r="CD3473" s="128"/>
      <c r="CE3473" s="128"/>
      <c r="CF3473" s="128"/>
      <c r="CG3473" s="128"/>
      <c r="CI3473" s="128"/>
      <c r="CJ3473" s="128"/>
      <c r="CK3473" s="128"/>
      <c r="CL3473" s="128"/>
      <c r="CM3473" s="128"/>
      <c r="CN3473" s="128"/>
      <c r="CO3473" s="128"/>
      <c r="CP3473" s="128"/>
      <c r="CQ3473" s="128"/>
      <c r="CR3473" s="128"/>
      <c r="CS3473" s="128"/>
      <c r="CT3473" s="128"/>
      <c r="CU3473" s="128"/>
      <c r="CV3473" s="128"/>
      <c r="CW3473" s="128"/>
      <c r="CX3473" s="128"/>
      <c r="CY3473" s="128"/>
      <c r="CZ3473" s="165"/>
    </row>
    <row r="3474" spans="1:104">
      <c r="A3474" s="149"/>
      <c r="B3474" s="149"/>
      <c r="C3474" s="150"/>
      <c r="D3474" s="102"/>
      <c r="E3474" s="149"/>
      <c r="F3474" s="149"/>
      <c r="G3474" s="149"/>
      <c r="H3474" s="149"/>
      <c r="I3474" s="149"/>
      <c r="J3474" s="149"/>
      <c r="K3474" s="149"/>
      <c r="L3474" s="149"/>
      <c r="M3474" s="149"/>
      <c r="N3474" s="149"/>
      <c r="O3474" s="149"/>
      <c r="P3474" s="149"/>
      <c r="Q3474" s="149"/>
      <c r="R3474" s="149"/>
      <c r="S3474" s="149"/>
      <c r="T3474" s="149"/>
      <c r="U3474" s="149"/>
      <c r="V3474" s="149"/>
      <c r="W3474" s="149"/>
      <c r="X3474" s="149"/>
      <c r="Y3474" s="149"/>
      <c r="Z3474" s="149"/>
      <c r="AA3474" s="149"/>
      <c r="AB3474" s="149"/>
      <c r="AC3474" s="149"/>
      <c r="AD3474" s="149"/>
      <c r="AE3474" s="149"/>
      <c r="AF3474" s="149"/>
      <c r="AG3474" s="149"/>
      <c r="AH3474" s="149"/>
      <c r="AI3474" s="149"/>
      <c r="AJ3474" s="149"/>
      <c r="AK3474" s="149"/>
      <c r="AL3474" s="149"/>
      <c r="AM3474" s="149"/>
      <c r="AN3474" s="149"/>
      <c r="AO3474" s="128"/>
      <c r="AP3474" s="128"/>
      <c r="AQ3474" s="128"/>
      <c r="AR3474" s="128"/>
      <c r="AS3474" s="128"/>
      <c r="AT3474" s="128"/>
      <c r="AU3474" s="128"/>
      <c r="AV3474" s="128"/>
      <c r="AW3474" s="128"/>
      <c r="AX3474" s="128"/>
      <c r="AY3474" s="128"/>
      <c r="AZ3474" s="128"/>
      <c r="BA3474" s="128"/>
      <c r="BB3474" s="128"/>
      <c r="BC3474" s="128"/>
      <c r="BD3474" s="128"/>
      <c r="BE3474" s="128"/>
      <c r="BF3474" s="128"/>
      <c r="BG3474" s="128"/>
      <c r="BH3474" s="128"/>
      <c r="BI3474" s="128"/>
      <c r="BJ3474" s="128"/>
      <c r="BK3474" s="128"/>
      <c r="BL3474" s="128"/>
      <c r="BM3474" s="151"/>
      <c r="BN3474" s="128"/>
      <c r="BO3474" s="128"/>
      <c r="BP3474" s="128"/>
      <c r="BQ3474" s="128"/>
      <c r="BR3474" s="128"/>
      <c r="BS3474" s="128"/>
      <c r="BT3474" s="128"/>
      <c r="BU3474" s="128"/>
      <c r="BV3474" s="128"/>
      <c r="BW3474" s="128"/>
      <c r="BX3474" s="128"/>
      <c r="BY3474" s="128"/>
      <c r="BZ3474" s="128"/>
      <c r="CA3474" s="128"/>
      <c r="CB3474" s="128"/>
      <c r="CC3474" s="128"/>
      <c r="CD3474" s="128"/>
      <c r="CE3474" s="128"/>
      <c r="CF3474" s="128"/>
      <c r="CG3474" s="128"/>
      <c r="CI3474" s="128"/>
      <c r="CJ3474" s="128"/>
      <c r="CK3474" s="128"/>
      <c r="CL3474" s="128"/>
      <c r="CM3474" s="128"/>
      <c r="CN3474" s="128"/>
      <c r="CO3474" s="128"/>
      <c r="CP3474" s="128"/>
      <c r="CQ3474" s="128"/>
      <c r="CR3474" s="128"/>
      <c r="CS3474" s="128"/>
      <c r="CT3474" s="128"/>
      <c r="CU3474" s="128"/>
      <c r="CV3474" s="128"/>
      <c r="CW3474" s="128"/>
      <c r="CX3474" s="128"/>
      <c r="CY3474" s="128"/>
      <c r="CZ3474" s="165"/>
    </row>
    <row r="3475" spans="1:104">
      <c r="A3475" s="149"/>
      <c r="B3475" s="149"/>
      <c r="C3475" s="150"/>
      <c r="D3475" s="102"/>
      <c r="E3475" s="149"/>
      <c r="F3475" s="149"/>
      <c r="G3475" s="149"/>
      <c r="H3475" s="149"/>
      <c r="I3475" s="149"/>
      <c r="J3475" s="149"/>
      <c r="K3475" s="149"/>
      <c r="L3475" s="149"/>
      <c r="M3475" s="149"/>
      <c r="N3475" s="149"/>
      <c r="O3475" s="149"/>
      <c r="P3475" s="149"/>
      <c r="Q3475" s="149"/>
      <c r="R3475" s="149"/>
      <c r="S3475" s="149"/>
      <c r="T3475" s="149"/>
      <c r="U3475" s="149"/>
      <c r="V3475" s="149"/>
      <c r="W3475" s="149"/>
      <c r="X3475" s="149"/>
      <c r="Y3475" s="149"/>
      <c r="Z3475" s="149"/>
      <c r="AA3475" s="149"/>
      <c r="AB3475" s="149"/>
      <c r="AC3475" s="149"/>
      <c r="AD3475" s="149"/>
      <c r="AE3475" s="149"/>
      <c r="AF3475" s="149"/>
      <c r="AG3475" s="149"/>
      <c r="AH3475" s="149"/>
      <c r="AI3475" s="149"/>
      <c r="AJ3475" s="149"/>
      <c r="AK3475" s="149"/>
      <c r="AL3475" s="149"/>
      <c r="AM3475" s="149"/>
      <c r="AN3475" s="149"/>
      <c r="AO3475" s="128"/>
      <c r="AP3475" s="128"/>
      <c r="AQ3475" s="128"/>
      <c r="AR3475" s="128"/>
      <c r="AS3475" s="128"/>
      <c r="AT3475" s="128"/>
      <c r="AU3475" s="128"/>
      <c r="AV3475" s="128"/>
      <c r="AW3475" s="128"/>
      <c r="AX3475" s="128"/>
      <c r="AY3475" s="128"/>
      <c r="AZ3475" s="128"/>
      <c r="BA3475" s="128"/>
      <c r="BB3475" s="128"/>
      <c r="BC3475" s="128"/>
      <c r="BD3475" s="128"/>
      <c r="BE3475" s="128"/>
      <c r="BF3475" s="128"/>
      <c r="BG3475" s="128"/>
      <c r="BH3475" s="128"/>
      <c r="BI3475" s="128"/>
      <c r="BJ3475" s="128"/>
      <c r="BK3475" s="128"/>
      <c r="BL3475" s="128"/>
      <c r="BM3475" s="151"/>
      <c r="BN3475" s="128"/>
      <c r="BO3475" s="128"/>
      <c r="BP3475" s="128"/>
      <c r="BQ3475" s="128"/>
      <c r="BR3475" s="128"/>
      <c r="BS3475" s="128"/>
      <c r="BT3475" s="128"/>
      <c r="BU3475" s="128"/>
      <c r="BV3475" s="128"/>
      <c r="BW3475" s="128"/>
      <c r="BX3475" s="128"/>
      <c r="BY3475" s="128"/>
      <c r="BZ3475" s="128"/>
      <c r="CA3475" s="128"/>
      <c r="CB3475" s="128"/>
      <c r="CC3475" s="128"/>
      <c r="CD3475" s="128"/>
      <c r="CE3475" s="128"/>
      <c r="CF3475" s="128"/>
      <c r="CG3475" s="128"/>
      <c r="CI3475" s="128"/>
      <c r="CJ3475" s="128"/>
      <c r="CK3475" s="128"/>
      <c r="CL3475" s="128"/>
      <c r="CM3475" s="128"/>
      <c r="CN3475" s="128"/>
      <c r="CO3475" s="128"/>
      <c r="CP3475" s="128"/>
      <c r="CQ3475" s="128"/>
      <c r="CR3475" s="128"/>
      <c r="CS3475" s="128"/>
      <c r="CT3475" s="128"/>
      <c r="CU3475" s="128"/>
      <c r="CV3475" s="128"/>
      <c r="CW3475" s="128"/>
      <c r="CX3475" s="128"/>
      <c r="CY3475" s="128"/>
      <c r="CZ3475" s="165"/>
    </row>
    <row r="3476" spans="1:104">
      <c r="A3476" s="149"/>
      <c r="B3476" s="149"/>
      <c r="C3476" s="150"/>
      <c r="D3476" s="102"/>
      <c r="E3476" s="149"/>
      <c r="F3476" s="149"/>
      <c r="G3476" s="149"/>
      <c r="H3476" s="149"/>
      <c r="I3476" s="149"/>
      <c r="J3476" s="149"/>
      <c r="K3476" s="149"/>
      <c r="L3476" s="149"/>
      <c r="M3476" s="149"/>
      <c r="N3476" s="149"/>
      <c r="O3476" s="149"/>
      <c r="P3476" s="149"/>
      <c r="Q3476" s="149"/>
      <c r="R3476" s="149"/>
      <c r="S3476" s="149"/>
      <c r="T3476" s="149"/>
      <c r="U3476" s="149"/>
      <c r="V3476" s="149"/>
      <c r="W3476" s="149"/>
      <c r="X3476" s="149"/>
      <c r="Y3476" s="149"/>
      <c r="Z3476" s="149"/>
      <c r="AA3476" s="149"/>
      <c r="AB3476" s="149"/>
      <c r="AC3476" s="149"/>
      <c r="AD3476" s="149"/>
      <c r="AE3476" s="149"/>
      <c r="AF3476" s="149"/>
      <c r="AG3476" s="149"/>
      <c r="AH3476" s="149"/>
      <c r="AI3476" s="149"/>
      <c r="AJ3476" s="149"/>
      <c r="AK3476" s="149"/>
      <c r="AL3476" s="149"/>
      <c r="AM3476" s="149"/>
      <c r="AN3476" s="149"/>
      <c r="AO3476" s="128"/>
      <c r="AP3476" s="128"/>
      <c r="AQ3476" s="128"/>
      <c r="AR3476" s="128"/>
      <c r="AS3476" s="128"/>
      <c r="AT3476" s="128"/>
      <c r="AU3476" s="128"/>
      <c r="AV3476" s="128"/>
      <c r="AW3476" s="128"/>
      <c r="AX3476" s="128"/>
      <c r="AY3476" s="128"/>
      <c r="AZ3476" s="128"/>
      <c r="BA3476" s="128"/>
      <c r="BB3476" s="128"/>
      <c r="BC3476" s="128"/>
      <c r="BD3476" s="128"/>
      <c r="BE3476" s="128"/>
      <c r="BF3476" s="128"/>
      <c r="BG3476" s="128"/>
      <c r="BH3476" s="128"/>
      <c r="BI3476" s="128"/>
      <c r="BJ3476" s="128"/>
      <c r="BK3476" s="128"/>
      <c r="BL3476" s="128"/>
      <c r="BM3476" s="151"/>
      <c r="BN3476" s="128"/>
      <c r="BO3476" s="128"/>
      <c r="BP3476" s="128"/>
      <c r="BQ3476" s="128"/>
      <c r="BR3476" s="128"/>
      <c r="BS3476" s="128"/>
      <c r="BT3476" s="128"/>
      <c r="BU3476" s="128"/>
      <c r="BV3476" s="128"/>
      <c r="BW3476" s="128"/>
      <c r="BX3476" s="128"/>
      <c r="BY3476" s="128"/>
      <c r="BZ3476" s="128"/>
      <c r="CA3476" s="128"/>
      <c r="CB3476" s="128"/>
      <c r="CC3476" s="128"/>
      <c r="CD3476" s="128"/>
      <c r="CE3476" s="128"/>
      <c r="CF3476" s="128"/>
      <c r="CG3476" s="128"/>
      <c r="CI3476" s="128"/>
      <c r="CJ3476" s="128"/>
      <c r="CK3476" s="128"/>
      <c r="CL3476" s="128"/>
      <c r="CM3476" s="128"/>
      <c r="CN3476" s="128"/>
      <c r="CO3476" s="128"/>
      <c r="CP3476" s="128"/>
      <c r="CQ3476" s="128"/>
      <c r="CR3476" s="128"/>
      <c r="CS3476" s="128"/>
      <c r="CT3476" s="128"/>
      <c r="CU3476" s="128"/>
      <c r="CV3476" s="128"/>
      <c r="CW3476" s="128"/>
      <c r="CX3476" s="128"/>
      <c r="CY3476" s="128"/>
      <c r="CZ3476" s="165"/>
    </row>
    <row r="3477" spans="1:104">
      <c r="A3477" s="149"/>
      <c r="B3477" s="149"/>
      <c r="C3477" s="150"/>
      <c r="D3477" s="102"/>
      <c r="E3477" s="149"/>
      <c r="F3477" s="149"/>
      <c r="G3477" s="149"/>
      <c r="H3477" s="149"/>
      <c r="I3477" s="149"/>
      <c r="J3477" s="149"/>
      <c r="K3477" s="149"/>
      <c r="L3477" s="149"/>
      <c r="M3477" s="149"/>
      <c r="N3477" s="149"/>
      <c r="O3477" s="149"/>
      <c r="P3477" s="149"/>
      <c r="Q3477" s="149"/>
      <c r="R3477" s="149"/>
      <c r="S3477" s="149"/>
      <c r="T3477" s="149"/>
      <c r="U3477" s="149"/>
      <c r="V3477" s="149"/>
      <c r="W3477" s="149"/>
      <c r="X3477" s="149"/>
      <c r="Y3477" s="149"/>
      <c r="Z3477" s="149"/>
      <c r="AA3477" s="149"/>
      <c r="AB3477" s="149"/>
      <c r="AC3477" s="149"/>
      <c r="AD3477" s="149"/>
      <c r="AE3477" s="149"/>
      <c r="AF3477" s="149"/>
      <c r="AG3477" s="149"/>
      <c r="AH3477" s="149"/>
      <c r="AI3477" s="149"/>
      <c r="AJ3477" s="149"/>
      <c r="AK3477" s="149"/>
      <c r="AL3477" s="149"/>
      <c r="AM3477" s="149"/>
      <c r="AN3477" s="149"/>
      <c r="AO3477" s="128"/>
      <c r="AP3477" s="128"/>
      <c r="AQ3477" s="128"/>
      <c r="AR3477" s="128"/>
      <c r="AS3477" s="128"/>
      <c r="AT3477" s="128"/>
      <c r="AU3477" s="128"/>
      <c r="AV3477" s="128"/>
      <c r="AW3477" s="128"/>
      <c r="AX3477" s="128"/>
      <c r="AY3477" s="128"/>
      <c r="AZ3477" s="128"/>
      <c r="BA3477" s="128"/>
      <c r="BB3477" s="128"/>
      <c r="BC3477" s="128"/>
      <c r="BD3477" s="128"/>
      <c r="BE3477" s="128"/>
      <c r="BF3477" s="128"/>
      <c r="BG3477" s="128"/>
      <c r="BH3477" s="128"/>
      <c r="BI3477" s="128"/>
      <c r="BJ3477" s="128"/>
      <c r="BK3477" s="128"/>
      <c r="BL3477" s="128"/>
      <c r="BM3477" s="151"/>
      <c r="BN3477" s="128"/>
      <c r="BO3477" s="128"/>
      <c r="BP3477" s="128"/>
      <c r="BQ3477" s="128"/>
      <c r="BR3477" s="128"/>
      <c r="BS3477" s="128"/>
      <c r="BT3477" s="128"/>
      <c r="BU3477" s="128"/>
      <c r="BV3477" s="128"/>
      <c r="BW3477" s="128"/>
      <c r="BX3477" s="128"/>
      <c r="BY3477" s="128"/>
      <c r="BZ3477" s="128"/>
      <c r="CA3477" s="128"/>
      <c r="CB3477" s="128"/>
      <c r="CC3477" s="128"/>
      <c r="CD3477" s="128"/>
      <c r="CE3477" s="128"/>
      <c r="CF3477" s="128"/>
      <c r="CG3477" s="128"/>
      <c r="CI3477" s="128"/>
      <c r="CJ3477" s="128"/>
      <c r="CK3477" s="128"/>
      <c r="CL3477" s="128"/>
      <c r="CM3477" s="128"/>
      <c r="CN3477" s="128"/>
      <c r="CO3477" s="128"/>
      <c r="CP3477" s="128"/>
      <c r="CQ3477" s="128"/>
      <c r="CR3477" s="128"/>
      <c r="CS3477" s="128"/>
      <c r="CT3477" s="128"/>
      <c r="CU3477" s="128"/>
      <c r="CV3477" s="128"/>
      <c r="CW3477" s="128"/>
      <c r="CX3477" s="128"/>
      <c r="CY3477" s="128"/>
      <c r="CZ3477" s="165"/>
    </row>
    <row r="3478" spans="1:104">
      <c r="A3478" s="149"/>
      <c r="B3478" s="149"/>
      <c r="C3478" s="150"/>
      <c r="D3478" s="102"/>
      <c r="E3478" s="149"/>
      <c r="F3478" s="149"/>
      <c r="G3478" s="149"/>
      <c r="H3478" s="149"/>
      <c r="I3478" s="149"/>
      <c r="J3478" s="149"/>
      <c r="K3478" s="149"/>
      <c r="L3478" s="149"/>
      <c r="M3478" s="149"/>
      <c r="N3478" s="149"/>
      <c r="O3478" s="149"/>
      <c r="P3478" s="149"/>
      <c r="Q3478" s="149"/>
      <c r="R3478" s="149"/>
      <c r="S3478" s="149"/>
      <c r="T3478" s="149"/>
      <c r="U3478" s="149"/>
      <c r="V3478" s="149"/>
      <c r="W3478" s="149"/>
      <c r="X3478" s="149"/>
      <c r="Y3478" s="149"/>
      <c r="Z3478" s="149"/>
      <c r="AA3478" s="149"/>
      <c r="AB3478" s="149"/>
      <c r="AC3478" s="149"/>
      <c r="AD3478" s="149"/>
      <c r="AE3478" s="149"/>
      <c r="AF3478" s="149"/>
      <c r="AG3478" s="149"/>
      <c r="AH3478" s="149"/>
      <c r="AI3478" s="149"/>
      <c r="AJ3478" s="149"/>
      <c r="AK3478" s="149"/>
      <c r="AL3478" s="149"/>
      <c r="AM3478" s="149"/>
      <c r="AN3478" s="149"/>
      <c r="AO3478" s="128"/>
      <c r="AP3478" s="128"/>
      <c r="AQ3478" s="128"/>
      <c r="AR3478" s="128"/>
      <c r="AS3478" s="128"/>
      <c r="AT3478" s="128"/>
      <c r="AU3478" s="128"/>
      <c r="AV3478" s="128"/>
      <c r="AW3478" s="128"/>
      <c r="AX3478" s="128"/>
      <c r="AY3478" s="128"/>
      <c r="AZ3478" s="128"/>
      <c r="BA3478" s="128"/>
      <c r="BB3478" s="128"/>
      <c r="BC3478" s="128"/>
      <c r="BD3478" s="128"/>
      <c r="BE3478" s="128"/>
      <c r="BF3478" s="128"/>
      <c r="BG3478" s="128"/>
      <c r="BH3478" s="128"/>
      <c r="BI3478" s="128"/>
      <c r="BJ3478" s="128"/>
      <c r="BK3478" s="128"/>
      <c r="BL3478" s="128"/>
      <c r="BM3478" s="151"/>
      <c r="BN3478" s="128"/>
      <c r="BO3478" s="128"/>
      <c r="BP3478" s="128"/>
      <c r="BQ3478" s="128"/>
      <c r="BR3478" s="128"/>
      <c r="BS3478" s="128"/>
      <c r="BT3478" s="128"/>
      <c r="BU3478" s="128"/>
      <c r="BV3478" s="128"/>
      <c r="BW3478" s="128"/>
      <c r="BX3478" s="128"/>
      <c r="BY3478" s="128"/>
      <c r="BZ3478" s="128"/>
      <c r="CA3478" s="128"/>
      <c r="CB3478" s="128"/>
      <c r="CC3478" s="128"/>
      <c r="CD3478" s="128"/>
      <c r="CE3478" s="128"/>
      <c r="CF3478" s="128"/>
      <c r="CG3478" s="128"/>
      <c r="CI3478" s="128"/>
      <c r="CJ3478" s="128"/>
      <c r="CK3478" s="128"/>
      <c r="CL3478" s="128"/>
      <c r="CM3478" s="128"/>
      <c r="CN3478" s="128"/>
      <c r="CO3478" s="128"/>
      <c r="CP3478" s="128"/>
      <c r="CQ3478" s="128"/>
      <c r="CR3478" s="128"/>
      <c r="CS3478" s="128"/>
      <c r="CT3478" s="128"/>
      <c r="CU3478" s="128"/>
      <c r="CV3478" s="128"/>
      <c r="CW3478" s="128"/>
      <c r="CX3478" s="128"/>
      <c r="CY3478" s="128"/>
      <c r="CZ3478" s="165"/>
    </row>
    <row r="3479" spans="1:104">
      <c r="A3479" s="149"/>
      <c r="B3479" s="149"/>
      <c r="C3479" s="150"/>
      <c r="D3479" s="102"/>
      <c r="E3479" s="149"/>
      <c r="F3479" s="149"/>
      <c r="G3479" s="149"/>
      <c r="H3479" s="149"/>
      <c r="I3479" s="149"/>
      <c r="J3479" s="149"/>
      <c r="K3479" s="149"/>
      <c r="L3479" s="149"/>
      <c r="M3479" s="149"/>
      <c r="N3479" s="149"/>
      <c r="O3479" s="149"/>
      <c r="P3479" s="149"/>
      <c r="Q3479" s="149"/>
      <c r="R3479" s="149"/>
      <c r="S3479" s="149"/>
      <c r="T3479" s="149"/>
      <c r="U3479" s="149"/>
      <c r="V3479" s="149"/>
      <c r="W3479" s="149"/>
      <c r="X3479" s="149"/>
      <c r="Y3479" s="149"/>
      <c r="Z3479" s="149"/>
      <c r="AA3479" s="149"/>
      <c r="AB3479" s="149"/>
      <c r="AC3479" s="149"/>
      <c r="AD3479" s="149"/>
      <c r="AE3479" s="149"/>
      <c r="AF3479" s="149"/>
      <c r="AG3479" s="149"/>
      <c r="AH3479" s="149"/>
      <c r="AI3479" s="149"/>
      <c r="AJ3479" s="149"/>
      <c r="AK3479" s="149"/>
      <c r="AL3479" s="149"/>
      <c r="AM3479" s="149"/>
      <c r="AN3479" s="149"/>
      <c r="AO3479" s="128"/>
      <c r="AP3479" s="128"/>
      <c r="AQ3479" s="128"/>
      <c r="AR3479" s="128"/>
      <c r="AS3479" s="128"/>
      <c r="AT3479" s="128"/>
      <c r="AU3479" s="128"/>
      <c r="AV3479" s="128"/>
      <c r="AW3479" s="128"/>
      <c r="AX3479" s="128"/>
      <c r="AY3479" s="128"/>
      <c r="AZ3479" s="128"/>
      <c r="BA3479" s="128"/>
      <c r="BB3479" s="128"/>
      <c r="BC3479" s="128"/>
      <c r="BD3479" s="128"/>
      <c r="BE3479" s="128"/>
      <c r="BF3479" s="128"/>
      <c r="BG3479" s="128"/>
      <c r="BH3479" s="128"/>
      <c r="BI3479" s="128"/>
      <c r="BJ3479" s="128"/>
      <c r="BK3479" s="128"/>
      <c r="BL3479" s="128"/>
      <c r="BM3479" s="151"/>
      <c r="BN3479" s="128"/>
      <c r="BO3479" s="128"/>
      <c r="BP3479" s="128"/>
      <c r="BQ3479" s="128"/>
      <c r="BR3479" s="128"/>
      <c r="BS3479" s="128"/>
      <c r="BT3479" s="128"/>
      <c r="BU3479" s="128"/>
      <c r="BV3479" s="128"/>
      <c r="BW3479" s="128"/>
      <c r="BX3479" s="128"/>
      <c r="BY3479" s="128"/>
      <c r="BZ3479" s="128"/>
      <c r="CA3479" s="128"/>
      <c r="CB3479" s="128"/>
      <c r="CC3479" s="128"/>
      <c r="CD3479" s="128"/>
      <c r="CE3479" s="128"/>
      <c r="CF3479" s="128"/>
      <c r="CG3479" s="128"/>
      <c r="CI3479" s="128"/>
      <c r="CJ3479" s="128"/>
      <c r="CK3479" s="128"/>
      <c r="CL3479" s="128"/>
      <c r="CM3479" s="128"/>
      <c r="CN3479" s="128"/>
      <c r="CO3479" s="128"/>
      <c r="CP3479" s="128"/>
      <c r="CQ3479" s="128"/>
      <c r="CR3479" s="128"/>
      <c r="CS3479" s="128"/>
      <c r="CT3479" s="128"/>
      <c r="CU3479" s="128"/>
      <c r="CV3479" s="128"/>
      <c r="CW3479" s="128"/>
      <c r="CX3479" s="128"/>
      <c r="CY3479" s="128"/>
      <c r="CZ3479" s="165"/>
    </row>
    <row r="3480" spans="1:104">
      <c r="A3480" s="149"/>
      <c r="B3480" s="149"/>
      <c r="C3480" s="150"/>
      <c r="D3480" s="102"/>
      <c r="E3480" s="149"/>
      <c r="F3480" s="149"/>
      <c r="G3480" s="149"/>
      <c r="H3480" s="149"/>
      <c r="I3480" s="149"/>
      <c r="J3480" s="149"/>
      <c r="K3480" s="149"/>
      <c r="L3480" s="149"/>
      <c r="M3480" s="149"/>
      <c r="N3480" s="149"/>
      <c r="O3480" s="149"/>
      <c r="P3480" s="149"/>
      <c r="Q3480" s="149"/>
      <c r="R3480" s="149"/>
      <c r="S3480" s="149"/>
      <c r="T3480" s="149"/>
      <c r="U3480" s="149"/>
      <c r="V3480" s="149"/>
      <c r="W3480" s="149"/>
      <c r="X3480" s="149"/>
      <c r="Y3480" s="149"/>
      <c r="Z3480" s="149"/>
      <c r="AA3480" s="149"/>
      <c r="AB3480" s="149"/>
      <c r="AC3480" s="149"/>
      <c r="AD3480" s="149"/>
      <c r="AE3480" s="149"/>
      <c r="AF3480" s="149"/>
      <c r="AG3480" s="149"/>
      <c r="AH3480" s="149"/>
      <c r="AI3480" s="149"/>
      <c r="AJ3480" s="149"/>
      <c r="AK3480" s="149"/>
      <c r="AL3480" s="149"/>
      <c r="AM3480" s="149"/>
      <c r="AN3480" s="149"/>
      <c r="AO3480" s="128"/>
      <c r="AP3480" s="128"/>
      <c r="AQ3480" s="128"/>
      <c r="AR3480" s="128"/>
      <c r="AS3480" s="128"/>
      <c r="AT3480" s="128"/>
      <c r="AU3480" s="128"/>
      <c r="AV3480" s="128"/>
      <c r="AW3480" s="128"/>
      <c r="AX3480" s="128"/>
      <c r="AY3480" s="128"/>
      <c r="AZ3480" s="128"/>
      <c r="BA3480" s="128"/>
      <c r="BB3480" s="128"/>
      <c r="BC3480" s="128"/>
      <c r="BD3480" s="128"/>
      <c r="BE3480" s="128"/>
      <c r="BF3480" s="128"/>
      <c r="BG3480" s="128"/>
      <c r="BH3480" s="128"/>
      <c r="BI3480" s="128"/>
      <c r="BJ3480" s="128"/>
      <c r="BK3480" s="128"/>
      <c r="BL3480" s="128"/>
      <c r="BM3480" s="151"/>
      <c r="BN3480" s="128"/>
      <c r="BO3480" s="128"/>
      <c r="BP3480" s="128"/>
      <c r="BQ3480" s="128"/>
      <c r="BR3480" s="128"/>
      <c r="BS3480" s="128"/>
      <c r="BT3480" s="128"/>
      <c r="BU3480" s="128"/>
      <c r="BV3480" s="128"/>
      <c r="BW3480" s="128"/>
      <c r="BX3480" s="128"/>
      <c r="BY3480" s="128"/>
      <c r="BZ3480" s="128"/>
      <c r="CA3480" s="128"/>
      <c r="CB3480" s="128"/>
      <c r="CC3480" s="128"/>
      <c r="CD3480" s="128"/>
      <c r="CE3480" s="128"/>
      <c r="CF3480" s="128"/>
      <c r="CG3480" s="128"/>
      <c r="CI3480" s="128"/>
      <c r="CJ3480" s="128"/>
      <c r="CK3480" s="128"/>
      <c r="CL3480" s="128"/>
      <c r="CM3480" s="128"/>
      <c r="CN3480" s="128"/>
      <c r="CO3480" s="128"/>
      <c r="CP3480" s="128"/>
      <c r="CQ3480" s="128"/>
      <c r="CR3480" s="128"/>
      <c r="CS3480" s="128"/>
      <c r="CT3480" s="128"/>
      <c r="CU3480" s="128"/>
      <c r="CV3480" s="128"/>
      <c r="CW3480" s="128"/>
      <c r="CX3480" s="128"/>
      <c r="CY3480" s="128"/>
      <c r="CZ3480" s="165"/>
    </row>
    <row r="3481" spans="1:104">
      <c r="A3481" s="149"/>
      <c r="B3481" s="149"/>
      <c r="C3481" s="150"/>
      <c r="D3481" s="102"/>
      <c r="E3481" s="149"/>
      <c r="F3481" s="149"/>
      <c r="G3481" s="149"/>
      <c r="H3481" s="149"/>
      <c r="I3481" s="149"/>
      <c r="J3481" s="149"/>
      <c r="K3481" s="149"/>
      <c r="L3481" s="149"/>
      <c r="M3481" s="149"/>
      <c r="N3481" s="149"/>
      <c r="O3481" s="149"/>
      <c r="P3481" s="149"/>
      <c r="Q3481" s="149"/>
      <c r="R3481" s="149"/>
      <c r="S3481" s="149"/>
      <c r="T3481" s="149"/>
      <c r="U3481" s="149"/>
      <c r="V3481" s="149"/>
      <c r="W3481" s="149"/>
      <c r="X3481" s="149"/>
      <c r="Y3481" s="149"/>
      <c r="Z3481" s="149"/>
      <c r="AA3481" s="149"/>
      <c r="AB3481" s="149"/>
      <c r="AC3481" s="149"/>
      <c r="AD3481" s="149"/>
      <c r="AE3481" s="149"/>
      <c r="AF3481" s="149"/>
      <c r="AG3481" s="149"/>
      <c r="AH3481" s="149"/>
      <c r="AI3481" s="149"/>
      <c r="AJ3481" s="149"/>
      <c r="AK3481" s="149"/>
      <c r="AL3481" s="149"/>
      <c r="AM3481" s="149"/>
      <c r="AN3481" s="149"/>
      <c r="AO3481" s="128"/>
      <c r="AP3481" s="128"/>
      <c r="AQ3481" s="128"/>
      <c r="AR3481" s="128"/>
      <c r="AS3481" s="128"/>
      <c r="AT3481" s="128"/>
      <c r="AU3481" s="128"/>
      <c r="AV3481" s="128"/>
      <c r="AW3481" s="128"/>
      <c r="AX3481" s="128"/>
      <c r="AY3481" s="128"/>
      <c r="AZ3481" s="128"/>
      <c r="BA3481" s="128"/>
      <c r="BB3481" s="128"/>
      <c r="BC3481" s="128"/>
      <c r="BD3481" s="128"/>
      <c r="BE3481" s="128"/>
      <c r="BF3481" s="128"/>
      <c r="BG3481" s="128"/>
      <c r="BH3481" s="128"/>
      <c r="BI3481" s="128"/>
      <c r="BJ3481" s="128"/>
      <c r="BK3481" s="128"/>
      <c r="BL3481" s="128"/>
      <c r="BM3481" s="151"/>
      <c r="BN3481" s="128"/>
      <c r="BO3481" s="128"/>
      <c r="BP3481" s="128"/>
      <c r="BQ3481" s="128"/>
      <c r="BR3481" s="128"/>
      <c r="BS3481" s="128"/>
      <c r="BT3481" s="128"/>
      <c r="BU3481" s="128"/>
      <c r="BV3481" s="128"/>
      <c r="BW3481" s="128"/>
      <c r="BX3481" s="128"/>
      <c r="BY3481" s="128"/>
      <c r="BZ3481" s="128"/>
      <c r="CA3481" s="128"/>
      <c r="CB3481" s="128"/>
      <c r="CC3481" s="128"/>
      <c r="CD3481" s="128"/>
      <c r="CE3481" s="128"/>
      <c r="CF3481" s="128"/>
      <c r="CG3481" s="128"/>
      <c r="CI3481" s="128"/>
      <c r="CJ3481" s="128"/>
      <c r="CK3481" s="128"/>
      <c r="CL3481" s="128"/>
      <c r="CM3481" s="128"/>
      <c r="CN3481" s="128"/>
      <c r="CO3481" s="128"/>
      <c r="CP3481" s="128"/>
      <c r="CQ3481" s="128"/>
      <c r="CR3481" s="128"/>
      <c r="CS3481" s="128"/>
      <c r="CT3481" s="128"/>
      <c r="CU3481" s="128"/>
      <c r="CV3481" s="128"/>
      <c r="CW3481" s="128"/>
      <c r="CX3481" s="128"/>
      <c r="CY3481" s="128"/>
      <c r="CZ3481" s="165"/>
    </row>
    <row r="3482" spans="1:104">
      <c r="A3482" s="149"/>
      <c r="B3482" s="149"/>
      <c r="C3482" s="150"/>
      <c r="D3482" s="102"/>
      <c r="E3482" s="149"/>
      <c r="F3482" s="149"/>
      <c r="G3482" s="149"/>
      <c r="H3482" s="149"/>
      <c r="I3482" s="149"/>
      <c r="J3482" s="149"/>
      <c r="K3482" s="149"/>
      <c r="L3482" s="149"/>
      <c r="M3482" s="149"/>
      <c r="N3482" s="149"/>
      <c r="O3482" s="149"/>
      <c r="P3482" s="149"/>
      <c r="Q3482" s="149"/>
      <c r="R3482" s="149"/>
      <c r="S3482" s="149"/>
      <c r="T3482" s="149"/>
      <c r="U3482" s="149"/>
      <c r="V3482" s="149"/>
      <c r="W3482" s="149"/>
      <c r="X3482" s="149"/>
      <c r="Y3482" s="149"/>
      <c r="Z3482" s="149"/>
      <c r="AA3482" s="149"/>
      <c r="AB3482" s="149"/>
      <c r="AC3482" s="149"/>
      <c r="AD3482" s="149"/>
      <c r="AE3482" s="149"/>
      <c r="AF3482" s="149"/>
      <c r="AG3482" s="149"/>
      <c r="AH3482" s="149"/>
      <c r="AI3482" s="149"/>
      <c r="AJ3482" s="149"/>
      <c r="AK3482" s="149"/>
      <c r="AL3482" s="149"/>
      <c r="AM3482" s="149"/>
      <c r="AN3482" s="149"/>
      <c r="AO3482" s="128"/>
      <c r="AP3482" s="128"/>
      <c r="AQ3482" s="128"/>
      <c r="AR3482" s="128"/>
      <c r="AS3482" s="128"/>
      <c r="AT3482" s="128"/>
      <c r="AU3482" s="128"/>
      <c r="AV3482" s="128"/>
      <c r="AW3482" s="128"/>
      <c r="AX3482" s="128"/>
      <c r="AY3482" s="128"/>
      <c r="AZ3482" s="128"/>
      <c r="BA3482" s="128"/>
      <c r="BB3482" s="128"/>
      <c r="BC3482" s="128"/>
      <c r="BD3482" s="128"/>
      <c r="BE3482" s="128"/>
      <c r="BF3482" s="128"/>
      <c r="BG3482" s="128"/>
      <c r="BH3482" s="128"/>
      <c r="BI3482" s="128"/>
      <c r="BJ3482" s="128"/>
      <c r="BK3482" s="128"/>
      <c r="BL3482" s="128"/>
      <c r="BM3482" s="151"/>
      <c r="BN3482" s="128"/>
      <c r="BO3482" s="128"/>
      <c r="BP3482" s="128"/>
      <c r="BQ3482" s="128"/>
      <c r="BR3482" s="128"/>
      <c r="BS3482" s="128"/>
      <c r="BT3482" s="128"/>
      <c r="BU3482" s="128"/>
      <c r="BV3482" s="128"/>
      <c r="BW3482" s="128"/>
      <c r="BX3482" s="128"/>
      <c r="BY3482" s="128"/>
      <c r="BZ3482" s="128"/>
      <c r="CA3482" s="128"/>
      <c r="CB3482" s="128"/>
      <c r="CC3482" s="128"/>
      <c r="CD3482" s="128"/>
      <c r="CE3482" s="128"/>
      <c r="CF3482" s="128"/>
      <c r="CG3482" s="128"/>
      <c r="CI3482" s="128"/>
      <c r="CJ3482" s="128"/>
      <c r="CK3482" s="128"/>
      <c r="CL3482" s="128"/>
      <c r="CM3482" s="128"/>
      <c r="CN3482" s="128"/>
      <c r="CO3482" s="128"/>
      <c r="CP3482" s="128"/>
      <c r="CQ3482" s="128"/>
      <c r="CR3482" s="128"/>
      <c r="CS3482" s="128"/>
      <c r="CT3482" s="128"/>
      <c r="CU3482" s="128"/>
      <c r="CV3482" s="128"/>
      <c r="CW3482" s="128"/>
      <c r="CX3482" s="128"/>
      <c r="CY3482" s="128"/>
      <c r="CZ3482" s="165"/>
    </row>
    <row r="3483" spans="1:104">
      <c r="A3483" s="149"/>
      <c r="B3483" s="149"/>
      <c r="C3483" s="150"/>
      <c r="D3483" s="102"/>
      <c r="E3483" s="149"/>
      <c r="F3483" s="149"/>
      <c r="G3483" s="149"/>
      <c r="H3483" s="149"/>
      <c r="I3483" s="149"/>
      <c r="J3483" s="149"/>
      <c r="K3483" s="149"/>
      <c r="L3483" s="149"/>
      <c r="M3483" s="149"/>
      <c r="N3483" s="149"/>
      <c r="O3483" s="149"/>
      <c r="P3483" s="149"/>
      <c r="Q3483" s="149"/>
      <c r="R3483" s="149"/>
      <c r="S3483" s="149"/>
      <c r="T3483" s="149"/>
      <c r="U3483" s="149"/>
      <c r="V3483" s="149"/>
      <c r="W3483" s="149"/>
      <c r="X3483" s="149"/>
      <c r="Y3483" s="149"/>
      <c r="Z3483" s="149"/>
      <c r="AA3483" s="149"/>
      <c r="AB3483" s="149"/>
      <c r="AC3483" s="149"/>
      <c r="AD3483" s="149"/>
      <c r="AE3483" s="149"/>
      <c r="AF3483" s="149"/>
      <c r="AG3483" s="149"/>
      <c r="AH3483" s="149"/>
      <c r="AI3483" s="149"/>
      <c r="AJ3483" s="149"/>
      <c r="AK3483" s="149"/>
      <c r="AL3483" s="149"/>
      <c r="AM3483" s="149"/>
      <c r="AN3483" s="149"/>
      <c r="AO3483" s="128"/>
      <c r="AP3483" s="128"/>
      <c r="AQ3483" s="128"/>
      <c r="AR3483" s="128"/>
      <c r="AS3483" s="128"/>
      <c r="AT3483" s="128"/>
      <c r="AU3483" s="128"/>
      <c r="AV3483" s="128"/>
      <c r="AW3483" s="128"/>
      <c r="AX3483" s="128"/>
      <c r="AY3483" s="128"/>
      <c r="AZ3483" s="128"/>
      <c r="BA3483" s="128"/>
      <c r="BB3483" s="128"/>
      <c r="BC3483" s="128"/>
      <c r="BD3483" s="128"/>
      <c r="BE3483" s="128"/>
      <c r="BF3483" s="128"/>
      <c r="BG3483" s="128"/>
      <c r="BH3483" s="128"/>
      <c r="BI3483" s="128"/>
      <c r="BJ3483" s="128"/>
      <c r="BK3483" s="128"/>
      <c r="BL3483" s="128"/>
      <c r="BM3483" s="151"/>
      <c r="BN3483" s="128"/>
      <c r="BO3483" s="128"/>
      <c r="BP3483" s="128"/>
      <c r="BQ3483" s="128"/>
      <c r="BR3483" s="128"/>
      <c r="BS3483" s="128"/>
      <c r="BT3483" s="128"/>
      <c r="BU3483" s="128"/>
      <c r="BV3483" s="128"/>
      <c r="BW3483" s="128"/>
      <c r="BX3483" s="128"/>
      <c r="BY3483" s="128"/>
      <c r="BZ3483" s="128"/>
      <c r="CA3483" s="128"/>
      <c r="CB3483" s="128"/>
      <c r="CC3483" s="128"/>
      <c r="CD3483" s="128"/>
      <c r="CE3483" s="128"/>
      <c r="CF3483" s="128"/>
      <c r="CG3483" s="128"/>
      <c r="CI3483" s="128"/>
      <c r="CJ3483" s="128"/>
      <c r="CK3483" s="128"/>
      <c r="CL3483" s="128"/>
      <c r="CM3483" s="128"/>
      <c r="CN3483" s="128"/>
      <c r="CO3483" s="128"/>
      <c r="CP3483" s="128"/>
      <c r="CQ3483" s="128"/>
      <c r="CR3483" s="128"/>
      <c r="CS3483" s="128"/>
      <c r="CT3483" s="128"/>
      <c r="CU3483" s="128"/>
      <c r="CV3483" s="128"/>
      <c r="CW3483" s="128"/>
      <c r="CX3483" s="128"/>
      <c r="CY3483" s="128"/>
      <c r="CZ3483" s="165"/>
    </row>
    <row r="3484" spans="1:104">
      <c r="A3484" s="149"/>
      <c r="B3484" s="149"/>
      <c r="C3484" s="150"/>
      <c r="D3484" s="102"/>
      <c r="E3484" s="149"/>
      <c r="F3484" s="149"/>
      <c r="G3484" s="149"/>
      <c r="H3484" s="149"/>
      <c r="I3484" s="149"/>
      <c r="J3484" s="149"/>
      <c r="K3484" s="149"/>
      <c r="L3484" s="149"/>
      <c r="M3484" s="149"/>
      <c r="N3484" s="149"/>
      <c r="O3484" s="149"/>
      <c r="P3484" s="149"/>
      <c r="Q3484" s="149"/>
      <c r="R3484" s="149"/>
      <c r="S3484" s="149"/>
      <c r="T3484" s="149"/>
      <c r="U3484" s="149"/>
      <c r="V3484" s="149"/>
      <c r="W3484" s="149"/>
      <c r="X3484" s="149"/>
      <c r="Y3484" s="149"/>
      <c r="Z3484" s="149"/>
      <c r="AA3484" s="149"/>
      <c r="AB3484" s="149"/>
      <c r="AC3484" s="149"/>
      <c r="AD3484" s="149"/>
      <c r="AE3484" s="149"/>
      <c r="AF3484" s="149"/>
      <c r="AG3484" s="149"/>
      <c r="AH3484" s="149"/>
      <c r="AI3484" s="149"/>
      <c r="AJ3484" s="149"/>
      <c r="AK3484" s="149"/>
      <c r="AL3484" s="149"/>
      <c r="AM3484" s="149"/>
      <c r="AN3484" s="149"/>
      <c r="AO3484" s="128"/>
      <c r="AP3484" s="128"/>
      <c r="AQ3484" s="128"/>
      <c r="AR3484" s="128"/>
      <c r="AS3484" s="128"/>
      <c r="AT3484" s="128"/>
      <c r="AU3484" s="128"/>
      <c r="AV3484" s="128"/>
      <c r="AW3484" s="128"/>
      <c r="AX3484" s="128"/>
      <c r="AY3484" s="128"/>
      <c r="AZ3484" s="128"/>
      <c r="BA3484" s="128"/>
      <c r="BB3484" s="128"/>
      <c r="BC3484" s="128"/>
      <c r="BD3484" s="128"/>
      <c r="BE3484" s="128"/>
      <c r="BF3484" s="128"/>
      <c r="BG3484" s="128"/>
      <c r="BH3484" s="128"/>
      <c r="BI3484" s="128"/>
      <c r="BJ3484" s="128"/>
      <c r="BK3484" s="128"/>
      <c r="BL3484" s="128"/>
      <c r="BM3484" s="151"/>
      <c r="BN3484" s="128"/>
      <c r="BO3484" s="128"/>
      <c r="BP3484" s="128"/>
      <c r="BQ3484" s="128"/>
      <c r="BR3484" s="128"/>
      <c r="BS3484" s="128"/>
      <c r="BT3484" s="128"/>
      <c r="BU3484" s="128"/>
      <c r="BV3484" s="128"/>
      <c r="BW3484" s="128"/>
      <c r="BX3484" s="128"/>
      <c r="BY3484" s="128"/>
      <c r="BZ3484" s="128"/>
      <c r="CA3484" s="128"/>
      <c r="CB3484" s="128"/>
      <c r="CC3484" s="128"/>
      <c r="CD3484" s="128"/>
      <c r="CE3484" s="128"/>
      <c r="CF3484" s="128"/>
      <c r="CG3484" s="128"/>
      <c r="CI3484" s="128"/>
      <c r="CJ3484" s="128"/>
      <c r="CK3484" s="128"/>
      <c r="CL3484" s="128"/>
      <c r="CM3484" s="128"/>
      <c r="CN3484" s="128"/>
      <c r="CO3484" s="128"/>
      <c r="CP3484" s="128"/>
      <c r="CQ3484" s="128"/>
      <c r="CR3484" s="128"/>
      <c r="CS3484" s="128"/>
      <c r="CT3484" s="128"/>
      <c r="CU3484" s="128"/>
      <c r="CV3484" s="128"/>
      <c r="CW3484" s="128"/>
      <c r="CX3484" s="128"/>
      <c r="CY3484" s="128"/>
      <c r="CZ3484" s="165"/>
    </row>
    <row r="3485" spans="1:104">
      <c r="A3485" s="149"/>
      <c r="B3485" s="149"/>
      <c r="C3485" s="150"/>
      <c r="D3485" s="102"/>
      <c r="E3485" s="149"/>
      <c r="F3485" s="149"/>
      <c r="G3485" s="149"/>
      <c r="H3485" s="149"/>
      <c r="I3485" s="149"/>
      <c r="J3485" s="149"/>
      <c r="K3485" s="149"/>
      <c r="L3485" s="149"/>
      <c r="M3485" s="149"/>
      <c r="N3485" s="149"/>
      <c r="O3485" s="149"/>
      <c r="P3485" s="149"/>
      <c r="Q3485" s="149"/>
      <c r="R3485" s="149"/>
      <c r="S3485" s="149"/>
      <c r="T3485" s="149"/>
      <c r="U3485" s="149"/>
      <c r="V3485" s="149"/>
      <c r="W3485" s="149"/>
      <c r="X3485" s="149"/>
      <c r="Y3485" s="149"/>
      <c r="Z3485" s="149"/>
      <c r="AA3485" s="149"/>
      <c r="AB3485" s="149"/>
      <c r="AC3485" s="149"/>
      <c r="AD3485" s="149"/>
      <c r="AE3485" s="149"/>
      <c r="AF3485" s="149"/>
      <c r="AG3485" s="149"/>
      <c r="AH3485" s="149"/>
      <c r="AI3485" s="149"/>
      <c r="AJ3485" s="149"/>
      <c r="AK3485" s="149"/>
      <c r="AL3485" s="149"/>
      <c r="AM3485" s="149"/>
      <c r="AN3485" s="149"/>
      <c r="AO3485" s="128"/>
      <c r="AP3485" s="128"/>
      <c r="AQ3485" s="128"/>
      <c r="AR3485" s="128"/>
      <c r="AS3485" s="128"/>
      <c r="AT3485" s="128"/>
      <c r="AU3485" s="128"/>
      <c r="AV3485" s="128"/>
      <c r="AW3485" s="128"/>
      <c r="AX3485" s="128"/>
      <c r="AY3485" s="128"/>
      <c r="AZ3485" s="128"/>
      <c r="BA3485" s="128"/>
      <c r="BB3485" s="128"/>
      <c r="BC3485" s="128"/>
      <c r="BD3485" s="128"/>
      <c r="BE3485" s="128"/>
      <c r="BF3485" s="128"/>
      <c r="BG3485" s="128"/>
      <c r="BH3485" s="128"/>
      <c r="BI3485" s="128"/>
      <c r="BJ3485" s="128"/>
      <c r="BK3485" s="128"/>
      <c r="BL3485" s="128"/>
      <c r="BM3485" s="151"/>
      <c r="BN3485" s="128"/>
      <c r="BO3485" s="128"/>
      <c r="BP3485" s="128"/>
      <c r="BQ3485" s="128"/>
      <c r="BR3485" s="128"/>
      <c r="BS3485" s="128"/>
      <c r="BT3485" s="128"/>
      <c r="BU3485" s="128"/>
      <c r="BV3485" s="128"/>
      <c r="BW3485" s="128"/>
      <c r="BX3485" s="128"/>
      <c r="BY3485" s="128"/>
      <c r="BZ3485" s="128"/>
      <c r="CA3485" s="128"/>
      <c r="CB3485" s="128"/>
      <c r="CC3485" s="128"/>
      <c r="CD3485" s="128"/>
      <c r="CE3485" s="128"/>
      <c r="CF3485" s="128"/>
      <c r="CG3485" s="128"/>
      <c r="CI3485" s="128"/>
      <c r="CJ3485" s="128"/>
      <c r="CK3485" s="128"/>
      <c r="CL3485" s="128"/>
      <c r="CM3485" s="128"/>
      <c r="CN3485" s="128"/>
      <c r="CO3485" s="128"/>
      <c r="CP3485" s="128"/>
      <c r="CQ3485" s="128"/>
      <c r="CR3485" s="128"/>
      <c r="CS3485" s="128"/>
      <c r="CT3485" s="128"/>
      <c r="CU3485" s="128"/>
      <c r="CV3485" s="128"/>
      <c r="CW3485" s="128"/>
      <c r="CX3485" s="128"/>
      <c r="CY3485" s="128"/>
      <c r="CZ3485" s="165"/>
    </row>
    <row r="3486" spans="1:104">
      <c r="A3486" s="149"/>
      <c r="B3486" s="149"/>
      <c r="C3486" s="150"/>
      <c r="D3486" s="102"/>
      <c r="E3486" s="149"/>
      <c r="F3486" s="149"/>
      <c r="G3486" s="149"/>
      <c r="H3486" s="149"/>
      <c r="I3486" s="149"/>
      <c r="J3486" s="149"/>
      <c r="K3486" s="149"/>
      <c r="L3486" s="149"/>
      <c r="M3486" s="149"/>
      <c r="N3486" s="149"/>
      <c r="O3486" s="149"/>
      <c r="P3486" s="149"/>
      <c r="Q3486" s="149"/>
      <c r="R3486" s="149"/>
      <c r="S3486" s="149"/>
      <c r="T3486" s="149"/>
      <c r="U3486" s="149"/>
      <c r="V3486" s="149"/>
      <c r="W3486" s="149"/>
      <c r="X3486" s="149"/>
      <c r="Y3486" s="149"/>
      <c r="Z3486" s="149"/>
      <c r="AA3486" s="149"/>
      <c r="AB3486" s="149"/>
      <c r="AC3486" s="149"/>
      <c r="AD3486" s="149"/>
      <c r="AE3486" s="149"/>
      <c r="AF3486" s="149"/>
      <c r="AG3486" s="149"/>
      <c r="AH3486" s="149"/>
      <c r="AI3486" s="149"/>
      <c r="AJ3486" s="149"/>
      <c r="AK3486" s="149"/>
      <c r="AL3486" s="149"/>
      <c r="AM3486" s="149"/>
      <c r="AN3486" s="149"/>
      <c r="AO3486" s="128"/>
      <c r="AP3486" s="128"/>
      <c r="AQ3486" s="128"/>
      <c r="AR3486" s="128"/>
      <c r="AS3486" s="128"/>
      <c r="AT3486" s="128"/>
      <c r="AU3486" s="128"/>
      <c r="AV3486" s="128"/>
      <c r="AW3486" s="128"/>
      <c r="AX3486" s="128"/>
      <c r="AY3486" s="128"/>
      <c r="AZ3486" s="128"/>
      <c r="BA3486" s="128"/>
      <c r="BB3486" s="128"/>
      <c r="BC3486" s="128"/>
      <c r="BD3486" s="128"/>
      <c r="BE3486" s="128"/>
      <c r="BF3486" s="128"/>
      <c r="BG3486" s="128"/>
      <c r="BH3486" s="128"/>
      <c r="BI3486" s="128"/>
      <c r="BJ3486" s="128"/>
      <c r="BK3486" s="128"/>
      <c r="BL3486" s="128"/>
      <c r="BM3486" s="151"/>
      <c r="BN3486" s="128"/>
      <c r="BO3486" s="128"/>
      <c r="BP3486" s="128"/>
      <c r="BQ3486" s="128"/>
      <c r="BR3486" s="128"/>
      <c r="BS3486" s="128"/>
      <c r="BT3486" s="128"/>
      <c r="BU3486" s="128"/>
      <c r="BV3486" s="128"/>
      <c r="BW3486" s="128"/>
      <c r="BX3486" s="128"/>
      <c r="BY3486" s="128"/>
      <c r="BZ3486" s="128"/>
      <c r="CA3486" s="128"/>
      <c r="CB3486" s="128"/>
      <c r="CC3486" s="128"/>
      <c r="CD3486" s="128"/>
      <c r="CE3486" s="128"/>
      <c r="CF3486" s="128"/>
      <c r="CG3486" s="128"/>
      <c r="CI3486" s="128"/>
      <c r="CJ3486" s="128"/>
      <c r="CK3486" s="128"/>
      <c r="CL3486" s="128"/>
      <c r="CM3486" s="128"/>
      <c r="CN3486" s="128"/>
      <c r="CO3486" s="128"/>
      <c r="CP3486" s="128"/>
      <c r="CQ3486" s="128"/>
      <c r="CR3486" s="128"/>
      <c r="CS3486" s="128"/>
      <c r="CT3486" s="128"/>
      <c r="CU3486" s="128"/>
      <c r="CV3486" s="128"/>
      <c r="CW3486" s="128"/>
      <c r="CX3486" s="128"/>
      <c r="CY3486" s="128"/>
      <c r="CZ3486" s="165"/>
    </row>
    <row r="3487" spans="1:104">
      <c r="A3487" s="149"/>
      <c r="B3487" s="149"/>
      <c r="C3487" s="150"/>
      <c r="D3487" s="102"/>
      <c r="E3487" s="149"/>
      <c r="F3487" s="149"/>
      <c r="G3487" s="149"/>
      <c r="H3487" s="149"/>
      <c r="I3487" s="149"/>
      <c r="J3487" s="149"/>
      <c r="K3487" s="149"/>
      <c r="L3487" s="149"/>
      <c r="M3487" s="149"/>
      <c r="N3487" s="149"/>
      <c r="O3487" s="149"/>
      <c r="P3487" s="149"/>
      <c r="Q3487" s="149"/>
      <c r="R3487" s="149"/>
      <c r="S3487" s="149"/>
      <c r="T3487" s="149"/>
      <c r="U3487" s="149"/>
      <c r="V3487" s="149"/>
      <c r="W3487" s="149"/>
      <c r="X3487" s="149"/>
      <c r="Y3487" s="149"/>
      <c r="Z3487" s="149"/>
      <c r="AA3487" s="149"/>
      <c r="AB3487" s="149"/>
      <c r="AC3487" s="149"/>
      <c r="AD3487" s="149"/>
      <c r="AE3487" s="149"/>
      <c r="AF3487" s="149"/>
      <c r="AG3487" s="149"/>
      <c r="AH3487" s="149"/>
      <c r="AI3487" s="149"/>
      <c r="AJ3487" s="149"/>
      <c r="AK3487" s="149"/>
      <c r="AL3487" s="149"/>
      <c r="AM3487" s="149"/>
      <c r="AN3487" s="149"/>
      <c r="AO3487" s="128"/>
      <c r="AP3487" s="128"/>
      <c r="AQ3487" s="128"/>
      <c r="AR3487" s="128"/>
      <c r="AS3487" s="128"/>
      <c r="AT3487" s="128"/>
      <c r="AU3487" s="128"/>
      <c r="AV3487" s="128"/>
      <c r="AW3487" s="128"/>
      <c r="AX3487" s="128"/>
      <c r="AY3487" s="128"/>
      <c r="AZ3487" s="128"/>
      <c r="BA3487" s="128"/>
      <c r="BB3487" s="128"/>
      <c r="BC3487" s="128"/>
      <c r="BD3487" s="128"/>
      <c r="BE3487" s="128"/>
      <c r="BF3487" s="128"/>
      <c r="BG3487" s="128"/>
      <c r="BH3487" s="128"/>
      <c r="BI3487" s="128"/>
      <c r="BJ3487" s="128"/>
      <c r="BK3487" s="128"/>
      <c r="BL3487" s="128"/>
      <c r="BM3487" s="151"/>
      <c r="BN3487" s="128"/>
      <c r="BO3487" s="128"/>
      <c r="BP3487" s="128"/>
      <c r="BQ3487" s="128"/>
      <c r="BR3487" s="128"/>
      <c r="BS3487" s="128"/>
      <c r="BT3487" s="128"/>
      <c r="BU3487" s="128"/>
      <c r="BV3487" s="128"/>
      <c r="BW3487" s="128"/>
      <c r="BX3487" s="128"/>
      <c r="BY3487" s="128"/>
      <c r="BZ3487" s="128"/>
      <c r="CA3487" s="128"/>
      <c r="CB3487" s="128"/>
      <c r="CC3487" s="128"/>
      <c r="CD3487" s="128"/>
      <c r="CE3487" s="128"/>
      <c r="CF3487" s="128"/>
      <c r="CG3487" s="128"/>
      <c r="CI3487" s="128"/>
      <c r="CJ3487" s="128"/>
      <c r="CK3487" s="128"/>
      <c r="CL3487" s="128"/>
      <c r="CM3487" s="128"/>
      <c r="CN3487" s="128"/>
      <c r="CO3487" s="128"/>
      <c r="CP3487" s="128"/>
      <c r="CQ3487" s="128"/>
      <c r="CR3487" s="128"/>
      <c r="CS3487" s="128"/>
      <c r="CT3487" s="128"/>
      <c r="CU3487" s="128"/>
      <c r="CV3487" s="128"/>
      <c r="CW3487" s="128"/>
      <c r="CX3487" s="128"/>
      <c r="CY3487" s="128"/>
      <c r="CZ3487" s="165"/>
    </row>
    <row r="3488" spans="1:104">
      <c r="A3488" s="149"/>
      <c r="B3488" s="149"/>
      <c r="C3488" s="150"/>
      <c r="D3488" s="102"/>
      <c r="E3488" s="149"/>
      <c r="F3488" s="149"/>
      <c r="G3488" s="149"/>
      <c r="H3488" s="149"/>
      <c r="I3488" s="149"/>
      <c r="J3488" s="149"/>
      <c r="K3488" s="149"/>
      <c r="L3488" s="149"/>
      <c r="M3488" s="149"/>
      <c r="N3488" s="149"/>
      <c r="O3488" s="149"/>
      <c r="P3488" s="149"/>
      <c r="Q3488" s="149"/>
      <c r="R3488" s="149"/>
      <c r="S3488" s="149"/>
      <c r="T3488" s="149"/>
      <c r="U3488" s="149"/>
      <c r="V3488" s="149"/>
      <c r="W3488" s="149"/>
      <c r="X3488" s="149"/>
      <c r="Y3488" s="149"/>
      <c r="Z3488" s="149"/>
      <c r="AA3488" s="149"/>
      <c r="AB3488" s="149"/>
      <c r="AC3488" s="149"/>
      <c r="AD3488" s="149"/>
      <c r="AE3488" s="149"/>
      <c r="AF3488" s="149"/>
      <c r="AG3488" s="149"/>
      <c r="AH3488" s="149"/>
      <c r="AI3488" s="149"/>
      <c r="AJ3488" s="149"/>
      <c r="AK3488" s="149"/>
      <c r="AL3488" s="149"/>
      <c r="AM3488" s="149"/>
      <c r="AN3488" s="149"/>
      <c r="AO3488" s="128"/>
      <c r="AP3488" s="128"/>
      <c r="AQ3488" s="128"/>
      <c r="AR3488" s="128"/>
      <c r="AS3488" s="128"/>
      <c r="AT3488" s="128"/>
      <c r="AU3488" s="128"/>
      <c r="AV3488" s="128"/>
      <c r="AW3488" s="128"/>
      <c r="AX3488" s="128"/>
      <c r="AY3488" s="128"/>
      <c r="AZ3488" s="128"/>
      <c r="BA3488" s="128"/>
      <c r="BB3488" s="128"/>
      <c r="BC3488" s="128"/>
      <c r="BD3488" s="128"/>
      <c r="BE3488" s="128"/>
      <c r="BF3488" s="128"/>
      <c r="BG3488" s="128"/>
      <c r="BH3488" s="128"/>
      <c r="BI3488" s="128"/>
      <c r="BJ3488" s="128"/>
      <c r="BK3488" s="128"/>
      <c r="BL3488" s="128"/>
      <c r="BM3488" s="151"/>
      <c r="BN3488" s="128"/>
      <c r="BO3488" s="128"/>
      <c r="BP3488" s="128"/>
      <c r="BQ3488" s="128"/>
      <c r="BR3488" s="128"/>
      <c r="BS3488" s="128"/>
      <c r="BT3488" s="128"/>
      <c r="BU3488" s="128"/>
      <c r="BV3488" s="128"/>
      <c r="BW3488" s="128"/>
      <c r="BX3488" s="128"/>
      <c r="BY3488" s="128"/>
      <c r="BZ3488" s="128"/>
      <c r="CA3488" s="128"/>
      <c r="CB3488" s="128"/>
      <c r="CC3488" s="128"/>
      <c r="CD3488" s="128"/>
      <c r="CE3488" s="128"/>
      <c r="CF3488" s="128"/>
      <c r="CG3488" s="128"/>
      <c r="CI3488" s="128"/>
      <c r="CJ3488" s="128"/>
      <c r="CK3488" s="128"/>
      <c r="CL3488" s="128"/>
      <c r="CM3488" s="128"/>
      <c r="CN3488" s="128"/>
      <c r="CO3488" s="128"/>
      <c r="CP3488" s="128"/>
      <c r="CQ3488" s="128"/>
      <c r="CR3488" s="128"/>
      <c r="CS3488" s="128"/>
      <c r="CT3488" s="128"/>
      <c r="CU3488" s="128"/>
      <c r="CV3488" s="128"/>
      <c r="CW3488" s="128"/>
      <c r="CX3488" s="128"/>
      <c r="CY3488" s="128"/>
      <c r="CZ3488" s="165"/>
    </row>
    <row r="3489" spans="1:104">
      <c r="A3489" s="149"/>
      <c r="B3489" s="149"/>
      <c r="C3489" s="150"/>
      <c r="D3489" s="102"/>
      <c r="E3489" s="149"/>
      <c r="F3489" s="149"/>
      <c r="G3489" s="149"/>
      <c r="H3489" s="149"/>
      <c r="I3489" s="149"/>
      <c r="J3489" s="149"/>
      <c r="K3489" s="149"/>
      <c r="L3489" s="149"/>
      <c r="M3489" s="149"/>
      <c r="N3489" s="149"/>
      <c r="O3489" s="149"/>
      <c r="P3489" s="149"/>
      <c r="Q3489" s="149"/>
      <c r="R3489" s="149"/>
      <c r="S3489" s="149"/>
      <c r="T3489" s="149"/>
      <c r="U3489" s="149"/>
      <c r="V3489" s="149"/>
      <c r="W3489" s="149"/>
      <c r="X3489" s="149"/>
      <c r="Y3489" s="149"/>
      <c r="Z3489" s="149"/>
      <c r="AA3489" s="149"/>
      <c r="AB3489" s="149"/>
      <c r="AC3489" s="149"/>
      <c r="AD3489" s="149"/>
      <c r="AE3489" s="149"/>
      <c r="AF3489" s="149"/>
      <c r="AG3489" s="149"/>
      <c r="AH3489" s="149"/>
      <c r="AI3489" s="149"/>
      <c r="AJ3489" s="149"/>
      <c r="AK3489" s="149"/>
      <c r="AL3489" s="149"/>
      <c r="AM3489" s="149"/>
      <c r="AN3489" s="149"/>
      <c r="AO3489" s="128"/>
      <c r="AP3489" s="128"/>
      <c r="AQ3489" s="128"/>
      <c r="AR3489" s="128"/>
      <c r="AS3489" s="128"/>
      <c r="AT3489" s="128"/>
      <c r="AU3489" s="128"/>
      <c r="AV3489" s="128"/>
      <c r="AW3489" s="128"/>
      <c r="AX3489" s="128"/>
      <c r="AY3489" s="128"/>
      <c r="AZ3489" s="128"/>
      <c r="BA3489" s="128"/>
      <c r="BB3489" s="128"/>
      <c r="BC3489" s="128"/>
      <c r="BD3489" s="128"/>
      <c r="BE3489" s="128"/>
      <c r="BF3489" s="128"/>
      <c r="BG3489" s="128"/>
      <c r="BH3489" s="128"/>
      <c r="BI3489" s="128"/>
      <c r="BJ3489" s="128"/>
      <c r="BK3489" s="128"/>
      <c r="BL3489" s="128"/>
      <c r="BM3489" s="151"/>
      <c r="BN3489" s="128"/>
      <c r="BO3489" s="128"/>
      <c r="BP3489" s="128"/>
      <c r="BQ3489" s="128"/>
      <c r="BR3489" s="128"/>
      <c r="BS3489" s="128"/>
      <c r="BT3489" s="128"/>
      <c r="BU3489" s="128"/>
      <c r="BV3489" s="128"/>
      <c r="BW3489" s="128"/>
      <c r="BX3489" s="128"/>
      <c r="BY3489" s="128"/>
      <c r="BZ3489" s="128"/>
      <c r="CA3489" s="128"/>
      <c r="CB3489" s="128"/>
      <c r="CC3489" s="128"/>
      <c r="CD3489" s="128"/>
      <c r="CE3489" s="128"/>
      <c r="CF3489" s="128"/>
      <c r="CG3489" s="128"/>
      <c r="CI3489" s="128"/>
      <c r="CJ3489" s="128"/>
      <c r="CK3489" s="128"/>
      <c r="CL3489" s="128"/>
      <c r="CM3489" s="128"/>
      <c r="CN3489" s="128"/>
      <c r="CO3489" s="128"/>
      <c r="CP3489" s="128"/>
      <c r="CQ3489" s="128"/>
      <c r="CR3489" s="128"/>
      <c r="CS3489" s="128"/>
      <c r="CT3489" s="128"/>
      <c r="CU3489" s="128"/>
      <c r="CV3489" s="128"/>
      <c r="CW3489" s="128"/>
      <c r="CX3489" s="128"/>
      <c r="CY3489" s="128"/>
      <c r="CZ3489" s="165"/>
    </row>
    <row r="3490" spans="1:104">
      <c r="A3490" s="149"/>
      <c r="B3490" s="149"/>
      <c r="C3490" s="150"/>
      <c r="D3490" s="102"/>
      <c r="E3490" s="149"/>
      <c r="F3490" s="149"/>
      <c r="G3490" s="149"/>
      <c r="H3490" s="149"/>
      <c r="I3490" s="149"/>
      <c r="J3490" s="149"/>
      <c r="K3490" s="149"/>
      <c r="L3490" s="149"/>
      <c r="M3490" s="149"/>
      <c r="N3490" s="149"/>
      <c r="O3490" s="149"/>
      <c r="P3490" s="149"/>
      <c r="Q3490" s="149"/>
      <c r="R3490" s="149"/>
      <c r="S3490" s="149"/>
      <c r="T3490" s="149"/>
      <c r="U3490" s="149"/>
      <c r="V3490" s="149"/>
      <c r="W3490" s="149"/>
      <c r="X3490" s="149"/>
      <c r="Y3490" s="149"/>
      <c r="Z3490" s="149"/>
      <c r="AA3490" s="149"/>
      <c r="AB3490" s="149"/>
      <c r="AC3490" s="149"/>
      <c r="AD3490" s="149"/>
      <c r="AE3490" s="149"/>
      <c r="AF3490" s="149"/>
      <c r="AG3490" s="149"/>
      <c r="AH3490" s="149"/>
      <c r="AI3490" s="149"/>
      <c r="AJ3490" s="149"/>
      <c r="AK3490" s="149"/>
      <c r="AL3490" s="149"/>
      <c r="AM3490" s="149"/>
      <c r="AN3490" s="149"/>
      <c r="AO3490" s="128"/>
      <c r="AP3490" s="128"/>
      <c r="AQ3490" s="128"/>
      <c r="AR3490" s="128"/>
      <c r="AS3490" s="128"/>
      <c r="AT3490" s="128"/>
      <c r="AU3490" s="128"/>
      <c r="AV3490" s="128"/>
      <c r="AW3490" s="128"/>
      <c r="AX3490" s="128"/>
      <c r="AY3490" s="128"/>
      <c r="AZ3490" s="128"/>
      <c r="BA3490" s="128"/>
      <c r="BB3490" s="128"/>
      <c r="BC3490" s="128"/>
      <c r="BD3490" s="128"/>
      <c r="BE3490" s="128"/>
      <c r="BF3490" s="128"/>
      <c r="BG3490" s="128"/>
      <c r="BH3490" s="128"/>
      <c r="BI3490" s="128"/>
      <c r="BJ3490" s="128"/>
      <c r="BK3490" s="128"/>
      <c r="BL3490" s="128"/>
      <c r="BM3490" s="151"/>
      <c r="BN3490" s="128"/>
      <c r="BO3490" s="128"/>
      <c r="BP3490" s="128"/>
      <c r="BQ3490" s="128"/>
      <c r="BR3490" s="128"/>
      <c r="BS3490" s="128"/>
      <c r="BT3490" s="128"/>
      <c r="BU3490" s="128"/>
      <c r="BV3490" s="128"/>
      <c r="BW3490" s="128"/>
      <c r="BX3490" s="128"/>
      <c r="BY3490" s="128"/>
      <c r="BZ3490" s="128"/>
      <c r="CA3490" s="128"/>
      <c r="CB3490" s="128"/>
      <c r="CC3490" s="128"/>
      <c r="CD3490" s="128"/>
      <c r="CE3490" s="128"/>
      <c r="CF3490" s="128"/>
      <c r="CG3490" s="128"/>
      <c r="CI3490" s="128"/>
      <c r="CJ3490" s="128"/>
      <c r="CK3490" s="128"/>
      <c r="CL3490" s="128"/>
      <c r="CM3490" s="128"/>
      <c r="CN3490" s="128"/>
      <c r="CO3490" s="128"/>
      <c r="CP3490" s="128"/>
      <c r="CQ3490" s="128"/>
      <c r="CR3490" s="128"/>
      <c r="CS3490" s="128"/>
      <c r="CT3490" s="128"/>
      <c r="CU3490" s="128"/>
      <c r="CV3490" s="128"/>
      <c r="CW3490" s="128"/>
      <c r="CX3490" s="128"/>
      <c r="CY3490" s="128"/>
      <c r="CZ3490" s="165"/>
    </row>
    <row r="3491" spans="1:104">
      <c r="A3491" s="149"/>
      <c r="B3491" s="149"/>
      <c r="C3491" s="150"/>
      <c r="D3491" s="102"/>
      <c r="E3491" s="149"/>
      <c r="F3491" s="149"/>
      <c r="G3491" s="149"/>
      <c r="H3491" s="149"/>
      <c r="I3491" s="149"/>
      <c r="J3491" s="149"/>
      <c r="K3491" s="149"/>
      <c r="L3491" s="149"/>
      <c r="M3491" s="149"/>
      <c r="N3491" s="149"/>
      <c r="O3491" s="149"/>
      <c r="P3491" s="149"/>
      <c r="Q3491" s="149"/>
      <c r="R3491" s="149"/>
      <c r="S3491" s="149"/>
      <c r="T3491" s="149"/>
      <c r="U3491" s="149"/>
      <c r="V3491" s="149"/>
      <c r="W3491" s="149"/>
      <c r="X3491" s="149"/>
      <c r="Y3491" s="149"/>
      <c r="Z3491" s="149"/>
      <c r="AA3491" s="149"/>
      <c r="AB3491" s="149"/>
      <c r="AC3491" s="149"/>
      <c r="AD3491" s="149"/>
      <c r="AE3491" s="149"/>
      <c r="AF3491" s="149"/>
      <c r="AG3491" s="149"/>
      <c r="AH3491" s="149"/>
      <c r="AI3491" s="149"/>
      <c r="AJ3491" s="149"/>
      <c r="AK3491" s="149"/>
      <c r="AL3491" s="149"/>
      <c r="AM3491" s="149"/>
      <c r="AN3491" s="149"/>
      <c r="AO3491" s="128"/>
      <c r="AP3491" s="128"/>
      <c r="AQ3491" s="128"/>
      <c r="AR3491" s="128"/>
      <c r="AS3491" s="128"/>
      <c r="AT3491" s="128"/>
      <c r="AU3491" s="128"/>
      <c r="AV3491" s="128"/>
      <c r="AW3491" s="128"/>
      <c r="AX3491" s="128"/>
      <c r="AY3491" s="128"/>
      <c r="AZ3491" s="128"/>
      <c r="BA3491" s="128"/>
      <c r="BB3491" s="128"/>
      <c r="BC3491" s="128"/>
      <c r="BD3491" s="128"/>
      <c r="BE3491" s="128"/>
      <c r="BF3491" s="128"/>
      <c r="BG3491" s="128"/>
      <c r="BH3491" s="128"/>
      <c r="BI3491" s="128"/>
      <c r="BJ3491" s="128"/>
      <c r="BK3491" s="128"/>
      <c r="BL3491" s="128"/>
      <c r="BM3491" s="151"/>
      <c r="BN3491" s="128"/>
      <c r="BO3491" s="128"/>
      <c r="BP3491" s="128"/>
      <c r="BQ3491" s="128"/>
      <c r="BR3491" s="128"/>
      <c r="BS3491" s="128"/>
      <c r="BT3491" s="128"/>
      <c r="BU3491" s="128"/>
      <c r="BV3491" s="128"/>
      <c r="BW3491" s="128"/>
      <c r="BX3491" s="128"/>
      <c r="BY3491" s="128"/>
      <c r="BZ3491" s="128"/>
      <c r="CA3491" s="128"/>
      <c r="CB3491" s="128"/>
      <c r="CC3491" s="128"/>
      <c r="CD3491" s="128"/>
      <c r="CE3491" s="128"/>
      <c r="CF3491" s="128"/>
      <c r="CG3491" s="128"/>
      <c r="CI3491" s="128"/>
      <c r="CJ3491" s="128"/>
      <c r="CK3491" s="128"/>
      <c r="CL3491" s="128"/>
      <c r="CM3491" s="128"/>
      <c r="CN3491" s="128"/>
      <c r="CO3491" s="128"/>
      <c r="CP3491" s="128"/>
      <c r="CQ3491" s="128"/>
      <c r="CR3491" s="128"/>
      <c r="CS3491" s="128"/>
      <c r="CT3491" s="128"/>
      <c r="CU3491" s="128"/>
      <c r="CV3491" s="128"/>
      <c r="CW3491" s="128"/>
      <c r="CX3491" s="128"/>
      <c r="CY3491" s="128"/>
      <c r="CZ3491" s="165"/>
    </row>
    <row r="3492" spans="1:104">
      <c r="A3492" s="149"/>
      <c r="B3492" s="149"/>
      <c r="C3492" s="150"/>
      <c r="D3492" s="102"/>
      <c r="E3492" s="149"/>
      <c r="F3492" s="149"/>
      <c r="G3492" s="149"/>
      <c r="H3492" s="149"/>
      <c r="I3492" s="149"/>
      <c r="J3492" s="149"/>
      <c r="K3492" s="149"/>
      <c r="L3492" s="149"/>
      <c r="M3492" s="149"/>
      <c r="N3492" s="149"/>
      <c r="O3492" s="149"/>
      <c r="P3492" s="149"/>
      <c r="Q3492" s="149"/>
      <c r="R3492" s="149"/>
      <c r="S3492" s="149"/>
      <c r="T3492" s="149"/>
      <c r="U3492" s="149"/>
      <c r="V3492" s="149"/>
      <c r="W3492" s="149"/>
      <c r="X3492" s="149"/>
      <c r="Y3492" s="149"/>
      <c r="Z3492" s="149"/>
      <c r="AA3492" s="149"/>
      <c r="AB3492" s="149"/>
      <c r="AC3492" s="149"/>
      <c r="AD3492" s="149"/>
      <c r="AE3492" s="149"/>
      <c r="AF3492" s="149"/>
      <c r="AG3492" s="149"/>
      <c r="AH3492" s="149"/>
      <c r="AI3492" s="149"/>
      <c r="AJ3492" s="149"/>
      <c r="AK3492" s="149"/>
      <c r="AL3492" s="149"/>
      <c r="AM3492" s="149"/>
      <c r="AN3492" s="149"/>
      <c r="AO3492" s="128"/>
      <c r="AP3492" s="128"/>
      <c r="AQ3492" s="128"/>
      <c r="AR3492" s="128"/>
      <c r="AS3492" s="128"/>
      <c r="AT3492" s="128"/>
      <c r="AU3492" s="128"/>
      <c r="AV3492" s="128"/>
      <c r="AW3492" s="128"/>
      <c r="AX3492" s="128"/>
      <c r="AY3492" s="128"/>
      <c r="AZ3492" s="128"/>
      <c r="BA3492" s="128"/>
      <c r="BB3492" s="128"/>
      <c r="BC3492" s="128"/>
      <c r="BD3492" s="128"/>
      <c r="BE3492" s="128"/>
      <c r="BF3492" s="128"/>
      <c r="BG3492" s="128"/>
      <c r="BH3492" s="128"/>
      <c r="BI3492" s="128"/>
      <c r="BJ3492" s="128"/>
      <c r="BK3492" s="128"/>
      <c r="BL3492" s="128"/>
      <c r="BM3492" s="151"/>
      <c r="BN3492" s="128"/>
      <c r="BO3492" s="128"/>
      <c r="BP3492" s="128"/>
      <c r="BQ3492" s="128"/>
      <c r="BR3492" s="128"/>
      <c r="BS3492" s="128"/>
      <c r="BT3492" s="128"/>
      <c r="BU3492" s="128"/>
      <c r="BV3492" s="128"/>
      <c r="BW3492" s="128"/>
      <c r="BX3492" s="128"/>
      <c r="BY3492" s="128"/>
      <c r="BZ3492" s="128"/>
      <c r="CA3492" s="128"/>
      <c r="CB3492" s="128"/>
      <c r="CC3492" s="128"/>
      <c r="CD3492" s="128"/>
      <c r="CE3492" s="128"/>
      <c r="CF3492" s="128"/>
      <c r="CG3492" s="128"/>
      <c r="CI3492" s="128"/>
      <c r="CJ3492" s="128"/>
      <c r="CK3492" s="128"/>
      <c r="CL3492" s="128"/>
      <c r="CM3492" s="128"/>
      <c r="CN3492" s="128"/>
      <c r="CO3492" s="128"/>
      <c r="CP3492" s="128"/>
      <c r="CQ3492" s="128"/>
      <c r="CR3492" s="128"/>
      <c r="CS3492" s="128"/>
      <c r="CT3492" s="128"/>
      <c r="CU3492" s="128"/>
      <c r="CV3492" s="128"/>
      <c r="CW3492" s="128"/>
      <c r="CX3492" s="128"/>
      <c r="CY3492" s="128"/>
      <c r="CZ3492" s="165"/>
    </row>
    <row r="3493" spans="1:104">
      <c r="A3493" s="149"/>
      <c r="B3493" s="149"/>
      <c r="C3493" s="150"/>
      <c r="D3493" s="102"/>
      <c r="E3493" s="149"/>
      <c r="F3493" s="149"/>
      <c r="G3493" s="149"/>
      <c r="H3493" s="149"/>
      <c r="I3493" s="149"/>
      <c r="J3493" s="149"/>
      <c r="K3493" s="149"/>
      <c r="L3493" s="149"/>
      <c r="M3493" s="149"/>
      <c r="N3493" s="149"/>
      <c r="O3493" s="149"/>
      <c r="P3493" s="149"/>
      <c r="Q3493" s="149"/>
      <c r="R3493" s="149"/>
      <c r="S3493" s="149"/>
      <c r="T3493" s="149"/>
      <c r="U3493" s="149"/>
      <c r="V3493" s="149"/>
      <c r="W3493" s="149"/>
      <c r="X3493" s="149"/>
      <c r="Y3493" s="149"/>
      <c r="Z3493" s="149"/>
      <c r="AA3493" s="149"/>
      <c r="AB3493" s="149"/>
      <c r="AC3493" s="149"/>
      <c r="AD3493" s="149"/>
      <c r="AE3493" s="149"/>
      <c r="AF3493" s="149"/>
      <c r="AG3493" s="149"/>
      <c r="AH3493" s="149"/>
      <c r="AI3493" s="149"/>
      <c r="AJ3493" s="149"/>
      <c r="AK3493" s="149"/>
      <c r="AL3493" s="149"/>
      <c r="AM3493" s="149"/>
      <c r="AN3493" s="149"/>
      <c r="AO3493" s="128"/>
      <c r="AP3493" s="128"/>
      <c r="AQ3493" s="128"/>
      <c r="AR3493" s="128"/>
      <c r="AS3493" s="128"/>
      <c r="AT3493" s="128"/>
      <c r="AU3493" s="128"/>
      <c r="AV3493" s="128"/>
      <c r="AW3493" s="128"/>
      <c r="AX3493" s="128"/>
      <c r="AY3493" s="128"/>
      <c r="AZ3493" s="128"/>
      <c r="BA3493" s="128"/>
      <c r="BB3493" s="128"/>
      <c r="BC3493" s="128"/>
      <c r="BD3493" s="128"/>
      <c r="BE3493" s="128"/>
      <c r="BF3493" s="128"/>
      <c r="BG3493" s="128"/>
      <c r="BH3493" s="128"/>
      <c r="BI3493" s="128"/>
      <c r="BJ3493" s="128"/>
      <c r="BK3493" s="128"/>
      <c r="BL3493" s="128"/>
      <c r="BM3493" s="151"/>
      <c r="BN3493" s="128"/>
      <c r="BO3493" s="128"/>
      <c r="BP3493" s="128"/>
      <c r="BQ3493" s="128"/>
      <c r="BR3493" s="128"/>
      <c r="BS3493" s="128"/>
      <c r="BT3493" s="128"/>
      <c r="BU3493" s="128"/>
      <c r="BV3493" s="128"/>
      <c r="BW3493" s="128"/>
      <c r="BX3493" s="128"/>
      <c r="BY3493" s="128"/>
      <c r="BZ3493" s="128"/>
      <c r="CA3493" s="128"/>
      <c r="CB3493" s="128"/>
      <c r="CC3493" s="128"/>
      <c r="CD3493" s="128"/>
      <c r="CE3493" s="128"/>
      <c r="CF3493" s="128"/>
      <c r="CG3493" s="128"/>
      <c r="CI3493" s="128"/>
      <c r="CJ3493" s="128"/>
      <c r="CK3493" s="128"/>
      <c r="CL3493" s="128"/>
      <c r="CM3493" s="128"/>
      <c r="CN3493" s="128"/>
      <c r="CO3493" s="128"/>
      <c r="CP3493" s="128"/>
      <c r="CQ3493" s="128"/>
      <c r="CR3493" s="128"/>
      <c r="CS3493" s="128"/>
      <c r="CT3493" s="128"/>
      <c r="CU3493" s="128"/>
      <c r="CV3493" s="128"/>
      <c r="CW3493" s="128"/>
      <c r="CX3493" s="128"/>
      <c r="CY3493" s="128"/>
      <c r="CZ3493" s="165"/>
    </row>
    <row r="3494" spans="1:104">
      <c r="A3494" s="149"/>
      <c r="B3494" s="149"/>
      <c r="C3494" s="150"/>
      <c r="D3494" s="102"/>
      <c r="E3494" s="149"/>
      <c r="F3494" s="149"/>
      <c r="G3494" s="149"/>
      <c r="H3494" s="149"/>
      <c r="I3494" s="149"/>
      <c r="J3494" s="149"/>
      <c r="K3494" s="149"/>
      <c r="L3494" s="149"/>
      <c r="M3494" s="149"/>
      <c r="N3494" s="149"/>
      <c r="O3494" s="149"/>
      <c r="P3494" s="149"/>
      <c r="Q3494" s="149"/>
      <c r="R3494" s="149"/>
      <c r="S3494" s="149"/>
      <c r="T3494" s="149"/>
      <c r="U3494" s="149"/>
      <c r="V3494" s="149"/>
      <c r="W3494" s="149"/>
      <c r="X3494" s="149"/>
      <c r="Y3494" s="149"/>
      <c r="Z3494" s="149"/>
      <c r="AA3494" s="149"/>
      <c r="AB3494" s="149"/>
      <c r="AC3494" s="149"/>
      <c r="AD3494" s="149"/>
      <c r="AE3494" s="149"/>
      <c r="AF3494" s="149"/>
      <c r="AG3494" s="149"/>
      <c r="AH3494" s="149"/>
      <c r="AI3494" s="149"/>
      <c r="AJ3494" s="149"/>
      <c r="AK3494" s="149"/>
      <c r="AL3494" s="149"/>
      <c r="AM3494" s="149"/>
      <c r="AN3494" s="149"/>
      <c r="AO3494" s="128"/>
      <c r="AP3494" s="128"/>
      <c r="AQ3494" s="128"/>
      <c r="AR3494" s="128"/>
      <c r="AS3494" s="128"/>
      <c r="AT3494" s="128"/>
      <c r="AU3494" s="128"/>
      <c r="AV3494" s="128"/>
      <c r="AW3494" s="128"/>
      <c r="AX3494" s="128"/>
      <c r="AY3494" s="128"/>
      <c r="AZ3494" s="128"/>
      <c r="BA3494" s="128"/>
      <c r="BB3494" s="128"/>
      <c r="BC3494" s="128"/>
      <c r="BD3494" s="128"/>
      <c r="BE3494" s="128"/>
      <c r="BF3494" s="128"/>
      <c r="BG3494" s="128"/>
      <c r="BH3494" s="128"/>
      <c r="BI3494" s="128"/>
      <c r="BJ3494" s="128"/>
      <c r="BK3494" s="128"/>
      <c r="BL3494" s="128"/>
      <c r="BM3494" s="151"/>
      <c r="BN3494" s="128"/>
      <c r="BO3494" s="128"/>
      <c r="BP3494" s="128"/>
      <c r="BQ3494" s="128"/>
      <c r="BR3494" s="128"/>
      <c r="BS3494" s="128"/>
      <c r="BT3494" s="128"/>
      <c r="BU3494" s="128"/>
      <c r="BV3494" s="128"/>
      <c r="BW3494" s="128"/>
      <c r="BX3494" s="128"/>
      <c r="BY3494" s="128"/>
      <c r="BZ3494" s="128"/>
      <c r="CA3494" s="128"/>
      <c r="CB3494" s="128"/>
      <c r="CC3494" s="128"/>
      <c r="CD3494" s="128"/>
      <c r="CE3494" s="128"/>
      <c r="CF3494" s="128"/>
      <c r="CG3494" s="128"/>
      <c r="CI3494" s="128"/>
      <c r="CJ3494" s="128"/>
      <c r="CK3494" s="128"/>
      <c r="CL3494" s="128"/>
      <c r="CM3494" s="128"/>
      <c r="CN3494" s="128"/>
      <c r="CO3494" s="128"/>
      <c r="CP3494" s="128"/>
      <c r="CQ3494" s="128"/>
      <c r="CR3494" s="128"/>
      <c r="CS3494" s="128"/>
      <c r="CT3494" s="128"/>
      <c r="CU3494" s="128"/>
      <c r="CV3494" s="128"/>
      <c r="CW3494" s="128"/>
      <c r="CX3494" s="128"/>
      <c r="CY3494" s="128"/>
      <c r="CZ3494" s="165"/>
    </row>
    <row r="3495" spans="1:104">
      <c r="A3495" s="149"/>
      <c r="B3495" s="149"/>
      <c r="C3495" s="150"/>
      <c r="D3495" s="102"/>
      <c r="E3495" s="149"/>
      <c r="F3495" s="149"/>
      <c r="G3495" s="149"/>
      <c r="H3495" s="149"/>
      <c r="I3495" s="149"/>
      <c r="J3495" s="149"/>
      <c r="K3495" s="149"/>
      <c r="L3495" s="149"/>
      <c r="M3495" s="149"/>
      <c r="N3495" s="149"/>
      <c r="O3495" s="149"/>
      <c r="P3495" s="149"/>
      <c r="Q3495" s="149"/>
      <c r="R3495" s="149"/>
      <c r="S3495" s="149"/>
      <c r="T3495" s="149"/>
      <c r="U3495" s="149"/>
      <c r="V3495" s="149"/>
      <c r="W3495" s="149"/>
      <c r="X3495" s="149"/>
      <c r="Y3495" s="149"/>
      <c r="Z3495" s="149"/>
      <c r="AA3495" s="149"/>
      <c r="AB3495" s="149"/>
      <c r="AC3495" s="149"/>
      <c r="AD3495" s="149"/>
      <c r="AE3495" s="149"/>
      <c r="AF3495" s="149"/>
      <c r="AG3495" s="149"/>
      <c r="AH3495" s="149"/>
      <c r="AI3495" s="149"/>
      <c r="AJ3495" s="149"/>
      <c r="AK3495" s="149"/>
      <c r="AL3495" s="149"/>
      <c r="AM3495" s="149"/>
      <c r="AN3495" s="149"/>
      <c r="AO3495" s="128"/>
      <c r="AP3495" s="128"/>
      <c r="AQ3495" s="128"/>
      <c r="AR3495" s="128"/>
      <c r="AS3495" s="128"/>
      <c r="AT3495" s="128"/>
      <c r="AU3495" s="128"/>
      <c r="AV3495" s="128"/>
      <c r="AW3495" s="128"/>
      <c r="AX3495" s="128"/>
      <c r="AY3495" s="128"/>
      <c r="AZ3495" s="128"/>
      <c r="BA3495" s="128"/>
      <c r="BB3495" s="128"/>
      <c r="BC3495" s="128"/>
      <c r="BD3495" s="128"/>
      <c r="BE3495" s="128"/>
      <c r="BF3495" s="128"/>
      <c r="BG3495" s="128"/>
      <c r="BH3495" s="128"/>
      <c r="BI3495" s="128"/>
      <c r="BJ3495" s="128"/>
      <c r="BK3495" s="128"/>
      <c r="BL3495" s="128"/>
      <c r="BM3495" s="151"/>
      <c r="BN3495" s="128"/>
      <c r="BO3495" s="128"/>
      <c r="BP3495" s="128"/>
      <c r="BQ3495" s="128"/>
      <c r="BR3495" s="128"/>
      <c r="BS3495" s="128"/>
      <c r="BT3495" s="128"/>
      <c r="BU3495" s="128"/>
      <c r="BV3495" s="128"/>
      <c r="BW3495" s="128"/>
      <c r="BX3495" s="128"/>
      <c r="BY3495" s="128"/>
      <c r="BZ3495" s="128"/>
      <c r="CA3495" s="128"/>
      <c r="CB3495" s="128"/>
      <c r="CC3495" s="128"/>
      <c r="CD3495" s="128"/>
      <c r="CE3495" s="128"/>
      <c r="CF3495" s="128"/>
      <c r="CG3495" s="128"/>
      <c r="CI3495" s="128"/>
      <c r="CJ3495" s="128"/>
      <c r="CK3495" s="128"/>
      <c r="CL3495" s="128"/>
      <c r="CM3495" s="128"/>
      <c r="CN3495" s="128"/>
      <c r="CO3495" s="128"/>
      <c r="CP3495" s="128"/>
      <c r="CQ3495" s="128"/>
      <c r="CR3495" s="128"/>
      <c r="CS3495" s="128"/>
      <c r="CT3495" s="128"/>
      <c r="CU3495" s="128"/>
      <c r="CV3495" s="128"/>
      <c r="CW3495" s="128"/>
      <c r="CX3495" s="128"/>
      <c r="CY3495" s="128"/>
      <c r="CZ3495" s="165"/>
    </row>
    <row r="3496" spans="1:104">
      <c r="A3496" s="149"/>
      <c r="B3496" s="149"/>
      <c r="C3496" s="150"/>
      <c r="D3496" s="102"/>
      <c r="E3496" s="149"/>
      <c r="F3496" s="149"/>
      <c r="G3496" s="149"/>
      <c r="H3496" s="149"/>
      <c r="I3496" s="149"/>
      <c r="J3496" s="149"/>
      <c r="K3496" s="149"/>
      <c r="L3496" s="149"/>
      <c r="M3496" s="149"/>
      <c r="N3496" s="149"/>
      <c r="O3496" s="149"/>
      <c r="P3496" s="149"/>
      <c r="Q3496" s="149"/>
      <c r="R3496" s="149"/>
      <c r="S3496" s="149"/>
      <c r="T3496" s="149"/>
      <c r="U3496" s="149"/>
      <c r="V3496" s="149"/>
      <c r="W3496" s="149"/>
      <c r="X3496" s="149"/>
      <c r="Y3496" s="149"/>
      <c r="Z3496" s="149"/>
      <c r="AA3496" s="149"/>
      <c r="AB3496" s="149"/>
      <c r="AC3496" s="149"/>
      <c r="AD3496" s="149"/>
      <c r="AE3496" s="149"/>
      <c r="AF3496" s="149"/>
      <c r="AG3496" s="149"/>
      <c r="AH3496" s="149"/>
      <c r="AI3496" s="149"/>
      <c r="AJ3496" s="149"/>
      <c r="AK3496" s="149"/>
      <c r="AL3496" s="149"/>
      <c r="AM3496" s="149"/>
      <c r="AN3496" s="149"/>
      <c r="AO3496" s="128"/>
      <c r="AP3496" s="128"/>
      <c r="AQ3496" s="128"/>
      <c r="AR3496" s="128"/>
      <c r="AS3496" s="128"/>
      <c r="AT3496" s="128"/>
      <c r="AU3496" s="128"/>
      <c r="AV3496" s="128"/>
      <c r="AW3496" s="128"/>
      <c r="AX3496" s="128"/>
      <c r="AY3496" s="128"/>
      <c r="AZ3496" s="128"/>
      <c r="BA3496" s="128"/>
      <c r="BB3496" s="128"/>
      <c r="BC3496" s="128"/>
      <c r="BD3496" s="128"/>
      <c r="BE3496" s="128"/>
      <c r="BF3496" s="128"/>
      <c r="BG3496" s="128"/>
      <c r="BH3496" s="128"/>
      <c r="BI3496" s="128"/>
      <c r="BJ3496" s="128"/>
      <c r="BK3496" s="128"/>
      <c r="BL3496" s="128"/>
      <c r="BM3496" s="151"/>
      <c r="BN3496" s="128"/>
      <c r="BO3496" s="128"/>
      <c r="BP3496" s="128"/>
      <c r="BQ3496" s="128"/>
      <c r="BR3496" s="128"/>
      <c r="BS3496" s="128"/>
      <c r="BT3496" s="128"/>
      <c r="BU3496" s="128"/>
      <c r="BV3496" s="128"/>
      <c r="BW3496" s="128"/>
      <c r="BX3496" s="128"/>
      <c r="BY3496" s="128"/>
      <c r="BZ3496" s="128"/>
      <c r="CA3496" s="128"/>
      <c r="CB3496" s="128"/>
      <c r="CC3496" s="128"/>
      <c r="CD3496" s="128"/>
      <c r="CE3496" s="128"/>
      <c r="CF3496" s="128"/>
      <c r="CG3496" s="128"/>
      <c r="CI3496" s="128"/>
      <c r="CJ3496" s="128"/>
      <c r="CK3496" s="128"/>
      <c r="CL3496" s="128"/>
      <c r="CM3496" s="128"/>
      <c r="CN3496" s="128"/>
      <c r="CO3496" s="128"/>
      <c r="CP3496" s="128"/>
      <c r="CQ3496" s="128"/>
      <c r="CR3496" s="128"/>
      <c r="CS3496" s="128"/>
      <c r="CT3496" s="128"/>
      <c r="CU3496" s="128"/>
      <c r="CV3496" s="128"/>
      <c r="CW3496" s="128"/>
      <c r="CX3496" s="128"/>
      <c r="CY3496" s="128"/>
      <c r="CZ3496" s="165"/>
    </row>
    <row r="3497" spans="1:104">
      <c r="A3497" s="149"/>
      <c r="B3497" s="149"/>
      <c r="C3497" s="150"/>
      <c r="D3497" s="102"/>
      <c r="E3497" s="149"/>
      <c r="F3497" s="149"/>
      <c r="G3497" s="149"/>
      <c r="H3497" s="149"/>
      <c r="I3497" s="149"/>
      <c r="J3497" s="149"/>
      <c r="K3497" s="149"/>
      <c r="L3497" s="149"/>
      <c r="M3497" s="149"/>
      <c r="N3497" s="149"/>
      <c r="O3497" s="149"/>
      <c r="P3497" s="149"/>
      <c r="Q3497" s="149"/>
      <c r="R3497" s="149"/>
      <c r="S3497" s="149"/>
      <c r="T3497" s="149"/>
      <c r="U3497" s="149"/>
      <c r="V3497" s="149"/>
      <c r="W3497" s="149"/>
      <c r="X3497" s="149"/>
      <c r="Y3497" s="149"/>
      <c r="Z3497" s="149"/>
      <c r="AA3497" s="149"/>
      <c r="AB3497" s="149"/>
      <c r="AC3497" s="149"/>
      <c r="AD3497" s="149"/>
      <c r="AE3497" s="149"/>
      <c r="AF3497" s="149"/>
      <c r="AG3497" s="149"/>
      <c r="AH3497" s="149"/>
      <c r="AI3497" s="149"/>
      <c r="AJ3497" s="149"/>
      <c r="AK3497" s="149"/>
      <c r="AL3497" s="149"/>
      <c r="AM3497" s="149"/>
      <c r="AN3497" s="149"/>
      <c r="AO3497" s="128"/>
      <c r="AP3497" s="128"/>
      <c r="AQ3497" s="128"/>
      <c r="AR3497" s="128"/>
      <c r="AS3497" s="128"/>
      <c r="AT3497" s="128"/>
      <c r="AU3497" s="128"/>
      <c r="AV3497" s="128"/>
      <c r="AW3497" s="128"/>
      <c r="AX3497" s="128"/>
      <c r="AY3497" s="128"/>
      <c r="AZ3497" s="128"/>
      <c r="BA3497" s="128"/>
      <c r="BB3497" s="128"/>
      <c r="BC3497" s="128"/>
      <c r="BD3497" s="128"/>
      <c r="BE3497" s="128"/>
      <c r="BF3497" s="128"/>
      <c r="BG3497" s="128"/>
      <c r="BH3497" s="128"/>
      <c r="BI3497" s="128"/>
      <c r="BJ3497" s="128"/>
      <c r="BK3497" s="128"/>
      <c r="BL3497" s="128"/>
      <c r="BM3497" s="151"/>
      <c r="BN3497" s="128"/>
      <c r="BO3497" s="128"/>
      <c r="BP3497" s="128"/>
      <c r="BQ3497" s="128"/>
      <c r="BR3497" s="128"/>
      <c r="BS3497" s="128"/>
      <c r="BT3497" s="128"/>
      <c r="BU3497" s="128"/>
      <c r="BV3497" s="128"/>
      <c r="BW3497" s="128"/>
      <c r="BX3497" s="128"/>
      <c r="BY3497" s="128"/>
      <c r="BZ3497" s="128"/>
      <c r="CA3497" s="128"/>
      <c r="CB3497" s="128"/>
      <c r="CC3497" s="128"/>
      <c r="CD3497" s="128"/>
      <c r="CE3497" s="128"/>
      <c r="CF3497" s="128"/>
      <c r="CG3497" s="128"/>
      <c r="CI3497" s="128"/>
      <c r="CJ3497" s="128"/>
      <c r="CK3497" s="128"/>
      <c r="CL3497" s="128"/>
      <c r="CM3497" s="128"/>
      <c r="CN3497" s="128"/>
      <c r="CO3497" s="128"/>
      <c r="CP3497" s="128"/>
      <c r="CQ3497" s="128"/>
      <c r="CR3497" s="128"/>
      <c r="CS3497" s="128"/>
      <c r="CT3497" s="128"/>
      <c r="CU3497" s="128"/>
      <c r="CV3497" s="128"/>
      <c r="CW3497" s="128"/>
      <c r="CX3497" s="128"/>
      <c r="CY3497" s="128"/>
      <c r="CZ3497" s="165"/>
    </row>
    <row r="3498" spans="1:104">
      <c r="A3498" s="149"/>
      <c r="B3498" s="149"/>
      <c r="C3498" s="150"/>
      <c r="D3498" s="102"/>
      <c r="E3498" s="149"/>
      <c r="F3498" s="149"/>
      <c r="G3498" s="149"/>
      <c r="H3498" s="149"/>
      <c r="I3498" s="149"/>
      <c r="J3498" s="149"/>
      <c r="K3498" s="149"/>
      <c r="L3498" s="149"/>
      <c r="M3498" s="149"/>
      <c r="N3498" s="149"/>
      <c r="O3498" s="149"/>
      <c r="P3498" s="149"/>
      <c r="Q3498" s="149"/>
      <c r="R3498" s="149"/>
      <c r="S3498" s="149"/>
      <c r="T3498" s="149"/>
      <c r="U3498" s="149"/>
      <c r="V3498" s="149"/>
      <c r="W3498" s="149"/>
      <c r="X3498" s="149"/>
      <c r="Y3498" s="149"/>
      <c r="Z3498" s="149"/>
      <c r="AA3498" s="149"/>
      <c r="AB3498" s="149"/>
      <c r="AC3498" s="149"/>
      <c r="AD3498" s="149"/>
      <c r="AE3498" s="149"/>
      <c r="AF3498" s="149"/>
      <c r="AG3498" s="149"/>
      <c r="AH3498" s="149"/>
      <c r="AI3498" s="149"/>
      <c r="AJ3498" s="149"/>
      <c r="AK3498" s="149"/>
      <c r="AL3498" s="149"/>
      <c r="AM3498" s="149"/>
      <c r="AN3498" s="149"/>
      <c r="AO3498" s="128"/>
      <c r="AP3498" s="128"/>
      <c r="AQ3498" s="128"/>
      <c r="AR3498" s="128"/>
      <c r="AS3498" s="128"/>
      <c r="AT3498" s="128"/>
      <c r="AU3498" s="128"/>
      <c r="AV3498" s="128"/>
      <c r="AW3498" s="128"/>
      <c r="AX3498" s="128"/>
      <c r="AY3498" s="128"/>
      <c r="AZ3498" s="128"/>
      <c r="BA3498" s="128"/>
      <c r="BB3498" s="128"/>
      <c r="BC3498" s="128"/>
      <c r="BD3498" s="128"/>
      <c r="BE3498" s="128"/>
      <c r="BF3498" s="128"/>
      <c r="BG3498" s="128"/>
      <c r="BH3498" s="128"/>
      <c r="BI3498" s="128"/>
      <c r="BJ3498" s="128"/>
      <c r="BK3498" s="128"/>
      <c r="BL3498" s="128"/>
      <c r="BM3498" s="151"/>
      <c r="BN3498" s="128"/>
      <c r="BO3498" s="128"/>
      <c r="BP3498" s="128"/>
      <c r="BQ3498" s="128"/>
      <c r="BR3498" s="128"/>
      <c r="BS3498" s="128"/>
      <c r="BT3498" s="128"/>
      <c r="BU3498" s="128"/>
      <c r="BV3498" s="128"/>
      <c r="BW3498" s="128"/>
      <c r="BX3498" s="128"/>
      <c r="BY3498" s="128"/>
      <c r="BZ3498" s="128"/>
      <c r="CA3498" s="128"/>
      <c r="CB3498" s="128"/>
      <c r="CC3498" s="128"/>
      <c r="CD3498" s="128"/>
      <c r="CE3498" s="128"/>
      <c r="CF3498" s="128"/>
      <c r="CG3498" s="128"/>
      <c r="CI3498" s="128"/>
      <c r="CJ3498" s="128"/>
      <c r="CK3498" s="128"/>
      <c r="CL3498" s="128"/>
      <c r="CM3498" s="128"/>
      <c r="CN3498" s="128"/>
      <c r="CO3498" s="128"/>
      <c r="CP3498" s="128"/>
      <c r="CQ3498" s="128"/>
      <c r="CR3498" s="128"/>
      <c r="CS3498" s="128"/>
      <c r="CT3498" s="128"/>
      <c r="CU3498" s="128"/>
      <c r="CV3498" s="128"/>
      <c r="CW3498" s="128"/>
      <c r="CX3498" s="128"/>
      <c r="CY3498" s="128"/>
      <c r="CZ3498" s="165"/>
    </row>
    <row r="3499" spans="1:104">
      <c r="A3499" s="149"/>
      <c r="B3499" s="149"/>
      <c r="C3499" s="150"/>
      <c r="D3499" s="102"/>
      <c r="E3499" s="149"/>
      <c r="F3499" s="149"/>
      <c r="G3499" s="149"/>
      <c r="H3499" s="149"/>
      <c r="I3499" s="149"/>
      <c r="J3499" s="149"/>
      <c r="K3499" s="149"/>
      <c r="L3499" s="149"/>
      <c r="M3499" s="149"/>
      <c r="N3499" s="149"/>
      <c r="O3499" s="149"/>
      <c r="P3499" s="149"/>
      <c r="Q3499" s="149"/>
      <c r="R3499" s="149"/>
      <c r="S3499" s="149"/>
      <c r="T3499" s="149"/>
      <c r="U3499" s="149"/>
      <c r="V3499" s="149"/>
      <c r="W3499" s="149"/>
      <c r="X3499" s="149"/>
      <c r="Y3499" s="149"/>
      <c r="Z3499" s="149"/>
      <c r="AA3499" s="149"/>
      <c r="AB3499" s="149"/>
      <c r="AC3499" s="149"/>
      <c r="AD3499" s="149"/>
      <c r="AE3499" s="149"/>
      <c r="AF3499" s="149"/>
      <c r="AG3499" s="149"/>
      <c r="AH3499" s="149"/>
      <c r="AI3499" s="149"/>
      <c r="AJ3499" s="149"/>
      <c r="AK3499" s="149"/>
      <c r="AL3499" s="149"/>
      <c r="AM3499" s="149"/>
      <c r="AN3499" s="149"/>
      <c r="AO3499" s="128"/>
      <c r="AP3499" s="128"/>
      <c r="AQ3499" s="128"/>
      <c r="AR3499" s="128"/>
      <c r="AS3499" s="128"/>
      <c r="AT3499" s="128"/>
      <c r="AU3499" s="128"/>
      <c r="AV3499" s="128"/>
      <c r="AW3499" s="128"/>
      <c r="AX3499" s="128"/>
      <c r="AY3499" s="128"/>
      <c r="AZ3499" s="128"/>
      <c r="BA3499" s="128"/>
      <c r="BB3499" s="128"/>
      <c r="BC3499" s="128"/>
      <c r="BD3499" s="128"/>
      <c r="BE3499" s="128"/>
      <c r="BF3499" s="128"/>
      <c r="BG3499" s="128"/>
      <c r="BH3499" s="128"/>
      <c r="BI3499" s="128"/>
      <c r="BJ3499" s="128"/>
      <c r="BK3499" s="128"/>
      <c r="BL3499" s="128"/>
      <c r="BM3499" s="151"/>
      <c r="BN3499" s="128"/>
      <c r="BO3499" s="128"/>
      <c r="BP3499" s="128"/>
      <c r="BQ3499" s="128"/>
      <c r="BR3499" s="128"/>
      <c r="BS3499" s="128"/>
      <c r="BT3499" s="128"/>
      <c r="BU3499" s="128"/>
      <c r="BV3499" s="128"/>
      <c r="BW3499" s="128"/>
      <c r="BX3499" s="128"/>
      <c r="BY3499" s="128"/>
      <c r="BZ3499" s="128"/>
      <c r="CA3499" s="128"/>
      <c r="CB3499" s="128"/>
      <c r="CC3499" s="128"/>
      <c r="CD3499" s="128"/>
      <c r="CE3499" s="128"/>
      <c r="CF3499" s="128"/>
      <c r="CG3499" s="128"/>
      <c r="CI3499" s="128"/>
      <c r="CJ3499" s="128"/>
      <c r="CK3499" s="128"/>
      <c r="CL3499" s="128"/>
      <c r="CM3499" s="128"/>
      <c r="CN3499" s="128"/>
      <c r="CO3499" s="128"/>
      <c r="CP3499" s="128"/>
      <c r="CQ3499" s="128"/>
      <c r="CR3499" s="128"/>
      <c r="CS3499" s="128"/>
      <c r="CT3499" s="128"/>
      <c r="CU3499" s="128"/>
      <c r="CV3499" s="128"/>
      <c r="CW3499" s="128"/>
      <c r="CX3499" s="128"/>
      <c r="CY3499" s="128"/>
      <c r="CZ3499" s="165"/>
    </row>
    <row r="3500" spans="1:104">
      <c r="A3500" s="149"/>
      <c r="B3500" s="149"/>
      <c r="C3500" s="150"/>
      <c r="D3500" s="102"/>
      <c r="E3500" s="149"/>
      <c r="F3500" s="149"/>
      <c r="G3500" s="149"/>
      <c r="H3500" s="149"/>
      <c r="I3500" s="149"/>
      <c r="J3500" s="149"/>
      <c r="K3500" s="149"/>
      <c r="L3500" s="149"/>
      <c r="M3500" s="149"/>
      <c r="N3500" s="149"/>
      <c r="O3500" s="149"/>
      <c r="P3500" s="149"/>
      <c r="Q3500" s="149"/>
      <c r="R3500" s="149"/>
      <c r="S3500" s="149"/>
      <c r="T3500" s="149"/>
      <c r="U3500" s="149"/>
      <c r="V3500" s="149"/>
      <c r="W3500" s="149"/>
      <c r="X3500" s="149"/>
      <c r="Y3500" s="149"/>
      <c r="Z3500" s="149"/>
      <c r="AA3500" s="149"/>
      <c r="AB3500" s="149"/>
      <c r="AC3500" s="149"/>
      <c r="AD3500" s="149"/>
      <c r="AE3500" s="149"/>
      <c r="AF3500" s="149"/>
      <c r="AG3500" s="149"/>
      <c r="AH3500" s="149"/>
      <c r="AI3500" s="149"/>
      <c r="AJ3500" s="149"/>
      <c r="AK3500" s="149"/>
      <c r="AL3500" s="149"/>
      <c r="AM3500" s="149"/>
      <c r="AN3500" s="149"/>
      <c r="AO3500" s="128"/>
      <c r="AP3500" s="128"/>
      <c r="AQ3500" s="128"/>
      <c r="AR3500" s="128"/>
      <c r="AS3500" s="128"/>
      <c r="AT3500" s="128"/>
      <c r="AU3500" s="128"/>
      <c r="AV3500" s="128"/>
      <c r="AW3500" s="128"/>
      <c r="AX3500" s="128"/>
      <c r="AY3500" s="128"/>
      <c r="AZ3500" s="128"/>
      <c r="BA3500" s="128"/>
      <c r="BB3500" s="128"/>
      <c r="BC3500" s="128"/>
      <c r="BD3500" s="128"/>
      <c r="BE3500" s="128"/>
      <c r="BF3500" s="128"/>
      <c r="BG3500" s="128"/>
      <c r="BH3500" s="128"/>
      <c r="BI3500" s="128"/>
      <c r="BJ3500" s="128"/>
      <c r="BK3500" s="128"/>
      <c r="BL3500" s="128"/>
      <c r="BM3500" s="151"/>
      <c r="BN3500" s="128"/>
      <c r="BO3500" s="128"/>
      <c r="BP3500" s="128"/>
      <c r="BQ3500" s="128"/>
      <c r="BR3500" s="128"/>
      <c r="BS3500" s="128"/>
      <c r="BT3500" s="128"/>
      <c r="BU3500" s="128"/>
      <c r="BV3500" s="128"/>
      <c r="BW3500" s="128"/>
      <c r="BX3500" s="128"/>
      <c r="BY3500" s="128"/>
      <c r="BZ3500" s="128"/>
      <c r="CA3500" s="128"/>
      <c r="CB3500" s="128"/>
      <c r="CC3500" s="128"/>
      <c r="CD3500" s="128"/>
      <c r="CE3500" s="128"/>
      <c r="CF3500" s="128"/>
      <c r="CG3500" s="128"/>
      <c r="CI3500" s="128"/>
      <c r="CJ3500" s="128"/>
      <c r="CK3500" s="128"/>
      <c r="CL3500" s="128"/>
      <c r="CM3500" s="128"/>
      <c r="CN3500" s="128"/>
      <c r="CO3500" s="128"/>
      <c r="CP3500" s="128"/>
      <c r="CQ3500" s="128"/>
      <c r="CR3500" s="128"/>
      <c r="CS3500" s="128"/>
      <c r="CT3500" s="128"/>
      <c r="CU3500" s="128"/>
      <c r="CV3500" s="128"/>
      <c r="CW3500" s="128"/>
      <c r="CX3500" s="128"/>
      <c r="CY3500" s="128"/>
      <c r="CZ3500" s="165"/>
    </row>
    <row r="3501" spans="1:104">
      <c r="A3501" s="149"/>
      <c r="B3501" s="149"/>
      <c r="C3501" s="150"/>
      <c r="D3501" s="102"/>
      <c r="E3501" s="149"/>
      <c r="F3501" s="149"/>
      <c r="G3501" s="149"/>
      <c r="H3501" s="149"/>
      <c r="I3501" s="149"/>
      <c r="J3501" s="149"/>
      <c r="K3501" s="149"/>
      <c r="L3501" s="149"/>
      <c r="M3501" s="149"/>
      <c r="N3501" s="149"/>
      <c r="O3501" s="149"/>
      <c r="P3501" s="149"/>
      <c r="Q3501" s="149"/>
      <c r="R3501" s="149"/>
      <c r="S3501" s="149"/>
      <c r="T3501" s="149"/>
      <c r="U3501" s="149"/>
      <c r="V3501" s="149"/>
      <c r="W3501" s="149"/>
      <c r="X3501" s="149"/>
      <c r="Y3501" s="149"/>
      <c r="Z3501" s="149"/>
      <c r="AA3501" s="149"/>
      <c r="AB3501" s="149"/>
      <c r="AC3501" s="149"/>
      <c r="AD3501" s="149"/>
      <c r="AE3501" s="149"/>
      <c r="AF3501" s="149"/>
      <c r="AG3501" s="149"/>
      <c r="AH3501" s="149"/>
      <c r="AI3501" s="149"/>
      <c r="AJ3501" s="149"/>
      <c r="AK3501" s="149"/>
      <c r="AL3501" s="149"/>
      <c r="AM3501" s="149"/>
      <c r="AN3501" s="149"/>
      <c r="AO3501" s="128"/>
      <c r="AP3501" s="128"/>
      <c r="AQ3501" s="128"/>
      <c r="AR3501" s="128"/>
      <c r="AS3501" s="128"/>
      <c r="AT3501" s="128"/>
      <c r="AU3501" s="128"/>
      <c r="AV3501" s="128"/>
      <c r="AW3501" s="128"/>
      <c r="AX3501" s="128"/>
      <c r="AY3501" s="128"/>
      <c r="AZ3501" s="128"/>
      <c r="BA3501" s="128"/>
      <c r="BB3501" s="128"/>
      <c r="BC3501" s="128"/>
      <c r="BD3501" s="128"/>
      <c r="BE3501" s="128"/>
      <c r="BF3501" s="128"/>
      <c r="BG3501" s="128"/>
      <c r="BH3501" s="128"/>
      <c r="BI3501" s="128"/>
      <c r="BJ3501" s="128"/>
      <c r="BK3501" s="128"/>
      <c r="BL3501" s="128"/>
      <c r="BM3501" s="151"/>
      <c r="BN3501" s="128"/>
      <c r="BO3501" s="128"/>
      <c r="BP3501" s="128"/>
      <c r="BQ3501" s="128"/>
      <c r="BR3501" s="128"/>
      <c r="BS3501" s="128"/>
      <c r="BT3501" s="128"/>
      <c r="BU3501" s="128"/>
      <c r="BV3501" s="128"/>
      <c r="BW3501" s="128"/>
      <c r="BX3501" s="128"/>
      <c r="BY3501" s="128"/>
      <c r="BZ3501" s="128"/>
      <c r="CA3501" s="128"/>
      <c r="CB3501" s="128"/>
      <c r="CC3501" s="128"/>
      <c r="CD3501" s="128"/>
      <c r="CE3501" s="128"/>
      <c r="CF3501" s="128"/>
      <c r="CG3501" s="128"/>
      <c r="CI3501" s="128"/>
      <c r="CJ3501" s="128"/>
      <c r="CK3501" s="128"/>
      <c r="CL3501" s="128"/>
      <c r="CM3501" s="128"/>
      <c r="CN3501" s="128"/>
      <c r="CO3501" s="128"/>
      <c r="CP3501" s="128"/>
      <c r="CQ3501" s="128"/>
      <c r="CR3501" s="128"/>
      <c r="CS3501" s="128"/>
      <c r="CT3501" s="128"/>
      <c r="CU3501" s="128"/>
      <c r="CV3501" s="128"/>
      <c r="CW3501" s="128"/>
      <c r="CX3501" s="128"/>
      <c r="CY3501" s="128"/>
      <c r="CZ3501" s="165"/>
    </row>
    <row r="3502" spans="1:104">
      <c r="A3502" s="149"/>
      <c r="B3502" s="149"/>
      <c r="C3502" s="150"/>
      <c r="D3502" s="102"/>
      <c r="E3502" s="149"/>
      <c r="F3502" s="149"/>
      <c r="G3502" s="149"/>
      <c r="H3502" s="149"/>
      <c r="I3502" s="149"/>
      <c r="J3502" s="149"/>
      <c r="K3502" s="149"/>
      <c r="L3502" s="149"/>
      <c r="M3502" s="149"/>
      <c r="N3502" s="149"/>
      <c r="O3502" s="149"/>
      <c r="P3502" s="149"/>
      <c r="Q3502" s="149"/>
      <c r="R3502" s="149"/>
      <c r="S3502" s="149"/>
      <c r="T3502" s="149"/>
      <c r="U3502" s="149"/>
      <c r="V3502" s="149"/>
      <c r="W3502" s="149"/>
      <c r="X3502" s="149"/>
      <c r="Y3502" s="149"/>
      <c r="Z3502" s="149"/>
      <c r="AA3502" s="149"/>
      <c r="AB3502" s="149"/>
      <c r="AC3502" s="149"/>
      <c r="AD3502" s="149"/>
      <c r="AE3502" s="149"/>
      <c r="AF3502" s="149"/>
      <c r="AG3502" s="149"/>
      <c r="AH3502" s="149"/>
      <c r="AI3502" s="149"/>
      <c r="AJ3502" s="149"/>
      <c r="AK3502" s="149"/>
      <c r="AL3502" s="149"/>
      <c r="AM3502" s="149"/>
      <c r="AN3502" s="149"/>
      <c r="AO3502" s="128"/>
      <c r="AP3502" s="128"/>
      <c r="AQ3502" s="128"/>
      <c r="AR3502" s="128"/>
      <c r="AS3502" s="128"/>
      <c r="AT3502" s="128"/>
      <c r="AU3502" s="128"/>
      <c r="AV3502" s="128"/>
      <c r="AW3502" s="128"/>
      <c r="AX3502" s="128"/>
      <c r="AY3502" s="128"/>
      <c r="AZ3502" s="128"/>
      <c r="BA3502" s="128"/>
      <c r="BB3502" s="128"/>
      <c r="BC3502" s="128"/>
      <c r="BD3502" s="128"/>
      <c r="BE3502" s="128"/>
      <c r="BF3502" s="128"/>
      <c r="BG3502" s="128"/>
      <c r="BH3502" s="128"/>
      <c r="BI3502" s="128"/>
      <c r="BJ3502" s="128"/>
      <c r="BK3502" s="128"/>
      <c r="BL3502" s="128"/>
      <c r="BM3502" s="151"/>
      <c r="BN3502" s="128"/>
      <c r="BO3502" s="128"/>
      <c r="BP3502" s="128"/>
      <c r="BQ3502" s="128"/>
      <c r="BR3502" s="128"/>
      <c r="BS3502" s="128"/>
      <c r="BT3502" s="128"/>
      <c r="BU3502" s="128"/>
      <c r="BV3502" s="128"/>
      <c r="BW3502" s="128"/>
      <c r="BX3502" s="128"/>
      <c r="BY3502" s="128"/>
      <c r="BZ3502" s="128"/>
      <c r="CA3502" s="128"/>
      <c r="CB3502" s="128"/>
      <c r="CC3502" s="128"/>
      <c r="CD3502" s="128"/>
      <c r="CE3502" s="128"/>
      <c r="CF3502" s="128"/>
      <c r="CG3502" s="128"/>
      <c r="CI3502" s="128"/>
      <c r="CJ3502" s="128"/>
      <c r="CK3502" s="128"/>
      <c r="CL3502" s="128"/>
      <c r="CM3502" s="128"/>
      <c r="CN3502" s="128"/>
      <c r="CO3502" s="128"/>
      <c r="CP3502" s="128"/>
      <c r="CQ3502" s="128"/>
      <c r="CR3502" s="128"/>
      <c r="CS3502" s="128"/>
      <c r="CT3502" s="128"/>
      <c r="CU3502" s="128"/>
      <c r="CV3502" s="128"/>
      <c r="CW3502" s="128"/>
      <c r="CX3502" s="128"/>
      <c r="CY3502" s="128"/>
      <c r="CZ3502" s="165"/>
    </row>
    <row r="3503" spans="1:104">
      <c r="A3503" s="149"/>
      <c r="B3503" s="149"/>
      <c r="C3503" s="150"/>
      <c r="D3503" s="102"/>
      <c r="E3503" s="149"/>
      <c r="F3503" s="149"/>
      <c r="G3503" s="149"/>
      <c r="H3503" s="149"/>
      <c r="I3503" s="149"/>
      <c r="J3503" s="149"/>
      <c r="K3503" s="149"/>
      <c r="L3503" s="149"/>
      <c r="M3503" s="149"/>
      <c r="N3503" s="149"/>
      <c r="O3503" s="149"/>
      <c r="P3503" s="149"/>
      <c r="Q3503" s="149"/>
      <c r="R3503" s="149"/>
      <c r="S3503" s="149"/>
      <c r="T3503" s="149"/>
      <c r="U3503" s="149"/>
      <c r="V3503" s="149"/>
      <c r="W3503" s="149"/>
      <c r="X3503" s="149"/>
      <c r="Y3503" s="149"/>
      <c r="Z3503" s="149"/>
      <c r="AA3503" s="149"/>
      <c r="AB3503" s="149"/>
      <c r="AC3503" s="149"/>
      <c r="AD3503" s="149"/>
      <c r="AE3503" s="149"/>
      <c r="AF3503" s="149"/>
      <c r="AG3503" s="149"/>
      <c r="AH3503" s="149"/>
      <c r="AI3503" s="149"/>
      <c r="AJ3503" s="149"/>
      <c r="AK3503" s="149"/>
      <c r="AL3503" s="149"/>
      <c r="AM3503" s="149"/>
      <c r="AN3503" s="149"/>
      <c r="AO3503" s="128"/>
      <c r="AP3503" s="128"/>
      <c r="AQ3503" s="128"/>
      <c r="AR3503" s="128"/>
      <c r="AS3503" s="128"/>
      <c r="AT3503" s="128"/>
      <c r="AU3503" s="128"/>
      <c r="AV3503" s="128"/>
      <c r="AW3503" s="128"/>
      <c r="AX3503" s="128"/>
      <c r="AY3503" s="128"/>
      <c r="AZ3503" s="128"/>
      <c r="BA3503" s="128"/>
      <c r="BB3503" s="128"/>
      <c r="BC3503" s="128"/>
      <c r="BD3503" s="128"/>
      <c r="BE3503" s="128"/>
      <c r="BF3503" s="128"/>
      <c r="BG3503" s="128"/>
      <c r="BH3503" s="128"/>
      <c r="BI3503" s="128"/>
      <c r="BJ3503" s="128"/>
      <c r="BK3503" s="128"/>
      <c r="BL3503" s="128"/>
      <c r="BM3503" s="151"/>
      <c r="BN3503" s="128"/>
      <c r="BO3503" s="128"/>
      <c r="BP3503" s="128"/>
      <c r="BQ3503" s="128"/>
      <c r="BR3503" s="128"/>
      <c r="BS3503" s="128"/>
      <c r="BT3503" s="128"/>
      <c r="BU3503" s="128"/>
      <c r="BV3503" s="128"/>
      <c r="BW3503" s="128"/>
      <c r="BX3503" s="128"/>
      <c r="BY3503" s="128"/>
      <c r="BZ3503" s="128"/>
      <c r="CA3503" s="128"/>
      <c r="CB3503" s="128"/>
      <c r="CC3503" s="128"/>
      <c r="CD3503" s="128"/>
      <c r="CE3503" s="128"/>
      <c r="CF3503" s="128"/>
      <c r="CG3503" s="128"/>
      <c r="CI3503" s="128"/>
      <c r="CJ3503" s="128"/>
      <c r="CK3503" s="128"/>
      <c r="CL3503" s="128"/>
      <c r="CM3503" s="128"/>
      <c r="CN3503" s="128"/>
      <c r="CO3503" s="128"/>
      <c r="CP3503" s="128"/>
      <c r="CQ3503" s="128"/>
      <c r="CR3503" s="128"/>
      <c r="CS3503" s="128"/>
      <c r="CT3503" s="128"/>
      <c r="CU3503" s="128"/>
      <c r="CV3503" s="128"/>
      <c r="CW3503" s="128"/>
      <c r="CX3503" s="128"/>
      <c r="CY3503" s="128"/>
      <c r="CZ3503" s="165"/>
    </row>
    <row r="3504" spans="1:104">
      <c r="A3504" s="149"/>
      <c r="B3504" s="149"/>
      <c r="C3504" s="150"/>
      <c r="D3504" s="102"/>
      <c r="E3504" s="149"/>
      <c r="F3504" s="149"/>
      <c r="G3504" s="149"/>
      <c r="H3504" s="149"/>
      <c r="I3504" s="149"/>
      <c r="J3504" s="149"/>
      <c r="K3504" s="149"/>
      <c r="L3504" s="149"/>
      <c r="M3504" s="149"/>
      <c r="N3504" s="149"/>
      <c r="O3504" s="149"/>
      <c r="P3504" s="149"/>
      <c r="Q3504" s="149"/>
      <c r="R3504" s="149"/>
      <c r="S3504" s="149"/>
      <c r="T3504" s="149"/>
      <c r="U3504" s="149"/>
      <c r="V3504" s="149"/>
      <c r="W3504" s="149"/>
      <c r="X3504" s="149"/>
      <c r="Y3504" s="149"/>
      <c r="Z3504" s="149"/>
      <c r="AA3504" s="149"/>
      <c r="AB3504" s="149"/>
      <c r="AC3504" s="149"/>
      <c r="AD3504" s="149"/>
      <c r="AE3504" s="149"/>
      <c r="AF3504" s="149"/>
      <c r="AG3504" s="149"/>
      <c r="AH3504" s="149"/>
      <c r="AI3504" s="149"/>
      <c r="AJ3504" s="149"/>
      <c r="AK3504" s="149"/>
      <c r="AL3504" s="149"/>
      <c r="AM3504" s="149"/>
      <c r="AN3504" s="149"/>
      <c r="AO3504" s="128"/>
      <c r="AP3504" s="128"/>
      <c r="AQ3504" s="128"/>
      <c r="AR3504" s="128"/>
      <c r="AS3504" s="128"/>
      <c r="AT3504" s="128"/>
      <c r="AU3504" s="128"/>
      <c r="AV3504" s="128"/>
      <c r="AW3504" s="128"/>
      <c r="AX3504" s="128"/>
      <c r="AY3504" s="128"/>
      <c r="AZ3504" s="128"/>
      <c r="BA3504" s="128"/>
      <c r="BB3504" s="128"/>
      <c r="BC3504" s="128"/>
      <c r="BD3504" s="128"/>
      <c r="BE3504" s="128"/>
      <c r="BF3504" s="128"/>
      <c r="BG3504" s="128"/>
      <c r="BH3504" s="128"/>
      <c r="BI3504" s="128"/>
      <c r="BJ3504" s="128"/>
      <c r="BK3504" s="128"/>
      <c r="BL3504" s="128"/>
      <c r="BM3504" s="151"/>
      <c r="BN3504" s="128"/>
      <c r="BO3504" s="128"/>
      <c r="BP3504" s="128"/>
      <c r="BQ3504" s="128"/>
      <c r="BR3504" s="128"/>
      <c r="BS3504" s="128"/>
      <c r="BT3504" s="128"/>
      <c r="BU3504" s="128"/>
      <c r="BV3504" s="128"/>
      <c r="BW3504" s="128"/>
      <c r="BX3504" s="128"/>
      <c r="BY3504" s="128"/>
      <c r="BZ3504" s="128"/>
      <c r="CA3504" s="128"/>
      <c r="CB3504" s="128"/>
      <c r="CC3504" s="128"/>
      <c r="CD3504" s="128"/>
      <c r="CE3504" s="128"/>
      <c r="CF3504" s="128"/>
      <c r="CG3504" s="128"/>
      <c r="CI3504" s="128"/>
      <c r="CJ3504" s="128"/>
      <c r="CK3504" s="128"/>
      <c r="CL3504" s="128"/>
      <c r="CM3504" s="128"/>
      <c r="CN3504" s="128"/>
      <c r="CO3504" s="128"/>
      <c r="CP3504" s="128"/>
      <c r="CQ3504" s="128"/>
      <c r="CR3504" s="128"/>
      <c r="CS3504" s="128"/>
      <c r="CT3504" s="128"/>
      <c r="CU3504" s="128"/>
      <c r="CV3504" s="128"/>
      <c r="CW3504" s="128"/>
      <c r="CX3504" s="128"/>
      <c r="CY3504" s="128"/>
      <c r="CZ3504" s="165"/>
    </row>
    <row r="3505" spans="1:104">
      <c r="A3505" s="149"/>
      <c r="B3505" s="149"/>
      <c r="C3505" s="150"/>
      <c r="D3505" s="102"/>
      <c r="E3505" s="149"/>
      <c r="F3505" s="149"/>
      <c r="G3505" s="149"/>
      <c r="H3505" s="149"/>
      <c r="I3505" s="149"/>
      <c r="J3505" s="149"/>
      <c r="K3505" s="149"/>
      <c r="L3505" s="149"/>
      <c r="M3505" s="149"/>
      <c r="N3505" s="149"/>
      <c r="O3505" s="149"/>
      <c r="P3505" s="149"/>
      <c r="Q3505" s="149"/>
      <c r="R3505" s="149"/>
      <c r="S3505" s="149"/>
      <c r="T3505" s="149"/>
      <c r="U3505" s="149"/>
      <c r="V3505" s="149"/>
      <c r="W3505" s="149"/>
      <c r="X3505" s="149"/>
      <c r="Y3505" s="149"/>
      <c r="Z3505" s="149"/>
      <c r="AA3505" s="149"/>
      <c r="AB3505" s="149"/>
      <c r="AC3505" s="149"/>
      <c r="AD3505" s="149"/>
      <c r="AE3505" s="149"/>
      <c r="AF3505" s="149"/>
      <c r="AG3505" s="149"/>
      <c r="AH3505" s="149"/>
      <c r="AI3505" s="149"/>
      <c r="AJ3505" s="149"/>
      <c r="AK3505" s="149"/>
      <c r="AL3505" s="149"/>
      <c r="AM3505" s="149"/>
      <c r="AN3505" s="149"/>
      <c r="AO3505" s="128"/>
      <c r="AP3505" s="128"/>
      <c r="AQ3505" s="128"/>
      <c r="AR3505" s="128"/>
      <c r="AS3505" s="128"/>
      <c r="AT3505" s="128"/>
      <c r="AU3505" s="128"/>
      <c r="AV3505" s="128"/>
      <c r="AW3505" s="128"/>
      <c r="AX3505" s="128"/>
      <c r="AY3505" s="128"/>
      <c r="AZ3505" s="128"/>
      <c r="BA3505" s="128"/>
      <c r="BB3505" s="128"/>
      <c r="BC3505" s="128"/>
      <c r="BD3505" s="128"/>
      <c r="BE3505" s="128"/>
      <c r="BF3505" s="128"/>
      <c r="BG3505" s="128"/>
      <c r="BH3505" s="128"/>
      <c r="BI3505" s="128"/>
      <c r="BJ3505" s="128"/>
      <c r="BK3505" s="128"/>
      <c r="BL3505" s="128"/>
      <c r="BM3505" s="151"/>
      <c r="BN3505" s="128"/>
      <c r="BO3505" s="128"/>
      <c r="BP3505" s="128"/>
      <c r="BQ3505" s="128"/>
      <c r="BR3505" s="128"/>
      <c r="BS3505" s="128"/>
      <c r="BT3505" s="128"/>
      <c r="BU3505" s="128"/>
      <c r="BV3505" s="128"/>
      <c r="BW3505" s="128"/>
      <c r="BX3505" s="128"/>
      <c r="BY3505" s="128"/>
      <c r="BZ3505" s="128"/>
      <c r="CA3505" s="128"/>
      <c r="CB3505" s="128"/>
      <c r="CC3505" s="128"/>
      <c r="CD3505" s="128"/>
      <c r="CE3505" s="128"/>
      <c r="CF3505" s="128"/>
      <c r="CG3505" s="128"/>
      <c r="CI3505" s="128"/>
      <c r="CJ3505" s="128"/>
      <c r="CK3505" s="128"/>
      <c r="CL3505" s="128"/>
      <c r="CM3505" s="128"/>
      <c r="CN3505" s="128"/>
      <c r="CO3505" s="128"/>
      <c r="CP3505" s="128"/>
      <c r="CQ3505" s="128"/>
      <c r="CR3505" s="128"/>
      <c r="CS3505" s="128"/>
      <c r="CT3505" s="128"/>
      <c r="CU3505" s="128"/>
      <c r="CV3505" s="128"/>
      <c r="CW3505" s="128"/>
      <c r="CX3505" s="128"/>
      <c r="CY3505" s="128"/>
      <c r="CZ3505" s="165"/>
    </row>
    <row r="3506" spans="1:104">
      <c r="A3506" s="149"/>
      <c r="B3506" s="149"/>
      <c r="C3506" s="150"/>
      <c r="D3506" s="102"/>
      <c r="E3506" s="149"/>
      <c r="F3506" s="149"/>
      <c r="G3506" s="149"/>
      <c r="H3506" s="149"/>
      <c r="I3506" s="149"/>
      <c r="J3506" s="149"/>
      <c r="K3506" s="149"/>
      <c r="L3506" s="149"/>
      <c r="M3506" s="149"/>
      <c r="N3506" s="149"/>
      <c r="O3506" s="149"/>
      <c r="P3506" s="149"/>
      <c r="Q3506" s="149"/>
      <c r="R3506" s="149"/>
      <c r="S3506" s="149"/>
      <c r="T3506" s="149"/>
      <c r="U3506" s="149"/>
      <c r="V3506" s="149"/>
      <c r="W3506" s="149"/>
      <c r="X3506" s="149"/>
      <c r="Y3506" s="149"/>
      <c r="Z3506" s="149"/>
      <c r="AA3506" s="149"/>
      <c r="AB3506" s="149"/>
      <c r="AC3506" s="149"/>
      <c r="AD3506" s="149"/>
      <c r="AE3506" s="149"/>
      <c r="AF3506" s="149"/>
      <c r="AG3506" s="149"/>
      <c r="AH3506" s="149"/>
      <c r="AI3506" s="149"/>
      <c r="AJ3506" s="149"/>
      <c r="AK3506" s="149"/>
      <c r="AL3506" s="149"/>
      <c r="AM3506" s="149"/>
      <c r="AN3506" s="149"/>
      <c r="AO3506" s="128"/>
      <c r="AP3506" s="128"/>
      <c r="AQ3506" s="128"/>
      <c r="AR3506" s="128"/>
      <c r="AS3506" s="128"/>
      <c r="AT3506" s="128"/>
      <c r="AU3506" s="128"/>
      <c r="AV3506" s="128"/>
      <c r="AW3506" s="128"/>
      <c r="AX3506" s="128"/>
      <c r="AY3506" s="128"/>
      <c r="AZ3506" s="128"/>
      <c r="BA3506" s="128"/>
      <c r="BB3506" s="128"/>
      <c r="BC3506" s="128"/>
      <c r="BD3506" s="128"/>
      <c r="BE3506" s="128"/>
      <c r="BF3506" s="128"/>
      <c r="BG3506" s="128"/>
      <c r="BH3506" s="128"/>
      <c r="BI3506" s="128"/>
      <c r="BJ3506" s="128"/>
      <c r="BK3506" s="128"/>
      <c r="BL3506" s="128"/>
      <c r="BM3506" s="151"/>
      <c r="BN3506" s="128"/>
      <c r="BO3506" s="128"/>
      <c r="BP3506" s="128"/>
      <c r="BQ3506" s="128"/>
      <c r="BR3506" s="128"/>
      <c r="BS3506" s="128"/>
      <c r="BT3506" s="128"/>
      <c r="BU3506" s="128"/>
      <c r="BV3506" s="128"/>
      <c r="BW3506" s="128"/>
      <c r="BX3506" s="128"/>
      <c r="BY3506" s="128"/>
      <c r="BZ3506" s="128"/>
      <c r="CA3506" s="128"/>
      <c r="CB3506" s="128"/>
      <c r="CC3506" s="128"/>
      <c r="CD3506" s="128"/>
      <c r="CE3506" s="128"/>
      <c r="CF3506" s="128"/>
      <c r="CG3506" s="128"/>
      <c r="CI3506" s="128"/>
      <c r="CJ3506" s="128"/>
      <c r="CK3506" s="128"/>
      <c r="CL3506" s="128"/>
      <c r="CM3506" s="128"/>
      <c r="CN3506" s="128"/>
      <c r="CO3506" s="128"/>
      <c r="CP3506" s="128"/>
      <c r="CQ3506" s="128"/>
      <c r="CR3506" s="128"/>
      <c r="CS3506" s="128"/>
      <c r="CT3506" s="128"/>
      <c r="CU3506" s="128"/>
      <c r="CV3506" s="128"/>
      <c r="CW3506" s="128"/>
      <c r="CX3506" s="128"/>
      <c r="CY3506" s="128"/>
      <c r="CZ3506" s="165"/>
    </row>
    <row r="3507" spans="1:104">
      <c r="A3507" s="149"/>
      <c r="B3507" s="149"/>
      <c r="C3507" s="150"/>
      <c r="D3507" s="102"/>
      <c r="E3507" s="149"/>
      <c r="F3507" s="149"/>
      <c r="G3507" s="149"/>
      <c r="H3507" s="149"/>
      <c r="I3507" s="149"/>
      <c r="J3507" s="149"/>
      <c r="K3507" s="149"/>
      <c r="L3507" s="149"/>
      <c r="M3507" s="149"/>
      <c r="N3507" s="149"/>
      <c r="O3507" s="149"/>
      <c r="P3507" s="149"/>
      <c r="Q3507" s="149"/>
      <c r="R3507" s="149"/>
      <c r="S3507" s="149"/>
      <c r="T3507" s="149"/>
      <c r="U3507" s="149"/>
      <c r="V3507" s="149"/>
      <c r="W3507" s="149"/>
      <c r="X3507" s="149"/>
      <c r="Y3507" s="149"/>
      <c r="Z3507" s="149"/>
      <c r="AA3507" s="149"/>
      <c r="AB3507" s="149"/>
      <c r="AC3507" s="149"/>
      <c r="AD3507" s="149"/>
      <c r="AE3507" s="149"/>
      <c r="AF3507" s="149"/>
      <c r="AG3507" s="149"/>
      <c r="AH3507" s="149"/>
      <c r="AI3507" s="149"/>
      <c r="AJ3507" s="149"/>
      <c r="AK3507" s="149"/>
      <c r="AL3507" s="149"/>
      <c r="AM3507" s="149"/>
      <c r="AN3507" s="149"/>
      <c r="AO3507" s="128"/>
      <c r="AP3507" s="128"/>
      <c r="AQ3507" s="128"/>
      <c r="AR3507" s="128"/>
      <c r="AS3507" s="128"/>
      <c r="AT3507" s="128"/>
      <c r="AU3507" s="128"/>
      <c r="AV3507" s="128"/>
      <c r="AW3507" s="128"/>
      <c r="AX3507" s="128"/>
      <c r="AY3507" s="128"/>
      <c r="AZ3507" s="128"/>
      <c r="BA3507" s="128"/>
      <c r="BB3507" s="128"/>
      <c r="BC3507" s="128"/>
      <c r="BD3507" s="128"/>
      <c r="BE3507" s="128"/>
      <c r="BF3507" s="128"/>
      <c r="BG3507" s="128"/>
      <c r="BH3507" s="128"/>
      <c r="BI3507" s="128"/>
      <c r="BJ3507" s="128"/>
      <c r="BK3507" s="128"/>
      <c r="BL3507" s="128"/>
      <c r="BM3507" s="151"/>
      <c r="BN3507" s="128"/>
      <c r="BO3507" s="128"/>
      <c r="BP3507" s="128"/>
      <c r="BQ3507" s="128"/>
      <c r="BR3507" s="128"/>
      <c r="BS3507" s="128"/>
      <c r="BT3507" s="128"/>
      <c r="BU3507" s="128"/>
      <c r="BV3507" s="128"/>
      <c r="BW3507" s="128"/>
      <c r="BX3507" s="128"/>
      <c r="BY3507" s="128"/>
      <c r="BZ3507" s="128"/>
      <c r="CA3507" s="128"/>
      <c r="CB3507" s="128"/>
      <c r="CC3507" s="128"/>
      <c r="CD3507" s="128"/>
      <c r="CE3507" s="128"/>
      <c r="CF3507" s="128"/>
      <c r="CG3507" s="128"/>
      <c r="CI3507" s="128"/>
      <c r="CJ3507" s="128"/>
      <c r="CK3507" s="128"/>
      <c r="CL3507" s="128"/>
      <c r="CM3507" s="128"/>
      <c r="CN3507" s="128"/>
      <c r="CO3507" s="128"/>
      <c r="CP3507" s="128"/>
      <c r="CQ3507" s="128"/>
      <c r="CR3507" s="128"/>
      <c r="CS3507" s="128"/>
      <c r="CT3507" s="128"/>
      <c r="CU3507" s="128"/>
      <c r="CV3507" s="128"/>
      <c r="CW3507" s="128"/>
      <c r="CX3507" s="128"/>
      <c r="CY3507" s="128"/>
      <c r="CZ3507" s="165"/>
    </row>
    <row r="3508" spans="1:104">
      <c r="A3508" s="149"/>
      <c r="B3508" s="149"/>
      <c r="C3508" s="150"/>
      <c r="D3508" s="102"/>
      <c r="E3508" s="149"/>
      <c r="F3508" s="149"/>
      <c r="G3508" s="149"/>
      <c r="H3508" s="149"/>
      <c r="I3508" s="149"/>
      <c r="J3508" s="149"/>
      <c r="K3508" s="149"/>
      <c r="L3508" s="149"/>
      <c r="M3508" s="149"/>
      <c r="N3508" s="149"/>
      <c r="O3508" s="149"/>
      <c r="P3508" s="149"/>
      <c r="Q3508" s="149"/>
      <c r="R3508" s="149"/>
      <c r="S3508" s="149"/>
      <c r="T3508" s="149"/>
      <c r="U3508" s="149"/>
      <c r="V3508" s="149"/>
      <c r="W3508" s="149"/>
      <c r="X3508" s="149"/>
      <c r="Y3508" s="149"/>
      <c r="Z3508" s="149"/>
      <c r="AA3508" s="149"/>
      <c r="AB3508" s="149"/>
      <c r="AC3508" s="149"/>
      <c r="AD3508" s="149"/>
      <c r="AE3508" s="149"/>
      <c r="AF3508" s="149"/>
      <c r="AG3508" s="149"/>
      <c r="AH3508" s="149"/>
      <c r="AI3508" s="149"/>
      <c r="AJ3508" s="149"/>
      <c r="AK3508" s="149"/>
      <c r="AL3508" s="149"/>
      <c r="AM3508" s="149"/>
      <c r="AN3508" s="149"/>
      <c r="AO3508" s="128"/>
      <c r="AP3508" s="128"/>
      <c r="AQ3508" s="128"/>
      <c r="AR3508" s="128"/>
      <c r="AS3508" s="128"/>
      <c r="AT3508" s="128"/>
      <c r="AU3508" s="128"/>
      <c r="AV3508" s="128"/>
      <c r="AW3508" s="128"/>
      <c r="AX3508" s="128"/>
      <c r="AY3508" s="128"/>
      <c r="AZ3508" s="128"/>
      <c r="BA3508" s="128"/>
      <c r="BB3508" s="128"/>
      <c r="BC3508" s="128"/>
      <c r="BD3508" s="128"/>
      <c r="BE3508" s="128"/>
      <c r="BF3508" s="128"/>
      <c r="BG3508" s="128"/>
      <c r="BH3508" s="128"/>
      <c r="BI3508" s="128"/>
      <c r="BJ3508" s="128"/>
      <c r="BK3508" s="128"/>
      <c r="BL3508" s="128"/>
      <c r="BM3508" s="151"/>
      <c r="BN3508" s="128"/>
      <c r="BO3508" s="128"/>
      <c r="BP3508" s="128"/>
      <c r="BQ3508" s="128"/>
      <c r="BR3508" s="128"/>
      <c r="BS3508" s="128"/>
      <c r="BT3508" s="128"/>
      <c r="BU3508" s="128"/>
      <c r="BV3508" s="128"/>
      <c r="BW3508" s="128"/>
      <c r="BX3508" s="128"/>
      <c r="BY3508" s="128"/>
      <c r="BZ3508" s="128"/>
      <c r="CA3508" s="128"/>
      <c r="CB3508" s="128"/>
      <c r="CC3508" s="128"/>
      <c r="CD3508" s="128"/>
      <c r="CE3508" s="128"/>
      <c r="CF3508" s="128"/>
      <c r="CG3508" s="128"/>
      <c r="CI3508" s="128"/>
      <c r="CJ3508" s="128"/>
      <c r="CK3508" s="128"/>
      <c r="CL3508" s="128"/>
      <c r="CM3508" s="128"/>
      <c r="CN3508" s="128"/>
      <c r="CO3508" s="128"/>
      <c r="CP3508" s="128"/>
      <c r="CQ3508" s="128"/>
      <c r="CR3508" s="128"/>
      <c r="CS3508" s="128"/>
      <c r="CT3508" s="128"/>
      <c r="CU3508" s="128"/>
      <c r="CV3508" s="128"/>
      <c r="CW3508" s="128"/>
      <c r="CX3508" s="128"/>
      <c r="CY3508" s="128"/>
      <c r="CZ3508" s="165"/>
    </row>
    <row r="3509" spans="1:104">
      <c r="A3509" s="149"/>
      <c r="B3509" s="149"/>
      <c r="C3509" s="150"/>
      <c r="D3509" s="102"/>
      <c r="E3509" s="149"/>
      <c r="F3509" s="149"/>
      <c r="G3509" s="149"/>
      <c r="H3509" s="149"/>
      <c r="I3509" s="149"/>
      <c r="J3509" s="149"/>
      <c r="K3509" s="149"/>
      <c r="L3509" s="149"/>
      <c r="M3509" s="149"/>
      <c r="N3509" s="149"/>
      <c r="O3509" s="149"/>
      <c r="P3509" s="149"/>
      <c r="Q3509" s="149"/>
      <c r="R3509" s="149"/>
      <c r="S3509" s="149"/>
      <c r="T3509" s="149"/>
      <c r="U3509" s="149"/>
      <c r="V3509" s="149"/>
      <c r="W3509" s="149"/>
      <c r="X3509" s="149"/>
      <c r="Y3509" s="149"/>
      <c r="Z3509" s="149"/>
      <c r="AA3509" s="149"/>
      <c r="AB3509" s="149"/>
      <c r="AC3509" s="149"/>
      <c r="AD3509" s="149"/>
      <c r="AE3509" s="149"/>
      <c r="AF3509" s="149"/>
      <c r="AG3509" s="149"/>
      <c r="AH3509" s="149"/>
      <c r="AI3509" s="149"/>
      <c r="AJ3509" s="149"/>
      <c r="AK3509" s="149"/>
      <c r="AL3509" s="149"/>
      <c r="AM3509" s="149"/>
      <c r="AN3509" s="149"/>
      <c r="AO3509" s="128"/>
      <c r="AP3509" s="128"/>
      <c r="AQ3509" s="128"/>
      <c r="AR3509" s="128"/>
      <c r="AS3509" s="128"/>
      <c r="AT3509" s="128"/>
      <c r="AU3509" s="128"/>
      <c r="AV3509" s="128"/>
      <c r="AW3509" s="128"/>
      <c r="AX3509" s="128"/>
      <c r="AY3509" s="128"/>
      <c r="AZ3509" s="128"/>
      <c r="BA3509" s="128"/>
      <c r="BB3509" s="128"/>
      <c r="BC3509" s="128"/>
      <c r="BD3509" s="128"/>
      <c r="BE3509" s="128"/>
      <c r="BF3509" s="128"/>
      <c r="BG3509" s="128"/>
      <c r="BH3509" s="128"/>
      <c r="BI3509" s="128"/>
      <c r="BJ3509" s="128"/>
      <c r="BK3509" s="128"/>
      <c r="BL3509" s="128"/>
      <c r="BM3509" s="151"/>
      <c r="BN3509" s="128"/>
      <c r="BO3509" s="128"/>
      <c r="BP3509" s="128"/>
      <c r="BQ3509" s="128"/>
      <c r="BR3509" s="128"/>
      <c r="BS3509" s="128"/>
      <c r="BT3509" s="128"/>
      <c r="BU3509" s="128"/>
      <c r="BV3509" s="128"/>
      <c r="BW3509" s="128"/>
      <c r="BX3509" s="128"/>
      <c r="BY3509" s="128"/>
      <c r="BZ3509" s="128"/>
      <c r="CA3509" s="128"/>
      <c r="CB3509" s="128"/>
      <c r="CC3509" s="128"/>
      <c r="CD3509" s="128"/>
      <c r="CE3509" s="128"/>
      <c r="CF3509" s="128"/>
      <c r="CG3509" s="128"/>
      <c r="CI3509" s="128"/>
      <c r="CJ3509" s="128"/>
      <c r="CK3509" s="128"/>
      <c r="CL3509" s="128"/>
      <c r="CM3509" s="128"/>
      <c r="CN3509" s="128"/>
      <c r="CO3509" s="128"/>
      <c r="CP3509" s="128"/>
      <c r="CQ3509" s="128"/>
      <c r="CR3509" s="128"/>
      <c r="CS3509" s="128"/>
      <c r="CT3509" s="128"/>
      <c r="CU3509" s="128"/>
      <c r="CV3509" s="128"/>
      <c r="CW3509" s="128"/>
      <c r="CX3509" s="128"/>
      <c r="CY3509" s="128"/>
      <c r="CZ3509" s="165"/>
    </row>
    <row r="3510" spans="1:104">
      <c r="A3510" s="149"/>
      <c r="B3510" s="149"/>
      <c r="C3510" s="150"/>
      <c r="D3510" s="102"/>
      <c r="E3510" s="149"/>
      <c r="F3510" s="149"/>
      <c r="G3510" s="149"/>
      <c r="H3510" s="149"/>
      <c r="I3510" s="149"/>
      <c r="J3510" s="149"/>
      <c r="K3510" s="149"/>
      <c r="L3510" s="149"/>
      <c r="M3510" s="149"/>
      <c r="N3510" s="149"/>
      <c r="O3510" s="149"/>
      <c r="P3510" s="149"/>
      <c r="Q3510" s="149"/>
      <c r="R3510" s="149"/>
      <c r="S3510" s="149"/>
      <c r="T3510" s="149"/>
      <c r="U3510" s="149"/>
      <c r="V3510" s="149"/>
      <c r="W3510" s="149"/>
      <c r="X3510" s="149"/>
      <c r="Y3510" s="149"/>
      <c r="Z3510" s="149"/>
      <c r="AA3510" s="149"/>
      <c r="AB3510" s="149"/>
      <c r="AC3510" s="149"/>
      <c r="AD3510" s="149"/>
      <c r="AE3510" s="149"/>
      <c r="AF3510" s="149"/>
      <c r="AG3510" s="149"/>
      <c r="AH3510" s="149"/>
      <c r="AI3510" s="149"/>
      <c r="AJ3510" s="149"/>
      <c r="AK3510" s="149"/>
      <c r="AL3510" s="149"/>
      <c r="AM3510" s="149"/>
      <c r="AN3510" s="149"/>
      <c r="AO3510" s="128"/>
      <c r="AP3510" s="128"/>
      <c r="AQ3510" s="128"/>
      <c r="AR3510" s="128"/>
      <c r="AS3510" s="128"/>
      <c r="AT3510" s="128"/>
      <c r="AU3510" s="128"/>
      <c r="AV3510" s="128"/>
      <c r="AW3510" s="128"/>
      <c r="AX3510" s="128"/>
      <c r="AY3510" s="128"/>
      <c r="AZ3510" s="128"/>
      <c r="BA3510" s="128"/>
      <c r="BB3510" s="128"/>
      <c r="BC3510" s="128"/>
      <c r="BD3510" s="128"/>
      <c r="BE3510" s="128"/>
      <c r="BF3510" s="128"/>
      <c r="BG3510" s="128"/>
      <c r="BH3510" s="128"/>
      <c r="BI3510" s="128"/>
      <c r="BJ3510" s="128"/>
      <c r="BK3510" s="128"/>
      <c r="BL3510" s="128"/>
      <c r="BM3510" s="151"/>
      <c r="BN3510" s="128"/>
      <c r="BO3510" s="128"/>
      <c r="BP3510" s="128"/>
      <c r="BQ3510" s="128"/>
      <c r="BR3510" s="128"/>
      <c r="BS3510" s="128"/>
      <c r="BT3510" s="128"/>
      <c r="BU3510" s="128"/>
      <c r="BV3510" s="128"/>
      <c r="BW3510" s="128"/>
      <c r="BX3510" s="128"/>
      <c r="BY3510" s="128"/>
      <c r="BZ3510" s="128"/>
      <c r="CA3510" s="128"/>
      <c r="CB3510" s="128"/>
      <c r="CC3510" s="128"/>
      <c r="CD3510" s="128"/>
      <c r="CE3510" s="128"/>
      <c r="CF3510" s="128"/>
      <c r="CG3510" s="128"/>
      <c r="CI3510" s="128"/>
      <c r="CJ3510" s="128"/>
      <c r="CK3510" s="128"/>
      <c r="CL3510" s="128"/>
      <c r="CM3510" s="128"/>
      <c r="CN3510" s="128"/>
      <c r="CO3510" s="128"/>
      <c r="CP3510" s="128"/>
      <c r="CQ3510" s="128"/>
      <c r="CR3510" s="128"/>
      <c r="CS3510" s="128"/>
      <c r="CT3510" s="128"/>
      <c r="CU3510" s="128"/>
      <c r="CV3510" s="128"/>
      <c r="CW3510" s="128"/>
      <c r="CX3510" s="128"/>
      <c r="CY3510" s="128"/>
      <c r="CZ3510" s="165"/>
    </row>
    <row r="3511" spans="1:104">
      <c r="A3511" s="149"/>
      <c r="B3511" s="149"/>
      <c r="C3511" s="150"/>
      <c r="D3511" s="102"/>
      <c r="E3511" s="149"/>
      <c r="F3511" s="149"/>
      <c r="G3511" s="149"/>
      <c r="H3511" s="149"/>
      <c r="I3511" s="149"/>
      <c r="J3511" s="149"/>
      <c r="K3511" s="149"/>
      <c r="L3511" s="149"/>
      <c r="M3511" s="149"/>
      <c r="N3511" s="149"/>
      <c r="O3511" s="149"/>
      <c r="P3511" s="149"/>
      <c r="Q3511" s="149"/>
      <c r="R3511" s="149"/>
      <c r="S3511" s="149"/>
      <c r="T3511" s="149"/>
      <c r="U3511" s="149"/>
      <c r="V3511" s="149"/>
      <c r="W3511" s="149"/>
      <c r="X3511" s="149"/>
      <c r="Y3511" s="149"/>
      <c r="Z3511" s="149"/>
      <c r="AA3511" s="149"/>
      <c r="AB3511" s="149"/>
      <c r="AC3511" s="149"/>
      <c r="AD3511" s="149"/>
      <c r="AE3511" s="149"/>
      <c r="AF3511" s="149"/>
      <c r="AG3511" s="149"/>
      <c r="AH3511" s="149"/>
      <c r="AI3511" s="149"/>
      <c r="AJ3511" s="149"/>
      <c r="AK3511" s="149"/>
      <c r="AL3511" s="149"/>
      <c r="AM3511" s="149"/>
      <c r="AN3511" s="149"/>
      <c r="AO3511" s="128"/>
      <c r="AP3511" s="128"/>
      <c r="AQ3511" s="128"/>
      <c r="AR3511" s="128"/>
      <c r="AS3511" s="128"/>
      <c r="AT3511" s="128"/>
      <c r="AU3511" s="128"/>
      <c r="AV3511" s="128"/>
      <c r="AW3511" s="128"/>
      <c r="AX3511" s="128"/>
      <c r="AY3511" s="128"/>
      <c r="AZ3511" s="128"/>
      <c r="BA3511" s="128"/>
      <c r="BB3511" s="128"/>
      <c r="BC3511" s="128"/>
      <c r="BD3511" s="128"/>
      <c r="BE3511" s="128"/>
      <c r="BF3511" s="128"/>
      <c r="BG3511" s="128"/>
      <c r="BH3511" s="128"/>
      <c r="BI3511" s="128"/>
      <c r="BJ3511" s="128"/>
      <c r="BK3511" s="128"/>
      <c r="BL3511" s="128"/>
      <c r="BM3511" s="151"/>
      <c r="BN3511" s="128"/>
      <c r="BO3511" s="128"/>
      <c r="BP3511" s="128"/>
      <c r="BQ3511" s="128"/>
      <c r="BR3511" s="128"/>
      <c r="BS3511" s="128"/>
      <c r="BT3511" s="128"/>
      <c r="BU3511" s="128"/>
      <c r="BV3511" s="128"/>
      <c r="BW3511" s="128"/>
      <c r="BX3511" s="128"/>
      <c r="BY3511" s="128"/>
      <c r="BZ3511" s="128"/>
      <c r="CA3511" s="128"/>
      <c r="CB3511" s="128"/>
      <c r="CC3511" s="128"/>
      <c r="CD3511" s="128"/>
      <c r="CE3511" s="128"/>
      <c r="CF3511" s="128"/>
      <c r="CG3511" s="128"/>
      <c r="CI3511" s="128"/>
      <c r="CJ3511" s="128"/>
      <c r="CK3511" s="128"/>
      <c r="CL3511" s="128"/>
      <c r="CM3511" s="128"/>
      <c r="CN3511" s="128"/>
      <c r="CO3511" s="128"/>
      <c r="CP3511" s="128"/>
      <c r="CQ3511" s="128"/>
      <c r="CR3511" s="128"/>
      <c r="CS3511" s="128"/>
      <c r="CT3511" s="128"/>
      <c r="CU3511" s="128"/>
      <c r="CV3511" s="128"/>
      <c r="CW3511" s="128"/>
      <c r="CX3511" s="128"/>
      <c r="CY3511" s="128"/>
      <c r="CZ3511" s="165"/>
    </row>
    <row r="3512" spans="1:104">
      <c r="A3512" s="149"/>
      <c r="B3512" s="149"/>
      <c r="C3512" s="150"/>
      <c r="D3512" s="102"/>
      <c r="E3512" s="149"/>
      <c r="F3512" s="149"/>
      <c r="G3512" s="149"/>
      <c r="H3512" s="149"/>
      <c r="I3512" s="149"/>
      <c r="J3512" s="149"/>
      <c r="K3512" s="149"/>
      <c r="L3512" s="149"/>
      <c r="M3512" s="149"/>
      <c r="N3512" s="149"/>
      <c r="O3512" s="149"/>
      <c r="P3512" s="149"/>
      <c r="Q3512" s="149"/>
      <c r="R3512" s="149"/>
      <c r="S3512" s="149"/>
      <c r="T3512" s="149"/>
      <c r="U3512" s="149"/>
      <c r="V3512" s="149"/>
      <c r="W3512" s="149"/>
      <c r="X3512" s="149"/>
      <c r="Y3512" s="149"/>
      <c r="Z3512" s="149"/>
      <c r="AA3512" s="149"/>
      <c r="AB3512" s="149"/>
      <c r="AC3512" s="149"/>
      <c r="AD3512" s="149"/>
      <c r="AE3512" s="149"/>
      <c r="AF3512" s="149"/>
      <c r="AG3512" s="149"/>
      <c r="AH3512" s="149"/>
      <c r="AI3512" s="149"/>
      <c r="AJ3512" s="149"/>
      <c r="AK3512" s="149"/>
      <c r="AL3512" s="149"/>
      <c r="AM3512" s="149"/>
      <c r="AN3512" s="149"/>
      <c r="AO3512" s="128"/>
      <c r="AP3512" s="128"/>
      <c r="AQ3512" s="128"/>
      <c r="AR3512" s="128"/>
      <c r="AS3512" s="128"/>
      <c r="AT3512" s="128"/>
      <c r="AU3512" s="128"/>
      <c r="AV3512" s="128"/>
      <c r="AW3512" s="128"/>
      <c r="AX3512" s="128"/>
      <c r="AY3512" s="128"/>
      <c r="AZ3512" s="128"/>
      <c r="BA3512" s="128"/>
      <c r="BB3512" s="128"/>
      <c r="BC3512" s="128"/>
      <c r="BD3512" s="128"/>
      <c r="BE3512" s="128"/>
      <c r="BF3512" s="128"/>
      <c r="BG3512" s="128"/>
      <c r="BH3512" s="128"/>
      <c r="BI3512" s="128"/>
      <c r="BJ3512" s="128"/>
      <c r="BK3512" s="128"/>
      <c r="BL3512" s="128"/>
      <c r="BM3512" s="151"/>
      <c r="BN3512" s="128"/>
      <c r="BO3512" s="128"/>
      <c r="BP3512" s="128"/>
      <c r="BQ3512" s="128"/>
      <c r="BR3512" s="128"/>
      <c r="BS3512" s="128"/>
      <c r="BT3512" s="128"/>
      <c r="BU3512" s="128"/>
      <c r="BV3512" s="128"/>
      <c r="BW3512" s="128"/>
      <c r="BX3512" s="128"/>
      <c r="BY3512" s="128"/>
      <c r="BZ3512" s="128"/>
      <c r="CA3512" s="128"/>
      <c r="CB3512" s="128"/>
      <c r="CC3512" s="128"/>
      <c r="CD3512" s="128"/>
      <c r="CE3512" s="128"/>
      <c r="CF3512" s="128"/>
      <c r="CG3512" s="128"/>
      <c r="CI3512" s="128"/>
      <c r="CJ3512" s="128"/>
      <c r="CK3512" s="128"/>
      <c r="CL3512" s="128"/>
      <c r="CM3512" s="128"/>
      <c r="CN3512" s="128"/>
      <c r="CO3512" s="128"/>
      <c r="CP3512" s="128"/>
      <c r="CQ3512" s="128"/>
      <c r="CR3512" s="128"/>
      <c r="CS3512" s="128"/>
      <c r="CT3512" s="128"/>
      <c r="CU3512" s="128"/>
      <c r="CV3512" s="128"/>
      <c r="CW3512" s="128"/>
      <c r="CX3512" s="128"/>
      <c r="CY3512" s="128"/>
      <c r="CZ3512" s="165"/>
    </row>
    <row r="3513" spans="1:104">
      <c r="A3513" s="149"/>
      <c r="B3513" s="149"/>
      <c r="C3513" s="150"/>
      <c r="D3513" s="102"/>
      <c r="E3513" s="149"/>
      <c r="F3513" s="149"/>
      <c r="G3513" s="149"/>
      <c r="H3513" s="149"/>
      <c r="I3513" s="149"/>
      <c r="J3513" s="149"/>
      <c r="K3513" s="149"/>
      <c r="L3513" s="149"/>
      <c r="M3513" s="149"/>
      <c r="N3513" s="149"/>
      <c r="O3513" s="149"/>
      <c r="P3513" s="149"/>
      <c r="Q3513" s="149"/>
      <c r="R3513" s="149"/>
      <c r="S3513" s="149"/>
      <c r="T3513" s="149"/>
      <c r="U3513" s="149"/>
      <c r="V3513" s="149"/>
      <c r="W3513" s="149"/>
      <c r="X3513" s="149"/>
      <c r="Y3513" s="149"/>
      <c r="Z3513" s="149"/>
      <c r="AA3513" s="149"/>
      <c r="AB3513" s="149"/>
      <c r="AC3513" s="149"/>
      <c r="AD3513" s="149"/>
      <c r="AE3513" s="149"/>
      <c r="AF3513" s="149"/>
      <c r="AG3513" s="149"/>
      <c r="AH3513" s="149"/>
      <c r="AI3513" s="149"/>
      <c r="AJ3513" s="149"/>
      <c r="AK3513" s="149"/>
      <c r="AL3513" s="149"/>
      <c r="AM3513" s="149"/>
      <c r="AN3513" s="149"/>
      <c r="AO3513" s="128"/>
      <c r="AP3513" s="128"/>
      <c r="AQ3513" s="128"/>
      <c r="AR3513" s="128"/>
      <c r="AS3513" s="128"/>
      <c r="AT3513" s="128"/>
      <c r="AU3513" s="128"/>
      <c r="AV3513" s="128"/>
      <c r="AW3513" s="128"/>
      <c r="AX3513" s="128"/>
      <c r="AY3513" s="128"/>
      <c r="AZ3513" s="128"/>
      <c r="BA3513" s="128"/>
      <c r="BB3513" s="128"/>
      <c r="BC3513" s="128"/>
      <c r="BD3513" s="128"/>
      <c r="BE3513" s="128"/>
      <c r="BF3513" s="128"/>
      <c r="BG3513" s="128"/>
      <c r="BH3513" s="128"/>
      <c r="BI3513" s="128"/>
      <c r="BJ3513" s="128"/>
      <c r="BK3513" s="128"/>
      <c r="BL3513" s="128"/>
      <c r="BM3513" s="151"/>
      <c r="BN3513" s="128"/>
      <c r="BO3513" s="128"/>
      <c r="BP3513" s="128"/>
      <c r="BQ3513" s="128"/>
      <c r="BR3513" s="128"/>
      <c r="BS3513" s="128"/>
      <c r="BT3513" s="128"/>
      <c r="BU3513" s="128"/>
      <c r="BV3513" s="128"/>
      <c r="BW3513" s="128"/>
      <c r="BX3513" s="128"/>
      <c r="BY3513" s="128"/>
      <c r="BZ3513" s="128"/>
      <c r="CA3513" s="128"/>
      <c r="CB3513" s="128"/>
      <c r="CC3513" s="128"/>
      <c r="CD3513" s="128"/>
      <c r="CE3513" s="128"/>
      <c r="CF3513" s="128"/>
      <c r="CG3513" s="128"/>
      <c r="CI3513" s="128"/>
      <c r="CJ3513" s="128"/>
      <c r="CK3513" s="128"/>
      <c r="CL3513" s="128"/>
      <c r="CM3513" s="128"/>
      <c r="CN3513" s="128"/>
      <c r="CO3513" s="128"/>
      <c r="CP3513" s="128"/>
      <c r="CQ3513" s="128"/>
      <c r="CR3513" s="128"/>
      <c r="CS3513" s="128"/>
      <c r="CT3513" s="128"/>
      <c r="CU3513" s="128"/>
      <c r="CV3513" s="128"/>
      <c r="CW3513" s="128"/>
      <c r="CX3513" s="128"/>
      <c r="CY3513" s="128"/>
      <c r="CZ3513" s="165"/>
    </row>
    <row r="3514" spans="1:104">
      <c r="A3514" s="149"/>
      <c r="B3514" s="149"/>
      <c r="C3514" s="150"/>
      <c r="D3514" s="102"/>
      <c r="E3514" s="149"/>
      <c r="F3514" s="149"/>
      <c r="G3514" s="149"/>
      <c r="H3514" s="149"/>
      <c r="I3514" s="149"/>
      <c r="J3514" s="149"/>
      <c r="K3514" s="149"/>
      <c r="L3514" s="149"/>
      <c r="M3514" s="149"/>
      <c r="N3514" s="149"/>
      <c r="O3514" s="149"/>
      <c r="P3514" s="149"/>
      <c r="Q3514" s="149"/>
      <c r="R3514" s="149"/>
      <c r="S3514" s="149"/>
      <c r="T3514" s="149"/>
      <c r="U3514" s="149"/>
      <c r="V3514" s="149"/>
      <c r="W3514" s="149"/>
      <c r="X3514" s="149"/>
      <c r="Y3514" s="149"/>
      <c r="Z3514" s="149"/>
      <c r="AA3514" s="149"/>
      <c r="AB3514" s="149"/>
      <c r="AC3514" s="149"/>
      <c r="AD3514" s="149"/>
      <c r="AE3514" s="149"/>
      <c r="AF3514" s="149"/>
      <c r="AG3514" s="149"/>
      <c r="AH3514" s="149"/>
      <c r="AI3514" s="149"/>
      <c r="AJ3514" s="149"/>
      <c r="AK3514" s="149"/>
      <c r="AL3514" s="149"/>
      <c r="AM3514" s="149"/>
      <c r="AN3514" s="149"/>
      <c r="AO3514" s="128"/>
      <c r="AP3514" s="128"/>
      <c r="AQ3514" s="128"/>
      <c r="AR3514" s="128"/>
      <c r="AS3514" s="128"/>
      <c r="AT3514" s="128"/>
      <c r="AU3514" s="128"/>
      <c r="AV3514" s="128"/>
      <c r="AW3514" s="128"/>
      <c r="AX3514" s="128"/>
      <c r="AY3514" s="128"/>
      <c r="AZ3514" s="128"/>
      <c r="BA3514" s="128"/>
      <c r="BB3514" s="128"/>
      <c r="BC3514" s="128"/>
      <c r="BD3514" s="128"/>
      <c r="BE3514" s="128"/>
      <c r="BF3514" s="128"/>
      <c r="BG3514" s="128"/>
      <c r="BH3514" s="128"/>
      <c r="BI3514" s="128"/>
      <c r="BJ3514" s="128"/>
      <c r="BK3514" s="128"/>
      <c r="BL3514" s="128"/>
      <c r="BM3514" s="151"/>
      <c r="BN3514" s="128"/>
      <c r="BO3514" s="128"/>
      <c r="BP3514" s="128"/>
      <c r="BQ3514" s="128"/>
      <c r="BR3514" s="128"/>
      <c r="BS3514" s="128"/>
      <c r="BT3514" s="128"/>
      <c r="BU3514" s="128"/>
      <c r="BV3514" s="128"/>
      <c r="BW3514" s="128"/>
      <c r="BX3514" s="128"/>
      <c r="BY3514" s="128"/>
      <c r="BZ3514" s="128"/>
      <c r="CA3514" s="128"/>
      <c r="CB3514" s="128"/>
      <c r="CC3514" s="128"/>
      <c r="CD3514" s="128"/>
      <c r="CE3514" s="128"/>
      <c r="CF3514" s="128"/>
      <c r="CG3514" s="128"/>
      <c r="CI3514" s="128"/>
      <c r="CJ3514" s="128"/>
      <c r="CK3514" s="128"/>
      <c r="CL3514" s="128"/>
      <c r="CM3514" s="128"/>
      <c r="CN3514" s="128"/>
      <c r="CO3514" s="128"/>
      <c r="CP3514" s="128"/>
      <c r="CQ3514" s="128"/>
      <c r="CR3514" s="128"/>
      <c r="CS3514" s="128"/>
      <c r="CT3514" s="128"/>
      <c r="CU3514" s="128"/>
      <c r="CV3514" s="128"/>
      <c r="CW3514" s="128"/>
      <c r="CX3514" s="128"/>
      <c r="CY3514" s="128"/>
      <c r="CZ3514" s="165"/>
    </row>
    <row r="3515" spans="1:104">
      <c r="A3515" s="149"/>
      <c r="B3515" s="149"/>
      <c r="C3515" s="150"/>
      <c r="D3515" s="102"/>
      <c r="E3515" s="149"/>
      <c r="F3515" s="149"/>
      <c r="G3515" s="149"/>
      <c r="H3515" s="149"/>
      <c r="I3515" s="149"/>
      <c r="J3515" s="149"/>
      <c r="K3515" s="149"/>
      <c r="L3515" s="149"/>
      <c r="M3515" s="149"/>
      <c r="N3515" s="149"/>
      <c r="O3515" s="149"/>
      <c r="P3515" s="149"/>
      <c r="Q3515" s="149"/>
      <c r="R3515" s="149"/>
      <c r="S3515" s="149"/>
      <c r="T3515" s="149"/>
      <c r="U3515" s="149"/>
      <c r="V3515" s="149"/>
      <c r="W3515" s="149"/>
      <c r="X3515" s="149"/>
      <c r="Y3515" s="149"/>
      <c r="Z3515" s="149"/>
      <c r="AA3515" s="149"/>
      <c r="AB3515" s="149"/>
      <c r="AC3515" s="149"/>
      <c r="AD3515" s="149"/>
      <c r="AE3515" s="149"/>
      <c r="AF3515" s="149"/>
      <c r="AG3515" s="149"/>
      <c r="AH3515" s="149"/>
      <c r="AI3515" s="149"/>
      <c r="AJ3515" s="149"/>
      <c r="AK3515" s="149"/>
      <c r="AL3515" s="149"/>
      <c r="AM3515" s="149"/>
      <c r="AN3515" s="149"/>
      <c r="AO3515" s="128"/>
      <c r="AP3515" s="128"/>
      <c r="AQ3515" s="128"/>
      <c r="AR3515" s="128"/>
      <c r="AS3515" s="128"/>
      <c r="AT3515" s="128"/>
      <c r="AU3515" s="128"/>
      <c r="AV3515" s="128"/>
      <c r="AW3515" s="128"/>
      <c r="AX3515" s="128"/>
      <c r="AY3515" s="128"/>
      <c r="AZ3515" s="128"/>
      <c r="BA3515" s="128"/>
      <c r="BB3515" s="128"/>
      <c r="BC3515" s="128"/>
      <c r="BD3515" s="128"/>
      <c r="BE3515" s="128"/>
      <c r="BF3515" s="128"/>
      <c r="BG3515" s="128"/>
      <c r="BH3515" s="128"/>
      <c r="BI3515" s="128"/>
      <c r="BJ3515" s="128"/>
      <c r="BK3515" s="128"/>
      <c r="BL3515" s="128"/>
      <c r="BM3515" s="151"/>
      <c r="BN3515" s="128"/>
      <c r="BO3515" s="128"/>
      <c r="BP3515" s="128"/>
      <c r="BQ3515" s="128"/>
      <c r="BR3515" s="128"/>
      <c r="BS3515" s="128"/>
      <c r="BT3515" s="128"/>
      <c r="BU3515" s="128"/>
      <c r="BV3515" s="128"/>
      <c r="BW3515" s="128"/>
      <c r="BX3515" s="128"/>
      <c r="BY3515" s="128"/>
      <c r="BZ3515" s="128"/>
      <c r="CA3515" s="128"/>
      <c r="CB3515" s="128"/>
      <c r="CC3515" s="128"/>
      <c r="CD3515" s="128"/>
      <c r="CE3515" s="128"/>
      <c r="CF3515" s="128"/>
      <c r="CG3515" s="128"/>
      <c r="CI3515" s="128"/>
      <c r="CJ3515" s="128"/>
      <c r="CK3515" s="128"/>
      <c r="CL3515" s="128"/>
      <c r="CM3515" s="128"/>
      <c r="CN3515" s="128"/>
      <c r="CO3515" s="128"/>
      <c r="CP3515" s="128"/>
      <c r="CQ3515" s="128"/>
      <c r="CR3515" s="128"/>
      <c r="CS3515" s="128"/>
      <c r="CT3515" s="128"/>
      <c r="CU3515" s="128"/>
      <c r="CV3515" s="128"/>
      <c r="CW3515" s="128"/>
      <c r="CX3515" s="128"/>
      <c r="CY3515" s="128"/>
      <c r="CZ3515" s="165"/>
    </row>
    <row r="3516" spans="1:104">
      <c r="A3516" s="149"/>
      <c r="B3516" s="149"/>
      <c r="C3516" s="150"/>
      <c r="D3516" s="102"/>
      <c r="E3516" s="149"/>
      <c r="F3516" s="149"/>
      <c r="G3516" s="149"/>
      <c r="H3516" s="149"/>
      <c r="I3516" s="149"/>
      <c r="J3516" s="149"/>
      <c r="K3516" s="149"/>
      <c r="L3516" s="149"/>
      <c r="M3516" s="149"/>
      <c r="N3516" s="149"/>
      <c r="O3516" s="149"/>
      <c r="P3516" s="149"/>
      <c r="Q3516" s="149"/>
      <c r="R3516" s="149"/>
      <c r="S3516" s="149"/>
      <c r="T3516" s="149"/>
      <c r="U3516" s="149"/>
      <c r="V3516" s="149"/>
      <c r="W3516" s="149"/>
      <c r="X3516" s="149"/>
      <c r="Y3516" s="149"/>
      <c r="Z3516" s="149"/>
      <c r="AA3516" s="149"/>
      <c r="AB3516" s="149"/>
      <c r="AC3516" s="149"/>
      <c r="AD3516" s="149"/>
      <c r="AE3516" s="149"/>
      <c r="AF3516" s="149"/>
      <c r="AG3516" s="149"/>
      <c r="AH3516" s="149"/>
      <c r="AI3516" s="149"/>
      <c r="AJ3516" s="149"/>
      <c r="AK3516" s="149"/>
      <c r="AL3516" s="149"/>
      <c r="AM3516" s="149"/>
      <c r="AN3516" s="149"/>
      <c r="AO3516" s="128"/>
      <c r="AP3516" s="128"/>
      <c r="AQ3516" s="128"/>
      <c r="AR3516" s="128"/>
      <c r="AS3516" s="128"/>
      <c r="AT3516" s="128"/>
      <c r="AU3516" s="128"/>
      <c r="AV3516" s="128"/>
      <c r="AW3516" s="128"/>
      <c r="AX3516" s="128"/>
      <c r="AY3516" s="128"/>
      <c r="AZ3516" s="128"/>
      <c r="BA3516" s="128"/>
      <c r="BB3516" s="128"/>
      <c r="BC3516" s="128"/>
      <c r="BD3516" s="128"/>
      <c r="BE3516" s="128"/>
      <c r="BF3516" s="128"/>
      <c r="BG3516" s="128"/>
      <c r="BH3516" s="128"/>
      <c r="BI3516" s="128"/>
      <c r="BJ3516" s="128"/>
      <c r="BK3516" s="128"/>
      <c r="BL3516" s="128"/>
      <c r="BM3516" s="151"/>
      <c r="BN3516" s="128"/>
      <c r="BO3516" s="128"/>
      <c r="BP3516" s="128"/>
      <c r="BQ3516" s="128"/>
      <c r="BR3516" s="128"/>
      <c r="BS3516" s="128"/>
      <c r="BT3516" s="128"/>
      <c r="BU3516" s="128"/>
      <c r="BV3516" s="128"/>
      <c r="BW3516" s="128"/>
      <c r="BX3516" s="128"/>
      <c r="BY3516" s="128"/>
      <c r="BZ3516" s="128"/>
      <c r="CA3516" s="128"/>
      <c r="CB3516" s="128"/>
      <c r="CC3516" s="128"/>
      <c r="CD3516" s="128"/>
      <c r="CE3516" s="128"/>
      <c r="CF3516" s="128"/>
      <c r="CG3516" s="128"/>
      <c r="CI3516" s="128"/>
      <c r="CJ3516" s="128"/>
      <c r="CK3516" s="128"/>
      <c r="CL3516" s="128"/>
      <c r="CM3516" s="128"/>
      <c r="CN3516" s="128"/>
      <c r="CO3516" s="128"/>
      <c r="CP3516" s="128"/>
      <c r="CQ3516" s="128"/>
      <c r="CR3516" s="128"/>
      <c r="CS3516" s="128"/>
      <c r="CT3516" s="128"/>
      <c r="CU3516" s="128"/>
      <c r="CV3516" s="128"/>
      <c r="CW3516" s="128"/>
      <c r="CX3516" s="128"/>
      <c r="CY3516" s="128"/>
      <c r="CZ3516" s="165"/>
    </row>
    <row r="3517" spans="1:104">
      <c r="A3517" s="149"/>
      <c r="B3517" s="149"/>
      <c r="C3517" s="150"/>
      <c r="D3517" s="102"/>
      <c r="E3517" s="149"/>
      <c r="F3517" s="149"/>
      <c r="G3517" s="149"/>
      <c r="H3517" s="149"/>
      <c r="I3517" s="149"/>
      <c r="J3517" s="149"/>
      <c r="K3517" s="149"/>
      <c r="L3517" s="149"/>
      <c r="M3517" s="149"/>
      <c r="N3517" s="149"/>
      <c r="O3517" s="149"/>
      <c r="P3517" s="149"/>
      <c r="Q3517" s="149"/>
      <c r="R3517" s="149"/>
      <c r="S3517" s="149"/>
      <c r="T3517" s="149"/>
      <c r="U3517" s="149"/>
      <c r="V3517" s="149"/>
      <c r="W3517" s="149"/>
      <c r="X3517" s="149"/>
      <c r="Y3517" s="149"/>
      <c r="Z3517" s="149"/>
      <c r="AA3517" s="149"/>
      <c r="AB3517" s="149"/>
      <c r="AC3517" s="149"/>
      <c r="AD3517" s="149"/>
      <c r="AE3517" s="149"/>
      <c r="AF3517" s="149"/>
      <c r="AG3517" s="149"/>
      <c r="AH3517" s="149"/>
      <c r="AI3517" s="149"/>
      <c r="AJ3517" s="149"/>
      <c r="AK3517" s="149"/>
      <c r="AL3517" s="149"/>
      <c r="AM3517" s="149"/>
      <c r="AN3517" s="149"/>
      <c r="AO3517" s="128"/>
      <c r="AP3517" s="128"/>
      <c r="AQ3517" s="128"/>
      <c r="AR3517" s="128"/>
      <c r="AS3517" s="128"/>
      <c r="AT3517" s="128"/>
      <c r="AU3517" s="128"/>
      <c r="AV3517" s="128"/>
      <c r="AW3517" s="128"/>
      <c r="AX3517" s="128"/>
      <c r="AY3517" s="128"/>
      <c r="AZ3517" s="128"/>
      <c r="BA3517" s="128"/>
      <c r="BB3517" s="128"/>
      <c r="BC3517" s="128"/>
      <c r="BD3517" s="128"/>
      <c r="BE3517" s="128"/>
      <c r="BF3517" s="128"/>
      <c r="BG3517" s="128"/>
      <c r="BH3517" s="128"/>
      <c r="BI3517" s="128"/>
      <c r="BJ3517" s="128"/>
      <c r="BK3517" s="128"/>
      <c r="BL3517" s="128"/>
      <c r="BM3517" s="151"/>
      <c r="BN3517" s="128"/>
      <c r="BO3517" s="128"/>
      <c r="BP3517" s="128"/>
      <c r="BQ3517" s="128"/>
      <c r="BR3517" s="128"/>
      <c r="BS3517" s="128"/>
      <c r="BT3517" s="128"/>
      <c r="BU3517" s="128"/>
      <c r="BV3517" s="128"/>
      <c r="BW3517" s="128"/>
      <c r="BX3517" s="128"/>
      <c r="BY3517" s="128"/>
      <c r="BZ3517" s="128"/>
      <c r="CA3517" s="128"/>
      <c r="CB3517" s="128"/>
      <c r="CC3517" s="128"/>
      <c r="CD3517" s="128"/>
      <c r="CE3517" s="128"/>
      <c r="CF3517" s="128"/>
      <c r="CG3517" s="128"/>
      <c r="CI3517" s="128"/>
      <c r="CJ3517" s="128"/>
      <c r="CK3517" s="128"/>
      <c r="CL3517" s="128"/>
      <c r="CM3517" s="128"/>
      <c r="CN3517" s="128"/>
      <c r="CO3517" s="128"/>
      <c r="CP3517" s="128"/>
      <c r="CQ3517" s="128"/>
      <c r="CR3517" s="128"/>
      <c r="CS3517" s="128"/>
      <c r="CT3517" s="128"/>
      <c r="CU3517" s="128"/>
      <c r="CV3517" s="128"/>
      <c r="CW3517" s="128"/>
      <c r="CX3517" s="128"/>
      <c r="CY3517" s="128"/>
      <c r="CZ3517" s="165"/>
    </row>
    <row r="3518" spans="1:104">
      <c r="A3518" s="149"/>
      <c r="B3518" s="149"/>
      <c r="C3518" s="150"/>
      <c r="D3518" s="102"/>
      <c r="E3518" s="149"/>
      <c r="F3518" s="149"/>
      <c r="G3518" s="149"/>
      <c r="H3518" s="149"/>
      <c r="I3518" s="149"/>
      <c r="J3518" s="149"/>
      <c r="K3518" s="149"/>
      <c r="L3518" s="149"/>
      <c r="M3518" s="149"/>
      <c r="N3518" s="149"/>
      <c r="O3518" s="149"/>
      <c r="P3518" s="149"/>
      <c r="Q3518" s="149"/>
      <c r="R3518" s="149"/>
      <c r="S3518" s="149"/>
      <c r="T3518" s="149"/>
      <c r="U3518" s="149"/>
      <c r="V3518" s="149"/>
      <c r="W3518" s="149"/>
      <c r="X3518" s="149"/>
      <c r="Y3518" s="149"/>
      <c r="Z3518" s="149"/>
      <c r="AA3518" s="149"/>
      <c r="AB3518" s="149"/>
      <c r="AC3518" s="149"/>
      <c r="AD3518" s="149"/>
      <c r="AE3518" s="149"/>
      <c r="AF3518" s="149"/>
      <c r="AG3518" s="149"/>
      <c r="AH3518" s="149"/>
      <c r="AI3518" s="149"/>
      <c r="AJ3518" s="149"/>
      <c r="AK3518" s="149"/>
      <c r="AL3518" s="149"/>
      <c r="AM3518" s="149"/>
      <c r="AN3518" s="149"/>
      <c r="AO3518" s="128"/>
      <c r="AP3518" s="128"/>
      <c r="AQ3518" s="128"/>
      <c r="AR3518" s="128"/>
      <c r="AS3518" s="128"/>
      <c r="AT3518" s="128"/>
      <c r="AU3518" s="128"/>
      <c r="AV3518" s="128"/>
      <c r="AW3518" s="128"/>
      <c r="AX3518" s="128"/>
      <c r="AY3518" s="128"/>
      <c r="AZ3518" s="128"/>
      <c r="BA3518" s="128"/>
      <c r="BB3518" s="128"/>
      <c r="BC3518" s="128"/>
      <c r="BD3518" s="128"/>
      <c r="BE3518" s="128"/>
      <c r="BF3518" s="128"/>
      <c r="BG3518" s="128"/>
      <c r="BH3518" s="128"/>
      <c r="BI3518" s="128"/>
      <c r="BJ3518" s="128"/>
      <c r="BK3518" s="128"/>
      <c r="BL3518" s="128"/>
      <c r="BM3518" s="151"/>
      <c r="BN3518" s="128"/>
      <c r="BO3518" s="128"/>
      <c r="BP3518" s="128"/>
      <c r="BQ3518" s="128"/>
      <c r="BR3518" s="128"/>
      <c r="BS3518" s="128"/>
      <c r="BT3518" s="128"/>
      <c r="BU3518" s="128"/>
      <c r="BV3518" s="128"/>
      <c r="BW3518" s="128"/>
      <c r="BX3518" s="128"/>
      <c r="BY3518" s="128"/>
      <c r="BZ3518" s="128"/>
      <c r="CA3518" s="128"/>
      <c r="CB3518" s="128"/>
      <c r="CC3518" s="128"/>
      <c r="CD3518" s="128"/>
      <c r="CE3518" s="128"/>
      <c r="CF3518" s="128"/>
      <c r="CG3518" s="128"/>
      <c r="CI3518" s="128"/>
      <c r="CJ3518" s="128"/>
      <c r="CK3518" s="128"/>
      <c r="CL3518" s="128"/>
      <c r="CM3518" s="128"/>
      <c r="CN3518" s="128"/>
      <c r="CO3518" s="128"/>
      <c r="CP3518" s="128"/>
      <c r="CQ3518" s="128"/>
      <c r="CR3518" s="128"/>
      <c r="CS3518" s="128"/>
      <c r="CT3518" s="128"/>
      <c r="CU3518" s="128"/>
      <c r="CV3518" s="128"/>
      <c r="CW3518" s="128"/>
      <c r="CX3518" s="128"/>
      <c r="CY3518" s="128"/>
      <c r="CZ3518" s="165"/>
    </row>
    <row r="3519" spans="1:104">
      <c r="A3519" s="149"/>
      <c r="B3519" s="149"/>
      <c r="C3519" s="150"/>
      <c r="D3519" s="102"/>
      <c r="E3519" s="149"/>
      <c r="F3519" s="149"/>
      <c r="G3519" s="149"/>
      <c r="H3519" s="149"/>
      <c r="I3519" s="149"/>
      <c r="J3519" s="149"/>
      <c r="K3519" s="149"/>
      <c r="L3519" s="149"/>
      <c r="M3519" s="149"/>
      <c r="N3519" s="149"/>
      <c r="O3519" s="149"/>
      <c r="P3519" s="149"/>
      <c r="Q3519" s="149"/>
      <c r="R3519" s="149"/>
      <c r="S3519" s="149"/>
      <c r="T3519" s="149"/>
      <c r="U3519" s="149"/>
      <c r="V3519" s="149"/>
      <c r="W3519" s="149"/>
      <c r="X3519" s="149"/>
      <c r="Y3519" s="149"/>
      <c r="Z3519" s="149"/>
      <c r="AA3519" s="149"/>
      <c r="AB3519" s="149"/>
      <c r="AC3519" s="149"/>
      <c r="AD3519" s="149"/>
      <c r="AE3519" s="149"/>
      <c r="AF3519" s="149"/>
      <c r="AG3519" s="149"/>
      <c r="AH3519" s="149"/>
      <c r="AI3519" s="149"/>
      <c r="AJ3519" s="149"/>
      <c r="AK3519" s="149"/>
      <c r="AL3519" s="149"/>
      <c r="AM3519" s="149"/>
      <c r="AN3519" s="149"/>
      <c r="AO3519" s="128"/>
      <c r="AP3519" s="128"/>
      <c r="AQ3519" s="128"/>
      <c r="AR3519" s="128"/>
      <c r="AS3519" s="128"/>
      <c r="AT3519" s="128"/>
      <c r="AU3519" s="128"/>
      <c r="AV3519" s="128"/>
      <c r="AW3519" s="128"/>
      <c r="AX3519" s="128"/>
      <c r="AY3519" s="128"/>
      <c r="AZ3519" s="128"/>
      <c r="BA3519" s="128"/>
      <c r="BB3519" s="128"/>
      <c r="BC3519" s="128"/>
      <c r="BD3519" s="128"/>
      <c r="BE3519" s="128"/>
      <c r="BF3519" s="128"/>
      <c r="BG3519" s="128"/>
      <c r="BH3519" s="128"/>
      <c r="BI3519" s="128"/>
      <c r="BJ3519" s="128"/>
      <c r="BK3519" s="128"/>
      <c r="BL3519" s="128"/>
      <c r="BM3519" s="151"/>
      <c r="BN3519" s="128"/>
      <c r="BO3519" s="128"/>
      <c r="BP3519" s="128"/>
      <c r="BQ3519" s="128"/>
      <c r="BR3519" s="128"/>
      <c r="BS3519" s="128"/>
      <c r="BT3519" s="128"/>
      <c r="BU3519" s="128"/>
      <c r="BV3519" s="128"/>
      <c r="BW3519" s="128"/>
      <c r="BX3519" s="128"/>
      <c r="BY3519" s="128"/>
      <c r="BZ3519" s="128"/>
      <c r="CA3519" s="128"/>
      <c r="CB3519" s="128"/>
      <c r="CC3519" s="128"/>
      <c r="CD3519" s="128"/>
      <c r="CE3519" s="128"/>
      <c r="CF3519" s="128"/>
      <c r="CG3519" s="128"/>
      <c r="CI3519" s="128"/>
      <c r="CJ3519" s="128"/>
      <c r="CK3519" s="128"/>
      <c r="CL3519" s="128"/>
      <c r="CM3519" s="128"/>
      <c r="CN3519" s="128"/>
      <c r="CO3519" s="128"/>
      <c r="CP3519" s="128"/>
      <c r="CQ3519" s="128"/>
      <c r="CR3519" s="128"/>
      <c r="CS3519" s="128"/>
      <c r="CT3519" s="128"/>
      <c r="CU3519" s="128"/>
      <c r="CV3519" s="128"/>
      <c r="CW3519" s="128"/>
      <c r="CX3519" s="128"/>
      <c r="CY3519" s="128"/>
      <c r="CZ3519" s="165"/>
    </row>
    <row r="3520" spans="1:104">
      <c r="A3520" s="149"/>
      <c r="B3520" s="149"/>
      <c r="C3520" s="150"/>
      <c r="D3520" s="102"/>
      <c r="E3520" s="149"/>
      <c r="F3520" s="149"/>
      <c r="G3520" s="149"/>
      <c r="H3520" s="149"/>
      <c r="I3520" s="149"/>
      <c r="J3520" s="149"/>
      <c r="K3520" s="149"/>
      <c r="L3520" s="149"/>
      <c r="M3520" s="149"/>
      <c r="N3520" s="149"/>
      <c r="O3520" s="149"/>
      <c r="P3520" s="149"/>
      <c r="Q3520" s="149"/>
      <c r="R3520" s="149"/>
      <c r="S3520" s="149"/>
      <c r="T3520" s="149"/>
      <c r="U3520" s="149"/>
      <c r="V3520" s="149"/>
      <c r="W3520" s="149"/>
      <c r="X3520" s="149"/>
      <c r="Y3520" s="149"/>
      <c r="Z3520" s="149"/>
      <c r="AA3520" s="149"/>
      <c r="AB3520" s="149"/>
      <c r="AC3520" s="149"/>
      <c r="AD3520" s="149"/>
      <c r="AE3520" s="149"/>
      <c r="AF3520" s="149"/>
      <c r="AG3520" s="149"/>
      <c r="AH3520" s="149"/>
      <c r="AI3520" s="149"/>
      <c r="AJ3520" s="149"/>
      <c r="AK3520" s="149"/>
      <c r="AL3520" s="149"/>
      <c r="AM3520" s="149"/>
      <c r="AN3520" s="149"/>
      <c r="AO3520" s="128"/>
      <c r="AP3520" s="128"/>
      <c r="AQ3520" s="128"/>
      <c r="AR3520" s="128"/>
      <c r="AS3520" s="128"/>
      <c r="AT3520" s="128"/>
      <c r="AU3520" s="128"/>
      <c r="AV3520" s="128"/>
      <c r="AW3520" s="128"/>
      <c r="AX3520" s="128"/>
      <c r="AY3520" s="128"/>
      <c r="AZ3520" s="128"/>
      <c r="BA3520" s="128"/>
      <c r="BB3520" s="128"/>
      <c r="BC3520" s="128"/>
      <c r="BD3520" s="128"/>
      <c r="BE3520" s="128"/>
      <c r="BF3520" s="128"/>
      <c r="BG3520" s="128"/>
      <c r="BH3520" s="128"/>
      <c r="BI3520" s="128"/>
      <c r="BJ3520" s="128"/>
      <c r="BK3520" s="128"/>
      <c r="BL3520" s="128"/>
      <c r="BM3520" s="151"/>
      <c r="BN3520" s="128"/>
      <c r="BO3520" s="128"/>
      <c r="BP3520" s="128"/>
      <c r="BQ3520" s="128"/>
      <c r="BR3520" s="128"/>
      <c r="BS3520" s="128"/>
      <c r="BT3520" s="128"/>
      <c r="BU3520" s="128"/>
      <c r="BV3520" s="128"/>
      <c r="BW3520" s="128"/>
      <c r="BX3520" s="128"/>
      <c r="BY3520" s="128"/>
      <c r="BZ3520" s="128"/>
      <c r="CA3520" s="128"/>
      <c r="CB3520" s="128"/>
      <c r="CC3520" s="128"/>
      <c r="CD3520" s="128"/>
      <c r="CE3520" s="128"/>
      <c r="CF3520" s="128"/>
      <c r="CG3520" s="128"/>
      <c r="CI3520" s="128"/>
      <c r="CJ3520" s="128"/>
      <c r="CK3520" s="128"/>
      <c r="CL3520" s="128"/>
      <c r="CM3520" s="128"/>
      <c r="CN3520" s="128"/>
      <c r="CO3520" s="128"/>
      <c r="CP3520" s="128"/>
      <c r="CQ3520" s="128"/>
      <c r="CR3520" s="128"/>
      <c r="CS3520" s="128"/>
      <c r="CT3520" s="128"/>
      <c r="CU3520" s="128"/>
      <c r="CV3520" s="128"/>
      <c r="CW3520" s="128"/>
      <c r="CX3520" s="128"/>
      <c r="CY3520" s="128"/>
      <c r="CZ3520" s="165"/>
    </row>
    <row r="3521" spans="1:104">
      <c r="A3521" s="149"/>
      <c r="B3521" s="149"/>
      <c r="C3521" s="150"/>
      <c r="D3521" s="102"/>
      <c r="E3521" s="149"/>
      <c r="F3521" s="149"/>
      <c r="G3521" s="149"/>
      <c r="H3521" s="149"/>
      <c r="I3521" s="149"/>
      <c r="J3521" s="149"/>
      <c r="K3521" s="149"/>
      <c r="L3521" s="149"/>
      <c r="M3521" s="149"/>
      <c r="N3521" s="149"/>
      <c r="O3521" s="149"/>
      <c r="P3521" s="149"/>
      <c r="Q3521" s="149"/>
      <c r="R3521" s="149"/>
      <c r="S3521" s="149"/>
      <c r="T3521" s="149"/>
      <c r="U3521" s="149"/>
      <c r="V3521" s="149"/>
      <c r="W3521" s="149"/>
      <c r="X3521" s="149"/>
      <c r="Y3521" s="149"/>
      <c r="Z3521" s="149"/>
      <c r="AA3521" s="149"/>
      <c r="AB3521" s="149"/>
      <c r="AC3521" s="149"/>
      <c r="AD3521" s="149"/>
      <c r="AE3521" s="149"/>
      <c r="AF3521" s="149"/>
      <c r="AG3521" s="149"/>
      <c r="AH3521" s="149"/>
      <c r="AI3521" s="149"/>
      <c r="AJ3521" s="149"/>
      <c r="AK3521" s="149"/>
      <c r="AL3521" s="149"/>
      <c r="AM3521" s="149"/>
      <c r="AN3521" s="149"/>
      <c r="AO3521" s="128"/>
      <c r="AP3521" s="128"/>
      <c r="AQ3521" s="128"/>
      <c r="AR3521" s="128"/>
      <c r="AS3521" s="128"/>
      <c r="AT3521" s="128"/>
      <c r="AU3521" s="128"/>
      <c r="AV3521" s="128"/>
      <c r="AW3521" s="128"/>
      <c r="AX3521" s="128"/>
      <c r="AY3521" s="128"/>
      <c r="AZ3521" s="128"/>
      <c r="BA3521" s="128"/>
      <c r="BB3521" s="128"/>
      <c r="BC3521" s="128"/>
      <c r="BD3521" s="128"/>
      <c r="BE3521" s="128"/>
      <c r="BF3521" s="128"/>
      <c r="BG3521" s="128"/>
      <c r="BH3521" s="128"/>
      <c r="BI3521" s="128"/>
      <c r="BJ3521" s="128"/>
      <c r="BK3521" s="128"/>
      <c r="BL3521" s="128"/>
      <c r="BM3521" s="151"/>
      <c r="BN3521" s="128"/>
      <c r="BO3521" s="128"/>
      <c r="BP3521" s="128"/>
      <c r="BQ3521" s="128"/>
      <c r="BR3521" s="128"/>
      <c r="BS3521" s="128"/>
      <c r="BT3521" s="128"/>
      <c r="BU3521" s="128"/>
      <c r="BV3521" s="128"/>
      <c r="BW3521" s="128"/>
      <c r="BX3521" s="128"/>
      <c r="BY3521" s="128"/>
      <c r="BZ3521" s="128"/>
      <c r="CA3521" s="128"/>
      <c r="CB3521" s="128"/>
      <c r="CC3521" s="128"/>
      <c r="CD3521" s="128"/>
      <c r="CE3521" s="128"/>
      <c r="CF3521" s="128"/>
      <c r="CG3521" s="128"/>
      <c r="CI3521" s="128"/>
      <c r="CJ3521" s="128"/>
      <c r="CK3521" s="128"/>
      <c r="CL3521" s="128"/>
      <c r="CM3521" s="128"/>
      <c r="CN3521" s="128"/>
      <c r="CO3521" s="128"/>
      <c r="CP3521" s="128"/>
      <c r="CQ3521" s="128"/>
      <c r="CR3521" s="128"/>
      <c r="CS3521" s="128"/>
      <c r="CT3521" s="128"/>
      <c r="CU3521" s="128"/>
      <c r="CV3521" s="128"/>
      <c r="CW3521" s="128"/>
      <c r="CX3521" s="128"/>
      <c r="CY3521" s="128"/>
      <c r="CZ3521" s="165"/>
    </row>
    <row r="3522" spans="1:104">
      <c r="A3522" s="149"/>
      <c r="B3522" s="149"/>
      <c r="C3522" s="150"/>
      <c r="D3522" s="102"/>
      <c r="E3522" s="149"/>
      <c r="F3522" s="149"/>
      <c r="G3522" s="149"/>
      <c r="H3522" s="149"/>
      <c r="I3522" s="149"/>
      <c r="J3522" s="149"/>
      <c r="K3522" s="149"/>
      <c r="L3522" s="149"/>
      <c r="M3522" s="149"/>
      <c r="N3522" s="149"/>
      <c r="O3522" s="149"/>
      <c r="P3522" s="149"/>
      <c r="Q3522" s="149"/>
      <c r="R3522" s="149"/>
      <c r="S3522" s="149"/>
      <c r="T3522" s="149"/>
      <c r="U3522" s="149"/>
      <c r="V3522" s="149"/>
      <c r="W3522" s="149"/>
      <c r="X3522" s="149"/>
      <c r="Y3522" s="149"/>
      <c r="Z3522" s="149"/>
      <c r="AA3522" s="149"/>
      <c r="AB3522" s="149"/>
      <c r="AC3522" s="149"/>
      <c r="AD3522" s="149"/>
      <c r="AE3522" s="149"/>
      <c r="AF3522" s="149"/>
      <c r="AG3522" s="149"/>
      <c r="AH3522" s="149"/>
      <c r="AI3522" s="149"/>
      <c r="AJ3522" s="149"/>
      <c r="AK3522" s="149"/>
      <c r="AL3522" s="149"/>
      <c r="AM3522" s="149"/>
      <c r="AN3522" s="149"/>
      <c r="AO3522" s="128"/>
      <c r="AP3522" s="128"/>
      <c r="AQ3522" s="128"/>
      <c r="AR3522" s="128"/>
      <c r="AS3522" s="128"/>
      <c r="AT3522" s="128"/>
      <c r="AU3522" s="128"/>
      <c r="AV3522" s="128"/>
      <c r="AW3522" s="128"/>
      <c r="AX3522" s="128"/>
      <c r="AY3522" s="128"/>
      <c r="AZ3522" s="128"/>
      <c r="BA3522" s="128"/>
      <c r="BB3522" s="128"/>
      <c r="BC3522" s="128"/>
      <c r="BD3522" s="128"/>
      <c r="BE3522" s="128"/>
      <c r="BF3522" s="128"/>
      <c r="BG3522" s="128"/>
      <c r="BH3522" s="128"/>
      <c r="BI3522" s="128"/>
      <c r="BJ3522" s="128"/>
      <c r="BK3522" s="128"/>
      <c r="BL3522" s="128"/>
      <c r="BM3522" s="151"/>
      <c r="BN3522" s="128"/>
      <c r="BO3522" s="128"/>
      <c r="BP3522" s="128"/>
      <c r="BQ3522" s="128"/>
      <c r="BR3522" s="128"/>
      <c r="BS3522" s="128"/>
      <c r="BT3522" s="128"/>
      <c r="BU3522" s="128"/>
      <c r="BV3522" s="128"/>
      <c r="BW3522" s="128"/>
      <c r="BX3522" s="128"/>
      <c r="BY3522" s="128"/>
      <c r="BZ3522" s="128"/>
      <c r="CA3522" s="128"/>
      <c r="CB3522" s="128"/>
      <c r="CC3522" s="128"/>
      <c r="CD3522" s="128"/>
      <c r="CE3522" s="128"/>
      <c r="CF3522" s="128"/>
      <c r="CG3522" s="128"/>
      <c r="CI3522" s="128"/>
      <c r="CJ3522" s="128"/>
      <c r="CK3522" s="128"/>
      <c r="CL3522" s="128"/>
      <c r="CM3522" s="128"/>
      <c r="CN3522" s="128"/>
      <c r="CO3522" s="128"/>
      <c r="CP3522" s="128"/>
      <c r="CQ3522" s="128"/>
      <c r="CR3522" s="128"/>
      <c r="CS3522" s="128"/>
      <c r="CT3522" s="128"/>
      <c r="CU3522" s="128"/>
      <c r="CV3522" s="128"/>
      <c r="CW3522" s="128"/>
      <c r="CX3522" s="128"/>
      <c r="CY3522" s="128"/>
      <c r="CZ3522" s="165"/>
    </row>
    <row r="3523" spans="1:104">
      <c r="A3523" s="149"/>
      <c r="B3523" s="149"/>
      <c r="C3523" s="150"/>
      <c r="D3523" s="102"/>
      <c r="E3523" s="149"/>
      <c r="F3523" s="149"/>
      <c r="G3523" s="149"/>
      <c r="H3523" s="149"/>
      <c r="I3523" s="149"/>
      <c r="J3523" s="149"/>
      <c r="K3523" s="149"/>
      <c r="L3523" s="149"/>
      <c r="M3523" s="149"/>
      <c r="N3523" s="149"/>
      <c r="O3523" s="149"/>
      <c r="P3523" s="149"/>
      <c r="Q3523" s="149"/>
      <c r="R3523" s="149"/>
      <c r="S3523" s="149"/>
      <c r="T3523" s="149"/>
      <c r="U3523" s="149"/>
      <c r="V3523" s="149"/>
      <c r="W3523" s="149"/>
      <c r="X3523" s="149"/>
      <c r="Y3523" s="149"/>
      <c r="Z3523" s="149"/>
      <c r="AA3523" s="149"/>
      <c r="AB3523" s="149"/>
      <c r="AC3523" s="149"/>
      <c r="AD3523" s="149"/>
      <c r="AE3523" s="149"/>
      <c r="AF3523" s="149"/>
      <c r="AG3523" s="149"/>
      <c r="AH3523" s="149"/>
      <c r="AI3523" s="149"/>
      <c r="AJ3523" s="149"/>
      <c r="AK3523" s="149"/>
      <c r="AL3523" s="149"/>
      <c r="AM3523" s="149"/>
      <c r="AN3523" s="149"/>
      <c r="AO3523" s="128"/>
      <c r="AP3523" s="128"/>
      <c r="AQ3523" s="128"/>
      <c r="AR3523" s="128"/>
      <c r="AS3523" s="128"/>
      <c r="AT3523" s="128"/>
      <c r="AU3523" s="128"/>
      <c r="AV3523" s="128"/>
      <c r="AW3523" s="128"/>
      <c r="AX3523" s="128"/>
      <c r="AY3523" s="128"/>
      <c r="AZ3523" s="128"/>
      <c r="BA3523" s="128"/>
      <c r="BB3523" s="128"/>
      <c r="BC3523" s="128"/>
      <c r="BD3523" s="128"/>
      <c r="BE3523" s="128"/>
      <c r="BF3523" s="128"/>
      <c r="BG3523" s="128"/>
      <c r="BH3523" s="128"/>
      <c r="BI3523" s="128"/>
      <c r="BJ3523" s="128"/>
      <c r="BK3523" s="128"/>
      <c r="BL3523" s="128"/>
      <c r="BM3523" s="151"/>
      <c r="BN3523" s="128"/>
      <c r="BO3523" s="128"/>
      <c r="BP3523" s="128"/>
      <c r="BQ3523" s="128"/>
      <c r="BR3523" s="128"/>
      <c r="BS3523" s="128"/>
      <c r="BT3523" s="128"/>
      <c r="BU3523" s="128"/>
      <c r="BV3523" s="128"/>
      <c r="BW3523" s="128"/>
      <c r="BX3523" s="128"/>
      <c r="BY3523" s="128"/>
      <c r="BZ3523" s="128"/>
      <c r="CA3523" s="128"/>
      <c r="CB3523" s="128"/>
      <c r="CC3523" s="128"/>
      <c r="CD3523" s="128"/>
      <c r="CE3523" s="128"/>
      <c r="CF3523" s="128"/>
      <c r="CG3523" s="128"/>
      <c r="CI3523" s="128"/>
      <c r="CJ3523" s="128"/>
      <c r="CK3523" s="128"/>
      <c r="CL3523" s="128"/>
      <c r="CM3523" s="128"/>
      <c r="CN3523" s="128"/>
      <c r="CO3523" s="128"/>
      <c r="CP3523" s="128"/>
      <c r="CQ3523" s="128"/>
      <c r="CR3523" s="128"/>
      <c r="CS3523" s="128"/>
      <c r="CT3523" s="128"/>
      <c r="CU3523" s="128"/>
      <c r="CV3523" s="128"/>
      <c r="CW3523" s="128"/>
      <c r="CX3523" s="128"/>
      <c r="CY3523" s="128"/>
      <c r="CZ3523" s="165"/>
    </row>
    <row r="3524" spans="1:104">
      <c r="A3524" s="149"/>
      <c r="B3524" s="149"/>
      <c r="C3524" s="150"/>
      <c r="D3524" s="102"/>
      <c r="E3524" s="149"/>
      <c r="F3524" s="149"/>
      <c r="G3524" s="149"/>
      <c r="H3524" s="149"/>
      <c r="I3524" s="149"/>
      <c r="J3524" s="149"/>
      <c r="K3524" s="149"/>
      <c r="L3524" s="149"/>
      <c r="M3524" s="149"/>
      <c r="N3524" s="149"/>
      <c r="O3524" s="149"/>
      <c r="P3524" s="149"/>
      <c r="Q3524" s="149"/>
      <c r="R3524" s="149"/>
      <c r="S3524" s="149"/>
      <c r="T3524" s="149"/>
      <c r="U3524" s="149"/>
      <c r="V3524" s="149"/>
      <c r="W3524" s="149"/>
      <c r="X3524" s="149"/>
      <c r="Y3524" s="149"/>
      <c r="Z3524" s="149"/>
      <c r="AA3524" s="149"/>
      <c r="AB3524" s="149"/>
      <c r="AC3524" s="149"/>
      <c r="AD3524" s="149"/>
      <c r="AE3524" s="149"/>
      <c r="AF3524" s="149"/>
      <c r="AG3524" s="149"/>
      <c r="AH3524" s="149"/>
      <c r="AI3524" s="149"/>
      <c r="AJ3524" s="149"/>
      <c r="AK3524" s="149"/>
      <c r="AL3524" s="149"/>
      <c r="AM3524" s="149"/>
      <c r="AN3524" s="149"/>
      <c r="AO3524" s="128"/>
      <c r="AP3524" s="128"/>
      <c r="AQ3524" s="128"/>
      <c r="AR3524" s="128"/>
      <c r="AS3524" s="128"/>
      <c r="AT3524" s="128"/>
      <c r="AU3524" s="128"/>
      <c r="AV3524" s="128"/>
      <c r="AW3524" s="128"/>
      <c r="AX3524" s="128"/>
      <c r="AY3524" s="128"/>
      <c r="AZ3524" s="128"/>
      <c r="BA3524" s="128"/>
      <c r="BB3524" s="128"/>
      <c r="BC3524" s="128"/>
      <c r="BD3524" s="128"/>
      <c r="BE3524" s="128"/>
      <c r="BF3524" s="128"/>
      <c r="BG3524" s="128"/>
      <c r="BH3524" s="128"/>
      <c r="BI3524" s="128"/>
      <c r="BJ3524" s="128"/>
      <c r="BK3524" s="128"/>
      <c r="BL3524" s="128"/>
      <c r="BM3524" s="151"/>
      <c r="BN3524" s="128"/>
      <c r="BO3524" s="128"/>
      <c r="BP3524" s="128"/>
      <c r="BQ3524" s="128"/>
      <c r="BR3524" s="128"/>
      <c r="BS3524" s="128"/>
      <c r="BT3524" s="128"/>
      <c r="BU3524" s="128"/>
      <c r="BV3524" s="128"/>
      <c r="BW3524" s="128"/>
      <c r="BX3524" s="128"/>
      <c r="BY3524" s="128"/>
      <c r="BZ3524" s="128"/>
      <c r="CA3524" s="128"/>
      <c r="CB3524" s="128"/>
      <c r="CC3524" s="128"/>
      <c r="CD3524" s="128"/>
      <c r="CE3524" s="128"/>
      <c r="CF3524" s="128"/>
      <c r="CG3524" s="128"/>
      <c r="CI3524" s="128"/>
      <c r="CJ3524" s="128"/>
      <c r="CK3524" s="128"/>
      <c r="CL3524" s="128"/>
      <c r="CM3524" s="128"/>
      <c r="CN3524" s="128"/>
      <c r="CO3524" s="128"/>
      <c r="CP3524" s="128"/>
      <c r="CQ3524" s="128"/>
      <c r="CR3524" s="128"/>
      <c r="CS3524" s="128"/>
      <c r="CT3524" s="128"/>
      <c r="CU3524" s="128"/>
      <c r="CV3524" s="128"/>
      <c r="CW3524" s="128"/>
      <c r="CX3524" s="128"/>
      <c r="CY3524" s="128"/>
      <c r="CZ3524" s="165"/>
    </row>
    <row r="3525" spans="1:104">
      <c r="A3525" s="149"/>
      <c r="B3525" s="149"/>
      <c r="C3525" s="150"/>
      <c r="D3525" s="102"/>
      <c r="E3525" s="149"/>
      <c r="F3525" s="149"/>
      <c r="G3525" s="149"/>
      <c r="H3525" s="149"/>
      <c r="I3525" s="149"/>
      <c r="J3525" s="149"/>
      <c r="K3525" s="149"/>
      <c r="L3525" s="149"/>
      <c r="M3525" s="149"/>
      <c r="N3525" s="149"/>
      <c r="O3525" s="149"/>
      <c r="P3525" s="149"/>
      <c r="Q3525" s="149"/>
      <c r="R3525" s="149"/>
      <c r="S3525" s="149"/>
      <c r="T3525" s="149"/>
      <c r="U3525" s="149"/>
      <c r="V3525" s="149"/>
      <c r="W3525" s="149"/>
      <c r="X3525" s="149"/>
      <c r="Y3525" s="149"/>
      <c r="Z3525" s="149"/>
      <c r="AA3525" s="149"/>
      <c r="AB3525" s="149"/>
      <c r="AC3525" s="149"/>
      <c r="AD3525" s="149"/>
      <c r="AE3525" s="149"/>
      <c r="AF3525" s="149"/>
      <c r="AG3525" s="149"/>
      <c r="AH3525" s="149"/>
      <c r="AI3525" s="149"/>
      <c r="AJ3525" s="149"/>
      <c r="AK3525" s="149"/>
      <c r="AL3525" s="149"/>
      <c r="AM3525" s="149"/>
      <c r="AN3525" s="149"/>
      <c r="AO3525" s="128"/>
      <c r="AP3525" s="128"/>
      <c r="AQ3525" s="128"/>
      <c r="AR3525" s="128"/>
      <c r="AS3525" s="128"/>
      <c r="AT3525" s="128"/>
      <c r="AU3525" s="128"/>
      <c r="AV3525" s="128"/>
      <c r="AW3525" s="128"/>
      <c r="AX3525" s="128"/>
      <c r="AY3525" s="128"/>
      <c r="AZ3525" s="128"/>
      <c r="BA3525" s="128"/>
      <c r="BB3525" s="128"/>
      <c r="BC3525" s="128"/>
      <c r="BD3525" s="128"/>
      <c r="BE3525" s="128"/>
      <c r="BF3525" s="128"/>
      <c r="BG3525" s="128"/>
      <c r="BH3525" s="128"/>
      <c r="BI3525" s="128"/>
      <c r="BJ3525" s="128"/>
      <c r="BK3525" s="128"/>
      <c r="BL3525" s="128"/>
      <c r="BM3525" s="151"/>
      <c r="BN3525" s="128"/>
      <c r="BO3525" s="128"/>
      <c r="BP3525" s="128"/>
      <c r="BQ3525" s="128"/>
      <c r="BR3525" s="128"/>
      <c r="BS3525" s="128"/>
      <c r="BT3525" s="128"/>
      <c r="BU3525" s="128"/>
      <c r="BV3525" s="128"/>
      <c r="BW3525" s="128"/>
      <c r="BX3525" s="128"/>
      <c r="BY3525" s="128"/>
      <c r="BZ3525" s="128"/>
      <c r="CA3525" s="128"/>
      <c r="CB3525" s="128"/>
      <c r="CC3525" s="128"/>
      <c r="CD3525" s="128"/>
      <c r="CE3525" s="128"/>
      <c r="CF3525" s="128"/>
      <c r="CG3525" s="128"/>
      <c r="CI3525" s="128"/>
      <c r="CJ3525" s="128"/>
      <c r="CK3525" s="128"/>
      <c r="CL3525" s="128"/>
      <c r="CM3525" s="128"/>
      <c r="CN3525" s="128"/>
      <c r="CO3525" s="128"/>
      <c r="CP3525" s="128"/>
      <c r="CQ3525" s="128"/>
      <c r="CR3525" s="128"/>
      <c r="CS3525" s="128"/>
      <c r="CT3525" s="128"/>
      <c r="CU3525" s="128"/>
      <c r="CV3525" s="128"/>
      <c r="CW3525" s="128"/>
      <c r="CX3525" s="128"/>
      <c r="CY3525" s="128"/>
      <c r="CZ3525" s="165"/>
    </row>
    <row r="3526" spans="1:104">
      <c r="A3526" s="149"/>
      <c r="B3526" s="149"/>
      <c r="C3526" s="150"/>
      <c r="D3526" s="102"/>
      <c r="E3526" s="149"/>
      <c r="F3526" s="149"/>
      <c r="G3526" s="149"/>
      <c r="H3526" s="149"/>
      <c r="I3526" s="149"/>
      <c r="J3526" s="149"/>
      <c r="K3526" s="149"/>
      <c r="L3526" s="149"/>
      <c r="M3526" s="149"/>
      <c r="N3526" s="149"/>
      <c r="O3526" s="149"/>
      <c r="P3526" s="149"/>
      <c r="Q3526" s="149"/>
      <c r="R3526" s="149"/>
      <c r="S3526" s="149"/>
      <c r="T3526" s="149"/>
      <c r="U3526" s="149"/>
      <c r="V3526" s="149"/>
      <c r="W3526" s="149"/>
      <c r="X3526" s="149"/>
      <c r="Y3526" s="149"/>
      <c r="Z3526" s="149"/>
      <c r="AA3526" s="149"/>
      <c r="AB3526" s="149"/>
      <c r="AC3526" s="149"/>
      <c r="AD3526" s="149"/>
      <c r="AE3526" s="149"/>
      <c r="AF3526" s="149"/>
      <c r="AG3526" s="149"/>
      <c r="AH3526" s="149"/>
      <c r="AI3526" s="149"/>
      <c r="AJ3526" s="149"/>
      <c r="AK3526" s="149"/>
      <c r="AL3526" s="149"/>
      <c r="AM3526" s="149"/>
      <c r="AN3526" s="149"/>
      <c r="AO3526" s="128"/>
      <c r="AP3526" s="128"/>
      <c r="AQ3526" s="128"/>
      <c r="AR3526" s="128"/>
      <c r="AS3526" s="128"/>
      <c r="AT3526" s="128"/>
      <c r="AU3526" s="128"/>
      <c r="AV3526" s="128"/>
      <c r="AW3526" s="128"/>
      <c r="AX3526" s="128"/>
      <c r="AY3526" s="128"/>
      <c r="AZ3526" s="128"/>
      <c r="BA3526" s="128"/>
      <c r="BB3526" s="128"/>
      <c r="BC3526" s="128"/>
      <c r="BD3526" s="128"/>
      <c r="BE3526" s="128"/>
      <c r="BF3526" s="128"/>
      <c r="BG3526" s="128"/>
      <c r="BH3526" s="128"/>
      <c r="BI3526" s="128"/>
      <c r="BJ3526" s="128"/>
      <c r="BK3526" s="128"/>
      <c r="BL3526" s="128"/>
      <c r="BM3526" s="151"/>
      <c r="BN3526" s="128"/>
      <c r="BO3526" s="128"/>
      <c r="BP3526" s="128"/>
      <c r="BQ3526" s="128"/>
      <c r="BR3526" s="128"/>
      <c r="BS3526" s="128"/>
      <c r="BT3526" s="128"/>
      <c r="BU3526" s="128"/>
      <c r="BV3526" s="128"/>
      <c r="BW3526" s="128"/>
      <c r="BX3526" s="128"/>
      <c r="BY3526" s="128"/>
      <c r="BZ3526" s="128"/>
      <c r="CA3526" s="128"/>
      <c r="CB3526" s="128"/>
      <c r="CC3526" s="128"/>
      <c r="CD3526" s="128"/>
      <c r="CE3526" s="128"/>
      <c r="CF3526" s="128"/>
      <c r="CG3526" s="128"/>
      <c r="CI3526" s="128"/>
      <c r="CJ3526" s="128"/>
      <c r="CK3526" s="128"/>
      <c r="CL3526" s="128"/>
      <c r="CM3526" s="128"/>
      <c r="CN3526" s="128"/>
      <c r="CO3526" s="128"/>
      <c r="CP3526" s="128"/>
      <c r="CQ3526" s="128"/>
      <c r="CR3526" s="128"/>
      <c r="CS3526" s="128"/>
      <c r="CT3526" s="128"/>
      <c r="CU3526" s="128"/>
      <c r="CV3526" s="128"/>
      <c r="CW3526" s="128"/>
      <c r="CX3526" s="128"/>
      <c r="CY3526" s="128"/>
      <c r="CZ3526" s="165"/>
    </row>
    <row r="3527" spans="1:104">
      <c r="A3527" s="149"/>
      <c r="B3527" s="149"/>
      <c r="C3527" s="150"/>
      <c r="D3527" s="102"/>
      <c r="E3527" s="149"/>
      <c r="F3527" s="149"/>
      <c r="G3527" s="149"/>
      <c r="H3527" s="149"/>
      <c r="I3527" s="149"/>
      <c r="J3527" s="149"/>
      <c r="K3527" s="149"/>
      <c r="L3527" s="149"/>
      <c r="M3527" s="149"/>
      <c r="N3527" s="149"/>
      <c r="O3527" s="149"/>
      <c r="P3527" s="149"/>
      <c r="Q3527" s="149"/>
      <c r="R3527" s="149"/>
      <c r="S3527" s="149"/>
      <c r="T3527" s="149"/>
      <c r="U3527" s="149"/>
      <c r="V3527" s="149"/>
      <c r="W3527" s="149"/>
      <c r="X3527" s="149"/>
      <c r="Y3527" s="149"/>
      <c r="Z3527" s="149"/>
      <c r="AA3527" s="149"/>
      <c r="AB3527" s="149"/>
      <c r="AC3527" s="149"/>
      <c r="AD3527" s="149"/>
      <c r="AE3527" s="149"/>
      <c r="AF3527" s="149"/>
      <c r="AG3527" s="149"/>
      <c r="AH3527" s="149"/>
      <c r="AI3527" s="149"/>
      <c r="AJ3527" s="149"/>
      <c r="AK3527" s="149"/>
      <c r="AL3527" s="149"/>
      <c r="AM3527" s="149"/>
      <c r="AN3527" s="149"/>
      <c r="AO3527" s="128"/>
      <c r="AP3527" s="128"/>
      <c r="AQ3527" s="128"/>
      <c r="AR3527" s="128"/>
      <c r="AS3527" s="128"/>
      <c r="AT3527" s="128"/>
      <c r="AU3527" s="128"/>
      <c r="AV3527" s="128"/>
      <c r="AW3527" s="128"/>
      <c r="AX3527" s="128"/>
      <c r="AY3527" s="128"/>
      <c r="AZ3527" s="128"/>
      <c r="BA3527" s="128"/>
      <c r="BB3527" s="128"/>
      <c r="BC3527" s="128"/>
      <c r="BD3527" s="128"/>
      <c r="BE3527" s="128"/>
      <c r="BF3527" s="128"/>
      <c r="BG3527" s="128"/>
      <c r="BH3527" s="128"/>
      <c r="BI3527" s="128"/>
      <c r="BJ3527" s="128"/>
      <c r="BK3527" s="128"/>
      <c r="BL3527" s="128"/>
      <c r="BM3527" s="151"/>
      <c r="BN3527" s="128"/>
      <c r="BO3527" s="128"/>
      <c r="BP3527" s="128"/>
      <c r="BQ3527" s="128"/>
      <c r="BR3527" s="128"/>
      <c r="BS3527" s="128"/>
      <c r="BT3527" s="128"/>
      <c r="BU3527" s="128"/>
      <c r="BV3527" s="128"/>
      <c r="BW3527" s="128"/>
      <c r="BX3527" s="128"/>
      <c r="BY3527" s="128"/>
      <c r="BZ3527" s="128"/>
      <c r="CA3527" s="128"/>
      <c r="CB3527" s="128"/>
      <c r="CC3527" s="128"/>
      <c r="CD3527" s="128"/>
      <c r="CE3527" s="128"/>
      <c r="CF3527" s="128"/>
      <c r="CG3527" s="128"/>
      <c r="CI3527" s="128"/>
      <c r="CJ3527" s="128"/>
      <c r="CK3527" s="128"/>
      <c r="CL3527" s="128"/>
      <c r="CM3527" s="128"/>
      <c r="CN3527" s="128"/>
      <c r="CO3527" s="128"/>
      <c r="CP3527" s="128"/>
      <c r="CQ3527" s="128"/>
      <c r="CR3527" s="128"/>
      <c r="CS3527" s="128"/>
      <c r="CT3527" s="128"/>
      <c r="CU3527" s="128"/>
      <c r="CV3527" s="128"/>
      <c r="CW3527" s="128"/>
      <c r="CX3527" s="128"/>
      <c r="CY3527" s="128"/>
      <c r="CZ3527" s="165"/>
    </row>
    <row r="3528" spans="1:104">
      <c r="A3528" s="149"/>
      <c r="B3528" s="149"/>
      <c r="C3528" s="150"/>
      <c r="D3528" s="102"/>
      <c r="E3528" s="149"/>
      <c r="F3528" s="149"/>
      <c r="G3528" s="149"/>
      <c r="H3528" s="149"/>
      <c r="I3528" s="149"/>
      <c r="J3528" s="149"/>
      <c r="K3528" s="149"/>
      <c r="L3528" s="149"/>
      <c r="M3528" s="149"/>
      <c r="N3528" s="149"/>
      <c r="O3528" s="149"/>
      <c r="P3528" s="149"/>
      <c r="Q3528" s="149"/>
      <c r="R3528" s="149"/>
      <c r="S3528" s="149"/>
      <c r="T3528" s="149"/>
      <c r="U3528" s="149"/>
      <c r="V3528" s="149"/>
      <c r="W3528" s="149"/>
      <c r="X3528" s="149"/>
      <c r="Y3528" s="149"/>
      <c r="Z3528" s="149"/>
      <c r="AA3528" s="149"/>
      <c r="AB3528" s="149"/>
      <c r="AC3528" s="149"/>
      <c r="AD3528" s="149"/>
      <c r="AE3528" s="149"/>
      <c r="AF3528" s="149"/>
      <c r="AG3528" s="149"/>
      <c r="AH3528" s="149"/>
      <c r="AI3528" s="149"/>
      <c r="AJ3528" s="149"/>
      <c r="AK3528" s="149"/>
      <c r="AL3528" s="149"/>
      <c r="AM3528" s="149"/>
      <c r="AN3528" s="149"/>
      <c r="AO3528" s="128"/>
      <c r="AP3528" s="128"/>
      <c r="AQ3528" s="128"/>
      <c r="AR3528" s="128"/>
      <c r="AS3528" s="128"/>
      <c r="AT3528" s="128"/>
      <c r="AU3528" s="128"/>
      <c r="AV3528" s="128"/>
      <c r="AW3528" s="128"/>
      <c r="AX3528" s="128"/>
      <c r="AY3528" s="128"/>
      <c r="AZ3528" s="128"/>
      <c r="BA3528" s="128"/>
      <c r="BB3528" s="128"/>
      <c r="BC3528" s="128"/>
      <c r="BD3528" s="128"/>
      <c r="BE3528" s="128"/>
      <c r="BF3528" s="128"/>
      <c r="BG3528" s="128"/>
      <c r="BH3528" s="128"/>
      <c r="BI3528" s="128"/>
      <c r="BJ3528" s="128"/>
      <c r="BK3528" s="128"/>
      <c r="BL3528" s="128"/>
      <c r="BM3528" s="151"/>
      <c r="BN3528" s="128"/>
      <c r="BO3528" s="128"/>
      <c r="BP3528" s="128"/>
      <c r="BQ3528" s="128"/>
      <c r="BR3528" s="128"/>
      <c r="BS3528" s="128"/>
      <c r="BT3528" s="128"/>
      <c r="BU3528" s="128"/>
      <c r="BV3528" s="128"/>
      <c r="BW3528" s="128"/>
      <c r="BX3528" s="128"/>
      <c r="BY3528" s="128"/>
      <c r="BZ3528" s="128"/>
      <c r="CA3528" s="128"/>
      <c r="CB3528" s="128"/>
      <c r="CC3528" s="128"/>
      <c r="CD3528" s="128"/>
      <c r="CE3528" s="128"/>
      <c r="CF3528" s="128"/>
      <c r="CG3528" s="128"/>
      <c r="CI3528" s="128"/>
      <c r="CJ3528" s="128"/>
      <c r="CK3528" s="128"/>
      <c r="CL3528" s="128"/>
      <c r="CM3528" s="128"/>
      <c r="CN3528" s="128"/>
      <c r="CO3528" s="128"/>
      <c r="CP3528" s="128"/>
      <c r="CQ3528" s="128"/>
      <c r="CR3528" s="128"/>
      <c r="CS3528" s="128"/>
      <c r="CT3528" s="128"/>
      <c r="CU3528" s="128"/>
      <c r="CV3528" s="128"/>
      <c r="CW3528" s="128"/>
      <c r="CX3528" s="128"/>
      <c r="CY3528" s="128"/>
      <c r="CZ3528" s="165"/>
    </row>
    <row r="3529" spans="1:104">
      <c r="A3529" s="149"/>
      <c r="B3529" s="149"/>
      <c r="C3529" s="150"/>
      <c r="D3529" s="102"/>
      <c r="E3529" s="149"/>
      <c r="F3529" s="149"/>
      <c r="G3529" s="149"/>
      <c r="H3529" s="149"/>
      <c r="I3529" s="149"/>
      <c r="J3529" s="149"/>
      <c r="K3529" s="149"/>
      <c r="L3529" s="149"/>
      <c r="M3529" s="149"/>
      <c r="N3529" s="149"/>
      <c r="O3529" s="149"/>
      <c r="P3529" s="149"/>
      <c r="Q3529" s="149"/>
      <c r="R3529" s="149"/>
      <c r="S3529" s="149"/>
      <c r="T3529" s="149"/>
      <c r="U3529" s="149"/>
      <c r="V3529" s="149"/>
      <c r="W3529" s="149"/>
      <c r="X3529" s="149"/>
      <c r="Y3529" s="149"/>
      <c r="Z3529" s="149"/>
      <c r="AA3529" s="149"/>
      <c r="AB3529" s="149"/>
      <c r="AC3529" s="149"/>
      <c r="AD3529" s="149"/>
      <c r="AE3529" s="149"/>
      <c r="AF3529" s="149"/>
      <c r="AG3529" s="149"/>
      <c r="AH3529" s="149"/>
      <c r="AI3529" s="149"/>
      <c r="AJ3529" s="149"/>
      <c r="AK3529" s="149"/>
      <c r="AL3529" s="149"/>
      <c r="AM3529" s="149"/>
      <c r="AN3529" s="149"/>
      <c r="AO3529" s="128"/>
      <c r="AP3529" s="128"/>
      <c r="AQ3529" s="128"/>
      <c r="AR3529" s="128"/>
      <c r="AS3529" s="128"/>
      <c r="AT3529" s="128"/>
      <c r="AU3529" s="128"/>
      <c r="AV3529" s="128"/>
      <c r="AW3529" s="128"/>
      <c r="AX3529" s="128"/>
      <c r="AY3529" s="128"/>
      <c r="AZ3529" s="128"/>
      <c r="BA3529" s="128"/>
      <c r="BB3529" s="128"/>
      <c r="BC3529" s="128"/>
      <c r="BD3529" s="128"/>
      <c r="BE3529" s="128"/>
      <c r="BF3529" s="128"/>
      <c r="BG3529" s="128"/>
      <c r="BH3529" s="128"/>
      <c r="BI3529" s="128"/>
      <c r="BJ3529" s="128"/>
      <c r="BK3529" s="128"/>
      <c r="BL3529" s="128"/>
      <c r="BM3529" s="151"/>
      <c r="BN3529" s="128"/>
      <c r="BO3529" s="128"/>
      <c r="BP3529" s="128"/>
      <c r="BQ3529" s="128"/>
      <c r="BR3529" s="128"/>
      <c r="BS3529" s="128"/>
      <c r="BT3529" s="128"/>
      <c r="BU3529" s="128"/>
      <c r="BV3529" s="128"/>
      <c r="BW3529" s="128"/>
      <c r="BX3529" s="128"/>
      <c r="BY3529" s="128"/>
      <c r="BZ3529" s="128"/>
      <c r="CA3529" s="128"/>
      <c r="CB3529" s="128"/>
      <c r="CC3529" s="128"/>
      <c r="CD3529" s="128"/>
      <c r="CE3529" s="128"/>
      <c r="CF3529" s="128"/>
      <c r="CG3529" s="128"/>
      <c r="CI3529" s="128"/>
      <c r="CJ3529" s="128"/>
      <c r="CK3529" s="128"/>
      <c r="CL3529" s="128"/>
      <c r="CM3529" s="128"/>
      <c r="CN3529" s="128"/>
      <c r="CO3529" s="128"/>
      <c r="CP3529" s="128"/>
      <c r="CQ3529" s="128"/>
      <c r="CR3529" s="128"/>
      <c r="CS3529" s="128"/>
      <c r="CT3529" s="128"/>
      <c r="CU3529" s="128"/>
      <c r="CV3529" s="128"/>
      <c r="CW3529" s="128"/>
      <c r="CX3529" s="128"/>
      <c r="CY3529" s="128"/>
      <c r="CZ3529" s="165"/>
    </row>
    <row r="3530" spans="1:104">
      <c r="A3530" s="149"/>
      <c r="B3530" s="149"/>
      <c r="C3530" s="150"/>
      <c r="D3530" s="102"/>
      <c r="E3530" s="149"/>
      <c r="F3530" s="149"/>
      <c r="G3530" s="149"/>
      <c r="H3530" s="149"/>
      <c r="I3530" s="149"/>
      <c r="J3530" s="149"/>
      <c r="K3530" s="149"/>
      <c r="L3530" s="149"/>
      <c r="M3530" s="149"/>
      <c r="N3530" s="149"/>
      <c r="O3530" s="149"/>
      <c r="P3530" s="149"/>
      <c r="Q3530" s="149"/>
      <c r="R3530" s="149"/>
      <c r="S3530" s="149"/>
      <c r="T3530" s="149"/>
      <c r="U3530" s="149"/>
      <c r="V3530" s="149"/>
      <c r="W3530" s="149"/>
      <c r="X3530" s="149"/>
      <c r="Y3530" s="149"/>
      <c r="Z3530" s="149"/>
      <c r="AA3530" s="149"/>
      <c r="AB3530" s="149"/>
      <c r="AC3530" s="149"/>
      <c r="AD3530" s="149"/>
      <c r="AE3530" s="149"/>
      <c r="AF3530" s="149"/>
      <c r="AG3530" s="149"/>
      <c r="AH3530" s="149"/>
      <c r="AI3530" s="149"/>
      <c r="AJ3530" s="149"/>
      <c r="AK3530" s="149"/>
      <c r="AL3530" s="149"/>
      <c r="AM3530" s="149"/>
      <c r="AN3530" s="149"/>
      <c r="AO3530" s="128"/>
      <c r="AP3530" s="128"/>
      <c r="AQ3530" s="128"/>
      <c r="AR3530" s="128"/>
      <c r="AS3530" s="128"/>
      <c r="AT3530" s="128"/>
      <c r="AU3530" s="128"/>
      <c r="AV3530" s="128"/>
      <c r="AW3530" s="128"/>
      <c r="AX3530" s="128"/>
      <c r="AY3530" s="128"/>
      <c r="AZ3530" s="128"/>
      <c r="BA3530" s="128"/>
      <c r="BB3530" s="128"/>
      <c r="BC3530" s="128"/>
      <c r="BD3530" s="128"/>
      <c r="BE3530" s="128"/>
      <c r="BF3530" s="128"/>
      <c r="BG3530" s="128"/>
      <c r="BH3530" s="128"/>
      <c r="BI3530" s="128"/>
      <c r="BJ3530" s="128"/>
      <c r="BK3530" s="128"/>
      <c r="BL3530" s="128"/>
      <c r="BM3530" s="151"/>
      <c r="BN3530" s="128"/>
      <c r="BO3530" s="128"/>
      <c r="BP3530" s="128"/>
      <c r="BQ3530" s="128"/>
      <c r="BR3530" s="128"/>
      <c r="BS3530" s="128"/>
      <c r="BT3530" s="128"/>
      <c r="BU3530" s="128"/>
      <c r="BV3530" s="128"/>
      <c r="BW3530" s="128"/>
      <c r="BX3530" s="128"/>
      <c r="BY3530" s="128"/>
      <c r="BZ3530" s="128"/>
      <c r="CA3530" s="128"/>
      <c r="CB3530" s="128"/>
      <c r="CC3530" s="128"/>
      <c r="CD3530" s="128"/>
      <c r="CE3530" s="128"/>
      <c r="CF3530" s="128"/>
      <c r="CG3530" s="128"/>
      <c r="CI3530" s="128"/>
      <c r="CJ3530" s="128"/>
      <c r="CK3530" s="128"/>
      <c r="CL3530" s="128"/>
      <c r="CM3530" s="128"/>
      <c r="CN3530" s="128"/>
      <c r="CO3530" s="128"/>
      <c r="CP3530" s="128"/>
      <c r="CQ3530" s="128"/>
      <c r="CR3530" s="128"/>
      <c r="CS3530" s="128"/>
      <c r="CT3530" s="128"/>
      <c r="CU3530" s="128"/>
      <c r="CV3530" s="128"/>
      <c r="CW3530" s="128"/>
      <c r="CX3530" s="128"/>
      <c r="CY3530" s="128"/>
      <c r="CZ3530" s="165"/>
    </row>
    <row r="3531" spans="1:104">
      <c r="A3531" s="149"/>
      <c r="B3531" s="149"/>
      <c r="C3531" s="150"/>
      <c r="D3531" s="102"/>
      <c r="E3531" s="149"/>
      <c r="F3531" s="149"/>
      <c r="G3531" s="149"/>
      <c r="H3531" s="149"/>
      <c r="I3531" s="149"/>
      <c r="J3531" s="149"/>
      <c r="K3531" s="149"/>
      <c r="L3531" s="149"/>
      <c r="M3531" s="149"/>
      <c r="N3531" s="149"/>
      <c r="O3531" s="149"/>
      <c r="P3531" s="149"/>
      <c r="Q3531" s="149"/>
      <c r="R3531" s="149"/>
      <c r="S3531" s="149"/>
      <c r="T3531" s="149"/>
      <c r="U3531" s="149"/>
      <c r="V3531" s="149"/>
      <c r="W3531" s="149"/>
      <c r="X3531" s="149"/>
      <c r="Y3531" s="149"/>
      <c r="Z3531" s="149"/>
      <c r="AA3531" s="149"/>
      <c r="AB3531" s="149"/>
      <c r="AC3531" s="149"/>
      <c r="AD3531" s="149"/>
      <c r="AE3531" s="149"/>
      <c r="AF3531" s="149"/>
      <c r="AG3531" s="149"/>
      <c r="AH3531" s="149"/>
      <c r="AI3531" s="149"/>
      <c r="AJ3531" s="149"/>
      <c r="AK3531" s="149"/>
      <c r="AL3531" s="149"/>
      <c r="AM3531" s="149"/>
      <c r="AN3531" s="149"/>
      <c r="AO3531" s="128"/>
      <c r="AP3531" s="128"/>
      <c r="AQ3531" s="128"/>
      <c r="AR3531" s="128"/>
      <c r="AS3531" s="128"/>
      <c r="AT3531" s="128"/>
      <c r="AU3531" s="128"/>
      <c r="AV3531" s="128"/>
      <c r="AW3531" s="128"/>
      <c r="AX3531" s="128"/>
      <c r="AY3531" s="128"/>
      <c r="AZ3531" s="128"/>
      <c r="BA3531" s="128"/>
      <c r="BB3531" s="128"/>
      <c r="BC3531" s="128"/>
      <c r="BD3531" s="128"/>
      <c r="BE3531" s="128"/>
      <c r="BF3531" s="128"/>
      <c r="BG3531" s="128"/>
      <c r="BH3531" s="128"/>
      <c r="BI3531" s="128"/>
      <c r="BJ3531" s="128"/>
      <c r="BK3531" s="128"/>
      <c r="BL3531" s="128"/>
      <c r="BM3531" s="151"/>
      <c r="BN3531" s="128"/>
      <c r="BO3531" s="128"/>
      <c r="BP3531" s="128"/>
      <c r="BQ3531" s="128"/>
      <c r="BR3531" s="128"/>
      <c r="BS3531" s="128"/>
      <c r="BT3531" s="128"/>
      <c r="BU3531" s="128"/>
      <c r="BV3531" s="128"/>
      <c r="BW3531" s="128"/>
      <c r="BX3531" s="128"/>
      <c r="BY3531" s="128"/>
      <c r="BZ3531" s="128"/>
      <c r="CA3531" s="128"/>
      <c r="CB3531" s="128"/>
      <c r="CC3531" s="128"/>
      <c r="CD3531" s="128"/>
      <c r="CE3531" s="128"/>
      <c r="CF3531" s="128"/>
      <c r="CG3531" s="128"/>
      <c r="CI3531" s="128"/>
      <c r="CJ3531" s="128"/>
      <c r="CK3531" s="128"/>
      <c r="CL3531" s="128"/>
      <c r="CM3531" s="128"/>
      <c r="CN3531" s="128"/>
      <c r="CO3531" s="128"/>
      <c r="CP3531" s="128"/>
      <c r="CQ3531" s="128"/>
      <c r="CR3531" s="128"/>
      <c r="CS3531" s="128"/>
      <c r="CT3531" s="128"/>
      <c r="CU3531" s="128"/>
      <c r="CV3531" s="128"/>
      <c r="CW3531" s="128"/>
      <c r="CX3531" s="128"/>
      <c r="CY3531" s="128"/>
      <c r="CZ3531" s="165"/>
    </row>
    <row r="3532" spans="1:104">
      <c r="A3532" s="149"/>
      <c r="B3532" s="149"/>
      <c r="C3532" s="150"/>
      <c r="D3532" s="102"/>
      <c r="E3532" s="149"/>
      <c r="F3532" s="149"/>
      <c r="G3532" s="149"/>
      <c r="H3532" s="149"/>
      <c r="I3532" s="149"/>
      <c r="J3532" s="149"/>
      <c r="K3532" s="149"/>
      <c r="L3532" s="149"/>
      <c r="M3532" s="149"/>
      <c r="N3532" s="149"/>
      <c r="O3532" s="149"/>
      <c r="P3532" s="149"/>
      <c r="Q3532" s="149"/>
      <c r="R3532" s="149"/>
      <c r="S3532" s="149"/>
      <c r="T3532" s="149"/>
      <c r="U3532" s="149"/>
      <c r="V3532" s="149"/>
      <c r="W3532" s="149"/>
      <c r="X3532" s="149"/>
      <c r="Y3532" s="149"/>
      <c r="Z3532" s="149"/>
      <c r="AA3532" s="149"/>
      <c r="AB3532" s="149"/>
      <c r="AC3532" s="149"/>
      <c r="AD3532" s="149"/>
      <c r="AE3532" s="149"/>
      <c r="AF3532" s="149"/>
      <c r="AG3532" s="149"/>
      <c r="AH3532" s="149"/>
      <c r="AI3532" s="149"/>
      <c r="AJ3532" s="149"/>
      <c r="AK3532" s="149"/>
      <c r="AL3532" s="149"/>
      <c r="AM3532" s="149"/>
      <c r="AN3532" s="149"/>
      <c r="AO3532" s="128"/>
      <c r="AP3532" s="128"/>
      <c r="AQ3532" s="128"/>
      <c r="AR3532" s="128"/>
      <c r="AS3532" s="128"/>
      <c r="AT3532" s="128"/>
      <c r="AU3532" s="128"/>
      <c r="AV3532" s="128"/>
      <c r="AW3532" s="128"/>
      <c r="AX3532" s="128"/>
      <c r="AY3532" s="128"/>
      <c r="AZ3532" s="128"/>
      <c r="BA3532" s="128"/>
      <c r="BB3532" s="128"/>
      <c r="BC3532" s="128"/>
      <c r="BD3532" s="128"/>
      <c r="BE3532" s="128"/>
      <c r="BF3532" s="128"/>
      <c r="BG3532" s="128"/>
      <c r="BH3532" s="128"/>
      <c r="BI3532" s="128"/>
      <c r="BJ3532" s="128"/>
      <c r="BK3532" s="128"/>
      <c r="BL3532" s="128"/>
      <c r="BM3532" s="151"/>
      <c r="BN3532" s="128"/>
      <c r="BO3532" s="128"/>
      <c r="BP3532" s="128"/>
      <c r="BQ3532" s="128"/>
      <c r="BR3532" s="128"/>
      <c r="BS3532" s="128"/>
      <c r="BT3532" s="128"/>
      <c r="BU3532" s="128"/>
      <c r="BV3532" s="128"/>
      <c r="BW3532" s="128"/>
      <c r="BX3532" s="128"/>
      <c r="BY3532" s="128"/>
      <c r="BZ3532" s="128"/>
      <c r="CA3532" s="128"/>
      <c r="CB3532" s="128"/>
      <c r="CC3532" s="128"/>
      <c r="CD3532" s="128"/>
      <c r="CE3532" s="128"/>
      <c r="CF3532" s="128"/>
      <c r="CG3532" s="128"/>
      <c r="CI3532" s="128"/>
      <c r="CJ3532" s="128"/>
      <c r="CK3532" s="128"/>
      <c r="CL3532" s="128"/>
      <c r="CM3532" s="128"/>
      <c r="CN3532" s="128"/>
      <c r="CO3532" s="128"/>
      <c r="CP3532" s="128"/>
      <c r="CQ3532" s="128"/>
      <c r="CR3532" s="128"/>
      <c r="CS3532" s="128"/>
      <c r="CT3532" s="128"/>
      <c r="CU3532" s="128"/>
      <c r="CV3532" s="128"/>
      <c r="CW3532" s="128"/>
      <c r="CX3532" s="128"/>
      <c r="CY3532" s="128"/>
      <c r="CZ3532" s="165"/>
    </row>
    <row r="3533" spans="1:104">
      <c r="A3533" s="149"/>
      <c r="B3533" s="149"/>
      <c r="C3533" s="150"/>
      <c r="D3533" s="102"/>
      <c r="E3533" s="149"/>
      <c r="F3533" s="149"/>
      <c r="G3533" s="149"/>
      <c r="H3533" s="149"/>
      <c r="I3533" s="149"/>
      <c r="J3533" s="149"/>
      <c r="K3533" s="149"/>
      <c r="L3533" s="149"/>
      <c r="M3533" s="149"/>
      <c r="N3533" s="149"/>
      <c r="O3533" s="149"/>
      <c r="P3533" s="149"/>
      <c r="Q3533" s="149"/>
      <c r="R3533" s="149"/>
      <c r="S3533" s="149"/>
      <c r="T3533" s="149"/>
      <c r="U3533" s="149"/>
      <c r="V3533" s="149"/>
      <c r="W3533" s="149"/>
      <c r="X3533" s="149"/>
      <c r="Y3533" s="149"/>
      <c r="Z3533" s="149"/>
      <c r="AA3533" s="149"/>
      <c r="AB3533" s="149"/>
      <c r="AC3533" s="149"/>
      <c r="AD3533" s="149"/>
      <c r="AE3533" s="149"/>
      <c r="AF3533" s="149"/>
      <c r="AG3533" s="149"/>
      <c r="AH3533" s="149"/>
      <c r="AI3533" s="149"/>
      <c r="AJ3533" s="149"/>
      <c r="AK3533" s="149"/>
      <c r="AL3533" s="149"/>
      <c r="AM3533" s="149"/>
      <c r="AN3533" s="149"/>
      <c r="AO3533" s="128"/>
      <c r="AP3533" s="128"/>
      <c r="AQ3533" s="128"/>
      <c r="AR3533" s="128"/>
      <c r="AS3533" s="128"/>
      <c r="AT3533" s="128"/>
      <c r="AU3533" s="128"/>
      <c r="AV3533" s="128"/>
      <c r="AW3533" s="128"/>
      <c r="AX3533" s="128"/>
      <c r="AY3533" s="128"/>
      <c r="AZ3533" s="128"/>
      <c r="BA3533" s="128"/>
      <c r="BB3533" s="128"/>
      <c r="BC3533" s="128"/>
      <c r="BD3533" s="128"/>
      <c r="BE3533" s="128"/>
      <c r="BF3533" s="128"/>
      <c r="BG3533" s="128"/>
      <c r="BH3533" s="128"/>
      <c r="BI3533" s="128"/>
      <c r="BJ3533" s="128"/>
      <c r="BK3533" s="128"/>
      <c r="BL3533" s="128"/>
      <c r="BM3533" s="151"/>
      <c r="BN3533" s="128"/>
      <c r="BO3533" s="128"/>
      <c r="BP3533" s="128"/>
      <c r="BQ3533" s="128"/>
      <c r="BR3533" s="128"/>
      <c r="BS3533" s="128"/>
      <c r="BT3533" s="128"/>
      <c r="BU3533" s="128"/>
      <c r="BV3533" s="128"/>
      <c r="BW3533" s="128"/>
      <c r="BX3533" s="128"/>
      <c r="BY3533" s="128"/>
      <c r="BZ3533" s="128"/>
      <c r="CA3533" s="128"/>
      <c r="CB3533" s="128"/>
      <c r="CC3533" s="128"/>
      <c r="CD3533" s="128"/>
      <c r="CE3533" s="128"/>
      <c r="CF3533" s="128"/>
      <c r="CG3533" s="128"/>
      <c r="CI3533" s="128"/>
      <c r="CJ3533" s="128"/>
      <c r="CK3533" s="128"/>
      <c r="CL3533" s="128"/>
      <c r="CM3533" s="128"/>
      <c r="CN3533" s="128"/>
      <c r="CO3533" s="128"/>
      <c r="CP3533" s="128"/>
      <c r="CQ3533" s="128"/>
      <c r="CR3533" s="128"/>
      <c r="CS3533" s="128"/>
      <c r="CT3533" s="128"/>
      <c r="CU3533" s="128"/>
      <c r="CV3533" s="128"/>
      <c r="CW3533" s="128"/>
      <c r="CX3533" s="128"/>
      <c r="CY3533" s="128"/>
      <c r="CZ3533" s="165"/>
    </row>
    <row r="3534" spans="1:104">
      <c r="A3534" s="149"/>
      <c r="B3534" s="149"/>
      <c r="C3534" s="150"/>
      <c r="D3534" s="102"/>
      <c r="E3534" s="149"/>
      <c r="F3534" s="149"/>
      <c r="G3534" s="149"/>
      <c r="H3534" s="149"/>
      <c r="I3534" s="149"/>
      <c r="J3534" s="149"/>
      <c r="K3534" s="149"/>
      <c r="L3534" s="149"/>
      <c r="M3534" s="149"/>
      <c r="N3534" s="149"/>
      <c r="O3534" s="149"/>
      <c r="P3534" s="149"/>
      <c r="Q3534" s="149"/>
      <c r="R3534" s="149"/>
      <c r="S3534" s="149"/>
      <c r="T3534" s="149"/>
      <c r="U3534" s="149"/>
      <c r="V3534" s="149"/>
      <c r="W3534" s="149"/>
      <c r="X3534" s="149"/>
      <c r="Y3534" s="149"/>
      <c r="Z3534" s="149"/>
      <c r="AA3534" s="149"/>
      <c r="AB3534" s="149"/>
      <c r="AC3534" s="149"/>
      <c r="AD3534" s="149"/>
      <c r="AE3534" s="149"/>
      <c r="AF3534" s="149"/>
      <c r="AG3534" s="149"/>
      <c r="AH3534" s="149"/>
      <c r="AI3534" s="149"/>
      <c r="AJ3534" s="149"/>
      <c r="AK3534" s="149"/>
      <c r="AL3534" s="149"/>
      <c r="AM3534" s="149"/>
      <c r="AN3534" s="149"/>
      <c r="AO3534" s="128"/>
      <c r="AP3534" s="128"/>
      <c r="AQ3534" s="128"/>
      <c r="AR3534" s="128"/>
      <c r="AS3534" s="128"/>
      <c r="AT3534" s="128"/>
      <c r="AU3534" s="128"/>
      <c r="AV3534" s="128"/>
      <c r="AW3534" s="128"/>
      <c r="AX3534" s="128"/>
      <c r="AY3534" s="128"/>
      <c r="AZ3534" s="128"/>
      <c r="BA3534" s="128"/>
      <c r="BB3534" s="128"/>
      <c r="BC3534" s="128"/>
      <c r="BD3534" s="128"/>
      <c r="BE3534" s="128"/>
      <c r="BF3534" s="128"/>
      <c r="BG3534" s="128"/>
      <c r="BH3534" s="128"/>
      <c r="BI3534" s="128"/>
      <c r="BJ3534" s="128"/>
      <c r="BK3534" s="128"/>
      <c r="BL3534" s="128"/>
      <c r="BM3534" s="151"/>
      <c r="BN3534" s="128"/>
      <c r="BO3534" s="128"/>
      <c r="BP3534" s="128"/>
      <c r="BQ3534" s="128"/>
      <c r="BR3534" s="128"/>
      <c r="BS3534" s="128"/>
      <c r="BT3534" s="128"/>
      <c r="BU3534" s="128"/>
      <c r="BV3534" s="128"/>
      <c r="BW3534" s="128"/>
      <c r="BX3534" s="128"/>
      <c r="BY3534" s="128"/>
      <c r="BZ3534" s="128"/>
      <c r="CA3534" s="128"/>
      <c r="CB3534" s="128"/>
      <c r="CC3534" s="128"/>
      <c r="CD3534" s="128"/>
      <c r="CE3534" s="128"/>
      <c r="CF3534" s="128"/>
      <c r="CG3534" s="128"/>
      <c r="CI3534" s="128"/>
      <c r="CJ3534" s="128"/>
      <c r="CK3534" s="128"/>
      <c r="CL3534" s="128"/>
      <c r="CM3534" s="128"/>
      <c r="CN3534" s="128"/>
      <c r="CO3534" s="128"/>
      <c r="CP3534" s="128"/>
      <c r="CQ3534" s="128"/>
      <c r="CR3534" s="128"/>
      <c r="CS3534" s="128"/>
      <c r="CT3534" s="128"/>
      <c r="CU3534" s="128"/>
      <c r="CV3534" s="128"/>
      <c r="CW3534" s="128"/>
      <c r="CX3534" s="128"/>
      <c r="CY3534" s="128"/>
      <c r="CZ3534" s="165"/>
    </row>
    <row r="3535" spans="1:104">
      <c r="A3535" s="149"/>
      <c r="B3535" s="149"/>
      <c r="C3535" s="150"/>
      <c r="D3535" s="102"/>
      <c r="E3535" s="149"/>
      <c r="F3535" s="149"/>
      <c r="G3535" s="149"/>
      <c r="H3535" s="149"/>
      <c r="I3535" s="149"/>
      <c r="J3535" s="149"/>
      <c r="K3535" s="149"/>
      <c r="L3535" s="149"/>
      <c r="M3535" s="149"/>
      <c r="N3535" s="149"/>
      <c r="O3535" s="149"/>
      <c r="P3535" s="149"/>
      <c r="Q3535" s="149"/>
      <c r="R3535" s="149"/>
      <c r="S3535" s="149"/>
      <c r="T3535" s="149"/>
      <c r="U3535" s="149"/>
      <c r="V3535" s="149"/>
      <c r="W3535" s="149"/>
      <c r="X3535" s="149"/>
      <c r="Y3535" s="149"/>
      <c r="Z3535" s="149"/>
      <c r="AA3535" s="149"/>
      <c r="AB3535" s="149"/>
      <c r="AC3535" s="149"/>
      <c r="AD3535" s="149"/>
      <c r="AE3535" s="149"/>
      <c r="AF3535" s="149"/>
      <c r="AG3535" s="149"/>
      <c r="AH3535" s="149"/>
      <c r="AI3535" s="149"/>
      <c r="AJ3535" s="149"/>
      <c r="AK3535" s="149"/>
      <c r="AL3535" s="149"/>
      <c r="AM3535" s="149"/>
      <c r="AN3535" s="149"/>
      <c r="AO3535" s="128"/>
      <c r="AP3535" s="128"/>
      <c r="AQ3535" s="128"/>
      <c r="AR3535" s="128"/>
      <c r="AS3535" s="128"/>
      <c r="AT3535" s="128"/>
      <c r="AU3535" s="128"/>
      <c r="AV3535" s="128"/>
      <c r="AW3535" s="128"/>
      <c r="AX3535" s="128"/>
      <c r="AY3535" s="128"/>
      <c r="AZ3535" s="128"/>
      <c r="BA3535" s="128"/>
      <c r="BB3535" s="128"/>
      <c r="BC3535" s="128"/>
      <c r="BD3535" s="128"/>
      <c r="BE3535" s="128"/>
      <c r="BF3535" s="128"/>
      <c r="BG3535" s="128"/>
      <c r="BH3535" s="128"/>
      <c r="BI3535" s="128"/>
      <c r="BJ3535" s="128"/>
      <c r="BK3535" s="128"/>
      <c r="BL3535" s="128"/>
      <c r="BM3535" s="151"/>
      <c r="BN3535" s="128"/>
      <c r="BO3535" s="128"/>
      <c r="BP3535" s="128"/>
      <c r="BQ3535" s="128"/>
      <c r="BR3535" s="128"/>
      <c r="BS3535" s="128"/>
      <c r="BT3535" s="128"/>
      <c r="BU3535" s="128"/>
      <c r="BV3535" s="128"/>
      <c r="BW3535" s="128"/>
      <c r="BX3535" s="128"/>
      <c r="BY3535" s="128"/>
      <c r="BZ3535" s="128"/>
      <c r="CA3535" s="128"/>
      <c r="CB3535" s="128"/>
      <c r="CC3535" s="128"/>
      <c r="CD3535" s="128"/>
      <c r="CE3535" s="128"/>
      <c r="CF3535" s="128"/>
      <c r="CG3535" s="128"/>
      <c r="CI3535" s="128"/>
      <c r="CJ3535" s="128"/>
      <c r="CK3535" s="128"/>
      <c r="CL3535" s="128"/>
      <c r="CM3535" s="128"/>
      <c r="CN3535" s="128"/>
      <c r="CO3535" s="128"/>
      <c r="CP3535" s="128"/>
      <c r="CQ3535" s="128"/>
      <c r="CR3535" s="128"/>
      <c r="CS3535" s="128"/>
      <c r="CT3535" s="128"/>
      <c r="CU3535" s="128"/>
      <c r="CV3535" s="128"/>
      <c r="CW3535" s="128"/>
      <c r="CX3535" s="128"/>
      <c r="CY3535" s="128"/>
      <c r="CZ3535" s="165"/>
    </row>
    <row r="3536" spans="1:104">
      <c r="A3536" s="149"/>
      <c r="B3536" s="149"/>
      <c r="C3536" s="150"/>
      <c r="D3536" s="102"/>
      <c r="E3536" s="149"/>
      <c r="F3536" s="149"/>
      <c r="G3536" s="149"/>
      <c r="H3536" s="149"/>
      <c r="I3536" s="149"/>
      <c r="J3536" s="149"/>
      <c r="K3536" s="149"/>
      <c r="L3536" s="149"/>
      <c r="M3536" s="149"/>
      <c r="N3536" s="149"/>
      <c r="O3536" s="149"/>
      <c r="P3536" s="149"/>
      <c r="Q3536" s="149"/>
      <c r="R3536" s="149"/>
      <c r="S3536" s="149"/>
      <c r="T3536" s="149"/>
      <c r="U3536" s="149"/>
      <c r="V3536" s="149"/>
      <c r="W3536" s="149"/>
      <c r="X3536" s="149"/>
      <c r="Y3536" s="149"/>
      <c r="Z3536" s="149"/>
      <c r="AA3536" s="149"/>
      <c r="AB3536" s="149"/>
      <c r="AC3536" s="149"/>
      <c r="AD3536" s="149"/>
      <c r="AE3536" s="149"/>
      <c r="AF3536" s="149"/>
      <c r="AG3536" s="149"/>
      <c r="AH3536" s="149"/>
      <c r="AI3536" s="149"/>
      <c r="AJ3536" s="149"/>
      <c r="AK3536" s="149"/>
      <c r="AL3536" s="149"/>
      <c r="AM3536" s="149"/>
      <c r="AN3536" s="149"/>
      <c r="AO3536" s="128"/>
      <c r="AP3536" s="128"/>
      <c r="AQ3536" s="128"/>
      <c r="AR3536" s="128"/>
      <c r="AS3536" s="128"/>
      <c r="AT3536" s="128"/>
      <c r="AU3536" s="128"/>
      <c r="AV3536" s="128"/>
      <c r="AW3536" s="128"/>
      <c r="AX3536" s="128"/>
      <c r="AY3536" s="128"/>
      <c r="AZ3536" s="128"/>
      <c r="BA3536" s="128"/>
      <c r="BB3536" s="128"/>
      <c r="BC3536" s="128"/>
      <c r="BD3536" s="128"/>
      <c r="BE3536" s="128"/>
      <c r="BF3536" s="128"/>
      <c r="BG3536" s="128"/>
      <c r="BH3536" s="128"/>
      <c r="BI3536" s="128"/>
      <c r="BJ3536" s="128"/>
      <c r="BK3536" s="128"/>
      <c r="BL3536" s="128"/>
      <c r="BM3536" s="151"/>
      <c r="BN3536" s="128"/>
      <c r="BO3536" s="128"/>
      <c r="BP3536" s="128"/>
      <c r="BQ3536" s="128"/>
      <c r="BR3536" s="128"/>
      <c r="BS3536" s="128"/>
      <c r="BT3536" s="128"/>
      <c r="BU3536" s="128"/>
      <c r="BV3536" s="128"/>
      <c r="BW3536" s="128"/>
      <c r="BX3536" s="128"/>
      <c r="BY3536" s="128"/>
      <c r="BZ3536" s="128"/>
      <c r="CA3536" s="128"/>
      <c r="CB3536" s="128"/>
      <c r="CC3536" s="128"/>
      <c r="CD3536" s="128"/>
      <c r="CE3536" s="128"/>
      <c r="CF3536" s="128"/>
      <c r="CG3536" s="128"/>
      <c r="CI3536" s="128"/>
      <c r="CJ3536" s="128"/>
      <c r="CK3536" s="128"/>
      <c r="CL3536" s="128"/>
      <c r="CM3536" s="128"/>
      <c r="CN3536" s="128"/>
      <c r="CO3536" s="128"/>
      <c r="CP3536" s="128"/>
      <c r="CQ3536" s="128"/>
      <c r="CR3536" s="128"/>
      <c r="CS3536" s="128"/>
      <c r="CT3536" s="128"/>
      <c r="CU3536" s="128"/>
      <c r="CV3536" s="128"/>
      <c r="CW3536" s="128"/>
      <c r="CX3536" s="128"/>
      <c r="CY3536" s="128"/>
      <c r="CZ3536" s="165"/>
    </row>
    <row r="3537" spans="1:104">
      <c r="A3537" s="149"/>
      <c r="B3537" s="149"/>
      <c r="C3537" s="150"/>
      <c r="D3537" s="102"/>
      <c r="E3537" s="149"/>
      <c r="F3537" s="149"/>
      <c r="G3537" s="149"/>
      <c r="H3537" s="149"/>
      <c r="I3537" s="149"/>
      <c r="J3537" s="149"/>
      <c r="K3537" s="149"/>
      <c r="L3537" s="149"/>
      <c r="M3537" s="149"/>
      <c r="N3537" s="149"/>
      <c r="O3537" s="149"/>
      <c r="P3537" s="149"/>
      <c r="Q3537" s="149"/>
      <c r="R3537" s="149"/>
      <c r="S3537" s="149"/>
      <c r="T3537" s="149"/>
      <c r="U3537" s="149"/>
      <c r="V3537" s="149"/>
      <c r="W3537" s="149"/>
      <c r="X3537" s="149"/>
      <c r="Y3537" s="149"/>
      <c r="Z3537" s="149"/>
      <c r="AA3537" s="149"/>
      <c r="AB3537" s="149"/>
      <c r="AC3537" s="149"/>
      <c r="AD3537" s="149"/>
      <c r="AE3537" s="149"/>
      <c r="AF3537" s="149"/>
      <c r="AG3537" s="149"/>
      <c r="AH3537" s="149"/>
      <c r="AI3537" s="149"/>
      <c r="AJ3537" s="149"/>
      <c r="AK3537" s="149"/>
      <c r="AL3537" s="149"/>
      <c r="AM3537" s="149"/>
      <c r="AN3537" s="149"/>
      <c r="AO3537" s="128"/>
      <c r="AP3537" s="128"/>
      <c r="AQ3537" s="128"/>
      <c r="AR3537" s="128"/>
      <c r="AS3537" s="128"/>
      <c r="AT3537" s="128"/>
      <c r="AU3537" s="128"/>
      <c r="AV3537" s="128"/>
      <c r="AW3537" s="128"/>
      <c r="AX3537" s="128"/>
      <c r="AY3537" s="128"/>
      <c r="AZ3537" s="128"/>
      <c r="BA3537" s="128"/>
      <c r="BB3537" s="128"/>
      <c r="BC3537" s="128"/>
      <c r="BD3537" s="128"/>
      <c r="BE3537" s="128"/>
      <c r="BF3537" s="128"/>
      <c r="BG3537" s="128"/>
      <c r="BH3537" s="128"/>
      <c r="BI3537" s="128"/>
      <c r="BJ3537" s="128"/>
      <c r="BK3537" s="128"/>
      <c r="BL3537" s="128"/>
      <c r="BM3537" s="151"/>
      <c r="BN3537" s="128"/>
      <c r="BO3537" s="128"/>
      <c r="BP3537" s="128"/>
      <c r="BQ3537" s="128"/>
      <c r="BR3537" s="128"/>
      <c r="BS3537" s="128"/>
      <c r="BT3537" s="128"/>
      <c r="BU3537" s="128"/>
      <c r="BV3537" s="128"/>
      <c r="BW3537" s="128"/>
      <c r="BX3537" s="128"/>
      <c r="BY3537" s="128"/>
      <c r="BZ3537" s="128"/>
      <c r="CA3537" s="128"/>
      <c r="CB3537" s="128"/>
      <c r="CC3537" s="128"/>
      <c r="CD3537" s="128"/>
      <c r="CE3537" s="128"/>
      <c r="CF3537" s="128"/>
      <c r="CG3537" s="128"/>
      <c r="CI3537" s="128"/>
      <c r="CJ3537" s="128"/>
      <c r="CK3537" s="128"/>
      <c r="CL3537" s="128"/>
      <c r="CM3537" s="128"/>
      <c r="CN3537" s="128"/>
      <c r="CO3537" s="128"/>
      <c r="CP3537" s="128"/>
      <c r="CQ3537" s="128"/>
      <c r="CR3537" s="128"/>
      <c r="CS3537" s="128"/>
      <c r="CT3537" s="128"/>
      <c r="CU3537" s="128"/>
      <c r="CV3537" s="128"/>
      <c r="CW3537" s="128"/>
      <c r="CX3537" s="128"/>
      <c r="CY3537" s="128"/>
      <c r="CZ3537" s="165"/>
    </row>
    <row r="3538" spans="1:104">
      <c r="A3538" s="149"/>
      <c r="B3538" s="149"/>
      <c r="C3538" s="150"/>
      <c r="D3538" s="102"/>
      <c r="E3538" s="149"/>
      <c r="F3538" s="149"/>
      <c r="G3538" s="149"/>
      <c r="H3538" s="149"/>
      <c r="I3538" s="149"/>
      <c r="J3538" s="149"/>
      <c r="K3538" s="149"/>
      <c r="L3538" s="149"/>
      <c r="M3538" s="149"/>
      <c r="N3538" s="149"/>
      <c r="O3538" s="149"/>
      <c r="P3538" s="149"/>
      <c r="Q3538" s="149"/>
      <c r="R3538" s="149"/>
      <c r="S3538" s="149"/>
      <c r="T3538" s="149"/>
      <c r="U3538" s="149"/>
      <c r="V3538" s="149"/>
      <c r="W3538" s="149"/>
      <c r="X3538" s="149"/>
      <c r="Y3538" s="149"/>
      <c r="Z3538" s="149"/>
      <c r="AA3538" s="149"/>
      <c r="AB3538" s="149"/>
      <c r="AC3538" s="149"/>
      <c r="AD3538" s="149"/>
      <c r="AE3538" s="149"/>
      <c r="AF3538" s="149"/>
      <c r="AG3538" s="149"/>
      <c r="AH3538" s="149"/>
      <c r="AI3538" s="149"/>
      <c r="AJ3538" s="149"/>
      <c r="AK3538" s="149"/>
      <c r="AL3538" s="149"/>
      <c r="AM3538" s="149"/>
      <c r="AN3538" s="149"/>
      <c r="AO3538" s="128"/>
      <c r="AP3538" s="128"/>
      <c r="AQ3538" s="128"/>
      <c r="AR3538" s="128"/>
      <c r="AS3538" s="128"/>
      <c r="AT3538" s="128"/>
      <c r="AU3538" s="128"/>
      <c r="AV3538" s="128"/>
      <c r="AW3538" s="128"/>
      <c r="AX3538" s="128"/>
      <c r="AY3538" s="128"/>
      <c r="AZ3538" s="128"/>
      <c r="BA3538" s="128"/>
      <c r="BB3538" s="128"/>
      <c r="BC3538" s="128"/>
      <c r="BD3538" s="128"/>
      <c r="BE3538" s="128"/>
      <c r="BF3538" s="128"/>
      <c r="BG3538" s="128"/>
      <c r="BH3538" s="128"/>
      <c r="BI3538" s="128"/>
      <c r="BJ3538" s="128"/>
      <c r="BK3538" s="128"/>
      <c r="BL3538" s="128"/>
      <c r="BM3538" s="151"/>
      <c r="BN3538" s="128"/>
      <c r="BO3538" s="128"/>
      <c r="BP3538" s="128"/>
      <c r="BQ3538" s="128"/>
      <c r="BR3538" s="128"/>
      <c r="BS3538" s="128"/>
      <c r="BT3538" s="128"/>
      <c r="BU3538" s="128"/>
      <c r="BV3538" s="128"/>
      <c r="BW3538" s="128"/>
      <c r="BX3538" s="128"/>
      <c r="BY3538" s="128"/>
      <c r="BZ3538" s="128"/>
      <c r="CA3538" s="128"/>
      <c r="CB3538" s="128"/>
      <c r="CC3538" s="128"/>
      <c r="CD3538" s="128"/>
      <c r="CE3538" s="128"/>
      <c r="CF3538" s="128"/>
      <c r="CG3538" s="128"/>
      <c r="CI3538" s="128"/>
      <c r="CJ3538" s="128"/>
      <c r="CK3538" s="128"/>
      <c r="CL3538" s="128"/>
      <c r="CM3538" s="128"/>
      <c r="CN3538" s="128"/>
      <c r="CO3538" s="128"/>
      <c r="CP3538" s="128"/>
      <c r="CQ3538" s="128"/>
      <c r="CR3538" s="128"/>
      <c r="CS3538" s="128"/>
      <c r="CT3538" s="128"/>
      <c r="CU3538" s="128"/>
      <c r="CV3538" s="128"/>
      <c r="CW3538" s="128"/>
      <c r="CX3538" s="128"/>
      <c r="CY3538" s="128"/>
      <c r="CZ3538" s="165"/>
    </row>
    <row r="3539" spans="1:104">
      <c r="A3539" s="149"/>
      <c r="B3539" s="149"/>
      <c r="C3539" s="150"/>
      <c r="D3539" s="102"/>
      <c r="E3539" s="149"/>
      <c r="F3539" s="149"/>
      <c r="G3539" s="149"/>
      <c r="H3539" s="149"/>
      <c r="I3539" s="149"/>
      <c r="J3539" s="149"/>
      <c r="K3539" s="149"/>
      <c r="L3539" s="149"/>
      <c r="M3539" s="149"/>
      <c r="N3539" s="149"/>
      <c r="O3539" s="149"/>
      <c r="P3539" s="149"/>
      <c r="Q3539" s="149"/>
      <c r="R3539" s="149"/>
      <c r="S3539" s="149"/>
      <c r="T3539" s="149"/>
      <c r="U3539" s="149"/>
      <c r="V3539" s="149"/>
      <c r="W3539" s="149"/>
      <c r="X3539" s="149"/>
      <c r="Y3539" s="149"/>
      <c r="Z3539" s="149"/>
      <c r="AA3539" s="149"/>
      <c r="AB3539" s="149"/>
      <c r="AC3539" s="149"/>
      <c r="AD3539" s="149"/>
      <c r="AE3539" s="149"/>
      <c r="AF3539" s="149"/>
      <c r="AG3539" s="149"/>
      <c r="AH3539" s="149"/>
      <c r="AI3539" s="149"/>
      <c r="AJ3539" s="149"/>
      <c r="AK3539" s="149"/>
      <c r="AL3539" s="149"/>
      <c r="AM3539" s="149"/>
      <c r="AN3539" s="149"/>
      <c r="AO3539" s="128"/>
      <c r="AP3539" s="128"/>
      <c r="AQ3539" s="128"/>
      <c r="AR3539" s="128"/>
      <c r="AS3539" s="128"/>
      <c r="AT3539" s="128"/>
      <c r="AU3539" s="128"/>
      <c r="AV3539" s="128"/>
      <c r="AW3539" s="128"/>
      <c r="AX3539" s="128"/>
      <c r="AY3539" s="128"/>
      <c r="AZ3539" s="128"/>
      <c r="BA3539" s="128"/>
      <c r="BB3539" s="128"/>
      <c r="BC3539" s="128"/>
      <c r="BD3539" s="128"/>
      <c r="BE3539" s="128"/>
      <c r="BF3539" s="128"/>
      <c r="BG3539" s="128"/>
      <c r="BH3539" s="128"/>
      <c r="BI3539" s="128"/>
      <c r="BJ3539" s="128"/>
      <c r="BK3539" s="128"/>
      <c r="BL3539" s="128"/>
      <c r="BM3539" s="151"/>
      <c r="BN3539" s="128"/>
      <c r="BO3539" s="128"/>
      <c r="BP3539" s="128"/>
      <c r="BQ3539" s="128"/>
      <c r="BR3539" s="128"/>
      <c r="BS3539" s="128"/>
      <c r="BT3539" s="128"/>
      <c r="BU3539" s="128"/>
      <c r="BV3539" s="128"/>
      <c r="BW3539" s="128"/>
      <c r="BX3539" s="128"/>
      <c r="BY3539" s="128"/>
      <c r="BZ3539" s="128"/>
      <c r="CA3539" s="128"/>
      <c r="CB3539" s="128"/>
      <c r="CC3539" s="128"/>
      <c r="CD3539" s="128"/>
      <c r="CE3539" s="128"/>
      <c r="CF3539" s="128"/>
      <c r="CG3539" s="128"/>
      <c r="CI3539" s="128"/>
      <c r="CJ3539" s="128"/>
      <c r="CK3539" s="128"/>
      <c r="CL3539" s="128"/>
      <c r="CM3539" s="128"/>
      <c r="CN3539" s="128"/>
      <c r="CO3539" s="128"/>
      <c r="CP3539" s="128"/>
      <c r="CQ3539" s="128"/>
      <c r="CR3539" s="128"/>
      <c r="CS3539" s="128"/>
      <c r="CT3539" s="128"/>
      <c r="CU3539" s="128"/>
      <c r="CV3539" s="128"/>
      <c r="CW3539" s="128"/>
      <c r="CX3539" s="128"/>
      <c r="CY3539" s="128"/>
      <c r="CZ3539" s="165"/>
    </row>
    <row r="3540" spans="1:104">
      <c r="A3540" s="149"/>
      <c r="B3540" s="149"/>
      <c r="C3540" s="150"/>
      <c r="D3540" s="102"/>
      <c r="E3540" s="149"/>
      <c r="F3540" s="149"/>
      <c r="G3540" s="149"/>
      <c r="H3540" s="149"/>
      <c r="I3540" s="149"/>
      <c r="J3540" s="149"/>
      <c r="K3540" s="149"/>
      <c r="L3540" s="149"/>
      <c r="M3540" s="149"/>
      <c r="N3540" s="149"/>
      <c r="O3540" s="149"/>
      <c r="P3540" s="149"/>
      <c r="Q3540" s="149"/>
      <c r="R3540" s="149"/>
      <c r="S3540" s="149"/>
      <c r="T3540" s="149"/>
      <c r="U3540" s="149"/>
      <c r="V3540" s="149"/>
      <c r="W3540" s="149"/>
      <c r="X3540" s="149"/>
      <c r="Y3540" s="149"/>
      <c r="Z3540" s="149"/>
      <c r="AA3540" s="149"/>
      <c r="AB3540" s="149"/>
      <c r="AC3540" s="149"/>
      <c r="AD3540" s="149"/>
      <c r="AE3540" s="149"/>
      <c r="AF3540" s="149"/>
      <c r="AG3540" s="149"/>
      <c r="AH3540" s="149"/>
      <c r="AI3540" s="149"/>
      <c r="AJ3540" s="149"/>
      <c r="AK3540" s="149"/>
      <c r="AL3540" s="149"/>
      <c r="AM3540" s="149"/>
      <c r="AN3540" s="149"/>
      <c r="AO3540" s="128"/>
      <c r="AP3540" s="128"/>
      <c r="AQ3540" s="128"/>
      <c r="AR3540" s="128"/>
      <c r="AS3540" s="128"/>
      <c r="AT3540" s="128"/>
      <c r="AU3540" s="128"/>
      <c r="AV3540" s="128"/>
      <c r="AW3540" s="128"/>
      <c r="AX3540" s="128"/>
      <c r="AY3540" s="128"/>
      <c r="AZ3540" s="128"/>
      <c r="BA3540" s="128"/>
      <c r="BB3540" s="128"/>
      <c r="BC3540" s="128"/>
      <c r="BD3540" s="128"/>
      <c r="BE3540" s="128"/>
      <c r="BF3540" s="128"/>
      <c r="BG3540" s="128"/>
      <c r="BH3540" s="128"/>
      <c r="BI3540" s="128"/>
      <c r="BJ3540" s="128"/>
      <c r="BK3540" s="128"/>
      <c r="BL3540" s="128"/>
      <c r="BM3540" s="151"/>
      <c r="BN3540" s="128"/>
      <c r="BO3540" s="128"/>
      <c r="BP3540" s="128"/>
      <c r="BQ3540" s="128"/>
      <c r="BR3540" s="128"/>
      <c r="BS3540" s="128"/>
      <c r="BT3540" s="128"/>
      <c r="BU3540" s="128"/>
      <c r="BV3540" s="128"/>
      <c r="BW3540" s="128"/>
      <c r="BX3540" s="128"/>
      <c r="BY3540" s="128"/>
      <c r="BZ3540" s="128"/>
      <c r="CA3540" s="128"/>
      <c r="CB3540" s="128"/>
      <c r="CC3540" s="128"/>
      <c r="CD3540" s="128"/>
      <c r="CE3540" s="128"/>
      <c r="CF3540" s="128"/>
      <c r="CG3540" s="128"/>
      <c r="CI3540" s="128"/>
      <c r="CJ3540" s="128"/>
      <c r="CK3540" s="128"/>
      <c r="CL3540" s="128"/>
      <c r="CM3540" s="128"/>
      <c r="CN3540" s="128"/>
      <c r="CO3540" s="128"/>
      <c r="CP3540" s="128"/>
      <c r="CQ3540" s="128"/>
      <c r="CR3540" s="128"/>
      <c r="CS3540" s="128"/>
      <c r="CT3540" s="128"/>
      <c r="CU3540" s="128"/>
      <c r="CV3540" s="128"/>
      <c r="CW3540" s="128"/>
      <c r="CX3540" s="128"/>
      <c r="CY3540" s="128"/>
      <c r="CZ3540" s="165"/>
    </row>
    <row r="3541" spans="1:104">
      <c r="A3541" s="149"/>
      <c r="B3541" s="149"/>
      <c r="C3541" s="150"/>
      <c r="D3541" s="102"/>
      <c r="E3541" s="149"/>
      <c r="F3541" s="149"/>
      <c r="G3541" s="149"/>
      <c r="H3541" s="149"/>
      <c r="I3541" s="149"/>
      <c r="J3541" s="149"/>
      <c r="K3541" s="149"/>
      <c r="L3541" s="149"/>
      <c r="M3541" s="149"/>
      <c r="N3541" s="149"/>
      <c r="O3541" s="149"/>
      <c r="P3541" s="149"/>
      <c r="Q3541" s="149"/>
      <c r="R3541" s="149"/>
      <c r="S3541" s="149"/>
      <c r="T3541" s="149"/>
      <c r="U3541" s="149"/>
      <c r="V3541" s="149"/>
      <c r="W3541" s="149"/>
      <c r="X3541" s="149"/>
      <c r="Y3541" s="149"/>
      <c r="Z3541" s="149"/>
      <c r="AA3541" s="149"/>
      <c r="AB3541" s="149"/>
      <c r="AC3541" s="149"/>
      <c r="AD3541" s="149"/>
      <c r="AE3541" s="149"/>
      <c r="AF3541" s="149"/>
      <c r="AG3541" s="149"/>
      <c r="AH3541" s="149"/>
      <c r="AI3541" s="149"/>
      <c r="AJ3541" s="149"/>
      <c r="AK3541" s="149"/>
      <c r="AL3541" s="149"/>
      <c r="AM3541" s="149"/>
      <c r="AN3541" s="149"/>
      <c r="AO3541" s="128"/>
      <c r="AP3541" s="128"/>
      <c r="AQ3541" s="128"/>
      <c r="AR3541" s="128"/>
      <c r="AS3541" s="128"/>
      <c r="AT3541" s="128"/>
      <c r="AU3541" s="128"/>
      <c r="AV3541" s="128"/>
      <c r="AW3541" s="128"/>
      <c r="AX3541" s="128"/>
      <c r="AY3541" s="128"/>
      <c r="AZ3541" s="128"/>
      <c r="BA3541" s="128"/>
      <c r="BB3541" s="128"/>
      <c r="BC3541" s="128"/>
      <c r="BD3541" s="128"/>
      <c r="BE3541" s="128"/>
      <c r="BF3541" s="128"/>
      <c r="BG3541" s="128"/>
      <c r="BH3541" s="128"/>
      <c r="BI3541" s="128"/>
      <c r="BJ3541" s="128"/>
      <c r="BK3541" s="128"/>
      <c r="BL3541" s="128"/>
      <c r="BM3541" s="151"/>
      <c r="BN3541" s="128"/>
      <c r="BO3541" s="128"/>
      <c r="BP3541" s="128"/>
      <c r="BQ3541" s="128"/>
      <c r="BR3541" s="128"/>
      <c r="BS3541" s="128"/>
      <c r="BT3541" s="128"/>
      <c r="BU3541" s="128"/>
      <c r="BV3541" s="128"/>
      <c r="BW3541" s="128"/>
      <c r="BX3541" s="128"/>
      <c r="BY3541" s="128"/>
      <c r="BZ3541" s="128"/>
      <c r="CA3541" s="128"/>
      <c r="CB3541" s="128"/>
      <c r="CC3541" s="128"/>
      <c r="CD3541" s="128"/>
      <c r="CE3541" s="128"/>
      <c r="CF3541" s="128"/>
      <c r="CG3541" s="128"/>
      <c r="CI3541" s="128"/>
      <c r="CJ3541" s="128"/>
      <c r="CK3541" s="128"/>
      <c r="CL3541" s="128"/>
      <c r="CM3541" s="128"/>
      <c r="CN3541" s="128"/>
      <c r="CO3541" s="128"/>
      <c r="CP3541" s="128"/>
      <c r="CQ3541" s="128"/>
      <c r="CR3541" s="128"/>
      <c r="CS3541" s="128"/>
      <c r="CT3541" s="128"/>
      <c r="CU3541" s="128"/>
      <c r="CV3541" s="128"/>
      <c r="CW3541" s="128"/>
      <c r="CX3541" s="128"/>
      <c r="CY3541" s="128"/>
      <c r="CZ3541" s="165"/>
    </row>
    <row r="3542" spans="1:104">
      <c r="A3542" s="149"/>
      <c r="B3542" s="149"/>
      <c r="C3542" s="150"/>
      <c r="D3542" s="102"/>
      <c r="E3542" s="149"/>
      <c r="F3542" s="149"/>
      <c r="G3542" s="149"/>
      <c r="H3542" s="149"/>
      <c r="I3542" s="149"/>
      <c r="J3542" s="149"/>
      <c r="K3542" s="149"/>
      <c r="L3542" s="149"/>
      <c r="M3542" s="149"/>
      <c r="N3542" s="149"/>
      <c r="O3542" s="149"/>
      <c r="P3542" s="149"/>
      <c r="Q3542" s="149"/>
      <c r="R3542" s="149"/>
      <c r="S3542" s="149"/>
      <c r="T3542" s="149"/>
      <c r="U3542" s="149"/>
      <c r="V3542" s="149"/>
      <c r="W3542" s="149"/>
      <c r="X3542" s="149"/>
      <c r="Y3542" s="149"/>
      <c r="Z3542" s="149"/>
      <c r="AA3542" s="149"/>
      <c r="AB3542" s="149"/>
      <c r="AC3542" s="149"/>
      <c r="AD3542" s="149"/>
      <c r="AE3542" s="149"/>
      <c r="AF3542" s="149"/>
      <c r="AG3542" s="149"/>
      <c r="AH3542" s="149"/>
      <c r="AI3542" s="149"/>
      <c r="AJ3542" s="149"/>
      <c r="AK3542" s="149"/>
      <c r="AL3542" s="149"/>
      <c r="AM3542" s="149"/>
      <c r="AN3542" s="149"/>
      <c r="AO3542" s="128"/>
      <c r="AP3542" s="128"/>
      <c r="AQ3542" s="128"/>
      <c r="AR3542" s="128"/>
      <c r="AS3542" s="128"/>
      <c r="AT3542" s="128"/>
      <c r="AU3542" s="128"/>
      <c r="AV3542" s="128"/>
      <c r="AW3542" s="128"/>
      <c r="AX3542" s="128"/>
      <c r="AY3542" s="128"/>
      <c r="AZ3542" s="128"/>
      <c r="BA3542" s="128"/>
      <c r="BB3542" s="128"/>
      <c r="BC3542" s="128"/>
      <c r="BD3542" s="128"/>
      <c r="BE3542" s="128"/>
      <c r="BF3542" s="128"/>
      <c r="BG3542" s="128"/>
      <c r="BH3542" s="128"/>
      <c r="BI3542" s="128"/>
      <c r="BJ3542" s="128"/>
      <c r="BK3542" s="128"/>
      <c r="BL3542" s="128"/>
      <c r="BM3542" s="151"/>
      <c r="BN3542" s="128"/>
      <c r="BO3542" s="128"/>
      <c r="BP3542" s="128"/>
      <c r="BQ3542" s="128"/>
      <c r="BR3542" s="128"/>
      <c r="BS3542" s="128"/>
      <c r="BT3542" s="128"/>
      <c r="BU3542" s="128"/>
      <c r="BV3542" s="128"/>
      <c r="BW3542" s="128"/>
      <c r="BX3542" s="128"/>
      <c r="BY3542" s="128"/>
      <c r="BZ3542" s="128"/>
      <c r="CA3542" s="128"/>
      <c r="CB3542" s="128"/>
      <c r="CC3542" s="128"/>
      <c r="CD3542" s="128"/>
      <c r="CE3542" s="128"/>
      <c r="CF3542" s="128"/>
      <c r="CG3542" s="128"/>
      <c r="CI3542" s="128"/>
      <c r="CJ3542" s="128"/>
      <c r="CK3542" s="128"/>
      <c r="CL3542" s="128"/>
      <c r="CM3542" s="128"/>
      <c r="CN3542" s="128"/>
      <c r="CO3542" s="128"/>
      <c r="CP3542" s="128"/>
      <c r="CQ3542" s="128"/>
      <c r="CR3542" s="128"/>
      <c r="CS3542" s="128"/>
      <c r="CT3542" s="128"/>
      <c r="CU3542" s="128"/>
      <c r="CV3542" s="128"/>
      <c r="CW3542" s="128"/>
      <c r="CX3542" s="128"/>
      <c r="CY3542" s="128"/>
      <c r="CZ3542" s="165"/>
    </row>
    <row r="3543" spans="1:104">
      <c r="A3543" s="149"/>
      <c r="B3543" s="149"/>
      <c r="C3543" s="150"/>
      <c r="D3543" s="102"/>
      <c r="E3543" s="149"/>
      <c r="F3543" s="149"/>
      <c r="G3543" s="149"/>
      <c r="H3543" s="149"/>
      <c r="I3543" s="149"/>
      <c r="J3543" s="149"/>
      <c r="K3543" s="149"/>
      <c r="L3543" s="149"/>
      <c r="M3543" s="149"/>
      <c r="N3543" s="149"/>
      <c r="O3543" s="149"/>
      <c r="P3543" s="149"/>
      <c r="Q3543" s="149"/>
      <c r="R3543" s="149"/>
      <c r="S3543" s="149"/>
      <c r="T3543" s="149"/>
      <c r="U3543" s="149"/>
      <c r="V3543" s="149"/>
      <c r="W3543" s="149"/>
      <c r="X3543" s="149"/>
      <c r="Y3543" s="149"/>
      <c r="Z3543" s="149"/>
      <c r="AA3543" s="149"/>
      <c r="AB3543" s="149"/>
      <c r="AC3543" s="149"/>
      <c r="AD3543" s="149"/>
      <c r="AE3543" s="149"/>
      <c r="AF3543" s="149"/>
      <c r="AG3543" s="149"/>
      <c r="AH3543" s="149"/>
      <c r="AI3543" s="149"/>
      <c r="AJ3543" s="149"/>
      <c r="AK3543" s="149"/>
      <c r="AL3543" s="149"/>
      <c r="AM3543" s="149"/>
      <c r="AN3543" s="149"/>
      <c r="AO3543" s="128"/>
      <c r="AP3543" s="128"/>
      <c r="AQ3543" s="128"/>
      <c r="AR3543" s="128"/>
      <c r="AS3543" s="128"/>
      <c r="AT3543" s="128"/>
      <c r="AU3543" s="128"/>
      <c r="AV3543" s="128"/>
      <c r="AW3543" s="128"/>
      <c r="AX3543" s="128"/>
      <c r="AY3543" s="128"/>
      <c r="AZ3543" s="128"/>
      <c r="BA3543" s="128"/>
      <c r="BB3543" s="128"/>
      <c r="BC3543" s="128"/>
      <c r="BD3543" s="128"/>
      <c r="BE3543" s="128"/>
      <c r="BF3543" s="128"/>
      <c r="BG3543" s="128"/>
      <c r="BH3543" s="128"/>
      <c r="BI3543" s="128"/>
      <c r="BJ3543" s="128"/>
      <c r="BK3543" s="128"/>
      <c r="BL3543" s="128"/>
      <c r="BM3543" s="151"/>
      <c r="BN3543" s="128"/>
      <c r="BO3543" s="128"/>
      <c r="BP3543" s="128"/>
      <c r="BQ3543" s="128"/>
      <c r="BR3543" s="128"/>
      <c r="BS3543" s="128"/>
      <c r="BT3543" s="128"/>
      <c r="BU3543" s="128"/>
      <c r="BV3543" s="128"/>
      <c r="BW3543" s="128"/>
      <c r="BX3543" s="128"/>
      <c r="BY3543" s="128"/>
      <c r="BZ3543" s="128"/>
      <c r="CA3543" s="128"/>
      <c r="CB3543" s="128"/>
      <c r="CC3543" s="128"/>
      <c r="CD3543" s="128"/>
      <c r="CE3543" s="128"/>
      <c r="CF3543" s="128"/>
      <c r="CG3543" s="128"/>
      <c r="CI3543" s="128"/>
      <c r="CJ3543" s="128"/>
      <c r="CK3543" s="128"/>
      <c r="CL3543" s="128"/>
      <c r="CM3543" s="128"/>
      <c r="CN3543" s="128"/>
      <c r="CO3543" s="128"/>
      <c r="CP3543" s="128"/>
      <c r="CQ3543" s="128"/>
      <c r="CR3543" s="128"/>
      <c r="CS3543" s="128"/>
      <c r="CT3543" s="128"/>
      <c r="CU3543" s="128"/>
      <c r="CV3543" s="128"/>
      <c r="CW3543" s="128"/>
      <c r="CX3543" s="128"/>
      <c r="CY3543" s="128"/>
      <c r="CZ3543" s="165"/>
    </row>
    <row r="3544" spans="1:104">
      <c r="A3544" s="149"/>
      <c r="B3544" s="149"/>
      <c r="C3544" s="150"/>
      <c r="D3544" s="102"/>
      <c r="E3544" s="149"/>
      <c r="F3544" s="149"/>
      <c r="G3544" s="149"/>
      <c r="H3544" s="149"/>
      <c r="I3544" s="149"/>
      <c r="J3544" s="149"/>
      <c r="K3544" s="149"/>
      <c r="L3544" s="149"/>
      <c r="M3544" s="149"/>
      <c r="N3544" s="149"/>
      <c r="O3544" s="149"/>
      <c r="P3544" s="149"/>
      <c r="Q3544" s="149"/>
      <c r="R3544" s="149"/>
      <c r="S3544" s="149"/>
      <c r="T3544" s="149"/>
      <c r="U3544" s="149"/>
      <c r="V3544" s="149"/>
      <c r="W3544" s="149"/>
      <c r="X3544" s="149"/>
      <c r="Y3544" s="149"/>
      <c r="Z3544" s="149"/>
      <c r="AA3544" s="149"/>
      <c r="AB3544" s="149"/>
      <c r="AC3544" s="149"/>
      <c r="AD3544" s="149"/>
      <c r="AE3544" s="149"/>
      <c r="AF3544" s="149"/>
      <c r="AG3544" s="149"/>
      <c r="AH3544" s="149"/>
      <c r="AI3544" s="149"/>
      <c r="AJ3544" s="149"/>
      <c r="AK3544" s="149"/>
      <c r="AL3544" s="149"/>
      <c r="AM3544" s="149"/>
      <c r="AN3544" s="149"/>
      <c r="AO3544" s="128"/>
      <c r="AP3544" s="128"/>
      <c r="AQ3544" s="128"/>
      <c r="AR3544" s="128"/>
      <c r="AS3544" s="128"/>
      <c r="AT3544" s="128"/>
      <c r="AU3544" s="128"/>
      <c r="AV3544" s="128"/>
      <c r="AW3544" s="128"/>
      <c r="AX3544" s="128"/>
      <c r="AY3544" s="128"/>
      <c r="AZ3544" s="128"/>
      <c r="BA3544" s="128"/>
      <c r="BB3544" s="128"/>
      <c r="BC3544" s="128"/>
      <c r="BD3544" s="128"/>
      <c r="BE3544" s="128"/>
      <c r="BF3544" s="128"/>
      <c r="BG3544" s="128"/>
      <c r="BH3544" s="128"/>
      <c r="BI3544" s="128"/>
      <c r="BJ3544" s="128"/>
      <c r="BK3544" s="128"/>
      <c r="BL3544" s="128"/>
      <c r="BM3544" s="151"/>
      <c r="BN3544" s="128"/>
      <c r="BO3544" s="128"/>
      <c r="BP3544" s="128"/>
      <c r="BQ3544" s="128"/>
      <c r="BR3544" s="128"/>
      <c r="BS3544" s="128"/>
      <c r="BT3544" s="128"/>
      <c r="BU3544" s="128"/>
      <c r="BV3544" s="128"/>
      <c r="BW3544" s="128"/>
      <c r="BX3544" s="128"/>
      <c r="BY3544" s="128"/>
      <c r="BZ3544" s="128"/>
      <c r="CA3544" s="128"/>
      <c r="CB3544" s="128"/>
      <c r="CC3544" s="128"/>
      <c r="CD3544" s="128"/>
      <c r="CE3544" s="128"/>
      <c r="CF3544" s="128"/>
      <c r="CG3544" s="128"/>
      <c r="CI3544" s="128"/>
      <c r="CJ3544" s="128"/>
      <c r="CK3544" s="128"/>
      <c r="CL3544" s="128"/>
      <c r="CM3544" s="128"/>
      <c r="CN3544" s="128"/>
      <c r="CO3544" s="128"/>
      <c r="CP3544" s="128"/>
      <c r="CQ3544" s="128"/>
      <c r="CR3544" s="128"/>
      <c r="CS3544" s="128"/>
      <c r="CT3544" s="128"/>
      <c r="CU3544" s="128"/>
      <c r="CV3544" s="128"/>
      <c r="CW3544" s="128"/>
      <c r="CX3544" s="128"/>
      <c r="CY3544" s="128"/>
      <c r="CZ3544" s="165"/>
    </row>
    <row r="3545" spans="1:104">
      <c r="A3545" s="149"/>
      <c r="B3545" s="149"/>
      <c r="C3545" s="150"/>
      <c r="D3545" s="102"/>
      <c r="E3545" s="149"/>
      <c r="F3545" s="149"/>
      <c r="G3545" s="149"/>
      <c r="H3545" s="149"/>
      <c r="I3545" s="149"/>
      <c r="J3545" s="149"/>
      <c r="K3545" s="149"/>
      <c r="L3545" s="149"/>
      <c r="M3545" s="149"/>
      <c r="N3545" s="149"/>
      <c r="O3545" s="149"/>
      <c r="P3545" s="149"/>
      <c r="Q3545" s="149"/>
      <c r="R3545" s="149"/>
      <c r="S3545" s="149"/>
      <c r="T3545" s="149"/>
      <c r="U3545" s="149"/>
      <c r="V3545" s="149"/>
      <c r="W3545" s="149"/>
      <c r="X3545" s="149"/>
      <c r="Y3545" s="149"/>
      <c r="Z3545" s="149"/>
      <c r="AA3545" s="149"/>
      <c r="AB3545" s="149"/>
      <c r="AC3545" s="149"/>
      <c r="AD3545" s="149"/>
      <c r="AE3545" s="149"/>
      <c r="AF3545" s="149"/>
      <c r="AG3545" s="149"/>
      <c r="AH3545" s="149"/>
      <c r="AI3545" s="149"/>
      <c r="AJ3545" s="149"/>
      <c r="AK3545" s="149"/>
      <c r="AL3545" s="149"/>
      <c r="AM3545" s="149"/>
      <c r="AN3545" s="149"/>
      <c r="AO3545" s="128"/>
      <c r="AP3545" s="128"/>
      <c r="AQ3545" s="128"/>
      <c r="AR3545" s="128"/>
      <c r="AS3545" s="128"/>
      <c r="AT3545" s="128"/>
      <c r="AU3545" s="128"/>
      <c r="AV3545" s="128"/>
      <c r="AW3545" s="128"/>
      <c r="AX3545" s="128"/>
      <c r="AY3545" s="128"/>
      <c r="AZ3545" s="128"/>
      <c r="BA3545" s="128"/>
      <c r="BB3545" s="128"/>
      <c r="BC3545" s="128"/>
      <c r="BD3545" s="128"/>
      <c r="BE3545" s="128"/>
      <c r="BF3545" s="128"/>
      <c r="BG3545" s="128"/>
      <c r="BH3545" s="128"/>
      <c r="BI3545" s="128"/>
      <c r="BJ3545" s="128"/>
      <c r="BK3545" s="128"/>
      <c r="BL3545" s="128"/>
      <c r="BM3545" s="151"/>
      <c r="BN3545" s="128"/>
      <c r="BO3545" s="128"/>
      <c r="BP3545" s="128"/>
      <c r="BQ3545" s="128"/>
      <c r="BR3545" s="128"/>
      <c r="BS3545" s="128"/>
      <c r="BT3545" s="128"/>
      <c r="BU3545" s="128"/>
      <c r="BV3545" s="128"/>
      <c r="BW3545" s="128"/>
      <c r="BX3545" s="128"/>
      <c r="BY3545" s="128"/>
      <c r="BZ3545" s="128"/>
      <c r="CA3545" s="128"/>
      <c r="CB3545" s="128"/>
      <c r="CC3545" s="128"/>
      <c r="CD3545" s="128"/>
      <c r="CE3545" s="128"/>
      <c r="CF3545" s="128"/>
      <c r="CG3545" s="128"/>
      <c r="CI3545" s="128"/>
      <c r="CJ3545" s="128"/>
      <c r="CK3545" s="128"/>
      <c r="CL3545" s="128"/>
      <c r="CM3545" s="128"/>
      <c r="CN3545" s="128"/>
      <c r="CO3545" s="128"/>
      <c r="CP3545" s="128"/>
      <c r="CQ3545" s="128"/>
      <c r="CR3545" s="128"/>
      <c r="CS3545" s="128"/>
      <c r="CT3545" s="128"/>
      <c r="CU3545" s="128"/>
      <c r="CV3545" s="128"/>
      <c r="CW3545" s="128"/>
      <c r="CX3545" s="128"/>
      <c r="CY3545" s="128"/>
      <c r="CZ3545" s="165"/>
    </row>
    <row r="3546" spans="1:104">
      <c r="A3546" s="149"/>
      <c r="B3546" s="149"/>
      <c r="C3546" s="150"/>
      <c r="D3546" s="102"/>
      <c r="E3546" s="149"/>
      <c r="F3546" s="149"/>
      <c r="G3546" s="149"/>
      <c r="H3546" s="149"/>
      <c r="I3546" s="149"/>
      <c r="J3546" s="149"/>
      <c r="K3546" s="149"/>
      <c r="L3546" s="149"/>
      <c r="M3546" s="149"/>
      <c r="N3546" s="149"/>
      <c r="O3546" s="149"/>
      <c r="P3546" s="149"/>
      <c r="Q3546" s="149"/>
      <c r="R3546" s="149"/>
      <c r="S3546" s="149"/>
      <c r="T3546" s="149"/>
      <c r="U3546" s="149"/>
      <c r="V3546" s="149"/>
      <c r="W3546" s="149"/>
      <c r="X3546" s="149"/>
      <c r="Y3546" s="149"/>
      <c r="Z3546" s="149"/>
      <c r="AA3546" s="149"/>
      <c r="AB3546" s="149"/>
      <c r="AC3546" s="149"/>
      <c r="AD3546" s="149"/>
      <c r="AE3546" s="149"/>
      <c r="AF3546" s="149"/>
      <c r="AG3546" s="149"/>
      <c r="AH3546" s="149"/>
      <c r="AI3546" s="149"/>
      <c r="AJ3546" s="149"/>
      <c r="AK3546" s="149"/>
      <c r="AL3546" s="149"/>
      <c r="AM3546" s="149"/>
      <c r="AN3546" s="149"/>
      <c r="AO3546" s="128"/>
      <c r="AP3546" s="128"/>
      <c r="AQ3546" s="128"/>
      <c r="AR3546" s="128"/>
      <c r="AS3546" s="128"/>
      <c r="AT3546" s="128"/>
      <c r="AU3546" s="128"/>
      <c r="AV3546" s="128"/>
      <c r="AW3546" s="128"/>
      <c r="AX3546" s="128"/>
      <c r="AY3546" s="128"/>
      <c r="AZ3546" s="128"/>
      <c r="BA3546" s="128"/>
      <c r="BB3546" s="128"/>
      <c r="BC3546" s="128"/>
      <c r="BD3546" s="128"/>
      <c r="BE3546" s="128"/>
      <c r="BF3546" s="128"/>
      <c r="BG3546" s="128"/>
      <c r="BH3546" s="128"/>
      <c r="BI3546" s="128"/>
      <c r="BJ3546" s="128"/>
      <c r="BK3546" s="128"/>
      <c r="BL3546" s="128"/>
      <c r="BM3546" s="151"/>
      <c r="BN3546" s="128"/>
      <c r="BO3546" s="128"/>
      <c r="BP3546" s="128"/>
      <c r="BQ3546" s="128"/>
      <c r="BR3546" s="128"/>
      <c r="BS3546" s="128"/>
      <c r="BT3546" s="128"/>
      <c r="BU3546" s="128"/>
      <c r="BV3546" s="128"/>
      <c r="BW3546" s="128"/>
      <c r="BX3546" s="128"/>
      <c r="BY3546" s="128"/>
      <c r="BZ3546" s="128"/>
      <c r="CA3546" s="128"/>
      <c r="CB3546" s="128"/>
      <c r="CC3546" s="128"/>
      <c r="CD3546" s="128"/>
      <c r="CE3546" s="128"/>
      <c r="CF3546" s="128"/>
      <c r="CG3546" s="128"/>
      <c r="CI3546" s="128"/>
      <c r="CJ3546" s="128"/>
      <c r="CK3546" s="128"/>
      <c r="CL3546" s="128"/>
      <c r="CM3546" s="128"/>
      <c r="CN3546" s="128"/>
      <c r="CO3546" s="128"/>
      <c r="CP3546" s="128"/>
      <c r="CQ3546" s="128"/>
      <c r="CR3546" s="128"/>
      <c r="CS3546" s="128"/>
      <c r="CT3546" s="128"/>
      <c r="CU3546" s="128"/>
      <c r="CV3546" s="128"/>
      <c r="CW3546" s="128"/>
      <c r="CX3546" s="128"/>
      <c r="CY3546" s="128"/>
      <c r="CZ3546" s="165"/>
    </row>
    <row r="3547" spans="1:104">
      <c r="A3547" s="149"/>
      <c r="B3547" s="149"/>
      <c r="C3547" s="150"/>
      <c r="D3547" s="102"/>
      <c r="E3547" s="149"/>
      <c r="F3547" s="149"/>
      <c r="G3547" s="149"/>
      <c r="H3547" s="149"/>
      <c r="I3547" s="149"/>
      <c r="J3547" s="149"/>
      <c r="K3547" s="149"/>
      <c r="L3547" s="149"/>
      <c r="M3547" s="149"/>
      <c r="N3547" s="149"/>
      <c r="O3547" s="149"/>
      <c r="P3547" s="149"/>
      <c r="Q3547" s="149"/>
      <c r="R3547" s="149"/>
      <c r="S3547" s="149"/>
      <c r="T3547" s="149"/>
      <c r="U3547" s="149"/>
      <c r="V3547" s="149"/>
      <c r="W3547" s="149"/>
      <c r="X3547" s="149"/>
      <c r="Y3547" s="149"/>
      <c r="Z3547" s="149"/>
      <c r="AA3547" s="149"/>
      <c r="AB3547" s="149"/>
      <c r="AC3547" s="149"/>
      <c r="AD3547" s="149"/>
      <c r="AE3547" s="149"/>
      <c r="AF3547" s="149"/>
      <c r="AG3547" s="149"/>
      <c r="AH3547" s="149"/>
      <c r="AI3547" s="149"/>
      <c r="AJ3547" s="149"/>
      <c r="AK3547" s="149"/>
      <c r="AL3547" s="149"/>
      <c r="AM3547" s="149"/>
      <c r="AN3547" s="149"/>
      <c r="AO3547" s="128"/>
      <c r="AP3547" s="128"/>
      <c r="AQ3547" s="128"/>
      <c r="AR3547" s="128"/>
      <c r="AS3547" s="128"/>
      <c r="AT3547" s="128"/>
      <c r="AU3547" s="128"/>
      <c r="AV3547" s="128"/>
      <c r="AW3547" s="128"/>
      <c r="AX3547" s="128"/>
      <c r="AY3547" s="128"/>
      <c r="AZ3547" s="128"/>
      <c r="BA3547" s="128"/>
      <c r="BB3547" s="128"/>
      <c r="BC3547" s="128"/>
      <c r="BD3547" s="128"/>
      <c r="BE3547" s="128"/>
      <c r="BF3547" s="128"/>
      <c r="BG3547" s="128"/>
      <c r="BH3547" s="128"/>
      <c r="BI3547" s="128"/>
      <c r="BJ3547" s="128"/>
      <c r="BK3547" s="128"/>
      <c r="BL3547" s="128"/>
      <c r="BM3547" s="151"/>
      <c r="BN3547" s="128"/>
      <c r="BO3547" s="128"/>
      <c r="BP3547" s="128"/>
      <c r="BQ3547" s="128"/>
      <c r="BR3547" s="128"/>
      <c r="BS3547" s="128"/>
      <c r="BT3547" s="128"/>
      <c r="BU3547" s="128"/>
      <c r="BV3547" s="128"/>
      <c r="BW3547" s="128"/>
      <c r="BX3547" s="128"/>
      <c r="BY3547" s="128"/>
      <c r="BZ3547" s="128"/>
      <c r="CA3547" s="128"/>
      <c r="CB3547" s="128"/>
      <c r="CC3547" s="128"/>
      <c r="CD3547" s="128"/>
      <c r="CE3547" s="128"/>
      <c r="CF3547" s="128"/>
      <c r="CG3547" s="128"/>
      <c r="CI3547" s="128"/>
      <c r="CJ3547" s="128"/>
      <c r="CK3547" s="128"/>
      <c r="CL3547" s="128"/>
      <c r="CM3547" s="128"/>
      <c r="CN3547" s="128"/>
      <c r="CO3547" s="128"/>
      <c r="CP3547" s="128"/>
      <c r="CQ3547" s="128"/>
      <c r="CR3547" s="128"/>
      <c r="CS3547" s="128"/>
      <c r="CT3547" s="128"/>
      <c r="CU3547" s="128"/>
      <c r="CV3547" s="128"/>
      <c r="CW3547" s="128"/>
      <c r="CX3547" s="128"/>
      <c r="CY3547" s="128"/>
      <c r="CZ3547" s="165"/>
    </row>
    <row r="3548" spans="1:104">
      <c r="A3548" s="149"/>
      <c r="B3548" s="149"/>
      <c r="C3548" s="150"/>
      <c r="D3548" s="102"/>
      <c r="E3548" s="149"/>
      <c r="F3548" s="149"/>
      <c r="G3548" s="149"/>
      <c r="H3548" s="149"/>
      <c r="I3548" s="149"/>
      <c r="J3548" s="149"/>
      <c r="K3548" s="149"/>
      <c r="L3548" s="149"/>
      <c r="M3548" s="149"/>
      <c r="N3548" s="149"/>
      <c r="O3548" s="149"/>
      <c r="P3548" s="149"/>
      <c r="Q3548" s="149"/>
      <c r="R3548" s="149"/>
      <c r="S3548" s="149"/>
      <c r="T3548" s="149"/>
      <c r="U3548" s="149"/>
      <c r="V3548" s="149"/>
      <c r="W3548" s="149"/>
      <c r="X3548" s="149"/>
      <c r="Y3548" s="149"/>
      <c r="Z3548" s="149"/>
      <c r="AA3548" s="149"/>
      <c r="AB3548" s="149"/>
      <c r="AC3548" s="149"/>
      <c r="AD3548" s="149"/>
      <c r="AE3548" s="149"/>
      <c r="AF3548" s="149"/>
      <c r="AG3548" s="149"/>
      <c r="AH3548" s="149"/>
      <c r="AI3548" s="149"/>
      <c r="AJ3548" s="149"/>
      <c r="AK3548" s="149"/>
      <c r="AL3548" s="149"/>
      <c r="AM3548" s="149"/>
      <c r="AN3548" s="149"/>
      <c r="AO3548" s="128"/>
      <c r="AP3548" s="128"/>
      <c r="AQ3548" s="128"/>
      <c r="AR3548" s="128"/>
      <c r="AS3548" s="128"/>
      <c r="AT3548" s="128"/>
      <c r="AU3548" s="128"/>
      <c r="AV3548" s="128"/>
      <c r="AW3548" s="128"/>
      <c r="AX3548" s="128"/>
      <c r="AY3548" s="128"/>
      <c r="AZ3548" s="128"/>
      <c r="BA3548" s="128"/>
      <c r="BB3548" s="128"/>
      <c r="BC3548" s="128"/>
      <c r="BD3548" s="128"/>
      <c r="BE3548" s="128"/>
      <c r="BF3548" s="128"/>
      <c r="BG3548" s="128"/>
      <c r="BH3548" s="128"/>
      <c r="BI3548" s="128"/>
      <c r="BJ3548" s="128"/>
      <c r="BK3548" s="128"/>
      <c r="BL3548" s="128"/>
      <c r="BM3548" s="151"/>
      <c r="BN3548" s="128"/>
      <c r="BO3548" s="128"/>
      <c r="BP3548" s="128"/>
      <c r="BQ3548" s="128"/>
      <c r="BR3548" s="128"/>
      <c r="BS3548" s="128"/>
      <c r="BT3548" s="128"/>
      <c r="BU3548" s="128"/>
      <c r="BV3548" s="128"/>
      <c r="BW3548" s="128"/>
      <c r="BX3548" s="128"/>
      <c r="BY3548" s="128"/>
      <c r="BZ3548" s="128"/>
      <c r="CA3548" s="128"/>
      <c r="CB3548" s="128"/>
      <c r="CC3548" s="128"/>
      <c r="CD3548" s="128"/>
      <c r="CE3548" s="128"/>
      <c r="CF3548" s="128"/>
      <c r="CG3548" s="128"/>
      <c r="CI3548" s="128"/>
      <c r="CJ3548" s="128"/>
      <c r="CK3548" s="128"/>
      <c r="CL3548" s="128"/>
      <c r="CM3548" s="128"/>
      <c r="CN3548" s="128"/>
      <c r="CO3548" s="128"/>
      <c r="CP3548" s="128"/>
      <c r="CQ3548" s="128"/>
      <c r="CR3548" s="128"/>
      <c r="CS3548" s="128"/>
      <c r="CT3548" s="128"/>
      <c r="CU3548" s="128"/>
      <c r="CV3548" s="128"/>
      <c r="CW3548" s="128"/>
      <c r="CX3548" s="128"/>
      <c r="CY3548" s="128"/>
      <c r="CZ3548" s="165"/>
    </row>
    <row r="3549" spans="1:104">
      <c r="A3549" s="149"/>
      <c r="B3549" s="149"/>
      <c r="C3549" s="150"/>
      <c r="D3549" s="102"/>
      <c r="E3549" s="149"/>
      <c r="F3549" s="149"/>
      <c r="G3549" s="149"/>
      <c r="H3549" s="149"/>
      <c r="I3549" s="149"/>
      <c r="J3549" s="149"/>
      <c r="K3549" s="149"/>
      <c r="L3549" s="149"/>
      <c r="M3549" s="149"/>
      <c r="N3549" s="149"/>
      <c r="O3549" s="149"/>
      <c r="P3549" s="149"/>
      <c r="Q3549" s="149"/>
      <c r="R3549" s="149"/>
      <c r="S3549" s="149"/>
      <c r="T3549" s="149"/>
      <c r="U3549" s="149"/>
      <c r="V3549" s="149"/>
      <c r="W3549" s="149"/>
      <c r="X3549" s="149"/>
      <c r="Y3549" s="149"/>
      <c r="Z3549" s="149"/>
      <c r="AA3549" s="149"/>
      <c r="AB3549" s="149"/>
      <c r="AC3549" s="149"/>
      <c r="AD3549" s="149"/>
      <c r="AE3549" s="149"/>
      <c r="AF3549" s="149"/>
      <c r="AG3549" s="149"/>
      <c r="AH3549" s="149"/>
      <c r="AI3549" s="149"/>
      <c r="AJ3549" s="149"/>
      <c r="AK3549" s="149"/>
      <c r="AL3549" s="149"/>
      <c r="AM3549" s="149"/>
      <c r="AN3549" s="149"/>
      <c r="AO3549" s="128"/>
      <c r="AP3549" s="128"/>
      <c r="AQ3549" s="128"/>
      <c r="AR3549" s="128"/>
      <c r="AS3549" s="128"/>
      <c r="AT3549" s="128"/>
      <c r="AU3549" s="128"/>
      <c r="AV3549" s="128"/>
      <c r="AW3549" s="128"/>
      <c r="AX3549" s="128"/>
      <c r="AY3549" s="128"/>
      <c r="AZ3549" s="128"/>
      <c r="BA3549" s="128"/>
      <c r="BB3549" s="128"/>
      <c r="BC3549" s="128"/>
      <c r="BD3549" s="128"/>
      <c r="BE3549" s="128"/>
      <c r="BF3549" s="128"/>
      <c r="BG3549" s="128"/>
      <c r="BH3549" s="128"/>
      <c r="BI3549" s="128"/>
      <c r="BJ3549" s="128"/>
      <c r="BK3549" s="128"/>
      <c r="BL3549" s="128"/>
      <c r="BM3549" s="151"/>
      <c r="BN3549" s="128"/>
      <c r="BO3549" s="128"/>
      <c r="BP3549" s="128"/>
      <c r="BQ3549" s="128"/>
      <c r="BR3549" s="128"/>
      <c r="BS3549" s="128"/>
      <c r="BT3549" s="128"/>
      <c r="BU3549" s="128"/>
      <c r="BV3549" s="128"/>
      <c r="BW3549" s="128"/>
      <c r="BX3549" s="128"/>
      <c r="BY3549" s="128"/>
      <c r="BZ3549" s="128"/>
      <c r="CA3549" s="128"/>
      <c r="CB3549" s="128"/>
      <c r="CC3549" s="128"/>
      <c r="CD3549" s="128"/>
      <c r="CE3549" s="128"/>
      <c r="CF3549" s="128"/>
      <c r="CG3549" s="128"/>
      <c r="CI3549" s="128"/>
      <c r="CJ3549" s="128"/>
      <c r="CK3549" s="128"/>
      <c r="CL3549" s="128"/>
      <c r="CM3549" s="128"/>
      <c r="CN3549" s="128"/>
      <c r="CO3549" s="128"/>
      <c r="CP3549" s="128"/>
      <c r="CQ3549" s="128"/>
      <c r="CR3549" s="128"/>
      <c r="CS3549" s="128"/>
      <c r="CT3549" s="128"/>
      <c r="CU3549" s="128"/>
      <c r="CV3549" s="128"/>
      <c r="CW3549" s="128"/>
      <c r="CX3549" s="128"/>
      <c r="CY3549" s="128"/>
      <c r="CZ3549" s="165"/>
    </row>
    <row r="3550" spans="1:104">
      <c r="A3550" s="149"/>
      <c r="B3550" s="149"/>
      <c r="C3550" s="150"/>
      <c r="D3550" s="102"/>
      <c r="E3550" s="149"/>
      <c r="F3550" s="149"/>
      <c r="G3550" s="149"/>
      <c r="H3550" s="149"/>
      <c r="I3550" s="149"/>
      <c r="J3550" s="149"/>
      <c r="K3550" s="149"/>
      <c r="L3550" s="149"/>
      <c r="M3550" s="149"/>
      <c r="N3550" s="149"/>
      <c r="O3550" s="149"/>
      <c r="P3550" s="149"/>
      <c r="Q3550" s="149"/>
      <c r="R3550" s="149"/>
      <c r="S3550" s="149"/>
      <c r="T3550" s="149"/>
      <c r="U3550" s="149"/>
      <c r="V3550" s="149"/>
      <c r="W3550" s="149"/>
      <c r="X3550" s="149"/>
      <c r="Y3550" s="149"/>
      <c r="Z3550" s="149"/>
      <c r="AA3550" s="149"/>
      <c r="AB3550" s="149"/>
      <c r="AC3550" s="149"/>
      <c r="AD3550" s="149"/>
      <c r="AE3550" s="149"/>
      <c r="AF3550" s="149"/>
      <c r="AG3550" s="149"/>
      <c r="AH3550" s="149"/>
      <c r="AI3550" s="149"/>
      <c r="AJ3550" s="149"/>
      <c r="AK3550" s="149"/>
      <c r="AL3550" s="149"/>
      <c r="AM3550" s="149"/>
      <c r="AN3550" s="149"/>
      <c r="AO3550" s="128"/>
      <c r="AP3550" s="128"/>
      <c r="AQ3550" s="128"/>
      <c r="AR3550" s="128"/>
      <c r="AS3550" s="128"/>
      <c r="AT3550" s="128"/>
      <c r="AU3550" s="128"/>
      <c r="AV3550" s="128"/>
      <c r="AW3550" s="128"/>
      <c r="AX3550" s="128"/>
      <c r="AY3550" s="128"/>
      <c r="AZ3550" s="128"/>
      <c r="BA3550" s="128"/>
      <c r="BB3550" s="128"/>
      <c r="BC3550" s="128"/>
      <c r="BD3550" s="128"/>
      <c r="BE3550" s="128"/>
      <c r="BF3550" s="128"/>
      <c r="BG3550" s="128"/>
      <c r="BH3550" s="128"/>
      <c r="BI3550" s="128"/>
      <c r="BJ3550" s="128"/>
      <c r="BK3550" s="128"/>
      <c r="BL3550" s="128"/>
      <c r="BM3550" s="151"/>
      <c r="BN3550" s="128"/>
      <c r="BO3550" s="128"/>
      <c r="BP3550" s="128"/>
      <c r="BQ3550" s="128"/>
      <c r="BR3550" s="128"/>
      <c r="BS3550" s="128"/>
      <c r="BT3550" s="128"/>
      <c r="BU3550" s="128"/>
      <c r="BV3550" s="128"/>
      <c r="BW3550" s="128"/>
      <c r="BX3550" s="128"/>
      <c r="BY3550" s="128"/>
      <c r="BZ3550" s="128"/>
      <c r="CA3550" s="128"/>
      <c r="CB3550" s="128"/>
      <c r="CC3550" s="128"/>
      <c r="CD3550" s="128"/>
      <c r="CE3550" s="128"/>
      <c r="CF3550" s="128"/>
      <c r="CG3550" s="128"/>
      <c r="CI3550" s="128"/>
      <c r="CJ3550" s="128"/>
      <c r="CK3550" s="128"/>
      <c r="CL3550" s="128"/>
      <c r="CM3550" s="128"/>
      <c r="CN3550" s="128"/>
      <c r="CO3550" s="128"/>
      <c r="CP3550" s="128"/>
      <c r="CQ3550" s="128"/>
      <c r="CR3550" s="128"/>
      <c r="CS3550" s="128"/>
      <c r="CT3550" s="128"/>
      <c r="CU3550" s="128"/>
      <c r="CV3550" s="128"/>
      <c r="CW3550" s="128"/>
      <c r="CX3550" s="128"/>
      <c r="CY3550" s="128"/>
      <c r="CZ3550" s="165"/>
    </row>
    <row r="3551" spans="1:104">
      <c r="A3551" s="149"/>
      <c r="B3551" s="149"/>
      <c r="C3551" s="150"/>
      <c r="D3551" s="102"/>
      <c r="E3551" s="149"/>
      <c r="F3551" s="149"/>
      <c r="G3551" s="149"/>
      <c r="H3551" s="149"/>
      <c r="I3551" s="149"/>
      <c r="J3551" s="149"/>
      <c r="K3551" s="149"/>
      <c r="L3551" s="149"/>
      <c r="M3551" s="149"/>
      <c r="N3551" s="149"/>
      <c r="O3551" s="149"/>
      <c r="P3551" s="149"/>
      <c r="Q3551" s="149"/>
      <c r="R3551" s="149"/>
      <c r="S3551" s="149"/>
      <c r="T3551" s="149"/>
      <c r="U3551" s="149"/>
      <c r="V3551" s="149"/>
      <c r="W3551" s="149"/>
      <c r="X3551" s="149"/>
      <c r="Y3551" s="149"/>
      <c r="Z3551" s="149"/>
      <c r="AA3551" s="149"/>
      <c r="AB3551" s="149"/>
      <c r="AC3551" s="149"/>
      <c r="AD3551" s="149"/>
      <c r="AE3551" s="149"/>
      <c r="AF3551" s="149"/>
      <c r="AG3551" s="149"/>
      <c r="AH3551" s="149"/>
      <c r="AI3551" s="149"/>
      <c r="AJ3551" s="149"/>
      <c r="AK3551" s="149"/>
      <c r="AL3551" s="149"/>
      <c r="AM3551" s="149"/>
      <c r="AN3551" s="149"/>
      <c r="AO3551" s="128"/>
      <c r="AP3551" s="128"/>
      <c r="AQ3551" s="128"/>
      <c r="AR3551" s="128"/>
      <c r="AS3551" s="128"/>
      <c r="AT3551" s="128"/>
      <c r="AU3551" s="128"/>
      <c r="AV3551" s="128"/>
      <c r="AW3551" s="128"/>
      <c r="AX3551" s="128"/>
      <c r="AY3551" s="128"/>
      <c r="AZ3551" s="128"/>
      <c r="BA3551" s="128"/>
      <c r="BB3551" s="128"/>
      <c r="BC3551" s="128"/>
      <c r="BD3551" s="128"/>
      <c r="BE3551" s="128"/>
      <c r="BF3551" s="128"/>
      <c r="BG3551" s="128"/>
      <c r="BH3551" s="128"/>
      <c r="BI3551" s="128"/>
      <c r="BJ3551" s="128"/>
      <c r="BK3551" s="128"/>
      <c r="BL3551" s="128"/>
      <c r="BM3551" s="151"/>
      <c r="BN3551" s="128"/>
      <c r="BO3551" s="128"/>
      <c r="BP3551" s="128"/>
      <c r="BQ3551" s="128"/>
      <c r="BR3551" s="128"/>
      <c r="BS3551" s="128"/>
      <c r="BT3551" s="128"/>
      <c r="BU3551" s="128"/>
      <c r="BV3551" s="128"/>
      <c r="BW3551" s="128"/>
      <c r="BX3551" s="128"/>
      <c r="BY3551" s="128"/>
      <c r="BZ3551" s="128"/>
      <c r="CA3551" s="128"/>
      <c r="CB3551" s="128"/>
      <c r="CC3551" s="128"/>
      <c r="CD3551" s="128"/>
      <c r="CE3551" s="128"/>
      <c r="CF3551" s="128"/>
      <c r="CG3551" s="128"/>
      <c r="CI3551" s="128"/>
      <c r="CJ3551" s="128"/>
      <c r="CK3551" s="128"/>
      <c r="CL3551" s="128"/>
      <c r="CM3551" s="128"/>
      <c r="CN3551" s="128"/>
      <c r="CO3551" s="128"/>
      <c r="CP3551" s="128"/>
      <c r="CQ3551" s="128"/>
      <c r="CR3551" s="128"/>
      <c r="CS3551" s="128"/>
      <c r="CT3551" s="128"/>
      <c r="CU3551" s="128"/>
      <c r="CV3551" s="128"/>
      <c r="CW3551" s="128"/>
      <c r="CX3551" s="128"/>
      <c r="CY3551" s="128"/>
      <c r="CZ3551" s="165"/>
    </row>
    <row r="3552" spans="1:104">
      <c r="A3552" s="149"/>
      <c r="B3552" s="149"/>
      <c r="C3552" s="150"/>
      <c r="D3552" s="102"/>
      <c r="E3552" s="149"/>
      <c r="F3552" s="149"/>
      <c r="G3552" s="149"/>
      <c r="H3552" s="149"/>
      <c r="I3552" s="149"/>
      <c r="J3552" s="149"/>
      <c r="K3552" s="149"/>
      <c r="L3552" s="149"/>
      <c r="M3552" s="149"/>
      <c r="N3552" s="149"/>
      <c r="O3552" s="149"/>
      <c r="P3552" s="149"/>
      <c r="Q3552" s="149"/>
      <c r="R3552" s="149"/>
      <c r="S3552" s="149"/>
      <c r="T3552" s="149"/>
      <c r="U3552" s="149"/>
      <c r="V3552" s="149"/>
      <c r="W3552" s="149"/>
      <c r="X3552" s="149"/>
      <c r="Y3552" s="149"/>
      <c r="Z3552" s="149"/>
      <c r="AA3552" s="149"/>
      <c r="AB3552" s="149"/>
      <c r="AC3552" s="149"/>
      <c r="AD3552" s="149"/>
      <c r="AE3552" s="149"/>
      <c r="AF3552" s="149"/>
      <c r="AG3552" s="149"/>
      <c r="AH3552" s="149"/>
      <c r="AI3552" s="149"/>
      <c r="AJ3552" s="149"/>
      <c r="AK3552" s="149"/>
      <c r="AL3552" s="149"/>
      <c r="AM3552" s="149"/>
      <c r="AN3552" s="149"/>
      <c r="AO3552" s="128"/>
      <c r="AP3552" s="128"/>
      <c r="AQ3552" s="128"/>
      <c r="AR3552" s="128"/>
      <c r="AS3552" s="128"/>
      <c r="AT3552" s="128"/>
      <c r="AU3552" s="128"/>
      <c r="AV3552" s="128"/>
      <c r="AW3552" s="128"/>
      <c r="AX3552" s="128"/>
      <c r="AY3552" s="128"/>
      <c r="AZ3552" s="128"/>
      <c r="BA3552" s="128"/>
      <c r="BB3552" s="128"/>
      <c r="BC3552" s="128"/>
      <c r="BD3552" s="128"/>
      <c r="BE3552" s="128"/>
      <c r="BF3552" s="128"/>
      <c r="BG3552" s="128"/>
      <c r="BH3552" s="128"/>
      <c r="BI3552" s="128"/>
      <c r="BJ3552" s="128"/>
      <c r="BK3552" s="128"/>
      <c r="BL3552" s="128"/>
      <c r="BM3552" s="151"/>
      <c r="BN3552" s="128"/>
      <c r="BO3552" s="128"/>
      <c r="BP3552" s="128"/>
      <c r="BQ3552" s="128"/>
      <c r="BR3552" s="128"/>
      <c r="BS3552" s="128"/>
      <c r="BT3552" s="128"/>
      <c r="BU3552" s="128"/>
      <c r="BV3552" s="128"/>
      <c r="BW3552" s="128"/>
      <c r="BX3552" s="128"/>
      <c r="BY3552" s="128"/>
      <c r="BZ3552" s="128"/>
      <c r="CA3552" s="128"/>
      <c r="CB3552" s="128"/>
      <c r="CC3552" s="128"/>
      <c r="CD3552" s="128"/>
      <c r="CE3552" s="128"/>
      <c r="CF3552" s="128"/>
      <c r="CG3552" s="128"/>
      <c r="CI3552" s="128"/>
      <c r="CJ3552" s="128"/>
      <c r="CK3552" s="128"/>
      <c r="CL3552" s="128"/>
      <c r="CM3552" s="128"/>
      <c r="CN3552" s="128"/>
      <c r="CO3552" s="128"/>
      <c r="CP3552" s="128"/>
      <c r="CQ3552" s="128"/>
      <c r="CR3552" s="128"/>
      <c r="CS3552" s="128"/>
      <c r="CT3552" s="128"/>
      <c r="CU3552" s="128"/>
      <c r="CV3552" s="128"/>
      <c r="CW3552" s="128"/>
      <c r="CX3552" s="128"/>
      <c r="CY3552" s="128"/>
      <c r="CZ3552" s="165"/>
    </row>
    <row r="3553" spans="1:104">
      <c r="A3553" s="149"/>
      <c r="B3553" s="149"/>
      <c r="C3553" s="150"/>
      <c r="D3553" s="102"/>
      <c r="E3553" s="149"/>
      <c r="F3553" s="149"/>
      <c r="G3553" s="149"/>
      <c r="H3553" s="149"/>
      <c r="I3553" s="149"/>
      <c r="J3553" s="149"/>
      <c r="K3553" s="149"/>
      <c r="L3553" s="149"/>
      <c r="M3553" s="149"/>
      <c r="N3553" s="149"/>
      <c r="O3553" s="149"/>
      <c r="P3553" s="149"/>
      <c r="Q3553" s="149"/>
      <c r="R3553" s="149"/>
      <c r="S3553" s="149"/>
      <c r="T3553" s="149"/>
      <c r="U3553" s="149"/>
      <c r="V3553" s="149"/>
      <c r="W3553" s="149"/>
      <c r="X3553" s="149"/>
      <c r="Y3553" s="149"/>
      <c r="Z3553" s="149"/>
      <c r="AA3553" s="149"/>
      <c r="AB3553" s="149"/>
      <c r="AC3553" s="149"/>
      <c r="AD3553" s="149"/>
      <c r="AE3553" s="149"/>
      <c r="AF3553" s="149"/>
      <c r="AG3553" s="149"/>
      <c r="AH3553" s="149"/>
      <c r="AI3553" s="149"/>
      <c r="AJ3553" s="149"/>
      <c r="AK3553" s="149"/>
      <c r="AL3553" s="149"/>
      <c r="AM3553" s="149"/>
      <c r="AN3553" s="149"/>
      <c r="AO3553" s="128"/>
      <c r="AP3553" s="128"/>
      <c r="AQ3553" s="128"/>
      <c r="AR3553" s="128"/>
      <c r="AS3553" s="128"/>
      <c r="AT3553" s="128"/>
      <c r="AU3553" s="128"/>
      <c r="AV3553" s="128"/>
      <c r="AW3553" s="128"/>
      <c r="AX3553" s="128"/>
      <c r="AY3553" s="128"/>
      <c r="AZ3553" s="128"/>
      <c r="BA3553" s="128"/>
      <c r="BB3553" s="128"/>
      <c r="BC3553" s="128"/>
      <c r="BD3553" s="128"/>
      <c r="BE3553" s="128"/>
      <c r="BF3553" s="128"/>
      <c r="BG3553" s="128"/>
      <c r="BH3553" s="128"/>
      <c r="BI3553" s="128"/>
      <c r="BJ3553" s="128"/>
      <c r="BK3553" s="128"/>
      <c r="BL3553" s="128"/>
      <c r="BM3553" s="151"/>
      <c r="BN3553" s="128"/>
      <c r="BO3553" s="128"/>
      <c r="BP3553" s="128"/>
      <c r="BQ3553" s="128"/>
      <c r="BR3553" s="128"/>
      <c r="BS3553" s="128"/>
      <c r="BT3553" s="128"/>
      <c r="BU3553" s="128"/>
      <c r="BV3553" s="128"/>
      <c r="BW3553" s="128"/>
      <c r="BX3553" s="128"/>
      <c r="BY3553" s="128"/>
      <c r="BZ3553" s="128"/>
      <c r="CA3553" s="128"/>
      <c r="CB3553" s="128"/>
      <c r="CC3553" s="128"/>
      <c r="CD3553" s="128"/>
      <c r="CE3553" s="128"/>
      <c r="CF3553" s="128"/>
      <c r="CG3553" s="128"/>
      <c r="CI3553" s="128"/>
      <c r="CJ3553" s="128"/>
      <c r="CK3553" s="128"/>
      <c r="CL3553" s="128"/>
      <c r="CM3553" s="128"/>
      <c r="CN3553" s="128"/>
      <c r="CO3553" s="128"/>
      <c r="CP3553" s="128"/>
      <c r="CQ3553" s="128"/>
      <c r="CR3553" s="128"/>
      <c r="CS3553" s="128"/>
      <c r="CT3553" s="128"/>
      <c r="CU3553" s="128"/>
      <c r="CV3553" s="128"/>
      <c r="CW3553" s="128"/>
      <c r="CX3553" s="128"/>
      <c r="CY3553" s="128"/>
      <c r="CZ3553" s="165"/>
    </row>
    <row r="3554" spans="1:104">
      <c r="A3554" s="149"/>
      <c r="B3554" s="149"/>
      <c r="C3554" s="150"/>
      <c r="D3554" s="102"/>
      <c r="E3554" s="149"/>
      <c r="F3554" s="149"/>
      <c r="G3554" s="149"/>
      <c r="H3554" s="149"/>
      <c r="I3554" s="149"/>
      <c r="J3554" s="149"/>
      <c r="K3554" s="149"/>
      <c r="L3554" s="149"/>
      <c r="M3554" s="149"/>
      <c r="N3554" s="149"/>
      <c r="O3554" s="149"/>
      <c r="P3554" s="149"/>
      <c r="Q3554" s="149"/>
      <c r="R3554" s="149"/>
      <c r="S3554" s="149"/>
      <c r="T3554" s="149"/>
      <c r="U3554" s="149"/>
      <c r="V3554" s="149"/>
      <c r="W3554" s="149"/>
      <c r="X3554" s="149"/>
      <c r="Y3554" s="149"/>
      <c r="Z3554" s="149"/>
      <c r="AA3554" s="149"/>
      <c r="AB3554" s="149"/>
      <c r="AC3554" s="149"/>
      <c r="AD3554" s="149"/>
      <c r="AE3554" s="149"/>
      <c r="AF3554" s="149"/>
      <c r="AG3554" s="149"/>
      <c r="AH3554" s="149"/>
      <c r="AI3554" s="149"/>
      <c r="AJ3554" s="149"/>
      <c r="AK3554" s="149"/>
      <c r="AL3554" s="149"/>
      <c r="AM3554" s="149"/>
      <c r="AN3554" s="149"/>
      <c r="AO3554" s="128"/>
      <c r="AP3554" s="128"/>
      <c r="AQ3554" s="128"/>
      <c r="AR3554" s="128"/>
      <c r="AS3554" s="128"/>
      <c r="AT3554" s="128"/>
      <c r="AU3554" s="128"/>
      <c r="AV3554" s="128"/>
      <c r="AW3554" s="128"/>
      <c r="AX3554" s="128"/>
      <c r="AY3554" s="128"/>
      <c r="AZ3554" s="128"/>
      <c r="BA3554" s="128"/>
      <c r="BB3554" s="128"/>
      <c r="BC3554" s="128"/>
      <c r="BD3554" s="128"/>
      <c r="BE3554" s="128"/>
      <c r="BF3554" s="128"/>
      <c r="BG3554" s="128"/>
      <c r="BH3554" s="128"/>
      <c r="BI3554" s="128"/>
      <c r="BJ3554" s="128"/>
      <c r="BK3554" s="128"/>
      <c r="BL3554" s="128"/>
      <c r="BM3554" s="151"/>
      <c r="BN3554" s="128"/>
      <c r="BO3554" s="128"/>
      <c r="BP3554" s="128"/>
      <c r="BQ3554" s="128"/>
      <c r="BR3554" s="128"/>
      <c r="BS3554" s="128"/>
      <c r="BT3554" s="128"/>
      <c r="BU3554" s="128"/>
      <c r="BV3554" s="128"/>
      <c r="BW3554" s="128"/>
      <c r="BX3554" s="128"/>
      <c r="BY3554" s="128"/>
      <c r="BZ3554" s="128"/>
      <c r="CA3554" s="128"/>
      <c r="CB3554" s="128"/>
      <c r="CC3554" s="128"/>
      <c r="CD3554" s="128"/>
      <c r="CE3554" s="128"/>
      <c r="CF3554" s="128"/>
      <c r="CG3554" s="128"/>
      <c r="CI3554" s="128"/>
      <c r="CJ3554" s="128"/>
      <c r="CK3554" s="128"/>
      <c r="CL3554" s="128"/>
      <c r="CM3554" s="128"/>
      <c r="CN3554" s="128"/>
      <c r="CO3554" s="128"/>
      <c r="CP3554" s="128"/>
      <c r="CQ3554" s="128"/>
      <c r="CR3554" s="128"/>
      <c r="CS3554" s="128"/>
      <c r="CT3554" s="128"/>
      <c r="CU3554" s="128"/>
      <c r="CV3554" s="128"/>
      <c r="CW3554" s="128"/>
      <c r="CX3554" s="128"/>
      <c r="CY3554" s="128"/>
      <c r="CZ3554" s="165"/>
    </row>
    <row r="3555" spans="1:104">
      <c r="A3555" s="149"/>
      <c r="B3555" s="149"/>
      <c r="C3555" s="150"/>
      <c r="D3555" s="102"/>
      <c r="E3555" s="149"/>
      <c r="F3555" s="149"/>
      <c r="G3555" s="149"/>
      <c r="H3555" s="149"/>
      <c r="I3555" s="149"/>
      <c r="J3555" s="149"/>
      <c r="K3555" s="149"/>
      <c r="L3555" s="149"/>
      <c r="M3555" s="149"/>
      <c r="N3555" s="149"/>
      <c r="O3555" s="149"/>
      <c r="P3555" s="149"/>
      <c r="Q3555" s="149"/>
      <c r="R3555" s="149"/>
      <c r="S3555" s="149"/>
      <c r="T3555" s="149"/>
      <c r="U3555" s="149"/>
      <c r="V3555" s="149"/>
      <c r="W3555" s="149"/>
      <c r="X3555" s="149"/>
      <c r="Y3555" s="149"/>
      <c r="Z3555" s="149"/>
      <c r="AA3555" s="149"/>
      <c r="AB3555" s="149"/>
      <c r="AC3555" s="149"/>
      <c r="AD3555" s="149"/>
      <c r="AE3555" s="149"/>
      <c r="AF3555" s="149"/>
      <c r="AG3555" s="149"/>
      <c r="AH3555" s="149"/>
      <c r="AI3555" s="149"/>
      <c r="AJ3555" s="149"/>
      <c r="AK3555" s="149"/>
      <c r="AL3555" s="149"/>
      <c r="AM3555" s="149"/>
      <c r="AN3555" s="149"/>
      <c r="AO3555" s="128"/>
      <c r="AP3555" s="128"/>
      <c r="AQ3555" s="128"/>
      <c r="AR3555" s="128"/>
      <c r="AS3555" s="128"/>
      <c r="AT3555" s="128"/>
      <c r="AU3555" s="128"/>
      <c r="AV3555" s="128"/>
      <c r="AW3555" s="128"/>
      <c r="AX3555" s="128"/>
      <c r="AY3555" s="128"/>
      <c r="AZ3555" s="128"/>
      <c r="BA3555" s="128"/>
      <c r="BB3555" s="128"/>
      <c r="BC3555" s="128"/>
      <c r="BD3555" s="128"/>
      <c r="BE3555" s="128"/>
      <c r="BF3555" s="128"/>
      <c r="BG3555" s="128"/>
      <c r="BH3555" s="128"/>
      <c r="BI3555" s="128"/>
      <c r="BJ3555" s="128"/>
      <c r="BK3555" s="128"/>
      <c r="BL3555" s="128"/>
      <c r="BM3555" s="151"/>
      <c r="BN3555" s="128"/>
      <c r="BO3555" s="128"/>
      <c r="BP3555" s="128"/>
      <c r="BQ3555" s="128"/>
      <c r="BR3555" s="128"/>
      <c r="BS3555" s="128"/>
      <c r="BT3555" s="128"/>
      <c r="BU3555" s="128"/>
      <c r="BV3555" s="128"/>
      <c r="BW3555" s="128"/>
      <c r="BX3555" s="128"/>
      <c r="BY3555" s="128"/>
      <c r="BZ3555" s="128"/>
      <c r="CA3555" s="128"/>
      <c r="CB3555" s="128"/>
      <c r="CC3555" s="128"/>
      <c r="CD3555" s="128"/>
      <c r="CE3555" s="128"/>
      <c r="CF3555" s="128"/>
      <c r="CG3555" s="128"/>
      <c r="CI3555" s="128"/>
      <c r="CJ3555" s="128"/>
      <c r="CK3555" s="128"/>
      <c r="CL3555" s="128"/>
      <c r="CM3555" s="128"/>
      <c r="CN3555" s="128"/>
      <c r="CO3555" s="128"/>
      <c r="CP3555" s="128"/>
      <c r="CQ3555" s="128"/>
      <c r="CR3555" s="128"/>
      <c r="CS3555" s="128"/>
      <c r="CT3555" s="128"/>
      <c r="CU3555" s="128"/>
      <c r="CV3555" s="128"/>
      <c r="CW3555" s="128"/>
      <c r="CX3555" s="128"/>
      <c r="CY3555" s="128"/>
      <c r="CZ3555" s="165"/>
    </row>
    <row r="3556" spans="1:104">
      <c r="A3556" s="149"/>
      <c r="B3556" s="149"/>
      <c r="C3556" s="150"/>
      <c r="D3556" s="102"/>
      <c r="E3556" s="149"/>
      <c r="F3556" s="149"/>
      <c r="G3556" s="149"/>
      <c r="H3556" s="149"/>
      <c r="I3556" s="149"/>
      <c r="J3556" s="149"/>
      <c r="K3556" s="149"/>
      <c r="L3556" s="149"/>
      <c r="M3556" s="149"/>
      <c r="N3556" s="149"/>
      <c r="O3556" s="149"/>
      <c r="P3556" s="149"/>
      <c r="Q3556" s="149"/>
      <c r="R3556" s="149"/>
      <c r="S3556" s="149"/>
      <c r="T3556" s="149"/>
      <c r="U3556" s="149"/>
      <c r="V3556" s="149"/>
      <c r="W3556" s="149"/>
      <c r="X3556" s="149"/>
      <c r="Y3556" s="149"/>
      <c r="Z3556" s="149"/>
      <c r="AA3556" s="149"/>
      <c r="AB3556" s="149"/>
      <c r="AC3556" s="149"/>
      <c r="AD3556" s="149"/>
      <c r="AE3556" s="149"/>
      <c r="AF3556" s="149"/>
      <c r="AG3556" s="149"/>
      <c r="AH3556" s="149"/>
      <c r="AI3556" s="149"/>
      <c r="AJ3556" s="149"/>
      <c r="AK3556" s="149"/>
      <c r="AL3556" s="149"/>
      <c r="AM3556" s="149"/>
      <c r="AN3556" s="149"/>
      <c r="AO3556" s="128"/>
      <c r="AP3556" s="128"/>
      <c r="AQ3556" s="128"/>
      <c r="AR3556" s="128"/>
      <c r="AS3556" s="128"/>
      <c r="AT3556" s="128"/>
      <c r="AU3556" s="128"/>
      <c r="AV3556" s="128"/>
      <c r="AW3556" s="128"/>
      <c r="AX3556" s="128"/>
      <c r="AY3556" s="128"/>
      <c r="AZ3556" s="128"/>
      <c r="BA3556" s="128"/>
      <c r="BB3556" s="128"/>
      <c r="BC3556" s="128"/>
      <c r="BD3556" s="128"/>
      <c r="BE3556" s="128"/>
      <c r="BF3556" s="128"/>
      <c r="BG3556" s="128"/>
      <c r="BH3556" s="128"/>
      <c r="BI3556" s="128"/>
      <c r="BJ3556" s="128"/>
      <c r="BK3556" s="128"/>
      <c r="BL3556" s="128"/>
      <c r="BM3556" s="151"/>
      <c r="BN3556" s="128"/>
      <c r="BO3556" s="128"/>
      <c r="BP3556" s="128"/>
      <c r="BQ3556" s="128"/>
      <c r="BR3556" s="128"/>
      <c r="BS3556" s="128"/>
      <c r="BT3556" s="128"/>
      <c r="BU3556" s="128"/>
      <c r="BV3556" s="128"/>
      <c r="BW3556" s="128"/>
      <c r="BX3556" s="128"/>
      <c r="BY3556" s="128"/>
      <c r="BZ3556" s="128"/>
      <c r="CA3556" s="128"/>
      <c r="CB3556" s="128"/>
      <c r="CC3556" s="128"/>
      <c r="CD3556" s="128"/>
      <c r="CE3556" s="128"/>
      <c r="CF3556" s="128"/>
      <c r="CG3556" s="128"/>
      <c r="CI3556" s="128"/>
      <c r="CJ3556" s="128"/>
      <c r="CK3556" s="128"/>
      <c r="CL3556" s="128"/>
      <c r="CM3556" s="128"/>
      <c r="CN3556" s="128"/>
      <c r="CO3556" s="128"/>
      <c r="CP3556" s="128"/>
      <c r="CQ3556" s="128"/>
      <c r="CR3556" s="128"/>
      <c r="CS3556" s="128"/>
      <c r="CT3556" s="128"/>
      <c r="CU3556" s="128"/>
      <c r="CV3556" s="128"/>
      <c r="CW3556" s="128"/>
      <c r="CX3556" s="128"/>
      <c r="CY3556" s="128"/>
      <c r="CZ3556" s="165"/>
    </row>
    <row r="3557" spans="1:104">
      <c r="A3557" s="149"/>
      <c r="B3557" s="149"/>
      <c r="C3557" s="150"/>
      <c r="D3557" s="102"/>
      <c r="E3557" s="149"/>
      <c r="F3557" s="149"/>
      <c r="G3557" s="149"/>
      <c r="H3557" s="149"/>
      <c r="I3557" s="149"/>
      <c r="J3557" s="149"/>
      <c r="K3557" s="149"/>
      <c r="L3557" s="149"/>
      <c r="M3557" s="149"/>
      <c r="N3557" s="149"/>
      <c r="O3557" s="149"/>
      <c r="P3557" s="149"/>
      <c r="Q3557" s="149"/>
      <c r="R3557" s="149"/>
      <c r="S3557" s="149"/>
      <c r="T3557" s="149"/>
      <c r="U3557" s="149"/>
      <c r="V3557" s="149"/>
      <c r="W3557" s="149"/>
      <c r="X3557" s="149"/>
      <c r="Y3557" s="149"/>
      <c r="Z3557" s="149"/>
      <c r="AA3557" s="149"/>
      <c r="AB3557" s="149"/>
      <c r="AC3557" s="149"/>
      <c r="AD3557" s="149"/>
      <c r="AE3557" s="149"/>
      <c r="AF3557" s="149"/>
      <c r="AG3557" s="149"/>
      <c r="AH3557" s="149"/>
      <c r="AI3557" s="149"/>
      <c r="AJ3557" s="149"/>
      <c r="AK3557" s="149"/>
      <c r="AL3557" s="149"/>
      <c r="AM3557" s="149"/>
      <c r="AN3557" s="149"/>
      <c r="AO3557" s="128"/>
      <c r="AP3557" s="128"/>
      <c r="AQ3557" s="128"/>
      <c r="AR3557" s="128"/>
      <c r="AS3557" s="128"/>
      <c r="AT3557" s="128"/>
      <c r="AU3557" s="128"/>
      <c r="AV3557" s="128"/>
      <c r="AW3557" s="128"/>
      <c r="AX3557" s="128"/>
      <c r="AY3557" s="128"/>
      <c r="AZ3557" s="128"/>
      <c r="BA3557" s="128"/>
      <c r="BB3557" s="128"/>
      <c r="BC3557" s="128"/>
      <c r="BD3557" s="128"/>
      <c r="BE3557" s="128"/>
      <c r="BF3557" s="128"/>
      <c r="BG3557" s="128"/>
      <c r="BH3557" s="128"/>
      <c r="BI3557" s="128"/>
      <c r="BJ3557" s="128"/>
      <c r="BK3557" s="128"/>
      <c r="BL3557" s="128"/>
      <c r="BM3557" s="151"/>
      <c r="BN3557" s="128"/>
      <c r="BO3557" s="128"/>
      <c r="BP3557" s="128"/>
      <c r="BQ3557" s="128"/>
      <c r="BR3557" s="128"/>
      <c r="BS3557" s="128"/>
      <c r="BT3557" s="128"/>
      <c r="BU3557" s="128"/>
      <c r="BV3557" s="128"/>
      <c r="BW3557" s="128"/>
      <c r="BX3557" s="128"/>
      <c r="BY3557" s="128"/>
      <c r="BZ3557" s="128"/>
      <c r="CA3557" s="128"/>
      <c r="CB3557" s="128"/>
      <c r="CC3557" s="128"/>
      <c r="CD3557" s="128"/>
      <c r="CE3557" s="128"/>
      <c r="CF3557" s="128"/>
      <c r="CG3557" s="128"/>
      <c r="CI3557" s="128"/>
      <c r="CJ3557" s="128"/>
      <c r="CK3557" s="128"/>
      <c r="CL3557" s="128"/>
      <c r="CM3557" s="128"/>
      <c r="CN3557" s="128"/>
      <c r="CO3557" s="128"/>
      <c r="CP3557" s="128"/>
      <c r="CQ3557" s="128"/>
      <c r="CR3557" s="128"/>
      <c r="CS3557" s="128"/>
      <c r="CT3557" s="128"/>
      <c r="CU3557" s="128"/>
      <c r="CV3557" s="128"/>
      <c r="CW3557" s="128"/>
      <c r="CX3557" s="128"/>
      <c r="CY3557" s="128"/>
      <c r="CZ3557" s="165"/>
    </row>
    <row r="3558" spans="1:104">
      <c r="A3558" s="149"/>
      <c r="B3558" s="149"/>
      <c r="C3558" s="150"/>
      <c r="D3558" s="102"/>
      <c r="E3558" s="149"/>
      <c r="F3558" s="149"/>
      <c r="G3558" s="149"/>
      <c r="H3558" s="149"/>
      <c r="I3558" s="149"/>
      <c r="J3558" s="149"/>
      <c r="K3558" s="149"/>
      <c r="L3558" s="149"/>
      <c r="M3558" s="149"/>
      <c r="N3558" s="149"/>
      <c r="O3558" s="149"/>
      <c r="P3558" s="149"/>
      <c r="Q3558" s="149"/>
      <c r="R3558" s="149"/>
      <c r="S3558" s="149"/>
      <c r="T3558" s="149"/>
      <c r="U3558" s="149"/>
      <c r="V3558" s="149"/>
      <c r="W3558" s="149"/>
      <c r="X3558" s="149"/>
      <c r="Y3558" s="149"/>
      <c r="Z3558" s="149"/>
      <c r="AA3558" s="149"/>
      <c r="AB3558" s="149"/>
      <c r="AC3558" s="149"/>
      <c r="AD3558" s="149"/>
      <c r="AE3558" s="149"/>
      <c r="AF3558" s="149"/>
      <c r="AG3558" s="149"/>
      <c r="AH3558" s="149"/>
      <c r="AI3558" s="149"/>
      <c r="AJ3558" s="149"/>
      <c r="AK3558" s="149"/>
      <c r="AL3558" s="149"/>
      <c r="AM3558" s="149"/>
      <c r="AN3558" s="149"/>
      <c r="AO3558" s="128"/>
      <c r="AP3558" s="128"/>
      <c r="AQ3558" s="128"/>
      <c r="AR3558" s="128"/>
      <c r="AS3558" s="128"/>
      <c r="AT3558" s="128"/>
      <c r="AU3558" s="128"/>
      <c r="AV3558" s="128"/>
      <c r="AW3558" s="128"/>
      <c r="AX3558" s="128"/>
      <c r="AY3558" s="128"/>
      <c r="AZ3558" s="128"/>
      <c r="BA3558" s="128"/>
      <c r="BB3558" s="128"/>
      <c r="BC3558" s="128"/>
      <c r="BD3558" s="128"/>
      <c r="BE3558" s="128"/>
      <c r="BF3558" s="128"/>
      <c r="BG3558" s="128"/>
      <c r="BH3558" s="128"/>
      <c r="BI3558" s="128"/>
      <c r="BJ3558" s="128"/>
      <c r="BK3558" s="128"/>
      <c r="BL3558" s="128"/>
      <c r="BM3558" s="151"/>
      <c r="BN3558" s="128"/>
      <c r="BO3558" s="128"/>
      <c r="BP3558" s="128"/>
      <c r="BQ3558" s="128"/>
      <c r="BR3558" s="128"/>
      <c r="BS3558" s="128"/>
      <c r="BT3558" s="128"/>
      <c r="BU3558" s="128"/>
      <c r="BV3558" s="128"/>
      <c r="BW3558" s="128"/>
      <c r="BX3558" s="128"/>
      <c r="BY3558" s="128"/>
      <c r="BZ3558" s="128"/>
      <c r="CA3558" s="128"/>
      <c r="CB3558" s="128"/>
      <c r="CC3558" s="128"/>
      <c r="CD3558" s="128"/>
      <c r="CE3558" s="128"/>
      <c r="CF3558" s="128"/>
      <c r="CG3558" s="128"/>
      <c r="CI3558" s="128"/>
      <c r="CJ3558" s="128"/>
      <c r="CK3558" s="128"/>
      <c r="CL3558" s="128"/>
      <c r="CM3558" s="128"/>
      <c r="CN3558" s="128"/>
      <c r="CO3558" s="128"/>
      <c r="CP3558" s="128"/>
      <c r="CQ3558" s="128"/>
      <c r="CR3558" s="128"/>
      <c r="CS3558" s="128"/>
      <c r="CT3558" s="128"/>
      <c r="CU3558" s="128"/>
      <c r="CV3558" s="128"/>
      <c r="CW3558" s="128"/>
      <c r="CX3558" s="128"/>
      <c r="CY3558" s="128"/>
      <c r="CZ3558" s="165"/>
    </row>
    <row r="3559" spans="1:104">
      <c r="A3559" s="149"/>
      <c r="B3559" s="149"/>
      <c r="C3559" s="150"/>
      <c r="D3559" s="102"/>
      <c r="E3559" s="149"/>
      <c r="F3559" s="149"/>
      <c r="G3559" s="149"/>
      <c r="H3559" s="149"/>
      <c r="I3559" s="149"/>
      <c r="J3559" s="149"/>
      <c r="K3559" s="149"/>
      <c r="L3559" s="149"/>
      <c r="M3559" s="149"/>
      <c r="N3559" s="149"/>
      <c r="O3559" s="149"/>
      <c r="P3559" s="149"/>
      <c r="Q3559" s="149"/>
      <c r="R3559" s="149"/>
      <c r="S3559" s="149"/>
      <c r="T3559" s="149"/>
      <c r="U3559" s="149"/>
      <c r="V3559" s="149"/>
      <c r="W3559" s="149"/>
      <c r="X3559" s="149"/>
      <c r="Y3559" s="149"/>
      <c r="Z3559" s="149"/>
      <c r="AA3559" s="149"/>
      <c r="AB3559" s="149"/>
      <c r="AC3559" s="149"/>
      <c r="AD3559" s="149"/>
      <c r="AE3559" s="149"/>
      <c r="AF3559" s="149"/>
      <c r="AG3559" s="149"/>
      <c r="AH3559" s="149"/>
      <c r="AI3559" s="149"/>
      <c r="AJ3559" s="149"/>
      <c r="AK3559" s="149"/>
      <c r="AL3559" s="149"/>
      <c r="AM3559" s="149"/>
      <c r="AN3559" s="149"/>
      <c r="AO3559" s="128"/>
      <c r="AP3559" s="128"/>
      <c r="AQ3559" s="128"/>
      <c r="AR3559" s="128"/>
      <c r="AS3559" s="128"/>
      <c r="AT3559" s="128"/>
      <c r="AU3559" s="128"/>
      <c r="AV3559" s="128"/>
      <c r="AW3559" s="128"/>
      <c r="AX3559" s="128"/>
      <c r="AY3559" s="128"/>
      <c r="AZ3559" s="128"/>
      <c r="BA3559" s="128"/>
      <c r="BB3559" s="128"/>
      <c r="BC3559" s="128"/>
      <c r="BD3559" s="128"/>
      <c r="BE3559" s="128"/>
      <c r="BF3559" s="128"/>
      <c r="BG3559" s="128"/>
      <c r="BH3559" s="128"/>
      <c r="BI3559" s="128"/>
      <c r="BJ3559" s="128"/>
      <c r="BK3559" s="128"/>
      <c r="BL3559" s="128"/>
      <c r="BM3559" s="151"/>
      <c r="BN3559" s="128"/>
      <c r="BO3559" s="128"/>
      <c r="BP3559" s="128"/>
      <c r="BQ3559" s="128"/>
      <c r="BR3559" s="128"/>
      <c r="BS3559" s="128"/>
      <c r="BT3559" s="128"/>
      <c r="BU3559" s="128"/>
      <c r="BV3559" s="128"/>
      <c r="BW3559" s="128"/>
      <c r="BX3559" s="128"/>
      <c r="BY3559" s="128"/>
      <c r="BZ3559" s="128"/>
      <c r="CA3559" s="128"/>
      <c r="CB3559" s="128"/>
      <c r="CC3559" s="128"/>
      <c r="CD3559" s="128"/>
      <c r="CE3559" s="128"/>
      <c r="CF3559" s="128"/>
      <c r="CG3559" s="128"/>
      <c r="CI3559" s="128"/>
      <c r="CJ3559" s="128"/>
      <c r="CK3559" s="128"/>
      <c r="CL3559" s="128"/>
      <c r="CM3559" s="128"/>
      <c r="CN3559" s="128"/>
      <c r="CO3559" s="128"/>
      <c r="CP3559" s="128"/>
      <c r="CQ3559" s="128"/>
      <c r="CR3559" s="128"/>
      <c r="CS3559" s="128"/>
      <c r="CT3559" s="128"/>
      <c r="CU3559" s="128"/>
      <c r="CV3559" s="128"/>
      <c r="CW3559" s="128"/>
      <c r="CX3559" s="128"/>
      <c r="CY3559" s="128"/>
      <c r="CZ3559" s="165"/>
    </row>
    <row r="3560" spans="1:104">
      <c r="A3560" s="149"/>
      <c r="B3560" s="149"/>
      <c r="C3560" s="150"/>
      <c r="D3560" s="102"/>
      <c r="E3560" s="149"/>
      <c r="F3560" s="149"/>
      <c r="G3560" s="149"/>
      <c r="H3560" s="149"/>
      <c r="I3560" s="149"/>
      <c r="J3560" s="149"/>
      <c r="K3560" s="149"/>
      <c r="L3560" s="149"/>
      <c r="M3560" s="149"/>
      <c r="N3560" s="149"/>
      <c r="O3560" s="149"/>
      <c r="P3560" s="149"/>
      <c r="Q3560" s="149"/>
      <c r="R3560" s="149"/>
      <c r="S3560" s="149"/>
      <c r="T3560" s="149"/>
      <c r="U3560" s="149"/>
      <c r="V3560" s="149"/>
      <c r="W3560" s="149"/>
      <c r="X3560" s="149"/>
      <c r="Y3560" s="149"/>
      <c r="Z3560" s="149"/>
      <c r="AA3560" s="149"/>
      <c r="AB3560" s="149"/>
      <c r="AC3560" s="149"/>
      <c r="AD3560" s="149"/>
      <c r="AE3560" s="149"/>
      <c r="AF3560" s="149"/>
      <c r="AG3560" s="149"/>
      <c r="AH3560" s="149"/>
      <c r="AI3560" s="149"/>
      <c r="AJ3560" s="149"/>
      <c r="AK3560" s="149"/>
      <c r="AL3560" s="149"/>
      <c r="AM3560" s="149"/>
      <c r="AN3560" s="149"/>
      <c r="AO3560" s="128"/>
      <c r="AP3560" s="128"/>
      <c r="AQ3560" s="128"/>
      <c r="AR3560" s="128"/>
      <c r="AS3560" s="128"/>
      <c r="AT3560" s="128"/>
      <c r="AU3560" s="128"/>
      <c r="AV3560" s="128"/>
      <c r="AW3560" s="128"/>
      <c r="AX3560" s="128"/>
      <c r="AY3560" s="128"/>
      <c r="AZ3560" s="128"/>
      <c r="BA3560" s="128"/>
      <c r="BB3560" s="128"/>
      <c r="BC3560" s="128"/>
      <c r="BD3560" s="128"/>
      <c r="BE3560" s="128"/>
      <c r="BF3560" s="128"/>
      <c r="BG3560" s="128"/>
      <c r="BH3560" s="128"/>
      <c r="BI3560" s="128"/>
      <c r="BJ3560" s="128"/>
      <c r="BK3560" s="128"/>
      <c r="BL3560" s="128"/>
      <c r="BM3560" s="151"/>
      <c r="BN3560" s="128"/>
      <c r="BO3560" s="128"/>
      <c r="BP3560" s="128"/>
      <c r="BQ3560" s="128"/>
      <c r="BR3560" s="128"/>
      <c r="BS3560" s="128"/>
      <c r="BT3560" s="128"/>
      <c r="BU3560" s="128"/>
      <c r="BV3560" s="128"/>
      <c r="BW3560" s="128"/>
      <c r="BX3560" s="128"/>
      <c r="BY3560" s="128"/>
      <c r="BZ3560" s="128"/>
      <c r="CA3560" s="128"/>
      <c r="CB3560" s="128"/>
      <c r="CC3560" s="128"/>
      <c r="CD3560" s="128"/>
      <c r="CE3560" s="128"/>
      <c r="CF3560" s="128"/>
      <c r="CG3560" s="128"/>
      <c r="CI3560" s="128"/>
      <c r="CJ3560" s="128"/>
      <c r="CK3560" s="128"/>
      <c r="CL3560" s="128"/>
      <c r="CM3560" s="128"/>
      <c r="CN3560" s="128"/>
      <c r="CO3560" s="128"/>
      <c r="CP3560" s="128"/>
      <c r="CQ3560" s="128"/>
      <c r="CR3560" s="128"/>
      <c r="CS3560" s="128"/>
      <c r="CT3560" s="128"/>
      <c r="CU3560" s="128"/>
      <c r="CV3560" s="128"/>
      <c r="CW3560" s="128"/>
      <c r="CX3560" s="128"/>
      <c r="CY3560" s="128"/>
      <c r="CZ3560" s="165"/>
    </row>
    <row r="3561" spans="1:104">
      <c r="A3561" s="149"/>
      <c r="B3561" s="149"/>
      <c r="C3561" s="150"/>
      <c r="D3561" s="102"/>
      <c r="E3561" s="149"/>
      <c r="F3561" s="149"/>
      <c r="G3561" s="149"/>
      <c r="H3561" s="149"/>
      <c r="I3561" s="149"/>
      <c r="J3561" s="149"/>
      <c r="K3561" s="149"/>
      <c r="L3561" s="149"/>
      <c r="M3561" s="149"/>
      <c r="N3561" s="149"/>
      <c r="O3561" s="149"/>
      <c r="P3561" s="149"/>
      <c r="Q3561" s="149"/>
      <c r="R3561" s="149"/>
      <c r="S3561" s="149"/>
      <c r="T3561" s="149"/>
      <c r="U3561" s="149"/>
      <c r="V3561" s="149"/>
      <c r="W3561" s="149"/>
      <c r="X3561" s="149"/>
      <c r="Y3561" s="149"/>
      <c r="Z3561" s="149"/>
      <c r="AA3561" s="149"/>
      <c r="AB3561" s="149"/>
      <c r="AC3561" s="149"/>
      <c r="AD3561" s="149"/>
      <c r="AE3561" s="149"/>
      <c r="AF3561" s="149"/>
      <c r="AG3561" s="149"/>
      <c r="AH3561" s="149"/>
      <c r="AI3561" s="149"/>
      <c r="AJ3561" s="149"/>
      <c r="AK3561" s="149"/>
      <c r="AL3561" s="149"/>
      <c r="AM3561" s="149"/>
      <c r="AN3561" s="149"/>
      <c r="AO3561" s="128"/>
      <c r="AP3561" s="128"/>
      <c r="AQ3561" s="128"/>
      <c r="AR3561" s="128"/>
      <c r="AS3561" s="128"/>
      <c r="AT3561" s="128"/>
      <c r="AU3561" s="128"/>
      <c r="AV3561" s="128"/>
      <c r="AW3561" s="128"/>
      <c r="AX3561" s="128"/>
      <c r="AY3561" s="128"/>
      <c r="AZ3561" s="128"/>
      <c r="BA3561" s="128"/>
      <c r="BB3561" s="128"/>
      <c r="BC3561" s="128"/>
      <c r="BD3561" s="128"/>
      <c r="BE3561" s="128"/>
      <c r="BF3561" s="128"/>
      <c r="BG3561" s="128"/>
      <c r="BH3561" s="128"/>
      <c r="BI3561" s="128"/>
      <c r="BJ3561" s="128"/>
      <c r="BK3561" s="128"/>
      <c r="BL3561" s="128"/>
      <c r="BM3561" s="151"/>
      <c r="BN3561" s="128"/>
      <c r="BO3561" s="128"/>
      <c r="BP3561" s="128"/>
      <c r="BQ3561" s="128"/>
      <c r="BR3561" s="128"/>
      <c r="BS3561" s="128"/>
      <c r="BT3561" s="128"/>
      <c r="BU3561" s="128"/>
      <c r="BV3561" s="128"/>
      <c r="BW3561" s="128"/>
      <c r="BX3561" s="128"/>
      <c r="BY3561" s="128"/>
      <c r="BZ3561" s="128"/>
      <c r="CA3561" s="128"/>
      <c r="CB3561" s="128"/>
      <c r="CC3561" s="128"/>
      <c r="CD3561" s="128"/>
      <c r="CE3561" s="128"/>
      <c r="CF3561" s="128"/>
      <c r="CG3561" s="128"/>
      <c r="CI3561" s="128"/>
      <c r="CJ3561" s="128"/>
      <c r="CK3561" s="128"/>
      <c r="CL3561" s="128"/>
      <c r="CM3561" s="128"/>
      <c r="CN3561" s="128"/>
      <c r="CO3561" s="128"/>
      <c r="CP3561" s="128"/>
      <c r="CQ3561" s="128"/>
      <c r="CR3561" s="128"/>
      <c r="CS3561" s="128"/>
      <c r="CT3561" s="128"/>
      <c r="CU3561" s="128"/>
      <c r="CV3561" s="128"/>
      <c r="CW3561" s="128"/>
      <c r="CX3561" s="128"/>
      <c r="CY3561" s="128"/>
      <c r="CZ3561" s="165"/>
    </row>
    <row r="3562" spans="1:104">
      <c r="A3562" s="149"/>
      <c r="B3562" s="149"/>
      <c r="C3562" s="150"/>
      <c r="D3562" s="102"/>
      <c r="E3562" s="149"/>
      <c r="F3562" s="149"/>
      <c r="G3562" s="149"/>
      <c r="H3562" s="149"/>
      <c r="I3562" s="149"/>
      <c r="J3562" s="149"/>
      <c r="K3562" s="149"/>
      <c r="L3562" s="149"/>
      <c r="M3562" s="149"/>
      <c r="N3562" s="149"/>
      <c r="O3562" s="149"/>
      <c r="P3562" s="149"/>
      <c r="Q3562" s="149"/>
      <c r="R3562" s="149"/>
      <c r="S3562" s="149"/>
      <c r="T3562" s="149"/>
      <c r="U3562" s="149"/>
      <c r="V3562" s="149"/>
      <c r="W3562" s="149"/>
      <c r="X3562" s="149"/>
      <c r="Y3562" s="149"/>
      <c r="Z3562" s="149"/>
      <c r="AA3562" s="149"/>
      <c r="AB3562" s="149"/>
      <c r="AC3562" s="149"/>
      <c r="AD3562" s="149"/>
      <c r="AE3562" s="149"/>
      <c r="AF3562" s="149"/>
      <c r="AG3562" s="149"/>
      <c r="AH3562" s="149"/>
      <c r="AI3562" s="149"/>
      <c r="AJ3562" s="149"/>
      <c r="AK3562" s="149"/>
      <c r="AL3562" s="149"/>
      <c r="AM3562" s="149"/>
      <c r="AN3562" s="149"/>
      <c r="AO3562" s="128"/>
      <c r="AP3562" s="128"/>
      <c r="AQ3562" s="128"/>
      <c r="AR3562" s="128"/>
      <c r="AS3562" s="128"/>
      <c r="AT3562" s="128"/>
      <c r="AU3562" s="128"/>
      <c r="AV3562" s="128"/>
      <c r="AW3562" s="128"/>
      <c r="AX3562" s="128"/>
      <c r="AY3562" s="128"/>
      <c r="AZ3562" s="128"/>
      <c r="BA3562" s="128"/>
      <c r="BB3562" s="128"/>
      <c r="BC3562" s="128"/>
      <c r="BD3562" s="128"/>
      <c r="BE3562" s="128"/>
      <c r="BF3562" s="128"/>
      <c r="BG3562" s="128"/>
      <c r="BH3562" s="128"/>
      <c r="BI3562" s="128"/>
      <c r="BJ3562" s="128"/>
      <c r="BK3562" s="128"/>
      <c r="BL3562" s="128"/>
      <c r="BM3562" s="151"/>
      <c r="BN3562" s="128"/>
      <c r="BO3562" s="128"/>
      <c r="BP3562" s="128"/>
      <c r="BQ3562" s="128"/>
      <c r="BR3562" s="128"/>
      <c r="BS3562" s="128"/>
      <c r="BT3562" s="128"/>
      <c r="BU3562" s="128"/>
      <c r="BV3562" s="128"/>
      <c r="BW3562" s="128"/>
      <c r="BX3562" s="128"/>
      <c r="BY3562" s="128"/>
      <c r="BZ3562" s="128"/>
      <c r="CA3562" s="128"/>
      <c r="CB3562" s="128"/>
      <c r="CC3562" s="128"/>
      <c r="CD3562" s="128"/>
      <c r="CE3562" s="128"/>
      <c r="CF3562" s="128"/>
      <c r="CG3562" s="128"/>
      <c r="CI3562" s="128"/>
      <c r="CJ3562" s="128"/>
      <c r="CK3562" s="128"/>
      <c r="CL3562" s="128"/>
      <c r="CM3562" s="128"/>
      <c r="CN3562" s="128"/>
      <c r="CO3562" s="128"/>
      <c r="CP3562" s="128"/>
      <c r="CQ3562" s="128"/>
      <c r="CR3562" s="128"/>
      <c r="CS3562" s="128"/>
      <c r="CT3562" s="128"/>
      <c r="CU3562" s="128"/>
      <c r="CV3562" s="128"/>
      <c r="CW3562" s="128"/>
      <c r="CX3562" s="128"/>
      <c r="CY3562" s="128"/>
      <c r="CZ3562" s="165"/>
    </row>
    <row r="3563" spans="1:104">
      <c r="A3563" s="149"/>
      <c r="B3563" s="149"/>
      <c r="C3563" s="150"/>
      <c r="D3563" s="102"/>
      <c r="E3563" s="149"/>
      <c r="F3563" s="149"/>
      <c r="G3563" s="149"/>
      <c r="H3563" s="149"/>
      <c r="I3563" s="149"/>
      <c r="J3563" s="149"/>
      <c r="K3563" s="149"/>
      <c r="L3563" s="149"/>
      <c r="M3563" s="149"/>
      <c r="N3563" s="149"/>
      <c r="O3563" s="149"/>
      <c r="P3563" s="149"/>
      <c r="Q3563" s="149"/>
      <c r="R3563" s="149"/>
      <c r="S3563" s="149"/>
      <c r="T3563" s="149"/>
      <c r="U3563" s="149"/>
      <c r="V3563" s="149"/>
      <c r="W3563" s="149"/>
      <c r="X3563" s="149"/>
      <c r="Y3563" s="149"/>
      <c r="Z3563" s="149"/>
      <c r="AA3563" s="149"/>
      <c r="AB3563" s="149"/>
      <c r="AC3563" s="149"/>
      <c r="AD3563" s="149"/>
      <c r="AE3563" s="149"/>
      <c r="AF3563" s="149"/>
      <c r="AG3563" s="149"/>
      <c r="AH3563" s="149"/>
      <c r="AI3563" s="149"/>
      <c r="AJ3563" s="149"/>
      <c r="AK3563" s="149"/>
      <c r="AL3563" s="149"/>
      <c r="AM3563" s="149"/>
      <c r="AN3563" s="149"/>
      <c r="AO3563" s="128"/>
      <c r="AP3563" s="128"/>
      <c r="AQ3563" s="128"/>
      <c r="AR3563" s="128"/>
      <c r="AS3563" s="128"/>
      <c r="AT3563" s="128"/>
      <c r="AU3563" s="128"/>
      <c r="AV3563" s="128"/>
      <c r="AW3563" s="128"/>
      <c r="AX3563" s="128"/>
      <c r="AY3563" s="128"/>
      <c r="AZ3563" s="128"/>
      <c r="BA3563" s="128"/>
      <c r="BB3563" s="128"/>
      <c r="BC3563" s="128"/>
      <c r="BD3563" s="128"/>
      <c r="BE3563" s="128"/>
      <c r="BF3563" s="128"/>
      <c r="BG3563" s="128"/>
      <c r="BH3563" s="128"/>
      <c r="BI3563" s="128"/>
      <c r="BJ3563" s="128"/>
      <c r="BK3563" s="128"/>
      <c r="BL3563" s="128"/>
      <c r="BM3563" s="151"/>
      <c r="BN3563" s="128"/>
      <c r="BO3563" s="128"/>
      <c r="BP3563" s="128"/>
      <c r="BQ3563" s="128"/>
      <c r="BR3563" s="128"/>
      <c r="BS3563" s="128"/>
      <c r="BT3563" s="128"/>
      <c r="BU3563" s="128"/>
      <c r="BV3563" s="128"/>
      <c r="BW3563" s="128"/>
      <c r="BX3563" s="128"/>
      <c r="BY3563" s="128"/>
      <c r="BZ3563" s="128"/>
      <c r="CA3563" s="128"/>
      <c r="CB3563" s="128"/>
      <c r="CC3563" s="128"/>
      <c r="CD3563" s="128"/>
      <c r="CE3563" s="128"/>
      <c r="CF3563" s="128"/>
      <c r="CG3563" s="128"/>
      <c r="CI3563" s="128"/>
      <c r="CJ3563" s="128"/>
      <c r="CK3563" s="128"/>
      <c r="CL3563" s="128"/>
      <c r="CM3563" s="128"/>
      <c r="CN3563" s="128"/>
      <c r="CO3563" s="128"/>
      <c r="CP3563" s="128"/>
      <c r="CQ3563" s="128"/>
      <c r="CR3563" s="128"/>
      <c r="CS3563" s="128"/>
      <c r="CT3563" s="128"/>
      <c r="CU3563" s="128"/>
      <c r="CV3563" s="128"/>
      <c r="CW3563" s="128"/>
      <c r="CX3563" s="128"/>
      <c r="CY3563" s="128"/>
      <c r="CZ3563" s="165"/>
    </row>
    <row r="3564" spans="1:104">
      <c r="A3564" s="149"/>
      <c r="B3564" s="149"/>
      <c r="C3564" s="150"/>
      <c r="D3564" s="102"/>
      <c r="E3564" s="149"/>
      <c r="F3564" s="149"/>
      <c r="G3564" s="149"/>
      <c r="H3564" s="149"/>
      <c r="I3564" s="149"/>
      <c r="J3564" s="149"/>
      <c r="K3564" s="149"/>
      <c r="L3564" s="149"/>
      <c r="M3564" s="149"/>
      <c r="N3564" s="149"/>
      <c r="O3564" s="149"/>
      <c r="P3564" s="149"/>
      <c r="Q3564" s="149"/>
      <c r="R3564" s="149"/>
      <c r="S3564" s="149"/>
      <c r="T3564" s="149"/>
      <c r="U3564" s="149"/>
      <c r="V3564" s="149"/>
      <c r="W3564" s="149"/>
      <c r="X3564" s="149"/>
      <c r="Y3564" s="149"/>
      <c r="Z3564" s="149"/>
      <c r="AA3564" s="149"/>
      <c r="AB3564" s="149"/>
      <c r="AC3564" s="149"/>
      <c r="AD3564" s="149"/>
      <c r="AE3564" s="149"/>
      <c r="AF3564" s="149"/>
      <c r="AG3564" s="149"/>
      <c r="AH3564" s="149"/>
      <c r="AI3564" s="149"/>
      <c r="AJ3564" s="149"/>
      <c r="AK3564" s="149"/>
      <c r="AL3564" s="149"/>
      <c r="AM3564" s="149"/>
      <c r="AN3564" s="149"/>
      <c r="AO3564" s="128"/>
      <c r="AP3564" s="128"/>
      <c r="AQ3564" s="128"/>
      <c r="AR3564" s="128"/>
      <c r="AS3564" s="128"/>
      <c r="AT3564" s="128"/>
      <c r="AU3564" s="128"/>
      <c r="AV3564" s="128"/>
      <c r="AW3564" s="128"/>
      <c r="AX3564" s="128"/>
      <c r="AY3564" s="128"/>
      <c r="AZ3564" s="128"/>
      <c r="BA3564" s="128"/>
      <c r="BB3564" s="128"/>
      <c r="BC3564" s="128"/>
      <c r="BD3564" s="128"/>
      <c r="BE3564" s="128"/>
      <c r="BF3564" s="128"/>
      <c r="BG3564" s="128"/>
      <c r="BH3564" s="128"/>
      <c r="BI3564" s="128"/>
      <c r="BJ3564" s="128"/>
      <c r="BK3564" s="128"/>
      <c r="BL3564" s="128"/>
      <c r="BM3564" s="151"/>
      <c r="BN3564" s="128"/>
      <c r="BO3564" s="128"/>
      <c r="BP3564" s="128"/>
      <c r="BQ3564" s="128"/>
      <c r="BR3564" s="128"/>
      <c r="BS3564" s="128"/>
      <c r="BT3564" s="128"/>
      <c r="BU3564" s="128"/>
      <c r="BV3564" s="128"/>
      <c r="BW3564" s="128"/>
      <c r="BX3564" s="128"/>
      <c r="BY3564" s="128"/>
      <c r="BZ3564" s="128"/>
      <c r="CA3564" s="128"/>
      <c r="CB3564" s="128"/>
      <c r="CC3564" s="128"/>
      <c r="CD3564" s="128"/>
      <c r="CE3564" s="128"/>
      <c r="CF3564" s="128"/>
      <c r="CG3564" s="128"/>
      <c r="CI3564" s="128"/>
      <c r="CJ3564" s="128"/>
      <c r="CK3564" s="128"/>
      <c r="CL3564" s="128"/>
      <c r="CM3564" s="128"/>
      <c r="CN3564" s="128"/>
      <c r="CO3564" s="128"/>
      <c r="CP3564" s="128"/>
      <c r="CQ3564" s="128"/>
      <c r="CR3564" s="128"/>
      <c r="CS3564" s="128"/>
      <c r="CT3564" s="128"/>
      <c r="CU3564" s="128"/>
      <c r="CV3564" s="128"/>
      <c r="CW3564" s="128"/>
      <c r="CX3564" s="128"/>
      <c r="CY3564" s="128"/>
      <c r="CZ3564" s="165"/>
    </row>
    <row r="3565" spans="1:104">
      <c r="A3565" s="149"/>
      <c r="B3565" s="149"/>
      <c r="C3565" s="150"/>
      <c r="D3565" s="102"/>
      <c r="E3565" s="149"/>
      <c r="F3565" s="149"/>
      <c r="G3565" s="149"/>
      <c r="H3565" s="149"/>
      <c r="I3565" s="149"/>
      <c r="J3565" s="149"/>
      <c r="K3565" s="149"/>
      <c r="L3565" s="149"/>
      <c r="M3565" s="149"/>
      <c r="N3565" s="149"/>
      <c r="O3565" s="149"/>
      <c r="P3565" s="149"/>
      <c r="Q3565" s="149"/>
      <c r="R3565" s="149"/>
      <c r="S3565" s="149"/>
      <c r="T3565" s="149"/>
      <c r="U3565" s="149"/>
      <c r="V3565" s="149"/>
      <c r="W3565" s="149"/>
      <c r="X3565" s="149"/>
      <c r="Y3565" s="149"/>
      <c r="Z3565" s="149"/>
      <c r="AA3565" s="149"/>
      <c r="AB3565" s="149"/>
      <c r="AC3565" s="149"/>
      <c r="AD3565" s="149"/>
      <c r="AE3565" s="149"/>
      <c r="AF3565" s="149"/>
      <c r="AG3565" s="149"/>
      <c r="AH3565" s="149"/>
      <c r="AI3565" s="149"/>
      <c r="AJ3565" s="149"/>
      <c r="AK3565" s="149"/>
      <c r="AL3565" s="149"/>
      <c r="AM3565" s="149"/>
      <c r="AN3565" s="149"/>
      <c r="AO3565" s="128"/>
      <c r="AP3565" s="128"/>
      <c r="AQ3565" s="128"/>
      <c r="AR3565" s="128"/>
      <c r="AS3565" s="128"/>
      <c r="AT3565" s="128"/>
      <c r="AU3565" s="128"/>
      <c r="AV3565" s="128"/>
      <c r="AW3565" s="128"/>
      <c r="AX3565" s="128"/>
      <c r="AY3565" s="128"/>
      <c r="AZ3565" s="128"/>
      <c r="BA3565" s="128"/>
      <c r="BB3565" s="128"/>
      <c r="BC3565" s="128"/>
      <c r="BD3565" s="128"/>
      <c r="BE3565" s="128"/>
      <c r="BF3565" s="128"/>
      <c r="BG3565" s="128"/>
      <c r="BH3565" s="128"/>
      <c r="BI3565" s="128"/>
      <c r="BJ3565" s="128"/>
      <c r="BK3565" s="128"/>
      <c r="BL3565" s="128"/>
      <c r="BM3565" s="151"/>
      <c r="BN3565" s="128"/>
      <c r="BO3565" s="128"/>
      <c r="BP3565" s="128"/>
      <c r="BQ3565" s="128"/>
      <c r="BR3565" s="128"/>
      <c r="BS3565" s="128"/>
      <c r="BT3565" s="128"/>
      <c r="BU3565" s="128"/>
      <c r="BV3565" s="128"/>
      <c r="BW3565" s="128"/>
      <c r="BX3565" s="128"/>
      <c r="BY3565" s="128"/>
      <c r="BZ3565" s="128"/>
      <c r="CA3565" s="128"/>
      <c r="CB3565" s="128"/>
      <c r="CC3565" s="128"/>
      <c r="CD3565" s="128"/>
      <c r="CE3565" s="128"/>
      <c r="CF3565" s="128"/>
      <c r="CG3565" s="128"/>
      <c r="CI3565" s="128"/>
      <c r="CJ3565" s="128"/>
      <c r="CK3565" s="128"/>
      <c r="CL3565" s="128"/>
      <c r="CM3565" s="128"/>
      <c r="CN3565" s="128"/>
      <c r="CO3565" s="128"/>
      <c r="CP3565" s="128"/>
      <c r="CQ3565" s="128"/>
      <c r="CR3565" s="128"/>
      <c r="CS3565" s="128"/>
      <c r="CT3565" s="128"/>
      <c r="CU3565" s="128"/>
      <c r="CV3565" s="128"/>
      <c r="CW3565" s="128"/>
      <c r="CX3565" s="128"/>
      <c r="CY3565" s="128"/>
      <c r="CZ3565" s="165"/>
    </row>
    <row r="3566" spans="1:104">
      <c r="A3566" s="149"/>
      <c r="B3566" s="149"/>
      <c r="C3566" s="150"/>
      <c r="D3566" s="102"/>
      <c r="E3566" s="149"/>
      <c r="F3566" s="149"/>
      <c r="G3566" s="149"/>
      <c r="H3566" s="149"/>
      <c r="I3566" s="149"/>
      <c r="J3566" s="149"/>
      <c r="K3566" s="149"/>
      <c r="L3566" s="149"/>
      <c r="M3566" s="149"/>
      <c r="N3566" s="149"/>
      <c r="O3566" s="149"/>
      <c r="P3566" s="149"/>
      <c r="Q3566" s="149"/>
      <c r="R3566" s="149"/>
      <c r="S3566" s="149"/>
      <c r="T3566" s="149"/>
      <c r="U3566" s="149"/>
      <c r="V3566" s="149"/>
      <c r="W3566" s="149"/>
      <c r="X3566" s="149"/>
      <c r="Y3566" s="149"/>
      <c r="Z3566" s="149"/>
      <c r="AA3566" s="149"/>
      <c r="AB3566" s="149"/>
      <c r="AC3566" s="149"/>
      <c r="AD3566" s="149"/>
      <c r="AE3566" s="149"/>
      <c r="AF3566" s="149"/>
      <c r="AG3566" s="149"/>
      <c r="AH3566" s="149"/>
      <c r="AI3566" s="149"/>
      <c r="AJ3566" s="149"/>
      <c r="AK3566" s="149"/>
      <c r="AL3566" s="149"/>
      <c r="AM3566" s="149"/>
      <c r="AN3566" s="149"/>
      <c r="AO3566" s="128"/>
      <c r="AP3566" s="128"/>
      <c r="AQ3566" s="128"/>
      <c r="AR3566" s="128"/>
      <c r="AS3566" s="128"/>
      <c r="AT3566" s="128"/>
      <c r="AU3566" s="128"/>
      <c r="AV3566" s="128"/>
      <c r="AW3566" s="128"/>
      <c r="AX3566" s="128"/>
      <c r="AY3566" s="128"/>
      <c r="AZ3566" s="128"/>
      <c r="BA3566" s="128"/>
      <c r="BB3566" s="128"/>
      <c r="BC3566" s="128"/>
      <c r="BD3566" s="128"/>
      <c r="BE3566" s="128"/>
      <c r="BF3566" s="128"/>
      <c r="BG3566" s="128"/>
      <c r="BH3566" s="128"/>
      <c r="BI3566" s="128"/>
      <c r="BJ3566" s="128"/>
      <c r="BK3566" s="128"/>
      <c r="BL3566" s="128"/>
      <c r="BM3566" s="151"/>
      <c r="BN3566" s="128"/>
      <c r="BO3566" s="128"/>
      <c r="BP3566" s="128"/>
      <c r="BQ3566" s="128"/>
      <c r="BR3566" s="128"/>
      <c r="BS3566" s="128"/>
      <c r="BT3566" s="128"/>
      <c r="BU3566" s="128"/>
      <c r="BV3566" s="128"/>
      <c r="BW3566" s="128"/>
      <c r="BX3566" s="128"/>
      <c r="BY3566" s="128"/>
      <c r="BZ3566" s="128"/>
      <c r="CA3566" s="128"/>
      <c r="CB3566" s="128"/>
      <c r="CC3566" s="128"/>
      <c r="CD3566" s="128"/>
      <c r="CE3566" s="128"/>
      <c r="CF3566" s="128"/>
      <c r="CG3566" s="128"/>
      <c r="CI3566" s="128"/>
      <c r="CJ3566" s="128"/>
      <c r="CK3566" s="128"/>
      <c r="CL3566" s="128"/>
      <c r="CM3566" s="128"/>
      <c r="CN3566" s="128"/>
      <c r="CO3566" s="128"/>
      <c r="CP3566" s="128"/>
      <c r="CQ3566" s="128"/>
      <c r="CR3566" s="128"/>
      <c r="CS3566" s="128"/>
      <c r="CT3566" s="128"/>
      <c r="CU3566" s="128"/>
      <c r="CV3566" s="128"/>
      <c r="CW3566" s="128"/>
      <c r="CX3566" s="128"/>
      <c r="CY3566" s="128"/>
      <c r="CZ3566" s="165"/>
    </row>
    <row r="3567" spans="1:104">
      <c r="A3567" s="149"/>
      <c r="B3567" s="149"/>
      <c r="C3567" s="150"/>
      <c r="D3567" s="102"/>
      <c r="E3567" s="149"/>
      <c r="F3567" s="149"/>
      <c r="G3567" s="149"/>
      <c r="H3567" s="149"/>
      <c r="I3567" s="149"/>
      <c r="J3567" s="149"/>
      <c r="K3567" s="149"/>
      <c r="L3567" s="149"/>
      <c r="M3567" s="149"/>
      <c r="N3567" s="149"/>
      <c r="O3567" s="149"/>
      <c r="P3567" s="149"/>
      <c r="Q3567" s="149"/>
      <c r="R3567" s="149"/>
      <c r="S3567" s="149"/>
      <c r="T3567" s="149"/>
      <c r="U3567" s="149"/>
      <c r="V3567" s="149"/>
      <c r="W3567" s="149"/>
      <c r="X3567" s="149"/>
      <c r="Y3567" s="149"/>
      <c r="Z3567" s="149"/>
      <c r="AA3567" s="149"/>
      <c r="AB3567" s="149"/>
      <c r="AC3567" s="149"/>
      <c r="AD3567" s="149"/>
      <c r="AE3567" s="149"/>
      <c r="AF3567" s="149"/>
      <c r="AG3567" s="149"/>
      <c r="AH3567" s="149"/>
      <c r="AI3567" s="149"/>
      <c r="AJ3567" s="149"/>
      <c r="AK3567" s="149"/>
      <c r="AL3567" s="149"/>
      <c r="AM3567" s="149"/>
      <c r="AN3567" s="149"/>
      <c r="AO3567" s="128"/>
      <c r="AP3567" s="128"/>
      <c r="AQ3567" s="128"/>
      <c r="AR3567" s="128"/>
      <c r="AS3567" s="128"/>
      <c r="AT3567" s="128"/>
      <c r="AU3567" s="128"/>
      <c r="AV3567" s="128"/>
      <c r="AW3567" s="128"/>
      <c r="AX3567" s="128"/>
      <c r="AY3567" s="128"/>
      <c r="AZ3567" s="128"/>
      <c r="BA3567" s="128"/>
      <c r="BB3567" s="128"/>
      <c r="BC3567" s="128"/>
      <c r="BD3567" s="128"/>
      <c r="BE3567" s="128"/>
      <c r="BF3567" s="128"/>
      <c r="BG3567" s="128"/>
      <c r="BH3567" s="128"/>
      <c r="BI3567" s="128"/>
      <c r="BJ3567" s="128"/>
      <c r="BK3567" s="128"/>
      <c r="BL3567" s="128"/>
      <c r="BM3567" s="151"/>
      <c r="BN3567" s="128"/>
      <c r="BO3567" s="128"/>
      <c r="BP3567" s="128"/>
      <c r="BQ3567" s="128"/>
      <c r="BR3567" s="128"/>
      <c r="BS3567" s="128"/>
      <c r="BT3567" s="128"/>
      <c r="BU3567" s="128"/>
      <c r="BV3567" s="128"/>
      <c r="BW3567" s="128"/>
      <c r="BX3567" s="128"/>
      <c r="BY3567" s="128"/>
      <c r="BZ3567" s="128"/>
      <c r="CA3567" s="128"/>
      <c r="CB3567" s="128"/>
      <c r="CC3567" s="128"/>
      <c r="CD3567" s="128"/>
      <c r="CE3567" s="128"/>
      <c r="CF3567" s="128"/>
      <c r="CG3567" s="128"/>
      <c r="CI3567" s="128"/>
      <c r="CJ3567" s="128"/>
      <c r="CK3567" s="128"/>
      <c r="CL3567" s="128"/>
      <c r="CM3567" s="128"/>
      <c r="CN3567" s="128"/>
      <c r="CO3567" s="128"/>
      <c r="CP3567" s="128"/>
      <c r="CQ3567" s="128"/>
      <c r="CR3567" s="128"/>
      <c r="CS3567" s="128"/>
      <c r="CT3567" s="128"/>
      <c r="CU3567" s="128"/>
      <c r="CV3567" s="128"/>
      <c r="CW3567" s="128"/>
      <c r="CX3567" s="128"/>
      <c r="CY3567" s="128"/>
      <c r="CZ3567" s="165"/>
    </row>
    <row r="3568" spans="1:104">
      <c r="A3568" s="149"/>
      <c r="B3568" s="149"/>
      <c r="C3568" s="150"/>
      <c r="D3568" s="102"/>
      <c r="E3568" s="149"/>
      <c r="F3568" s="149"/>
      <c r="G3568" s="149"/>
      <c r="H3568" s="149"/>
      <c r="I3568" s="149"/>
      <c r="J3568" s="149"/>
      <c r="K3568" s="149"/>
      <c r="L3568" s="149"/>
      <c r="M3568" s="149"/>
      <c r="N3568" s="149"/>
      <c r="O3568" s="149"/>
      <c r="P3568" s="149"/>
      <c r="Q3568" s="149"/>
      <c r="R3568" s="149"/>
      <c r="S3568" s="149"/>
      <c r="T3568" s="149"/>
      <c r="U3568" s="149"/>
      <c r="V3568" s="149"/>
      <c r="W3568" s="149"/>
      <c r="X3568" s="149"/>
      <c r="Y3568" s="149"/>
      <c r="Z3568" s="149"/>
      <c r="AA3568" s="149"/>
      <c r="AB3568" s="149"/>
      <c r="AC3568" s="149"/>
      <c r="AD3568" s="149"/>
      <c r="AE3568" s="149"/>
      <c r="AF3568" s="149"/>
      <c r="AG3568" s="149"/>
      <c r="AH3568" s="149"/>
      <c r="AI3568" s="149"/>
      <c r="AJ3568" s="149"/>
      <c r="AK3568" s="149"/>
      <c r="AL3568" s="149"/>
      <c r="AM3568" s="149"/>
      <c r="AN3568" s="149"/>
      <c r="AO3568" s="128"/>
      <c r="AP3568" s="128"/>
      <c r="AQ3568" s="128"/>
      <c r="AR3568" s="128"/>
      <c r="AS3568" s="128"/>
      <c r="AT3568" s="128"/>
      <c r="AU3568" s="128"/>
      <c r="AV3568" s="128"/>
      <c r="AW3568" s="128"/>
      <c r="AX3568" s="128"/>
      <c r="AY3568" s="128"/>
      <c r="AZ3568" s="128"/>
      <c r="BA3568" s="128"/>
      <c r="BB3568" s="128"/>
      <c r="BC3568" s="128"/>
      <c r="BD3568" s="128"/>
      <c r="BE3568" s="128"/>
      <c r="BF3568" s="128"/>
      <c r="BG3568" s="128"/>
      <c r="BH3568" s="128"/>
      <c r="BI3568" s="128"/>
      <c r="BJ3568" s="128"/>
      <c r="BK3568" s="128"/>
      <c r="BL3568" s="128"/>
      <c r="BM3568" s="151"/>
      <c r="BN3568" s="128"/>
      <c r="BO3568" s="128"/>
      <c r="BP3568" s="128"/>
      <c r="BQ3568" s="128"/>
      <c r="BR3568" s="128"/>
      <c r="BS3568" s="128"/>
      <c r="BT3568" s="128"/>
      <c r="BU3568" s="128"/>
      <c r="BV3568" s="128"/>
      <c r="BW3568" s="128"/>
      <c r="BX3568" s="128"/>
      <c r="BY3568" s="128"/>
      <c r="BZ3568" s="128"/>
      <c r="CA3568" s="128"/>
      <c r="CB3568" s="128"/>
      <c r="CC3568" s="128"/>
      <c r="CD3568" s="128"/>
      <c r="CE3568" s="128"/>
      <c r="CF3568" s="128"/>
      <c r="CG3568" s="128"/>
      <c r="CI3568" s="128"/>
      <c r="CJ3568" s="128"/>
      <c r="CK3568" s="128"/>
      <c r="CL3568" s="128"/>
      <c r="CM3568" s="128"/>
      <c r="CN3568" s="128"/>
      <c r="CO3568" s="128"/>
      <c r="CP3568" s="128"/>
      <c r="CQ3568" s="128"/>
      <c r="CR3568" s="128"/>
      <c r="CS3568" s="128"/>
      <c r="CT3568" s="128"/>
      <c r="CU3568" s="128"/>
      <c r="CV3568" s="128"/>
      <c r="CW3568" s="128"/>
      <c r="CX3568" s="128"/>
      <c r="CY3568" s="128"/>
      <c r="CZ3568" s="165"/>
    </row>
    <row r="3569" spans="1:104">
      <c r="A3569" s="149"/>
      <c r="B3569" s="149"/>
      <c r="C3569" s="150"/>
      <c r="D3569" s="102"/>
      <c r="E3569" s="149"/>
      <c r="F3569" s="149"/>
      <c r="G3569" s="149"/>
      <c r="H3569" s="149"/>
      <c r="I3569" s="149"/>
      <c r="J3569" s="149"/>
      <c r="K3569" s="149"/>
      <c r="L3569" s="149"/>
      <c r="M3569" s="149"/>
      <c r="N3569" s="149"/>
      <c r="O3569" s="149"/>
      <c r="P3569" s="149"/>
      <c r="Q3569" s="149"/>
      <c r="R3569" s="149"/>
      <c r="S3569" s="149"/>
      <c r="T3569" s="149"/>
      <c r="U3569" s="149"/>
      <c r="V3569" s="149"/>
      <c r="W3569" s="149"/>
      <c r="X3569" s="149"/>
      <c r="Y3569" s="149"/>
      <c r="Z3569" s="149"/>
      <c r="AA3569" s="149"/>
      <c r="AB3569" s="149"/>
      <c r="AC3569" s="149"/>
      <c r="AD3569" s="149"/>
      <c r="AE3569" s="149"/>
      <c r="AF3569" s="149"/>
      <c r="AG3569" s="149"/>
      <c r="AH3569" s="149"/>
      <c r="AI3569" s="149"/>
      <c r="AJ3569" s="149"/>
      <c r="AK3569" s="149"/>
      <c r="AL3569" s="149"/>
      <c r="AM3569" s="149"/>
      <c r="AN3569" s="149"/>
      <c r="AO3569" s="128"/>
      <c r="AP3569" s="128"/>
      <c r="AQ3569" s="128"/>
      <c r="AR3569" s="128"/>
      <c r="AS3569" s="128"/>
      <c r="AT3569" s="128"/>
      <c r="AU3569" s="128"/>
      <c r="AV3569" s="128"/>
      <c r="AW3569" s="128"/>
      <c r="AX3569" s="128"/>
      <c r="AY3569" s="128"/>
      <c r="AZ3569" s="128"/>
      <c r="BA3569" s="128"/>
      <c r="BB3569" s="128"/>
      <c r="BC3569" s="128"/>
      <c r="BD3569" s="128"/>
      <c r="BE3569" s="128"/>
      <c r="BF3569" s="128"/>
      <c r="BG3569" s="128"/>
      <c r="BH3569" s="128"/>
      <c r="BI3569" s="128"/>
      <c r="BJ3569" s="128"/>
      <c r="BK3569" s="128"/>
      <c r="BL3569" s="128"/>
      <c r="BM3569" s="151"/>
      <c r="BN3569" s="128"/>
      <c r="BO3569" s="128"/>
      <c r="BP3569" s="128"/>
      <c r="BQ3569" s="128"/>
      <c r="BR3569" s="128"/>
      <c r="BS3569" s="128"/>
      <c r="BT3569" s="128"/>
      <c r="BU3569" s="128"/>
      <c r="BV3569" s="128"/>
      <c r="BW3569" s="128"/>
      <c r="BX3569" s="128"/>
      <c r="BY3569" s="128"/>
      <c r="BZ3569" s="128"/>
      <c r="CA3569" s="128"/>
      <c r="CB3569" s="128"/>
      <c r="CC3569" s="128"/>
      <c r="CD3569" s="128"/>
      <c r="CE3569" s="128"/>
      <c r="CF3569" s="128"/>
      <c r="CG3569" s="128"/>
      <c r="CI3569" s="128"/>
      <c r="CJ3569" s="128"/>
      <c r="CK3569" s="128"/>
      <c r="CL3569" s="128"/>
      <c r="CM3569" s="128"/>
      <c r="CN3569" s="128"/>
      <c r="CO3569" s="128"/>
      <c r="CP3569" s="128"/>
      <c r="CQ3569" s="128"/>
      <c r="CR3569" s="128"/>
      <c r="CS3569" s="128"/>
      <c r="CT3569" s="128"/>
      <c r="CU3569" s="128"/>
      <c r="CV3569" s="128"/>
      <c r="CW3569" s="128"/>
      <c r="CX3569" s="128"/>
      <c r="CY3569" s="128"/>
      <c r="CZ3569" s="165"/>
    </row>
    <row r="3570" spans="1:104">
      <c r="A3570" s="149"/>
      <c r="B3570" s="149"/>
      <c r="C3570" s="150"/>
      <c r="D3570" s="102"/>
      <c r="E3570" s="149"/>
      <c r="F3570" s="149"/>
      <c r="G3570" s="149"/>
      <c r="H3570" s="149"/>
      <c r="I3570" s="149"/>
      <c r="J3570" s="149"/>
      <c r="K3570" s="149"/>
      <c r="L3570" s="149"/>
      <c r="M3570" s="149"/>
      <c r="N3570" s="149"/>
      <c r="O3570" s="149"/>
      <c r="P3570" s="149"/>
      <c r="Q3570" s="149"/>
      <c r="R3570" s="149"/>
      <c r="S3570" s="149"/>
      <c r="T3570" s="149"/>
      <c r="U3570" s="149"/>
      <c r="V3570" s="149"/>
      <c r="W3570" s="149"/>
      <c r="X3570" s="149"/>
      <c r="Y3570" s="149"/>
      <c r="Z3570" s="149"/>
      <c r="AA3570" s="149"/>
      <c r="AB3570" s="149"/>
      <c r="AC3570" s="149"/>
      <c r="AD3570" s="149"/>
      <c r="AE3570" s="149"/>
      <c r="AF3570" s="149"/>
      <c r="AG3570" s="149"/>
      <c r="AH3570" s="149"/>
      <c r="AI3570" s="149"/>
      <c r="AJ3570" s="149"/>
      <c r="AK3570" s="149"/>
      <c r="AL3570" s="149"/>
      <c r="AM3570" s="149"/>
      <c r="AN3570" s="149"/>
      <c r="AO3570" s="128"/>
      <c r="AP3570" s="128"/>
      <c r="AQ3570" s="128"/>
      <c r="AR3570" s="128"/>
      <c r="AS3570" s="128"/>
      <c r="AT3570" s="128"/>
      <c r="AU3570" s="128"/>
      <c r="AV3570" s="128"/>
      <c r="AW3570" s="128"/>
      <c r="AX3570" s="128"/>
      <c r="AY3570" s="128"/>
      <c r="AZ3570" s="128"/>
      <c r="BA3570" s="128"/>
      <c r="BB3570" s="128"/>
      <c r="BC3570" s="128"/>
      <c r="BD3570" s="128"/>
      <c r="BE3570" s="128"/>
      <c r="BF3570" s="128"/>
      <c r="BG3570" s="128"/>
      <c r="BH3570" s="128"/>
      <c r="BI3570" s="128"/>
      <c r="BJ3570" s="128"/>
      <c r="BK3570" s="128"/>
      <c r="BL3570" s="128"/>
      <c r="BM3570" s="151"/>
      <c r="BN3570" s="128"/>
      <c r="BO3570" s="128"/>
      <c r="BP3570" s="128"/>
      <c r="BQ3570" s="128"/>
      <c r="BR3570" s="128"/>
      <c r="BS3570" s="128"/>
      <c r="BT3570" s="128"/>
      <c r="BU3570" s="128"/>
      <c r="BV3570" s="128"/>
      <c r="BW3570" s="128"/>
      <c r="BX3570" s="128"/>
      <c r="BY3570" s="128"/>
      <c r="BZ3570" s="128"/>
      <c r="CA3570" s="128"/>
      <c r="CB3570" s="128"/>
      <c r="CC3570" s="128"/>
      <c r="CD3570" s="128"/>
      <c r="CE3570" s="128"/>
      <c r="CF3570" s="128"/>
      <c r="CG3570" s="128"/>
      <c r="CI3570" s="128"/>
      <c r="CJ3570" s="128"/>
      <c r="CK3570" s="128"/>
      <c r="CL3570" s="128"/>
      <c r="CM3570" s="128"/>
      <c r="CN3570" s="128"/>
      <c r="CO3570" s="128"/>
      <c r="CP3570" s="128"/>
      <c r="CQ3570" s="128"/>
      <c r="CR3570" s="128"/>
      <c r="CS3570" s="128"/>
      <c r="CT3570" s="128"/>
      <c r="CU3570" s="128"/>
      <c r="CV3570" s="128"/>
      <c r="CW3570" s="128"/>
      <c r="CX3570" s="128"/>
      <c r="CY3570" s="128"/>
      <c r="CZ3570" s="165"/>
    </row>
    <row r="3571" spans="1:104">
      <c r="A3571" s="149"/>
      <c r="B3571" s="149"/>
      <c r="C3571" s="150"/>
      <c r="D3571" s="102"/>
      <c r="E3571" s="149"/>
      <c r="F3571" s="149"/>
      <c r="G3571" s="149"/>
      <c r="H3571" s="149"/>
      <c r="I3571" s="149"/>
      <c r="J3571" s="149"/>
      <c r="K3571" s="149"/>
      <c r="L3571" s="149"/>
      <c r="M3571" s="149"/>
      <c r="N3571" s="149"/>
      <c r="O3571" s="149"/>
      <c r="P3571" s="149"/>
      <c r="Q3571" s="149"/>
      <c r="R3571" s="149"/>
      <c r="S3571" s="149"/>
      <c r="T3571" s="149"/>
      <c r="U3571" s="149"/>
      <c r="V3571" s="149"/>
      <c r="W3571" s="149"/>
      <c r="X3571" s="149"/>
      <c r="Y3571" s="149"/>
      <c r="Z3571" s="149"/>
      <c r="AA3571" s="149"/>
      <c r="AB3571" s="149"/>
      <c r="AC3571" s="149"/>
      <c r="AD3571" s="149"/>
      <c r="AE3571" s="149"/>
      <c r="AF3571" s="149"/>
      <c r="AG3571" s="149"/>
      <c r="AH3571" s="149"/>
      <c r="AI3571" s="149"/>
      <c r="AJ3571" s="149"/>
      <c r="AK3571" s="149"/>
      <c r="AL3571" s="149"/>
      <c r="AM3571" s="149"/>
      <c r="AN3571" s="149"/>
      <c r="AO3571" s="128"/>
      <c r="AP3571" s="128"/>
      <c r="AQ3571" s="128"/>
      <c r="AR3571" s="128"/>
      <c r="AS3571" s="128"/>
      <c r="AT3571" s="128"/>
      <c r="AU3571" s="128"/>
      <c r="AV3571" s="128"/>
      <c r="AW3571" s="128"/>
      <c r="AX3571" s="128"/>
      <c r="AY3571" s="128"/>
      <c r="AZ3571" s="128"/>
      <c r="BA3571" s="128"/>
      <c r="BB3571" s="128"/>
      <c r="BC3571" s="128"/>
      <c r="BD3571" s="128"/>
      <c r="BE3571" s="128"/>
      <c r="BF3571" s="128"/>
      <c r="BG3571" s="128"/>
      <c r="BH3571" s="128"/>
      <c r="BI3571" s="128"/>
      <c r="BJ3571" s="128"/>
      <c r="BK3571" s="128"/>
      <c r="BL3571" s="128"/>
      <c r="BM3571" s="151"/>
      <c r="BN3571" s="128"/>
      <c r="BO3571" s="128"/>
      <c r="BP3571" s="128"/>
      <c r="BQ3571" s="128"/>
      <c r="BR3571" s="128"/>
      <c r="BS3571" s="128"/>
      <c r="BT3571" s="128"/>
      <c r="BU3571" s="128"/>
      <c r="BV3571" s="128"/>
      <c r="BW3571" s="128"/>
      <c r="BX3571" s="128"/>
      <c r="BY3571" s="128"/>
      <c r="BZ3571" s="128"/>
      <c r="CA3571" s="128"/>
      <c r="CB3571" s="128"/>
      <c r="CC3571" s="128"/>
      <c r="CD3571" s="128"/>
      <c r="CE3571" s="128"/>
      <c r="CF3571" s="128"/>
      <c r="CG3571" s="128"/>
      <c r="CI3571" s="128"/>
      <c r="CJ3571" s="128"/>
      <c r="CK3571" s="128"/>
      <c r="CL3571" s="128"/>
      <c r="CM3571" s="128"/>
      <c r="CN3571" s="128"/>
      <c r="CO3571" s="128"/>
      <c r="CP3571" s="128"/>
      <c r="CQ3571" s="128"/>
      <c r="CR3571" s="128"/>
      <c r="CS3571" s="128"/>
      <c r="CT3571" s="128"/>
      <c r="CU3571" s="128"/>
      <c r="CV3571" s="128"/>
      <c r="CW3571" s="128"/>
      <c r="CX3571" s="128"/>
      <c r="CY3571" s="128"/>
      <c r="CZ3571" s="165"/>
    </row>
    <row r="3572" spans="1:104">
      <c r="A3572" s="149"/>
      <c r="B3572" s="149"/>
      <c r="C3572" s="150"/>
      <c r="D3572" s="102"/>
      <c r="E3572" s="149"/>
      <c r="F3572" s="149"/>
      <c r="G3572" s="149"/>
      <c r="H3572" s="149"/>
      <c r="I3572" s="149"/>
      <c r="J3572" s="149"/>
      <c r="K3572" s="149"/>
      <c r="L3572" s="149"/>
      <c r="M3572" s="149"/>
      <c r="N3572" s="149"/>
      <c r="O3572" s="149"/>
      <c r="P3572" s="149"/>
      <c r="Q3572" s="149"/>
      <c r="R3572" s="149"/>
      <c r="S3572" s="149"/>
      <c r="T3572" s="149"/>
      <c r="U3572" s="149"/>
      <c r="V3572" s="149"/>
      <c r="W3572" s="149"/>
      <c r="X3572" s="149"/>
      <c r="Y3572" s="149"/>
      <c r="Z3572" s="149"/>
      <c r="AA3572" s="149"/>
      <c r="AB3572" s="149"/>
      <c r="AC3572" s="149"/>
      <c r="AD3572" s="149"/>
      <c r="AE3572" s="149"/>
      <c r="AF3572" s="149"/>
      <c r="AG3572" s="149"/>
      <c r="AH3572" s="149"/>
      <c r="AI3572" s="149"/>
      <c r="AJ3572" s="149"/>
      <c r="AK3572" s="149"/>
      <c r="AL3572" s="149"/>
      <c r="AM3572" s="149"/>
      <c r="AN3572" s="149"/>
      <c r="AO3572" s="128"/>
      <c r="AP3572" s="128"/>
      <c r="AQ3572" s="128"/>
      <c r="AR3572" s="128"/>
      <c r="AS3572" s="128"/>
      <c r="AT3572" s="128"/>
      <c r="AU3572" s="128"/>
      <c r="AV3572" s="128"/>
      <c r="AW3572" s="128"/>
      <c r="AX3572" s="128"/>
      <c r="AY3572" s="128"/>
      <c r="AZ3572" s="128"/>
      <c r="BA3572" s="128"/>
      <c r="BB3572" s="128"/>
      <c r="BC3572" s="128"/>
      <c r="BD3572" s="128"/>
      <c r="BE3572" s="128"/>
      <c r="BF3572" s="128"/>
      <c r="BG3572" s="128"/>
      <c r="BH3572" s="128"/>
      <c r="BI3572" s="128"/>
      <c r="BJ3572" s="128"/>
      <c r="BK3572" s="128"/>
      <c r="BL3572" s="128"/>
      <c r="BM3572" s="151"/>
      <c r="BN3572" s="128"/>
      <c r="BO3572" s="128"/>
      <c r="BP3572" s="128"/>
      <c r="BQ3572" s="128"/>
      <c r="BR3572" s="128"/>
      <c r="BS3572" s="128"/>
      <c r="BT3572" s="128"/>
      <c r="BU3572" s="128"/>
      <c r="BV3572" s="128"/>
      <c r="BW3572" s="128"/>
      <c r="BX3572" s="128"/>
      <c r="BY3572" s="128"/>
      <c r="BZ3572" s="128"/>
      <c r="CA3572" s="128"/>
      <c r="CB3572" s="128"/>
      <c r="CC3572" s="128"/>
      <c r="CD3572" s="128"/>
      <c r="CE3572" s="128"/>
      <c r="CF3572" s="128"/>
      <c r="CG3572" s="128"/>
      <c r="CI3572" s="128"/>
      <c r="CJ3572" s="128"/>
      <c r="CK3572" s="128"/>
      <c r="CL3572" s="128"/>
      <c r="CM3572" s="128"/>
      <c r="CN3572" s="128"/>
      <c r="CO3572" s="128"/>
      <c r="CP3572" s="128"/>
      <c r="CQ3572" s="128"/>
      <c r="CR3572" s="128"/>
      <c r="CS3572" s="128"/>
      <c r="CT3572" s="128"/>
      <c r="CU3572" s="128"/>
      <c r="CV3572" s="128"/>
      <c r="CW3572" s="128"/>
      <c r="CX3572" s="128"/>
      <c r="CY3572" s="128"/>
      <c r="CZ3572" s="165"/>
    </row>
    <row r="3573" spans="1:104">
      <c r="A3573" s="149"/>
      <c r="B3573" s="149"/>
      <c r="C3573" s="150"/>
      <c r="D3573" s="102"/>
      <c r="E3573" s="149"/>
      <c r="F3573" s="149"/>
      <c r="G3573" s="149"/>
      <c r="H3573" s="149"/>
      <c r="I3573" s="149"/>
      <c r="J3573" s="149"/>
      <c r="K3573" s="149"/>
      <c r="L3573" s="149"/>
      <c r="M3573" s="149"/>
      <c r="N3573" s="149"/>
      <c r="O3573" s="149"/>
      <c r="P3573" s="149"/>
      <c r="Q3573" s="149"/>
      <c r="R3573" s="149"/>
      <c r="S3573" s="149"/>
      <c r="T3573" s="149"/>
      <c r="U3573" s="149"/>
      <c r="V3573" s="149"/>
      <c r="W3573" s="149"/>
      <c r="X3573" s="149"/>
      <c r="Y3573" s="149"/>
      <c r="Z3573" s="149"/>
      <c r="AA3573" s="149"/>
      <c r="AB3573" s="149"/>
      <c r="AC3573" s="149"/>
      <c r="AD3573" s="149"/>
      <c r="AE3573" s="149"/>
      <c r="AF3573" s="149"/>
      <c r="AG3573" s="149"/>
      <c r="AH3573" s="149"/>
      <c r="AI3573" s="149"/>
      <c r="AJ3573" s="149"/>
      <c r="AK3573" s="149"/>
      <c r="AL3573" s="149"/>
      <c r="AM3573" s="149"/>
      <c r="AN3573" s="149"/>
      <c r="AO3573" s="128"/>
      <c r="AP3573" s="128"/>
      <c r="AQ3573" s="128"/>
      <c r="AR3573" s="128"/>
      <c r="AS3573" s="128"/>
      <c r="AT3573" s="128"/>
      <c r="AU3573" s="128"/>
      <c r="AV3573" s="128"/>
      <c r="AW3573" s="128"/>
      <c r="AX3573" s="128"/>
      <c r="AY3573" s="128"/>
      <c r="AZ3573" s="128"/>
      <c r="BA3573" s="128"/>
      <c r="BB3573" s="128"/>
      <c r="BC3573" s="128"/>
      <c r="BD3573" s="128"/>
      <c r="BE3573" s="128"/>
      <c r="BF3573" s="128"/>
      <c r="BG3573" s="128"/>
      <c r="BH3573" s="128"/>
      <c r="BI3573" s="128"/>
      <c r="BJ3573" s="128"/>
      <c r="BK3573" s="128"/>
      <c r="BL3573" s="128"/>
      <c r="BM3573" s="151"/>
      <c r="BN3573" s="128"/>
      <c r="BO3573" s="128"/>
      <c r="BP3573" s="128"/>
      <c r="BQ3573" s="128"/>
      <c r="BR3573" s="128"/>
      <c r="BS3573" s="128"/>
      <c r="BT3573" s="128"/>
      <c r="BU3573" s="128"/>
      <c r="BV3573" s="128"/>
      <c r="BW3573" s="128"/>
      <c r="BX3573" s="128"/>
      <c r="BY3573" s="128"/>
      <c r="BZ3573" s="128"/>
      <c r="CA3573" s="128"/>
      <c r="CB3573" s="128"/>
      <c r="CC3573" s="128"/>
      <c r="CD3573" s="128"/>
      <c r="CE3573" s="128"/>
      <c r="CF3573" s="128"/>
      <c r="CG3573" s="128"/>
      <c r="CI3573" s="128"/>
      <c r="CJ3573" s="128"/>
      <c r="CK3573" s="128"/>
      <c r="CL3573" s="128"/>
      <c r="CM3573" s="128"/>
      <c r="CN3573" s="128"/>
      <c r="CO3573" s="128"/>
      <c r="CP3573" s="128"/>
      <c r="CQ3573" s="128"/>
      <c r="CR3573" s="128"/>
      <c r="CS3573" s="128"/>
      <c r="CT3573" s="128"/>
      <c r="CU3573" s="128"/>
      <c r="CV3573" s="128"/>
      <c r="CW3573" s="128"/>
      <c r="CX3573" s="128"/>
      <c r="CY3573" s="128"/>
      <c r="CZ3573" s="165"/>
    </row>
    <row r="3574" spans="1:104">
      <c r="A3574" s="149"/>
      <c r="B3574" s="149"/>
      <c r="C3574" s="150"/>
      <c r="D3574" s="102"/>
      <c r="E3574" s="149"/>
      <c r="F3574" s="149"/>
      <c r="G3574" s="149"/>
      <c r="H3574" s="149"/>
      <c r="I3574" s="149"/>
      <c r="J3574" s="149"/>
      <c r="K3574" s="149"/>
      <c r="L3574" s="149"/>
      <c r="M3574" s="149"/>
      <c r="N3574" s="149"/>
      <c r="O3574" s="149"/>
      <c r="P3574" s="149"/>
      <c r="Q3574" s="149"/>
      <c r="R3574" s="149"/>
      <c r="S3574" s="149"/>
      <c r="T3574" s="149"/>
      <c r="U3574" s="149"/>
      <c r="V3574" s="149"/>
      <c r="W3574" s="149"/>
      <c r="X3574" s="149"/>
      <c r="Y3574" s="149"/>
      <c r="Z3574" s="149"/>
      <c r="AA3574" s="149"/>
      <c r="AB3574" s="149"/>
      <c r="AC3574" s="149"/>
      <c r="AD3574" s="149"/>
      <c r="AE3574" s="149"/>
      <c r="AF3574" s="149"/>
      <c r="AG3574" s="149"/>
      <c r="AH3574" s="149"/>
      <c r="AI3574" s="149"/>
      <c r="AJ3574" s="149"/>
      <c r="AK3574" s="149"/>
      <c r="AL3574" s="149"/>
      <c r="AM3574" s="149"/>
      <c r="AN3574" s="149"/>
      <c r="AO3574" s="128"/>
      <c r="AP3574" s="128"/>
      <c r="AQ3574" s="128"/>
      <c r="AR3574" s="128"/>
      <c r="AS3574" s="128"/>
      <c r="AT3574" s="128"/>
      <c r="AU3574" s="128"/>
      <c r="AV3574" s="128"/>
      <c r="AW3574" s="128"/>
      <c r="AX3574" s="128"/>
      <c r="AY3574" s="128"/>
      <c r="AZ3574" s="128"/>
      <c r="BA3574" s="128"/>
      <c r="BB3574" s="128"/>
      <c r="BC3574" s="128"/>
      <c r="BD3574" s="128"/>
      <c r="BE3574" s="128"/>
      <c r="BF3574" s="128"/>
      <c r="BG3574" s="128"/>
      <c r="BH3574" s="128"/>
      <c r="BI3574" s="128"/>
      <c r="BJ3574" s="128"/>
      <c r="BK3574" s="128"/>
      <c r="BL3574" s="128"/>
      <c r="BM3574" s="151"/>
      <c r="BN3574" s="128"/>
      <c r="BO3574" s="128"/>
      <c r="BP3574" s="128"/>
      <c r="BQ3574" s="128"/>
      <c r="BR3574" s="128"/>
      <c r="BS3574" s="128"/>
      <c r="BT3574" s="128"/>
      <c r="BU3574" s="128"/>
      <c r="BV3574" s="128"/>
      <c r="BW3574" s="128"/>
      <c r="BX3574" s="128"/>
      <c r="BY3574" s="128"/>
      <c r="BZ3574" s="128"/>
      <c r="CA3574" s="128"/>
      <c r="CB3574" s="128"/>
      <c r="CC3574" s="128"/>
      <c r="CD3574" s="128"/>
      <c r="CE3574" s="128"/>
      <c r="CF3574" s="128"/>
      <c r="CG3574" s="128"/>
      <c r="CI3574" s="128"/>
      <c r="CJ3574" s="128"/>
      <c r="CK3574" s="128"/>
      <c r="CL3574" s="128"/>
      <c r="CM3574" s="128"/>
      <c r="CN3574" s="128"/>
      <c r="CO3574" s="128"/>
      <c r="CP3574" s="128"/>
      <c r="CQ3574" s="128"/>
      <c r="CR3574" s="128"/>
      <c r="CS3574" s="128"/>
      <c r="CT3574" s="128"/>
      <c r="CU3574" s="128"/>
      <c r="CV3574" s="128"/>
      <c r="CW3574" s="128"/>
      <c r="CX3574" s="128"/>
      <c r="CY3574" s="128"/>
      <c r="CZ3574" s="165"/>
    </row>
    <row r="3575" spans="1:104">
      <c r="A3575" s="149"/>
      <c r="B3575" s="149"/>
      <c r="C3575" s="150"/>
      <c r="D3575" s="102"/>
      <c r="E3575" s="149"/>
      <c r="F3575" s="149"/>
      <c r="G3575" s="149"/>
      <c r="H3575" s="149"/>
      <c r="I3575" s="149"/>
      <c r="J3575" s="149"/>
      <c r="K3575" s="149"/>
      <c r="L3575" s="149"/>
      <c r="M3575" s="149"/>
      <c r="N3575" s="149"/>
      <c r="O3575" s="149"/>
      <c r="P3575" s="149"/>
      <c r="Q3575" s="149"/>
      <c r="R3575" s="149"/>
      <c r="S3575" s="149"/>
      <c r="T3575" s="149"/>
      <c r="U3575" s="149"/>
      <c r="V3575" s="149"/>
      <c r="W3575" s="149"/>
      <c r="X3575" s="149"/>
      <c r="Y3575" s="149"/>
      <c r="Z3575" s="149"/>
      <c r="AA3575" s="149"/>
      <c r="AB3575" s="149"/>
      <c r="AC3575" s="149"/>
      <c r="AD3575" s="149"/>
      <c r="AE3575" s="149"/>
      <c r="AF3575" s="149"/>
      <c r="AG3575" s="149"/>
      <c r="AH3575" s="149"/>
      <c r="AI3575" s="149"/>
      <c r="AJ3575" s="149"/>
      <c r="AK3575" s="149"/>
      <c r="AL3575" s="149"/>
      <c r="AM3575" s="149"/>
      <c r="AN3575" s="149"/>
      <c r="AO3575" s="128"/>
      <c r="AP3575" s="128"/>
      <c r="AQ3575" s="128"/>
      <c r="AR3575" s="128"/>
      <c r="AS3575" s="128"/>
      <c r="AT3575" s="128"/>
      <c r="AU3575" s="128"/>
      <c r="AV3575" s="128"/>
      <c r="AW3575" s="128"/>
      <c r="AX3575" s="128"/>
      <c r="AY3575" s="128"/>
      <c r="AZ3575" s="128"/>
      <c r="BA3575" s="128"/>
      <c r="BB3575" s="128"/>
      <c r="BC3575" s="128"/>
      <c r="BD3575" s="128"/>
      <c r="BE3575" s="128"/>
      <c r="BF3575" s="128"/>
      <c r="BG3575" s="128"/>
      <c r="BH3575" s="128"/>
      <c r="BI3575" s="128"/>
      <c r="BJ3575" s="128"/>
      <c r="BK3575" s="128"/>
      <c r="BL3575" s="128"/>
      <c r="BM3575" s="151"/>
      <c r="BN3575" s="128"/>
      <c r="BO3575" s="128"/>
      <c r="BP3575" s="128"/>
      <c r="BQ3575" s="128"/>
      <c r="BR3575" s="128"/>
      <c r="BS3575" s="128"/>
      <c r="BT3575" s="128"/>
      <c r="BU3575" s="128"/>
      <c r="BV3575" s="128"/>
      <c r="BW3575" s="128"/>
      <c r="BX3575" s="128"/>
      <c r="BY3575" s="128"/>
      <c r="BZ3575" s="128"/>
      <c r="CA3575" s="128"/>
      <c r="CB3575" s="128"/>
      <c r="CC3575" s="128"/>
      <c r="CD3575" s="128"/>
      <c r="CE3575" s="128"/>
      <c r="CF3575" s="128"/>
      <c r="CG3575" s="128"/>
      <c r="CI3575" s="128"/>
      <c r="CJ3575" s="128"/>
      <c r="CK3575" s="128"/>
      <c r="CL3575" s="128"/>
      <c r="CM3575" s="128"/>
      <c r="CN3575" s="128"/>
      <c r="CO3575" s="128"/>
      <c r="CP3575" s="128"/>
      <c r="CQ3575" s="128"/>
      <c r="CR3575" s="128"/>
      <c r="CS3575" s="128"/>
      <c r="CT3575" s="128"/>
      <c r="CU3575" s="128"/>
      <c r="CV3575" s="128"/>
      <c r="CW3575" s="128"/>
      <c r="CX3575" s="128"/>
      <c r="CY3575" s="128"/>
      <c r="CZ3575" s="165"/>
    </row>
    <row r="3576" spans="1:104">
      <c r="A3576" s="149"/>
      <c r="B3576" s="149"/>
      <c r="C3576" s="150"/>
      <c r="D3576" s="102"/>
      <c r="E3576" s="149"/>
      <c r="F3576" s="149"/>
      <c r="G3576" s="149"/>
      <c r="H3576" s="149"/>
      <c r="I3576" s="149"/>
      <c r="J3576" s="149"/>
      <c r="K3576" s="149"/>
      <c r="L3576" s="149"/>
      <c r="M3576" s="149"/>
      <c r="N3576" s="149"/>
      <c r="O3576" s="149"/>
      <c r="P3576" s="149"/>
      <c r="Q3576" s="149"/>
      <c r="R3576" s="149"/>
      <c r="S3576" s="149"/>
      <c r="T3576" s="149"/>
      <c r="U3576" s="149"/>
      <c r="V3576" s="149"/>
      <c r="W3576" s="149"/>
      <c r="X3576" s="149"/>
      <c r="Y3576" s="149"/>
      <c r="Z3576" s="149"/>
      <c r="AA3576" s="149"/>
      <c r="AB3576" s="149"/>
      <c r="AC3576" s="149"/>
      <c r="AD3576" s="149"/>
      <c r="AE3576" s="149"/>
      <c r="AF3576" s="149"/>
      <c r="AG3576" s="149"/>
      <c r="AH3576" s="149"/>
      <c r="AI3576" s="149"/>
      <c r="AJ3576" s="149"/>
      <c r="AK3576" s="149"/>
      <c r="AL3576" s="149"/>
      <c r="AM3576" s="149"/>
      <c r="AN3576" s="149"/>
      <c r="AO3576" s="128"/>
      <c r="AP3576" s="128"/>
      <c r="AQ3576" s="128"/>
      <c r="AR3576" s="128"/>
      <c r="AS3576" s="128"/>
      <c r="AT3576" s="128"/>
      <c r="AU3576" s="128"/>
      <c r="AV3576" s="128"/>
      <c r="AW3576" s="128"/>
      <c r="AX3576" s="128"/>
      <c r="AY3576" s="128"/>
      <c r="AZ3576" s="128"/>
      <c r="BA3576" s="128"/>
      <c r="BB3576" s="128"/>
      <c r="BC3576" s="128"/>
      <c r="BD3576" s="128"/>
      <c r="BE3576" s="128"/>
      <c r="BF3576" s="128"/>
      <c r="BG3576" s="128"/>
      <c r="BH3576" s="128"/>
      <c r="BI3576" s="128"/>
      <c r="BJ3576" s="128"/>
      <c r="BK3576" s="128"/>
      <c r="BL3576" s="128"/>
      <c r="BM3576" s="151"/>
      <c r="BN3576" s="128"/>
      <c r="BO3576" s="128"/>
      <c r="BP3576" s="128"/>
      <c r="BQ3576" s="128"/>
      <c r="BR3576" s="128"/>
      <c r="BS3576" s="128"/>
      <c r="BT3576" s="128"/>
      <c r="BU3576" s="128"/>
      <c r="BV3576" s="128"/>
      <c r="BW3576" s="128"/>
      <c r="BX3576" s="128"/>
      <c r="BY3576" s="128"/>
      <c r="BZ3576" s="128"/>
      <c r="CA3576" s="128"/>
      <c r="CB3576" s="128"/>
      <c r="CC3576" s="128"/>
      <c r="CD3576" s="128"/>
      <c r="CE3576" s="128"/>
      <c r="CF3576" s="128"/>
      <c r="CG3576" s="128"/>
      <c r="CI3576" s="128"/>
      <c r="CJ3576" s="128"/>
      <c r="CK3576" s="128"/>
      <c r="CL3576" s="128"/>
      <c r="CM3576" s="128"/>
      <c r="CN3576" s="128"/>
      <c r="CO3576" s="128"/>
      <c r="CP3576" s="128"/>
      <c r="CQ3576" s="128"/>
      <c r="CR3576" s="128"/>
      <c r="CS3576" s="128"/>
      <c r="CT3576" s="128"/>
      <c r="CU3576" s="128"/>
      <c r="CV3576" s="128"/>
      <c r="CW3576" s="128"/>
      <c r="CX3576" s="128"/>
      <c r="CY3576" s="128"/>
      <c r="CZ3576" s="165"/>
    </row>
    <row r="3577" spans="1:104">
      <c r="A3577" s="149"/>
      <c r="B3577" s="149"/>
      <c r="C3577" s="150"/>
      <c r="D3577" s="102"/>
      <c r="E3577" s="149"/>
      <c r="F3577" s="149"/>
      <c r="G3577" s="149"/>
      <c r="H3577" s="149"/>
      <c r="I3577" s="149"/>
      <c r="J3577" s="149"/>
      <c r="K3577" s="149"/>
      <c r="L3577" s="149"/>
      <c r="M3577" s="149"/>
      <c r="N3577" s="149"/>
      <c r="O3577" s="149"/>
      <c r="P3577" s="149"/>
      <c r="Q3577" s="149"/>
      <c r="R3577" s="149"/>
      <c r="S3577" s="149"/>
      <c r="T3577" s="149"/>
      <c r="U3577" s="149"/>
      <c r="V3577" s="149"/>
      <c r="W3577" s="149"/>
      <c r="X3577" s="149"/>
      <c r="Y3577" s="149"/>
      <c r="Z3577" s="149"/>
      <c r="AA3577" s="149"/>
      <c r="AB3577" s="149"/>
      <c r="AC3577" s="149"/>
      <c r="AD3577" s="149"/>
      <c r="AE3577" s="149"/>
      <c r="AF3577" s="149"/>
      <c r="AG3577" s="149"/>
      <c r="AH3577" s="149"/>
      <c r="AI3577" s="149"/>
      <c r="AJ3577" s="149"/>
      <c r="AK3577" s="149"/>
      <c r="AL3577" s="149"/>
      <c r="AM3577" s="149"/>
      <c r="AN3577" s="149"/>
      <c r="AO3577" s="128"/>
      <c r="AP3577" s="128"/>
      <c r="AQ3577" s="128"/>
      <c r="AR3577" s="128"/>
      <c r="AS3577" s="128"/>
      <c r="AT3577" s="128"/>
      <c r="AU3577" s="128"/>
      <c r="AV3577" s="128"/>
      <c r="AW3577" s="128"/>
      <c r="AX3577" s="128"/>
      <c r="AY3577" s="128"/>
      <c r="AZ3577" s="128"/>
      <c r="BA3577" s="128"/>
      <c r="BB3577" s="128"/>
      <c r="BC3577" s="128"/>
      <c r="BD3577" s="128"/>
      <c r="BE3577" s="128"/>
      <c r="BF3577" s="128"/>
      <c r="BG3577" s="128"/>
      <c r="BH3577" s="128"/>
      <c r="BI3577" s="128"/>
      <c r="BJ3577" s="128"/>
      <c r="BK3577" s="128"/>
      <c r="BL3577" s="128"/>
      <c r="BM3577" s="151"/>
      <c r="BN3577" s="128"/>
      <c r="BO3577" s="128"/>
      <c r="BP3577" s="128"/>
      <c r="BQ3577" s="128"/>
      <c r="BR3577" s="128"/>
      <c r="BS3577" s="128"/>
      <c r="BT3577" s="128"/>
      <c r="BU3577" s="128"/>
      <c r="BV3577" s="128"/>
      <c r="BW3577" s="128"/>
      <c r="BX3577" s="128"/>
      <c r="BY3577" s="128"/>
      <c r="BZ3577" s="128"/>
      <c r="CA3577" s="128"/>
      <c r="CB3577" s="128"/>
      <c r="CC3577" s="128"/>
      <c r="CD3577" s="128"/>
      <c r="CE3577" s="128"/>
      <c r="CF3577" s="128"/>
      <c r="CG3577" s="128"/>
      <c r="CI3577" s="128"/>
      <c r="CJ3577" s="128"/>
      <c r="CK3577" s="128"/>
      <c r="CL3577" s="128"/>
      <c r="CM3577" s="128"/>
      <c r="CN3577" s="128"/>
      <c r="CO3577" s="128"/>
      <c r="CP3577" s="128"/>
      <c r="CQ3577" s="128"/>
      <c r="CR3577" s="128"/>
      <c r="CS3577" s="128"/>
      <c r="CT3577" s="128"/>
      <c r="CU3577" s="128"/>
      <c r="CV3577" s="128"/>
      <c r="CW3577" s="128"/>
      <c r="CX3577" s="128"/>
      <c r="CY3577" s="128"/>
      <c r="CZ3577" s="165"/>
    </row>
    <row r="3578" spans="1:104">
      <c r="A3578" s="149"/>
      <c r="B3578" s="149"/>
      <c r="C3578" s="150"/>
      <c r="D3578" s="102"/>
      <c r="E3578" s="149"/>
      <c r="F3578" s="149"/>
      <c r="G3578" s="149"/>
      <c r="H3578" s="149"/>
      <c r="I3578" s="149"/>
      <c r="J3578" s="149"/>
      <c r="K3578" s="149"/>
      <c r="L3578" s="149"/>
      <c r="M3578" s="149"/>
      <c r="N3578" s="149"/>
      <c r="O3578" s="149"/>
      <c r="P3578" s="149"/>
      <c r="Q3578" s="149"/>
      <c r="R3578" s="149"/>
      <c r="S3578" s="149"/>
      <c r="T3578" s="149"/>
      <c r="U3578" s="149"/>
      <c r="V3578" s="149"/>
      <c r="W3578" s="149"/>
      <c r="X3578" s="149"/>
      <c r="Y3578" s="149"/>
      <c r="Z3578" s="149"/>
      <c r="AA3578" s="149"/>
      <c r="AB3578" s="149"/>
      <c r="AC3578" s="149"/>
      <c r="AD3578" s="149"/>
      <c r="AE3578" s="149"/>
      <c r="AF3578" s="149"/>
      <c r="AG3578" s="149"/>
      <c r="AH3578" s="149"/>
      <c r="AI3578" s="149"/>
      <c r="AJ3578" s="149"/>
      <c r="AK3578" s="149"/>
      <c r="AL3578" s="149"/>
      <c r="AM3578" s="149"/>
      <c r="AN3578" s="149"/>
      <c r="AO3578" s="128"/>
      <c r="AP3578" s="128"/>
      <c r="AQ3578" s="128"/>
      <c r="AR3578" s="128"/>
      <c r="AS3578" s="128"/>
      <c r="AT3578" s="128"/>
      <c r="AU3578" s="128"/>
      <c r="AV3578" s="128"/>
      <c r="AW3578" s="128"/>
      <c r="AX3578" s="128"/>
      <c r="AY3578" s="128"/>
      <c r="AZ3578" s="128"/>
      <c r="BA3578" s="128"/>
      <c r="BB3578" s="128"/>
      <c r="BC3578" s="128"/>
      <c r="BD3578" s="128"/>
      <c r="BE3578" s="128"/>
      <c r="BF3578" s="128"/>
      <c r="BG3578" s="128"/>
      <c r="BH3578" s="128"/>
      <c r="BI3578" s="128"/>
      <c r="BJ3578" s="128"/>
      <c r="BK3578" s="128"/>
      <c r="BL3578" s="128"/>
      <c r="BM3578" s="151"/>
      <c r="BN3578" s="128"/>
      <c r="BO3578" s="128"/>
      <c r="BP3578" s="128"/>
      <c r="BQ3578" s="128"/>
      <c r="BR3578" s="128"/>
      <c r="BS3578" s="128"/>
      <c r="BT3578" s="128"/>
      <c r="BU3578" s="128"/>
      <c r="BV3578" s="128"/>
      <c r="BW3578" s="128"/>
      <c r="BX3578" s="128"/>
      <c r="BY3578" s="128"/>
      <c r="BZ3578" s="128"/>
      <c r="CA3578" s="128"/>
      <c r="CB3578" s="128"/>
      <c r="CC3578" s="128"/>
      <c r="CD3578" s="128"/>
      <c r="CE3578" s="128"/>
      <c r="CF3578" s="128"/>
      <c r="CG3578" s="128"/>
      <c r="CI3578" s="128"/>
      <c r="CJ3578" s="128"/>
      <c r="CK3578" s="128"/>
      <c r="CL3578" s="128"/>
      <c r="CM3578" s="128"/>
      <c r="CN3578" s="128"/>
      <c r="CO3578" s="128"/>
      <c r="CP3578" s="128"/>
      <c r="CQ3578" s="128"/>
      <c r="CR3578" s="128"/>
      <c r="CS3578" s="128"/>
      <c r="CT3578" s="128"/>
      <c r="CU3578" s="128"/>
      <c r="CV3578" s="128"/>
      <c r="CW3578" s="128"/>
      <c r="CX3578" s="128"/>
      <c r="CY3578" s="128"/>
      <c r="CZ3578" s="165"/>
    </row>
    <row r="3579" spans="1:104">
      <c r="A3579" s="149"/>
      <c r="B3579" s="149"/>
      <c r="C3579" s="150"/>
      <c r="D3579" s="102"/>
      <c r="E3579" s="149"/>
      <c r="F3579" s="149"/>
      <c r="G3579" s="149"/>
      <c r="H3579" s="149"/>
      <c r="I3579" s="149"/>
      <c r="J3579" s="149"/>
      <c r="K3579" s="149"/>
      <c r="L3579" s="149"/>
      <c r="M3579" s="149"/>
      <c r="N3579" s="149"/>
      <c r="O3579" s="149"/>
      <c r="P3579" s="149"/>
      <c r="Q3579" s="149"/>
      <c r="R3579" s="149"/>
      <c r="S3579" s="149"/>
      <c r="T3579" s="149"/>
      <c r="U3579" s="149"/>
      <c r="V3579" s="149"/>
      <c r="W3579" s="149"/>
      <c r="X3579" s="149"/>
      <c r="Y3579" s="149"/>
      <c r="Z3579" s="149"/>
      <c r="AA3579" s="149"/>
      <c r="AB3579" s="149"/>
      <c r="AC3579" s="149"/>
      <c r="AD3579" s="149"/>
      <c r="AE3579" s="149"/>
      <c r="AF3579" s="149"/>
      <c r="AG3579" s="149"/>
      <c r="AH3579" s="149"/>
      <c r="AI3579" s="149"/>
      <c r="AJ3579" s="149"/>
      <c r="AK3579" s="149"/>
      <c r="AL3579" s="149"/>
      <c r="AM3579" s="149"/>
      <c r="AN3579" s="149"/>
      <c r="AO3579" s="128"/>
      <c r="AP3579" s="128"/>
      <c r="AQ3579" s="128"/>
      <c r="AR3579" s="128"/>
      <c r="AS3579" s="128"/>
      <c r="AT3579" s="128"/>
      <c r="AU3579" s="128"/>
      <c r="AV3579" s="128"/>
      <c r="AW3579" s="128"/>
      <c r="AX3579" s="128"/>
      <c r="AY3579" s="128"/>
      <c r="AZ3579" s="128"/>
      <c r="BA3579" s="128"/>
      <c r="BB3579" s="128"/>
      <c r="BC3579" s="128"/>
      <c r="BD3579" s="128"/>
      <c r="BE3579" s="128"/>
      <c r="BF3579" s="128"/>
      <c r="BG3579" s="128"/>
      <c r="BH3579" s="128"/>
      <c r="BI3579" s="128"/>
      <c r="BJ3579" s="128"/>
      <c r="BK3579" s="128"/>
      <c r="BL3579" s="128"/>
      <c r="BM3579" s="151"/>
      <c r="BN3579" s="128"/>
      <c r="BO3579" s="128"/>
      <c r="BP3579" s="128"/>
      <c r="BQ3579" s="128"/>
      <c r="BR3579" s="128"/>
      <c r="BS3579" s="128"/>
      <c r="BT3579" s="128"/>
      <c r="BU3579" s="128"/>
      <c r="BV3579" s="128"/>
      <c r="BW3579" s="128"/>
      <c r="BX3579" s="128"/>
      <c r="BY3579" s="128"/>
      <c r="BZ3579" s="128"/>
      <c r="CA3579" s="128"/>
      <c r="CB3579" s="128"/>
      <c r="CC3579" s="128"/>
      <c r="CD3579" s="128"/>
      <c r="CE3579" s="128"/>
      <c r="CF3579" s="128"/>
      <c r="CG3579" s="128"/>
      <c r="CI3579" s="128"/>
      <c r="CJ3579" s="128"/>
      <c r="CK3579" s="128"/>
      <c r="CL3579" s="128"/>
      <c r="CM3579" s="128"/>
      <c r="CN3579" s="128"/>
      <c r="CO3579" s="128"/>
      <c r="CP3579" s="128"/>
      <c r="CQ3579" s="128"/>
      <c r="CR3579" s="128"/>
      <c r="CS3579" s="128"/>
      <c r="CT3579" s="128"/>
      <c r="CU3579" s="128"/>
      <c r="CV3579" s="128"/>
      <c r="CW3579" s="128"/>
      <c r="CX3579" s="128"/>
      <c r="CY3579" s="128"/>
      <c r="CZ3579" s="165"/>
    </row>
    <row r="3580" spans="1:104">
      <c r="A3580" s="149"/>
      <c r="B3580" s="149"/>
      <c r="C3580" s="150"/>
      <c r="D3580" s="102"/>
      <c r="E3580" s="149"/>
      <c r="F3580" s="149"/>
      <c r="G3580" s="149"/>
      <c r="H3580" s="149"/>
      <c r="I3580" s="149"/>
      <c r="J3580" s="149"/>
      <c r="K3580" s="149"/>
      <c r="L3580" s="149"/>
      <c r="M3580" s="149"/>
      <c r="N3580" s="149"/>
      <c r="O3580" s="149"/>
      <c r="P3580" s="149"/>
      <c r="Q3580" s="149"/>
      <c r="R3580" s="149"/>
      <c r="S3580" s="149"/>
      <c r="T3580" s="149"/>
      <c r="U3580" s="149"/>
      <c r="V3580" s="149"/>
      <c r="W3580" s="149"/>
      <c r="X3580" s="149"/>
      <c r="Y3580" s="149"/>
      <c r="Z3580" s="149"/>
      <c r="AA3580" s="149"/>
      <c r="AB3580" s="149"/>
      <c r="AC3580" s="149"/>
      <c r="AD3580" s="149"/>
      <c r="AE3580" s="149"/>
      <c r="AF3580" s="149"/>
      <c r="AG3580" s="149"/>
      <c r="AH3580" s="149"/>
      <c r="AI3580" s="149"/>
      <c r="AJ3580" s="149"/>
      <c r="AK3580" s="149"/>
      <c r="AL3580" s="149"/>
      <c r="AM3580" s="149"/>
      <c r="AN3580" s="149"/>
      <c r="AO3580" s="128"/>
      <c r="AP3580" s="128"/>
      <c r="AQ3580" s="128"/>
      <c r="AR3580" s="128"/>
      <c r="AS3580" s="128"/>
      <c r="AT3580" s="128"/>
      <c r="AU3580" s="128"/>
      <c r="AV3580" s="128"/>
      <c r="AW3580" s="128"/>
      <c r="AX3580" s="128"/>
      <c r="AY3580" s="128"/>
      <c r="AZ3580" s="128"/>
      <c r="BA3580" s="128"/>
      <c r="BB3580" s="128"/>
      <c r="BC3580" s="128"/>
      <c r="BD3580" s="128"/>
      <c r="BE3580" s="128"/>
      <c r="BF3580" s="128"/>
      <c r="BG3580" s="128"/>
      <c r="BH3580" s="128"/>
      <c r="BI3580" s="128"/>
      <c r="BJ3580" s="128"/>
      <c r="BK3580" s="128"/>
      <c r="BL3580" s="128"/>
      <c r="BM3580" s="151"/>
      <c r="BN3580" s="128"/>
      <c r="BO3580" s="128"/>
      <c r="BP3580" s="128"/>
      <c r="BQ3580" s="128"/>
      <c r="BR3580" s="128"/>
      <c r="BS3580" s="128"/>
      <c r="BT3580" s="128"/>
      <c r="BU3580" s="128"/>
      <c r="BV3580" s="128"/>
      <c r="BW3580" s="128"/>
      <c r="BX3580" s="128"/>
      <c r="BY3580" s="128"/>
      <c r="BZ3580" s="128"/>
      <c r="CA3580" s="128"/>
      <c r="CB3580" s="128"/>
      <c r="CC3580" s="128"/>
      <c r="CD3580" s="128"/>
      <c r="CE3580" s="128"/>
      <c r="CF3580" s="128"/>
      <c r="CG3580" s="128"/>
      <c r="CI3580" s="128"/>
      <c r="CJ3580" s="128"/>
      <c r="CK3580" s="128"/>
      <c r="CL3580" s="128"/>
      <c r="CM3580" s="128"/>
      <c r="CN3580" s="128"/>
      <c r="CO3580" s="128"/>
      <c r="CP3580" s="128"/>
      <c r="CQ3580" s="128"/>
      <c r="CR3580" s="128"/>
      <c r="CS3580" s="128"/>
      <c r="CT3580" s="128"/>
      <c r="CU3580" s="128"/>
      <c r="CV3580" s="128"/>
      <c r="CW3580" s="128"/>
      <c r="CX3580" s="128"/>
      <c r="CY3580" s="128"/>
      <c r="CZ3580" s="165"/>
    </row>
    <row r="3581" spans="1:104">
      <c r="A3581" s="149"/>
      <c r="B3581" s="149"/>
      <c r="C3581" s="150"/>
      <c r="D3581" s="102"/>
      <c r="E3581" s="149"/>
      <c r="F3581" s="149"/>
      <c r="G3581" s="149"/>
      <c r="H3581" s="149"/>
      <c r="I3581" s="149"/>
      <c r="J3581" s="149"/>
      <c r="K3581" s="149"/>
      <c r="L3581" s="149"/>
      <c r="M3581" s="149"/>
      <c r="N3581" s="149"/>
      <c r="O3581" s="149"/>
      <c r="P3581" s="149"/>
      <c r="Q3581" s="149"/>
      <c r="R3581" s="149"/>
      <c r="S3581" s="149"/>
      <c r="T3581" s="149"/>
      <c r="U3581" s="149"/>
      <c r="V3581" s="149"/>
      <c r="W3581" s="149"/>
      <c r="X3581" s="149"/>
      <c r="Y3581" s="149"/>
      <c r="Z3581" s="149"/>
      <c r="AA3581" s="149"/>
      <c r="AB3581" s="149"/>
      <c r="AC3581" s="149"/>
      <c r="AD3581" s="149"/>
      <c r="AE3581" s="149"/>
      <c r="AF3581" s="149"/>
      <c r="AG3581" s="149"/>
      <c r="AH3581" s="149"/>
      <c r="AI3581" s="149"/>
      <c r="AJ3581" s="149"/>
      <c r="AK3581" s="149"/>
      <c r="AL3581" s="149"/>
      <c r="AM3581" s="149"/>
      <c r="AN3581" s="149"/>
      <c r="AO3581" s="128"/>
      <c r="AP3581" s="128"/>
      <c r="AQ3581" s="128"/>
      <c r="AR3581" s="128"/>
      <c r="AS3581" s="128"/>
      <c r="AT3581" s="128"/>
      <c r="AU3581" s="128"/>
      <c r="AV3581" s="128"/>
      <c r="AW3581" s="128"/>
      <c r="AX3581" s="128"/>
      <c r="AY3581" s="128"/>
      <c r="AZ3581" s="128"/>
      <c r="BA3581" s="128"/>
      <c r="BB3581" s="128"/>
      <c r="BC3581" s="128"/>
      <c r="BD3581" s="128"/>
      <c r="BE3581" s="128"/>
      <c r="BF3581" s="128"/>
      <c r="BG3581" s="128"/>
      <c r="BH3581" s="128"/>
      <c r="BI3581" s="128"/>
      <c r="BJ3581" s="128"/>
      <c r="BK3581" s="128"/>
      <c r="BL3581" s="128"/>
      <c r="BM3581" s="151"/>
      <c r="BN3581" s="128"/>
      <c r="BO3581" s="128"/>
      <c r="BP3581" s="128"/>
      <c r="BQ3581" s="128"/>
      <c r="BR3581" s="128"/>
      <c r="BS3581" s="128"/>
      <c r="BT3581" s="128"/>
      <c r="BU3581" s="128"/>
      <c r="BV3581" s="128"/>
      <c r="BW3581" s="128"/>
      <c r="BX3581" s="128"/>
      <c r="BY3581" s="128"/>
      <c r="BZ3581" s="128"/>
      <c r="CA3581" s="128"/>
      <c r="CB3581" s="128"/>
      <c r="CC3581" s="128"/>
      <c r="CD3581" s="128"/>
      <c r="CE3581" s="128"/>
      <c r="CF3581" s="128"/>
      <c r="CG3581" s="128"/>
      <c r="CI3581" s="128"/>
      <c r="CJ3581" s="128"/>
      <c r="CK3581" s="128"/>
      <c r="CL3581" s="128"/>
      <c r="CM3581" s="128"/>
      <c r="CN3581" s="128"/>
      <c r="CO3581" s="128"/>
      <c r="CP3581" s="128"/>
      <c r="CQ3581" s="128"/>
      <c r="CR3581" s="128"/>
      <c r="CS3581" s="128"/>
      <c r="CT3581" s="128"/>
      <c r="CU3581" s="128"/>
      <c r="CV3581" s="128"/>
      <c r="CW3581" s="128"/>
      <c r="CX3581" s="128"/>
      <c r="CY3581" s="128"/>
      <c r="CZ3581" s="165"/>
    </row>
    <row r="3582" spans="1:104">
      <c r="A3582" s="149"/>
      <c r="B3582" s="149"/>
      <c r="C3582" s="150"/>
      <c r="D3582" s="102"/>
      <c r="E3582" s="149"/>
      <c r="F3582" s="149"/>
      <c r="G3582" s="149"/>
      <c r="H3582" s="149"/>
      <c r="I3582" s="149"/>
      <c r="J3582" s="149"/>
      <c r="K3582" s="149"/>
      <c r="L3582" s="149"/>
      <c r="M3582" s="149"/>
      <c r="N3582" s="149"/>
      <c r="O3582" s="149"/>
      <c r="P3582" s="149"/>
      <c r="Q3582" s="149"/>
      <c r="R3582" s="149"/>
      <c r="S3582" s="149"/>
      <c r="T3582" s="149"/>
      <c r="U3582" s="149"/>
      <c r="V3582" s="149"/>
      <c r="W3582" s="149"/>
      <c r="X3582" s="149"/>
      <c r="Y3582" s="149"/>
      <c r="Z3582" s="149"/>
      <c r="AA3582" s="149"/>
      <c r="AB3582" s="149"/>
      <c r="AC3582" s="149"/>
      <c r="AD3582" s="149"/>
      <c r="AE3582" s="149"/>
      <c r="AF3582" s="149"/>
      <c r="AG3582" s="149"/>
      <c r="AH3582" s="149"/>
      <c r="AI3582" s="149"/>
      <c r="AJ3582" s="149"/>
      <c r="AK3582" s="149"/>
      <c r="AL3582" s="149"/>
      <c r="AM3582" s="149"/>
      <c r="AN3582" s="149"/>
      <c r="AO3582" s="128"/>
      <c r="AP3582" s="128"/>
      <c r="AQ3582" s="128"/>
      <c r="AR3582" s="128"/>
      <c r="AS3582" s="128"/>
      <c r="AT3582" s="128"/>
      <c r="AU3582" s="128"/>
      <c r="AV3582" s="128"/>
      <c r="AW3582" s="128"/>
      <c r="AX3582" s="128"/>
      <c r="AY3582" s="128"/>
      <c r="AZ3582" s="128"/>
      <c r="BA3582" s="128"/>
      <c r="BB3582" s="128"/>
      <c r="BC3582" s="128"/>
      <c r="BD3582" s="128"/>
      <c r="BE3582" s="128"/>
      <c r="BF3582" s="128"/>
      <c r="BG3582" s="128"/>
      <c r="BH3582" s="128"/>
      <c r="BI3582" s="128"/>
      <c r="BJ3582" s="128"/>
      <c r="BK3582" s="128"/>
      <c r="BL3582" s="128"/>
      <c r="BM3582" s="151"/>
      <c r="BN3582" s="128"/>
      <c r="BO3582" s="128"/>
      <c r="BP3582" s="128"/>
      <c r="BQ3582" s="128"/>
      <c r="BR3582" s="128"/>
      <c r="BS3582" s="128"/>
      <c r="BT3582" s="128"/>
      <c r="BU3582" s="128"/>
      <c r="BV3582" s="128"/>
      <c r="BW3582" s="128"/>
      <c r="BX3582" s="128"/>
      <c r="BY3582" s="128"/>
      <c r="BZ3582" s="128"/>
      <c r="CA3582" s="128"/>
      <c r="CB3582" s="128"/>
      <c r="CC3582" s="128"/>
      <c r="CD3582" s="128"/>
      <c r="CE3582" s="128"/>
      <c r="CF3582" s="128"/>
      <c r="CG3582" s="128"/>
      <c r="CI3582" s="128"/>
      <c r="CJ3582" s="128"/>
      <c r="CK3582" s="128"/>
      <c r="CL3582" s="128"/>
      <c r="CM3582" s="128"/>
      <c r="CN3582" s="128"/>
      <c r="CO3582" s="128"/>
      <c r="CP3582" s="128"/>
      <c r="CQ3582" s="128"/>
      <c r="CR3582" s="128"/>
      <c r="CS3582" s="128"/>
      <c r="CT3582" s="128"/>
      <c r="CU3582" s="128"/>
      <c r="CV3582" s="128"/>
      <c r="CW3582" s="128"/>
      <c r="CX3582" s="128"/>
      <c r="CY3582" s="128"/>
      <c r="CZ3582" s="165"/>
    </row>
    <row r="3583" spans="1:104">
      <c r="A3583" s="149"/>
      <c r="B3583" s="149"/>
      <c r="C3583" s="150"/>
      <c r="D3583" s="102"/>
      <c r="E3583" s="149"/>
      <c r="F3583" s="149"/>
      <c r="G3583" s="149"/>
      <c r="H3583" s="149"/>
      <c r="I3583" s="149"/>
      <c r="J3583" s="149"/>
      <c r="K3583" s="149"/>
      <c r="L3583" s="149"/>
      <c r="M3583" s="149"/>
      <c r="N3583" s="149"/>
      <c r="O3583" s="149"/>
      <c r="P3583" s="149"/>
      <c r="Q3583" s="149"/>
      <c r="R3583" s="149"/>
      <c r="S3583" s="149"/>
      <c r="T3583" s="149"/>
      <c r="U3583" s="149"/>
      <c r="V3583" s="149"/>
      <c r="W3583" s="149"/>
      <c r="X3583" s="149"/>
      <c r="Y3583" s="149"/>
      <c r="Z3583" s="149"/>
      <c r="AA3583" s="149"/>
      <c r="AB3583" s="149"/>
      <c r="AC3583" s="149"/>
      <c r="AD3583" s="149"/>
      <c r="AE3583" s="149"/>
      <c r="AF3583" s="149"/>
      <c r="AG3583" s="149"/>
      <c r="AH3583" s="149"/>
      <c r="AI3583" s="149"/>
      <c r="AJ3583" s="149"/>
      <c r="AK3583" s="149"/>
      <c r="AL3583" s="149"/>
      <c r="AM3583" s="149"/>
      <c r="AN3583" s="149"/>
      <c r="AO3583" s="128"/>
      <c r="AP3583" s="128"/>
      <c r="AQ3583" s="128"/>
      <c r="AR3583" s="128"/>
      <c r="AS3583" s="128"/>
      <c r="AT3583" s="128"/>
      <c r="AU3583" s="128"/>
      <c r="AV3583" s="128"/>
      <c r="AW3583" s="128"/>
      <c r="AX3583" s="128"/>
      <c r="AY3583" s="128"/>
      <c r="AZ3583" s="128"/>
      <c r="BA3583" s="128"/>
      <c r="BB3583" s="128"/>
      <c r="BC3583" s="128"/>
      <c r="BD3583" s="128"/>
      <c r="BE3583" s="128"/>
      <c r="BF3583" s="128"/>
      <c r="BG3583" s="128"/>
      <c r="BH3583" s="128"/>
      <c r="BI3583" s="128"/>
      <c r="BJ3583" s="128"/>
      <c r="BK3583" s="128"/>
      <c r="BL3583" s="128"/>
      <c r="BM3583" s="151"/>
      <c r="BN3583" s="128"/>
      <c r="BO3583" s="128"/>
      <c r="BP3583" s="128"/>
      <c r="BQ3583" s="128"/>
      <c r="BR3583" s="128"/>
      <c r="BS3583" s="128"/>
      <c r="BT3583" s="128"/>
      <c r="BU3583" s="128"/>
      <c r="BV3583" s="128"/>
      <c r="BW3583" s="128"/>
      <c r="BX3583" s="128"/>
      <c r="BY3583" s="128"/>
      <c r="BZ3583" s="128"/>
      <c r="CA3583" s="128"/>
      <c r="CB3583" s="128"/>
      <c r="CC3583" s="128"/>
      <c r="CD3583" s="128"/>
      <c r="CE3583" s="128"/>
      <c r="CF3583" s="128"/>
      <c r="CG3583" s="128"/>
      <c r="CI3583" s="128"/>
      <c r="CJ3583" s="128"/>
      <c r="CK3583" s="128"/>
      <c r="CL3583" s="128"/>
      <c r="CM3583" s="128"/>
      <c r="CN3583" s="128"/>
      <c r="CO3583" s="128"/>
      <c r="CP3583" s="128"/>
      <c r="CQ3583" s="128"/>
      <c r="CR3583" s="128"/>
      <c r="CS3583" s="128"/>
      <c r="CT3583" s="128"/>
      <c r="CU3583" s="128"/>
      <c r="CV3583" s="128"/>
      <c r="CW3583" s="128"/>
      <c r="CX3583" s="128"/>
      <c r="CY3583" s="128"/>
      <c r="CZ3583" s="165"/>
    </row>
    <row r="3584" spans="1:104">
      <c r="A3584" s="149"/>
      <c r="B3584" s="149"/>
      <c r="C3584" s="150"/>
      <c r="D3584" s="102"/>
      <c r="E3584" s="149"/>
      <c r="F3584" s="149"/>
      <c r="G3584" s="149"/>
      <c r="H3584" s="149"/>
      <c r="I3584" s="149"/>
      <c r="J3584" s="149"/>
      <c r="K3584" s="149"/>
      <c r="L3584" s="149"/>
      <c r="M3584" s="149"/>
      <c r="N3584" s="149"/>
      <c r="O3584" s="149"/>
      <c r="P3584" s="149"/>
      <c r="Q3584" s="149"/>
      <c r="R3584" s="149"/>
      <c r="S3584" s="149"/>
      <c r="T3584" s="149"/>
      <c r="U3584" s="149"/>
      <c r="V3584" s="149"/>
      <c r="W3584" s="149"/>
      <c r="X3584" s="149"/>
      <c r="Y3584" s="149"/>
      <c r="Z3584" s="149"/>
      <c r="AA3584" s="149"/>
      <c r="AB3584" s="149"/>
      <c r="AC3584" s="149"/>
      <c r="AD3584" s="149"/>
      <c r="AE3584" s="149"/>
      <c r="AF3584" s="149"/>
      <c r="AG3584" s="149"/>
      <c r="AH3584" s="149"/>
      <c r="AI3584" s="149"/>
      <c r="AJ3584" s="149"/>
      <c r="AK3584" s="149"/>
      <c r="AL3584" s="149"/>
      <c r="AM3584" s="149"/>
      <c r="AN3584" s="149"/>
      <c r="AO3584" s="128"/>
      <c r="AP3584" s="128"/>
      <c r="AQ3584" s="128"/>
      <c r="AR3584" s="128"/>
      <c r="AS3584" s="128"/>
      <c r="AT3584" s="128"/>
      <c r="AU3584" s="128"/>
      <c r="AV3584" s="128"/>
      <c r="AW3584" s="128"/>
      <c r="AX3584" s="128"/>
      <c r="AY3584" s="128"/>
      <c r="AZ3584" s="128"/>
      <c r="BA3584" s="128"/>
      <c r="BB3584" s="128"/>
      <c r="BC3584" s="128"/>
      <c r="BD3584" s="128"/>
      <c r="BE3584" s="128"/>
      <c r="BF3584" s="128"/>
      <c r="BG3584" s="128"/>
      <c r="BH3584" s="128"/>
      <c r="BI3584" s="128"/>
      <c r="BJ3584" s="128"/>
      <c r="BK3584" s="128"/>
      <c r="BL3584" s="128"/>
      <c r="BM3584" s="151"/>
      <c r="BN3584" s="128"/>
      <c r="BO3584" s="128"/>
      <c r="BP3584" s="128"/>
      <c r="BQ3584" s="128"/>
      <c r="BR3584" s="128"/>
      <c r="BS3584" s="128"/>
      <c r="BT3584" s="128"/>
      <c r="BU3584" s="128"/>
      <c r="BV3584" s="128"/>
      <c r="BW3584" s="128"/>
      <c r="BX3584" s="128"/>
      <c r="BY3584" s="128"/>
      <c r="BZ3584" s="128"/>
      <c r="CA3584" s="128"/>
      <c r="CB3584" s="128"/>
      <c r="CC3584" s="128"/>
      <c r="CD3584" s="128"/>
      <c r="CE3584" s="128"/>
      <c r="CF3584" s="128"/>
      <c r="CG3584" s="128"/>
      <c r="CI3584" s="128"/>
      <c r="CJ3584" s="128"/>
      <c r="CK3584" s="128"/>
      <c r="CL3584" s="128"/>
      <c r="CM3584" s="128"/>
      <c r="CN3584" s="128"/>
      <c r="CO3584" s="128"/>
      <c r="CP3584" s="128"/>
      <c r="CQ3584" s="128"/>
      <c r="CR3584" s="128"/>
      <c r="CS3584" s="128"/>
      <c r="CT3584" s="128"/>
      <c r="CU3584" s="128"/>
      <c r="CV3584" s="128"/>
      <c r="CW3584" s="128"/>
      <c r="CX3584" s="128"/>
      <c r="CY3584" s="128"/>
      <c r="CZ3584" s="165"/>
    </row>
    <row r="3585" spans="1:104">
      <c r="A3585" s="149"/>
      <c r="B3585" s="149"/>
      <c r="C3585" s="150"/>
      <c r="D3585" s="102"/>
      <c r="E3585" s="149"/>
      <c r="F3585" s="149"/>
      <c r="G3585" s="149"/>
      <c r="H3585" s="149"/>
      <c r="I3585" s="149"/>
      <c r="J3585" s="149"/>
      <c r="K3585" s="149"/>
      <c r="L3585" s="149"/>
      <c r="M3585" s="149"/>
      <c r="N3585" s="149"/>
      <c r="O3585" s="149"/>
      <c r="P3585" s="149"/>
      <c r="Q3585" s="149"/>
      <c r="R3585" s="149"/>
      <c r="S3585" s="149"/>
      <c r="T3585" s="149"/>
      <c r="U3585" s="149"/>
      <c r="V3585" s="149"/>
      <c r="W3585" s="149"/>
      <c r="X3585" s="149"/>
      <c r="Y3585" s="149"/>
      <c r="Z3585" s="149"/>
      <c r="AA3585" s="149"/>
      <c r="AB3585" s="149"/>
      <c r="AC3585" s="149"/>
      <c r="AD3585" s="149"/>
      <c r="AE3585" s="149"/>
      <c r="AF3585" s="149"/>
      <c r="AG3585" s="149"/>
      <c r="AH3585" s="149"/>
      <c r="AI3585" s="149"/>
      <c r="AJ3585" s="149"/>
      <c r="AK3585" s="149"/>
      <c r="AL3585" s="149"/>
      <c r="AM3585" s="149"/>
      <c r="AN3585" s="149"/>
      <c r="AO3585" s="128"/>
      <c r="AP3585" s="128"/>
      <c r="AQ3585" s="128"/>
      <c r="AR3585" s="128"/>
      <c r="AS3585" s="128"/>
      <c r="AT3585" s="128"/>
      <c r="AU3585" s="128"/>
      <c r="AV3585" s="128"/>
      <c r="AW3585" s="128"/>
      <c r="AX3585" s="128"/>
      <c r="AY3585" s="128"/>
      <c r="AZ3585" s="128"/>
      <c r="BA3585" s="128"/>
      <c r="BB3585" s="128"/>
      <c r="BC3585" s="128"/>
      <c r="BD3585" s="128"/>
      <c r="BE3585" s="128"/>
      <c r="BF3585" s="128"/>
      <c r="BG3585" s="128"/>
      <c r="BH3585" s="128"/>
      <c r="BI3585" s="128"/>
      <c r="BJ3585" s="128"/>
      <c r="BK3585" s="128"/>
      <c r="BL3585" s="128"/>
      <c r="BM3585" s="151"/>
      <c r="BN3585" s="128"/>
      <c r="BO3585" s="128"/>
      <c r="BP3585" s="128"/>
      <c r="BQ3585" s="128"/>
      <c r="BR3585" s="128"/>
      <c r="BS3585" s="128"/>
      <c r="BT3585" s="128"/>
      <c r="BU3585" s="128"/>
      <c r="BV3585" s="128"/>
      <c r="BW3585" s="128"/>
      <c r="BX3585" s="128"/>
      <c r="BY3585" s="128"/>
      <c r="BZ3585" s="128"/>
      <c r="CA3585" s="128"/>
      <c r="CB3585" s="128"/>
      <c r="CC3585" s="128"/>
      <c r="CD3585" s="128"/>
      <c r="CE3585" s="128"/>
      <c r="CF3585" s="128"/>
      <c r="CG3585" s="128"/>
      <c r="CI3585" s="128"/>
      <c r="CJ3585" s="128"/>
      <c r="CK3585" s="128"/>
      <c r="CL3585" s="128"/>
      <c r="CM3585" s="128"/>
      <c r="CN3585" s="128"/>
      <c r="CO3585" s="128"/>
      <c r="CP3585" s="128"/>
      <c r="CQ3585" s="128"/>
      <c r="CR3585" s="128"/>
      <c r="CS3585" s="128"/>
      <c r="CT3585" s="128"/>
      <c r="CU3585" s="128"/>
      <c r="CV3585" s="128"/>
      <c r="CW3585" s="128"/>
      <c r="CX3585" s="128"/>
      <c r="CY3585" s="128"/>
      <c r="CZ3585" s="165"/>
    </row>
    <row r="3586" spans="1:104">
      <c r="A3586" s="149"/>
      <c r="B3586" s="149"/>
      <c r="C3586" s="150"/>
      <c r="D3586" s="102"/>
      <c r="E3586" s="149"/>
      <c r="F3586" s="149"/>
      <c r="G3586" s="149"/>
      <c r="H3586" s="149"/>
      <c r="I3586" s="149"/>
      <c r="J3586" s="149"/>
      <c r="K3586" s="149"/>
      <c r="L3586" s="149"/>
      <c r="M3586" s="149"/>
      <c r="N3586" s="149"/>
      <c r="O3586" s="149"/>
      <c r="P3586" s="149"/>
      <c r="Q3586" s="149"/>
      <c r="R3586" s="149"/>
      <c r="S3586" s="149"/>
      <c r="T3586" s="149"/>
      <c r="U3586" s="149"/>
      <c r="V3586" s="149"/>
      <c r="W3586" s="149"/>
      <c r="X3586" s="149"/>
      <c r="Y3586" s="149"/>
      <c r="Z3586" s="149"/>
      <c r="AA3586" s="149"/>
      <c r="AB3586" s="149"/>
      <c r="AC3586" s="149"/>
      <c r="AD3586" s="149"/>
      <c r="AE3586" s="149"/>
      <c r="AF3586" s="149"/>
      <c r="AG3586" s="149"/>
      <c r="AH3586" s="149"/>
      <c r="AI3586" s="149"/>
      <c r="AJ3586" s="149"/>
      <c r="AK3586" s="149"/>
      <c r="AL3586" s="149"/>
      <c r="AM3586" s="149"/>
      <c r="AN3586" s="149"/>
      <c r="AO3586" s="128"/>
      <c r="AP3586" s="128"/>
      <c r="AQ3586" s="128"/>
      <c r="AR3586" s="128"/>
      <c r="AS3586" s="128"/>
      <c r="AT3586" s="128"/>
      <c r="AU3586" s="128"/>
      <c r="AV3586" s="128"/>
      <c r="AW3586" s="128"/>
      <c r="AX3586" s="128"/>
      <c r="AY3586" s="128"/>
      <c r="AZ3586" s="128"/>
      <c r="BA3586" s="128"/>
      <c r="BB3586" s="128"/>
      <c r="BC3586" s="128"/>
      <c r="BD3586" s="128"/>
      <c r="BE3586" s="128"/>
      <c r="BF3586" s="128"/>
      <c r="BG3586" s="128"/>
      <c r="BH3586" s="128"/>
      <c r="BI3586" s="128"/>
      <c r="BJ3586" s="128"/>
      <c r="BK3586" s="128"/>
      <c r="BL3586" s="128"/>
      <c r="BM3586" s="151"/>
      <c r="BN3586" s="128"/>
      <c r="BO3586" s="128"/>
      <c r="BP3586" s="128"/>
      <c r="BQ3586" s="128"/>
      <c r="BR3586" s="128"/>
      <c r="BS3586" s="128"/>
      <c r="BT3586" s="128"/>
      <c r="BU3586" s="128"/>
      <c r="BV3586" s="128"/>
      <c r="BW3586" s="128"/>
      <c r="BX3586" s="128"/>
      <c r="BY3586" s="128"/>
      <c r="BZ3586" s="128"/>
      <c r="CA3586" s="128"/>
      <c r="CB3586" s="128"/>
      <c r="CC3586" s="128"/>
      <c r="CD3586" s="128"/>
      <c r="CE3586" s="128"/>
      <c r="CF3586" s="128"/>
      <c r="CG3586" s="128"/>
      <c r="CI3586" s="128"/>
      <c r="CJ3586" s="128"/>
      <c r="CK3586" s="128"/>
      <c r="CL3586" s="128"/>
      <c r="CM3586" s="128"/>
      <c r="CN3586" s="128"/>
      <c r="CO3586" s="128"/>
      <c r="CP3586" s="128"/>
      <c r="CQ3586" s="128"/>
      <c r="CR3586" s="128"/>
      <c r="CS3586" s="128"/>
      <c r="CT3586" s="128"/>
      <c r="CU3586" s="128"/>
      <c r="CV3586" s="128"/>
      <c r="CW3586" s="128"/>
      <c r="CX3586" s="128"/>
      <c r="CY3586" s="128"/>
      <c r="CZ3586" s="165"/>
    </row>
    <row r="3587" spans="1:104">
      <c r="A3587" s="149"/>
      <c r="B3587" s="149"/>
      <c r="C3587" s="150"/>
      <c r="D3587" s="102"/>
      <c r="E3587" s="149"/>
      <c r="F3587" s="149"/>
      <c r="G3587" s="149"/>
      <c r="H3587" s="149"/>
      <c r="I3587" s="149"/>
      <c r="J3587" s="149"/>
      <c r="K3587" s="149"/>
      <c r="L3587" s="149"/>
      <c r="M3587" s="149"/>
      <c r="N3587" s="149"/>
      <c r="O3587" s="149"/>
      <c r="P3587" s="149"/>
      <c r="Q3587" s="149"/>
      <c r="R3587" s="149"/>
      <c r="S3587" s="149"/>
      <c r="T3587" s="149"/>
      <c r="U3587" s="149"/>
      <c r="V3587" s="149"/>
      <c r="W3587" s="149"/>
      <c r="X3587" s="149"/>
      <c r="Y3587" s="149"/>
      <c r="Z3587" s="149"/>
      <c r="AA3587" s="149"/>
      <c r="AB3587" s="149"/>
      <c r="AC3587" s="149"/>
      <c r="AD3587" s="149"/>
      <c r="AE3587" s="149"/>
      <c r="AF3587" s="149"/>
      <c r="AG3587" s="149"/>
      <c r="AH3587" s="149"/>
      <c r="AI3587" s="149"/>
      <c r="AJ3587" s="149"/>
      <c r="AK3587" s="149"/>
      <c r="AL3587" s="149"/>
      <c r="AM3587" s="149"/>
      <c r="AN3587" s="149"/>
      <c r="AO3587" s="128"/>
      <c r="AP3587" s="128"/>
      <c r="AQ3587" s="128"/>
      <c r="AR3587" s="128"/>
      <c r="AS3587" s="128"/>
      <c r="AT3587" s="128"/>
      <c r="AU3587" s="128"/>
      <c r="AV3587" s="128"/>
      <c r="AW3587" s="128"/>
      <c r="AX3587" s="128"/>
      <c r="AY3587" s="128"/>
      <c r="AZ3587" s="128"/>
      <c r="BA3587" s="128"/>
      <c r="BB3587" s="128"/>
      <c r="BC3587" s="128"/>
      <c r="BD3587" s="128"/>
      <c r="BE3587" s="128"/>
      <c r="BF3587" s="128"/>
      <c r="BG3587" s="128"/>
      <c r="BH3587" s="128"/>
      <c r="BI3587" s="128"/>
      <c r="BJ3587" s="128"/>
      <c r="BK3587" s="128"/>
      <c r="BL3587" s="128"/>
      <c r="BM3587" s="151"/>
      <c r="BN3587" s="128"/>
      <c r="BO3587" s="128"/>
      <c r="BP3587" s="128"/>
      <c r="BQ3587" s="128"/>
      <c r="BR3587" s="128"/>
      <c r="BS3587" s="128"/>
      <c r="BT3587" s="128"/>
      <c r="BU3587" s="128"/>
      <c r="BV3587" s="128"/>
      <c r="BW3587" s="128"/>
      <c r="BX3587" s="128"/>
      <c r="BY3587" s="128"/>
      <c r="BZ3587" s="128"/>
      <c r="CA3587" s="128"/>
      <c r="CB3587" s="128"/>
      <c r="CC3587" s="128"/>
      <c r="CD3587" s="128"/>
      <c r="CE3587" s="128"/>
      <c r="CF3587" s="128"/>
      <c r="CG3587" s="128"/>
      <c r="CI3587" s="128"/>
      <c r="CJ3587" s="128"/>
      <c r="CK3587" s="128"/>
      <c r="CL3587" s="128"/>
      <c r="CM3587" s="128"/>
      <c r="CN3587" s="128"/>
      <c r="CO3587" s="128"/>
      <c r="CP3587" s="128"/>
      <c r="CQ3587" s="128"/>
      <c r="CR3587" s="128"/>
      <c r="CS3587" s="128"/>
      <c r="CT3587" s="128"/>
      <c r="CU3587" s="128"/>
      <c r="CV3587" s="128"/>
      <c r="CW3587" s="128"/>
      <c r="CX3587" s="128"/>
      <c r="CY3587" s="128"/>
      <c r="CZ3587" s="165"/>
    </row>
    <row r="3588" spans="1:104">
      <c r="A3588" s="149"/>
      <c r="B3588" s="149"/>
      <c r="C3588" s="150"/>
      <c r="D3588" s="102"/>
      <c r="E3588" s="149"/>
      <c r="F3588" s="149"/>
      <c r="G3588" s="149"/>
      <c r="H3588" s="149"/>
      <c r="I3588" s="149"/>
      <c r="J3588" s="149"/>
      <c r="K3588" s="149"/>
      <c r="L3588" s="149"/>
      <c r="M3588" s="149"/>
      <c r="N3588" s="149"/>
      <c r="O3588" s="149"/>
      <c r="P3588" s="149"/>
      <c r="Q3588" s="149"/>
      <c r="R3588" s="149"/>
      <c r="S3588" s="149"/>
      <c r="T3588" s="149"/>
      <c r="U3588" s="149"/>
      <c r="V3588" s="149"/>
      <c r="W3588" s="149"/>
      <c r="X3588" s="149"/>
      <c r="Y3588" s="149"/>
      <c r="Z3588" s="149"/>
      <c r="AA3588" s="149"/>
      <c r="AB3588" s="149"/>
      <c r="AC3588" s="149"/>
      <c r="AD3588" s="149"/>
      <c r="AE3588" s="149"/>
      <c r="AF3588" s="149"/>
      <c r="AG3588" s="149"/>
      <c r="AH3588" s="149"/>
      <c r="AI3588" s="149"/>
      <c r="AJ3588" s="149"/>
      <c r="AK3588" s="149"/>
      <c r="AL3588" s="149"/>
      <c r="AM3588" s="149"/>
      <c r="AN3588" s="149"/>
      <c r="AO3588" s="128"/>
      <c r="AP3588" s="128"/>
      <c r="AQ3588" s="128"/>
      <c r="AR3588" s="128"/>
      <c r="AS3588" s="128"/>
      <c r="AT3588" s="128"/>
      <c r="AU3588" s="128"/>
      <c r="AV3588" s="128"/>
      <c r="AW3588" s="128"/>
      <c r="AX3588" s="128"/>
      <c r="AY3588" s="128"/>
      <c r="AZ3588" s="128"/>
      <c r="BA3588" s="128"/>
      <c r="BB3588" s="128"/>
      <c r="BC3588" s="128"/>
      <c r="BD3588" s="128"/>
      <c r="BE3588" s="128"/>
      <c r="BF3588" s="128"/>
      <c r="BG3588" s="128"/>
      <c r="BH3588" s="128"/>
      <c r="BI3588" s="128"/>
      <c r="BJ3588" s="128"/>
      <c r="BK3588" s="128"/>
      <c r="BL3588" s="128"/>
      <c r="BM3588" s="151"/>
      <c r="BN3588" s="128"/>
      <c r="BO3588" s="128"/>
      <c r="BP3588" s="128"/>
      <c r="BQ3588" s="128"/>
      <c r="BR3588" s="128"/>
      <c r="BS3588" s="128"/>
      <c r="BT3588" s="128"/>
      <c r="BU3588" s="128"/>
      <c r="BV3588" s="128"/>
      <c r="BW3588" s="128"/>
      <c r="BX3588" s="128"/>
      <c r="BY3588" s="128"/>
      <c r="BZ3588" s="128"/>
      <c r="CA3588" s="128"/>
      <c r="CB3588" s="128"/>
      <c r="CC3588" s="128"/>
      <c r="CD3588" s="128"/>
      <c r="CE3588" s="128"/>
      <c r="CF3588" s="128"/>
      <c r="CG3588" s="128"/>
      <c r="CI3588" s="128"/>
      <c r="CJ3588" s="128"/>
      <c r="CK3588" s="128"/>
      <c r="CL3588" s="128"/>
      <c r="CM3588" s="128"/>
      <c r="CN3588" s="128"/>
      <c r="CO3588" s="128"/>
      <c r="CP3588" s="128"/>
      <c r="CQ3588" s="128"/>
      <c r="CR3588" s="128"/>
      <c r="CS3588" s="128"/>
      <c r="CT3588" s="128"/>
      <c r="CU3588" s="128"/>
      <c r="CV3588" s="128"/>
      <c r="CW3588" s="128"/>
      <c r="CX3588" s="128"/>
      <c r="CY3588" s="128"/>
      <c r="CZ3588" s="165"/>
    </row>
    <row r="3589" spans="1:104">
      <c r="A3589" s="149"/>
      <c r="B3589" s="149"/>
      <c r="C3589" s="150"/>
      <c r="D3589" s="102"/>
      <c r="E3589" s="149"/>
      <c r="F3589" s="149"/>
      <c r="G3589" s="149"/>
      <c r="H3589" s="149"/>
      <c r="I3589" s="149"/>
      <c r="J3589" s="149"/>
      <c r="K3589" s="149"/>
      <c r="L3589" s="149"/>
      <c r="M3589" s="149"/>
      <c r="N3589" s="149"/>
      <c r="O3589" s="149"/>
      <c r="P3589" s="149"/>
      <c r="Q3589" s="149"/>
      <c r="R3589" s="149"/>
      <c r="S3589" s="149"/>
      <c r="T3589" s="149"/>
      <c r="U3589" s="149"/>
      <c r="V3589" s="149"/>
      <c r="W3589" s="149"/>
      <c r="X3589" s="149"/>
      <c r="Y3589" s="149"/>
      <c r="Z3589" s="149"/>
      <c r="AA3589" s="149"/>
      <c r="AB3589" s="149"/>
      <c r="AC3589" s="149"/>
      <c r="AD3589" s="149"/>
      <c r="AE3589" s="149"/>
      <c r="AF3589" s="149"/>
      <c r="AG3589" s="149"/>
      <c r="AH3589" s="149"/>
      <c r="AI3589" s="149"/>
      <c r="AJ3589" s="149"/>
      <c r="AK3589" s="149"/>
      <c r="AL3589" s="149"/>
      <c r="AM3589" s="149"/>
      <c r="AN3589" s="149"/>
      <c r="AO3589" s="128"/>
      <c r="AP3589" s="128"/>
      <c r="AQ3589" s="128"/>
      <c r="AR3589" s="128"/>
      <c r="AS3589" s="128"/>
      <c r="AT3589" s="128"/>
      <c r="AU3589" s="128"/>
      <c r="AV3589" s="128"/>
      <c r="AW3589" s="128"/>
      <c r="AX3589" s="128"/>
      <c r="AY3589" s="128"/>
      <c r="AZ3589" s="128"/>
      <c r="BA3589" s="128"/>
      <c r="BB3589" s="128"/>
      <c r="BC3589" s="128"/>
      <c r="BD3589" s="128"/>
      <c r="BE3589" s="128"/>
      <c r="BF3589" s="128"/>
      <c r="BG3589" s="128"/>
      <c r="BH3589" s="128"/>
      <c r="BI3589" s="128"/>
      <c r="BJ3589" s="128"/>
      <c r="BK3589" s="128"/>
      <c r="BL3589" s="128"/>
      <c r="BM3589" s="151"/>
      <c r="BN3589" s="128"/>
      <c r="BO3589" s="128"/>
      <c r="BP3589" s="128"/>
      <c r="BQ3589" s="128"/>
      <c r="BR3589" s="128"/>
      <c r="BS3589" s="128"/>
      <c r="BT3589" s="128"/>
      <c r="BU3589" s="128"/>
      <c r="BV3589" s="128"/>
      <c r="BW3589" s="128"/>
      <c r="BX3589" s="128"/>
      <c r="BY3589" s="128"/>
      <c r="BZ3589" s="128"/>
      <c r="CA3589" s="128"/>
      <c r="CB3589" s="128"/>
      <c r="CC3589" s="128"/>
      <c r="CD3589" s="128"/>
      <c r="CE3589" s="128"/>
      <c r="CF3589" s="128"/>
      <c r="CG3589" s="128"/>
      <c r="CI3589" s="128"/>
      <c r="CJ3589" s="128"/>
      <c r="CK3589" s="128"/>
      <c r="CL3589" s="128"/>
      <c r="CM3589" s="128"/>
      <c r="CN3589" s="128"/>
      <c r="CO3589" s="128"/>
      <c r="CP3589" s="128"/>
      <c r="CQ3589" s="128"/>
      <c r="CR3589" s="128"/>
      <c r="CS3589" s="128"/>
      <c r="CT3589" s="128"/>
      <c r="CU3589" s="128"/>
      <c r="CV3589" s="128"/>
      <c r="CW3589" s="128"/>
      <c r="CX3589" s="128"/>
      <c r="CY3589" s="128"/>
      <c r="CZ3589" s="165"/>
    </row>
    <row r="3590" spans="1:104">
      <c r="A3590" s="149"/>
      <c r="B3590" s="149"/>
      <c r="C3590" s="150"/>
      <c r="D3590" s="102"/>
      <c r="E3590" s="149"/>
      <c r="F3590" s="149"/>
      <c r="G3590" s="149"/>
      <c r="H3590" s="149"/>
      <c r="I3590" s="149"/>
      <c r="J3590" s="149"/>
      <c r="K3590" s="149"/>
      <c r="L3590" s="149"/>
      <c r="M3590" s="149"/>
      <c r="N3590" s="149"/>
      <c r="O3590" s="149"/>
      <c r="P3590" s="149"/>
      <c r="Q3590" s="149"/>
      <c r="R3590" s="149"/>
      <c r="S3590" s="149"/>
      <c r="T3590" s="149"/>
      <c r="U3590" s="149"/>
      <c r="V3590" s="149"/>
      <c r="W3590" s="149"/>
      <c r="X3590" s="149"/>
      <c r="Y3590" s="149"/>
      <c r="Z3590" s="149"/>
      <c r="AA3590" s="149"/>
      <c r="AB3590" s="149"/>
      <c r="AC3590" s="149"/>
      <c r="AD3590" s="149"/>
      <c r="AE3590" s="149"/>
      <c r="AF3590" s="149"/>
      <c r="AG3590" s="149"/>
      <c r="AH3590" s="149"/>
      <c r="AI3590" s="149"/>
      <c r="AJ3590" s="149"/>
      <c r="AK3590" s="149"/>
      <c r="AL3590" s="149"/>
      <c r="AM3590" s="149"/>
      <c r="AN3590" s="149"/>
      <c r="AO3590" s="128"/>
      <c r="AP3590" s="128"/>
      <c r="AQ3590" s="128"/>
      <c r="AR3590" s="128"/>
      <c r="AS3590" s="128"/>
      <c r="AT3590" s="128"/>
      <c r="AU3590" s="128"/>
      <c r="AV3590" s="128"/>
      <c r="AW3590" s="128"/>
      <c r="AX3590" s="128"/>
      <c r="AY3590" s="128"/>
      <c r="AZ3590" s="128"/>
      <c r="BA3590" s="128"/>
      <c r="BB3590" s="128"/>
      <c r="BC3590" s="128"/>
      <c r="BD3590" s="128"/>
      <c r="BE3590" s="128"/>
      <c r="BF3590" s="128"/>
      <c r="BG3590" s="128"/>
      <c r="BH3590" s="128"/>
      <c r="BI3590" s="128"/>
      <c r="BJ3590" s="128"/>
      <c r="BK3590" s="128"/>
      <c r="BL3590" s="128"/>
      <c r="BM3590" s="151"/>
      <c r="BN3590" s="128"/>
      <c r="BO3590" s="128"/>
      <c r="BP3590" s="128"/>
      <c r="BQ3590" s="128"/>
      <c r="BR3590" s="128"/>
      <c r="BS3590" s="128"/>
      <c r="BT3590" s="128"/>
      <c r="BU3590" s="128"/>
      <c r="BV3590" s="128"/>
      <c r="BW3590" s="128"/>
      <c r="BX3590" s="128"/>
      <c r="BY3590" s="128"/>
      <c r="BZ3590" s="128"/>
      <c r="CA3590" s="128"/>
      <c r="CB3590" s="128"/>
      <c r="CC3590" s="128"/>
      <c r="CD3590" s="128"/>
      <c r="CE3590" s="128"/>
      <c r="CF3590" s="128"/>
      <c r="CG3590" s="128"/>
      <c r="CI3590" s="128"/>
      <c r="CJ3590" s="128"/>
      <c r="CK3590" s="128"/>
      <c r="CL3590" s="128"/>
      <c r="CM3590" s="128"/>
      <c r="CN3590" s="128"/>
      <c r="CO3590" s="128"/>
      <c r="CP3590" s="128"/>
      <c r="CQ3590" s="128"/>
      <c r="CR3590" s="128"/>
      <c r="CS3590" s="128"/>
      <c r="CT3590" s="128"/>
      <c r="CU3590" s="128"/>
      <c r="CV3590" s="128"/>
      <c r="CW3590" s="128"/>
      <c r="CX3590" s="128"/>
      <c r="CY3590" s="128"/>
      <c r="CZ3590" s="165"/>
    </row>
    <row r="3591" spans="1:104">
      <c r="A3591" s="149"/>
      <c r="B3591" s="149"/>
      <c r="C3591" s="150"/>
      <c r="D3591" s="102"/>
      <c r="E3591" s="149"/>
      <c r="F3591" s="149"/>
      <c r="G3591" s="149"/>
      <c r="H3591" s="149"/>
      <c r="I3591" s="149"/>
      <c r="J3591" s="149"/>
      <c r="K3591" s="149"/>
      <c r="L3591" s="149"/>
      <c r="M3591" s="149"/>
      <c r="N3591" s="149"/>
      <c r="O3591" s="149"/>
      <c r="P3591" s="149"/>
      <c r="Q3591" s="149"/>
      <c r="R3591" s="149"/>
      <c r="S3591" s="149"/>
      <c r="T3591" s="149"/>
      <c r="U3591" s="149"/>
      <c r="V3591" s="149"/>
      <c r="W3591" s="149"/>
      <c r="X3591" s="149"/>
      <c r="Y3591" s="149"/>
      <c r="Z3591" s="149"/>
      <c r="AA3591" s="149"/>
      <c r="AB3591" s="149"/>
      <c r="AC3591" s="149"/>
      <c r="AD3591" s="149"/>
      <c r="AE3591" s="149"/>
      <c r="AF3591" s="149"/>
      <c r="AG3591" s="149"/>
      <c r="AH3591" s="149"/>
      <c r="AI3591" s="149"/>
      <c r="AJ3591" s="149"/>
      <c r="AK3591" s="149"/>
      <c r="AL3591" s="149"/>
      <c r="AM3591" s="149"/>
      <c r="AN3591" s="149"/>
      <c r="AO3591" s="128"/>
      <c r="AP3591" s="128"/>
      <c r="AQ3591" s="128"/>
      <c r="AR3591" s="128"/>
      <c r="AS3591" s="128"/>
      <c r="AT3591" s="128"/>
      <c r="AU3591" s="128"/>
      <c r="AV3591" s="128"/>
      <c r="AW3591" s="128"/>
      <c r="AX3591" s="128"/>
      <c r="AY3591" s="128"/>
      <c r="AZ3591" s="128"/>
      <c r="BA3591" s="128"/>
      <c r="BB3591" s="128"/>
      <c r="BC3591" s="128"/>
      <c r="BD3591" s="128"/>
      <c r="BE3591" s="128"/>
      <c r="BF3591" s="128"/>
      <c r="BG3591" s="128"/>
      <c r="BH3591" s="128"/>
      <c r="BI3591" s="128"/>
      <c r="BJ3591" s="128"/>
      <c r="BK3591" s="128"/>
      <c r="BL3591" s="128"/>
      <c r="BM3591" s="151"/>
      <c r="BN3591" s="128"/>
      <c r="BO3591" s="128"/>
      <c r="BP3591" s="128"/>
      <c r="BQ3591" s="128"/>
      <c r="BR3591" s="128"/>
      <c r="BS3591" s="128"/>
      <c r="BT3591" s="128"/>
      <c r="BU3591" s="128"/>
      <c r="BV3591" s="128"/>
      <c r="BW3591" s="128"/>
      <c r="BX3591" s="128"/>
      <c r="BY3591" s="128"/>
      <c r="BZ3591" s="128"/>
      <c r="CA3591" s="128"/>
      <c r="CB3591" s="128"/>
      <c r="CC3591" s="128"/>
      <c r="CD3591" s="128"/>
      <c r="CE3591" s="128"/>
      <c r="CF3591" s="128"/>
      <c r="CG3591" s="128"/>
      <c r="CI3591" s="128"/>
      <c r="CJ3591" s="128"/>
      <c r="CK3591" s="128"/>
      <c r="CL3591" s="128"/>
      <c r="CM3591" s="128"/>
      <c r="CN3591" s="128"/>
      <c r="CO3591" s="128"/>
      <c r="CP3591" s="128"/>
      <c r="CQ3591" s="128"/>
      <c r="CR3591" s="128"/>
      <c r="CS3591" s="128"/>
      <c r="CT3591" s="128"/>
      <c r="CU3591" s="128"/>
      <c r="CV3591" s="128"/>
      <c r="CW3591" s="128"/>
      <c r="CX3591" s="128"/>
      <c r="CY3591" s="128"/>
      <c r="CZ3591" s="165"/>
    </row>
    <row r="3592" spans="1:104">
      <c r="A3592" s="149"/>
      <c r="B3592" s="149"/>
      <c r="C3592" s="150"/>
      <c r="D3592" s="102"/>
      <c r="E3592" s="149"/>
      <c r="F3592" s="149"/>
      <c r="G3592" s="149"/>
      <c r="H3592" s="149"/>
      <c r="I3592" s="149"/>
      <c r="J3592" s="149"/>
      <c r="K3592" s="149"/>
      <c r="L3592" s="149"/>
      <c r="M3592" s="149"/>
      <c r="N3592" s="149"/>
      <c r="O3592" s="149"/>
      <c r="P3592" s="149"/>
      <c r="Q3592" s="149"/>
      <c r="R3592" s="149"/>
      <c r="S3592" s="149"/>
      <c r="T3592" s="149"/>
      <c r="U3592" s="149"/>
      <c r="V3592" s="149"/>
      <c r="W3592" s="149"/>
      <c r="X3592" s="149"/>
      <c r="Y3592" s="149"/>
      <c r="Z3592" s="149"/>
      <c r="AA3592" s="149"/>
      <c r="AB3592" s="149"/>
      <c r="AC3592" s="149"/>
      <c r="AD3592" s="149"/>
      <c r="AE3592" s="149"/>
      <c r="AF3592" s="149"/>
      <c r="AG3592" s="149"/>
      <c r="AH3592" s="149"/>
      <c r="AI3592" s="149"/>
      <c r="AJ3592" s="149"/>
      <c r="AK3592" s="149"/>
      <c r="AL3592" s="149"/>
      <c r="AM3592" s="149"/>
      <c r="AN3592" s="149"/>
      <c r="AO3592" s="128"/>
      <c r="AP3592" s="128"/>
      <c r="AQ3592" s="128"/>
      <c r="AR3592" s="128"/>
      <c r="AS3592" s="128"/>
      <c r="AT3592" s="128"/>
      <c r="AU3592" s="128"/>
      <c r="AV3592" s="128"/>
      <c r="AW3592" s="128"/>
      <c r="AX3592" s="128"/>
      <c r="AY3592" s="128"/>
      <c r="AZ3592" s="128"/>
      <c r="BA3592" s="128"/>
      <c r="BB3592" s="128"/>
      <c r="BC3592" s="128"/>
      <c r="BD3592" s="128"/>
      <c r="BE3592" s="128"/>
      <c r="BF3592" s="128"/>
      <c r="BG3592" s="128"/>
      <c r="BH3592" s="128"/>
      <c r="BI3592" s="128"/>
      <c r="BJ3592" s="128"/>
      <c r="BK3592" s="128"/>
      <c r="BL3592" s="128"/>
      <c r="BM3592" s="151"/>
      <c r="BN3592" s="128"/>
      <c r="BO3592" s="128"/>
      <c r="BP3592" s="128"/>
      <c r="BQ3592" s="128"/>
      <c r="BR3592" s="128"/>
      <c r="BS3592" s="128"/>
      <c r="BT3592" s="128"/>
      <c r="BU3592" s="128"/>
      <c r="BV3592" s="128"/>
      <c r="BW3592" s="128"/>
      <c r="BX3592" s="128"/>
      <c r="BY3592" s="128"/>
      <c r="BZ3592" s="128"/>
      <c r="CA3592" s="128"/>
      <c r="CB3592" s="128"/>
      <c r="CC3592" s="128"/>
      <c r="CD3592" s="128"/>
      <c r="CE3592" s="128"/>
      <c r="CF3592" s="128"/>
      <c r="CG3592" s="128"/>
      <c r="CI3592" s="128"/>
      <c r="CJ3592" s="128"/>
      <c r="CK3592" s="128"/>
      <c r="CL3592" s="128"/>
      <c r="CM3592" s="128"/>
      <c r="CN3592" s="128"/>
      <c r="CO3592" s="128"/>
      <c r="CP3592" s="128"/>
      <c r="CQ3592" s="128"/>
      <c r="CR3592" s="128"/>
      <c r="CS3592" s="128"/>
      <c r="CT3592" s="128"/>
      <c r="CU3592" s="128"/>
      <c r="CV3592" s="128"/>
      <c r="CW3592" s="128"/>
      <c r="CX3592" s="128"/>
      <c r="CY3592" s="128"/>
      <c r="CZ3592" s="165"/>
    </row>
    <row r="3593" spans="1:104">
      <c r="A3593" s="149"/>
      <c r="B3593" s="149"/>
      <c r="C3593" s="150"/>
      <c r="D3593" s="102"/>
      <c r="E3593" s="149"/>
      <c r="F3593" s="149"/>
      <c r="G3593" s="149"/>
      <c r="H3593" s="149"/>
      <c r="I3593" s="149"/>
      <c r="J3593" s="149"/>
      <c r="K3593" s="149"/>
      <c r="L3593" s="149"/>
      <c r="M3593" s="149"/>
      <c r="N3593" s="149"/>
      <c r="O3593" s="149"/>
      <c r="P3593" s="149"/>
      <c r="Q3593" s="149"/>
      <c r="R3593" s="149"/>
      <c r="S3593" s="149"/>
      <c r="T3593" s="149"/>
      <c r="U3593" s="149"/>
      <c r="V3593" s="149"/>
      <c r="W3593" s="149"/>
      <c r="X3593" s="149"/>
      <c r="Y3593" s="149"/>
      <c r="Z3593" s="149"/>
      <c r="AA3593" s="149"/>
      <c r="AB3593" s="149"/>
      <c r="AC3593" s="149"/>
      <c r="AD3593" s="149"/>
      <c r="AE3593" s="149"/>
      <c r="AF3593" s="149"/>
      <c r="AG3593" s="149"/>
      <c r="AH3593" s="149"/>
      <c r="AI3593" s="149"/>
      <c r="AJ3593" s="149"/>
      <c r="AK3593" s="149"/>
      <c r="AL3593" s="149"/>
      <c r="AM3593" s="149"/>
      <c r="AN3593" s="149"/>
      <c r="AO3593" s="128"/>
      <c r="AP3593" s="128"/>
      <c r="AQ3593" s="128"/>
      <c r="AR3593" s="128"/>
      <c r="AS3593" s="128"/>
      <c r="AT3593" s="128"/>
      <c r="AU3593" s="128"/>
      <c r="AV3593" s="128"/>
      <c r="AW3593" s="128"/>
      <c r="AX3593" s="128"/>
      <c r="AY3593" s="128"/>
      <c r="AZ3593" s="128"/>
      <c r="BA3593" s="128"/>
      <c r="BB3593" s="128"/>
      <c r="BC3593" s="128"/>
      <c r="BD3593" s="128"/>
      <c r="BE3593" s="128"/>
      <c r="BF3593" s="128"/>
      <c r="BG3593" s="128"/>
      <c r="BH3593" s="128"/>
      <c r="BI3593" s="128"/>
      <c r="BJ3593" s="128"/>
      <c r="BK3593" s="128"/>
      <c r="BL3593" s="128"/>
      <c r="BM3593" s="151"/>
      <c r="BN3593" s="128"/>
      <c r="BO3593" s="128"/>
      <c r="BP3593" s="128"/>
      <c r="BQ3593" s="128"/>
      <c r="BR3593" s="128"/>
      <c r="BS3593" s="128"/>
      <c r="BT3593" s="128"/>
      <c r="BU3593" s="128"/>
      <c r="BV3593" s="128"/>
      <c r="BW3593" s="128"/>
      <c r="BX3593" s="128"/>
      <c r="BY3593" s="128"/>
      <c r="BZ3593" s="128"/>
      <c r="CA3593" s="128"/>
      <c r="CB3593" s="128"/>
      <c r="CC3593" s="128"/>
      <c r="CD3593" s="128"/>
      <c r="CE3593" s="128"/>
      <c r="CF3593" s="128"/>
      <c r="CG3593" s="128"/>
      <c r="CI3593" s="128"/>
      <c r="CJ3593" s="128"/>
      <c r="CK3593" s="128"/>
      <c r="CL3593" s="128"/>
      <c r="CM3593" s="128"/>
      <c r="CN3593" s="128"/>
      <c r="CO3593" s="128"/>
      <c r="CP3593" s="128"/>
      <c r="CQ3593" s="128"/>
      <c r="CR3593" s="128"/>
      <c r="CS3593" s="128"/>
      <c r="CT3593" s="128"/>
      <c r="CU3593" s="128"/>
      <c r="CV3593" s="128"/>
      <c r="CW3593" s="128"/>
      <c r="CX3593" s="128"/>
      <c r="CY3593" s="128"/>
      <c r="CZ3593" s="165"/>
    </row>
    <row r="3594" spans="1:104">
      <c r="A3594" s="149"/>
      <c r="B3594" s="149"/>
      <c r="C3594" s="150"/>
      <c r="D3594" s="102"/>
      <c r="E3594" s="149"/>
      <c r="F3594" s="149"/>
      <c r="G3594" s="149"/>
      <c r="H3594" s="149"/>
      <c r="I3594" s="149"/>
      <c r="J3594" s="149"/>
      <c r="K3594" s="149"/>
      <c r="L3594" s="149"/>
      <c r="M3594" s="149"/>
      <c r="N3594" s="149"/>
      <c r="O3594" s="149"/>
      <c r="P3594" s="149"/>
      <c r="Q3594" s="149"/>
      <c r="R3594" s="149"/>
      <c r="S3594" s="149"/>
      <c r="T3594" s="149"/>
      <c r="U3594" s="149"/>
      <c r="V3594" s="149"/>
      <c r="W3594" s="149"/>
      <c r="X3594" s="149"/>
      <c r="Y3594" s="149"/>
      <c r="Z3594" s="149"/>
      <c r="AA3594" s="149"/>
      <c r="AB3594" s="149"/>
      <c r="AC3594" s="149"/>
      <c r="AD3594" s="149"/>
      <c r="AE3594" s="149"/>
      <c r="AF3594" s="149"/>
      <c r="AG3594" s="149"/>
      <c r="AH3594" s="149"/>
      <c r="AI3594" s="149"/>
      <c r="AJ3594" s="149"/>
      <c r="AK3594" s="149"/>
      <c r="AL3594" s="149"/>
      <c r="AM3594" s="149"/>
      <c r="AN3594" s="149"/>
      <c r="AO3594" s="128"/>
      <c r="AP3594" s="128"/>
      <c r="AQ3594" s="128"/>
      <c r="AR3594" s="128"/>
      <c r="AS3594" s="128"/>
      <c r="AT3594" s="128"/>
      <c r="AU3594" s="128"/>
      <c r="AV3594" s="128"/>
      <c r="AW3594" s="128"/>
      <c r="AX3594" s="128"/>
      <c r="AY3594" s="128"/>
      <c r="AZ3594" s="128"/>
      <c r="BA3594" s="128"/>
      <c r="BB3594" s="128"/>
      <c r="BC3594" s="128"/>
      <c r="BD3594" s="128"/>
      <c r="BE3594" s="128"/>
      <c r="BF3594" s="128"/>
      <c r="BG3594" s="128"/>
      <c r="BH3594" s="128"/>
      <c r="BI3594" s="128"/>
      <c r="BJ3594" s="128"/>
      <c r="BK3594" s="128"/>
      <c r="BL3594" s="128"/>
      <c r="BM3594" s="151"/>
      <c r="BN3594" s="128"/>
      <c r="BO3594" s="128"/>
      <c r="BP3594" s="128"/>
      <c r="BQ3594" s="128"/>
      <c r="BR3594" s="128"/>
      <c r="BS3594" s="128"/>
      <c r="BT3594" s="128"/>
      <c r="BU3594" s="128"/>
      <c r="BV3594" s="128"/>
      <c r="BW3594" s="128"/>
      <c r="BX3594" s="128"/>
      <c r="BY3594" s="128"/>
      <c r="BZ3594" s="128"/>
      <c r="CA3594" s="128"/>
      <c r="CB3594" s="128"/>
      <c r="CC3594" s="128"/>
      <c r="CD3594" s="128"/>
      <c r="CE3594" s="128"/>
      <c r="CF3594" s="128"/>
      <c r="CG3594" s="128"/>
      <c r="CI3594" s="128"/>
      <c r="CJ3594" s="128"/>
      <c r="CK3594" s="128"/>
      <c r="CL3594" s="128"/>
      <c r="CM3594" s="128"/>
      <c r="CN3594" s="128"/>
      <c r="CO3594" s="128"/>
      <c r="CP3594" s="128"/>
      <c r="CQ3594" s="128"/>
      <c r="CR3594" s="128"/>
      <c r="CS3594" s="128"/>
      <c r="CT3594" s="128"/>
      <c r="CU3594" s="128"/>
      <c r="CV3594" s="128"/>
      <c r="CW3594" s="128"/>
      <c r="CX3594" s="128"/>
      <c r="CY3594" s="128"/>
      <c r="CZ3594" s="165"/>
    </row>
    <row r="3595" spans="1:104">
      <c r="A3595" s="149"/>
      <c r="B3595" s="149"/>
      <c r="C3595" s="150"/>
      <c r="D3595" s="102"/>
      <c r="E3595" s="149"/>
      <c r="F3595" s="149"/>
      <c r="G3595" s="149"/>
      <c r="H3595" s="149"/>
      <c r="I3595" s="149"/>
      <c r="J3595" s="149"/>
      <c r="K3595" s="149"/>
      <c r="L3595" s="149"/>
      <c r="M3595" s="149"/>
      <c r="N3595" s="149"/>
      <c r="O3595" s="149"/>
      <c r="P3595" s="149"/>
      <c r="Q3595" s="149"/>
      <c r="R3595" s="149"/>
      <c r="S3595" s="149"/>
      <c r="T3595" s="149"/>
      <c r="U3595" s="149"/>
      <c r="V3595" s="149"/>
      <c r="W3595" s="149"/>
      <c r="X3595" s="149"/>
      <c r="Y3595" s="149"/>
      <c r="Z3595" s="149"/>
      <c r="AA3595" s="149"/>
      <c r="AB3595" s="149"/>
      <c r="AC3595" s="149"/>
      <c r="AD3595" s="149"/>
      <c r="AE3595" s="149"/>
      <c r="AF3595" s="149"/>
      <c r="AG3595" s="149"/>
      <c r="AH3595" s="149"/>
      <c r="AI3595" s="149"/>
      <c r="AJ3595" s="149"/>
      <c r="AK3595" s="149"/>
      <c r="AL3595" s="149"/>
      <c r="AM3595" s="149"/>
      <c r="AN3595" s="149"/>
      <c r="AO3595" s="128"/>
      <c r="AP3595" s="128"/>
      <c r="AQ3595" s="128"/>
      <c r="AR3595" s="128"/>
      <c r="AS3595" s="128"/>
      <c r="AT3595" s="128"/>
      <c r="AU3595" s="128"/>
      <c r="AV3595" s="128"/>
      <c r="AW3595" s="128"/>
      <c r="AX3595" s="128"/>
      <c r="AY3595" s="128"/>
      <c r="AZ3595" s="128"/>
      <c r="BA3595" s="128"/>
      <c r="BB3595" s="128"/>
      <c r="BC3595" s="128"/>
      <c r="BD3595" s="128"/>
      <c r="BE3595" s="128"/>
      <c r="BF3595" s="128"/>
      <c r="BG3595" s="128"/>
      <c r="BH3595" s="128"/>
      <c r="BI3595" s="128"/>
      <c r="BJ3595" s="128"/>
      <c r="BK3595" s="128"/>
      <c r="BL3595" s="128"/>
      <c r="BM3595" s="151"/>
      <c r="BN3595" s="128"/>
      <c r="BO3595" s="128"/>
      <c r="BP3595" s="128"/>
      <c r="BQ3595" s="128"/>
      <c r="BR3595" s="128"/>
      <c r="BS3595" s="128"/>
      <c r="BT3595" s="128"/>
      <c r="BU3595" s="128"/>
      <c r="BV3595" s="128"/>
      <c r="BW3595" s="128"/>
      <c r="BX3595" s="128"/>
      <c r="BY3595" s="128"/>
      <c r="BZ3595" s="128"/>
      <c r="CA3595" s="128"/>
      <c r="CB3595" s="128"/>
      <c r="CC3595" s="128"/>
      <c r="CD3595" s="128"/>
      <c r="CE3595" s="128"/>
      <c r="CF3595" s="128"/>
      <c r="CG3595" s="128"/>
      <c r="CI3595" s="128"/>
      <c r="CJ3595" s="128"/>
      <c r="CK3595" s="128"/>
      <c r="CL3595" s="128"/>
      <c r="CM3595" s="128"/>
      <c r="CN3595" s="128"/>
      <c r="CO3595" s="128"/>
      <c r="CP3595" s="128"/>
      <c r="CQ3595" s="128"/>
      <c r="CR3595" s="128"/>
      <c r="CS3595" s="128"/>
      <c r="CT3595" s="128"/>
      <c r="CU3595" s="128"/>
      <c r="CV3595" s="128"/>
      <c r="CW3595" s="128"/>
      <c r="CX3595" s="128"/>
      <c r="CY3595" s="128"/>
      <c r="CZ3595" s="165"/>
    </row>
    <row r="3596" spans="1:104">
      <c r="A3596" s="149"/>
      <c r="B3596" s="149"/>
      <c r="C3596" s="150"/>
      <c r="D3596" s="102"/>
      <c r="E3596" s="149"/>
      <c r="F3596" s="149"/>
      <c r="G3596" s="149"/>
      <c r="H3596" s="149"/>
      <c r="I3596" s="149"/>
      <c r="J3596" s="149"/>
      <c r="K3596" s="149"/>
      <c r="L3596" s="149"/>
      <c r="M3596" s="149"/>
      <c r="N3596" s="149"/>
      <c r="O3596" s="149"/>
      <c r="P3596" s="149"/>
      <c r="Q3596" s="149"/>
      <c r="R3596" s="149"/>
      <c r="S3596" s="149"/>
      <c r="T3596" s="149"/>
      <c r="U3596" s="149"/>
      <c r="V3596" s="149"/>
      <c r="W3596" s="149"/>
      <c r="X3596" s="149"/>
      <c r="Y3596" s="149"/>
      <c r="Z3596" s="149"/>
      <c r="AA3596" s="149"/>
      <c r="AB3596" s="149"/>
      <c r="AC3596" s="149"/>
      <c r="AD3596" s="149"/>
      <c r="AE3596" s="149"/>
      <c r="AF3596" s="149"/>
      <c r="AG3596" s="149"/>
      <c r="AH3596" s="149"/>
      <c r="AI3596" s="149"/>
      <c r="AJ3596" s="149"/>
      <c r="AK3596" s="149"/>
      <c r="AL3596" s="149"/>
      <c r="AM3596" s="149"/>
      <c r="AN3596" s="149"/>
      <c r="AO3596" s="128"/>
      <c r="AP3596" s="128"/>
      <c r="AQ3596" s="128"/>
      <c r="AR3596" s="128"/>
      <c r="AS3596" s="128"/>
      <c r="AT3596" s="128"/>
      <c r="AU3596" s="128"/>
      <c r="AV3596" s="128"/>
      <c r="AW3596" s="128"/>
      <c r="AX3596" s="128"/>
      <c r="AY3596" s="128"/>
      <c r="AZ3596" s="128"/>
      <c r="BA3596" s="128"/>
      <c r="BB3596" s="128"/>
      <c r="BC3596" s="128"/>
      <c r="BD3596" s="128"/>
      <c r="BE3596" s="128"/>
      <c r="BF3596" s="128"/>
      <c r="BG3596" s="128"/>
      <c r="BH3596" s="128"/>
      <c r="BI3596" s="128"/>
      <c r="BJ3596" s="128"/>
      <c r="BK3596" s="128"/>
      <c r="BL3596" s="128"/>
      <c r="BM3596" s="151"/>
      <c r="BN3596" s="128"/>
      <c r="BO3596" s="128"/>
      <c r="BP3596" s="128"/>
      <c r="BQ3596" s="128"/>
      <c r="BR3596" s="128"/>
      <c r="BS3596" s="128"/>
      <c r="BT3596" s="128"/>
      <c r="BU3596" s="128"/>
      <c r="BV3596" s="128"/>
      <c r="BW3596" s="128"/>
      <c r="BX3596" s="128"/>
      <c r="BY3596" s="128"/>
      <c r="BZ3596" s="128"/>
      <c r="CA3596" s="128"/>
      <c r="CB3596" s="128"/>
      <c r="CC3596" s="128"/>
      <c r="CD3596" s="128"/>
      <c r="CE3596" s="128"/>
      <c r="CF3596" s="128"/>
      <c r="CG3596" s="128"/>
      <c r="CI3596" s="128"/>
      <c r="CJ3596" s="128"/>
      <c r="CK3596" s="128"/>
      <c r="CL3596" s="128"/>
      <c r="CM3596" s="128"/>
      <c r="CN3596" s="128"/>
      <c r="CO3596" s="128"/>
      <c r="CP3596" s="128"/>
      <c r="CQ3596" s="128"/>
      <c r="CR3596" s="128"/>
      <c r="CS3596" s="128"/>
      <c r="CT3596" s="128"/>
      <c r="CU3596" s="128"/>
      <c r="CV3596" s="128"/>
      <c r="CW3596" s="128"/>
      <c r="CX3596" s="128"/>
      <c r="CY3596" s="128"/>
      <c r="CZ3596" s="165"/>
    </row>
    <row r="3597" spans="1:104">
      <c r="A3597" s="149"/>
      <c r="B3597" s="149"/>
      <c r="C3597" s="150"/>
      <c r="D3597" s="102"/>
      <c r="E3597" s="149"/>
      <c r="F3597" s="149"/>
      <c r="G3597" s="149"/>
      <c r="H3597" s="149"/>
      <c r="I3597" s="149"/>
      <c r="J3597" s="149"/>
      <c r="K3597" s="149"/>
      <c r="L3597" s="149"/>
      <c r="M3597" s="149"/>
      <c r="N3597" s="149"/>
      <c r="O3597" s="149"/>
      <c r="P3597" s="149"/>
      <c r="Q3597" s="149"/>
      <c r="R3597" s="149"/>
      <c r="S3597" s="149"/>
      <c r="T3597" s="149"/>
      <c r="U3597" s="149"/>
      <c r="V3597" s="149"/>
      <c r="W3597" s="149"/>
      <c r="X3597" s="149"/>
      <c r="Y3597" s="149"/>
      <c r="Z3597" s="149"/>
      <c r="AA3597" s="149"/>
      <c r="AB3597" s="149"/>
      <c r="AC3597" s="149"/>
      <c r="AD3597" s="149"/>
      <c r="AE3597" s="149"/>
      <c r="AF3597" s="149"/>
      <c r="AG3597" s="149"/>
      <c r="AH3597" s="149"/>
      <c r="AI3597" s="149"/>
      <c r="AJ3597" s="149"/>
      <c r="AK3597" s="149"/>
      <c r="AL3597" s="149"/>
      <c r="AM3597" s="149"/>
      <c r="AN3597" s="149"/>
      <c r="AO3597" s="128"/>
      <c r="AP3597" s="128"/>
      <c r="AQ3597" s="128"/>
      <c r="AR3597" s="128"/>
      <c r="AS3597" s="128"/>
      <c r="AT3597" s="128"/>
      <c r="AU3597" s="128"/>
      <c r="AV3597" s="128"/>
      <c r="AW3597" s="128"/>
      <c r="AX3597" s="128"/>
      <c r="AY3597" s="128"/>
      <c r="AZ3597" s="128"/>
      <c r="BA3597" s="128"/>
      <c r="BB3597" s="128"/>
      <c r="BC3597" s="128"/>
      <c r="BD3597" s="128"/>
      <c r="BE3597" s="128"/>
      <c r="BF3597" s="128"/>
      <c r="BG3597" s="128"/>
      <c r="BH3597" s="128"/>
      <c r="BI3597" s="128"/>
      <c r="BJ3597" s="128"/>
      <c r="BK3597" s="128"/>
      <c r="BL3597" s="128"/>
      <c r="BM3597" s="151"/>
      <c r="BN3597" s="128"/>
      <c r="BO3597" s="128"/>
      <c r="BP3597" s="128"/>
      <c r="BQ3597" s="128"/>
      <c r="BR3597" s="128"/>
      <c r="BS3597" s="128"/>
      <c r="BT3597" s="128"/>
      <c r="BU3597" s="128"/>
      <c r="BV3597" s="128"/>
      <c r="BW3597" s="128"/>
      <c r="BX3597" s="128"/>
      <c r="BY3597" s="128"/>
      <c r="BZ3597" s="128"/>
      <c r="CA3597" s="128"/>
      <c r="CB3597" s="128"/>
      <c r="CC3597" s="128"/>
      <c r="CD3597" s="128"/>
      <c r="CE3597" s="128"/>
      <c r="CF3597" s="128"/>
      <c r="CG3597" s="128"/>
      <c r="CI3597" s="128"/>
      <c r="CJ3597" s="128"/>
      <c r="CK3597" s="128"/>
      <c r="CL3597" s="128"/>
      <c r="CM3597" s="128"/>
      <c r="CN3597" s="128"/>
      <c r="CO3597" s="128"/>
      <c r="CP3597" s="128"/>
      <c r="CQ3597" s="128"/>
      <c r="CR3597" s="128"/>
      <c r="CS3597" s="128"/>
      <c r="CT3597" s="128"/>
      <c r="CU3597" s="128"/>
      <c r="CV3597" s="128"/>
      <c r="CW3597" s="128"/>
      <c r="CX3597" s="128"/>
      <c r="CY3597" s="128"/>
      <c r="CZ3597" s="165"/>
    </row>
    <row r="3598" spans="1:104">
      <c r="A3598" s="149"/>
      <c r="B3598" s="149"/>
      <c r="C3598" s="150"/>
      <c r="D3598" s="102"/>
      <c r="E3598" s="149"/>
      <c r="F3598" s="149"/>
      <c r="G3598" s="149"/>
      <c r="H3598" s="149"/>
      <c r="I3598" s="149"/>
      <c r="J3598" s="149"/>
      <c r="K3598" s="149"/>
      <c r="L3598" s="149"/>
      <c r="M3598" s="149"/>
      <c r="N3598" s="149"/>
      <c r="O3598" s="149"/>
      <c r="P3598" s="149"/>
      <c r="Q3598" s="149"/>
      <c r="R3598" s="149"/>
      <c r="S3598" s="149"/>
      <c r="T3598" s="149"/>
      <c r="U3598" s="149"/>
      <c r="V3598" s="149"/>
      <c r="W3598" s="149"/>
      <c r="X3598" s="149"/>
      <c r="Y3598" s="149"/>
      <c r="Z3598" s="149"/>
      <c r="AA3598" s="149"/>
      <c r="AB3598" s="149"/>
      <c r="AC3598" s="149"/>
      <c r="AD3598" s="149"/>
      <c r="AE3598" s="149"/>
      <c r="AF3598" s="149"/>
      <c r="AG3598" s="149"/>
      <c r="AH3598" s="149"/>
      <c r="AI3598" s="149"/>
      <c r="AJ3598" s="149"/>
      <c r="AK3598" s="149"/>
      <c r="AL3598" s="149"/>
      <c r="AM3598" s="149"/>
      <c r="AN3598" s="149"/>
      <c r="AO3598" s="128"/>
      <c r="AP3598" s="128"/>
      <c r="AQ3598" s="128"/>
      <c r="AR3598" s="128"/>
      <c r="AS3598" s="128"/>
      <c r="AT3598" s="128"/>
      <c r="AU3598" s="128"/>
      <c r="AV3598" s="128"/>
      <c r="AW3598" s="128"/>
      <c r="AX3598" s="128"/>
      <c r="AY3598" s="128"/>
      <c r="AZ3598" s="128"/>
      <c r="BA3598" s="128"/>
      <c r="BB3598" s="128"/>
      <c r="BC3598" s="128"/>
      <c r="BD3598" s="128"/>
      <c r="BE3598" s="128"/>
      <c r="BF3598" s="128"/>
      <c r="BG3598" s="128"/>
      <c r="BH3598" s="128"/>
      <c r="BI3598" s="128"/>
      <c r="BJ3598" s="128"/>
      <c r="BK3598" s="128"/>
      <c r="BL3598" s="128"/>
      <c r="BM3598" s="151"/>
      <c r="BN3598" s="128"/>
      <c r="BO3598" s="128"/>
      <c r="BP3598" s="128"/>
      <c r="BQ3598" s="128"/>
      <c r="BR3598" s="128"/>
      <c r="BS3598" s="128"/>
      <c r="BT3598" s="128"/>
      <c r="BU3598" s="128"/>
      <c r="BV3598" s="128"/>
      <c r="BW3598" s="128"/>
      <c r="BX3598" s="128"/>
      <c r="BY3598" s="128"/>
      <c r="BZ3598" s="128"/>
      <c r="CA3598" s="128"/>
      <c r="CB3598" s="128"/>
      <c r="CC3598" s="128"/>
      <c r="CD3598" s="128"/>
      <c r="CE3598" s="128"/>
      <c r="CF3598" s="128"/>
      <c r="CG3598" s="128"/>
      <c r="CI3598" s="128"/>
      <c r="CJ3598" s="128"/>
      <c r="CK3598" s="128"/>
      <c r="CL3598" s="128"/>
      <c r="CM3598" s="128"/>
      <c r="CN3598" s="128"/>
      <c r="CO3598" s="128"/>
      <c r="CP3598" s="128"/>
      <c r="CQ3598" s="128"/>
      <c r="CR3598" s="128"/>
      <c r="CS3598" s="128"/>
      <c r="CT3598" s="128"/>
      <c r="CU3598" s="128"/>
      <c r="CV3598" s="128"/>
      <c r="CW3598" s="128"/>
      <c r="CX3598" s="128"/>
      <c r="CY3598" s="128"/>
      <c r="CZ3598" s="165"/>
    </row>
    <row r="3599" spans="1:104">
      <c r="A3599" s="149"/>
      <c r="B3599" s="149"/>
      <c r="C3599" s="150"/>
      <c r="D3599" s="102"/>
      <c r="E3599" s="149"/>
      <c r="F3599" s="149"/>
      <c r="G3599" s="149"/>
      <c r="H3599" s="149"/>
      <c r="I3599" s="149"/>
      <c r="J3599" s="149"/>
      <c r="K3599" s="149"/>
      <c r="L3599" s="149"/>
      <c r="M3599" s="149"/>
      <c r="N3599" s="149"/>
      <c r="O3599" s="149"/>
      <c r="P3599" s="149"/>
      <c r="Q3599" s="149"/>
      <c r="R3599" s="149"/>
      <c r="S3599" s="149"/>
      <c r="T3599" s="149"/>
      <c r="U3599" s="149"/>
      <c r="V3599" s="149"/>
      <c r="W3599" s="149"/>
      <c r="X3599" s="149"/>
      <c r="Y3599" s="149"/>
      <c r="Z3599" s="149"/>
      <c r="AA3599" s="149"/>
      <c r="AB3599" s="149"/>
      <c r="AC3599" s="149"/>
      <c r="AD3599" s="149"/>
      <c r="AE3599" s="149"/>
      <c r="AF3599" s="149"/>
      <c r="AG3599" s="149"/>
      <c r="AH3599" s="149"/>
      <c r="AI3599" s="149"/>
      <c r="AJ3599" s="149"/>
      <c r="AK3599" s="149"/>
      <c r="AL3599" s="149"/>
      <c r="AM3599" s="149"/>
      <c r="AN3599" s="149"/>
      <c r="AO3599" s="128"/>
      <c r="AP3599" s="128"/>
      <c r="AQ3599" s="128"/>
      <c r="AR3599" s="128"/>
      <c r="AS3599" s="128"/>
      <c r="AT3599" s="128"/>
      <c r="AU3599" s="128"/>
      <c r="AV3599" s="128"/>
      <c r="AW3599" s="128"/>
      <c r="AX3599" s="128"/>
      <c r="AY3599" s="128"/>
      <c r="AZ3599" s="128"/>
      <c r="BA3599" s="128"/>
      <c r="BB3599" s="128"/>
      <c r="BC3599" s="128"/>
      <c r="BD3599" s="128"/>
      <c r="BE3599" s="128"/>
      <c r="BF3599" s="128"/>
      <c r="BG3599" s="128"/>
      <c r="BH3599" s="128"/>
      <c r="BI3599" s="128"/>
      <c r="BJ3599" s="128"/>
      <c r="BK3599" s="128"/>
      <c r="BL3599" s="128"/>
      <c r="BM3599" s="151"/>
      <c r="BN3599" s="128"/>
      <c r="BO3599" s="128"/>
      <c r="BP3599" s="128"/>
      <c r="BQ3599" s="128"/>
      <c r="BR3599" s="128"/>
      <c r="BS3599" s="128"/>
      <c r="BT3599" s="128"/>
      <c r="BU3599" s="128"/>
      <c r="BV3599" s="128"/>
      <c r="BW3599" s="128"/>
      <c r="BX3599" s="128"/>
      <c r="BY3599" s="128"/>
      <c r="BZ3599" s="128"/>
      <c r="CA3599" s="128"/>
      <c r="CB3599" s="128"/>
      <c r="CC3599" s="128"/>
      <c r="CD3599" s="128"/>
      <c r="CE3599" s="128"/>
      <c r="CF3599" s="128"/>
      <c r="CG3599" s="128"/>
      <c r="CI3599" s="128"/>
      <c r="CJ3599" s="128"/>
      <c r="CK3599" s="128"/>
      <c r="CL3599" s="128"/>
      <c r="CM3599" s="128"/>
      <c r="CN3599" s="128"/>
      <c r="CO3599" s="128"/>
      <c r="CP3599" s="128"/>
      <c r="CQ3599" s="128"/>
      <c r="CR3599" s="128"/>
      <c r="CS3599" s="128"/>
      <c r="CT3599" s="128"/>
      <c r="CU3599" s="128"/>
      <c r="CV3599" s="128"/>
      <c r="CW3599" s="128"/>
      <c r="CX3599" s="128"/>
      <c r="CY3599" s="128"/>
      <c r="CZ3599" s="165"/>
    </row>
    <row r="3600" spans="1:104">
      <c r="A3600" s="149"/>
      <c r="B3600" s="149"/>
      <c r="C3600" s="150"/>
      <c r="D3600" s="102"/>
      <c r="E3600" s="149"/>
      <c r="F3600" s="149"/>
      <c r="G3600" s="149"/>
      <c r="H3600" s="149"/>
      <c r="I3600" s="149"/>
      <c r="J3600" s="149"/>
      <c r="K3600" s="149"/>
      <c r="L3600" s="149"/>
      <c r="M3600" s="149"/>
      <c r="N3600" s="149"/>
      <c r="O3600" s="149"/>
      <c r="P3600" s="149"/>
      <c r="Q3600" s="149"/>
      <c r="R3600" s="149"/>
      <c r="S3600" s="149"/>
      <c r="T3600" s="149"/>
      <c r="U3600" s="149"/>
      <c r="V3600" s="149"/>
      <c r="W3600" s="149"/>
      <c r="X3600" s="149"/>
      <c r="Y3600" s="149"/>
      <c r="Z3600" s="149"/>
      <c r="AA3600" s="149"/>
      <c r="AB3600" s="149"/>
      <c r="AC3600" s="149"/>
      <c r="AD3600" s="149"/>
      <c r="AE3600" s="149"/>
      <c r="AF3600" s="149"/>
      <c r="AG3600" s="149"/>
      <c r="AH3600" s="149"/>
      <c r="AI3600" s="149"/>
      <c r="AJ3600" s="149"/>
      <c r="AK3600" s="149"/>
      <c r="AL3600" s="149"/>
      <c r="AM3600" s="149"/>
      <c r="AN3600" s="149"/>
      <c r="AO3600" s="128"/>
      <c r="AP3600" s="128"/>
      <c r="AQ3600" s="128"/>
      <c r="AR3600" s="128"/>
      <c r="AS3600" s="128"/>
      <c r="AT3600" s="128"/>
      <c r="AU3600" s="128"/>
      <c r="AV3600" s="128"/>
      <c r="AW3600" s="128"/>
      <c r="AX3600" s="128"/>
      <c r="AY3600" s="128"/>
      <c r="AZ3600" s="128"/>
      <c r="BA3600" s="128"/>
      <c r="BB3600" s="128"/>
      <c r="BC3600" s="128"/>
      <c r="BD3600" s="128"/>
      <c r="BE3600" s="128"/>
      <c r="BF3600" s="128"/>
      <c r="BG3600" s="128"/>
      <c r="BH3600" s="128"/>
      <c r="BI3600" s="128"/>
      <c r="BJ3600" s="128"/>
      <c r="BK3600" s="128"/>
      <c r="BL3600" s="128"/>
      <c r="BM3600" s="151"/>
      <c r="BN3600" s="128"/>
      <c r="BO3600" s="128"/>
      <c r="BP3600" s="128"/>
      <c r="BQ3600" s="128"/>
      <c r="BR3600" s="128"/>
      <c r="BS3600" s="128"/>
      <c r="BT3600" s="128"/>
      <c r="BU3600" s="128"/>
      <c r="BV3600" s="128"/>
      <c r="BW3600" s="128"/>
      <c r="BX3600" s="128"/>
      <c r="BY3600" s="128"/>
      <c r="BZ3600" s="128"/>
      <c r="CA3600" s="128"/>
      <c r="CB3600" s="128"/>
      <c r="CC3600" s="128"/>
      <c r="CD3600" s="128"/>
      <c r="CE3600" s="128"/>
      <c r="CF3600" s="128"/>
      <c r="CG3600" s="128"/>
      <c r="CI3600" s="128"/>
      <c r="CJ3600" s="128"/>
      <c r="CK3600" s="128"/>
      <c r="CL3600" s="128"/>
      <c r="CM3600" s="128"/>
      <c r="CN3600" s="128"/>
      <c r="CO3600" s="128"/>
      <c r="CP3600" s="128"/>
      <c r="CQ3600" s="128"/>
      <c r="CR3600" s="128"/>
      <c r="CS3600" s="128"/>
      <c r="CT3600" s="128"/>
      <c r="CU3600" s="128"/>
      <c r="CV3600" s="128"/>
      <c r="CW3600" s="128"/>
      <c r="CX3600" s="128"/>
      <c r="CY3600" s="128"/>
      <c r="CZ3600" s="165"/>
    </row>
    <row r="3601" spans="1:104">
      <c r="A3601" s="149"/>
      <c r="B3601" s="149"/>
      <c r="C3601" s="150"/>
      <c r="D3601" s="102"/>
      <c r="E3601" s="149"/>
      <c r="F3601" s="149"/>
      <c r="G3601" s="149"/>
      <c r="H3601" s="149"/>
      <c r="I3601" s="149"/>
      <c r="J3601" s="149"/>
      <c r="K3601" s="149"/>
      <c r="L3601" s="149"/>
      <c r="M3601" s="149"/>
      <c r="N3601" s="149"/>
      <c r="O3601" s="149"/>
      <c r="P3601" s="149"/>
      <c r="Q3601" s="149"/>
      <c r="R3601" s="149"/>
      <c r="S3601" s="149"/>
      <c r="T3601" s="149"/>
      <c r="U3601" s="149"/>
      <c r="V3601" s="149"/>
      <c r="W3601" s="149"/>
      <c r="X3601" s="149"/>
      <c r="Y3601" s="149"/>
      <c r="Z3601" s="149"/>
      <c r="AA3601" s="149"/>
      <c r="AB3601" s="149"/>
      <c r="AC3601" s="149"/>
      <c r="AD3601" s="149"/>
      <c r="AE3601" s="149"/>
      <c r="AF3601" s="149"/>
      <c r="AG3601" s="149"/>
      <c r="AH3601" s="149"/>
      <c r="AI3601" s="149"/>
      <c r="AJ3601" s="149"/>
      <c r="AK3601" s="149"/>
      <c r="AL3601" s="149"/>
      <c r="AM3601" s="149"/>
      <c r="AN3601" s="149"/>
      <c r="AO3601" s="128"/>
      <c r="AP3601" s="128"/>
      <c r="AQ3601" s="128"/>
      <c r="AR3601" s="128"/>
      <c r="AS3601" s="128"/>
      <c r="AT3601" s="128"/>
      <c r="AU3601" s="128"/>
      <c r="AV3601" s="128"/>
      <c r="AW3601" s="128"/>
      <c r="AX3601" s="128"/>
      <c r="AY3601" s="128"/>
      <c r="AZ3601" s="128"/>
      <c r="BA3601" s="128"/>
      <c r="BB3601" s="128"/>
      <c r="BC3601" s="128"/>
      <c r="BD3601" s="128"/>
      <c r="BE3601" s="128"/>
      <c r="BF3601" s="128"/>
      <c r="BG3601" s="128"/>
      <c r="BH3601" s="128"/>
      <c r="BI3601" s="128"/>
      <c r="BJ3601" s="128"/>
      <c r="BK3601" s="128"/>
      <c r="BL3601" s="128"/>
      <c r="BM3601" s="151"/>
      <c r="BN3601" s="128"/>
      <c r="BO3601" s="128"/>
      <c r="BP3601" s="128"/>
      <c r="BQ3601" s="128"/>
      <c r="BR3601" s="128"/>
      <c r="BS3601" s="128"/>
      <c r="BT3601" s="128"/>
      <c r="BU3601" s="128"/>
      <c r="BV3601" s="128"/>
      <c r="BW3601" s="128"/>
      <c r="BX3601" s="128"/>
      <c r="BY3601" s="128"/>
      <c r="BZ3601" s="128"/>
      <c r="CA3601" s="128"/>
      <c r="CB3601" s="128"/>
      <c r="CC3601" s="128"/>
      <c r="CD3601" s="128"/>
      <c r="CE3601" s="128"/>
      <c r="CF3601" s="128"/>
      <c r="CG3601" s="128"/>
      <c r="CI3601" s="128"/>
      <c r="CJ3601" s="128"/>
      <c r="CK3601" s="128"/>
      <c r="CL3601" s="128"/>
      <c r="CM3601" s="128"/>
      <c r="CN3601" s="128"/>
      <c r="CO3601" s="128"/>
      <c r="CP3601" s="128"/>
      <c r="CQ3601" s="128"/>
      <c r="CR3601" s="128"/>
      <c r="CS3601" s="128"/>
      <c r="CT3601" s="128"/>
      <c r="CU3601" s="128"/>
      <c r="CV3601" s="128"/>
      <c r="CW3601" s="128"/>
      <c r="CX3601" s="128"/>
      <c r="CY3601" s="128"/>
      <c r="CZ3601" s="165"/>
    </row>
    <row r="3602" spans="1:104">
      <c r="A3602" s="149"/>
      <c r="B3602" s="149"/>
      <c r="C3602" s="150"/>
      <c r="D3602" s="102"/>
      <c r="E3602" s="149"/>
      <c r="F3602" s="149"/>
      <c r="G3602" s="149"/>
      <c r="H3602" s="149"/>
      <c r="I3602" s="149"/>
      <c r="J3602" s="149"/>
      <c r="K3602" s="149"/>
      <c r="L3602" s="149"/>
      <c r="M3602" s="149"/>
      <c r="N3602" s="149"/>
      <c r="O3602" s="149"/>
      <c r="P3602" s="149"/>
      <c r="Q3602" s="149"/>
      <c r="R3602" s="149"/>
      <c r="S3602" s="149"/>
      <c r="T3602" s="149"/>
      <c r="U3602" s="149"/>
      <c r="V3602" s="149"/>
      <c r="W3602" s="149"/>
      <c r="X3602" s="149"/>
      <c r="Y3602" s="149"/>
      <c r="Z3602" s="149"/>
      <c r="AA3602" s="149"/>
      <c r="AB3602" s="149"/>
      <c r="AC3602" s="149"/>
      <c r="AD3602" s="149"/>
      <c r="AE3602" s="149"/>
      <c r="AF3602" s="149"/>
      <c r="AG3602" s="149"/>
      <c r="AH3602" s="149"/>
      <c r="AI3602" s="149"/>
      <c r="AJ3602" s="149"/>
      <c r="AK3602" s="149"/>
      <c r="AL3602" s="149"/>
      <c r="AM3602" s="149"/>
      <c r="AN3602" s="149"/>
      <c r="AO3602" s="128"/>
      <c r="AP3602" s="128"/>
      <c r="AQ3602" s="128"/>
      <c r="AR3602" s="128"/>
      <c r="AS3602" s="128"/>
      <c r="AT3602" s="128"/>
      <c r="AU3602" s="128"/>
      <c r="AV3602" s="128"/>
      <c r="AW3602" s="128"/>
      <c r="AX3602" s="128"/>
      <c r="AY3602" s="128"/>
      <c r="AZ3602" s="128"/>
      <c r="BA3602" s="128"/>
      <c r="BB3602" s="128"/>
      <c r="BC3602" s="128"/>
      <c r="BD3602" s="128"/>
      <c r="BE3602" s="128"/>
      <c r="BF3602" s="128"/>
      <c r="BG3602" s="128"/>
      <c r="BH3602" s="128"/>
      <c r="BI3602" s="128"/>
      <c r="BJ3602" s="128"/>
      <c r="BK3602" s="128"/>
      <c r="BL3602" s="128"/>
      <c r="BM3602" s="151"/>
      <c r="BN3602" s="128"/>
      <c r="BO3602" s="128"/>
      <c r="BP3602" s="128"/>
      <c r="BQ3602" s="128"/>
      <c r="BR3602" s="128"/>
      <c r="BS3602" s="128"/>
      <c r="BT3602" s="128"/>
      <c r="BU3602" s="128"/>
      <c r="BV3602" s="128"/>
      <c r="BW3602" s="128"/>
      <c r="BX3602" s="128"/>
      <c r="BY3602" s="128"/>
      <c r="BZ3602" s="128"/>
      <c r="CA3602" s="128"/>
      <c r="CB3602" s="128"/>
      <c r="CC3602" s="128"/>
      <c r="CD3602" s="128"/>
      <c r="CE3602" s="128"/>
      <c r="CF3602" s="128"/>
      <c r="CG3602" s="128"/>
      <c r="CI3602" s="128"/>
      <c r="CJ3602" s="128"/>
      <c r="CK3602" s="128"/>
      <c r="CL3602" s="128"/>
      <c r="CM3602" s="128"/>
      <c r="CN3602" s="128"/>
      <c r="CO3602" s="128"/>
      <c r="CP3602" s="128"/>
      <c r="CQ3602" s="128"/>
      <c r="CR3602" s="128"/>
      <c r="CS3602" s="128"/>
      <c r="CT3602" s="128"/>
      <c r="CU3602" s="128"/>
      <c r="CV3602" s="128"/>
      <c r="CW3602" s="128"/>
      <c r="CX3602" s="128"/>
      <c r="CY3602" s="128"/>
      <c r="CZ3602" s="165"/>
    </row>
    <row r="3603" spans="1:104">
      <c r="A3603" s="149"/>
      <c r="B3603" s="149"/>
      <c r="C3603" s="150"/>
      <c r="D3603" s="102"/>
      <c r="E3603" s="149"/>
      <c r="F3603" s="149"/>
      <c r="G3603" s="149"/>
      <c r="H3603" s="149"/>
      <c r="I3603" s="149"/>
      <c r="J3603" s="149"/>
      <c r="K3603" s="149"/>
      <c r="L3603" s="149"/>
      <c r="M3603" s="149"/>
      <c r="N3603" s="149"/>
      <c r="O3603" s="149"/>
      <c r="P3603" s="149"/>
      <c r="Q3603" s="149"/>
      <c r="R3603" s="149"/>
      <c r="S3603" s="149"/>
      <c r="T3603" s="149"/>
      <c r="U3603" s="149"/>
      <c r="V3603" s="149"/>
      <c r="W3603" s="149"/>
      <c r="X3603" s="149"/>
      <c r="Y3603" s="149"/>
      <c r="Z3603" s="149"/>
      <c r="AA3603" s="149"/>
      <c r="AB3603" s="149"/>
      <c r="AC3603" s="149"/>
      <c r="AD3603" s="149"/>
      <c r="AE3603" s="149"/>
      <c r="AF3603" s="149"/>
      <c r="AG3603" s="149"/>
      <c r="AH3603" s="149"/>
      <c r="AI3603" s="149"/>
      <c r="AJ3603" s="149"/>
      <c r="AK3603" s="149"/>
      <c r="AL3603" s="149"/>
      <c r="AM3603" s="149"/>
      <c r="AN3603" s="149"/>
      <c r="AO3603" s="128"/>
      <c r="AP3603" s="128"/>
      <c r="AQ3603" s="128"/>
      <c r="AR3603" s="128"/>
      <c r="AS3603" s="128"/>
      <c r="AT3603" s="128"/>
      <c r="AU3603" s="128"/>
      <c r="AV3603" s="128"/>
      <c r="AW3603" s="128"/>
      <c r="AX3603" s="128"/>
      <c r="AY3603" s="128"/>
      <c r="AZ3603" s="128"/>
      <c r="BA3603" s="128"/>
      <c r="BB3603" s="128"/>
      <c r="BC3603" s="128"/>
      <c r="BD3603" s="128"/>
      <c r="BE3603" s="128"/>
      <c r="BF3603" s="128"/>
      <c r="BG3603" s="128"/>
      <c r="BH3603" s="128"/>
      <c r="BI3603" s="128"/>
      <c r="BJ3603" s="128"/>
      <c r="BK3603" s="128"/>
      <c r="BL3603" s="128"/>
      <c r="BM3603" s="151"/>
      <c r="BN3603" s="128"/>
      <c r="BO3603" s="128"/>
      <c r="BP3603" s="128"/>
      <c r="BQ3603" s="128"/>
      <c r="BR3603" s="128"/>
      <c r="BS3603" s="128"/>
      <c r="BT3603" s="128"/>
      <c r="BU3603" s="128"/>
      <c r="BV3603" s="128"/>
      <c r="BW3603" s="128"/>
      <c r="BX3603" s="128"/>
      <c r="BY3603" s="128"/>
      <c r="BZ3603" s="128"/>
      <c r="CA3603" s="128"/>
      <c r="CB3603" s="128"/>
      <c r="CC3603" s="128"/>
      <c r="CD3603" s="128"/>
      <c r="CE3603" s="128"/>
      <c r="CF3603" s="128"/>
      <c r="CG3603" s="128"/>
      <c r="CI3603" s="128"/>
      <c r="CJ3603" s="128"/>
      <c r="CK3603" s="128"/>
      <c r="CL3603" s="128"/>
      <c r="CM3603" s="128"/>
      <c r="CN3603" s="128"/>
      <c r="CO3603" s="128"/>
      <c r="CP3603" s="128"/>
      <c r="CQ3603" s="128"/>
      <c r="CR3603" s="128"/>
      <c r="CS3603" s="128"/>
      <c r="CT3603" s="128"/>
      <c r="CU3603" s="128"/>
      <c r="CV3603" s="128"/>
      <c r="CW3603" s="128"/>
      <c r="CX3603" s="128"/>
      <c r="CY3603" s="128"/>
      <c r="CZ3603" s="165"/>
    </row>
    <row r="3604" spans="1:104">
      <c r="A3604" s="149"/>
      <c r="B3604" s="149"/>
      <c r="C3604" s="150"/>
      <c r="D3604" s="102"/>
      <c r="E3604" s="149"/>
      <c r="F3604" s="149"/>
      <c r="G3604" s="149"/>
      <c r="H3604" s="149"/>
      <c r="I3604" s="149"/>
      <c r="J3604" s="149"/>
      <c r="K3604" s="149"/>
      <c r="L3604" s="149"/>
      <c r="M3604" s="149"/>
      <c r="N3604" s="149"/>
      <c r="O3604" s="149"/>
      <c r="P3604" s="149"/>
      <c r="Q3604" s="149"/>
      <c r="R3604" s="149"/>
      <c r="S3604" s="149"/>
      <c r="T3604" s="149"/>
      <c r="U3604" s="149"/>
      <c r="V3604" s="149"/>
      <c r="W3604" s="149"/>
      <c r="X3604" s="149"/>
      <c r="Y3604" s="149"/>
      <c r="Z3604" s="149"/>
      <c r="AA3604" s="149"/>
      <c r="AB3604" s="149"/>
      <c r="AC3604" s="149"/>
      <c r="AD3604" s="149"/>
      <c r="AE3604" s="149"/>
      <c r="AF3604" s="149"/>
      <c r="AG3604" s="149"/>
      <c r="AH3604" s="149"/>
      <c r="AI3604" s="149"/>
      <c r="AJ3604" s="149"/>
      <c r="AK3604" s="149"/>
      <c r="AL3604" s="149"/>
      <c r="AM3604" s="149"/>
      <c r="AN3604" s="149"/>
      <c r="AO3604" s="128"/>
      <c r="AP3604" s="128"/>
      <c r="AQ3604" s="128"/>
      <c r="AR3604" s="128"/>
      <c r="AS3604" s="128"/>
      <c r="AT3604" s="128"/>
      <c r="AU3604" s="128"/>
      <c r="AV3604" s="128"/>
      <c r="AW3604" s="128"/>
      <c r="AX3604" s="128"/>
      <c r="AY3604" s="128"/>
      <c r="AZ3604" s="128"/>
      <c r="BA3604" s="128"/>
      <c r="BB3604" s="128"/>
      <c r="BC3604" s="128"/>
      <c r="BD3604" s="128"/>
      <c r="BE3604" s="128"/>
      <c r="BF3604" s="128"/>
      <c r="BG3604" s="128"/>
      <c r="BH3604" s="128"/>
      <c r="BI3604" s="128"/>
      <c r="BJ3604" s="128"/>
      <c r="BK3604" s="128"/>
      <c r="BL3604" s="128"/>
      <c r="BM3604" s="151"/>
      <c r="BN3604" s="128"/>
      <c r="BO3604" s="128"/>
      <c r="BP3604" s="128"/>
      <c r="BQ3604" s="128"/>
      <c r="BR3604" s="128"/>
      <c r="BS3604" s="128"/>
      <c r="BT3604" s="128"/>
      <c r="BU3604" s="128"/>
      <c r="BV3604" s="128"/>
      <c r="BW3604" s="128"/>
      <c r="BX3604" s="128"/>
      <c r="BY3604" s="128"/>
      <c r="BZ3604" s="128"/>
      <c r="CA3604" s="128"/>
      <c r="CB3604" s="128"/>
      <c r="CC3604" s="128"/>
      <c r="CD3604" s="128"/>
      <c r="CE3604" s="128"/>
      <c r="CF3604" s="128"/>
      <c r="CG3604" s="128"/>
      <c r="CI3604" s="128"/>
      <c r="CJ3604" s="128"/>
      <c r="CK3604" s="128"/>
      <c r="CL3604" s="128"/>
      <c r="CM3604" s="128"/>
      <c r="CN3604" s="128"/>
      <c r="CO3604" s="128"/>
      <c r="CP3604" s="128"/>
      <c r="CQ3604" s="128"/>
      <c r="CR3604" s="128"/>
      <c r="CS3604" s="128"/>
      <c r="CT3604" s="128"/>
      <c r="CU3604" s="128"/>
      <c r="CV3604" s="128"/>
      <c r="CW3604" s="128"/>
      <c r="CX3604" s="128"/>
      <c r="CY3604" s="128"/>
      <c r="CZ3604" s="165"/>
    </row>
    <row r="3605" spans="1:104">
      <c r="A3605" s="149"/>
      <c r="B3605" s="149"/>
      <c r="C3605" s="150"/>
      <c r="D3605" s="102"/>
      <c r="E3605" s="149"/>
      <c r="F3605" s="149"/>
      <c r="G3605" s="149"/>
      <c r="H3605" s="149"/>
      <c r="I3605" s="149"/>
      <c r="J3605" s="149"/>
      <c r="K3605" s="149"/>
      <c r="L3605" s="149"/>
      <c r="M3605" s="149"/>
      <c r="N3605" s="149"/>
      <c r="O3605" s="149"/>
      <c r="P3605" s="149"/>
      <c r="Q3605" s="149"/>
      <c r="R3605" s="149"/>
      <c r="S3605" s="149"/>
      <c r="T3605" s="149"/>
      <c r="U3605" s="149"/>
      <c r="V3605" s="149"/>
      <c r="W3605" s="149"/>
      <c r="X3605" s="149"/>
      <c r="Y3605" s="149"/>
      <c r="Z3605" s="149"/>
      <c r="AA3605" s="149"/>
      <c r="AB3605" s="149"/>
      <c r="AC3605" s="149"/>
      <c r="AD3605" s="149"/>
      <c r="AE3605" s="149"/>
      <c r="AF3605" s="149"/>
      <c r="AG3605" s="149"/>
      <c r="AH3605" s="149"/>
      <c r="AI3605" s="149"/>
      <c r="AJ3605" s="149"/>
      <c r="AK3605" s="149"/>
      <c r="AL3605" s="149"/>
      <c r="AM3605" s="149"/>
      <c r="AN3605" s="149"/>
      <c r="AO3605" s="128"/>
      <c r="AP3605" s="128"/>
      <c r="AQ3605" s="128"/>
      <c r="AR3605" s="128"/>
      <c r="AS3605" s="128"/>
      <c r="AT3605" s="128"/>
      <c r="AU3605" s="128"/>
      <c r="AV3605" s="128"/>
      <c r="AW3605" s="128"/>
      <c r="AX3605" s="128"/>
      <c r="AY3605" s="128"/>
      <c r="AZ3605" s="128"/>
      <c r="BA3605" s="128"/>
      <c r="BB3605" s="128"/>
      <c r="BC3605" s="128"/>
      <c r="BD3605" s="128"/>
      <c r="BE3605" s="128"/>
      <c r="BF3605" s="128"/>
      <c r="BG3605" s="128"/>
      <c r="BH3605" s="128"/>
      <c r="BI3605" s="128"/>
      <c r="BJ3605" s="128"/>
      <c r="BK3605" s="128"/>
      <c r="BL3605" s="128"/>
      <c r="BM3605" s="151"/>
      <c r="BN3605" s="128"/>
      <c r="BO3605" s="128"/>
      <c r="BP3605" s="128"/>
      <c r="BQ3605" s="128"/>
      <c r="BR3605" s="128"/>
      <c r="BS3605" s="128"/>
      <c r="BT3605" s="128"/>
      <c r="BU3605" s="128"/>
      <c r="BV3605" s="128"/>
      <c r="BW3605" s="128"/>
      <c r="BX3605" s="128"/>
      <c r="BY3605" s="128"/>
      <c r="BZ3605" s="128"/>
      <c r="CA3605" s="128"/>
      <c r="CB3605" s="128"/>
      <c r="CC3605" s="128"/>
      <c r="CD3605" s="128"/>
      <c r="CE3605" s="128"/>
      <c r="CF3605" s="128"/>
      <c r="CG3605" s="128"/>
      <c r="CI3605" s="128"/>
      <c r="CJ3605" s="128"/>
      <c r="CK3605" s="128"/>
      <c r="CL3605" s="128"/>
      <c r="CM3605" s="128"/>
      <c r="CN3605" s="128"/>
      <c r="CO3605" s="128"/>
      <c r="CP3605" s="128"/>
      <c r="CQ3605" s="128"/>
      <c r="CR3605" s="128"/>
      <c r="CS3605" s="128"/>
      <c r="CT3605" s="128"/>
      <c r="CU3605" s="128"/>
      <c r="CV3605" s="128"/>
      <c r="CW3605" s="128"/>
      <c r="CX3605" s="128"/>
      <c r="CY3605" s="128"/>
      <c r="CZ3605" s="165"/>
    </row>
    <row r="3606" spans="1:104">
      <c r="A3606" s="149"/>
      <c r="B3606" s="149"/>
      <c r="C3606" s="150"/>
      <c r="D3606" s="102"/>
      <c r="E3606" s="149"/>
      <c r="F3606" s="149"/>
      <c r="G3606" s="149"/>
      <c r="H3606" s="149"/>
      <c r="I3606" s="149"/>
      <c r="J3606" s="149"/>
      <c r="K3606" s="149"/>
      <c r="L3606" s="149"/>
      <c r="M3606" s="149"/>
      <c r="N3606" s="149"/>
      <c r="O3606" s="149"/>
      <c r="P3606" s="149"/>
      <c r="Q3606" s="149"/>
      <c r="R3606" s="149"/>
      <c r="S3606" s="149"/>
      <c r="T3606" s="149"/>
      <c r="U3606" s="149"/>
      <c r="V3606" s="149"/>
      <c r="W3606" s="149"/>
      <c r="X3606" s="149"/>
      <c r="Y3606" s="149"/>
      <c r="Z3606" s="149"/>
      <c r="AA3606" s="149"/>
      <c r="AB3606" s="149"/>
      <c r="AC3606" s="149"/>
      <c r="AD3606" s="149"/>
      <c r="AE3606" s="149"/>
      <c r="AF3606" s="149"/>
      <c r="AG3606" s="149"/>
      <c r="AH3606" s="149"/>
      <c r="AI3606" s="149"/>
      <c r="AJ3606" s="149"/>
      <c r="AK3606" s="149"/>
      <c r="AL3606" s="149"/>
      <c r="AM3606" s="149"/>
      <c r="AN3606" s="149"/>
      <c r="AO3606" s="128"/>
      <c r="AP3606" s="128"/>
      <c r="AQ3606" s="128"/>
      <c r="AR3606" s="128"/>
      <c r="AS3606" s="128"/>
      <c r="AT3606" s="128"/>
      <c r="AU3606" s="128"/>
      <c r="AV3606" s="128"/>
      <c r="AW3606" s="128"/>
      <c r="AX3606" s="128"/>
      <c r="AY3606" s="128"/>
      <c r="AZ3606" s="128"/>
      <c r="BA3606" s="128"/>
      <c r="BB3606" s="128"/>
      <c r="BC3606" s="128"/>
      <c r="BD3606" s="128"/>
      <c r="BE3606" s="128"/>
      <c r="BF3606" s="128"/>
      <c r="BG3606" s="128"/>
      <c r="BH3606" s="128"/>
      <c r="BI3606" s="128"/>
      <c r="BJ3606" s="128"/>
      <c r="BK3606" s="128"/>
      <c r="BL3606" s="128"/>
      <c r="BM3606" s="151"/>
      <c r="BN3606" s="128"/>
      <c r="BO3606" s="128"/>
      <c r="BP3606" s="128"/>
      <c r="BQ3606" s="128"/>
      <c r="BR3606" s="128"/>
      <c r="BS3606" s="128"/>
      <c r="BT3606" s="128"/>
      <c r="BU3606" s="128"/>
      <c r="BV3606" s="128"/>
      <c r="BW3606" s="128"/>
      <c r="BX3606" s="128"/>
      <c r="BY3606" s="128"/>
      <c r="BZ3606" s="128"/>
      <c r="CA3606" s="128"/>
      <c r="CB3606" s="128"/>
      <c r="CC3606" s="128"/>
      <c r="CD3606" s="128"/>
      <c r="CE3606" s="128"/>
      <c r="CF3606" s="128"/>
      <c r="CG3606" s="128"/>
      <c r="CI3606" s="128"/>
      <c r="CJ3606" s="128"/>
      <c r="CK3606" s="128"/>
      <c r="CL3606" s="128"/>
      <c r="CM3606" s="128"/>
      <c r="CN3606" s="128"/>
      <c r="CO3606" s="128"/>
      <c r="CP3606" s="128"/>
      <c r="CQ3606" s="128"/>
      <c r="CR3606" s="128"/>
      <c r="CS3606" s="128"/>
      <c r="CT3606" s="128"/>
      <c r="CU3606" s="128"/>
      <c r="CV3606" s="128"/>
      <c r="CW3606" s="128"/>
      <c r="CX3606" s="128"/>
      <c r="CY3606" s="128"/>
      <c r="CZ3606" s="165"/>
    </row>
    <row r="3607" spans="1:104">
      <c r="A3607" s="149"/>
      <c r="B3607" s="149"/>
      <c r="C3607" s="150"/>
      <c r="D3607" s="102"/>
      <c r="E3607" s="149"/>
      <c r="F3607" s="149"/>
      <c r="G3607" s="149"/>
      <c r="H3607" s="149"/>
      <c r="I3607" s="149"/>
      <c r="J3607" s="149"/>
      <c r="K3607" s="149"/>
      <c r="L3607" s="149"/>
      <c r="M3607" s="149"/>
      <c r="N3607" s="149"/>
      <c r="O3607" s="149"/>
      <c r="P3607" s="149"/>
      <c r="Q3607" s="149"/>
      <c r="R3607" s="149"/>
      <c r="S3607" s="149"/>
      <c r="T3607" s="149"/>
      <c r="U3607" s="149"/>
      <c r="V3607" s="149"/>
      <c r="W3607" s="149"/>
      <c r="X3607" s="149"/>
      <c r="Y3607" s="149"/>
      <c r="Z3607" s="149"/>
      <c r="AA3607" s="149"/>
      <c r="AB3607" s="149"/>
      <c r="AC3607" s="149"/>
      <c r="AD3607" s="149"/>
      <c r="AE3607" s="149"/>
      <c r="AF3607" s="149"/>
      <c r="AG3607" s="149"/>
      <c r="AH3607" s="149"/>
      <c r="AI3607" s="149"/>
      <c r="AJ3607" s="149"/>
      <c r="AK3607" s="149"/>
      <c r="AL3607" s="149"/>
      <c r="AM3607" s="149"/>
      <c r="AN3607" s="149"/>
      <c r="AO3607" s="128"/>
      <c r="AP3607" s="128"/>
      <c r="AQ3607" s="128"/>
      <c r="AR3607" s="128"/>
      <c r="AS3607" s="128"/>
      <c r="AT3607" s="128"/>
      <c r="AU3607" s="128"/>
      <c r="AV3607" s="128"/>
      <c r="AW3607" s="128"/>
      <c r="AX3607" s="128"/>
      <c r="AY3607" s="128"/>
      <c r="AZ3607" s="128"/>
      <c r="BA3607" s="128"/>
      <c r="BB3607" s="128"/>
      <c r="BC3607" s="128"/>
      <c r="BD3607" s="128"/>
      <c r="BE3607" s="128"/>
      <c r="BF3607" s="128"/>
      <c r="BG3607" s="128"/>
      <c r="BH3607" s="128"/>
      <c r="BI3607" s="128"/>
      <c r="BJ3607" s="128"/>
      <c r="BK3607" s="128"/>
      <c r="BL3607" s="128"/>
      <c r="BM3607" s="151"/>
      <c r="BN3607" s="128"/>
      <c r="BO3607" s="128"/>
      <c r="BP3607" s="128"/>
      <c r="BQ3607" s="128"/>
      <c r="BR3607" s="128"/>
      <c r="BS3607" s="128"/>
      <c r="BT3607" s="128"/>
      <c r="BU3607" s="128"/>
      <c r="BV3607" s="128"/>
      <c r="BW3607" s="128"/>
      <c r="BX3607" s="128"/>
      <c r="BY3607" s="128"/>
      <c r="BZ3607" s="128"/>
      <c r="CA3607" s="128"/>
      <c r="CB3607" s="128"/>
      <c r="CC3607" s="128"/>
      <c r="CD3607" s="128"/>
      <c r="CE3607" s="128"/>
      <c r="CF3607" s="128"/>
      <c r="CG3607" s="128"/>
      <c r="CI3607" s="128"/>
      <c r="CJ3607" s="128"/>
      <c r="CK3607" s="128"/>
      <c r="CL3607" s="128"/>
      <c r="CM3607" s="128"/>
      <c r="CN3607" s="128"/>
      <c r="CO3607" s="128"/>
      <c r="CP3607" s="128"/>
      <c r="CQ3607" s="128"/>
      <c r="CR3607" s="128"/>
      <c r="CS3607" s="128"/>
      <c r="CT3607" s="128"/>
      <c r="CU3607" s="128"/>
      <c r="CV3607" s="128"/>
      <c r="CW3607" s="128"/>
      <c r="CX3607" s="128"/>
      <c r="CY3607" s="128"/>
      <c r="CZ3607" s="165"/>
    </row>
    <row r="3608" spans="1:104">
      <c r="A3608" s="149"/>
      <c r="B3608" s="149"/>
      <c r="C3608" s="150"/>
      <c r="D3608" s="102"/>
      <c r="E3608" s="149"/>
      <c r="F3608" s="149"/>
      <c r="G3608" s="149"/>
      <c r="H3608" s="149"/>
      <c r="I3608" s="149"/>
      <c r="J3608" s="149"/>
      <c r="K3608" s="149"/>
      <c r="L3608" s="149"/>
      <c r="M3608" s="149"/>
      <c r="N3608" s="149"/>
      <c r="O3608" s="149"/>
      <c r="P3608" s="149"/>
      <c r="Q3608" s="149"/>
      <c r="R3608" s="149"/>
      <c r="S3608" s="149"/>
      <c r="T3608" s="149"/>
      <c r="U3608" s="149"/>
      <c r="V3608" s="149"/>
      <c r="W3608" s="149"/>
      <c r="X3608" s="149"/>
      <c r="Y3608" s="149"/>
      <c r="Z3608" s="149"/>
      <c r="AA3608" s="149"/>
      <c r="AB3608" s="149"/>
      <c r="AC3608" s="149"/>
      <c r="AD3608" s="149"/>
      <c r="AE3608" s="149"/>
      <c r="AF3608" s="149"/>
      <c r="AG3608" s="149"/>
      <c r="AH3608" s="149"/>
      <c r="AI3608" s="149"/>
      <c r="AJ3608" s="149"/>
      <c r="AK3608" s="149"/>
      <c r="AL3608" s="149"/>
      <c r="AM3608" s="149"/>
      <c r="AN3608" s="149"/>
      <c r="AO3608" s="128"/>
      <c r="AP3608" s="128"/>
      <c r="AQ3608" s="128"/>
      <c r="AR3608" s="128"/>
      <c r="AS3608" s="128"/>
      <c r="AT3608" s="128"/>
      <c r="AU3608" s="128"/>
      <c r="AV3608" s="128"/>
      <c r="AW3608" s="128"/>
      <c r="AX3608" s="128"/>
      <c r="AY3608" s="128"/>
      <c r="AZ3608" s="128"/>
      <c r="BA3608" s="128"/>
      <c r="BB3608" s="128"/>
      <c r="BC3608" s="128"/>
      <c r="BD3608" s="128"/>
      <c r="BE3608" s="128"/>
      <c r="BF3608" s="128"/>
      <c r="BG3608" s="128"/>
      <c r="BH3608" s="128"/>
      <c r="BI3608" s="128"/>
      <c r="BJ3608" s="128"/>
      <c r="BK3608" s="128"/>
      <c r="BL3608" s="128"/>
      <c r="BM3608" s="151"/>
      <c r="BN3608" s="128"/>
      <c r="BO3608" s="128"/>
      <c r="BP3608" s="128"/>
      <c r="BQ3608" s="128"/>
      <c r="BR3608" s="128"/>
      <c r="BS3608" s="128"/>
      <c r="BT3608" s="128"/>
      <c r="BU3608" s="128"/>
      <c r="BV3608" s="128"/>
      <c r="BW3608" s="128"/>
      <c r="BX3608" s="128"/>
      <c r="BY3608" s="128"/>
      <c r="BZ3608" s="128"/>
      <c r="CA3608" s="128"/>
      <c r="CB3608" s="128"/>
      <c r="CC3608" s="128"/>
      <c r="CD3608" s="128"/>
      <c r="CE3608" s="128"/>
      <c r="CF3608" s="128"/>
      <c r="CG3608" s="128"/>
      <c r="CI3608" s="128"/>
      <c r="CJ3608" s="128"/>
      <c r="CK3608" s="128"/>
      <c r="CL3608" s="128"/>
      <c r="CM3608" s="128"/>
      <c r="CN3608" s="128"/>
      <c r="CO3608" s="128"/>
      <c r="CP3608" s="128"/>
      <c r="CQ3608" s="128"/>
      <c r="CR3608" s="128"/>
      <c r="CS3608" s="128"/>
      <c r="CT3608" s="128"/>
      <c r="CU3608" s="128"/>
      <c r="CV3608" s="128"/>
      <c r="CW3608" s="128"/>
      <c r="CX3608" s="128"/>
      <c r="CY3608" s="128"/>
      <c r="CZ3608" s="165"/>
    </row>
    <row r="3609" spans="1:104">
      <c r="A3609" s="149"/>
      <c r="B3609" s="149"/>
      <c r="C3609" s="150"/>
      <c r="D3609" s="102"/>
      <c r="E3609" s="149"/>
      <c r="F3609" s="149"/>
      <c r="G3609" s="149"/>
      <c r="H3609" s="149"/>
      <c r="I3609" s="149"/>
      <c r="J3609" s="149"/>
      <c r="K3609" s="149"/>
      <c r="L3609" s="149"/>
      <c r="M3609" s="149"/>
      <c r="N3609" s="149"/>
      <c r="O3609" s="149"/>
      <c r="P3609" s="149"/>
      <c r="Q3609" s="149"/>
      <c r="R3609" s="149"/>
      <c r="S3609" s="149"/>
      <c r="T3609" s="149"/>
      <c r="U3609" s="149"/>
      <c r="V3609" s="149"/>
      <c r="W3609" s="149"/>
      <c r="X3609" s="149"/>
      <c r="Y3609" s="149"/>
      <c r="Z3609" s="149"/>
      <c r="AA3609" s="149"/>
      <c r="AB3609" s="149"/>
      <c r="AC3609" s="149"/>
      <c r="AD3609" s="149"/>
      <c r="AE3609" s="149"/>
      <c r="AF3609" s="149"/>
      <c r="AG3609" s="149"/>
      <c r="AH3609" s="149"/>
      <c r="AI3609" s="149"/>
      <c r="AJ3609" s="149"/>
      <c r="AK3609" s="149"/>
      <c r="AL3609" s="149"/>
      <c r="AM3609" s="149"/>
      <c r="AN3609" s="149"/>
      <c r="AO3609" s="128"/>
      <c r="AP3609" s="128"/>
      <c r="AQ3609" s="128"/>
      <c r="AR3609" s="128"/>
      <c r="AS3609" s="128"/>
      <c r="AT3609" s="128"/>
      <c r="AU3609" s="128"/>
      <c r="AV3609" s="128"/>
      <c r="AW3609" s="128"/>
      <c r="AX3609" s="128"/>
      <c r="AY3609" s="128"/>
      <c r="AZ3609" s="128"/>
      <c r="BA3609" s="128"/>
      <c r="BB3609" s="128"/>
      <c r="BC3609" s="128"/>
      <c r="BD3609" s="128"/>
      <c r="BE3609" s="128"/>
      <c r="BF3609" s="128"/>
      <c r="BG3609" s="128"/>
      <c r="BH3609" s="128"/>
      <c r="BI3609" s="128"/>
      <c r="BJ3609" s="128"/>
      <c r="BK3609" s="128"/>
      <c r="BL3609" s="128"/>
      <c r="BM3609" s="151"/>
      <c r="BN3609" s="128"/>
      <c r="BO3609" s="128"/>
      <c r="BP3609" s="128"/>
      <c r="BQ3609" s="128"/>
      <c r="BR3609" s="128"/>
      <c r="BS3609" s="128"/>
      <c r="BT3609" s="128"/>
      <c r="BU3609" s="128"/>
      <c r="BV3609" s="128"/>
      <c r="BW3609" s="128"/>
      <c r="BX3609" s="128"/>
      <c r="BY3609" s="128"/>
      <c r="BZ3609" s="128"/>
      <c r="CA3609" s="128"/>
      <c r="CB3609" s="128"/>
      <c r="CC3609" s="128"/>
      <c r="CD3609" s="128"/>
      <c r="CE3609" s="128"/>
      <c r="CF3609" s="128"/>
      <c r="CG3609" s="128"/>
      <c r="CI3609" s="128"/>
      <c r="CJ3609" s="128"/>
      <c r="CK3609" s="128"/>
      <c r="CL3609" s="128"/>
      <c r="CM3609" s="128"/>
      <c r="CN3609" s="128"/>
      <c r="CO3609" s="128"/>
      <c r="CP3609" s="128"/>
      <c r="CQ3609" s="128"/>
      <c r="CR3609" s="128"/>
      <c r="CS3609" s="128"/>
      <c r="CT3609" s="128"/>
      <c r="CU3609" s="128"/>
      <c r="CV3609" s="128"/>
      <c r="CW3609" s="128"/>
      <c r="CX3609" s="128"/>
      <c r="CY3609" s="128"/>
      <c r="CZ3609" s="165"/>
    </row>
    <row r="3610" spans="1:104">
      <c r="A3610" s="149"/>
      <c r="B3610" s="149"/>
      <c r="C3610" s="150"/>
      <c r="D3610" s="102"/>
      <c r="E3610" s="149"/>
      <c r="F3610" s="149"/>
      <c r="G3610" s="149"/>
      <c r="H3610" s="149"/>
      <c r="I3610" s="149"/>
      <c r="J3610" s="149"/>
      <c r="K3610" s="149"/>
      <c r="L3610" s="149"/>
      <c r="M3610" s="149"/>
      <c r="N3610" s="149"/>
      <c r="O3610" s="149"/>
      <c r="P3610" s="149"/>
      <c r="Q3610" s="149"/>
      <c r="R3610" s="149"/>
      <c r="S3610" s="149"/>
      <c r="T3610" s="149"/>
      <c r="U3610" s="149"/>
      <c r="V3610" s="149"/>
      <c r="W3610" s="149"/>
      <c r="X3610" s="149"/>
      <c r="Y3610" s="149"/>
      <c r="Z3610" s="149"/>
      <c r="AA3610" s="149"/>
      <c r="AB3610" s="149"/>
      <c r="AC3610" s="149"/>
      <c r="AD3610" s="149"/>
      <c r="AE3610" s="149"/>
      <c r="AF3610" s="149"/>
      <c r="AG3610" s="149"/>
      <c r="AH3610" s="149"/>
      <c r="AI3610" s="149"/>
      <c r="AJ3610" s="149"/>
      <c r="AK3610" s="149"/>
      <c r="AL3610" s="149"/>
      <c r="AM3610" s="149"/>
      <c r="AN3610" s="149"/>
      <c r="AO3610" s="128"/>
      <c r="AP3610" s="128"/>
      <c r="AQ3610" s="128"/>
      <c r="AR3610" s="128"/>
      <c r="AS3610" s="128"/>
      <c r="AT3610" s="128"/>
      <c r="AU3610" s="128"/>
      <c r="AV3610" s="128"/>
      <c r="AW3610" s="128"/>
      <c r="AX3610" s="128"/>
      <c r="AY3610" s="128"/>
      <c r="AZ3610" s="128"/>
      <c r="BA3610" s="128"/>
      <c r="BB3610" s="128"/>
      <c r="BC3610" s="128"/>
      <c r="BD3610" s="128"/>
      <c r="BE3610" s="128"/>
      <c r="BF3610" s="128"/>
      <c r="BG3610" s="128"/>
      <c r="BH3610" s="128"/>
      <c r="BI3610" s="128"/>
      <c r="BJ3610" s="128"/>
      <c r="BK3610" s="128"/>
      <c r="BL3610" s="128"/>
      <c r="BM3610" s="151"/>
      <c r="BN3610" s="128"/>
      <c r="BO3610" s="128"/>
      <c r="BP3610" s="128"/>
      <c r="BQ3610" s="128"/>
      <c r="BR3610" s="128"/>
      <c r="BS3610" s="128"/>
      <c r="BT3610" s="128"/>
      <c r="BU3610" s="128"/>
      <c r="BV3610" s="128"/>
      <c r="BW3610" s="128"/>
      <c r="BX3610" s="128"/>
      <c r="BY3610" s="128"/>
      <c r="BZ3610" s="128"/>
      <c r="CA3610" s="128"/>
      <c r="CB3610" s="128"/>
      <c r="CC3610" s="128"/>
      <c r="CD3610" s="128"/>
      <c r="CE3610" s="128"/>
      <c r="CF3610" s="128"/>
      <c r="CG3610" s="128"/>
      <c r="CI3610" s="128"/>
      <c r="CJ3610" s="128"/>
      <c r="CK3610" s="128"/>
      <c r="CL3610" s="128"/>
      <c r="CM3610" s="128"/>
      <c r="CN3610" s="128"/>
      <c r="CO3610" s="128"/>
      <c r="CP3610" s="128"/>
      <c r="CQ3610" s="128"/>
      <c r="CR3610" s="128"/>
      <c r="CS3610" s="128"/>
      <c r="CT3610" s="128"/>
      <c r="CU3610" s="128"/>
      <c r="CV3610" s="128"/>
      <c r="CW3610" s="128"/>
      <c r="CX3610" s="128"/>
      <c r="CY3610" s="128"/>
      <c r="CZ3610" s="165"/>
    </row>
    <row r="3611" spans="1:104">
      <c r="A3611" s="149"/>
      <c r="B3611" s="149"/>
      <c r="C3611" s="150"/>
      <c r="D3611" s="102"/>
      <c r="E3611" s="149"/>
      <c r="F3611" s="149"/>
      <c r="G3611" s="149"/>
      <c r="H3611" s="149"/>
      <c r="I3611" s="149"/>
      <c r="J3611" s="149"/>
      <c r="K3611" s="149"/>
      <c r="L3611" s="149"/>
      <c r="M3611" s="149"/>
      <c r="N3611" s="149"/>
      <c r="O3611" s="149"/>
      <c r="P3611" s="149"/>
      <c r="Q3611" s="149"/>
      <c r="R3611" s="149"/>
      <c r="S3611" s="149"/>
      <c r="T3611" s="149"/>
      <c r="U3611" s="149"/>
      <c r="V3611" s="149"/>
      <c r="W3611" s="149"/>
      <c r="X3611" s="149"/>
      <c r="Y3611" s="149"/>
      <c r="Z3611" s="149"/>
      <c r="AA3611" s="149"/>
      <c r="AB3611" s="149"/>
      <c r="AC3611" s="149"/>
      <c r="AD3611" s="149"/>
      <c r="AE3611" s="149"/>
      <c r="AF3611" s="149"/>
      <c r="AG3611" s="149"/>
      <c r="AH3611" s="149"/>
      <c r="AI3611" s="149"/>
      <c r="AJ3611" s="149"/>
      <c r="AK3611" s="149"/>
      <c r="AL3611" s="149"/>
      <c r="AM3611" s="149"/>
      <c r="AN3611" s="149"/>
      <c r="AO3611" s="128"/>
      <c r="AP3611" s="128"/>
      <c r="AQ3611" s="128"/>
      <c r="AR3611" s="128"/>
      <c r="AS3611" s="128"/>
      <c r="AT3611" s="128"/>
      <c r="AU3611" s="128"/>
      <c r="AV3611" s="128"/>
      <c r="AW3611" s="128"/>
      <c r="AX3611" s="128"/>
      <c r="AY3611" s="128"/>
      <c r="AZ3611" s="128"/>
      <c r="BA3611" s="128"/>
      <c r="BB3611" s="128"/>
      <c r="BC3611" s="128"/>
      <c r="BD3611" s="128"/>
      <c r="BE3611" s="128"/>
      <c r="BF3611" s="128"/>
      <c r="BG3611" s="128"/>
      <c r="BH3611" s="128"/>
      <c r="BI3611" s="128"/>
      <c r="BJ3611" s="128"/>
      <c r="BK3611" s="128"/>
      <c r="BL3611" s="128"/>
      <c r="BM3611" s="151"/>
      <c r="BN3611" s="128"/>
      <c r="BO3611" s="128"/>
      <c r="BP3611" s="128"/>
      <c r="BQ3611" s="128"/>
      <c r="BR3611" s="128"/>
      <c r="BS3611" s="128"/>
      <c r="BT3611" s="128"/>
      <c r="BU3611" s="128"/>
      <c r="BV3611" s="128"/>
      <c r="BW3611" s="128"/>
      <c r="BX3611" s="128"/>
      <c r="BY3611" s="128"/>
      <c r="BZ3611" s="128"/>
      <c r="CA3611" s="128"/>
      <c r="CB3611" s="128"/>
      <c r="CC3611" s="128"/>
      <c r="CD3611" s="128"/>
      <c r="CE3611" s="128"/>
      <c r="CF3611" s="128"/>
      <c r="CG3611" s="128"/>
      <c r="CI3611" s="128"/>
      <c r="CJ3611" s="128"/>
      <c r="CK3611" s="128"/>
      <c r="CL3611" s="128"/>
      <c r="CM3611" s="128"/>
      <c r="CN3611" s="128"/>
      <c r="CO3611" s="128"/>
      <c r="CP3611" s="128"/>
      <c r="CQ3611" s="128"/>
      <c r="CR3611" s="128"/>
      <c r="CS3611" s="128"/>
      <c r="CT3611" s="128"/>
      <c r="CU3611" s="128"/>
      <c r="CV3611" s="128"/>
      <c r="CW3611" s="128"/>
      <c r="CX3611" s="128"/>
      <c r="CY3611" s="128"/>
      <c r="CZ3611" s="165"/>
    </row>
    <row r="3612" spans="1:104">
      <c r="A3612" s="149"/>
      <c r="B3612" s="149"/>
      <c r="C3612" s="150"/>
      <c r="D3612" s="102"/>
      <c r="E3612" s="149"/>
      <c r="F3612" s="149"/>
      <c r="G3612" s="149"/>
      <c r="H3612" s="149"/>
      <c r="I3612" s="149"/>
      <c r="J3612" s="149"/>
      <c r="K3612" s="149"/>
      <c r="L3612" s="149"/>
      <c r="M3612" s="149"/>
      <c r="N3612" s="149"/>
      <c r="O3612" s="149"/>
      <c r="P3612" s="149"/>
      <c r="Q3612" s="149"/>
      <c r="R3612" s="149"/>
      <c r="S3612" s="149"/>
      <c r="T3612" s="149"/>
      <c r="U3612" s="149"/>
      <c r="V3612" s="149"/>
      <c r="W3612" s="149"/>
      <c r="X3612" s="149"/>
      <c r="Y3612" s="149"/>
      <c r="Z3612" s="149"/>
      <c r="AA3612" s="149"/>
      <c r="AB3612" s="149"/>
      <c r="AC3612" s="149"/>
      <c r="AD3612" s="149"/>
      <c r="AE3612" s="149"/>
      <c r="AF3612" s="149"/>
      <c r="AG3612" s="149"/>
      <c r="AH3612" s="149"/>
      <c r="AI3612" s="149"/>
      <c r="AJ3612" s="149"/>
      <c r="AK3612" s="149"/>
      <c r="AL3612" s="149"/>
      <c r="AM3612" s="149"/>
      <c r="AN3612" s="149"/>
      <c r="AO3612" s="128"/>
      <c r="AP3612" s="128"/>
      <c r="AQ3612" s="128"/>
      <c r="AR3612" s="128"/>
      <c r="AS3612" s="128"/>
      <c r="AT3612" s="128"/>
      <c r="AU3612" s="128"/>
      <c r="AV3612" s="128"/>
      <c r="AW3612" s="128"/>
      <c r="AX3612" s="128"/>
      <c r="AY3612" s="128"/>
      <c r="AZ3612" s="128"/>
      <c r="BA3612" s="128"/>
      <c r="BB3612" s="128"/>
      <c r="BC3612" s="128"/>
      <c r="BD3612" s="128"/>
      <c r="BE3612" s="128"/>
      <c r="BF3612" s="128"/>
      <c r="BG3612" s="128"/>
      <c r="BH3612" s="128"/>
      <c r="BI3612" s="128"/>
      <c r="BJ3612" s="128"/>
      <c r="BK3612" s="128"/>
      <c r="BL3612" s="128"/>
      <c r="BM3612" s="151"/>
      <c r="BN3612" s="128"/>
      <c r="BO3612" s="128"/>
      <c r="BP3612" s="128"/>
      <c r="BQ3612" s="128"/>
      <c r="BR3612" s="128"/>
      <c r="BS3612" s="128"/>
      <c r="BT3612" s="128"/>
      <c r="BU3612" s="128"/>
      <c r="BV3612" s="128"/>
      <c r="BW3612" s="128"/>
      <c r="BX3612" s="128"/>
      <c r="BY3612" s="128"/>
      <c r="BZ3612" s="128"/>
      <c r="CA3612" s="128"/>
      <c r="CB3612" s="128"/>
      <c r="CC3612" s="128"/>
      <c r="CD3612" s="128"/>
      <c r="CE3612" s="128"/>
      <c r="CF3612" s="128"/>
      <c r="CG3612" s="128"/>
      <c r="CI3612" s="128"/>
      <c r="CJ3612" s="128"/>
      <c r="CK3612" s="128"/>
      <c r="CL3612" s="128"/>
      <c r="CM3612" s="128"/>
      <c r="CN3612" s="128"/>
      <c r="CO3612" s="128"/>
      <c r="CP3612" s="128"/>
      <c r="CQ3612" s="128"/>
      <c r="CR3612" s="128"/>
      <c r="CS3612" s="128"/>
      <c r="CT3612" s="128"/>
      <c r="CU3612" s="128"/>
      <c r="CV3612" s="128"/>
      <c r="CW3612" s="128"/>
      <c r="CX3612" s="128"/>
      <c r="CY3612" s="128"/>
      <c r="CZ3612" s="165"/>
    </row>
    <row r="3613" spans="1:104">
      <c r="A3613" s="149"/>
      <c r="B3613" s="149"/>
      <c r="C3613" s="150"/>
      <c r="D3613" s="102"/>
      <c r="E3613" s="149"/>
      <c r="F3613" s="149"/>
      <c r="G3613" s="149"/>
      <c r="H3613" s="149"/>
      <c r="I3613" s="149"/>
      <c r="J3613" s="149"/>
      <c r="K3613" s="149"/>
      <c r="L3613" s="149"/>
      <c r="M3613" s="149"/>
      <c r="N3613" s="149"/>
      <c r="O3613" s="149"/>
      <c r="P3613" s="149"/>
      <c r="Q3613" s="149"/>
      <c r="R3613" s="149"/>
      <c r="S3613" s="149"/>
      <c r="T3613" s="149"/>
      <c r="U3613" s="149"/>
      <c r="V3613" s="149"/>
      <c r="W3613" s="149"/>
      <c r="X3613" s="149"/>
      <c r="Y3613" s="149"/>
      <c r="Z3613" s="149"/>
      <c r="AA3613" s="149"/>
      <c r="AB3613" s="149"/>
      <c r="AC3613" s="149"/>
      <c r="AD3613" s="149"/>
      <c r="AE3613" s="149"/>
      <c r="AF3613" s="149"/>
      <c r="AG3613" s="149"/>
      <c r="AH3613" s="149"/>
      <c r="AI3613" s="149"/>
      <c r="AJ3613" s="149"/>
      <c r="AK3613" s="149"/>
      <c r="AL3613" s="149"/>
      <c r="AM3613" s="149"/>
      <c r="AN3613" s="149"/>
      <c r="AO3613" s="128"/>
      <c r="AP3613" s="128"/>
      <c r="AQ3613" s="128"/>
      <c r="AR3613" s="128"/>
      <c r="AS3613" s="128"/>
      <c r="AT3613" s="128"/>
      <c r="AU3613" s="128"/>
      <c r="AV3613" s="128"/>
      <c r="AW3613" s="128"/>
      <c r="AX3613" s="128"/>
      <c r="AY3613" s="128"/>
      <c r="AZ3613" s="128"/>
      <c r="BA3613" s="128"/>
      <c r="BB3613" s="128"/>
      <c r="BC3613" s="128"/>
      <c r="BD3613" s="128"/>
      <c r="BE3613" s="128"/>
      <c r="BF3613" s="128"/>
      <c r="BG3613" s="128"/>
      <c r="BH3613" s="128"/>
      <c r="BI3613" s="128"/>
      <c r="BJ3613" s="128"/>
      <c r="BK3613" s="128"/>
      <c r="BL3613" s="128"/>
      <c r="BM3613" s="151"/>
      <c r="BN3613" s="128"/>
      <c r="BO3613" s="128"/>
      <c r="BP3613" s="128"/>
      <c r="BQ3613" s="128"/>
      <c r="BR3613" s="128"/>
      <c r="BS3613" s="128"/>
      <c r="BT3613" s="128"/>
      <c r="BU3613" s="128"/>
      <c r="BV3613" s="128"/>
      <c r="BW3613" s="128"/>
      <c r="BX3613" s="128"/>
      <c r="BY3613" s="128"/>
      <c r="BZ3613" s="128"/>
      <c r="CA3613" s="128"/>
      <c r="CB3613" s="128"/>
      <c r="CC3613" s="128"/>
      <c r="CD3613" s="128"/>
      <c r="CE3613" s="128"/>
      <c r="CF3613" s="128"/>
      <c r="CG3613" s="128"/>
      <c r="CI3613" s="128"/>
      <c r="CJ3613" s="128"/>
      <c r="CK3613" s="128"/>
      <c r="CL3613" s="128"/>
      <c r="CM3613" s="128"/>
      <c r="CN3613" s="128"/>
      <c r="CO3613" s="128"/>
      <c r="CP3613" s="128"/>
      <c r="CQ3613" s="128"/>
      <c r="CR3613" s="128"/>
      <c r="CS3613" s="128"/>
      <c r="CT3613" s="128"/>
      <c r="CU3613" s="128"/>
      <c r="CV3613" s="128"/>
      <c r="CW3613" s="128"/>
      <c r="CX3613" s="128"/>
      <c r="CY3613" s="128"/>
      <c r="CZ3613" s="165"/>
    </row>
    <row r="3614" spans="1:104">
      <c r="A3614" s="149"/>
      <c r="B3614" s="149"/>
      <c r="C3614" s="150"/>
      <c r="D3614" s="102"/>
      <c r="E3614" s="149"/>
      <c r="F3614" s="149"/>
      <c r="G3614" s="149"/>
      <c r="H3614" s="149"/>
      <c r="I3614" s="149"/>
      <c r="J3614" s="149"/>
      <c r="K3614" s="149"/>
      <c r="L3614" s="149"/>
      <c r="M3614" s="149"/>
      <c r="N3614" s="149"/>
      <c r="O3614" s="149"/>
      <c r="P3614" s="149"/>
      <c r="Q3614" s="149"/>
      <c r="R3614" s="149"/>
      <c r="S3614" s="149"/>
      <c r="T3614" s="149"/>
      <c r="U3614" s="149"/>
      <c r="V3614" s="149"/>
      <c r="W3614" s="149"/>
      <c r="X3614" s="149"/>
      <c r="Y3614" s="149"/>
      <c r="Z3614" s="149"/>
      <c r="AA3614" s="149"/>
      <c r="AB3614" s="149"/>
      <c r="AC3614" s="149"/>
      <c r="AD3614" s="149"/>
      <c r="AE3614" s="149"/>
      <c r="AF3614" s="149"/>
      <c r="AG3614" s="149"/>
      <c r="AH3614" s="149"/>
      <c r="AI3614" s="149"/>
      <c r="AJ3614" s="149"/>
      <c r="AK3614" s="149"/>
      <c r="AL3614" s="149"/>
      <c r="AM3614" s="149"/>
      <c r="AN3614" s="149"/>
      <c r="AO3614" s="128"/>
      <c r="AP3614" s="128"/>
      <c r="AQ3614" s="128"/>
      <c r="AR3614" s="128"/>
      <c r="AS3614" s="128"/>
      <c r="AT3614" s="128"/>
      <c r="AU3614" s="128"/>
      <c r="AV3614" s="128"/>
      <c r="AW3614" s="128"/>
      <c r="AX3614" s="128"/>
      <c r="AY3614" s="128"/>
      <c r="AZ3614" s="128"/>
      <c r="BA3614" s="128"/>
      <c r="BB3614" s="128"/>
      <c r="BC3614" s="128"/>
      <c r="BD3614" s="128"/>
      <c r="BE3614" s="128"/>
      <c r="BF3614" s="128"/>
      <c r="BG3614" s="128"/>
      <c r="BH3614" s="128"/>
      <c r="BI3614" s="128"/>
      <c r="BJ3614" s="128"/>
      <c r="BK3614" s="128"/>
      <c r="BL3614" s="128"/>
      <c r="BM3614" s="151"/>
      <c r="BN3614" s="128"/>
      <c r="BO3614" s="128"/>
      <c r="BP3614" s="128"/>
      <c r="BQ3614" s="128"/>
      <c r="BR3614" s="128"/>
      <c r="BS3614" s="128"/>
      <c r="BT3614" s="128"/>
      <c r="BU3614" s="128"/>
      <c r="BV3614" s="128"/>
      <c r="BW3614" s="128"/>
      <c r="BX3614" s="128"/>
      <c r="BY3614" s="128"/>
      <c r="BZ3614" s="128"/>
      <c r="CA3614" s="128"/>
      <c r="CB3614" s="128"/>
      <c r="CC3614" s="128"/>
      <c r="CD3614" s="128"/>
      <c r="CE3614" s="128"/>
      <c r="CF3614" s="128"/>
      <c r="CG3614" s="128"/>
      <c r="CI3614" s="128"/>
      <c r="CJ3614" s="128"/>
      <c r="CK3614" s="128"/>
      <c r="CL3614" s="128"/>
      <c r="CM3614" s="128"/>
      <c r="CN3614" s="128"/>
      <c r="CO3614" s="128"/>
      <c r="CP3614" s="128"/>
      <c r="CQ3614" s="128"/>
      <c r="CR3614" s="128"/>
      <c r="CS3614" s="128"/>
      <c r="CT3614" s="128"/>
      <c r="CU3614" s="128"/>
      <c r="CV3614" s="128"/>
      <c r="CW3614" s="128"/>
      <c r="CX3614" s="128"/>
      <c r="CY3614" s="128"/>
      <c r="CZ3614" s="165"/>
    </row>
    <row r="3615" spans="1:104">
      <c r="A3615" s="149"/>
      <c r="B3615" s="149"/>
      <c r="C3615" s="150"/>
      <c r="D3615" s="102"/>
      <c r="E3615" s="149"/>
      <c r="F3615" s="149"/>
      <c r="G3615" s="149"/>
      <c r="H3615" s="149"/>
      <c r="I3615" s="149"/>
      <c r="J3615" s="149"/>
      <c r="K3615" s="149"/>
      <c r="L3615" s="149"/>
      <c r="M3615" s="149"/>
      <c r="N3615" s="149"/>
      <c r="O3615" s="149"/>
      <c r="P3615" s="149"/>
      <c r="Q3615" s="149"/>
      <c r="R3615" s="149"/>
      <c r="S3615" s="149"/>
      <c r="T3615" s="149"/>
      <c r="U3615" s="149"/>
      <c r="V3615" s="149"/>
      <c r="W3615" s="149"/>
      <c r="X3615" s="149"/>
      <c r="Y3615" s="149"/>
      <c r="Z3615" s="149"/>
      <c r="AA3615" s="149"/>
      <c r="AB3615" s="149"/>
      <c r="AC3615" s="149"/>
      <c r="AD3615" s="149"/>
      <c r="AE3615" s="149"/>
      <c r="AF3615" s="149"/>
      <c r="AG3615" s="149"/>
      <c r="AH3615" s="149"/>
      <c r="AI3615" s="149"/>
      <c r="AJ3615" s="149"/>
      <c r="AK3615" s="149"/>
      <c r="AL3615" s="149"/>
      <c r="AM3615" s="149"/>
      <c r="AN3615" s="149"/>
      <c r="AO3615" s="128"/>
      <c r="AP3615" s="128"/>
      <c r="AQ3615" s="128"/>
      <c r="AR3615" s="128"/>
      <c r="AS3615" s="128"/>
      <c r="AT3615" s="128"/>
      <c r="AU3615" s="128"/>
      <c r="AV3615" s="128"/>
      <c r="AW3615" s="128"/>
      <c r="AX3615" s="128"/>
      <c r="AY3615" s="128"/>
      <c r="AZ3615" s="128"/>
      <c r="BA3615" s="128"/>
      <c r="BB3615" s="128"/>
      <c r="BC3615" s="128"/>
      <c r="BD3615" s="128"/>
      <c r="BE3615" s="128"/>
      <c r="BF3615" s="128"/>
      <c r="BG3615" s="128"/>
      <c r="BH3615" s="128"/>
      <c r="BI3615" s="128"/>
      <c r="BJ3615" s="128"/>
      <c r="BK3615" s="128"/>
      <c r="BL3615" s="128"/>
      <c r="BM3615" s="151"/>
      <c r="BN3615" s="128"/>
      <c r="BO3615" s="128"/>
      <c r="BP3615" s="128"/>
      <c r="BQ3615" s="128"/>
      <c r="BR3615" s="128"/>
      <c r="BS3615" s="128"/>
      <c r="BT3615" s="128"/>
      <c r="BU3615" s="128"/>
      <c r="BV3615" s="128"/>
      <c r="BW3615" s="128"/>
      <c r="BX3615" s="128"/>
      <c r="BY3615" s="128"/>
      <c r="BZ3615" s="128"/>
      <c r="CA3615" s="128"/>
      <c r="CB3615" s="128"/>
      <c r="CC3615" s="128"/>
      <c r="CD3615" s="128"/>
      <c r="CE3615" s="128"/>
      <c r="CF3615" s="128"/>
      <c r="CG3615" s="128"/>
      <c r="CI3615" s="128"/>
      <c r="CJ3615" s="128"/>
      <c r="CK3615" s="128"/>
      <c r="CL3615" s="128"/>
      <c r="CM3615" s="128"/>
      <c r="CN3615" s="128"/>
      <c r="CO3615" s="128"/>
      <c r="CP3615" s="128"/>
      <c r="CQ3615" s="128"/>
      <c r="CR3615" s="128"/>
      <c r="CS3615" s="128"/>
      <c r="CT3615" s="128"/>
      <c r="CU3615" s="128"/>
      <c r="CV3615" s="128"/>
      <c r="CW3615" s="128"/>
      <c r="CX3615" s="128"/>
      <c r="CY3615" s="128"/>
      <c r="CZ3615" s="165"/>
    </row>
    <row r="3616" spans="1:104">
      <c r="A3616" s="149"/>
      <c r="B3616" s="149"/>
      <c r="C3616" s="150"/>
      <c r="D3616" s="102"/>
      <c r="E3616" s="149"/>
      <c r="F3616" s="149"/>
      <c r="G3616" s="149"/>
      <c r="H3616" s="149"/>
      <c r="I3616" s="149"/>
      <c r="J3616" s="149"/>
      <c r="K3616" s="149"/>
      <c r="L3616" s="149"/>
      <c r="M3616" s="149"/>
      <c r="N3616" s="149"/>
      <c r="O3616" s="149"/>
      <c r="P3616" s="149"/>
      <c r="Q3616" s="149"/>
      <c r="R3616" s="149"/>
      <c r="S3616" s="149"/>
      <c r="T3616" s="149"/>
      <c r="U3616" s="149"/>
      <c r="V3616" s="149"/>
      <c r="W3616" s="149"/>
      <c r="X3616" s="149"/>
      <c r="Y3616" s="149"/>
      <c r="Z3616" s="149"/>
      <c r="AA3616" s="149"/>
      <c r="AB3616" s="149"/>
      <c r="AC3616" s="149"/>
      <c r="AD3616" s="149"/>
      <c r="AE3616" s="149"/>
      <c r="AF3616" s="149"/>
      <c r="AG3616" s="149"/>
      <c r="AH3616" s="149"/>
      <c r="AI3616" s="149"/>
      <c r="AJ3616" s="149"/>
      <c r="AK3616" s="149"/>
      <c r="AL3616" s="149"/>
      <c r="AM3616" s="149"/>
      <c r="AN3616" s="149"/>
      <c r="AO3616" s="128"/>
      <c r="AP3616" s="128"/>
      <c r="AQ3616" s="128"/>
      <c r="AR3616" s="128"/>
      <c r="AS3616" s="128"/>
      <c r="AT3616" s="128"/>
      <c r="AU3616" s="128"/>
      <c r="AV3616" s="128"/>
      <c r="AW3616" s="128"/>
      <c r="AX3616" s="128"/>
      <c r="AY3616" s="128"/>
      <c r="AZ3616" s="128"/>
      <c r="BA3616" s="128"/>
      <c r="BB3616" s="128"/>
      <c r="BC3616" s="128"/>
      <c r="BD3616" s="128"/>
      <c r="BE3616" s="128"/>
      <c r="BF3616" s="128"/>
      <c r="BG3616" s="128"/>
      <c r="BH3616" s="128"/>
      <c r="BI3616" s="128"/>
      <c r="BJ3616" s="128"/>
      <c r="BK3616" s="128"/>
      <c r="BL3616" s="128"/>
      <c r="BM3616" s="151"/>
      <c r="BN3616" s="128"/>
      <c r="BO3616" s="128"/>
      <c r="BP3616" s="128"/>
      <c r="BQ3616" s="128"/>
      <c r="BR3616" s="128"/>
      <c r="BS3616" s="128"/>
      <c r="BT3616" s="128"/>
      <c r="BU3616" s="128"/>
      <c r="BV3616" s="128"/>
      <c r="BW3616" s="128"/>
      <c r="BX3616" s="128"/>
      <c r="BY3616" s="128"/>
      <c r="BZ3616" s="128"/>
      <c r="CA3616" s="128"/>
      <c r="CB3616" s="128"/>
      <c r="CC3616" s="128"/>
      <c r="CD3616" s="128"/>
      <c r="CE3616" s="128"/>
      <c r="CF3616" s="128"/>
      <c r="CG3616" s="128"/>
      <c r="CI3616" s="128"/>
      <c r="CJ3616" s="128"/>
      <c r="CK3616" s="128"/>
      <c r="CL3616" s="128"/>
      <c r="CM3616" s="128"/>
      <c r="CN3616" s="128"/>
      <c r="CO3616" s="128"/>
      <c r="CP3616" s="128"/>
      <c r="CQ3616" s="128"/>
      <c r="CR3616" s="128"/>
      <c r="CS3616" s="128"/>
      <c r="CT3616" s="128"/>
      <c r="CU3616" s="128"/>
      <c r="CV3616" s="128"/>
      <c r="CW3616" s="128"/>
      <c r="CX3616" s="128"/>
      <c r="CY3616" s="128"/>
      <c r="CZ3616" s="165"/>
    </row>
    <row r="3617" spans="1:104">
      <c r="A3617" s="149"/>
      <c r="B3617" s="149"/>
      <c r="C3617" s="150"/>
      <c r="D3617" s="102"/>
      <c r="E3617" s="149"/>
      <c r="F3617" s="149"/>
      <c r="G3617" s="149"/>
      <c r="H3617" s="149"/>
      <c r="I3617" s="149"/>
      <c r="J3617" s="149"/>
      <c r="K3617" s="149"/>
      <c r="L3617" s="149"/>
      <c r="M3617" s="149"/>
      <c r="N3617" s="149"/>
      <c r="O3617" s="149"/>
      <c r="P3617" s="149"/>
      <c r="Q3617" s="149"/>
      <c r="R3617" s="149"/>
      <c r="S3617" s="149"/>
      <c r="T3617" s="149"/>
      <c r="U3617" s="149"/>
      <c r="V3617" s="149"/>
      <c r="W3617" s="149"/>
      <c r="X3617" s="149"/>
      <c r="Y3617" s="149"/>
      <c r="Z3617" s="149"/>
      <c r="AA3617" s="149"/>
      <c r="AB3617" s="149"/>
      <c r="AC3617" s="149"/>
      <c r="AD3617" s="149"/>
      <c r="AE3617" s="149"/>
      <c r="AF3617" s="149"/>
      <c r="AG3617" s="149"/>
      <c r="AH3617" s="149"/>
      <c r="AI3617" s="149"/>
      <c r="AJ3617" s="149"/>
      <c r="AK3617" s="149"/>
      <c r="AL3617" s="149"/>
      <c r="AM3617" s="149"/>
      <c r="AN3617" s="149"/>
      <c r="AO3617" s="128"/>
      <c r="AP3617" s="128"/>
      <c r="AQ3617" s="128"/>
      <c r="AR3617" s="128"/>
      <c r="AS3617" s="128"/>
      <c r="AT3617" s="128"/>
      <c r="AU3617" s="128"/>
      <c r="AV3617" s="128"/>
      <c r="AW3617" s="128"/>
      <c r="AX3617" s="128"/>
      <c r="AY3617" s="128"/>
      <c r="AZ3617" s="128"/>
      <c r="BA3617" s="128"/>
      <c r="BB3617" s="128"/>
      <c r="BC3617" s="128"/>
      <c r="BD3617" s="128"/>
      <c r="BE3617" s="128"/>
      <c r="BF3617" s="128"/>
      <c r="BG3617" s="128"/>
      <c r="BH3617" s="128"/>
      <c r="BI3617" s="128"/>
      <c r="BJ3617" s="128"/>
      <c r="BK3617" s="128"/>
      <c r="BL3617" s="128"/>
      <c r="BM3617" s="151"/>
      <c r="BN3617" s="128"/>
      <c r="BO3617" s="128"/>
      <c r="BP3617" s="128"/>
      <c r="BQ3617" s="128"/>
      <c r="BR3617" s="128"/>
      <c r="BS3617" s="128"/>
      <c r="BT3617" s="128"/>
      <c r="BU3617" s="128"/>
      <c r="BV3617" s="128"/>
      <c r="BW3617" s="128"/>
      <c r="BX3617" s="128"/>
      <c r="BY3617" s="128"/>
      <c r="BZ3617" s="128"/>
      <c r="CA3617" s="128"/>
      <c r="CB3617" s="128"/>
      <c r="CC3617" s="128"/>
      <c r="CD3617" s="128"/>
      <c r="CE3617" s="128"/>
      <c r="CF3617" s="128"/>
      <c r="CG3617" s="128"/>
      <c r="CI3617" s="128"/>
      <c r="CJ3617" s="128"/>
      <c r="CK3617" s="128"/>
      <c r="CL3617" s="128"/>
      <c r="CM3617" s="128"/>
      <c r="CN3617" s="128"/>
      <c r="CO3617" s="128"/>
      <c r="CP3617" s="128"/>
      <c r="CQ3617" s="128"/>
      <c r="CR3617" s="128"/>
      <c r="CS3617" s="128"/>
      <c r="CT3617" s="128"/>
      <c r="CU3617" s="128"/>
      <c r="CV3617" s="128"/>
      <c r="CW3617" s="128"/>
      <c r="CX3617" s="128"/>
      <c r="CY3617" s="128"/>
      <c r="CZ3617" s="165"/>
    </row>
    <row r="3618" spans="1:104">
      <c r="A3618" s="149"/>
      <c r="B3618" s="149"/>
      <c r="C3618" s="150"/>
      <c r="D3618" s="102"/>
      <c r="E3618" s="149"/>
      <c r="F3618" s="149"/>
      <c r="G3618" s="149"/>
      <c r="H3618" s="149"/>
      <c r="I3618" s="149"/>
      <c r="J3618" s="149"/>
      <c r="K3618" s="149"/>
      <c r="L3618" s="149"/>
      <c r="M3618" s="149"/>
      <c r="N3618" s="149"/>
      <c r="O3618" s="149"/>
      <c r="P3618" s="149"/>
      <c r="Q3618" s="149"/>
      <c r="R3618" s="149"/>
      <c r="S3618" s="149"/>
      <c r="T3618" s="149"/>
      <c r="U3618" s="149"/>
      <c r="V3618" s="149"/>
      <c r="W3618" s="149"/>
      <c r="X3618" s="149"/>
      <c r="Y3618" s="149"/>
      <c r="Z3618" s="149"/>
      <c r="AA3618" s="149"/>
      <c r="AB3618" s="149"/>
      <c r="AC3618" s="149"/>
      <c r="AD3618" s="149"/>
      <c r="AE3618" s="149"/>
      <c r="AF3618" s="149"/>
      <c r="AG3618" s="149"/>
      <c r="AH3618" s="149"/>
      <c r="AI3618" s="149"/>
      <c r="AJ3618" s="149"/>
      <c r="AK3618" s="149"/>
      <c r="AL3618" s="149"/>
      <c r="AM3618" s="149"/>
      <c r="AN3618" s="149"/>
      <c r="AO3618" s="128"/>
      <c r="AP3618" s="128"/>
      <c r="AQ3618" s="128"/>
      <c r="AR3618" s="128"/>
      <c r="AS3618" s="128"/>
      <c r="AT3618" s="128"/>
      <c r="AU3618" s="128"/>
      <c r="AV3618" s="128"/>
      <c r="AW3618" s="128"/>
      <c r="AX3618" s="128"/>
      <c r="AY3618" s="128"/>
      <c r="AZ3618" s="128"/>
      <c r="BA3618" s="128"/>
      <c r="BB3618" s="128"/>
      <c r="BC3618" s="128"/>
      <c r="BD3618" s="128"/>
      <c r="BE3618" s="128"/>
      <c r="BF3618" s="128"/>
      <c r="BG3618" s="128"/>
      <c r="BH3618" s="128"/>
      <c r="BI3618" s="128"/>
      <c r="BJ3618" s="128"/>
      <c r="BK3618" s="128"/>
      <c r="BL3618" s="128"/>
      <c r="BM3618" s="151"/>
      <c r="BN3618" s="128"/>
      <c r="BO3618" s="128"/>
      <c r="BP3618" s="128"/>
      <c r="BQ3618" s="128"/>
      <c r="BR3618" s="128"/>
      <c r="BS3618" s="128"/>
      <c r="BT3618" s="128"/>
      <c r="BU3618" s="128"/>
      <c r="BV3618" s="128"/>
      <c r="BW3618" s="128"/>
      <c r="BX3618" s="128"/>
      <c r="BY3618" s="128"/>
      <c r="BZ3618" s="128"/>
      <c r="CA3618" s="128"/>
      <c r="CB3618" s="128"/>
      <c r="CC3618" s="128"/>
      <c r="CD3618" s="128"/>
      <c r="CE3618" s="128"/>
      <c r="CF3618" s="128"/>
      <c r="CG3618" s="128"/>
      <c r="CI3618" s="128"/>
      <c r="CJ3618" s="128"/>
      <c r="CK3618" s="128"/>
      <c r="CL3618" s="128"/>
      <c r="CM3618" s="128"/>
      <c r="CN3618" s="128"/>
      <c r="CO3618" s="128"/>
      <c r="CP3618" s="128"/>
      <c r="CQ3618" s="128"/>
      <c r="CR3618" s="128"/>
      <c r="CS3618" s="128"/>
      <c r="CT3618" s="128"/>
      <c r="CU3618" s="128"/>
      <c r="CV3618" s="128"/>
      <c r="CW3618" s="128"/>
      <c r="CX3618" s="128"/>
      <c r="CY3618" s="128"/>
      <c r="CZ3618" s="165"/>
    </row>
    <row r="3619" spans="1:104">
      <c r="A3619" s="149"/>
      <c r="B3619" s="149"/>
      <c r="C3619" s="150"/>
      <c r="D3619" s="102"/>
      <c r="E3619" s="149"/>
      <c r="F3619" s="149"/>
      <c r="G3619" s="149"/>
      <c r="H3619" s="149"/>
      <c r="I3619" s="149"/>
      <c r="J3619" s="149"/>
      <c r="K3619" s="149"/>
      <c r="L3619" s="149"/>
      <c r="M3619" s="149"/>
      <c r="N3619" s="149"/>
      <c r="O3619" s="149"/>
      <c r="P3619" s="149"/>
      <c r="Q3619" s="149"/>
      <c r="R3619" s="149"/>
      <c r="S3619" s="149"/>
      <c r="T3619" s="149"/>
      <c r="U3619" s="149"/>
      <c r="V3619" s="149"/>
      <c r="W3619" s="149"/>
      <c r="X3619" s="149"/>
      <c r="Y3619" s="149"/>
      <c r="Z3619" s="149"/>
      <c r="AA3619" s="149"/>
      <c r="AB3619" s="149"/>
      <c r="AC3619" s="149"/>
      <c r="AD3619" s="149"/>
      <c r="AE3619" s="149"/>
      <c r="AF3619" s="149"/>
      <c r="AG3619" s="149"/>
      <c r="AH3619" s="149"/>
      <c r="AI3619" s="149"/>
      <c r="AJ3619" s="149"/>
      <c r="AK3619" s="149"/>
      <c r="AL3619" s="149"/>
      <c r="AM3619" s="149"/>
      <c r="AN3619" s="149"/>
      <c r="AO3619" s="128"/>
      <c r="AP3619" s="128"/>
      <c r="AQ3619" s="128"/>
      <c r="AR3619" s="128"/>
      <c r="AS3619" s="128"/>
      <c r="AT3619" s="128"/>
      <c r="AU3619" s="128"/>
      <c r="AV3619" s="128"/>
      <c r="AW3619" s="128"/>
      <c r="AX3619" s="128"/>
      <c r="AY3619" s="128"/>
      <c r="AZ3619" s="128"/>
      <c r="BA3619" s="128"/>
      <c r="BB3619" s="128"/>
      <c r="BC3619" s="128"/>
      <c r="BD3619" s="128"/>
      <c r="BE3619" s="128"/>
      <c r="BF3619" s="128"/>
      <c r="BG3619" s="128"/>
      <c r="BH3619" s="128"/>
      <c r="BI3619" s="128"/>
      <c r="BJ3619" s="128"/>
      <c r="BK3619" s="128"/>
      <c r="BL3619" s="128"/>
      <c r="BM3619" s="151"/>
      <c r="BN3619" s="128"/>
      <c r="BO3619" s="128"/>
      <c r="BP3619" s="128"/>
      <c r="BQ3619" s="128"/>
      <c r="BR3619" s="128"/>
      <c r="BS3619" s="128"/>
      <c r="BT3619" s="128"/>
      <c r="BU3619" s="128"/>
      <c r="BV3619" s="128"/>
      <c r="BW3619" s="128"/>
      <c r="BX3619" s="128"/>
      <c r="BY3619" s="128"/>
      <c r="BZ3619" s="128"/>
      <c r="CA3619" s="128"/>
      <c r="CB3619" s="128"/>
      <c r="CC3619" s="128"/>
      <c r="CD3619" s="128"/>
      <c r="CE3619" s="128"/>
      <c r="CF3619" s="128"/>
      <c r="CG3619" s="128"/>
      <c r="CI3619" s="128"/>
      <c r="CJ3619" s="128"/>
      <c r="CK3619" s="128"/>
      <c r="CL3619" s="128"/>
      <c r="CM3619" s="128"/>
      <c r="CN3619" s="128"/>
      <c r="CO3619" s="128"/>
      <c r="CP3619" s="128"/>
      <c r="CQ3619" s="128"/>
      <c r="CR3619" s="128"/>
      <c r="CS3619" s="128"/>
      <c r="CT3619" s="128"/>
      <c r="CU3619" s="128"/>
      <c r="CV3619" s="128"/>
      <c r="CW3619" s="128"/>
      <c r="CX3619" s="128"/>
      <c r="CY3619" s="128"/>
      <c r="CZ3619" s="165"/>
    </row>
    <row r="3620" spans="1:104">
      <c r="A3620" s="149"/>
      <c r="B3620" s="149"/>
      <c r="C3620" s="150"/>
      <c r="D3620" s="102"/>
      <c r="E3620" s="149"/>
      <c r="F3620" s="149"/>
      <c r="G3620" s="149"/>
      <c r="H3620" s="149"/>
      <c r="I3620" s="149"/>
      <c r="J3620" s="149"/>
      <c r="K3620" s="149"/>
      <c r="L3620" s="149"/>
      <c r="M3620" s="149"/>
      <c r="N3620" s="149"/>
      <c r="O3620" s="149"/>
      <c r="P3620" s="149"/>
      <c r="Q3620" s="149"/>
      <c r="R3620" s="149"/>
      <c r="S3620" s="149"/>
      <c r="T3620" s="149"/>
      <c r="U3620" s="149"/>
      <c r="V3620" s="149"/>
      <c r="W3620" s="149"/>
      <c r="X3620" s="149"/>
      <c r="Y3620" s="149"/>
      <c r="Z3620" s="149"/>
      <c r="AA3620" s="149"/>
      <c r="AB3620" s="149"/>
      <c r="AC3620" s="149"/>
      <c r="AD3620" s="149"/>
      <c r="AE3620" s="149"/>
      <c r="AF3620" s="149"/>
      <c r="AG3620" s="149"/>
      <c r="AH3620" s="149"/>
      <c r="AI3620" s="149"/>
      <c r="AJ3620" s="149"/>
      <c r="AK3620" s="149"/>
      <c r="AL3620" s="149"/>
      <c r="AM3620" s="149"/>
      <c r="AN3620" s="149"/>
      <c r="AO3620" s="128"/>
      <c r="AP3620" s="128"/>
      <c r="AQ3620" s="128"/>
      <c r="AR3620" s="128"/>
      <c r="AS3620" s="128"/>
      <c r="AT3620" s="128"/>
      <c r="AU3620" s="128"/>
      <c r="AV3620" s="128"/>
      <c r="AW3620" s="128"/>
      <c r="AX3620" s="128"/>
      <c r="AY3620" s="128"/>
      <c r="AZ3620" s="128"/>
      <c r="BA3620" s="128"/>
      <c r="BB3620" s="128"/>
      <c r="BC3620" s="128"/>
      <c r="BD3620" s="128"/>
      <c r="BE3620" s="128"/>
      <c r="BF3620" s="128"/>
      <c r="BG3620" s="128"/>
      <c r="BH3620" s="128"/>
      <c r="BI3620" s="128"/>
      <c r="BJ3620" s="128"/>
      <c r="BK3620" s="128"/>
      <c r="BL3620" s="128"/>
      <c r="BM3620" s="151"/>
      <c r="BN3620" s="128"/>
      <c r="BO3620" s="128"/>
      <c r="BP3620" s="128"/>
      <c r="BQ3620" s="128"/>
      <c r="BR3620" s="128"/>
      <c r="BS3620" s="128"/>
      <c r="BT3620" s="128"/>
      <c r="BU3620" s="128"/>
      <c r="BV3620" s="128"/>
      <c r="BW3620" s="128"/>
      <c r="BX3620" s="128"/>
      <c r="BY3620" s="128"/>
      <c r="BZ3620" s="128"/>
      <c r="CA3620" s="128"/>
      <c r="CB3620" s="128"/>
      <c r="CC3620" s="128"/>
      <c r="CD3620" s="128"/>
      <c r="CE3620" s="128"/>
      <c r="CF3620" s="128"/>
      <c r="CG3620" s="128"/>
      <c r="CI3620" s="128"/>
      <c r="CJ3620" s="128"/>
      <c r="CK3620" s="128"/>
      <c r="CL3620" s="128"/>
      <c r="CM3620" s="128"/>
      <c r="CN3620" s="128"/>
      <c r="CO3620" s="128"/>
      <c r="CP3620" s="128"/>
      <c r="CQ3620" s="128"/>
      <c r="CR3620" s="128"/>
      <c r="CS3620" s="128"/>
      <c r="CT3620" s="128"/>
      <c r="CU3620" s="128"/>
      <c r="CV3620" s="128"/>
      <c r="CW3620" s="128"/>
      <c r="CX3620" s="128"/>
      <c r="CY3620" s="128"/>
      <c r="CZ3620" s="165"/>
    </row>
    <row r="3621" spans="1:104">
      <c r="A3621" s="149"/>
      <c r="B3621" s="149"/>
      <c r="C3621" s="150"/>
      <c r="D3621" s="102"/>
      <c r="E3621" s="149"/>
      <c r="F3621" s="149"/>
      <c r="G3621" s="149"/>
      <c r="H3621" s="149"/>
      <c r="I3621" s="149"/>
      <c r="J3621" s="149"/>
      <c r="K3621" s="149"/>
      <c r="L3621" s="149"/>
      <c r="M3621" s="149"/>
      <c r="N3621" s="149"/>
      <c r="O3621" s="149"/>
      <c r="P3621" s="149"/>
      <c r="Q3621" s="149"/>
      <c r="R3621" s="149"/>
      <c r="S3621" s="149"/>
      <c r="T3621" s="149"/>
      <c r="U3621" s="149"/>
      <c r="V3621" s="149"/>
      <c r="W3621" s="149"/>
      <c r="X3621" s="149"/>
      <c r="Y3621" s="149"/>
      <c r="Z3621" s="149"/>
      <c r="AA3621" s="149"/>
      <c r="AB3621" s="149"/>
      <c r="AC3621" s="149"/>
      <c r="AD3621" s="149"/>
      <c r="AE3621" s="149"/>
      <c r="AF3621" s="149"/>
      <c r="AG3621" s="149"/>
      <c r="AH3621" s="149"/>
      <c r="AI3621" s="149"/>
      <c r="AJ3621" s="149"/>
      <c r="AK3621" s="149"/>
      <c r="AL3621" s="149"/>
      <c r="AM3621" s="149"/>
      <c r="AN3621" s="149"/>
      <c r="AO3621" s="128"/>
      <c r="AP3621" s="128"/>
      <c r="AQ3621" s="128"/>
      <c r="AR3621" s="128"/>
      <c r="AS3621" s="128"/>
      <c r="AT3621" s="128"/>
      <c r="AU3621" s="128"/>
      <c r="AV3621" s="128"/>
      <c r="AW3621" s="128"/>
      <c r="AX3621" s="128"/>
      <c r="AY3621" s="128"/>
      <c r="AZ3621" s="128"/>
      <c r="BA3621" s="128"/>
      <c r="BB3621" s="128"/>
      <c r="BC3621" s="128"/>
      <c r="BD3621" s="128"/>
      <c r="BE3621" s="128"/>
      <c r="BF3621" s="128"/>
      <c r="BG3621" s="128"/>
      <c r="BH3621" s="128"/>
      <c r="BI3621" s="128"/>
      <c r="BJ3621" s="128"/>
      <c r="BK3621" s="128"/>
      <c r="BL3621" s="128"/>
      <c r="BM3621" s="151"/>
      <c r="BN3621" s="128"/>
      <c r="BO3621" s="128"/>
      <c r="BP3621" s="128"/>
      <c r="BQ3621" s="128"/>
      <c r="BR3621" s="128"/>
      <c r="BS3621" s="128"/>
      <c r="BT3621" s="128"/>
      <c r="BU3621" s="128"/>
      <c r="BV3621" s="128"/>
      <c r="BW3621" s="128"/>
      <c r="BX3621" s="128"/>
      <c r="BY3621" s="128"/>
      <c r="BZ3621" s="128"/>
      <c r="CA3621" s="128"/>
      <c r="CB3621" s="128"/>
      <c r="CC3621" s="128"/>
      <c r="CD3621" s="128"/>
      <c r="CE3621" s="128"/>
      <c r="CF3621" s="128"/>
      <c r="CG3621" s="128"/>
      <c r="CI3621" s="128"/>
      <c r="CJ3621" s="128"/>
      <c r="CK3621" s="128"/>
      <c r="CL3621" s="128"/>
      <c r="CM3621" s="128"/>
      <c r="CN3621" s="128"/>
      <c r="CO3621" s="128"/>
      <c r="CP3621" s="128"/>
      <c r="CQ3621" s="128"/>
      <c r="CR3621" s="128"/>
      <c r="CS3621" s="128"/>
      <c r="CT3621" s="128"/>
      <c r="CU3621" s="128"/>
      <c r="CV3621" s="128"/>
      <c r="CW3621" s="128"/>
      <c r="CX3621" s="128"/>
      <c r="CY3621" s="128"/>
      <c r="CZ3621" s="165"/>
    </row>
    <row r="3622" spans="1:104">
      <c r="A3622" s="149"/>
      <c r="B3622" s="149"/>
      <c r="C3622" s="150"/>
      <c r="D3622" s="102"/>
      <c r="E3622" s="149"/>
      <c r="F3622" s="149"/>
      <c r="G3622" s="149"/>
      <c r="H3622" s="149"/>
      <c r="I3622" s="149"/>
      <c r="J3622" s="149"/>
      <c r="K3622" s="149"/>
      <c r="L3622" s="149"/>
      <c r="M3622" s="149"/>
      <c r="N3622" s="149"/>
      <c r="O3622" s="149"/>
      <c r="P3622" s="149"/>
      <c r="Q3622" s="149"/>
      <c r="R3622" s="149"/>
      <c r="S3622" s="149"/>
      <c r="T3622" s="149"/>
      <c r="U3622" s="149"/>
      <c r="V3622" s="149"/>
      <c r="W3622" s="149"/>
      <c r="X3622" s="149"/>
      <c r="Y3622" s="149"/>
      <c r="Z3622" s="149"/>
      <c r="AA3622" s="149"/>
      <c r="AB3622" s="149"/>
      <c r="AC3622" s="149"/>
      <c r="AD3622" s="149"/>
      <c r="AE3622" s="149"/>
      <c r="AF3622" s="149"/>
      <c r="AG3622" s="149"/>
      <c r="AH3622" s="149"/>
      <c r="AI3622" s="149"/>
      <c r="AJ3622" s="149"/>
      <c r="AK3622" s="149"/>
      <c r="AL3622" s="149"/>
      <c r="AM3622" s="149"/>
      <c r="AN3622" s="149"/>
      <c r="AO3622" s="128"/>
      <c r="AP3622" s="128"/>
      <c r="AQ3622" s="128"/>
      <c r="AR3622" s="128"/>
      <c r="AS3622" s="128"/>
      <c r="AT3622" s="128"/>
      <c r="AU3622" s="128"/>
      <c r="AV3622" s="128"/>
      <c r="AW3622" s="128"/>
      <c r="AX3622" s="128"/>
      <c r="AY3622" s="128"/>
      <c r="AZ3622" s="128"/>
      <c r="BA3622" s="128"/>
      <c r="BB3622" s="128"/>
      <c r="BC3622" s="128"/>
      <c r="BD3622" s="128"/>
      <c r="BE3622" s="128"/>
      <c r="BF3622" s="128"/>
      <c r="BG3622" s="128"/>
      <c r="BH3622" s="128"/>
      <c r="BI3622" s="128"/>
      <c r="BJ3622" s="128"/>
      <c r="BK3622" s="128"/>
      <c r="BL3622" s="128"/>
      <c r="BM3622" s="151"/>
      <c r="BN3622" s="128"/>
      <c r="BO3622" s="128"/>
      <c r="BP3622" s="128"/>
      <c r="BQ3622" s="128"/>
      <c r="BR3622" s="128"/>
      <c r="BS3622" s="128"/>
      <c r="BT3622" s="128"/>
      <c r="BU3622" s="128"/>
      <c r="BV3622" s="128"/>
      <c r="BW3622" s="128"/>
      <c r="BX3622" s="128"/>
      <c r="BY3622" s="128"/>
      <c r="BZ3622" s="128"/>
      <c r="CA3622" s="128"/>
      <c r="CB3622" s="128"/>
      <c r="CC3622" s="128"/>
      <c r="CD3622" s="128"/>
      <c r="CE3622" s="128"/>
      <c r="CF3622" s="128"/>
      <c r="CG3622" s="128"/>
      <c r="CI3622" s="128"/>
      <c r="CJ3622" s="128"/>
      <c r="CK3622" s="128"/>
      <c r="CL3622" s="128"/>
      <c r="CM3622" s="128"/>
      <c r="CN3622" s="128"/>
      <c r="CO3622" s="128"/>
      <c r="CP3622" s="128"/>
      <c r="CQ3622" s="128"/>
      <c r="CR3622" s="128"/>
      <c r="CS3622" s="128"/>
      <c r="CT3622" s="128"/>
      <c r="CU3622" s="128"/>
      <c r="CV3622" s="128"/>
      <c r="CW3622" s="128"/>
      <c r="CX3622" s="128"/>
      <c r="CY3622" s="128"/>
      <c r="CZ3622" s="165"/>
    </row>
    <row r="3623" spans="1:104">
      <c r="A3623" s="149"/>
      <c r="B3623" s="149"/>
      <c r="C3623" s="150"/>
      <c r="D3623" s="102"/>
      <c r="E3623" s="149"/>
      <c r="F3623" s="149"/>
      <c r="G3623" s="149"/>
      <c r="H3623" s="149"/>
      <c r="I3623" s="149"/>
      <c r="J3623" s="149"/>
      <c r="K3623" s="149"/>
      <c r="L3623" s="149"/>
      <c r="M3623" s="149"/>
      <c r="N3623" s="149"/>
      <c r="O3623" s="149"/>
      <c r="P3623" s="149"/>
      <c r="Q3623" s="149"/>
      <c r="R3623" s="149"/>
      <c r="S3623" s="149"/>
      <c r="T3623" s="149"/>
      <c r="U3623" s="149"/>
      <c r="V3623" s="149"/>
      <c r="W3623" s="149"/>
      <c r="X3623" s="149"/>
      <c r="Y3623" s="149"/>
      <c r="Z3623" s="149"/>
      <c r="AA3623" s="149"/>
      <c r="AB3623" s="149"/>
      <c r="AC3623" s="149"/>
      <c r="AD3623" s="149"/>
      <c r="AE3623" s="149"/>
      <c r="AF3623" s="149"/>
      <c r="AG3623" s="149"/>
      <c r="AH3623" s="149"/>
      <c r="AI3623" s="149"/>
      <c r="AJ3623" s="149"/>
      <c r="AK3623" s="149"/>
      <c r="AL3623" s="149"/>
      <c r="AM3623" s="149"/>
      <c r="AN3623" s="149"/>
      <c r="AO3623" s="128"/>
      <c r="AP3623" s="128"/>
      <c r="AQ3623" s="128"/>
      <c r="AR3623" s="128"/>
      <c r="AS3623" s="128"/>
      <c r="AT3623" s="128"/>
      <c r="AU3623" s="128"/>
      <c r="AV3623" s="128"/>
      <c r="AW3623" s="128"/>
      <c r="AX3623" s="128"/>
      <c r="AY3623" s="128"/>
      <c r="AZ3623" s="128"/>
      <c r="BA3623" s="128"/>
      <c r="BB3623" s="128"/>
      <c r="BC3623" s="128"/>
      <c r="BD3623" s="128"/>
      <c r="BE3623" s="128"/>
      <c r="BF3623" s="128"/>
      <c r="BG3623" s="128"/>
      <c r="BH3623" s="128"/>
      <c r="BI3623" s="128"/>
      <c r="BJ3623" s="128"/>
      <c r="BK3623" s="128"/>
      <c r="BL3623" s="128"/>
      <c r="BM3623" s="151"/>
      <c r="BN3623" s="128"/>
      <c r="BO3623" s="128"/>
      <c r="BP3623" s="128"/>
      <c r="BQ3623" s="128"/>
      <c r="BR3623" s="128"/>
      <c r="BS3623" s="128"/>
      <c r="BT3623" s="128"/>
      <c r="BU3623" s="128"/>
      <c r="BV3623" s="128"/>
      <c r="BW3623" s="128"/>
      <c r="BX3623" s="128"/>
      <c r="BY3623" s="128"/>
      <c r="BZ3623" s="128"/>
      <c r="CA3623" s="128"/>
      <c r="CB3623" s="128"/>
      <c r="CC3623" s="128"/>
      <c r="CD3623" s="128"/>
      <c r="CE3623" s="128"/>
      <c r="CF3623" s="128"/>
      <c r="CG3623" s="128"/>
      <c r="CI3623" s="128"/>
      <c r="CJ3623" s="128"/>
      <c r="CK3623" s="128"/>
      <c r="CL3623" s="128"/>
      <c r="CM3623" s="128"/>
      <c r="CN3623" s="128"/>
      <c r="CO3623" s="128"/>
      <c r="CP3623" s="128"/>
      <c r="CQ3623" s="128"/>
      <c r="CR3623" s="128"/>
      <c r="CS3623" s="128"/>
      <c r="CT3623" s="128"/>
      <c r="CU3623" s="128"/>
      <c r="CV3623" s="128"/>
      <c r="CW3623" s="128"/>
      <c r="CX3623" s="128"/>
      <c r="CY3623" s="128"/>
      <c r="CZ3623" s="165"/>
    </row>
    <row r="3624" spans="1:104">
      <c r="A3624" s="149"/>
      <c r="B3624" s="149"/>
      <c r="C3624" s="150"/>
      <c r="D3624" s="102"/>
      <c r="E3624" s="149"/>
      <c r="F3624" s="149"/>
      <c r="G3624" s="149"/>
      <c r="H3624" s="149"/>
      <c r="I3624" s="149"/>
      <c r="J3624" s="149"/>
      <c r="K3624" s="149"/>
      <c r="L3624" s="149"/>
      <c r="M3624" s="149"/>
      <c r="N3624" s="149"/>
      <c r="O3624" s="149"/>
      <c r="P3624" s="149"/>
      <c r="Q3624" s="149"/>
      <c r="R3624" s="149"/>
      <c r="S3624" s="149"/>
      <c r="T3624" s="149"/>
      <c r="U3624" s="149"/>
      <c r="V3624" s="149"/>
      <c r="W3624" s="149"/>
      <c r="X3624" s="149"/>
      <c r="Y3624" s="149"/>
      <c r="Z3624" s="149"/>
      <c r="AA3624" s="149"/>
      <c r="AB3624" s="149"/>
      <c r="AC3624" s="149"/>
      <c r="AD3624" s="149"/>
      <c r="AE3624" s="149"/>
      <c r="AF3624" s="149"/>
      <c r="AG3624" s="149"/>
      <c r="AH3624" s="149"/>
      <c r="AI3624" s="149"/>
      <c r="AJ3624" s="149"/>
      <c r="AK3624" s="149"/>
      <c r="AL3624" s="149"/>
      <c r="AM3624" s="149"/>
      <c r="AN3624" s="149"/>
      <c r="AO3624" s="128"/>
      <c r="AP3624" s="128"/>
      <c r="AQ3624" s="128"/>
      <c r="AR3624" s="128"/>
      <c r="AS3624" s="128"/>
      <c r="AT3624" s="128"/>
      <c r="AU3624" s="128"/>
      <c r="AV3624" s="128"/>
      <c r="AW3624" s="128"/>
      <c r="AX3624" s="128"/>
      <c r="AY3624" s="128"/>
      <c r="AZ3624" s="128"/>
      <c r="BA3624" s="128"/>
      <c r="BB3624" s="128"/>
      <c r="BC3624" s="128"/>
      <c r="BD3624" s="128"/>
      <c r="BE3624" s="128"/>
      <c r="BF3624" s="128"/>
      <c r="BG3624" s="128"/>
      <c r="BH3624" s="128"/>
      <c r="BI3624" s="128"/>
      <c r="BJ3624" s="128"/>
      <c r="BK3624" s="128"/>
      <c r="BL3624" s="128"/>
      <c r="BM3624" s="151"/>
      <c r="BN3624" s="128"/>
      <c r="BO3624" s="128"/>
      <c r="BP3624" s="128"/>
      <c r="BQ3624" s="128"/>
      <c r="BR3624" s="128"/>
      <c r="BS3624" s="128"/>
      <c r="BT3624" s="128"/>
      <c r="BU3624" s="128"/>
      <c r="BV3624" s="128"/>
      <c r="BW3624" s="128"/>
      <c r="BX3624" s="128"/>
      <c r="BY3624" s="128"/>
      <c r="BZ3624" s="128"/>
      <c r="CA3624" s="128"/>
      <c r="CB3624" s="128"/>
      <c r="CC3624" s="128"/>
      <c r="CD3624" s="128"/>
      <c r="CE3624" s="128"/>
      <c r="CF3624" s="128"/>
      <c r="CG3624" s="128"/>
      <c r="CI3624" s="128"/>
      <c r="CJ3624" s="128"/>
      <c r="CK3624" s="128"/>
      <c r="CL3624" s="128"/>
      <c r="CM3624" s="128"/>
      <c r="CN3624" s="128"/>
      <c r="CO3624" s="128"/>
      <c r="CP3624" s="128"/>
      <c r="CQ3624" s="128"/>
      <c r="CR3624" s="128"/>
      <c r="CS3624" s="128"/>
      <c r="CT3624" s="128"/>
      <c r="CU3624" s="128"/>
      <c r="CV3624" s="128"/>
      <c r="CW3624" s="128"/>
      <c r="CX3624" s="128"/>
      <c r="CY3624" s="128"/>
      <c r="CZ3624" s="165"/>
    </row>
    <row r="3625" spans="1:104">
      <c r="A3625" s="149"/>
      <c r="B3625" s="149"/>
      <c r="C3625" s="150"/>
      <c r="D3625" s="102"/>
      <c r="E3625" s="149"/>
      <c r="F3625" s="149"/>
      <c r="G3625" s="149"/>
      <c r="H3625" s="149"/>
      <c r="I3625" s="149"/>
      <c r="J3625" s="149"/>
      <c r="K3625" s="149"/>
      <c r="L3625" s="149"/>
      <c r="M3625" s="149"/>
      <c r="N3625" s="149"/>
      <c r="O3625" s="149"/>
      <c r="P3625" s="149"/>
      <c r="Q3625" s="149"/>
      <c r="R3625" s="149"/>
      <c r="S3625" s="149"/>
      <c r="T3625" s="149"/>
      <c r="U3625" s="149"/>
      <c r="V3625" s="149"/>
      <c r="W3625" s="149"/>
      <c r="X3625" s="149"/>
      <c r="Y3625" s="149"/>
      <c r="Z3625" s="149"/>
      <c r="AA3625" s="149"/>
      <c r="AB3625" s="149"/>
      <c r="AC3625" s="149"/>
      <c r="AD3625" s="149"/>
      <c r="AE3625" s="149"/>
      <c r="AF3625" s="149"/>
      <c r="AG3625" s="149"/>
      <c r="AH3625" s="149"/>
      <c r="AI3625" s="149"/>
      <c r="AJ3625" s="149"/>
      <c r="AK3625" s="149"/>
      <c r="AL3625" s="149"/>
      <c r="AM3625" s="149"/>
      <c r="AN3625" s="149"/>
      <c r="AO3625" s="128"/>
      <c r="AP3625" s="128"/>
      <c r="AQ3625" s="128"/>
      <c r="AR3625" s="128"/>
      <c r="AS3625" s="128"/>
      <c r="AT3625" s="128"/>
      <c r="AU3625" s="128"/>
      <c r="AV3625" s="128"/>
      <c r="AW3625" s="128"/>
      <c r="AX3625" s="128"/>
      <c r="AY3625" s="128"/>
      <c r="AZ3625" s="128"/>
      <c r="BA3625" s="128"/>
      <c r="BB3625" s="128"/>
      <c r="BC3625" s="128"/>
      <c r="BD3625" s="128"/>
      <c r="BE3625" s="128"/>
      <c r="BF3625" s="128"/>
      <c r="BG3625" s="128"/>
      <c r="BH3625" s="128"/>
      <c r="BI3625" s="128"/>
      <c r="BJ3625" s="128"/>
      <c r="BK3625" s="128"/>
      <c r="BL3625" s="128"/>
      <c r="BM3625" s="151"/>
      <c r="BN3625" s="128"/>
      <c r="BO3625" s="128"/>
      <c r="BP3625" s="128"/>
      <c r="BQ3625" s="128"/>
      <c r="BR3625" s="128"/>
      <c r="BS3625" s="128"/>
      <c r="BT3625" s="128"/>
      <c r="BU3625" s="128"/>
      <c r="BV3625" s="128"/>
      <c r="BW3625" s="128"/>
      <c r="BX3625" s="128"/>
      <c r="BY3625" s="128"/>
      <c r="BZ3625" s="128"/>
      <c r="CA3625" s="128"/>
      <c r="CB3625" s="128"/>
      <c r="CC3625" s="128"/>
      <c r="CD3625" s="128"/>
      <c r="CE3625" s="128"/>
      <c r="CF3625" s="128"/>
      <c r="CG3625" s="128"/>
      <c r="CI3625" s="128"/>
      <c r="CJ3625" s="128"/>
      <c r="CK3625" s="128"/>
      <c r="CL3625" s="128"/>
      <c r="CM3625" s="128"/>
      <c r="CN3625" s="128"/>
      <c r="CO3625" s="128"/>
      <c r="CP3625" s="128"/>
      <c r="CQ3625" s="128"/>
      <c r="CR3625" s="128"/>
      <c r="CS3625" s="128"/>
      <c r="CT3625" s="128"/>
      <c r="CU3625" s="128"/>
      <c r="CV3625" s="128"/>
      <c r="CW3625" s="128"/>
      <c r="CX3625" s="128"/>
      <c r="CY3625" s="128"/>
      <c r="CZ3625" s="165"/>
    </row>
    <row r="3626" spans="1:104">
      <c r="A3626" s="149"/>
      <c r="B3626" s="149"/>
      <c r="C3626" s="150"/>
      <c r="D3626" s="102"/>
      <c r="E3626" s="149"/>
      <c r="F3626" s="149"/>
      <c r="G3626" s="149"/>
      <c r="H3626" s="149"/>
      <c r="I3626" s="149"/>
      <c r="J3626" s="149"/>
      <c r="K3626" s="149"/>
      <c r="L3626" s="149"/>
      <c r="M3626" s="149"/>
      <c r="N3626" s="149"/>
      <c r="O3626" s="149"/>
      <c r="P3626" s="149"/>
      <c r="Q3626" s="149"/>
      <c r="R3626" s="149"/>
      <c r="S3626" s="149"/>
      <c r="T3626" s="149"/>
      <c r="U3626" s="149"/>
      <c r="V3626" s="149"/>
      <c r="W3626" s="149"/>
      <c r="X3626" s="149"/>
      <c r="Y3626" s="149"/>
      <c r="Z3626" s="149"/>
      <c r="AA3626" s="149"/>
      <c r="AB3626" s="149"/>
      <c r="AC3626" s="149"/>
      <c r="AD3626" s="149"/>
      <c r="AE3626" s="149"/>
      <c r="AF3626" s="149"/>
      <c r="AG3626" s="149"/>
      <c r="AH3626" s="149"/>
      <c r="AI3626" s="149"/>
      <c r="AJ3626" s="149"/>
      <c r="AK3626" s="149"/>
      <c r="AL3626" s="149"/>
      <c r="AM3626" s="149"/>
      <c r="AN3626" s="149"/>
      <c r="AO3626" s="128"/>
      <c r="AP3626" s="128"/>
      <c r="AQ3626" s="128"/>
      <c r="AR3626" s="128"/>
      <c r="AS3626" s="128"/>
      <c r="AT3626" s="128"/>
      <c r="AU3626" s="128"/>
      <c r="AV3626" s="128"/>
      <c r="AW3626" s="128"/>
      <c r="AX3626" s="128"/>
      <c r="AY3626" s="128"/>
      <c r="AZ3626" s="128"/>
      <c r="BA3626" s="128"/>
      <c r="BB3626" s="128"/>
      <c r="BC3626" s="128"/>
      <c r="BD3626" s="128"/>
      <c r="BE3626" s="128"/>
      <c r="BF3626" s="128"/>
      <c r="BG3626" s="128"/>
      <c r="BH3626" s="128"/>
      <c r="BI3626" s="128"/>
      <c r="BJ3626" s="128"/>
      <c r="BK3626" s="128"/>
      <c r="BL3626" s="128"/>
      <c r="BM3626" s="151"/>
      <c r="BN3626" s="128"/>
      <c r="BO3626" s="128"/>
      <c r="BP3626" s="128"/>
      <c r="BQ3626" s="128"/>
      <c r="BR3626" s="128"/>
      <c r="BS3626" s="128"/>
      <c r="BT3626" s="128"/>
      <c r="BU3626" s="128"/>
      <c r="BV3626" s="128"/>
      <c r="BW3626" s="128"/>
      <c r="BX3626" s="128"/>
      <c r="BY3626" s="128"/>
      <c r="BZ3626" s="128"/>
      <c r="CA3626" s="128"/>
      <c r="CB3626" s="128"/>
      <c r="CC3626" s="128"/>
      <c r="CD3626" s="128"/>
      <c r="CE3626" s="128"/>
      <c r="CF3626" s="128"/>
      <c r="CG3626" s="128"/>
      <c r="CI3626" s="128"/>
      <c r="CJ3626" s="128"/>
      <c r="CK3626" s="128"/>
      <c r="CL3626" s="128"/>
      <c r="CM3626" s="128"/>
      <c r="CN3626" s="128"/>
      <c r="CO3626" s="128"/>
      <c r="CP3626" s="128"/>
      <c r="CQ3626" s="128"/>
      <c r="CR3626" s="128"/>
      <c r="CS3626" s="128"/>
      <c r="CT3626" s="128"/>
      <c r="CU3626" s="128"/>
      <c r="CV3626" s="128"/>
      <c r="CW3626" s="128"/>
      <c r="CX3626" s="128"/>
      <c r="CY3626" s="128"/>
      <c r="CZ3626" s="165"/>
    </row>
    <row r="3627" spans="1:104">
      <c r="A3627" s="149"/>
      <c r="B3627" s="149"/>
      <c r="C3627" s="150"/>
      <c r="D3627" s="102"/>
      <c r="E3627" s="149"/>
      <c r="F3627" s="149"/>
      <c r="G3627" s="149"/>
      <c r="H3627" s="149"/>
      <c r="I3627" s="149"/>
      <c r="J3627" s="149"/>
      <c r="K3627" s="149"/>
      <c r="L3627" s="149"/>
      <c r="M3627" s="149"/>
      <c r="N3627" s="149"/>
      <c r="O3627" s="149"/>
      <c r="P3627" s="149"/>
      <c r="Q3627" s="149"/>
      <c r="R3627" s="149"/>
      <c r="S3627" s="149"/>
      <c r="T3627" s="149"/>
      <c r="U3627" s="149"/>
      <c r="V3627" s="149"/>
      <c r="W3627" s="149"/>
      <c r="X3627" s="149"/>
      <c r="Y3627" s="149"/>
      <c r="Z3627" s="149"/>
      <c r="AA3627" s="149"/>
      <c r="AB3627" s="149"/>
      <c r="AC3627" s="149"/>
      <c r="AD3627" s="149"/>
      <c r="AE3627" s="149"/>
      <c r="AF3627" s="149"/>
      <c r="AG3627" s="149"/>
      <c r="AH3627" s="149"/>
      <c r="AI3627" s="149"/>
      <c r="AJ3627" s="149"/>
      <c r="AK3627" s="149"/>
      <c r="AL3627" s="149"/>
      <c r="AM3627" s="149"/>
      <c r="AN3627" s="149"/>
      <c r="AO3627" s="128"/>
      <c r="AP3627" s="128"/>
      <c r="AQ3627" s="128"/>
      <c r="AR3627" s="128"/>
      <c r="AS3627" s="128"/>
      <c r="AT3627" s="128"/>
      <c r="AU3627" s="128"/>
      <c r="AV3627" s="128"/>
      <c r="AW3627" s="128"/>
      <c r="AX3627" s="128"/>
      <c r="AY3627" s="128"/>
      <c r="AZ3627" s="128"/>
      <c r="BA3627" s="128"/>
      <c r="BB3627" s="128"/>
      <c r="BC3627" s="128"/>
      <c r="BD3627" s="128"/>
      <c r="BE3627" s="128"/>
      <c r="BF3627" s="128"/>
      <c r="BG3627" s="128"/>
      <c r="BH3627" s="128"/>
      <c r="BI3627" s="128"/>
      <c r="BJ3627" s="128"/>
      <c r="BK3627" s="128"/>
      <c r="BL3627" s="128"/>
      <c r="BM3627" s="151"/>
      <c r="BN3627" s="128"/>
      <c r="BO3627" s="128"/>
      <c r="BP3627" s="128"/>
      <c r="BQ3627" s="128"/>
      <c r="BR3627" s="128"/>
      <c r="BS3627" s="128"/>
      <c r="BT3627" s="128"/>
      <c r="BU3627" s="128"/>
      <c r="BV3627" s="128"/>
      <c r="BW3627" s="128"/>
      <c r="BX3627" s="128"/>
      <c r="BY3627" s="128"/>
      <c r="BZ3627" s="128"/>
      <c r="CA3627" s="128"/>
      <c r="CB3627" s="128"/>
      <c r="CC3627" s="128"/>
      <c r="CD3627" s="128"/>
      <c r="CE3627" s="128"/>
      <c r="CF3627" s="128"/>
      <c r="CG3627" s="128"/>
      <c r="CI3627" s="128"/>
      <c r="CJ3627" s="128"/>
      <c r="CK3627" s="128"/>
      <c r="CL3627" s="128"/>
      <c r="CM3627" s="128"/>
      <c r="CN3627" s="128"/>
      <c r="CO3627" s="128"/>
      <c r="CP3627" s="128"/>
      <c r="CQ3627" s="128"/>
      <c r="CR3627" s="128"/>
      <c r="CS3627" s="128"/>
      <c r="CT3627" s="128"/>
      <c r="CU3627" s="128"/>
      <c r="CV3627" s="128"/>
      <c r="CW3627" s="128"/>
      <c r="CX3627" s="128"/>
      <c r="CY3627" s="128"/>
      <c r="CZ3627" s="165"/>
    </row>
    <row r="3628" spans="1:104">
      <c r="A3628" s="149"/>
      <c r="B3628" s="149"/>
      <c r="C3628" s="150"/>
      <c r="D3628" s="102"/>
      <c r="E3628" s="149"/>
      <c r="F3628" s="149"/>
      <c r="G3628" s="149"/>
      <c r="H3628" s="149"/>
      <c r="I3628" s="149"/>
      <c r="J3628" s="149"/>
      <c r="K3628" s="149"/>
      <c r="L3628" s="149"/>
      <c r="M3628" s="149"/>
      <c r="N3628" s="149"/>
      <c r="O3628" s="149"/>
      <c r="P3628" s="149"/>
      <c r="Q3628" s="149"/>
      <c r="R3628" s="149"/>
      <c r="S3628" s="149"/>
      <c r="T3628" s="149"/>
      <c r="U3628" s="149"/>
      <c r="V3628" s="149"/>
      <c r="W3628" s="149"/>
      <c r="X3628" s="149"/>
      <c r="Y3628" s="149"/>
      <c r="Z3628" s="149"/>
      <c r="AA3628" s="149"/>
      <c r="AB3628" s="149"/>
      <c r="AC3628" s="149"/>
      <c r="AD3628" s="149"/>
      <c r="AE3628" s="149"/>
      <c r="AF3628" s="149"/>
      <c r="AG3628" s="149"/>
      <c r="AH3628" s="149"/>
      <c r="AI3628" s="149"/>
      <c r="AJ3628" s="149"/>
      <c r="AK3628" s="149"/>
      <c r="AL3628" s="149"/>
      <c r="AM3628" s="149"/>
      <c r="AN3628" s="149"/>
      <c r="AO3628" s="128"/>
      <c r="AP3628" s="128"/>
      <c r="AQ3628" s="128"/>
      <c r="AR3628" s="128"/>
      <c r="AS3628" s="128"/>
      <c r="AT3628" s="128"/>
      <c r="AU3628" s="128"/>
      <c r="AV3628" s="128"/>
      <c r="AW3628" s="128"/>
      <c r="AX3628" s="128"/>
      <c r="AY3628" s="128"/>
      <c r="AZ3628" s="128"/>
      <c r="BA3628" s="128"/>
      <c r="BB3628" s="128"/>
      <c r="BC3628" s="128"/>
      <c r="BD3628" s="128"/>
      <c r="BE3628" s="128"/>
      <c r="BF3628" s="128"/>
      <c r="BG3628" s="128"/>
      <c r="BH3628" s="128"/>
      <c r="BI3628" s="128"/>
      <c r="BJ3628" s="128"/>
      <c r="BK3628" s="128"/>
      <c r="BL3628" s="128"/>
      <c r="BM3628" s="151"/>
      <c r="BN3628" s="128"/>
      <c r="BO3628" s="128"/>
      <c r="BP3628" s="128"/>
      <c r="BQ3628" s="128"/>
      <c r="BR3628" s="128"/>
      <c r="BS3628" s="128"/>
      <c r="BT3628" s="128"/>
      <c r="BU3628" s="128"/>
      <c r="BV3628" s="128"/>
      <c r="BW3628" s="128"/>
      <c r="BX3628" s="128"/>
      <c r="BY3628" s="128"/>
      <c r="BZ3628" s="128"/>
      <c r="CA3628" s="128"/>
      <c r="CB3628" s="128"/>
      <c r="CC3628" s="128"/>
      <c r="CD3628" s="128"/>
      <c r="CE3628" s="128"/>
      <c r="CF3628" s="128"/>
      <c r="CG3628" s="128"/>
      <c r="CI3628" s="128"/>
      <c r="CJ3628" s="128"/>
      <c r="CK3628" s="128"/>
      <c r="CL3628" s="128"/>
      <c r="CM3628" s="128"/>
      <c r="CN3628" s="128"/>
      <c r="CO3628" s="128"/>
      <c r="CP3628" s="128"/>
      <c r="CQ3628" s="128"/>
      <c r="CR3628" s="128"/>
      <c r="CS3628" s="128"/>
      <c r="CT3628" s="128"/>
      <c r="CU3628" s="128"/>
      <c r="CV3628" s="128"/>
      <c r="CW3628" s="128"/>
      <c r="CX3628" s="128"/>
      <c r="CY3628" s="128"/>
      <c r="CZ3628" s="165"/>
    </row>
    <row r="3629" spans="1:104">
      <c r="A3629" s="149"/>
      <c r="B3629" s="149"/>
      <c r="C3629" s="150"/>
      <c r="D3629" s="102"/>
      <c r="E3629" s="149"/>
      <c r="F3629" s="149"/>
      <c r="G3629" s="149"/>
      <c r="H3629" s="149"/>
      <c r="I3629" s="149"/>
      <c r="J3629" s="149"/>
      <c r="K3629" s="149"/>
      <c r="L3629" s="149"/>
      <c r="M3629" s="149"/>
      <c r="N3629" s="149"/>
      <c r="O3629" s="149"/>
      <c r="P3629" s="149"/>
      <c r="Q3629" s="149"/>
      <c r="R3629" s="149"/>
      <c r="S3629" s="149"/>
      <c r="T3629" s="149"/>
      <c r="U3629" s="149"/>
      <c r="V3629" s="149"/>
      <c r="W3629" s="149"/>
      <c r="X3629" s="149"/>
      <c r="Y3629" s="149"/>
      <c r="Z3629" s="149"/>
      <c r="AA3629" s="149"/>
      <c r="AB3629" s="149"/>
      <c r="AC3629" s="149"/>
      <c r="AD3629" s="149"/>
      <c r="AE3629" s="149"/>
      <c r="AF3629" s="149"/>
      <c r="AG3629" s="149"/>
      <c r="AH3629" s="149"/>
      <c r="AI3629" s="149"/>
      <c r="AJ3629" s="149"/>
      <c r="AK3629" s="149"/>
      <c r="AL3629" s="149"/>
      <c r="AM3629" s="149"/>
      <c r="AN3629" s="149"/>
      <c r="AO3629" s="128"/>
      <c r="AP3629" s="128"/>
      <c r="AQ3629" s="128"/>
      <c r="AR3629" s="128"/>
      <c r="AS3629" s="128"/>
      <c r="AT3629" s="128"/>
      <c r="AU3629" s="128"/>
      <c r="AV3629" s="128"/>
      <c r="AW3629" s="128"/>
      <c r="AX3629" s="128"/>
      <c r="AY3629" s="128"/>
      <c r="AZ3629" s="128"/>
      <c r="BA3629" s="128"/>
      <c r="BB3629" s="128"/>
      <c r="BC3629" s="128"/>
      <c r="BD3629" s="128"/>
      <c r="BE3629" s="128"/>
      <c r="BF3629" s="128"/>
      <c r="BG3629" s="128"/>
      <c r="BH3629" s="128"/>
      <c r="BI3629" s="128"/>
      <c r="BJ3629" s="128"/>
      <c r="BK3629" s="128"/>
      <c r="BL3629" s="128"/>
      <c r="BM3629" s="151"/>
      <c r="BN3629" s="128"/>
      <c r="BO3629" s="128"/>
      <c r="BP3629" s="128"/>
      <c r="BQ3629" s="128"/>
      <c r="BR3629" s="128"/>
      <c r="BS3629" s="128"/>
      <c r="BT3629" s="128"/>
      <c r="BU3629" s="128"/>
      <c r="BV3629" s="128"/>
      <c r="BW3629" s="128"/>
      <c r="BX3629" s="128"/>
      <c r="BY3629" s="128"/>
      <c r="BZ3629" s="128"/>
      <c r="CA3629" s="128"/>
      <c r="CB3629" s="128"/>
      <c r="CC3629" s="128"/>
      <c r="CD3629" s="128"/>
      <c r="CE3629" s="128"/>
      <c r="CF3629" s="128"/>
      <c r="CG3629" s="128"/>
      <c r="CI3629" s="128"/>
      <c r="CJ3629" s="128"/>
      <c r="CK3629" s="128"/>
      <c r="CL3629" s="128"/>
      <c r="CM3629" s="128"/>
      <c r="CN3629" s="128"/>
      <c r="CO3629" s="128"/>
      <c r="CP3629" s="128"/>
      <c r="CQ3629" s="128"/>
      <c r="CR3629" s="128"/>
      <c r="CS3629" s="128"/>
      <c r="CT3629" s="128"/>
      <c r="CU3629" s="128"/>
      <c r="CV3629" s="128"/>
      <c r="CW3629" s="128"/>
      <c r="CX3629" s="128"/>
      <c r="CY3629" s="128"/>
      <c r="CZ3629" s="165"/>
    </row>
    <row r="3630" spans="1:104">
      <c r="A3630" s="149"/>
      <c r="B3630" s="149"/>
      <c r="C3630" s="150"/>
      <c r="D3630" s="102"/>
      <c r="E3630" s="149"/>
      <c r="F3630" s="149"/>
      <c r="G3630" s="149"/>
      <c r="H3630" s="149"/>
      <c r="I3630" s="149"/>
      <c r="J3630" s="149"/>
      <c r="K3630" s="149"/>
      <c r="L3630" s="149"/>
      <c r="M3630" s="149"/>
      <c r="N3630" s="149"/>
      <c r="O3630" s="149"/>
      <c r="P3630" s="149"/>
      <c r="Q3630" s="149"/>
      <c r="R3630" s="149"/>
      <c r="S3630" s="149"/>
      <c r="T3630" s="149"/>
      <c r="U3630" s="149"/>
      <c r="V3630" s="149"/>
      <c r="W3630" s="149"/>
      <c r="X3630" s="149"/>
      <c r="Y3630" s="149"/>
      <c r="Z3630" s="149"/>
      <c r="AA3630" s="149"/>
      <c r="AB3630" s="149"/>
      <c r="AC3630" s="149"/>
      <c r="AD3630" s="149"/>
      <c r="AE3630" s="149"/>
      <c r="AF3630" s="149"/>
      <c r="AG3630" s="149"/>
      <c r="AH3630" s="149"/>
      <c r="AI3630" s="149"/>
      <c r="AJ3630" s="149"/>
      <c r="AK3630" s="149"/>
      <c r="AL3630" s="149"/>
      <c r="AM3630" s="149"/>
      <c r="AN3630" s="149"/>
      <c r="AO3630" s="128"/>
      <c r="AP3630" s="128"/>
      <c r="AQ3630" s="128"/>
      <c r="AR3630" s="128"/>
      <c r="AS3630" s="128"/>
      <c r="AT3630" s="128"/>
      <c r="AU3630" s="128"/>
      <c r="AV3630" s="128"/>
      <c r="AW3630" s="128"/>
      <c r="AX3630" s="128"/>
      <c r="AY3630" s="128"/>
      <c r="AZ3630" s="128"/>
      <c r="BA3630" s="128"/>
      <c r="BB3630" s="128"/>
      <c r="BC3630" s="128"/>
      <c r="BD3630" s="128"/>
      <c r="BE3630" s="128"/>
      <c r="BF3630" s="128"/>
      <c r="BG3630" s="128"/>
      <c r="BH3630" s="128"/>
      <c r="BI3630" s="128"/>
      <c r="BJ3630" s="128"/>
      <c r="BK3630" s="128"/>
      <c r="BL3630" s="128"/>
      <c r="BM3630" s="151"/>
      <c r="BN3630" s="128"/>
      <c r="BO3630" s="128"/>
      <c r="BP3630" s="128"/>
      <c r="BQ3630" s="128"/>
      <c r="BR3630" s="128"/>
      <c r="BS3630" s="128"/>
      <c r="BT3630" s="128"/>
      <c r="BU3630" s="128"/>
      <c r="BV3630" s="128"/>
      <c r="BW3630" s="128"/>
      <c r="BX3630" s="128"/>
      <c r="BY3630" s="128"/>
      <c r="BZ3630" s="128"/>
      <c r="CA3630" s="128"/>
      <c r="CB3630" s="128"/>
      <c r="CC3630" s="128"/>
      <c r="CD3630" s="128"/>
      <c r="CE3630" s="128"/>
      <c r="CF3630" s="128"/>
      <c r="CG3630" s="128"/>
      <c r="CI3630" s="128"/>
      <c r="CJ3630" s="128"/>
      <c r="CK3630" s="128"/>
      <c r="CL3630" s="128"/>
      <c r="CM3630" s="128"/>
      <c r="CN3630" s="128"/>
      <c r="CO3630" s="128"/>
      <c r="CP3630" s="128"/>
      <c r="CQ3630" s="128"/>
      <c r="CR3630" s="128"/>
      <c r="CS3630" s="128"/>
      <c r="CT3630" s="128"/>
      <c r="CU3630" s="128"/>
      <c r="CV3630" s="128"/>
      <c r="CW3630" s="128"/>
      <c r="CX3630" s="128"/>
      <c r="CY3630" s="128"/>
      <c r="CZ3630" s="165"/>
    </row>
    <row r="3631" spans="1:104">
      <c r="A3631" s="149"/>
      <c r="B3631" s="149"/>
      <c r="C3631" s="150"/>
      <c r="D3631" s="102"/>
      <c r="E3631" s="149"/>
      <c r="F3631" s="149"/>
      <c r="G3631" s="149"/>
      <c r="H3631" s="149"/>
      <c r="I3631" s="149"/>
      <c r="J3631" s="149"/>
      <c r="K3631" s="149"/>
      <c r="L3631" s="149"/>
      <c r="M3631" s="149"/>
      <c r="N3631" s="149"/>
      <c r="O3631" s="149"/>
      <c r="P3631" s="149"/>
      <c r="Q3631" s="149"/>
      <c r="R3631" s="149"/>
      <c r="S3631" s="149"/>
      <c r="T3631" s="149"/>
      <c r="U3631" s="149"/>
      <c r="V3631" s="149"/>
      <c r="W3631" s="149"/>
      <c r="X3631" s="149"/>
      <c r="Y3631" s="149"/>
      <c r="Z3631" s="149"/>
      <c r="AA3631" s="149"/>
      <c r="AB3631" s="149"/>
      <c r="AC3631" s="149"/>
      <c r="AD3631" s="149"/>
      <c r="AE3631" s="149"/>
      <c r="AF3631" s="149"/>
      <c r="AG3631" s="149"/>
      <c r="AH3631" s="149"/>
      <c r="AI3631" s="149"/>
      <c r="AJ3631" s="149"/>
      <c r="AK3631" s="149"/>
      <c r="AL3631" s="149"/>
      <c r="AM3631" s="149"/>
      <c r="AN3631" s="149"/>
      <c r="AO3631" s="128"/>
      <c r="AP3631" s="128"/>
      <c r="AQ3631" s="128"/>
      <c r="AR3631" s="128"/>
      <c r="AS3631" s="128"/>
      <c r="AT3631" s="128"/>
      <c r="AU3631" s="128"/>
      <c r="AV3631" s="128"/>
      <c r="AW3631" s="128"/>
      <c r="AX3631" s="128"/>
      <c r="AY3631" s="128"/>
      <c r="AZ3631" s="128"/>
      <c r="BA3631" s="128"/>
      <c r="BB3631" s="128"/>
      <c r="BC3631" s="128"/>
      <c r="BD3631" s="128"/>
      <c r="BE3631" s="128"/>
      <c r="BF3631" s="128"/>
      <c r="BG3631" s="128"/>
      <c r="BH3631" s="128"/>
      <c r="BI3631" s="128"/>
      <c r="BJ3631" s="128"/>
      <c r="BK3631" s="128"/>
      <c r="BL3631" s="128"/>
      <c r="BM3631" s="151"/>
      <c r="BN3631" s="128"/>
      <c r="BO3631" s="128"/>
      <c r="BP3631" s="128"/>
      <c r="BQ3631" s="128"/>
      <c r="BR3631" s="128"/>
      <c r="BS3631" s="128"/>
      <c r="BT3631" s="128"/>
      <c r="BU3631" s="128"/>
      <c r="BV3631" s="128"/>
      <c r="BW3631" s="128"/>
      <c r="BX3631" s="128"/>
      <c r="BY3631" s="128"/>
      <c r="BZ3631" s="128"/>
      <c r="CA3631" s="128"/>
      <c r="CB3631" s="128"/>
      <c r="CC3631" s="128"/>
      <c r="CD3631" s="128"/>
      <c r="CE3631" s="128"/>
      <c r="CF3631" s="128"/>
      <c r="CG3631" s="128"/>
      <c r="CI3631" s="128"/>
      <c r="CJ3631" s="128"/>
      <c r="CK3631" s="128"/>
      <c r="CL3631" s="128"/>
      <c r="CM3631" s="128"/>
      <c r="CN3631" s="128"/>
      <c r="CO3631" s="128"/>
      <c r="CP3631" s="128"/>
      <c r="CQ3631" s="128"/>
      <c r="CR3631" s="128"/>
      <c r="CS3631" s="128"/>
      <c r="CT3631" s="128"/>
      <c r="CU3631" s="128"/>
      <c r="CV3631" s="128"/>
      <c r="CW3631" s="128"/>
      <c r="CX3631" s="128"/>
      <c r="CY3631" s="128"/>
      <c r="CZ3631" s="165"/>
    </row>
    <row r="3632" spans="1:104">
      <c r="A3632" s="149"/>
      <c r="B3632" s="149"/>
      <c r="C3632" s="150"/>
      <c r="D3632" s="102"/>
      <c r="E3632" s="149"/>
      <c r="F3632" s="149"/>
      <c r="G3632" s="149"/>
      <c r="H3632" s="149"/>
      <c r="I3632" s="149"/>
      <c r="J3632" s="149"/>
      <c r="K3632" s="149"/>
      <c r="L3632" s="149"/>
      <c r="M3632" s="149"/>
      <c r="N3632" s="149"/>
      <c r="O3632" s="149"/>
      <c r="P3632" s="149"/>
      <c r="Q3632" s="149"/>
      <c r="R3632" s="149"/>
      <c r="S3632" s="149"/>
      <c r="T3632" s="149"/>
      <c r="U3632" s="149"/>
      <c r="V3632" s="149"/>
      <c r="W3632" s="149"/>
      <c r="X3632" s="149"/>
      <c r="Y3632" s="149"/>
      <c r="Z3632" s="149"/>
      <c r="AA3632" s="149"/>
      <c r="AB3632" s="149"/>
      <c r="AC3632" s="149"/>
      <c r="AD3632" s="149"/>
      <c r="AE3632" s="149"/>
      <c r="AF3632" s="149"/>
      <c r="AG3632" s="149"/>
      <c r="AH3632" s="149"/>
      <c r="AI3632" s="149"/>
      <c r="AJ3632" s="149"/>
      <c r="AK3632" s="149"/>
      <c r="AL3632" s="149"/>
      <c r="AM3632" s="149"/>
      <c r="AN3632" s="149"/>
      <c r="AO3632" s="128"/>
      <c r="AP3632" s="128"/>
      <c r="AQ3632" s="128"/>
      <c r="AR3632" s="128"/>
      <c r="AS3632" s="128"/>
      <c r="AT3632" s="128"/>
      <c r="AU3632" s="128"/>
      <c r="AV3632" s="128"/>
      <c r="AW3632" s="128"/>
      <c r="AX3632" s="128"/>
      <c r="AY3632" s="128"/>
      <c r="AZ3632" s="128"/>
      <c r="BA3632" s="128"/>
      <c r="BB3632" s="128"/>
      <c r="BC3632" s="128"/>
      <c r="BD3632" s="128"/>
      <c r="BE3632" s="128"/>
      <c r="BF3632" s="128"/>
      <c r="BG3632" s="128"/>
      <c r="BH3632" s="128"/>
      <c r="BI3632" s="128"/>
      <c r="BJ3632" s="128"/>
      <c r="BK3632" s="128"/>
      <c r="BL3632" s="128"/>
      <c r="BM3632" s="151"/>
      <c r="BN3632" s="128"/>
      <c r="BO3632" s="128"/>
      <c r="BP3632" s="128"/>
      <c r="BQ3632" s="128"/>
      <c r="BR3632" s="128"/>
      <c r="BS3632" s="128"/>
      <c r="BT3632" s="128"/>
      <c r="BU3632" s="128"/>
      <c r="BV3632" s="128"/>
      <c r="BW3632" s="128"/>
      <c r="BX3632" s="128"/>
      <c r="BY3632" s="128"/>
      <c r="BZ3632" s="128"/>
      <c r="CA3632" s="128"/>
      <c r="CB3632" s="128"/>
      <c r="CC3632" s="128"/>
      <c r="CD3632" s="128"/>
      <c r="CE3632" s="128"/>
      <c r="CF3632" s="128"/>
      <c r="CG3632" s="128"/>
      <c r="CI3632" s="128"/>
      <c r="CJ3632" s="128"/>
      <c r="CK3632" s="128"/>
      <c r="CL3632" s="128"/>
      <c r="CM3632" s="128"/>
      <c r="CN3632" s="128"/>
      <c r="CO3632" s="128"/>
      <c r="CP3632" s="128"/>
      <c r="CQ3632" s="128"/>
      <c r="CR3632" s="128"/>
      <c r="CS3632" s="128"/>
      <c r="CT3632" s="128"/>
      <c r="CU3632" s="128"/>
      <c r="CV3632" s="128"/>
      <c r="CW3632" s="128"/>
      <c r="CX3632" s="128"/>
      <c r="CY3632" s="128"/>
      <c r="CZ3632" s="165"/>
    </row>
    <row r="3633" spans="1:104">
      <c r="A3633" s="149"/>
      <c r="B3633" s="149"/>
      <c r="C3633" s="150"/>
      <c r="D3633" s="102"/>
      <c r="E3633" s="149"/>
      <c r="F3633" s="149"/>
      <c r="G3633" s="149"/>
      <c r="H3633" s="149"/>
      <c r="I3633" s="149"/>
      <c r="J3633" s="149"/>
      <c r="K3633" s="149"/>
      <c r="L3633" s="149"/>
      <c r="M3633" s="149"/>
      <c r="N3633" s="149"/>
      <c r="O3633" s="149"/>
      <c r="P3633" s="149"/>
      <c r="Q3633" s="149"/>
      <c r="R3633" s="149"/>
      <c r="S3633" s="149"/>
      <c r="T3633" s="149"/>
      <c r="U3633" s="149"/>
      <c r="V3633" s="149"/>
      <c r="W3633" s="149"/>
      <c r="X3633" s="149"/>
      <c r="Y3633" s="149"/>
      <c r="Z3633" s="149"/>
      <c r="AA3633" s="149"/>
      <c r="AB3633" s="149"/>
      <c r="AC3633" s="149"/>
      <c r="AD3633" s="149"/>
      <c r="AE3633" s="149"/>
      <c r="AF3633" s="149"/>
      <c r="AG3633" s="149"/>
      <c r="AH3633" s="149"/>
      <c r="AI3633" s="149"/>
      <c r="AJ3633" s="149"/>
      <c r="AK3633" s="149"/>
      <c r="AL3633" s="149"/>
      <c r="AM3633" s="149"/>
      <c r="AN3633" s="149"/>
      <c r="AO3633" s="128"/>
      <c r="AP3633" s="128"/>
      <c r="AQ3633" s="128"/>
      <c r="AR3633" s="128"/>
      <c r="AS3633" s="128"/>
      <c r="AT3633" s="128"/>
      <c r="AU3633" s="128"/>
      <c r="AV3633" s="128"/>
      <c r="AW3633" s="128"/>
      <c r="AX3633" s="128"/>
      <c r="AY3633" s="128"/>
      <c r="AZ3633" s="128"/>
      <c r="BA3633" s="128"/>
      <c r="BB3633" s="128"/>
      <c r="BC3633" s="128"/>
      <c r="BD3633" s="128"/>
      <c r="BE3633" s="128"/>
      <c r="BF3633" s="128"/>
      <c r="BG3633" s="128"/>
      <c r="BH3633" s="128"/>
      <c r="BI3633" s="128"/>
      <c r="BJ3633" s="128"/>
      <c r="BK3633" s="128"/>
      <c r="BL3633" s="128"/>
      <c r="BM3633" s="151"/>
      <c r="BN3633" s="128"/>
      <c r="BO3633" s="128"/>
      <c r="BP3633" s="128"/>
      <c r="BQ3633" s="128"/>
      <c r="BR3633" s="128"/>
      <c r="BS3633" s="128"/>
      <c r="BT3633" s="128"/>
      <c r="BU3633" s="128"/>
      <c r="BV3633" s="128"/>
      <c r="BW3633" s="128"/>
      <c r="BX3633" s="128"/>
      <c r="BY3633" s="128"/>
      <c r="BZ3633" s="128"/>
      <c r="CA3633" s="128"/>
      <c r="CB3633" s="128"/>
      <c r="CC3633" s="128"/>
      <c r="CD3633" s="128"/>
      <c r="CE3633" s="128"/>
      <c r="CF3633" s="128"/>
      <c r="CG3633" s="128"/>
      <c r="CI3633" s="128"/>
      <c r="CJ3633" s="128"/>
      <c r="CK3633" s="128"/>
      <c r="CL3633" s="128"/>
      <c r="CM3633" s="128"/>
      <c r="CN3633" s="128"/>
      <c r="CO3633" s="128"/>
      <c r="CP3633" s="128"/>
      <c r="CQ3633" s="128"/>
      <c r="CR3633" s="128"/>
      <c r="CS3633" s="128"/>
      <c r="CT3633" s="128"/>
      <c r="CU3633" s="128"/>
      <c r="CV3633" s="128"/>
      <c r="CW3633" s="128"/>
      <c r="CX3633" s="128"/>
      <c r="CY3633" s="128"/>
      <c r="CZ3633" s="165"/>
    </row>
    <row r="3634" spans="1:104">
      <c r="A3634" s="149"/>
      <c r="B3634" s="149"/>
      <c r="C3634" s="150"/>
      <c r="D3634" s="102"/>
      <c r="E3634" s="149"/>
      <c r="F3634" s="149"/>
      <c r="G3634" s="149"/>
      <c r="H3634" s="149"/>
      <c r="I3634" s="149"/>
      <c r="J3634" s="149"/>
      <c r="K3634" s="149"/>
      <c r="L3634" s="149"/>
      <c r="M3634" s="149"/>
      <c r="N3634" s="149"/>
      <c r="O3634" s="149"/>
      <c r="P3634" s="149"/>
      <c r="Q3634" s="149"/>
      <c r="R3634" s="149"/>
      <c r="S3634" s="149"/>
      <c r="T3634" s="149"/>
      <c r="U3634" s="149"/>
      <c r="V3634" s="149"/>
      <c r="W3634" s="149"/>
      <c r="X3634" s="149"/>
      <c r="Y3634" s="149"/>
      <c r="Z3634" s="149"/>
      <c r="AA3634" s="149"/>
      <c r="AB3634" s="149"/>
      <c r="AC3634" s="149"/>
      <c r="AD3634" s="149"/>
      <c r="AE3634" s="149"/>
      <c r="AF3634" s="149"/>
      <c r="AG3634" s="149"/>
      <c r="AH3634" s="149"/>
      <c r="AI3634" s="149"/>
      <c r="AJ3634" s="149"/>
      <c r="AK3634" s="149"/>
      <c r="AL3634" s="149"/>
      <c r="AM3634" s="149"/>
      <c r="AN3634" s="149"/>
      <c r="AO3634" s="128"/>
      <c r="AP3634" s="128"/>
      <c r="AQ3634" s="128"/>
      <c r="AR3634" s="128"/>
      <c r="AS3634" s="128"/>
      <c r="AT3634" s="128"/>
      <c r="AU3634" s="128"/>
      <c r="AV3634" s="128"/>
      <c r="AW3634" s="128"/>
      <c r="AX3634" s="128"/>
      <c r="AY3634" s="128"/>
      <c r="AZ3634" s="128"/>
      <c r="BA3634" s="128"/>
      <c r="BB3634" s="128"/>
      <c r="BC3634" s="128"/>
      <c r="BD3634" s="128"/>
      <c r="BE3634" s="128"/>
      <c r="BF3634" s="128"/>
      <c r="BG3634" s="128"/>
      <c r="BH3634" s="128"/>
      <c r="BI3634" s="128"/>
      <c r="BJ3634" s="128"/>
      <c r="BK3634" s="128"/>
      <c r="BL3634" s="128"/>
      <c r="BM3634" s="151"/>
      <c r="BN3634" s="128"/>
      <c r="BO3634" s="128"/>
      <c r="BP3634" s="128"/>
      <c r="BQ3634" s="128"/>
      <c r="BR3634" s="128"/>
      <c r="BS3634" s="128"/>
      <c r="BT3634" s="128"/>
      <c r="BU3634" s="128"/>
      <c r="BV3634" s="128"/>
      <c r="BW3634" s="128"/>
      <c r="BX3634" s="128"/>
      <c r="BY3634" s="128"/>
      <c r="BZ3634" s="128"/>
      <c r="CA3634" s="128"/>
      <c r="CB3634" s="128"/>
      <c r="CC3634" s="128"/>
      <c r="CD3634" s="128"/>
      <c r="CE3634" s="128"/>
      <c r="CF3634" s="128"/>
      <c r="CG3634" s="128"/>
      <c r="CI3634" s="128"/>
      <c r="CJ3634" s="128"/>
      <c r="CK3634" s="128"/>
      <c r="CL3634" s="128"/>
      <c r="CM3634" s="128"/>
      <c r="CN3634" s="128"/>
      <c r="CO3634" s="128"/>
      <c r="CP3634" s="128"/>
      <c r="CQ3634" s="128"/>
      <c r="CR3634" s="128"/>
      <c r="CS3634" s="128"/>
      <c r="CT3634" s="128"/>
      <c r="CU3634" s="128"/>
      <c r="CV3634" s="128"/>
      <c r="CW3634" s="128"/>
      <c r="CX3634" s="128"/>
      <c r="CY3634" s="128"/>
      <c r="CZ3634" s="165"/>
    </row>
    <row r="3635" spans="1:104">
      <c r="A3635" s="149"/>
      <c r="B3635" s="149"/>
      <c r="C3635" s="150"/>
      <c r="D3635" s="102"/>
      <c r="E3635" s="149"/>
      <c r="F3635" s="149"/>
      <c r="G3635" s="149"/>
      <c r="H3635" s="149"/>
      <c r="I3635" s="149"/>
      <c r="J3635" s="149"/>
      <c r="K3635" s="149"/>
      <c r="L3635" s="149"/>
      <c r="M3635" s="149"/>
      <c r="N3635" s="149"/>
      <c r="O3635" s="149"/>
      <c r="P3635" s="149"/>
      <c r="Q3635" s="149"/>
      <c r="R3635" s="149"/>
      <c r="S3635" s="149"/>
      <c r="T3635" s="149"/>
      <c r="U3635" s="149"/>
      <c r="V3635" s="149"/>
      <c r="W3635" s="149"/>
      <c r="X3635" s="149"/>
      <c r="Y3635" s="149"/>
      <c r="Z3635" s="149"/>
      <c r="AA3635" s="149"/>
      <c r="AB3635" s="149"/>
      <c r="AC3635" s="149"/>
      <c r="AD3635" s="149"/>
      <c r="AE3635" s="149"/>
      <c r="AF3635" s="149"/>
      <c r="AG3635" s="149"/>
      <c r="AH3635" s="149"/>
      <c r="AI3635" s="149"/>
      <c r="AJ3635" s="149"/>
      <c r="AK3635" s="149"/>
      <c r="AL3635" s="149"/>
      <c r="AM3635" s="149"/>
      <c r="AN3635" s="149"/>
      <c r="AO3635" s="128"/>
      <c r="AP3635" s="128"/>
      <c r="AQ3635" s="128"/>
      <c r="AR3635" s="128"/>
      <c r="AS3635" s="128"/>
      <c r="AT3635" s="128"/>
      <c r="AU3635" s="128"/>
      <c r="AV3635" s="128"/>
      <c r="AW3635" s="128"/>
      <c r="AX3635" s="128"/>
      <c r="AY3635" s="128"/>
      <c r="AZ3635" s="128"/>
      <c r="BA3635" s="128"/>
      <c r="BB3635" s="128"/>
      <c r="BC3635" s="128"/>
      <c r="BD3635" s="128"/>
      <c r="BE3635" s="128"/>
      <c r="BF3635" s="128"/>
      <c r="BG3635" s="128"/>
      <c r="BH3635" s="128"/>
      <c r="BI3635" s="128"/>
      <c r="BJ3635" s="128"/>
      <c r="BK3635" s="128"/>
      <c r="BL3635" s="128"/>
      <c r="BM3635" s="151"/>
      <c r="BN3635" s="128"/>
      <c r="BO3635" s="128"/>
      <c r="BP3635" s="128"/>
      <c r="BQ3635" s="128"/>
      <c r="BR3635" s="128"/>
      <c r="BS3635" s="128"/>
      <c r="BT3635" s="128"/>
      <c r="BU3635" s="128"/>
      <c r="BV3635" s="128"/>
      <c r="BW3635" s="128"/>
      <c r="BX3635" s="128"/>
      <c r="BY3635" s="128"/>
      <c r="BZ3635" s="128"/>
      <c r="CA3635" s="128"/>
      <c r="CB3635" s="128"/>
      <c r="CC3635" s="128"/>
      <c r="CD3635" s="128"/>
      <c r="CE3635" s="128"/>
      <c r="CF3635" s="128"/>
      <c r="CG3635" s="128"/>
      <c r="CI3635" s="128"/>
      <c r="CJ3635" s="128"/>
      <c r="CK3635" s="128"/>
      <c r="CL3635" s="128"/>
      <c r="CM3635" s="128"/>
      <c r="CN3635" s="128"/>
      <c r="CO3635" s="128"/>
      <c r="CP3635" s="128"/>
      <c r="CQ3635" s="128"/>
      <c r="CR3635" s="128"/>
      <c r="CS3635" s="128"/>
      <c r="CT3635" s="128"/>
      <c r="CU3635" s="128"/>
      <c r="CV3635" s="128"/>
      <c r="CW3635" s="128"/>
      <c r="CX3635" s="128"/>
      <c r="CY3635" s="128"/>
      <c r="CZ3635" s="165"/>
    </row>
    <row r="3636" spans="1:104">
      <c r="A3636" s="149"/>
      <c r="B3636" s="149"/>
      <c r="C3636" s="150"/>
      <c r="D3636" s="102"/>
      <c r="E3636" s="149"/>
      <c r="F3636" s="149"/>
      <c r="G3636" s="149"/>
      <c r="H3636" s="149"/>
      <c r="I3636" s="149"/>
      <c r="J3636" s="149"/>
      <c r="K3636" s="149"/>
      <c r="L3636" s="149"/>
      <c r="M3636" s="149"/>
      <c r="N3636" s="149"/>
      <c r="O3636" s="149"/>
      <c r="P3636" s="149"/>
      <c r="Q3636" s="149"/>
      <c r="R3636" s="149"/>
      <c r="S3636" s="149"/>
      <c r="T3636" s="149"/>
      <c r="U3636" s="149"/>
      <c r="V3636" s="149"/>
      <c r="W3636" s="149"/>
      <c r="X3636" s="149"/>
      <c r="Y3636" s="149"/>
      <c r="Z3636" s="149"/>
      <c r="AA3636" s="149"/>
      <c r="AB3636" s="149"/>
      <c r="AC3636" s="149"/>
      <c r="AD3636" s="149"/>
      <c r="AE3636" s="149"/>
      <c r="AF3636" s="149"/>
      <c r="AG3636" s="149"/>
      <c r="AH3636" s="149"/>
      <c r="AI3636" s="149"/>
      <c r="AJ3636" s="149"/>
      <c r="AK3636" s="149"/>
      <c r="AL3636" s="149"/>
      <c r="AM3636" s="149"/>
      <c r="AN3636" s="149"/>
      <c r="AO3636" s="128"/>
      <c r="AP3636" s="128"/>
      <c r="AQ3636" s="128"/>
      <c r="AR3636" s="128"/>
      <c r="AS3636" s="128"/>
      <c r="AT3636" s="128"/>
      <c r="AU3636" s="128"/>
      <c r="AV3636" s="128"/>
      <c r="AW3636" s="128"/>
      <c r="AX3636" s="128"/>
      <c r="AY3636" s="128"/>
      <c r="AZ3636" s="128"/>
      <c r="BA3636" s="128"/>
      <c r="BB3636" s="128"/>
      <c r="BC3636" s="128"/>
      <c r="BD3636" s="128"/>
      <c r="BE3636" s="128"/>
      <c r="BF3636" s="128"/>
      <c r="BG3636" s="128"/>
      <c r="BH3636" s="128"/>
      <c r="BI3636" s="128"/>
      <c r="BJ3636" s="128"/>
      <c r="BK3636" s="128"/>
      <c r="BL3636" s="128"/>
      <c r="BM3636" s="151"/>
      <c r="BN3636" s="128"/>
      <c r="BO3636" s="128"/>
      <c r="BP3636" s="128"/>
      <c r="BQ3636" s="128"/>
      <c r="BR3636" s="128"/>
      <c r="BS3636" s="128"/>
      <c r="BT3636" s="128"/>
      <c r="BU3636" s="128"/>
      <c r="BV3636" s="128"/>
      <c r="BW3636" s="128"/>
      <c r="BX3636" s="128"/>
      <c r="BY3636" s="128"/>
      <c r="BZ3636" s="128"/>
      <c r="CA3636" s="128"/>
      <c r="CB3636" s="128"/>
      <c r="CC3636" s="128"/>
      <c r="CD3636" s="128"/>
      <c r="CE3636" s="128"/>
      <c r="CF3636" s="128"/>
      <c r="CG3636" s="128"/>
      <c r="CI3636" s="128"/>
      <c r="CJ3636" s="128"/>
      <c r="CK3636" s="128"/>
      <c r="CL3636" s="128"/>
      <c r="CM3636" s="128"/>
      <c r="CN3636" s="128"/>
      <c r="CO3636" s="128"/>
      <c r="CP3636" s="128"/>
      <c r="CQ3636" s="128"/>
      <c r="CR3636" s="128"/>
      <c r="CS3636" s="128"/>
      <c r="CT3636" s="128"/>
      <c r="CU3636" s="128"/>
      <c r="CV3636" s="128"/>
      <c r="CW3636" s="128"/>
      <c r="CX3636" s="128"/>
      <c r="CY3636" s="128"/>
      <c r="CZ3636" s="165"/>
    </row>
    <row r="3637" spans="1:104">
      <c r="A3637" s="149"/>
      <c r="B3637" s="149"/>
      <c r="C3637" s="150"/>
      <c r="D3637" s="102"/>
      <c r="E3637" s="149"/>
      <c r="F3637" s="149"/>
      <c r="G3637" s="149"/>
      <c r="H3637" s="149"/>
      <c r="I3637" s="149"/>
      <c r="J3637" s="149"/>
      <c r="K3637" s="149"/>
      <c r="L3637" s="149"/>
      <c r="M3637" s="149"/>
      <c r="N3637" s="149"/>
      <c r="O3637" s="149"/>
      <c r="P3637" s="149"/>
      <c r="Q3637" s="149"/>
      <c r="R3637" s="149"/>
      <c r="S3637" s="149"/>
      <c r="T3637" s="149"/>
      <c r="U3637" s="149"/>
      <c r="V3637" s="149"/>
      <c r="W3637" s="149"/>
      <c r="X3637" s="149"/>
      <c r="Y3637" s="149"/>
      <c r="Z3637" s="149"/>
      <c r="AA3637" s="149"/>
      <c r="AB3637" s="149"/>
      <c r="AC3637" s="149"/>
      <c r="AD3637" s="149"/>
      <c r="AE3637" s="149"/>
      <c r="AF3637" s="149"/>
      <c r="AG3637" s="149"/>
      <c r="AH3637" s="149"/>
      <c r="AI3637" s="149"/>
      <c r="AJ3637" s="149"/>
      <c r="AK3637" s="149"/>
      <c r="AL3637" s="149"/>
      <c r="AM3637" s="149"/>
      <c r="AN3637" s="149"/>
      <c r="AO3637" s="128"/>
      <c r="AP3637" s="128"/>
      <c r="AQ3637" s="128"/>
      <c r="AR3637" s="128"/>
      <c r="AS3637" s="128"/>
      <c r="AT3637" s="128"/>
      <c r="AU3637" s="128"/>
      <c r="AV3637" s="128"/>
      <c r="AW3637" s="128"/>
      <c r="AX3637" s="128"/>
      <c r="AY3637" s="128"/>
      <c r="AZ3637" s="128"/>
      <c r="BA3637" s="128"/>
      <c r="BB3637" s="128"/>
      <c r="BC3637" s="128"/>
      <c r="BD3637" s="128"/>
      <c r="BE3637" s="128"/>
      <c r="BF3637" s="128"/>
      <c r="BG3637" s="128"/>
      <c r="BH3637" s="128"/>
      <c r="BI3637" s="128"/>
      <c r="BJ3637" s="128"/>
      <c r="BK3637" s="128"/>
      <c r="BL3637" s="128"/>
      <c r="BM3637" s="151"/>
      <c r="BN3637" s="128"/>
      <c r="BO3637" s="128"/>
      <c r="BP3637" s="128"/>
      <c r="BQ3637" s="128"/>
      <c r="BR3637" s="128"/>
      <c r="BS3637" s="128"/>
      <c r="BT3637" s="128"/>
      <c r="BU3637" s="128"/>
      <c r="BV3637" s="128"/>
      <c r="BW3637" s="128"/>
      <c r="BX3637" s="128"/>
      <c r="BY3637" s="128"/>
      <c r="BZ3637" s="128"/>
      <c r="CA3637" s="128"/>
      <c r="CB3637" s="128"/>
      <c r="CC3637" s="128"/>
      <c r="CD3637" s="128"/>
      <c r="CE3637" s="128"/>
      <c r="CF3637" s="128"/>
      <c r="CG3637" s="128"/>
      <c r="CI3637" s="128"/>
      <c r="CJ3637" s="128"/>
      <c r="CK3637" s="128"/>
      <c r="CL3637" s="128"/>
      <c r="CM3637" s="128"/>
      <c r="CN3637" s="128"/>
      <c r="CO3637" s="128"/>
      <c r="CP3637" s="128"/>
      <c r="CQ3637" s="128"/>
      <c r="CR3637" s="128"/>
      <c r="CS3637" s="128"/>
      <c r="CT3637" s="128"/>
      <c r="CU3637" s="128"/>
      <c r="CV3637" s="128"/>
      <c r="CW3637" s="128"/>
      <c r="CX3637" s="128"/>
      <c r="CY3637" s="128"/>
      <c r="CZ3637" s="165"/>
    </row>
    <row r="3638" spans="1:104">
      <c r="A3638" s="149"/>
      <c r="B3638" s="149"/>
      <c r="C3638" s="150"/>
      <c r="D3638" s="102"/>
      <c r="E3638" s="149"/>
      <c r="F3638" s="149"/>
      <c r="G3638" s="149"/>
      <c r="H3638" s="149"/>
      <c r="I3638" s="149"/>
      <c r="J3638" s="149"/>
      <c r="K3638" s="149"/>
      <c r="L3638" s="149"/>
      <c r="M3638" s="149"/>
      <c r="N3638" s="149"/>
      <c r="O3638" s="149"/>
      <c r="P3638" s="149"/>
      <c r="Q3638" s="149"/>
      <c r="R3638" s="149"/>
      <c r="S3638" s="149"/>
      <c r="T3638" s="149"/>
      <c r="U3638" s="149"/>
      <c r="V3638" s="149"/>
      <c r="W3638" s="149"/>
      <c r="X3638" s="149"/>
      <c r="Y3638" s="149"/>
      <c r="Z3638" s="149"/>
      <c r="AA3638" s="149"/>
      <c r="AB3638" s="149"/>
      <c r="AC3638" s="149"/>
      <c r="AD3638" s="149"/>
      <c r="AE3638" s="149"/>
      <c r="AF3638" s="149"/>
      <c r="AG3638" s="149"/>
      <c r="AH3638" s="149"/>
      <c r="AI3638" s="149"/>
      <c r="AJ3638" s="149"/>
      <c r="AK3638" s="149"/>
      <c r="AL3638" s="149"/>
      <c r="AM3638" s="149"/>
      <c r="AN3638" s="149"/>
      <c r="AO3638" s="128"/>
      <c r="AP3638" s="128"/>
      <c r="AQ3638" s="128"/>
      <c r="AR3638" s="128"/>
      <c r="AS3638" s="128"/>
      <c r="AT3638" s="128"/>
      <c r="AU3638" s="128"/>
      <c r="AV3638" s="128"/>
      <c r="AW3638" s="128"/>
      <c r="AX3638" s="128"/>
      <c r="AY3638" s="128"/>
      <c r="AZ3638" s="128"/>
      <c r="BA3638" s="128"/>
      <c r="BB3638" s="128"/>
      <c r="BC3638" s="128"/>
      <c r="BD3638" s="128"/>
      <c r="BE3638" s="128"/>
      <c r="BF3638" s="128"/>
      <c r="BG3638" s="128"/>
      <c r="BH3638" s="128"/>
      <c r="BI3638" s="128"/>
      <c r="BJ3638" s="128"/>
      <c r="BK3638" s="128"/>
      <c r="BL3638" s="128"/>
      <c r="BM3638" s="151"/>
      <c r="BN3638" s="128"/>
      <c r="BO3638" s="128"/>
      <c r="BP3638" s="128"/>
      <c r="BQ3638" s="128"/>
      <c r="BR3638" s="128"/>
      <c r="BS3638" s="128"/>
      <c r="BT3638" s="128"/>
      <c r="BU3638" s="128"/>
      <c r="BV3638" s="128"/>
      <c r="BW3638" s="128"/>
      <c r="BX3638" s="128"/>
      <c r="BY3638" s="128"/>
      <c r="BZ3638" s="128"/>
      <c r="CA3638" s="128"/>
      <c r="CB3638" s="128"/>
      <c r="CC3638" s="128"/>
      <c r="CD3638" s="128"/>
      <c r="CE3638" s="128"/>
      <c r="CF3638" s="128"/>
      <c r="CG3638" s="128"/>
      <c r="CI3638" s="128"/>
      <c r="CJ3638" s="128"/>
      <c r="CK3638" s="128"/>
      <c r="CL3638" s="128"/>
      <c r="CM3638" s="128"/>
      <c r="CN3638" s="128"/>
      <c r="CO3638" s="128"/>
      <c r="CP3638" s="128"/>
      <c r="CQ3638" s="128"/>
      <c r="CR3638" s="128"/>
      <c r="CS3638" s="128"/>
      <c r="CT3638" s="128"/>
      <c r="CU3638" s="128"/>
      <c r="CV3638" s="128"/>
      <c r="CW3638" s="128"/>
      <c r="CX3638" s="128"/>
      <c r="CY3638" s="128"/>
      <c r="CZ3638" s="165"/>
    </row>
    <row r="3639" spans="1:104">
      <c r="A3639" s="149"/>
      <c r="B3639" s="149"/>
      <c r="C3639" s="150"/>
      <c r="D3639" s="102"/>
      <c r="E3639" s="149"/>
      <c r="F3639" s="149"/>
      <c r="G3639" s="149"/>
      <c r="H3639" s="149"/>
      <c r="I3639" s="149"/>
      <c r="J3639" s="149"/>
      <c r="K3639" s="149"/>
      <c r="L3639" s="149"/>
      <c r="M3639" s="149"/>
      <c r="N3639" s="149"/>
      <c r="O3639" s="149"/>
      <c r="P3639" s="149"/>
      <c r="Q3639" s="149"/>
      <c r="R3639" s="149"/>
      <c r="S3639" s="149"/>
      <c r="T3639" s="149"/>
      <c r="U3639" s="149"/>
      <c r="V3639" s="149"/>
      <c r="W3639" s="149"/>
      <c r="X3639" s="149"/>
      <c r="Y3639" s="149"/>
      <c r="Z3639" s="149"/>
      <c r="AA3639" s="149"/>
      <c r="AB3639" s="149"/>
      <c r="AC3639" s="149"/>
      <c r="AD3639" s="149"/>
      <c r="AE3639" s="149"/>
      <c r="AF3639" s="149"/>
      <c r="AG3639" s="149"/>
      <c r="AH3639" s="149"/>
      <c r="AI3639" s="149"/>
      <c r="AJ3639" s="149"/>
      <c r="AK3639" s="149"/>
      <c r="AL3639" s="149"/>
      <c r="AM3639" s="149"/>
      <c r="AN3639" s="149"/>
      <c r="AO3639" s="128"/>
      <c r="AP3639" s="128"/>
      <c r="AQ3639" s="128"/>
      <c r="AR3639" s="128"/>
      <c r="AS3639" s="128"/>
      <c r="AT3639" s="128"/>
      <c r="AU3639" s="128"/>
      <c r="AV3639" s="128"/>
      <c r="AW3639" s="128"/>
      <c r="AX3639" s="128"/>
      <c r="AY3639" s="128"/>
      <c r="AZ3639" s="128"/>
      <c r="BA3639" s="128"/>
      <c r="BB3639" s="128"/>
      <c r="BC3639" s="128"/>
      <c r="BD3639" s="128"/>
      <c r="BE3639" s="128"/>
      <c r="BF3639" s="128"/>
      <c r="BG3639" s="128"/>
      <c r="BH3639" s="128"/>
      <c r="BI3639" s="128"/>
      <c r="BJ3639" s="128"/>
      <c r="BK3639" s="128"/>
      <c r="BL3639" s="128"/>
      <c r="BM3639" s="151"/>
      <c r="BN3639" s="128"/>
      <c r="BO3639" s="128"/>
      <c r="BP3639" s="128"/>
      <c r="BQ3639" s="128"/>
      <c r="BR3639" s="128"/>
      <c r="BS3639" s="128"/>
      <c r="BT3639" s="128"/>
      <c r="BU3639" s="128"/>
      <c r="BV3639" s="128"/>
      <c r="BW3639" s="128"/>
      <c r="BX3639" s="128"/>
      <c r="BY3639" s="128"/>
      <c r="BZ3639" s="128"/>
      <c r="CA3639" s="128"/>
      <c r="CB3639" s="128"/>
      <c r="CC3639" s="128"/>
      <c r="CD3639" s="128"/>
      <c r="CE3639" s="128"/>
      <c r="CF3639" s="128"/>
      <c r="CG3639" s="128"/>
      <c r="CI3639" s="128"/>
      <c r="CJ3639" s="128"/>
      <c r="CK3639" s="128"/>
      <c r="CL3639" s="128"/>
      <c r="CM3639" s="128"/>
      <c r="CN3639" s="128"/>
      <c r="CO3639" s="128"/>
      <c r="CP3639" s="128"/>
      <c r="CQ3639" s="128"/>
      <c r="CR3639" s="128"/>
      <c r="CS3639" s="128"/>
      <c r="CT3639" s="128"/>
      <c r="CU3639" s="128"/>
      <c r="CV3639" s="128"/>
      <c r="CW3639" s="128"/>
      <c r="CX3639" s="128"/>
      <c r="CY3639" s="128"/>
      <c r="CZ3639" s="165"/>
    </row>
    <row r="3640" spans="1:104">
      <c r="A3640" s="149"/>
      <c r="B3640" s="149"/>
      <c r="C3640" s="150"/>
      <c r="D3640" s="102"/>
      <c r="E3640" s="149"/>
      <c r="F3640" s="149"/>
      <c r="G3640" s="149"/>
      <c r="H3640" s="149"/>
      <c r="I3640" s="149"/>
      <c r="J3640" s="149"/>
      <c r="K3640" s="149"/>
      <c r="L3640" s="149"/>
      <c r="M3640" s="149"/>
      <c r="N3640" s="149"/>
      <c r="O3640" s="149"/>
      <c r="P3640" s="149"/>
      <c r="Q3640" s="149"/>
      <c r="R3640" s="149"/>
      <c r="S3640" s="149"/>
      <c r="T3640" s="149"/>
      <c r="U3640" s="149"/>
      <c r="V3640" s="149"/>
      <c r="W3640" s="149"/>
      <c r="X3640" s="149"/>
      <c r="Y3640" s="149"/>
      <c r="Z3640" s="149"/>
      <c r="AA3640" s="149"/>
      <c r="AB3640" s="149"/>
      <c r="AC3640" s="149"/>
      <c r="AD3640" s="149"/>
      <c r="AE3640" s="149"/>
      <c r="AF3640" s="149"/>
      <c r="AG3640" s="149"/>
      <c r="AH3640" s="149"/>
      <c r="AI3640" s="149"/>
      <c r="AJ3640" s="149"/>
      <c r="AK3640" s="149"/>
      <c r="AL3640" s="149"/>
      <c r="AM3640" s="149"/>
      <c r="AN3640" s="149"/>
      <c r="AO3640" s="128"/>
      <c r="AP3640" s="128"/>
      <c r="AQ3640" s="128"/>
      <c r="AR3640" s="128"/>
      <c r="AS3640" s="128"/>
      <c r="AT3640" s="128"/>
      <c r="AU3640" s="128"/>
      <c r="AV3640" s="128"/>
      <c r="AW3640" s="128"/>
      <c r="AX3640" s="128"/>
      <c r="AY3640" s="128"/>
      <c r="AZ3640" s="128"/>
      <c r="BA3640" s="128"/>
      <c r="BB3640" s="128"/>
      <c r="BC3640" s="128"/>
      <c r="BD3640" s="128"/>
      <c r="BE3640" s="128"/>
      <c r="BF3640" s="128"/>
      <c r="BG3640" s="128"/>
      <c r="BH3640" s="128"/>
      <c r="BI3640" s="128"/>
      <c r="BJ3640" s="128"/>
      <c r="BK3640" s="128"/>
      <c r="BL3640" s="128"/>
      <c r="BM3640" s="151"/>
      <c r="BN3640" s="128"/>
      <c r="BO3640" s="128"/>
      <c r="BP3640" s="128"/>
      <c r="BQ3640" s="128"/>
      <c r="BR3640" s="128"/>
      <c r="BS3640" s="128"/>
      <c r="BT3640" s="128"/>
      <c r="BU3640" s="128"/>
      <c r="BV3640" s="128"/>
      <c r="BW3640" s="128"/>
      <c r="BX3640" s="128"/>
      <c r="BY3640" s="128"/>
      <c r="BZ3640" s="128"/>
      <c r="CA3640" s="128"/>
      <c r="CB3640" s="128"/>
      <c r="CC3640" s="128"/>
      <c r="CD3640" s="128"/>
      <c r="CE3640" s="128"/>
      <c r="CF3640" s="128"/>
      <c r="CG3640" s="128"/>
      <c r="CI3640" s="128"/>
      <c r="CJ3640" s="128"/>
      <c r="CK3640" s="128"/>
      <c r="CL3640" s="128"/>
      <c r="CM3640" s="128"/>
      <c r="CN3640" s="128"/>
      <c r="CO3640" s="128"/>
      <c r="CP3640" s="128"/>
      <c r="CQ3640" s="128"/>
      <c r="CR3640" s="128"/>
      <c r="CS3640" s="128"/>
      <c r="CT3640" s="128"/>
      <c r="CU3640" s="128"/>
      <c r="CV3640" s="128"/>
      <c r="CW3640" s="128"/>
      <c r="CX3640" s="128"/>
      <c r="CY3640" s="128"/>
      <c r="CZ3640" s="165"/>
    </row>
    <row r="3641" spans="1:104">
      <c r="A3641" s="149"/>
      <c r="B3641" s="149"/>
      <c r="C3641" s="150"/>
      <c r="D3641" s="102"/>
      <c r="E3641" s="149"/>
      <c r="F3641" s="149"/>
      <c r="G3641" s="149"/>
      <c r="H3641" s="149"/>
      <c r="I3641" s="149"/>
      <c r="J3641" s="149"/>
      <c r="K3641" s="149"/>
      <c r="L3641" s="149"/>
      <c r="M3641" s="149"/>
      <c r="N3641" s="149"/>
      <c r="O3641" s="149"/>
      <c r="P3641" s="149"/>
      <c r="Q3641" s="149"/>
      <c r="R3641" s="149"/>
      <c r="S3641" s="149"/>
      <c r="T3641" s="149"/>
      <c r="U3641" s="149"/>
      <c r="V3641" s="149"/>
      <c r="W3641" s="149"/>
      <c r="X3641" s="149"/>
      <c r="Y3641" s="149"/>
      <c r="Z3641" s="149"/>
      <c r="AA3641" s="149"/>
      <c r="AB3641" s="149"/>
      <c r="AC3641" s="149"/>
      <c r="AD3641" s="149"/>
      <c r="AE3641" s="149"/>
      <c r="AF3641" s="149"/>
      <c r="AG3641" s="149"/>
      <c r="AH3641" s="149"/>
      <c r="AI3641" s="149"/>
      <c r="AJ3641" s="149"/>
      <c r="AK3641" s="149"/>
      <c r="AL3641" s="149"/>
      <c r="AM3641" s="149"/>
      <c r="AN3641" s="149"/>
      <c r="AO3641" s="128"/>
      <c r="AP3641" s="128"/>
      <c r="AQ3641" s="128"/>
      <c r="AR3641" s="128"/>
      <c r="AS3641" s="128"/>
      <c r="AT3641" s="128"/>
      <c r="AU3641" s="128"/>
      <c r="AV3641" s="128"/>
      <c r="AW3641" s="128"/>
      <c r="AX3641" s="128"/>
      <c r="AY3641" s="128"/>
      <c r="AZ3641" s="128"/>
      <c r="BA3641" s="128"/>
      <c r="BB3641" s="128"/>
      <c r="BC3641" s="128"/>
      <c r="BD3641" s="128"/>
      <c r="BE3641" s="128"/>
      <c r="BF3641" s="128"/>
      <c r="BG3641" s="128"/>
      <c r="BH3641" s="128"/>
      <c r="BI3641" s="128"/>
      <c r="BJ3641" s="128"/>
      <c r="BK3641" s="128"/>
      <c r="BL3641" s="128"/>
      <c r="BM3641" s="151"/>
      <c r="BN3641" s="128"/>
      <c r="BO3641" s="128"/>
      <c r="BP3641" s="128"/>
      <c r="BQ3641" s="128"/>
      <c r="BR3641" s="128"/>
      <c r="BS3641" s="128"/>
      <c r="BT3641" s="128"/>
      <c r="BU3641" s="128"/>
      <c r="BV3641" s="128"/>
      <c r="BW3641" s="128"/>
      <c r="BX3641" s="128"/>
      <c r="BY3641" s="128"/>
      <c r="BZ3641" s="128"/>
      <c r="CA3641" s="128"/>
      <c r="CB3641" s="128"/>
      <c r="CC3641" s="128"/>
      <c r="CD3641" s="128"/>
      <c r="CE3641" s="128"/>
      <c r="CF3641" s="128"/>
      <c r="CG3641" s="128"/>
      <c r="CI3641" s="128"/>
      <c r="CJ3641" s="128"/>
      <c r="CK3641" s="128"/>
      <c r="CL3641" s="128"/>
      <c r="CM3641" s="128"/>
      <c r="CN3641" s="128"/>
      <c r="CO3641" s="128"/>
      <c r="CP3641" s="128"/>
      <c r="CQ3641" s="128"/>
      <c r="CR3641" s="128"/>
      <c r="CS3641" s="128"/>
      <c r="CT3641" s="128"/>
      <c r="CU3641" s="128"/>
      <c r="CV3641" s="128"/>
      <c r="CW3641" s="128"/>
      <c r="CX3641" s="128"/>
      <c r="CY3641" s="128"/>
      <c r="CZ3641" s="165"/>
    </row>
    <row r="3642" spans="1:104">
      <c r="A3642" s="149"/>
      <c r="B3642" s="149"/>
      <c r="C3642" s="150"/>
      <c r="D3642" s="102"/>
      <c r="E3642" s="149"/>
      <c r="F3642" s="149"/>
      <c r="G3642" s="149"/>
      <c r="H3642" s="149"/>
      <c r="I3642" s="149"/>
      <c r="J3642" s="149"/>
      <c r="K3642" s="149"/>
      <c r="L3642" s="149"/>
      <c r="M3642" s="149"/>
      <c r="N3642" s="149"/>
      <c r="O3642" s="149"/>
      <c r="P3642" s="149"/>
      <c r="Q3642" s="149"/>
      <c r="R3642" s="149"/>
      <c r="S3642" s="149"/>
      <c r="T3642" s="149"/>
      <c r="U3642" s="149"/>
      <c r="V3642" s="149"/>
      <c r="W3642" s="149"/>
      <c r="X3642" s="149"/>
      <c r="Y3642" s="149"/>
      <c r="Z3642" s="149"/>
      <c r="AA3642" s="149"/>
      <c r="AB3642" s="149"/>
      <c r="AC3642" s="149"/>
      <c r="AD3642" s="149"/>
      <c r="AE3642" s="149"/>
      <c r="AF3642" s="149"/>
      <c r="AG3642" s="149"/>
      <c r="AH3642" s="149"/>
      <c r="AI3642" s="149"/>
      <c r="AJ3642" s="149"/>
      <c r="AK3642" s="149"/>
      <c r="AL3642" s="149"/>
      <c r="AM3642" s="149"/>
      <c r="AN3642" s="149"/>
      <c r="AO3642" s="128"/>
      <c r="AP3642" s="128"/>
      <c r="AQ3642" s="128"/>
      <c r="AR3642" s="128"/>
      <c r="AS3642" s="128"/>
      <c r="AT3642" s="128"/>
      <c r="AU3642" s="128"/>
      <c r="AV3642" s="128"/>
      <c r="AW3642" s="128"/>
      <c r="AX3642" s="128"/>
      <c r="AY3642" s="128"/>
      <c r="AZ3642" s="128"/>
      <c r="BA3642" s="128"/>
      <c r="BB3642" s="128"/>
      <c r="BC3642" s="128"/>
      <c r="BD3642" s="128"/>
      <c r="BE3642" s="128"/>
      <c r="BF3642" s="128"/>
      <c r="BG3642" s="128"/>
      <c r="BH3642" s="128"/>
      <c r="BI3642" s="128"/>
      <c r="BJ3642" s="128"/>
      <c r="BK3642" s="128"/>
      <c r="BL3642" s="128"/>
      <c r="BM3642" s="151"/>
      <c r="BN3642" s="128"/>
      <c r="BO3642" s="128"/>
      <c r="BP3642" s="128"/>
      <c r="BQ3642" s="128"/>
      <c r="BR3642" s="128"/>
      <c r="BS3642" s="128"/>
      <c r="BT3642" s="128"/>
      <c r="BU3642" s="128"/>
      <c r="BV3642" s="128"/>
      <c r="BW3642" s="128"/>
      <c r="BX3642" s="128"/>
      <c r="BY3642" s="128"/>
      <c r="BZ3642" s="128"/>
      <c r="CA3642" s="128"/>
      <c r="CB3642" s="128"/>
      <c r="CC3642" s="128"/>
      <c r="CD3642" s="128"/>
      <c r="CE3642" s="128"/>
      <c r="CF3642" s="128"/>
      <c r="CG3642" s="128"/>
      <c r="CI3642" s="128"/>
      <c r="CJ3642" s="128"/>
      <c r="CK3642" s="128"/>
      <c r="CL3642" s="128"/>
      <c r="CM3642" s="128"/>
      <c r="CN3642" s="128"/>
      <c r="CO3642" s="128"/>
      <c r="CP3642" s="128"/>
      <c r="CQ3642" s="128"/>
      <c r="CR3642" s="128"/>
      <c r="CS3642" s="128"/>
      <c r="CT3642" s="128"/>
      <c r="CU3642" s="128"/>
      <c r="CV3642" s="128"/>
      <c r="CW3642" s="128"/>
      <c r="CX3642" s="128"/>
      <c r="CY3642" s="128"/>
      <c r="CZ3642" s="165"/>
    </row>
    <row r="3643" spans="1:104">
      <c r="A3643" s="149"/>
      <c r="B3643" s="149"/>
      <c r="C3643" s="150"/>
      <c r="D3643" s="102"/>
      <c r="E3643" s="149"/>
      <c r="F3643" s="149"/>
      <c r="G3643" s="149"/>
      <c r="H3643" s="149"/>
      <c r="I3643" s="149"/>
      <c r="J3643" s="149"/>
      <c r="K3643" s="149"/>
      <c r="L3643" s="149"/>
      <c r="M3643" s="149"/>
      <c r="N3643" s="149"/>
      <c r="O3643" s="149"/>
      <c r="P3643" s="149"/>
      <c r="Q3643" s="149"/>
      <c r="R3643" s="149"/>
      <c r="S3643" s="149"/>
      <c r="T3643" s="149"/>
      <c r="U3643" s="149"/>
      <c r="V3643" s="149"/>
      <c r="W3643" s="149"/>
      <c r="X3643" s="149"/>
      <c r="Y3643" s="149"/>
      <c r="Z3643" s="149"/>
      <c r="AA3643" s="149"/>
      <c r="AB3643" s="149"/>
      <c r="AC3643" s="149"/>
      <c r="AD3643" s="149"/>
      <c r="AE3643" s="149"/>
      <c r="AF3643" s="149"/>
      <c r="AG3643" s="149"/>
      <c r="AH3643" s="149"/>
      <c r="AI3643" s="149"/>
      <c r="AJ3643" s="149"/>
      <c r="AK3643" s="149"/>
      <c r="AL3643" s="149"/>
      <c r="AM3643" s="149"/>
      <c r="AN3643" s="149"/>
      <c r="AO3643" s="128"/>
      <c r="AP3643" s="128"/>
      <c r="AQ3643" s="128"/>
      <c r="AR3643" s="128"/>
      <c r="AS3643" s="128"/>
      <c r="AT3643" s="128"/>
      <c r="AU3643" s="128"/>
      <c r="AV3643" s="128"/>
      <c r="AW3643" s="128"/>
      <c r="AX3643" s="128"/>
      <c r="AY3643" s="128"/>
      <c r="AZ3643" s="128"/>
      <c r="BA3643" s="128"/>
      <c r="BB3643" s="128"/>
      <c r="BC3643" s="128"/>
      <c r="BD3643" s="128"/>
      <c r="BE3643" s="128"/>
      <c r="BF3643" s="128"/>
      <c r="BG3643" s="128"/>
      <c r="BH3643" s="128"/>
      <c r="BI3643" s="128"/>
      <c r="BJ3643" s="128"/>
      <c r="BK3643" s="128"/>
      <c r="BL3643" s="128"/>
      <c r="BM3643" s="151"/>
      <c r="BN3643" s="128"/>
      <c r="BO3643" s="128"/>
      <c r="BP3643" s="128"/>
      <c r="BQ3643" s="128"/>
      <c r="BR3643" s="128"/>
      <c r="BS3643" s="128"/>
      <c r="BT3643" s="128"/>
      <c r="BU3643" s="128"/>
      <c r="BV3643" s="128"/>
      <c r="BW3643" s="128"/>
      <c r="BX3643" s="128"/>
      <c r="BY3643" s="128"/>
      <c r="BZ3643" s="128"/>
      <c r="CA3643" s="128"/>
      <c r="CB3643" s="128"/>
      <c r="CC3643" s="128"/>
      <c r="CD3643" s="128"/>
      <c r="CE3643" s="128"/>
      <c r="CF3643" s="128"/>
      <c r="CG3643" s="128"/>
      <c r="CI3643" s="128"/>
      <c r="CJ3643" s="128"/>
      <c r="CK3643" s="128"/>
      <c r="CL3643" s="128"/>
      <c r="CM3643" s="128"/>
      <c r="CN3643" s="128"/>
      <c r="CO3643" s="128"/>
      <c r="CP3643" s="128"/>
      <c r="CQ3643" s="128"/>
      <c r="CR3643" s="128"/>
      <c r="CS3643" s="128"/>
      <c r="CT3643" s="128"/>
      <c r="CU3643" s="128"/>
      <c r="CV3643" s="128"/>
      <c r="CW3643" s="128"/>
      <c r="CX3643" s="128"/>
      <c r="CY3643" s="128"/>
      <c r="CZ3643" s="165"/>
    </row>
    <row r="3644" spans="1:104">
      <c r="A3644" s="149"/>
      <c r="B3644" s="149"/>
      <c r="C3644" s="150"/>
      <c r="D3644" s="102"/>
      <c r="E3644" s="149"/>
      <c r="F3644" s="149"/>
      <c r="G3644" s="149"/>
      <c r="H3644" s="149"/>
      <c r="I3644" s="149"/>
      <c r="J3644" s="149"/>
      <c r="K3644" s="149"/>
      <c r="L3644" s="149"/>
      <c r="M3644" s="149"/>
      <c r="N3644" s="149"/>
      <c r="O3644" s="149"/>
      <c r="P3644" s="149"/>
      <c r="Q3644" s="149"/>
      <c r="R3644" s="149"/>
      <c r="S3644" s="149"/>
      <c r="T3644" s="149"/>
      <c r="U3644" s="149"/>
      <c r="V3644" s="149"/>
      <c r="W3644" s="149"/>
      <c r="X3644" s="149"/>
      <c r="Y3644" s="149"/>
      <c r="Z3644" s="149"/>
      <c r="AA3644" s="149"/>
      <c r="AB3644" s="149"/>
      <c r="AC3644" s="149"/>
      <c r="AD3644" s="149"/>
      <c r="AE3644" s="149"/>
      <c r="AF3644" s="149"/>
      <c r="AG3644" s="149"/>
      <c r="AH3644" s="149"/>
      <c r="AI3644" s="149"/>
      <c r="AJ3644" s="149"/>
      <c r="AK3644" s="149"/>
      <c r="AL3644" s="149"/>
      <c r="AM3644" s="149"/>
      <c r="AN3644" s="149"/>
      <c r="AO3644" s="128"/>
      <c r="AP3644" s="128"/>
      <c r="AQ3644" s="128"/>
      <c r="AR3644" s="128"/>
      <c r="AS3644" s="128"/>
      <c r="AT3644" s="128"/>
      <c r="AU3644" s="128"/>
      <c r="AV3644" s="128"/>
      <c r="AW3644" s="128"/>
      <c r="AX3644" s="128"/>
      <c r="AY3644" s="128"/>
      <c r="AZ3644" s="128"/>
      <c r="BA3644" s="128"/>
      <c r="BB3644" s="128"/>
      <c r="BC3644" s="128"/>
      <c r="BD3644" s="128"/>
      <c r="BE3644" s="128"/>
      <c r="BF3644" s="128"/>
      <c r="BG3644" s="128"/>
      <c r="BH3644" s="128"/>
      <c r="BI3644" s="128"/>
      <c r="BJ3644" s="128"/>
      <c r="BK3644" s="128"/>
      <c r="BL3644" s="128"/>
      <c r="BM3644" s="151"/>
      <c r="BN3644" s="128"/>
      <c r="BO3644" s="128"/>
      <c r="BP3644" s="128"/>
      <c r="BQ3644" s="128"/>
      <c r="BR3644" s="128"/>
      <c r="BS3644" s="128"/>
      <c r="BT3644" s="128"/>
      <c r="BU3644" s="128"/>
      <c r="BV3644" s="128"/>
      <c r="BW3644" s="128"/>
      <c r="BX3644" s="128"/>
      <c r="BY3644" s="128"/>
      <c r="BZ3644" s="128"/>
      <c r="CA3644" s="128"/>
      <c r="CB3644" s="128"/>
      <c r="CC3644" s="128"/>
      <c r="CD3644" s="128"/>
      <c r="CE3644" s="128"/>
      <c r="CF3644" s="128"/>
      <c r="CG3644" s="128"/>
      <c r="CI3644" s="128"/>
      <c r="CJ3644" s="128"/>
      <c r="CK3644" s="128"/>
      <c r="CL3644" s="128"/>
      <c r="CM3644" s="128"/>
      <c r="CN3644" s="128"/>
      <c r="CO3644" s="128"/>
      <c r="CP3644" s="128"/>
      <c r="CQ3644" s="128"/>
      <c r="CR3644" s="128"/>
      <c r="CS3644" s="128"/>
      <c r="CT3644" s="128"/>
      <c r="CU3644" s="128"/>
      <c r="CV3644" s="128"/>
      <c r="CW3644" s="128"/>
      <c r="CX3644" s="128"/>
      <c r="CY3644" s="128"/>
      <c r="CZ3644" s="165"/>
    </row>
    <row r="3645" spans="1:104">
      <c r="A3645" s="149"/>
      <c r="B3645" s="149"/>
      <c r="C3645" s="150"/>
      <c r="D3645" s="102"/>
      <c r="E3645" s="149"/>
      <c r="F3645" s="149"/>
      <c r="G3645" s="149"/>
      <c r="H3645" s="149"/>
      <c r="I3645" s="149"/>
      <c r="J3645" s="149"/>
      <c r="K3645" s="149"/>
      <c r="L3645" s="149"/>
      <c r="M3645" s="149"/>
      <c r="N3645" s="149"/>
      <c r="O3645" s="149"/>
      <c r="P3645" s="149"/>
      <c r="Q3645" s="149"/>
      <c r="R3645" s="149"/>
      <c r="S3645" s="149"/>
      <c r="T3645" s="149"/>
      <c r="U3645" s="149"/>
      <c r="V3645" s="149"/>
      <c r="W3645" s="149"/>
      <c r="X3645" s="149"/>
      <c r="Y3645" s="149"/>
      <c r="Z3645" s="149"/>
      <c r="AA3645" s="149"/>
      <c r="AB3645" s="149"/>
      <c r="AC3645" s="149"/>
      <c r="AD3645" s="149"/>
      <c r="AE3645" s="149"/>
      <c r="AF3645" s="149"/>
      <c r="AG3645" s="149"/>
      <c r="AH3645" s="149"/>
      <c r="AI3645" s="149"/>
      <c r="AJ3645" s="149"/>
      <c r="AK3645" s="149"/>
      <c r="AL3645" s="149"/>
      <c r="AM3645" s="149"/>
      <c r="AN3645" s="149"/>
      <c r="AO3645" s="128"/>
      <c r="AP3645" s="128"/>
      <c r="AQ3645" s="128"/>
      <c r="AR3645" s="128"/>
      <c r="AS3645" s="128"/>
      <c r="AT3645" s="128"/>
      <c r="AU3645" s="128"/>
      <c r="AV3645" s="128"/>
      <c r="AW3645" s="128"/>
      <c r="AX3645" s="128"/>
      <c r="AY3645" s="128"/>
      <c r="AZ3645" s="128"/>
      <c r="BA3645" s="128"/>
      <c r="BB3645" s="128"/>
      <c r="BC3645" s="128"/>
      <c r="BD3645" s="128"/>
      <c r="BE3645" s="128"/>
      <c r="BF3645" s="128"/>
      <c r="BG3645" s="128"/>
      <c r="BH3645" s="128"/>
      <c r="BI3645" s="128"/>
      <c r="BJ3645" s="128"/>
      <c r="BK3645" s="128"/>
      <c r="BL3645" s="128"/>
      <c r="BM3645" s="151"/>
      <c r="BN3645" s="128"/>
      <c r="BO3645" s="128"/>
      <c r="BP3645" s="128"/>
      <c r="BQ3645" s="128"/>
      <c r="BR3645" s="128"/>
      <c r="BS3645" s="128"/>
      <c r="BT3645" s="128"/>
      <c r="BU3645" s="128"/>
      <c r="BV3645" s="128"/>
      <c r="BW3645" s="128"/>
      <c r="BX3645" s="128"/>
      <c r="BY3645" s="128"/>
      <c r="BZ3645" s="128"/>
      <c r="CA3645" s="128"/>
      <c r="CB3645" s="128"/>
      <c r="CC3645" s="128"/>
      <c r="CD3645" s="128"/>
      <c r="CE3645" s="128"/>
      <c r="CF3645" s="128"/>
      <c r="CG3645" s="128"/>
      <c r="CI3645" s="128"/>
      <c r="CJ3645" s="128"/>
      <c r="CK3645" s="128"/>
      <c r="CL3645" s="128"/>
      <c r="CM3645" s="128"/>
      <c r="CN3645" s="128"/>
      <c r="CO3645" s="128"/>
      <c r="CP3645" s="128"/>
      <c r="CQ3645" s="128"/>
      <c r="CR3645" s="128"/>
      <c r="CS3645" s="128"/>
      <c r="CT3645" s="128"/>
      <c r="CU3645" s="128"/>
      <c r="CV3645" s="128"/>
      <c r="CW3645" s="128"/>
      <c r="CX3645" s="128"/>
      <c r="CY3645" s="128"/>
      <c r="CZ3645" s="165"/>
    </row>
    <row r="3646" spans="1:104">
      <c r="A3646" s="149"/>
      <c r="B3646" s="149"/>
      <c r="C3646" s="150"/>
      <c r="D3646" s="102"/>
      <c r="E3646" s="149"/>
      <c r="F3646" s="149"/>
      <c r="G3646" s="149"/>
      <c r="H3646" s="149"/>
      <c r="I3646" s="149"/>
      <c r="J3646" s="149"/>
      <c r="K3646" s="149"/>
      <c r="L3646" s="149"/>
      <c r="M3646" s="149"/>
      <c r="N3646" s="149"/>
      <c r="O3646" s="149"/>
      <c r="P3646" s="149"/>
      <c r="Q3646" s="149"/>
      <c r="R3646" s="149"/>
      <c r="S3646" s="149"/>
      <c r="T3646" s="149"/>
      <c r="U3646" s="149"/>
      <c r="V3646" s="149"/>
      <c r="W3646" s="149"/>
      <c r="X3646" s="149"/>
      <c r="Y3646" s="149"/>
      <c r="Z3646" s="149"/>
      <c r="AA3646" s="149"/>
      <c r="AB3646" s="149"/>
      <c r="AC3646" s="149"/>
      <c r="AD3646" s="149"/>
      <c r="AE3646" s="149"/>
      <c r="AF3646" s="149"/>
      <c r="AG3646" s="149"/>
      <c r="AH3646" s="149"/>
      <c r="AI3646" s="149"/>
      <c r="AJ3646" s="149"/>
      <c r="AK3646" s="149"/>
      <c r="AL3646" s="149"/>
      <c r="AM3646" s="149"/>
      <c r="AN3646" s="149"/>
      <c r="AO3646" s="128"/>
      <c r="AP3646" s="128"/>
      <c r="AQ3646" s="128"/>
      <c r="AR3646" s="128"/>
      <c r="AS3646" s="128"/>
      <c r="AT3646" s="128"/>
      <c r="AU3646" s="128"/>
      <c r="AV3646" s="128"/>
      <c r="AW3646" s="128"/>
      <c r="AX3646" s="128"/>
      <c r="AY3646" s="128"/>
      <c r="AZ3646" s="128"/>
      <c r="BA3646" s="128"/>
      <c r="BB3646" s="128"/>
      <c r="BC3646" s="128"/>
      <c r="BD3646" s="128"/>
      <c r="BE3646" s="128"/>
      <c r="BF3646" s="128"/>
      <c r="BG3646" s="128"/>
      <c r="BH3646" s="128"/>
      <c r="BI3646" s="128"/>
      <c r="BJ3646" s="128"/>
      <c r="BK3646" s="128"/>
      <c r="BL3646" s="128"/>
      <c r="BM3646" s="151"/>
      <c r="BN3646" s="128"/>
      <c r="BO3646" s="128"/>
      <c r="BP3646" s="128"/>
      <c r="BQ3646" s="128"/>
      <c r="BR3646" s="128"/>
      <c r="BS3646" s="128"/>
      <c r="BT3646" s="128"/>
      <c r="BU3646" s="128"/>
      <c r="BV3646" s="128"/>
      <c r="BW3646" s="128"/>
      <c r="BX3646" s="128"/>
      <c r="BY3646" s="128"/>
      <c r="BZ3646" s="128"/>
      <c r="CA3646" s="128"/>
      <c r="CB3646" s="128"/>
      <c r="CC3646" s="128"/>
      <c r="CD3646" s="128"/>
      <c r="CE3646" s="128"/>
      <c r="CF3646" s="128"/>
      <c r="CG3646" s="128"/>
      <c r="CI3646" s="128"/>
      <c r="CJ3646" s="128"/>
      <c r="CK3646" s="128"/>
      <c r="CL3646" s="128"/>
      <c r="CM3646" s="128"/>
      <c r="CN3646" s="128"/>
      <c r="CO3646" s="128"/>
      <c r="CP3646" s="128"/>
      <c r="CQ3646" s="128"/>
      <c r="CR3646" s="128"/>
      <c r="CS3646" s="128"/>
      <c r="CT3646" s="128"/>
      <c r="CU3646" s="128"/>
      <c r="CV3646" s="128"/>
      <c r="CW3646" s="128"/>
      <c r="CX3646" s="128"/>
      <c r="CY3646" s="128"/>
      <c r="CZ3646" s="165"/>
    </row>
    <row r="3647" spans="1:104">
      <c r="A3647" s="149"/>
      <c r="B3647" s="149"/>
      <c r="C3647" s="150"/>
      <c r="D3647" s="102"/>
      <c r="E3647" s="149"/>
      <c r="F3647" s="149"/>
      <c r="G3647" s="149"/>
      <c r="H3647" s="149"/>
      <c r="I3647" s="149"/>
      <c r="J3647" s="149"/>
      <c r="K3647" s="149"/>
      <c r="L3647" s="149"/>
      <c r="M3647" s="149"/>
      <c r="N3647" s="149"/>
      <c r="O3647" s="149"/>
      <c r="P3647" s="149"/>
      <c r="Q3647" s="149"/>
      <c r="R3647" s="149"/>
      <c r="S3647" s="149"/>
      <c r="T3647" s="149"/>
      <c r="U3647" s="149"/>
      <c r="V3647" s="149"/>
      <c r="W3647" s="149"/>
      <c r="X3647" s="149"/>
      <c r="Y3647" s="149"/>
      <c r="Z3647" s="149"/>
      <c r="AA3647" s="149"/>
      <c r="AB3647" s="149"/>
      <c r="AC3647" s="149"/>
      <c r="AD3647" s="149"/>
      <c r="AE3647" s="149"/>
      <c r="AF3647" s="149"/>
      <c r="AG3647" s="149"/>
      <c r="AH3647" s="149"/>
      <c r="AI3647" s="149"/>
      <c r="AJ3647" s="149"/>
      <c r="AK3647" s="149"/>
      <c r="AL3647" s="149"/>
      <c r="AM3647" s="149"/>
      <c r="AN3647" s="149"/>
      <c r="AO3647" s="128"/>
      <c r="AP3647" s="128"/>
      <c r="AQ3647" s="128"/>
      <c r="AR3647" s="128"/>
      <c r="AS3647" s="128"/>
      <c r="AT3647" s="128"/>
      <c r="AU3647" s="128"/>
      <c r="AV3647" s="128"/>
      <c r="AW3647" s="128"/>
      <c r="AX3647" s="128"/>
      <c r="AY3647" s="128"/>
      <c r="AZ3647" s="128"/>
      <c r="BA3647" s="128"/>
      <c r="BB3647" s="128"/>
      <c r="BC3647" s="128"/>
      <c r="BD3647" s="128"/>
      <c r="BE3647" s="128"/>
      <c r="BF3647" s="128"/>
      <c r="BG3647" s="128"/>
      <c r="BH3647" s="128"/>
      <c r="BI3647" s="128"/>
      <c r="BJ3647" s="128"/>
      <c r="BK3647" s="128"/>
      <c r="BL3647" s="128"/>
      <c r="BM3647" s="151"/>
      <c r="BN3647" s="128"/>
      <c r="BO3647" s="128"/>
      <c r="BP3647" s="128"/>
      <c r="BQ3647" s="128"/>
      <c r="BR3647" s="128"/>
      <c r="BS3647" s="128"/>
      <c r="BT3647" s="128"/>
      <c r="BU3647" s="128"/>
      <c r="BV3647" s="128"/>
      <c r="BW3647" s="128"/>
      <c r="BX3647" s="128"/>
      <c r="BY3647" s="128"/>
      <c r="BZ3647" s="128"/>
      <c r="CA3647" s="128"/>
      <c r="CB3647" s="128"/>
      <c r="CC3647" s="128"/>
      <c r="CD3647" s="128"/>
      <c r="CE3647" s="128"/>
      <c r="CF3647" s="128"/>
      <c r="CG3647" s="128"/>
      <c r="CI3647" s="128"/>
      <c r="CJ3647" s="128"/>
      <c r="CK3647" s="128"/>
      <c r="CL3647" s="128"/>
      <c r="CM3647" s="128"/>
      <c r="CN3647" s="128"/>
      <c r="CO3647" s="128"/>
      <c r="CP3647" s="128"/>
      <c r="CQ3647" s="128"/>
      <c r="CR3647" s="128"/>
      <c r="CS3647" s="128"/>
      <c r="CT3647" s="128"/>
      <c r="CU3647" s="128"/>
      <c r="CV3647" s="128"/>
      <c r="CW3647" s="128"/>
      <c r="CX3647" s="128"/>
      <c r="CY3647" s="128"/>
      <c r="CZ3647" s="165"/>
    </row>
    <row r="3648" spans="1:104">
      <c r="A3648" s="149"/>
      <c r="B3648" s="149"/>
      <c r="C3648" s="150"/>
      <c r="D3648" s="102"/>
      <c r="E3648" s="149"/>
      <c r="F3648" s="149"/>
      <c r="G3648" s="149"/>
      <c r="H3648" s="149"/>
      <c r="I3648" s="149"/>
      <c r="J3648" s="149"/>
      <c r="K3648" s="149"/>
      <c r="L3648" s="149"/>
      <c r="M3648" s="149"/>
      <c r="N3648" s="149"/>
      <c r="O3648" s="149"/>
      <c r="P3648" s="149"/>
      <c r="Q3648" s="149"/>
      <c r="R3648" s="149"/>
      <c r="S3648" s="149"/>
      <c r="T3648" s="149"/>
      <c r="U3648" s="149"/>
      <c r="V3648" s="149"/>
      <c r="W3648" s="149"/>
      <c r="X3648" s="149"/>
      <c r="Y3648" s="149"/>
      <c r="Z3648" s="149"/>
      <c r="AA3648" s="149"/>
      <c r="AB3648" s="149"/>
      <c r="AC3648" s="149"/>
      <c r="AD3648" s="149"/>
      <c r="AE3648" s="149"/>
      <c r="AF3648" s="149"/>
      <c r="AG3648" s="149"/>
      <c r="AH3648" s="149"/>
      <c r="AI3648" s="149"/>
      <c r="AJ3648" s="149"/>
      <c r="AK3648" s="149"/>
      <c r="AL3648" s="149"/>
      <c r="AM3648" s="149"/>
      <c r="AN3648" s="149"/>
      <c r="AO3648" s="128"/>
      <c r="AP3648" s="128"/>
      <c r="AQ3648" s="128"/>
      <c r="AR3648" s="128"/>
      <c r="AS3648" s="128"/>
      <c r="AT3648" s="128"/>
      <c r="AU3648" s="128"/>
      <c r="AV3648" s="128"/>
      <c r="AW3648" s="128"/>
      <c r="AX3648" s="128"/>
      <c r="AY3648" s="128"/>
      <c r="AZ3648" s="128"/>
      <c r="BA3648" s="128"/>
      <c r="BB3648" s="128"/>
      <c r="BC3648" s="128"/>
      <c r="BD3648" s="128"/>
      <c r="BE3648" s="128"/>
      <c r="BF3648" s="128"/>
      <c r="BG3648" s="128"/>
      <c r="BH3648" s="128"/>
      <c r="BI3648" s="128"/>
      <c r="BJ3648" s="128"/>
      <c r="BK3648" s="128"/>
      <c r="BL3648" s="128"/>
      <c r="BM3648" s="151"/>
      <c r="BN3648" s="128"/>
      <c r="BO3648" s="128"/>
      <c r="BP3648" s="128"/>
      <c r="BQ3648" s="128"/>
      <c r="BR3648" s="128"/>
      <c r="BS3648" s="128"/>
      <c r="BT3648" s="128"/>
      <c r="BU3648" s="128"/>
      <c r="BV3648" s="128"/>
      <c r="BW3648" s="128"/>
      <c r="BX3648" s="128"/>
      <c r="BY3648" s="128"/>
      <c r="BZ3648" s="128"/>
      <c r="CA3648" s="128"/>
      <c r="CB3648" s="128"/>
      <c r="CC3648" s="128"/>
      <c r="CD3648" s="128"/>
      <c r="CE3648" s="128"/>
      <c r="CF3648" s="128"/>
      <c r="CG3648" s="128"/>
      <c r="CI3648" s="128"/>
      <c r="CJ3648" s="128"/>
      <c r="CK3648" s="128"/>
      <c r="CL3648" s="128"/>
      <c r="CM3648" s="128"/>
      <c r="CN3648" s="128"/>
      <c r="CO3648" s="128"/>
      <c r="CP3648" s="128"/>
      <c r="CQ3648" s="128"/>
      <c r="CR3648" s="128"/>
      <c r="CS3648" s="128"/>
      <c r="CT3648" s="128"/>
      <c r="CU3648" s="128"/>
      <c r="CV3648" s="128"/>
      <c r="CW3648" s="128"/>
      <c r="CX3648" s="128"/>
      <c r="CY3648" s="128"/>
      <c r="CZ3648" s="165"/>
    </row>
    <row r="3649" spans="1:104">
      <c r="A3649" s="149"/>
      <c r="B3649" s="149"/>
      <c r="C3649" s="150"/>
      <c r="D3649" s="102"/>
      <c r="E3649" s="149"/>
      <c r="F3649" s="149"/>
      <c r="G3649" s="149"/>
      <c r="H3649" s="149"/>
      <c r="I3649" s="149"/>
      <c r="J3649" s="149"/>
      <c r="K3649" s="149"/>
      <c r="L3649" s="149"/>
      <c r="M3649" s="149"/>
      <c r="N3649" s="149"/>
      <c r="O3649" s="149"/>
      <c r="P3649" s="149"/>
      <c r="Q3649" s="149"/>
      <c r="R3649" s="149"/>
      <c r="S3649" s="149"/>
      <c r="T3649" s="149"/>
      <c r="U3649" s="149"/>
      <c r="V3649" s="149"/>
      <c r="W3649" s="149"/>
      <c r="X3649" s="149"/>
      <c r="Y3649" s="149"/>
      <c r="Z3649" s="149"/>
      <c r="AA3649" s="149"/>
      <c r="AB3649" s="149"/>
      <c r="AC3649" s="149"/>
      <c r="AD3649" s="149"/>
      <c r="AE3649" s="149"/>
      <c r="AF3649" s="149"/>
      <c r="AG3649" s="149"/>
      <c r="AH3649" s="149"/>
      <c r="AI3649" s="149"/>
      <c r="AJ3649" s="149"/>
      <c r="AK3649" s="149"/>
      <c r="AL3649" s="149"/>
      <c r="AM3649" s="149"/>
      <c r="AN3649" s="149"/>
      <c r="AO3649" s="128"/>
      <c r="AP3649" s="128"/>
      <c r="AQ3649" s="128"/>
      <c r="AR3649" s="128"/>
      <c r="AS3649" s="128"/>
      <c r="AT3649" s="128"/>
      <c r="AU3649" s="128"/>
      <c r="AV3649" s="128"/>
      <c r="AW3649" s="128"/>
      <c r="AX3649" s="128"/>
      <c r="AY3649" s="128"/>
      <c r="AZ3649" s="128"/>
      <c r="BA3649" s="128"/>
      <c r="BB3649" s="128"/>
      <c r="BC3649" s="128"/>
      <c r="BD3649" s="128"/>
      <c r="BE3649" s="128"/>
      <c r="BF3649" s="128"/>
      <c r="BG3649" s="128"/>
      <c r="BH3649" s="128"/>
      <c r="BI3649" s="128"/>
      <c r="BJ3649" s="128"/>
      <c r="BK3649" s="128"/>
      <c r="BL3649" s="128"/>
      <c r="BM3649" s="151"/>
      <c r="BN3649" s="128"/>
      <c r="BO3649" s="128"/>
      <c r="BP3649" s="128"/>
      <c r="BQ3649" s="128"/>
      <c r="BR3649" s="128"/>
      <c r="BS3649" s="128"/>
      <c r="BT3649" s="128"/>
      <c r="BU3649" s="128"/>
      <c r="BV3649" s="128"/>
      <c r="BW3649" s="128"/>
      <c r="BX3649" s="128"/>
      <c r="BY3649" s="128"/>
      <c r="BZ3649" s="128"/>
      <c r="CA3649" s="128"/>
      <c r="CB3649" s="128"/>
      <c r="CC3649" s="128"/>
      <c r="CD3649" s="128"/>
      <c r="CE3649" s="128"/>
      <c r="CF3649" s="128"/>
      <c r="CG3649" s="128"/>
      <c r="CI3649" s="128"/>
      <c r="CJ3649" s="128"/>
      <c r="CK3649" s="128"/>
      <c r="CL3649" s="128"/>
      <c r="CM3649" s="128"/>
      <c r="CN3649" s="128"/>
      <c r="CO3649" s="128"/>
      <c r="CP3649" s="128"/>
      <c r="CQ3649" s="128"/>
      <c r="CR3649" s="128"/>
      <c r="CS3649" s="128"/>
      <c r="CT3649" s="128"/>
      <c r="CU3649" s="128"/>
      <c r="CV3649" s="128"/>
      <c r="CW3649" s="128"/>
      <c r="CX3649" s="128"/>
      <c r="CY3649" s="128"/>
      <c r="CZ3649" s="165"/>
    </row>
    <row r="3650" spans="1:104">
      <c r="A3650" s="149"/>
      <c r="B3650" s="149"/>
      <c r="C3650" s="150"/>
      <c r="D3650" s="102"/>
      <c r="E3650" s="149"/>
      <c r="F3650" s="149"/>
      <c r="G3650" s="149"/>
      <c r="H3650" s="149"/>
      <c r="I3650" s="149"/>
      <c r="J3650" s="149"/>
      <c r="K3650" s="149"/>
      <c r="L3650" s="149"/>
      <c r="M3650" s="149"/>
      <c r="N3650" s="149"/>
      <c r="O3650" s="149"/>
      <c r="P3650" s="149"/>
      <c r="Q3650" s="149"/>
      <c r="R3650" s="149"/>
      <c r="S3650" s="149"/>
      <c r="T3650" s="149"/>
      <c r="U3650" s="149"/>
      <c r="V3650" s="149"/>
      <c r="W3650" s="149"/>
      <c r="X3650" s="149"/>
      <c r="Y3650" s="149"/>
      <c r="Z3650" s="149"/>
      <c r="AA3650" s="149"/>
      <c r="AB3650" s="149"/>
      <c r="AC3650" s="149"/>
      <c r="AD3650" s="149"/>
      <c r="AE3650" s="149"/>
      <c r="AF3650" s="149"/>
      <c r="AG3650" s="149"/>
      <c r="AH3650" s="149"/>
      <c r="AI3650" s="149"/>
      <c r="AJ3650" s="149"/>
      <c r="AK3650" s="149"/>
      <c r="AL3650" s="149"/>
      <c r="AM3650" s="149"/>
      <c r="AN3650" s="149"/>
      <c r="AO3650" s="128"/>
      <c r="AP3650" s="128"/>
      <c r="AQ3650" s="128"/>
      <c r="AR3650" s="128"/>
      <c r="AS3650" s="128"/>
      <c r="AT3650" s="128"/>
      <c r="AU3650" s="128"/>
      <c r="AV3650" s="128"/>
      <c r="AW3650" s="128"/>
      <c r="AX3650" s="128"/>
      <c r="AY3650" s="128"/>
      <c r="AZ3650" s="128"/>
      <c r="BA3650" s="128"/>
      <c r="BB3650" s="128"/>
      <c r="BC3650" s="128"/>
      <c r="BD3650" s="128"/>
      <c r="BE3650" s="128"/>
      <c r="BF3650" s="128"/>
      <c r="BG3650" s="128"/>
      <c r="BH3650" s="128"/>
      <c r="BI3650" s="128"/>
      <c r="BJ3650" s="128"/>
      <c r="BK3650" s="128"/>
      <c r="BL3650" s="128"/>
      <c r="BM3650" s="151"/>
      <c r="BN3650" s="128"/>
      <c r="BO3650" s="128"/>
      <c r="BP3650" s="128"/>
      <c r="BQ3650" s="128"/>
      <c r="BR3650" s="128"/>
      <c r="BS3650" s="128"/>
      <c r="BT3650" s="128"/>
      <c r="BU3650" s="128"/>
      <c r="BV3650" s="128"/>
      <c r="BW3650" s="128"/>
      <c r="BX3650" s="128"/>
      <c r="BY3650" s="128"/>
      <c r="BZ3650" s="128"/>
      <c r="CA3650" s="128"/>
      <c r="CB3650" s="128"/>
      <c r="CC3650" s="128"/>
      <c r="CD3650" s="128"/>
      <c r="CE3650" s="128"/>
      <c r="CF3650" s="128"/>
      <c r="CG3650" s="128"/>
      <c r="CI3650" s="128"/>
      <c r="CJ3650" s="128"/>
      <c r="CK3650" s="128"/>
      <c r="CL3650" s="128"/>
      <c r="CM3650" s="128"/>
      <c r="CN3650" s="128"/>
      <c r="CO3650" s="128"/>
      <c r="CP3650" s="128"/>
      <c r="CQ3650" s="128"/>
      <c r="CR3650" s="128"/>
      <c r="CS3650" s="128"/>
      <c r="CT3650" s="128"/>
      <c r="CU3650" s="128"/>
      <c r="CV3650" s="128"/>
      <c r="CW3650" s="128"/>
      <c r="CX3650" s="128"/>
      <c r="CY3650" s="128"/>
      <c r="CZ3650" s="165"/>
    </row>
    <row r="3651" spans="1:104">
      <c r="A3651" s="149"/>
      <c r="B3651" s="149"/>
      <c r="C3651" s="150"/>
      <c r="D3651" s="102"/>
      <c r="E3651" s="149"/>
      <c r="F3651" s="149"/>
      <c r="G3651" s="149"/>
      <c r="H3651" s="149"/>
      <c r="I3651" s="149"/>
      <c r="J3651" s="149"/>
      <c r="K3651" s="149"/>
      <c r="L3651" s="149"/>
      <c r="M3651" s="149"/>
      <c r="N3651" s="149"/>
      <c r="O3651" s="149"/>
      <c r="P3651" s="149"/>
      <c r="Q3651" s="149"/>
      <c r="R3651" s="149"/>
      <c r="S3651" s="149"/>
      <c r="T3651" s="149"/>
      <c r="U3651" s="149"/>
      <c r="V3651" s="149"/>
      <c r="W3651" s="149"/>
      <c r="X3651" s="149"/>
      <c r="Y3651" s="149"/>
      <c r="Z3651" s="149"/>
      <c r="AA3651" s="149"/>
      <c r="AB3651" s="149"/>
      <c r="AC3651" s="149"/>
      <c r="AD3651" s="149"/>
      <c r="AE3651" s="149"/>
      <c r="AF3651" s="149"/>
      <c r="AG3651" s="149"/>
      <c r="AH3651" s="149"/>
      <c r="AI3651" s="149"/>
      <c r="AJ3651" s="149"/>
      <c r="AK3651" s="149"/>
      <c r="AL3651" s="149"/>
      <c r="AM3651" s="149"/>
      <c r="AN3651" s="149"/>
      <c r="AO3651" s="128"/>
      <c r="AP3651" s="128"/>
      <c r="AQ3651" s="128"/>
      <c r="AR3651" s="128"/>
      <c r="AS3651" s="128"/>
      <c r="AT3651" s="128"/>
      <c r="AU3651" s="128"/>
      <c r="AV3651" s="128"/>
      <c r="AW3651" s="128"/>
      <c r="AX3651" s="128"/>
      <c r="AY3651" s="128"/>
      <c r="AZ3651" s="128"/>
      <c r="BA3651" s="128"/>
      <c r="BB3651" s="128"/>
      <c r="BC3651" s="128"/>
      <c r="BD3651" s="128"/>
      <c r="BE3651" s="128"/>
      <c r="BF3651" s="128"/>
      <c r="BG3651" s="128"/>
      <c r="BH3651" s="128"/>
      <c r="BI3651" s="128"/>
      <c r="BJ3651" s="128"/>
      <c r="BK3651" s="128"/>
      <c r="BL3651" s="128"/>
      <c r="BM3651" s="151"/>
      <c r="BN3651" s="128"/>
      <c r="BO3651" s="128"/>
      <c r="BP3651" s="128"/>
      <c r="BQ3651" s="128"/>
      <c r="BR3651" s="128"/>
      <c r="BS3651" s="128"/>
      <c r="BT3651" s="128"/>
      <c r="BU3651" s="128"/>
      <c r="BV3651" s="128"/>
      <c r="BW3651" s="128"/>
      <c r="BX3651" s="128"/>
      <c r="BY3651" s="128"/>
      <c r="BZ3651" s="128"/>
      <c r="CA3651" s="128"/>
      <c r="CB3651" s="128"/>
      <c r="CC3651" s="128"/>
      <c r="CD3651" s="128"/>
      <c r="CE3651" s="128"/>
      <c r="CF3651" s="128"/>
      <c r="CG3651" s="128"/>
      <c r="CI3651" s="128"/>
      <c r="CJ3651" s="128"/>
      <c r="CK3651" s="128"/>
      <c r="CL3651" s="128"/>
      <c r="CM3651" s="128"/>
      <c r="CN3651" s="128"/>
      <c r="CO3651" s="128"/>
      <c r="CP3651" s="128"/>
      <c r="CQ3651" s="128"/>
      <c r="CR3651" s="128"/>
      <c r="CS3651" s="128"/>
      <c r="CT3651" s="128"/>
      <c r="CU3651" s="128"/>
      <c r="CV3651" s="128"/>
      <c r="CW3651" s="128"/>
      <c r="CX3651" s="128"/>
      <c r="CY3651" s="128"/>
      <c r="CZ3651" s="165"/>
    </row>
    <row r="3652" spans="1:104">
      <c r="A3652" s="149"/>
      <c r="B3652" s="149"/>
      <c r="C3652" s="150"/>
      <c r="D3652" s="102"/>
      <c r="E3652" s="149"/>
      <c r="F3652" s="149"/>
      <c r="G3652" s="149"/>
      <c r="H3652" s="149"/>
      <c r="I3652" s="149"/>
      <c r="J3652" s="149"/>
      <c r="K3652" s="149"/>
      <c r="L3652" s="149"/>
      <c r="M3652" s="149"/>
      <c r="N3652" s="149"/>
      <c r="O3652" s="149"/>
      <c r="P3652" s="149"/>
      <c r="Q3652" s="149"/>
      <c r="R3652" s="149"/>
      <c r="S3652" s="149"/>
      <c r="T3652" s="149"/>
      <c r="U3652" s="149"/>
      <c r="V3652" s="149"/>
      <c r="W3652" s="149"/>
      <c r="X3652" s="149"/>
      <c r="Y3652" s="149"/>
      <c r="Z3652" s="149"/>
      <c r="AA3652" s="149"/>
      <c r="AB3652" s="149"/>
      <c r="AC3652" s="149"/>
      <c r="AD3652" s="149"/>
      <c r="AE3652" s="149"/>
      <c r="AF3652" s="149"/>
      <c r="AG3652" s="149"/>
      <c r="AH3652" s="149"/>
      <c r="AI3652" s="149"/>
      <c r="AJ3652" s="149"/>
      <c r="AK3652" s="149"/>
      <c r="AL3652" s="149"/>
      <c r="AM3652" s="149"/>
      <c r="AN3652" s="149"/>
      <c r="AO3652" s="128"/>
      <c r="AP3652" s="128"/>
      <c r="AQ3652" s="128"/>
      <c r="AR3652" s="128"/>
      <c r="AS3652" s="128"/>
      <c r="AT3652" s="128"/>
      <c r="AU3652" s="128"/>
      <c r="AV3652" s="128"/>
      <c r="AW3652" s="128"/>
      <c r="AX3652" s="128"/>
      <c r="AY3652" s="128"/>
      <c r="AZ3652" s="128"/>
      <c r="BA3652" s="128"/>
      <c r="BB3652" s="128"/>
      <c r="BC3652" s="128"/>
      <c r="BD3652" s="128"/>
      <c r="BE3652" s="128"/>
      <c r="BF3652" s="128"/>
      <c r="BG3652" s="128"/>
      <c r="BH3652" s="128"/>
      <c r="BI3652" s="128"/>
      <c r="BJ3652" s="128"/>
      <c r="BK3652" s="128"/>
      <c r="BL3652" s="128"/>
      <c r="BM3652" s="151"/>
      <c r="BN3652" s="128"/>
      <c r="BO3652" s="128"/>
      <c r="BP3652" s="128"/>
      <c r="BQ3652" s="128"/>
      <c r="BR3652" s="128"/>
      <c r="BS3652" s="128"/>
      <c r="BT3652" s="128"/>
      <c r="BU3652" s="128"/>
      <c r="BV3652" s="128"/>
      <c r="BW3652" s="128"/>
      <c r="BX3652" s="128"/>
      <c r="BY3652" s="128"/>
      <c r="BZ3652" s="128"/>
      <c r="CA3652" s="128"/>
      <c r="CB3652" s="128"/>
      <c r="CC3652" s="128"/>
      <c r="CD3652" s="128"/>
      <c r="CE3652" s="128"/>
      <c r="CF3652" s="128"/>
      <c r="CG3652" s="128"/>
      <c r="CI3652" s="128"/>
      <c r="CJ3652" s="128"/>
      <c r="CK3652" s="128"/>
      <c r="CL3652" s="128"/>
      <c r="CM3652" s="128"/>
      <c r="CN3652" s="128"/>
      <c r="CO3652" s="128"/>
      <c r="CP3652" s="128"/>
      <c r="CQ3652" s="128"/>
      <c r="CR3652" s="128"/>
      <c r="CS3652" s="128"/>
      <c r="CT3652" s="128"/>
      <c r="CU3652" s="128"/>
      <c r="CV3652" s="128"/>
      <c r="CW3652" s="128"/>
      <c r="CX3652" s="128"/>
      <c r="CY3652" s="128"/>
      <c r="CZ3652" s="165"/>
    </row>
    <row r="3653" spans="1:104">
      <c r="A3653" s="149"/>
      <c r="B3653" s="149"/>
      <c r="C3653" s="150"/>
      <c r="D3653" s="102"/>
      <c r="E3653" s="149"/>
      <c r="F3653" s="149"/>
      <c r="G3653" s="149"/>
      <c r="H3653" s="149"/>
      <c r="I3653" s="149"/>
      <c r="J3653" s="149"/>
      <c r="K3653" s="149"/>
      <c r="L3653" s="149"/>
      <c r="M3653" s="149"/>
      <c r="N3653" s="149"/>
      <c r="O3653" s="149"/>
      <c r="P3653" s="149"/>
      <c r="Q3653" s="149"/>
      <c r="R3653" s="149"/>
      <c r="S3653" s="149"/>
      <c r="T3653" s="149"/>
      <c r="U3653" s="149"/>
      <c r="V3653" s="149"/>
      <c r="W3653" s="149"/>
      <c r="X3653" s="149"/>
      <c r="Y3653" s="149"/>
      <c r="Z3653" s="149"/>
      <c r="AA3653" s="149"/>
      <c r="AB3653" s="149"/>
      <c r="AC3653" s="149"/>
      <c r="AD3653" s="149"/>
      <c r="AE3653" s="149"/>
      <c r="AF3653" s="149"/>
      <c r="AG3653" s="149"/>
      <c r="AH3653" s="149"/>
      <c r="AI3653" s="149"/>
      <c r="AJ3653" s="149"/>
      <c r="AK3653" s="149"/>
      <c r="AL3653" s="149"/>
      <c r="AM3653" s="149"/>
      <c r="AN3653" s="149"/>
      <c r="AO3653" s="128"/>
      <c r="AP3653" s="128"/>
      <c r="AQ3653" s="128"/>
      <c r="AR3653" s="128"/>
      <c r="AS3653" s="128"/>
      <c r="AT3653" s="128"/>
      <c r="AU3653" s="128"/>
      <c r="AV3653" s="128"/>
      <c r="AW3653" s="128"/>
      <c r="AX3653" s="128"/>
      <c r="AY3653" s="128"/>
      <c r="AZ3653" s="128"/>
      <c r="BA3653" s="128"/>
      <c r="BB3653" s="128"/>
      <c r="BC3653" s="128"/>
      <c r="BD3653" s="128"/>
      <c r="BE3653" s="128"/>
      <c r="BF3653" s="128"/>
      <c r="BG3653" s="128"/>
      <c r="BH3653" s="128"/>
      <c r="BI3653" s="128"/>
      <c r="BJ3653" s="128"/>
      <c r="BK3653" s="128"/>
      <c r="BL3653" s="128"/>
      <c r="BM3653" s="151"/>
      <c r="BN3653" s="128"/>
      <c r="BO3653" s="128"/>
      <c r="BP3653" s="128"/>
      <c r="BQ3653" s="128"/>
      <c r="BR3653" s="128"/>
      <c r="BS3653" s="128"/>
      <c r="BT3653" s="128"/>
      <c r="BU3653" s="128"/>
      <c r="BV3653" s="128"/>
      <c r="BW3653" s="128"/>
      <c r="BX3653" s="128"/>
      <c r="BY3653" s="128"/>
      <c r="BZ3653" s="128"/>
      <c r="CA3653" s="128"/>
      <c r="CB3653" s="128"/>
      <c r="CC3653" s="128"/>
      <c r="CD3653" s="128"/>
      <c r="CE3653" s="128"/>
      <c r="CF3653" s="128"/>
      <c r="CG3653" s="128"/>
      <c r="CI3653" s="128"/>
      <c r="CJ3653" s="128"/>
      <c r="CK3653" s="128"/>
      <c r="CL3653" s="128"/>
      <c r="CM3653" s="128"/>
      <c r="CN3653" s="128"/>
      <c r="CO3653" s="128"/>
      <c r="CP3653" s="128"/>
      <c r="CQ3653" s="128"/>
      <c r="CR3653" s="128"/>
      <c r="CS3653" s="128"/>
      <c r="CT3653" s="128"/>
      <c r="CU3653" s="128"/>
      <c r="CV3653" s="128"/>
      <c r="CW3653" s="128"/>
      <c r="CX3653" s="128"/>
      <c r="CY3653" s="128"/>
      <c r="CZ3653" s="165"/>
    </row>
    <row r="3654" spans="1:104">
      <c r="A3654" s="149"/>
      <c r="B3654" s="149"/>
      <c r="C3654" s="150"/>
      <c r="D3654" s="102"/>
      <c r="E3654" s="149"/>
      <c r="F3654" s="149"/>
      <c r="G3654" s="149"/>
      <c r="H3654" s="149"/>
      <c r="I3654" s="149"/>
      <c r="J3654" s="149"/>
      <c r="K3654" s="149"/>
      <c r="L3654" s="149"/>
      <c r="M3654" s="149"/>
      <c r="N3654" s="149"/>
      <c r="O3654" s="149"/>
      <c r="P3654" s="149"/>
      <c r="Q3654" s="149"/>
      <c r="R3654" s="149"/>
      <c r="S3654" s="149"/>
      <c r="T3654" s="149"/>
      <c r="U3654" s="149"/>
      <c r="V3654" s="149"/>
      <c r="W3654" s="149"/>
      <c r="X3654" s="149"/>
      <c r="Y3654" s="149"/>
      <c r="Z3654" s="149"/>
      <c r="AA3654" s="149"/>
      <c r="AB3654" s="149"/>
      <c r="AC3654" s="149"/>
      <c r="AD3654" s="149"/>
      <c r="AE3654" s="149"/>
      <c r="AF3654" s="149"/>
      <c r="AG3654" s="149"/>
      <c r="AH3654" s="149"/>
      <c r="AI3654" s="149"/>
      <c r="AJ3654" s="149"/>
      <c r="AK3654" s="149"/>
      <c r="AL3654" s="149"/>
      <c r="AM3654" s="149"/>
      <c r="AN3654" s="149"/>
      <c r="AO3654" s="128"/>
      <c r="AP3654" s="128"/>
      <c r="AQ3654" s="128"/>
      <c r="AR3654" s="128"/>
      <c r="AS3654" s="128"/>
      <c r="AT3654" s="128"/>
      <c r="AU3654" s="128"/>
      <c r="AV3654" s="128"/>
      <c r="AW3654" s="128"/>
      <c r="AX3654" s="128"/>
      <c r="AY3654" s="128"/>
      <c r="AZ3654" s="128"/>
      <c r="BA3654" s="128"/>
      <c r="BB3654" s="128"/>
      <c r="BC3654" s="128"/>
      <c r="BD3654" s="128"/>
      <c r="BE3654" s="128"/>
      <c r="BF3654" s="128"/>
      <c r="BG3654" s="128"/>
      <c r="BH3654" s="128"/>
      <c r="BI3654" s="128"/>
      <c r="BJ3654" s="128"/>
      <c r="BK3654" s="128"/>
      <c r="BL3654" s="128"/>
      <c r="BM3654" s="151"/>
      <c r="BN3654" s="128"/>
      <c r="BO3654" s="128"/>
      <c r="BP3654" s="128"/>
      <c r="BQ3654" s="128"/>
      <c r="BR3654" s="128"/>
      <c r="BS3654" s="128"/>
      <c r="BT3654" s="128"/>
      <c r="BU3654" s="128"/>
      <c r="BV3654" s="128"/>
      <c r="BW3654" s="128"/>
      <c r="BX3654" s="128"/>
      <c r="BY3654" s="128"/>
      <c r="BZ3654" s="128"/>
      <c r="CA3654" s="128"/>
      <c r="CB3654" s="128"/>
      <c r="CC3654" s="128"/>
      <c r="CD3654" s="128"/>
      <c r="CE3654" s="128"/>
      <c r="CF3654" s="128"/>
      <c r="CG3654" s="128"/>
      <c r="CI3654" s="128"/>
      <c r="CJ3654" s="128"/>
      <c r="CK3654" s="128"/>
      <c r="CL3654" s="128"/>
      <c r="CM3654" s="128"/>
      <c r="CN3654" s="128"/>
      <c r="CO3654" s="128"/>
      <c r="CP3654" s="128"/>
      <c r="CQ3654" s="128"/>
      <c r="CR3654" s="128"/>
      <c r="CS3654" s="128"/>
      <c r="CT3654" s="128"/>
      <c r="CU3654" s="128"/>
      <c r="CV3654" s="128"/>
      <c r="CW3654" s="128"/>
      <c r="CX3654" s="128"/>
      <c r="CY3654" s="128"/>
      <c r="CZ3654" s="165"/>
    </row>
    <row r="3655" spans="1:104">
      <c r="A3655" s="149"/>
      <c r="B3655" s="149"/>
      <c r="C3655" s="150"/>
      <c r="D3655" s="102"/>
      <c r="E3655" s="149"/>
      <c r="F3655" s="149"/>
      <c r="G3655" s="149"/>
      <c r="H3655" s="149"/>
      <c r="I3655" s="149"/>
      <c r="J3655" s="149"/>
      <c r="K3655" s="149"/>
      <c r="L3655" s="149"/>
      <c r="M3655" s="149"/>
      <c r="N3655" s="149"/>
      <c r="O3655" s="149"/>
      <c r="P3655" s="149"/>
      <c r="Q3655" s="149"/>
      <c r="R3655" s="149"/>
      <c r="S3655" s="149"/>
      <c r="T3655" s="149"/>
      <c r="U3655" s="149"/>
      <c r="V3655" s="149"/>
      <c r="W3655" s="149"/>
      <c r="X3655" s="149"/>
      <c r="Y3655" s="149"/>
      <c r="Z3655" s="149"/>
      <c r="AA3655" s="149"/>
      <c r="AB3655" s="149"/>
      <c r="AC3655" s="149"/>
      <c r="AD3655" s="149"/>
      <c r="AE3655" s="149"/>
      <c r="AF3655" s="149"/>
      <c r="AG3655" s="149"/>
      <c r="AH3655" s="149"/>
      <c r="AI3655" s="149"/>
      <c r="AJ3655" s="149"/>
      <c r="AK3655" s="149"/>
      <c r="AL3655" s="149"/>
      <c r="AM3655" s="149"/>
      <c r="AN3655" s="149"/>
      <c r="AO3655" s="128"/>
      <c r="AP3655" s="128"/>
      <c r="AQ3655" s="128"/>
      <c r="AR3655" s="128"/>
      <c r="AS3655" s="128"/>
      <c r="AT3655" s="128"/>
      <c r="AU3655" s="128"/>
      <c r="AV3655" s="128"/>
      <c r="AW3655" s="128"/>
      <c r="AX3655" s="128"/>
      <c r="AY3655" s="128"/>
      <c r="AZ3655" s="128"/>
      <c r="BA3655" s="128"/>
      <c r="BB3655" s="128"/>
      <c r="BC3655" s="128"/>
      <c r="BD3655" s="128"/>
      <c r="BE3655" s="128"/>
      <c r="BF3655" s="128"/>
      <c r="BG3655" s="128"/>
      <c r="BH3655" s="128"/>
      <c r="BI3655" s="128"/>
      <c r="BJ3655" s="128"/>
      <c r="BK3655" s="128"/>
      <c r="BL3655" s="128"/>
      <c r="BM3655" s="151"/>
      <c r="BN3655" s="128"/>
      <c r="BO3655" s="128"/>
      <c r="BP3655" s="128"/>
      <c r="BQ3655" s="128"/>
      <c r="BR3655" s="128"/>
      <c r="BS3655" s="128"/>
      <c r="BT3655" s="128"/>
      <c r="BU3655" s="128"/>
      <c r="BV3655" s="128"/>
      <c r="BW3655" s="128"/>
      <c r="BX3655" s="128"/>
      <c r="BY3655" s="128"/>
      <c r="BZ3655" s="128"/>
      <c r="CA3655" s="128"/>
      <c r="CB3655" s="128"/>
      <c r="CC3655" s="128"/>
      <c r="CD3655" s="128"/>
      <c r="CE3655" s="128"/>
      <c r="CF3655" s="128"/>
      <c r="CG3655" s="128"/>
      <c r="CI3655" s="128"/>
      <c r="CJ3655" s="128"/>
      <c r="CK3655" s="128"/>
      <c r="CL3655" s="128"/>
      <c r="CM3655" s="128"/>
      <c r="CN3655" s="128"/>
      <c r="CO3655" s="128"/>
      <c r="CP3655" s="128"/>
      <c r="CQ3655" s="128"/>
      <c r="CR3655" s="128"/>
      <c r="CS3655" s="128"/>
      <c r="CT3655" s="128"/>
      <c r="CU3655" s="128"/>
      <c r="CV3655" s="128"/>
      <c r="CW3655" s="128"/>
      <c r="CX3655" s="128"/>
      <c r="CY3655" s="128"/>
      <c r="CZ3655" s="165"/>
    </row>
    <row r="3656" spans="1:104">
      <c r="A3656" s="149"/>
      <c r="B3656" s="149"/>
      <c r="C3656" s="150"/>
      <c r="D3656" s="102"/>
      <c r="E3656" s="149"/>
      <c r="F3656" s="149"/>
      <c r="G3656" s="149"/>
      <c r="H3656" s="149"/>
      <c r="I3656" s="149"/>
      <c r="J3656" s="149"/>
      <c r="K3656" s="149"/>
      <c r="L3656" s="149"/>
      <c r="M3656" s="149"/>
      <c r="N3656" s="149"/>
      <c r="O3656" s="149"/>
      <c r="P3656" s="149"/>
      <c r="Q3656" s="149"/>
      <c r="R3656" s="149"/>
      <c r="S3656" s="149"/>
      <c r="T3656" s="149"/>
      <c r="U3656" s="149"/>
      <c r="V3656" s="149"/>
      <c r="W3656" s="149"/>
      <c r="X3656" s="149"/>
      <c r="Y3656" s="149"/>
      <c r="Z3656" s="149"/>
      <c r="AA3656" s="149"/>
      <c r="AB3656" s="149"/>
      <c r="AC3656" s="149"/>
      <c r="AD3656" s="149"/>
      <c r="AE3656" s="149"/>
      <c r="AF3656" s="149"/>
      <c r="AG3656" s="149"/>
      <c r="AH3656" s="149"/>
      <c r="AI3656" s="149"/>
      <c r="AJ3656" s="149"/>
      <c r="AK3656" s="149"/>
      <c r="AL3656" s="149"/>
      <c r="AM3656" s="149"/>
      <c r="AN3656" s="149"/>
      <c r="AO3656" s="128"/>
      <c r="AP3656" s="128"/>
      <c r="AQ3656" s="128"/>
      <c r="AR3656" s="128"/>
      <c r="AS3656" s="128"/>
      <c r="AT3656" s="128"/>
      <c r="AU3656" s="128"/>
      <c r="AV3656" s="128"/>
      <c r="AW3656" s="128"/>
      <c r="AX3656" s="128"/>
      <c r="AY3656" s="128"/>
      <c r="AZ3656" s="128"/>
      <c r="BA3656" s="128"/>
      <c r="BB3656" s="128"/>
      <c r="BC3656" s="128"/>
      <c r="BD3656" s="128"/>
      <c r="BE3656" s="128"/>
      <c r="BF3656" s="128"/>
      <c r="BG3656" s="128"/>
      <c r="BH3656" s="128"/>
      <c r="BI3656" s="128"/>
      <c r="BJ3656" s="128"/>
      <c r="BK3656" s="128"/>
      <c r="BL3656" s="128"/>
      <c r="BM3656" s="151"/>
      <c r="BN3656" s="128"/>
      <c r="BO3656" s="128"/>
      <c r="BP3656" s="128"/>
      <c r="BQ3656" s="128"/>
      <c r="BR3656" s="128"/>
      <c r="BS3656" s="128"/>
      <c r="BT3656" s="128"/>
      <c r="BU3656" s="128"/>
      <c r="BV3656" s="128"/>
      <c r="BW3656" s="128"/>
      <c r="BX3656" s="128"/>
      <c r="BY3656" s="128"/>
      <c r="BZ3656" s="128"/>
      <c r="CA3656" s="128"/>
      <c r="CB3656" s="128"/>
      <c r="CC3656" s="128"/>
      <c r="CD3656" s="128"/>
      <c r="CE3656" s="128"/>
      <c r="CF3656" s="128"/>
      <c r="CG3656" s="128"/>
      <c r="CI3656" s="128"/>
      <c r="CJ3656" s="128"/>
      <c r="CK3656" s="128"/>
      <c r="CL3656" s="128"/>
      <c r="CM3656" s="128"/>
      <c r="CN3656" s="128"/>
      <c r="CO3656" s="128"/>
      <c r="CP3656" s="128"/>
      <c r="CQ3656" s="128"/>
      <c r="CR3656" s="128"/>
      <c r="CS3656" s="128"/>
      <c r="CT3656" s="128"/>
      <c r="CU3656" s="128"/>
      <c r="CV3656" s="128"/>
      <c r="CW3656" s="128"/>
      <c r="CX3656" s="128"/>
      <c r="CY3656" s="128"/>
      <c r="CZ3656" s="165"/>
    </row>
    <row r="3657" spans="1:104">
      <c r="A3657" s="149"/>
      <c r="B3657" s="149"/>
      <c r="C3657" s="150"/>
      <c r="D3657" s="102"/>
      <c r="E3657" s="149"/>
      <c r="F3657" s="149"/>
      <c r="G3657" s="149"/>
      <c r="H3657" s="149"/>
      <c r="I3657" s="149"/>
      <c r="J3657" s="149"/>
      <c r="K3657" s="149"/>
      <c r="L3657" s="149"/>
      <c r="M3657" s="149"/>
      <c r="N3657" s="149"/>
      <c r="O3657" s="149"/>
      <c r="P3657" s="149"/>
      <c r="Q3657" s="149"/>
      <c r="R3657" s="149"/>
      <c r="S3657" s="149"/>
      <c r="T3657" s="149"/>
      <c r="U3657" s="149"/>
      <c r="V3657" s="149"/>
      <c r="W3657" s="149"/>
      <c r="X3657" s="149"/>
      <c r="Y3657" s="149"/>
      <c r="Z3657" s="149"/>
      <c r="AA3657" s="149"/>
      <c r="AB3657" s="149"/>
      <c r="AC3657" s="149"/>
      <c r="AD3657" s="149"/>
      <c r="AE3657" s="149"/>
      <c r="AF3657" s="149"/>
      <c r="AG3657" s="149"/>
      <c r="AH3657" s="149"/>
      <c r="AI3657" s="149"/>
      <c r="AJ3657" s="149"/>
      <c r="AK3657" s="149"/>
      <c r="AL3657" s="149"/>
      <c r="AM3657" s="149"/>
      <c r="AN3657" s="149"/>
      <c r="AO3657" s="128"/>
      <c r="AP3657" s="128"/>
      <c r="AQ3657" s="128"/>
      <c r="AR3657" s="128"/>
      <c r="AS3657" s="128"/>
      <c r="AT3657" s="128"/>
      <c r="AU3657" s="128"/>
      <c r="AV3657" s="128"/>
      <c r="AW3657" s="128"/>
      <c r="AX3657" s="128"/>
      <c r="AY3657" s="128"/>
      <c r="AZ3657" s="128"/>
      <c r="BA3657" s="128"/>
      <c r="BB3657" s="128"/>
      <c r="BC3657" s="128"/>
      <c r="BD3657" s="128"/>
      <c r="BE3657" s="128"/>
      <c r="BF3657" s="128"/>
      <c r="BG3657" s="128"/>
      <c r="BH3657" s="128"/>
      <c r="BI3657" s="128"/>
      <c r="BJ3657" s="128"/>
      <c r="BK3657" s="128"/>
      <c r="BL3657" s="128"/>
      <c r="BM3657" s="151"/>
      <c r="BN3657" s="128"/>
      <c r="BO3657" s="128"/>
      <c r="BP3657" s="128"/>
      <c r="BQ3657" s="128"/>
      <c r="BR3657" s="128"/>
      <c r="BS3657" s="128"/>
      <c r="BT3657" s="128"/>
      <c r="BU3657" s="128"/>
      <c r="BV3657" s="128"/>
      <c r="BW3657" s="128"/>
      <c r="BX3657" s="128"/>
      <c r="BY3657" s="128"/>
      <c r="BZ3657" s="128"/>
      <c r="CA3657" s="128"/>
      <c r="CB3657" s="128"/>
      <c r="CC3657" s="128"/>
      <c r="CD3657" s="128"/>
      <c r="CE3657" s="128"/>
      <c r="CF3657" s="128"/>
      <c r="CG3657" s="128"/>
      <c r="CI3657" s="128"/>
      <c r="CJ3657" s="128"/>
      <c r="CK3657" s="128"/>
      <c r="CL3657" s="128"/>
      <c r="CM3657" s="128"/>
      <c r="CN3657" s="128"/>
      <c r="CO3657" s="128"/>
      <c r="CP3657" s="128"/>
      <c r="CQ3657" s="128"/>
      <c r="CR3657" s="128"/>
      <c r="CS3657" s="128"/>
      <c r="CT3657" s="128"/>
      <c r="CU3657" s="128"/>
      <c r="CV3657" s="128"/>
      <c r="CW3657" s="128"/>
      <c r="CX3657" s="128"/>
      <c r="CY3657" s="128"/>
      <c r="CZ3657" s="165"/>
    </row>
    <row r="3658" spans="1:104">
      <c r="A3658" s="149"/>
      <c r="B3658" s="149"/>
      <c r="C3658" s="150"/>
      <c r="D3658" s="102"/>
      <c r="E3658" s="149"/>
      <c r="F3658" s="149"/>
      <c r="G3658" s="149"/>
      <c r="H3658" s="149"/>
      <c r="I3658" s="149"/>
      <c r="J3658" s="149"/>
      <c r="K3658" s="149"/>
      <c r="L3658" s="149"/>
      <c r="M3658" s="149"/>
      <c r="N3658" s="149"/>
      <c r="O3658" s="149"/>
      <c r="P3658" s="149"/>
      <c r="Q3658" s="149"/>
      <c r="R3658" s="149"/>
      <c r="S3658" s="149"/>
      <c r="T3658" s="149"/>
      <c r="U3658" s="149"/>
      <c r="V3658" s="149"/>
      <c r="W3658" s="149"/>
      <c r="X3658" s="149"/>
      <c r="Y3658" s="149"/>
      <c r="Z3658" s="149"/>
      <c r="AA3658" s="149"/>
      <c r="AB3658" s="149"/>
      <c r="AC3658" s="149"/>
      <c r="AD3658" s="149"/>
      <c r="AE3658" s="149"/>
      <c r="AF3658" s="149"/>
      <c r="AG3658" s="149"/>
      <c r="AH3658" s="149"/>
      <c r="AI3658" s="149"/>
      <c r="AJ3658" s="149"/>
      <c r="AK3658" s="149"/>
      <c r="AL3658" s="149"/>
      <c r="AM3658" s="149"/>
      <c r="AN3658" s="149"/>
      <c r="AO3658" s="128"/>
      <c r="AP3658" s="128"/>
      <c r="AQ3658" s="128"/>
      <c r="AR3658" s="128"/>
      <c r="AS3658" s="128"/>
      <c r="AT3658" s="128"/>
      <c r="AU3658" s="128"/>
      <c r="AV3658" s="128"/>
      <c r="AW3658" s="128"/>
      <c r="AX3658" s="128"/>
      <c r="AY3658" s="128"/>
      <c r="AZ3658" s="128"/>
      <c r="BA3658" s="128"/>
      <c r="BB3658" s="128"/>
      <c r="BC3658" s="128"/>
      <c r="BD3658" s="128"/>
      <c r="BE3658" s="128"/>
      <c r="BF3658" s="128"/>
      <c r="BG3658" s="128"/>
      <c r="BH3658" s="128"/>
      <c r="BI3658" s="128"/>
      <c r="BJ3658" s="128"/>
      <c r="BK3658" s="128"/>
      <c r="BL3658" s="128"/>
      <c r="BM3658" s="151"/>
      <c r="BN3658" s="128"/>
      <c r="BO3658" s="128"/>
      <c r="BP3658" s="128"/>
      <c r="BQ3658" s="128"/>
      <c r="BR3658" s="128"/>
      <c r="BS3658" s="128"/>
      <c r="BT3658" s="128"/>
      <c r="BU3658" s="128"/>
      <c r="BV3658" s="128"/>
      <c r="BW3658" s="128"/>
      <c r="BX3658" s="128"/>
      <c r="BY3658" s="128"/>
      <c r="BZ3658" s="128"/>
      <c r="CA3658" s="128"/>
      <c r="CB3658" s="128"/>
      <c r="CC3658" s="128"/>
      <c r="CD3658" s="128"/>
      <c r="CE3658" s="128"/>
      <c r="CF3658" s="128"/>
      <c r="CG3658" s="128"/>
      <c r="CI3658" s="128"/>
      <c r="CJ3658" s="128"/>
      <c r="CK3658" s="128"/>
      <c r="CL3658" s="128"/>
      <c r="CM3658" s="128"/>
      <c r="CN3658" s="128"/>
      <c r="CO3658" s="128"/>
      <c r="CP3658" s="128"/>
      <c r="CQ3658" s="128"/>
      <c r="CR3658" s="128"/>
      <c r="CS3658" s="128"/>
      <c r="CT3658" s="128"/>
      <c r="CU3658" s="128"/>
      <c r="CV3658" s="128"/>
      <c r="CW3658" s="128"/>
      <c r="CX3658" s="128"/>
      <c r="CY3658" s="128"/>
      <c r="CZ3658" s="165"/>
    </row>
    <row r="3659" spans="1:104">
      <c r="A3659" s="149"/>
      <c r="B3659" s="149"/>
      <c r="C3659" s="150"/>
      <c r="D3659" s="102"/>
      <c r="E3659" s="149"/>
      <c r="F3659" s="149"/>
      <c r="G3659" s="149"/>
      <c r="H3659" s="149"/>
      <c r="I3659" s="149"/>
      <c r="J3659" s="149"/>
      <c r="K3659" s="149"/>
      <c r="L3659" s="149"/>
      <c r="M3659" s="149"/>
      <c r="N3659" s="149"/>
      <c r="O3659" s="149"/>
      <c r="P3659" s="149"/>
      <c r="Q3659" s="149"/>
      <c r="R3659" s="149"/>
      <c r="S3659" s="149"/>
      <c r="T3659" s="149"/>
      <c r="U3659" s="149"/>
      <c r="V3659" s="149"/>
      <c r="W3659" s="149"/>
      <c r="X3659" s="149"/>
      <c r="Y3659" s="149"/>
      <c r="Z3659" s="149"/>
      <c r="AA3659" s="149"/>
      <c r="AB3659" s="149"/>
      <c r="AC3659" s="149"/>
      <c r="AD3659" s="149"/>
      <c r="AE3659" s="149"/>
      <c r="AF3659" s="149"/>
      <c r="AG3659" s="149"/>
      <c r="AH3659" s="149"/>
      <c r="AI3659" s="149"/>
      <c r="AJ3659" s="149"/>
      <c r="AK3659" s="149"/>
      <c r="AL3659" s="149"/>
      <c r="AM3659" s="149"/>
      <c r="AN3659" s="149"/>
      <c r="AO3659" s="128"/>
      <c r="AP3659" s="128"/>
      <c r="AQ3659" s="128"/>
      <c r="AR3659" s="128"/>
      <c r="AS3659" s="128"/>
      <c r="AT3659" s="128"/>
      <c r="AU3659" s="128"/>
      <c r="AV3659" s="128"/>
      <c r="AW3659" s="128"/>
      <c r="AX3659" s="128"/>
      <c r="AY3659" s="128"/>
      <c r="AZ3659" s="128"/>
      <c r="BA3659" s="128"/>
      <c r="BB3659" s="128"/>
      <c r="BC3659" s="128"/>
      <c r="BD3659" s="128"/>
      <c r="BE3659" s="128"/>
      <c r="BF3659" s="128"/>
      <c r="BG3659" s="128"/>
      <c r="BH3659" s="128"/>
      <c r="BI3659" s="128"/>
      <c r="BJ3659" s="128"/>
      <c r="BK3659" s="128"/>
      <c r="BL3659" s="128"/>
      <c r="BM3659" s="151"/>
      <c r="BN3659" s="128"/>
      <c r="BO3659" s="128"/>
      <c r="BP3659" s="128"/>
      <c r="BQ3659" s="128"/>
      <c r="BR3659" s="128"/>
      <c r="BS3659" s="128"/>
      <c r="BT3659" s="128"/>
      <c r="BU3659" s="128"/>
      <c r="BV3659" s="128"/>
      <c r="BW3659" s="128"/>
      <c r="BX3659" s="128"/>
      <c r="BY3659" s="128"/>
      <c r="BZ3659" s="128"/>
      <c r="CA3659" s="128"/>
      <c r="CB3659" s="128"/>
      <c r="CC3659" s="128"/>
      <c r="CD3659" s="128"/>
      <c r="CE3659" s="128"/>
      <c r="CF3659" s="128"/>
      <c r="CG3659" s="128"/>
      <c r="CI3659" s="128"/>
      <c r="CJ3659" s="128"/>
      <c r="CK3659" s="128"/>
      <c r="CL3659" s="128"/>
      <c r="CM3659" s="128"/>
      <c r="CN3659" s="128"/>
      <c r="CO3659" s="128"/>
      <c r="CP3659" s="128"/>
      <c r="CQ3659" s="128"/>
      <c r="CR3659" s="128"/>
      <c r="CS3659" s="128"/>
      <c r="CT3659" s="128"/>
      <c r="CU3659" s="128"/>
      <c r="CV3659" s="128"/>
      <c r="CW3659" s="128"/>
      <c r="CX3659" s="128"/>
      <c r="CY3659" s="128"/>
      <c r="CZ3659" s="165"/>
    </row>
    <row r="3660" spans="1:104">
      <c r="A3660" s="149"/>
      <c r="B3660" s="149"/>
      <c r="C3660" s="150"/>
      <c r="D3660" s="102"/>
      <c r="E3660" s="149"/>
      <c r="F3660" s="149"/>
      <c r="G3660" s="149"/>
      <c r="H3660" s="149"/>
      <c r="I3660" s="149"/>
      <c r="J3660" s="149"/>
      <c r="K3660" s="149"/>
      <c r="L3660" s="149"/>
      <c r="M3660" s="149"/>
      <c r="N3660" s="149"/>
      <c r="O3660" s="149"/>
      <c r="P3660" s="149"/>
      <c r="Q3660" s="149"/>
      <c r="R3660" s="149"/>
      <c r="S3660" s="149"/>
      <c r="T3660" s="149"/>
      <c r="U3660" s="149"/>
      <c r="V3660" s="149"/>
      <c r="W3660" s="149"/>
      <c r="X3660" s="149"/>
      <c r="Y3660" s="149"/>
      <c r="Z3660" s="149"/>
      <c r="AA3660" s="149"/>
      <c r="AB3660" s="149"/>
      <c r="AC3660" s="149"/>
      <c r="AD3660" s="149"/>
      <c r="AE3660" s="149"/>
      <c r="AF3660" s="149"/>
      <c r="AG3660" s="149"/>
      <c r="AH3660" s="149"/>
      <c r="AI3660" s="149"/>
      <c r="AJ3660" s="149"/>
      <c r="AK3660" s="149"/>
      <c r="AL3660" s="149"/>
      <c r="AM3660" s="149"/>
      <c r="AN3660" s="149"/>
      <c r="AO3660" s="128"/>
      <c r="AP3660" s="128"/>
      <c r="AQ3660" s="128"/>
      <c r="AR3660" s="128"/>
      <c r="AS3660" s="128"/>
      <c r="AT3660" s="128"/>
      <c r="AU3660" s="128"/>
      <c r="AV3660" s="128"/>
      <c r="AW3660" s="128"/>
      <c r="AX3660" s="128"/>
      <c r="AY3660" s="128"/>
      <c r="AZ3660" s="128"/>
      <c r="BA3660" s="128"/>
      <c r="BB3660" s="128"/>
      <c r="BC3660" s="128"/>
      <c r="BD3660" s="128"/>
      <c r="BE3660" s="128"/>
      <c r="BF3660" s="128"/>
      <c r="BG3660" s="128"/>
      <c r="BH3660" s="128"/>
      <c r="BI3660" s="128"/>
      <c r="BJ3660" s="128"/>
      <c r="BK3660" s="128"/>
      <c r="BL3660" s="128"/>
      <c r="BM3660" s="151"/>
      <c r="BN3660" s="128"/>
      <c r="BO3660" s="128"/>
      <c r="BP3660" s="128"/>
      <c r="BQ3660" s="128"/>
      <c r="BR3660" s="128"/>
      <c r="BS3660" s="128"/>
      <c r="BT3660" s="128"/>
      <c r="BU3660" s="128"/>
      <c r="BV3660" s="128"/>
      <c r="BW3660" s="128"/>
      <c r="BX3660" s="128"/>
      <c r="BY3660" s="128"/>
      <c r="BZ3660" s="128"/>
      <c r="CA3660" s="128"/>
      <c r="CB3660" s="128"/>
      <c r="CC3660" s="128"/>
      <c r="CD3660" s="128"/>
      <c r="CE3660" s="128"/>
      <c r="CF3660" s="128"/>
      <c r="CG3660" s="128"/>
      <c r="CI3660" s="128"/>
      <c r="CJ3660" s="128"/>
      <c r="CK3660" s="128"/>
      <c r="CL3660" s="128"/>
      <c r="CM3660" s="128"/>
      <c r="CN3660" s="128"/>
      <c r="CO3660" s="128"/>
      <c r="CP3660" s="128"/>
      <c r="CQ3660" s="128"/>
      <c r="CR3660" s="128"/>
      <c r="CS3660" s="128"/>
      <c r="CT3660" s="128"/>
      <c r="CU3660" s="128"/>
      <c r="CV3660" s="128"/>
      <c r="CW3660" s="128"/>
      <c r="CX3660" s="128"/>
      <c r="CY3660" s="128"/>
      <c r="CZ3660" s="165"/>
    </row>
    <row r="3661" spans="1:104">
      <c r="A3661" s="149"/>
      <c r="B3661" s="149"/>
      <c r="C3661" s="150"/>
      <c r="D3661" s="102"/>
      <c r="E3661" s="149"/>
      <c r="F3661" s="149"/>
      <c r="G3661" s="149"/>
      <c r="H3661" s="149"/>
      <c r="I3661" s="149"/>
      <c r="J3661" s="149"/>
      <c r="K3661" s="149"/>
      <c r="L3661" s="149"/>
      <c r="M3661" s="149"/>
      <c r="N3661" s="149"/>
      <c r="O3661" s="149"/>
      <c r="P3661" s="149"/>
      <c r="Q3661" s="149"/>
      <c r="R3661" s="149"/>
      <c r="S3661" s="149"/>
      <c r="T3661" s="149"/>
      <c r="U3661" s="149"/>
      <c r="V3661" s="149"/>
      <c r="W3661" s="149"/>
      <c r="X3661" s="149"/>
      <c r="Y3661" s="149"/>
      <c r="Z3661" s="149"/>
      <c r="AA3661" s="149"/>
      <c r="AB3661" s="149"/>
      <c r="AC3661" s="149"/>
      <c r="AD3661" s="149"/>
      <c r="AE3661" s="149"/>
      <c r="AF3661" s="149"/>
      <c r="AG3661" s="149"/>
      <c r="AH3661" s="149"/>
      <c r="AI3661" s="149"/>
      <c r="AJ3661" s="149"/>
      <c r="AK3661" s="149"/>
      <c r="AL3661" s="149"/>
      <c r="AM3661" s="149"/>
      <c r="AN3661" s="149"/>
      <c r="AO3661" s="128"/>
      <c r="AP3661" s="128"/>
      <c r="AQ3661" s="128"/>
      <c r="AR3661" s="128"/>
      <c r="AS3661" s="128"/>
      <c r="AT3661" s="128"/>
      <c r="AU3661" s="128"/>
      <c r="AV3661" s="128"/>
      <c r="AW3661" s="128"/>
      <c r="AX3661" s="128"/>
      <c r="AY3661" s="128"/>
      <c r="AZ3661" s="128"/>
      <c r="BA3661" s="128"/>
      <c r="BB3661" s="128"/>
      <c r="BC3661" s="128"/>
      <c r="BD3661" s="128"/>
      <c r="BE3661" s="128"/>
      <c r="BF3661" s="128"/>
      <c r="BG3661" s="128"/>
      <c r="BH3661" s="128"/>
      <c r="BI3661" s="128"/>
      <c r="BJ3661" s="128"/>
      <c r="BK3661" s="128"/>
      <c r="BL3661" s="128"/>
      <c r="BM3661" s="151"/>
      <c r="BN3661" s="128"/>
      <c r="BO3661" s="128"/>
      <c r="BP3661" s="128"/>
      <c r="BQ3661" s="128"/>
      <c r="BR3661" s="128"/>
      <c r="BS3661" s="128"/>
      <c r="BT3661" s="128"/>
      <c r="BU3661" s="128"/>
      <c r="BV3661" s="128"/>
      <c r="BW3661" s="128"/>
      <c r="BX3661" s="128"/>
      <c r="BY3661" s="128"/>
      <c r="BZ3661" s="128"/>
      <c r="CA3661" s="128"/>
      <c r="CB3661" s="128"/>
      <c r="CC3661" s="128"/>
      <c r="CD3661" s="128"/>
      <c r="CE3661" s="128"/>
      <c r="CF3661" s="128"/>
      <c r="CG3661" s="128"/>
      <c r="CI3661" s="128"/>
      <c r="CJ3661" s="128"/>
      <c r="CK3661" s="128"/>
      <c r="CL3661" s="128"/>
      <c r="CM3661" s="128"/>
      <c r="CN3661" s="128"/>
      <c r="CO3661" s="128"/>
      <c r="CP3661" s="128"/>
      <c r="CQ3661" s="128"/>
      <c r="CR3661" s="128"/>
      <c r="CS3661" s="128"/>
      <c r="CT3661" s="128"/>
      <c r="CU3661" s="128"/>
      <c r="CV3661" s="128"/>
      <c r="CW3661" s="128"/>
      <c r="CX3661" s="128"/>
      <c r="CY3661" s="128"/>
      <c r="CZ3661" s="165"/>
    </row>
    <row r="3662" spans="1:104">
      <c r="A3662" s="149"/>
      <c r="B3662" s="149"/>
      <c r="C3662" s="150"/>
      <c r="D3662" s="102"/>
      <c r="E3662" s="149"/>
      <c r="F3662" s="149"/>
      <c r="G3662" s="149"/>
      <c r="H3662" s="149"/>
      <c r="I3662" s="149"/>
      <c r="J3662" s="149"/>
      <c r="K3662" s="149"/>
      <c r="L3662" s="149"/>
      <c r="M3662" s="149"/>
      <c r="N3662" s="149"/>
      <c r="O3662" s="149"/>
      <c r="P3662" s="149"/>
      <c r="Q3662" s="149"/>
      <c r="R3662" s="149"/>
      <c r="S3662" s="149"/>
      <c r="T3662" s="149"/>
      <c r="U3662" s="149"/>
      <c r="V3662" s="149"/>
      <c r="W3662" s="149"/>
      <c r="X3662" s="149"/>
      <c r="Y3662" s="149"/>
      <c r="Z3662" s="149"/>
      <c r="AA3662" s="149"/>
      <c r="AB3662" s="149"/>
      <c r="AC3662" s="149"/>
      <c r="AD3662" s="149"/>
      <c r="AE3662" s="149"/>
      <c r="AF3662" s="149"/>
      <c r="AG3662" s="149"/>
      <c r="AH3662" s="149"/>
      <c r="AI3662" s="149"/>
      <c r="AJ3662" s="149"/>
      <c r="AK3662" s="149"/>
      <c r="AL3662" s="149"/>
      <c r="AM3662" s="149"/>
      <c r="AN3662" s="149"/>
      <c r="AO3662" s="128"/>
      <c r="AP3662" s="128"/>
      <c r="AQ3662" s="128"/>
      <c r="AR3662" s="128"/>
      <c r="AS3662" s="128"/>
      <c r="AT3662" s="128"/>
      <c r="AU3662" s="128"/>
      <c r="AV3662" s="128"/>
      <c r="AW3662" s="128"/>
      <c r="AX3662" s="128"/>
      <c r="AY3662" s="128"/>
      <c r="AZ3662" s="128"/>
      <c r="BA3662" s="128"/>
      <c r="BB3662" s="128"/>
      <c r="BC3662" s="128"/>
      <c r="BD3662" s="128"/>
      <c r="BE3662" s="128"/>
      <c r="BF3662" s="128"/>
      <c r="BG3662" s="128"/>
      <c r="BH3662" s="128"/>
      <c r="BI3662" s="128"/>
      <c r="BJ3662" s="128"/>
      <c r="BK3662" s="128"/>
      <c r="BL3662" s="128"/>
      <c r="BM3662" s="151"/>
      <c r="BN3662" s="128"/>
      <c r="BO3662" s="128"/>
      <c r="BP3662" s="128"/>
      <c r="BQ3662" s="128"/>
      <c r="BR3662" s="128"/>
      <c r="BS3662" s="128"/>
      <c r="BT3662" s="128"/>
      <c r="BU3662" s="128"/>
      <c r="BV3662" s="128"/>
      <c r="BW3662" s="128"/>
      <c r="BX3662" s="128"/>
      <c r="BY3662" s="128"/>
      <c r="BZ3662" s="128"/>
      <c r="CA3662" s="128"/>
      <c r="CB3662" s="128"/>
      <c r="CC3662" s="128"/>
      <c r="CD3662" s="128"/>
      <c r="CE3662" s="128"/>
      <c r="CF3662" s="128"/>
      <c r="CG3662" s="128"/>
      <c r="CI3662" s="128"/>
      <c r="CJ3662" s="128"/>
      <c r="CK3662" s="128"/>
      <c r="CL3662" s="128"/>
      <c r="CM3662" s="128"/>
      <c r="CN3662" s="128"/>
      <c r="CO3662" s="128"/>
      <c r="CP3662" s="128"/>
      <c r="CQ3662" s="128"/>
      <c r="CR3662" s="128"/>
      <c r="CS3662" s="128"/>
      <c r="CT3662" s="128"/>
      <c r="CU3662" s="128"/>
      <c r="CV3662" s="128"/>
      <c r="CW3662" s="128"/>
      <c r="CX3662" s="128"/>
      <c r="CY3662" s="128"/>
      <c r="CZ3662" s="165"/>
    </row>
    <row r="3663" spans="1:104">
      <c r="A3663" s="149"/>
      <c r="B3663" s="149"/>
      <c r="C3663" s="150"/>
      <c r="D3663" s="102"/>
      <c r="E3663" s="149"/>
      <c r="F3663" s="149"/>
      <c r="G3663" s="149"/>
      <c r="H3663" s="149"/>
      <c r="I3663" s="149"/>
      <c r="J3663" s="149"/>
      <c r="K3663" s="149"/>
      <c r="L3663" s="149"/>
      <c r="M3663" s="149"/>
      <c r="N3663" s="149"/>
      <c r="O3663" s="149"/>
      <c r="P3663" s="149"/>
      <c r="Q3663" s="149"/>
      <c r="R3663" s="149"/>
      <c r="S3663" s="149"/>
      <c r="T3663" s="149"/>
      <c r="U3663" s="149"/>
      <c r="V3663" s="149"/>
      <c r="W3663" s="149"/>
      <c r="X3663" s="149"/>
      <c r="Y3663" s="149"/>
      <c r="Z3663" s="149"/>
      <c r="AA3663" s="149"/>
      <c r="AB3663" s="149"/>
      <c r="AC3663" s="149"/>
      <c r="AD3663" s="149"/>
      <c r="AE3663" s="149"/>
      <c r="AF3663" s="149"/>
      <c r="AG3663" s="149"/>
      <c r="AH3663" s="149"/>
      <c r="AI3663" s="149"/>
      <c r="AJ3663" s="149"/>
      <c r="AK3663" s="149"/>
      <c r="AL3663" s="149"/>
      <c r="AM3663" s="149"/>
      <c r="AN3663" s="149"/>
      <c r="AO3663" s="128"/>
      <c r="AP3663" s="128"/>
      <c r="AQ3663" s="128"/>
      <c r="AR3663" s="128"/>
      <c r="AS3663" s="128"/>
      <c r="AT3663" s="128"/>
      <c r="AU3663" s="128"/>
      <c r="AV3663" s="128"/>
      <c r="AW3663" s="128"/>
      <c r="AX3663" s="128"/>
      <c r="AY3663" s="128"/>
      <c r="AZ3663" s="128"/>
      <c r="BA3663" s="128"/>
      <c r="BB3663" s="128"/>
      <c r="BC3663" s="128"/>
      <c r="BD3663" s="128"/>
      <c r="BE3663" s="128"/>
      <c r="BF3663" s="128"/>
      <c r="BG3663" s="128"/>
      <c r="BH3663" s="128"/>
      <c r="BI3663" s="128"/>
      <c r="BJ3663" s="128"/>
      <c r="BK3663" s="128"/>
      <c r="BL3663" s="128"/>
      <c r="BM3663" s="151"/>
      <c r="BN3663" s="128"/>
      <c r="BO3663" s="128"/>
      <c r="BP3663" s="128"/>
      <c r="BQ3663" s="128"/>
      <c r="BR3663" s="128"/>
      <c r="BS3663" s="128"/>
      <c r="BT3663" s="128"/>
      <c r="BU3663" s="128"/>
      <c r="BV3663" s="128"/>
      <c r="BW3663" s="128"/>
      <c r="BX3663" s="128"/>
      <c r="BY3663" s="128"/>
      <c r="BZ3663" s="128"/>
      <c r="CA3663" s="128"/>
      <c r="CB3663" s="128"/>
      <c r="CC3663" s="128"/>
      <c r="CD3663" s="128"/>
      <c r="CE3663" s="128"/>
      <c r="CF3663" s="128"/>
      <c r="CG3663" s="128"/>
      <c r="CI3663" s="128"/>
      <c r="CJ3663" s="128"/>
      <c r="CK3663" s="128"/>
      <c r="CL3663" s="128"/>
      <c r="CM3663" s="128"/>
      <c r="CN3663" s="128"/>
      <c r="CO3663" s="128"/>
      <c r="CP3663" s="128"/>
      <c r="CQ3663" s="128"/>
      <c r="CR3663" s="128"/>
      <c r="CS3663" s="128"/>
      <c r="CT3663" s="128"/>
      <c r="CU3663" s="128"/>
      <c r="CV3663" s="128"/>
      <c r="CW3663" s="128"/>
      <c r="CX3663" s="128"/>
      <c r="CY3663" s="128"/>
      <c r="CZ3663" s="165"/>
    </row>
    <row r="3664" spans="1:104">
      <c r="A3664" s="149"/>
      <c r="B3664" s="149"/>
      <c r="C3664" s="150"/>
      <c r="D3664" s="102"/>
      <c r="E3664" s="149"/>
      <c r="F3664" s="149"/>
      <c r="G3664" s="149"/>
      <c r="H3664" s="149"/>
      <c r="I3664" s="149"/>
      <c r="J3664" s="149"/>
      <c r="K3664" s="149"/>
      <c r="L3664" s="149"/>
      <c r="M3664" s="149"/>
      <c r="N3664" s="149"/>
      <c r="O3664" s="149"/>
      <c r="P3664" s="149"/>
      <c r="Q3664" s="149"/>
      <c r="R3664" s="149"/>
      <c r="S3664" s="149"/>
      <c r="T3664" s="149"/>
      <c r="U3664" s="149"/>
      <c r="V3664" s="149"/>
      <c r="W3664" s="149"/>
      <c r="X3664" s="149"/>
      <c r="Y3664" s="149"/>
      <c r="Z3664" s="149"/>
      <c r="AA3664" s="149"/>
      <c r="AB3664" s="149"/>
      <c r="AC3664" s="149"/>
      <c r="AD3664" s="149"/>
      <c r="AE3664" s="149"/>
      <c r="AF3664" s="149"/>
      <c r="AG3664" s="149"/>
      <c r="AH3664" s="149"/>
      <c r="AI3664" s="149"/>
      <c r="AJ3664" s="149"/>
      <c r="AK3664" s="149"/>
      <c r="AL3664" s="149"/>
      <c r="AM3664" s="149"/>
      <c r="AN3664" s="149"/>
      <c r="AO3664" s="128"/>
      <c r="AP3664" s="128"/>
      <c r="AQ3664" s="128"/>
      <c r="AR3664" s="128"/>
      <c r="AS3664" s="128"/>
      <c r="AT3664" s="128"/>
      <c r="AU3664" s="128"/>
      <c r="AV3664" s="128"/>
      <c r="AW3664" s="128"/>
      <c r="AX3664" s="128"/>
      <c r="AY3664" s="128"/>
      <c r="AZ3664" s="128"/>
      <c r="BA3664" s="128"/>
      <c r="BB3664" s="128"/>
      <c r="BC3664" s="128"/>
      <c r="BD3664" s="128"/>
      <c r="BE3664" s="128"/>
      <c r="BF3664" s="128"/>
      <c r="BG3664" s="128"/>
      <c r="BH3664" s="128"/>
      <c r="BI3664" s="128"/>
      <c r="BJ3664" s="128"/>
      <c r="BK3664" s="128"/>
      <c r="BL3664" s="128"/>
      <c r="BM3664" s="151"/>
      <c r="BN3664" s="128"/>
      <c r="BO3664" s="128"/>
      <c r="BP3664" s="128"/>
      <c r="BQ3664" s="128"/>
      <c r="BR3664" s="128"/>
      <c r="BS3664" s="128"/>
      <c r="BT3664" s="128"/>
      <c r="BU3664" s="128"/>
      <c r="BV3664" s="128"/>
      <c r="BW3664" s="128"/>
      <c r="BX3664" s="128"/>
      <c r="BY3664" s="128"/>
      <c r="BZ3664" s="128"/>
      <c r="CA3664" s="128"/>
      <c r="CB3664" s="128"/>
      <c r="CC3664" s="128"/>
      <c r="CD3664" s="128"/>
      <c r="CE3664" s="128"/>
      <c r="CF3664" s="128"/>
      <c r="CG3664" s="128"/>
      <c r="CI3664" s="128"/>
      <c r="CJ3664" s="128"/>
      <c r="CK3664" s="128"/>
      <c r="CL3664" s="128"/>
      <c r="CM3664" s="128"/>
      <c r="CN3664" s="128"/>
      <c r="CO3664" s="128"/>
      <c r="CP3664" s="128"/>
      <c r="CQ3664" s="128"/>
      <c r="CR3664" s="128"/>
      <c r="CS3664" s="128"/>
      <c r="CT3664" s="128"/>
      <c r="CU3664" s="128"/>
      <c r="CV3664" s="128"/>
      <c r="CW3664" s="128"/>
      <c r="CX3664" s="128"/>
      <c r="CY3664" s="128"/>
      <c r="CZ3664" s="165"/>
    </row>
    <row r="3665" spans="1:104">
      <c r="A3665" s="149"/>
      <c r="B3665" s="149"/>
      <c r="C3665" s="150"/>
      <c r="D3665" s="102"/>
      <c r="E3665" s="149"/>
      <c r="F3665" s="149"/>
      <c r="G3665" s="149"/>
      <c r="H3665" s="149"/>
      <c r="I3665" s="149"/>
      <c r="J3665" s="149"/>
      <c r="K3665" s="149"/>
      <c r="L3665" s="149"/>
      <c r="M3665" s="149"/>
      <c r="N3665" s="149"/>
      <c r="O3665" s="149"/>
      <c r="P3665" s="149"/>
      <c r="Q3665" s="149"/>
      <c r="R3665" s="149"/>
      <c r="S3665" s="149"/>
      <c r="T3665" s="149"/>
      <c r="U3665" s="149"/>
      <c r="V3665" s="149"/>
      <c r="W3665" s="149"/>
      <c r="X3665" s="149"/>
      <c r="Y3665" s="149"/>
      <c r="Z3665" s="149"/>
      <c r="AA3665" s="149"/>
      <c r="AB3665" s="149"/>
      <c r="AC3665" s="149"/>
      <c r="AD3665" s="149"/>
      <c r="AE3665" s="149"/>
      <c r="AF3665" s="149"/>
      <c r="AG3665" s="149"/>
      <c r="AH3665" s="149"/>
      <c r="AI3665" s="149"/>
      <c r="AJ3665" s="149"/>
      <c r="AK3665" s="149"/>
      <c r="AL3665" s="149"/>
      <c r="AM3665" s="149"/>
      <c r="AN3665" s="149"/>
      <c r="AO3665" s="128"/>
      <c r="AP3665" s="128"/>
      <c r="AQ3665" s="128"/>
      <c r="AR3665" s="128"/>
      <c r="AS3665" s="128"/>
      <c r="AT3665" s="128"/>
      <c r="AU3665" s="128"/>
      <c r="AV3665" s="128"/>
      <c r="AW3665" s="128"/>
      <c r="AX3665" s="128"/>
      <c r="AY3665" s="128"/>
      <c r="AZ3665" s="128"/>
      <c r="BA3665" s="128"/>
      <c r="BB3665" s="128"/>
      <c r="BC3665" s="128"/>
      <c r="BD3665" s="128"/>
      <c r="BE3665" s="128"/>
      <c r="BF3665" s="128"/>
      <c r="BG3665" s="128"/>
      <c r="BH3665" s="128"/>
      <c r="BI3665" s="128"/>
      <c r="BJ3665" s="128"/>
      <c r="BK3665" s="128"/>
      <c r="BL3665" s="128"/>
      <c r="BM3665" s="151"/>
      <c r="BN3665" s="128"/>
      <c r="BO3665" s="128"/>
      <c r="BP3665" s="128"/>
      <c r="BQ3665" s="128"/>
      <c r="BR3665" s="128"/>
      <c r="BS3665" s="128"/>
      <c r="BT3665" s="128"/>
      <c r="BU3665" s="128"/>
      <c r="BV3665" s="128"/>
      <c r="BW3665" s="128"/>
      <c r="BX3665" s="128"/>
      <c r="BY3665" s="128"/>
      <c r="BZ3665" s="128"/>
      <c r="CA3665" s="128"/>
      <c r="CB3665" s="128"/>
      <c r="CC3665" s="128"/>
      <c r="CD3665" s="128"/>
      <c r="CE3665" s="128"/>
      <c r="CF3665" s="128"/>
      <c r="CG3665" s="128"/>
      <c r="CI3665" s="128"/>
      <c r="CJ3665" s="128"/>
      <c r="CK3665" s="128"/>
      <c r="CL3665" s="128"/>
      <c r="CM3665" s="128"/>
      <c r="CN3665" s="128"/>
      <c r="CO3665" s="128"/>
      <c r="CP3665" s="128"/>
      <c r="CQ3665" s="128"/>
      <c r="CR3665" s="128"/>
      <c r="CS3665" s="128"/>
      <c r="CT3665" s="128"/>
      <c r="CU3665" s="128"/>
      <c r="CV3665" s="128"/>
      <c r="CW3665" s="128"/>
      <c r="CX3665" s="128"/>
      <c r="CY3665" s="128"/>
      <c r="CZ3665" s="165"/>
    </row>
    <row r="3666" spans="1:104">
      <c r="A3666" s="149"/>
      <c r="B3666" s="149"/>
      <c r="C3666" s="150"/>
      <c r="D3666" s="102"/>
      <c r="E3666" s="149"/>
      <c r="F3666" s="149"/>
      <c r="G3666" s="149"/>
      <c r="H3666" s="149"/>
      <c r="I3666" s="149"/>
      <c r="J3666" s="149"/>
      <c r="K3666" s="149"/>
      <c r="L3666" s="149"/>
      <c r="M3666" s="149"/>
      <c r="N3666" s="149"/>
      <c r="O3666" s="149"/>
      <c r="P3666" s="149"/>
      <c r="Q3666" s="149"/>
      <c r="R3666" s="149"/>
      <c r="S3666" s="149"/>
      <c r="T3666" s="149"/>
      <c r="U3666" s="149"/>
      <c r="V3666" s="149"/>
      <c r="W3666" s="149"/>
      <c r="X3666" s="149"/>
      <c r="Y3666" s="149"/>
      <c r="Z3666" s="149"/>
      <c r="AA3666" s="149"/>
      <c r="AB3666" s="149"/>
      <c r="AC3666" s="149"/>
      <c r="AD3666" s="149"/>
      <c r="AE3666" s="149"/>
      <c r="AF3666" s="149"/>
      <c r="AG3666" s="149"/>
      <c r="AH3666" s="149"/>
      <c r="AI3666" s="149"/>
      <c r="AJ3666" s="149"/>
      <c r="AK3666" s="149"/>
      <c r="AL3666" s="149"/>
      <c r="AM3666" s="149"/>
      <c r="AN3666" s="149"/>
      <c r="AO3666" s="128"/>
      <c r="AP3666" s="128"/>
      <c r="AQ3666" s="128"/>
      <c r="AR3666" s="128"/>
      <c r="AS3666" s="128"/>
      <c r="AT3666" s="128"/>
      <c r="AU3666" s="128"/>
      <c r="AV3666" s="128"/>
      <c r="AW3666" s="128"/>
      <c r="AX3666" s="128"/>
      <c r="AY3666" s="128"/>
      <c r="AZ3666" s="128"/>
      <c r="BA3666" s="128"/>
      <c r="BB3666" s="128"/>
      <c r="BC3666" s="128"/>
      <c r="BD3666" s="128"/>
      <c r="BE3666" s="128"/>
      <c r="BF3666" s="128"/>
      <c r="BG3666" s="128"/>
      <c r="BH3666" s="128"/>
      <c r="BI3666" s="128"/>
      <c r="BJ3666" s="128"/>
      <c r="BK3666" s="128"/>
      <c r="BL3666" s="128"/>
      <c r="BM3666" s="151"/>
      <c r="BN3666" s="128"/>
      <c r="BO3666" s="128"/>
      <c r="BP3666" s="128"/>
      <c r="BQ3666" s="128"/>
      <c r="BR3666" s="128"/>
      <c r="BS3666" s="128"/>
      <c r="BT3666" s="128"/>
      <c r="BU3666" s="128"/>
      <c r="BV3666" s="128"/>
      <c r="BW3666" s="128"/>
      <c r="BX3666" s="128"/>
      <c r="BY3666" s="128"/>
      <c r="BZ3666" s="128"/>
      <c r="CA3666" s="128"/>
      <c r="CB3666" s="128"/>
      <c r="CC3666" s="128"/>
      <c r="CD3666" s="128"/>
      <c r="CE3666" s="128"/>
      <c r="CF3666" s="128"/>
      <c r="CG3666" s="128"/>
      <c r="CI3666" s="128"/>
      <c r="CJ3666" s="128"/>
      <c r="CK3666" s="128"/>
      <c r="CL3666" s="128"/>
      <c r="CM3666" s="128"/>
      <c r="CN3666" s="128"/>
      <c r="CO3666" s="128"/>
      <c r="CP3666" s="128"/>
      <c r="CQ3666" s="128"/>
      <c r="CR3666" s="128"/>
      <c r="CS3666" s="128"/>
      <c r="CT3666" s="128"/>
      <c r="CU3666" s="128"/>
      <c r="CV3666" s="128"/>
      <c r="CW3666" s="128"/>
      <c r="CX3666" s="128"/>
      <c r="CY3666" s="128"/>
      <c r="CZ3666" s="165"/>
    </row>
    <row r="3667" spans="1:104">
      <c r="A3667" s="149"/>
      <c r="B3667" s="149"/>
      <c r="C3667" s="150"/>
      <c r="D3667" s="102"/>
      <c r="E3667" s="149"/>
      <c r="F3667" s="149"/>
      <c r="G3667" s="149"/>
      <c r="H3667" s="149"/>
      <c r="I3667" s="149"/>
      <c r="J3667" s="149"/>
      <c r="K3667" s="149"/>
      <c r="L3667" s="149"/>
      <c r="M3667" s="149"/>
      <c r="N3667" s="149"/>
      <c r="O3667" s="149"/>
      <c r="P3667" s="149"/>
      <c r="Q3667" s="149"/>
      <c r="R3667" s="149"/>
      <c r="S3667" s="149"/>
      <c r="T3667" s="149"/>
      <c r="U3667" s="149"/>
      <c r="V3667" s="149"/>
      <c r="W3667" s="149"/>
      <c r="X3667" s="149"/>
      <c r="Y3667" s="149"/>
      <c r="Z3667" s="149"/>
      <c r="AA3667" s="149"/>
      <c r="AB3667" s="149"/>
      <c r="AC3667" s="149"/>
      <c r="AD3667" s="149"/>
      <c r="AE3667" s="149"/>
      <c r="AF3667" s="149"/>
      <c r="AG3667" s="149"/>
      <c r="AH3667" s="149"/>
      <c r="AI3667" s="149"/>
      <c r="AJ3667" s="149"/>
      <c r="AK3667" s="149"/>
      <c r="AL3667" s="149"/>
      <c r="AM3667" s="149"/>
      <c r="AN3667" s="149"/>
      <c r="AO3667" s="128"/>
      <c r="AP3667" s="128"/>
      <c r="AQ3667" s="128"/>
      <c r="AR3667" s="128"/>
      <c r="AS3667" s="128"/>
      <c r="AT3667" s="128"/>
      <c r="AU3667" s="128"/>
      <c r="AV3667" s="128"/>
      <c r="AW3667" s="128"/>
      <c r="AX3667" s="128"/>
      <c r="AY3667" s="128"/>
      <c r="AZ3667" s="128"/>
      <c r="BA3667" s="128"/>
      <c r="BB3667" s="128"/>
      <c r="BC3667" s="128"/>
      <c r="BD3667" s="128"/>
      <c r="BE3667" s="128"/>
      <c r="BF3667" s="128"/>
      <c r="BG3667" s="128"/>
      <c r="BH3667" s="128"/>
      <c r="BI3667" s="128"/>
      <c r="BJ3667" s="128"/>
      <c r="BK3667" s="128"/>
      <c r="BL3667" s="128"/>
      <c r="BM3667" s="151"/>
      <c r="BN3667" s="128"/>
      <c r="BO3667" s="128"/>
      <c r="BP3667" s="128"/>
      <c r="BQ3667" s="128"/>
      <c r="BR3667" s="128"/>
      <c r="BS3667" s="128"/>
      <c r="BT3667" s="128"/>
      <c r="BU3667" s="128"/>
      <c r="BV3667" s="128"/>
      <c r="BW3667" s="128"/>
      <c r="BX3667" s="128"/>
      <c r="BY3667" s="128"/>
      <c r="BZ3667" s="128"/>
      <c r="CA3667" s="128"/>
      <c r="CB3667" s="128"/>
      <c r="CC3667" s="128"/>
      <c r="CD3667" s="128"/>
      <c r="CE3667" s="128"/>
      <c r="CF3667" s="128"/>
      <c r="CG3667" s="128"/>
      <c r="CI3667" s="128"/>
      <c r="CJ3667" s="128"/>
      <c r="CK3667" s="128"/>
      <c r="CL3667" s="128"/>
      <c r="CM3667" s="128"/>
      <c r="CN3667" s="128"/>
      <c r="CO3667" s="128"/>
      <c r="CP3667" s="128"/>
      <c r="CQ3667" s="128"/>
      <c r="CR3667" s="128"/>
      <c r="CS3667" s="128"/>
      <c r="CT3667" s="128"/>
      <c r="CU3667" s="128"/>
      <c r="CV3667" s="128"/>
      <c r="CW3667" s="128"/>
      <c r="CX3667" s="128"/>
      <c r="CY3667" s="128"/>
      <c r="CZ3667" s="165"/>
    </row>
    <row r="3668" spans="1:104">
      <c r="A3668" s="149"/>
      <c r="B3668" s="149"/>
      <c r="C3668" s="150"/>
      <c r="D3668" s="102"/>
      <c r="E3668" s="149"/>
      <c r="F3668" s="149"/>
      <c r="G3668" s="149"/>
      <c r="H3668" s="149"/>
      <c r="I3668" s="149"/>
      <c r="J3668" s="149"/>
      <c r="K3668" s="149"/>
      <c r="L3668" s="149"/>
      <c r="M3668" s="149"/>
      <c r="N3668" s="149"/>
      <c r="O3668" s="149"/>
      <c r="P3668" s="149"/>
      <c r="Q3668" s="149"/>
      <c r="R3668" s="149"/>
      <c r="S3668" s="149"/>
      <c r="T3668" s="149"/>
      <c r="U3668" s="149"/>
      <c r="V3668" s="149"/>
      <c r="W3668" s="149"/>
      <c r="X3668" s="149"/>
      <c r="Y3668" s="149"/>
      <c r="Z3668" s="149"/>
      <c r="AA3668" s="149"/>
      <c r="AB3668" s="149"/>
      <c r="AC3668" s="149"/>
      <c r="AD3668" s="149"/>
      <c r="AE3668" s="149"/>
      <c r="AF3668" s="149"/>
      <c r="AG3668" s="149"/>
      <c r="AH3668" s="149"/>
      <c r="AI3668" s="149"/>
      <c r="AJ3668" s="149"/>
      <c r="AK3668" s="149"/>
      <c r="AL3668" s="149"/>
      <c r="AM3668" s="149"/>
      <c r="AN3668" s="149"/>
      <c r="AO3668" s="128"/>
      <c r="AP3668" s="128"/>
      <c r="AQ3668" s="128"/>
      <c r="AR3668" s="128"/>
      <c r="AS3668" s="128"/>
      <c r="AT3668" s="128"/>
      <c r="AU3668" s="128"/>
      <c r="AV3668" s="128"/>
      <c r="AW3668" s="128"/>
      <c r="AX3668" s="128"/>
      <c r="AY3668" s="128"/>
      <c r="AZ3668" s="128"/>
      <c r="BA3668" s="128"/>
      <c r="BB3668" s="128"/>
      <c r="BC3668" s="128"/>
      <c r="BD3668" s="128"/>
      <c r="BE3668" s="128"/>
      <c r="BF3668" s="128"/>
      <c r="BG3668" s="128"/>
      <c r="BH3668" s="128"/>
      <c r="BI3668" s="128"/>
      <c r="BJ3668" s="128"/>
      <c r="BK3668" s="128"/>
      <c r="BL3668" s="128"/>
      <c r="BM3668" s="151"/>
      <c r="BN3668" s="128"/>
      <c r="BO3668" s="128"/>
      <c r="BP3668" s="128"/>
      <c r="BQ3668" s="128"/>
      <c r="BR3668" s="128"/>
      <c r="BS3668" s="128"/>
      <c r="BT3668" s="128"/>
      <c r="BU3668" s="128"/>
      <c r="BV3668" s="128"/>
      <c r="BW3668" s="128"/>
      <c r="BX3668" s="128"/>
      <c r="BY3668" s="128"/>
      <c r="BZ3668" s="128"/>
      <c r="CA3668" s="128"/>
      <c r="CB3668" s="128"/>
      <c r="CC3668" s="128"/>
      <c r="CD3668" s="128"/>
      <c r="CE3668" s="128"/>
      <c r="CF3668" s="128"/>
      <c r="CG3668" s="128"/>
      <c r="CI3668" s="128"/>
      <c r="CJ3668" s="128"/>
      <c r="CK3668" s="128"/>
      <c r="CL3668" s="128"/>
      <c r="CM3668" s="128"/>
      <c r="CN3668" s="128"/>
      <c r="CO3668" s="128"/>
      <c r="CP3668" s="128"/>
      <c r="CQ3668" s="128"/>
      <c r="CR3668" s="128"/>
      <c r="CS3668" s="128"/>
      <c r="CT3668" s="128"/>
      <c r="CU3668" s="128"/>
      <c r="CV3668" s="128"/>
      <c r="CW3668" s="128"/>
      <c r="CX3668" s="128"/>
      <c r="CY3668" s="128"/>
      <c r="CZ3668" s="165"/>
    </row>
    <row r="3669" spans="1:104">
      <c r="A3669" s="149"/>
      <c r="B3669" s="149"/>
      <c r="C3669" s="150"/>
      <c r="D3669" s="102"/>
      <c r="E3669" s="149"/>
      <c r="F3669" s="149"/>
      <c r="G3669" s="149"/>
      <c r="H3669" s="149"/>
      <c r="I3669" s="149"/>
      <c r="J3669" s="149"/>
      <c r="K3669" s="149"/>
      <c r="L3669" s="149"/>
      <c r="M3669" s="149"/>
      <c r="N3669" s="149"/>
      <c r="O3669" s="149"/>
      <c r="P3669" s="149"/>
      <c r="Q3669" s="149"/>
      <c r="R3669" s="149"/>
      <c r="S3669" s="149"/>
      <c r="T3669" s="149"/>
      <c r="U3669" s="149"/>
      <c r="V3669" s="149"/>
      <c r="W3669" s="149"/>
      <c r="X3669" s="149"/>
      <c r="Y3669" s="149"/>
      <c r="Z3669" s="149"/>
      <c r="AA3669" s="149"/>
      <c r="AB3669" s="149"/>
      <c r="AC3669" s="149"/>
      <c r="AD3669" s="149"/>
      <c r="AE3669" s="149"/>
      <c r="AF3669" s="149"/>
      <c r="AG3669" s="149"/>
      <c r="AH3669" s="149"/>
      <c r="AI3669" s="149"/>
      <c r="AJ3669" s="149"/>
      <c r="AK3669" s="149"/>
      <c r="AL3669" s="149"/>
      <c r="AM3669" s="149"/>
      <c r="AN3669" s="149"/>
      <c r="AO3669" s="128"/>
      <c r="AP3669" s="128"/>
      <c r="AQ3669" s="128"/>
      <c r="AR3669" s="128"/>
      <c r="AS3669" s="128"/>
      <c r="AT3669" s="128"/>
      <c r="AU3669" s="128"/>
      <c r="AV3669" s="128"/>
      <c r="AW3669" s="128"/>
      <c r="AX3669" s="128"/>
      <c r="AY3669" s="128"/>
      <c r="AZ3669" s="128"/>
      <c r="BA3669" s="128"/>
      <c r="BB3669" s="128"/>
      <c r="BC3669" s="128"/>
      <c r="BD3669" s="128"/>
      <c r="BE3669" s="128"/>
      <c r="BF3669" s="128"/>
      <c r="BG3669" s="128"/>
      <c r="BH3669" s="128"/>
      <c r="BI3669" s="128"/>
      <c r="BJ3669" s="128"/>
      <c r="BK3669" s="128"/>
      <c r="BL3669" s="128"/>
      <c r="BM3669" s="151"/>
      <c r="BN3669" s="128"/>
      <c r="BO3669" s="128"/>
      <c r="BP3669" s="128"/>
      <c r="BQ3669" s="128"/>
      <c r="BR3669" s="128"/>
      <c r="BS3669" s="128"/>
      <c r="BT3669" s="128"/>
      <c r="BU3669" s="128"/>
      <c r="BV3669" s="128"/>
      <c r="BW3669" s="128"/>
      <c r="BX3669" s="128"/>
      <c r="BY3669" s="128"/>
      <c r="BZ3669" s="128"/>
      <c r="CA3669" s="128"/>
      <c r="CB3669" s="128"/>
      <c r="CC3669" s="128"/>
      <c r="CD3669" s="128"/>
      <c r="CE3669" s="128"/>
      <c r="CF3669" s="128"/>
      <c r="CG3669" s="128"/>
      <c r="CI3669" s="128"/>
      <c r="CJ3669" s="128"/>
      <c r="CK3669" s="128"/>
      <c r="CL3669" s="128"/>
      <c r="CM3669" s="128"/>
      <c r="CN3669" s="128"/>
      <c r="CO3669" s="128"/>
      <c r="CP3669" s="128"/>
      <c r="CQ3669" s="128"/>
      <c r="CR3669" s="128"/>
      <c r="CS3669" s="128"/>
      <c r="CT3669" s="128"/>
      <c r="CU3669" s="128"/>
      <c r="CV3669" s="128"/>
      <c r="CW3669" s="128"/>
      <c r="CX3669" s="128"/>
      <c r="CY3669" s="128"/>
      <c r="CZ3669" s="165"/>
    </row>
    <row r="3670" spans="1:104">
      <c r="A3670" s="149"/>
      <c r="B3670" s="149"/>
      <c r="C3670" s="150"/>
      <c r="D3670" s="102"/>
      <c r="E3670" s="149"/>
      <c r="F3670" s="149"/>
      <c r="G3670" s="149"/>
      <c r="H3670" s="149"/>
      <c r="I3670" s="149"/>
      <c r="J3670" s="149"/>
      <c r="K3670" s="149"/>
      <c r="L3670" s="149"/>
      <c r="M3670" s="149"/>
      <c r="N3670" s="149"/>
      <c r="O3670" s="149"/>
      <c r="P3670" s="149"/>
      <c r="Q3670" s="149"/>
      <c r="R3670" s="149"/>
      <c r="S3670" s="149"/>
      <c r="T3670" s="149"/>
      <c r="U3670" s="149"/>
      <c r="V3670" s="149"/>
      <c r="W3670" s="149"/>
      <c r="X3670" s="149"/>
      <c r="Y3670" s="149"/>
      <c r="Z3670" s="149"/>
      <c r="AA3670" s="149"/>
      <c r="AB3670" s="149"/>
      <c r="AC3670" s="149"/>
      <c r="AD3670" s="149"/>
      <c r="AE3670" s="149"/>
      <c r="AF3670" s="149"/>
      <c r="AG3670" s="149"/>
      <c r="AH3670" s="149"/>
      <c r="AI3670" s="149"/>
      <c r="AJ3670" s="149"/>
      <c r="AK3670" s="149"/>
      <c r="AL3670" s="149"/>
      <c r="AM3670" s="149"/>
      <c r="AN3670" s="149"/>
      <c r="AO3670" s="128"/>
      <c r="AP3670" s="128"/>
      <c r="AQ3670" s="128"/>
      <c r="AR3670" s="128"/>
      <c r="AS3670" s="128"/>
      <c r="AT3670" s="128"/>
      <c r="AU3670" s="128"/>
      <c r="AV3670" s="128"/>
      <c r="AW3670" s="128"/>
      <c r="AX3670" s="128"/>
      <c r="AY3670" s="128"/>
      <c r="AZ3670" s="128"/>
      <c r="BA3670" s="128"/>
      <c r="BB3670" s="128"/>
      <c r="BC3670" s="128"/>
      <c r="BD3670" s="128"/>
      <c r="BE3670" s="128"/>
      <c r="BF3670" s="128"/>
      <c r="BG3670" s="128"/>
      <c r="BH3670" s="128"/>
      <c r="BI3670" s="128"/>
      <c r="BJ3670" s="128"/>
      <c r="BK3670" s="128"/>
      <c r="BL3670" s="128"/>
      <c r="BM3670" s="151"/>
      <c r="BN3670" s="128"/>
      <c r="BO3670" s="128"/>
      <c r="BP3670" s="128"/>
      <c r="BQ3670" s="128"/>
      <c r="BR3670" s="128"/>
      <c r="BS3670" s="128"/>
      <c r="BT3670" s="128"/>
      <c r="BU3670" s="128"/>
      <c r="BV3670" s="128"/>
      <c r="BW3670" s="128"/>
      <c r="BX3670" s="128"/>
      <c r="BY3670" s="128"/>
      <c r="BZ3670" s="128"/>
      <c r="CA3670" s="128"/>
      <c r="CB3670" s="128"/>
      <c r="CC3670" s="128"/>
      <c r="CD3670" s="128"/>
      <c r="CE3670" s="128"/>
      <c r="CF3670" s="128"/>
      <c r="CG3670" s="128"/>
      <c r="CI3670" s="128"/>
      <c r="CJ3670" s="128"/>
      <c r="CK3670" s="128"/>
      <c r="CL3670" s="128"/>
      <c r="CM3670" s="128"/>
      <c r="CN3670" s="128"/>
      <c r="CO3670" s="128"/>
      <c r="CP3670" s="128"/>
      <c r="CQ3670" s="128"/>
      <c r="CR3670" s="128"/>
      <c r="CS3670" s="128"/>
      <c r="CT3670" s="128"/>
      <c r="CU3670" s="128"/>
      <c r="CV3670" s="128"/>
      <c r="CW3670" s="128"/>
      <c r="CX3670" s="128"/>
      <c r="CY3670" s="128"/>
      <c r="CZ3670" s="165"/>
    </row>
    <row r="3671" spans="1:104">
      <c r="A3671" s="149"/>
      <c r="B3671" s="149"/>
      <c r="C3671" s="150"/>
      <c r="D3671" s="102"/>
      <c r="E3671" s="149"/>
      <c r="F3671" s="149"/>
      <c r="G3671" s="149"/>
      <c r="H3671" s="149"/>
      <c r="I3671" s="149"/>
      <c r="J3671" s="149"/>
      <c r="K3671" s="149"/>
      <c r="L3671" s="149"/>
      <c r="M3671" s="149"/>
      <c r="N3671" s="149"/>
      <c r="O3671" s="149"/>
      <c r="P3671" s="149"/>
      <c r="Q3671" s="149"/>
      <c r="R3671" s="149"/>
      <c r="S3671" s="149"/>
      <c r="T3671" s="149"/>
      <c r="U3671" s="149"/>
      <c r="V3671" s="149"/>
      <c r="W3671" s="149"/>
      <c r="X3671" s="149"/>
      <c r="Y3671" s="149"/>
      <c r="Z3671" s="149"/>
      <c r="AA3671" s="149"/>
      <c r="AB3671" s="149"/>
      <c r="AC3671" s="149"/>
      <c r="AD3671" s="149"/>
      <c r="AE3671" s="149"/>
      <c r="AF3671" s="149"/>
      <c r="AG3671" s="149"/>
      <c r="AH3671" s="149"/>
      <c r="AI3671" s="149"/>
      <c r="AJ3671" s="149"/>
      <c r="AK3671" s="149"/>
      <c r="AL3671" s="149"/>
      <c r="AM3671" s="149"/>
      <c r="AN3671" s="149"/>
      <c r="AO3671" s="128"/>
      <c r="AP3671" s="128"/>
      <c r="AQ3671" s="128"/>
      <c r="AR3671" s="128"/>
      <c r="AS3671" s="128"/>
      <c r="AT3671" s="128"/>
      <c r="AU3671" s="128"/>
      <c r="AV3671" s="128"/>
      <c r="AW3671" s="128"/>
      <c r="AX3671" s="128"/>
      <c r="AY3671" s="128"/>
      <c r="AZ3671" s="128"/>
      <c r="BA3671" s="128"/>
      <c r="BB3671" s="128"/>
      <c r="BC3671" s="128"/>
      <c r="BD3671" s="128"/>
      <c r="BE3671" s="128"/>
      <c r="BF3671" s="128"/>
      <c r="BG3671" s="128"/>
      <c r="BH3671" s="128"/>
      <c r="BI3671" s="128"/>
      <c r="BJ3671" s="128"/>
      <c r="BK3671" s="128"/>
      <c r="BL3671" s="128"/>
      <c r="BM3671" s="151"/>
      <c r="BN3671" s="128"/>
      <c r="BO3671" s="128"/>
      <c r="BP3671" s="128"/>
      <c r="BQ3671" s="128"/>
      <c r="BR3671" s="128"/>
      <c r="BS3671" s="128"/>
      <c r="BT3671" s="128"/>
      <c r="BU3671" s="128"/>
      <c r="BV3671" s="128"/>
      <c r="BW3671" s="128"/>
      <c r="BX3671" s="128"/>
      <c r="BY3671" s="128"/>
      <c r="BZ3671" s="128"/>
      <c r="CA3671" s="128"/>
      <c r="CB3671" s="128"/>
      <c r="CC3671" s="128"/>
      <c r="CD3671" s="128"/>
      <c r="CE3671" s="128"/>
      <c r="CF3671" s="128"/>
      <c r="CG3671" s="128"/>
      <c r="CI3671" s="128"/>
      <c r="CJ3671" s="128"/>
      <c r="CK3671" s="128"/>
      <c r="CL3671" s="128"/>
      <c r="CM3671" s="128"/>
      <c r="CN3671" s="128"/>
      <c r="CO3671" s="128"/>
      <c r="CP3671" s="128"/>
      <c r="CQ3671" s="128"/>
      <c r="CR3671" s="128"/>
      <c r="CS3671" s="128"/>
      <c r="CT3671" s="128"/>
      <c r="CU3671" s="128"/>
      <c r="CV3671" s="128"/>
      <c r="CW3671" s="128"/>
      <c r="CX3671" s="128"/>
      <c r="CY3671" s="128"/>
      <c r="CZ3671" s="165"/>
    </row>
    <row r="3672" spans="1:104">
      <c r="A3672" s="149"/>
      <c r="B3672" s="149"/>
      <c r="C3672" s="150"/>
      <c r="D3672" s="102"/>
      <c r="E3672" s="149"/>
      <c r="F3672" s="149"/>
      <c r="G3672" s="149"/>
      <c r="H3672" s="149"/>
      <c r="I3672" s="149"/>
      <c r="J3672" s="149"/>
      <c r="K3672" s="149"/>
      <c r="L3672" s="149"/>
      <c r="M3672" s="149"/>
      <c r="N3672" s="149"/>
      <c r="O3672" s="149"/>
      <c r="P3672" s="149"/>
      <c r="Q3672" s="149"/>
      <c r="R3672" s="149"/>
      <c r="S3672" s="149"/>
      <c r="T3672" s="149"/>
      <c r="U3672" s="149"/>
      <c r="V3672" s="149"/>
      <c r="W3672" s="149"/>
      <c r="X3672" s="149"/>
      <c r="Y3672" s="149"/>
      <c r="Z3672" s="149"/>
      <c r="AA3672" s="149"/>
      <c r="AB3672" s="149"/>
      <c r="AC3672" s="149"/>
      <c r="AD3672" s="149"/>
      <c r="AE3672" s="149"/>
      <c r="AF3672" s="149"/>
      <c r="AG3672" s="149"/>
      <c r="AH3672" s="149"/>
      <c r="AI3672" s="149"/>
      <c r="AJ3672" s="149"/>
      <c r="AK3672" s="149"/>
      <c r="AL3672" s="149"/>
      <c r="AM3672" s="149"/>
      <c r="AN3672" s="149"/>
      <c r="AO3672" s="128"/>
      <c r="AP3672" s="128"/>
      <c r="AQ3672" s="128"/>
      <c r="AR3672" s="128"/>
      <c r="AS3672" s="128"/>
      <c r="AT3672" s="128"/>
      <c r="AU3672" s="128"/>
      <c r="AV3672" s="128"/>
      <c r="AW3672" s="128"/>
      <c r="AX3672" s="128"/>
      <c r="AY3672" s="128"/>
      <c r="AZ3672" s="128"/>
      <c r="BA3672" s="128"/>
      <c r="BB3672" s="128"/>
      <c r="BC3672" s="128"/>
      <c r="BD3672" s="128"/>
      <c r="BE3672" s="128"/>
      <c r="BF3672" s="128"/>
      <c r="BG3672" s="128"/>
      <c r="BH3672" s="128"/>
      <c r="BI3672" s="128"/>
      <c r="BJ3672" s="128"/>
      <c r="BK3672" s="128"/>
      <c r="BL3672" s="128"/>
      <c r="BM3672" s="151"/>
      <c r="BN3672" s="128"/>
      <c r="BO3672" s="128"/>
      <c r="BP3672" s="128"/>
      <c r="BQ3672" s="128"/>
      <c r="BR3672" s="128"/>
      <c r="BS3672" s="128"/>
      <c r="BT3672" s="128"/>
      <c r="BU3672" s="128"/>
      <c r="BV3672" s="128"/>
      <c r="BW3672" s="128"/>
      <c r="BX3672" s="128"/>
      <c r="BY3672" s="128"/>
      <c r="BZ3672" s="128"/>
      <c r="CA3672" s="128"/>
      <c r="CB3672" s="128"/>
      <c r="CC3672" s="128"/>
      <c r="CD3672" s="128"/>
      <c r="CE3672" s="128"/>
      <c r="CF3672" s="128"/>
      <c r="CG3672" s="128"/>
      <c r="CI3672" s="128"/>
      <c r="CJ3672" s="128"/>
      <c r="CK3672" s="128"/>
      <c r="CL3672" s="128"/>
      <c r="CM3672" s="128"/>
      <c r="CN3672" s="128"/>
      <c r="CO3672" s="128"/>
      <c r="CP3672" s="128"/>
      <c r="CQ3672" s="128"/>
      <c r="CR3672" s="128"/>
      <c r="CS3672" s="128"/>
      <c r="CT3672" s="128"/>
      <c r="CU3672" s="128"/>
      <c r="CV3672" s="128"/>
      <c r="CW3672" s="128"/>
      <c r="CX3672" s="128"/>
      <c r="CY3672" s="128"/>
      <c r="CZ3672" s="165"/>
    </row>
    <row r="3673" spans="1:104">
      <c r="A3673" s="149"/>
      <c r="B3673" s="149"/>
      <c r="C3673" s="150"/>
      <c r="D3673" s="102"/>
      <c r="E3673" s="149"/>
      <c r="F3673" s="149"/>
      <c r="G3673" s="149"/>
      <c r="H3673" s="149"/>
      <c r="I3673" s="149"/>
      <c r="J3673" s="149"/>
      <c r="K3673" s="149"/>
      <c r="L3673" s="149"/>
      <c r="M3673" s="149"/>
      <c r="N3673" s="149"/>
      <c r="O3673" s="149"/>
      <c r="P3673" s="149"/>
      <c r="Q3673" s="149"/>
      <c r="R3673" s="149"/>
      <c r="S3673" s="149"/>
      <c r="T3673" s="149"/>
      <c r="U3673" s="149"/>
      <c r="V3673" s="149"/>
      <c r="W3673" s="149"/>
      <c r="X3673" s="149"/>
      <c r="Y3673" s="149"/>
      <c r="Z3673" s="149"/>
      <c r="AA3673" s="149"/>
      <c r="AB3673" s="149"/>
      <c r="AC3673" s="149"/>
      <c r="AD3673" s="149"/>
      <c r="AE3673" s="149"/>
      <c r="AF3673" s="149"/>
      <c r="AG3673" s="149"/>
      <c r="AH3673" s="149"/>
      <c r="AI3673" s="149"/>
      <c r="AJ3673" s="149"/>
      <c r="AK3673" s="149"/>
      <c r="AL3673" s="149"/>
      <c r="AM3673" s="149"/>
      <c r="AN3673" s="149"/>
      <c r="AO3673" s="128"/>
      <c r="AP3673" s="128"/>
      <c r="AQ3673" s="128"/>
      <c r="AR3673" s="128"/>
      <c r="AS3673" s="128"/>
      <c r="AT3673" s="128"/>
      <c r="AU3673" s="128"/>
      <c r="AV3673" s="128"/>
      <c r="AW3673" s="128"/>
      <c r="AX3673" s="128"/>
      <c r="AY3673" s="128"/>
      <c r="AZ3673" s="128"/>
      <c r="BA3673" s="128"/>
      <c r="BB3673" s="128"/>
      <c r="BC3673" s="128"/>
      <c r="BD3673" s="128"/>
      <c r="BE3673" s="128"/>
      <c r="BF3673" s="128"/>
      <c r="BG3673" s="128"/>
      <c r="BH3673" s="128"/>
      <c r="BI3673" s="128"/>
      <c r="BJ3673" s="128"/>
      <c r="BK3673" s="128"/>
      <c r="BL3673" s="128"/>
      <c r="BM3673" s="151"/>
      <c r="BN3673" s="128"/>
      <c r="BO3673" s="128"/>
      <c r="BP3673" s="128"/>
      <c r="BQ3673" s="128"/>
      <c r="BR3673" s="128"/>
      <c r="BS3673" s="128"/>
      <c r="BT3673" s="128"/>
      <c r="BU3673" s="128"/>
      <c r="BV3673" s="128"/>
      <c r="BW3673" s="128"/>
      <c r="BX3673" s="128"/>
      <c r="BY3673" s="128"/>
      <c r="BZ3673" s="128"/>
      <c r="CA3673" s="128"/>
      <c r="CB3673" s="128"/>
      <c r="CC3673" s="128"/>
      <c r="CD3673" s="128"/>
      <c r="CE3673" s="128"/>
      <c r="CF3673" s="128"/>
      <c r="CG3673" s="128"/>
      <c r="CI3673" s="128"/>
      <c r="CJ3673" s="128"/>
      <c r="CK3673" s="128"/>
      <c r="CL3673" s="128"/>
      <c r="CM3673" s="128"/>
      <c r="CN3673" s="128"/>
      <c r="CO3673" s="128"/>
      <c r="CP3673" s="128"/>
      <c r="CQ3673" s="128"/>
      <c r="CR3673" s="128"/>
      <c r="CS3673" s="128"/>
      <c r="CT3673" s="128"/>
      <c r="CU3673" s="128"/>
      <c r="CV3673" s="128"/>
      <c r="CW3673" s="128"/>
      <c r="CX3673" s="128"/>
      <c r="CY3673" s="128"/>
      <c r="CZ3673" s="165"/>
    </row>
    <row r="3674" spans="1:104">
      <c r="A3674" s="149"/>
      <c r="B3674" s="149"/>
      <c r="C3674" s="150"/>
      <c r="D3674" s="102"/>
      <c r="E3674" s="149"/>
      <c r="F3674" s="149"/>
      <c r="G3674" s="149"/>
      <c r="H3674" s="149"/>
      <c r="I3674" s="149"/>
      <c r="J3674" s="149"/>
      <c r="K3674" s="149"/>
      <c r="L3674" s="149"/>
      <c r="M3674" s="149"/>
      <c r="N3674" s="149"/>
      <c r="O3674" s="149"/>
      <c r="P3674" s="149"/>
      <c r="Q3674" s="149"/>
      <c r="R3674" s="149"/>
      <c r="S3674" s="149"/>
      <c r="T3674" s="149"/>
      <c r="U3674" s="149"/>
      <c r="V3674" s="149"/>
      <c r="W3674" s="149"/>
      <c r="X3674" s="149"/>
      <c r="Y3674" s="149"/>
      <c r="Z3674" s="149"/>
      <c r="AA3674" s="149"/>
      <c r="AB3674" s="149"/>
      <c r="AC3674" s="149"/>
      <c r="AD3674" s="149"/>
      <c r="AE3674" s="149"/>
      <c r="AF3674" s="149"/>
      <c r="AG3674" s="149"/>
      <c r="AH3674" s="149"/>
      <c r="AI3674" s="149"/>
      <c r="AJ3674" s="149"/>
      <c r="AK3674" s="149"/>
      <c r="AL3674" s="149"/>
      <c r="AM3674" s="149"/>
      <c r="AN3674" s="149"/>
      <c r="AO3674" s="128"/>
      <c r="AP3674" s="128"/>
      <c r="AQ3674" s="128"/>
      <c r="AR3674" s="128"/>
      <c r="AS3674" s="128"/>
      <c r="AT3674" s="128"/>
      <c r="AU3674" s="128"/>
      <c r="AV3674" s="128"/>
      <c r="AW3674" s="128"/>
      <c r="AX3674" s="128"/>
      <c r="AY3674" s="128"/>
      <c r="AZ3674" s="128"/>
      <c r="BA3674" s="128"/>
      <c r="BB3674" s="128"/>
      <c r="BC3674" s="128"/>
      <c r="BD3674" s="128"/>
      <c r="BE3674" s="128"/>
      <c r="BF3674" s="128"/>
      <c r="BG3674" s="128"/>
      <c r="BH3674" s="128"/>
      <c r="BI3674" s="128"/>
      <c r="BJ3674" s="128"/>
      <c r="BK3674" s="128"/>
      <c r="BL3674" s="128"/>
      <c r="BM3674" s="151"/>
      <c r="BN3674" s="128"/>
      <c r="BO3674" s="128"/>
      <c r="BP3674" s="128"/>
      <c r="BQ3674" s="128"/>
      <c r="BR3674" s="128"/>
      <c r="BS3674" s="128"/>
      <c r="BT3674" s="128"/>
      <c r="BU3674" s="128"/>
      <c r="BV3674" s="128"/>
      <c r="BW3674" s="128"/>
      <c r="BX3674" s="128"/>
      <c r="BY3674" s="128"/>
      <c r="BZ3674" s="128"/>
      <c r="CA3674" s="128"/>
      <c r="CB3674" s="128"/>
      <c r="CC3674" s="128"/>
      <c r="CD3674" s="128"/>
      <c r="CE3674" s="128"/>
      <c r="CF3674" s="128"/>
      <c r="CG3674" s="128"/>
      <c r="CI3674" s="128"/>
      <c r="CJ3674" s="128"/>
      <c r="CK3674" s="128"/>
      <c r="CL3674" s="128"/>
      <c r="CM3674" s="128"/>
      <c r="CN3674" s="128"/>
      <c r="CO3674" s="128"/>
      <c r="CP3674" s="128"/>
      <c r="CQ3674" s="128"/>
      <c r="CR3674" s="128"/>
      <c r="CS3674" s="128"/>
      <c r="CT3674" s="128"/>
      <c r="CU3674" s="128"/>
      <c r="CV3674" s="128"/>
      <c r="CW3674" s="128"/>
      <c r="CX3674" s="128"/>
      <c r="CY3674" s="128"/>
      <c r="CZ3674" s="165"/>
    </row>
    <row r="3675" spans="1:104">
      <c r="A3675" s="149"/>
      <c r="B3675" s="149"/>
      <c r="C3675" s="150"/>
      <c r="D3675" s="102"/>
      <c r="E3675" s="149"/>
      <c r="F3675" s="149"/>
      <c r="G3675" s="149"/>
      <c r="H3675" s="149"/>
      <c r="I3675" s="149"/>
      <c r="J3675" s="149"/>
      <c r="K3675" s="149"/>
      <c r="L3675" s="149"/>
      <c r="M3675" s="149"/>
      <c r="N3675" s="149"/>
      <c r="O3675" s="149"/>
      <c r="P3675" s="149"/>
      <c r="Q3675" s="149"/>
      <c r="R3675" s="149"/>
      <c r="S3675" s="149"/>
      <c r="T3675" s="149"/>
      <c r="U3675" s="149"/>
      <c r="V3675" s="149"/>
      <c r="W3675" s="149"/>
      <c r="X3675" s="149"/>
      <c r="Y3675" s="149"/>
      <c r="Z3675" s="149"/>
      <c r="AA3675" s="149"/>
      <c r="AB3675" s="149"/>
      <c r="AC3675" s="149"/>
      <c r="AD3675" s="149"/>
      <c r="AE3675" s="149"/>
      <c r="AF3675" s="149"/>
      <c r="AG3675" s="149"/>
      <c r="AH3675" s="149"/>
      <c r="AI3675" s="149"/>
      <c r="AJ3675" s="149"/>
      <c r="AK3675" s="149"/>
      <c r="AL3675" s="149"/>
      <c r="AM3675" s="149"/>
      <c r="AN3675" s="149"/>
      <c r="AO3675" s="128"/>
      <c r="AP3675" s="128"/>
      <c r="AQ3675" s="128"/>
      <c r="AR3675" s="128"/>
      <c r="AS3675" s="128"/>
      <c r="AT3675" s="128"/>
      <c r="AU3675" s="128"/>
      <c r="AV3675" s="128"/>
      <c r="AW3675" s="128"/>
      <c r="AX3675" s="128"/>
      <c r="AY3675" s="128"/>
      <c r="AZ3675" s="128"/>
      <c r="BA3675" s="128"/>
      <c r="BB3675" s="128"/>
      <c r="BC3675" s="128"/>
      <c r="BD3675" s="128"/>
      <c r="BE3675" s="128"/>
      <c r="BF3675" s="128"/>
      <c r="BG3675" s="128"/>
      <c r="BH3675" s="128"/>
      <c r="BI3675" s="128"/>
      <c r="BJ3675" s="128"/>
      <c r="BK3675" s="128"/>
      <c r="BL3675" s="128"/>
      <c r="BM3675" s="151"/>
      <c r="BN3675" s="128"/>
      <c r="BO3675" s="128"/>
      <c r="BP3675" s="128"/>
      <c r="BQ3675" s="128"/>
      <c r="BR3675" s="128"/>
      <c r="BS3675" s="128"/>
      <c r="BT3675" s="128"/>
      <c r="BU3675" s="128"/>
      <c r="BV3675" s="128"/>
      <c r="BW3675" s="128"/>
      <c r="BX3675" s="128"/>
      <c r="BY3675" s="128"/>
      <c r="BZ3675" s="128"/>
      <c r="CA3675" s="128"/>
      <c r="CB3675" s="128"/>
      <c r="CC3675" s="128"/>
      <c r="CD3675" s="128"/>
      <c r="CE3675" s="128"/>
      <c r="CF3675" s="128"/>
      <c r="CG3675" s="128"/>
      <c r="CI3675" s="128"/>
      <c r="CJ3675" s="128"/>
      <c r="CK3675" s="128"/>
      <c r="CL3675" s="128"/>
      <c r="CM3675" s="128"/>
      <c r="CN3675" s="128"/>
      <c r="CO3675" s="128"/>
      <c r="CP3675" s="128"/>
      <c r="CQ3675" s="128"/>
      <c r="CR3675" s="128"/>
      <c r="CS3675" s="128"/>
      <c r="CT3675" s="128"/>
      <c r="CU3675" s="128"/>
      <c r="CV3675" s="128"/>
      <c r="CW3675" s="128"/>
      <c r="CX3675" s="128"/>
      <c r="CY3675" s="128"/>
      <c r="CZ3675" s="165"/>
    </row>
    <row r="3676" spans="1:104">
      <c r="A3676" s="149"/>
      <c r="B3676" s="149"/>
      <c r="C3676" s="150"/>
      <c r="D3676" s="102"/>
      <c r="E3676" s="149"/>
      <c r="F3676" s="149"/>
      <c r="G3676" s="149"/>
      <c r="H3676" s="149"/>
      <c r="I3676" s="149"/>
      <c r="J3676" s="149"/>
      <c r="K3676" s="149"/>
      <c r="L3676" s="149"/>
      <c r="M3676" s="149"/>
      <c r="N3676" s="149"/>
      <c r="O3676" s="149"/>
      <c r="P3676" s="149"/>
      <c r="Q3676" s="149"/>
      <c r="R3676" s="149"/>
      <c r="S3676" s="149"/>
      <c r="T3676" s="149"/>
      <c r="U3676" s="149"/>
      <c r="V3676" s="149"/>
      <c r="W3676" s="149"/>
      <c r="X3676" s="149"/>
      <c r="Y3676" s="149"/>
      <c r="Z3676" s="149"/>
      <c r="AA3676" s="149"/>
      <c r="AB3676" s="149"/>
      <c r="AC3676" s="149"/>
      <c r="AD3676" s="149"/>
      <c r="AE3676" s="149"/>
      <c r="AF3676" s="149"/>
      <c r="AG3676" s="149"/>
      <c r="AH3676" s="149"/>
      <c r="AI3676" s="149"/>
      <c r="AJ3676" s="149"/>
      <c r="AK3676" s="149"/>
      <c r="AL3676" s="149"/>
      <c r="AM3676" s="149"/>
      <c r="AN3676" s="149"/>
      <c r="AO3676" s="128"/>
      <c r="AP3676" s="128"/>
      <c r="AQ3676" s="128"/>
      <c r="AR3676" s="128"/>
      <c r="AS3676" s="128"/>
      <c r="AT3676" s="128"/>
      <c r="AU3676" s="128"/>
      <c r="AV3676" s="128"/>
      <c r="AW3676" s="128"/>
      <c r="AX3676" s="128"/>
      <c r="AY3676" s="128"/>
      <c r="AZ3676" s="128"/>
      <c r="BA3676" s="128"/>
      <c r="BB3676" s="128"/>
      <c r="BC3676" s="128"/>
      <c r="BD3676" s="128"/>
      <c r="BE3676" s="128"/>
      <c r="BF3676" s="128"/>
      <c r="BG3676" s="128"/>
      <c r="BH3676" s="128"/>
      <c r="BI3676" s="128"/>
      <c r="BJ3676" s="128"/>
      <c r="BK3676" s="128"/>
      <c r="BL3676" s="128"/>
      <c r="BM3676" s="151"/>
      <c r="BN3676" s="128"/>
      <c r="BO3676" s="128"/>
      <c r="BP3676" s="128"/>
      <c r="BQ3676" s="128"/>
      <c r="BR3676" s="128"/>
      <c r="BS3676" s="128"/>
      <c r="BT3676" s="128"/>
      <c r="BU3676" s="128"/>
      <c r="BV3676" s="128"/>
      <c r="BW3676" s="128"/>
      <c r="BX3676" s="128"/>
      <c r="BY3676" s="128"/>
      <c r="BZ3676" s="128"/>
      <c r="CA3676" s="128"/>
      <c r="CB3676" s="128"/>
      <c r="CC3676" s="128"/>
      <c r="CD3676" s="128"/>
      <c r="CE3676" s="128"/>
      <c r="CF3676" s="128"/>
      <c r="CG3676" s="128"/>
      <c r="CI3676" s="128"/>
      <c r="CJ3676" s="128"/>
      <c r="CK3676" s="128"/>
      <c r="CL3676" s="128"/>
      <c r="CM3676" s="128"/>
      <c r="CN3676" s="128"/>
      <c r="CO3676" s="128"/>
      <c r="CP3676" s="128"/>
      <c r="CQ3676" s="128"/>
      <c r="CR3676" s="128"/>
      <c r="CS3676" s="128"/>
      <c r="CT3676" s="128"/>
      <c r="CU3676" s="128"/>
      <c r="CV3676" s="128"/>
      <c r="CW3676" s="128"/>
      <c r="CX3676" s="128"/>
      <c r="CY3676" s="128"/>
      <c r="CZ3676" s="165"/>
    </row>
    <row r="3677" spans="1:104">
      <c r="A3677" s="149"/>
      <c r="B3677" s="149"/>
      <c r="C3677" s="150"/>
      <c r="D3677" s="102"/>
      <c r="E3677" s="149"/>
      <c r="F3677" s="149"/>
      <c r="G3677" s="149"/>
      <c r="H3677" s="149"/>
      <c r="I3677" s="149"/>
      <c r="J3677" s="149"/>
      <c r="K3677" s="149"/>
      <c r="L3677" s="149"/>
      <c r="M3677" s="149"/>
      <c r="N3677" s="149"/>
      <c r="O3677" s="149"/>
      <c r="P3677" s="149"/>
      <c r="Q3677" s="149"/>
      <c r="R3677" s="149"/>
      <c r="S3677" s="149"/>
      <c r="T3677" s="149"/>
      <c r="U3677" s="149"/>
      <c r="V3677" s="149"/>
      <c r="W3677" s="149"/>
      <c r="X3677" s="149"/>
      <c r="Y3677" s="149"/>
      <c r="Z3677" s="149"/>
      <c r="AA3677" s="149"/>
      <c r="AB3677" s="149"/>
      <c r="AC3677" s="149"/>
      <c r="AD3677" s="149"/>
      <c r="AE3677" s="149"/>
      <c r="AF3677" s="149"/>
      <c r="AG3677" s="149"/>
      <c r="AH3677" s="149"/>
      <c r="AI3677" s="149"/>
      <c r="AJ3677" s="149"/>
      <c r="AK3677" s="149"/>
      <c r="AL3677" s="149"/>
      <c r="AM3677" s="149"/>
      <c r="AN3677" s="149"/>
      <c r="AO3677" s="128"/>
      <c r="AP3677" s="128"/>
      <c r="AQ3677" s="128"/>
      <c r="AR3677" s="128"/>
      <c r="AS3677" s="128"/>
      <c r="AT3677" s="128"/>
      <c r="AU3677" s="128"/>
      <c r="AV3677" s="128"/>
      <c r="AW3677" s="128"/>
      <c r="AX3677" s="128"/>
      <c r="AY3677" s="128"/>
      <c r="AZ3677" s="128"/>
      <c r="BA3677" s="128"/>
      <c r="BB3677" s="128"/>
      <c r="BC3677" s="128"/>
      <c r="BD3677" s="128"/>
      <c r="BE3677" s="128"/>
      <c r="BF3677" s="128"/>
      <c r="BG3677" s="128"/>
      <c r="BH3677" s="128"/>
      <c r="BI3677" s="128"/>
      <c r="BJ3677" s="128"/>
      <c r="BK3677" s="128"/>
      <c r="BL3677" s="128"/>
      <c r="BM3677" s="151"/>
      <c r="BN3677" s="128"/>
      <c r="BO3677" s="128"/>
      <c r="BP3677" s="128"/>
      <c r="BQ3677" s="128"/>
      <c r="BR3677" s="128"/>
      <c r="BS3677" s="128"/>
      <c r="BT3677" s="128"/>
      <c r="BU3677" s="128"/>
      <c r="BV3677" s="128"/>
      <c r="BW3677" s="128"/>
      <c r="BX3677" s="128"/>
      <c r="BY3677" s="128"/>
      <c r="BZ3677" s="128"/>
      <c r="CA3677" s="128"/>
      <c r="CB3677" s="128"/>
      <c r="CC3677" s="128"/>
      <c r="CD3677" s="128"/>
      <c r="CE3677" s="128"/>
      <c r="CF3677" s="128"/>
      <c r="CG3677" s="128"/>
      <c r="CI3677" s="128"/>
      <c r="CJ3677" s="128"/>
      <c r="CK3677" s="128"/>
      <c r="CL3677" s="128"/>
      <c r="CM3677" s="128"/>
      <c r="CN3677" s="128"/>
      <c r="CO3677" s="128"/>
      <c r="CP3677" s="128"/>
      <c r="CQ3677" s="128"/>
      <c r="CR3677" s="128"/>
      <c r="CS3677" s="128"/>
      <c r="CT3677" s="128"/>
      <c r="CU3677" s="128"/>
      <c r="CV3677" s="128"/>
      <c r="CW3677" s="128"/>
      <c r="CX3677" s="128"/>
      <c r="CY3677" s="128"/>
      <c r="CZ3677" s="165"/>
    </row>
    <row r="3678" spans="1:104">
      <c r="A3678" s="149"/>
      <c r="B3678" s="149"/>
      <c r="C3678" s="150"/>
      <c r="D3678" s="102"/>
      <c r="E3678" s="149"/>
      <c r="F3678" s="149"/>
      <c r="G3678" s="149"/>
      <c r="H3678" s="149"/>
      <c r="I3678" s="149"/>
      <c r="J3678" s="149"/>
      <c r="K3678" s="149"/>
      <c r="L3678" s="149"/>
      <c r="M3678" s="149"/>
      <c r="N3678" s="149"/>
      <c r="O3678" s="149"/>
      <c r="P3678" s="149"/>
      <c r="Q3678" s="149"/>
      <c r="R3678" s="149"/>
      <c r="S3678" s="149"/>
      <c r="T3678" s="149"/>
      <c r="U3678" s="149"/>
      <c r="V3678" s="149"/>
      <c r="W3678" s="149"/>
      <c r="X3678" s="149"/>
      <c r="Y3678" s="149"/>
      <c r="Z3678" s="149"/>
      <c r="AA3678" s="149"/>
      <c r="AB3678" s="149"/>
      <c r="AC3678" s="149"/>
      <c r="AD3678" s="149"/>
      <c r="AE3678" s="149"/>
      <c r="AF3678" s="149"/>
      <c r="AG3678" s="149"/>
      <c r="AH3678" s="149"/>
      <c r="AI3678" s="149"/>
      <c r="AJ3678" s="149"/>
      <c r="AK3678" s="149"/>
      <c r="AL3678" s="149"/>
      <c r="AM3678" s="149"/>
      <c r="AN3678" s="149"/>
      <c r="AO3678" s="128"/>
      <c r="AP3678" s="128"/>
      <c r="AQ3678" s="128"/>
      <c r="AR3678" s="128"/>
      <c r="AS3678" s="128"/>
      <c r="AT3678" s="128"/>
      <c r="AU3678" s="128"/>
      <c r="AV3678" s="128"/>
      <c r="AW3678" s="128"/>
      <c r="AX3678" s="128"/>
      <c r="AY3678" s="128"/>
      <c r="AZ3678" s="128"/>
      <c r="BA3678" s="128"/>
      <c r="BB3678" s="128"/>
      <c r="BC3678" s="128"/>
      <c r="BD3678" s="128"/>
      <c r="BE3678" s="128"/>
      <c r="BF3678" s="128"/>
      <c r="BG3678" s="128"/>
      <c r="BH3678" s="128"/>
      <c r="BI3678" s="128"/>
      <c r="BJ3678" s="128"/>
      <c r="BK3678" s="128"/>
      <c r="BL3678" s="128"/>
      <c r="BM3678" s="151"/>
      <c r="BN3678" s="128"/>
      <c r="BO3678" s="128"/>
      <c r="BP3678" s="128"/>
      <c r="BQ3678" s="128"/>
      <c r="BR3678" s="128"/>
      <c r="BS3678" s="128"/>
      <c r="BT3678" s="128"/>
      <c r="BU3678" s="128"/>
      <c r="BV3678" s="128"/>
      <c r="BW3678" s="128"/>
      <c r="BX3678" s="128"/>
      <c r="BY3678" s="128"/>
      <c r="BZ3678" s="128"/>
      <c r="CA3678" s="128"/>
      <c r="CB3678" s="128"/>
      <c r="CC3678" s="128"/>
      <c r="CD3678" s="128"/>
      <c r="CE3678" s="128"/>
      <c r="CF3678" s="128"/>
      <c r="CG3678" s="128"/>
      <c r="CI3678" s="128"/>
      <c r="CJ3678" s="128"/>
      <c r="CK3678" s="128"/>
      <c r="CL3678" s="128"/>
      <c r="CM3678" s="128"/>
      <c r="CN3678" s="128"/>
      <c r="CO3678" s="128"/>
      <c r="CP3678" s="128"/>
      <c r="CQ3678" s="128"/>
      <c r="CR3678" s="128"/>
      <c r="CS3678" s="128"/>
      <c r="CT3678" s="128"/>
      <c r="CU3678" s="128"/>
      <c r="CV3678" s="128"/>
      <c r="CW3678" s="128"/>
      <c r="CX3678" s="128"/>
      <c r="CY3678" s="128"/>
      <c r="CZ3678" s="165"/>
    </row>
    <row r="3679" spans="1:104">
      <c r="A3679" s="149"/>
      <c r="B3679" s="149"/>
      <c r="C3679" s="150"/>
      <c r="D3679" s="102"/>
      <c r="E3679" s="149"/>
      <c r="F3679" s="149"/>
      <c r="G3679" s="149"/>
      <c r="H3679" s="149"/>
      <c r="I3679" s="149"/>
      <c r="J3679" s="149"/>
      <c r="K3679" s="149"/>
      <c r="L3679" s="149"/>
      <c r="M3679" s="149"/>
      <c r="N3679" s="149"/>
      <c r="O3679" s="149"/>
      <c r="P3679" s="149"/>
      <c r="Q3679" s="149"/>
      <c r="R3679" s="149"/>
      <c r="S3679" s="149"/>
      <c r="T3679" s="149"/>
      <c r="U3679" s="149"/>
      <c r="V3679" s="149"/>
      <c r="W3679" s="149"/>
      <c r="X3679" s="149"/>
      <c r="Y3679" s="149"/>
      <c r="Z3679" s="149"/>
      <c r="AA3679" s="149"/>
      <c r="AB3679" s="149"/>
      <c r="AC3679" s="149"/>
      <c r="AD3679" s="149"/>
      <c r="AE3679" s="149"/>
      <c r="AF3679" s="149"/>
      <c r="AG3679" s="149"/>
      <c r="AH3679" s="149"/>
      <c r="AI3679" s="149"/>
      <c r="AJ3679" s="149"/>
      <c r="AK3679" s="149"/>
      <c r="AL3679" s="149"/>
      <c r="AM3679" s="149"/>
      <c r="AN3679" s="149"/>
      <c r="AO3679" s="128"/>
      <c r="AP3679" s="128"/>
      <c r="AQ3679" s="128"/>
      <c r="AR3679" s="128"/>
      <c r="AS3679" s="128"/>
      <c r="AT3679" s="128"/>
      <c r="AU3679" s="128"/>
      <c r="AV3679" s="128"/>
      <c r="AW3679" s="128"/>
      <c r="AX3679" s="128"/>
      <c r="AY3679" s="128"/>
      <c r="AZ3679" s="128"/>
      <c r="BA3679" s="128"/>
      <c r="BB3679" s="128"/>
      <c r="BC3679" s="128"/>
      <c r="BD3679" s="128"/>
      <c r="BE3679" s="128"/>
      <c r="BF3679" s="128"/>
      <c r="BG3679" s="128"/>
      <c r="BH3679" s="128"/>
      <c r="BI3679" s="128"/>
      <c r="BJ3679" s="128"/>
      <c r="BK3679" s="128"/>
      <c r="BL3679" s="128"/>
      <c r="BM3679" s="151"/>
      <c r="BN3679" s="128"/>
      <c r="BO3679" s="128"/>
      <c r="BP3679" s="128"/>
      <c r="BQ3679" s="128"/>
      <c r="BR3679" s="128"/>
      <c r="BS3679" s="128"/>
      <c r="BT3679" s="128"/>
      <c r="BU3679" s="128"/>
      <c r="BV3679" s="128"/>
      <c r="BW3679" s="128"/>
      <c r="BX3679" s="128"/>
      <c r="BY3679" s="128"/>
      <c r="BZ3679" s="128"/>
      <c r="CA3679" s="128"/>
      <c r="CB3679" s="128"/>
      <c r="CC3679" s="128"/>
      <c r="CD3679" s="128"/>
      <c r="CE3679" s="128"/>
      <c r="CF3679" s="128"/>
      <c r="CG3679" s="128"/>
      <c r="CI3679" s="128"/>
      <c r="CJ3679" s="128"/>
      <c r="CK3679" s="128"/>
      <c r="CL3679" s="128"/>
      <c r="CM3679" s="128"/>
      <c r="CN3679" s="128"/>
      <c r="CO3679" s="128"/>
      <c r="CP3679" s="128"/>
      <c r="CQ3679" s="128"/>
      <c r="CR3679" s="128"/>
      <c r="CS3679" s="128"/>
      <c r="CT3679" s="128"/>
      <c r="CU3679" s="128"/>
      <c r="CV3679" s="128"/>
      <c r="CW3679" s="128"/>
      <c r="CX3679" s="128"/>
      <c r="CY3679" s="128"/>
      <c r="CZ3679" s="165"/>
    </row>
    <row r="3680" spans="1:104">
      <c r="A3680" s="149"/>
      <c r="B3680" s="149"/>
      <c r="C3680" s="150"/>
      <c r="D3680" s="102"/>
      <c r="E3680" s="149"/>
      <c r="F3680" s="149"/>
      <c r="G3680" s="149"/>
      <c r="H3680" s="149"/>
      <c r="I3680" s="149"/>
      <c r="J3680" s="149"/>
      <c r="K3680" s="149"/>
      <c r="L3680" s="149"/>
      <c r="M3680" s="149"/>
      <c r="N3680" s="149"/>
      <c r="O3680" s="149"/>
      <c r="P3680" s="149"/>
      <c r="Q3680" s="149"/>
      <c r="R3680" s="149"/>
      <c r="S3680" s="149"/>
      <c r="T3680" s="149"/>
      <c r="U3680" s="149"/>
      <c r="V3680" s="149"/>
      <c r="W3680" s="149"/>
      <c r="X3680" s="149"/>
      <c r="Y3680" s="149"/>
      <c r="Z3680" s="149"/>
      <c r="AA3680" s="149"/>
      <c r="AB3680" s="149"/>
      <c r="AC3680" s="149"/>
      <c r="AD3680" s="149"/>
      <c r="AE3680" s="149"/>
      <c r="AF3680" s="149"/>
      <c r="AG3680" s="149"/>
      <c r="AH3680" s="149"/>
      <c r="AI3680" s="149"/>
      <c r="AJ3680" s="149"/>
      <c r="AK3680" s="149"/>
      <c r="AL3680" s="149"/>
      <c r="AM3680" s="149"/>
      <c r="AN3680" s="149"/>
      <c r="AO3680" s="128"/>
      <c r="AP3680" s="128"/>
      <c r="AQ3680" s="128"/>
      <c r="AR3680" s="128"/>
      <c r="AS3680" s="128"/>
      <c r="AT3680" s="128"/>
      <c r="AU3680" s="128"/>
      <c r="AV3680" s="128"/>
      <c r="AW3680" s="128"/>
      <c r="AX3680" s="128"/>
      <c r="AY3680" s="128"/>
      <c r="AZ3680" s="128"/>
      <c r="BA3680" s="128"/>
      <c r="BB3680" s="128"/>
      <c r="BC3680" s="128"/>
      <c r="BD3680" s="128"/>
      <c r="BE3680" s="128"/>
      <c r="BF3680" s="128"/>
      <c r="BG3680" s="128"/>
      <c r="BH3680" s="128"/>
      <c r="BI3680" s="128"/>
      <c r="BJ3680" s="128"/>
      <c r="BK3680" s="128"/>
      <c r="BL3680" s="128"/>
      <c r="BM3680" s="151"/>
      <c r="BN3680" s="128"/>
      <c r="BO3680" s="128"/>
      <c r="BP3680" s="128"/>
      <c r="BQ3680" s="128"/>
      <c r="BR3680" s="128"/>
      <c r="BS3680" s="128"/>
      <c r="BT3680" s="128"/>
      <c r="BU3680" s="128"/>
      <c r="BV3680" s="128"/>
      <c r="BW3680" s="128"/>
      <c r="BX3680" s="128"/>
      <c r="BY3680" s="128"/>
      <c r="BZ3680" s="128"/>
      <c r="CA3680" s="128"/>
      <c r="CB3680" s="128"/>
      <c r="CC3680" s="128"/>
      <c r="CD3680" s="128"/>
      <c r="CE3680" s="128"/>
      <c r="CF3680" s="128"/>
      <c r="CG3680" s="128"/>
      <c r="CI3680" s="128"/>
      <c r="CJ3680" s="128"/>
      <c r="CK3680" s="128"/>
      <c r="CL3680" s="128"/>
      <c r="CM3680" s="128"/>
      <c r="CN3680" s="128"/>
      <c r="CO3680" s="128"/>
      <c r="CP3680" s="128"/>
      <c r="CQ3680" s="128"/>
      <c r="CR3680" s="128"/>
      <c r="CS3680" s="128"/>
      <c r="CT3680" s="128"/>
      <c r="CU3680" s="128"/>
      <c r="CV3680" s="128"/>
      <c r="CW3680" s="128"/>
      <c r="CX3680" s="128"/>
      <c r="CY3680" s="128"/>
      <c r="CZ3680" s="165"/>
    </row>
    <row r="3681" spans="1:104">
      <c r="A3681" s="149"/>
      <c r="B3681" s="149"/>
      <c r="C3681" s="150"/>
      <c r="D3681" s="102"/>
      <c r="E3681" s="149"/>
      <c r="F3681" s="149"/>
      <c r="G3681" s="149"/>
      <c r="H3681" s="149"/>
      <c r="I3681" s="149"/>
      <c r="J3681" s="149"/>
      <c r="K3681" s="149"/>
      <c r="L3681" s="149"/>
      <c r="M3681" s="149"/>
      <c r="N3681" s="149"/>
      <c r="O3681" s="149"/>
      <c r="P3681" s="149"/>
      <c r="Q3681" s="149"/>
      <c r="R3681" s="149"/>
      <c r="S3681" s="149"/>
      <c r="T3681" s="149"/>
      <c r="U3681" s="149"/>
      <c r="V3681" s="149"/>
      <c r="W3681" s="149"/>
      <c r="X3681" s="149"/>
      <c r="Y3681" s="149"/>
      <c r="Z3681" s="149"/>
      <c r="AA3681" s="149"/>
      <c r="AB3681" s="149"/>
      <c r="AC3681" s="149"/>
      <c r="AD3681" s="149"/>
      <c r="AE3681" s="149"/>
      <c r="AF3681" s="149"/>
      <c r="AG3681" s="149"/>
      <c r="AH3681" s="149"/>
      <c r="AI3681" s="149"/>
      <c r="AJ3681" s="149"/>
      <c r="AK3681" s="149"/>
      <c r="AL3681" s="149"/>
      <c r="AM3681" s="149"/>
      <c r="AN3681" s="149"/>
      <c r="AO3681" s="128"/>
      <c r="AP3681" s="128"/>
      <c r="AQ3681" s="128"/>
      <c r="AR3681" s="128"/>
      <c r="AS3681" s="128"/>
      <c r="AT3681" s="128"/>
      <c r="AU3681" s="128"/>
      <c r="AV3681" s="128"/>
      <c r="AW3681" s="128"/>
      <c r="AX3681" s="128"/>
      <c r="AY3681" s="128"/>
      <c r="AZ3681" s="128"/>
      <c r="BA3681" s="128"/>
      <c r="BB3681" s="128"/>
      <c r="BC3681" s="128"/>
      <c r="BD3681" s="128"/>
      <c r="BE3681" s="128"/>
      <c r="BF3681" s="128"/>
      <c r="BG3681" s="128"/>
      <c r="BH3681" s="128"/>
      <c r="BI3681" s="128"/>
      <c r="BJ3681" s="128"/>
      <c r="BK3681" s="128"/>
      <c r="BL3681" s="128"/>
      <c r="BM3681" s="151"/>
      <c r="BN3681" s="128"/>
      <c r="BO3681" s="128"/>
      <c r="BP3681" s="128"/>
      <c r="BQ3681" s="128"/>
      <c r="BR3681" s="128"/>
      <c r="BS3681" s="128"/>
      <c r="BT3681" s="128"/>
      <c r="BU3681" s="128"/>
      <c r="BV3681" s="128"/>
      <c r="BW3681" s="128"/>
      <c r="BX3681" s="128"/>
      <c r="BY3681" s="128"/>
      <c r="BZ3681" s="128"/>
      <c r="CA3681" s="128"/>
      <c r="CB3681" s="128"/>
      <c r="CC3681" s="128"/>
      <c r="CD3681" s="128"/>
      <c r="CE3681" s="128"/>
      <c r="CF3681" s="128"/>
      <c r="CG3681" s="128"/>
      <c r="CI3681" s="128"/>
      <c r="CJ3681" s="128"/>
      <c r="CK3681" s="128"/>
      <c r="CL3681" s="128"/>
      <c r="CM3681" s="128"/>
      <c r="CN3681" s="128"/>
      <c r="CO3681" s="128"/>
      <c r="CP3681" s="128"/>
      <c r="CQ3681" s="128"/>
      <c r="CR3681" s="128"/>
      <c r="CS3681" s="128"/>
      <c r="CT3681" s="128"/>
      <c r="CU3681" s="128"/>
      <c r="CV3681" s="128"/>
      <c r="CW3681" s="128"/>
      <c r="CX3681" s="128"/>
      <c r="CY3681" s="128"/>
      <c r="CZ3681" s="165"/>
    </row>
    <row r="3682" spans="1:104">
      <c r="A3682" s="149"/>
      <c r="B3682" s="149"/>
      <c r="C3682" s="150"/>
      <c r="D3682" s="102"/>
      <c r="E3682" s="149"/>
      <c r="F3682" s="149"/>
      <c r="G3682" s="149"/>
      <c r="H3682" s="149"/>
      <c r="I3682" s="149"/>
      <c r="J3682" s="149"/>
      <c r="K3682" s="149"/>
      <c r="L3682" s="149"/>
      <c r="M3682" s="149"/>
      <c r="N3682" s="149"/>
      <c r="O3682" s="149"/>
      <c r="P3682" s="149"/>
      <c r="Q3682" s="149"/>
      <c r="R3682" s="149"/>
      <c r="S3682" s="149"/>
      <c r="T3682" s="149"/>
      <c r="U3682" s="149"/>
      <c r="V3682" s="149"/>
      <c r="W3682" s="149"/>
      <c r="X3682" s="149"/>
      <c r="Y3682" s="149"/>
      <c r="Z3682" s="149"/>
      <c r="AA3682" s="149"/>
      <c r="AB3682" s="149"/>
      <c r="AC3682" s="149"/>
      <c r="AD3682" s="149"/>
      <c r="AE3682" s="149"/>
      <c r="AF3682" s="149"/>
      <c r="AG3682" s="149"/>
      <c r="AH3682" s="149"/>
      <c r="AI3682" s="149"/>
      <c r="AJ3682" s="149"/>
      <c r="AK3682" s="149"/>
      <c r="AL3682" s="149"/>
      <c r="AM3682" s="149"/>
      <c r="AN3682" s="149"/>
      <c r="AO3682" s="128"/>
      <c r="AP3682" s="128"/>
      <c r="AQ3682" s="128"/>
      <c r="AR3682" s="128"/>
      <c r="AS3682" s="128"/>
      <c r="AT3682" s="128"/>
      <c r="AU3682" s="128"/>
      <c r="AV3682" s="128"/>
      <c r="AW3682" s="128"/>
      <c r="AX3682" s="128"/>
      <c r="AY3682" s="128"/>
      <c r="AZ3682" s="128"/>
      <c r="BA3682" s="128"/>
      <c r="BB3682" s="128"/>
      <c r="BC3682" s="128"/>
      <c r="BD3682" s="128"/>
      <c r="BE3682" s="128"/>
      <c r="BF3682" s="128"/>
      <c r="BG3682" s="128"/>
      <c r="BH3682" s="128"/>
      <c r="BI3682" s="128"/>
      <c r="BJ3682" s="128"/>
      <c r="BK3682" s="128"/>
      <c r="BL3682" s="128"/>
      <c r="BM3682" s="151"/>
      <c r="BN3682" s="128"/>
      <c r="BO3682" s="128"/>
      <c r="BP3682" s="128"/>
      <c r="BQ3682" s="128"/>
      <c r="BR3682" s="128"/>
      <c r="BS3682" s="128"/>
      <c r="BT3682" s="128"/>
      <c r="BU3682" s="128"/>
      <c r="BV3682" s="128"/>
      <c r="BW3682" s="128"/>
      <c r="BX3682" s="128"/>
      <c r="BY3682" s="128"/>
      <c r="BZ3682" s="128"/>
      <c r="CA3682" s="128"/>
      <c r="CB3682" s="128"/>
      <c r="CC3682" s="128"/>
      <c r="CD3682" s="128"/>
      <c r="CE3682" s="128"/>
      <c r="CF3682" s="128"/>
      <c r="CG3682" s="128"/>
      <c r="CI3682" s="128"/>
      <c r="CJ3682" s="128"/>
      <c r="CK3682" s="128"/>
      <c r="CL3682" s="128"/>
      <c r="CM3682" s="128"/>
      <c r="CN3682" s="128"/>
      <c r="CO3682" s="128"/>
      <c r="CP3682" s="128"/>
      <c r="CQ3682" s="128"/>
      <c r="CR3682" s="128"/>
      <c r="CS3682" s="128"/>
      <c r="CT3682" s="128"/>
      <c r="CU3682" s="128"/>
      <c r="CV3682" s="128"/>
      <c r="CW3682" s="128"/>
      <c r="CX3682" s="128"/>
      <c r="CY3682" s="128"/>
      <c r="CZ3682" s="165"/>
    </row>
    <row r="3683" spans="1:104">
      <c r="A3683" s="149"/>
      <c r="B3683" s="149"/>
      <c r="C3683" s="150"/>
      <c r="D3683" s="102"/>
      <c r="E3683" s="149"/>
      <c r="F3683" s="149"/>
      <c r="G3683" s="149"/>
      <c r="H3683" s="149"/>
      <c r="I3683" s="149"/>
      <c r="J3683" s="149"/>
      <c r="K3683" s="149"/>
      <c r="L3683" s="149"/>
      <c r="M3683" s="149"/>
      <c r="N3683" s="149"/>
      <c r="O3683" s="149"/>
      <c r="P3683" s="149"/>
      <c r="Q3683" s="149"/>
      <c r="R3683" s="149"/>
      <c r="S3683" s="149"/>
      <c r="T3683" s="149"/>
      <c r="U3683" s="149"/>
      <c r="V3683" s="149"/>
      <c r="W3683" s="149"/>
      <c r="X3683" s="149"/>
      <c r="Y3683" s="149"/>
      <c r="Z3683" s="149"/>
      <c r="AA3683" s="149"/>
      <c r="AB3683" s="149"/>
      <c r="AC3683" s="149"/>
      <c r="AD3683" s="149"/>
      <c r="AE3683" s="149"/>
      <c r="AF3683" s="149"/>
      <c r="AG3683" s="149"/>
      <c r="AH3683" s="149"/>
      <c r="AI3683" s="149"/>
      <c r="AJ3683" s="149"/>
      <c r="AK3683" s="149"/>
      <c r="AL3683" s="149"/>
      <c r="AM3683" s="149"/>
      <c r="AN3683" s="149"/>
      <c r="AO3683" s="128"/>
      <c r="AP3683" s="128"/>
      <c r="AQ3683" s="128"/>
      <c r="AR3683" s="128"/>
      <c r="AS3683" s="128"/>
      <c r="AT3683" s="128"/>
      <c r="AU3683" s="128"/>
      <c r="AV3683" s="128"/>
      <c r="AW3683" s="128"/>
      <c r="AX3683" s="128"/>
      <c r="AY3683" s="128"/>
      <c r="AZ3683" s="128"/>
      <c r="BA3683" s="128"/>
      <c r="BB3683" s="128"/>
      <c r="BC3683" s="128"/>
      <c r="BD3683" s="128"/>
      <c r="BE3683" s="128"/>
      <c r="BF3683" s="128"/>
      <c r="BG3683" s="128"/>
      <c r="BH3683" s="128"/>
      <c r="BI3683" s="128"/>
      <c r="BJ3683" s="128"/>
      <c r="BK3683" s="128"/>
      <c r="BL3683" s="128"/>
      <c r="BM3683" s="151"/>
      <c r="BN3683" s="128"/>
      <c r="BO3683" s="128"/>
      <c r="BP3683" s="128"/>
      <c r="BQ3683" s="128"/>
      <c r="BR3683" s="128"/>
      <c r="BS3683" s="128"/>
      <c r="BT3683" s="128"/>
      <c r="BU3683" s="128"/>
      <c r="BV3683" s="128"/>
      <c r="BW3683" s="128"/>
      <c r="BX3683" s="128"/>
      <c r="BY3683" s="128"/>
      <c r="BZ3683" s="128"/>
      <c r="CA3683" s="128"/>
      <c r="CB3683" s="128"/>
      <c r="CC3683" s="128"/>
      <c r="CD3683" s="128"/>
      <c r="CE3683" s="128"/>
      <c r="CF3683" s="128"/>
      <c r="CG3683" s="128"/>
      <c r="CI3683" s="128"/>
      <c r="CJ3683" s="128"/>
      <c r="CK3683" s="128"/>
      <c r="CL3683" s="128"/>
      <c r="CM3683" s="128"/>
      <c r="CN3683" s="128"/>
      <c r="CO3683" s="128"/>
      <c r="CP3683" s="128"/>
      <c r="CQ3683" s="128"/>
      <c r="CR3683" s="128"/>
      <c r="CS3683" s="128"/>
      <c r="CT3683" s="128"/>
      <c r="CU3683" s="128"/>
      <c r="CV3683" s="128"/>
      <c r="CW3683" s="128"/>
      <c r="CX3683" s="128"/>
      <c r="CY3683" s="128"/>
      <c r="CZ3683" s="165"/>
    </row>
    <row r="3684" spans="1:104">
      <c r="A3684" s="149"/>
      <c r="B3684" s="149"/>
      <c r="C3684" s="150"/>
      <c r="D3684" s="102"/>
      <c r="E3684" s="149"/>
      <c r="F3684" s="149"/>
      <c r="G3684" s="149"/>
      <c r="H3684" s="149"/>
      <c r="I3684" s="149"/>
      <c r="J3684" s="149"/>
      <c r="K3684" s="149"/>
      <c r="L3684" s="149"/>
      <c r="M3684" s="149"/>
      <c r="N3684" s="149"/>
      <c r="O3684" s="149"/>
      <c r="P3684" s="149"/>
      <c r="Q3684" s="149"/>
      <c r="R3684" s="149"/>
      <c r="S3684" s="149"/>
      <c r="T3684" s="149"/>
      <c r="U3684" s="149"/>
      <c r="V3684" s="149"/>
      <c r="W3684" s="149"/>
      <c r="X3684" s="149"/>
      <c r="Y3684" s="149"/>
      <c r="Z3684" s="149"/>
      <c r="AA3684" s="149"/>
      <c r="AB3684" s="149"/>
      <c r="AC3684" s="149"/>
      <c r="AD3684" s="149"/>
      <c r="AE3684" s="149"/>
      <c r="AF3684" s="149"/>
      <c r="AG3684" s="149"/>
      <c r="AH3684" s="149"/>
      <c r="AI3684" s="149"/>
      <c r="AJ3684" s="149"/>
      <c r="AK3684" s="149"/>
      <c r="AL3684" s="149"/>
      <c r="AM3684" s="149"/>
      <c r="AN3684" s="149"/>
      <c r="AO3684" s="128"/>
      <c r="AP3684" s="128"/>
      <c r="AQ3684" s="128"/>
      <c r="AR3684" s="128"/>
      <c r="AS3684" s="128"/>
      <c r="AT3684" s="128"/>
      <c r="AU3684" s="128"/>
      <c r="AV3684" s="128"/>
      <c r="AW3684" s="128"/>
      <c r="AX3684" s="128"/>
      <c r="AY3684" s="128"/>
      <c r="AZ3684" s="128"/>
      <c r="BA3684" s="128"/>
      <c r="BB3684" s="128"/>
      <c r="BC3684" s="128"/>
      <c r="BD3684" s="128"/>
      <c r="BE3684" s="128"/>
      <c r="BF3684" s="128"/>
      <c r="BG3684" s="128"/>
      <c r="BH3684" s="128"/>
      <c r="BI3684" s="128"/>
      <c r="BJ3684" s="128"/>
      <c r="BK3684" s="128"/>
      <c r="BL3684" s="128"/>
      <c r="BM3684" s="151"/>
      <c r="BN3684" s="128"/>
      <c r="BO3684" s="128"/>
      <c r="BP3684" s="128"/>
      <c r="BQ3684" s="128"/>
      <c r="BR3684" s="128"/>
      <c r="BS3684" s="128"/>
      <c r="BT3684" s="128"/>
      <c r="BU3684" s="128"/>
      <c r="BV3684" s="128"/>
      <c r="BW3684" s="128"/>
      <c r="BX3684" s="128"/>
      <c r="BY3684" s="128"/>
      <c r="BZ3684" s="128"/>
      <c r="CA3684" s="128"/>
      <c r="CB3684" s="128"/>
      <c r="CC3684" s="128"/>
      <c r="CD3684" s="128"/>
      <c r="CE3684" s="128"/>
      <c r="CF3684" s="128"/>
      <c r="CG3684" s="128"/>
      <c r="CI3684" s="128"/>
      <c r="CJ3684" s="128"/>
      <c r="CK3684" s="128"/>
      <c r="CL3684" s="128"/>
      <c r="CM3684" s="128"/>
      <c r="CN3684" s="128"/>
      <c r="CO3684" s="128"/>
      <c r="CP3684" s="128"/>
      <c r="CQ3684" s="128"/>
      <c r="CR3684" s="128"/>
      <c r="CS3684" s="128"/>
      <c r="CT3684" s="128"/>
      <c r="CU3684" s="128"/>
      <c r="CV3684" s="128"/>
      <c r="CW3684" s="128"/>
      <c r="CX3684" s="128"/>
      <c r="CY3684" s="128"/>
      <c r="CZ3684" s="165"/>
    </row>
    <row r="3685" spans="1:104">
      <c r="A3685" s="149"/>
      <c r="B3685" s="149"/>
      <c r="C3685" s="150"/>
      <c r="D3685" s="102"/>
      <c r="E3685" s="149"/>
      <c r="F3685" s="149"/>
      <c r="G3685" s="149"/>
      <c r="H3685" s="149"/>
      <c r="I3685" s="149"/>
      <c r="J3685" s="149"/>
      <c r="K3685" s="149"/>
      <c r="L3685" s="149"/>
      <c r="M3685" s="149"/>
      <c r="N3685" s="149"/>
      <c r="O3685" s="149"/>
      <c r="P3685" s="149"/>
      <c r="Q3685" s="149"/>
      <c r="R3685" s="149"/>
      <c r="S3685" s="149"/>
      <c r="T3685" s="149"/>
      <c r="U3685" s="149"/>
      <c r="V3685" s="149"/>
      <c r="W3685" s="149"/>
      <c r="X3685" s="149"/>
      <c r="Y3685" s="149"/>
      <c r="Z3685" s="149"/>
      <c r="AA3685" s="149"/>
      <c r="AB3685" s="149"/>
      <c r="AC3685" s="149"/>
      <c r="AD3685" s="149"/>
      <c r="AE3685" s="149"/>
      <c r="AF3685" s="149"/>
      <c r="AG3685" s="149"/>
      <c r="AH3685" s="149"/>
      <c r="AI3685" s="149"/>
      <c r="AJ3685" s="149"/>
      <c r="AK3685" s="149"/>
      <c r="AL3685" s="149"/>
      <c r="AM3685" s="149"/>
      <c r="AN3685" s="149"/>
      <c r="AO3685" s="128"/>
      <c r="AP3685" s="128"/>
      <c r="AQ3685" s="128"/>
      <c r="AR3685" s="128"/>
      <c r="AS3685" s="128"/>
      <c r="AT3685" s="128"/>
      <c r="AU3685" s="128"/>
      <c r="AV3685" s="128"/>
      <c r="AW3685" s="128"/>
      <c r="AX3685" s="128"/>
      <c r="AY3685" s="128"/>
      <c r="AZ3685" s="128"/>
      <c r="BA3685" s="128"/>
      <c r="BB3685" s="128"/>
      <c r="BC3685" s="128"/>
      <c r="BD3685" s="128"/>
      <c r="BE3685" s="128"/>
      <c r="BF3685" s="128"/>
      <c r="BG3685" s="128"/>
      <c r="BH3685" s="128"/>
      <c r="BI3685" s="128"/>
      <c r="BJ3685" s="128"/>
      <c r="BK3685" s="128"/>
      <c r="BL3685" s="128"/>
      <c r="BM3685" s="151"/>
      <c r="BN3685" s="128"/>
      <c r="BO3685" s="128"/>
      <c r="BP3685" s="128"/>
      <c r="BQ3685" s="128"/>
      <c r="BR3685" s="128"/>
      <c r="BS3685" s="128"/>
      <c r="BT3685" s="128"/>
      <c r="BU3685" s="128"/>
      <c r="BV3685" s="128"/>
      <c r="BW3685" s="128"/>
      <c r="BX3685" s="128"/>
      <c r="BY3685" s="128"/>
      <c r="BZ3685" s="128"/>
      <c r="CA3685" s="128"/>
      <c r="CB3685" s="128"/>
      <c r="CC3685" s="128"/>
      <c r="CD3685" s="128"/>
      <c r="CE3685" s="128"/>
      <c r="CF3685" s="128"/>
      <c r="CG3685" s="128"/>
      <c r="CI3685" s="128"/>
      <c r="CJ3685" s="128"/>
      <c r="CK3685" s="128"/>
      <c r="CL3685" s="128"/>
      <c r="CM3685" s="128"/>
      <c r="CN3685" s="128"/>
      <c r="CO3685" s="128"/>
      <c r="CP3685" s="128"/>
      <c r="CQ3685" s="128"/>
      <c r="CR3685" s="128"/>
      <c r="CS3685" s="128"/>
      <c r="CT3685" s="128"/>
      <c r="CU3685" s="128"/>
      <c r="CV3685" s="128"/>
      <c r="CW3685" s="128"/>
      <c r="CX3685" s="128"/>
      <c r="CY3685" s="128"/>
      <c r="CZ3685" s="165"/>
    </row>
    <row r="3686" spans="1:104">
      <c r="A3686" s="149"/>
      <c r="B3686" s="149"/>
      <c r="C3686" s="150"/>
      <c r="D3686" s="102"/>
      <c r="E3686" s="149"/>
      <c r="F3686" s="149"/>
      <c r="G3686" s="149"/>
      <c r="H3686" s="149"/>
      <c r="I3686" s="149"/>
      <c r="J3686" s="149"/>
      <c r="K3686" s="149"/>
      <c r="L3686" s="149"/>
      <c r="M3686" s="149"/>
      <c r="N3686" s="149"/>
      <c r="O3686" s="149"/>
      <c r="P3686" s="149"/>
      <c r="Q3686" s="149"/>
      <c r="R3686" s="149"/>
      <c r="S3686" s="149"/>
      <c r="T3686" s="149"/>
      <c r="U3686" s="149"/>
      <c r="V3686" s="149"/>
      <c r="W3686" s="149"/>
      <c r="X3686" s="149"/>
      <c r="Y3686" s="149"/>
      <c r="Z3686" s="149"/>
      <c r="AA3686" s="149"/>
      <c r="AB3686" s="149"/>
      <c r="AC3686" s="149"/>
      <c r="AD3686" s="149"/>
      <c r="AE3686" s="149"/>
      <c r="AF3686" s="149"/>
      <c r="AG3686" s="149"/>
      <c r="AH3686" s="149"/>
      <c r="AI3686" s="149"/>
      <c r="AJ3686" s="149"/>
      <c r="AK3686" s="149"/>
      <c r="AL3686" s="149"/>
      <c r="AM3686" s="149"/>
      <c r="AN3686" s="149"/>
      <c r="AO3686" s="128"/>
      <c r="AP3686" s="128"/>
      <c r="AQ3686" s="128"/>
      <c r="AR3686" s="128"/>
      <c r="AS3686" s="128"/>
      <c r="AT3686" s="128"/>
      <c r="AU3686" s="128"/>
      <c r="AV3686" s="128"/>
      <c r="AW3686" s="128"/>
      <c r="AX3686" s="128"/>
      <c r="AY3686" s="128"/>
      <c r="AZ3686" s="128"/>
      <c r="BA3686" s="128"/>
      <c r="BB3686" s="128"/>
      <c r="BC3686" s="128"/>
      <c r="BD3686" s="128"/>
      <c r="BE3686" s="128"/>
      <c r="BF3686" s="128"/>
      <c r="BG3686" s="128"/>
      <c r="BH3686" s="128"/>
      <c r="BI3686" s="128"/>
      <c r="BJ3686" s="128"/>
      <c r="BK3686" s="128"/>
      <c r="BL3686" s="128"/>
      <c r="BM3686" s="151"/>
      <c r="BN3686" s="128"/>
      <c r="BO3686" s="128"/>
      <c r="BP3686" s="128"/>
      <c r="BQ3686" s="128"/>
      <c r="BR3686" s="128"/>
      <c r="BS3686" s="128"/>
      <c r="BT3686" s="128"/>
      <c r="BU3686" s="128"/>
      <c r="BV3686" s="128"/>
      <c r="BW3686" s="128"/>
      <c r="BX3686" s="128"/>
      <c r="BY3686" s="128"/>
      <c r="BZ3686" s="128"/>
      <c r="CA3686" s="128"/>
      <c r="CB3686" s="128"/>
      <c r="CC3686" s="128"/>
      <c r="CD3686" s="128"/>
      <c r="CE3686" s="128"/>
      <c r="CF3686" s="128"/>
      <c r="CG3686" s="128"/>
      <c r="CI3686" s="128"/>
      <c r="CJ3686" s="128"/>
      <c r="CK3686" s="128"/>
      <c r="CL3686" s="128"/>
      <c r="CM3686" s="128"/>
      <c r="CN3686" s="128"/>
      <c r="CO3686" s="128"/>
      <c r="CP3686" s="128"/>
      <c r="CQ3686" s="128"/>
      <c r="CR3686" s="128"/>
      <c r="CS3686" s="128"/>
      <c r="CT3686" s="128"/>
      <c r="CU3686" s="128"/>
      <c r="CV3686" s="128"/>
      <c r="CW3686" s="128"/>
      <c r="CX3686" s="128"/>
      <c r="CY3686" s="128"/>
      <c r="CZ3686" s="165"/>
    </row>
    <row r="3687" spans="1:104">
      <c r="A3687" s="149"/>
      <c r="B3687" s="149"/>
      <c r="C3687" s="150"/>
      <c r="D3687" s="102"/>
      <c r="E3687" s="149"/>
      <c r="F3687" s="149"/>
      <c r="G3687" s="149"/>
      <c r="H3687" s="149"/>
      <c r="I3687" s="149"/>
      <c r="J3687" s="149"/>
      <c r="K3687" s="149"/>
      <c r="L3687" s="149"/>
      <c r="M3687" s="149"/>
      <c r="N3687" s="149"/>
      <c r="O3687" s="149"/>
      <c r="P3687" s="149"/>
      <c r="Q3687" s="149"/>
      <c r="R3687" s="149"/>
      <c r="S3687" s="149"/>
      <c r="T3687" s="149"/>
      <c r="U3687" s="149"/>
      <c r="V3687" s="149"/>
      <c r="W3687" s="149"/>
      <c r="X3687" s="149"/>
      <c r="Y3687" s="149"/>
      <c r="Z3687" s="149"/>
      <c r="AA3687" s="149"/>
      <c r="AB3687" s="149"/>
      <c r="AC3687" s="149"/>
      <c r="AD3687" s="149"/>
      <c r="AE3687" s="149"/>
      <c r="AF3687" s="149"/>
      <c r="AG3687" s="149"/>
      <c r="AH3687" s="149"/>
      <c r="AI3687" s="149"/>
      <c r="AJ3687" s="149"/>
      <c r="AK3687" s="149"/>
      <c r="AL3687" s="149"/>
      <c r="AM3687" s="149"/>
      <c r="AN3687" s="149"/>
      <c r="AO3687" s="128"/>
      <c r="AP3687" s="128"/>
      <c r="AQ3687" s="128"/>
      <c r="AR3687" s="128"/>
      <c r="AS3687" s="128"/>
      <c r="AT3687" s="128"/>
      <c r="AU3687" s="128"/>
      <c r="AV3687" s="128"/>
      <c r="AW3687" s="128"/>
      <c r="AX3687" s="128"/>
      <c r="AY3687" s="128"/>
      <c r="AZ3687" s="128"/>
      <c r="BA3687" s="128"/>
      <c r="BB3687" s="128"/>
      <c r="BC3687" s="128"/>
      <c r="BD3687" s="128"/>
      <c r="BE3687" s="128"/>
      <c r="BF3687" s="128"/>
      <c r="BG3687" s="128"/>
      <c r="BH3687" s="128"/>
      <c r="BI3687" s="128"/>
      <c r="BJ3687" s="128"/>
      <c r="BK3687" s="128"/>
      <c r="BL3687" s="128"/>
      <c r="BM3687" s="151"/>
      <c r="BN3687" s="128"/>
      <c r="BO3687" s="128"/>
      <c r="BP3687" s="128"/>
      <c r="BQ3687" s="128"/>
      <c r="BR3687" s="128"/>
      <c r="BS3687" s="128"/>
      <c r="BT3687" s="128"/>
      <c r="BU3687" s="128"/>
      <c r="BV3687" s="128"/>
      <c r="BW3687" s="128"/>
      <c r="BX3687" s="128"/>
      <c r="BY3687" s="128"/>
      <c r="BZ3687" s="128"/>
      <c r="CA3687" s="128"/>
      <c r="CB3687" s="128"/>
      <c r="CC3687" s="128"/>
      <c r="CD3687" s="128"/>
      <c r="CE3687" s="128"/>
      <c r="CF3687" s="128"/>
      <c r="CG3687" s="128"/>
      <c r="CI3687" s="128"/>
      <c r="CJ3687" s="128"/>
      <c r="CK3687" s="128"/>
      <c r="CL3687" s="128"/>
      <c r="CM3687" s="128"/>
      <c r="CN3687" s="128"/>
      <c r="CO3687" s="128"/>
      <c r="CP3687" s="128"/>
      <c r="CQ3687" s="128"/>
      <c r="CR3687" s="128"/>
      <c r="CS3687" s="128"/>
      <c r="CT3687" s="128"/>
      <c r="CU3687" s="128"/>
      <c r="CV3687" s="128"/>
      <c r="CW3687" s="128"/>
      <c r="CX3687" s="128"/>
      <c r="CY3687" s="128"/>
      <c r="CZ3687" s="165"/>
    </row>
    <row r="3688" spans="1:104">
      <c r="A3688" s="149"/>
      <c r="B3688" s="149"/>
      <c r="C3688" s="150"/>
      <c r="D3688" s="102"/>
      <c r="E3688" s="149"/>
      <c r="F3688" s="149"/>
      <c r="G3688" s="149"/>
      <c r="H3688" s="149"/>
      <c r="I3688" s="149"/>
      <c r="J3688" s="149"/>
      <c r="K3688" s="149"/>
      <c r="L3688" s="149"/>
      <c r="M3688" s="149"/>
      <c r="N3688" s="149"/>
      <c r="O3688" s="149"/>
      <c r="P3688" s="149"/>
      <c r="Q3688" s="149"/>
      <c r="R3688" s="149"/>
      <c r="S3688" s="149"/>
      <c r="T3688" s="149"/>
      <c r="U3688" s="149"/>
      <c r="V3688" s="149"/>
      <c r="W3688" s="149"/>
      <c r="X3688" s="149"/>
      <c r="Y3688" s="149"/>
      <c r="Z3688" s="149"/>
      <c r="AA3688" s="149"/>
      <c r="AB3688" s="149"/>
      <c r="AC3688" s="149"/>
      <c r="AD3688" s="149"/>
      <c r="AE3688" s="149"/>
      <c r="AF3688" s="149"/>
      <c r="AG3688" s="149"/>
      <c r="AH3688" s="149"/>
      <c r="AI3688" s="149"/>
      <c r="AJ3688" s="149"/>
      <c r="AK3688" s="149"/>
      <c r="AL3688" s="149"/>
      <c r="AM3688" s="149"/>
      <c r="AN3688" s="149"/>
      <c r="AO3688" s="128"/>
      <c r="AP3688" s="128"/>
      <c r="AQ3688" s="128"/>
      <c r="AR3688" s="128"/>
      <c r="AS3688" s="128"/>
      <c r="AT3688" s="128"/>
      <c r="AU3688" s="128"/>
      <c r="AV3688" s="128"/>
      <c r="AW3688" s="128"/>
      <c r="AX3688" s="128"/>
      <c r="AY3688" s="128"/>
      <c r="AZ3688" s="128"/>
      <c r="BA3688" s="128"/>
      <c r="BB3688" s="128"/>
      <c r="BC3688" s="128"/>
      <c r="BD3688" s="128"/>
      <c r="BE3688" s="128"/>
      <c r="BF3688" s="128"/>
      <c r="BG3688" s="128"/>
      <c r="BH3688" s="128"/>
      <c r="BI3688" s="128"/>
      <c r="BJ3688" s="128"/>
      <c r="BK3688" s="128"/>
      <c r="BL3688" s="128"/>
      <c r="BM3688" s="151"/>
      <c r="BN3688" s="128"/>
      <c r="BO3688" s="128"/>
      <c r="BP3688" s="128"/>
      <c r="BQ3688" s="128"/>
      <c r="BR3688" s="128"/>
      <c r="BS3688" s="128"/>
      <c r="BT3688" s="128"/>
      <c r="BU3688" s="128"/>
      <c r="BV3688" s="128"/>
      <c r="BW3688" s="128"/>
      <c r="BX3688" s="128"/>
      <c r="BY3688" s="128"/>
      <c r="BZ3688" s="128"/>
      <c r="CA3688" s="128"/>
      <c r="CB3688" s="128"/>
      <c r="CC3688" s="128"/>
      <c r="CD3688" s="128"/>
      <c r="CE3688" s="128"/>
      <c r="CF3688" s="128"/>
      <c r="CG3688" s="128"/>
      <c r="CI3688" s="128"/>
      <c r="CJ3688" s="128"/>
      <c r="CK3688" s="128"/>
      <c r="CL3688" s="128"/>
      <c r="CM3688" s="128"/>
      <c r="CN3688" s="128"/>
      <c r="CO3688" s="128"/>
      <c r="CP3688" s="128"/>
      <c r="CQ3688" s="128"/>
      <c r="CR3688" s="128"/>
      <c r="CS3688" s="128"/>
      <c r="CT3688" s="128"/>
      <c r="CU3688" s="128"/>
      <c r="CV3688" s="128"/>
      <c r="CW3688" s="128"/>
      <c r="CX3688" s="128"/>
      <c r="CY3688" s="128"/>
      <c r="CZ3688" s="165"/>
    </row>
    <row r="3689" spans="1:104">
      <c r="A3689" s="149"/>
      <c r="B3689" s="149"/>
      <c r="C3689" s="150"/>
      <c r="D3689" s="102"/>
      <c r="E3689" s="149"/>
      <c r="F3689" s="149"/>
      <c r="G3689" s="149"/>
      <c r="H3689" s="149"/>
      <c r="I3689" s="149"/>
      <c r="J3689" s="149"/>
      <c r="K3689" s="149"/>
      <c r="L3689" s="149"/>
      <c r="M3689" s="149"/>
      <c r="N3689" s="149"/>
      <c r="O3689" s="149"/>
      <c r="P3689" s="149"/>
      <c r="Q3689" s="149"/>
      <c r="R3689" s="149"/>
      <c r="S3689" s="149"/>
      <c r="T3689" s="149"/>
      <c r="U3689" s="149"/>
      <c r="V3689" s="149"/>
      <c r="W3689" s="149"/>
      <c r="X3689" s="149"/>
      <c r="Y3689" s="149"/>
      <c r="Z3689" s="149"/>
      <c r="AA3689" s="149"/>
      <c r="AB3689" s="149"/>
      <c r="AC3689" s="149"/>
      <c r="AD3689" s="149"/>
      <c r="AE3689" s="149"/>
      <c r="AF3689" s="149"/>
      <c r="AG3689" s="149"/>
      <c r="AH3689" s="149"/>
      <c r="AI3689" s="149"/>
      <c r="AJ3689" s="149"/>
      <c r="AK3689" s="149"/>
      <c r="AL3689" s="149"/>
      <c r="AM3689" s="149"/>
      <c r="AN3689" s="149"/>
      <c r="AO3689" s="128"/>
      <c r="AP3689" s="128"/>
      <c r="AQ3689" s="128"/>
      <c r="AR3689" s="128"/>
      <c r="AS3689" s="128"/>
      <c r="AT3689" s="128"/>
      <c r="AU3689" s="128"/>
      <c r="AV3689" s="128"/>
      <c r="AW3689" s="128"/>
      <c r="AX3689" s="128"/>
      <c r="AY3689" s="128"/>
      <c r="AZ3689" s="128"/>
      <c r="BA3689" s="128"/>
      <c r="BB3689" s="128"/>
      <c r="BC3689" s="128"/>
      <c r="BD3689" s="128"/>
      <c r="BE3689" s="128"/>
      <c r="BF3689" s="128"/>
      <c r="BG3689" s="128"/>
      <c r="BH3689" s="128"/>
      <c r="BI3689" s="128"/>
      <c r="BJ3689" s="128"/>
      <c r="BK3689" s="128"/>
      <c r="BL3689" s="128"/>
      <c r="BM3689" s="151"/>
      <c r="BN3689" s="128"/>
      <c r="BO3689" s="128"/>
      <c r="BP3689" s="128"/>
      <c r="BQ3689" s="128"/>
      <c r="BR3689" s="128"/>
      <c r="BS3689" s="128"/>
      <c r="BT3689" s="128"/>
      <c r="BU3689" s="128"/>
      <c r="BV3689" s="128"/>
      <c r="BW3689" s="128"/>
      <c r="BX3689" s="128"/>
      <c r="BY3689" s="128"/>
      <c r="BZ3689" s="128"/>
      <c r="CA3689" s="128"/>
      <c r="CB3689" s="128"/>
      <c r="CC3689" s="128"/>
      <c r="CD3689" s="128"/>
      <c r="CE3689" s="128"/>
      <c r="CF3689" s="128"/>
      <c r="CG3689" s="128"/>
      <c r="CI3689" s="128"/>
      <c r="CJ3689" s="128"/>
      <c r="CK3689" s="128"/>
      <c r="CL3689" s="128"/>
      <c r="CM3689" s="128"/>
      <c r="CN3689" s="128"/>
      <c r="CO3689" s="128"/>
      <c r="CP3689" s="128"/>
      <c r="CQ3689" s="128"/>
      <c r="CR3689" s="128"/>
      <c r="CS3689" s="128"/>
      <c r="CT3689" s="128"/>
      <c r="CU3689" s="128"/>
      <c r="CV3689" s="128"/>
      <c r="CW3689" s="128"/>
      <c r="CX3689" s="128"/>
      <c r="CY3689" s="128"/>
      <c r="CZ3689" s="165"/>
    </row>
    <row r="3690" spans="1:104">
      <c r="A3690" s="149"/>
      <c r="B3690" s="149"/>
      <c r="C3690" s="150"/>
      <c r="D3690" s="102"/>
      <c r="E3690" s="149"/>
      <c r="F3690" s="149"/>
      <c r="G3690" s="149"/>
      <c r="H3690" s="149"/>
      <c r="I3690" s="149"/>
      <c r="J3690" s="149"/>
      <c r="K3690" s="149"/>
      <c r="L3690" s="149"/>
      <c r="M3690" s="149"/>
      <c r="N3690" s="149"/>
      <c r="O3690" s="149"/>
      <c r="P3690" s="149"/>
      <c r="Q3690" s="149"/>
      <c r="R3690" s="149"/>
      <c r="S3690" s="149"/>
      <c r="T3690" s="149"/>
      <c r="U3690" s="149"/>
      <c r="V3690" s="149"/>
      <c r="W3690" s="149"/>
      <c r="X3690" s="149"/>
      <c r="Y3690" s="149"/>
      <c r="Z3690" s="149"/>
      <c r="AA3690" s="149"/>
      <c r="AB3690" s="149"/>
      <c r="AC3690" s="149"/>
      <c r="AD3690" s="149"/>
      <c r="AE3690" s="149"/>
      <c r="AF3690" s="149"/>
      <c r="AG3690" s="149"/>
      <c r="AH3690" s="149"/>
      <c r="AI3690" s="149"/>
      <c r="AJ3690" s="149"/>
      <c r="AK3690" s="149"/>
      <c r="AL3690" s="149"/>
      <c r="AM3690" s="149"/>
      <c r="AN3690" s="149"/>
      <c r="AO3690" s="128"/>
      <c r="AP3690" s="128"/>
      <c r="AQ3690" s="128"/>
      <c r="AR3690" s="128"/>
      <c r="AS3690" s="128"/>
      <c r="AT3690" s="128"/>
      <c r="AU3690" s="128"/>
      <c r="AV3690" s="128"/>
      <c r="AW3690" s="128"/>
      <c r="AX3690" s="128"/>
      <c r="AY3690" s="128"/>
      <c r="AZ3690" s="128"/>
      <c r="BA3690" s="128"/>
      <c r="BB3690" s="128"/>
      <c r="BC3690" s="128"/>
      <c r="BD3690" s="128"/>
      <c r="BE3690" s="128"/>
      <c r="BF3690" s="128"/>
      <c r="BG3690" s="128"/>
      <c r="BH3690" s="128"/>
      <c r="BI3690" s="128"/>
      <c r="BJ3690" s="128"/>
      <c r="BK3690" s="128"/>
      <c r="BL3690" s="128"/>
      <c r="BM3690" s="151"/>
      <c r="BN3690" s="128"/>
      <c r="BO3690" s="128"/>
      <c r="BP3690" s="128"/>
      <c r="BQ3690" s="128"/>
      <c r="BR3690" s="128"/>
      <c r="BS3690" s="128"/>
      <c r="BT3690" s="128"/>
      <c r="BU3690" s="128"/>
      <c r="BV3690" s="128"/>
      <c r="BW3690" s="128"/>
      <c r="BX3690" s="128"/>
      <c r="BY3690" s="128"/>
      <c r="BZ3690" s="128"/>
      <c r="CA3690" s="128"/>
      <c r="CB3690" s="128"/>
      <c r="CC3690" s="128"/>
      <c r="CD3690" s="128"/>
      <c r="CE3690" s="128"/>
      <c r="CF3690" s="128"/>
      <c r="CG3690" s="128"/>
      <c r="CI3690" s="128"/>
      <c r="CJ3690" s="128"/>
      <c r="CK3690" s="128"/>
      <c r="CL3690" s="128"/>
      <c r="CM3690" s="128"/>
      <c r="CN3690" s="128"/>
      <c r="CO3690" s="128"/>
      <c r="CP3690" s="128"/>
      <c r="CQ3690" s="128"/>
      <c r="CR3690" s="128"/>
      <c r="CS3690" s="128"/>
      <c r="CT3690" s="128"/>
      <c r="CU3690" s="128"/>
      <c r="CV3690" s="128"/>
      <c r="CW3690" s="128"/>
      <c r="CX3690" s="128"/>
      <c r="CY3690" s="128"/>
      <c r="CZ3690" s="165"/>
    </row>
    <row r="3691" spans="1:104">
      <c r="A3691" s="149"/>
      <c r="B3691" s="149"/>
      <c r="C3691" s="150"/>
      <c r="D3691" s="102"/>
      <c r="E3691" s="149"/>
      <c r="F3691" s="149"/>
      <c r="G3691" s="149"/>
      <c r="H3691" s="149"/>
      <c r="I3691" s="149"/>
      <c r="J3691" s="149"/>
      <c r="K3691" s="149"/>
      <c r="L3691" s="149"/>
      <c r="M3691" s="149"/>
      <c r="N3691" s="149"/>
      <c r="O3691" s="149"/>
      <c r="P3691" s="149"/>
      <c r="Q3691" s="149"/>
      <c r="R3691" s="149"/>
      <c r="S3691" s="149"/>
      <c r="T3691" s="149"/>
      <c r="U3691" s="149"/>
      <c r="V3691" s="149"/>
      <c r="W3691" s="149"/>
      <c r="X3691" s="149"/>
      <c r="Y3691" s="149"/>
      <c r="Z3691" s="149"/>
      <c r="AA3691" s="149"/>
      <c r="AB3691" s="149"/>
      <c r="AC3691" s="149"/>
      <c r="AD3691" s="149"/>
      <c r="AE3691" s="149"/>
      <c r="AF3691" s="149"/>
      <c r="AG3691" s="149"/>
      <c r="AH3691" s="149"/>
      <c r="AI3691" s="149"/>
      <c r="AJ3691" s="149"/>
      <c r="AK3691" s="149"/>
      <c r="AL3691" s="149"/>
      <c r="AM3691" s="149"/>
      <c r="AN3691" s="149"/>
      <c r="AO3691" s="128"/>
      <c r="AP3691" s="128"/>
      <c r="AQ3691" s="128"/>
      <c r="AR3691" s="128"/>
      <c r="AS3691" s="128"/>
      <c r="AT3691" s="128"/>
      <c r="AU3691" s="128"/>
      <c r="AV3691" s="128"/>
      <c r="AW3691" s="128"/>
      <c r="AX3691" s="128"/>
      <c r="AY3691" s="128"/>
      <c r="AZ3691" s="128"/>
      <c r="BA3691" s="128"/>
      <c r="BB3691" s="128"/>
      <c r="BC3691" s="128"/>
      <c r="BD3691" s="128"/>
      <c r="BE3691" s="128"/>
      <c r="BF3691" s="128"/>
      <c r="BG3691" s="128"/>
      <c r="BH3691" s="128"/>
      <c r="BI3691" s="128"/>
      <c r="BJ3691" s="128"/>
      <c r="BK3691" s="128"/>
      <c r="BL3691" s="128"/>
      <c r="BM3691" s="151"/>
      <c r="BN3691" s="128"/>
      <c r="BO3691" s="128"/>
      <c r="BP3691" s="128"/>
      <c r="BQ3691" s="128"/>
      <c r="BR3691" s="128"/>
      <c r="BS3691" s="128"/>
      <c r="BT3691" s="128"/>
      <c r="BU3691" s="128"/>
      <c r="BV3691" s="128"/>
      <c r="BW3691" s="128"/>
      <c r="BX3691" s="128"/>
      <c r="BY3691" s="128"/>
      <c r="BZ3691" s="128"/>
      <c r="CA3691" s="128"/>
      <c r="CB3691" s="128"/>
      <c r="CC3691" s="128"/>
      <c r="CD3691" s="128"/>
      <c r="CE3691" s="128"/>
      <c r="CF3691" s="128"/>
      <c r="CG3691" s="128"/>
      <c r="CI3691" s="128"/>
      <c r="CJ3691" s="128"/>
      <c r="CK3691" s="128"/>
      <c r="CL3691" s="128"/>
      <c r="CM3691" s="128"/>
      <c r="CN3691" s="128"/>
      <c r="CO3691" s="128"/>
      <c r="CP3691" s="128"/>
      <c r="CQ3691" s="128"/>
      <c r="CR3691" s="128"/>
      <c r="CS3691" s="128"/>
      <c r="CT3691" s="128"/>
      <c r="CU3691" s="128"/>
      <c r="CV3691" s="128"/>
      <c r="CW3691" s="128"/>
      <c r="CX3691" s="128"/>
      <c r="CY3691" s="128"/>
      <c r="CZ3691" s="165"/>
    </row>
    <row r="3692" spans="1:104">
      <c r="A3692" s="149"/>
      <c r="B3692" s="149"/>
      <c r="C3692" s="150"/>
      <c r="D3692" s="102"/>
      <c r="E3692" s="149"/>
      <c r="F3692" s="149"/>
      <c r="G3692" s="149"/>
      <c r="H3692" s="149"/>
      <c r="I3692" s="149"/>
      <c r="J3692" s="149"/>
      <c r="K3692" s="149"/>
      <c r="L3692" s="149"/>
      <c r="M3692" s="149"/>
      <c r="N3692" s="149"/>
      <c r="O3692" s="149"/>
      <c r="P3692" s="149"/>
      <c r="Q3692" s="149"/>
      <c r="R3692" s="149"/>
      <c r="S3692" s="149"/>
      <c r="T3692" s="149"/>
      <c r="U3692" s="149"/>
      <c r="V3692" s="149"/>
      <c r="W3692" s="149"/>
      <c r="X3692" s="149"/>
      <c r="Y3692" s="149"/>
      <c r="Z3692" s="149"/>
      <c r="AA3692" s="149"/>
      <c r="AB3692" s="149"/>
      <c r="AC3692" s="149"/>
      <c r="AD3692" s="149"/>
      <c r="AE3692" s="149"/>
      <c r="AF3692" s="149"/>
      <c r="AG3692" s="149"/>
      <c r="AH3692" s="149"/>
      <c r="AI3692" s="149"/>
      <c r="AJ3692" s="149"/>
      <c r="AK3692" s="149"/>
      <c r="AL3692" s="149"/>
      <c r="AM3692" s="149"/>
      <c r="AN3692" s="149"/>
      <c r="AO3692" s="128"/>
      <c r="AP3692" s="128"/>
      <c r="AQ3692" s="128"/>
      <c r="AR3692" s="128"/>
      <c r="AS3692" s="128"/>
      <c r="AT3692" s="128"/>
      <c r="AU3692" s="128"/>
      <c r="AV3692" s="128"/>
      <c r="AW3692" s="128"/>
      <c r="AX3692" s="128"/>
      <c r="AY3692" s="128"/>
      <c r="AZ3692" s="128"/>
      <c r="BA3692" s="128"/>
      <c r="BB3692" s="128"/>
      <c r="BC3692" s="128"/>
      <c r="BD3692" s="128"/>
      <c r="BE3692" s="128"/>
      <c r="BF3692" s="128"/>
      <c r="BG3692" s="128"/>
      <c r="BH3692" s="128"/>
      <c r="BI3692" s="128"/>
      <c r="BJ3692" s="128"/>
      <c r="BK3692" s="128"/>
      <c r="BL3692" s="128"/>
      <c r="BM3692" s="151"/>
      <c r="BN3692" s="128"/>
      <c r="BO3692" s="128"/>
      <c r="BP3692" s="128"/>
      <c r="BQ3692" s="128"/>
      <c r="BR3692" s="128"/>
      <c r="BS3692" s="128"/>
      <c r="BT3692" s="128"/>
      <c r="BU3692" s="128"/>
      <c r="BV3692" s="128"/>
      <c r="BW3692" s="128"/>
      <c r="BX3692" s="128"/>
      <c r="BY3692" s="128"/>
      <c r="BZ3692" s="128"/>
      <c r="CA3692" s="128"/>
      <c r="CB3692" s="128"/>
      <c r="CC3692" s="128"/>
      <c r="CD3692" s="128"/>
      <c r="CE3692" s="128"/>
      <c r="CF3692" s="128"/>
      <c r="CG3692" s="128"/>
      <c r="CI3692" s="128"/>
      <c r="CJ3692" s="128"/>
      <c r="CK3692" s="128"/>
      <c r="CL3692" s="128"/>
      <c r="CM3692" s="128"/>
      <c r="CN3692" s="128"/>
      <c r="CO3692" s="128"/>
      <c r="CP3692" s="128"/>
      <c r="CQ3692" s="128"/>
      <c r="CR3692" s="128"/>
      <c r="CS3692" s="128"/>
      <c r="CT3692" s="128"/>
      <c r="CU3692" s="128"/>
      <c r="CV3692" s="128"/>
      <c r="CW3692" s="128"/>
      <c r="CX3692" s="128"/>
      <c r="CY3692" s="128"/>
      <c r="CZ3692" s="165"/>
    </row>
    <row r="3693" spans="1:104">
      <c r="A3693" s="149"/>
      <c r="B3693" s="149"/>
      <c r="C3693" s="150"/>
      <c r="D3693" s="102"/>
      <c r="E3693" s="149"/>
      <c r="F3693" s="149"/>
      <c r="G3693" s="149"/>
      <c r="H3693" s="149"/>
      <c r="I3693" s="149"/>
      <c r="J3693" s="149"/>
      <c r="K3693" s="149"/>
      <c r="L3693" s="149"/>
      <c r="M3693" s="149"/>
      <c r="N3693" s="149"/>
      <c r="O3693" s="149"/>
      <c r="P3693" s="149"/>
      <c r="Q3693" s="149"/>
      <c r="R3693" s="149"/>
      <c r="S3693" s="149"/>
      <c r="T3693" s="149"/>
      <c r="U3693" s="149"/>
      <c r="V3693" s="149"/>
      <c r="W3693" s="149"/>
      <c r="X3693" s="149"/>
      <c r="Y3693" s="149"/>
      <c r="Z3693" s="149"/>
      <c r="AA3693" s="149"/>
      <c r="AB3693" s="149"/>
      <c r="AC3693" s="149"/>
      <c r="AD3693" s="149"/>
      <c r="AE3693" s="149"/>
      <c r="AF3693" s="149"/>
      <c r="AG3693" s="149"/>
      <c r="AH3693" s="149"/>
      <c r="AI3693" s="149"/>
      <c r="AJ3693" s="149"/>
      <c r="AK3693" s="149"/>
      <c r="AL3693" s="149"/>
      <c r="AM3693" s="149"/>
      <c r="AN3693" s="149"/>
      <c r="AO3693" s="128"/>
      <c r="AP3693" s="128"/>
      <c r="AQ3693" s="128"/>
      <c r="AR3693" s="128"/>
      <c r="AS3693" s="128"/>
      <c r="AT3693" s="128"/>
      <c r="AU3693" s="128"/>
      <c r="AV3693" s="128"/>
      <c r="AW3693" s="128"/>
      <c r="AX3693" s="128"/>
      <c r="AY3693" s="128"/>
      <c r="AZ3693" s="128"/>
      <c r="BA3693" s="128"/>
      <c r="BB3693" s="128"/>
      <c r="BC3693" s="128"/>
      <c r="BD3693" s="128"/>
      <c r="BE3693" s="128"/>
      <c r="BF3693" s="128"/>
      <c r="BG3693" s="128"/>
      <c r="BH3693" s="128"/>
      <c r="BI3693" s="128"/>
      <c r="BJ3693" s="128"/>
      <c r="BK3693" s="128"/>
      <c r="BL3693" s="128"/>
      <c r="BM3693" s="151"/>
      <c r="BN3693" s="128"/>
      <c r="BO3693" s="128"/>
      <c r="BP3693" s="128"/>
      <c r="BQ3693" s="128"/>
      <c r="BR3693" s="128"/>
      <c r="BS3693" s="128"/>
      <c r="BT3693" s="128"/>
      <c r="BU3693" s="128"/>
      <c r="BV3693" s="128"/>
      <c r="BW3693" s="128"/>
      <c r="BX3693" s="128"/>
      <c r="BY3693" s="128"/>
      <c r="BZ3693" s="128"/>
      <c r="CA3693" s="128"/>
      <c r="CB3693" s="128"/>
      <c r="CC3693" s="128"/>
      <c r="CD3693" s="128"/>
      <c r="CE3693" s="128"/>
      <c r="CF3693" s="128"/>
      <c r="CG3693" s="128"/>
      <c r="CI3693" s="128"/>
      <c r="CJ3693" s="128"/>
      <c r="CK3693" s="128"/>
      <c r="CL3693" s="128"/>
      <c r="CM3693" s="128"/>
      <c r="CN3693" s="128"/>
      <c r="CO3693" s="128"/>
      <c r="CP3693" s="128"/>
      <c r="CQ3693" s="128"/>
      <c r="CR3693" s="128"/>
      <c r="CS3693" s="128"/>
      <c r="CT3693" s="128"/>
      <c r="CU3693" s="128"/>
      <c r="CV3693" s="128"/>
      <c r="CW3693" s="128"/>
      <c r="CX3693" s="128"/>
      <c r="CY3693" s="128"/>
      <c r="CZ3693" s="165"/>
    </row>
    <row r="3694" spans="1:104">
      <c r="A3694" s="149"/>
      <c r="B3694" s="149"/>
      <c r="C3694" s="150"/>
      <c r="D3694" s="102"/>
      <c r="E3694" s="149"/>
      <c r="F3694" s="149"/>
      <c r="G3694" s="149"/>
      <c r="H3694" s="149"/>
      <c r="I3694" s="149"/>
      <c r="J3694" s="149"/>
      <c r="K3694" s="149"/>
      <c r="L3694" s="149"/>
      <c r="M3694" s="149"/>
      <c r="N3694" s="149"/>
      <c r="O3694" s="149"/>
      <c r="P3694" s="149"/>
      <c r="Q3694" s="149"/>
      <c r="R3694" s="149"/>
      <c r="S3694" s="149"/>
      <c r="T3694" s="149"/>
      <c r="U3694" s="149"/>
      <c r="V3694" s="149"/>
      <c r="W3694" s="149"/>
      <c r="X3694" s="149"/>
      <c r="Y3694" s="149"/>
      <c r="Z3694" s="149"/>
      <c r="AA3694" s="149"/>
      <c r="AB3694" s="149"/>
      <c r="AC3694" s="149"/>
      <c r="AD3694" s="149"/>
      <c r="AE3694" s="149"/>
      <c r="AF3694" s="149"/>
      <c r="AG3694" s="149"/>
      <c r="AH3694" s="149"/>
      <c r="AI3694" s="149"/>
      <c r="AJ3694" s="149"/>
      <c r="AK3694" s="149"/>
      <c r="AL3694" s="149"/>
      <c r="AM3694" s="149"/>
      <c r="AN3694" s="149"/>
      <c r="AO3694" s="128"/>
      <c r="AP3694" s="128"/>
      <c r="AQ3694" s="128"/>
      <c r="AR3694" s="128"/>
      <c r="AS3694" s="128"/>
      <c r="AT3694" s="128"/>
      <c r="AU3694" s="128"/>
      <c r="AV3694" s="128"/>
      <c r="AW3694" s="128"/>
      <c r="AX3694" s="128"/>
      <c r="AY3694" s="128"/>
      <c r="AZ3694" s="128"/>
      <c r="BA3694" s="128"/>
      <c r="BB3694" s="128"/>
      <c r="BC3694" s="128"/>
      <c r="BD3694" s="128"/>
      <c r="BE3694" s="128"/>
      <c r="BF3694" s="128"/>
      <c r="BG3694" s="128"/>
      <c r="BH3694" s="128"/>
      <c r="BI3694" s="128"/>
      <c r="BJ3694" s="128"/>
      <c r="BK3694" s="128"/>
      <c r="BL3694" s="128"/>
      <c r="BM3694" s="151"/>
      <c r="BN3694" s="128"/>
      <c r="BO3694" s="128"/>
      <c r="BP3694" s="128"/>
      <c r="BQ3694" s="128"/>
      <c r="BR3694" s="128"/>
      <c r="BS3694" s="128"/>
      <c r="BT3694" s="128"/>
      <c r="BU3694" s="128"/>
      <c r="BV3694" s="128"/>
      <c r="BW3694" s="128"/>
      <c r="BX3694" s="128"/>
      <c r="BY3694" s="128"/>
      <c r="BZ3694" s="128"/>
      <c r="CA3694" s="128"/>
      <c r="CB3694" s="128"/>
      <c r="CC3694" s="128"/>
      <c r="CD3694" s="128"/>
      <c r="CE3694" s="128"/>
      <c r="CF3694" s="128"/>
      <c r="CG3694" s="128"/>
      <c r="CI3694" s="128"/>
      <c r="CJ3694" s="128"/>
      <c r="CK3694" s="128"/>
      <c r="CL3694" s="128"/>
      <c r="CM3694" s="128"/>
      <c r="CN3694" s="128"/>
      <c r="CO3694" s="128"/>
      <c r="CP3694" s="128"/>
      <c r="CQ3694" s="128"/>
      <c r="CR3694" s="128"/>
      <c r="CS3694" s="128"/>
      <c r="CT3694" s="128"/>
      <c r="CU3694" s="128"/>
      <c r="CV3694" s="128"/>
      <c r="CW3694" s="128"/>
      <c r="CX3694" s="128"/>
      <c r="CY3694" s="128"/>
      <c r="CZ3694" s="165"/>
    </row>
    <row r="3695" spans="1:104">
      <c r="A3695" s="149"/>
      <c r="B3695" s="149"/>
      <c r="C3695" s="150"/>
      <c r="D3695" s="102"/>
      <c r="E3695" s="149"/>
      <c r="F3695" s="149"/>
      <c r="G3695" s="149"/>
      <c r="H3695" s="149"/>
      <c r="I3695" s="149"/>
      <c r="J3695" s="149"/>
      <c r="K3695" s="149"/>
      <c r="L3695" s="149"/>
      <c r="M3695" s="149"/>
      <c r="N3695" s="149"/>
      <c r="O3695" s="149"/>
      <c r="P3695" s="149"/>
      <c r="Q3695" s="149"/>
      <c r="R3695" s="149"/>
      <c r="S3695" s="149"/>
      <c r="T3695" s="149"/>
      <c r="U3695" s="149"/>
      <c r="V3695" s="149"/>
      <c r="W3695" s="149"/>
      <c r="X3695" s="149"/>
      <c r="Y3695" s="149"/>
      <c r="Z3695" s="149"/>
      <c r="AA3695" s="149"/>
      <c r="AB3695" s="149"/>
      <c r="AC3695" s="149"/>
      <c r="AD3695" s="149"/>
      <c r="AE3695" s="149"/>
      <c r="AF3695" s="149"/>
      <c r="AG3695" s="149"/>
      <c r="AH3695" s="149"/>
      <c r="AI3695" s="149"/>
      <c r="AJ3695" s="149"/>
      <c r="AK3695" s="149"/>
      <c r="AL3695" s="149"/>
      <c r="AM3695" s="149"/>
      <c r="AN3695" s="149"/>
      <c r="AO3695" s="128"/>
      <c r="AP3695" s="128"/>
      <c r="AQ3695" s="128"/>
      <c r="AR3695" s="128"/>
      <c r="AS3695" s="128"/>
      <c r="AT3695" s="128"/>
      <c r="AU3695" s="128"/>
      <c r="AV3695" s="128"/>
      <c r="AW3695" s="128"/>
      <c r="AX3695" s="128"/>
      <c r="AY3695" s="128"/>
      <c r="AZ3695" s="128"/>
      <c r="BA3695" s="128"/>
      <c r="BB3695" s="128"/>
      <c r="BC3695" s="128"/>
      <c r="BD3695" s="128"/>
      <c r="BE3695" s="128"/>
      <c r="BF3695" s="128"/>
      <c r="BG3695" s="128"/>
      <c r="BH3695" s="128"/>
      <c r="BI3695" s="128"/>
      <c r="BJ3695" s="128"/>
      <c r="BK3695" s="128"/>
      <c r="BL3695" s="128"/>
      <c r="BM3695" s="151"/>
      <c r="BN3695" s="128"/>
      <c r="BO3695" s="128"/>
      <c r="BP3695" s="128"/>
      <c r="BQ3695" s="128"/>
      <c r="BR3695" s="128"/>
      <c r="BS3695" s="128"/>
      <c r="BT3695" s="128"/>
      <c r="BU3695" s="128"/>
      <c r="BV3695" s="128"/>
      <c r="BW3695" s="128"/>
      <c r="BX3695" s="128"/>
      <c r="BY3695" s="128"/>
      <c r="BZ3695" s="128"/>
      <c r="CA3695" s="128"/>
      <c r="CB3695" s="128"/>
      <c r="CC3695" s="128"/>
      <c r="CD3695" s="128"/>
      <c r="CE3695" s="128"/>
      <c r="CF3695" s="128"/>
      <c r="CG3695" s="128"/>
      <c r="CI3695" s="128"/>
      <c r="CJ3695" s="128"/>
      <c r="CK3695" s="128"/>
      <c r="CL3695" s="128"/>
      <c r="CM3695" s="128"/>
      <c r="CN3695" s="128"/>
      <c r="CO3695" s="128"/>
      <c r="CP3695" s="128"/>
      <c r="CQ3695" s="128"/>
      <c r="CR3695" s="128"/>
      <c r="CS3695" s="128"/>
      <c r="CT3695" s="128"/>
      <c r="CU3695" s="128"/>
      <c r="CV3695" s="128"/>
      <c r="CW3695" s="128"/>
      <c r="CX3695" s="128"/>
      <c r="CY3695" s="128"/>
      <c r="CZ3695" s="165"/>
    </row>
    <row r="3696" spans="1:104">
      <c r="A3696" s="149"/>
      <c r="B3696" s="149"/>
      <c r="C3696" s="150"/>
      <c r="D3696" s="102"/>
      <c r="E3696" s="149"/>
      <c r="F3696" s="149"/>
      <c r="G3696" s="149"/>
      <c r="H3696" s="149"/>
      <c r="I3696" s="149"/>
      <c r="J3696" s="149"/>
      <c r="K3696" s="149"/>
      <c r="L3696" s="149"/>
      <c r="M3696" s="149"/>
      <c r="N3696" s="149"/>
      <c r="O3696" s="149"/>
      <c r="P3696" s="149"/>
      <c r="Q3696" s="149"/>
      <c r="R3696" s="149"/>
      <c r="S3696" s="149"/>
      <c r="T3696" s="149"/>
      <c r="U3696" s="149"/>
      <c r="V3696" s="149"/>
      <c r="W3696" s="149"/>
      <c r="X3696" s="149"/>
      <c r="Y3696" s="149"/>
      <c r="Z3696" s="149"/>
      <c r="AA3696" s="149"/>
      <c r="AB3696" s="149"/>
      <c r="AC3696" s="149"/>
      <c r="AD3696" s="149"/>
      <c r="AE3696" s="149"/>
      <c r="AF3696" s="149"/>
      <c r="AG3696" s="149"/>
      <c r="AH3696" s="149"/>
      <c r="AI3696" s="149"/>
      <c r="AJ3696" s="149"/>
      <c r="AK3696" s="149"/>
      <c r="AL3696" s="149"/>
      <c r="AM3696" s="149"/>
      <c r="AN3696" s="149"/>
      <c r="AO3696" s="128"/>
      <c r="AP3696" s="128"/>
      <c r="AQ3696" s="128"/>
      <c r="AR3696" s="128"/>
      <c r="AS3696" s="128"/>
      <c r="AT3696" s="128"/>
      <c r="AU3696" s="128"/>
      <c r="AV3696" s="128"/>
      <c r="AW3696" s="128"/>
      <c r="AX3696" s="128"/>
      <c r="AY3696" s="128"/>
      <c r="AZ3696" s="128"/>
      <c r="BA3696" s="128"/>
      <c r="BB3696" s="128"/>
      <c r="BC3696" s="128"/>
      <c r="BD3696" s="128"/>
      <c r="BE3696" s="128"/>
      <c r="BF3696" s="128"/>
      <c r="BG3696" s="128"/>
      <c r="BH3696" s="128"/>
      <c r="BI3696" s="128"/>
      <c r="BJ3696" s="128"/>
      <c r="BK3696" s="128"/>
      <c r="BL3696" s="128"/>
      <c r="BM3696" s="151"/>
      <c r="BN3696" s="128"/>
      <c r="BO3696" s="128"/>
      <c r="BP3696" s="128"/>
      <c r="BQ3696" s="128"/>
      <c r="BR3696" s="128"/>
      <c r="BS3696" s="128"/>
      <c r="BT3696" s="128"/>
      <c r="BU3696" s="128"/>
      <c r="BV3696" s="128"/>
      <c r="BW3696" s="128"/>
      <c r="BX3696" s="128"/>
      <c r="BY3696" s="128"/>
      <c r="BZ3696" s="128"/>
      <c r="CA3696" s="128"/>
      <c r="CB3696" s="128"/>
      <c r="CC3696" s="128"/>
      <c r="CD3696" s="128"/>
      <c r="CE3696" s="128"/>
      <c r="CF3696" s="128"/>
      <c r="CG3696" s="128"/>
      <c r="CI3696" s="128"/>
      <c r="CJ3696" s="128"/>
      <c r="CK3696" s="128"/>
      <c r="CL3696" s="128"/>
      <c r="CM3696" s="128"/>
      <c r="CN3696" s="128"/>
      <c r="CO3696" s="128"/>
      <c r="CP3696" s="128"/>
      <c r="CQ3696" s="128"/>
      <c r="CR3696" s="128"/>
      <c r="CS3696" s="128"/>
      <c r="CT3696" s="128"/>
      <c r="CU3696" s="128"/>
      <c r="CV3696" s="128"/>
      <c r="CW3696" s="128"/>
      <c r="CX3696" s="128"/>
      <c r="CY3696" s="128"/>
      <c r="CZ3696" s="165"/>
    </row>
    <row r="3697" spans="1:104">
      <c r="A3697" s="149"/>
      <c r="B3697" s="149"/>
      <c r="C3697" s="150"/>
      <c r="D3697" s="102"/>
      <c r="E3697" s="149"/>
      <c r="F3697" s="149"/>
      <c r="G3697" s="149"/>
      <c r="H3697" s="149"/>
      <c r="I3697" s="149"/>
      <c r="J3697" s="149"/>
      <c r="K3697" s="149"/>
      <c r="L3697" s="149"/>
      <c r="M3697" s="149"/>
      <c r="N3697" s="149"/>
      <c r="O3697" s="149"/>
      <c r="P3697" s="149"/>
      <c r="Q3697" s="149"/>
      <c r="R3697" s="149"/>
      <c r="S3697" s="149"/>
      <c r="T3697" s="149"/>
      <c r="U3697" s="149"/>
      <c r="V3697" s="149"/>
      <c r="W3697" s="149"/>
      <c r="X3697" s="149"/>
      <c r="Y3697" s="149"/>
      <c r="Z3697" s="149"/>
      <c r="AA3697" s="149"/>
      <c r="AB3697" s="149"/>
      <c r="AC3697" s="149"/>
      <c r="AD3697" s="149"/>
      <c r="AE3697" s="149"/>
      <c r="AF3697" s="149"/>
      <c r="AG3697" s="149"/>
      <c r="AH3697" s="149"/>
      <c r="AI3697" s="149"/>
      <c r="AJ3697" s="149"/>
      <c r="AK3697" s="149"/>
      <c r="AL3697" s="149"/>
      <c r="AM3697" s="149"/>
      <c r="AN3697" s="149"/>
      <c r="AO3697" s="128"/>
      <c r="AP3697" s="128"/>
      <c r="AQ3697" s="128"/>
      <c r="AR3697" s="128"/>
      <c r="AS3697" s="128"/>
      <c r="AT3697" s="128"/>
      <c r="AU3697" s="128"/>
      <c r="AV3697" s="128"/>
      <c r="AW3697" s="128"/>
      <c r="AX3697" s="128"/>
      <c r="AY3697" s="128"/>
      <c r="AZ3697" s="128"/>
      <c r="BA3697" s="128"/>
      <c r="BB3697" s="128"/>
      <c r="BC3697" s="128"/>
      <c r="BD3697" s="128"/>
      <c r="BE3697" s="128"/>
      <c r="BF3697" s="128"/>
      <c r="BG3697" s="128"/>
      <c r="BH3697" s="128"/>
      <c r="BI3697" s="128"/>
      <c r="BJ3697" s="128"/>
      <c r="BK3697" s="128"/>
      <c r="BL3697" s="128"/>
      <c r="BM3697" s="151"/>
      <c r="BN3697" s="128"/>
      <c r="BO3697" s="128"/>
      <c r="BP3697" s="128"/>
      <c r="BQ3697" s="128"/>
      <c r="BR3697" s="128"/>
      <c r="BS3697" s="128"/>
      <c r="BT3697" s="128"/>
      <c r="BU3697" s="128"/>
      <c r="BV3697" s="128"/>
      <c r="BW3697" s="128"/>
      <c r="BX3697" s="128"/>
      <c r="BY3697" s="128"/>
      <c r="BZ3697" s="128"/>
      <c r="CA3697" s="128"/>
      <c r="CB3697" s="128"/>
      <c r="CC3697" s="128"/>
      <c r="CD3697" s="128"/>
      <c r="CE3697" s="128"/>
      <c r="CF3697" s="128"/>
      <c r="CG3697" s="128"/>
      <c r="CI3697" s="128"/>
      <c r="CJ3697" s="128"/>
      <c r="CK3697" s="128"/>
      <c r="CL3697" s="128"/>
      <c r="CM3697" s="128"/>
      <c r="CN3697" s="128"/>
      <c r="CO3697" s="128"/>
      <c r="CP3697" s="128"/>
      <c r="CQ3697" s="128"/>
      <c r="CR3697" s="128"/>
      <c r="CS3697" s="128"/>
      <c r="CT3697" s="128"/>
      <c r="CU3697" s="128"/>
      <c r="CV3697" s="128"/>
      <c r="CW3697" s="128"/>
      <c r="CX3697" s="128"/>
      <c r="CY3697" s="128"/>
      <c r="CZ3697" s="165"/>
    </row>
    <row r="3698" spans="1:104">
      <c r="A3698" s="149"/>
      <c r="B3698" s="149"/>
      <c r="C3698" s="150"/>
      <c r="D3698" s="102"/>
      <c r="E3698" s="149"/>
      <c r="F3698" s="149"/>
      <c r="G3698" s="149"/>
      <c r="H3698" s="149"/>
      <c r="I3698" s="149"/>
      <c r="J3698" s="149"/>
      <c r="K3698" s="149"/>
      <c r="L3698" s="149"/>
      <c r="M3698" s="149"/>
      <c r="N3698" s="149"/>
      <c r="O3698" s="149"/>
      <c r="P3698" s="149"/>
      <c r="Q3698" s="149"/>
      <c r="R3698" s="149"/>
      <c r="S3698" s="149"/>
      <c r="T3698" s="149"/>
      <c r="U3698" s="149"/>
      <c r="V3698" s="149"/>
      <c r="W3698" s="149"/>
      <c r="X3698" s="149"/>
      <c r="Y3698" s="149"/>
      <c r="Z3698" s="149"/>
      <c r="AA3698" s="149"/>
      <c r="AB3698" s="149"/>
      <c r="AC3698" s="149"/>
      <c r="AD3698" s="149"/>
      <c r="AE3698" s="149"/>
      <c r="AF3698" s="149"/>
      <c r="AG3698" s="149"/>
      <c r="AH3698" s="149"/>
      <c r="AI3698" s="149"/>
      <c r="AJ3698" s="149"/>
      <c r="AK3698" s="149"/>
      <c r="AL3698" s="149"/>
      <c r="AM3698" s="149"/>
      <c r="AN3698" s="149"/>
      <c r="AO3698" s="128"/>
      <c r="AP3698" s="128"/>
      <c r="AQ3698" s="128"/>
      <c r="AR3698" s="128"/>
      <c r="AS3698" s="128"/>
      <c r="AT3698" s="128"/>
      <c r="AU3698" s="128"/>
      <c r="AV3698" s="128"/>
      <c r="AW3698" s="128"/>
      <c r="AX3698" s="128"/>
      <c r="AY3698" s="128"/>
      <c r="AZ3698" s="128"/>
      <c r="BA3698" s="128"/>
      <c r="BB3698" s="128"/>
      <c r="BC3698" s="128"/>
      <c r="BD3698" s="128"/>
      <c r="BE3698" s="128"/>
      <c r="BF3698" s="128"/>
      <c r="BG3698" s="128"/>
      <c r="BH3698" s="128"/>
      <c r="BI3698" s="128"/>
      <c r="BJ3698" s="128"/>
      <c r="BK3698" s="128"/>
      <c r="BL3698" s="128"/>
      <c r="BM3698" s="151"/>
      <c r="BN3698" s="128"/>
      <c r="BO3698" s="128"/>
      <c r="BP3698" s="128"/>
      <c r="BQ3698" s="128"/>
      <c r="BR3698" s="128"/>
      <c r="BS3698" s="128"/>
      <c r="BT3698" s="128"/>
      <c r="BU3698" s="128"/>
      <c r="BV3698" s="128"/>
      <c r="BW3698" s="128"/>
      <c r="BX3698" s="128"/>
      <c r="BY3698" s="128"/>
      <c r="BZ3698" s="128"/>
      <c r="CA3698" s="128"/>
      <c r="CB3698" s="128"/>
      <c r="CC3698" s="128"/>
      <c r="CD3698" s="128"/>
      <c r="CE3698" s="128"/>
      <c r="CF3698" s="128"/>
      <c r="CG3698" s="128"/>
      <c r="CI3698" s="128"/>
      <c r="CJ3698" s="128"/>
      <c r="CK3698" s="128"/>
      <c r="CL3698" s="128"/>
      <c r="CM3698" s="128"/>
      <c r="CN3698" s="128"/>
      <c r="CO3698" s="128"/>
      <c r="CP3698" s="128"/>
      <c r="CQ3698" s="128"/>
      <c r="CR3698" s="128"/>
      <c r="CS3698" s="128"/>
      <c r="CT3698" s="128"/>
      <c r="CU3698" s="128"/>
      <c r="CV3698" s="128"/>
      <c r="CW3698" s="128"/>
      <c r="CX3698" s="128"/>
      <c r="CY3698" s="128"/>
      <c r="CZ3698" s="165"/>
    </row>
    <row r="3699" spans="1:104">
      <c r="A3699" s="149"/>
      <c r="B3699" s="149"/>
      <c r="C3699" s="150"/>
      <c r="D3699" s="102"/>
      <c r="E3699" s="149"/>
      <c r="F3699" s="149"/>
      <c r="G3699" s="149"/>
      <c r="H3699" s="149"/>
      <c r="I3699" s="149"/>
      <c r="J3699" s="149"/>
      <c r="K3699" s="149"/>
      <c r="L3699" s="149"/>
      <c r="M3699" s="149"/>
      <c r="N3699" s="149"/>
      <c r="O3699" s="149"/>
      <c r="P3699" s="149"/>
      <c r="Q3699" s="149"/>
      <c r="R3699" s="149"/>
      <c r="S3699" s="149"/>
      <c r="T3699" s="149"/>
      <c r="U3699" s="149"/>
      <c r="V3699" s="149"/>
      <c r="W3699" s="149"/>
      <c r="X3699" s="149"/>
      <c r="Y3699" s="149"/>
      <c r="Z3699" s="149"/>
      <c r="AA3699" s="149"/>
      <c r="AB3699" s="149"/>
      <c r="AC3699" s="149"/>
      <c r="AD3699" s="149"/>
      <c r="AE3699" s="149"/>
      <c r="AF3699" s="149"/>
      <c r="AG3699" s="149"/>
      <c r="AH3699" s="149"/>
      <c r="AI3699" s="149"/>
      <c r="AJ3699" s="149"/>
      <c r="AK3699" s="149"/>
      <c r="AL3699" s="149"/>
      <c r="AM3699" s="149"/>
      <c r="AN3699" s="149"/>
      <c r="AO3699" s="128"/>
      <c r="AP3699" s="128"/>
      <c r="AQ3699" s="128"/>
      <c r="AR3699" s="128"/>
      <c r="AS3699" s="128"/>
      <c r="AT3699" s="128"/>
      <c r="AU3699" s="128"/>
      <c r="AV3699" s="128"/>
      <c r="AW3699" s="128"/>
      <c r="AX3699" s="128"/>
      <c r="AY3699" s="128"/>
      <c r="AZ3699" s="128"/>
      <c r="BA3699" s="128"/>
      <c r="BB3699" s="128"/>
      <c r="BC3699" s="128"/>
      <c r="BD3699" s="128"/>
      <c r="BE3699" s="128"/>
      <c r="BF3699" s="128"/>
      <c r="BG3699" s="128"/>
      <c r="BH3699" s="128"/>
      <c r="BI3699" s="128"/>
      <c r="BJ3699" s="128"/>
      <c r="BK3699" s="128"/>
      <c r="BL3699" s="128"/>
      <c r="BM3699" s="151"/>
      <c r="BN3699" s="128"/>
      <c r="BO3699" s="128"/>
      <c r="BP3699" s="128"/>
      <c r="BQ3699" s="128"/>
      <c r="BR3699" s="128"/>
      <c r="BS3699" s="128"/>
      <c r="BT3699" s="128"/>
      <c r="BU3699" s="128"/>
      <c r="BV3699" s="128"/>
      <c r="BW3699" s="128"/>
      <c r="BX3699" s="128"/>
      <c r="BY3699" s="128"/>
      <c r="BZ3699" s="128"/>
      <c r="CA3699" s="128"/>
      <c r="CB3699" s="128"/>
      <c r="CC3699" s="128"/>
      <c r="CD3699" s="128"/>
      <c r="CE3699" s="128"/>
      <c r="CF3699" s="128"/>
      <c r="CG3699" s="128"/>
      <c r="CI3699" s="128"/>
      <c r="CJ3699" s="128"/>
      <c r="CK3699" s="128"/>
      <c r="CL3699" s="128"/>
      <c r="CM3699" s="128"/>
      <c r="CN3699" s="128"/>
      <c r="CO3699" s="128"/>
      <c r="CP3699" s="128"/>
      <c r="CQ3699" s="128"/>
      <c r="CR3699" s="128"/>
      <c r="CS3699" s="128"/>
      <c r="CT3699" s="128"/>
      <c r="CU3699" s="128"/>
      <c r="CV3699" s="128"/>
      <c r="CW3699" s="128"/>
      <c r="CX3699" s="128"/>
      <c r="CY3699" s="128"/>
      <c r="CZ3699" s="165"/>
    </row>
    <row r="3700" spans="1:104">
      <c r="A3700" s="149"/>
      <c r="B3700" s="149"/>
      <c r="C3700" s="150"/>
      <c r="D3700" s="102"/>
      <c r="E3700" s="149"/>
      <c r="F3700" s="149"/>
      <c r="G3700" s="149"/>
      <c r="H3700" s="149"/>
      <c r="I3700" s="149"/>
      <c r="J3700" s="149"/>
      <c r="K3700" s="149"/>
      <c r="L3700" s="149"/>
      <c r="M3700" s="149"/>
      <c r="N3700" s="149"/>
      <c r="O3700" s="149"/>
      <c r="P3700" s="149"/>
      <c r="Q3700" s="149"/>
      <c r="R3700" s="149"/>
      <c r="S3700" s="149"/>
      <c r="T3700" s="149"/>
      <c r="U3700" s="149"/>
      <c r="V3700" s="149"/>
      <c r="W3700" s="149"/>
      <c r="X3700" s="149"/>
      <c r="Y3700" s="149"/>
      <c r="Z3700" s="149"/>
      <c r="AA3700" s="149"/>
      <c r="AB3700" s="149"/>
      <c r="AC3700" s="149"/>
      <c r="AD3700" s="149"/>
      <c r="AE3700" s="149"/>
      <c r="AF3700" s="149"/>
      <c r="AG3700" s="149"/>
      <c r="AH3700" s="149"/>
      <c r="AI3700" s="149"/>
      <c r="AJ3700" s="149"/>
      <c r="AK3700" s="149"/>
      <c r="AL3700" s="149"/>
      <c r="AM3700" s="149"/>
      <c r="AN3700" s="149"/>
      <c r="AO3700" s="128"/>
      <c r="AP3700" s="128"/>
      <c r="AQ3700" s="128"/>
      <c r="AR3700" s="128"/>
      <c r="AS3700" s="128"/>
      <c r="AT3700" s="128"/>
      <c r="AU3700" s="128"/>
      <c r="AV3700" s="128"/>
      <c r="AW3700" s="128"/>
      <c r="AX3700" s="128"/>
      <c r="AY3700" s="128"/>
      <c r="AZ3700" s="128"/>
      <c r="BA3700" s="128"/>
      <c r="BB3700" s="128"/>
      <c r="BC3700" s="128"/>
      <c r="BD3700" s="128"/>
      <c r="BE3700" s="128"/>
      <c r="BF3700" s="128"/>
      <c r="BG3700" s="128"/>
      <c r="BH3700" s="128"/>
      <c r="BI3700" s="128"/>
      <c r="BJ3700" s="128"/>
      <c r="BK3700" s="128"/>
      <c r="BL3700" s="128"/>
      <c r="BM3700" s="151"/>
      <c r="BN3700" s="128"/>
      <c r="BO3700" s="128"/>
      <c r="BP3700" s="128"/>
      <c r="BQ3700" s="128"/>
      <c r="BR3700" s="128"/>
      <c r="BS3700" s="128"/>
      <c r="BT3700" s="128"/>
      <c r="BU3700" s="128"/>
      <c r="BV3700" s="128"/>
      <c r="BW3700" s="128"/>
      <c r="BX3700" s="128"/>
      <c r="BY3700" s="128"/>
      <c r="BZ3700" s="128"/>
      <c r="CA3700" s="128"/>
      <c r="CB3700" s="128"/>
      <c r="CC3700" s="128"/>
      <c r="CD3700" s="128"/>
      <c r="CE3700" s="128"/>
      <c r="CF3700" s="128"/>
      <c r="CG3700" s="128"/>
      <c r="CI3700" s="128"/>
      <c r="CJ3700" s="128"/>
      <c r="CK3700" s="128"/>
      <c r="CL3700" s="128"/>
      <c r="CM3700" s="128"/>
      <c r="CN3700" s="128"/>
      <c r="CO3700" s="128"/>
      <c r="CP3700" s="128"/>
      <c r="CQ3700" s="128"/>
      <c r="CR3700" s="128"/>
      <c r="CS3700" s="128"/>
      <c r="CT3700" s="128"/>
      <c r="CU3700" s="128"/>
      <c r="CV3700" s="128"/>
      <c r="CW3700" s="128"/>
      <c r="CX3700" s="128"/>
      <c r="CY3700" s="128"/>
      <c r="CZ3700" s="165"/>
    </row>
    <row r="3701" spans="1:104">
      <c r="A3701" s="149"/>
      <c r="B3701" s="149"/>
      <c r="C3701" s="150"/>
      <c r="D3701" s="102"/>
      <c r="E3701" s="149"/>
      <c r="F3701" s="149"/>
      <c r="G3701" s="149"/>
      <c r="H3701" s="149"/>
      <c r="I3701" s="149"/>
      <c r="J3701" s="149"/>
      <c r="K3701" s="149"/>
      <c r="L3701" s="149"/>
      <c r="M3701" s="149"/>
      <c r="N3701" s="149"/>
      <c r="O3701" s="149"/>
      <c r="P3701" s="149"/>
      <c r="Q3701" s="149"/>
      <c r="R3701" s="149"/>
      <c r="S3701" s="149"/>
      <c r="T3701" s="149"/>
      <c r="U3701" s="149"/>
      <c r="V3701" s="149"/>
      <c r="W3701" s="149"/>
      <c r="X3701" s="149"/>
      <c r="Y3701" s="149"/>
      <c r="Z3701" s="149"/>
      <c r="AA3701" s="149"/>
      <c r="AB3701" s="149"/>
      <c r="AC3701" s="149"/>
      <c r="AD3701" s="149"/>
      <c r="AE3701" s="149"/>
      <c r="AF3701" s="149"/>
      <c r="AG3701" s="149"/>
      <c r="AH3701" s="149"/>
      <c r="AI3701" s="149"/>
      <c r="AJ3701" s="149"/>
      <c r="AK3701" s="149"/>
      <c r="AL3701" s="149"/>
      <c r="AM3701" s="149"/>
      <c r="AN3701" s="149"/>
      <c r="AO3701" s="128"/>
      <c r="AP3701" s="128"/>
      <c r="AQ3701" s="128"/>
      <c r="AR3701" s="128"/>
      <c r="AS3701" s="128"/>
      <c r="AT3701" s="128"/>
      <c r="AU3701" s="128"/>
      <c r="AV3701" s="128"/>
      <c r="AW3701" s="128"/>
      <c r="AX3701" s="128"/>
      <c r="AY3701" s="128"/>
      <c r="AZ3701" s="128"/>
      <c r="BA3701" s="128"/>
      <c r="BB3701" s="128"/>
      <c r="BC3701" s="128"/>
      <c r="BD3701" s="128"/>
      <c r="BE3701" s="128"/>
      <c r="BF3701" s="128"/>
      <c r="BG3701" s="128"/>
      <c r="BH3701" s="128"/>
      <c r="BI3701" s="128"/>
      <c r="BJ3701" s="128"/>
      <c r="BK3701" s="128"/>
      <c r="BL3701" s="128"/>
      <c r="BM3701" s="151"/>
      <c r="BN3701" s="128"/>
      <c r="BO3701" s="128"/>
      <c r="BP3701" s="128"/>
      <c r="BQ3701" s="128"/>
      <c r="BR3701" s="128"/>
      <c r="BS3701" s="128"/>
      <c r="BT3701" s="128"/>
      <c r="BU3701" s="128"/>
      <c r="BV3701" s="128"/>
      <c r="BW3701" s="128"/>
      <c r="BX3701" s="128"/>
      <c r="BY3701" s="128"/>
      <c r="BZ3701" s="128"/>
      <c r="CA3701" s="128"/>
      <c r="CB3701" s="128"/>
      <c r="CC3701" s="128"/>
      <c r="CD3701" s="128"/>
      <c r="CE3701" s="128"/>
      <c r="CF3701" s="128"/>
      <c r="CG3701" s="128"/>
      <c r="CI3701" s="128"/>
      <c r="CJ3701" s="128"/>
      <c r="CK3701" s="128"/>
      <c r="CL3701" s="128"/>
      <c r="CM3701" s="128"/>
      <c r="CN3701" s="128"/>
      <c r="CO3701" s="128"/>
      <c r="CP3701" s="128"/>
      <c r="CQ3701" s="128"/>
      <c r="CR3701" s="128"/>
      <c r="CS3701" s="128"/>
      <c r="CT3701" s="128"/>
      <c r="CU3701" s="128"/>
      <c r="CV3701" s="128"/>
      <c r="CW3701" s="128"/>
      <c r="CX3701" s="128"/>
      <c r="CY3701" s="128"/>
      <c r="CZ3701" s="165"/>
    </row>
    <row r="3702" spans="1:104">
      <c r="A3702" s="149"/>
      <c r="B3702" s="149"/>
      <c r="C3702" s="150"/>
      <c r="D3702" s="102"/>
      <c r="E3702" s="149"/>
      <c r="F3702" s="149"/>
      <c r="G3702" s="149"/>
      <c r="H3702" s="149"/>
      <c r="I3702" s="149"/>
      <c r="J3702" s="149"/>
      <c r="K3702" s="149"/>
      <c r="L3702" s="149"/>
      <c r="M3702" s="149"/>
      <c r="N3702" s="149"/>
      <c r="O3702" s="149"/>
      <c r="P3702" s="149"/>
      <c r="Q3702" s="149"/>
      <c r="R3702" s="149"/>
      <c r="S3702" s="149"/>
      <c r="T3702" s="149"/>
      <c r="U3702" s="149"/>
      <c r="V3702" s="149"/>
      <c r="W3702" s="149"/>
      <c r="X3702" s="149"/>
      <c r="Y3702" s="149"/>
      <c r="Z3702" s="149"/>
      <c r="AA3702" s="149"/>
      <c r="AB3702" s="149"/>
      <c r="AC3702" s="149"/>
      <c r="AD3702" s="149"/>
      <c r="AE3702" s="149"/>
      <c r="AF3702" s="149"/>
      <c r="AG3702" s="149"/>
      <c r="AH3702" s="149"/>
      <c r="AI3702" s="149"/>
      <c r="AJ3702" s="149"/>
      <c r="AK3702" s="149"/>
      <c r="AL3702" s="149"/>
      <c r="AM3702" s="149"/>
      <c r="AN3702" s="149"/>
      <c r="AO3702" s="128"/>
      <c r="AP3702" s="128"/>
      <c r="AQ3702" s="128"/>
      <c r="AR3702" s="128"/>
      <c r="AS3702" s="128"/>
      <c r="AT3702" s="128"/>
      <c r="AU3702" s="128"/>
      <c r="AV3702" s="128"/>
      <c r="AW3702" s="128"/>
      <c r="AX3702" s="128"/>
      <c r="AY3702" s="128"/>
      <c r="AZ3702" s="128"/>
      <c r="BA3702" s="128"/>
      <c r="BB3702" s="128"/>
      <c r="BC3702" s="128"/>
      <c r="BD3702" s="128"/>
      <c r="BE3702" s="128"/>
      <c r="BF3702" s="128"/>
      <c r="BG3702" s="128"/>
      <c r="BH3702" s="128"/>
      <c r="BI3702" s="128"/>
      <c r="BJ3702" s="128"/>
      <c r="BK3702" s="128"/>
      <c r="BL3702" s="128"/>
      <c r="BM3702" s="151"/>
      <c r="BN3702" s="128"/>
      <c r="BO3702" s="128"/>
      <c r="BP3702" s="128"/>
      <c r="BQ3702" s="128"/>
      <c r="BR3702" s="128"/>
      <c r="BS3702" s="128"/>
      <c r="BT3702" s="128"/>
      <c r="BU3702" s="128"/>
      <c r="BV3702" s="128"/>
      <c r="BW3702" s="128"/>
      <c r="BX3702" s="128"/>
      <c r="BY3702" s="128"/>
      <c r="BZ3702" s="128"/>
      <c r="CA3702" s="128"/>
      <c r="CB3702" s="128"/>
      <c r="CC3702" s="128"/>
      <c r="CD3702" s="128"/>
      <c r="CE3702" s="128"/>
      <c r="CF3702" s="128"/>
      <c r="CG3702" s="128"/>
      <c r="CI3702" s="128"/>
      <c r="CJ3702" s="128"/>
      <c r="CK3702" s="128"/>
      <c r="CL3702" s="128"/>
      <c r="CM3702" s="128"/>
      <c r="CN3702" s="128"/>
      <c r="CO3702" s="128"/>
      <c r="CP3702" s="128"/>
      <c r="CQ3702" s="128"/>
      <c r="CR3702" s="128"/>
      <c r="CS3702" s="128"/>
      <c r="CT3702" s="128"/>
      <c r="CU3702" s="128"/>
      <c r="CV3702" s="128"/>
      <c r="CW3702" s="128"/>
      <c r="CX3702" s="128"/>
      <c r="CY3702" s="128"/>
      <c r="CZ3702" s="165"/>
    </row>
    <row r="3703" spans="1:104">
      <c r="A3703" s="149"/>
      <c r="B3703" s="149"/>
      <c r="C3703" s="150"/>
      <c r="D3703" s="102"/>
      <c r="E3703" s="149"/>
      <c r="F3703" s="149"/>
      <c r="G3703" s="149"/>
      <c r="H3703" s="149"/>
      <c r="I3703" s="149"/>
      <c r="J3703" s="149"/>
      <c r="K3703" s="149"/>
      <c r="L3703" s="149"/>
      <c r="M3703" s="149"/>
      <c r="N3703" s="149"/>
      <c r="O3703" s="149"/>
      <c r="P3703" s="149"/>
      <c r="Q3703" s="149"/>
      <c r="R3703" s="149"/>
      <c r="S3703" s="149"/>
      <c r="T3703" s="149"/>
      <c r="U3703" s="149"/>
      <c r="V3703" s="149"/>
      <c r="W3703" s="149"/>
      <c r="X3703" s="149"/>
      <c r="Y3703" s="149"/>
      <c r="Z3703" s="149"/>
      <c r="AA3703" s="149"/>
      <c r="AB3703" s="149"/>
      <c r="AC3703" s="149"/>
      <c r="AD3703" s="149"/>
      <c r="AE3703" s="149"/>
      <c r="AF3703" s="149"/>
      <c r="AG3703" s="149"/>
      <c r="AH3703" s="149"/>
      <c r="AI3703" s="149"/>
      <c r="AJ3703" s="149"/>
      <c r="AK3703" s="149"/>
      <c r="AL3703" s="149"/>
      <c r="AM3703" s="149"/>
      <c r="AN3703" s="149"/>
      <c r="AO3703" s="128"/>
      <c r="AP3703" s="128"/>
      <c r="AQ3703" s="128"/>
      <c r="AR3703" s="128"/>
      <c r="AS3703" s="128"/>
      <c r="AT3703" s="128"/>
      <c r="AU3703" s="128"/>
      <c r="AV3703" s="128"/>
      <c r="AW3703" s="128"/>
      <c r="AX3703" s="128"/>
      <c r="AY3703" s="128"/>
      <c r="AZ3703" s="128"/>
      <c r="BA3703" s="128"/>
      <c r="BB3703" s="128"/>
      <c r="BC3703" s="128"/>
      <c r="BD3703" s="128"/>
      <c r="BE3703" s="128"/>
      <c r="BF3703" s="128"/>
      <c r="BG3703" s="128"/>
      <c r="BH3703" s="128"/>
      <c r="BI3703" s="128"/>
      <c r="BJ3703" s="128"/>
      <c r="BK3703" s="128"/>
      <c r="BL3703" s="128"/>
      <c r="BM3703" s="151"/>
      <c r="BN3703" s="128"/>
      <c r="BO3703" s="128"/>
      <c r="BP3703" s="128"/>
      <c r="BQ3703" s="128"/>
      <c r="BR3703" s="128"/>
      <c r="BS3703" s="128"/>
      <c r="BT3703" s="128"/>
      <c r="BU3703" s="128"/>
      <c r="BV3703" s="128"/>
      <c r="BW3703" s="128"/>
      <c r="BX3703" s="128"/>
      <c r="BY3703" s="128"/>
      <c r="BZ3703" s="128"/>
      <c r="CA3703" s="128"/>
      <c r="CB3703" s="128"/>
      <c r="CC3703" s="128"/>
      <c r="CD3703" s="128"/>
      <c r="CE3703" s="128"/>
      <c r="CF3703" s="128"/>
      <c r="CG3703" s="128"/>
      <c r="CI3703" s="128"/>
      <c r="CJ3703" s="128"/>
      <c r="CK3703" s="128"/>
      <c r="CL3703" s="128"/>
      <c r="CM3703" s="128"/>
      <c r="CN3703" s="128"/>
      <c r="CO3703" s="128"/>
      <c r="CP3703" s="128"/>
      <c r="CQ3703" s="128"/>
      <c r="CR3703" s="128"/>
      <c r="CS3703" s="128"/>
      <c r="CT3703" s="128"/>
      <c r="CU3703" s="128"/>
      <c r="CV3703" s="128"/>
      <c r="CW3703" s="128"/>
      <c r="CX3703" s="128"/>
      <c r="CY3703" s="128"/>
      <c r="CZ3703" s="165"/>
    </row>
    <row r="3704" spans="1:104">
      <c r="A3704" s="149"/>
      <c r="B3704" s="149"/>
      <c r="C3704" s="150"/>
      <c r="D3704" s="102"/>
      <c r="E3704" s="149"/>
      <c r="F3704" s="149"/>
      <c r="G3704" s="149"/>
      <c r="H3704" s="149"/>
      <c r="I3704" s="149"/>
      <c r="J3704" s="149"/>
      <c r="K3704" s="149"/>
      <c r="L3704" s="149"/>
      <c r="M3704" s="149"/>
      <c r="N3704" s="149"/>
      <c r="O3704" s="149"/>
      <c r="P3704" s="149"/>
      <c r="Q3704" s="149"/>
      <c r="R3704" s="149"/>
      <c r="S3704" s="149"/>
      <c r="T3704" s="149"/>
      <c r="U3704" s="149"/>
      <c r="V3704" s="149"/>
      <c r="W3704" s="149"/>
      <c r="X3704" s="149"/>
      <c r="Y3704" s="149"/>
      <c r="Z3704" s="149"/>
      <c r="AA3704" s="149"/>
      <c r="AB3704" s="149"/>
      <c r="AC3704" s="149"/>
      <c r="AD3704" s="149"/>
      <c r="AE3704" s="149"/>
      <c r="AF3704" s="149"/>
      <c r="AG3704" s="149"/>
      <c r="AH3704" s="149"/>
      <c r="AI3704" s="149"/>
      <c r="AJ3704" s="149"/>
      <c r="AK3704" s="149"/>
      <c r="AL3704" s="149"/>
      <c r="AM3704" s="149"/>
      <c r="AN3704" s="149"/>
      <c r="AO3704" s="128"/>
      <c r="AP3704" s="128"/>
      <c r="AQ3704" s="128"/>
      <c r="AR3704" s="128"/>
      <c r="AS3704" s="128"/>
      <c r="AT3704" s="128"/>
      <c r="AU3704" s="128"/>
      <c r="AV3704" s="128"/>
      <c r="AW3704" s="128"/>
      <c r="AX3704" s="128"/>
      <c r="AY3704" s="128"/>
      <c r="AZ3704" s="128"/>
      <c r="BA3704" s="128"/>
      <c r="BB3704" s="128"/>
      <c r="BC3704" s="128"/>
      <c r="BD3704" s="128"/>
      <c r="BE3704" s="128"/>
      <c r="BF3704" s="128"/>
      <c r="BG3704" s="128"/>
      <c r="BH3704" s="128"/>
      <c r="BI3704" s="128"/>
      <c r="BJ3704" s="128"/>
      <c r="BK3704" s="128"/>
      <c r="BL3704" s="128"/>
      <c r="BM3704" s="151"/>
      <c r="BN3704" s="128"/>
      <c r="BO3704" s="128"/>
      <c r="BP3704" s="128"/>
      <c r="BQ3704" s="128"/>
      <c r="BR3704" s="128"/>
      <c r="BS3704" s="128"/>
      <c r="BT3704" s="128"/>
      <c r="BU3704" s="128"/>
      <c r="BV3704" s="128"/>
      <c r="BW3704" s="128"/>
      <c r="BX3704" s="128"/>
      <c r="BY3704" s="128"/>
      <c r="BZ3704" s="128"/>
      <c r="CA3704" s="128"/>
      <c r="CB3704" s="128"/>
      <c r="CC3704" s="128"/>
      <c r="CD3704" s="128"/>
      <c r="CE3704" s="128"/>
      <c r="CF3704" s="128"/>
      <c r="CG3704" s="128"/>
      <c r="CI3704" s="128"/>
      <c r="CJ3704" s="128"/>
      <c r="CK3704" s="128"/>
      <c r="CL3704" s="128"/>
      <c r="CM3704" s="128"/>
      <c r="CN3704" s="128"/>
      <c r="CO3704" s="128"/>
      <c r="CP3704" s="128"/>
      <c r="CQ3704" s="128"/>
      <c r="CR3704" s="128"/>
      <c r="CS3704" s="128"/>
      <c r="CT3704" s="128"/>
      <c r="CU3704" s="128"/>
      <c r="CV3704" s="128"/>
      <c r="CW3704" s="128"/>
      <c r="CX3704" s="128"/>
      <c r="CY3704" s="128"/>
      <c r="CZ3704" s="165"/>
    </row>
    <row r="3705" spans="1:104">
      <c r="A3705" s="149"/>
      <c r="B3705" s="149"/>
      <c r="C3705" s="150"/>
      <c r="D3705" s="102"/>
      <c r="E3705" s="149"/>
      <c r="F3705" s="149"/>
      <c r="G3705" s="149"/>
      <c r="H3705" s="149"/>
      <c r="I3705" s="149"/>
      <c r="J3705" s="149"/>
      <c r="K3705" s="149"/>
      <c r="L3705" s="149"/>
      <c r="M3705" s="149"/>
      <c r="N3705" s="149"/>
      <c r="O3705" s="149"/>
      <c r="P3705" s="149"/>
      <c r="Q3705" s="149"/>
      <c r="R3705" s="149"/>
      <c r="S3705" s="149"/>
      <c r="T3705" s="149"/>
      <c r="U3705" s="149"/>
      <c r="V3705" s="149"/>
      <c r="W3705" s="149"/>
      <c r="X3705" s="149"/>
      <c r="Y3705" s="149"/>
      <c r="Z3705" s="149"/>
      <c r="AA3705" s="149"/>
      <c r="AB3705" s="149"/>
      <c r="AC3705" s="149"/>
      <c r="AD3705" s="149"/>
      <c r="AE3705" s="149"/>
      <c r="AF3705" s="149"/>
      <c r="AG3705" s="149"/>
      <c r="AH3705" s="149"/>
      <c r="AI3705" s="149"/>
      <c r="AJ3705" s="149"/>
      <c r="AK3705" s="149"/>
      <c r="AL3705" s="149"/>
      <c r="AM3705" s="149"/>
      <c r="AN3705" s="149"/>
      <c r="AO3705" s="128"/>
      <c r="AP3705" s="128"/>
      <c r="AQ3705" s="128"/>
      <c r="AR3705" s="128"/>
      <c r="AS3705" s="128"/>
      <c r="AT3705" s="128"/>
      <c r="AU3705" s="128"/>
      <c r="AV3705" s="128"/>
      <c r="AW3705" s="128"/>
      <c r="AX3705" s="128"/>
      <c r="AY3705" s="128"/>
      <c r="AZ3705" s="128"/>
      <c r="BA3705" s="128"/>
      <c r="BB3705" s="128"/>
      <c r="BC3705" s="128"/>
      <c r="BD3705" s="128"/>
      <c r="BE3705" s="128"/>
      <c r="BF3705" s="128"/>
      <c r="BG3705" s="128"/>
      <c r="BH3705" s="128"/>
      <c r="BI3705" s="128"/>
      <c r="BJ3705" s="128"/>
      <c r="BK3705" s="128"/>
      <c r="BL3705" s="128"/>
      <c r="BM3705" s="151"/>
      <c r="BN3705" s="128"/>
      <c r="BO3705" s="128"/>
      <c r="BP3705" s="128"/>
      <c r="BQ3705" s="128"/>
      <c r="BR3705" s="128"/>
      <c r="BS3705" s="128"/>
      <c r="BT3705" s="128"/>
      <c r="BU3705" s="128"/>
      <c r="BV3705" s="128"/>
      <c r="BW3705" s="128"/>
      <c r="BX3705" s="128"/>
      <c r="BY3705" s="128"/>
      <c r="BZ3705" s="128"/>
      <c r="CA3705" s="128"/>
      <c r="CB3705" s="128"/>
      <c r="CC3705" s="128"/>
      <c r="CD3705" s="128"/>
      <c r="CE3705" s="128"/>
      <c r="CF3705" s="128"/>
      <c r="CG3705" s="128"/>
      <c r="CI3705" s="128"/>
      <c r="CJ3705" s="128"/>
      <c r="CK3705" s="128"/>
      <c r="CL3705" s="128"/>
      <c r="CM3705" s="128"/>
      <c r="CN3705" s="128"/>
      <c r="CO3705" s="128"/>
      <c r="CP3705" s="128"/>
      <c r="CQ3705" s="128"/>
      <c r="CR3705" s="128"/>
      <c r="CS3705" s="128"/>
      <c r="CT3705" s="128"/>
      <c r="CU3705" s="128"/>
      <c r="CV3705" s="128"/>
      <c r="CW3705" s="128"/>
      <c r="CX3705" s="128"/>
      <c r="CY3705" s="128"/>
      <c r="CZ3705" s="165"/>
    </row>
    <row r="3706" spans="1:104">
      <c r="A3706" s="149"/>
      <c r="B3706" s="149"/>
      <c r="C3706" s="150"/>
      <c r="D3706" s="102"/>
      <c r="E3706" s="149"/>
      <c r="F3706" s="149"/>
      <c r="G3706" s="149"/>
      <c r="H3706" s="149"/>
      <c r="I3706" s="149"/>
      <c r="J3706" s="149"/>
      <c r="K3706" s="149"/>
      <c r="L3706" s="149"/>
      <c r="M3706" s="149"/>
      <c r="N3706" s="149"/>
      <c r="O3706" s="149"/>
      <c r="P3706" s="149"/>
      <c r="Q3706" s="149"/>
      <c r="R3706" s="149"/>
      <c r="S3706" s="149"/>
      <c r="T3706" s="149"/>
      <c r="U3706" s="149"/>
      <c r="V3706" s="149"/>
      <c r="W3706" s="149"/>
      <c r="X3706" s="149"/>
      <c r="Y3706" s="149"/>
      <c r="Z3706" s="149"/>
      <c r="AA3706" s="149"/>
      <c r="AB3706" s="149"/>
      <c r="AC3706" s="149"/>
      <c r="AD3706" s="149"/>
      <c r="AE3706" s="149"/>
      <c r="AF3706" s="149"/>
      <c r="AG3706" s="149"/>
      <c r="AH3706" s="149"/>
      <c r="AI3706" s="149"/>
      <c r="AJ3706" s="149"/>
      <c r="AK3706" s="149"/>
      <c r="AL3706" s="149"/>
      <c r="AM3706" s="149"/>
      <c r="AN3706" s="149"/>
      <c r="AO3706" s="128"/>
      <c r="AP3706" s="128"/>
      <c r="AQ3706" s="128"/>
      <c r="AR3706" s="128"/>
      <c r="AS3706" s="128"/>
      <c r="AT3706" s="128"/>
      <c r="AU3706" s="128"/>
      <c r="AV3706" s="128"/>
      <c r="AW3706" s="128"/>
      <c r="AX3706" s="128"/>
      <c r="AY3706" s="128"/>
      <c r="AZ3706" s="128"/>
      <c r="BA3706" s="128"/>
      <c r="BB3706" s="128"/>
      <c r="BC3706" s="128"/>
      <c r="BD3706" s="128"/>
      <c r="BE3706" s="128"/>
      <c r="BF3706" s="128"/>
      <c r="BG3706" s="128"/>
      <c r="BH3706" s="128"/>
      <c r="BI3706" s="128"/>
      <c r="BJ3706" s="128"/>
      <c r="BK3706" s="128"/>
      <c r="BL3706" s="128"/>
      <c r="BM3706" s="151"/>
      <c r="BN3706" s="128"/>
      <c r="BO3706" s="128"/>
      <c r="BP3706" s="128"/>
      <c r="BQ3706" s="128"/>
      <c r="BR3706" s="128"/>
      <c r="BS3706" s="128"/>
      <c r="BT3706" s="128"/>
      <c r="BU3706" s="128"/>
      <c r="BV3706" s="128"/>
      <c r="BW3706" s="128"/>
      <c r="BX3706" s="128"/>
      <c r="BY3706" s="128"/>
      <c r="BZ3706" s="128"/>
      <c r="CA3706" s="128"/>
      <c r="CB3706" s="128"/>
      <c r="CC3706" s="128"/>
      <c r="CD3706" s="128"/>
      <c r="CE3706" s="128"/>
      <c r="CF3706" s="128"/>
      <c r="CG3706" s="128"/>
      <c r="CI3706" s="128"/>
      <c r="CJ3706" s="128"/>
      <c r="CK3706" s="128"/>
      <c r="CL3706" s="128"/>
      <c r="CM3706" s="128"/>
      <c r="CN3706" s="128"/>
      <c r="CO3706" s="128"/>
      <c r="CP3706" s="128"/>
      <c r="CQ3706" s="128"/>
      <c r="CR3706" s="128"/>
      <c r="CS3706" s="128"/>
      <c r="CT3706" s="128"/>
      <c r="CU3706" s="128"/>
      <c r="CV3706" s="128"/>
      <c r="CW3706" s="128"/>
      <c r="CX3706" s="128"/>
      <c r="CY3706" s="128"/>
      <c r="CZ3706" s="165"/>
    </row>
    <row r="3707" spans="1:104">
      <c r="A3707" s="149"/>
      <c r="B3707" s="149"/>
      <c r="C3707" s="150"/>
      <c r="D3707" s="102"/>
      <c r="E3707" s="149"/>
      <c r="F3707" s="149"/>
      <c r="G3707" s="149"/>
      <c r="H3707" s="149"/>
      <c r="I3707" s="149"/>
      <c r="J3707" s="149"/>
      <c r="K3707" s="149"/>
      <c r="L3707" s="149"/>
      <c r="M3707" s="149"/>
      <c r="N3707" s="149"/>
      <c r="O3707" s="149"/>
      <c r="P3707" s="149"/>
      <c r="Q3707" s="149"/>
      <c r="R3707" s="149"/>
      <c r="S3707" s="149"/>
      <c r="T3707" s="149"/>
      <c r="U3707" s="149"/>
      <c r="V3707" s="149"/>
      <c r="W3707" s="149"/>
      <c r="X3707" s="149"/>
      <c r="Y3707" s="149"/>
      <c r="Z3707" s="149"/>
      <c r="AA3707" s="149"/>
      <c r="AB3707" s="149"/>
      <c r="AC3707" s="149"/>
      <c r="AD3707" s="149"/>
      <c r="AE3707" s="149"/>
      <c r="AF3707" s="149"/>
      <c r="AG3707" s="149"/>
      <c r="AH3707" s="149"/>
      <c r="AI3707" s="149"/>
      <c r="AJ3707" s="149"/>
      <c r="AK3707" s="149"/>
      <c r="AL3707" s="149"/>
      <c r="AM3707" s="149"/>
      <c r="AN3707" s="149"/>
      <c r="AO3707" s="128"/>
      <c r="AP3707" s="128"/>
      <c r="AQ3707" s="128"/>
      <c r="AR3707" s="128"/>
      <c r="AS3707" s="128"/>
      <c r="AT3707" s="128"/>
      <c r="AU3707" s="128"/>
      <c r="AV3707" s="128"/>
      <c r="AW3707" s="128"/>
      <c r="AX3707" s="128"/>
      <c r="AY3707" s="128"/>
      <c r="AZ3707" s="128"/>
      <c r="BA3707" s="128"/>
      <c r="BB3707" s="128"/>
      <c r="BC3707" s="128"/>
      <c r="BD3707" s="128"/>
      <c r="BE3707" s="128"/>
      <c r="BF3707" s="128"/>
      <c r="BG3707" s="128"/>
      <c r="BH3707" s="128"/>
      <c r="BI3707" s="128"/>
      <c r="BJ3707" s="128"/>
      <c r="BK3707" s="128"/>
      <c r="BL3707" s="128"/>
      <c r="BM3707" s="151"/>
      <c r="BN3707" s="128"/>
      <c r="BO3707" s="128"/>
      <c r="BP3707" s="128"/>
      <c r="BQ3707" s="128"/>
      <c r="BR3707" s="128"/>
      <c r="BS3707" s="128"/>
      <c r="BT3707" s="128"/>
      <c r="BU3707" s="128"/>
      <c r="BV3707" s="128"/>
      <c r="BW3707" s="128"/>
      <c r="BX3707" s="128"/>
      <c r="BY3707" s="128"/>
      <c r="BZ3707" s="128"/>
      <c r="CA3707" s="128"/>
      <c r="CB3707" s="128"/>
      <c r="CC3707" s="128"/>
      <c r="CD3707" s="128"/>
      <c r="CE3707" s="128"/>
      <c r="CF3707" s="128"/>
      <c r="CG3707" s="128"/>
      <c r="CI3707" s="128"/>
      <c r="CJ3707" s="128"/>
      <c r="CK3707" s="128"/>
      <c r="CL3707" s="128"/>
      <c r="CM3707" s="128"/>
      <c r="CN3707" s="128"/>
      <c r="CO3707" s="128"/>
      <c r="CP3707" s="128"/>
      <c r="CQ3707" s="128"/>
      <c r="CR3707" s="128"/>
      <c r="CS3707" s="128"/>
      <c r="CT3707" s="128"/>
      <c r="CU3707" s="128"/>
      <c r="CV3707" s="128"/>
      <c r="CW3707" s="128"/>
      <c r="CX3707" s="128"/>
      <c r="CY3707" s="128"/>
      <c r="CZ3707" s="165"/>
    </row>
    <row r="3708" spans="1:104">
      <c r="A3708" s="149"/>
      <c r="B3708" s="149"/>
      <c r="C3708" s="150"/>
      <c r="D3708" s="102"/>
      <c r="E3708" s="149"/>
      <c r="F3708" s="149"/>
      <c r="G3708" s="149"/>
      <c r="H3708" s="149"/>
      <c r="I3708" s="149"/>
      <c r="J3708" s="149"/>
      <c r="K3708" s="149"/>
      <c r="L3708" s="149"/>
      <c r="M3708" s="149"/>
      <c r="N3708" s="149"/>
      <c r="O3708" s="149"/>
      <c r="P3708" s="149"/>
      <c r="Q3708" s="149"/>
      <c r="R3708" s="149"/>
      <c r="S3708" s="149"/>
      <c r="T3708" s="149"/>
      <c r="U3708" s="149"/>
      <c r="V3708" s="149"/>
      <c r="W3708" s="149"/>
      <c r="X3708" s="149"/>
      <c r="Y3708" s="149"/>
      <c r="Z3708" s="149"/>
      <c r="AA3708" s="149"/>
      <c r="AB3708" s="149"/>
      <c r="AC3708" s="149"/>
      <c r="AD3708" s="149"/>
      <c r="AE3708" s="149"/>
      <c r="AF3708" s="149"/>
      <c r="AG3708" s="149"/>
      <c r="AH3708" s="149"/>
      <c r="AI3708" s="149"/>
      <c r="AJ3708" s="149"/>
      <c r="AK3708" s="149"/>
      <c r="AL3708" s="149"/>
      <c r="AM3708" s="149"/>
      <c r="AN3708" s="149"/>
      <c r="AO3708" s="128"/>
      <c r="AP3708" s="128"/>
      <c r="AQ3708" s="128"/>
      <c r="AR3708" s="128"/>
      <c r="AS3708" s="128"/>
      <c r="AT3708" s="128"/>
      <c r="AU3708" s="128"/>
      <c r="AV3708" s="128"/>
      <c r="AW3708" s="128"/>
      <c r="AX3708" s="128"/>
      <c r="AY3708" s="128"/>
      <c r="AZ3708" s="128"/>
      <c r="BA3708" s="128"/>
      <c r="BB3708" s="128"/>
      <c r="BC3708" s="128"/>
      <c r="BD3708" s="128"/>
      <c r="BE3708" s="128"/>
      <c r="BF3708" s="128"/>
      <c r="BG3708" s="128"/>
      <c r="BH3708" s="128"/>
      <c r="BI3708" s="128"/>
      <c r="BJ3708" s="128"/>
      <c r="BK3708" s="128"/>
      <c r="BL3708" s="128"/>
      <c r="BM3708" s="151"/>
      <c r="BN3708" s="128"/>
      <c r="BO3708" s="128"/>
      <c r="BP3708" s="128"/>
      <c r="BQ3708" s="128"/>
      <c r="BR3708" s="128"/>
      <c r="BS3708" s="128"/>
      <c r="BT3708" s="128"/>
      <c r="BU3708" s="128"/>
      <c r="BV3708" s="128"/>
      <c r="BW3708" s="128"/>
      <c r="BX3708" s="128"/>
      <c r="BY3708" s="128"/>
      <c r="BZ3708" s="128"/>
      <c r="CA3708" s="128"/>
      <c r="CB3708" s="128"/>
      <c r="CC3708" s="128"/>
      <c r="CD3708" s="128"/>
      <c r="CE3708" s="128"/>
      <c r="CF3708" s="128"/>
      <c r="CG3708" s="128"/>
      <c r="CI3708" s="128"/>
      <c r="CJ3708" s="128"/>
      <c r="CK3708" s="128"/>
      <c r="CL3708" s="128"/>
      <c r="CM3708" s="128"/>
      <c r="CN3708" s="128"/>
      <c r="CO3708" s="128"/>
      <c r="CP3708" s="128"/>
      <c r="CQ3708" s="128"/>
      <c r="CR3708" s="128"/>
      <c r="CS3708" s="128"/>
      <c r="CT3708" s="128"/>
      <c r="CU3708" s="128"/>
      <c r="CV3708" s="128"/>
      <c r="CW3708" s="128"/>
      <c r="CX3708" s="128"/>
      <c r="CY3708" s="128"/>
      <c r="CZ3708" s="165"/>
    </row>
    <row r="3709" spans="1:104">
      <c r="A3709" s="149"/>
      <c r="B3709" s="149"/>
      <c r="C3709" s="150"/>
      <c r="D3709" s="102"/>
      <c r="E3709" s="149"/>
      <c r="F3709" s="149"/>
      <c r="G3709" s="149"/>
      <c r="H3709" s="149"/>
      <c r="I3709" s="149"/>
      <c r="J3709" s="149"/>
      <c r="K3709" s="149"/>
      <c r="L3709" s="149"/>
      <c r="M3709" s="149"/>
      <c r="N3709" s="149"/>
      <c r="O3709" s="149"/>
      <c r="P3709" s="149"/>
      <c r="Q3709" s="149"/>
      <c r="R3709" s="149"/>
      <c r="S3709" s="149"/>
      <c r="T3709" s="149"/>
      <c r="U3709" s="149"/>
      <c r="V3709" s="149"/>
      <c r="W3709" s="149"/>
      <c r="X3709" s="149"/>
      <c r="Y3709" s="149"/>
      <c r="Z3709" s="149"/>
      <c r="AA3709" s="149"/>
      <c r="AB3709" s="149"/>
      <c r="AC3709" s="149"/>
      <c r="AD3709" s="149"/>
      <c r="AE3709" s="149"/>
      <c r="AF3709" s="149"/>
      <c r="AG3709" s="149"/>
      <c r="AH3709" s="149"/>
      <c r="AI3709" s="149"/>
      <c r="AJ3709" s="149"/>
      <c r="AK3709" s="149"/>
      <c r="AL3709" s="149"/>
      <c r="AM3709" s="149"/>
      <c r="AN3709" s="149"/>
      <c r="AO3709" s="128"/>
      <c r="AP3709" s="128"/>
      <c r="AQ3709" s="128"/>
      <c r="AR3709" s="128"/>
      <c r="AS3709" s="128"/>
      <c r="AT3709" s="128"/>
      <c r="AU3709" s="128"/>
      <c r="AV3709" s="128"/>
      <c r="AW3709" s="128"/>
      <c r="AX3709" s="128"/>
      <c r="AY3709" s="128"/>
      <c r="AZ3709" s="128"/>
      <c r="BA3709" s="128"/>
      <c r="BB3709" s="128"/>
      <c r="BC3709" s="128"/>
      <c r="BD3709" s="128"/>
      <c r="BE3709" s="128"/>
      <c r="BF3709" s="128"/>
      <c r="BG3709" s="128"/>
      <c r="BH3709" s="128"/>
      <c r="BI3709" s="128"/>
      <c r="BJ3709" s="128"/>
      <c r="BK3709" s="128"/>
      <c r="BL3709" s="128"/>
      <c r="BM3709" s="151"/>
      <c r="BN3709" s="128"/>
      <c r="BO3709" s="128"/>
      <c r="BP3709" s="128"/>
      <c r="BQ3709" s="128"/>
      <c r="BR3709" s="128"/>
      <c r="BS3709" s="128"/>
      <c r="BT3709" s="128"/>
      <c r="BU3709" s="128"/>
      <c r="BV3709" s="128"/>
      <c r="BW3709" s="128"/>
      <c r="BX3709" s="128"/>
      <c r="BY3709" s="128"/>
      <c r="BZ3709" s="128"/>
      <c r="CA3709" s="128"/>
      <c r="CB3709" s="128"/>
      <c r="CC3709" s="128"/>
      <c r="CD3709" s="128"/>
      <c r="CE3709" s="128"/>
      <c r="CF3709" s="128"/>
      <c r="CG3709" s="128"/>
      <c r="CI3709" s="128"/>
      <c r="CJ3709" s="128"/>
      <c r="CK3709" s="128"/>
      <c r="CL3709" s="128"/>
      <c r="CM3709" s="128"/>
      <c r="CN3709" s="128"/>
      <c r="CO3709" s="128"/>
      <c r="CP3709" s="128"/>
      <c r="CQ3709" s="128"/>
      <c r="CR3709" s="128"/>
      <c r="CS3709" s="128"/>
      <c r="CT3709" s="128"/>
      <c r="CU3709" s="128"/>
      <c r="CV3709" s="128"/>
      <c r="CW3709" s="128"/>
      <c r="CX3709" s="128"/>
      <c r="CY3709" s="128"/>
      <c r="CZ3709" s="165"/>
    </row>
    <row r="3710" spans="1:104">
      <c r="A3710" s="149"/>
      <c r="B3710" s="149"/>
      <c r="C3710" s="150"/>
      <c r="D3710" s="102"/>
      <c r="E3710" s="149"/>
      <c r="F3710" s="149"/>
      <c r="G3710" s="149"/>
      <c r="H3710" s="149"/>
      <c r="I3710" s="149"/>
      <c r="J3710" s="149"/>
      <c r="K3710" s="149"/>
      <c r="L3710" s="149"/>
      <c r="M3710" s="149"/>
      <c r="N3710" s="149"/>
      <c r="O3710" s="149"/>
      <c r="P3710" s="149"/>
      <c r="Q3710" s="149"/>
      <c r="R3710" s="149"/>
      <c r="S3710" s="149"/>
      <c r="T3710" s="149"/>
      <c r="U3710" s="149"/>
      <c r="V3710" s="149"/>
      <c r="W3710" s="149"/>
      <c r="X3710" s="149"/>
      <c r="Y3710" s="149"/>
      <c r="Z3710" s="149"/>
      <c r="AA3710" s="149"/>
      <c r="AB3710" s="149"/>
      <c r="AC3710" s="149"/>
      <c r="AD3710" s="149"/>
      <c r="AE3710" s="149"/>
      <c r="AF3710" s="149"/>
      <c r="AG3710" s="149"/>
      <c r="AH3710" s="149"/>
      <c r="AI3710" s="149"/>
      <c r="AJ3710" s="149"/>
      <c r="AK3710" s="149"/>
      <c r="AL3710" s="149"/>
      <c r="AM3710" s="149"/>
      <c r="AN3710" s="149"/>
      <c r="AO3710" s="128"/>
      <c r="AP3710" s="128"/>
      <c r="AQ3710" s="128"/>
      <c r="AR3710" s="128"/>
      <c r="AS3710" s="128"/>
      <c r="AT3710" s="128"/>
      <c r="AU3710" s="128"/>
      <c r="AV3710" s="128"/>
      <c r="AW3710" s="128"/>
      <c r="AX3710" s="128"/>
      <c r="AY3710" s="128"/>
      <c r="AZ3710" s="128"/>
      <c r="BA3710" s="128"/>
      <c r="BB3710" s="128"/>
      <c r="BC3710" s="128"/>
      <c r="BD3710" s="128"/>
      <c r="BE3710" s="128"/>
      <c r="BF3710" s="128"/>
      <c r="BG3710" s="128"/>
      <c r="BH3710" s="128"/>
      <c r="BI3710" s="128"/>
      <c r="BJ3710" s="128"/>
      <c r="BK3710" s="128"/>
      <c r="BL3710" s="128"/>
      <c r="BM3710" s="151"/>
      <c r="BN3710" s="128"/>
      <c r="BO3710" s="128"/>
      <c r="BP3710" s="128"/>
      <c r="BQ3710" s="128"/>
      <c r="BR3710" s="128"/>
      <c r="BS3710" s="128"/>
      <c r="BT3710" s="128"/>
      <c r="BU3710" s="128"/>
      <c r="BV3710" s="128"/>
      <c r="BW3710" s="128"/>
      <c r="BX3710" s="128"/>
      <c r="BY3710" s="128"/>
      <c r="BZ3710" s="128"/>
      <c r="CA3710" s="128"/>
      <c r="CB3710" s="128"/>
      <c r="CC3710" s="128"/>
      <c r="CD3710" s="128"/>
      <c r="CE3710" s="128"/>
      <c r="CF3710" s="128"/>
      <c r="CG3710" s="128"/>
      <c r="CI3710" s="128"/>
      <c r="CJ3710" s="128"/>
      <c r="CK3710" s="128"/>
      <c r="CL3710" s="128"/>
      <c r="CM3710" s="128"/>
      <c r="CN3710" s="128"/>
      <c r="CO3710" s="128"/>
      <c r="CP3710" s="128"/>
      <c r="CQ3710" s="128"/>
      <c r="CR3710" s="128"/>
      <c r="CS3710" s="128"/>
      <c r="CT3710" s="128"/>
      <c r="CU3710" s="128"/>
      <c r="CV3710" s="128"/>
      <c r="CW3710" s="128"/>
      <c r="CX3710" s="128"/>
      <c r="CY3710" s="128"/>
      <c r="CZ3710" s="165"/>
    </row>
    <row r="3711" spans="1:104">
      <c r="A3711" s="149"/>
      <c r="B3711" s="149"/>
      <c r="C3711" s="150"/>
      <c r="D3711" s="102"/>
      <c r="E3711" s="149"/>
      <c r="F3711" s="149"/>
      <c r="G3711" s="149"/>
      <c r="H3711" s="149"/>
      <c r="I3711" s="149"/>
      <c r="J3711" s="149"/>
      <c r="K3711" s="149"/>
      <c r="L3711" s="149"/>
      <c r="M3711" s="149"/>
      <c r="N3711" s="149"/>
      <c r="O3711" s="149"/>
      <c r="P3711" s="149"/>
      <c r="Q3711" s="149"/>
      <c r="R3711" s="149"/>
      <c r="S3711" s="149"/>
      <c r="T3711" s="149"/>
      <c r="U3711" s="149"/>
      <c r="V3711" s="149"/>
      <c r="W3711" s="149"/>
      <c r="X3711" s="149"/>
      <c r="Y3711" s="149"/>
      <c r="Z3711" s="149"/>
      <c r="AA3711" s="149"/>
      <c r="AB3711" s="149"/>
      <c r="AC3711" s="149"/>
      <c r="AD3711" s="149"/>
      <c r="AE3711" s="149"/>
      <c r="AF3711" s="149"/>
      <c r="AG3711" s="149"/>
      <c r="AH3711" s="149"/>
      <c r="AI3711" s="149"/>
      <c r="AJ3711" s="149"/>
      <c r="AK3711" s="149"/>
      <c r="AL3711" s="149"/>
      <c r="AM3711" s="149"/>
      <c r="AN3711" s="149"/>
      <c r="AO3711" s="128"/>
      <c r="AP3711" s="128"/>
      <c r="AQ3711" s="128"/>
      <c r="AR3711" s="128"/>
      <c r="AS3711" s="128"/>
      <c r="AT3711" s="128"/>
      <c r="AU3711" s="128"/>
      <c r="AV3711" s="128"/>
      <c r="AW3711" s="128"/>
      <c r="AX3711" s="128"/>
      <c r="AY3711" s="128"/>
      <c r="AZ3711" s="128"/>
      <c r="BA3711" s="128"/>
      <c r="BB3711" s="128"/>
      <c r="BC3711" s="128"/>
      <c r="BD3711" s="128"/>
      <c r="BE3711" s="128"/>
      <c r="BF3711" s="128"/>
      <c r="BG3711" s="128"/>
      <c r="BH3711" s="128"/>
      <c r="BI3711" s="128"/>
      <c r="BJ3711" s="128"/>
      <c r="BK3711" s="128"/>
      <c r="BL3711" s="128"/>
      <c r="BM3711" s="151"/>
      <c r="BN3711" s="128"/>
      <c r="BO3711" s="128"/>
      <c r="BP3711" s="128"/>
      <c r="BQ3711" s="128"/>
      <c r="BR3711" s="128"/>
      <c r="BS3711" s="128"/>
      <c r="BT3711" s="128"/>
      <c r="BU3711" s="128"/>
      <c r="BV3711" s="128"/>
      <c r="BW3711" s="128"/>
      <c r="BX3711" s="128"/>
      <c r="BY3711" s="128"/>
      <c r="BZ3711" s="128"/>
      <c r="CA3711" s="128"/>
      <c r="CB3711" s="128"/>
      <c r="CC3711" s="128"/>
      <c r="CD3711" s="128"/>
      <c r="CE3711" s="128"/>
      <c r="CF3711" s="128"/>
      <c r="CG3711" s="128"/>
      <c r="CI3711" s="128"/>
      <c r="CJ3711" s="128"/>
      <c r="CK3711" s="128"/>
      <c r="CL3711" s="128"/>
      <c r="CM3711" s="128"/>
      <c r="CN3711" s="128"/>
      <c r="CO3711" s="128"/>
      <c r="CP3711" s="128"/>
      <c r="CQ3711" s="128"/>
      <c r="CR3711" s="128"/>
      <c r="CS3711" s="128"/>
      <c r="CT3711" s="128"/>
      <c r="CU3711" s="128"/>
      <c r="CV3711" s="128"/>
      <c r="CW3711" s="128"/>
      <c r="CX3711" s="128"/>
      <c r="CY3711" s="128"/>
      <c r="CZ3711" s="165"/>
    </row>
    <row r="3712" spans="1:104">
      <c r="A3712" s="149"/>
      <c r="B3712" s="149"/>
      <c r="C3712" s="150"/>
      <c r="D3712" s="102"/>
      <c r="E3712" s="149"/>
      <c r="F3712" s="149"/>
      <c r="G3712" s="149"/>
      <c r="H3712" s="149"/>
      <c r="I3712" s="149"/>
      <c r="J3712" s="149"/>
      <c r="K3712" s="149"/>
      <c r="L3712" s="149"/>
      <c r="M3712" s="149"/>
      <c r="N3712" s="149"/>
      <c r="O3712" s="149"/>
      <c r="P3712" s="149"/>
      <c r="Q3712" s="149"/>
      <c r="R3712" s="149"/>
      <c r="S3712" s="149"/>
      <c r="T3712" s="149"/>
      <c r="U3712" s="149"/>
      <c r="V3712" s="149"/>
      <c r="W3712" s="149"/>
      <c r="X3712" s="149"/>
      <c r="Y3712" s="149"/>
      <c r="Z3712" s="149"/>
      <c r="AA3712" s="149"/>
      <c r="AB3712" s="149"/>
      <c r="AC3712" s="149"/>
      <c r="AD3712" s="149"/>
      <c r="AE3712" s="149"/>
      <c r="AF3712" s="149"/>
      <c r="AG3712" s="149"/>
      <c r="AH3712" s="149"/>
      <c r="AI3712" s="149"/>
      <c r="AJ3712" s="149"/>
      <c r="AK3712" s="149"/>
      <c r="AL3712" s="149"/>
      <c r="AM3712" s="149"/>
      <c r="AN3712" s="149"/>
      <c r="AO3712" s="128"/>
      <c r="AP3712" s="128"/>
      <c r="AQ3712" s="128"/>
      <c r="AR3712" s="128"/>
      <c r="AS3712" s="128"/>
      <c r="AT3712" s="128"/>
      <c r="AU3712" s="128"/>
      <c r="AV3712" s="128"/>
      <c r="AW3712" s="128"/>
      <c r="AX3712" s="128"/>
      <c r="AY3712" s="128"/>
      <c r="AZ3712" s="128"/>
      <c r="BA3712" s="128"/>
      <c r="BB3712" s="128"/>
      <c r="BC3712" s="128"/>
      <c r="BD3712" s="128"/>
      <c r="BE3712" s="128"/>
      <c r="BF3712" s="128"/>
      <c r="BG3712" s="128"/>
      <c r="BH3712" s="128"/>
      <c r="BI3712" s="128"/>
      <c r="BJ3712" s="128"/>
      <c r="BK3712" s="128"/>
      <c r="BL3712" s="128"/>
      <c r="BM3712" s="151"/>
      <c r="BN3712" s="128"/>
      <c r="BO3712" s="128"/>
      <c r="BP3712" s="128"/>
      <c r="BQ3712" s="128"/>
      <c r="BR3712" s="128"/>
      <c r="BS3712" s="128"/>
      <c r="BT3712" s="128"/>
      <c r="BU3712" s="128"/>
      <c r="BV3712" s="128"/>
      <c r="BW3712" s="128"/>
      <c r="BX3712" s="128"/>
      <c r="BY3712" s="128"/>
      <c r="BZ3712" s="128"/>
      <c r="CA3712" s="128"/>
      <c r="CB3712" s="128"/>
      <c r="CC3712" s="128"/>
      <c r="CD3712" s="128"/>
      <c r="CE3712" s="128"/>
      <c r="CF3712" s="128"/>
      <c r="CG3712" s="128"/>
      <c r="CI3712" s="128"/>
      <c r="CJ3712" s="128"/>
      <c r="CK3712" s="128"/>
      <c r="CL3712" s="128"/>
      <c r="CM3712" s="128"/>
      <c r="CN3712" s="128"/>
      <c r="CO3712" s="128"/>
      <c r="CP3712" s="128"/>
      <c r="CQ3712" s="128"/>
      <c r="CR3712" s="128"/>
      <c r="CS3712" s="128"/>
      <c r="CT3712" s="128"/>
      <c r="CU3712" s="128"/>
      <c r="CV3712" s="128"/>
      <c r="CW3712" s="128"/>
      <c r="CX3712" s="128"/>
      <c r="CY3712" s="128"/>
      <c r="CZ3712" s="165"/>
    </row>
    <row r="3713" spans="1:104">
      <c r="A3713" s="149"/>
      <c r="B3713" s="149"/>
      <c r="C3713" s="150"/>
      <c r="D3713" s="102"/>
      <c r="E3713" s="149"/>
      <c r="F3713" s="149"/>
      <c r="G3713" s="149"/>
      <c r="H3713" s="149"/>
      <c r="I3713" s="149"/>
      <c r="J3713" s="149"/>
      <c r="K3713" s="149"/>
      <c r="L3713" s="149"/>
      <c r="M3713" s="149"/>
      <c r="N3713" s="149"/>
      <c r="O3713" s="149"/>
      <c r="P3713" s="149"/>
      <c r="Q3713" s="149"/>
      <c r="R3713" s="149"/>
      <c r="S3713" s="149"/>
      <c r="T3713" s="149"/>
      <c r="U3713" s="149"/>
      <c r="V3713" s="149"/>
      <c r="W3713" s="149"/>
      <c r="X3713" s="149"/>
      <c r="Y3713" s="149"/>
      <c r="Z3713" s="149"/>
      <c r="AA3713" s="149"/>
      <c r="AB3713" s="149"/>
      <c r="AC3713" s="149"/>
      <c r="AD3713" s="149"/>
      <c r="AE3713" s="149"/>
      <c r="AF3713" s="149"/>
      <c r="AG3713" s="149"/>
      <c r="AH3713" s="149"/>
      <c r="AI3713" s="149"/>
      <c r="AJ3713" s="149"/>
      <c r="AK3713" s="149"/>
      <c r="AL3713" s="149"/>
      <c r="AM3713" s="149"/>
      <c r="AN3713" s="149"/>
      <c r="AO3713" s="128"/>
      <c r="AP3713" s="128"/>
      <c r="AQ3713" s="128"/>
      <c r="AR3713" s="128"/>
      <c r="AS3713" s="128"/>
      <c r="AT3713" s="128"/>
      <c r="AU3713" s="128"/>
      <c r="AV3713" s="128"/>
      <c r="AW3713" s="128"/>
      <c r="AX3713" s="128"/>
      <c r="AY3713" s="128"/>
      <c r="AZ3713" s="128"/>
      <c r="BA3713" s="128"/>
      <c r="BB3713" s="128"/>
      <c r="BC3713" s="128"/>
      <c r="BD3713" s="128"/>
      <c r="BE3713" s="128"/>
      <c r="BF3713" s="128"/>
      <c r="BG3713" s="128"/>
      <c r="BH3713" s="128"/>
      <c r="BI3713" s="128"/>
      <c r="BJ3713" s="128"/>
      <c r="BK3713" s="128"/>
      <c r="BL3713" s="128"/>
      <c r="BM3713" s="151"/>
      <c r="BN3713" s="128"/>
      <c r="BO3713" s="128"/>
      <c r="BP3713" s="128"/>
      <c r="BQ3713" s="128"/>
      <c r="BR3713" s="128"/>
      <c r="BS3713" s="128"/>
      <c r="BT3713" s="128"/>
      <c r="BU3713" s="128"/>
      <c r="BV3713" s="128"/>
      <c r="BW3713" s="128"/>
      <c r="BX3713" s="128"/>
      <c r="BY3713" s="128"/>
      <c r="BZ3713" s="128"/>
      <c r="CA3713" s="128"/>
      <c r="CB3713" s="128"/>
      <c r="CC3713" s="128"/>
      <c r="CD3713" s="128"/>
      <c r="CE3713" s="128"/>
      <c r="CF3713" s="128"/>
      <c r="CG3713" s="128"/>
      <c r="CI3713" s="128"/>
      <c r="CJ3713" s="128"/>
      <c r="CK3713" s="128"/>
      <c r="CL3713" s="128"/>
      <c r="CM3713" s="128"/>
      <c r="CN3713" s="128"/>
      <c r="CO3713" s="128"/>
      <c r="CP3713" s="128"/>
      <c r="CQ3713" s="128"/>
      <c r="CR3713" s="128"/>
      <c r="CS3713" s="128"/>
      <c r="CT3713" s="128"/>
      <c r="CU3713" s="128"/>
      <c r="CV3713" s="128"/>
      <c r="CW3713" s="128"/>
      <c r="CX3713" s="128"/>
      <c r="CY3713" s="128"/>
      <c r="CZ3713" s="165"/>
    </row>
    <row r="3714" spans="1:104">
      <c r="A3714" s="149"/>
      <c r="B3714" s="149"/>
      <c r="C3714" s="150"/>
      <c r="D3714" s="102"/>
      <c r="E3714" s="149"/>
      <c r="F3714" s="149"/>
      <c r="G3714" s="149"/>
      <c r="H3714" s="149"/>
      <c r="I3714" s="149"/>
      <c r="J3714" s="149"/>
      <c r="K3714" s="149"/>
      <c r="L3714" s="149"/>
      <c r="M3714" s="149"/>
      <c r="N3714" s="149"/>
      <c r="O3714" s="149"/>
      <c r="P3714" s="149"/>
      <c r="Q3714" s="149"/>
      <c r="R3714" s="149"/>
      <c r="S3714" s="149"/>
      <c r="T3714" s="149"/>
      <c r="U3714" s="149"/>
      <c r="V3714" s="149"/>
      <c r="W3714" s="149"/>
      <c r="X3714" s="149"/>
      <c r="Y3714" s="149"/>
      <c r="Z3714" s="149"/>
      <c r="AA3714" s="149"/>
      <c r="AB3714" s="149"/>
      <c r="AC3714" s="149"/>
      <c r="AD3714" s="149"/>
      <c r="AE3714" s="149"/>
      <c r="AF3714" s="149"/>
      <c r="AG3714" s="149"/>
      <c r="AH3714" s="149"/>
      <c r="AI3714" s="149"/>
      <c r="AJ3714" s="149"/>
      <c r="AK3714" s="149"/>
      <c r="AL3714" s="149"/>
      <c r="AM3714" s="149"/>
      <c r="AN3714" s="149"/>
      <c r="AO3714" s="128"/>
      <c r="AP3714" s="128"/>
      <c r="AQ3714" s="128"/>
      <c r="AR3714" s="128"/>
      <c r="AS3714" s="128"/>
      <c r="AT3714" s="128"/>
      <c r="AU3714" s="128"/>
      <c r="AV3714" s="128"/>
      <c r="AW3714" s="128"/>
      <c r="AX3714" s="128"/>
      <c r="AY3714" s="128"/>
      <c r="AZ3714" s="128"/>
      <c r="BA3714" s="128"/>
      <c r="BB3714" s="128"/>
      <c r="BC3714" s="128"/>
      <c r="BD3714" s="128"/>
      <c r="BE3714" s="128"/>
      <c r="BF3714" s="128"/>
      <c r="BG3714" s="128"/>
      <c r="BH3714" s="128"/>
      <c r="BI3714" s="128"/>
      <c r="BJ3714" s="128"/>
      <c r="BK3714" s="128"/>
      <c r="BL3714" s="128"/>
      <c r="BM3714" s="151"/>
      <c r="BN3714" s="128"/>
      <c r="BO3714" s="128"/>
      <c r="BP3714" s="128"/>
      <c r="BQ3714" s="128"/>
      <c r="BR3714" s="128"/>
      <c r="BS3714" s="128"/>
      <c r="BT3714" s="128"/>
      <c r="BU3714" s="128"/>
      <c r="BV3714" s="128"/>
      <c r="BW3714" s="128"/>
      <c r="BX3714" s="128"/>
      <c r="BY3714" s="128"/>
      <c r="BZ3714" s="128"/>
      <c r="CA3714" s="128"/>
      <c r="CB3714" s="128"/>
      <c r="CC3714" s="128"/>
      <c r="CD3714" s="128"/>
      <c r="CE3714" s="128"/>
      <c r="CF3714" s="128"/>
      <c r="CG3714" s="128"/>
      <c r="CI3714" s="128"/>
      <c r="CJ3714" s="128"/>
      <c r="CK3714" s="128"/>
      <c r="CL3714" s="128"/>
      <c r="CM3714" s="128"/>
      <c r="CN3714" s="128"/>
      <c r="CO3714" s="128"/>
      <c r="CP3714" s="128"/>
      <c r="CQ3714" s="128"/>
      <c r="CR3714" s="128"/>
      <c r="CS3714" s="128"/>
      <c r="CT3714" s="128"/>
      <c r="CU3714" s="128"/>
      <c r="CV3714" s="128"/>
      <c r="CW3714" s="128"/>
      <c r="CX3714" s="128"/>
      <c r="CY3714" s="128"/>
      <c r="CZ3714" s="165"/>
    </row>
    <row r="3715" spans="1:104">
      <c r="A3715" s="149"/>
      <c r="B3715" s="149"/>
      <c r="C3715" s="150"/>
      <c r="D3715" s="102"/>
      <c r="E3715" s="149"/>
      <c r="F3715" s="149"/>
      <c r="G3715" s="149"/>
      <c r="H3715" s="149"/>
      <c r="I3715" s="149"/>
      <c r="J3715" s="149"/>
      <c r="K3715" s="149"/>
      <c r="L3715" s="149"/>
      <c r="M3715" s="149"/>
      <c r="N3715" s="149"/>
      <c r="O3715" s="149"/>
      <c r="P3715" s="149"/>
      <c r="Q3715" s="149"/>
      <c r="R3715" s="149"/>
      <c r="S3715" s="149"/>
      <c r="T3715" s="149"/>
      <c r="U3715" s="149"/>
      <c r="V3715" s="149"/>
      <c r="W3715" s="149"/>
      <c r="X3715" s="149"/>
      <c r="Y3715" s="149"/>
      <c r="Z3715" s="149"/>
      <c r="AA3715" s="149"/>
      <c r="AB3715" s="149"/>
      <c r="AC3715" s="149"/>
      <c r="AD3715" s="149"/>
      <c r="AE3715" s="149"/>
      <c r="AF3715" s="149"/>
      <c r="AG3715" s="149"/>
      <c r="AH3715" s="149"/>
      <c r="AI3715" s="149"/>
      <c r="AJ3715" s="149"/>
      <c r="AK3715" s="149"/>
      <c r="AL3715" s="149"/>
      <c r="AM3715" s="149"/>
      <c r="AN3715" s="149"/>
      <c r="AO3715" s="128"/>
      <c r="AP3715" s="128"/>
      <c r="AQ3715" s="128"/>
      <c r="AR3715" s="128"/>
      <c r="AS3715" s="128"/>
      <c r="AT3715" s="128"/>
      <c r="AU3715" s="128"/>
      <c r="AV3715" s="128"/>
      <c r="AW3715" s="128"/>
      <c r="AX3715" s="128"/>
      <c r="AY3715" s="128"/>
      <c r="AZ3715" s="128"/>
      <c r="BA3715" s="128"/>
      <c r="BB3715" s="128"/>
      <c r="BC3715" s="128"/>
      <c r="BD3715" s="128"/>
      <c r="BE3715" s="128"/>
      <c r="BF3715" s="128"/>
      <c r="BG3715" s="128"/>
      <c r="BH3715" s="128"/>
      <c r="BI3715" s="128"/>
      <c r="BJ3715" s="128"/>
      <c r="BK3715" s="128"/>
      <c r="BL3715" s="128"/>
      <c r="BM3715" s="151"/>
      <c r="BN3715" s="128"/>
      <c r="BO3715" s="128"/>
      <c r="BP3715" s="128"/>
      <c r="BQ3715" s="128"/>
      <c r="BR3715" s="128"/>
      <c r="BS3715" s="128"/>
      <c r="BT3715" s="128"/>
      <c r="BU3715" s="128"/>
      <c r="BV3715" s="128"/>
      <c r="BW3715" s="128"/>
      <c r="BX3715" s="128"/>
      <c r="BY3715" s="128"/>
      <c r="BZ3715" s="128"/>
      <c r="CA3715" s="128"/>
      <c r="CB3715" s="128"/>
      <c r="CC3715" s="128"/>
      <c r="CD3715" s="128"/>
      <c r="CE3715" s="128"/>
      <c r="CF3715" s="128"/>
      <c r="CG3715" s="128"/>
      <c r="CI3715" s="128"/>
      <c r="CJ3715" s="128"/>
      <c r="CK3715" s="128"/>
      <c r="CL3715" s="128"/>
      <c r="CM3715" s="128"/>
      <c r="CN3715" s="128"/>
      <c r="CO3715" s="128"/>
      <c r="CP3715" s="128"/>
      <c r="CQ3715" s="128"/>
      <c r="CR3715" s="128"/>
      <c r="CS3715" s="128"/>
      <c r="CT3715" s="128"/>
      <c r="CU3715" s="128"/>
      <c r="CV3715" s="128"/>
      <c r="CW3715" s="128"/>
      <c r="CX3715" s="128"/>
      <c r="CY3715" s="128"/>
      <c r="CZ3715" s="165"/>
    </row>
    <row r="3716" spans="1:104">
      <c r="A3716" s="149"/>
      <c r="B3716" s="149"/>
      <c r="C3716" s="150"/>
      <c r="D3716" s="102"/>
      <c r="E3716" s="149"/>
      <c r="F3716" s="149"/>
      <c r="G3716" s="149"/>
      <c r="H3716" s="149"/>
      <c r="I3716" s="149"/>
      <c r="J3716" s="149"/>
      <c r="K3716" s="149"/>
      <c r="L3716" s="149"/>
      <c r="M3716" s="149"/>
      <c r="N3716" s="149"/>
      <c r="O3716" s="149"/>
      <c r="P3716" s="149"/>
      <c r="Q3716" s="149"/>
      <c r="R3716" s="149"/>
      <c r="S3716" s="149"/>
      <c r="T3716" s="149"/>
      <c r="U3716" s="149"/>
      <c r="V3716" s="149"/>
      <c r="W3716" s="149"/>
      <c r="X3716" s="149"/>
      <c r="Y3716" s="149"/>
      <c r="Z3716" s="149"/>
      <c r="AA3716" s="149"/>
      <c r="AB3716" s="149"/>
      <c r="AC3716" s="149"/>
      <c r="AD3716" s="149"/>
      <c r="AE3716" s="149"/>
      <c r="AF3716" s="149"/>
      <c r="AG3716" s="149"/>
      <c r="AH3716" s="149"/>
      <c r="AI3716" s="149"/>
      <c r="AJ3716" s="149"/>
      <c r="AK3716" s="149"/>
      <c r="AL3716" s="149"/>
      <c r="AM3716" s="149"/>
      <c r="AN3716" s="149"/>
      <c r="AO3716" s="128"/>
      <c r="AP3716" s="128"/>
      <c r="AQ3716" s="128"/>
      <c r="AR3716" s="128"/>
      <c r="AS3716" s="128"/>
      <c r="AT3716" s="128"/>
      <c r="AU3716" s="128"/>
      <c r="AV3716" s="128"/>
      <c r="AW3716" s="128"/>
      <c r="AX3716" s="128"/>
      <c r="AY3716" s="128"/>
      <c r="AZ3716" s="128"/>
      <c r="BA3716" s="128"/>
      <c r="BB3716" s="128"/>
      <c r="BC3716" s="128"/>
      <c r="BD3716" s="128"/>
      <c r="BE3716" s="128"/>
      <c r="BF3716" s="128"/>
      <c r="BG3716" s="128"/>
      <c r="BH3716" s="128"/>
      <c r="BI3716" s="128"/>
      <c r="BJ3716" s="128"/>
      <c r="BK3716" s="128"/>
      <c r="BL3716" s="128"/>
      <c r="BM3716" s="151"/>
      <c r="BN3716" s="128"/>
      <c r="BO3716" s="128"/>
      <c r="BP3716" s="128"/>
      <c r="BQ3716" s="128"/>
      <c r="BR3716" s="128"/>
      <c r="BS3716" s="128"/>
      <c r="BT3716" s="128"/>
      <c r="BU3716" s="128"/>
      <c r="BV3716" s="128"/>
      <c r="BW3716" s="128"/>
      <c r="BX3716" s="128"/>
      <c r="BY3716" s="128"/>
      <c r="BZ3716" s="128"/>
      <c r="CA3716" s="128"/>
      <c r="CB3716" s="128"/>
      <c r="CC3716" s="128"/>
      <c r="CD3716" s="128"/>
      <c r="CE3716" s="128"/>
      <c r="CF3716" s="128"/>
      <c r="CG3716" s="128"/>
      <c r="CI3716" s="128"/>
      <c r="CJ3716" s="128"/>
      <c r="CK3716" s="128"/>
      <c r="CL3716" s="128"/>
      <c r="CM3716" s="128"/>
      <c r="CN3716" s="128"/>
      <c r="CO3716" s="128"/>
      <c r="CP3716" s="128"/>
      <c r="CQ3716" s="128"/>
      <c r="CR3716" s="128"/>
      <c r="CS3716" s="128"/>
      <c r="CT3716" s="128"/>
      <c r="CU3716" s="128"/>
      <c r="CV3716" s="128"/>
      <c r="CW3716" s="128"/>
      <c r="CX3716" s="128"/>
      <c r="CY3716" s="128"/>
      <c r="CZ3716" s="165"/>
    </row>
    <row r="3717" spans="1:104">
      <c r="A3717" s="149"/>
      <c r="B3717" s="149"/>
      <c r="C3717" s="150"/>
      <c r="D3717" s="102"/>
      <c r="E3717" s="149"/>
      <c r="F3717" s="149"/>
      <c r="G3717" s="149"/>
      <c r="H3717" s="149"/>
      <c r="I3717" s="149"/>
      <c r="J3717" s="149"/>
      <c r="K3717" s="149"/>
      <c r="L3717" s="149"/>
      <c r="M3717" s="149"/>
      <c r="N3717" s="149"/>
      <c r="O3717" s="149"/>
      <c r="P3717" s="149"/>
      <c r="Q3717" s="149"/>
      <c r="R3717" s="149"/>
      <c r="S3717" s="149"/>
      <c r="T3717" s="149"/>
      <c r="U3717" s="149"/>
      <c r="V3717" s="149"/>
      <c r="W3717" s="149"/>
      <c r="X3717" s="149"/>
      <c r="Y3717" s="149"/>
      <c r="Z3717" s="149"/>
      <c r="AA3717" s="149"/>
      <c r="AB3717" s="149"/>
      <c r="AC3717" s="149"/>
      <c r="AD3717" s="149"/>
      <c r="AE3717" s="149"/>
      <c r="AF3717" s="149"/>
      <c r="AG3717" s="149"/>
      <c r="AH3717" s="149"/>
      <c r="AI3717" s="149"/>
      <c r="AJ3717" s="149"/>
      <c r="AK3717" s="149"/>
      <c r="AL3717" s="149"/>
      <c r="AM3717" s="149"/>
      <c r="AN3717" s="149"/>
      <c r="AO3717" s="128"/>
      <c r="AP3717" s="128"/>
      <c r="AQ3717" s="128"/>
      <c r="AR3717" s="128"/>
      <c r="AS3717" s="128"/>
      <c r="AT3717" s="128"/>
      <c r="AU3717" s="128"/>
      <c r="AV3717" s="128"/>
      <c r="AW3717" s="128"/>
      <c r="AX3717" s="128"/>
      <c r="AY3717" s="128"/>
      <c r="AZ3717" s="128"/>
      <c r="BA3717" s="128"/>
      <c r="BB3717" s="128"/>
      <c r="BC3717" s="128"/>
      <c r="BD3717" s="128"/>
      <c r="BE3717" s="128"/>
      <c r="BF3717" s="128"/>
      <c r="BG3717" s="128"/>
      <c r="BH3717" s="128"/>
      <c r="BI3717" s="128"/>
      <c r="BJ3717" s="128"/>
      <c r="BK3717" s="128"/>
      <c r="BL3717" s="128"/>
      <c r="BM3717" s="151"/>
      <c r="BN3717" s="128"/>
      <c r="BO3717" s="128"/>
      <c r="BP3717" s="128"/>
      <c r="BQ3717" s="128"/>
      <c r="BR3717" s="128"/>
      <c r="BS3717" s="128"/>
      <c r="BT3717" s="128"/>
      <c r="BU3717" s="128"/>
      <c r="BV3717" s="128"/>
      <c r="BW3717" s="128"/>
      <c r="BX3717" s="128"/>
      <c r="BY3717" s="128"/>
      <c r="BZ3717" s="128"/>
      <c r="CA3717" s="128"/>
      <c r="CB3717" s="128"/>
      <c r="CC3717" s="128"/>
      <c r="CD3717" s="128"/>
      <c r="CE3717" s="128"/>
      <c r="CF3717" s="128"/>
      <c r="CG3717" s="128"/>
      <c r="CI3717" s="128"/>
      <c r="CJ3717" s="128"/>
      <c r="CK3717" s="128"/>
      <c r="CL3717" s="128"/>
      <c r="CM3717" s="128"/>
      <c r="CN3717" s="128"/>
      <c r="CO3717" s="128"/>
      <c r="CP3717" s="128"/>
      <c r="CQ3717" s="128"/>
      <c r="CR3717" s="128"/>
      <c r="CS3717" s="128"/>
      <c r="CT3717" s="128"/>
      <c r="CU3717" s="128"/>
      <c r="CV3717" s="128"/>
      <c r="CW3717" s="128"/>
      <c r="CX3717" s="128"/>
      <c r="CY3717" s="128"/>
      <c r="CZ3717" s="165"/>
    </row>
    <row r="3718" spans="1:104">
      <c r="A3718" s="149"/>
      <c r="B3718" s="149"/>
      <c r="C3718" s="150"/>
      <c r="D3718" s="102"/>
      <c r="E3718" s="149"/>
      <c r="F3718" s="149"/>
      <c r="G3718" s="149"/>
      <c r="H3718" s="149"/>
      <c r="I3718" s="149"/>
      <c r="J3718" s="149"/>
      <c r="K3718" s="149"/>
      <c r="L3718" s="149"/>
      <c r="M3718" s="149"/>
      <c r="N3718" s="149"/>
      <c r="O3718" s="149"/>
      <c r="P3718" s="149"/>
      <c r="Q3718" s="149"/>
      <c r="R3718" s="149"/>
      <c r="S3718" s="149"/>
      <c r="T3718" s="149"/>
      <c r="U3718" s="149"/>
      <c r="V3718" s="149"/>
      <c r="W3718" s="149"/>
      <c r="X3718" s="149"/>
      <c r="Y3718" s="149"/>
      <c r="Z3718" s="149"/>
      <c r="AA3718" s="149"/>
      <c r="AB3718" s="149"/>
      <c r="AC3718" s="149"/>
      <c r="AD3718" s="149"/>
      <c r="AE3718" s="149"/>
      <c r="AF3718" s="149"/>
      <c r="AG3718" s="149"/>
      <c r="AH3718" s="149"/>
      <c r="AI3718" s="149"/>
      <c r="AJ3718" s="149"/>
      <c r="AK3718" s="149"/>
      <c r="AL3718" s="149"/>
      <c r="AM3718" s="149"/>
      <c r="AN3718" s="149"/>
      <c r="AO3718" s="128"/>
      <c r="AP3718" s="128"/>
      <c r="AQ3718" s="128"/>
      <c r="AR3718" s="128"/>
      <c r="AS3718" s="128"/>
      <c r="AT3718" s="128"/>
      <c r="AU3718" s="128"/>
      <c r="AV3718" s="128"/>
      <c r="AW3718" s="128"/>
      <c r="AX3718" s="128"/>
      <c r="AY3718" s="128"/>
      <c r="AZ3718" s="128"/>
      <c r="BA3718" s="128"/>
      <c r="BB3718" s="128"/>
      <c r="BC3718" s="128"/>
      <c r="BD3718" s="128"/>
      <c r="BE3718" s="128"/>
      <c r="BF3718" s="128"/>
      <c r="BG3718" s="128"/>
      <c r="BH3718" s="128"/>
      <c r="BI3718" s="128"/>
      <c r="BJ3718" s="128"/>
      <c r="BK3718" s="128"/>
      <c r="BL3718" s="128"/>
      <c r="BM3718" s="151"/>
      <c r="BN3718" s="128"/>
      <c r="BO3718" s="128"/>
      <c r="BP3718" s="128"/>
      <c r="BQ3718" s="128"/>
      <c r="BR3718" s="128"/>
      <c r="BS3718" s="128"/>
      <c r="BT3718" s="128"/>
      <c r="BU3718" s="128"/>
      <c r="BV3718" s="128"/>
      <c r="BW3718" s="128"/>
      <c r="BX3718" s="128"/>
      <c r="BY3718" s="128"/>
      <c r="BZ3718" s="128"/>
      <c r="CA3718" s="128"/>
      <c r="CB3718" s="128"/>
      <c r="CC3718" s="128"/>
      <c r="CD3718" s="128"/>
      <c r="CE3718" s="128"/>
      <c r="CF3718" s="128"/>
      <c r="CG3718" s="128"/>
      <c r="CI3718" s="128"/>
      <c r="CJ3718" s="128"/>
      <c r="CK3718" s="128"/>
      <c r="CL3718" s="128"/>
      <c r="CM3718" s="128"/>
      <c r="CN3718" s="128"/>
      <c r="CO3718" s="128"/>
      <c r="CP3718" s="128"/>
      <c r="CQ3718" s="128"/>
      <c r="CR3718" s="128"/>
      <c r="CS3718" s="128"/>
      <c r="CT3718" s="128"/>
      <c r="CU3718" s="128"/>
      <c r="CV3718" s="128"/>
      <c r="CW3718" s="128"/>
      <c r="CX3718" s="128"/>
      <c r="CY3718" s="128"/>
      <c r="CZ3718" s="165"/>
    </row>
    <row r="3719" spans="1:104">
      <c r="A3719" s="149"/>
      <c r="B3719" s="149"/>
      <c r="C3719" s="150"/>
      <c r="D3719" s="102"/>
      <c r="E3719" s="149"/>
      <c r="F3719" s="149"/>
      <c r="G3719" s="149"/>
      <c r="H3719" s="149"/>
      <c r="I3719" s="149"/>
      <c r="J3719" s="149"/>
      <c r="K3719" s="149"/>
      <c r="L3719" s="149"/>
      <c r="M3719" s="149"/>
      <c r="N3719" s="149"/>
      <c r="O3719" s="149"/>
      <c r="P3719" s="149"/>
      <c r="Q3719" s="149"/>
      <c r="R3719" s="149"/>
      <c r="S3719" s="149"/>
      <c r="T3719" s="149"/>
      <c r="U3719" s="149"/>
      <c r="V3719" s="149"/>
      <c r="W3719" s="149"/>
      <c r="X3719" s="149"/>
      <c r="Y3719" s="149"/>
      <c r="Z3719" s="149"/>
      <c r="AA3719" s="149"/>
      <c r="AB3719" s="149"/>
      <c r="AC3719" s="149"/>
      <c r="AD3719" s="149"/>
      <c r="AE3719" s="149"/>
      <c r="AF3719" s="149"/>
      <c r="AG3719" s="149"/>
      <c r="AH3719" s="149"/>
      <c r="AI3719" s="149"/>
      <c r="AJ3719" s="149"/>
      <c r="AK3719" s="149"/>
      <c r="AL3719" s="149"/>
      <c r="AM3719" s="149"/>
      <c r="AN3719" s="149"/>
      <c r="AO3719" s="128"/>
      <c r="AP3719" s="128"/>
      <c r="AQ3719" s="128"/>
      <c r="AR3719" s="128"/>
      <c r="AS3719" s="128"/>
      <c r="AT3719" s="128"/>
      <c r="AU3719" s="128"/>
      <c r="AV3719" s="128"/>
      <c r="AW3719" s="128"/>
      <c r="AX3719" s="128"/>
      <c r="AY3719" s="128"/>
      <c r="AZ3719" s="128"/>
      <c r="BA3719" s="128"/>
      <c r="BB3719" s="128"/>
      <c r="BC3719" s="128"/>
      <c r="BD3719" s="128"/>
      <c r="BE3719" s="128"/>
      <c r="BF3719" s="128"/>
      <c r="BG3719" s="128"/>
      <c r="BH3719" s="128"/>
      <c r="BI3719" s="128"/>
      <c r="BJ3719" s="128"/>
      <c r="BK3719" s="128"/>
      <c r="BL3719" s="128"/>
      <c r="BM3719" s="151"/>
      <c r="BN3719" s="128"/>
      <c r="BO3719" s="128"/>
      <c r="BP3719" s="128"/>
      <c r="BQ3719" s="128"/>
      <c r="BR3719" s="128"/>
      <c r="BS3719" s="128"/>
      <c r="BT3719" s="128"/>
      <c r="BU3719" s="128"/>
      <c r="BV3719" s="128"/>
      <c r="BW3719" s="128"/>
      <c r="BX3719" s="128"/>
      <c r="BY3719" s="128"/>
      <c r="BZ3719" s="128"/>
      <c r="CA3719" s="128"/>
      <c r="CB3719" s="128"/>
      <c r="CC3719" s="128"/>
      <c r="CD3719" s="128"/>
      <c r="CE3719" s="128"/>
      <c r="CF3719" s="128"/>
      <c r="CG3719" s="128"/>
      <c r="CI3719" s="128"/>
      <c r="CJ3719" s="128"/>
      <c r="CK3719" s="128"/>
      <c r="CL3719" s="128"/>
      <c r="CM3719" s="128"/>
      <c r="CN3719" s="128"/>
      <c r="CO3719" s="128"/>
      <c r="CP3719" s="128"/>
      <c r="CQ3719" s="128"/>
      <c r="CR3719" s="128"/>
      <c r="CS3719" s="128"/>
      <c r="CT3719" s="128"/>
      <c r="CU3719" s="128"/>
      <c r="CV3719" s="128"/>
      <c r="CW3719" s="128"/>
      <c r="CX3719" s="128"/>
      <c r="CY3719" s="128"/>
      <c r="CZ3719" s="165"/>
    </row>
    <row r="3720" spans="1:104">
      <c r="A3720" s="149"/>
      <c r="B3720" s="149"/>
      <c r="C3720" s="150"/>
      <c r="D3720" s="102"/>
      <c r="E3720" s="149"/>
      <c r="F3720" s="149"/>
      <c r="G3720" s="149"/>
      <c r="H3720" s="149"/>
      <c r="I3720" s="149"/>
      <c r="J3720" s="149"/>
      <c r="K3720" s="149"/>
      <c r="L3720" s="149"/>
      <c r="M3720" s="149"/>
      <c r="N3720" s="149"/>
      <c r="O3720" s="149"/>
      <c r="P3720" s="149"/>
      <c r="Q3720" s="149"/>
      <c r="R3720" s="149"/>
      <c r="S3720" s="149"/>
      <c r="T3720" s="149"/>
      <c r="U3720" s="149"/>
      <c r="V3720" s="149"/>
      <c r="W3720" s="149"/>
      <c r="X3720" s="149"/>
      <c r="Y3720" s="149"/>
      <c r="Z3720" s="149"/>
      <c r="AA3720" s="149"/>
      <c r="AB3720" s="149"/>
      <c r="AC3720" s="149"/>
      <c r="AD3720" s="149"/>
      <c r="AE3720" s="149"/>
      <c r="AF3720" s="149"/>
      <c r="AG3720" s="149"/>
      <c r="AH3720" s="149"/>
      <c r="AI3720" s="149"/>
      <c r="AJ3720" s="149"/>
      <c r="AK3720" s="149"/>
      <c r="AL3720" s="149"/>
      <c r="AM3720" s="149"/>
      <c r="AN3720" s="149"/>
      <c r="AO3720" s="128"/>
      <c r="AP3720" s="128"/>
      <c r="AQ3720" s="128"/>
      <c r="AR3720" s="128"/>
      <c r="AS3720" s="128"/>
      <c r="AT3720" s="128"/>
      <c r="AU3720" s="128"/>
      <c r="AV3720" s="128"/>
      <c r="AW3720" s="128"/>
      <c r="AX3720" s="128"/>
      <c r="AY3720" s="128"/>
      <c r="AZ3720" s="128"/>
      <c r="BA3720" s="128"/>
      <c r="BB3720" s="128"/>
      <c r="BC3720" s="128"/>
      <c r="BD3720" s="128"/>
      <c r="BE3720" s="128"/>
      <c r="BF3720" s="128"/>
      <c r="BG3720" s="128"/>
      <c r="BH3720" s="128"/>
      <c r="BI3720" s="128"/>
      <c r="BJ3720" s="128"/>
      <c r="BK3720" s="128"/>
      <c r="BL3720" s="128"/>
      <c r="BM3720" s="151"/>
      <c r="BN3720" s="128"/>
      <c r="BO3720" s="128"/>
      <c r="BP3720" s="128"/>
      <c r="BQ3720" s="128"/>
      <c r="BR3720" s="128"/>
      <c r="BS3720" s="128"/>
      <c r="BT3720" s="128"/>
      <c r="BU3720" s="128"/>
      <c r="BV3720" s="128"/>
      <c r="BW3720" s="128"/>
      <c r="BX3720" s="128"/>
      <c r="BY3720" s="128"/>
      <c r="BZ3720" s="128"/>
      <c r="CA3720" s="128"/>
      <c r="CB3720" s="128"/>
      <c r="CC3720" s="128"/>
      <c r="CD3720" s="128"/>
      <c r="CE3720" s="128"/>
      <c r="CF3720" s="128"/>
      <c r="CG3720" s="128"/>
      <c r="CI3720" s="128"/>
      <c r="CJ3720" s="128"/>
      <c r="CK3720" s="128"/>
      <c r="CL3720" s="128"/>
      <c r="CM3720" s="128"/>
      <c r="CN3720" s="128"/>
      <c r="CO3720" s="128"/>
      <c r="CP3720" s="128"/>
      <c r="CQ3720" s="128"/>
      <c r="CR3720" s="128"/>
      <c r="CS3720" s="128"/>
      <c r="CT3720" s="128"/>
      <c r="CU3720" s="128"/>
      <c r="CV3720" s="128"/>
      <c r="CW3720" s="128"/>
      <c r="CX3720" s="128"/>
      <c r="CY3720" s="128"/>
      <c r="CZ3720" s="165"/>
    </row>
    <row r="3721" spans="1:104">
      <c r="A3721" s="149"/>
      <c r="B3721" s="149"/>
      <c r="C3721" s="150"/>
      <c r="D3721" s="102"/>
      <c r="E3721" s="149"/>
      <c r="F3721" s="149"/>
      <c r="G3721" s="149"/>
      <c r="H3721" s="149"/>
      <c r="I3721" s="149"/>
      <c r="J3721" s="149"/>
      <c r="K3721" s="149"/>
      <c r="L3721" s="149"/>
      <c r="M3721" s="149"/>
      <c r="N3721" s="149"/>
      <c r="O3721" s="149"/>
      <c r="P3721" s="149"/>
      <c r="Q3721" s="149"/>
      <c r="R3721" s="149"/>
      <c r="S3721" s="149"/>
      <c r="T3721" s="149"/>
      <c r="U3721" s="149"/>
      <c r="V3721" s="149"/>
      <c r="W3721" s="149"/>
      <c r="X3721" s="149"/>
      <c r="Y3721" s="149"/>
      <c r="Z3721" s="149"/>
      <c r="AA3721" s="149"/>
      <c r="AB3721" s="149"/>
      <c r="AC3721" s="149"/>
      <c r="AD3721" s="149"/>
      <c r="AE3721" s="149"/>
      <c r="AF3721" s="149"/>
      <c r="AG3721" s="149"/>
      <c r="AH3721" s="149"/>
      <c r="AI3721" s="149"/>
      <c r="AJ3721" s="149"/>
      <c r="AK3721" s="149"/>
      <c r="AL3721" s="149"/>
      <c r="AM3721" s="149"/>
      <c r="AN3721" s="149"/>
      <c r="AO3721" s="128"/>
      <c r="AP3721" s="128"/>
      <c r="AQ3721" s="128"/>
      <c r="AR3721" s="128"/>
      <c r="AS3721" s="128"/>
      <c r="AT3721" s="128"/>
      <c r="AU3721" s="128"/>
      <c r="AV3721" s="128"/>
      <c r="AW3721" s="128"/>
      <c r="AX3721" s="128"/>
      <c r="AY3721" s="128"/>
      <c r="AZ3721" s="128"/>
      <c r="BA3721" s="128"/>
      <c r="BB3721" s="128"/>
      <c r="BC3721" s="128"/>
      <c r="BD3721" s="128"/>
      <c r="BE3721" s="128"/>
      <c r="BF3721" s="128"/>
      <c r="BG3721" s="128"/>
      <c r="BH3721" s="128"/>
      <c r="BI3721" s="128"/>
      <c r="BJ3721" s="128"/>
      <c r="BK3721" s="128"/>
      <c r="BL3721" s="128"/>
      <c r="BM3721" s="151"/>
      <c r="BN3721" s="128"/>
      <c r="BO3721" s="128"/>
      <c r="BP3721" s="128"/>
      <c r="BQ3721" s="128"/>
      <c r="BR3721" s="128"/>
      <c r="BS3721" s="128"/>
      <c r="BT3721" s="128"/>
      <c r="BU3721" s="128"/>
      <c r="BV3721" s="128"/>
      <c r="BW3721" s="128"/>
      <c r="BX3721" s="128"/>
      <c r="BY3721" s="128"/>
      <c r="BZ3721" s="128"/>
      <c r="CA3721" s="128"/>
      <c r="CB3721" s="128"/>
      <c r="CC3721" s="128"/>
      <c r="CD3721" s="128"/>
      <c r="CE3721" s="128"/>
      <c r="CF3721" s="128"/>
      <c r="CG3721" s="128"/>
      <c r="CI3721" s="128"/>
      <c r="CJ3721" s="128"/>
      <c r="CK3721" s="128"/>
      <c r="CL3721" s="128"/>
      <c r="CM3721" s="128"/>
      <c r="CN3721" s="128"/>
      <c r="CO3721" s="128"/>
      <c r="CP3721" s="128"/>
      <c r="CQ3721" s="128"/>
      <c r="CR3721" s="128"/>
      <c r="CS3721" s="128"/>
      <c r="CT3721" s="128"/>
      <c r="CU3721" s="128"/>
      <c r="CV3721" s="128"/>
      <c r="CW3721" s="128"/>
      <c r="CX3721" s="128"/>
      <c r="CY3721" s="128"/>
      <c r="CZ3721" s="165"/>
    </row>
    <row r="3722" spans="1:104">
      <c r="A3722" s="149"/>
      <c r="B3722" s="149"/>
      <c r="C3722" s="150"/>
      <c r="D3722" s="102"/>
      <c r="E3722" s="149"/>
      <c r="F3722" s="149"/>
      <c r="G3722" s="149"/>
      <c r="H3722" s="149"/>
      <c r="I3722" s="149"/>
      <c r="J3722" s="149"/>
      <c r="K3722" s="149"/>
      <c r="L3722" s="149"/>
      <c r="M3722" s="149"/>
      <c r="N3722" s="149"/>
      <c r="O3722" s="149"/>
      <c r="P3722" s="149"/>
      <c r="Q3722" s="149"/>
      <c r="R3722" s="149"/>
      <c r="S3722" s="149"/>
      <c r="T3722" s="149"/>
      <c r="U3722" s="149"/>
      <c r="V3722" s="149"/>
      <c r="W3722" s="149"/>
      <c r="X3722" s="149"/>
      <c r="Y3722" s="149"/>
      <c r="Z3722" s="149"/>
      <c r="AA3722" s="149"/>
      <c r="AB3722" s="149"/>
      <c r="AC3722" s="149"/>
      <c r="AD3722" s="149"/>
      <c r="AE3722" s="149"/>
      <c r="AF3722" s="149"/>
      <c r="AG3722" s="149"/>
      <c r="AH3722" s="149"/>
      <c r="AI3722" s="149"/>
      <c r="AJ3722" s="149"/>
      <c r="AK3722" s="149"/>
      <c r="AL3722" s="149"/>
      <c r="AM3722" s="149"/>
      <c r="AN3722" s="149"/>
      <c r="AO3722" s="128"/>
      <c r="AP3722" s="128"/>
      <c r="AQ3722" s="128"/>
      <c r="AR3722" s="128"/>
      <c r="AS3722" s="128"/>
      <c r="AT3722" s="128"/>
      <c r="AU3722" s="128"/>
      <c r="AV3722" s="128"/>
      <c r="AW3722" s="128"/>
      <c r="AX3722" s="128"/>
      <c r="AY3722" s="128"/>
      <c r="AZ3722" s="128"/>
      <c r="BA3722" s="128"/>
      <c r="BB3722" s="128"/>
      <c r="BC3722" s="128"/>
      <c r="BD3722" s="128"/>
      <c r="BE3722" s="128"/>
      <c r="BF3722" s="128"/>
      <c r="BG3722" s="128"/>
      <c r="BH3722" s="128"/>
      <c r="BI3722" s="128"/>
      <c r="BJ3722" s="128"/>
      <c r="BK3722" s="128"/>
      <c r="BL3722" s="128"/>
      <c r="BM3722" s="151"/>
      <c r="BN3722" s="128"/>
      <c r="BO3722" s="128"/>
      <c r="BP3722" s="128"/>
      <c r="BQ3722" s="128"/>
      <c r="BR3722" s="128"/>
      <c r="BS3722" s="128"/>
      <c r="BT3722" s="128"/>
      <c r="BU3722" s="128"/>
      <c r="BV3722" s="128"/>
      <c r="BW3722" s="128"/>
      <c r="BX3722" s="128"/>
      <c r="BY3722" s="128"/>
      <c r="BZ3722" s="128"/>
      <c r="CA3722" s="128"/>
      <c r="CB3722" s="128"/>
      <c r="CC3722" s="128"/>
      <c r="CD3722" s="128"/>
      <c r="CE3722" s="128"/>
      <c r="CF3722" s="128"/>
      <c r="CG3722" s="128"/>
      <c r="CI3722" s="128"/>
      <c r="CJ3722" s="128"/>
      <c r="CK3722" s="128"/>
      <c r="CL3722" s="128"/>
      <c r="CM3722" s="128"/>
      <c r="CN3722" s="128"/>
      <c r="CO3722" s="128"/>
      <c r="CP3722" s="128"/>
      <c r="CQ3722" s="128"/>
      <c r="CR3722" s="128"/>
      <c r="CS3722" s="128"/>
      <c r="CT3722" s="128"/>
      <c r="CU3722" s="128"/>
      <c r="CV3722" s="128"/>
      <c r="CW3722" s="128"/>
      <c r="CX3722" s="128"/>
      <c r="CY3722" s="128"/>
      <c r="CZ3722" s="165"/>
    </row>
    <row r="3723" spans="1:104">
      <c r="A3723" s="149"/>
      <c r="B3723" s="149"/>
      <c r="C3723" s="150"/>
      <c r="D3723" s="102"/>
      <c r="E3723" s="149"/>
      <c r="F3723" s="149"/>
      <c r="G3723" s="149"/>
      <c r="H3723" s="149"/>
      <c r="I3723" s="149"/>
      <c r="J3723" s="149"/>
      <c r="K3723" s="149"/>
      <c r="L3723" s="149"/>
      <c r="M3723" s="149"/>
      <c r="N3723" s="149"/>
      <c r="O3723" s="149"/>
      <c r="P3723" s="149"/>
      <c r="Q3723" s="149"/>
      <c r="R3723" s="149"/>
      <c r="S3723" s="149"/>
      <c r="T3723" s="149"/>
      <c r="U3723" s="149"/>
      <c r="V3723" s="149"/>
      <c r="W3723" s="149"/>
      <c r="X3723" s="149"/>
      <c r="Y3723" s="149"/>
      <c r="Z3723" s="149"/>
      <c r="AA3723" s="149"/>
      <c r="AB3723" s="149"/>
      <c r="AC3723" s="149"/>
      <c r="AD3723" s="149"/>
      <c r="AE3723" s="149"/>
      <c r="AF3723" s="149"/>
      <c r="AG3723" s="149"/>
      <c r="AH3723" s="149"/>
      <c r="AI3723" s="149"/>
      <c r="AJ3723" s="149"/>
      <c r="AK3723" s="149"/>
      <c r="AL3723" s="149"/>
      <c r="AM3723" s="149"/>
      <c r="AN3723" s="149"/>
      <c r="AO3723" s="128"/>
      <c r="AP3723" s="128"/>
      <c r="AQ3723" s="128"/>
      <c r="AR3723" s="128"/>
      <c r="AS3723" s="128"/>
      <c r="AT3723" s="128"/>
      <c r="AU3723" s="128"/>
      <c r="AV3723" s="128"/>
      <c r="AW3723" s="128"/>
      <c r="AX3723" s="128"/>
      <c r="AY3723" s="128"/>
      <c r="AZ3723" s="128"/>
      <c r="BA3723" s="128"/>
      <c r="BB3723" s="128"/>
      <c r="BC3723" s="128"/>
      <c r="BD3723" s="128"/>
      <c r="BE3723" s="128"/>
      <c r="BF3723" s="128"/>
      <c r="BG3723" s="128"/>
      <c r="BH3723" s="128"/>
      <c r="BI3723" s="128"/>
      <c r="BJ3723" s="128"/>
      <c r="BK3723" s="128"/>
      <c r="BL3723" s="128"/>
      <c r="BM3723" s="151"/>
      <c r="BN3723" s="128"/>
      <c r="BO3723" s="128"/>
      <c r="BP3723" s="128"/>
      <c r="BQ3723" s="128"/>
      <c r="BR3723" s="128"/>
      <c r="BS3723" s="128"/>
      <c r="BT3723" s="128"/>
      <c r="BU3723" s="128"/>
      <c r="BV3723" s="128"/>
      <c r="BW3723" s="128"/>
      <c r="BX3723" s="128"/>
      <c r="BY3723" s="128"/>
      <c r="BZ3723" s="128"/>
      <c r="CA3723" s="128"/>
      <c r="CB3723" s="128"/>
      <c r="CC3723" s="128"/>
      <c r="CD3723" s="128"/>
      <c r="CE3723" s="128"/>
      <c r="CF3723" s="128"/>
      <c r="CG3723" s="128"/>
      <c r="CI3723" s="128"/>
      <c r="CJ3723" s="128"/>
      <c r="CK3723" s="128"/>
      <c r="CL3723" s="128"/>
      <c r="CM3723" s="128"/>
      <c r="CN3723" s="128"/>
      <c r="CO3723" s="128"/>
      <c r="CP3723" s="128"/>
      <c r="CQ3723" s="128"/>
      <c r="CR3723" s="128"/>
      <c r="CS3723" s="128"/>
      <c r="CT3723" s="128"/>
      <c r="CU3723" s="128"/>
      <c r="CV3723" s="128"/>
      <c r="CW3723" s="128"/>
      <c r="CX3723" s="128"/>
      <c r="CY3723" s="128"/>
      <c r="CZ3723" s="165"/>
    </row>
    <row r="3724" spans="1:104">
      <c r="A3724" s="149"/>
      <c r="B3724" s="149"/>
      <c r="C3724" s="150"/>
      <c r="D3724" s="102"/>
      <c r="E3724" s="149"/>
      <c r="F3724" s="149"/>
      <c r="G3724" s="149"/>
      <c r="H3724" s="149"/>
      <c r="I3724" s="149"/>
      <c r="J3724" s="149"/>
      <c r="K3724" s="149"/>
      <c r="L3724" s="149"/>
      <c r="M3724" s="149"/>
      <c r="N3724" s="149"/>
      <c r="O3724" s="149"/>
      <c r="P3724" s="149"/>
      <c r="Q3724" s="149"/>
      <c r="R3724" s="149"/>
      <c r="S3724" s="149"/>
      <c r="T3724" s="149"/>
      <c r="U3724" s="149"/>
      <c r="V3724" s="149"/>
      <c r="W3724" s="149"/>
      <c r="X3724" s="149"/>
      <c r="Y3724" s="149"/>
      <c r="Z3724" s="149"/>
      <c r="AA3724" s="149"/>
      <c r="AB3724" s="149"/>
      <c r="AC3724" s="149"/>
      <c r="AD3724" s="149"/>
      <c r="AE3724" s="149"/>
      <c r="AF3724" s="149"/>
      <c r="AG3724" s="149"/>
      <c r="AH3724" s="149"/>
      <c r="AI3724" s="149"/>
      <c r="AJ3724" s="149"/>
      <c r="AK3724" s="149"/>
      <c r="AL3724" s="149"/>
      <c r="AM3724" s="149"/>
      <c r="AN3724" s="149"/>
      <c r="AO3724" s="128"/>
      <c r="AP3724" s="128"/>
      <c r="AQ3724" s="128"/>
      <c r="AR3724" s="128"/>
      <c r="AS3724" s="128"/>
      <c r="AT3724" s="128"/>
      <c r="AU3724" s="128"/>
      <c r="AV3724" s="128"/>
      <c r="AW3724" s="128"/>
      <c r="AX3724" s="128"/>
      <c r="AY3724" s="128"/>
      <c r="AZ3724" s="128"/>
      <c r="BA3724" s="128"/>
      <c r="BB3724" s="128"/>
      <c r="BC3724" s="128"/>
      <c r="BD3724" s="128"/>
      <c r="BE3724" s="128"/>
      <c r="BF3724" s="128"/>
      <c r="BG3724" s="128"/>
      <c r="BH3724" s="128"/>
      <c r="BI3724" s="128"/>
      <c r="BJ3724" s="128"/>
      <c r="BK3724" s="128"/>
      <c r="BL3724" s="128"/>
      <c r="BM3724" s="151"/>
      <c r="BN3724" s="128"/>
      <c r="BO3724" s="128"/>
      <c r="BP3724" s="128"/>
      <c r="BQ3724" s="128"/>
      <c r="BR3724" s="128"/>
      <c r="BS3724" s="128"/>
      <c r="BT3724" s="128"/>
      <c r="BU3724" s="128"/>
      <c r="BV3724" s="128"/>
      <c r="BW3724" s="128"/>
      <c r="BX3724" s="128"/>
      <c r="BY3724" s="128"/>
      <c r="BZ3724" s="128"/>
      <c r="CA3724" s="128"/>
      <c r="CB3724" s="128"/>
      <c r="CC3724" s="128"/>
      <c r="CD3724" s="128"/>
      <c r="CE3724" s="128"/>
      <c r="CF3724" s="128"/>
      <c r="CG3724" s="128"/>
      <c r="CI3724" s="128"/>
      <c r="CJ3724" s="128"/>
      <c r="CK3724" s="128"/>
      <c r="CL3724" s="128"/>
      <c r="CM3724" s="128"/>
      <c r="CN3724" s="128"/>
      <c r="CO3724" s="128"/>
      <c r="CP3724" s="128"/>
      <c r="CQ3724" s="128"/>
      <c r="CR3724" s="128"/>
      <c r="CS3724" s="128"/>
      <c r="CT3724" s="128"/>
      <c r="CU3724" s="128"/>
      <c r="CV3724" s="128"/>
      <c r="CW3724" s="128"/>
      <c r="CX3724" s="128"/>
      <c r="CY3724" s="128"/>
      <c r="CZ3724" s="165"/>
    </row>
    <row r="3725" spans="1:104">
      <c r="A3725" s="149"/>
      <c r="B3725" s="149"/>
      <c r="C3725" s="150"/>
      <c r="D3725" s="102"/>
      <c r="E3725" s="149"/>
      <c r="F3725" s="149"/>
      <c r="G3725" s="149"/>
      <c r="H3725" s="149"/>
      <c r="I3725" s="149"/>
      <c r="J3725" s="149"/>
      <c r="K3725" s="149"/>
      <c r="L3725" s="149"/>
      <c r="M3725" s="149"/>
      <c r="N3725" s="149"/>
      <c r="O3725" s="149"/>
      <c r="P3725" s="149"/>
      <c r="Q3725" s="149"/>
      <c r="R3725" s="149"/>
      <c r="S3725" s="149"/>
      <c r="T3725" s="149"/>
      <c r="U3725" s="149"/>
      <c r="V3725" s="149"/>
      <c r="W3725" s="149"/>
      <c r="X3725" s="149"/>
      <c r="Y3725" s="149"/>
      <c r="Z3725" s="149"/>
      <c r="AA3725" s="149"/>
      <c r="AB3725" s="149"/>
      <c r="AC3725" s="149"/>
      <c r="AD3725" s="149"/>
      <c r="AE3725" s="149"/>
      <c r="AF3725" s="149"/>
      <c r="AG3725" s="149"/>
      <c r="AH3725" s="149"/>
      <c r="AI3725" s="149"/>
      <c r="AJ3725" s="149"/>
      <c r="AK3725" s="149"/>
      <c r="AL3725" s="149"/>
      <c r="AM3725" s="149"/>
      <c r="AN3725" s="149"/>
      <c r="AO3725" s="128"/>
      <c r="AP3725" s="128"/>
      <c r="AQ3725" s="128"/>
      <c r="AR3725" s="128"/>
      <c r="AS3725" s="128"/>
      <c r="AT3725" s="128"/>
      <c r="AU3725" s="128"/>
      <c r="AV3725" s="128"/>
      <c r="AW3725" s="128"/>
      <c r="AX3725" s="128"/>
      <c r="AY3725" s="128"/>
      <c r="AZ3725" s="128"/>
      <c r="BA3725" s="128"/>
      <c r="BB3725" s="128"/>
      <c r="BC3725" s="128"/>
      <c r="BD3725" s="128"/>
      <c r="BE3725" s="128"/>
      <c r="BF3725" s="128"/>
      <c r="BG3725" s="128"/>
      <c r="BH3725" s="128"/>
      <c r="BI3725" s="128"/>
      <c r="BJ3725" s="128"/>
      <c r="BK3725" s="128"/>
      <c r="BL3725" s="128"/>
      <c r="BM3725" s="151"/>
      <c r="BN3725" s="128"/>
      <c r="BO3725" s="128"/>
      <c r="BP3725" s="128"/>
      <c r="BQ3725" s="128"/>
      <c r="BR3725" s="128"/>
      <c r="BS3725" s="128"/>
      <c r="BT3725" s="128"/>
      <c r="BU3725" s="128"/>
      <c r="BV3725" s="128"/>
      <c r="BW3725" s="128"/>
      <c r="BX3725" s="128"/>
      <c r="BY3725" s="128"/>
      <c r="BZ3725" s="128"/>
      <c r="CA3725" s="128"/>
      <c r="CB3725" s="128"/>
      <c r="CC3725" s="128"/>
      <c r="CD3725" s="128"/>
      <c r="CE3725" s="128"/>
      <c r="CF3725" s="128"/>
      <c r="CG3725" s="128"/>
      <c r="CI3725" s="128"/>
      <c r="CJ3725" s="128"/>
      <c r="CK3725" s="128"/>
      <c r="CL3725" s="128"/>
      <c r="CM3725" s="128"/>
      <c r="CN3725" s="128"/>
      <c r="CO3725" s="128"/>
      <c r="CP3725" s="128"/>
      <c r="CQ3725" s="128"/>
      <c r="CR3725" s="128"/>
      <c r="CS3725" s="128"/>
      <c r="CT3725" s="128"/>
      <c r="CU3725" s="128"/>
      <c r="CV3725" s="128"/>
      <c r="CW3725" s="128"/>
      <c r="CX3725" s="128"/>
      <c r="CY3725" s="128"/>
      <c r="CZ3725" s="165"/>
    </row>
    <row r="3726" spans="1:104">
      <c r="A3726" s="149"/>
      <c r="B3726" s="149"/>
      <c r="C3726" s="150"/>
      <c r="D3726" s="102"/>
      <c r="E3726" s="149"/>
      <c r="F3726" s="149"/>
      <c r="G3726" s="149"/>
      <c r="H3726" s="149"/>
      <c r="I3726" s="149"/>
      <c r="J3726" s="149"/>
      <c r="K3726" s="149"/>
      <c r="L3726" s="149"/>
      <c r="M3726" s="149"/>
      <c r="N3726" s="149"/>
      <c r="O3726" s="149"/>
      <c r="P3726" s="149"/>
      <c r="Q3726" s="149"/>
      <c r="R3726" s="149"/>
      <c r="S3726" s="149"/>
      <c r="T3726" s="149"/>
      <c r="U3726" s="149"/>
      <c r="V3726" s="149"/>
      <c r="W3726" s="149"/>
      <c r="X3726" s="149"/>
      <c r="Y3726" s="149"/>
      <c r="Z3726" s="149"/>
      <c r="AA3726" s="149"/>
      <c r="AB3726" s="149"/>
      <c r="AC3726" s="149"/>
      <c r="AD3726" s="149"/>
      <c r="AE3726" s="149"/>
      <c r="AF3726" s="149"/>
      <c r="AG3726" s="149"/>
      <c r="AH3726" s="149"/>
      <c r="AI3726" s="149"/>
      <c r="AJ3726" s="149"/>
      <c r="AK3726" s="149"/>
      <c r="AL3726" s="149"/>
      <c r="AM3726" s="149"/>
      <c r="AN3726" s="149"/>
      <c r="AO3726" s="128"/>
      <c r="AP3726" s="128"/>
      <c r="AQ3726" s="128"/>
      <c r="AR3726" s="128"/>
      <c r="AS3726" s="128"/>
      <c r="AT3726" s="128"/>
      <c r="AU3726" s="128"/>
      <c r="AV3726" s="128"/>
      <c r="AW3726" s="128"/>
      <c r="AX3726" s="128"/>
      <c r="AY3726" s="128"/>
      <c r="AZ3726" s="128"/>
      <c r="BA3726" s="128"/>
      <c r="BB3726" s="128"/>
      <c r="BC3726" s="128"/>
      <c r="BD3726" s="128"/>
      <c r="BE3726" s="128"/>
      <c r="BF3726" s="128"/>
      <c r="BG3726" s="128"/>
      <c r="BH3726" s="128"/>
      <c r="BI3726" s="128"/>
      <c r="BJ3726" s="128"/>
      <c r="BK3726" s="128"/>
      <c r="BL3726" s="128"/>
      <c r="BM3726" s="151"/>
      <c r="BN3726" s="128"/>
      <c r="BO3726" s="128"/>
      <c r="BP3726" s="128"/>
      <c r="BQ3726" s="128"/>
      <c r="BR3726" s="128"/>
      <c r="BS3726" s="128"/>
      <c r="BT3726" s="128"/>
      <c r="BU3726" s="128"/>
      <c r="BV3726" s="128"/>
      <c r="BW3726" s="128"/>
      <c r="BX3726" s="128"/>
      <c r="BY3726" s="128"/>
      <c r="BZ3726" s="128"/>
      <c r="CA3726" s="128"/>
      <c r="CB3726" s="128"/>
      <c r="CC3726" s="128"/>
      <c r="CD3726" s="128"/>
      <c r="CE3726" s="128"/>
      <c r="CF3726" s="128"/>
      <c r="CG3726" s="128"/>
      <c r="CI3726" s="128"/>
      <c r="CJ3726" s="128"/>
      <c r="CK3726" s="128"/>
      <c r="CL3726" s="128"/>
      <c r="CM3726" s="128"/>
      <c r="CN3726" s="128"/>
      <c r="CO3726" s="128"/>
      <c r="CP3726" s="128"/>
      <c r="CQ3726" s="128"/>
      <c r="CR3726" s="128"/>
      <c r="CS3726" s="128"/>
      <c r="CT3726" s="128"/>
      <c r="CU3726" s="128"/>
      <c r="CV3726" s="128"/>
      <c r="CW3726" s="128"/>
      <c r="CX3726" s="128"/>
      <c r="CY3726" s="128"/>
      <c r="CZ3726" s="165"/>
    </row>
    <row r="3727" spans="1:104">
      <c r="A3727" s="149"/>
      <c r="B3727" s="149"/>
      <c r="C3727" s="150"/>
      <c r="D3727" s="102"/>
      <c r="E3727" s="149"/>
      <c r="F3727" s="149"/>
      <c r="G3727" s="149"/>
      <c r="H3727" s="149"/>
      <c r="I3727" s="149"/>
      <c r="J3727" s="149"/>
      <c r="K3727" s="149"/>
      <c r="L3727" s="149"/>
      <c r="M3727" s="149"/>
      <c r="N3727" s="149"/>
      <c r="O3727" s="149"/>
      <c r="P3727" s="149"/>
      <c r="Q3727" s="149"/>
      <c r="R3727" s="149"/>
      <c r="S3727" s="149"/>
      <c r="T3727" s="149"/>
      <c r="U3727" s="149"/>
      <c r="V3727" s="149"/>
      <c r="W3727" s="149"/>
      <c r="X3727" s="149"/>
      <c r="Y3727" s="149"/>
      <c r="Z3727" s="149"/>
      <c r="AA3727" s="149"/>
      <c r="AB3727" s="149"/>
      <c r="AC3727" s="149"/>
      <c r="AD3727" s="149"/>
      <c r="AE3727" s="149"/>
      <c r="AF3727" s="149"/>
      <c r="AG3727" s="149"/>
      <c r="AH3727" s="149"/>
      <c r="AI3727" s="149"/>
      <c r="AJ3727" s="149"/>
      <c r="AK3727" s="149"/>
      <c r="AL3727" s="149"/>
      <c r="AM3727" s="149"/>
      <c r="AN3727" s="149"/>
      <c r="AO3727" s="128"/>
      <c r="AP3727" s="128"/>
      <c r="AQ3727" s="128"/>
      <c r="AR3727" s="128"/>
      <c r="AS3727" s="128"/>
      <c r="AT3727" s="128"/>
      <c r="AU3727" s="128"/>
      <c r="AV3727" s="128"/>
      <c r="AW3727" s="128"/>
      <c r="AX3727" s="128"/>
      <c r="AY3727" s="128"/>
      <c r="AZ3727" s="128"/>
      <c r="BA3727" s="128"/>
      <c r="BB3727" s="128"/>
      <c r="BC3727" s="128"/>
      <c r="BD3727" s="128"/>
      <c r="BE3727" s="128"/>
      <c r="BF3727" s="128"/>
      <c r="BG3727" s="128"/>
      <c r="BH3727" s="128"/>
      <c r="BI3727" s="128"/>
      <c r="BJ3727" s="128"/>
      <c r="BK3727" s="128"/>
      <c r="BL3727" s="128"/>
      <c r="BM3727" s="151"/>
      <c r="BN3727" s="128"/>
      <c r="BO3727" s="128"/>
      <c r="BP3727" s="128"/>
      <c r="BQ3727" s="128"/>
      <c r="BR3727" s="128"/>
      <c r="BS3727" s="128"/>
      <c r="BT3727" s="128"/>
      <c r="BU3727" s="128"/>
      <c r="BV3727" s="128"/>
      <c r="BW3727" s="128"/>
      <c r="BX3727" s="128"/>
      <c r="BY3727" s="128"/>
      <c r="BZ3727" s="128"/>
      <c r="CA3727" s="128"/>
      <c r="CB3727" s="128"/>
      <c r="CC3727" s="128"/>
      <c r="CD3727" s="128"/>
      <c r="CE3727" s="128"/>
      <c r="CF3727" s="128"/>
      <c r="CG3727" s="128"/>
      <c r="CI3727" s="128"/>
      <c r="CJ3727" s="128"/>
      <c r="CK3727" s="128"/>
      <c r="CL3727" s="128"/>
      <c r="CM3727" s="128"/>
      <c r="CN3727" s="128"/>
      <c r="CO3727" s="128"/>
      <c r="CP3727" s="128"/>
      <c r="CQ3727" s="128"/>
      <c r="CR3727" s="128"/>
      <c r="CS3727" s="128"/>
      <c r="CT3727" s="128"/>
      <c r="CU3727" s="128"/>
      <c r="CV3727" s="128"/>
      <c r="CW3727" s="128"/>
      <c r="CX3727" s="128"/>
      <c r="CY3727" s="128"/>
      <c r="CZ3727" s="165"/>
    </row>
    <row r="3728" spans="1:104">
      <c r="A3728" s="149"/>
      <c r="B3728" s="149"/>
      <c r="C3728" s="150"/>
      <c r="D3728" s="102"/>
      <c r="E3728" s="149"/>
      <c r="F3728" s="149"/>
      <c r="G3728" s="149"/>
      <c r="H3728" s="149"/>
      <c r="I3728" s="149"/>
      <c r="J3728" s="149"/>
      <c r="K3728" s="149"/>
      <c r="L3728" s="149"/>
      <c r="M3728" s="149"/>
      <c r="N3728" s="149"/>
      <c r="O3728" s="149"/>
      <c r="P3728" s="149"/>
      <c r="Q3728" s="149"/>
      <c r="R3728" s="149"/>
      <c r="S3728" s="149"/>
      <c r="T3728" s="149"/>
      <c r="U3728" s="149"/>
      <c r="V3728" s="149"/>
      <c r="W3728" s="149"/>
      <c r="X3728" s="149"/>
      <c r="Y3728" s="149"/>
      <c r="Z3728" s="149"/>
      <c r="AA3728" s="149"/>
      <c r="AB3728" s="149"/>
      <c r="AC3728" s="149"/>
      <c r="AD3728" s="149"/>
      <c r="AE3728" s="149"/>
      <c r="AF3728" s="149"/>
      <c r="AG3728" s="149"/>
      <c r="AH3728" s="149"/>
      <c r="AI3728" s="149"/>
      <c r="AJ3728" s="149"/>
      <c r="AK3728" s="149"/>
      <c r="AL3728" s="149"/>
      <c r="AM3728" s="149"/>
      <c r="AN3728" s="149"/>
      <c r="AO3728" s="128"/>
      <c r="AP3728" s="128"/>
      <c r="AQ3728" s="128"/>
      <c r="AR3728" s="128"/>
      <c r="AS3728" s="128"/>
      <c r="AT3728" s="128"/>
      <c r="AU3728" s="128"/>
      <c r="AV3728" s="128"/>
      <c r="AW3728" s="128"/>
      <c r="AX3728" s="128"/>
      <c r="AY3728" s="128"/>
      <c r="AZ3728" s="128"/>
      <c r="BA3728" s="128"/>
      <c r="BB3728" s="128"/>
      <c r="BC3728" s="128"/>
      <c r="BD3728" s="128"/>
      <c r="BE3728" s="128"/>
      <c r="BF3728" s="128"/>
      <c r="BG3728" s="128"/>
      <c r="BH3728" s="128"/>
      <c r="BI3728" s="128"/>
      <c r="BJ3728" s="128"/>
      <c r="BK3728" s="128"/>
      <c r="BL3728" s="128"/>
      <c r="BM3728" s="151"/>
      <c r="BN3728" s="128"/>
      <c r="BO3728" s="128"/>
      <c r="BP3728" s="128"/>
      <c r="BQ3728" s="128"/>
      <c r="BR3728" s="128"/>
      <c r="BS3728" s="128"/>
      <c r="BT3728" s="128"/>
      <c r="BU3728" s="128"/>
      <c r="BV3728" s="128"/>
      <c r="BW3728" s="128"/>
      <c r="BX3728" s="128"/>
      <c r="BY3728" s="128"/>
      <c r="BZ3728" s="128"/>
      <c r="CA3728" s="128"/>
      <c r="CB3728" s="128"/>
      <c r="CC3728" s="128"/>
      <c r="CD3728" s="128"/>
      <c r="CE3728" s="128"/>
      <c r="CF3728" s="128"/>
      <c r="CG3728" s="128"/>
      <c r="CI3728" s="128"/>
      <c r="CJ3728" s="128"/>
      <c r="CK3728" s="128"/>
      <c r="CL3728" s="128"/>
      <c r="CM3728" s="128"/>
      <c r="CN3728" s="128"/>
      <c r="CO3728" s="128"/>
      <c r="CP3728" s="128"/>
      <c r="CQ3728" s="128"/>
      <c r="CR3728" s="128"/>
      <c r="CS3728" s="128"/>
      <c r="CT3728" s="128"/>
      <c r="CU3728" s="128"/>
      <c r="CV3728" s="128"/>
      <c r="CW3728" s="128"/>
      <c r="CX3728" s="128"/>
      <c r="CY3728" s="128"/>
      <c r="CZ3728" s="165"/>
    </row>
    <row r="3729" spans="1:104">
      <c r="A3729" s="149"/>
      <c r="B3729" s="149"/>
      <c r="C3729" s="150"/>
      <c r="D3729" s="102"/>
      <c r="E3729" s="149"/>
      <c r="F3729" s="149"/>
      <c r="G3729" s="149"/>
      <c r="H3729" s="149"/>
      <c r="I3729" s="149"/>
      <c r="J3729" s="149"/>
      <c r="K3729" s="149"/>
      <c r="L3729" s="149"/>
      <c r="M3729" s="149"/>
      <c r="N3729" s="149"/>
      <c r="O3729" s="149"/>
      <c r="P3729" s="149"/>
      <c r="Q3729" s="149"/>
      <c r="R3729" s="149"/>
      <c r="S3729" s="149"/>
      <c r="T3729" s="149"/>
      <c r="U3729" s="149"/>
      <c r="V3729" s="149"/>
      <c r="W3729" s="149"/>
      <c r="X3729" s="149"/>
      <c r="Y3729" s="149"/>
      <c r="Z3729" s="149"/>
      <c r="AA3729" s="149"/>
      <c r="AB3729" s="149"/>
      <c r="AC3729" s="149"/>
      <c r="AD3729" s="149"/>
      <c r="AE3729" s="149"/>
      <c r="AF3729" s="149"/>
      <c r="AG3729" s="149"/>
      <c r="AH3729" s="149"/>
      <c r="AI3729" s="149"/>
      <c r="AJ3729" s="149"/>
      <c r="AK3729" s="149"/>
      <c r="AL3729" s="149"/>
      <c r="AM3729" s="149"/>
      <c r="AN3729" s="149"/>
      <c r="AO3729" s="128"/>
      <c r="AP3729" s="128"/>
      <c r="AQ3729" s="128"/>
      <c r="AR3729" s="128"/>
      <c r="AS3729" s="128"/>
      <c r="AT3729" s="128"/>
      <c r="AU3729" s="128"/>
      <c r="AV3729" s="128"/>
      <c r="AW3729" s="128"/>
      <c r="AX3729" s="128"/>
      <c r="AY3729" s="128"/>
      <c r="AZ3729" s="128"/>
      <c r="BA3729" s="128"/>
      <c r="BB3729" s="128"/>
      <c r="BC3729" s="128"/>
      <c r="BD3729" s="128"/>
      <c r="BE3729" s="128"/>
      <c r="BF3729" s="128"/>
      <c r="BG3729" s="128"/>
      <c r="BH3729" s="128"/>
      <c r="BI3729" s="128"/>
      <c r="BJ3729" s="128"/>
      <c r="BK3729" s="128"/>
      <c r="BL3729" s="128"/>
      <c r="BM3729" s="151"/>
      <c r="BN3729" s="128"/>
      <c r="BO3729" s="128"/>
      <c r="BP3729" s="128"/>
      <c r="BQ3729" s="128"/>
      <c r="BR3729" s="128"/>
      <c r="BS3729" s="128"/>
      <c r="BT3729" s="128"/>
      <c r="BU3729" s="128"/>
      <c r="BV3729" s="128"/>
      <c r="BW3729" s="128"/>
      <c r="BX3729" s="128"/>
      <c r="BY3729" s="128"/>
      <c r="BZ3729" s="128"/>
      <c r="CA3729" s="128"/>
      <c r="CB3729" s="128"/>
      <c r="CC3729" s="128"/>
      <c r="CD3729" s="128"/>
      <c r="CE3729" s="128"/>
      <c r="CF3729" s="128"/>
      <c r="CG3729" s="128"/>
      <c r="CI3729" s="128"/>
      <c r="CJ3729" s="128"/>
      <c r="CK3729" s="128"/>
      <c r="CL3729" s="128"/>
      <c r="CM3729" s="128"/>
      <c r="CN3729" s="128"/>
      <c r="CO3729" s="128"/>
      <c r="CP3729" s="128"/>
      <c r="CQ3729" s="128"/>
      <c r="CR3729" s="128"/>
      <c r="CS3729" s="128"/>
      <c r="CT3729" s="128"/>
      <c r="CU3729" s="128"/>
      <c r="CV3729" s="128"/>
      <c r="CW3729" s="128"/>
      <c r="CX3729" s="128"/>
      <c r="CY3729" s="128"/>
      <c r="CZ3729" s="165"/>
    </row>
    <row r="3730" spans="1:104">
      <c r="A3730" s="149"/>
      <c r="B3730" s="149"/>
      <c r="C3730" s="150"/>
      <c r="D3730" s="102"/>
      <c r="E3730" s="149"/>
      <c r="F3730" s="149"/>
      <c r="G3730" s="149"/>
      <c r="H3730" s="149"/>
      <c r="I3730" s="149"/>
      <c r="J3730" s="149"/>
      <c r="K3730" s="149"/>
      <c r="L3730" s="149"/>
      <c r="M3730" s="149"/>
      <c r="N3730" s="149"/>
      <c r="O3730" s="149"/>
      <c r="P3730" s="149"/>
      <c r="Q3730" s="149"/>
      <c r="R3730" s="149"/>
      <c r="S3730" s="149"/>
      <c r="T3730" s="149"/>
      <c r="U3730" s="149"/>
      <c r="V3730" s="149"/>
      <c r="W3730" s="149"/>
      <c r="X3730" s="149"/>
      <c r="Y3730" s="149"/>
      <c r="Z3730" s="149"/>
      <c r="AA3730" s="149"/>
      <c r="AB3730" s="149"/>
      <c r="AC3730" s="149"/>
      <c r="AD3730" s="149"/>
      <c r="AE3730" s="149"/>
      <c r="AF3730" s="149"/>
      <c r="AG3730" s="149"/>
      <c r="AH3730" s="149"/>
      <c r="AI3730" s="149"/>
      <c r="AJ3730" s="149"/>
      <c r="AK3730" s="149"/>
      <c r="AL3730" s="149"/>
      <c r="AM3730" s="149"/>
      <c r="AN3730" s="149"/>
      <c r="AO3730" s="128"/>
      <c r="AP3730" s="128"/>
      <c r="AQ3730" s="128"/>
      <c r="AR3730" s="128"/>
      <c r="AS3730" s="128"/>
      <c r="AT3730" s="128"/>
      <c r="AU3730" s="128"/>
      <c r="AV3730" s="128"/>
      <c r="AW3730" s="128"/>
      <c r="AX3730" s="128"/>
      <c r="AY3730" s="128"/>
      <c r="AZ3730" s="128"/>
      <c r="BA3730" s="128"/>
      <c r="BB3730" s="128"/>
      <c r="BC3730" s="128"/>
      <c r="BD3730" s="128"/>
      <c r="BE3730" s="128"/>
      <c r="BF3730" s="128"/>
      <c r="BG3730" s="128"/>
      <c r="BH3730" s="128"/>
      <c r="BI3730" s="128"/>
      <c r="BJ3730" s="128"/>
      <c r="BK3730" s="128"/>
      <c r="BL3730" s="128"/>
      <c r="BM3730" s="151"/>
      <c r="BN3730" s="128"/>
      <c r="BO3730" s="128"/>
      <c r="BP3730" s="128"/>
      <c r="BQ3730" s="128"/>
      <c r="BR3730" s="128"/>
      <c r="BS3730" s="128"/>
      <c r="BT3730" s="128"/>
      <c r="BU3730" s="128"/>
      <c r="BV3730" s="128"/>
      <c r="BW3730" s="128"/>
      <c r="BX3730" s="128"/>
      <c r="BY3730" s="128"/>
      <c r="BZ3730" s="128"/>
      <c r="CA3730" s="128"/>
      <c r="CB3730" s="128"/>
      <c r="CC3730" s="128"/>
      <c r="CD3730" s="128"/>
      <c r="CE3730" s="128"/>
      <c r="CF3730" s="128"/>
      <c r="CG3730" s="128"/>
      <c r="CI3730" s="128"/>
      <c r="CJ3730" s="128"/>
      <c r="CK3730" s="128"/>
      <c r="CL3730" s="128"/>
      <c r="CM3730" s="128"/>
      <c r="CN3730" s="128"/>
      <c r="CO3730" s="128"/>
      <c r="CP3730" s="128"/>
      <c r="CQ3730" s="128"/>
      <c r="CR3730" s="128"/>
      <c r="CS3730" s="128"/>
      <c r="CT3730" s="128"/>
      <c r="CU3730" s="128"/>
      <c r="CV3730" s="128"/>
      <c r="CW3730" s="128"/>
      <c r="CX3730" s="128"/>
      <c r="CY3730" s="128"/>
      <c r="CZ3730" s="165"/>
    </row>
    <row r="3731" spans="1:104">
      <c r="A3731" s="149"/>
      <c r="B3731" s="149"/>
      <c r="C3731" s="150"/>
      <c r="D3731" s="102"/>
      <c r="E3731" s="149"/>
      <c r="F3731" s="149"/>
      <c r="G3731" s="149"/>
      <c r="H3731" s="149"/>
      <c r="I3731" s="149"/>
      <c r="J3731" s="149"/>
      <c r="K3731" s="149"/>
      <c r="L3731" s="149"/>
      <c r="M3731" s="149"/>
      <c r="N3731" s="149"/>
      <c r="O3731" s="149"/>
      <c r="P3731" s="149"/>
      <c r="Q3731" s="149"/>
      <c r="R3731" s="149"/>
      <c r="S3731" s="149"/>
      <c r="T3731" s="149"/>
      <c r="U3731" s="149"/>
      <c r="V3731" s="149"/>
      <c r="W3731" s="149"/>
      <c r="X3731" s="149"/>
      <c r="Y3731" s="149"/>
      <c r="Z3731" s="149"/>
      <c r="AA3731" s="149"/>
      <c r="AB3731" s="149"/>
      <c r="AC3731" s="149"/>
      <c r="AD3731" s="149"/>
      <c r="AE3731" s="149"/>
      <c r="AF3731" s="149"/>
      <c r="AG3731" s="149"/>
      <c r="AH3731" s="149"/>
      <c r="AI3731" s="149"/>
      <c r="AJ3731" s="149"/>
      <c r="AK3731" s="149"/>
      <c r="AL3731" s="149"/>
      <c r="AM3731" s="149"/>
      <c r="AN3731" s="149"/>
      <c r="AO3731" s="128"/>
      <c r="AP3731" s="128"/>
      <c r="AQ3731" s="128"/>
      <c r="AR3731" s="128"/>
      <c r="AS3731" s="128"/>
      <c r="AT3731" s="128"/>
      <c r="AU3731" s="128"/>
      <c r="AV3731" s="128"/>
      <c r="AW3731" s="128"/>
      <c r="AX3731" s="128"/>
      <c r="AY3731" s="128"/>
      <c r="AZ3731" s="128"/>
      <c r="BA3731" s="128"/>
      <c r="BB3731" s="128"/>
      <c r="BC3731" s="128"/>
      <c r="BD3731" s="128"/>
      <c r="BE3731" s="128"/>
      <c r="BF3731" s="128"/>
      <c r="BG3731" s="128"/>
      <c r="BH3731" s="128"/>
      <c r="BI3731" s="128"/>
      <c r="BJ3731" s="128"/>
      <c r="BK3731" s="128"/>
      <c r="BL3731" s="128"/>
      <c r="BM3731" s="151"/>
      <c r="BN3731" s="128"/>
      <c r="BO3731" s="128"/>
      <c r="BP3731" s="128"/>
      <c r="BQ3731" s="128"/>
      <c r="BR3731" s="128"/>
      <c r="BS3731" s="128"/>
      <c r="BT3731" s="128"/>
      <c r="BU3731" s="128"/>
      <c r="BV3731" s="128"/>
      <c r="BW3731" s="128"/>
      <c r="BX3731" s="128"/>
      <c r="BY3731" s="128"/>
      <c r="BZ3731" s="128"/>
      <c r="CA3731" s="128"/>
      <c r="CB3731" s="128"/>
      <c r="CC3731" s="128"/>
      <c r="CD3731" s="128"/>
      <c r="CE3731" s="128"/>
      <c r="CF3731" s="128"/>
      <c r="CG3731" s="128"/>
      <c r="CI3731" s="128"/>
      <c r="CJ3731" s="128"/>
      <c r="CK3731" s="128"/>
      <c r="CL3731" s="128"/>
      <c r="CM3731" s="128"/>
      <c r="CN3731" s="128"/>
      <c r="CO3731" s="128"/>
      <c r="CP3731" s="128"/>
      <c r="CQ3731" s="128"/>
      <c r="CR3731" s="128"/>
      <c r="CS3731" s="128"/>
      <c r="CT3731" s="128"/>
      <c r="CU3731" s="128"/>
      <c r="CV3731" s="128"/>
      <c r="CW3731" s="128"/>
      <c r="CX3731" s="128"/>
      <c r="CY3731" s="128"/>
      <c r="CZ3731" s="165"/>
    </row>
    <row r="3732" spans="1:104">
      <c r="A3732" s="149"/>
      <c r="B3732" s="149"/>
      <c r="C3732" s="150"/>
      <c r="D3732" s="102"/>
      <c r="E3732" s="149"/>
      <c r="F3732" s="149"/>
      <c r="G3732" s="149"/>
      <c r="H3732" s="149"/>
      <c r="I3732" s="149"/>
      <c r="J3732" s="149"/>
      <c r="K3732" s="149"/>
      <c r="L3732" s="149"/>
      <c r="M3732" s="149"/>
      <c r="N3732" s="149"/>
      <c r="O3732" s="149"/>
      <c r="P3732" s="149"/>
      <c r="Q3732" s="149"/>
      <c r="R3732" s="149"/>
      <c r="S3732" s="149"/>
      <c r="T3732" s="149"/>
      <c r="U3732" s="149"/>
      <c r="V3732" s="149"/>
      <c r="W3732" s="149"/>
      <c r="X3732" s="149"/>
      <c r="Y3732" s="149"/>
      <c r="Z3732" s="149"/>
      <c r="AA3732" s="149"/>
      <c r="AB3732" s="149"/>
      <c r="AC3732" s="149"/>
      <c r="AD3732" s="149"/>
      <c r="AE3732" s="149"/>
      <c r="AF3732" s="149"/>
      <c r="AG3732" s="149"/>
      <c r="AH3732" s="149"/>
      <c r="AI3732" s="149"/>
      <c r="AJ3732" s="149"/>
      <c r="AK3732" s="149"/>
      <c r="AL3732" s="149"/>
      <c r="AM3732" s="149"/>
      <c r="AN3732" s="149"/>
      <c r="AO3732" s="128"/>
      <c r="AP3732" s="128"/>
      <c r="AQ3732" s="128"/>
      <c r="AR3732" s="128"/>
      <c r="AS3732" s="128"/>
      <c r="AT3732" s="128"/>
      <c r="AU3732" s="128"/>
      <c r="AV3732" s="128"/>
      <c r="AW3732" s="128"/>
      <c r="AX3732" s="128"/>
      <c r="AY3732" s="128"/>
      <c r="AZ3732" s="128"/>
      <c r="BA3732" s="128"/>
      <c r="BB3732" s="128"/>
      <c r="BC3732" s="128"/>
      <c r="BD3732" s="128"/>
      <c r="BE3732" s="128"/>
      <c r="BF3732" s="128"/>
      <c r="BG3732" s="128"/>
      <c r="BH3732" s="128"/>
      <c r="BI3732" s="128"/>
      <c r="BJ3732" s="128"/>
      <c r="BK3732" s="128"/>
      <c r="BL3732" s="128"/>
      <c r="BM3732" s="151"/>
      <c r="BN3732" s="128"/>
      <c r="BO3732" s="128"/>
      <c r="BP3732" s="128"/>
      <c r="BQ3732" s="128"/>
      <c r="BR3732" s="128"/>
      <c r="BS3732" s="128"/>
      <c r="BT3732" s="128"/>
      <c r="BU3732" s="128"/>
      <c r="BV3732" s="128"/>
      <c r="BW3732" s="128"/>
      <c r="BX3732" s="128"/>
      <c r="BY3732" s="128"/>
      <c r="BZ3732" s="128"/>
      <c r="CA3732" s="128"/>
      <c r="CB3732" s="128"/>
      <c r="CC3732" s="128"/>
      <c r="CD3732" s="128"/>
      <c r="CE3732" s="128"/>
      <c r="CF3732" s="128"/>
      <c r="CG3732" s="128"/>
      <c r="CI3732" s="128"/>
      <c r="CJ3732" s="128"/>
      <c r="CK3732" s="128"/>
      <c r="CL3732" s="128"/>
      <c r="CM3732" s="128"/>
      <c r="CN3732" s="128"/>
      <c r="CO3732" s="128"/>
      <c r="CP3732" s="128"/>
      <c r="CQ3732" s="128"/>
      <c r="CR3732" s="128"/>
      <c r="CS3732" s="128"/>
      <c r="CT3732" s="128"/>
      <c r="CU3732" s="128"/>
      <c r="CV3732" s="128"/>
      <c r="CW3732" s="128"/>
      <c r="CX3732" s="128"/>
      <c r="CY3732" s="128"/>
      <c r="CZ3732" s="165"/>
    </row>
    <row r="3733" spans="1:104">
      <c r="A3733" s="149"/>
      <c r="B3733" s="149"/>
      <c r="C3733" s="150"/>
      <c r="D3733" s="102"/>
      <c r="E3733" s="149"/>
      <c r="F3733" s="149"/>
      <c r="G3733" s="149"/>
      <c r="H3733" s="149"/>
      <c r="I3733" s="149"/>
      <c r="J3733" s="149"/>
      <c r="K3733" s="149"/>
      <c r="L3733" s="149"/>
      <c r="M3733" s="149"/>
      <c r="N3733" s="149"/>
      <c r="O3733" s="149"/>
      <c r="P3733" s="149"/>
      <c r="Q3733" s="149"/>
      <c r="R3733" s="149"/>
      <c r="S3733" s="149"/>
      <c r="T3733" s="149"/>
      <c r="U3733" s="149"/>
      <c r="V3733" s="149"/>
      <c r="W3733" s="149"/>
      <c r="X3733" s="149"/>
      <c r="Y3733" s="149"/>
      <c r="Z3733" s="149"/>
      <c r="AA3733" s="149"/>
      <c r="AB3733" s="149"/>
      <c r="AC3733" s="149"/>
      <c r="AD3733" s="149"/>
      <c r="AE3733" s="149"/>
      <c r="AF3733" s="149"/>
      <c r="AG3733" s="149"/>
      <c r="AH3733" s="149"/>
      <c r="AI3733" s="149"/>
      <c r="AJ3733" s="149"/>
      <c r="AK3733" s="149"/>
      <c r="AL3733" s="149"/>
      <c r="AM3733" s="149"/>
      <c r="AN3733" s="149"/>
      <c r="AO3733" s="128"/>
      <c r="AP3733" s="128"/>
      <c r="AQ3733" s="128"/>
      <c r="AR3733" s="128"/>
      <c r="AS3733" s="128"/>
      <c r="AT3733" s="128"/>
      <c r="AU3733" s="128"/>
      <c r="AV3733" s="128"/>
      <c r="AW3733" s="128"/>
      <c r="AX3733" s="128"/>
      <c r="AY3733" s="128"/>
      <c r="AZ3733" s="128"/>
      <c r="BA3733" s="128"/>
      <c r="BB3733" s="128"/>
      <c r="BC3733" s="128"/>
      <c r="BD3733" s="128"/>
      <c r="BE3733" s="128"/>
      <c r="BF3733" s="128"/>
      <c r="BG3733" s="128"/>
      <c r="BH3733" s="128"/>
      <c r="BI3733" s="128"/>
      <c r="BJ3733" s="128"/>
      <c r="BK3733" s="128"/>
      <c r="BL3733" s="128"/>
      <c r="BM3733" s="151"/>
      <c r="BN3733" s="128"/>
      <c r="BO3733" s="128"/>
      <c r="BP3733" s="128"/>
      <c r="BQ3733" s="128"/>
      <c r="BR3733" s="128"/>
      <c r="BS3733" s="128"/>
      <c r="BT3733" s="128"/>
      <c r="BU3733" s="128"/>
      <c r="BV3733" s="128"/>
      <c r="BW3733" s="128"/>
      <c r="BX3733" s="128"/>
      <c r="BY3733" s="128"/>
      <c r="BZ3733" s="128"/>
      <c r="CA3733" s="128"/>
      <c r="CB3733" s="128"/>
      <c r="CC3733" s="128"/>
      <c r="CD3733" s="128"/>
      <c r="CE3733" s="128"/>
      <c r="CF3733" s="128"/>
      <c r="CG3733" s="128"/>
      <c r="CI3733" s="128"/>
      <c r="CJ3733" s="128"/>
      <c r="CK3733" s="128"/>
      <c r="CL3733" s="128"/>
      <c r="CM3733" s="128"/>
      <c r="CN3733" s="128"/>
      <c r="CO3733" s="128"/>
      <c r="CP3733" s="128"/>
      <c r="CQ3733" s="128"/>
      <c r="CR3733" s="128"/>
      <c r="CS3733" s="128"/>
      <c r="CT3733" s="128"/>
      <c r="CU3733" s="128"/>
      <c r="CV3733" s="128"/>
      <c r="CW3733" s="128"/>
      <c r="CX3733" s="128"/>
      <c r="CY3733" s="128"/>
      <c r="CZ3733" s="165"/>
    </row>
    <row r="3734" spans="1:104">
      <c r="A3734" s="149"/>
      <c r="B3734" s="149"/>
      <c r="C3734" s="150"/>
      <c r="D3734" s="102"/>
      <c r="E3734" s="149"/>
      <c r="F3734" s="149"/>
      <c r="G3734" s="149"/>
      <c r="H3734" s="149"/>
      <c r="I3734" s="149"/>
      <c r="J3734" s="149"/>
      <c r="K3734" s="149"/>
      <c r="L3734" s="149"/>
      <c r="M3734" s="149"/>
      <c r="N3734" s="149"/>
      <c r="O3734" s="149"/>
      <c r="P3734" s="149"/>
      <c r="Q3734" s="149"/>
      <c r="R3734" s="149"/>
      <c r="S3734" s="149"/>
      <c r="T3734" s="149"/>
      <c r="U3734" s="149"/>
      <c r="V3734" s="149"/>
      <c r="W3734" s="149"/>
      <c r="X3734" s="149"/>
      <c r="Y3734" s="149"/>
      <c r="Z3734" s="149"/>
      <c r="AA3734" s="149"/>
      <c r="AB3734" s="149"/>
      <c r="AC3734" s="149"/>
      <c r="AD3734" s="149"/>
      <c r="AE3734" s="149"/>
      <c r="AF3734" s="149"/>
      <c r="AG3734" s="149"/>
      <c r="AH3734" s="149"/>
      <c r="AI3734" s="149"/>
      <c r="AJ3734" s="149"/>
      <c r="AK3734" s="149"/>
      <c r="AL3734" s="149"/>
      <c r="AM3734" s="149"/>
      <c r="AN3734" s="149"/>
      <c r="AO3734" s="128"/>
      <c r="AP3734" s="128"/>
      <c r="AQ3734" s="128"/>
      <c r="AR3734" s="128"/>
      <c r="AS3734" s="128"/>
      <c r="AT3734" s="128"/>
      <c r="AU3734" s="128"/>
      <c r="AV3734" s="128"/>
      <c r="AW3734" s="128"/>
      <c r="AX3734" s="128"/>
      <c r="AY3734" s="128"/>
      <c r="AZ3734" s="128"/>
      <c r="BA3734" s="128"/>
      <c r="BB3734" s="128"/>
      <c r="BC3734" s="128"/>
      <c r="BD3734" s="128"/>
      <c r="BE3734" s="128"/>
      <c r="BF3734" s="128"/>
      <c r="BG3734" s="128"/>
      <c r="BH3734" s="128"/>
      <c r="BI3734" s="128"/>
      <c r="BJ3734" s="128"/>
      <c r="BK3734" s="128"/>
      <c r="BL3734" s="128"/>
      <c r="BM3734" s="151"/>
      <c r="BN3734" s="128"/>
      <c r="BO3734" s="128"/>
      <c r="BP3734" s="128"/>
      <c r="BQ3734" s="128"/>
      <c r="BR3734" s="128"/>
      <c r="BS3734" s="128"/>
      <c r="BT3734" s="128"/>
      <c r="BU3734" s="128"/>
      <c r="BV3734" s="128"/>
      <c r="BW3734" s="128"/>
      <c r="BX3734" s="128"/>
      <c r="BY3734" s="128"/>
      <c r="BZ3734" s="128"/>
      <c r="CA3734" s="128"/>
      <c r="CB3734" s="128"/>
      <c r="CC3734" s="128"/>
      <c r="CD3734" s="128"/>
      <c r="CE3734" s="128"/>
      <c r="CF3734" s="128"/>
      <c r="CG3734" s="128"/>
      <c r="CI3734" s="128"/>
      <c r="CJ3734" s="128"/>
      <c r="CK3734" s="128"/>
      <c r="CL3734" s="128"/>
      <c r="CM3734" s="128"/>
      <c r="CN3734" s="128"/>
      <c r="CO3734" s="128"/>
      <c r="CP3734" s="128"/>
      <c r="CQ3734" s="128"/>
      <c r="CR3734" s="128"/>
      <c r="CS3734" s="128"/>
      <c r="CT3734" s="128"/>
      <c r="CU3734" s="128"/>
      <c r="CV3734" s="128"/>
      <c r="CW3734" s="128"/>
      <c r="CX3734" s="128"/>
      <c r="CY3734" s="128"/>
      <c r="CZ3734" s="165"/>
    </row>
    <row r="3735" spans="1:104">
      <c r="A3735" s="149"/>
      <c r="B3735" s="149"/>
      <c r="C3735" s="150"/>
      <c r="D3735" s="102"/>
      <c r="E3735" s="149"/>
      <c r="F3735" s="149"/>
      <c r="G3735" s="149"/>
      <c r="H3735" s="149"/>
      <c r="I3735" s="149"/>
      <c r="J3735" s="149"/>
      <c r="K3735" s="149"/>
      <c r="L3735" s="149"/>
      <c r="M3735" s="149"/>
      <c r="N3735" s="149"/>
      <c r="O3735" s="149"/>
      <c r="P3735" s="149"/>
      <c r="Q3735" s="149"/>
      <c r="R3735" s="149"/>
      <c r="S3735" s="149"/>
      <c r="T3735" s="149"/>
      <c r="U3735" s="149"/>
      <c r="V3735" s="149"/>
      <c r="W3735" s="149"/>
      <c r="X3735" s="149"/>
      <c r="Y3735" s="149"/>
      <c r="Z3735" s="149"/>
      <c r="AA3735" s="149"/>
      <c r="AB3735" s="149"/>
      <c r="AC3735" s="149"/>
      <c r="AD3735" s="149"/>
      <c r="AE3735" s="149"/>
      <c r="AF3735" s="149"/>
      <c r="AG3735" s="149"/>
      <c r="AH3735" s="149"/>
      <c r="AI3735" s="149"/>
      <c r="AJ3735" s="149"/>
      <c r="AK3735" s="149"/>
      <c r="AL3735" s="149"/>
      <c r="AM3735" s="149"/>
      <c r="AN3735" s="149"/>
      <c r="AO3735" s="128"/>
      <c r="AP3735" s="128"/>
      <c r="AQ3735" s="128"/>
      <c r="AR3735" s="128"/>
      <c r="AS3735" s="128"/>
      <c r="AT3735" s="128"/>
      <c r="AU3735" s="128"/>
      <c r="AV3735" s="128"/>
      <c r="AW3735" s="128"/>
      <c r="AX3735" s="128"/>
      <c r="AY3735" s="128"/>
      <c r="AZ3735" s="128"/>
      <c r="BA3735" s="128"/>
      <c r="BB3735" s="128"/>
      <c r="BC3735" s="128"/>
      <c r="BD3735" s="128"/>
      <c r="BE3735" s="128"/>
      <c r="BF3735" s="128"/>
      <c r="BG3735" s="128"/>
      <c r="BH3735" s="128"/>
      <c r="BI3735" s="128"/>
      <c r="BJ3735" s="128"/>
      <c r="BK3735" s="128"/>
      <c r="BL3735" s="128"/>
      <c r="BM3735" s="151"/>
      <c r="BN3735" s="128"/>
      <c r="BO3735" s="128"/>
      <c r="BP3735" s="128"/>
      <c r="BQ3735" s="128"/>
      <c r="BR3735" s="128"/>
      <c r="BS3735" s="128"/>
      <c r="BT3735" s="128"/>
      <c r="BU3735" s="128"/>
      <c r="BV3735" s="128"/>
      <c r="BW3735" s="128"/>
      <c r="BX3735" s="128"/>
      <c r="BY3735" s="128"/>
      <c r="BZ3735" s="128"/>
      <c r="CA3735" s="128"/>
      <c r="CB3735" s="128"/>
      <c r="CC3735" s="128"/>
      <c r="CD3735" s="128"/>
      <c r="CE3735" s="128"/>
      <c r="CF3735" s="128"/>
      <c r="CG3735" s="128"/>
      <c r="CI3735" s="128"/>
      <c r="CJ3735" s="128"/>
      <c r="CK3735" s="128"/>
      <c r="CL3735" s="128"/>
      <c r="CM3735" s="128"/>
      <c r="CN3735" s="128"/>
      <c r="CO3735" s="128"/>
      <c r="CP3735" s="128"/>
      <c r="CQ3735" s="128"/>
      <c r="CR3735" s="128"/>
      <c r="CS3735" s="128"/>
      <c r="CT3735" s="128"/>
      <c r="CU3735" s="128"/>
      <c r="CV3735" s="128"/>
      <c r="CW3735" s="128"/>
      <c r="CX3735" s="128"/>
      <c r="CY3735" s="128"/>
      <c r="CZ3735" s="165"/>
    </row>
    <row r="3736" spans="1:104">
      <c r="A3736" s="149"/>
      <c r="B3736" s="149"/>
      <c r="C3736" s="150"/>
      <c r="D3736" s="102"/>
      <c r="E3736" s="149"/>
      <c r="F3736" s="149"/>
      <c r="G3736" s="149"/>
      <c r="H3736" s="149"/>
      <c r="I3736" s="149"/>
      <c r="J3736" s="149"/>
      <c r="K3736" s="149"/>
      <c r="L3736" s="149"/>
      <c r="M3736" s="149"/>
      <c r="N3736" s="149"/>
      <c r="O3736" s="149"/>
      <c r="P3736" s="149"/>
      <c r="Q3736" s="149"/>
      <c r="R3736" s="149"/>
      <c r="S3736" s="149"/>
      <c r="T3736" s="149"/>
      <c r="U3736" s="149"/>
      <c r="V3736" s="149"/>
      <c r="W3736" s="149"/>
      <c r="X3736" s="149"/>
      <c r="Y3736" s="149"/>
      <c r="Z3736" s="149"/>
      <c r="AA3736" s="149"/>
      <c r="AB3736" s="149"/>
      <c r="AC3736" s="149"/>
      <c r="AD3736" s="149"/>
      <c r="AE3736" s="149"/>
      <c r="AF3736" s="149"/>
      <c r="AG3736" s="149"/>
      <c r="AH3736" s="149"/>
      <c r="AI3736" s="149"/>
      <c r="AJ3736" s="149"/>
      <c r="AK3736" s="149"/>
      <c r="AL3736" s="149"/>
      <c r="AM3736" s="149"/>
      <c r="AN3736" s="149"/>
      <c r="AO3736" s="128"/>
      <c r="AP3736" s="128"/>
      <c r="AQ3736" s="128"/>
      <c r="AR3736" s="128"/>
      <c r="AS3736" s="128"/>
      <c r="AT3736" s="128"/>
      <c r="AU3736" s="128"/>
      <c r="AV3736" s="128"/>
      <c r="AW3736" s="128"/>
      <c r="AX3736" s="128"/>
      <c r="AY3736" s="128"/>
      <c r="AZ3736" s="128"/>
      <c r="BA3736" s="128"/>
      <c r="BB3736" s="128"/>
      <c r="BC3736" s="128"/>
      <c r="BD3736" s="128"/>
      <c r="BE3736" s="128"/>
      <c r="BF3736" s="128"/>
      <c r="BG3736" s="128"/>
      <c r="BH3736" s="128"/>
      <c r="BI3736" s="128"/>
      <c r="BJ3736" s="128"/>
      <c r="BK3736" s="128"/>
      <c r="BL3736" s="128"/>
      <c r="BM3736" s="151"/>
      <c r="BN3736" s="128"/>
      <c r="BO3736" s="128"/>
      <c r="BP3736" s="128"/>
      <c r="BQ3736" s="128"/>
      <c r="BR3736" s="128"/>
      <c r="BS3736" s="128"/>
      <c r="BT3736" s="128"/>
      <c r="BU3736" s="128"/>
      <c r="BV3736" s="128"/>
      <c r="BW3736" s="128"/>
      <c r="BX3736" s="128"/>
      <c r="BY3736" s="128"/>
      <c r="BZ3736" s="128"/>
      <c r="CA3736" s="128"/>
      <c r="CB3736" s="128"/>
      <c r="CC3736" s="128"/>
      <c r="CD3736" s="128"/>
      <c r="CE3736" s="128"/>
      <c r="CF3736" s="128"/>
      <c r="CG3736" s="128"/>
      <c r="CI3736" s="128"/>
      <c r="CJ3736" s="128"/>
      <c r="CK3736" s="128"/>
      <c r="CL3736" s="128"/>
      <c r="CM3736" s="128"/>
      <c r="CN3736" s="128"/>
      <c r="CO3736" s="128"/>
      <c r="CP3736" s="128"/>
      <c r="CQ3736" s="128"/>
      <c r="CR3736" s="128"/>
      <c r="CS3736" s="128"/>
      <c r="CT3736" s="128"/>
      <c r="CU3736" s="128"/>
      <c r="CV3736" s="128"/>
      <c r="CW3736" s="128"/>
      <c r="CX3736" s="128"/>
      <c r="CY3736" s="128"/>
      <c r="CZ3736" s="165"/>
    </row>
    <row r="3737" spans="1:104">
      <c r="A3737" s="149"/>
      <c r="B3737" s="149"/>
      <c r="C3737" s="150"/>
      <c r="D3737" s="102"/>
      <c r="E3737" s="149"/>
      <c r="F3737" s="149"/>
      <c r="G3737" s="149"/>
      <c r="H3737" s="149"/>
      <c r="I3737" s="149"/>
      <c r="J3737" s="149"/>
      <c r="K3737" s="149"/>
      <c r="L3737" s="149"/>
      <c r="M3737" s="149"/>
      <c r="N3737" s="149"/>
      <c r="O3737" s="149"/>
      <c r="P3737" s="149"/>
      <c r="Q3737" s="149"/>
      <c r="R3737" s="149"/>
      <c r="S3737" s="149"/>
      <c r="T3737" s="149"/>
      <c r="U3737" s="149"/>
      <c r="V3737" s="149"/>
      <c r="W3737" s="149"/>
      <c r="X3737" s="149"/>
      <c r="Y3737" s="149"/>
      <c r="Z3737" s="149"/>
      <c r="AA3737" s="149"/>
      <c r="AB3737" s="149"/>
      <c r="AC3737" s="149"/>
      <c r="AD3737" s="149"/>
      <c r="AE3737" s="149"/>
      <c r="AF3737" s="149"/>
      <c r="AG3737" s="149"/>
      <c r="AH3737" s="149"/>
      <c r="AI3737" s="149"/>
      <c r="AJ3737" s="149"/>
      <c r="AK3737" s="149"/>
      <c r="AL3737" s="149"/>
      <c r="AM3737" s="149"/>
      <c r="AN3737" s="149"/>
      <c r="AO3737" s="128"/>
      <c r="AP3737" s="128"/>
      <c r="AQ3737" s="128"/>
      <c r="AR3737" s="128"/>
      <c r="AS3737" s="128"/>
      <c r="AT3737" s="128"/>
      <c r="AU3737" s="128"/>
      <c r="AV3737" s="128"/>
      <c r="AW3737" s="128"/>
      <c r="AX3737" s="128"/>
      <c r="AY3737" s="128"/>
      <c r="AZ3737" s="128"/>
      <c r="BA3737" s="128"/>
      <c r="BB3737" s="128"/>
      <c r="BC3737" s="128"/>
      <c r="BD3737" s="128"/>
      <c r="BE3737" s="128"/>
      <c r="BF3737" s="128"/>
      <c r="BG3737" s="128"/>
      <c r="BH3737" s="128"/>
      <c r="BI3737" s="128"/>
      <c r="BJ3737" s="128"/>
      <c r="BK3737" s="128"/>
      <c r="BL3737" s="128"/>
      <c r="BM3737" s="151"/>
      <c r="BN3737" s="128"/>
      <c r="BO3737" s="128"/>
      <c r="BP3737" s="128"/>
      <c r="BQ3737" s="128"/>
      <c r="BR3737" s="128"/>
      <c r="BS3737" s="128"/>
      <c r="BT3737" s="128"/>
      <c r="BU3737" s="128"/>
      <c r="BV3737" s="128"/>
      <c r="BW3737" s="128"/>
      <c r="BX3737" s="128"/>
      <c r="BY3737" s="128"/>
      <c r="BZ3737" s="128"/>
      <c r="CA3737" s="128"/>
      <c r="CB3737" s="128"/>
      <c r="CC3737" s="128"/>
      <c r="CD3737" s="128"/>
      <c r="CE3737" s="128"/>
      <c r="CF3737" s="128"/>
      <c r="CG3737" s="128"/>
      <c r="CI3737" s="128"/>
      <c r="CJ3737" s="128"/>
      <c r="CK3737" s="128"/>
      <c r="CL3737" s="128"/>
      <c r="CM3737" s="128"/>
      <c r="CN3737" s="128"/>
      <c r="CO3737" s="128"/>
      <c r="CP3737" s="128"/>
      <c r="CQ3737" s="128"/>
      <c r="CR3737" s="128"/>
      <c r="CS3737" s="128"/>
      <c r="CT3737" s="128"/>
      <c r="CU3737" s="128"/>
      <c r="CV3737" s="128"/>
      <c r="CW3737" s="128"/>
      <c r="CX3737" s="128"/>
      <c r="CY3737" s="128"/>
      <c r="CZ3737" s="165"/>
    </row>
    <row r="3738" spans="1:104">
      <c r="A3738" s="149"/>
      <c r="B3738" s="149"/>
      <c r="C3738" s="150"/>
      <c r="D3738" s="102"/>
      <c r="E3738" s="149"/>
      <c r="F3738" s="149"/>
      <c r="G3738" s="149"/>
      <c r="H3738" s="149"/>
      <c r="I3738" s="149"/>
      <c r="J3738" s="149"/>
      <c r="K3738" s="149"/>
      <c r="L3738" s="149"/>
      <c r="M3738" s="149"/>
      <c r="N3738" s="149"/>
      <c r="O3738" s="149"/>
      <c r="P3738" s="149"/>
      <c r="Q3738" s="149"/>
      <c r="R3738" s="149"/>
      <c r="S3738" s="149"/>
      <c r="T3738" s="149"/>
      <c r="U3738" s="149"/>
      <c r="V3738" s="149"/>
      <c r="W3738" s="149"/>
      <c r="X3738" s="149"/>
      <c r="Y3738" s="149"/>
      <c r="Z3738" s="149"/>
      <c r="AA3738" s="149"/>
      <c r="AB3738" s="149"/>
      <c r="AC3738" s="149"/>
      <c r="AD3738" s="149"/>
      <c r="AE3738" s="149"/>
      <c r="AF3738" s="149"/>
      <c r="AG3738" s="149"/>
      <c r="AH3738" s="149"/>
      <c r="AI3738" s="149"/>
      <c r="AJ3738" s="149"/>
      <c r="AK3738" s="149"/>
      <c r="AL3738" s="149"/>
      <c r="AM3738" s="149"/>
      <c r="AN3738" s="149"/>
      <c r="AO3738" s="128"/>
      <c r="AP3738" s="128"/>
      <c r="AQ3738" s="128"/>
      <c r="AR3738" s="128"/>
      <c r="AS3738" s="128"/>
      <c r="AT3738" s="128"/>
      <c r="AU3738" s="128"/>
      <c r="AV3738" s="128"/>
      <c r="AW3738" s="128"/>
      <c r="AX3738" s="128"/>
      <c r="AY3738" s="128"/>
      <c r="AZ3738" s="128"/>
      <c r="BA3738" s="128"/>
      <c r="BB3738" s="128"/>
      <c r="BC3738" s="128"/>
      <c r="BD3738" s="128"/>
      <c r="BE3738" s="128"/>
      <c r="BF3738" s="128"/>
      <c r="BG3738" s="128"/>
      <c r="BH3738" s="128"/>
      <c r="BI3738" s="128"/>
      <c r="BJ3738" s="128"/>
      <c r="BK3738" s="128"/>
      <c r="BL3738" s="128"/>
      <c r="BM3738" s="151"/>
      <c r="BN3738" s="128"/>
      <c r="BO3738" s="128"/>
      <c r="BP3738" s="128"/>
      <c r="BQ3738" s="128"/>
      <c r="BR3738" s="128"/>
      <c r="BS3738" s="128"/>
      <c r="BT3738" s="128"/>
      <c r="BU3738" s="128"/>
      <c r="BV3738" s="128"/>
      <c r="BW3738" s="128"/>
      <c r="BX3738" s="128"/>
      <c r="BY3738" s="128"/>
      <c r="BZ3738" s="128"/>
      <c r="CA3738" s="128"/>
      <c r="CB3738" s="128"/>
      <c r="CC3738" s="128"/>
      <c r="CD3738" s="128"/>
      <c r="CE3738" s="128"/>
      <c r="CF3738" s="128"/>
      <c r="CG3738" s="128"/>
      <c r="CI3738" s="128"/>
      <c r="CJ3738" s="128"/>
      <c r="CK3738" s="128"/>
      <c r="CL3738" s="128"/>
      <c r="CM3738" s="128"/>
      <c r="CN3738" s="128"/>
      <c r="CO3738" s="128"/>
      <c r="CP3738" s="128"/>
      <c r="CQ3738" s="128"/>
      <c r="CR3738" s="128"/>
      <c r="CS3738" s="128"/>
      <c r="CT3738" s="128"/>
      <c r="CU3738" s="128"/>
      <c r="CV3738" s="128"/>
      <c r="CW3738" s="128"/>
      <c r="CX3738" s="128"/>
      <c r="CY3738" s="128"/>
      <c r="CZ3738" s="165"/>
    </row>
    <row r="3739" spans="1:104">
      <c r="A3739" s="149"/>
      <c r="B3739" s="149"/>
      <c r="C3739" s="150"/>
      <c r="D3739" s="102"/>
      <c r="E3739" s="149"/>
      <c r="F3739" s="149"/>
      <c r="G3739" s="149"/>
      <c r="H3739" s="149"/>
      <c r="I3739" s="149"/>
      <c r="J3739" s="149"/>
      <c r="K3739" s="149"/>
      <c r="L3739" s="149"/>
      <c r="M3739" s="149"/>
      <c r="N3739" s="149"/>
      <c r="O3739" s="149"/>
      <c r="P3739" s="149"/>
      <c r="Q3739" s="149"/>
      <c r="R3739" s="149"/>
      <c r="S3739" s="149"/>
      <c r="T3739" s="149"/>
      <c r="U3739" s="149"/>
      <c r="V3739" s="149"/>
      <c r="W3739" s="149"/>
      <c r="X3739" s="149"/>
      <c r="Y3739" s="149"/>
      <c r="Z3739" s="149"/>
      <c r="AA3739" s="149"/>
      <c r="AB3739" s="149"/>
      <c r="AC3739" s="149"/>
      <c r="AD3739" s="149"/>
      <c r="AE3739" s="149"/>
      <c r="AF3739" s="149"/>
      <c r="AG3739" s="149"/>
      <c r="AH3739" s="149"/>
      <c r="AI3739" s="149"/>
      <c r="AJ3739" s="149"/>
      <c r="AK3739" s="149"/>
      <c r="AL3739" s="149"/>
      <c r="AM3739" s="149"/>
      <c r="AN3739" s="149"/>
      <c r="AO3739" s="128"/>
      <c r="AP3739" s="128"/>
      <c r="AQ3739" s="128"/>
      <c r="AR3739" s="128"/>
      <c r="AS3739" s="128"/>
      <c r="AT3739" s="128"/>
      <c r="AU3739" s="128"/>
      <c r="AV3739" s="128"/>
      <c r="AW3739" s="128"/>
      <c r="AX3739" s="128"/>
      <c r="AY3739" s="128"/>
      <c r="AZ3739" s="128"/>
      <c r="BA3739" s="128"/>
      <c r="BB3739" s="128"/>
      <c r="BC3739" s="128"/>
      <c r="BD3739" s="128"/>
      <c r="BE3739" s="128"/>
      <c r="BF3739" s="128"/>
      <c r="BG3739" s="128"/>
      <c r="BH3739" s="128"/>
      <c r="BI3739" s="128"/>
      <c r="BJ3739" s="128"/>
      <c r="BK3739" s="128"/>
      <c r="BL3739" s="128"/>
      <c r="BM3739" s="151"/>
      <c r="BN3739" s="128"/>
      <c r="BO3739" s="128"/>
      <c r="BP3739" s="128"/>
      <c r="BQ3739" s="128"/>
      <c r="BR3739" s="128"/>
      <c r="BS3739" s="128"/>
      <c r="BT3739" s="128"/>
      <c r="BU3739" s="128"/>
      <c r="BV3739" s="128"/>
      <c r="BW3739" s="128"/>
      <c r="BX3739" s="128"/>
      <c r="BY3739" s="128"/>
      <c r="BZ3739" s="128"/>
      <c r="CA3739" s="128"/>
      <c r="CB3739" s="128"/>
      <c r="CC3739" s="128"/>
      <c r="CD3739" s="128"/>
      <c r="CE3739" s="128"/>
      <c r="CF3739" s="128"/>
      <c r="CG3739" s="128"/>
      <c r="CI3739" s="128"/>
      <c r="CJ3739" s="128"/>
      <c r="CK3739" s="128"/>
      <c r="CL3739" s="128"/>
      <c r="CM3739" s="128"/>
      <c r="CN3739" s="128"/>
      <c r="CO3739" s="128"/>
      <c r="CP3739" s="128"/>
      <c r="CQ3739" s="128"/>
      <c r="CR3739" s="128"/>
      <c r="CS3739" s="128"/>
      <c r="CT3739" s="128"/>
      <c r="CU3739" s="128"/>
      <c r="CV3739" s="128"/>
      <c r="CW3739" s="128"/>
      <c r="CX3739" s="128"/>
      <c r="CY3739" s="128"/>
      <c r="CZ3739" s="165"/>
    </row>
    <row r="3740" spans="1:104">
      <c r="A3740" s="149"/>
      <c r="B3740" s="149"/>
      <c r="C3740" s="150"/>
      <c r="D3740" s="102"/>
      <c r="E3740" s="149"/>
      <c r="F3740" s="149"/>
      <c r="G3740" s="149"/>
      <c r="H3740" s="149"/>
      <c r="I3740" s="149"/>
      <c r="J3740" s="149"/>
      <c r="K3740" s="149"/>
      <c r="L3740" s="149"/>
      <c r="M3740" s="149"/>
      <c r="N3740" s="149"/>
      <c r="O3740" s="149"/>
      <c r="P3740" s="149"/>
      <c r="Q3740" s="149"/>
      <c r="R3740" s="149"/>
      <c r="S3740" s="149"/>
      <c r="T3740" s="149"/>
      <c r="U3740" s="149"/>
      <c r="V3740" s="149"/>
      <c r="W3740" s="149"/>
      <c r="X3740" s="149"/>
      <c r="Y3740" s="149"/>
      <c r="Z3740" s="149"/>
      <c r="AA3740" s="149"/>
      <c r="AB3740" s="149"/>
      <c r="AC3740" s="149"/>
      <c r="AD3740" s="149"/>
      <c r="AE3740" s="149"/>
      <c r="AF3740" s="149"/>
      <c r="AG3740" s="149"/>
      <c r="AH3740" s="149"/>
      <c r="AI3740" s="149"/>
      <c r="AJ3740" s="149"/>
      <c r="AK3740" s="149"/>
      <c r="AL3740" s="149"/>
      <c r="AM3740" s="149"/>
      <c r="AN3740" s="149"/>
      <c r="AO3740" s="128"/>
      <c r="AP3740" s="128"/>
      <c r="AQ3740" s="128"/>
      <c r="AR3740" s="128"/>
      <c r="AS3740" s="128"/>
      <c r="AT3740" s="128"/>
      <c r="AU3740" s="128"/>
      <c r="AV3740" s="128"/>
      <c r="AW3740" s="128"/>
      <c r="AX3740" s="128"/>
      <c r="AY3740" s="128"/>
      <c r="AZ3740" s="128"/>
      <c r="BA3740" s="128"/>
      <c r="BB3740" s="128"/>
      <c r="BC3740" s="128"/>
      <c r="BD3740" s="128"/>
      <c r="BE3740" s="128"/>
      <c r="BF3740" s="128"/>
      <c r="BG3740" s="128"/>
      <c r="BH3740" s="128"/>
      <c r="BI3740" s="128"/>
      <c r="BJ3740" s="128"/>
      <c r="BK3740" s="128"/>
      <c r="BL3740" s="128"/>
      <c r="BM3740" s="151"/>
      <c r="BN3740" s="128"/>
      <c r="BO3740" s="128"/>
      <c r="BP3740" s="128"/>
      <c r="BQ3740" s="128"/>
      <c r="BR3740" s="128"/>
      <c r="BS3740" s="128"/>
      <c r="BT3740" s="128"/>
      <c r="BU3740" s="128"/>
      <c r="BV3740" s="128"/>
      <c r="BW3740" s="128"/>
      <c r="BX3740" s="128"/>
      <c r="BY3740" s="128"/>
      <c r="BZ3740" s="128"/>
      <c r="CA3740" s="128"/>
      <c r="CB3740" s="128"/>
      <c r="CC3740" s="128"/>
      <c r="CD3740" s="128"/>
      <c r="CE3740" s="128"/>
      <c r="CF3740" s="128"/>
      <c r="CG3740" s="128"/>
      <c r="CI3740" s="128"/>
      <c r="CJ3740" s="128"/>
      <c r="CK3740" s="128"/>
      <c r="CL3740" s="128"/>
      <c r="CM3740" s="128"/>
      <c r="CN3740" s="128"/>
      <c r="CO3740" s="128"/>
      <c r="CP3740" s="128"/>
      <c r="CQ3740" s="128"/>
      <c r="CR3740" s="128"/>
      <c r="CS3740" s="128"/>
      <c r="CT3740" s="128"/>
      <c r="CU3740" s="128"/>
      <c r="CV3740" s="128"/>
      <c r="CW3740" s="128"/>
      <c r="CX3740" s="128"/>
      <c r="CY3740" s="128"/>
      <c r="CZ3740" s="165"/>
    </row>
    <row r="3741" spans="1:104">
      <c r="A3741" s="149"/>
      <c r="B3741" s="149"/>
      <c r="C3741" s="150"/>
      <c r="D3741" s="102"/>
      <c r="E3741" s="149"/>
      <c r="F3741" s="149"/>
      <c r="G3741" s="149"/>
      <c r="H3741" s="149"/>
      <c r="I3741" s="149"/>
      <c r="J3741" s="149"/>
      <c r="K3741" s="149"/>
      <c r="L3741" s="149"/>
      <c r="M3741" s="149"/>
      <c r="N3741" s="149"/>
      <c r="O3741" s="149"/>
      <c r="P3741" s="149"/>
      <c r="Q3741" s="149"/>
      <c r="R3741" s="149"/>
      <c r="S3741" s="149"/>
      <c r="T3741" s="149"/>
      <c r="U3741" s="149"/>
      <c r="V3741" s="149"/>
      <c r="W3741" s="149"/>
      <c r="X3741" s="149"/>
      <c r="Y3741" s="149"/>
      <c r="Z3741" s="149"/>
      <c r="AA3741" s="149"/>
      <c r="AB3741" s="149"/>
      <c r="AC3741" s="149"/>
      <c r="AD3741" s="149"/>
      <c r="AE3741" s="149"/>
      <c r="AF3741" s="149"/>
      <c r="AG3741" s="149"/>
      <c r="AH3741" s="149"/>
      <c r="AI3741" s="149"/>
      <c r="AJ3741" s="149"/>
      <c r="AK3741" s="149"/>
      <c r="AL3741" s="149"/>
      <c r="AM3741" s="149"/>
      <c r="AN3741" s="149"/>
      <c r="AO3741" s="128"/>
      <c r="AP3741" s="128"/>
      <c r="AQ3741" s="128"/>
      <c r="AR3741" s="128"/>
      <c r="AS3741" s="128"/>
      <c r="AT3741" s="128"/>
      <c r="AU3741" s="128"/>
      <c r="AV3741" s="128"/>
      <c r="AW3741" s="128"/>
      <c r="AX3741" s="128"/>
      <c r="AY3741" s="128"/>
      <c r="AZ3741" s="128"/>
      <c r="BA3741" s="128"/>
      <c r="BB3741" s="128"/>
      <c r="BC3741" s="128"/>
      <c r="BD3741" s="128"/>
      <c r="BE3741" s="128"/>
      <c r="BF3741" s="128"/>
      <c r="BG3741" s="128"/>
      <c r="BH3741" s="128"/>
      <c r="BI3741" s="128"/>
      <c r="BJ3741" s="128"/>
      <c r="BK3741" s="128"/>
      <c r="BL3741" s="128"/>
      <c r="BM3741" s="151"/>
      <c r="BN3741" s="128"/>
      <c r="BO3741" s="128"/>
      <c r="BP3741" s="128"/>
      <c r="BQ3741" s="128"/>
      <c r="BR3741" s="128"/>
      <c r="BS3741" s="128"/>
      <c r="BT3741" s="128"/>
      <c r="BU3741" s="128"/>
      <c r="BV3741" s="128"/>
      <c r="BW3741" s="128"/>
      <c r="BX3741" s="128"/>
      <c r="BY3741" s="128"/>
      <c r="BZ3741" s="128"/>
      <c r="CA3741" s="128"/>
      <c r="CB3741" s="128"/>
      <c r="CC3741" s="128"/>
      <c r="CD3741" s="128"/>
      <c r="CE3741" s="128"/>
      <c r="CF3741" s="128"/>
      <c r="CG3741" s="128"/>
      <c r="CI3741" s="128"/>
      <c r="CJ3741" s="128"/>
      <c r="CK3741" s="128"/>
      <c r="CL3741" s="128"/>
      <c r="CM3741" s="128"/>
      <c r="CN3741" s="128"/>
      <c r="CO3741" s="128"/>
      <c r="CP3741" s="128"/>
      <c r="CQ3741" s="128"/>
      <c r="CR3741" s="128"/>
      <c r="CS3741" s="128"/>
      <c r="CT3741" s="128"/>
      <c r="CU3741" s="128"/>
      <c r="CV3741" s="128"/>
      <c r="CW3741" s="128"/>
      <c r="CX3741" s="128"/>
      <c r="CY3741" s="128"/>
      <c r="CZ3741" s="165"/>
    </row>
    <row r="3742" spans="1:104">
      <c r="A3742" s="149"/>
      <c r="B3742" s="149"/>
      <c r="C3742" s="150"/>
      <c r="D3742" s="102"/>
      <c r="E3742" s="149"/>
      <c r="F3742" s="149"/>
      <c r="G3742" s="149"/>
      <c r="H3742" s="149"/>
      <c r="I3742" s="149"/>
      <c r="J3742" s="149"/>
      <c r="K3742" s="149"/>
      <c r="L3742" s="149"/>
      <c r="M3742" s="149"/>
      <c r="N3742" s="149"/>
      <c r="O3742" s="149"/>
      <c r="P3742" s="149"/>
      <c r="Q3742" s="149"/>
      <c r="R3742" s="149"/>
      <c r="S3742" s="149"/>
      <c r="T3742" s="149"/>
      <c r="U3742" s="149"/>
      <c r="V3742" s="149"/>
      <c r="W3742" s="149"/>
      <c r="X3742" s="149"/>
      <c r="Y3742" s="149"/>
      <c r="Z3742" s="149"/>
      <c r="AA3742" s="149"/>
      <c r="AB3742" s="149"/>
      <c r="AC3742" s="149"/>
      <c r="AD3742" s="149"/>
      <c r="AE3742" s="149"/>
      <c r="AF3742" s="149"/>
      <c r="AG3742" s="149"/>
      <c r="AH3742" s="149"/>
      <c r="AI3742" s="149"/>
      <c r="AJ3742" s="149"/>
      <c r="AK3742" s="149"/>
      <c r="AL3742" s="149"/>
      <c r="AM3742" s="149"/>
      <c r="AN3742" s="149"/>
      <c r="AO3742" s="128"/>
      <c r="AP3742" s="128"/>
      <c r="AQ3742" s="128"/>
      <c r="AR3742" s="128"/>
      <c r="AS3742" s="128"/>
      <c r="AT3742" s="128"/>
      <c r="AU3742" s="128"/>
      <c r="AV3742" s="128"/>
      <c r="AW3742" s="128"/>
      <c r="AX3742" s="128"/>
      <c r="AY3742" s="128"/>
      <c r="AZ3742" s="128"/>
      <c r="BA3742" s="128"/>
      <c r="BB3742" s="128"/>
      <c r="BC3742" s="128"/>
      <c r="BD3742" s="128"/>
      <c r="BE3742" s="128"/>
      <c r="BF3742" s="128"/>
      <c r="BG3742" s="128"/>
      <c r="BH3742" s="128"/>
      <c r="BI3742" s="128"/>
      <c r="BJ3742" s="128"/>
      <c r="BK3742" s="128"/>
      <c r="BL3742" s="128"/>
      <c r="BM3742" s="151"/>
      <c r="BN3742" s="128"/>
      <c r="BO3742" s="128"/>
      <c r="BP3742" s="128"/>
      <c r="BQ3742" s="128"/>
      <c r="BR3742" s="128"/>
      <c r="BS3742" s="128"/>
      <c r="BT3742" s="128"/>
      <c r="BU3742" s="128"/>
      <c r="BV3742" s="128"/>
      <c r="BW3742" s="128"/>
      <c r="BX3742" s="128"/>
      <c r="BY3742" s="128"/>
      <c r="BZ3742" s="128"/>
      <c r="CA3742" s="128"/>
      <c r="CB3742" s="128"/>
      <c r="CC3742" s="128"/>
      <c r="CD3742" s="128"/>
      <c r="CE3742" s="128"/>
      <c r="CF3742" s="128"/>
      <c r="CG3742" s="128"/>
      <c r="CI3742" s="128"/>
      <c r="CJ3742" s="128"/>
      <c r="CK3742" s="128"/>
      <c r="CL3742" s="128"/>
      <c r="CM3742" s="128"/>
      <c r="CN3742" s="128"/>
      <c r="CO3742" s="128"/>
      <c r="CP3742" s="128"/>
      <c r="CQ3742" s="128"/>
      <c r="CR3742" s="128"/>
      <c r="CS3742" s="128"/>
      <c r="CT3742" s="128"/>
      <c r="CU3742" s="128"/>
      <c r="CV3742" s="128"/>
      <c r="CW3742" s="128"/>
      <c r="CX3742" s="128"/>
      <c r="CY3742" s="128"/>
      <c r="CZ3742" s="165"/>
    </row>
    <row r="3743" spans="1:104">
      <c r="A3743" s="149"/>
      <c r="B3743" s="149"/>
      <c r="C3743" s="150"/>
      <c r="D3743" s="102"/>
      <c r="E3743" s="149"/>
      <c r="F3743" s="149"/>
      <c r="G3743" s="149"/>
      <c r="H3743" s="149"/>
      <c r="I3743" s="149"/>
      <c r="J3743" s="149"/>
      <c r="K3743" s="149"/>
      <c r="L3743" s="149"/>
      <c r="M3743" s="149"/>
      <c r="N3743" s="149"/>
      <c r="O3743" s="149"/>
      <c r="P3743" s="149"/>
      <c r="Q3743" s="149"/>
      <c r="R3743" s="149"/>
      <c r="S3743" s="149"/>
      <c r="T3743" s="149"/>
      <c r="U3743" s="149"/>
      <c r="V3743" s="149"/>
      <c r="W3743" s="149"/>
      <c r="X3743" s="149"/>
      <c r="Y3743" s="149"/>
      <c r="Z3743" s="149"/>
      <c r="AA3743" s="149"/>
      <c r="AB3743" s="149"/>
      <c r="AC3743" s="149"/>
      <c r="AD3743" s="149"/>
      <c r="AE3743" s="149"/>
      <c r="AF3743" s="149"/>
      <c r="AG3743" s="149"/>
      <c r="AH3743" s="149"/>
      <c r="AI3743" s="149"/>
      <c r="AJ3743" s="149"/>
      <c r="AK3743" s="149"/>
      <c r="AL3743" s="149"/>
      <c r="AM3743" s="149"/>
      <c r="AN3743" s="149"/>
      <c r="AO3743" s="128"/>
      <c r="AP3743" s="128"/>
      <c r="AQ3743" s="128"/>
      <c r="AR3743" s="128"/>
      <c r="AS3743" s="128"/>
      <c r="AT3743" s="128"/>
      <c r="AU3743" s="128"/>
      <c r="AV3743" s="128"/>
      <c r="AW3743" s="128"/>
      <c r="AX3743" s="128"/>
      <c r="AY3743" s="128"/>
      <c r="AZ3743" s="128"/>
      <c r="BA3743" s="128"/>
      <c r="BB3743" s="128"/>
      <c r="BC3743" s="128"/>
      <c r="BD3743" s="128"/>
      <c r="BE3743" s="128"/>
      <c r="BF3743" s="128"/>
      <c r="BG3743" s="128"/>
      <c r="BH3743" s="128"/>
      <c r="BI3743" s="128"/>
      <c r="BJ3743" s="128"/>
      <c r="BK3743" s="128"/>
      <c r="BL3743" s="128"/>
      <c r="BM3743" s="151"/>
      <c r="BN3743" s="128"/>
      <c r="BO3743" s="128"/>
      <c r="BP3743" s="128"/>
      <c r="BQ3743" s="128"/>
      <c r="BR3743" s="128"/>
      <c r="BS3743" s="128"/>
      <c r="BT3743" s="128"/>
      <c r="BU3743" s="128"/>
      <c r="BV3743" s="128"/>
      <c r="BW3743" s="128"/>
      <c r="BX3743" s="128"/>
      <c r="BY3743" s="128"/>
      <c r="BZ3743" s="128"/>
      <c r="CA3743" s="128"/>
      <c r="CB3743" s="128"/>
      <c r="CC3743" s="128"/>
      <c r="CD3743" s="128"/>
      <c r="CE3743" s="128"/>
      <c r="CF3743" s="128"/>
      <c r="CG3743" s="128"/>
      <c r="CI3743" s="128"/>
      <c r="CJ3743" s="128"/>
      <c r="CK3743" s="128"/>
      <c r="CL3743" s="128"/>
      <c r="CM3743" s="128"/>
      <c r="CN3743" s="128"/>
      <c r="CO3743" s="128"/>
      <c r="CP3743" s="128"/>
      <c r="CQ3743" s="128"/>
      <c r="CR3743" s="128"/>
      <c r="CS3743" s="128"/>
      <c r="CT3743" s="128"/>
      <c r="CU3743" s="128"/>
      <c r="CV3743" s="128"/>
      <c r="CW3743" s="128"/>
      <c r="CX3743" s="128"/>
      <c r="CY3743" s="128"/>
      <c r="CZ3743" s="165"/>
    </row>
    <row r="3744" spans="1:104">
      <c r="A3744" s="149"/>
      <c r="B3744" s="149"/>
      <c r="C3744" s="150"/>
      <c r="D3744" s="102"/>
      <c r="E3744" s="149"/>
      <c r="F3744" s="149"/>
      <c r="G3744" s="149"/>
      <c r="H3744" s="149"/>
      <c r="I3744" s="149"/>
      <c r="J3744" s="149"/>
      <c r="K3744" s="149"/>
      <c r="L3744" s="149"/>
      <c r="M3744" s="149"/>
      <c r="N3744" s="149"/>
      <c r="O3744" s="149"/>
      <c r="P3744" s="149"/>
      <c r="Q3744" s="149"/>
      <c r="R3744" s="149"/>
      <c r="S3744" s="149"/>
      <c r="T3744" s="149"/>
      <c r="U3744" s="149"/>
      <c r="V3744" s="149"/>
      <c r="W3744" s="149"/>
      <c r="X3744" s="149"/>
      <c r="Y3744" s="149"/>
      <c r="Z3744" s="149"/>
      <c r="AA3744" s="149"/>
      <c r="AB3744" s="149"/>
      <c r="AC3744" s="149"/>
      <c r="AD3744" s="149"/>
      <c r="AE3744" s="149"/>
      <c r="AF3744" s="149"/>
      <c r="AG3744" s="149"/>
      <c r="AH3744" s="149"/>
      <c r="AI3744" s="149"/>
      <c r="AJ3744" s="149"/>
      <c r="AK3744" s="149"/>
      <c r="AL3744" s="149"/>
      <c r="AM3744" s="149"/>
      <c r="AN3744" s="149"/>
      <c r="AO3744" s="128"/>
      <c r="AP3744" s="128"/>
      <c r="AQ3744" s="128"/>
      <c r="AR3744" s="128"/>
      <c r="AS3744" s="128"/>
      <c r="AT3744" s="128"/>
      <c r="AU3744" s="128"/>
      <c r="AV3744" s="128"/>
      <c r="AW3744" s="128"/>
      <c r="AX3744" s="128"/>
      <c r="AY3744" s="128"/>
      <c r="AZ3744" s="128"/>
      <c r="BA3744" s="128"/>
      <c r="BB3744" s="128"/>
      <c r="BC3744" s="128"/>
      <c r="BD3744" s="128"/>
      <c r="BE3744" s="128"/>
      <c r="BF3744" s="128"/>
      <c r="BG3744" s="128"/>
      <c r="BH3744" s="128"/>
      <c r="BI3744" s="128"/>
      <c r="BJ3744" s="128"/>
      <c r="BK3744" s="128"/>
      <c r="BL3744" s="128"/>
      <c r="BM3744" s="151"/>
      <c r="BN3744" s="128"/>
      <c r="BO3744" s="128"/>
      <c r="BP3744" s="128"/>
      <c r="BQ3744" s="128"/>
      <c r="BR3744" s="128"/>
      <c r="BS3744" s="128"/>
      <c r="BT3744" s="128"/>
      <c r="BU3744" s="128"/>
      <c r="BV3744" s="128"/>
      <c r="BW3744" s="128"/>
      <c r="BX3744" s="128"/>
      <c r="BY3744" s="128"/>
      <c r="BZ3744" s="128"/>
      <c r="CA3744" s="128"/>
      <c r="CB3744" s="128"/>
      <c r="CC3744" s="128"/>
      <c r="CD3744" s="128"/>
      <c r="CE3744" s="128"/>
      <c r="CF3744" s="128"/>
      <c r="CG3744" s="128"/>
      <c r="CI3744" s="128"/>
      <c r="CJ3744" s="128"/>
      <c r="CK3744" s="128"/>
      <c r="CL3744" s="128"/>
      <c r="CM3744" s="128"/>
      <c r="CN3744" s="128"/>
      <c r="CO3744" s="128"/>
      <c r="CP3744" s="128"/>
      <c r="CQ3744" s="128"/>
      <c r="CR3744" s="128"/>
      <c r="CS3744" s="128"/>
      <c r="CT3744" s="128"/>
      <c r="CU3744" s="128"/>
      <c r="CV3744" s="128"/>
      <c r="CW3744" s="128"/>
      <c r="CX3744" s="128"/>
      <c r="CY3744" s="128"/>
      <c r="CZ3744" s="165"/>
    </row>
    <row r="3745" spans="1:104">
      <c r="A3745" s="149"/>
      <c r="B3745" s="149"/>
      <c r="C3745" s="150"/>
      <c r="D3745" s="102"/>
      <c r="E3745" s="149"/>
      <c r="F3745" s="149"/>
      <c r="G3745" s="149"/>
      <c r="H3745" s="149"/>
      <c r="I3745" s="149"/>
      <c r="J3745" s="149"/>
      <c r="K3745" s="149"/>
      <c r="L3745" s="149"/>
      <c r="M3745" s="149"/>
      <c r="N3745" s="149"/>
      <c r="O3745" s="149"/>
      <c r="P3745" s="149"/>
      <c r="Q3745" s="149"/>
      <c r="R3745" s="149"/>
      <c r="S3745" s="149"/>
      <c r="T3745" s="149"/>
      <c r="U3745" s="149"/>
      <c r="V3745" s="149"/>
      <c r="W3745" s="149"/>
      <c r="X3745" s="149"/>
      <c r="Y3745" s="149"/>
      <c r="Z3745" s="149"/>
      <c r="AA3745" s="149"/>
      <c r="AB3745" s="149"/>
      <c r="AC3745" s="149"/>
      <c r="AD3745" s="149"/>
      <c r="AE3745" s="149"/>
      <c r="AF3745" s="149"/>
      <c r="AG3745" s="149"/>
      <c r="AH3745" s="149"/>
      <c r="AI3745" s="149"/>
      <c r="AJ3745" s="149"/>
      <c r="AK3745" s="149"/>
      <c r="AL3745" s="149"/>
      <c r="AM3745" s="149"/>
      <c r="AN3745" s="149"/>
      <c r="AO3745" s="128"/>
      <c r="AP3745" s="128"/>
      <c r="AQ3745" s="128"/>
      <c r="AR3745" s="128"/>
      <c r="AS3745" s="128"/>
      <c r="AT3745" s="128"/>
      <c r="AU3745" s="128"/>
      <c r="AV3745" s="128"/>
      <c r="AW3745" s="128"/>
      <c r="AX3745" s="128"/>
      <c r="AY3745" s="128"/>
      <c r="AZ3745" s="128"/>
      <c r="BA3745" s="128"/>
      <c r="BB3745" s="128"/>
      <c r="BC3745" s="128"/>
      <c r="BD3745" s="128"/>
      <c r="BE3745" s="128"/>
      <c r="BF3745" s="128"/>
      <c r="BG3745" s="128"/>
      <c r="BH3745" s="128"/>
      <c r="BI3745" s="128"/>
      <c r="BJ3745" s="128"/>
      <c r="BK3745" s="128"/>
      <c r="BL3745" s="128"/>
      <c r="BM3745" s="151"/>
      <c r="BN3745" s="128"/>
      <c r="BO3745" s="128"/>
      <c r="BP3745" s="128"/>
      <c r="BQ3745" s="128"/>
      <c r="BR3745" s="128"/>
      <c r="BS3745" s="128"/>
      <c r="BT3745" s="128"/>
      <c r="BU3745" s="128"/>
      <c r="BV3745" s="128"/>
      <c r="BW3745" s="128"/>
      <c r="BX3745" s="128"/>
      <c r="BY3745" s="128"/>
      <c r="BZ3745" s="128"/>
      <c r="CA3745" s="128"/>
      <c r="CB3745" s="128"/>
      <c r="CC3745" s="128"/>
      <c r="CD3745" s="128"/>
      <c r="CE3745" s="128"/>
      <c r="CF3745" s="128"/>
      <c r="CG3745" s="128"/>
      <c r="CI3745" s="128"/>
      <c r="CJ3745" s="128"/>
      <c r="CK3745" s="128"/>
      <c r="CL3745" s="128"/>
      <c r="CM3745" s="128"/>
      <c r="CN3745" s="128"/>
      <c r="CO3745" s="128"/>
      <c r="CP3745" s="128"/>
      <c r="CQ3745" s="128"/>
      <c r="CR3745" s="128"/>
      <c r="CS3745" s="128"/>
      <c r="CT3745" s="128"/>
      <c r="CU3745" s="128"/>
      <c r="CV3745" s="128"/>
      <c r="CW3745" s="128"/>
      <c r="CX3745" s="128"/>
      <c r="CY3745" s="128"/>
      <c r="CZ3745" s="165"/>
    </row>
    <row r="3746" spans="1:104">
      <c r="A3746" s="149"/>
      <c r="B3746" s="149"/>
      <c r="C3746" s="150"/>
      <c r="D3746" s="102"/>
      <c r="E3746" s="149"/>
      <c r="F3746" s="149"/>
      <c r="G3746" s="149"/>
      <c r="H3746" s="149"/>
      <c r="I3746" s="149"/>
      <c r="J3746" s="149"/>
      <c r="K3746" s="149"/>
      <c r="L3746" s="149"/>
      <c r="M3746" s="149"/>
      <c r="N3746" s="149"/>
      <c r="O3746" s="149"/>
      <c r="P3746" s="149"/>
      <c r="Q3746" s="149"/>
      <c r="R3746" s="149"/>
      <c r="S3746" s="149"/>
      <c r="T3746" s="149"/>
      <c r="U3746" s="149"/>
      <c r="V3746" s="149"/>
      <c r="W3746" s="149"/>
      <c r="X3746" s="149"/>
      <c r="Y3746" s="149"/>
      <c r="Z3746" s="149"/>
      <c r="AA3746" s="149"/>
      <c r="AB3746" s="149"/>
      <c r="AC3746" s="149"/>
      <c r="AD3746" s="149"/>
      <c r="AE3746" s="149"/>
      <c r="AF3746" s="149"/>
      <c r="AG3746" s="149"/>
      <c r="AH3746" s="149"/>
      <c r="AI3746" s="149"/>
      <c r="AJ3746" s="149"/>
      <c r="AK3746" s="149"/>
      <c r="AL3746" s="149"/>
      <c r="AM3746" s="149"/>
      <c r="AN3746" s="149"/>
      <c r="AO3746" s="128"/>
      <c r="AP3746" s="128"/>
      <c r="AQ3746" s="128"/>
      <c r="AR3746" s="128"/>
      <c r="AS3746" s="128"/>
      <c r="AT3746" s="128"/>
      <c r="AU3746" s="128"/>
      <c r="AV3746" s="128"/>
      <c r="AW3746" s="128"/>
      <c r="AX3746" s="128"/>
      <c r="AY3746" s="128"/>
      <c r="AZ3746" s="128"/>
      <c r="BA3746" s="128"/>
      <c r="BB3746" s="128"/>
      <c r="BC3746" s="128"/>
      <c r="BD3746" s="128"/>
      <c r="BE3746" s="128"/>
      <c r="BF3746" s="128"/>
      <c r="BG3746" s="128"/>
      <c r="BH3746" s="128"/>
      <c r="BI3746" s="128"/>
      <c r="BJ3746" s="128"/>
      <c r="BK3746" s="128"/>
      <c r="BL3746" s="128"/>
      <c r="BM3746" s="151"/>
      <c r="BN3746" s="128"/>
      <c r="BO3746" s="128"/>
      <c r="BP3746" s="128"/>
      <c r="BQ3746" s="128"/>
      <c r="BR3746" s="128"/>
      <c r="BS3746" s="128"/>
      <c r="BT3746" s="128"/>
      <c r="BU3746" s="128"/>
      <c r="BV3746" s="128"/>
      <c r="BW3746" s="128"/>
      <c r="BX3746" s="128"/>
      <c r="BY3746" s="128"/>
      <c r="BZ3746" s="128"/>
      <c r="CA3746" s="128"/>
      <c r="CB3746" s="128"/>
      <c r="CC3746" s="128"/>
      <c r="CD3746" s="128"/>
      <c r="CE3746" s="128"/>
      <c r="CF3746" s="128"/>
      <c r="CG3746" s="128"/>
      <c r="CI3746" s="128"/>
      <c r="CJ3746" s="128"/>
      <c r="CK3746" s="128"/>
      <c r="CL3746" s="128"/>
      <c r="CM3746" s="128"/>
      <c r="CN3746" s="128"/>
      <c r="CO3746" s="128"/>
      <c r="CP3746" s="128"/>
      <c r="CQ3746" s="128"/>
      <c r="CR3746" s="128"/>
      <c r="CS3746" s="128"/>
      <c r="CT3746" s="128"/>
      <c r="CU3746" s="128"/>
      <c r="CV3746" s="128"/>
      <c r="CW3746" s="128"/>
      <c r="CX3746" s="128"/>
      <c r="CY3746" s="128"/>
      <c r="CZ3746" s="165"/>
    </row>
    <row r="3747" spans="1:104">
      <c r="A3747" s="149"/>
      <c r="B3747" s="149"/>
      <c r="C3747" s="150"/>
      <c r="D3747" s="102"/>
      <c r="E3747" s="149"/>
      <c r="F3747" s="149"/>
      <c r="G3747" s="149"/>
      <c r="H3747" s="149"/>
      <c r="I3747" s="149"/>
      <c r="J3747" s="149"/>
      <c r="K3747" s="149"/>
      <c r="L3747" s="149"/>
      <c r="M3747" s="149"/>
      <c r="N3747" s="149"/>
      <c r="O3747" s="149"/>
      <c r="P3747" s="149"/>
      <c r="Q3747" s="149"/>
      <c r="R3747" s="149"/>
      <c r="S3747" s="149"/>
      <c r="T3747" s="149"/>
      <c r="U3747" s="149"/>
      <c r="V3747" s="149"/>
      <c r="W3747" s="149"/>
      <c r="X3747" s="149"/>
      <c r="Y3747" s="149"/>
      <c r="Z3747" s="149"/>
      <c r="AA3747" s="149"/>
      <c r="AB3747" s="149"/>
      <c r="AC3747" s="149"/>
      <c r="AD3747" s="149"/>
      <c r="AE3747" s="149"/>
      <c r="AF3747" s="149"/>
      <c r="AG3747" s="149"/>
      <c r="AH3747" s="149"/>
      <c r="AI3747" s="149"/>
      <c r="AJ3747" s="149"/>
      <c r="AK3747" s="149"/>
      <c r="AL3747" s="149"/>
      <c r="AM3747" s="149"/>
      <c r="AN3747" s="149"/>
      <c r="AO3747" s="128"/>
      <c r="AP3747" s="128"/>
      <c r="AQ3747" s="128"/>
      <c r="AR3747" s="128"/>
      <c r="AS3747" s="128"/>
      <c r="AT3747" s="128"/>
      <c r="AU3747" s="128"/>
      <c r="AV3747" s="128"/>
      <c r="AW3747" s="128"/>
      <c r="AX3747" s="128"/>
      <c r="AY3747" s="128"/>
      <c r="AZ3747" s="128"/>
      <c r="BA3747" s="128"/>
      <c r="BB3747" s="128"/>
      <c r="BC3747" s="128"/>
      <c r="BD3747" s="128"/>
      <c r="BE3747" s="128"/>
      <c r="BF3747" s="128"/>
      <c r="BG3747" s="128"/>
      <c r="BH3747" s="128"/>
      <c r="BI3747" s="128"/>
      <c r="BJ3747" s="128"/>
      <c r="BK3747" s="128"/>
      <c r="BL3747" s="128"/>
      <c r="BM3747" s="151"/>
      <c r="BN3747" s="128"/>
      <c r="BO3747" s="128"/>
      <c r="BP3747" s="128"/>
      <c r="BQ3747" s="128"/>
      <c r="BR3747" s="128"/>
      <c r="BS3747" s="128"/>
      <c r="BT3747" s="128"/>
      <c r="BU3747" s="128"/>
      <c r="BV3747" s="128"/>
      <c r="BW3747" s="128"/>
      <c r="BX3747" s="128"/>
      <c r="BY3747" s="128"/>
      <c r="BZ3747" s="128"/>
      <c r="CA3747" s="128"/>
      <c r="CB3747" s="128"/>
      <c r="CC3747" s="128"/>
      <c r="CD3747" s="128"/>
      <c r="CE3747" s="128"/>
      <c r="CF3747" s="128"/>
      <c r="CG3747" s="128"/>
      <c r="CI3747" s="128"/>
      <c r="CJ3747" s="128"/>
      <c r="CK3747" s="128"/>
      <c r="CL3747" s="128"/>
      <c r="CM3747" s="128"/>
      <c r="CN3747" s="128"/>
      <c r="CO3747" s="128"/>
      <c r="CP3747" s="128"/>
      <c r="CQ3747" s="128"/>
      <c r="CR3747" s="128"/>
      <c r="CS3747" s="128"/>
      <c r="CT3747" s="128"/>
      <c r="CU3747" s="128"/>
      <c r="CV3747" s="128"/>
      <c r="CW3747" s="128"/>
      <c r="CX3747" s="128"/>
      <c r="CY3747" s="128"/>
      <c r="CZ3747" s="165"/>
    </row>
    <row r="3748" spans="1:104">
      <c r="A3748" s="149"/>
      <c r="B3748" s="149"/>
      <c r="C3748" s="150"/>
      <c r="D3748" s="102"/>
      <c r="E3748" s="149"/>
      <c r="F3748" s="149"/>
      <c r="G3748" s="149"/>
      <c r="H3748" s="149"/>
      <c r="I3748" s="149"/>
      <c r="J3748" s="149"/>
      <c r="K3748" s="149"/>
      <c r="L3748" s="149"/>
      <c r="M3748" s="149"/>
      <c r="N3748" s="149"/>
      <c r="O3748" s="149"/>
      <c r="P3748" s="149"/>
      <c r="Q3748" s="149"/>
      <c r="R3748" s="149"/>
      <c r="S3748" s="149"/>
      <c r="T3748" s="149"/>
      <c r="U3748" s="149"/>
      <c r="V3748" s="149"/>
      <c r="W3748" s="149"/>
      <c r="X3748" s="149"/>
      <c r="Y3748" s="149"/>
      <c r="Z3748" s="149"/>
      <c r="AA3748" s="149"/>
      <c r="AB3748" s="149"/>
      <c r="AC3748" s="149"/>
      <c r="AD3748" s="149"/>
      <c r="AE3748" s="149"/>
      <c r="AF3748" s="149"/>
      <c r="AG3748" s="149"/>
      <c r="AH3748" s="149"/>
      <c r="AI3748" s="149"/>
      <c r="AJ3748" s="149"/>
      <c r="AK3748" s="149"/>
      <c r="AL3748" s="149"/>
      <c r="AM3748" s="149"/>
      <c r="AN3748" s="149"/>
      <c r="AO3748" s="128"/>
      <c r="AP3748" s="128"/>
      <c r="AQ3748" s="128"/>
      <c r="AR3748" s="128"/>
      <c r="AS3748" s="128"/>
      <c r="AT3748" s="128"/>
      <c r="AU3748" s="128"/>
      <c r="AV3748" s="128"/>
      <c r="AW3748" s="128"/>
      <c r="AX3748" s="128"/>
      <c r="AY3748" s="128"/>
      <c r="AZ3748" s="128"/>
      <c r="BA3748" s="128"/>
      <c r="BB3748" s="128"/>
      <c r="BC3748" s="128"/>
      <c r="BD3748" s="128"/>
      <c r="BE3748" s="128"/>
      <c r="BF3748" s="128"/>
      <c r="BG3748" s="128"/>
      <c r="BH3748" s="128"/>
      <c r="BI3748" s="128"/>
      <c r="BJ3748" s="128"/>
      <c r="BK3748" s="128"/>
      <c r="BL3748" s="128"/>
      <c r="BM3748" s="151"/>
      <c r="BN3748" s="128"/>
      <c r="BO3748" s="128"/>
      <c r="BP3748" s="128"/>
      <c r="BQ3748" s="128"/>
      <c r="BR3748" s="128"/>
      <c r="BS3748" s="128"/>
      <c r="BT3748" s="128"/>
      <c r="BU3748" s="128"/>
      <c r="BV3748" s="128"/>
      <c r="BW3748" s="128"/>
      <c r="BX3748" s="128"/>
      <c r="BY3748" s="128"/>
      <c r="BZ3748" s="128"/>
      <c r="CA3748" s="128"/>
      <c r="CB3748" s="128"/>
      <c r="CC3748" s="128"/>
      <c r="CD3748" s="128"/>
      <c r="CE3748" s="128"/>
      <c r="CF3748" s="128"/>
      <c r="CG3748" s="128"/>
      <c r="CI3748" s="128"/>
      <c r="CJ3748" s="128"/>
      <c r="CK3748" s="128"/>
      <c r="CL3748" s="128"/>
      <c r="CM3748" s="128"/>
      <c r="CN3748" s="128"/>
      <c r="CO3748" s="128"/>
      <c r="CP3748" s="128"/>
      <c r="CQ3748" s="128"/>
      <c r="CR3748" s="128"/>
      <c r="CS3748" s="128"/>
      <c r="CT3748" s="128"/>
      <c r="CU3748" s="128"/>
      <c r="CV3748" s="128"/>
      <c r="CW3748" s="128"/>
      <c r="CX3748" s="128"/>
      <c r="CY3748" s="128"/>
      <c r="CZ3748" s="165"/>
    </row>
    <row r="3749" spans="1:104">
      <c r="A3749" s="149"/>
      <c r="B3749" s="149"/>
      <c r="C3749" s="150"/>
      <c r="D3749" s="102"/>
      <c r="E3749" s="149"/>
      <c r="F3749" s="149"/>
      <c r="G3749" s="149"/>
      <c r="H3749" s="149"/>
      <c r="I3749" s="149"/>
      <c r="J3749" s="149"/>
      <c r="K3749" s="149"/>
      <c r="L3749" s="149"/>
      <c r="M3749" s="149"/>
      <c r="N3749" s="149"/>
      <c r="O3749" s="149"/>
      <c r="P3749" s="149"/>
      <c r="Q3749" s="149"/>
      <c r="R3749" s="149"/>
      <c r="S3749" s="149"/>
      <c r="T3749" s="149"/>
      <c r="U3749" s="149"/>
      <c r="V3749" s="149"/>
      <c r="W3749" s="149"/>
      <c r="X3749" s="149"/>
      <c r="Y3749" s="149"/>
      <c r="Z3749" s="149"/>
      <c r="AA3749" s="149"/>
      <c r="AB3749" s="149"/>
      <c r="AC3749" s="149"/>
      <c r="AD3749" s="149"/>
      <c r="AE3749" s="149"/>
      <c r="AF3749" s="149"/>
      <c r="AG3749" s="149"/>
      <c r="AH3749" s="149"/>
      <c r="AI3749" s="149"/>
      <c r="AJ3749" s="149"/>
      <c r="AK3749" s="149"/>
      <c r="AL3749" s="149"/>
      <c r="AM3749" s="149"/>
      <c r="AN3749" s="149"/>
      <c r="AO3749" s="128"/>
      <c r="AP3749" s="128"/>
      <c r="AQ3749" s="128"/>
      <c r="AR3749" s="128"/>
      <c r="AS3749" s="128"/>
      <c r="AT3749" s="128"/>
      <c r="AU3749" s="128"/>
      <c r="AV3749" s="128"/>
      <c r="AW3749" s="128"/>
      <c r="AX3749" s="128"/>
      <c r="AY3749" s="128"/>
      <c r="AZ3749" s="128"/>
      <c r="BA3749" s="128"/>
      <c r="BB3749" s="128"/>
      <c r="BC3749" s="128"/>
      <c r="BD3749" s="128"/>
      <c r="BE3749" s="128"/>
      <c r="BF3749" s="128"/>
      <c r="BG3749" s="128"/>
      <c r="BH3749" s="128"/>
      <c r="BI3749" s="128"/>
      <c r="BJ3749" s="128"/>
      <c r="BK3749" s="128"/>
      <c r="BL3749" s="128"/>
      <c r="BM3749" s="151"/>
      <c r="BN3749" s="128"/>
      <c r="BO3749" s="128"/>
      <c r="BP3749" s="128"/>
      <c r="BQ3749" s="128"/>
      <c r="BR3749" s="128"/>
      <c r="BS3749" s="128"/>
      <c r="BT3749" s="128"/>
      <c r="BU3749" s="128"/>
      <c r="BV3749" s="128"/>
      <c r="BW3749" s="128"/>
      <c r="BX3749" s="128"/>
      <c r="BY3749" s="128"/>
      <c r="BZ3749" s="128"/>
      <c r="CA3749" s="128"/>
      <c r="CB3749" s="128"/>
      <c r="CC3749" s="128"/>
      <c r="CD3749" s="128"/>
      <c r="CE3749" s="128"/>
      <c r="CF3749" s="128"/>
      <c r="CG3749" s="128"/>
      <c r="CI3749" s="128"/>
      <c r="CJ3749" s="128"/>
      <c r="CK3749" s="128"/>
      <c r="CL3749" s="128"/>
      <c r="CM3749" s="128"/>
      <c r="CN3749" s="128"/>
      <c r="CO3749" s="128"/>
      <c r="CP3749" s="128"/>
      <c r="CQ3749" s="128"/>
      <c r="CR3749" s="128"/>
      <c r="CS3749" s="128"/>
      <c r="CT3749" s="128"/>
      <c r="CU3749" s="128"/>
      <c r="CV3749" s="128"/>
      <c r="CW3749" s="128"/>
      <c r="CX3749" s="128"/>
      <c r="CY3749" s="128"/>
      <c r="CZ3749" s="165"/>
    </row>
    <row r="3750" spans="1:104">
      <c r="A3750" s="149"/>
      <c r="B3750" s="149"/>
      <c r="C3750" s="150"/>
      <c r="D3750" s="102"/>
      <c r="E3750" s="149"/>
      <c r="F3750" s="149"/>
      <c r="G3750" s="149"/>
      <c r="H3750" s="149"/>
      <c r="I3750" s="149"/>
      <c r="J3750" s="149"/>
      <c r="K3750" s="149"/>
      <c r="L3750" s="149"/>
      <c r="M3750" s="149"/>
      <c r="N3750" s="149"/>
      <c r="O3750" s="149"/>
      <c r="P3750" s="149"/>
      <c r="Q3750" s="149"/>
      <c r="R3750" s="149"/>
      <c r="S3750" s="149"/>
      <c r="T3750" s="149"/>
      <c r="U3750" s="149"/>
      <c r="V3750" s="149"/>
      <c r="W3750" s="149"/>
      <c r="X3750" s="149"/>
      <c r="Y3750" s="149"/>
      <c r="Z3750" s="149"/>
      <c r="AA3750" s="149"/>
      <c r="AB3750" s="149"/>
      <c r="AC3750" s="149"/>
      <c r="AD3750" s="149"/>
      <c r="AE3750" s="149"/>
      <c r="AF3750" s="149"/>
      <c r="AG3750" s="149"/>
      <c r="AH3750" s="149"/>
      <c r="AI3750" s="149"/>
      <c r="AJ3750" s="149"/>
      <c r="AK3750" s="149"/>
      <c r="AL3750" s="149"/>
      <c r="AM3750" s="149"/>
      <c r="AN3750" s="149"/>
      <c r="AO3750" s="128"/>
      <c r="AP3750" s="128"/>
      <c r="AQ3750" s="128"/>
      <c r="AR3750" s="128"/>
      <c r="AS3750" s="128"/>
      <c r="AT3750" s="128"/>
      <c r="AU3750" s="128"/>
      <c r="AV3750" s="128"/>
      <c r="AW3750" s="128"/>
      <c r="AX3750" s="128"/>
      <c r="AY3750" s="128"/>
      <c r="AZ3750" s="128"/>
      <c r="BA3750" s="128"/>
      <c r="BB3750" s="128"/>
      <c r="BC3750" s="128"/>
      <c r="BD3750" s="128"/>
      <c r="BE3750" s="128"/>
      <c r="BF3750" s="128"/>
      <c r="BG3750" s="128"/>
      <c r="BH3750" s="128"/>
      <c r="BI3750" s="128"/>
      <c r="BJ3750" s="128"/>
      <c r="BK3750" s="128"/>
      <c r="BL3750" s="128"/>
      <c r="BM3750" s="151"/>
      <c r="BN3750" s="128"/>
      <c r="BO3750" s="128"/>
      <c r="BP3750" s="128"/>
      <c r="BQ3750" s="128"/>
      <c r="BR3750" s="128"/>
      <c r="BS3750" s="128"/>
      <c r="BT3750" s="128"/>
      <c r="BU3750" s="128"/>
      <c r="BV3750" s="128"/>
      <c r="BW3750" s="128"/>
      <c r="BX3750" s="128"/>
      <c r="BY3750" s="128"/>
      <c r="BZ3750" s="128"/>
      <c r="CA3750" s="128"/>
      <c r="CB3750" s="128"/>
      <c r="CC3750" s="128"/>
      <c r="CD3750" s="128"/>
      <c r="CE3750" s="128"/>
      <c r="CF3750" s="128"/>
      <c r="CG3750" s="128"/>
      <c r="CI3750" s="128"/>
      <c r="CJ3750" s="128"/>
      <c r="CK3750" s="128"/>
      <c r="CL3750" s="128"/>
      <c r="CM3750" s="128"/>
      <c r="CN3750" s="128"/>
      <c r="CO3750" s="128"/>
      <c r="CP3750" s="128"/>
      <c r="CQ3750" s="128"/>
      <c r="CR3750" s="128"/>
      <c r="CS3750" s="128"/>
      <c r="CT3750" s="128"/>
      <c r="CU3750" s="128"/>
      <c r="CV3750" s="128"/>
      <c r="CW3750" s="128"/>
      <c r="CX3750" s="128"/>
      <c r="CY3750" s="128"/>
      <c r="CZ3750" s="165"/>
    </row>
    <row r="3751" spans="1:104">
      <c r="A3751" s="149"/>
      <c r="B3751" s="149"/>
      <c r="C3751" s="150"/>
      <c r="D3751" s="102"/>
      <c r="E3751" s="149"/>
      <c r="F3751" s="149"/>
      <c r="G3751" s="149"/>
      <c r="H3751" s="149"/>
      <c r="I3751" s="149"/>
      <c r="J3751" s="149"/>
      <c r="K3751" s="149"/>
      <c r="L3751" s="149"/>
      <c r="M3751" s="149"/>
      <c r="N3751" s="149"/>
      <c r="O3751" s="149"/>
      <c r="P3751" s="149"/>
      <c r="Q3751" s="149"/>
      <c r="R3751" s="149"/>
      <c r="S3751" s="149"/>
      <c r="T3751" s="149"/>
      <c r="U3751" s="149"/>
      <c r="V3751" s="149"/>
      <c r="W3751" s="149"/>
      <c r="X3751" s="149"/>
      <c r="Y3751" s="149"/>
      <c r="Z3751" s="149"/>
      <c r="AA3751" s="149"/>
      <c r="AB3751" s="149"/>
      <c r="AC3751" s="149"/>
      <c r="AD3751" s="149"/>
      <c r="AE3751" s="149"/>
      <c r="AF3751" s="149"/>
      <c r="AG3751" s="149"/>
      <c r="AH3751" s="149"/>
      <c r="AI3751" s="149"/>
      <c r="AJ3751" s="149"/>
      <c r="AK3751" s="149"/>
      <c r="AL3751" s="149"/>
      <c r="AM3751" s="149"/>
      <c r="AN3751" s="149"/>
      <c r="AO3751" s="128"/>
      <c r="AP3751" s="128"/>
      <c r="AQ3751" s="128"/>
      <c r="AR3751" s="128"/>
      <c r="AS3751" s="128"/>
      <c r="AT3751" s="128"/>
      <c r="AU3751" s="128"/>
      <c r="AV3751" s="128"/>
      <c r="AW3751" s="128"/>
      <c r="AX3751" s="128"/>
      <c r="AY3751" s="128"/>
      <c r="AZ3751" s="128"/>
      <c r="BA3751" s="128"/>
      <c r="BB3751" s="128"/>
      <c r="BC3751" s="128"/>
      <c r="BD3751" s="128"/>
      <c r="BE3751" s="128"/>
      <c r="BF3751" s="128"/>
      <c r="BG3751" s="128"/>
      <c r="BH3751" s="128"/>
      <c r="BI3751" s="128"/>
      <c r="BJ3751" s="128"/>
      <c r="BK3751" s="128"/>
      <c r="BL3751" s="128"/>
      <c r="BM3751" s="151"/>
      <c r="BN3751" s="128"/>
      <c r="BO3751" s="128"/>
      <c r="BP3751" s="128"/>
      <c r="BQ3751" s="128"/>
      <c r="BR3751" s="128"/>
      <c r="BS3751" s="128"/>
      <c r="BT3751" s="128"/>
      <c r="BU3751" s="128"/>
      <c r="BV3751" s="128"/>
      <c r="BW3751" s="128"/>
      <c r="BX3751" s="128"/>
      <c r="BY3751" s="128"/>
      <c r="BZ3751" s="128"/>
      <c r="CA3751" s="128"/>
      <c r="CB3751" s="128"/>
      <c r="CC3751" s="128"/>
      <c r="CD3751" s="128"/>
      <c r="CE3751" s="128"/>
      <c r="CF3751" s="128"/>
      <c r="CG3751" s="128"/>
      <c r="CI3751" s="128"/>
      <c r="CJ3751" s="128"/>
      <c r="CK3751" s="128"/>
      <c r="CL3751" s="128"/>
      <c r="CM3751" s="128"/>
      <c r="CN3751" s="128"/>
      <c r="CO3751" s="128"/>
      <c r="CP3751" s="128"/>
      <c r="CQ3751" s="128"/>
      <c r="CR3751" s="128"/>
      <c r="CS3751" s="128"/>
      <c r="CT3751" s="128"/>
      <c r="CU3751" s="128"/>
      <c r="CV3751" s="128"/>
      <c r="CW3751" s="128"/>
      <c r="CX3751" s="128"/>
      <c r="CY3751" s="128"/>
      <c r="CZ3751" s="165"/>
    </row>
    <row r="3752" spans="1:104">
      <c r="A3752" s="149"/>
      <c r="B3752" s="149"/>
      <c r="C3752" s="150"/>
      <c r="D3752" s="102"/>
      <c r="E3752" s="149"/>
      <c r="F3752" s="149"/>
      <c r="G3752" s="149"/>
      <c r="H3752" s="149"/>
      <c r="I3752" s="149"/>
      <c r="J3752" s="149"/>
      <c r="K3752" s="149"/>
      <c r="L3752" s="149"/>
      <c r="M3752" s="149"/>
      <c r="N3752" s="149"/>
      <c r="O3752" s="149"/>
      <c r="P3752" s="149"/>
      <c r="Q3752" s="149"/>
      <c r="R3752" s="149"/>
      <c r="S3752" s="149"/>
      <c r="T3752" s="149"/>
      <c r="U3752" s="149"/>
      <c r="V3752" s="149"/>
      <c r="W3752" s="149"/>
      <c r="X3752" s="149"/>
      <c r="Y3752" s="149"/>
      <c r="Z3752" s="149"/>
      <c r="AA3752" s="149"/>
      <c r="AB3752" s="149"/>
      <c r="AC3752" s="149"/>
      <c r="AD3752" s="149"/>
      <c r="AE3752" s="149"/>
      <c r="AF3752" s="149"/>
      <c r="AG3752" s="149"/>
      <c r="AH3752" s="149"/>
      <c r="AI3752" s="149"/>
      <c r="AJ3752" s="149"/>
      <c r="AK3752" s="149"/>
      <c r="AL3752" s="149"/>
      <c r="AM3752" s="149"/>
      <c r="AN3752" s="149"/>
      <c r="AO3752" s="128"/>
      <c r="AP3752" s="128"/>
      <c r="AQ3752" s="128"/>
      <c r="AR3752" s="128"/>
      <c r="AS3752" s="128"/>
      <c r="AT3752" s="128"/>
      <c r="AU3752" s="128"/>
      <c r="AV3752" s="128"/>
      <c r="AW3752" s="128"/>
      <c r="AX3752" s="128"/>
      <c r="AY3752" s="128"/>
      <c r="AZ3752" s="128"/>
      <c r="BA3752" s="128"/>
      <c r="BB3752" s="128"/>
      <c r="BC3752" s="128"/>
      <c r="BD3752" s="128"/>
      <c r="BE3752" s="128"/>
      <c r="BF3752" s="128"/>
      <c r="BG3752" s="128"/>
      <c r="BH3752" s="128"/>
      <c r="BI3752" s="128"/>
      <c r="BJ3752" s="128"/>
      <c r="BK3752" s="128"/>
      <c r="BL3752" s="128"/>
      <c r="BM3752" s="151"/>
      <c r="BN3752" s="128"/>
      <c r="BO3752" s="128"/>
      <c r="BP3752" s="128"/>
      <c r="BQ3752" s="128"/>
      <c r="BR3752" s="128"/>
      <c r="BS3752" s="128"/>
      <c r="BT3752" s="128"/>
      <c r="BU3752" s="128"/>
      <c r="BV3752" s="128"/>
      <c r="BW3752" s="128"/>
      <c r="BX3752" s="128"/>
      <c r="BY3752" s="128"/>
      <c r="BZ3752" s="128"/>
      <c r="CA3752" s="128"/>
      <c r="CB3752" s="128"/>
      <c r="CC3752" s="128"/>
      <c r="CD3752" s="128"/>
      <c r="CE3752" s="128"/>
      <c r="CF3752" s="128"/>
      <c r="CG3752" s="128"/>
      <c r="CI3752" s="128"/>
      <c r="CJ3752" s="128"/>
      <c r="CK3752" s="128"/>
      <c r="CL3752" s="128"/>
      <c r="CM3752" s="128"/>
      <c r="CN3752" s="128"/>
      <c r="CO3752" s="128"/>
      <c r="CP3752" s="128"/>
      <c r="CQ3752" s="128"/>
      <c r="CR3752" s="128"/>
      <c r="CS3752" s="128"/>
      <c r="CT3752" s="128"/>
      <c r="CU3752" s="128"/>
      <c r="CV3752" s="128"/>
      <c r="CW3752" s="128"/>
      <c r="CX3752" s="128"/>
      <c r="CY3752" s="128"/>
      <c r="CZ3752" s="165"/>
    </row>
    <row r="3753" spans="1:104">
      <c r="A3753" s="149"/>
      <c r="B3753" s="149"/>
      <c r="C3753" s="150"/>
      <c r="D3753" s="102"/>
      <c r="E3753" s="149"/>
      <c r="F3753" s="149"/>
      <c r="G3753" s="149"/>
      <c r="H3753" s="149"/>
      <c r="I3753" s="149"/>
      <c r="J3753" s="149"/>
      <c r="K3753" s="149"/>
      <c r="L3753" s="149"/>
      <c r="M3753" s="149"/>
      <c r="N3753" s="149"/>
      <c r="O3753" s="149"/>
      <c r="P3753" s="149"/>
      <c r="Q3753" s="149"/>
      <c r="R3753" s="149"/>
      <c r="S3753" s="149"/>
      <c r="T3753" s="149"/>
      <c r="U3753" s="149"/>
      <c r="V3753" s="149"/>
      <c r="W3753" s="149"/>
      <c r="X3753" s="149"/>
      <c r="Y3753" s="149"/>
      <c r="Z3753" s="149"/>
      <c r="AA3753" s="149"/>
      <c r="AB3753" s="149"/>
      <c r="AC3753" s="149"/>
      <c r="AD3753" s="149"/>
      <c r="AE3753" s="149"/>
      <c r="AF3753" s="149"/>
      <c r="AG3753" s="149"/>
      <c r="AH3753" s="149"/>
      <c r="AI3753" s="149"/>
      <c r="AJ3753" s="149"/>
      <c r="AK3753" s="149"/>
      <c r="AL3753" s="149"/>
      <c r="AM3753" s="149"/>
      <c r="AN3753" s="149"/>
      <c r="AO3753" s="128"/>
      <c r="AP3753" s="128"/>
      <c r="AQ3753" s="128"/>
      <c r="AR3753" s="128"/>
      <c r="AS3753" s="128"/>
      <c r="AT3753" s="128"/>
      <c r="AU3753" s="128"/>
      <c r="AV3753" s="128"/>
      <c r="AW3753" s="128"/>
      <c r="AX3753" s="128"/>
      <c r="AY3753" s="128"/>
      <c r="AZ3753" s="128"/>
      <c r="BA3753" s="128"/>
      <c r="BB3753" s="128"/>
      <c r="BC3753" s="128"/>
      <c r="BD3753" s="128"/>
      <c r="BE3753" s="128"/>
      <c r="BF3753" s="128"/>
      <c r="BG3753" s="128"/>
      <c r="BH3753" s="128"/>
      <c r="BI3753" s="128"/>
      <c r="BJ3753" s="128"/>
      <c r="BK3753" s="128"/>
      <c r="BL3753" s="128"/>
      <c r="BM3753" s="151"/>
      <c r="BN3753" s="128"/>
      <c r="BO3753" s="128"/>
      <c r="BP3753" s="128"/>
      <c r="BQ3753" s="128"/>
      <c r="BR3753" s="128"/>
      <c r="BS3753" s="128"/>
      <c r="BT3753" s="128"/>
      <c r="BU3753" s="128"/>
      <c r="BV3753" s="128"/>
      <c r="BW3753" s="128"/>
      <c r="BX3753" s="128"/>
      <c r="BY3753" s="128"/>
      <c r="BZ3753" s="128"/>
      <c r="CA3753" s="128"/>
      <c r="CB3753" s="128"/>
      <c r="CC3753" s="128"/>
      <c r="CD3753" s="128"/>
      <c r="CE3753" s="128"/>
      <c r="CF3753" s="128"/>
      <c r="CG3753" s="128"/>
      <c r="CI3753" s="128"/>
      <c r="CJ3753" s="128"/>
      <c r="CK3753" s="128"/>
      <c r="CL3753" s="128"/>
      <c r="CM3753" s="128"/>
      <c r="CN3753" s="128"/>
      <c r="CO3753" s="128"/>
      <c r="CP3753" s="128"/>
      <c r="CQ3753" s="128"/>
      <c r="CR3753" s="128"/>
      <c r="CS3753" s="128"/>
      <c r="CT3753" s="128"/>
      <c r="CU3753" s="128"/>
      <c r="CV3753" s="128"/>
      <c r="CW3753" s="128"/>
      <c r="CX3753" s="128"/>
      <c r="CY3753" s="128"/>
      <c r="CZ3753" s="165"/>
    </row>
    <row r="3754" spans="1:104">
      <c r="A3754" s="149"/>
      <c r="B3754" s="149"/>
      <c r="C3754" s="150"/>
      <c r="D3754" s="102"/>
      <c r="E3754" s="149"/>
      <c r="F3754" s="149"/>
      <c r="G3754" s="149"/>
      <c r="H3754" s="149"/>
      <c r="I3754" s="149"/>
      <c r="J3754" s="149"/>
      <c r="K3754" s="149"/>
      <c r="L3754" s="149"/>
      <c r="M3754" s="149"/>
      <c r="N3754" s="149"/>
      <c r="O3754" s="149"/>
      <c r="P3754" s="149"/>
      <c r="Q3754" s="149"/>
      <c r="R3754" s="149"/>
      <c r="S3754" s="149"/>
      <c r="T3754" s="149"/>
      <c r="U3754" s="149"/>
      <c r="V3754" s="149"/>
      <c r="W3754" s="149"/>
      <c r="X3754" s="149"/>
      <c r="Y3754" s="149"/>
      <c r="Z3754" s="149"/>
      <c r="AA3754" s="149"/>
      <c r="AB3754" s="149"/>
      <c r="AC3754" s="149"/>
      <c r="AD3754" s="149"/>
      <c r="AE3754" s="149"/>
      <c r="AF3754" s="149"/>
      <c r="AG3754" s="149"/>
      <c r="AH3754" s="149"/>
      <c r="AI3754" s="149"/>
      <c r="AJ3754" s="149"/>
      <c r="AK3754" s="149"/>
      <c r="AL3754" s="149"/>
      <c r="AM3754" s="149"/>
      <c r="AN3754" s="149"/>
      <c r="AO3754" s="128"/>
      <c r="AP3754" s="128"/>
      <c r="AQ3754" s="128"/>
      <c r="AR3754" s="128"/>
      <c r="AS3754" s="128"/>
      <c r="AT3754" s="128"/>
      <c r="AU3754" s="128"/>
      <c r="AV3754" s="128"/>
      <c r="AW3754" s="128"/>
      <c r="AX3754" s="128"/>
      <c r="AY3754" s="128"/>
      <c r="AZ3754" s="128"/>
      <c r="BA3754" s="128"/>
      <c r="BB3754" s="128"/>
      <c r="BC3754" s="128"/>
      <c r="BD3754" s="128"/>
      <c r="BE3754" s="128"/>
      <c r="BF3754" s="128"/>
      <c r="BG3754" s="128"/>
      <c r="BH3754" s="128"/>
      <c r="BI3754" s="128"/>
      <c r="BJ3754" s="128"/>
      <c r="BK3754" s="128"/>
      <c r="BL3754" s="128"/>
      <c r="BM3754" s="151"/>
      <c r="BN3754" s="128"/>
      <c r="BO3754" s="128"/>
      <c r="BP3754" s="128"/>
      <c r="BQ3754" s="128"/>
      <c r="BR3754" s="128"/>
      <c r="BS3754" s="128"/>
      <c r="BT3754" s="128"/>
      <c r="BU3754" s="128"/>
      <c r="BV3754" s="128"/>
      <c r="BW3754" s="128"/>
      <c r="BX3754" s="128"/>
      <c r="BY3754" s="128"/>
      <c r="BZ3754" s="128"/>
      <c r="CA3754" s="128"/>
      <c r="CB3754" s="128"/>
      <c r="CC3754" s="128"/>
      <c r="CD3754" s="128"/>
      <c r="CE3754" s="128"/>
      <c r="CF3754" s="128"/>
      <c r="CG3754" s="128"/>
      <c r="CI3754" s="128"/>
      <c r="CJ3754" s="128"/>
      <c r="CK3754" s="128"/>
      <c r="CL3754" s="128"/>
      <c r="CM3754" s="128"/>
      <c r="CN3754" s="128"/>
      <c r="CO3754" s="128"/>
      <c r="CP3754" s="128"/>
      <c r="CQ3754" s="128"/>
      <c r="CR3754" s="128"/>
      <c r="CS3754" s="128"/>
      <c r="CT3754" s="128"/>
      <c r="CU3754" s="128"/>
      <c r="CV3754" s="128"/>
      <c r="CW3754" s="128"/>
      <c r="CX3754" s="128"/>
      <c r="CY3754" s="128"/>
      <c r="CZ3754" s="165"/>
    </row>
    <row r="3755" spans="1:104">
      <c r="A3755" s="149"/>
      <c r="B3755" s="149"/>
      <c r="C3755" s="150"/>
      <c r="D3755" s="102"/>
      <c r="E3755" s="149"/>
      <c r="F3755" s="149"/>
      <c r="G3755" s="149"/>
      <c r="H3755" s="149"/>
      <c r="I3755" s="149"/>
      <c r="J3755" s="149"/>
      <c r="K3755" s="149"/>
      <c r="L3755" s="149"/>
      <c r="M3755" s="149"/>
      <c r="N3755" s="149"/>
      <c r="O3755" s="149"/>
      <c r="P3755" s="149"/>
      <c r="Q3755" s="149"/>
      <c r="R3755" s="149"/>
      <c r="S3755" s="149"/>
      <c r="T3755" s="149"/>
      <c r="U3755" s="149"/>
      <c r="V3755" s="149"/>
      <c r="W3755" s="149"/>
      <c r="X3755" s="149"/>
      <c r="Y3755" s="149"/>
      <c r="Z3755" s="149"/>
      <c r="AA3755" s="149"/>
      <c r="AB3755" s="149"/>
      <c r="AC3755" s="149"/>
      <c r="AD3755" s="149"/>
      <c r="AE3755" s="149"/>
      <c r="AF3755" s="149"/>
      <c r="AG3755" s="149"/>
      <c r="AH3755" s="149"/>
      <c r="AI3755" s="149"/>
      <c r="AJ3755" s="149"/>
      <c r="AK3755" s="149"/>
      <c r="AL3755" s="149"/>
      <c r="AM3755" s="149"/>
      <c r="AN3755" s="149"/>
      <c r="AO3755" s="128"/>
      <c r="AP3755" s="128"/>
      <c r="AQ3755" s="128"/>
      <c r="AR3755" s="128"/>
      <c r="AS3755" s="128"/>
      <c r="AT3755" s="128"/>
      <c r="AU3755" s="128"/>
      <c r="AV3755" s="128"/>
      <c r="AW3755" s="128"/>
      <c r="AX3755" s="128"/>
      <c r="AY3755" s="128"/>
      <c r="AZ3755" s="128"/>
      <c r="BA3755" s="128"/>
      <c r="BB3755" s="128"/>
      <c r="BC3755" s="128"/>
      <c r="BD3755" s="128"/>
      <c r="BE3755" s="128"/>
      <c r="BF3755" s="128"/>
      <c r="BG3755" s="128"/>
      <c r="BH3755" s="128"/>
      <c r="BI3755" s="128"/>
      <c r="BJ3755" s="128"/>
      <c r="BK3755" s="128"/>
      <c r="BL3755" s="128"/>
      <c r="BM3755" s="151"/>
      <c r="BN3755" s="128"/>
      <c r="BO3755" s="128"/>
      <c r="BP3755" s="128"/>
      <c r="BQ3755" s="128"/>
      <c r="BR3755" s="128"/>
      <c r="BS3755" s="128"/>
      <c r="BT3755" s="128"/>
      <c r="BU3755" s="128"/>
      <c r="BV3755" s="128"/>
      <c r="BW3755" s="128"/>
      <c r="BX3755" s="128"/>
      <c r="BY3755" s="128"/>
      <c r="BZ3755" s="128"/>
      <c r="CA3755" s="128"/>
      <c r="CB3755" s="128"/>
      <c r="CC3755" s="128"/>
      <c r="CD3755" s="128"/>
      <c r="CE3755" s="128"/>
      <c r="CF3755" s="128"/>
      <c r="CG3755" s="128"/>
      <c r="CI3755" s="128"/>
      <c r="CJ3755" s="128"/>
      <c r="CK3755" s="128"/>
      <c r="CL3755" s="128"/>
      <c r="CM3755" s="128"/>
      <c r="CN3755" s="128"/>
      <c r="CO3755" s="128"/>
      <c r="CP3755" s="128"/>
      <c r="CQ3755" s="128"/>
      <c r="CR3755" s="128"/>
      <c r="CS3755" s="128"/>
      <c r="CT3755" s="128"/>
      <c r="CU3755" s="128"/>
      <c r="CV3755" s="128"/>
      <c r="CW3755" s="128"/>
      <c r="CX3755" s="128"/>
      <c r="CY3755" s="128"/>
      <c r="CZ3755" s="165"/>
    </row>
    <row r="3756" spans="1:104">
      <c r="A3756" s="149"/>
      <c r="B3756" s="149"/>
      <c r="C3756" s="150"/>
      <c r="D3756" s="102"/>
      <c r="E3756" s="149"/>
      <c r="F3756" s="149"/>
      <c r="G3756" s="149"/>
      <c r="H3756" s="149"/>
      <c r="I3756" s="149"/>
      <c r="J3756" s="149"/>
      <c r="K3756" s="149"/>
      <c r="L3756" s="149"/>
      <c r="M3756" s="149"/>
      <c r="N3756" s="149"/>
      <c r="O3756" s="149"/>
      <c r="P3756" s="149"/>
      <c r="Q3756" s="149"/>
      <c r="R3756" s="149"/>
      <c r="S3756" s="149"/>
      <c r="T3756" s="149"/>
      <c r="U3756" s="149"/>
      <c r="V3756" s="149"/>
      <c r="W3756" s="149"/>
      <c r="X3756" s="149"/>
      <c r="Y3756" s="149"/>
      <c r="Z3756" s="149"/>
      <c r="AA3756" s="149"/>
      <c r="AB3756" s="149"/>
      <c r="AC3756" s="149"/>
      <c r="AD3756" s="149"/>
      <c r="AE3756" s="149"/>
      <c r="AF3756" s="149"/>
      <c r="AG3756" s="149"/>
      <c r="AH3756" s="149"/>
      <c r="AI3756" s="149"/>
      <c r="AJ3756" s="149"/>
      <c r="AK3756" s="149"/>
      <c r="AL3756" s="149"/>
      <c r="AM3756" s="149"/>
      <c r="AN3756" s="149"/>
      <c r="AO3756" s="128"/>
      <c r="AP3756" s="128"/>
      <c r="AQ3756" s="128"/>
      <c r="AR3756" s="128"/>
      <c r="AS3756" s="128"/>
      <c r="AT3756" s="128"/>
      <c r="AU3756" s="128"/>
      <c r="AV3756" s="128"/>
      <c r="AW3756" s="128"/>
      <c r="AX3756" s="128"/>
      <c r="AY3756" s="128"/>
      <c r="AZ3756" s="128"/>
      <c r="BA3756" s="128"/>
      <c r="BB3756" s="128"/>
      <c r="BC3756" s="128"/>
      <c r="BD3756" s="128"/>
      <c r="BE3756" s="128"/>
      <c r="BF3756" s="128"/>
      <c r="BG3756" s="128"/>
      <c r="BH3756" s="128"/>
      <c r="BI3756" s="128"/>
      <c r="BJ3756" s="128"/>
      <c r="BK3756" s="128"/>
      <c r="BL3756" s="128"/>
      <c r="BM3756" s="151"/>
      <c r="BN3756" s="128"/>
      <c r="BO3756" s="128"/>
      <c r="BP3756" s="128"/>
      <c r="BQ3756" s="128"/>
      <c r="BR3756" s="128"/>
      <c r="BS3756" s="128"/>
      <c r="BT3756" s="128"/>
      <c r="BU3756" s="128"/>
      <c r="BV3756" s="128"/>
      <c r="BW3756" s="128"/>
      <c r="BX3756" s="128"/>
      <c r="BY3756" s="128"/>
      <c r="BZ3756" s="128"/>
      <c r="CA3756" s="128"/>
      <c r="CB3756" s="128"/>
      <c r="CC3756" s="128"/>
      <c r="CD3756" s="128"/>
      <c r="CE3756" s="128"/>
      <c r="CF3756" s="128"/>
      <c r="CG3756" s="128"/>
      <c r="CI3756" s="128"/>
      <c r="CJ3756" s="128"/>
      <c r="CK3756" s="128"/>
      <c r="CL3756" s="128"/>
      <c r="CM3756" s="128"/>
      <c r="CN3756" s="128"/>
      <c r="CO3756" s="128"/>
      <c r="CP3756" s="128"/>
      <c r="CQ3756" s="128"/>
      <c r="CR3756" s="128"/>
      <c r="CS3756" s="128"/>
      <c r="CT3756" s="128"/>
      <c r="CU3756" s="128"/>
      <c r="CV3756" s="128"/>
      <c r="CW3756" s="128"/>
      <c r="CX3756" s="128"/>
      <c r="CY3756" s="128"/>
      <c r="CZ3756" s="165"/>
    </row>
    <row r="3757" spans="1:104">
      <c r="A3757" s="149"/>
      <c r="B3757" s="149"/>
      <c r="C3757" s="150"/>
      <c r="D3757" s="102"/>
      <c r="E3757" s="149"/>
      <c r="F3757" s="149"/>
      <c r="G3757" s="149"/>
      <c r="H3757" s="149"/>
      <c r="I3757" s="149"/>
      <c r="J3757" s="149"/>
      <c r="K3757" s="149"/>
      <c r="L3757" s="149"/>
      <c r="M3757" s="149"/>
      <c r="N3757" s="149"/>
      <c r="O3757" s="149"/>
      <c r="P3757" s="149"/>
      <c r="Q3757" s="149"/>
      <c r="R3757" s="149"/>
      <c r="S3757" s="149"/>
      <c r="T3757" s="149"/>
      <c r="U3757" s="149"/>
      <c r="V3757" s="149"/>
      <c r="W3757" s="149"/>
      <c r="X3757" s="149"/>
      <c r="Y3757" s="149"/>
      <c r="Z3757" s="149"/>
      <c r="AA3757" s="149"/>
      <c r="AB3757" s="149"/>
      <c r="AC3757" s="149"/>
      <c r="AD3757" s="149"/>
      <c r="AE3757" s="149"/>
      <c r="AF3757" s="149"/>
      <c r="AG3757" s="149"/>
      <c r="AH3757" s="149"/>
      <c r="AI3757" s="149"/>
      <c r="AJ3757" s="149"/>
      <c r="AK3757" s="149"/>
      <c r="AL3757" s="149"/>
      <c r="AM3757" s="149"/>
      <c r="AN3757" s="149"/>
      <c r="AO3757" s="128"/>
      <c r="AP3757" s="128"/>
      <c r="AQ3757" s="128"/>
      <c r="AR3757" s="128"/>
      <c r="AS3757" s="128"/>
      <c r="AT3757" s="128"/>
      <c r="AU3757" s="128"/>
      <c r="AV3757" s="128"/>
      <c r="AW3757" s="128"/>
      <c r="AX3757" s="128"/>
      <c r="AY3757" s="128"/>
      <c r="AZ3757" s="128"/>
      <c r="BA3757" s="128"/>
      <c r="BB3757" s="128"/>
      <c r="BC3757" s="128"/>
      <c r="BD3757" s="128"/>
      <c r="BE3757" s="128"/>
      <c r="BF3757" s="128"/>
      <c r="BG3757" s="128"/>
      <c r="BH3757" s="128"/>
      <c r="BI3757" s="128"/>
      <c r="BJ3757" s="128"/>
      <c r="BK3757" s="128"/>
      <c r="BL3757" s="128"/>
      <c r="BM3757" s="151"/>
      <c r="BN3757" s="128"/>
      <c r="BO3757" s="128"/>
      <c r="BP3757" s="128"/>
      <c r="BQ3757" s="128"/>
      <c r="BR3757" s="128"/>
      <c r="BS3757" s="128"/>
      <c r="BT3757" s="128"/>
      <c r="BU3757" s="128"/>
      <c r="BV3757" s="128"/>
      <c r="BW3757" s="128"/>
      <c r="BX3757" s="128"/>
      <c r="BY3757" s="128"/>
      <c r="BZ3757" s="128"/>
      <c r="CA3757" s="128"/>
      <c r="CB3757" s="128"/>
      <c r="CC3757" s="128"/>
      <c r="CD3757" s="128"/>
      <c r="CE3757" s="128"/>
      <c r="CF3757" s="128"/>
      <c r="CG3757" s="128"/>
      <c r="CI3757" s="128"/>
      <c r="CJ3757" s="128"/>
      <c r="CK3757" s="128"/>
      <c r="CL3757" s="128"/>
      <c r="CM3757" s="128"/>
      <c r="CN3757" s="128"/>
      <c r="CO3757" s="128"/>
      <c r="CP3757" s="128"/>
      <c r="CQ3757" s="128"/>
      <c r="CR3757" s="128"/>
      <c r="CS3757" s="128"/>
      <c r="CT3757" s="128"/>
      <c r="CU3757" s="128"/>
      <c r="CV3757" s="128"/>
      <c r="CW3757" s="128"/>
      <c r="CX3757" s="128"/>
      <c r="CY3757" s="128"/>
      <c r="CZ3757" s="165"/>
    </row>
    <row r="3758" spans="1:104">
      <c r="A3758" s="149"/>
      <c r="B3758" s="149"/>
      <c r="C3758" s="150"/>
      <c r="D3758" s="102"/>
      <c r="E3758" s="149"/>
      <c r="F3758" s="149"/>
      <c r="G3758" s="149"/>
      <c r="H3758" s="149"/>
      <c r="I3758" s="149"/>
      <c r="J3758" s="149"/>
      <c r="K3758" s="149"/>
      <c r="L3758" s="149"/>
      <c r="M3758" s="149"/>
      <c r="N3758" s="149"/>
      <c r="O3758" s="149"/>
      <c r="P3758" s="149"/>
      <c r="Q3758" s="149"/>
      <c r="R3758" s="149"/>
      <c r="S3758" s="149"/>
      <c r="T3758" s="149"/>
      <c r="U3758" s="149"/>
      <c r="V3758" s="149"/>
      <c r="W3758" s="149"/>
      <c r="X3758" s="149"/>
      <c r="Y3758" s="149"/>
      <c r="Z3758" s="149"/>
      <c r="AA3758" s="149"/>
      <c r="AB3758" s="149"/>
      <c r="AC3758" s="149"/>
      <c r="AD3758" s="149"/>
      <c r="AE3758" s="149"/>
      <c r="AF3758" s="149"/>
      <c r="AG3758" s="149"/>
      <c r="AH3758" s="149"/>
      <c r="AI3758" s="149"/>
      <c r="AJ3758" s="149"/>
      <c r="AK3758" s="149"/>
      <c r="AL3758" s="149"/>
      <c r="AM3758" s="149"/>
      <c r="AN3758" s="149"/>
      <c r="AO3758" s="128"/>
      <c r="AP3758" s="128"/>
      <c r="AQ3758" s="128"/>
      <c r="AR3758" s="128"/>
      <c r="AS3758" s="128"/>
      <c r="AT3758" s="128"/>
      <c r="AU3758" s="128"/>
      <c r="AV3758" s="128"/>
      <c r="AW3758" s="128"/>
      <c r="AX3758" s="128"/>
      <c r="AY3758" s="128"/>
      <c r="AZ3758" s="128"/>
      <c r="BA3758" s="128"/>
      <c r="BB3758" s="128"/>
      <c r="BC3758" s="128"/>
      <c r="BD3758" s="128"/>
      <c r="BE3758" s="128"/>
      <c r="BF3758" s="128"/>
      <c r="BG3758" s="128"/>
      <c r="BH3758" s="128"/>
      <c r="BI3758" s="128"/>
      <c r="BJ3758" s="128"/>
      <c r="BK3758" s="128"/>
      <c r="BL3758" s="128"/>
      <c r="BM3758" s="151"/>
      <c r="BN3758" s="128"/>
      <c r="BO3758" s="128"/>
      <c r="BP3758" s="128"/>
      <c r="BQ3758" s="128"/>
      <c r="BR3758" s="128"/>
      <c r="BS3758" s="128"/>
      <c r="BT3758" s="128"/>
      <c r="BU3758" s="128"/>
      <c r="BV3758" s="128"/>
      <c r="BW3758" s="128"/>
      <c r="BX3758" s="128"/>
      <c r="BY3758" s="128"/>
      <c r="BZ3758" s="128"/>
      <c r="CA3758" s="128"/>
      <c r="CB3758" s="128"/>
      <c r="CC3758" s="128"/>
      <c r="CD3758" s="128"/>
      <c r="CE3758" s="128"/>
      <c r="CF3758" s="128"/>
      <c r="CG3758" s="128"/>
      <c r="CI3758" s="128"/>
      <c r="CJ3758" s="128"/>
      <c r="CK3758" s="128"/>
      <c r="CL3758" s="128"/>
      <c r="CM3758" s="128"/>
      <c r="CN3758" s="128"/>
      <c r="CO3758" s="128"/>
      <c r="CP3758" s="128"/>
      <c r="CQ3758" s="128"/>
      <c r="CR3758" s="128"/>
      <c r="CS3758" s="128"/>
      <c r="CT3758" s="128"/>
      <c r="CU3758" s="128"/>
      <c r="CV3758" s="128"/>
      <c r="CW3758" s="128"/>
      <c r="CX3758" s="128"/>
      <c r="CY3758" s="128"/>
      <c r="CZ3758" s="165"/>
    </row>
    <row r="3759" spans="1:104">
      <c r="A3759" s="149"/>
      <c r="B3759" s="149"/>
      <c r="C3759" s="150"/>
      <c r="D3759" s="102"/>
      <c r="E3759" s="149"/>
      <c r="F3759" s="149"/>
      <c r="G3759" s="149"/>
      <c r="H3759" s="149"/>
      <c r="I3759" s="149"/>
      <c r="J3759" s="149"/>
      <c r="K3759" s="149"/>
      <c r="L3759" s="149"/>
      <c r="M3759" s="149"/>
      <c r="N3759" s="149"/>
      <c r="O3759" s="149"/>
      <c r="P3759" s="149"/>
      <c r="Q3759" s="149"/>
      <c r="R3759" s="149"/>
      <c r="S3759" s="149"/>
      <c r="T3759" s="149"/>
      <c r="U3759" s="149"/>
      <c r="V3759" s="149"/>
      <c r="W3759" s="149"/>
      <c r="X3759" s="149"/>
      <c r="Y3759" s="149"/>
      <c r="Z3759" s="149"/>
      <c r="AA3759" s="149"/>
      <c r="AB3759" s="149"/>
      <c r="AC3759" s="149"/>
      <c r="AD3759" s="149"/>
      <c r="AE3759" s="149"/>
      <c r="AF3759" s="149"/>
      <c r="AG3759" s="149"/>
      <c r="AH3759" s="149"/>
      <c r="AI3759" s="149"/>
      <c r="AJ3759" s="149"/>
      <c r="AK3759" s="149"/>
      <c r="AL3759" s="149"/>
      <c r="AM3759" s="149"/>
      <c r="AN3759" s="149"/>
      <c r="AO3759" s="128"/>
      <c r="AP3759" s="128"/>
      <c r="AQ3759" s="128"/>
      <c r="AR3759" s="128"/>
      <c r="AS3759" s="128"/>
      <c r="AT3759" s="128"/>
      <c r="AU3759" s="128"/>
      <c r="AV3759" s="128"/>
      <c r="AW3759" s="128"/>
      <c r="AX3759" s="128"/>
      <c r="AY3759" s="128"/>
      <c r="AZ3759" s="128"/>
      <c r="BA3759" s="128"/>
      <c r="BB3759" s="128"/>
      <c r="BC3759" s="128"/>
      <c r="BD3759" s="128"/>
      <c r="BE3759" s="128"/>
      <c r="BF3759" s="128"/>
      <c r="BG3759" s="128"/>
      <c r="BH3759" s="128"/>
      <c r="BI3759" s="128"/>
      <c r="BJ3759" s="128"/>
      <c r="BK3759" s="128"/>
      <c r="BL3759" s="128"/>
      <c r="BM3759" s="151"/>
      <c r="BN3759" s="128"/>
      <c r="BO3759" s="128"/>
      <c r="BP3759" s="128"/>
      <c r="BQ3759" s="128"/>
      <c r="BR3759" s="128"/>
      <c r="BS3759" s="128"/>
      <c r="BT3759" s="128"/>
      <c r="BU3759" s="128"/>
      <c r="BV3759" s="128"/>
      <c r="BW3759" s="128"/>
      <c r="BX3759" s="128"/>
      <c r="BY3759" s="128"/>
      <c r="BZ3759" s="128"/>
      <c r="CA3759" s="128"/>
      <c r="CB3759" s="128"/>
      <c r="CC3759" s="128"/>
      <c r="CD3759" s="128"/>
      <c r="CE3759" s="128"/>
      <c r="CF3759" s="128"/>
      <c r="CG3759" s="128"/>
      <c r="CI3759" s="128"/>
      <c r="CJ3759" s="128"/>
      <c r="CK3759" s="128"/>
      <c r="CL3759" s="128"/>
      <c r="CM3759" s="128"/>
      <c r="CN3759" s="128"/>
      <c r="CO3759" s="128"/>
      <c r="CP3759" s="128"/>
      <c r="CQ3759" s="128"/>
      <c r="CR3759" s="128"/>
      <c r="CS3759" s="128"/>
      <c r="CT3759" s="128"/>
      <c r="CU3759" s="128"/>
      <c r="CV3759" s="128"/>
      <c r="CW3759" s="128"/>
      <c r="CX3759" s="128"/>
      <c r="CY3759" s="128"/>
      <c r="CZ3759" s="165"/>
    </row>
    <row r="3760" spans="1:104">
      <c r="A3760" s="149"/>
      <c r="B3760" s="149"/>
      <c r="C3760" s="150"/>
      <c r="D3760" s="102"/>
      <c r="E3760" s="149"/>
      <c r="F3760" s="149"/>
      <c r="G3760" s="149"/>
      <c r="H3760" s="149"/>
      <c r="I3760" s="149"/>
      <c r="J3760" s="149"/>
      <c r="K3760" s="149"/>
      <c r="L3760" s="149"/>
      <c r="M3760" s="149"/>
      <c r="N3760" s="149"/>
      <c r="O3760" s="149"/>
      <c r="P3760" s="149"/>
      <c r="Q3760" s="149"/>
      <c r="R3760" s="149"/>
      <c r="S3760" s="149"/>
      <c r="T3760" s="149"/>
      <c r="U3760" s="149"/>
      <c r="V3760" s="149"/>
      <c r="W3760" s="149"/>
      <c r="X3760" s="149"/>
      <c r="Y3760" s="149"/>
      <c r="Z3760" s="149"/>
      <c r="AA3760" s="149"/>
      <c r="AB3760" s="149"/>
      <c r="AC3760" s="149"/>
      <c r="AD3760" s="149"/>
      <c r="AE3760" s="149"/>
      <c r="AF3760" s="149"/>
      <c r="AG3760" s="149"/>
      <c r="AH3760" s="149"/>
      <c r="AI3760" s="149"/>
      <c r="AJ3760" s="149"/>
      <c r="AK3760" s="149"/>
      <c r="AL3760" s="149"/>
      <c r="AM3760" s="149"/>
      <c r="AN3760" s="149"/>
      <c r="AO3760" s="128"/>
      <c r="AP3760" s="128"/>
      <c r="AQ3760" s="128"/>
      <c r="AR3760" s="128"/>
      <c r="AS3760" s="128"/>
      <c r="AT3760" s="128"/>
      <c r="AU3760" s="128"/>
      <c r="AV3760" s="128"/>
      <c r="AW3760" s="128"/>
      <c r="AX3760" s="128"/>
      <c r="AY3760" s="128"/>
      <c r="AZ3760" s="128"/>
      <c r="BA3760" s="128"/>
      <c r="BB3760" s="128"/>
      <c r="BC3760" s="128"/>
      <c r="BD3760" s="128"/>
      <c r="BE3760" s="128"/>
      <c r="BF3760" s="128"/>
      <c r="BG3760" s="128"/>
      <c r="BH3760" s="128"/>
      <c r="BI3760" s="128"/>
      <c r="BJ3760" s="128"/>
      <c r="BK3760" s="128"/>
      <c r="BL3760" s="128"/>
      <c r="BM3760" s="151"/>
      <c r="BN3760" s="128"/>
      <c r="BO3760" s="128"/>
      <c r="BP3760" s="128"/>
      <c r="BQ3760" s="128"/>
      <c r="BR3760" s="128"/>
      <c r="BS3760" s="128"/>
      <c r="BT3760" s="128"/>
      <c r="BU3760" s="128"/>
      <c r="BV3760" s="128"/>
      <c r="BW3760" s="128"/>
      <c r="BX3760" s="128"/>
      <c r="BY3760" s="128"/>
      <c r="BZ3760" s="128"/>
      <c r="CA3760" s="128"/>
      <c r="CB3760" s="128"/>
      <c r="CC3760" s="128"/>
      <c r="CD3760" s="128"/>
      <c r="CE3760" s="128"/>
      <c r="CF3760" s="128"/>
      <c r="CG3760" s="128"/>
      <c r="CI3760" s="128"/>
      <c r="CJ3760" s="128"/>
      <c r="CK3760" s="128"/>
      <c r="CL3760" s="128"/>
      <c r="CM3760" s="128"/>
      <c r="CN3760" s="128"/>
      <c r="CO3760" s="128"/>
      <c r="CP3760" s="128"/>
      <c r="CQ3760" s="128"/>
      <c r="CR3760" s="128"/>
      <c r="CS3760" s="128"/>
      <c r="CT3760" s="128"/>
      <c r="CU3760" s="128"/>
      <c r="CV3760" s="128"/>
      <c r="CW3760" s="128"/>
      <c r="CX3760" s="128"/>
      <c r="CY3760" s="128"/>
      <c r="CZ3760" s="165"/>
    </row>
    <row r="3761" spans="1:104">
      <c r="A3761" s="149"/>
      <c r="B3761" s="149"/>
      <c r="C3761" s="150"/>
      <c r="D3761" s="102"/>
      <c r="E3761" s="149"/>
      <c r="F3761" s="149"/>
      <c r="G3761" s="149"/>
      <c r="H3761" s="149"/>
      <c r="I3761" s="149"/>
      <c r="J3761" s="149"/>
      <c r="K3761" s="149"/>
      <c r="L3761" s="149"/>
      <c r="M3761" s="149"/>
      <c r="N3761" s="149"/>
      <c r="O3761" s="149"/>
      <c r="P3761" s="149"/>
      <c r="Q3761" s="149"/>
      <c r="R3761" s="149"/>
      <c r="S3761" s="149"/>
      <c r="T3761" s="149"/>
      <c r="U3761" s="149"/>
      <c r="V3761" s="149"/>
      <c r="W3761" s="149"/>
      <c r="X3761" s="149"/>
      <c r="Y3761" s="149"/>
      <c r="Z3761" s="149"/>
      <c r="AA3761" s="149"/>
      <c r="AB3761" s="149"/>
      <c r="AC3761" s="149"/>
      <c r="AD3761" s="149"/>
      <c r="AE3761" s="149"/>
      <c r="AF3761" s="149"/>
      <c r="AG3761" s="149"/>
      <c r="AH3761" s="149"/>
      <c r="AI3761" s="149"/>
      <c r="AJ3761" s="149"/>
      <c r="AK3761" s="149"/>
      <c r="AL3761" s="149"/>
      <c r="AM3761" s="149"/>
      <c r="AN3761" s="149"/>
      <c r="AO3761" s="128"/>
      <c r="AP3761" s="128"/>
      <c r="AQ3761" s="128"/>
      <c r="AR3761" s="128"/>
      <c r="AS3761" s="128"/>
      <c r="AT3761" s="128"/>
      <c r="AU3761" s="128"/>
      <c r="AV3761" s="128"/>
      <c r="AW3761" s="128"/>
      <c r="AX3761" s="128"/>
      <c r="AY3761" s="128"/>
      <c r="AZ3761" s="128"/>
      <c r="BA3761" s="128"/>
      <c r="BB3761" s="128"/>
      <c r="BC3761" s="128"/>
      <c r="BD3761" s="128"/>
      <c r="BE3761" s="128"/>
      <c r="BF3761" s="128"/>
      <c r="BG3761" s="128"/>
      <c r="BH3761" s="128"/>
      <c r="BI3761" s="128"/>
      <c r="BJ3761" s="128"/>
      <c r="BK3761" s="128"/>
      <c r="BL3761" s="128"/>
      <c r="BM3761" s="151"/>
      <c r="BN3761" s="128"/>
      <c r="BO3761" s="128"/>
      <c r="BP3761" s="128"/>
      <c r="BQ3761" s="128"/>
      <c r="BR3761" s="128"/>
      <c r="BS3761" s="128"/>
      <c r="BT3761" s="128"/>
      <c r="BU3761" s="128"/>
      <c r="BV3761" s="128"/>
      <c r="BW3761" s="128"/>
      <c r="BX3761" s="128"/>
      <c r="BY3761" s="128"/>
      <c r="BZ3761" s="128"/>
      <c r="CA3761" s="128"/>
      <c r="CB3761" s="128"/>
      <c r="CC3761" s="128"/>
      <c r="CD3761" s="128"/>
      <c r="CE3761" s="128"/>
      <c r="CF3761" s="128"/>
      <c r="CG3761" s="128"/>
      <c r="CI3761" s="128"/>
      <c r="CJ3761" s="128"/>
      <c r="CK3761" s="128"/>
      <c r="CL3761" s="128"/>
      <c r="CM3761" s="128"/>
      <c r="CN3761" s="128"/>
      <c r="CO3761" s="128"/>
      <c r="CP3761" s="128"/>
      <c r="CQ3761" s="128"/>
      <c r="CR3761" s="128"/>
      <c r="CS3761" s="128"/>
      <c r="CT3761" s="128"/>
      <c r="CU3761" s="128"/>
      <c r="CV3761" s="128"/>
      <c r="CW3761" s="128"/>
      <c r="CX3761" s="128"/>
      <c r="CY3761" s="128"/>
      <c r="CZ3761" s="165"/>
    </row>
    <row r="3762" spans="1:104">
      <c r="A3762" s="149"/>
      <c r="B3762" s="149"/>
      <c r="C3762" s="150"/>
      <c r="D3762" s="102"/>
      <c r="E3762" s="149"/>
      <c r="F3762" s="149"/>
      <c r="G3762" s="149"/>
      <c r="H3762" s="149"/>
      <c r="I3762" s="149"/>
      <c r="J3762" s="149"/>
      <c r="K3762" s="149"/>
      <c r="L3762" s="149"/>
      <c r="M3762" s="149"/>
      <c r="N3762" s="149"/>
      <c r="O3762" s="149"/>
      <c r="P3762" s="149"/>
      <c r="Q3762" s="149"/>
      <c r="R3762" s="149"/>
      <c r="S3762" s="149"/>
      <c r="T3762" s="149"/>
      <c r="U3762" s="149"/>
      <c r="V3762" s="149"/>
      <c r="W3762" s="149"/>
      <c r="X3762" s="149"/>
      <c r="Y3762" s="149"/>
      <c r="Z3762" s="149"/>
      <c r="AA3762" s="149"/>
      <c r="AB3762" s="149"/>
      <c r="AC3762" s="149"/>
      <c r="AD3762" s="149"/>
      <c r="AE3762" s="149"/>
      <c r="AF3762" s="149"/>
      <c r="AG3762" s="149"/>
      <c r="AH3762" s="149"/>
      <c r="AI3762" s="149"/>
      <c r="AJ3762" s="149"/>
      <c r="AK3762" s="149"/>
      <c r="AL3762" s="149"/>
      <c r="AM3762" s="149"/>
      <c r="AN3762" s="149"/>
      <c r="AO3762" s="128"/>
      <c r="AP3762" s="128"/>
      <c r="AQ3762" s="128"/>
      <c r="AR3762" s="128"/>
      <c r="AS3762" s="128"/>
      <c r="AT3762" s="128"/>
      <c r="AU3762" s="128"/>
      <c r="AV3762" s="128"/>
      <c r="AW3762" s="128"/>
      <c r="AX3762" s="128"/>
      <c r="AY3762" s="128"/>
      <c r="AZ3762" s="128"/>
      <c r="BA3762" s="128"/>
      <c r="BB3762" s="128"/>
      <c r="BC3762" s="128"/>
      <c r="BD3762" s="128"/>
      <c r="BE3762" s="128"/>
      <c r="BF3762" s="128"/>
      <c r="BG3762" s="128"/>
      <c r="BH3762" s="128"/>
      <c r="BI3762" s="128"/>
      <c r="BJ3762" s="128"/>
      <c r="BK3762" s="128"/>
      <c r="BL3762" s="128"/>
      <c r="BM3762" s="151"/>
      <c r="BN3762" s="128"/>
      <c r="BO3762" s="128"/>
      <c r="BP3762" s="128"/>
      <c r="BQ3762" s="128"/>
      <c r="BR3762" s="128"/>
      <c r="BS3762" s="128"/>
      <c r="BT3762" s="128"/>
      <c r="BU3762" s="128"/>
      <c r="BV3762" s="128"/>
      <c r="BW3762" s="128"/>
      <c r="BX3762" s="128"/>
      <c r="BY3762" s="128"/>
      <c r="BZ3762" s="128"/>
      <c r="CA3762" s="128"/>
      <c r="CB3762" s="128"/>
      <c r="CC3762" s="128"/>
      <c r="CD3762" s="128"/>
      <c r="CE3762" s="128"/>
      <c r="CF3762" s="128"/>
      <c r="CG3762" s="128"/>
      <c r="CI3762" s="128"/>
      <c r="CJ3762" s="128"/>
      <c r="CK3762" s="128"/>
      <c r="CL3762" s="128"/>
      <c r="CM3762" s="128"/>
      <c r="CN3762" s="128"/>
      <c r="CO3762" s="128"/>
      <c r="CP3762" s="128"/>
      <c r="CQ3762" s="128"/>
      <c r="CR3762" s="128"/>
      <c r="CS3762" s="128"/>
      <c r="CT3762" s="128"/>
      <c r="CU3762" s="128"/>
      <c r="CV3762" s="128"/>
      <c r="CW3762" s="128"/>
      <c r="CX3762" s="128"/>
      <c r="CY3762" s="128"/>
      <c r="CZ3762" s="165"/>
    </row>
    <row r="3763" spans="1:104">
      <c r="A3763" s="149"/>
      <c r="B3763" s="149"/>
      <c r="C3763" s="150"/>
      <c r="D3763" s="102"/>
      <c r="E3763" s="149"/>
      <c r="F3763" s="149"/>
      <c r="G3763" s="149"/>
      <c r="H3763" s="149"/>
      <c r="I3763" s="149"/>
      <c r="J3763" s="149"/>
      <c r="K3763" s="149"/>
      <c r="L3763" s="149"/>
      <c r="M3763" s="149"/>
      <c r="N3763" s="149"/>
      <c r="O3763" s="149"/>
      <c r="P3763" s="149"/>
      <c r="Q3763" s="149"/>
      <c r="R3763" s="149"/>
      <c r="S3763" s="149"/>
      <c r="T3763" s="149"/>
      <c r="U3763" s="149"/>
      <c r="V3763" s="149"/>
      <c r="W3763" s="149"/>
      <c r="X3763" s="149"/>
      <c r="Y3763" s="149"/>
      <c r="Z3763" s="149"/>
      <c r="AA3763" s="149"/>
      <c r="AB3763" s="149"/>
      <c r="AC3763" s="149"/>
      <c r="AD3763" s="149"/>
      <c r="AE3763" s="149"/>
      <c r="AF3763" s="149"/>
      <c r="AG3763" s="149"/>
      <c r="AH3763" s="149"/>
      <c r="AI3763" s="149"/>
      <c r="AJ3763" s="149"/>
      <c r="AK3763" s="149"/>
      <c r="AL3763" s="149"/>
      <c r="AM3763" s="149"/>
      <c r="AN3763" s="149"/>
      <c r="AO3763" s="128"/>
      <c r="AP3763" s="128"/>
      <c r="AQ3763" s="128"/>
      <c r="AR3763" s="128"/>
      <c r="AS3763" s="128"/>
      <c r="AT3763" s="128"/>
      <c r="AU3763" s="128"/>
      <c r="AV3763" s="128"/>
      <c r="AW3763" s="128"/>
      <c r="AX3763" s="128"/>
      <c r="AY3763" s="128"/>
      <c r="AZ3763" s="128"/>
      <c r="BA3763" s="128"/>
      <c r="BB3763" s="128"/>
      <c r="BC3763" s="128"/>
      <c r="BD3763" s="128"/>
      <c r="BE3763" s="128"/>
      <c r="BF3763" s="128"/>
      <c r="BG3763" s="128"/>
      <c r="BH3763" s="128"/>
      <c r="BI3763" s="128"/>
      <c r="BJ3763" s="128"/>
      <c r="BK3763" s="128"/>
      <c r="BL3763" s="128"/>
      <c r="BM3763" s="151"/>
      <c r="BN3763" s="128"/>
      <c r="BO3763" s="128"/>
      <c r="BP3763" s="128"/>
      <c r="BQ3763" s="128"/>
      <c r="BR3763" s="128"/>
      <c r="BS3763" s="128"/>
      <c r="BT3763" s="128"/>
      <c r="BU3763" s="128"/>
      <c r="BV3763" s="128"/>
      <c r="BW3763" s="128"/>
      <c r="BX3763" s="128"/>
      <c r="BY3763" s="128"/>
      <c r="BZ3763" s="128"/>
      <c r="CA3763" s="128"/>
      <c r="CB3763" s="128"/>
      <c r="CC3763" s="128"/>
      <c r="CD3763" s="128"/>
      <c r="CE3763" s="128"/>
      <c r="CF3763" s="128"/>
      <c r="CG3763" s="128"/>
      <c r="CI3763" s="128"/>
      <c r="CJ3763" s="128"/>
      <c r="CK3763" s="128"/>
      <c r="CL3763" s="128"/>
      <c r="CM3763" s="128"/>
      <c r="CN3763" s="128"/>
      <c r="CO3763" s="128"/>
      <c r="CP3763" s="128"/>
      <c r="CQ3763" s="128"/>
      <c r="CR3763" s="128"/>
      <c r="CS3763" s="128"/>
      <c r="CT3763" s="128"/>
      <c r="CU3763" s="128"/>
      <c r="CV3763" s="128"/>
      <c r="CW3763" s="128"/>
      <c r="CX3763" s="128"/>
      <c r="CY3763" s="128"/>
      <c r="CZ3763" s="165"/>
    </row>
    <row r="3764" spans="1:104">
      <c r="A3764" s="149"/>
      <c r="B3764" s="149"/>
      <c r="C3764" s="150"/>
      <c r="D3764" s="102"/>
      <c r="E3764" s="149"/>
      <c r="F3764" s="149"/>
      <c r="G3764" s="149"/>
      <c r="H3764" s="149"/>
      <c r="I3764" s="149"/>
      <c r="J3764" s="149"/>
      <c r="K3764" s="149"/>
      <c r="L3764" s="149"/>
      <c r="M3764" s="149"/>
      <c r="N3764" s="149"/>
      <c r="O3764" s="149"/>
      <c r="P3764" s="149"/>
      <c r="Q3764" s="149"/>
      <c r="R3764" s="149"/>
      <c r="S3764" s="149"/>
      <c r="T3764" s="149"/>
      <c r="U3764" s="149"/>
      <c r="V3764" s="149"/>
      <c r="W3764" s="149"/>
      <c r="X3764" s="149"/>
      <c r="Y3764" s="149"/>
      <c r="Z3764" s="149"/>
      <c r="AA3764" s="149"/>
      <c r="AB3764" s="149"/>
      <c r="AC3764" s="149"/>
      <c r="AD3764" s="149"/>
      <c r="AE3764" s="149"/>
      <c r="AF3764" s="149"/>
      <c r="AG3764" s="149"/>
      <c r="AH3764" s="149"/>
      <c r="AI3764" s="149"/>
      <c r="AJ3764" s="149"/>
      <c r="AK3764" s="149"/>
      <c r="AL3764" s="149"/>
      <c r="AM3764" s="149"/>
      <c r="AN3764" s="149"/>
      <c r="AO3764" s="128"/>
      <c r="AP3764" s="128"/>
      <c r="AQ3764" s="128"/>
      <c r="AR3764" s="128"/>
      <c r="AS3764" s="128"/>
      <c r="AT3764" s="128"/>
      <c r="AU3764" s="128"/>
      <c r="AV3764" s="128"/>
      <c r="AW3764" s="128"/>
      <c r="AX3764" s="128"/>
      <c r="AY3764" s="128"/>
      <c r="AZ3764" s="128"/>
      <c r="BA3764" s="128"/>
      <c r="BB3764" s="128"/>
      <c r="BC3764" s="128"/>
      <c r="BD3764" s="128"/>
      <c r="BE3764" s="128"/>
      <c r="BF3764" s="128"/>
      <c r="BG3764" s="128"/>
      <c r="BH3764" s="128"/>
      <c r="BI3764" s="128"/>
      <c r="BJ3764" s="128"/>
      <c r="BK3764" s="128"/>
      <c r="BL3764" s="128"/>
      <c r="BM3764" s="151"/>
      <c r="BN3764" s="128"/>
      <c r="BO3764" s="128"/>
      <c r="BP3764" s="128"/>
      <c r="BQ3764" s="128"/>
      <c r="BR3764" s="128"/>
      <c r="BS3764" s="128"/>
      <c r="BT3764" s="128"/>
      <c r="BU3764" s="128"/>
      <c r="BV3764" s="128"/>
      <c r="BW3764" s="128"/>
      <c r="BX3764" s="128"/>
      <c r="BY3764" s="128"/>
      <c r="BZ3764" s="128"/>
      <c r="CA3764" s="128"/>
      <c r="CB3764" s="128"/>
      <c r="CC3764" s="128"/>
      <c r="CD3764" s="128"/>
      <c r="CE3764" s="128"/>
      <c r="CF3764" s="128"/>
      <c r="CG3764" s="128"/>
      <c r="CI3764" s="128"/>
      <c r="CJ3764" s="128"/>
      <c r="CK3764" s="128"/>
      <c r="CL3764" s="128"/>
      <c r="CM3764" s="128"/>
      <c r="CN3764" s="128"/>
      <c r="CO3764" s="128"/>
      <c r="CP3764" s="128"/>
      <c r="CQ3764" s="128"/>
      <c r="CR3764" s="128"/>
      <c r="CS3764" s="128"/>
      <c r="CT3764" s="128"/>
      <c r="CU3764" s="128"/>
      <c r="CV3764" s="128"/>
      <c r="CW3764" s="128"/>
      <c r="CX3764" s="128"/>
      <c r="CY3764" s="128"/>
      <c r="CZ3764" s="165"/>
    </row>
    <row r="3765" spans="1:104">
      <c r="A3765" s="149"/>
      <c r="B3765" s="149"/>
      <c r="C3765" s="150"/>
      <c r="D3765" s="102"/>
      <c r="E3765" s="149"/>
      <c r="F3765" s="149"/>
      <c r="G3765" s="149"/>
      <c r="H3765" s="149"/>
      <c r="I3765" s="149"/>
      <c r="J3765" s="149"/>
      <c r="K3765" s="149"/>
      <c r="L3765" s="149"/>
      <c r="M3765" s="149"/>
      <c r="N3765" s="149"/>
      <c r="O3765" s="149"/>
      <c r="P3765" s="149"/>
      <c r="Q3765" s="149"/>
      <c r="R3765" s="149"/>
      <c r="S3765" s="149"/>
      <c r="T3765" s="149"/>
      <c r="U3765" s="149"/>
      <c r="V3765" s="149"/>
      <c r="W3765" s="149"/>
      <c r="X3765" s="149"/>
      <c r="Y3765" s="149"/>
      <c r="Z3765" s="149"/>
      <c r="AA3765" s="149"/>
      <c r="AB3765" s="149"/>
      <c r="AC3765" s="149"/>
      <c r="AD3765" s="149"/>
      <c r="AE3765" s="149"/>
      <c r="AF3765" s="149"/>
      <c r="AG3765" s="149"/>
      <c r="AH3765" s="149"/>
      <c r="AI3765" s="149"/>
      <c r="AJ3765" s="149"/>
      <c r="AK3765" s="149"/>
      <c r="AL3765" s="149"/>
      <c r="AM3765" s="149"/>
      <c r="AN3765" s="149"/>
      <c r="AO3765" s="128"/>
      <c r="AP3765" s="128"/>
      <c r="AQ3765" s="128"/>
      <c r="AR3765" s="128"/>
      <c r="AS3765" s="128"/>
      <c r="AT3765" s="128"/>
      <c r="AU3765" s="128"/>
      <c r="AV3765" s="128"/>
      <c r="AW3765" s="128"/>
      <c r="AX3765" s="128"/>
      <c r="AY3765" s="128"/>
      <c r="AZ3765" s="128"/>
      <c r="BA3765" s="128"/>
      <c r="BB3765" s="128"/>
      <c r="BC3765" s="128"/>
      <c r="BD3765" s="128"/>
      <c r="BE3765" s="128"/>
      <c r="BF3765" s="128"/>
      <c r="BG3765" s="128"/>
      <c r="BH3765" s="128"/>
      <c r="BI3765" s="128"/>
      <c r="BJ3765" s="128"/>
      <c r="BK3765" s="128"/>
      <c r="BL3765" s="128"/>
      <c r="BM3765" s="151"/>
      <c r="BN3765" s="128"/>
      <c r="BO3765" s="128"/>
      <c r="BP3765" s="128"/>
      <c r="BQ3765" s="128"/>
      <c r="BR3765" s="128"/>
      <c r="BS3765" s="128"/>
      <c r="BT3765" s="128"/>
      <c r="BU3765" s="128"/>
      <c r="BV3765" s="128"/>
      <c r="BW3765" s="128"/>
      <c r="BX3765" s="128"/>
      <c r="BY3765" s="128"/>
      <c r="BZ3765" s="128"/>
      <c r="CA3765" s="128"/>
      <c r="CB3765" s="128"/>
      <c r="CC3765" s="128"/>
      <c r="CD3765" s="128"/>
      <c r="CE3765" s="128"/>
      <c r="CF3765" s="128"/>
      <c r="CG3765" s="128"/>
      <c r="CI3765" s="128"/>
      <c r="CJ3765" s="128"/>
      <c r="CK3765" s="128"/>
      <c r="CL3765" s="128"/>
      <c r="CM3765" s="128"/>
      <c r="CN3765" s="128"/>
      <c r="CO3765" s="128"/>
      <c r="CP3765" s="128"/>
      <c r="CQ3765" s="128"/>
      <c r="CR3765" s="128"/>
      <c r="CS3765" s="128"/>
      <c r="CT3765" s="128"/>
      <c r="CU3765" s="128"/>
      <c r="CV3765" s="128"/>
      <c r="CW3765" s="128"/>
      <c r="CX3765" s="128"/>
      <c r="CY3765" s="128"/>
      <c r="CZ3765" s="165"/>
    </row>
    <row r="3766" spans="1:104">
      <c r="A3766" s="149"/>
      <c r="B3766" s="149"/>
      <c r="C3766" s="150"/>
      <c r="D3766" s="102"/>
      <c r="E3766" s="149"/>
      <c r="F3766" s="149"/>
      <c r="G3766" s="149"/>
      <c r="H3766" s="149"/>
      <c r="I3766" s="149"/>
      <c r="J3766" s="149"/>
      <c r="K3766" s="149"/>
      <c r="L3766" s="149"/>
      <c r="M3766" s="149"/>
      <c r="N3766" s="149"/>
      <c r="O3766" s="149"/>
      <c r="P3766" s="149"/>
      <c r="Q3766" s="149"/>
      <c r="R3766" s="149"/>
      <c r="S3766" s="149"/>
      <c r="T3766" s="149"/>
      <c r="U3766" s="149"/>
      <c r="V3766" s="149"/>
      <c r="W3766" s="149"/>
      <c r="X3766" s="149"/>
      <c r="Y3766" s="149"/>
      <c r="Z3766" s="149"/>
      <c r="AA3766" s="149"/>
      <c r="AB3766" s="149"/>
      <c r="AC3766" s="149"/>
      <c r="AD3766" s="149"/>
      <c r="AE3766" s="149"/>
      <c r="AF3766" s="149"/>
      <c r="AG3766" s="149"/>
      <c r="AH3766" s="149"/>
      <c r="AI3766" s="149"/>
      <c r="AJ3766" s="149"/>
      <c r="AK3766" s="149"/>
      <c r="AL3766" s="149"/>
      <c r="AM3766" s="149"/>
      <c r="AN3766" s="149"/>
      <c r="AO3766" s="128"/>
      <c r="AP3766" s="128"/>
      <c r="AQ3766" s="128"/>
      <c r="AR3766" s="128"/>
      <c r="AS3766" s="128"/>
      <c r="AT3766" s="128"/>
      <c r="AU3766" s="128"/>
      <c r="AV3766" s="128"/>
      <c r="AW3766" s="128"/>
      <c r="AX3766" s="128"/>
      <c r="AY3766" s="128"/>
      <c r="AZ3766" s="128"/>
      <c r="BA3766" s="128"/>
      <c r="BB3766" s="128"/>
      <c r="BC3766" s="128"/>
      <c r="BD3766" s="128"/>
      <c r="BE3766" s="128"/>
      <c r="BF3766" s="128"/>
      <c r="BG3766" s="128"/>
      <c r="BH3766" s="128"/>
      <c r="BI3766" s="128"/>
      <c r="BJ3766" s="128"/>
      <c r="BK3766" s="128"/>
      <c r="BL3766" s="128"/>
      <c r="BM3766" s="151"/>
      <c r="BN3766" s="128"/>
      <c r="BO3766" s="128"/>
      <c r="BP3766" s="128"/>
      <c r="BQ3766" s="128"/>
      <c r="BR3766" s="128"/>
      <c r="BS3766" s="128"/>
      <c r="BT3766" s="128"/>
      <c r="BU3766" s="128"/>
      <c r="BV3766" s="128"/>
      <c r="BW3766" s="128"/>
      <c r="BX3766" s="128"/>
      <c r="BY3766" s="128"/>
      <c r="BZ3766" s="128"/>
      <c r="CA3766" s="128"/>
      <c r="CB3766" s="128"/>
      <c r="CC3766" s="128"/>
      <c r="CD3766" s="128"/>
      <c r="CE3766" s="128"/>
      <c r="CF3766" s="128"/>
      <c r="CG3766" s="128"/>
      <c r="CI3766" s="128"/>
      <c r="CJ3766" s="128"/>
      <c r="CK3766" s="128"/>
      <c r="CL3766" s="128"/>
      <c r="CM3766" s="128"/>
      <c r="CN3766" s="128"/>
      <c r="CO3766" s="128"/>
      <c r="CP3766" s="128"/>
      <c r="CQ3766" s="128"/>
      <c r="CR3766" s="128"/>
      <c r="CS3766" s="128"/>
      <c r="CT3766" s="128"/>
      <c r="CU3766" s="128"/>
      <c r="CV3766" s="128"/>
      <c r="CW3766" s="128"/>
      <c r="CX3766" s="128"/>
      <c r="CY3766" s="128"/>
      <c r="CZ3766" s="165"/>
    </row>
    <row r="3767" spans="1:104">
      <c r="A3767" s="149"/>
      <c r="B3767" s="149"/>
      <c r="C3767" s="150"/>
      <c r="D3767" s="102"/>
      <c r="E3767" s="149"/>
      <c r="F3767" s="149"/>
      <c r="G3767" s="149"/>
      <c r="H3767" s="149"/>
      <c r="I3767" s="149"/>
      <c r="J3767" s="149"/>
      <c r="K3767" s="149"/>
      <c r="L3767" s="149"/>
      <c r="M3767" s="149"/>
      <c r="N3767" s="149"/>
      <c r="O3767" s="149"/>
      <c r="P3767" s="149"/>
      <c r="Q3767" s="149"/>
      <c r="R3767" s="149"/>
      <c r="S3767" s="149"/>
      <c r="T3767" s="149"/>
      <c r="U3767" s="149"/>
      <c r="V3767" s="149"/>
      <c r="W3767" s="149"/>
      <c r="X3767" s="149"/>
      <c r="Y3767" s="149"/>
      <c r="Z3767" s="149"/>
      <c r="AA3767" s="149"/>
      <c r="AB3767" s="149"/>
      <c r="AC3767" s="149"/>
      <c r="AD3767" s="149"/>
      <c r="AE3767" s="149"/>
      <c r="AF3767" s="149"/>
      <c r="AG3767" s="149"/>
      <c r="AH3767" s="149"/>
      <c r="AI3767" s="149"/>
      <c r="AJ3767" s="149"/>
      <c r="AK3767" s="149"/>
      <c r="AL3767" s="149"/>
      <c r="AM3767" s="149"/>
      <c r="AN3767" s="149"/>
      <c r="AO3767" s="128"/>
      <c r="AP3767" s="128"/>
      <c r="AQ3767" s="128"/>
      <c r="AR3767" s="128"/>
      <c r="AS3767" s="128"/>
      <c r="AT3767" s="128"/>
      <c r="AU3767" s="128"/>
      <c r="AV3767" s="128"/>
      <c r="AW3767" s="128"/>
      <c r="AX3767" s="128"/>
      <c r="AY3767" s="128"/>
      <c r="AZ3767" s="128"/>
      <c r="BA3767" s="128"/>
      <c r="BB3767" s="128"/>
      <c r="BC3767" s="128"/>
      <c r="BD3767" s="128"/>
      <c r="BE3767" s="128"/>
      <c r="BF3767" s="128"/>
      <c r="BG3767" s="128"/>
      <c r="BH3767" s="128"/>
      <c r="BI3767" s="128"/>
      <c r="BJ3767" s="128"/>
      <c r="BK3767" s="128"/>
      <c r="BL3767" s="128"/>
      <c r="BM3767" s="151"/>
      <c r="BN3767" s="128"/>
      <c r="BO3767" s="128"/>
      <c r="BP3767" s="128"/>
      <c r="BQ3767" s="128"/>
      <c r="BR3767" s="128"/>
      <c r="BS3767" s="128"/>
      <c r="BT3767" s="128"/>
      <c r="BU3767" s="128"/>
      <c r="BV3767" s="128"/>
      <c r="BW3767" s="128"/>
      <c r="BX3767" s="128"/>
      <c r="BY3767" s="128"/>
      <c r="BZ3767" s="128"/>
      <c r="CA3767" s="128"/>
      <c r="CB3767" s="128"/>
      <c r="CC3767" s="128"/>
      <c r="CD3767" s="128"/>
      <c r="CE3767" s="128"/>
      <c r="CF3767" s="128"/>
      <c r="CG3767" s="128"/>
      <c r="CI3767" s="128"/>
      <c r="CJ3767" s="128"/>
      <c r="CK3767" s="128"/>
      <c r="CL3767" s="128"/>
      <c r="CM3767" s="128"/>
      <c r="CN3767" s="128"/>
      <c r="CO3767" s="128"/>
      <c r="CP3767" s="128"/>
      <c r="CQ3767" s="128"/>
      <c r="CR3767" s="128"/>
      <c r="CS3767" s="128"/>
      <c r="CT3767" s="128"/>
      <c r="CU3767" s="128"/>
      <c r="CV3767" s="128"/>
      <c r="CW3767" s="128"/>
      <c r="CX3767" s="128"/>
      <c r="CY3767" s="128"/>
      <c r="CZ3767" s="165"/>
    </row>
    <row r="3768" spans="1:104">
      <c r="A3768" s="149"/>
      <c r="B3768" s="149"/>
      <c r="C3768" s="150"/>
      <c r="D3768" s="102"/>
      <c r="E3768" s="149"/>
      <c r="F3768" s="149"/>
      <c r="G3768" s="149"/>
      <c r="H3768" s="149"/>
      <c r="I3768" s="149"/>
      <c r="J3768" s="149"/>
      <c r="K3768" s="149"/>
      <c r="L3768" s="149"/>
      <c r="M3768" s="149"/>
      <c r="N3768" s="149"/>
      <c r="O3768" s="149"/>
      <c r="P3768" s="149"/>
      <c r="Q3768" s="149"/>
      <c r="R3768" s="149"/>
      <c r="S3768" s="149"/>
      <c r="T3768" s="149"/>
      <c r="U3768" s="149"/>
      <c r="V3768" s="149"/>
      <c r="W3768" s="149"/>
      <c r="X3768" s="149"/>
      <c r="Y3768" s="149"/>
      <c r="Z3768" s="149"/>
      <c r="AA3768" s="149"/>
      <c r="AB3768" s="149"/>
      <c r="AC3768" s="149"/>
      <c r="AD3768" s="149"/>
      <c r="AE3768" s="149"/>
      <c r="AF3768" s="149"/>
      <c r="AG3768" s="149"/>
      <c r="AH3768" s="149"/>
      <c r="AI3768" s="149"/>
      <c r="AJ3768" s="149"/>
      <c r="AK3768" s="149"/>
      <c r="AL3768" s="149"/>
      <c r="AM3768" s="149"/>
      <c r="AN3768" s="149"/>
      <c r="AO3768" s="128"/>
      <c r="AP3768" s="128"/>
      <c r="AQ3768" s="128"/>
      <c r="AR3768" s="128"/>
      <c r="AS3768" s="128"/>
      <c r="AT3768" s="128"/>
      <c r="AU3768" s="128"/>
      <c r="AV3768" s="128"/>
      <c r="AW3768" s="128"/>
      <c r="AX3768" s="128"/>
      <c r="AY3768" s="128"/>
      <c r="AZ3768" s="128"/>
      <c r="BA3768" s="128"/>
      <c r="BB3768" s="128"/>
      <c r="BC3768" s="128"/>
      <c r="BD3768" s="128"/>
      <c r="BE3768" s="128"/>
      <c r="BF3768" s="128"/>
      <c r="BG3768" s="128"/>
      <c r="BH3768" s="128"/>
      <c r="BI3768" s="128"/>
      <c r="BJ3768" s="128"/>
      <c r="BK3768" s="128"/>
      <c r="BL3768" s="128"/>
      <c r="BM3768" s="151"/>
      <c r="BN3768" s="128"/>
      <c r="BO3768" s="128"/>
      <c r="BP3768" s="128"/>
      <c r="BQ3768" s="128"/>
      <c r="BR3768" s="128"/>
      <c r="BS3768" s="128"/>
      <c r="BT3768" s="128"/>
      <c r="BU3768" s="128"/>
      <c r="BV3768" s="128"/>
      <c r="BW3768" s="128"/>
      <c r="BX3768" s="128"/>
      <c r="BY3768" s="128"/>
      <c r="BZ3768" s="128"/>
      <c r="CA3768" s="128"/>
      <c r="CB3768" s="128"/>
      <c r="CC3768" s="128"/>
      <c r="CD3768" s="128"/>
      <c r="CE3768" s="128"/>
      <c r="CF3768" s="128"/>
      <c r="CG3768" s="128"/>
      <c r="CI3768" s="128"/>
      <c r="CJ3768" s="128"/>
      <c r="CK3768" s="128"/>
      <c r="CL3768" s="128"/>
      <c r="CM3768" s="128"/>
      <c r="CN3768" s="128"/>
      <c r="CO3768" s="128"/>
      <c r="CP3768" s="128"/>
      <c r="CQ3768" s="128"/>
      <c r="CR3768" s="128"/>
      <c r="CS3768" s="128"/>
      <c r="CT3768" s="128"/>
      <c r="CU3768" s="128"/>
      <c r="CV3768" s="128"/>
      <c r="CW3768" s="128"/>
      <c r="CX3768" s="128"/>
      <c r="CY3768" s="128"/>
      <c r="CZ3768" s="165"/>
    </row>
    <row r="3769" spans="1:104">
      <c r="A3769" s="149"/>
      <c r="B3769" s="149"/>
      <c r="C3769" s="150"/>
      <c r="D3769" s="102"/>
      <c r="E3769" s="149"/>
      <c r="F3769" s="149"/>
      <c r="G3769" s="149"/>
      <c r="H3769" s="149"/>
      <c r="I3769" s="149"/>
      <c r="J3769" s="149"/>
      <c r="K3769" s="149"/>
      <c r="L3769" s="149"/>
      <c r="M3769" s="149"/>
      <c r="N3769" s="149"/>
      <c r="O3769" s="149"/>
      <c r="P3769" s="149"/>
      <c r="Q3769" s="149"/>
      <c r="R3769" s="149"/>
      <c r="S3769" s="149"/>
      <c r="T3769" s="149"/>
      <c r="U3769" s="149"/>
      <c r="V3769" s="149"/>
      <c r="W3769" s="149"/>
      <c r="X3769" s="149"/>
      <c r="Y3769" s="149"/>
      <c r="Z3769" s="149"/>
      <c r="AA3769" s="149"/>
      <c r="AB3769" s="149"/>
      <c r="AC3769" s="149"/>
      <c r="AD3769" s="149"/>
      <c r="AE3769" s="149"/>
      <c r="AF3769" s="149"/>
      <c r="AG3769" s="149"/>
      <c r="AH3769" s="149"/>
      <c r="AI3769" s="149"/>
      <c r="AJ3769" s="149"/>
      <c r="AK3769" s="149"/>
      <c r="AL3769" s="149"/>
      <c r="AM3769" s="149"/>
      <c r="AN3769" s="149"/>
      <c r="AO3769" s="128"/>
      <c r="AP3769" s="128"/>
      <c r="AQ3769" s="128"/>
      <c r="AR3769" s="128"/>
      <c r="AS3769" s="128"/>
      <c r="AT3769" s="128"/>
      <c r="AU3769" s="128"/>
      <c r="AV3769" s="128"/>
      <c r="AW3769" s="128"/>
      <c r="AX3769" s="128"/>
      <c r="AY3769" s="128"/>
      <c r="AZ3769" s="128"/>
      <c r="BA3769" s="128"/>
      <c r="BB3769" s="128"/>
      <c r="BC3769" s="128"/>
      <c r="BD3769" s="128"/>
      <c r="BE3769" s="128"/>
      <c r="BF3769" s="128"/>
      <c r="BG3769" s="128"/>
      <c r="BH3769" s="128"/>
      <c r="BI3769" s="128"/>
      <c r="BJ3769" s="128"/>
      <c r="BK3769" s="128"/>
      <c r="BL3769" s="128"/>
      <c r="BM3769" s="151"/>
      <c r="BN3769" s="128"/>
      <c r="BO3769" s="128"/>
      <c r="BP3769" s="128"/>
      <c r="BQ3769" s="128"/>
      <c r="BR3769" s="128"/>
      <c r="BS3769" s="128"/>
      <c r="BT3769" s="128"/>
      <c r="BU3769" s="128"/>
      <c r="BV3769" s="128"/>
      <c r="BW3769" s="128"/>
      <c r="BX3769" s="128"/>
      <c r="BY3769" s="128"/>
      <c r="BZ3769" s="128"/>
      <c r="CA3769" s="128"/>
      <c r="CB3769" s="128"/>
      <c r="CC3769" s="128"/>
      <c r="CD3769" s="128"/>
      <c r="CE3769" s="128"/>
      <c r="CF3769" s="128"/>
      <c r="CG3769" s="128"/>
      <c r="CI3769" s="128"/>
      <c r="CJ3769" s="128"/>
      <c r="CK3769" s="128"/>
      <c r="CL3769" s="128"/>
      <c r="CM3769" s="128"/>
      <c r="CN3769" s="128"/>
      <c r="CO3769" s="128"/>
      <c r="CP3769" s="128"/>
      <c r="CQ3769" s="128"/>
      <c r="CR3769" s="128"/>
      <c r="CS3769" s="128"/>
      <c r="CT3769" s="128"/>
      <c r="CU3769" s="128"/>
      <c r="CV3769" s="128"/>
      <c r="CW3769" s="128"/>
      <c r="CX3769" s="128"/>
      <c r="CY3769" s="128"/>
      <c r="CZ3769" s="165"/>
    </row>
    <row r="3770" spans="1:104">
      <c r="A3770" s="149"/>
      <c r="B3770" s="149"/>
      <c r="C3770" s="150"/>
      <c r="D3770" s="102"/>
      <c r="E3770" s="149"/>
      <c r="F3770" s="149"/>
      <c r="G3770" s="149"/>
      <c r="H3770" s="149"/>
      <c r="I3770" s="149"/>
      <c r="J3770" s="149"/>
      <c r="K3770" s="149"/>
      <c r="L3770" s="149"/>
      <c r="M3770" s="149"/>
      <c r="N3770" s="149"/>
      <c r="O3770" s="149"/>
      <c r="P3770" s="149"/>
      <c r="Q3770" s="149"/>
      <c r="R3770" s="149"/>
      <c r="S3770" s="149"/>
      <c r="T3770" s="149"/>
      <c r="U3770" s="149"/>
      <c r="V3770" s="149"/>
      <c r="W3770" s="149"/>
      <c r="X3770" s="149"/>
      <c r="Y3770" s="149"/>
      <c r="Z3770" s="149"/>
      <c r="AA3770" s="149"/>
      <c r="AB3770" s="149"/>
      <c r="AC3770" s="149"/>
      <c r="AD3770" s="149"/>
      <c r="AE3770" s="149"/>
      <c r="AF3770" s="149"/>
      <c r="AG3770" s="149"/>
      <c r="AH3770" s="149"/>
      <c r="AI3770" s="149"/>
      <c r="AJ3770" s="149"/>
      <c r="AK3770" s="149"/>
      <c r="AL3770" s="149"/>
      <c r="AM3770" s="149"/>
      <c r="AN3770" s="149"/>
      <c r="AO3770" s="128"/>
      <c r="AP3770" s="128"/>
      <c r="AQ3770" s="128"/>
      <c r="AR3770" s="128"/>
      <c r="AS3770" s="128"/>
      <c r="AT3770" s="128"/>
      <c r="AU3770" s="128"/>
      <c r="AV3770" s="128"/>
      <c r="AW3770" s="128"/>
      <c r="AX3770" s="128"/>
      <c r="AY3770" s="128"/>
      <c r="AZ3770" s="128"/>
      <c r="BA3770" s="128"/>
      <c r="BB3770" s="128"/>
      <c r="BC3770" s="128"/>
      <c r="BD3770" s="128"/>
      <c r="BE3770" s="128"/>
      <c r="BF3770" s="128"/>
      <c r="BG3770" s="128"/>
      <c r="BH3770" s="128"/>
      <c r="BI3770" s="128"/>
      <c r="BJ3770" s="128"/>
      <c r="BK3770" s="128"/>
      <c r="BL3770" s="128"/>
      <c r="BM3770" s="151"/>
      <c r="BN3770" s="128"/>
      <c r="BO3770" s="128"/>
      <c r="BP3770" s="128"/>
      <c r="BQ3770" s="128"/>
      <c r="BR3770" s="128"/>
      <c r="BS3770" s="128"/>
      <c r="BT3770" s="128"/>
      <c r="BU3770" s="128"/>
      <c r="BV3770" s="128"/>
      <c r="BW3770" s="128"/>
      <c r="BX3770" s="128"/>
      <c r="BY3770" s="128"/>
      <c r="BZ3770" s="128"/>
      <c r="CA3770" s="128"/>
      <c r="CB3770" s="128"/>
      <c r="CC3770" s="128"/>
      <c r="CD3770" s="128"/>
      <c r="CE3770" s="128"/>
      <c r="CF3770" s="128"/>
      <c r="CG3770" s="128"/>
      <c r="CI3770" s="128"/>
      <c r="CJ3770" s="128"/>
      <c r="CK3770" s="128"/>
      <c r="CL3770" s="128"/>
      <c r="CM3770" s="128"/>
      <c r="CN3770" s="128"/>
      <c r="CO3770" s="128"/>
      <c r="CP3770" s="128"/>
      <c r="CQ3770" s="128"/>
      <c r="CR3770" s="128"/>
      <c r="CS3770" s="128"/>
      <c r="CT3770" s="128"/>
      <c r="CU3770" s="128"/>
      <c r="CV3770" s="128"/>
      <c r="CW3770" s="128"/>
      <c r="CX3770" s="128"/>
      <c r="CY3770" s="128"/>
      <c r="CZ3770" s="165"/>
    </row>
    <row r="3771" spans="1:104">
      <c r="A3771" s="149"/>
      <c r="B3771" s="149"/>
      <c r="C3771" s="150"/>
      <c r="D3771" s="102"/>
      <c r="E3771" s="149"/>
      <c r="F3771" s="149"/>
      <c r="G3771" s="149"/>
      <c r="H3771" s="149"/>
      <c r="I3771" s="149"/>
      <c r="J3771" s="149"/>
      <c r="K3771" s="149"/>
      <c r="L3771" s="149"/>
      <c r="M3771" s="149"/>
      <c r="N3771" s="149"/>
      <c r="O3771" s="149"/>
      <c r="P3771" s="149"/>
      <c r="Q3771" s="149"/>
      <c r="R3771" s="149"/>
      <c r="S3771" s="149"/>
      <c r="T3771" s="149"/>
      <c r="U3771" s="149"/>
      <c r="V3771" s="149"/>
      <c r="W3771" s="149"/>
      <c r="X3771" s="149"/>
      <c r="Y3771" s="149"/>
      <c r="Z3771" s="149"/>
      <c r="AA3771" s="149"/>
      <c r="AB3771" s="149"/>
      <c r="AC3771" s="149"/>
      <c r="AD3771" s="149"/>
      <c r="AE3771" s="149"/>
      <c r="AF3771" s="149"/>
      <c r="AG3771" s="149"/>
      <c r="AH3771" s="149"/>
      <c r="AI3771" s="149"/>
      <c r="AJ3771" s="149"/>
      <c r="AK3771" s="149"/>
      <c r="AL3771" s="149"/>
      <c r="AM3771" s="149"/>
      <c r="AN3771" s="149"/>
      <c r="AO3771" s="128"/>
      <c r="AP3771" s="128"/>
      <c r="AQ3771" s="128"/>
      <c r="AR3771" s="128"/>
      <c r="AS3771" s="128"/>
      <c r="AT3771" s="128"/>
      <c r="AU3771" s="128"/>
      <c r="AV3771" s="128"/>
      <c r="AW3771" s="128"/>
      <c r="AX3771" s="128"/>
      <c r="AY3771" s="128"/>
      <c r="AZ3771" s="128"/>
      <c r="BA3771" s="128"/>
      <c r="BB3771" s="128"/>
      <c r="BC3771" s="128"/>
      <c r="BD3771" s="128"/>
      <c r="BE3771" s="128"/>
      <c r="BF3771" s="128"/>
      <c r="BG3771" s="128"/>
      <c r="BH3771" s="128"/>
      <c r="BI3771" s="128"/>
      <c r="BJ3771" s="128"/>
      <c r="BK3771" s="128"/>
      <c r="BL3771" s="128"/>
      <c r="BM3771" s="151"/>
      <c r="BN3771" s="128"/>
      <c r="BO3771" s="128"/>
      <c r="BP3771" s="128"/>
      <c r="BQ3771" s="128"/>
      <c r="BR3771" s="128"/>
      <c r="BS3771" s="128"/>
      <c r="BT3771" s="128"/>
      <c r="BU3771" s="128"/>
      <c r="BV3771" s="128"/>
      <c r="BW3771" s="128"/>
      <c r="BX3771" s="128"/>
      <c r="BY3771" s="128"/>
      <c r="BZ3771" s="128"/>
      <c r="CA3771" s="128"/>
      <c r="CB3771" s="128"/>
      <c r="CC3771" s="128"/>
      <c r="CD3771" s="128"/>
      <c r="CE3771" s="128"/>
      <c r="CF3771" s="128"/>
      <c r="CG3771" s="128"/>
      <c r="CI3771" s="128"/>
      <c r="CJ3771" s="128"/>
      <c r="CK3771" s="128"/>
      <c r="CL3771" s="128"/>
      <c r="CM3771" s="128"/>
      <c r="CN3771" s="128"/>
      <c r="CO3771" s="128"/>
      <c r="CP3771" s="128"/>
      <c r="CQ3771" s="128"/>
      <c r="CR3771" s="128"/>
      <c r="CS3771" s="128"/>
      <c r="CT3771" s="128"/>
      <c r="CU3771" s="128"/>
      <c r="CV3771" s="128"/>
      <c r="CW3771" s="128"/>
      <c r="CX3771" s="128"/>
      <c r="CY3771" s="128"/>
      <c r="CZ3771" s="165"/>
    </row>
    <row r="3772" spans="1:104">
      <c r="A3772" s="149"/>
      <c r="B3772" s="149"/>
      <c r="C3772" s="150"/>
      <c r="D3772" s="102"/>
      <c r="E3772" s="149"/>
      <c r="F3772" s="149"/>
      <c r="G3772" s="149"/>
      <c r="H3772" s="149"/>
      <c r="I3772" s="149"/>
      <c r="J3772" s="149"/>
      <c r="K3772" s="149"/>
      <c r="L3772" s="149"/>
      <c r="M3772" s="149"/>
      <c r="N3772" s="149"/>
      <c r="O3772" s="149"/>
      <c r="P3772" s="149"/>
      <c r="Q3772" s="149"/>
      <c r="R3772" s="149"/>
      <c r="S3772" s="149"/>
      <c r="T3772" s="149"/>
      <c r="U3772" s="149"/>
      <c r="V3772" s="149"/>
      <c r="W3772" s="149"/>
      <c r="X3772" s="149"/>
      <c r="Y3772" s="149"/>
      <c r="Z3772" s="149"/>
      <c r="AA3772" s="149"/>
      <c r="AB3772" s="149"/>
      <c r="AC3772" s="149"/>
      <c r="AD3772" s="149"/>
      <c r="AE3772" s="149"/>
      <c r="AF3772" s="149"/>
      <c r="AG3772" s="149"/>
      <c r="AH3772" s="149"/>
      <c r="AI3772" s="149"/>
      <c r="AJ3772" s="149"/>
      <c r="AK3772" s="149"/>
      <c r="AL3772" s="149"/>
      <c r="AM3772" s="149"/>
      <c r="AN3772" s="149"/>
      <c r="AO3772" s="128"/>
      <c r="AP3772" s="128"/>
      <c r="AQ3772" s="128"/>
      <c r="AR3772" s="128"/>
      <c r="AS3772" s="128"/>
      <c r="AT3772" s="128"/>
      <c r="AU3772" s="128"/>
      <c r="AV3772" s="128"/>
      <c r="AW3772" s="128"/>
      <c r="AX3772" s="128"/>
      <c r="AY3772" s="128"/>
      <c r="AZ3772" s="128"/>
      <c r="BA3772" s="128"/>
      <c r="BB3772" s="128"/>
      <c r="BC3772" s="128"/>
      <c r="BD3772" s="128"/>
      <c r="BE3772" s="128"/>
      <c r="BF3772" s="128"/>
      <c r="BG3772" s="128"/>
      <c r="BH3772" s="128"/>
      <c r="BI3772" s="128"/>
      <c r="BJ3772" s="128"/>
      <c r="BK3772" s="128"/>
      <c r="BL3772" s="128"/>
      <c r="BM3772" s="151"/>
      <c r="BN3772" s="128"/>
      <c r="BO3772" s="128"/>
      <c r="BP3772" s="128"/>
      <c r="BQ3772" s="128"/>
      <c r="BR3772" s="128"/>
      <c r="BS3772" s="128"/>
      <c r="BT3772" s="128"/>
      <c r="BU3772" s="128"/>
      <c r="BV3772" s="128"/>
      <c r="BW3772" s="128"/>
      <c r="BX3772" s="128"/>
      <c r="BY3772" s="128"/>
      <c r="BZ3772" s="128"/>
      <c r="CA3772" s="128"/>
      <c r="CB3772" s="128"/>
      <c r="CC3772" s="128"/>
      <c r="CD3772" s="128"/>
      <c r="CE3772" s="128"/>
      <c r="CF3772" s="128"/>
      <c r="CG3772" s="128"/>
      <c r="CI3772" s="128"/>
      <c r="CJ3772" s="128"/>
      <c r="CK3772" s="128"/>
      <c r="CL3772" s="128"/>
      <c r="CM3772" s="128"/>
      <c r="CN3772" s="128"/>
      <c r="CO3772" s="128"/>
      <c r="CP3772" s="128"/>
      <c r="CQ3772" s="128"/>
      <c r="CR3772" s="128"/>
      <c r="CS3772" s="128"/>
      <c r="CT3772" s="128"/>
      <c r="CU3772" s="128"/>
      <c r="CV3772" s="128"/>
      <c r="CW3772" s="128"/>
      <c r="CX3772" s="128"/>
      <c r="CY3772" s="128"/>
      <c r="CZ3772" s="165"/>
    </row>
    <row r="3773" spans="1:104">
      <c r="A3773" s="149"/>
      <c r="B3773" s="149"/>
      <c r="C3773" s="150"/>
      <c r="D3773" s="102"/>
      <c r="E3773" s="149"/>
      <c r="F3773" s="149"/>
      <c r="G3773" s="149"/>
      <c r="H3773" s="149"/>
      <c r="I3773" s="149"/>
      <c r="J3773" s="149"/>
      <c r="K3773" s="149"/>
      <c r="L3773" s="149"/>
      <c r="M3773" s="149"/>
      <c r="N3773" s="149"/>
      <c r="O3773" s="149"/>
      <c r="P3773" s="149"/>
      <c r="Q3773" s="149"/>
      <c r="R3773" s="149"/>
      <c r="S3773" s="149"/>
      <c r="T3773" s="149"/>
      <c r="U3773" s="149"/>
      <c r="V3773" s="149"/>
      <c r="W3773" s="149"/>
      <c r="X3773" s="149"/>
      <c r="Y3773" s="149"/>
      <c r="Z3773" s="149"/>
      <c r="AA3773" s="149"/>
      <c r="AB3773" s="149"/>
      <c r="AC3773" s="149"/>
      <c r="AD3773" s="149"/>
      <c r="AE3773" s="149"/>
      <c r="AF3773" s="149"/>
      <c r="AG3773" s="149"/>
      <c r="AH3773" s="149"/>
      <c r="AI3773" s="149"/>
      <c r="AJ3773" s="149"/>
      <c r="AK3773" s="149"/>
      <c r="AL3773" s="149"/>
      <c r="AM3773" s="149"/>
      <c r="AN3773" s="149"/>
      <c r="AO3773" s="128"/>
      <c r="AP3773" s="128"/>
      <c r="AQ3773" s="128"/>
      <c r="AR3773" s="128"/>
      <c r="AS3773" s="128"/>
      <c r="AT3773" s="128"/>
      <c r="AU3773" s="128"/>
      <c r="AV3773" s="128"/>
      <c r="AW3773" s="128"/>
      <c r="AX3773" s="128"/>
      <c r="AY3773" s="128"/>
      <c r="AZ3773" s="128"/>
      <c r="BA3773" s="128"/>
      <c r="BB3773" s="128"/>
      <c r="BC3773" s="128"/>
      <c r="BD3773" s="128"/>
      <c r="BE3773" s="128"/>
      <c r="BF3773" s="128"/>
      <c r="BG3773" s="128"/>
      <c r="BH3773" s="128"/>
      <c r="BI3773" s="128"/>
      <c r="BJ3773" s="128"/>
      <c r="BK3773" s="128"/>
      <c r="BL3773" s="128"/>
      <c r="BM3773" s="151"/>
      <c r="BN3773" s="128"/>
      <c r="BO3773" s="128"/>
      <c r="BP3773" s="128"/>
      <c r="BQ3773" s="128"/>
      <c r="BR3773" s="128"/>
      <c r="BS3773" s="128"/>
      <c r="BT3773" s="128"/>
      <c r="BU3773" s="128"/>
      <c r="BV3773" s="128"/>
      <c r="BW3773" s="128"/>
      <c r="BX3773" s="128"/>
      <c r="BY3773" s="128"/>
      <c r="BZ3773" s="128"/>
      <c r="CA3773" s="128"/>
      <c r="CB3773" s="128"/>
      <c r="CC3773" s="128"/>
      <c r="CD3773" s="128"/>
      <c r="CE3773" s="128"/>
      <c r="CF3773" s="128"/>
      <c r="CG3773" s="128"/>
      <c r="CI3773" s="128"/>
      <c r="CJ3773" s="128"/>
      <c r="CK3773" s="128"/>
      <c r="CL3773" s="128"/>
      <c r="CM3773" s="128"/>
      <c r="CN3773" s="128"/>
      <c r="CO3773" s="128"/>
      <c r="CP3773" s="128"/>
      <c r="CQ3773" s="128"/>
      <c r="CR3773" s="128"/>
      <c r="CS3773" s="128"/>
      <c r="CT3773" s="128"/>
      <c r="CU3773" s="128"/>
      <c r="CV3773" s="128"/>
      <c r="CW3773" s="128"/>
      <c r="CX3773" s="128"/>
      <c r="CY3773" s="128"/>
      <c r="CZ3773" s="165"/>
    </row>
    <row r="3774" spans="1:104">
      <c r="A3774" s="149"/>
      <c r="B3774" s="149"/>
      <c r="C3774" s="150"/>
      <c r="D3774" s="102"/>
      <c r="E3774" s="149"/>
      <c r="F3774" s="149"/>
      <c r="G3774" s="149"/>
      <c r="H3774" s="149"/>
      <c r="I3774" s="149"/>
      <c r="J3774" s="149"/>
      <c r="K3774" s="149"/>
      <c r="L3774" s="149"/>
      <c r="M3774" s="149"/>
      <c r="N3774" s="149"/>
      <c r="O3774" s="149"/>
      <c r="P3774" s="149"/>
      <c r="Q3774" s="149"/>
      <c r="R3774" s="149"/>
      <c r="S3774" s="149"/>
      <c r="T3774" s="149"/>
      <c r="U3774" s="149"/>
      <c r="V3774" s="149"/>
      <c r="W3774" s="149"/>
      <c r="X3774" s="149"/>
      <c r="Y3774" s="149"/>
      <c r="Z3774" s="149"/>
      <c r="AA3774" s="149"/>
      <c r="AB3774" s="149"/>
      <c r="AC3774" s="149"/>
      <c r="AD3774" s="149"/>
      <c r="AE3774" s="149"/>
      <c r="AF3774" s="149"/>
      <c r="AG3774" s="149"/>
      <c r="AH3774" s="149"/>
      <c r="AI3774" s="149"/>
      <c r="AJ3774" s="149"/>
      <c r="AK3774" s="149"/>
      <c r="AL3774" s="149"/>
      <c r="AM3774" s="149"/>
      <c r="AN3774" s="149"/>
      <c r="AO3774" s="128"/>
      <c r="AP3774" s="128"/>
      <c r="AQ3774" s="128"/>
      <c r="AR3774" s="128"/>
      <c r="AS3774" s="128"/>
      <c r="AT3774" s="128"/>
      <c r="AU3774" s="128"/>
      <c r="AV3774" s="128"/>
      <c r="AW3774" s="128"/>
      <c r="AX3774" s="128"/>
      <c r="AY3774" s="128"/>
      <c r="AZ3774" s="128"/>
      <c r="BA3774" s="128"/>
      <c r="BB3774" s="128"/>
      <c r="BC3774" s="128"/>
      <c r="BD3774" s="128"/>
      <c r="BE3774" s="128"/>
      <c r="BF3774" s="128"/>
      <c r="BG3774" s="128"/>
      <c r="BH3774" s="128"/>
      <c r="BI3774" s="128"/>
      <c r="BJ3774" s="128"/>
      <c r="BK3774" s="128"/>
      <c r="BL3774" s="128"/>
      <c r="BM3774" s="151"/>
      <c r="BN3774" s="128"/>
      <c r="BO3774" s="128"/>
      <c r="BP3774" s="128"/>
      <c r="BQ3774" s="128"/>
      <c r="BR3774" s="128"/>
      <c r="BS3774" s="128"/>
      <c r="BT3774" s="128"/>
      <c r="BU3774" s="128"/>
      <c r="BV3774" s="128"/>
      <c r="BW3774" s="128"/>
      <c r="BX3774" s="128"/>
      <c r="BY3774" s="128"/>
      <c r="BZ3774" s="128"/>
      <c r="CA3774" s="128"/>
      <c r="CB3774" s="128"/>
      <c r="CC3774" s="128"/>
      <c r="CD3774" s="128"/>
      <c r="CE3774" s="128"/>
      <c r="CF3774" s="128"/>
      <c r="CG3774" s="128"/>
      <c r="CI3774" s="128"/>
      <c r="CJ3774" s="128"/>
      <c r="CK3774" s="128"/>
      <c r="CL3774" s="128"/>
      <c r="CM3774" s="128"/>
      <c r="CN3774" s="128"/>
      <c r="CO3774" s="128"/>
      <c r="CP3774" s="128"/>
      <c r="CQ3774" s="128"/>
      <c r="CR3774" s="128"/>
      <c r="CS3774" s="128"/>
      <c r="CT3774" s="128"/>
      <c r="CU3774" s="128"/>
      <c r="CV3774" s="128"/>
      <c r="CW3774" s="128"/>
      <c r="CX3774" s="128"/>
      <c r="CY3774" s="128"/>
      <c r="CZ3774" s="165"/>
    </row>
    <row r="3775" spans="1:104">
      <c r="A3775" s="149"/>
      <c r="B3775" s="149"/>
      <c r="C3775" s="150"/>
      <c r="D3775" s="102"/>
      <c r="E3775" s="149"/>
      <c r="F3775" s="149"/>
      <c r="G3775" s="149"/>
      <c r="H3775" s="149"/>
      <c r="I3775" s="149"/>
      <c r="J3775" s="149"/>
      <c r="K3775" s="149"/>
      <c r="L3775" s="149"/>
      <c r="M3775" s="149"/>
      <c r="N3775" s="149"/>
      <c r="O3775" s="149"/>
      <c r="P3775" s="149"/>
      <c r="Q3775" s="149"/>
      <c r="R3775" s="149"/>
      <c r="S3775" s="149"/>
      <c r="T3775" s="149"/>
      <c r="U3775" s="149"/>
      <c r="V3775" s="149"/>
      <c r="W3775" s="149"/>
      <c r="X3775" s="149"/>
      <c r="Y3775" s="149"/>
      <c r="Z3775" s="149"/>
      <c r="AA3775" s="149"/>
      <c r="AB3775" s="149"/>
      <c r="AC3775" s="149"/>
      <c r="AD3775" s="149"/>
      <c r="AE3775" s="149"/>
      <c r="AF3775" s="149"/>
      <c r="AG3775" s="149"/>
      <c r="AH3775" s="149"/>
      <c r="AI3775" s="149"/>
      <c r="AJ3775" s="149"/>
      <c r="AK3775" s="149"/>
      <c r="AL3775" s="149"/>
      <c r="AM3775" s="149"/>
      <c r="AN3775" s="149"/>
      <c r="AO3775" s="128"/>
      <c r="AP3775" s="128"/>
      <c r="AQ3775" s="128"/>
      <c r="AR3775" s="128"/>
      <c r="AS3775" s="128"/>
      <c r="AT3775" s="128"/>
      <c r="AU3775" s="128"/>
      <c r="AV3775" s="128"/>
      <c r="AW3775" s="128"/>
      <c r="AX3775" s="128"/>
      <c r="AY3775" s="128"/>
      <c r="AZ3775" s="128"/>
      <c r="BA3775" s="128"/>
      <c r="BB3775" s="128"/>
      <c r="BC3775" s="128"/>
      <c r="BD3775" s="128"/>
      <c r="BE3775" s="128"/>
      <c r="BF3775" s="128"/>
      <c r="BG3775" s="128"/>
      <c r="BH3775" s="128"/>
      <c r="BI3775" s="128"/>
      <c r="BJ3775" s="128"/>
      <c r="BK3775" s="128"/>
      <c r="BL3775" s="128"/>
      <c r="BM3775" s="151"/>
      <c r="BN3775" s="128"/>
      <c r="BO3775" s="128"/>
      <c r="BP3775" s="128"/>
      <c r="BQ3775" s="128"/>
      <c r="BR3775" s="128"/>
      <c r="BS3775" s="128"/>
      <c r="BT3775" s="128"/>
      <c r="BU3775" s="128"/>
      <c r="BV3775" s="128"/>
      <c r="BW3775" s="128"/>
      <c r="BX3775" s="128"/>
      <c r="BY3775" s="128"/>
      <c r="BZ3775" s="128"/>
      <c r="CA3775" s="128"/>
      <c r="CB3775" s="128"/>
      <c r="CC3775" s="128"/>
      <c r="CD3775" s="128"/>
      <c r="CE3775" s="128"/>
      <c r="CF3775" s="128"/>
      <c r="CG3775" s="128"/>
      <c r="CI3775" s="128"/>
      <c r="CJ3775" s="128"/>
      <c r="CK3775" s="128"/>
      <c r="CL3775" s="128"/>
      <c r="CM3775" s="128"/>
      <c r="CN3775" s="128"/>
      <c r="CO3775" s="128"/>
      <c r="CP3775" s="128"/>
      <c r="CQ3775" s="128"/>
      <c r="CR3775" s="128"/>
      <c r="CS3775" s="128"/>
      <c r="CT3775" s="128"/>
      <c r="CU3775" s="128"/>
      <c r="CV3775" s="128"/>
      <c r="CW3775" s="128"/>
      <c r="CX3775" s="128"/>
      <c r="CY3775" s="128"/>
      <c r="CZ3775" s="165"/>
    </row>
    <row r="3776" spans="1:104">
      <c r="A3776" s="149"/>
      <c r="B3776" s="149"/>
      <c r="C3776" s="150"/>
      <c r="D3776" s="102"/>
      <c r="E3776" s="149"/>
      <c r="F3776" s="149"/>
      <c r="G3776" s="149"/>
      <c r="H3776" s="149"/>
      <c r="I3776" s="149"/>
      <c r="J3776" s="149"/>
      <c r="K3776" s="149"/>
      <c r="L3776" s="149"/>
      <c r="M3776" s="149"/>
      <c r="N3776" s="149"/>
      <c r="O3776" s="149"/>
      <c r="P3776" s="149"/>
      <c r="Q3776" s="149"/>
      <c r="R3776" s="149"/>
      <c r="S3776" s="149"/>
      <c r="T3776" s="149"/>
      <c r="U3776" s="149"/>
      <c r="V3776" s="149"/>
      <c r="W3776" s="149"/>
      <c r="X3776" s="149"/>
      <c r="Y3776" s="149"/>
      <c r="Z3776" s="149"/>
      <c r="AA3776" s="149"/>
      <c r="AB3776" s="149"/>
      <c r="AC3776" s="149"/>
      <c r="AD3776" s="149"/>
      <c r="AE3776" s="149"/>
      <c r="AF3776" s="149"/>
      <c r="AG3776" s="149"/>
      <c r="AH3776" s="149"/>
      <c r="AI3776" s="149"/>
      <c r="AJ3776" s="149"/>
      <c r="AK3776" s="149"/>
      <c r="AL3776" s="149"/>
      <c r="AM3776" s="149"/>
      <c r="AN3776" s="149"/>
      <c r="AO3776" s="128"/>
      <c r="AP3776" s="128"/>
      <c r="AQ3776" s="128"/>
      <c r="AR3776" s="128"/>
      <c r="AS3776" s="128"/>
      <c r="AT3776" s="128"/>
      <c r="AU3776" s="128"/>
      <c r="AV3776" s="128"/>
      <c r="AW3776" s="128"/>
      <c r="AX3776" s="128"/>
      <c r="AY3776" s="128"/>
      <c r="AZ3776" s="128"/>
      <c r="BA3776" s="128"/>
      <c r="BB3776" s="128"/>
      <c r="BC3776" s="128"/>
      <c r="BD3776" s="128"/>
      <c r="BE3776" s="128"/>
      <c r="BF3776" s="128"/>
      <c r="BG3776" s="128"/>
      <c r="BH3776" s="128"/>
      <c r="BI3776" s="128"/>
      <c r="BJ3776" s="128"/>
      <c r="BK3776" s="128"/>
      <c r="BL3776" s="128"/>
      <c r="BM3776" s="151"/>
      <c r="BN3776" s="128"/>
      <c r="BO3776" s="128"/>
      <c r="BP3776" s="128"/>
      <c r="BQ3776" s="128"/>
      <c r="BR3776" s="128"/>
      <c r="BS3776" s="128"/>
      <c r="BT3776" s="128"/>
      <c r="BU3776" s="128"/>
      <c r="BV3776" s="128"/>
      <c r="BW3776" s="128"/>
      <c r="BX3776" s="128"/>
      <c r="BY3776" s="128"/>
      <c r="BZ3776" s="128"/>
      <c r="CA3776" s="128"/>
      <c r="CB3776" s="128"/>
      <c r="CC3776" s="128"/>
      <c r="CD3776" s="128"/>
      <c r="CE3776" s="128"/>
      <c r="CF3776" s="128"/>
      <c r="CG3776" s="128"/>
      <c r="CI3776" s="128"/>
      <c r="CJ3776" s="128"/>
      <c r="CK3776" s="128"/>
      <c r="CL3776" s="128"/>
      <c r="CM3776" s="128"/>
      <c r="CN3776" s="128"/>
      <c r="CO3776" s="128"/>
      <c r="CP3776" s="128"/>
      <c r="CQ3776" s="128"/>
      <c r="CR3776" s="128"/>
      <c r="CS3776" s="128"/>
      <c r="CT3776" s="128"/>
      <c r="CU3776" s="128"/>
      <c r="CV3776" s="128"/>
      <c r="CW3776" s="128"/>
      <c r="CX3776" s="128"/>
      <c r="CY3776" s="128"/>
      <c r="CZ3776" s="165"/>
    </row>
    <row r="3777" spans="1:104">
      <c r="A3777" s="149"/>
      <c r="B3777" s="149"/>
      <c r="C3777" s="150"/>
      <c r="D3777" s="102"/>
      <c r="E3777" s="149"/>
      <c r="F3777" s="149"/>
      <c r="G3777" s="149"/>
      <c r="H3777" s="149"/>
      <c r="I3777" s="149"/>
      <c r="J3777" s="149"/>
      <c r="K3777" s="149"/>
      <c r="L3777" s="149"/>
      <c r="M3777" s="149"/>
      <c r="N3777" s="149"/>
      <c r="O3777" s="149"/>
      <c r="P3777" s="149"/>
      <c r="Q3777" s="149"/>
      <c r="R3777" s="149"/>
      <c r="S3777" s="149"/>
      <c r="T3777" s="149"/>
      <c r="U3777" s="149"/>
      <c r="V3777" s="149"/>
      <c r="W3777" s="149"/>
      <c r="X3777" s="149"/>
      <c r="Y3777" s="149"/>
      <c r="Z3777" s="149"/>
      <c r="AA3777" s="149"/>
      <c r="AB3777" s="149"/>
      <c r="AC3777" s="149"/>
      <c r="AD3777" s="149"/>
      <c r="AE3777" s="149"/>
      <c r="AF3777" s="149"/>
      <c r="AG3777" s="149"/>
      <c r="AH3777" s="149"/>
      <c r="AI3777" s="149"/>
      <c r="AJ3777" s="149"/>
      <c r="AK3777" s="149"/>
      <c r="AL3777" s="149"/>
      <c r="AM3777" s="149"/>
      <c r="AN3777" s="149"/>
      <c r="AO3777" s="128"/>
      <c r="AP3777" s="128"/>
      <c r="AQ3777" s="128"/>
      <c r="AR3777" s="128"/>
      <c r="AS3777" s="128"/>
      <c r="AT3777" s="128"/>
      <c r="AU3777" s="128"/>
      <c r="AV3777" s="128"/>
      <c r="AW3777" s="128"/>
      <c r="AX3777" s="128"/>
      <c r="AY3777" s="128"/>
      <c r="AZ3777" s="128"/>
      <c r="BA3777" s="128"/>
      <c r="BB3777" s="128"/>
      <c r="BC3777" s="128"/>
      <c r="BD3777" s="128"/>
      <c r="BE3777" s="128"/>
      <c r="BF3777" s="128"/>
      <c r="BG3777" s="128"/>
      <c r="BH3777" s="128"/>
      <c r="BI3777" s="128"/>
      <c r="BJ3777" s="128"/>
      <c r="BK3777" s="128"/>
      <c r="BL3777" s="128"/>
      <c r="BM3777" s="151"/>
      <c r="BN3777" s="128"/>
      <c r="BO3777" s="128"/>
      <c r="BP3777" s="128"/>
      <c r="BQ3777" s="128"/>
      <c r="BR3777" s="128"/>
      <c r="BS3777" s="128"/>
      <c r="BT3777" s="128"/>
      <c r="BU3777" s="128"/>
      <c r="BV3777" s="128"/>
      <c r="BW3777" s="128"/>
      <c r="BX3777" s="128"/>
      <c r="BY3777" s="128"/>
      <c r="BZ3777" s="128"/>
      <c r="CA3777" s="128"/>
      <c r="CB3777" s="128"/>
      <c r="CC3777" s="128"/>
      <c r="CD3777" s="128"/>
      <c r="CE3777" s="128"/>
      <c r="CF3777" s="128"/>
      <c r="CG3777" s="128"/>
      <c r="CI3777" s="128"/>
      <c r="CJ3777" s="128"/>
      <c r="CK3777" s="128"/>
      <c r="CL3777" s="128"/>
      <c r="CM3777" s="128"/>
      <c r="CN3777" s="128"/>
      <c r="CO3777" s="128"/>
      <c r="CP3777" s="128"/>
      <c r="CQ3777" s="128"/>
      <c r="CR3777" s="128"/>
      <c r="CS3777" s="128"/>
      <c r="CT3777" s="128"/>
      <c r="CU3777" s="128"/>
      <c r="CV3777" s="128"/>
      <c r="CW3777" s="128"/>
      <c r="CX3777" s="128"/>
      <c r="CY3777" s="128"/>
      <c r="CZ3777" s="165"/>
    </row>
    <row r="3778" spans="1:104">
      <c r="A3778" s="149"/>
      <c r="B3778" s="149"/>
      <c r="C3778" s="150"/>
      <c r="D3778" s="102"/>
      <c r="E3778" s="149"/>
      <c r="F3778" s="149"/>
      <c r="G3778" s="149"/>
      <c r="H3778" s="149"/>
      <c r="I3778" s="149"/>
      <c r="J3778" s="149"/>
      <c r="K3778" s="149"/>
      <c r="L3778" s="149"/>
      <c r="M3778" s="149"/>
      <c r="N3778" s="149"/>
      <c r="O3778" s="149"/>
      <c r="P3778" s="149"/>
      <c r="Q3778" s="149"/>
      <c r="R3778" s="149"/>
      <c r="S3778" s="149"/>
      <c r="T3778" s="149"/>
      <c r="U3778" s="149"/>
      <c r="V3778" s="149"/>
      <c r="W3778" s="149"/>
      <c r="X3778" s="149"/>
      <c r="Y3778" s="149"/>
      <c r="Z3778" s="149"/>
      <c r="AA3778" s="149"/>
      <c r="AB3778" s="149"/>
      <c r="AC3778" s="149"/>
      <c r="AD3778" s="149"/>
      <c r="AE3778" s="149"/>
      <c r="AF3778" s="149"/>
      <c r="AG3778" s="149"/>
      <c r="AH3778" s="149"/>
      <c r="AI3778" s="149"/>
      <c r="AJ3778" s="149"/>
      <c r="AK3778" s="149"/>
      <c r="AL3778" s="149"/>
      <c r="AM3778" s="149"/>
      <c r="AN3778" s="149"/>
      <c r="AO3778" s="128"/>
      <c r="AP3778" s="128"/>
      <c r="AQ3778" s="128"/>
      <c r="AR3778" s="128"/>
      <c r="AS3778" s="128"/>
      <c r="AT3778" s="128"/>
      <c r="AU3778" s="128"/>
      <c r="AV3778" s="128"/>
      <c r="AW3778" s="128"/>
      <c r="AX3778" s="128"/>
      <c r="AY3778" s="128"/>
      <c r="AZ3778" s="128"/>
      <c r="BA3778" s="128"/>
      <c r="BB3778" s="128"/>
      <c r="BC3778" s="128"/>
      <c r="BD3778" s="128"/>
      <c r="BE3778" s="128"/>
      <c r="BF3778" s="128"/>
      <c r="BG3778" s="128"/>
      <c r="BH3778" s="128"/>
      <c r="BI3778" s="128"/>
      <c r="BJ3778" s="128"/>
      <c r="BK3778" s="128"/>
      <c r="BL3778" s="128"/>
      <c r="BM3778" s="151"/>
      <c r="BN3778" s="128"/>
      <c r="BO3778" s="128"/>
      <c r="BP3778" s="128"/>
      <c r="BQ3778" s="128"/>
      <c r="BR3778" s="128"/>
      <c r="BS3778" s="128"/>
      <c r="BT3778" s="128"/>
      <c r="BU3778" s="128"/>
      <c r="BV3778" s="128"/>
      <c r="BW3778" s="128"/>
      <c r="BX3778" s="128"/>
      <c r="BY3778" s="128"/>
      <c r="BZ3778" s="128"/>
      <c r="CA3778" s="128"/>
      <c r="CB3778" s="128"/>
      <c r="CC3778" s="128"/>
      <c r="CD3778" s="128"/>
      <c r="CE3778" s="128"/>
      <c r="CF3778" s="128"/>
      <c r="CG3778" s="128"/>
      <c r="CI3778" s="128"/>
      <c r="CJ3778" s="128"/>
      <c r="CK3778" s="128"/>
      <c r="CL3778" s="128"/>
      <c r="CM3778" s="128"/>
      <c r="CN3778" s="128"/>
      <c r="CO3778" s="128"/>
      <c r="CP3778" s="128"/>
      <c r="CQ3778" s="128"/>
      <c r="CR3778" s="128"/>
      <c r="CS3778" s="128"/>
      <c r="CT3778" s="128"/>
      <c r="CU3778" s="128"/>
      <c r="CV3778" s="128"/>
      <c r="CW3778" s="128"/>
      <c r="CX3778" s="128"/>
      <c r="CY3778" s="128"/>
      <c r="CZ3778" s="165"/>
    </row>
    <row r="3779" spans="1:104">
      <c r="A3779" s="149"/>
      <c r="B3779" s="149"/>
      <c r="C3779" s="150"/>
      <c r="D3779" s="102"/>
      <c r="E3779" s="149"/>
      <c r="F3779" s="149"/>
      <c r="G3779" s="149"/>
      <c r="H3779" s="149"/>
      <c r="I3779" s="149"/>
      <c r="J3779" s="149"/>
      <c r="K3779" s="149"/>
      <c r="L3779" s="149"/>
      <c r="M3779" s="149"/>
      <c r="N3779" s="149"/>
      <c r="O3779" s="149"/>
      <c r="P3779" s="149"/>
      <c r="Q3779" s="149"/>
      <c r="R3779" s="149"/>
      <c r="S3779" s="149"/>
      <c r="T3779" s="149"/>
      <c r="U3779" s="149"/>
      <c r="V3779" s="149"/>
      <c r="W3779" s="149"/>
      <c r="X3779" s="149"/>
      <c r="Y3779" s="149"/>
      <c r="Z3779" s="149"/>
      <c r="AA3779" s="149"/>
      <c r="AB3779" s="149"/>
      <c r="AC3779" s="149"/>
      <c r="AD3779" s="149"/>
      <c r="AE3779" s="149"/>
      <c r="AF3779" s="149"/>
      <c r="AG3779" s="149"/>
      <c r="AH3779" s="149"/>
      <c r="AI3779" s="149"/>
      <c r="AJ3779" s="149"/>
      <c r="AK3779" s="149"/>
      <c r="AL3779" s="149"/>
      <c r="AM3779" s="149"/>
      <c r="AN3779" s="149"/>
      <c r="AO3779" s="128"/>
      <c r="AP3779" s="128"/>
      <c r="AQ3779" s="128"/>
      <c r="AR3779" s="128"/>
      <c r="AS3779" s="128"/>
      <c r="AT3779" s="128"/>
      <c r="AU3779" s="128"/>
      <c r="AV3779" s="128"/>
      <c r="AW3779" s="128"/>
      <c r="AX3779" s="128"/>
      <c r="AY3779" s="128"/>
      <c r="AZ3779" s="128"/>
      <c r="BA3779" s="128"/>
      <c r="BB3779" s="128"/>
      <c r="BC3779" s="128"/>
      <c r="BD3779" s="128"/>
      <c r="BE3779" s="128"/>
      <c r="BF3779" s="128"/>
      <c r="BG3779" s="128"/>
      <c r="BH3779" s="128"/>
      <c r="BI3779" s="128"/>
      <c r="BJ3779" s="128"/>
      <c r="BK3779" s="128"/>
      <c r="BL3779" s="128"/>
      <c r="BM3779" s="151"/>
      <c r="BN3779" s="128"/>
      <c r="BO3779" s="128"/>
      <c r="BP3779" s="128"/>
      <c r="BQ3779" s="128"/>
      <c r="BR3779" s="128"/>
      <c r="BS3779" s="128"/>
      <c r="BT3779" s="128"/>
      <c r="BU3779" s="128"/>
      <c r="BV3779" s="128"/>
      <c r="BW3779" s="128"/>
      <c r="BX3779" s="128"/>
      <c r="BY3779" s="128"/>
      <c r="BZ3779" s="128"/>
      <c r="CA3779" s="128"/>
      <c r="CB3779" s="128"/>
      <c r="CC3779" s="128"/>
      <c r="CD3779" s="128"/>
      <c r="CE3779" s="128"/>
      <c r="CF3779" s="128"/>
      <c r="CG3779" s="128"/>
      <c r="CI3779" s="128"/>
      <c r="CJ3779" s="128"/>
      <c r="CK3779" s="128"/>
      <c r="CL3779" s="128"/>
      <c r="CM3779" s="128"/>
      <c r="CN3779" s="128"/>
      <c r="CO3779" s="128"/>
      <c r="CP3779" s="128"/>
      <c r="CQ3779" s="128"/>
      <c r="CR3779" s="128"/>
      <c r="CS3779" s="128"/>
      <c r="CT3779" s="128"/>
      <c r="CU3779" s="128"/>
      <c r="CV3779" s="128"/>
      <c r="CW3779" s="128"/>
      <c r="CX3779" s="128"/>
      <c r="CY3779" s="128"/>
      <c r="CZ3779" s="165"/>
    </row>
    <row r="3780" spans="1:104">
      <c r="A3780" s="149"/>
      <c r="B3780" s="149"/>
      <c r="C3780" s="150"/>
      <c r="D3780" s="102"/>
      <c r="E3780" s="149"/>
      <c r="F3780" s="149"/>
      <c r="G3780" s="149"/>
      <c r="H3780" s="149"/>
      <c r="I3780" s="149"/>
      <c r="J3780" s="149"/>
      <c r="K3780" s="149"/>
      <c r="L3780" s="149"/>
      <c r="M3780" s="149"/>
      <c r="N3780" s="149"/>
      <c r="O3780" s="149"/>
      <c r="P3780" s="149"/>
      <c r="Q3780" s="149"/>
      <c r="R3780" s="149"/>
      <c r="S3780" s="149"/>
      <c r="T3780" s="149"/>
      <c r="U3780" s="149"/>
      <c r="V3780" s="149"/>
      <c r="W3780" s="149"/>
      <c r="X3780" s="149"/>
      <c r="Y3780" s="149"/>
      <c r="Z3780" s="149"/>
      <c r="AA3780" s="149"/>
      <c r="AB3780" s="149"/>
      <c r="AC3780" s="149"/>
      <c r="AD3780" s="149"/>
      <c r="AE3780" s="149"/>
      <c r="AF3780" s="149"/>
      <c r="AG3780" s="149"/>
      <c r="AH3780" s="149"/>
      <c r="AI3780" s="149"/>
      <c r="AJ3780" s="149"/>
      <c r="AK3780" s="149"/>
      <c r="AL3780" s="149"/>
      <c r="AM3780" s="149"/>
      <c r="AN3780" s="149"/>
      <c r="AO3780" s="128"/>
      <c r="AP3780" s="128"/>
      <c r="AQ3780" s="128"/>
      <c r="AR3780" s="128"/>
      <c r="AS3780" s="128"/>
      <c r="AT3780" s="128"/>
      <c r="AU3780" s="128"/>
      <c r="AV3780" s="128"/>
      <c r="AW3780" s="128"/>
      <c r="AX3780" s="128"/>
      <c r="AY3780" s="128"/>
      <c r="AZ3780" s="128"/>
      <c r="BA3780" s="128"/>
      <c r="BB3780" s="128"/>
      <c r="BC3780" s="128"/>
      <c r="BD3780" s="128"/>
      <c r="BE3780" s="128"/>
      <c r="BF3780" s="128"/>
      <c r="BG3780" s="128"/>
      <c r="BH3780" s="128"/>
      <c r="BI3780" s="128"/>
      <c r="BJ3780" s="128"/>
      <c r="BK3780" s="128"/>
      <c r="BL3780" s="128"/>
      <c r="BM3780" s="151"/>
      <c r="BN3780" s="128"/>
      <c r="BO3780" s="128"/>
      <c r="BP3780" s="128"/>
      <c r="BQ3780" s="128"/>
      <c r="BR3780" s="128"/>
      <c r="BS3780" s="128"/>
      <c r="BT3780" s="128"/>
      <c r="BU3780" s="128"/>
      <c r="BV3780" s="128"/>
      <c r="BW3780" s="128"/>
      <c r="BX3780" s="128"/>
      <c r="BY3780" s="128"/>
      <c r="BZ3780" s="128"/>
      <c r="CA3780" s="128"/>
      <c r="CB3780" s="128"/>
      <c r="CC3780" s="128"/>
      <c r="CD3780" s="128"/>
      <c r="CE3780" s="128"/>
      <c r="CF3780" s="128"/>
      <c r="CG3780" s="128"/>
      <c r="CI3780" s="128"/>
      <c r="CJ3780" s="128"/>
      <c r="CK3780" s="128"/>
      <c r="CL3780" s="128"/>
      <c r="CM3780" s="128"/>
      <c r="CN3780" s="128"/>
      <c r="CO3780" s="128"/>
      <c r="CP3780" s="128"/>
      <c r="CQ3780" s="128"/>
      <c r="CR3780" s="128"/>
      <c r="CS3780" s="128"/>
      <c r="CT3780" s="128"/>
      <c r="CU3780" s="128"/>
      <c r="CV3780" s="128"/>
      <c r="CW3780" s="128"/>
      <c r="CX3780" s="128"/>
      <c r="CY3780" s="128"/>
      <c r="CZ3780" s="165"/>
    </row>
    <row r="3781" spans="1:104">
      <c r="A3781" s="149"/>
      <c r="B3781" s="149"/>
      <c r="C3781" s="150"/>
      <c r="D3781" s="102"/>
      <c r="E3781" s="149"/>
      <c r="F3781" s="149"/>
      <c r="G3781" s="149"/>
      <c r="H3781" s="149"/>
      <c r="I3781" s="149"/>
      <c r="J3781" s="149"/>
      <c r="K3781" s="149"/>
      <c r="L3781" s="149"/>
      <c r="M3781" s="149"/>
      <c r="N3781" s="149"/>
      <c r="O3781" s="149"/>
      <c r="P3781" s="149"/>
      <c r="Q3781" s="149"/>
      <c r="R3781" s="149"/>
      <c r="S3781" s="149"/>
      <c r="T3781" s="149"/>
      <c r="U3781" s="149"/>
      <c r="V3781" s="149"/>
      <c r="W3781" s="149"/>
      <c r="X3781" s="149"/>
      <c r="Y3781" s="149"/>
      <c r="Z3781" s="149"/>
      <c r="AA3781" s="149"/>
      <c r="AB3781" s="149"/>
      <c r="AC3781" s="149"/>
      <c r="AD3781" s="149"/>
      <c r="AE3781" s="149"/>
      <c r="AF3781" s="149"/>
      <c r="AG3781" s="149"/>
      <c r="AH3781" s="149"/>
      <c r="AI3781" s="149"/>
      <c r="AJ3781" s="149"/>
      <c r="AK3781" s="149"/>
      <c r="AL3781" s="149"/>
      <c r="AM3781" s="149"/>
      <c r="AN3781" s="149"/>
      <c r="AO3781" s="128"/>
      <c r="AP3781" s="128"/>
      <c r="AQ3781" s="128"/>
      <c r="AR3781" s="128"/>
      <c r="AS3781" s="128"/>
      <c r="AT3781" s="128"/>
      <c r="AU3781" s="128"/>
      <c r="AV3781" s="128"/>
      <c r="AW3781" s="128"/>
      <c r="AX3781" s="128"/>
      <c r="AY3781" s="128"/>
      <c r="AZ3781" s="128"/>
      <c r="BA3781" s="128"/>
      <c r="BB3781" s="128"/>
      <c r="BC3781" s="128"/>
      <c r="BD3781" s="128"/>
      <c r="BE3781" s="128"/>
      <c r="BF3781" s="128"/>
      <c r="BG3781" s="128"/>
      <c r="BH3781" s="128"/>
      <c r="BI3781" s="128"/>
      <c r="BJ3781" s="128"/>
      <c r="BK3781" s="128"/>
      <c r="BL3781" s="128"/>
      <c r="BM3781" s="151"/>
      <c r="BN3781" s="128"/>
      <c r="BO3781" s="128"/>
      <c r="BP3781" s="128"/>
      <c r="BQ3781" s="128"/>
      <c r="BR3781" s="128"/>
      <c r="BS3781" s="128"/>
      <c r="BT3781" s="128"/>
      <c r="BU3781" s="128"/>
      <c r="BV3781" s="128"/>
      <c r="BW3781" s="128"/>
      <c r="BX3781" s="128"/>
      <c r="BY3781" s="128"/>
      <c r="BZ3781" s="128"/>
      <c r="CA3781" s="128"/>
      <c r="CB3781" s="128"/>
      <c r="CC3781" s="128"/>
      <c r="CD3781" s="128"/>
      <c r="CE3781" s="128"/>
      <c r="CF3781" s="128"/>
      <c r="CG3781" s="128"/>
      <c r="CI3781" s="128"/>
      <c r="CJ3781" s="128"/>
      <c r="CK3781" s="128"/>
      <c r="CL3781" s="128"/>
      <c r="CM3781" s="128"/>
      <c r="CN3781" s="128"/>
      <c r="CO3781" s="128"/>
      <c r="CP3781" s="128"/>
      <c r="CQ3781" s="128"/>
      <c r="CR3781" s="128"/>
      <c r="CS3781" s="128"/>
      <c r="CT3781" s="128"/>
      <c r="CU3781" s="128"/>
      <c r="CV3781" s="128"/>
      <c r="CW3781" s="128"/>
      <c r="CX3781" s="128"/>
      <c r="CY3781" s="128"/>
      <c r="CZ3781" s="165"/>
    </row>
    <row r="3782" spans="1:104">
      <c r="A3782" s="149"/>
      <c r="B3782" s="149"/>
      <c r="C3782" s="150"/>
      <c r="D3782" s="102"/>
      <c r="E3782" s="149"/>
      <c r="F3782" s="149"/>
      <c r="G3782" s="149"/>
      <c r="H3782" s="149"/>
      <c r="I3782" s="149"/>
      <c r="J3782" s="149"/>
      <c r="K3782" s="149"/>
      <c r="L3782" s="149"/>
      <c r="M3782" s="149"/>
      <c r="N3782" s="149"/>
      <c r="O3782" s="149"/>
      <c r="P3782" s="149"/>
      <c r="Q3782" s="149"/>
      <c r="R3782" s="149"/>
      <c r="S3782" s="149"/>
      <c r="T3782" s="149"/>
      <c r="U3782" s="149"/>
      <c r="V3782" s="149"/>
      <c r="W3782" s="149"/>
      <c r="X3782" s="149"/>
      <c r="Y3782" s="149"/>
      <c r="Z3782" s="149"/>
      <c r="AA3782" s="149"/>
      <c r="AB3782" s="149"/>
      <c r="AC3782" s="149"/>
      <c r="AD3782" s="149"/>
      <c r="AE3782" s="149"/>
      <c r="AF3782" s="149"/>
      <c r="AG3782" s="149"/>
      <c r="AH3782" s="149"/>
      <c r="AI3782" s="149"/>
      <c r="AJ3782" s="149"/>
      <c r="AK3782" s="149"/>
      <c r="AL3782" s="149"/>
      <c r="AM3782" s="149"/>
      <c r="AN3782" s="149"/>
      <c r="AO3782" s="128"/>
      <c r="AP3782" s="128"/>
      <c r="AQ3782" s="128"/>
      <c r="AR3782" s="128"/>
      <c r="AS3782" s="128"/>
      <c r="AT3782" s="128"/>
      <c r="AU3782" s="128"/>
      <c r="AV3782" s="128"/>
      <c r="AW3782" s="128"/>
      <c r="AX3782" s="128"/>
      <c r="AY3782" s="128"/>
      <c r="AZ3782" s="128"/>
      <c r="BA3782" s="128"/>
      <c r="BB3782" s="128"/>
      <c r="BC3782" s="128"/>
      <c r="BD3782" s="128"/>
      <c r="BE3782" s="128"/>
      <c r="BF3782" s="128"/>
      <c r="BG3782" s="128"/>
      <c r="BH3782" s="128"/>
      <c r="BI3782" s="128"/>
      <c r="BJ3782" s="128"/>
      <c r="BK3782" s="128"/>
      <c r="BL3782" s="128"/>
      <c r="BM3782" s="151"/>
      <c r="BN3782" s="128"/>
      <c r="BO3782" s="128"/>
      <c r="BP3782" s="128"/>
      <c r="BQ3782" s="128"/>
      <c r="BR3782" s="128"/>
      <c r="BS3782" s="128"/>
      <c r="BT3782" s="128"/>
      <c r="BU3782" s="128"/>
      <c r="BV3782" s="128"/>
      <c r="BW3782" s="128"/>
      <c r="BX3782" s="128"/>
      <c r="BY3782" s="128"/>
      <c r="BZ3782" s="128"/>
      <c r="CA3782" s="128"/>
      <c r="CB3782" s="128"/>
      <c r="CC3782" s="128"/>
      <c r="CD3782" s="128"/>
      <c r="CE3782" s="128"/>
      <c r="CF3782" s="128"/>
      <c r="CG3782" s="128"/>
      <c r="CI3782" s="128"/>
      <c r="CJ3782" s="128"/>
      <c r="CK3782" s="128"/>
      <c r="CL3782" s="128"/>
      <c r="CM3782" s="128"/>
      <c r="CN3782" s="128"/>
      <c r="CO3782" s="128"/>
      <c r="CP3782" s="128"/>
      <c r="CQ3782" s="128"/>
      <c r="CR3782" s="128"/>
      <c r="CS3782" s="128"/>
      <c r="CT3782" s="128"/>
      <c r="CU3782" s="128"/>
      <c r="CV3782" s="128"/>
      <c r="CW3782" s="128"/>
      <c r="CX3782" s="128"/>
      <c r="CY3782" s="128"/>
      <c r="CZ3782" s="165"/>
    </row>
    <row r="3783" spans="1:104">
      <c r="A3783" s="149"/>
      <c r="B3783" s="149"/>
      <c r="C3783" s="150"/>
      <c r="D3783" s="102"/>
      <c r="E3783" s="149"/>
      <c r="F3783" s="149"/>
      <c r="G3783" s="149"/>
      <c r="H3783" s="149"/>
      <c r="I3783" s="149"/>
      <c r="J3783" s="149"/>
      <c r="K3783" s="149"/>
      <c r="L3783" s="149"/>
      <c r="M3783" s="149"/>
      <c r="N3783" s="149"/>
      <c r="O3783" s="149"/>
      <c r="P3783" s="149"/>
      <c r="Q3783" s="149"/>
      <c r="R3783" s="149"/>
      <c r="S3783" s="149"/>
      <c r="T3783" s="149"/>
      <c r="U3783" s="149"/>
      <c r="V3783" s="149"/>
      <c r="W3783" s="149"/>
      <c r="X3783" s="149"/>
      <c r="Y3783" s="149"/>
      <c r="Z3783" s="149"/>
      <c r="AA3783" s="149"/>
      <c r="AB3783" s="149"/>
      <c r="AC3783" s="149"/>
      <c r="AD3783" s="149"/>
      <c r="AE3783" s="149"/>
      <c r="AF3783" s="149"/>
      <c r="AG3783" s="149"/>
      <c r="AH3783" s="149"/>
      <c r="AI3783" s="149"/>
      <c r="AJ3783" s="149"/>
      <c r="AK3783" s="149"/>
      <c r="AL3783" s="149"/>
      <c r="AM3783" s="149"/>
      <c r="AN3783" s="149"/>
      <c r="AO3783" s="128"/>
      <c r="AP3783" s="128"/>
      <c r="AQ3783" s="128"/>
      <c r="AR3783" s="128"/>
      <c r="AS3783" s="128"/>
      <c r="AT3783" s="128"/>
      <c r="AU3783" s="128"/>
      <c r="AV3783" s="128"/>
      <c r="AW3783" s="128"/>
      <c r="AX3783" s="128"/>
      <c r="AY3783" s="128"/>
      <c r="AZ3783" s="128"/>
      <c r="BA3783" s="128"/>
      <c r="BB3783" s="128"/>
      <c r="BC3783" s="128"/>
      <c r="BD3783" s="128"/>
      <c r="BE3783" s="128"/>
      <c r="BF3783" s="128"/>
      <c r="BG3783" s="128"/>
      <c r="BH3783" s="128"/>
      <c r="BI3783" s="128"/>
      <c r="BJ3783" s="128"/>
      <c r="BK3783" s="128"/>
      <c r="BL3783" s="128"/>
      <c r="BM3783" s="151"/>
      <c r="BN3783" s="128"/>
      <c r="BO3783" s="128"/>
      <c r="BP3783" s="128"/>
      <c r="BQ3783" s="128"/>
      <c r="BR3783" s="128"/>
      <c r="BS3783" s="128"/>
      <c r="BT3783" s="128"/>
      <c r="BU3783" s="128"/>
      <c r="BV3783" s="128"/>
      <c r="BW3783" s="128"/>
      <c r="BX3783" s="128"/>
      <c r="BY3783" s="128"/>
      <c r="BZ3783" s="128"/>
      <c r="CA3783" s="128"/>
      <c r="CB3783" s="128"/>
      <c r="CC3783" s="128"/>
      <c r="CD3783" s="128"/>
      <c r="CE3783" s="128"/>
      <c r="CF3783" s="128"/>
      <c r="CG3783" s="128"/>
      <c r="CI3783" s="128"/>
      <c r="CJ3783" s="128"/>
      <c r="CK3783" s="128"/>
      <c r="CL3783" s="128"/>
      <c r="CM3783" s="128"/>
      <c r="CN3783" s="128"/>
      <c r="CO3783" s="128"/>
      <c r="CP3783" s="128"/>
      <c r="CQ3783" s="128"/>
      <c r="CR3783" s="128"/>
      <c r="CS3783" s="128"/>
      <c r="CT3783" s="128"/>
      <c r="CU3783" s="128"/>
      <c r="CV3783" s="128"/>
      <c r="CW3783" s="128"/>
      <c r="CX3783" s="128"/>
      <c r="CY3783" s="128"/>
      <c r="CZ3783" s="165"/>
    </row>
    <row r="3784" spans="1:104">
      <c r="A3784" s="149"/>
      <c r="B3784" s="149"/>
      <c r="C3784" s="150"/>
      <c r="D3784" s="102"/>
      <c r="E3784" s="149"/>
      <c r="F3784" s="149"/>
      <c r="G3784" s="149"/>
      <c r="H3784" s="149"/>
      <c r="I3784" s="149"/>
      <c r="J3784" s="149"/>
      <c r="K3784" s="149"/>
      <c r="L3784" s="149"/>
      <c r="M3784" s="149"/>
      <c r="N3784" s="149"/>
      <c r="O3784" s="149"/>
      <c r="P3784" s="149"/>
      <c r="Q3784" s="149"/>
      <c r="R3784" s="149"/>
      <c r="S3784" s="149"/>
      <c r="T3784" s="149"/>
      <c r="U3784" s="149"/>
      <c r="V3784" s="149"/>
      <c r="W3784" s="149"/>
      <c r="X3784" s="149"/>
      <c r="Y3784" s="149"/>
      <c r="Z3784" s="149"/>
      <c r="AA3784" s="149"/>
      <c r="AB3784" s="149"/>
      <c r="AC3784" s="149"/>
      <c r="AD3784" s="149"/>
      <c r="AE3784" s="149"/>
      <c r="AF3784" s="149"/>
      <c r="AG3784" s="149"/>
      <c r="AH3784" s="149"/>
      <c r="AI3784" s="149"/>
      <c r="AJ3784" s="149"/>
      <c r="AK3784" s="149"/>
      <c r="AL3784" s="149"/>
      <c r="AM3784" s="149"/>
      <c r="AN3784" s="149"/>
      <c r="AO3784" s="128"/>
      <c r="AP3784" s="128"/>
      <c r="AQ3784" s="128"/>
      <c r="AR3784" s="128"/>
      <c r="AS3784" s="128"/>
      <c r="AT3784" s="128"/>
      <c r="AU3784" s="128"/>
      <c r="AV3784" s="128"/>
      <c r="AW3784" s="128"/>
      <c r="AX3784" s="128"/>
      <c r="AY3784" s="128"/>
      <c r="AZ3784" s="128"/>
      <c r="BA3784" s="128"/>
      <c r="BB3784" s="128"/>
      <c r="BC3784" s="128"/>
      <c r="BD3784" s="128"/>
      <c r="BE3784" s="128"/>
      <c r="BF3784" s="128"/>
      <c r="BG3784" s="128"/>
      <c r="BH3784" s="128"/>
      <c r="BI3784" s="128"/>
      <c r="BJ3784" s="128"/>
      <c r="BK3784" s="128"/>
      <c r="BL3784" s="128"/>
      <c r="BM3784" s="151"/>
      <c r="BN3784" s="128"/>
      <c r="BO3784" s="128"/>
      <c r="BP3784" s="128"/>
      <c r="BQ3784" s="128"/>
      <c r="BR3784" s="128"/>
      <c r="BS3784" s="128"/>
      <c r="BT3784" s="128"/>
      <c r="BU3784" s="128"/>
      <c r="BV3784" s="128"/>
      <c r="BW3784" s="128"/>
      <c r="BX3784" s="128"/>
      <c r="BY3784" s="128"/>
      <c r="BZ3784" s="128"/>
      <c r="CA3784" s="128"/>
      <c r="CB3784" s="128"/>
      <c r="CC3784" s="128"/>
      <c r="CD3784" s="128"/>
      <c r="CE3784" s="128"/>
      <c r="CF3784" s="128"/>
      <c r="CG3784" s="128"/>
      <c r="CI3784" s="128"/>
      <c r="CJ3784" s="128"/>
      <c r="CK3784" s="128"/>
      <c r="CL3784" s="128"/>
      <c r="CM3784" s="128"/>
      <c r="CN3784" s="128"/>
      <c r="CO3784" s="128"/>
      <c r="CP3784" s="128"/>
      <c r="CQ3784" s="128"/>
      <c r="CR3784" s="128"/>
      <c r="CS3784" s="128"/>
      <c r="CT3784" s="128"/>
      <c r="CU3784" s="128"/>
      <c r="CV3784" s="128"/>
      <c r="CW3784" s="128"/>
      <c r="CX3784" s="128"/>
      <c r="CY3784" s="128"/>
      <c r="CZ3784" s="165"/>
    </row>
    <row r="3785" spans="1:104">
      <c r="A3785" s="149"/>
      <c r="B3785" s="149"/>
      <c r="C3785" s="150"/>
      <c r="D3785" s="102"/>
      <c r="E3785" s="149"/>
      <c r="F3785" s="149"/>
      <c r="G3785" s="149"/>
      <c r="H3785" s="149"/>
      <c r="I3785" s="149"/>
      <c r="J3785" s="149"/>
      <c r="K3785" s="149"/>
      <c r="L3785" s="149"/>
      <c r="M3785" s="149"/>
      <c r="N3785" s="149"/>
      <c r="O3785" s="149"/>
      <c r="P3785" s="149"/>
      <c r="Q3785" s="149"/>
      <c r="R3785" s="149"/>
      <c r="S3785" s="149"/>
      <c r="T3785" s="149"/>
      <c r="U3785" s="149"/>
      <c r="V3785" s="149"/>
      <c r="W3785" s="149"/>
      <c r="X3785" s="149"/>
      <c r="Y3785" s="149"/>
      <c r="Z3785" s="149"/>
      <c r="AA3785" s="149"/>
      <c r="AB3785" s="149"/>
      <c r="AC3785" s="149"/>
      <c r="AD3785" s="149"/>
      <c r="AE3785" s="149"/>
      <c r="AF3785" s="149"/>
      <c r="AG3785" s="149"/>
      <c r="AH3785" s="149"/>
      <c r="AI3785" s="149"/>
      <c r="AJ3785" s="149"/>
      <c r="AK3785" s="149"/>
      <c r="AL3785" s="149"/>
      <c r="AM3785" s="149"/>
      <c r="AN3785" s="149"/>
      <c r="AO3785" s="128"/>
      <c r="AP3785" s="128"/>
      <c r="AQ3785" s="128"/>
      <c r="AR3785" s="128"/>
      <c r="AS3785" s="128"/>
      <c r="AT3785" s="128"/>
      <c r="AU3785" s="128"/>
      <c r="AV3785" s="128"/>
      <c r="AW3785" s="128"/>
      <c r="AX3785" s="128"/>
      <c r="AY3785" s="128"/>
      <c r="AZ3785" s="128"/>
      <c r="BA3785" s="128"/>
      <c r="BB3785" s="128"/>
      <c r="BC3785" s="128"/>
      <c r="BD3785" s="128"/>
      <c r="BE3785" s="128"/>
      <c r="BF3785" s="128"/>
      <c r="BG3785" s="128"/>
      <c r="BH3785" s="128"/>
      <c r="BI3785" s="128"/>
      <c r="BJ3785" s="128"/>
      <c r="BK3785" s="128"/>
      <c r="BL3785" s="128"/>
      <c r="BM3785" s="151"/>
      <c r="BN3785" s="128"/>
      <c r="BO3785" s="128"/>
      <c r="BP3785" s="128"/>
      <c r="BQ3785" s="128"/>
      <c r="BR3785" s="128"/>
      <c r="BS3785" s="128"/>
      <c r="BT3785" s="128"/>
      <c r="BU3785" s="128"/>
      <c r="BV3785" s="128"/>
      <c r="BW3785" s="128"/>
      <c r="BX3785" s="128"/>
      <c r="BY3785" s="128"/>
      <c r="BZ3785" s="128"/>
      <c r="CA3785" s="128"/>
      <c r="CB3785" s="128"/>
      <c r="CC3785" s="128"/>
      <c r="CD3785" s="128"/>
      <c r="CE3785" s="128"/>
      <c r="CF3785" s="128"/>
      <c r="CG3785" s="128"/>
      <c r="CI3785" s="128"/>
      <c r="CJ3785" s="128"/>
      <c r="CK3785" s="128"/>
      <c r="CL3785" s="128"/>
      <c r="CM3785" s="128"/>
      <c r="CN3785" s="128"/>
      <c r="CO3785" s="128"/>
      <c r="CP3785" s="128"/>
      <c r="CQ3785" s="128"/>
      <c r="CR3785" s="128"/>
      <c r="CS3785" s="128"/>
      <c r="CT3785" s="128"/>
      <c r="CU3785" s="128"/>
      <c r="CV3785" s="128"/>
      <c r="CW3785" s="128"/>
      <c r="CX3785" s="128"/>
      <c r="CY3785" s="128"/>
      <c r="CZ3785" s="165"/>
    </row>
    <row r="3786" spans="1:104">
      <c r="A3786" s="149"/>
      <c r="B3786" s="149"/>
      <c r="C3786" s="150"/>
      <c r="D3786" s="102"/>
      <c r="E3786" s="149"/>
      <c r="F3786" s="149"/>
      <c r="G3786" s="149"/>
      <c r="H3786" s="149"/>
      <c r="I3786" s="149"/>
      <c r="J3786" s="149"/>
      <c r="K3786" s="149"/>
      <c r="L3786" s="149"/>
      <c r="M3786" s="149"/>
      <c r="N3786" s="149"/>
      <c r="O3786" s="149"/>
      <c r="P3786" s="149"/>
      <c r="Q3786" s="149"/>
      <c r="R3786" s="149"/>
      <c r="S3786" s="149"/>
      <c r="T3786" s="149"/>
      <c r="U3786" s="149"/>
      <c r="V3786" s="149"/>
      <c r="W3786" s="149"/>
      <c r="X3786" s="149"/>
      <c r="Y3786" s="149"/>
      <c r="Z3786" s="149"/>
      <c r="AA3786" s="149"/>
      <c r="AB3786" s="149"/>
      <c r="AC3786" s="149"/>
      <c r="AD3786" s="149"/>
      <c r="AE3786" s="149"/>
      <c r="AF3786" s="149"/>
      <c r="AG3786" s="149"/>
      <c r="AH3786" s="149"/>
      <c r="AI3786" s="149"/>
      <c r="AJ3786" s="149"/>
      <c r="AK3786" s="149"/>
      <c r="AL3786" s="149"/>
      <c r="AM3786" s="149"/>
      <c r="AN3786" s="149"/>
      <c r="AO3786" s="128"/>
      <c r="AP3786" s="128"/>
      <c r="AQ3786" s="128"/>
      <c r="AR3786" s="128"/>
      <c r="AS3786" s="128"/>
      <c r="AT3786" s="128"/>
      <c r="AU3786" s="128"/>
      <c r="AV3786" s="128"/>
      <c r="AW3786" s="128"/>
      <c r="AX3786" s="128"/>
      <c r="AY3786" s="128"/>
      <c r="AZ3786" s="128"/>
      <c r="BA3786" s="128"/>
      <c r="BB3786" s="128"/>
      <c r="BC3786" s="128"/>
      <c r="BD3786" s="128"/>
      <c r="BE3786" s="128"/>
      <c r="BF3786" s="128"/>
      <c r="BG3786" s="128"/>
      <c r="BH3786" s="128"/>
      <c r="BI3786" s="128"/>
      <c r="BJ3786" s="128"/>
      <c r="BK3786" s="128"/>
      <c r="BL3786" s="128"/>
      <c r="BM3786" s="151"/>
      <c r="BN3786" s="128"/>
      <c r="BO3786" s="128"/>
      <c r="BP3786" s="128"/>
      <c r="BQ3786" s="128"/>
      <c r="BR3786" s="128"/>
      <c r="BS3786" s="128"/>
      <c r="BT3786" s="128"/>
      <c r="BU3786" s="128"/>
      <c r="BV3786" s="128"/>
      <c r="BW3786" s="128"/>
      <c r="BX3786" s="128"/>
      <c r="BY3786" s="128"/>
      <c r="BZ3786" s="128"/>
      <c r="CA3786" s="128"/>
      <c r="CB3786" s="128"/>
      <c r="CC3786" s="128"/>
      <c r="CD3786" s="128"/>
      <c r="CE3786" s="128"/>
      <c r="CF3786" s="128"/>
      <c r="CG3786" s="128"/>
      <c r="CI3786" s="128"/>
      <c r="CJ3786" s="128"/>
      <c r="CK3786" s="128"/>
      <c r="CL3786" s="128"/>
      <c r="CM3786" s="128"/>
      <c r="CN3786" s="128"/>
      <c r="CO3786" s="128"/>
      <c r="CP3786" s="128"/>
      <c r="CQ3786" s="128"/>
      <c r="CR3786" s="128"/>
      <c r="CS3786" s="128"/>
      <c r="CT3786" s="128"/>
      <c r="CU3786" s="128"/>
      <c r="CV3786" s="128"/>
      <c r="CW3786" s="128"/>
      <c r="CX3786" s="128"/>
      <c r="CY3786" s="128"/>
      <c r="CZ3786" s="165"/>
    </row>
    <row r="3787" spans="1:104">
      <c r="A3787" s="149"/>
      <c r="B3787" s="149"/>
      <c r="C3787" s="150"/>
      <c r="D3787" s="102"/>
      <c r="E3787" s="149"/>
      <c r="F3787" s="149"/>
      <c r="G3787" s="149"/>
      <c r="H3787" s="149"/>
      <c r="I3787" s="149"/>
      <c r="J3787" s="149"/>
      <c r="K3787" s="149"/>
      <c r="L3787" s="149"/>
      <c r="M3787" s="149"/>
      <c r="N3787" s="149"/>
      <c r="O3787" s="149"/>
      <c r="P3787" s="149"/>
      <c r="Q3787" s="149"/>
      <c r="R3787" s="149"/>
      <c r="S3787" s="149"/>
      <c r="T3787" s="149"/>
      <c r="U3787" s="149"/>
      <c r="V3787" s="149"/>
      <c r="W3787" s="149"/>
      <c r="X3787" s="149"/>
      <c r="Y3787" s="149"/>
      <c r="Z3787" s="149"/>
      <c r="AA3787" s="149"/>
      <c r="AB3787" s="149"/>
      <c r="AC3787" s="149"/>
      <c r="AD3787" s="149"/>
      <c r="AE3787" s="149"/>
      <c r="AF3787" s="149"/>
      <c r="AG3787" s="149"/>
      <c r="AH3787" s="149"/>
      <c r="AI3787" s="149"/>
      <c r="AJ3787" s="149"/>
      <c r="AK3787" s="149"/>
      <c r="AL3787" s="149"/>
      <c r="AM3787" s="149"/>
      <c r="AN3787" s="149"/>
      <c r="AO3787" s="128"/>
      <c r="AP3787" s="128"/>
      <c r="AQ3787" s="128"/>
      <c r="AR3787" s="128"/>
      <c r="AS3787" s="128"/>
      <c r="AT3787" s="128"/>
      <c r="AU3787" s="128"/>
      <c r="AV3787" s="128"/>
      <c r="AW3787" s="128"/>
      <c r="AX3787" s="128"/>
      <c r="AY3787" s="128"/>
      <c r="AZ3787" s="128"/>
      <c r="BA3787" s="128"/>
      <c r="BB3787" s="128"/>
      <c r="BC3787" s="128"/>
      <c r="BD3787" s="128"/>
      <c r="BE3787" s="128"/>
      <c r="BF3787" s="128"/>
      <c r="BG3787" s="128"/>
      <c r="BH3787" s="128"/>
      <c r="BI3787" s="128"/>
      <c r="BJ3787" s="128"/>
      <c r="BK3787" s="128"/>
      <c r="BL3787" s="128"/>
      <c r="BM3787" s="151"/>
      <c r="BN3787" s="128"/>
      <c r="BO3787" s="128"/>
      <c r="BP3787" s="128"/>
      <c r="BQ3787" s="128"/>
      <c r="BR3787" s="128"/>
      <c r="BS3787" s="128"/>
      <c r="BT3787" s="128"/>
      <c r="BU3787" s="128"/>
      <c r="BV3787" s="128"/>
      <c r="BW3787" s="128"/>
      <c r="BX3787" s="128"/>
      <c r="BY3787" s="128"/>
      <c r="BZ3787" s="128"/>
      <c r="CA3787" s="128"/>
      <c r="CB3787" s="128"/>
      <c r="CC3787" s="128"/>
      <c r="CD3787" s="128"/>
      <c r="CE3787" s="128"/>
      <c r="CF3787" s="128"/>
      <c r="CG3787" s="128"/>
      <c r="CI3787" s="128"/>
      <c r="CJ3787" s="128"/>
      <c r="CK3787" s="128"/>
      <c r="CL3787" s="128"/>
      <c r="CM3787" s="128"/>
      <c r="CN3787" s="128"/>
      <c r="CO3787" s="128"/>
      <c r="CP3787" s="128"/>
      <c r="CQ3787" s="128"/>
      <c r="CR3787" s="128"/>
      <c r="CS3787" s="128"/>
      <c r="CT3787" s="128"/>
      <c r="CU3787" s="128"/>
      <c r="CV3787" s="128"/>
      <c r="CW3787" s="128"/>
      <c r="CX3787" s="128"/>
      <c r="CY3787" s="128"/>
      <c r="CZ3787" s="165"/>
    </row>
    <row r="3788" spans="1:104">
      <c r="A3788" s="149"/>
      <c r="B3788" s="149"/>
      <c r="C3788" s="150"/>
      <c r="D3788" s="102"/>
      <c r="E3788" s="149"/>
      <c r="F3788" s="149"/>
      <c r="G3788" s="149"/>
      <c r="H3788" s="149"/>
      <c r="I3788" s="149"/>
      <c r="J3788" s="149"/>
      <c r="K3788" s="149"/>
      <c r="L3788" s="149"/>
      <c r="M3788" s="149"/>
      <c r="N3788" s="149"/>
      <c r="O3788" s="149"/>
      <c r="P3788" s="149"/>
      <c r="Q3788" s="149"/>
      <c r="R3788" s="149"/>
      <c r="S3788" s="149"/>
      <c r="T3788" s="149"/>
      <c r="U3788" s="149"/>
      <c r="V3788" s="149"/>
      <c r="W3788" s="149"/>
      <c r="X3788" s="149"/>
      <c r="Y3788" s="149"/>
      <c r="Z3788" s="149"/>
      <c r="AA3788" s="149"/>
      <c r="AB3788" s="149"/>
      <c r="AC3788" s="149"/>
      <c r="AD3788" s="149"/>
      <c r="AE3788" s="149"/>
      <c r="AF3788" s="149"/>
      <c r="AG3788" s="149"/>
      <c r="AH3788" s="149"/>
      <c r="AI3788" s="149"/>
      <c r="AJ3788" s="149"/>
      <c r="AK3788" s="149"/>
      <c r="AL3788" s="149"/>
      <c r="AM3788" s="149"/>
      <c r="AN3788" s="149"/>
      <c r="AO3788" s="128"/>
      <c r="AP3788" s="128"/>
      <c r="AQ3788" s="128"/>
      <c r="AR3788" s="128"/>
      <c r="AS3788" s="128"/>
      <c r="AT3788" s="128"/>
      <c r="AU3788" s="128"/>
      <c r="AV3788" s="128"/>
      <c r="AW3788" s="128"/>
      <c r="AX3788" s="128"/>
      <c r="AY3788" s="128"/>
      <c r="AZ3788" s="128"/>
      <c r="BA3788" s="128"/>
      <c r="BB3788" s="128"/>
      <c r="BC3788" s="128"/>
      <c r="BD3788" s="128"/>
      <c r="BE3788" s="128"/>
      <c r="BF3788" s="128"/>
      <c r="BG3788" s="128"/>
      <c r="BH3788" s="128"/>
      <c r="BI3788" s="128"/>
      <c r="BJ3788" s="128"/>
      <c r="BK3788" s="128"/>
      <c r="BL3788" s="128"/>
      <c r="BM3788" s="151"/>
      <c r="BN3788" s="128"/>
      <c r="BO3788" s="128"/>
      <c r="BP3788" s="128"/>
      <c r="BQ3788" s="128"/>
      <c r="BR3788" s="128"/>
      <c r="BS3788" s="128"/>
      <c r="BT3788" s="128"/>
      <c r="BU3788" s="128"/>
      <c r="BV3788" s="128"/>
      <c r="BW3788" s="128"/>
      <c r="BX3788" s="128"/>
      <c r="BY3788" s="128"/>
      <c r="BZ3788" s="128"/>
      <c r="CA3788" s="128"/>
      <c r="CB3788" s="128"/>
      <c r="CC3788" s="128"/>
      <c r="CD3788" s="128"/>
      <c r="CE3788" s="128"/>
      <c r="CF3788" s="128"/>
      <c r="CG3788" s="128"/>
      <c r="CI3788" s="128"/>
      <c r="CJ3788" s="128"/>
      <c r="CK3788" s="128"/>
      <c r="CL3788" s="128"/>
      <c r="CM3788" s="128"/>
      <c r="CN3788" s="128"/>
      <c r="CO3788" s="128"/>
      <c r="CP3788" s="128"/>
      <c r="CQ3788" s="128"/>
      <c r="CR3788" s="128"/>
      <c r="CS3788" s="128"/>
      <c r="CT3788" s="128"/>
      <c r="CU3788" s="128"/>
      <c r="CV3788" s="128"/>
      <c r="CW3788" s="128"/>
      <c r="CX3788" s="128"/>
      <c r="CY3788" s="128"/>
      <c r="CZ3788" s="165"/>
    </row>
    <row r="3789" spans="1:104">
      <c r="A3789" s="149"/>
      <c r="B3789" s="149"/>
      <c r="C3789" s="150"/>
      <c r="D3789" s="102"/>
      <c r="E3789" s="149"/>
      <c r="F3789" s="149"/>
      <c r="G3789" s="149"/>
      <c r="H3789" s="149"/>
      <c r="I3789" s="149"/>
      <c r="J3789" s="149"/>
      <c r="K3789" s="149"/>
      <c r="L3789" s="149"/>
      <c r="M3789" s="149"/>
      <c r="N3789" s="149"/>
      <c r="O3789" s="149"/>
      <c r="P3789" s="149"/>
      <c r="Q3789" s="149"/>
      <c r="R3789" s="149"/>
      <c r="S3789" s="149"/>
      <c r="T3789" s="149"/>
      <c r="U3789" s="149"/>
      <c r="V3789" s="149"/>
      <c r="W3789" s="149"/>
      <c r="X3789" s="149"/>
      <c r="Y3789" s="149"/>
      <c r="Z3789" s="149"/>
      <c r="AA3789" s="149"/>
      <c r="AB3789" s="149"/>
      <c r="AC3789" s="149"/>
      <c r="AD3789" s="149"/>
      <c r="AE3789" s="149"/>
      <c r="AF3789" s="149"/>
      <c r="AG3789" s="149"/>
      <c r="AH3789" s="149"/>
      <c r="AI3789" s="149"/>
      <c r="AJ3789" s="149"/>
      <c r="AK3789" s="149"/>
      <c r="AL3789" s="149"/>
      <c r="AM3789" s="149"/>
      <c r="AN3789" s="149"/>
      <c r="AO3789" s="128"/>
      <c r="AP3789" s="128"/>
      <c r="AQ3789" s="128"/>
      <c r="AR3789" s="128"/>
      <c r="AS3789" s="128"/>
      <c r="AT3789" s="128"/>
      <c r="AU3789" s="128"/>
      <c r="AV3789" s="128"/>
      <c r="AW3789" s="128"/>
      <c r="AX3789" s="128"/>
      <c r="AY3789" s="128"/>
      <c r="AZ3789" s="128"/>
      <c r="BA3789" s="128"/>
      <c r="BB3789" s="128"/>
      <c r="BC3789" s="128"/>
      <c r="BD3789" s="128"/>
      <c r="BE3789" s="128"/>
      <c r="BF3789" s="128"/>
      <c r="BG3789" s="128"/>
      <c r="BH3789" s="128"/>
      <c r="BI3789" s="128"/>
      <c r="BJ3789" s="128"/>
      <c r="BK3789" s="128"/>
      <c r="BL3789" s="128"/>
      <c r="BM3789" s="151"/>
      <c r="BN3789" s="128"/>
      <c r="BO3789" s="128"/>
      <c r="BP3789" s="128"/>
      <c r="BQ3789" s="128"/>
      <c r="BR3789" s="128"/>
      <c r="BS3789" s="128"/>
      <c r="BT3789" s="128"/>
      <c r="BU3789" s="128"/>
      <c r="BV3789" s="128"/>
      <c r="BW3789" s="128"/>
      <c r="BX3789" s="128"/>
      <c r="BY3789" s="128"/>
      <c r="BZ3789" s="128"/>
      <c r="CA3789" s="128"/>
      <c r="CB3789" s="128"/>
      <c r="CC3789" s="128"/>
      <c r="CD3789" s="128"/>
      <c r="CE3789" s="128"/>
      <c r="CF3789" s="128"/>
      <c r="CG3789" s="128"/>
      <c r="CI3789" s="128"/>
      <c r="CJ3789" s="128"/>
      <c r="CK3789" s="128"/>
      <c r="CL3789" s="128"/>
      <c r="CM3789" s="128"/>
      <c r="CN3789" s="128"/>
      <c r="CO3789" s="128"/>
      <c r="CP3789" s="128"/>
      <c r="CQ3789" s="128"/>
      <c r="CR3789" s="128"/>
      <c r="CS3789" s="128"/>
      <c r="CT3789" s="128"/>
      <c r="CU3789" s="128"/>
      <c r="CV3789" s="128"/>
      <c r="CW3789" s="128"/>
      <c r="CX3789" s="128"/>
      <c r="CY3789" s="128"/>
      <c r="CZ3789" s="165"/>
    </row>
    <row r="3790" spans="1:104">
      <c r="A3790" s="149"/>
      <c r="B3790" s="149"/>
      <c r="C3790" s="150"/>
      <c r="D3790" s="102"/>
      <c r="E3790" s="149"/>
      <c r="F3790" s="149"/>
      <c r="G3790" s="149"/>
      <c r="H3790" s="149"/>
      <c r="I3790" s="149"/>
      <c r="J3790" s="149"/>
      <c r="K3790" s="149"/>
      <c r="L3790" s="149"/>
      <c r="M3790" s="149"/>
      <c r="N3790" s="149"/>
      <c r="O3790" s="149"/>
      <c r="P3790" s="149"/>
      <c r="Q3790" s="149"/>
      <c r="R3790" s="149"/>
      <c r="S3790" s="149"/>
      <c r="T3790" s="149"/>
      <c r="U3790" s="149"/>
      <c r="V3790" s="149"/>
      <c r="W3790" s="149"/>
      <c r="X3790" s="149"/>
      <c r="Y3790" s="149"/>
      <c r="Z3790" s="149"/>
      <c r="AA3790" s="149"/>
      <c r="AB3790" s="149"/>
      <c r="AC3790" s="149"/>
      <c r="AD3790" s="149"/>
      <c r="AE3790" s="149"/>
      <c r="AF3790" s="149"/>
      <c r="AG3790" s="149"/>
      <c r="AH3790" s="149"/>
      <c r="AI3790" s="149"/>
      <c r="AJ3790" s="149"/>
      <c r="AK3790" s="149"/>
      <c r="AL3790" s="149"/>
      <c r="AM3790" s="149"/>
      <c r="AN3790" s="149"/>
      <c r="AO3790" s="128"/>
      <c r="AP3790" s="128"/>
      <c r="AQ3790" s="128"/>
      <c r="AR3790" s="128"/>
      <c r="AS3790" s="128"/>
      <c r="AT3790" s="128"/>
      <c r="AU3790" s="128"/>
      <c r="AV3790" s="128"/>
      <c r="AW3790" s="128"/>
      <c r="AX3790" s="128"/>
      <c r="AY3790" s="128"/>
      <c r="AZ3790" s="128"/>
      <c r="BA3790" s="128"/>
      <c r="BB3790" s="128"/>
      <c r="BC3790" s="128"/>
      <c r="BD3790" s="128"/>
      <c r="BE3790" s="128"/>
      <c r="BF3790" s="128"/>
      <c r="BG3790" s="128"/>
      <c r="BH3790" s="128"/>
      <c r="BI3790" s="128"/>
      <c r="BJ3790" s="128"/>
      <c r="BK3790" s="128"/>
      <c r="BL3790" s="128"/>
      <c r="BM3790" s="151"/>
      <c r="BN3790" s="128"/>
      <c r="BO3790" s="128"/>
      <c r="BP3790" s="128"/>
      <c r="BQ3790" s="128"/>
      <c r="BR3790" s="128"/>
      <c r="BS3790" s="128"/>
      <c r="BT3790" s="128"/>
      <c r="BU3790" s="128"/>
      <c r="BV3790" s="128"/>
      <c r="BW3790" s="128"/>
      <c r="BX3790" s="128"/>
      <c r="BY3790" s="128"/>
      <c r="BZ3790" s="128"/>
      <c r="CA3790" s="128"/>
      <c r="CB3790" s="128"/>
      <c r="CC3790" s="128"/>
      <c r="CD3790" s="128"/>
      <c r="CE3790" s="128"/>
      <c r="CF3790" s="128"/>
      <c r="CG3790" s="128"/>
      <c r="CI3790" s="128"/>
      <c r="CJ3790" s="128"/>
      <c r="CK3790" s="128"/>
      <c r="CL3790" s="128"/>
      <c r="CM3790" s="128"/>
      <c r="CN3790" s="128"/>
      <c r="CO3790" s="128"/>
      <c r="CP3790" s="128"/>
      <c r="CQ3790" s="128"/>
      <c r="CR3790" s="128"/>
      <c r="CS3790" s="128"/>
      <c r="CT3790" s="128"/>
      <c r="CU3790" s="128"/>
      <c r="CV3790" s="128"/>
      <c r="CW3790" s="128"/>
      <c r="CX3790" s="128"/>
      <c r="CY3790" s="128"/>
      <c r="CZ3790" s="165"/>
    </row>
    <row r="3791" spans="1:104">
      <c r="A3791" s="149"/>
      <c r="B3791" s="149"/>
      <c r="C3791" s="150"/>
      <c r="D3791" s="102"/>
      <c r="E3791" s="149"/>
      <c r="F3791" s="149"/>
      <c r="G3791" s="149"/>
      <c r="H3791" s="149"/>
      <c r="I3791" s="149"/>
      <c r="J3791" s="149"/>
      <c r="K3791" s="149"/>
      <c r="L3791" s="149"/>
      <c r="M3791" s="149"/>
      <c r="N3791" s="149"/>
      <c r="O3791" s="149"/>
      <c r="P3791" s="149"/>
      <c r="Q3791" s="149"/>
      <c r="R3791" s="149"/>
      <c r="S3791" s="149"/>
      <c r="T3791" s="149"/>
      <c r="U3791" s="149"/>
      <c r="V3791" s="149"/>
      <c r="W3791" s="149"/>
      <c r="X3791" s="149"/>
      <c r="Y3791" s="149"/>
      <c r="Z3791" s="149"/>
      <c r="AA3791" s="149"/>
      <c r="AB3791" s="149"/>
      <c r="AC3791" s="149"/>
      <c r="AD3791" s="149"/>
      <c r="AE3791" s="149"/>
      <c r="AF3791" s="149"/>
      <c r="AG3791" s="149"/>
      <c r="AH3791" s="149"/>
      <c r="AI3791" s="149"/>
      <c r="AJ3791" s="149"/>
      <c r="AK3791" s="149"/>
      <c r="AL3791" s="149"/>
      <c r="AM3791" s="149"/>
      <c r="AN3791" s="149"/>
      <c r="AO3791" s="128"/>
      <c r="AP3791" s="128"/>
      <c r="AQ3791" s="128"/>
      <c r="AR3791" s="128"/>
      <c r="AS3791" s="128"/>
      <c r="AT3791" s="128"/>
      <c r="AU3791" s="128"/>
      <c r="AV3791" s="128"/>
      <c r="AW3791" s="128"/>
      <c r="AX3791" s="128"/>
      <c r="AY3791" s="128"/>
      <c r="AZ3791" s="128"/>
      <c r="BA3791" s="128"/>
      <c r="BB3791" s="128"/>
      <c r="BC3791" s="128"/>
      <c r="BD3791" s="128"/>
      <c r="BE3791" s="128"/>
      <c r="BF3791" s="128"/>
      <c r="BG3791" s="128"/>
      <c r="BH3791" s="128"/>
      <c r="BI3791" s="128"/>
      <c r="BJ3791" s="128"/>
      <c r="BK3791" s="128"/>
      <c r="BL3791" s="128"/>
      <c r="BM3791" s="151"/>
      <c r="BN3791" s="128"/>
      <c r="BO3791" s="128"/>
      <c r="BP3791" s="128"/>
      <c r="BQ3791" s="128"/>
      <c r="BR3791" s="128"/>
      <c r="BS3791" s="128"/>
      <c r="BT3791" s="128"/>
      <c r="BU3791" s="128"/>
      <c r="BV3791" s="128"/>
      <c r="BW3791" s="128"/>
      <c r="BX3791" s="128"/>
      <c r="BY3791" s="128"/>
      <c r="BZ3791" s="128"/>
      <c r="CA3791" s="128"/>
      <c r="CB3791" s="128"/>
      <c r="CC3791" s="128"/>
      <c r="CD3791" s="128"/>
      <c r="CE3791" s="128"/>
      <c r="CF3791" s="128"/>
      <c r="CG3791" s="128"/>
      <c r="CI3791" s="128"/>
      <c r="CJ3791" s="128"/>
      <c r="CK3791" s="128"/>
      <c r="CL3791" s="128"/>
      <c r="CM3791" s="128"/>
      <c r="CN3791" s="128"/>
      <c r="CO3791" s="128"/>
      <c r="CP3791" s="128"/>
      <c r="CQ3791" s="128"/>
      <c r="CR3791" s="128"/>
      <c r="CS3791" s="128"/>
      <c r="CT3791" s="128"/>
      <c r="CU3791" s="128"/>
      <c r="CV3791" s="128"/>
      <c r="CW3791" s="128"/>
      <c r="CX3791" s="128"/>
      <c r="CY3791" s="128"/>
      <c r="CZ3791" s="165"/>
    </row>
    <row r="3792" spans="1:104">
      <c r="A3792" s="149"/>
      <c r="B3792" s="149"/>
      <c r="C3792" s="150"/>
      <c r="D3792" s="102"/>
      <c r="E3792" s="149"/>
      <c r="F3792" s="149"/>
      <c r="G3792" s="149"/>
      <c r="H3792" s="149"/>
      <c r="I3792" s="149"/>
      <c r="J3792" s="149"/>
      <c r="K3792" s="149"/>
      <c r="L3792" s="149"/>
      <c r="M3792" s="149"/>
      <c r="N3792" s="149"/>
      <c r="O3792" s="149"/>
      <c r="P3792" s="149"/>
      <c r="Q3792" s="149"/>
      <c r="R3792" s="149"/>
      <c r="S3792" s="149"/>
      <c r="T3792" s="149"/>
      <c r="U3792" s="149"/>
      <c r="V3792" s="149"/>
      <c r="W3792" s="149"/>
      <c r="X3792" s="149"/>
      <c r="Y3792" s="149"/>
      <c r="Z3792" s="149"/>
      <c r="AA3792" s="149"/>
      <c r="AB3792" s="149"/>
      <c r="AC3792" s="149"/>
      <c r="AD3792" s="149"/>
      <c r="AE3792" s="149"/>
      <c r="AF3792" s="149"/>
      <c r="AG3792" s="149"/>
      <c r="AH3792" s="149"/>
      <c r="AI3792" s="149"/>
      <c r="AJ3792" s="149"/>
      <c r="AK3792" s="149"/>
      <c r="AL3792" s="149"/>
      <c r="AM3792" s="149"/>
      <c r="AN3792" s="149"/>
      <c r="AO3792" s="128"/>
      <c r="AP3792" s="128"/>
      <c r="AQ3792" s="128"/>
      <c r="AR3792" s="128"/>
      <c r="AS3792" s="128"/>
      <c r="AT3792" s="128"/>
      <c r="AU3792" s="128"/>
      <c r="AV3792" s="128"/>
      <c r="AW3792" s="128"/>
      <c r="AX3792" s="128"/>
      <c r="AY3792" s="128"/>
      <c r="AZ3792" s="128"/>
      <c r="BA3792" s="128"/>
      <c r="BB3792" s="128"/>
      <c r="BC3792" s="128"/>
      <c r="BD3792" s="128"/>
      <c r="BE3792" s="128"/>
      <c r="BF3792" s="128"/>
      <c r="BG3792" s="128"/>
      <c r="BH3792" s="128"/>
      <c r="BI3792" s="128"/>
      <c r="BJ3792" s="128"/>
      <c r="BK3792" s="128"/>
      <c r="BL3792" s="128"/>
      <c r="BM3792" s="151"/>
      <c r="BN3792" s="128"/>
      <c r="BO3792" s="128"/>
      <c r="BP3792" s="128"/>
      <c r="BQ3792" s="128"/>
      <c r="BR3792" s="128"/>
      <c r="BS3792" s="128"/>
      <c r="BT3792" s="128"/>
      <c r="BU3792" s="128"/>
      <c r="BV3792" s="128"/>
      <c r="BW3792" s="128"/>
      <c r="BX3792" s="128"/>
      <c r="BY3792" s="128"/>
      <c r="BZ3792" s="128"/>
      <c r="CA3792" s="128"/>
      <c r="CB3792" s="128"/>
      <c r="CC3792" s="128"/>
      <c r="CD3792" s="128"/>
      <c r="CE3792" s="128"/>
      <c r="CF3792" s="128"/>
      <c r="CG3792" s="128"/>
      <c r="CI3792" s="128"/>
      <c r="CJ3792" s="128"/>
      <c r="CK3792" s="128"/>
      <c r="CL3792" s="128"/>
      <c r="CM3792" s="128"/>
      <c r="CN3792" s="128"/>
      <c r="CO3792" s="128"/>
      <c r="CP3792" s="128"/>
      <c r="CQ3792" s="128"/>
      <c r="CR3792" s="128"/>
      <c r="CS3792" s="128"/>
      <c r="CT3792" s="128"/>
      <c r="CU3792" s="128"/>
      <c r="CV3792" s="128"/>
      <c r="CW3792" s="128"/>
      <c r="CX3792" s="128"/>
      <c r="CY3792" s="128"/>
      <c r="CZ3792" s="165"/>
    </row>
    <row r="3793" spans="1:104">
      <c r="A3793" s="149"/>
      <c r="B3793" s="149"/>
      <c r="C3793" s="150"/>
      <c r="D3793" s="102"/>
      <c r="E3793" s="149"/>
      <c r="F3793" s="149"/>
      <c r="G3793" s="149"/>
      <c r="H3793" s="149"/>
      <c r="I3793" s="149"/>
      <c r="J3793" s="149"/>
      <c r="K3793" s="149"/>
      <c r="L3793" s="149"/>
      <c r="M3793" s="149"/>
      <c r="N3793" s="149"/>
      <c r="O3793" s="149"/>
      <c r="P3793" s="149"/>
      <c r="Q3793" s="149"/>
      <c r="R3793" s="149"/>
      <c r="S3793" s="149"/>
      <c r="T3793" s="149"/>
      <c r="U3793" s="149"/>
      <c r="V3793" s="149"/>
      <c r="W3793" s="149"/>
      <c r="X3793" s="149"/>
      <c r="Y3793" s="149"/>
      <c r="Z3793" s="149"/>
      <c r="AA3793" s="149"/>
      <c r="AB3793" s="149"/>
      <c r="AC3793" s="149"/>
      <c r="AD3793" s="149"/>
      <c r="AE3793" s="149"/>
      <c r="AF3793" s="149"/>
      <c r="AG3793" s="149"/>
      <c r="AH3793" s="149"/>
      <c r="AI3793" s="149"/>
      <c r="AJ3793" s="149"/>
      <c r="AK3793" s="149"/>
      <c r="AL3793" s="149"/>
      <c r="AM3793" s="149"/>
      <c r="AN3793" s="149"/>
      <c r="AO3793" s="128"/>
      <c r="AP3793" s="128"/>
      <c r="AQ3793" s="128"/>
      <c r="AR3793" s="128"/>
      <c r="AS3793" s="128"/>
      <c r="AT3793" s="128"/>
      <c r="AU3793" s="128"/>
      <c r="AV3793" s="128"/>
      <c r="AW3793" s="128"/>
      <c r="AX3793" s="128"/>
      <c r="AY3793" s="128"/>
      <c r="AZ3793" s="128"/>
      <c r="BA3793" s="128"/>
      <c r="BB3793" s="128"/>
      <c r="BC3793" s="128"/>
      <c r="BD3793" s="128"/>
      <c r="BE3793" s="128"/>
      <c r="BF3793" s="128"/>
      <c r="BG3793" s="128"/>
      <c r="BH3793" s="128"/>
      <c r="BI3793" s="128"/>
      <c r="BJ3793" s="128"/>
      <c r="BK3793" s="128"/>
      <c r="BL3793" s="128"/>
      <c r="BM3793" s="151"/>
      <c r="BN3793" s="128"/>
      <c r="BO3793" s="128"/>
      <c r="BP3793" s="128"/>
      <c r="BQ3793" s="128"/>
      <c r="BR3793" s="128"/>
      <c r="BS3793" s="128"/>
      <c r="BT3793" s="128"/>
      <c r="BU3793" s="128"/>
      <c r="BV3793" s="128"/>
      <c r="BW3793" s="128"/>
      <c r="BX3793" s="128"/>
      <c r="BY3793" s="128"/>
      <c r="BZ3793" s="128"/>
      <c r="CA3793" s="128"/>
      <c r="CB3793" s="128"/>
      <c r="CC3793" s="128"/>
      <c r="CD3793" s="128"/>
      <c r="CE3793" s="128"/>
      <c r="CF3793" s="128"/>
      <c r="CG3793" s="128"/>
      <c r="CI3793" s="128"/>
      <c r="CJ3793" s="128"/>
      <c r="CK3793" s="128"/>
      <c r="CL3793" s="128"/>
      <c r="CM3793" s="128"/>
      <c r="CN3793" s="128"/>
      <c r="CO3793" s="128"/>
      <c r="CP3793" s="128"/>
      <c r="CQ3793" s="128"/>
      <c r="CR3793" s="128"/>
      <c r="CS3793" s="128"/>
      <c r="CT3793" s="128"/>
      <c r="CU3793" s="128"/>
      <c r="CV3793" s="128"/>
      <c r="CW3793" s="128"/>
      <c r="CX3793" s="128"/>
      <c r="CY3793" s="128"/>
      <c r="CZ3793" s="165"/>
    </row>
    <row r="3794" spans="1:104">
      <c r="A3794" s="149"/>
      <c r="B3794" s="149"/>
      <c r="C3794" s="150"/>
      <c r="D3794" s="102"/>
      <c r="E3794" s="149"/>
      <c r="F3794" s="149"/>
      <c r="G3794" s="149"/>
      <c r="H3794" s="149"/>
      <c r="I3794" s="149"/>
      <c r="J3794" s="149"/>
      <c r="K3794" s="149"/>
      <c r="L3794" s="149"/>
      <c r="M3794" s="149"/>
      <c r="N3794" s="149"/>
      <c r="O3794" s="149"/>
      <c r="P3794" s="149"/>
      <c r="Q3794" s="149"/>
      <c r="R3794" s="149"/>
      <c r="S3794" s="149"/>
      <c r="T3794" s="149"/>
      <c r="U3794" s="149"/>
      <c r="V3794" s="149"/>
      <c r="W3794" s="149"/>
      <c r="X3794" s="149"/>
      <c r="Y3794" s="149"/>
      <c r="Z3794" s="149"/>
      <c r="AA3794" s="149"/>
      <c r="AB3794" s="149"/>
      <c r="AC3794" s="149"/>
      <c r="AD3794" s="149"/>
      <c r="AE3794" s="149"/>
      <c r="AF3794" s="149"/>
      <c r="AG3794" s="149"/>
      <c r="AH3794" s="149"/>
      <c r="AI3794" s="149"/>
      <c r="AJ3794" s="149"/>
      <c r="AK3794" s="149"/>
      <c r="AL3794" s="149"/>
      <c r="AM3794" s="149"/>
      <c r="AN3794" s="149"/>
      <c r="AO3794" s="128"/>
      <c r="AP3794" s="128"/>
      <c r="AQ3794" s="128"/>
      <c r="AR3794" s="128"/>
      <c r="AS3794" s="128"/>
      <c r="AT3794" s="128"/>
      <c r="AU3794" s="128"/>
      <c r="AV3794" s="128"/>
      <c r="AW3794" s="128"/>
      <c r="AX3794" s="128"/>
      <c r="AY3794" s="128"/>
      <c r="AZ3794" s="128"/>
      <c r="BA3794" s="128"/>
      <c r="BB3794" s="128"/>
      <c r="BC3794" s="128"/>
      <c r="BD3794" s="128"/>
      <c r="BE3794" s="128"/>
      <c r="BF3794" s="128"/>
      <c r="BG3794" s="128"/>
      <c r="BH3794" s="128"/>
      <c r="BI3794" s="128"/>
      <c r="BJ3794" s="128"/>
      <c r="BK3794" s="128"/>
      <c r="BL3794" s="128"/>
      <c r="BM3794" s="151"/>
      <c r="BN3794" s="128"/>
      <c r="BO3794" s="128"/>
      <c r="BP3794" s="128"/>
      <c r="BQ3794" s="128"/>
      <c r="BR3794" s="128"/>
      <c r="BS3794" s="128"/>
      <c r="BT3794" s="128"/>
      <c r="BU3794" s="128"/>
      <c r="BV3794" s="128"/>
      <c r="BW3794" s="128"/>
      <c r="BX3794" s="128"/>
      <c r="BY3794" s="128"/>
      <c r="BZ3794" s="128"/>
      <c r="CA3794" s="128"/>
      <c r="CB3794" s="128"/>
      <c r="CC3794" s="128"/>
      <c r="CD3794" s="128"/>
      <c r="CE3794" s="128"/>
      <c r="CF3794" s="128"/>
      <c r="CG3794" s="128"/>
      <c r="CI3794" s="128"/>
      <c r="CJ3794" s="128"/>
      <c r="CK3794" s="128"/>
      <c r="CL3794" s="128"/>
      <c r="CM3794" s="128"/>
      <c r="CN3794" s="128"/>
      <c r="CO3794" s="128"/>
      <c r="CP3794" s="128"/>
      <c r="CQ3794" s="128"/>
      <c r="CR3794" s="128"/>
      <c r="CS3794" s="128"/>
      <c r="CT3794" s="128"/>
      <c r="CU3794" s="128"/>
      <c r="CV3794" s="128"/>
      <c r="CW3794" s="128"/>
      <c r="CX3794" s="128"/>
      <c r="CY3794" s="128"/>
      <c r="CZ3794" s="165"/>
    </row>
    <row r="3795" spans="1:104">
      <c r="A3795" s="149"/>
      <c r="B3795" s="149"/>
      <c r="C3795" s="150"/>
      <c r="D3795" s="102"/>
      <c r="E3795" s="149"/>
      <c r="F3795" s="149"/>
      <c r="G3795" s="149"/>
      <c r="H3795" s="149"/>
      <c r="I3795" s="149"/>
      <c r="J3795" s="149"/>
      <c r="K3795" s="149"/>
      <c r="L3795" s="149"/>
      <c r="M3795" s="149"/>
      <c r="N3795" s="149"/>
      <c r="O3795" s="149"/>
      <c r="P3795" s="149"/>
      <c r="Q3795" s="149"/>
      <c r="R3795" s="149"/>
      <c r="S3795" s="149"/>
      <c r="T3795" s="149"/>
      <c r="U3795" s="149"/>
      <c r="V3795" s="149"/>
      <c r="W3795" s="149"/>
      <c r="X3795" s="149"/>
      <c r="Y3795" s="149"/>
      <c r="Z3795" s="149"/>
      <c r="AA3795" s="149"/>
      <c r="AB3795" s="149"/>
      <c r="AC3795" s="149"/>
      <c r="AD3795" s="149"/>
      <c r="AE3795" s="149"/>
      <c r="AF3795" s="149"/>
      <c r="AG3795" s="149"/>
      <c r="AH3795" s="149"/>
      <c r="AI3795" s="149"/>
      <c r="AJ3795" s="149"/>
      <c r="AK3795" s="149"/>
      <c r="AL3795" s="149"/>
      <c r="AM3795" s="149"/>
      <c r="AN3795" s="149"/>
      <c r="AO3795" s="128"/>
      <c r="AP3795" s="128"/>
      <c r="AQ3795" s="128"/>
      <c r="AR3795" s="128"/>
      <c r="AS3795" s="128"/>
      <c r="AT3795" s="128"/>
      <c r="AU3795" s="128"/>
      <c r="AV3795" s="128"/>
      <c r="AW3795" s="128"/>
      <c r="AX3795" s="128"/>
      <c r="AY3795" s="128"/>
      <c r="AZ3795" s="128"/>
      <c r="BA3795" s="128"/>
      <c r="BB3795" s="128"/>
      <c r="BC3795" s="128"/>
      <c r="BD3795" s="128"/>
      <c r="BE3795" s="128"/>
      <c r="BF3795" s="128"/>
      <c r="BG3795" s="128"/>
      <c r="BH3795" s="128"/>
      <c r="BI3795" s="128"/>
      <c r="BJ3795" s="128"/>
      <c r="BK3795" s="128"/>
      <c r="BL3795" s="128"/>
      <c r="BM3795" s="151"/>
      <c r="BN3795" s="128"/>
      <c r="BO3795" s="128"/>
      <c r="BP3795" s="128"/>
      <c r="BQ3795" s="128"/>
      <c r="BR3795" s="128"/>
      <c r="BS3795" s="128"/>
      <c r="BT3795" s="128"/>
      <c r="BU3795" s="128"/>
      <c r="BV3795" s="128"/>
      <c r="BW3795" s="128"/>
      <c r="BX3795" s="128"/>
      <c r="BY3795" s="128"/>
      <c r="BZ3795" s="128"/>
      <c r="CA3795" s="128"/>
      <c r="CB3795" s="128"/>
      <c r="CC3795" s="128"/>
      <c r="CD3795" s="128"/>
      <c r="CE3795" s="128"/>
      <c r="CF3795" s="128"/>
      <c r="CG3795" s="128"/>
      <c r="CI3795" s="128"/>
      <c r="CJ3795" s="128"/>
      <c r="CK3795" s="128"/>
      <c r="CL3795" s="128"/>
      <c r="CM3795" s="128"/>
      <c r="CN3795" s="128"/>
      <c r="CO3795" s="128"/>
      <c r="CP3795" s="128"/>
      <c r="CQ3795" s="128"/>
      <c r="CR3795" s="128"/>
      <c r="CS3795" s="128"/>
      <c r="CT3795" s="128"/>
      <c r="CU3795" s="128"/>
      <c r="CV3795" s="128"/>
      <c r="CW3795" s="128"/>
      <c r="CX3795" s="128"/>
      <c r="CY3795" s="128"/>
      <c r="CZ3795" s="165"/>
    </row>
    <row r="3796" spans="1:104">
      <c r="A3796" s="149"/>
      <c r="B3796" s="149"/>
      <c r="C3796" s="150"/>
      <c r="D3796" s="102"/>
      <c r="E3796" s="149"/>
      <c r="F3796" s="149"/>
      <c r="G3796" s="149"/>
      <c r="H3796" s="149"/>
      <c r="I3796" s="149"/>
      <c r="J3796" s="149"/>
      <c r="K3796" s="149"/>
      <c r="L3796" s="149"/>
      <c r="M3796" s="149"/>
      <c r="N3796" s="149"/>
      <c r="O3796" s="149"/>
      <c r="P3796" s="149"/>
      <c r="Q3796" s="149"/>
      <c r="R3796" s="149"/>
      <c r="S3796" s="149"/>
      <c r="T3796" s="149"/>
      <c r="U3796" s="149"/>
      <c r="V3796" s="149"/>
      <c r="W3796" s="149"/>
      <c r="X3796" s="149"/>
      <c r="Y3796" s="149"/>
      <c r="Z3796" s="149"/>
      <c r="AA3796" s="149"/>
      <c r="AB3796" s="149"/>
      <c r="AC3796" s="149"/>
      <c r="AD3796" s="149"/>
      <c r="AE3796" s="149"/>
      <c r="AF3796" s="149"/>
      <c r="AG3796" s="149"/>
      <c r="AH3796" s="149"/>
      <c r="AI3796" s="149"/>
      <c r="AJ3796" s="149"/>
      <c r="AK3796" s="149"/>
      <c r="AL3796" s="149"/>
      <c r="AM3796" s="149"/>
      <c r="AN3796" s="149"/>
      <c r="AO3796" s="128"/>
      <c r="AP3796" s="128"/>
      <c r="AQ3796" s="128"/>
      <c r="AR3796" s="128"/>
      <c r="AS3796" s="128"/>
      <c r="AT3796" s="128"/>
      <c r="AU3796" s="128"/>
      <c r="AV3796" s="128"/>
      <c r="AW3796" s="128"/>
      <c r="AX3796" s="128"/>
      <c r="AY3796" s="128"/>
      <c r="AZ3796" s="128"/>
      <c r="BA3796" s="128"/>
      <c r="BB3796" s="128"/>
      <c r="BC3796" s="128"/>
      <c r="BD3796" s="128"/>
      <c r="BE3796" s="128"/>
      <c r="BF3796" s="128"/>
      <c r="BG3796" s="128"/>
      <c r="BH3796" s="128"/>
      <c r="BI3796" s="128"/>
      <c r="BJ3796" s="128"/>
      <c r="BK3796" s="128"/>
      <c r="BL3796" s="128"/>
      <c r="BM3796" s="151"/>
      <c r="BN3796" s="128"/>
      <c r="BO3796" s="128"/>
      <c r="BP3796" s="128"/>
      <c r="BQ3796" s="128"/>
      <c r="BR3796" s="128"/>
      <c r="BS3796" s="128"/>
      <c r="BT3796" s="128"/>
      <c r="BU3796" s="128"/>
      <c r="BV3796" s="128"/>
      <c r="BW3796" s="128"/>
      <c r="BX3796" s="128"/>
      <c r="BY3796" s="128"/>
      <c r="BZ3796" s="128"/>
      <c r="CA3796" s="128"/>
      <c r="CB3796" s="128"/>
      <c r="CC3796" s="128"/>
      <c r="CD3796" s="128"/>
      <c r="CE3796" s="128"/>
      <c r="CF3796" s="128"/>
      <c r="CG3796" s="128"/>
      <c r="CI3796" s="128"/>
      <c r="CJ3796" s="128"/>
      <c r="CK3796" s="128"/>
      <c r="CL3796" s="128"/>
      <c r="CM3796" s="128"/>
      <c r="CN3796" s="128"/>
      <c r="CO3796" s="128"/>
      <c r="CP3796" s="128"/>
      <c r="CQ3796" s="128"/>
      <c r="CR3796" s="128"/>
      <c r="CS3796" s="128"/>
      <c r="CT3796" s="128"/>
      <c r="CU3796" s="128"/>
      <c r="CV3796" s="128"/>
      <c r="CW3796" s="128"/>
      <c r="CX3796" s="128"/>
      <c r="CY3796" s="128"/>
      <c r="CZ3796" s="165"/>
    </row>
    <row r="3797" spans="1:104">
      <c r="A3797" s="149"/>
      <c r="B3797" s="149"/>
      <c r="C3797" s="150"/>
      <c r="D3797" s="102"/>
      <c r="E3797" s="149"/>
      <c r="F3797" s="149"/>
      <c r="G3797" s="149"/>
      <c r="H3797" s="149"/>
      <c r="I3797" s="149"/>
      <c r="J3797" s="149"/>
      <c r="K3797" s="149"/>
      <c r="L3797" s="149"/>
      <c r="M3797" s="149"/>
      <c r="N3797" s="149"/>
      <c r="O3797" s="149"/>
      <c r="P3797" s="149"/>
      <c r="Q3797" s="149"/>
      <c r="R3797" s="149"/>
      <c r="S3797" s="149"/>
      <c r="T3797" s="149"/>
      <c r="U3797" s="149"/>
      <c r="V3797" s="149"/>
      <c r="W3797" s="149"/>
      <c r="X3797" s="149"/>
      <c r="Y3797" s="149"/>
      <c r="Z3797" s="149"/>
      <c r="AA3797" s="149"/>
      <c r="AB3797" s="149"/>
      <c r="AC3797" s="149"/>
      <c r="AD3797" s="149"/>
      <c r="AE3797" s="149"/>
      <c r="AF3797" s="149"/>
      <c r="AG3797" s="149"/>
      <c r="AH3797" s="149"/>
      <c r="AI3797" s="149"/>
      <c r="AJ3797" s="149"/>
      <c r="AK3797" s="149"/>
      <c r="AL3797" s="149"/>
      <c r="AM3797" s="149"/>
      <c r="AN3797" s="149"/>
      <c r="AO3797" s="128"/>
      <c r="AP3797" s="128"/>
      <c r="AQ3797" s="128"/>
      <c r="AR3797" s="128"/>
      <c r="AS3797" s="128"/>
      <c r="AT3797" s="128"/>
      <c r="AU3797" s="128"/>
      <c r="AV3797" s="128"/>
      <c r="AW3797" s="128"/>
      <c r="AX3797" s="128"/>
      <c r="AY3797" s="128"/>
      <c r="AZ3797" s="128"/>
      <c r="BA3797" s="128"/>
      <c r="BB3797" s="128"/>
      <c r="BC3797" s="128"/>
      <c r="BD3797" s="128"/>
      <c r="BE3797" s="128"/>
      <c r="BF3797" s="128"/>
      <c r="BG3797" s="128"/>
      <c r="BH3797" s="128"/>
      <c r="BI3797" s="128"/>
      <c r="BJ3797" s="128"/>
      <c r="BK3797" s="128"/>
      <c r="BL3797" s="128"/>
      <c r="BM3797" s="151"/>
      <c r="BN3797" s="128"/>
      <c r="BO3797" s="128"/>
      <c r="BP3797" s="128"/>
      <c r="BQ3797" s="128"/>
      <c r="BR3797" s="128"/>
      <c r="BS3797" s="128"/>
      <c r="BT3797" s="128"/>
      <c r="BU3797" s="128"/>
      <c r="BV3797" s="128"/>
      <c r="BW3797" s="128"/>
      <c r="BX3797" s="128"/>
      <c r="BY3797" s="128"/>
      <c r="BZ3797" s="128"/>
      <c r="CA3797" s="128"/>
      <c r="CB3797" s="128"/>
      <c r="CC3797" s="128"/>
      <c r="CD3797" s="128"/>
      <c r="CE3797" s="128"/>
      <c r="CF3797" s="128"/>
      <c r="CG3797" s="128"/>
      <c r="CI3797" s="128"/>
      <c r="CJ3797" s="128"/>
      <c r="CK3797" s="128"/>
      <c r="CL3797" s="128"/>
      <c r="CM3797" s="128"/>
      <c r="CN3797" s="128"/>
      <c r="CO3797" s="128"/>
      <c r="CP3797" s="128"/>
      <c r="CQ3797" s="128"/>
      <c r="CR3797" s="128"/>
      <c r="CS3797" s="128"/>
      <c r="CT3797" s="128"/>
      <c r="CU3797" s="128"/>
      <c r="CV3797" s="128"/>
      <c r="CW3797" s="128"/>
      <c r="CX3797" s="128"/>
      <c r="CY3797" s="128"/>
      <c r="CZ3797" s="165"/>
    </row>
    <row r="3798" spans="1:104">
      <c r="A3798" s="149"/>
      <c r="B3798" s="149"/>
      <c r="C3798" s="150"/>
      <c r="D3798" s="102"/>
      <c r="E3798" s="149"/>
      <c r="F3798" s="149"/>
      <c r="G3798" s="149"/>
      <c r="H3798" s="149"/>
      <c r="I3798" s="149"/>
      <c r="J3798" s="149"/>
      <c r="K3798" s="149"/>
      <c r="L3798" s="149"/>
      <c r="M3798" s="149"/>
      <c r="N3798" s="149"/>
      <c r="O3798" s="149"/>
      <c r="P3798" s="149"/>
      <c r="Q3798" s="149"/>
      <c r="R3798" s="149"/>
      <c r="S3798" s="149"/>
      <c r="T3798" s="149"/>
      <c r="U3798" s="149"/>
      <c r="V3798" s="149"/>
      <c r="W3798" s="149"/>
      <c r="X3798" s="149"/>
      <c r="Y3798" s="149"/>
      <c r="Z3798" s="149"/>
      <c r="AA3798" s="149"/>
      <c r="AB3798" s="149"/>
      <c r="AC3798" s="149"/>
      <c r="AD3798" s="149"/>
      <c r="AE3798" s="149"/>
      <c r="AF3798" s="149"/>
      <c r="AG3798" s="149"/>
      <c r="AH3798" s="149"/>
      <c r="AI3798" s="149"/>
      <c r="AJ3798" s="149"/>
      <c r="AK3798" s="149"/>
      <c r="AL3798" s="149"/>
      <c r="AM3798" s="149"/>
      <c r="AN3798" s="149"/>
      <c r="AO3798" s="128"/>
      <c r="AP3798" s="128"/>
      <c r="AQ3798" s="128"/>
      <c r="AR3798" s="128"/>
      <c r="AS3798" s="128"/>
      <c r="AT3798" s="128"/>
      <c r="AU3798" s="128"/>
      <c r="AV3798" s="128"/>
      <c r="AW3798" s="128"/>
      <c r="AX3798" s="128"/>
      <c r="AY3798" s="128"/>
      <c r="AZ3798" s="128"/>
      <c r="BA3798" s="128"/>
      <c r="BB3798" s="128"/>
      <c r="BC3798" s="128"/>
      <c r="BD3798" s="128"/>
      <c r="BE3798" s="128"/>
      <c r="BF3798" s="128"/>
      <c r="BG3798" s="128"/>
      <c r="BH3798" s="128"/>
      <c r="BI3798" s="128"/>
      <c r="BJ3798" s="128"/>
      <c r="BK3798" s="128"/>
      <c r="BL3798" s="128"/>
      <c r="BM3798" s="151"/>
      <c r="BN3798" s="128"/>
      <c r="BO3798" s="128"/>
      <c r="BP3798" s="128"/>
      <c r="BQ3798" s="128"/>
      <c r="BR3798" s="128"/>
      <c r="BS3798" s="128"/>
      <c r="BT3798" s="128"/>
      <c r="BU3798" s="128"/>
      <c r="BV3798" s="128"/>
      <c r="BW3798" s="128"/>
      <c r="BX3798" s="128"/>
      <c r="BY3798" s="128"/>
      <c r="BZ3798" s="128"/>
      <c r="CA3798" s="128"/>
      <c r="CB3798" s="128"/>
      <c r="CC3798" s="128"/>
      <c r="CD3798" s="128"/>
      <c r="CE3798" s="128"/>
      <c r="CF3798" s="128"/>
      <c r="CG3798" s="128"/>
      <c r="CI3798" s="128"/>
      <c r="CJ3798" s="128"/>
      <c r="CK3798" s="128"/>
      <c r="CL3798" s="128"/>
      <c r="CM3798" s="128"/>
      <c r="CN3798" s="128"/>
      <c r="CO3798" s="128"/>
      <c r="CP3798" s="128"/>
      <c r="CQ3798" s="128"/>
      <c r="CR3798" s="128"/>
      <c r="CS3798" s="128"/>
      <c r="CT3798" s="128"/>
      <c r="CU3798" s="128"/>
      <c r="CV3798" s="128"/>
      <c r="CW3798" s="128"/>
      <c r="CX3798" s="128"/>
      <c r="CY3798" s="128"/>
      <c r="CZ3798" s="165"/>
    </row>
    <row r="3799" spans="1:104">
      <c r="A3799" s="149"/>
      <c r="B3799" s="149"/>
      <c r="C3799" s="150"/>
      <c r="D3799" s="102"/>
      <c r="E3799" s="149"/>
      <c r="F3799" s="149"/>
      <c r="G3799" s="149"/>
      <c r="H3799" s="149"/>
      <c r="I3799" s="149"/>
      <c r="J3799" s="149"/>
      <c r="K3799" s="149"/>
      <c r="L3799" s="149"/>
      <c r="M3799" s="149"/>
      <c r="N3799" s="149"/>
      <c r="O3799" s="149"/>
      <c r="P3799" s="149"/>
      <c r="Q3799" s="149"/>
      <c r="R3799" s="149"/>
      <c r="S3799" s="149"/>
      <c r="T3799" s="149"/>
      <c r="U3799" s="149"/>
      <c r="V3799" s="149"/>
      <c r="W3799" s="149"/>
      <c r="X3799" s="149"/>
      <c r="Y3799" s="149"/>
      <c r="Z3799" s="149"/>
      <c r="AA3799" s="149"/>
      <c r="AB3799" s="149"/>
      <c r="AC3799" s="149"/>
      <c r="AD3799" s="149"/>
      <c r="AE3799" s="149"/>
      <c r="AF3799" s="149"/>
      <c r="AG3799" s="149"/>
      <c r="AH3799" s="149"/>
      <c r="AI3799" s="149"/>
      <c r="AJ3799" s="149"/>
      <c r="AK3799" s="149"/>
      <c r="AL3799" s="149"/>
      <c r="AM3799" s="149"/>
      <c r="AN3799" s="149"/>
      <c r="AO3799" s="128"/>
      <c r="AP3799" s="128"/>
      <c r="AQ3799" s="128"/>
      <c r="AR3799" s="128"/>
      <c r="AS3799" s="128"/>
      <c r="AT3799" s="128"/>
      <c r="AU3799" s="128"/>
      <c r="AV3799" s="128"/>
      <c r="AW3799" s="128"/>
      <c r="AX3799" s="128"/>
      <c r="AY3799" s="128"/>
      <c r="AZ3799" s="128"/>
      <c r="BA3799" s="128"/>
      <c r="BB3799" s="128"/>
      <c r="BC3799" s="128"/>
      <c r="BD3799" s="128"/>
      <c r="BE3799" s="128"/>
      <c r="BF3799" s="128"/>
      <c r="BG3799" s="128"/>
      <c r="BH3799" s="128"/>
      <c r="BI3799" s="128"/>
      <c r="BJ3799" s="128"/>
      <c r="BK3799" s="128"/>
      <c r="BL3799" s="128"/>
      <c r="BM3799" s="151"/>
      <c r="BN3799" s="128"/>
      <c r="BO3799" s="128"/>
      <c r="BP3799" s="128"/>
      <c r="BQ3799" s="128"/>
      <c r="BR3799" s="128"/>
      <c r="BS3799" s="128"/>
      <c r="BT3799" s="128"/>
      <c r="BU3799" s="128"/>
      <c r="BV3799" s="128"/>
      <c r="BW3799" s="128"/>
      <c r="BX3799" s="128"/>
      <c r="BY3799" s="128"/>
      <c r="BZ3799" s="128"/>
      <c r="CA3799" s="128"/>
      <c r="CB3799" s="128"/>
      <c r="CC3799" s="128"/>
      <c r="CD3799" s="128"/>
      <c r="CE3799" s="128"/>
      <c r="CF3799" s="128"/>
      <c r="CG3799" s="128"/>
      <c r="CI3799" s="128"/>
      <c r="CJ3799" s="128"/>
      <c r="CK3799" s="128"/>
      <c r="CL3799" s="128"/>
      <c r="CM3799" s="128"/>
      <c r="CN3799" s="128"/>
      <c r="CO3799" s="128"/>
      <c r="CP3799" s="128"/>
      <c r="CQ3799" s="128"/>
      <c r="CR3799" s="128"/>
      <c r="CS3799" s="128"/>
      <c r="CT3799" s="128"/>
      <c r="CU3799" s="128"/>
      <c r="CV3799" s="128"/>
      <c r="CW3799" s="128"/>
      <c r="CX3799" s="128"/>
      <c r="CY3799" s="128"/>
      <c r="CZ3799" s="165"/>
    </row>
    <row r="3800" spans="1:104">
      <c r="A3800" s="149"/>
      <c r="B3800" s="149"/>
      <c r="C3800" s="150"/>
      <c r="D3800" s="102"/>
      <c r="E3800" s="149"/>
      <c r="F3800" s="149"/>
      <c r="G3800" s="149"/>
      <c r="H3800" s="149"/>
      <c r="I3800" s="149"/>
      <c r="J3800" s="149"/>
      <c r="K3800" s="149"/>
      <c r="L3800" s="149"/>
      <c r="M3800" s="149"/>
      <c r="N3800" s="149"/>
      <c r="O3800" s="149"/>
      <c r="P3800" s="149"/>
      <c r="Q3800" s="149"/>
      <c r="R3800" s="149"/>
      <c r="S3800" s="149"/>
      <c r="T3800" s="149"/>
      <c r="U3800" s="149"/>
      <c r="V3800" s="149"/>
      <c r="W3800" s="149"/>
      <c r="X3800" s="149"/>
      <c r="Y3800" s="149"/>
      <c r="Z3800" s="149"/>
      <c r="AA3800" s="149"/>
      <c r="AB3800" s="149"/>
      <c r="AC3800" s="149"/>
      <c r="AD3800" s="149"/>
      <c r="AE3800" s="149"/>
      <c r="AF3800" s="149"/>
      <c r="AG3800" s="149"/>
      <c r="AH3800" s="149"/>
      <c r="AI3800" s="149"/>
      <c r="AJ3800" s="149"/>
      <c r="AK3800" s="149"/>
      <c r="AL3800" s="149"/>
      <c r="AM3800" s="149"/>
      <c r="AN3800" s="149"/>
      <c r="AO3800" s="128"/>
      <c r="AP3800" s="128"/>
      <c r="AQ3800" s="128"/>
      <c r="AR3800" s="128"/>
      <c r="AS3800" s="128"/>
      <c r="AT3800" s="128"/>
      <c r="AU3800" s="128"/>
      <c r="AV3800" s="128"/>
      <c r="AW3800" s="128"/>
      <c r="AX3800" s="128"/>
      <c r="AY3800" s="128"/>
      <c r="AZ3800" s="128"/>
      <c r="BA3800" s="128"/>
      <c r="BB3800" s="128"/>
      <c r="BC3800" s="128"/>
      <c r="BD3800" s="128"/>
      <c r="BE3800" s="128"/>
      <c r="BF3800" s="128"/>
      <c r="BG3800" s="128"/>
      <c r="BH3800" s="128"/>
      <c r="BI3800" s="128"/>
      <c r="BJ3800" s="128"/>
      <c r="BK3800" s="128"/>
      <c r="BL3800" s="128"/>
      <c r="BM3800" s="151"/>
      <c r="BN3800" s="128"/>
      <c r="BO3800" s="128"/>
      <c r="BP3800" s="128"/>
      <c r="BQ3800" s="128"/>
      <c r="BR3800" s="128"/>
      <c r="BS3800" s="128"/>
      <c r="BT3800" s="128"/>
      <c r="BU3800" s="128"/>
      <c r="BV3800" s="128"/>
      <c r="BW3800" s="128"/>
      <c r="BX3800" s="128"/>
      <c r="BY3800" s="128"/>
      <c r="BZ3800" s="128"/>
      <c r="CA3800" s="128"/>
      <c r="CB3800" s="128"/>
      <c r="CC3800" s="128"/>
      <c r="CD3800" s="128"/>
      <c r="CE3800" s="128"/>
      <c r="CF3800" s="128"/>
      <c r="CG3800" s="128"/>
      <c r="CI3800" s="128"/>
      <c r="CJ3800" s="128"/>
      <c r="CK3800" s="128"/>
      <c r="CL3800" s="128"/>
      <c r="CM3800" s="128"/>
      <c r="CN3800" s="128"/>
      <c r="CO3800" s="128"/>
      <c r="CP3800" s="128"/>
      <c r="CQ3800" s="128"/>
      <c r="CR3800" s="128"/>
      <c r="CS3800" s="128"/>
      <c r="CT3800" s="128"/>
      <c r="CU3800" s="128"/>
      <c r="CV3800" s="128"/>
      <c r="CW3800" s="128"/>
      <c r="CX3800" s="128"/>
      <c r="CY3800" s="128"/>
      <c r="CZ3800" s="165"/>
    </row>
    <row r="3801" spans="1:104">
      <c r="A3801" s="149"/>
      <c r="B3801" s="149"/>
      <c r="C3801" s="150"/>
      <c r="D3801" s="102"/>
      <c r="E3801" s="149"/>
      <c r="F3801" s="149"/>
      <c r="G3801" s="149"/>
      <c r="H3801" s="149"/>
      <c r="I3801" s="149"/>
      <c r="J3801" s="149"/>
      <c r="K3801" s="149"/>
      <c r="L3801" s="149"/>
      <c r="M3801" s="149"/>
      <c r="N3801" s="149"/>
      <c r="O3801" s="149"/>
      <c r="P3801" s="149"/>
      <c r="Q3801" s="149"/>
      <c r="R3801" s="149"/>
      <c r="S3801" s="149"/>
      <c r="T3801" s="149"/>
      <c r="U3801" s="149"/>
      <c r="V3801" s="149"/>
      <c r="W3801" s="149"/>
      <c r="X3801" s="149"/>
      <c r="Y3801" s="149"/>
      <c r="Z3801" s="149"/>
      <c r="AA3801" s="149"/>
      <c r="AB3801" s="149"/>
      <c r="AC3801" s="149"/>
      <c r="AD3801" s="149"/>
      <c r="AE3801" s="149"/>
      <c r="AF3801" s="149"/>
      <c r="AG3801" s="149"/>
      <c r="AH3801" s="149"/>
      <c r="AI3801" s="149"/>
      <c r="AJ3801" s="149"/>
      <c r="AK3801" s="149"/>
      <c r="AL3801" s="149"/>
      <c r="AM3801" s="149"/>
      <c r="AN3801" s="149"/>
      <c r="AO3801" s="128"/>
      <c r="AP3801" s="128"/>
      <c r="AQ3801" s="128"/>
      <c r="AR3801" s="128"/>
      <c r="AS3801" s="128"/>
      <c r="AT3801" s="128"/>
      <c r="AU3801" s="128"/>
      <c r="AV3801" s="128"/>
      <c r="AW3801" s="128"/>
      <c r="AX3801" s="128"/>
      <c r="AY3801" s="128"/>
      <c r="AZ3801" s="128"/>
      <c r="BA3801" s="128"/>
      <c r="BB3801" s="128"/>
      <c r="BC3801" s="128"/>
      <c r="BD3801" s="128"/>
      <c r="BE3801" s="128"/>
      <c r="BF3801" s="128"/>
      <c r="BG3801" s="128"/>
      <c r="BH3801" s="128"/>
      <c r="BI3801" s="128"/>
      <c r="BJ3801" s="128"/>
      <c r="BK3801" s="128"/>
      <c r="BL3801" s="128"/>
      <c r="BM3801" s="151"/>
      <c r="BN3801" s="128"/>
      <c r="BO3801" s="128"/>
      <c r="BP3801" s="128"/>
      <c r="BQ3801" s="128"/>
      <c r="BR3801" s="128"/>
      <c r="BS3801" s="128"/>
      <c r="BT3801" s="128"/>
      <c r="BU3801" s="128"/>
      <c r="BV3801" s="128"/>
      <c r="BW3801" s="128"/>
      <c r="BX3801" s="128"/>
      <c r="BY3801" s="128"/>
      <c r="BZ3801" s="128"/>
      <c r="CA3801" s="128"/>
      <c r="CB3801" s="128"/>
      <c r="CC3801" s="128"/>
      <c r="CD3801" s="128"/>
      <c r="CE3801" s="128"/>
      <c r="CF3801" s="128"/>
      <c r="CG3801" s="128"/>
      <c r="CI3801" s="128"/>
      <c r="CJ3801" s="128"/>
      <c r="CK3801" s="128"/>
      <c r="CL3801" s="128"/>
      <c r="CM3801" s="128"/>
      <c r="CN3801" s="128"/>
      <c r="CO3801" s="128"/>
      <c r="CP3801" s="128"/>
      <c r="CQ3801" s="128"/>
      <c r="CR3801" s="128"/>
      <c r="CS3801" s="128"/>
      <c r="CT3801" s="128"/>
      <c r="CU3801" s="128"/>
      <c r="CV3801" s="128"/>
      <c r="CW3801" s="128"/>
      <c r="CX3801" s="128"/>
      <c r="CY3801" s="128"/>
      <c r="CZ3801" s="165"/>
    </row>
    <row r="3802" spans="1:104">
      <c r="A3802" s="149"/>
      <c r="B3802" s="149"/>
      <c r="C3802" s="150"/>
      <c r="D3802" s="102"/>
      <c r="E3802" s="149"/>
      <c r="F3802" s="149"/>
      <c r="G3802" s="149"/>
      <c r="H3802" s="149"/>
      <c r="I3802" s="149"/>
      <c r="J3802" s="149"/>
      <c r="K3802" s="149"/>
      <c r="L3802" s="149"/>
      <c r="M3802" s="149"/>
      <c r="N3802" s="149"/>
      <c r="O3802" s="149"/>
      <c r="P3802" s="149"/>
      <c r="Q3802" s="149"/>
      <c r="R3802" s="149"/>
      <c r="S3802" s="149"/>
      <c r="T3802" s="149"/>
      <c r="U3802" s="149"/>
      <c r="V3802" s="149"/>
      <c r="W3802" s="149"/>
      <c r="X3802" s="149"/>
      <c r="Y3802" s="149"/>
      <c r="Z3802" s="149"/>
      <c r="AA3802" s="149"/>
      <c r="AB3802" s="149"/>
      <c r="AC3802" s="149"/>
      <c r="AD3802" s="149"/>
      <c r="AE3802" s="149"/>
      <c r="AF3802" s="149"/>
      <c r="AG3802" s="149"/>
      <c r="AH3802" s="149"/>
      <c r="AI3802" s="149"/>
      <c r="AJ3802" s="149"/>
      <c r="AK3802" s="149"/>
      <c r="AL3802" s="149"/>
      <c r="AM3802" s="149"/>
      <c r="AN3802" s="149"/>
      <c r="AO3802" s="128"/>
      <c r="AP3802" s="128"/>
      <c r="AQ3802" s="128"/>
      <c r="AR3802" s="128"/>
      <c r="AS3802" s="128"/>
      <c r="AT3802" s="128"/>
      <c r="AU3802" s="128"/>
      <c r="AV3802" s="128"/>
      <c r="AW3802" s="128"/>
      <c r="AX3802" s="128"/>
      <c r="AY3802" s="128"/>
      <c r="AZ3802" s="128"/>
      <c r="BA3802" s="128"/>
      <c r="BB3802" s="128"/>
      <c r="BC3802" s="128"/>
      <c r="BD3802" s="128"/>
      <c r="BE3802" s="128"/>
      <c r="BF3802" s="128"/>
      <c r="BG3802" s="128"/>
      <c r="BH3802" s="128"/>
      <c r="BI3802" s="128"/>
      <c r="BJ3802" s="128"/>
      <c r="BK3802" s="128"/>
      <c r="BL3802" s="128"/>
      <c r="BM3802" s="151"/>
      <c r="BN3802" s="128"/>
      <c r="BO3802" s="128"/>
      <c r="BP3802" s="128"/>
      <c r="BQ3802" s="128"/>
      <c r="BR3802" s="128"/>
      <c r="BS3802" s="128"/>
      <c r="BT3802" s="128"/>
      <c r="BU3802" s="128"/>
      <c r="BV3802" s="128"/>
      <c r="BW3802" s="128"/>
      <c r="BX3802" s="128"/>
      <c r="BY3802" s="128"/>
      <c r="BZ3802" s="128"/>
      <c r="CA3802" s="128"/>
      <c r="CB3802" s="128"/>
      <c r="CC3802" s="128"/>
      <c r="CD3802" s="128"/>
      <c r="CE3802" s="128"/>
      <c r="CF3802" s="128"/>
      <c r="CG3802" s="128"/>
      <c r="CI3802" s="128"/>
      <c r="CJ3802" s="128"/>
      <c r="CK3802" s="128"/>
      <c r="CL3802" s="128"/>
      <c r="CM3802" s="128"/>
      <c r="CN3802" s="128"/>
      <c r="CO3802" s="128"/>
      <c r="CP3802" s="128"/>
      <c r="CQ3802" s="128"/>
      <c r="CR3802" s="128"/>
      <c r="CS3802" s="128"/>
      <c r="CT3802" s="128"/>
      <c r="CU3802" s="128"/>
      <c r="CV3802" s="128"/>
      <c r="CW3802" s="128"/>
      <c r="CX3802" s="128"/>
      <c r="CY3802" s="128"/>
      <c r="CZ3802" s="165"/>
    </row>
    <row r="3803" spans="1:104">
      <c r="A3803" s="149"/>
      <c r="B3803" s="149"/>
      <c r="C3803" s="150"/>
      <c r="D3803" s="102"/>
      <c r="E3803" s="149"/>
      <c r="F3803" s="149"/>
      <c r="G3803" s="149"/>
      <c r="H3803" s="149"/>
      <c r="I3803" s="149"/>
      <c r="J3803" s="149"/>
      <c r="K3803" s="149"/>
      <c r="L3803" s="149"/>
      <c r="M3803" s="149"/>
      <c r="N3803" s="149"/>
      <c r="O3803" s="149"/>
      <c r="P3803" s="149"/>
      <c r="Q3803" s="149"/>
      <c r="R3803" s="149"/>
      <c r="S3803" s="149"/>
      <c r="T3803" s="149"/>
      <c r="U3803" s="149"/>
      <c r="V3803" s="149"/>
      <c r="W3803" s="149"/>
      <c r="X3803" s="149"/>
      <c r="Y3803" s="149"/>
      <c r="Z3803" s="149"/>
      <c r="AA3803" s="149"/>
      <c r="AB3803" s="149"/>
      <c r="AC3803" s="149"/>
      <c r="AD3803" s="149"/>
      <c r="AE3803" s="149"/>
      <c r="AF3803" s="149"/>
      <c r="AG3803" s="149"/>
      <c r="AH3803" s="149"/>
      <c r="AI3803" s="149"/>
      <c r="AJ3803" s="149"/>
      <c r="AK3803" s="149"/>
      <c r="AL3803" s="149"/>
      <c r="AM3803" s="149"/>
      <c r="AN3803" s="149"/>
      <c r="AO3803" s="128"/>
      <c r="AP3803" s="128"/>
      <c r="AQ3803" s="128"/>
      <c r="AR3803" s="128"/>
      <c r="AS3803" s="128"/>
      <c r="AT3803" s="128"/>
      <c r="AU3803" s="128"/>
      <c r="AV3803" s="128"/>
      <c r="AW3803" s="128"/>
      <c r="AX3803" s="128"/>
      <c r="AY3803" s="128"/>
      <c r="AZ3803" s="128"/>
      <c r="BA3803" s="128"/>
      <c r="BB3803" s="128"/>
      <c r="BC3803" s="128"/>
      <c r="BD3803" s="128"/>
      <c r="BE3803" s="128"/>
      <c r="BF3803" s="128"/>
      <c r="BG3803" s="128"/>
      <c r="BH3803" s="128"/>
      <c r="BI3803" s="128"/>
      <c r="BJ3803" s="128"/>
      <c r="BK3803" s="128"/>
      <c r="BL3803" s="128"/>
      <c r="BM3803" s="151"/>
      <c r="BN3803" s="128"/>
      <c r="BO3803" s="128"/>
      <c r="BP3803" s="128"/>
      <c r="BQ3803" s="128"/>
      <c r="BR3803" s="128"/>
      <c r="BS3803" s="128"/>
      <c r="BT3803" s="128"/>
      <c r="BU3803" s="128"/>
      <c r="BV3803" s="128"/>
      <c r="BW3803" s="128"/>
      <c r="BX3803" s="128"/>
      <c r="BY3803" s="128"/>
      <c r="BZ3803" s="128"/>
      <c r="CA3803" s="128"/>
      <c r="CB3803" s="128"/>
      <c r="CC3803" s="128"/>
      <c r="CD3803" s="128"/>
      <c r="CE3803" s="128"/>
      <c r="CF3803" s="128"/>
      <c r="CG3803" s="128"/>
      <c r="CI3803" s="128"/>
      <c r="CJ3803" s="128"/>
      <c r="CK3803" s="128"/>
      <c r="CL3803" s="128"/>
      <c r="CM3803" s="128"/>
      <c r="CN3803" s="128"/>
      <c r="CO3803" s="128"/>
      <c r="CP3803" s="128"/>
      <c r="CQ3803" s="128"/>
      <c r="CR3803" s="128"/>
      <c r="CS3803" s="128"/>
      <c r="CT3803" s="128"/>
      <c r="CU3803" s="128"/>
      <c r="CV3803" s="128"/>
      <c r="CW3803" s="128"/>
      <c r="CX3803" s="128"/>
      <c r="CY3803" s="128"/>
      <c r="CZ3803" s="165"/>
    </row>
    <row r="3804" spans="1:104">
      <c r="A3804" s="149"/>
      <c r="B3804" s="149"/>
      <c r="C3804" s="150"/>
      <c r="D3804" s="102"/>
      <c r="E3804" s="149"/>
      <c r="F3804" s="149"/>
      <c r="G3804" s="149"/>
      <c r="H3804" s="149"/>
      <c r="I3804" s="149"/>
      <c r="J3804" s="149"/>
      <c r="K3804" s="149"/>
      <c r="L3804" s="149"/>
      <c r="M3804" s="149"/>
      <c r="N3804" s="149"/>
      <c r="O3804" s="149"/>
      <c r="P3804" s="149"/>
      <c r="Q3804" s="149"/>
      <c r="R3804" s="149"/>
      <c r="S3804" s="149"/>
      <c r="T3804" s="149"/>
      <c r="U3804" s="149"/>
      <c r="V3804" s="149"/>
      <c r="W3804" s="149"/>
      <c r="X3804" s="149"/>
      <c r="Y3804" s="149"/>
      <c r="Z3804" s="149"/>
      <c r="AA3804" s="149"/>
      <c r="AB3804" s="149"/>
      <c r="AC3804" s="149"/>
      <c r="AD3804" s="149"/>
      <c r="AE3804" s="149"/>
      <c r="AF3804" s="149"/>
      <c r="AG3804" s="149"/>
      <c r="AH3804" s="149"/>
      <c r="AI3804" s="149"/>
      <c r="AJ3804" s="149"/>
      <c r="AK3804" s="149"/>
      <c r="AL3804" s="149"/>
      <c r="AM3804" s="149"/>
      <c r="AN3804" s="149"/>
      <c r="AO3804" s="128"/>
      <c r="AP3804" s="128"/>
      <c r="AQ3804" s="128"/>
      <c r="AR3804" s="128"/>
      <c r="AS3804" s="128"/>
      <c r="AT3804" s="128"/>
      <c r="AU3804" s="128"/>
      <c r="AV3804" s="128"/>
      <c r="AW3804" s="128"/>
      <c r="AX3804" s="128"/>
      <c r="AY3804" s="128"/>
      <c r="AZ3804" s="128"/>
      <c r="BA3804" s="128"/>
      <c r="BB3804" s="128"/>
      <c r="BC3804" s="128"/>
      <c r="BD3804" s="128"/>
      <c r="BE3804" s="128"/>
      <c r="BF3804" s="128"/>
      <c r="BG3804" s="128"/>
      <c r="BH3804" s="128"/>
      <c r="BI3804" s="128"/>
      <c r="BJ3804" s="128"/>
      <c r="BK3804" s="128"/>
      <c r="BL3804" s="128"/>
      <c r="BM3804" s="151"/>
      <c r="BN3804" s="128"/>
      <c r="BO3804" s="128"/>
      <c r="BP3804" s="128"/>
      <c r="BQ3804" s="128"/>
      <c r="BR3804" s="128"/>
      <c r="BS3804" s="128"/>
      <c r="BT3804" s="128"/>
      <c r="BU3804" s="128"/>
      <c r="BV3804" s="128"/>
      <c r="BW3804" s="128"/>
      <c r="BX3804" s="128"/>
      <c r="BY3804" s="128"/>
      <c r="BZ3804" s="128"/>
      <c r="CA3804" s="128"/>
      <c r="CB3804" s="128"/>
      <c r="CC3804" s="128"/>
      <c r="CD3804" s="128"/>
      <c r="CE3804" s="128"/>
      <c r="CF3804" s="128"/>
      <c r="CG3804" s="128"/>
      <c r="CI3804" s="128"/>
      <c r="CJ3804" s="128"/>
      <c r="CK3804" s="128"/>
      <c r="CL3804" s="128"/>
      <c r="CM3804" s="128"/>
      <c r="CN3804" s="128"/>
      <c r="CO3804" s="128"/>
      <c r="CP3804" s="128"/>
      <c r="CQ3804" s="128"/>
      <c r="CR3804" s="128"/>
      <c r="CS3804" s="128"/>
      <c r="CT3804" s="128"/>
      <c r="CU3804" s="128"/>
      <c r="CV3804" s="128"/>
      <c r="CW3804" s="128"/>
      <c r="CX3804" s="128"/>
      <c r="CY3804" s="128"/>
      <c r="CZ3804" s="165"/>
    </row>
    <row r="3805" spans="1:104">
      <c r="A3805" s="149"/>
      <c r="B3805" s="149"/>
      <c r="C3805" s="150"/>
      <c r="D3805" s="102"/>
      <c r="E3805" s="149"/>
      <c r="F3805" s="149"/>
      <c r="G3805" s="149"/>
      <c r="H3805" s="149"/>
      <c r="I3805" s="149"/>
      <c r="J3805" s="149"/>
      <c r="K3805" s="149"/>
      <c r="L3805" s="149"/>
      <c r="M3805" s="149"/>
      <c r="N3805" s="149"/>
      <c r="O3805" s="149"/>
      <c r="P3805" s="149"/>
      <c r="Q3805" s="149"/>
      <c r="R3805" s="149"/>
      <c r="S3805" s="149"/>
      <c r="T3805" s="149"/>
      <c r="U3805" s="149"/>
      <c r="V3805" s="149"/>
      <c r="W3805" s="149"/>
      <c r="X3805" s="149"/>
      <c r="Y3805" s="149"/>
      <c r="Z3805" s="149"/>
      <c r="AA3805" s="149"/>
      <c r="AB3805" s="149"/>
      <c r="AC3805" s="149"/>
      <c r="AD3805" s="149"/>
      <c r="AE3805" s="149"/>
      <c r="AF3805" s="149"/>
      <c r="AG3805" s="149"/>
      <c r="AH3805" s="149"/>
      <c r="AI3805" s="149"/>
      <c r="AJ3805" s="149"/>
      <c r="AK3805" s="149"/>
      <c r="AL3805" s="149"/>
      <c r="AM3805" s="149"/>
      <c r="AN3805" s="149"/>
      <c r="AO3805" s="128"/>
      <c r="AP3805" s="128"/>
      <c r="AQ3805" s="128"/>
      <c r="AR3805" s="128"/>
      <c r="AS3805" s="128"/>
      <c r="AT3805" s="128"/>
      <c r="AU3805" s="128"/>
      <c r="AV3805" s="128"/>
      <c r="AW3805" s="128"/>
      <c r="AX3805" s="128"/>
      <c r="AY3805" s="128"/>
      <c r="AZ3805" s="128"/>
      <c r="BA3805" s="128"/>
      <c r="BB3805" s="128"/>
      <c r="BC3805" s="128"/>
      <c r="BD3805" s="128"/>
      <c r="BE3805" s="128"/>
      <c r="BF3805" s="128"/>
      <c r="BG3805" s="128"/>
      <c r="BH3805" s="128"/>
      <c r="BI3805" s="128"/>
      <c r="BJ3805" s="128"/>
      <c r="BK3805" s="128"/>
      <c r="BL3805" s="128"/>
      <c r="BM3805" s="151"/>
      <c r="BN3805" s="128"/>
      <c r="BO3805" s="128"/>
      <c r="BP3805" s="128"/>
      <c r="BQ3805" s="128"/>
      <c r="BR3805" s="128"/>
      <c r="BS3805" s="128"/>
      <c r="BT3805" s="128"/>
      <c r="BU3805" s="128"/>
      <c r="BV3805" s="128"/>
      <c r="BW3805" s="128"/>
      <c r="BX3805" s="128"/>
      <c r="BY3805" s="128"/>
      <c r="BZ3805" s="128"/>
      <c r="CA3805" s="128"/>
      <c r="CB3805" s="128"/>
      <c r="CC3805" s="128"/>
      <c r="CD3805" s="128"/>
      <c r="CE3805" s="128"/>
      <c r="CF3805" s="128"/>
      <c r="CG3805" s="128"/>
      <c r="CI3805" s="128"/>
      <c r="CJ3805" s="128"/>
      <c r="CK3805" s="128"/>
      <c r="CL3805" s="128"/>
      <c r="CM3805" s="128"/>
      <c r="CN3805" s="128"/>
      <c r="CO3805" s="128"/>
      <c r="CP3805" s="128"/>
      <c r="CQ3805" s="128"/>
      <c r="CR3805" s="128"/>
      <c r="CS3805" s="128"/>
      <c r="CT3805" s="128"/>
      <c r="CU3805" s="128"/>
      <c r="CV3805" s="128"/>
      <c r="CW3805" s="128"/>
      <c r="CX3805" s="128"/>
      <c r="CY3805" s="128"/>
      <c r="CZ3805" s="165"/>
    </row>
    <row r="3806" spans="1:104">
      <c r="A3806" s="149"/>
      <c r="B3806" s="149"/>
      <c r="C3806" s="150"/>
      <c r="D3806" s="102"/>
      <c r="E3806" s="149"/>
      <c r="F3806" s="149"/>
      <c r="G3806" s="149"/>
      <c r="H3806" s="149"/>
      <c r="I3806" s="149"/>
      <c r="J3806" s="149"/>
      <c r="K3806" s="149"/>
      <c r="L3806" s="149"/>
      <c r="M3806" s="149"/>
      <c r="N3806" s="149"/>
      <c r="O3806" s="149"/>
      <c r="P3806" s="149"/>
      <c r="Q3806" s="149"/>
      <c r="R3806" s="149"/>
      <c r="S3806" s="149"/>
      <c r="T3806" s="149"/>
      <c r="U3806" s="149"/>
      <c r="V3806" s="149"/>
      <c r="W3806" s="149"/>
      <c r="X3806" s="149"/>
      <c r="Y3806" s="149"/>
      <c r="Z3806" s="149"/>
      <c r="AA3806" s="149"/>
      <c r="AB3806" s="149"/>
      <c r="AC3806" s="149"/>
      <c r="AD3806" s="149"/>
      <c r="AE3806" s="149"/>
      <c r="AF3806" s="149"/>
      <c r="AG3806" s="149"/>
      <c r="AH3806" s="149"/>
      <c r="AI3806" s="149"/>
      <c r="AJ3806" s="149"/>
      <c r="AK3806" s="149"/>
      <c r="AL3806" s="149"/>
      <c r="AM3806" s="149"/>
      <c r="AN3806" s="149"/>
      <c r="AO3806" s="128"/>
      <c r="AP3806" s="128"/>
      <c r="AQ3806" s="128"/>
      <c r="AR3806" s="128"/>
      <c r="AS3806" s="128"/>
      <c r="AT3806" s="128"/>
      <c r="AU3806" s="128"/>
      <c r="AV3806" s="128"/>
      <c r="AW3806" s="128"/>
      <c r="AX3806" s="128"/>
      <c r="AY3806" s="128"/>
      <c r="AZ3806" s="128"/>
      <c r="BA3806" s="128"/>
      <c r="BB3806" s="128"/>
      <c r="BC3806" s="128"/>
      <c r="BD3806" s="128"/>
      <c r="BE3806" s="128"/>
      <c r="BF3806" s="128"/>
      <c r="BG3806" s="128"/>
      <c r="BH3806" s="128"/>
      <c r="BI3806" s="128"/>
      <c r="BJ3806" s="128"/>
      <c r="BK3806" s="128"/>
      <c r="BL3806" s="128"/>
      <c r="BM3806" s="151"/>
      <c r="BN3806" s="128"/>
      <c r="BO3806" s="128"/>
      <c r="BP3806" s="128"/>
      <c r="BQ3806" s="128"/>
      <c r="BR3806" s="128"/>
      <c r="BS3806" s="128"/>
      <c r="BT3806" s="128"/>
      <c r="BU3806" s="128"/>
      <c r="BV3806" s="128"/>
      <c r="BW3806" s="128"/>
      <c r="BX3806" s="128"/>
      <c r="BY3806" s="128"/>
      <c r="BZ3806" s="128"/>
      <c r="CA3806" s="128"/>
      <c r="CB3806" s="128"/>
      <c r="CC3806" s="128"/>
      <c r="CD3806" s="128"/>
      <c r="CE3806" s="128"/>
      <c r="CF3806" s="128"/>
      <c r="CG3806" s="128"/>
      <c r="CI3806" s="128"/>
      <c r="CJ3806" s="128"/>
      <c r="CK3806" s="128"/>
      <c r="CL3806" s="128"/>
      <c r="CM3806" s="128"/>
      <c r="CN3806" s="128"/>
      <c r="CO3806" s="128"/>
      <c r="CP3806" s="128"/>
      <c r="CQ3806" s="128"/>
      <c r="CR3806" s="128"/>
      <c r="CS3806" s="128"/>
      <c r="CT3806" s="128"/>
      <c r="CU3806" s="128"/>
      <c r="CV3806" s="128"/>
      <c r="CW3806" s="128"/>
      <c r="CX3806" s="128"/>
      <c r="CY3806" s="128"/>
      <c r="CZ3806" s="165"/>
    </row>
    <row r="3807" spans="1:104">
      <c r="A3807" s="149"/>
      <c r="B3807" s="149"/>
      <c r="C3807" s="150"/>
      <c r="D3807" s="102"/>
      <c r="E3807" s="149"/>
      <c r="F3807" s="149"/>
      <c r="G3807" s="149"/>
      <c r="H3807" s="149"/>
      <c r="I3807" s="149"/>
      <c r="J3807" s="149"/>
      <c r="K3807" s="149"/>
      <c r="L3807" s="149"/>
      <c r="M3807" s="149"/>
      <c r="N3807" s="149"/>
      <c r="O3807" s="149"/>
      <c r="P3807" s="149"/>
      <c r="Q3807" s="149"/>
      <c r="R3807" s="149"/>
      <c r="S3807" s="149"/>
      <c r="T3807" s="149"/>
      <c r="U3807" s="149"/>
      <c r="V3807" s="149"/>
      <c r="W3807" s="149"/>
      <c r="X3807" s="149"/>
      <c r="Y3807" s="149"/>
      <c r="Z3807" s="149"/>
      <c r="AA3807" s="149"/>
      <c r="AB3807" s="149"/>
      <c r="AC3807" s="149"/>
      <c r="AD3807" s="149"/>
      <c r="AE3807" s="149"/>
      <c r="AF3807" s="149"/>
      <c r="AG3807" s="149"/>
      <c r="AH3807" s="149"/>
      <c r="AI3807" s="149"/>
      <c r="AJ3807" s="149"/>
      <c r="AK3807" s="149"/>
      <c r="AL3807" s="149"/>
      <c r="AM3807" s="149"/>
      <c r="AN3807" s="149"/>
      <c r="AO3807" s="128"/>
      <c r="AP3807" s="128"/>
      <c r="AQ3807" s="128"/>
      <c r="AR3807" s="128"/>
      <c r="AS3807" s="128"/>
      <c r="AT3807" s="128"/>
      <c r="AU3807" s="128"/>
      <c r="AV3807" s="128"/>
      <c r="AW3807" s="128"/>
      <c r="AX3807" s="128"/>
      <c r="AY3807" s="128"/>
      <c r="AZ3807" s="128"/>
      <c r="BA3807" s="128"/>
      <c r="BB3807" s="128"/>
      <c r="BC3807" s="128"/>
      <c r="BD3807" s="128"/>
      <c r="BE3807" s="128"/>
      <c r="BF3807" s="128"/>
      <c r="BG3807" s="128"/>
      <c r="BH3807" s="128"/>
      <c r="BI3807" s="128"/>
      <c r="BJ3807" s="128"/>
      <c r="BK3807" s="128"/>
      <c r="BL3807" s="128"/>
      <c r="BM3807" s="151"/>
      <c r="BN3807" s="128"/>
      <c r="BO3807" s="128"/>
      <c r="BP3807" s="128"/>
      <c r="BQ3807" s="128"/>
      <c r="BR3807" s="128"/>
      <c r="BS3807" s="128"/>
      <c r="BT3807" s="128"/>
      <c r="BU3807" s="128"/>
      <c r="BV3807" s="128"/>
      <c r="BW3807" s="128"/>
      <c r="BX3807" s="128"/>
      <c r="BY3807" s="128"/>
      <c r="BZ3807" s="128"/>
      <c r="CA3807" s="128"/>
      <c r="CB3807" s="128"/>
      <c r="CC3807" s="128"/>
      <c r="CD3807" s="128"/>
      <c r="CE3807" s="128"/>
      <c r="CF3807" s="128"/>
      <c r="CG3807" s="128"/>
      <c r="CI3807" s="128"/>
      <c r="CJ3807" s="128"/>
      <c r="CK3807" s="128"/>
      <c r="CL3807" s="128"/>
      <c r="CM3807" s="128"/>
      <c r="CN3807" s="128"/>
      <c r="CO3807" s="128"/>
      <c r="CP3807" s="128"/>
      <c r="CQ3807" s="128"/>
      <c r="CR3807" s="128"/>
      <c r="CS3807" s="128"/>
      <c r="CT3807" s="128"/>
      <c r="CU3807" s="128"/>
      <c r="CV3807" s="128"/>
      <c r="CW3807" s="128"/>
      <c r="CX3807" s="128"/>
      <c r="CY3807" s="128"/>
      <c r="CZ3807" s="165"/>
    </row>
    <row r="3808" spans="1:104">
      <c r="A3808" s="149"/>
      <c r="B3808" s="149"/>
      <c r="C3808" s="150"/>
      <c r="D3808" s="102"/>
      <c r="E3808" s="149"/>
      <c r="F3808" s="149"/>
      <c r="G3808" s="149"/>
      <c r="H3808" s="149"/>
      <c r="I3808" s="149"/>
      <c r="J3808" s="149"/>
      <c r="K3808" s="149"/>
      <c r="L3808" s="149"/>
      <c r="M3808" s="149"/>
      <c r="N3808" s="149"/>
      <c r="O3808" s="149"/>
      <c r="P3808" s="149"/>
      <c r="Q3808" s="149"/>
      <c r="R3808" s="149"/>
      <c r="S3808" s="149"/>
      <c r="T3808" s="149"/>
      <c r="U3808" s="149"/>
      <c r="V3808" s="149"/>
      <c r="W3808" s="149"/>
      <c r="X3808" s="149"/>
      <c r="Y3808" s="149"/>
      <c r="Z3808" s="149"/>
      <c r="AA3808" s="149"/>
      <c r="AB3808" s="149"/>
      <c r="AC3808" s="149"/>
      <c r="AD3808" s="149"/>
      <c r="AE3808" s="149"/>
      <c r="AF3808" s="149"/>
      <c r="AG3808" s="149"/>
      <c r="AH3808" s="149"/>
      <c r="AI3808" s="149"/>
      <c r="AJ3808" s="149"/>
      <c r="AK3808" s="149"/>
      <c r="AL3808" s="149"/>
      <c r="AM3808" s="149"/>
      <c r="AN3808" s="149"/>
      <c r="AO3808" s="128"/>
      <c r="AP3808" s="128"/>
      <c r="AQ3808" s="128"/>
      <c r="AR3808" s="128"/>
      <c r="AS3808" s="128"/>
      <c r="AT3808" s="128"/>
      <c r="AU3808" s="128"/>
      <c r="AV3808" s="128"/>
      <c r="AW3808" s="128"/>
      <c r="AX3808" s="128"/>
      <c r="AY3808" s="128"/>
      <c r="AZ3808" s="128"/>
      <c r="BA3808" s="128"/>
      <c r="BB3808" s="128"/>
      <c r="BC3808" s="128"/>
      <c r="BD3808" s="128"/>
      <c r="BE3808" s="128"/>
      <c r="BF3808" s="128"/>
      <c r="BG3808" s="128"/>
      <c r="BH3808" s="128"/>
      <c r="BI3808" s="128"/>
      <c r="BJ3808" s="128"/>
      <c r="BK3808" s="128"/>
      <c r="BL3808" s="128"/>
      <c r="BM3808" s="151"/>
      <c r="BN3808" s="128"/>
      <c r="BO3808" s="128"/>
      <c r="BP3808" s="128"/>
      <c r="BQ3808" s="128"/>
      <c r="BR3808" s="128"/>
      <c r="BS3808" s="128"/>
      <c r="BT3808" s="128"/>
      <c r="BU3808" s="128"/>
      <c r="BV3808" s="128"/>
      <c r="BW3808" s="128"/>
      <c r="BX3808" s="128"/>
      <c r="BY3808" s="128"/>
      <c r="BZ3808" s="128"/>
      <c r="CA3808" s="128"/>
      <c r="CB3808" s="128"/>
      <c r="CC3808" s="128"/>
      <c r="CD3808" s="128"/>
      <c r="CE3808" s="128"/>
      <c r="CF3808" s="128"/>
      <c r="CG3808" s="128"/>
      <c r="CI3808" s="128"/>
      <c r="CJ3808" s="128"/>
      <c r="CK3808" s="128"/>
      <c r="CL3808" s="128"/>
      <c r="CM3808" s="128"/>
      <c r="CN3808" s="128"/>
      <c r="CO3808" s="128"/>
      <c r="CP3808" s="128"/>
      <c r="CQ3808" s="128"/>
      <c r="CR3808" s="128"/>
      <c r="CS3808" s="128"/>
      <c r="CT3808" s="128"/>
      <c r="CU3808" s="128"/>
      <c r="CV3808" s="128"/>
      <c r="CW3808" s="128"/>
      <c r="CX3808" s="128"/>
      <c r="CY3808" s="128"/>
      <c r="CZ3808" s="165"/>
    </row>
    <row r="3809" spans="1:104">
      <c r="A3809" s="149"/>
      <c r="B3809" s="149"/>
      <c r="C3809" s="150"/>
      <c r="D3809" s="102"/>
      <c r="E3809" s="149"/>
      <c r="F3809" s="149"/>
      <c r="G3809" s="149"/>
      <c r="H3809" s="149"/>
      <c r="I3809" s="149"/>
      <c r="J3809" s="149"/>
      <c r="K3809" s="149"/>
      <c r="L3809" s="149"/>
      <c r="M3809" s="149"/>
      <c r="N3809" s="149"/>
      <c r="O3809" s="149"/>
      <c r="P3809" s="149"/>
      <c r="Q3809" s="149"/>
      <c r="R3809" s="149"/>
      <c r="S3809" s="149"/>
      <c r="T3809" s="149"/>
      <c r="U3809" s="149"/>
      <c r="V3809" s="149"/>
      <c r="W3809" s="149"/>
      <c r="X3809" s="149"/>
      <c r="Y3809" s="149"/>
      <c r="Z3809" s="149"/>
      <c r="AA3809" s="149"/>
      <c r="AB3809" s="149"/>
      <c r="AC3809" s="149"/>
      <c r="AD3809" s="149"/>
      <c r="AE3809" s="149"/>
      <c r="AF3809" s="149"/>
      <c r="AG3809" s="149"/>
      <c r="AH3809" s="149"/>
      <c r="AI3809" s="149"/>
      <c r="AJ3809" s="149"/>
      <c r="AK3809" s="149"/>
      <c r="AL3809" s="149"/>
      <c r="AM3809" s="149"/>
      <c r="AN3809" s="149"/>
      <c r="AO3809" s="128"/>
      <c r="AP3809" s="128"/>
      <c r="AQ3809" s="128"/>
      <c r="AR3809" s="128"/>
      <c r="AS3809" s="128"/>
      <c r="AT3809" s="128"/>
      <c r="AU3809" s="128"/>
      <c r="AV3809" s="128"/>
      <c r="AW3809" s="128"/>
      <c r="AX3809" s="128"/>
      <c r="AY3809" s="128"/>
      <c r="AZ3809" s="128"/>
      <c r="BA3809" s="128"/>
      <c r="BB3809" s="128"/>
      <c r="BC3809" s="128"/>
      <c r="BD3809" s="128"/>
      <c r="BE3809" s="128"/>
      <c r="BF3809" s="128"/>
      <c r="BG3809" s="128"/>
      <c r="BH3809" s="128"/>
      <c r="BI3809" s="128"/>
      <c r="BJ3809" s="128"/>
      <c r="BK3809" s="128"/>
      <c r="BL3809" s="128"/>
      <c r="BM3809" s="151"/>
      <c r="BN3809" s="128"/>
      <c r="BO3809" s="128"/>
      <c r="BP3809" s="128"/>
      <c r="BQ3809" s="128"/>
      <c r="BR3809" s="128"/>
      <c r="BS3809" s="128"/>
      <c r="BT3809" s="128"/>
      <c r="BU3809" s="128"/>
      <c r="BV3809" s="128"/>
      <c r="BW3809" s="128"/>
      <c r="BX3809" s="128"/>
      <c r="BY3809" s="128"/>
      <c r="BZ3809" s="128"/>
      <c r="CA3809" s="128"/>
      <c r="CB3809" s="128"/>
      <c r="CC3809" s="128"/>
      <c r="CD3809" s="128"/>
      <c r="CE3809" s="128"/>
      <c r="CF3809" s="128"/>
      <c r="CG3809" s="128"/>
      <c r="CI3809" s="128"/>
      <c r="CJ3809" s="128"/>
      <c r="CK3809" s="128"/>
      <c r="CL3809" s="128"/>
      <c r="CM3809" s="128"/>
      <c r="CN3809" s="128"/>
      <c r="CO3809" s="128"/>
      <c r="CP3809" s="128"/>
      <c r="CQ3809" s="128"/>
      <c r="CR3809" s="128"/>
      <c r="CS3809" s="128"/>
      <c r="CT3809" s="128"/>
      <c r="CU3809" s="128"/>
      <c r="CV3809" s="128"/>
      <c r="CW3809" s="128"/>
      <c r="CX3809" s="128"/>
      <c r="CY3809" s="128"/>
      <c r="CZ3809" s="165"/>
    </row>
    <row r="3810" spans="1:104">
      <c r="A3810" s="149"/>
      <c r="B3810" s="149"/>
      <c r="C3810" s="150"/>
      <c r="D3810" s="102"/>
      <c r="E3810" s="149"/>
      <c r="F3810" s="149"/>
      <c r="G3810" s="149"/>
      <c r="H3810" s="149"/>
      <c r="I3810" s="149"/>
      <c r="J3810" s="149"/>
      <c r="K3810" s="149"/>
      <c r="L3810" s="149"/>
      <c r="M3810" s="149"/>
      <c r="N3810" s="149"/>
      <c r="O3810" s="149"/>
      <c r="P3810" s="149"/>
      <c r="Q3810" s="149"/>
      <c r="R3810" s="149"/>
      <c r="S3810" s="149"/>
      <c r="T3810" s="149"/>
      <c r="U3810" s="149"/>
      <c r="V3810" s="149"/>
      <c r="W3810" s="149"/>
      <c r="X3810" s="149"/>
      <c r="Y3810" s="149"/>
      <c r="Z3810" s="149"/>
      <c r="AA3810" s="149"/>
      <c r="AB3810" s="149"/>
      <c r="AC3810" s="149"/>
      <c r="AD3810" s="149"/>
      <c r="AE3810" s="149"/>
      <c r="AF3810" s="149"/>
      <c r="AG3810" s="149"/>
      <c r="AH3810" s="149"/>
      <c r="AI3810" s="149"/>
      <c r="AJ3810" s="149"/>
      <c r="AK3810" s="149"/>
      <c r="AL3810" s="149"/>
      <c r="AM3810" s="149"/>
      <c r="AN3810" s="149"/>
      <c r="AO3810" s="128"/>
      <c r="AP3810" s="128"/>
      <c r="AQ3810" s="128"/>
      <c r="AR3810" s="128"/>
      <c r="AS3810" s="128"/>
      <c r="AT3810" s="128"/>
      <c r="AU3810" s="128"/>
      <c r="AV3810" s="128"/>
      <c r="AW3810" s="128"/>
      <c r="AX3810" s="128"/>
      <c r="AY3810" s="128"/>
      <c r="AZ3810" s="128"/>
      <c r="BA3810" s="128"/>
      <c r="BB3810" s="128"/>
      <c r="BC3810" s="128"/>
      <c r="BD3810" s="128"/>
      <c r="BE3810" s="128"/>
      <c r="BF3810" s="128"/>
      <c r="BG3810" s="128"/>
      <c r="BH3810" s="128"/>
      <c r="BI3810" s="128"/>
      <c r="BJ3810" s="128"/>
      <c r="BK3810" s="128"/>
      <c r="BL3810" s="128"/>
      <c r="BM3810" s="151"/>
      <c r="BN3810" s="128"/>
      <c r="BO3810" s="128"/>
      <c r="BP3810" s="128"/>
      <c r="BQ3810" s="128"/>
      <c r="BR3810" s="128"/>
      <c r="BS3810" s="128"/>
      <c r="BT3810" s="128"/>
      <c r="BU3810" s="128"/>
      <c r="BV3810" s="128"/>
      <c r="BW3810" s="128"/>
      <c r="BX3810" s="128"/>
      <c r="BY3810" s="128"/>
      <c r="BZ3810" s="128"/>
      <c r="CA3810" s="128"/>
      <c r="CB3810" s="128"/>
      <c r="CC3810" s="128"/>
      <c r="CD3810" s="128"/>
      <c r="CE3810" s="128"/>
      <c r="CF3810" s="128"/>
      <c r="CG3810" s="128"/>
      <c r="CI3810" s="128"/>
      <c r="CJ3810" s="128"/>
      <c r="CK3810" s="128"/>
      <c r="CL3810" s="128"/>
      <c r="CM3810" s="128"/>
      <c r="CN3810" s="128"/>
      <c r="CO3810" s="128"/>
      <c r="CP3810" s="128"/>
      <c r="CQ3810" s="128"/>
      <c r="CR3810" s="128"/>
      <c r="CS3810" s="128"/>
      <c r="CT3810" s="128"/>
      <c r="CU3810" s="128"/>
      <c r="CV3810" s="128"/>
      <c r="CW3810" s="128"/>
      <c r="CX3810" s="128"/>
      <c r="CY3810" s="128"/>
      <c r="CZ3810" s="165"/>
    </row>
    <row r="3811" spans="1:104">
      <c r="A3811" s="149"/>
      <c r="B3811" s="149"/>
      <c r="C3811" s="150"/>
      <c r="D3811" s="102"/>
      <c r="E3811" s="149"/>
      <c r="F3811" s="149"/>
      <c r="G3811" s="149"/>
      <c r="H3811" s="149"/>
      <c r="I3811" s="149"/>
      <c r="J3811" s="149"/>
      <c r="K3811" s="149"/>
      <c r="L3811" s="149"/>
      <c r="M3811" s="149"/>
      <c r="N3811" s="149"/>
      <c r="O3811" s="149"/>
      <c r="P3811" s="149"/>
      <c r="Q3811" s="149"/>
      <c r="R3811" s="149"/>
      <c r="S3811" s="149"/>
      <c r="T3811" s="149"/>
      <c r="U3811" s="149"/>
      <c r="V3811" s="149"/>
      <c r="W3811" s="149"/>
      <c r="X3811" s="149"/>
      <c r="Y3811" s="149"/>
      <c r="Z3811" s="149"/>
      <c r="AA3811" s="149"/>
      <c r="AB3811" s="149"/>
      <c r="AC3811" s="149"/>
      <c r="AD3811" s="149"/>
      <c r="AE3811" s="149"/>
      <c r="AF3811" s="149"/>
      <c r="AG3811" s="149"/>
      <c r="AH3811" s="149"/>
      <c r="AI3811" s="149"/>
      <c r="AJ3811" s="149"/>
      <c r="AK3811" s="149"/>
      <c r="AL3811" s="149"/>
      <c r="AM3811" s="149"/>
      <c r="AN3811" s="149"/>
      <c r="AO3811" s="128"/>
      <c r="AP3811" s="128"/>
      <c r="AQ3811" s="128"/>
      <c r="AR3811" s="128"/>
      <c r="AS3811" s="128"/>
      <c r="AT3811" s="128"/>
      <c r="AU3811" s="128"/>
      <c r="AV3811" s="128"/>
      <c r="AW3811" s="128"/>
      <c r="AX3811" s="128"/>
      <c r="AY3811" s="128"/>
      <c r="AZ3811" s="128"/>
      <c r="BA3811" s="128"/>
      <c r="BB3811" s="128"/>
      <c r="BC3811" s="128"/>
      <c r="BD3811" s="128"/>
      <c r="BE3811" s="128"/>
      <c r="BF3811" s="128"/>
      <c r="BG3811" s="128"/>
      <c r="BH3811" s="128"/>
      <c r="BI3811" s="128"/>
      <c r="BJ3811" s="128"/>
      <c r="BK3811" s="128"/>
      <c r="BL3811" s="128"/>
      <c r="BM3811" s="151"/>
      <c r="BN3811" s="128"/>
      <c r="BO3811" s="128"/>
      <c r="BP3811" s="128"/>
      <c r="BQ3811" s="128"/>
      <c r="BR3811" s="128"/>
      <c r="BS3811" s="128"/>
      <c r="BT3811" s="128"/>
      <c r="BU3811" s="128"/>
      <c r="BV3811" s="128"/>
      <c r="BW3811" s="128"/>
      <c r="BX3811" s="128"/>
      <c r="BY3811" s="128"/>
      <c r="BZ3811" s="128"/>
      <c r="CA3811" s="128"/>
      <c r="CB3811" s="128"/>
      <c r="CC3811" s="128"/>
      <c r="CD3811" s="128"/>
      <c r="CE3811" s="128"/>
      <c r="CF3811" s="128"/>
      <c r="CG3811" s="128"/>
      <c r="CI3811" s="128"/>
      <c r="CJ3811" s="128"/>
      <c r="CK3811" s="128"/>
      <c r="CL3811" s="128"/>
      <c r="CM3811" s="128"/>
      <c r="CN3811" s="128"/>
      <c r="CO3811" s="128"/>
      <c r="CP3811" s="128"/>
      <c r="CQ3811" s="128"/>
      <c r="CR3811" s="128"/>
      <c r="CS3811" s="128"/>
      <c r="CT3811" s="128"/>
      <c r="CU3811" s="128"/>
      <c r="CV3811" s="128"/>
      <c r="CW3811" s="128"/>
      <c r="CX3811" s="128"/>
      <c r="CY3811" s="128"/>
      <c r="CZ3811" s="165"/>
    </row>
    <row r="3812" spans="1:104">
      <c r="A3812" s="149"/>
      <c r="B3812" s="149"/>
      <c r="C3812" s="150"/>
      <c r="D3812" s="102"/>
      <c r="E3812" s="149"/>
      <c r="F3812" s="149"/>
      <c r="G3812" s="149"/>
      <c r="H3812" s="149"/>
      <c r="I3812" s="149"/>
      <c r="J3812" s="149"/>
      <c r="K3812" s="149"/>
      <c r="L3812" s="149"/>
      <c r="M3812" s="149"/>
      <c r="N3812" s="149"/>
      <c r="O3812" s="149"/>
      <c r="P3812" s="149"/>
      <c r="Q3812" s="149"/>
      <c r="R3812" s="149"/>
      <c r="S3812" s="149"/>
      <c r="T3812" s="149"/>
      <c r="U3812" s="149"/>
      <c r="V3812" s="149"/>
      <c r="W3812" s="149"/>
      <c r="X3812" s="149"/>
      <c r="Y3812" s="149"/>
      <c r="Z3812" s="149"/>
      <c r="AA3812" s="149"/>
      <c r="AB3812" s="149"/>
      <c r="AC3812" s="149"/>
      <c r="AD3812" s="149"/>
      <c r="AE3812" s="149"/>
      <c r="AF3812" s="149"/>
      <c r="AG3812" s="149"/>
      <c r="AH3812" s="149"/>
      <c r="AI3812" s="149"/>
      <c r="AJ3812" s="149"/>
      <c r="AK3812" s="149"/>
      <c r="AL3812" s="149"/>
      <c r="AM3812" s="149"/>
      <c r="AN3812" s="149"/>
      <c r="AO3812" s="128"/>
      <c r="AP3812" s="128"/>
      <c r="AQ3812" s="128"/>
      <c r="AR3812" s="128"/>
      <c r="AS3812" s="128"/>
      <c r="AT3812" s="128"/>
      <c r="AU3812" s="128"/>
      <c r="AV3812" s="128"/>
      <c r="AW3812" s="128"/>
      <c r="AX3812" s="128"/>
      <c r="AY3812" s="128"/>
      <c r="AZ3812" s="128"/>
      <c r="BA3812" s="128"/>
      <c r="BB3812" s="128"/>
      <c r="BC3812" s="128"/>
      <c r="BD3812" s="128"/>
      <c r="BE3812" s="128"/>
      <c r="BF3812" s="128"/>
      <c r="BG3812" s="128"/>
      <c r="BH3812" s="128"/>
      <c r="BI3812" s="128"/>
      <c r="BJ3812" s="128"/>
      <c r="BK3812" s="128"/>
      <c r="BL3812" s="128"/>
      <c r="BM3812" s="151"/>
      <c r="BN3812" s="128"/>
      <c r="BO3812" s="128"/>
      <c r="BP3812" s="128"/>
      <c r="BQ3812" s="128"/>
      <c r="BR3812" s="128"/>
      <c r="BS3812" s="128"/>
      <c r="BT3812" s="128"/>
      <c r="BU3812" s="128"/>
      <c r="BV3812" s="128"/>
      <c r="BW3812" s="128"/>
      <c r="BX3812" s="128"/>
      <c r="BY3812" s="128"/>
      <c r="BZ3812" s="128"/>
      <c r="CA3812" s="128"/>
      <c r="CB3812" s="128"/>
      <c r="CC3812" s="128"/>
      <c r="CD3812" s="128"/>
      <c r="CE3812" s="128"/>
      <c r="CF3812" s="128"/>
      <c r="CG3812" s="128"/>
      <c r="CI3812" s="128"/>
      <c r="CJ3812" s="128"/>
      <c r="CK3812" s="128"/>
      <c r="CL3812" s="128"/>
      <c r="CM3812" s="128"/>
      <c r="CN3812" s="128"/>
      <c r="CO3812" s="128"/>
      <c r="CP3812" s="128"/>
      <c r="CQ3812" s="128"/>
      <c r="CR3812" s="128"/>
      <c r="CS3812" s="128"/>
      <c r="CT3812" s="128"/>
      <c r="CU3812" s="128"/>
      <c r="CV3812" s="128"/>
      <c r="CW3812" s="128"/>
      <c r="CX3812" s="128"/>
      <c r="CY3812" s="128"/>
      <c r="CZ3812" s="165"/>
    </row>
    <row r="3813" spans="1:104">
      <c r="A3813" s="149"/>
      <c r="B3813" s="149"/>
      <c r="C3813" s="150"/>
      <c r="D3813" s="102"/>
      <c r="E3813" s="149"/>
      <c r="F3813" s="149"/>
      <c r="G3813" s="149"/>
      <c r="H3813" s="149"/>
      <c r="I3813" s="149"/>
      <c r="J3813" s="149"/>
      <c r="K3813" s="149"/>
      <c r="L3813" s="149"/>
      <c r="M3813" s="149"/>
      <c r="N3813" s="149"/>
      <c r="O3813" s="149"/>
      <c r="P3813" s="149"/>
      <c r="Q3813" s="149"/>
      <c r="R3813" s="149"/>
      <c r="S3813" s="149"/>
      <c r="T3813" s="149"/>
      <c r="U3813" s="149"/>
      <c r="V3813" s="149"/>
      <c r="W3813" s="149"/>
      <c r="X3813" s="149"/>
      <c r="Y3813" s="149"/>
      <c r="Z3813" s="149"/>
      <c r="AA3813" s="149"/>
      <c r="AB3813" s="149"/>
      <c r="AC3813" s="149"/>
      <c r="AD3813" s="149"/>
      <c r="AE3813" s="149"/>
      <c r="AF3813" s="149"/>
      <c r="AG3813" s="149"/>
      <c r="AH3813" s="149"/>
      <c r="AI3813" s="149"/>
      <c r="AJ3813" s="149"/>
      <c r="AK3813" s="149"/>
      <c r="AL3813" s="149"/>
      <c r="AM3813" s="149"/>
      <c r="AN3813" s="149"/>
      <c r="AO3813" s="128"/>
      <c r="AP3813" s="128"/>
      <c r="AQ3813" s="128"/>
      <c r="AR3813" s="128"/>
      <c r="AS3813" s="128"/>
      <c r="AT3813" s="128"/>
      <c r="AU3813" s="128"/>
      <c r="AV3813" s="128"/>
      <c r="AW3813" s="128"/>
      <c r="AX3813" s="128"/>
      <c r="AY3813" s="128"/>
      <c r="AZ3813" s="128"/>
      <c r="BA3813" s="128"/>
      <c r="BB3813" s="128"/>
      <c r="BC3813" s="128"/>
      <c r="BD3813" s="128"/>
      <c r="BE3813" s="128"/>
      <c r="BF3813" s="128"/>
      <c r="BG3813" s="128"/>
      <c r="BH3813" s="128"/>
      <c r="BI3813" s="128"/>
      <c r="BJ3813" s="128"/>
      <c r="BK3813" s="128"/>
      <c r="BL3813" s="128"/>
      <c r="BM3813" s="151"/>
      <c r="BN3813" s="128"/>
      <c r="BO3813" s="128"/>
      <c r="BP3813" s="128"/>
      <c r="BQ3813" s="128"/>
      <c r="BR3813" s="128"/>
      <c r="BS3813" s="128"/>
      <c r="BT3813" s="128"/>
      <c r="BU3813" s="128"/>
      <c r="BV3813" s="128"/>
      <c r="BW3813" s="128"/>
      <c r="BX3813" s="128"/>
      <c r="BY3813" s="128"/>
      <c r="BZ3813" s="128"/>
      <c r="CA3813" s="128"/>
      <c r="CB3813" s="128"/>
      <c r="CC3813" s="128"/>
      <c r="CD3813" s="128"/>
      <c r="CE3813" s="128"/>
      <c r="CF3813" s="128"/>
      <c r="CG3813" s="128"/>
      <c r="CI3813" s="128"/>
      <c r="CJ3813" s="128"/>
      <c r="CK3813" s="128"/>
      <c r="CL3813" s="128"/>
      <c r="CM3813" s="128"/>
      <c r="CN3813" s="128"/>
      <c r="CO3813" s="128"/>
      <c r="CP3813" s="128"/>
      <c r="CQ3813" s="128"/>
      <c r="CR3813" s="128"/>
      <c r="CS3813" s="128"/>
      <c r="CT3813" s="128"/>
      <c r="CU3813" s="128"/>
      <c r="CV3813" s="128"/>
      <c r="CW3813" s="128"/>
      <c r="CX3813" s="128"/>
      <c r="CY3813" s="128"/>
      <c r="CZ3813" s="165"/>
    </row>
    <row r="3814" spans="1:104">
      <c r="A3814" s="149"/>
      <c r="B3814" s="149"/>
      <c r="C3814" s="150"/>
      <c r="D3814" s="102"/>
      <c r="E3814" s="149"/>
      <c r="F3814" s="149"/>
      <c r="G3814" s="149"/>
      <c r="H3814" s="149"/>
      <c r="I3814" s="149"/>
      <c r="J3814" s="149"/>
      <c r="K3814" s="149"/>
      <c r="L3814" s="149"/>
      <c r="M3814" s="149"/>
      <c r="N3814" s="149"/>
      <c r="O3814" s="149"/>
      <c r="P3814" s="149"/>
      <c r="Q3814" s="149"/>
      <c r="R3814" s="149"/>
      <c r="S3814" s="149"/>
      <c r="T3814" s="149"/>
      <c r="U3814" s="149"/>
      <c r="V3814" s="149"/>
      <c r="W3814" s="149"/>
      <c r="X3814" s="149"/>
      <c r="Y3814" s="149"/>
      <c r="Z3814" s="149"/>
      <c r="AA3814" s="149"/>
      <c r="AB3814" s="149"/>
      <c r="AC3814" s="149"/>
      <c r="AD3814" s="149"/>
      <c r="AE3814" s="149"/>
      <c r="AF3814" s="149"/>
      <c r="AG3814" s="149"/>
      <c r="AH3814" s="149"/>
      <c r="AI3814" s="149"/>
      <c r="AJ3814" s="149"/>
      <c r="AK3814" s="149"/>
      <c r="AL3814" s="149"/>
      <c r="AM3814" s="149"/>
      <c r="AN3814" s="149"/>
      <c r="AO3814" s="128"/>
      <c r="AP3814" s="128"/>
      <c r="AQ3814" s="128"/>
      <c r="AR3814" s="128"/>
      <c r="AS3814" s="128"/>
      <c r="AT3814" s="128"/>
      <c r="AU3814" s="128"/>
      <c r="AV3814" s="128"/>
      <c r="AW3814" s="128"/>
      <c r="AX3814" s="128"/>
      <c r="AY3814" s="128"/>
      <c r="AZ3814" s="128"/>
      <c r="BA3814" s="128"/>
      <c r="BB3814" s="128"/>
      <c r="BC3814" s="128"/>
      <c r="BD3814" s="128"/>
      <c r="BE3814" s="128"/>
      <c r="BF3814" s="128"/>
      <c r="BG3814" s="128"/>
      <c r="BH3814" s="128"/>
      <c r="BI3814" s="128"/>
      <c r="BJ3814" s="128"/>
      <c r="BK3814" s="128"/>
      <c r="BL3814" s="128"/>
      <c r="BM3814" s="151"/>
      <c r="BN3814" s="128"/>
      <c r="BO3814" s="128"/>
      <c r="BP3814" s="128"/>
      <c r="BQ3814" s="128"/>
      <c r="BR3814" s="128"/>
      <c r="BS3814" s="128"/>
      <c r="BT3814" s="128"/>
      <c r="BU3814" s="128"/>
      <c r="BV3814" s="128"/>
      <c r="BW3814" s="128"/>
      <c r="BX3814" s="128"/>
      <c r="BY3814" s="128"/>
      <c r="BZ3814" s="128"/>
      <c r="CA3814" s="128"/>
      <c r="CB3814" s="128"/>
      <c r="CC3814" s="128"/>
      <c r="CD3814" s="128"/>
      <c r="CE3814" s="128"/>
      <c r="CF3814" s="128"/>
      <c r="CG3814" s="128"/>
      <c r="CI3814" s="128"/>
      <c r="CJ3814" s="128"/>
      <c r="CK3814" s="128"/>
      <c r="CL3814" s="128"/>
      <c r="CM3814" s="128"/>
      <c r="CN3814" s="128"/>
      <c r="CO3814" s="128"/>
      <c r="CP3814" s="128"/>
      <c r="CQ3814" s="128"/>
      <c r="CR3814" s="128"/>
      <c r="CS3814" s="128"/>
      <c r="CT3814" s="128"/>
      <c r="CU3814" s="128"/>
      <c r="CV3814" s="128"/>
      <c r="CW3814" s="128"/>
      <c r="CX3814" s="128"/>
      <c r="CY3814" s="128"/>
      <c r="CZ3814" s="165"/>
    </row>
    <row r="3815" spans="1:104">
      <c r="A3815" s="149"/>
      <c r="B3815" s="149"/>
      <c r="C3815" s="150"/>
      <c r="D3815" s="102"/>
      <c r="E3815" s="149"/>
      <c r="F3815" s="149"/>
      <c r="G3815" s="149"/>
      <c r="H3815" s="149"/>
      <c r="I3815" s="149"/>
      <c r="J3815" s="149"/>
      <c r="K3815" s="149"/>
      <c r="L3815" s="149"/>
      <c r="M3815" s="149"/>
      <c r="N3815" s="149"/>
      <c r="O3815" s="149"/>
      <c r="P3815" s="149"/>
      <c r="Q3815" s="149"/>
      <c r="R3815" s="149"/>
      <c r="S3815" s="149"/>
      <c r="T3815" s="149"/>
      <c r="U3815" s="149"/>
      <c r="V3815" s="149"/>
      <c r="W3815" s="149"/>
      <c r="X3815" s="149"/>
      <c r="Y3815" s="149"/>
      <c r="Z3815" s="149"/>
      <c r="AA3815" s="149"/>
      <c r="AB3815" s="149"/>
      <c r="AC3815" s="149"/>
      <c r="AD3815" s="149"/>
      <c r="AE3815" s="149"/>
      <c r="AF3815" s="149"/>
      <c r="AG3815" s="149"/>
      <c r="AH3815" s="149"/>
      <c r="AI3815" s="149"/>
      <c r="AJ3815" s="149"/>
      <c r="AK3815" s="149"/>
      <c r="AL3815" s="149"/>
      <c r="AM3815" s="149"/>
      <c r="AN3815" s="149"/>
      <c r="AO3815" s="128"/>
      <c r="AP3815" s="128"/>
      <c r="AQ3815" s="128"/>
      <c r="AR3815" s="128"/>
      <c r="AS3815" s="128"/>
      <c r="AT3815" s="128"/>
      <c r="AU3815" s="128"/>
      <c r="AV3815" s="128"/>
      <c r="AW3815" s="128"/>
      <c r="AX3815" s="128"/>
      <c r="AY3815" s="128"/>
      <c r="AZ3815" s="128"/>
      <c r="BA3815" s="128"/>
      <c r="BB3815" s="128"/>
      <c r="BC3815" s="128"/>
      <c r="BD3815" s="128"/>
      <c r="BE3815" s="128"/>
      <c r="BF3815" s="128"/>
      <c r="BG3815" s="128"/>
      <c r="BH3815" s="128"/>
      <c r="BI3815" s="128"/>
      <c r="BJ3815" s="128"/>
      <c r="BK3815" s="128"/>
      <c r="BL3815" s="128"/>
      <c r="BM3815" s="151"/>
      <c r="BN3815" s="128"/>
      <c r="BO3815" s="128"/>
      <c r="BP3815" s="128"/>
      <c r="BQ3815" s="128"/>
      <c r="BR3815" s="128"/>
      <c r="BS3815" s="128"/>
      <c r="BT3815" s="128"/>
      <c r="BU3815" s="128"/>
      <c r="BV3815" s="128"/>
      <c r="BW3815" s="128"/>
      <c r="BX3815" s="128"/>
      <c r="BY3815" s="128"/>
      <c r="BZ3815" s="128"/>
      <c r="CA3815" s="128"/>
      <c r="CB3815" s="128"/>
      <c r="CC3815" s="128"/>
      <c r="CD3815" s="128"/>
      <c r="CE3815" s="128"/>
      <c r="CF3815" s="128"/>
      <c r="CG3815" s="128"/>
      <c r="CI3815" s="128"/>
      <c r="CJ3815" s="128"/>
      <c r="CK3815" s="128"/>
      <c r="CL3815" s="128"/>
      <c r="CM3815" s="128"/>
      <c r="CN3815" s="128"/>
      <c r="CO3815" s="128"/>
      <c r="CP3815" s="128"/>
      <c r="CQ3815" s="128"/>
      <c r="CR3815" s="128"/>
      <c r="CS3815" s="128"/>
      <c r="CT3815" s="128"/>
      <c r="CU3815" s="128"/>
      <c r="CV3815" s="128"/>
      <c r="CW3815" s="128"/>
      <c r="CX3815" s="128"/>
      <c r="CY3815" s="128"/>
      <c r="CZ3815" s="165"/>
    </row>
    <row r="3816" spans="1:104">
      <c r="A3816" s="149"/>
      <c r="B3816" s="149"/>
      <c r="C3816" s="150"/>
      <c r="D3816" s="102"/>
      <c r="E3816" s="149"/>
      <c r="F3816" s="149"/>
      <c r="G3816" s="149"/>
      <c r="H3816" s="149"/>
      <c r="I3816" s="149"/>
      <c r="J3816" s="149"/>
      <c r="K3816" s="149"/>
      <c r="L3816" s="149"/>
      <c r="M3816" s="149"/>
      <c r="N3816" s="149"/>
      <c r="O3816" s="149"/>
      <c r="P3816" s="149"/>
      <c r="Q3816" s="149"/>
      <c r="R3816" s="149"/>
      <c r="S3816" s="149"/>
      <c r="T3816" s="149"/>
      <c r="U3816" s="149"/>
      <c r="V3816" s="149"/>
      <c r="W3816" s="149"/>
      <c r="X3816" s="149"/>
      <c r="Y3816" s="149"/>
      <c r="Z3816" s="149"/>
      <c r="AA3816" s="149"/>
      <c r="AB3816" s="149"/>
      <c r="AC3816" s="149"/>
      <c r="AD3816" s="149"/>
      <c r="AE3816" s="149"/>
      <c r="AF3816" s="149"/>
      <c r="AG3816" s="149"/>
      <c r="AH3816" s="149"/>
      <c r="AI3816" s="149"/>
      <c r="AJ3816" s="149"/>
      <c r="AK3816" s="149"/>
      <c r="AL3816" s="149"/>
      <c r="AM3816" s="149"/>
      <c r="AN3816" s="149"/>
      <c r="AO3816" s="128"/>
      <c r="AP3816" s="128"/>
      <c r="AQ3816" s="128"/>
      <c r="AR3816" s="128"/>
      <c r="AS3816" s="128"/>
      <c r="AT3816" s="128"/>
      <c r="AU3816" s="128"/>
      <c r="AV3816" s="128"/>
      <c r="AW3816" s="128"/>
      <c r="AX3816" s="128"/>
      <c r="AY3816" s="128"/>
      <c r="AZ3816" s="128"/>
      <c r="BA3816" s="128"/>
      <c r="BB3816" s="128"/>
      <c r="BC3816" s="128"/>
      <c r="BD3816" s="128"/>
      <c r="BE3816" s="128"/>
      <c r="BF3816" s="128"/>
      <c r="BG3816" s="128"/>
      <c r="BH3816" s="128"/>
      <c r="BI3816" s="128"/>
      <c r="BJ3816" s="128"/>
      <c r="BK3816" s="128"/>
      <c r="BL3816" s="128"/>
      <c r="BM3816" s="151"/>
      <c r="BN3816" s="128"/>
      <c r="BO3816" s="128"/>
      <c r="BP3816" s="128"/>
      <c r="BQ3816" s="128"/>
      <c r="BR3816" s="128"/>
      <c r="BS3816" s="128"/>
      <c r="BT3816" s="128"/>
      <c r="BU3816" s="128"/>
      <c r="BV3816" s="128"/>
      <c r="BW3816" s="128"/>
      <c r="BX3816" s="128"/>
      <c r="BY3816" s="128"/>
      <c r="BZ3816" s="128"/>
      <c r="CA3816" s="128"/>
      <c r="CB3816" s="128"/>
      <c r="CC3816" s="128"/>
      <c r="CD3816" s="128"/>
      <c r="CE3816" s="128"/>
      <c r="CF3816" s="128"/>
      <c r="CG3816" s="128"/>
      <c r="CI3816" s="128"/>
      <c r="CJ3816" s="128"/>
      <c r="CK3816" s="128"/>
      <c r="CL3816" s="128"/>
      <c r="CM3816" s="128"/>
      <c r="CN3816" s="128"/>
      <c r="CO3816" s="128"/>
      <c r="CP3816" s="128"/>
      <c r="CQ3816" s="128"/>
      <c r="CR3816" s="128"/>
      <c r="CS3816" s="128"/>
      <c r="CT3816" s="128"/>
      <c r="CU3816" s="128"/>
      <c r="CV3816" s="128"/>
      <c r="CW3816" s="128"/>
      <c r="CX3816" s="128"/>
      <c r="CY3816" s="128"/>
      <c r="CZ3816" s="165"/>
    </row>
    <row r="3817" spans="1:104">
      <c r="A3817" s="149"/>
      <c r="B3817" s="149"/>
      <c r="C3817" s="150"/>
      <c r="D3817" s="102"/>
      <c r="E3817" s="149"/>
      <c r="F3817" s="149"/>
      <c r="G3817" s="149"/>
      <c r="H3817" s="149"/>
      <c r="I3817" s="149"/>
      <c r="J3817" s="149"/>
      <c r="K3817" s="149"/>
      <c r="L3817" s="149"/>
      <c r="M3817" s="149"/>
      <c r="N3817" s="149"/>
      <c r="O3817" s="149"/>
      <c r="P3817" s="149"/>
      <c r="Q3817" s="149"/>
      <c r="R3817" s="149"/>
      <c r="S3817" s="149"/>
      <c r="T3817" s="149"/>
      <c r="U3817" s="149"/>
      <c r="V3817" s="149"/>
      <c r="W3817" s="149"/>
      <c r="X3817" s="149"/>
      <c r="Y3817" s="149"/>
      <c r="Z3817" s="149"/>
      <c r="AA3817" s="149"/>
      <c r="AB3817" s="149"/>
      <c r="AC3817" s="149"/>
      <c r="AD3817" s="149"/>
      <c r="AE3817" s="149"/>
      <c r="AF3817" s="149"/>
      <c r="AG3817" s="149"/>
      <c r="AH3817" s="149"/>
      <c r="AI3817" s="149"/>
      <c r="AJ3817" s="149"/>
      <c r="AK3817" s="149"/>
      <c r="AL3817" s="149"/>
      <c r="AM3817" s="149"/>
      <c r="AN3817" s="149"/>
      <c r="AO3817" s="128"/>
      <c r="AP3817" s="128"/>
      <c r="AQ3817" s="128"/>
      <c r="AR3817" s="128"/>
      <c r="AS3817" s="128"/>
      <c r="AT3817" s="128"/>
      <c r="AU3817" s="128"/>
      <c r="AV3817" s="128"/>
      <c r="AW3817" s="128"/>
      <c r="AX3817" s="128"/>
      <c r="AY3817" s="128"/>
      <c r="AZ3817" s="128"/>
      <c r="BA3817" s="128"/>
      <c r="BB3817" s="128"/>
      <c r="BC3817" s="128"/>
      <c r="BD3817" s="128"/>
      <c r="BE3817" s="128"/>
      <c r="BF3817" s="128"/>
      <c r="BG3817" s="128"/>
      <c r="BH3817" s="128"/>
      <c r="BI3817" s="128"/>
      <c r="BJ3817" s="128"/>
      <c r="BK3817" s="128"/>
      <c r="BL3817" s="128"/>
      <c r="BM3817" s="151"/>
      <c r="BN3817" s="128"/>
      <c r="BO3817" s="128"/>
      <c r="BP3817" s="128"/>
      <c r="BQ3817" s="128"/>
      <c r="BR3817" s="128"/>
      <c r="BS3817" s="128"/>
      <c r="BT3817" s="128"/>
      <c r="BU3817" s="128"/>
      <c r="BV3817" s="128"/>
      <c r="BW3817" s="128"/>
      <c r="BX3817" s="128"/>
      <c r="BY3817" s="128"/>
      <c r="BZ3817" s="128"/>
      <c r="CA3817" s="128"/>
      <c r="CB3817" s="128"/>
      <c r="CC3817" s="128"/>
      <c r="CD3817" s="128"/>
      <c r="CE3817" s="128"/>
      <c r="CF3817" s="128"/>
      <c r="CG3817" s="128"/>
      <c r="CI3817" s="128"/>
      <c r="CJ3817" s="128"/>
      <c r="CK3817" s="128"/>
      <c r="CL3817" s="128"/>
      <c r="CM3817" s="128"/>
      <c r="CN3817" s="128"/>
      <c r="CO3817" s="128"/>
      <c r="CP3817" s="128"/>
      <c r="CQ3817" s="128"/>
      <c r="CR3817" s="128"/>
      <c r="CS3817" s="128"/>
      <c r="CT3817" s="128"/>
      <c r="CU3817" s="128"/>
      <c r="CV3817" s="128"/>
      <c r="CW3817" s="128"/>
      <c r="CX3817" s="128"/>
      <c r="CY3817" s="128"/>
      <c r="CZ3817" s="165"/>
    </row>
    <row r="3818" spans="1:104">
      <c r="A3818" s="149"/>
      <c r="B3818" s="149"/>
      <c r="C3818" s="150"/>
      <c r="D3818" s="102"/>
      <c r="E3818" s="149"/>
      <c r="F3818" s="149"/>
      <c r="G3818" s="149"/>
      <c r="H3818" s="149"/>
      <c r="I3818" s="149"/>
      <c r="J3818" s="149"/>
      <c r="K3818" s="149"/>
      <c r="L3818" s="149"/>
      <c r="M3818" s="149"/>
      <c r="N3818" s="149"/>
      <c r="O3818" s="149"/>
      <c r="P3818" s="149"/>
      <c r="Q3818" s="149"/>
      <c r="R3818" s="149"/>
      <c r="S3818" s="149"/>
      <c r="T3818" s="149"/>
      <c r="U3818" s="149"/>
      <c r="V3818" s="149"/>
      <c r="W3818" s="149"/>
      <c r="X3818" s="149"/>
      <c r="Y3818" s="149"/>
      <c r="Z3818" s="149"/>
      <c r="AA3818" s="149"/>
      <c r="AB3818" s="149"/>
      <c r="AC3818" s="149"/>
      <c r="AD3818" s="149"/>
      <c r="AE3818" s="149"/>
      <c r="AF3818" s="149"/>
      <c r="AG3818" s="149"/>
      <c r="AH3818" s="149"/>
      <c r="AI3818" s="149"/>
      <c r="AJ3818" s="149"/>
      <c r="AK3818" s="149"/>
      <c r="AL3818" s="149"/>
      <c r="AM3818" s="149"/>
      <c r="AN3818" s="149"/>
      <c r="AO3818" s="128"/>
      <c r="AP3818" s="128"/>
      <c r="AQ3818" s="128"/>
      <c r="AR3818" s="128"/>
      <c r="AS3818" s="128"/>
      <c r="AT3818" s="128"/>
      <c r="AU3818" s="128"/>
      <c r="AV3818" s="128"/>
      <c r="AW3818" s="128"/>
      <c r="AX3818" s="128"/>
      <c r="AY3818" s="128"/>
      <c r="AZ3818" s="128"/>
      <c r="BA3818" s="128"/>
      <c r="BB3818" s="128"/>
      <c r="BC3818" s="128"/>
      <c r="BD3818" s="128"/>
      <c r="BE3818" s="128"/>
      <c r="BF3818" s="128"/>
      <c r="BG3818" s="128"/>
      <c r="BH3818" s="128"/>
      <c r="BI3818" s="128"/>
      <c r="BJ3818" s="128"/>
      <c r="BK3818" s="128"/>
      <c r="BL3818" s="128"/>
      <c r="BM3818" s="151"/>
      <c r="BN3818" s="128"/>
      <c r="BO3818" s="128"/>
      <c r="BP3818" s="128"/>
      <c r="BQ3818" s="128"/>
      <c r="BR3818" s="128"/>
      <c r="BS3818" s="128"/>
      <c r="BT3818" s="128"/>
      <c r="BU3818" s="128"/>
      <c r="BV3818" s="128"/>
      <c r="BW3818" s="128"/>
      <c r="BX3818" s="128"/>
      <c r="BY3818" s="128"/>
      <c r="BZ3818" s="128"/>
      <c r="CA3818" s="128"/>
      <c r="CB3818" s="128"/>
      <c r="CC3818" s="128"/>
      <c r="CD3818" s="128"/>
      <c r="CE3818" s="128"/>
      <c r="CF3818" s="128"/>
      <c r="CG3818" s="128"/>
      <c r="CI3818" s="128"/>
      <c r="CJ3818" s="128"/>
      <c r="CK3818" s="128"/>
      <c r="CL3818" s="128"/>
      <c r="CM3818" s="128"/>
      <c r="CN3818" s="128"/>
      <c r="CO3818" s="128"/>
      <c r="CP3818" s="128"/>
      <c r="CQ3818" s="128"/>
      <c r="CR3818" s="128"/>
      <c r="CS3818" s="128"/>
      <c r="CT3818" s="128"/>
      <c r="CU3818" s="128"/>
      <c r="CV3818" s="128"/>
      <c r="CW3818" s="128"/>
      <c r="CX3818" s="128"/>
      <c r="CY3818" s="128"/>
      <c r="CZ3818" s="165"/>
    </row>
    <row r="3819" spans="1:104">
      <c r="A3819" s="149"/>
      <c r="B3819" s="149"/>
      <c r="C3819" s="150"/>
      <c r="D3819" s="102"/>
      <c r="E3819" s="149"/>
      <c r="F3819" s="149"/>
      <c r="G3819" s="149"/>
      <c r="H3819" s="149"/>
      <c r="I3819" s="149"/>
      <c r="J3819" s="149"/>
      <c r="K3819" s="149"/>
      <c r="L3819" s="149"/>
      <c r="M3819" s="149"/>
      <c r="N3819" s="149"/>
      <c r="O3819" s="149"/>
      <c r="P3819" s="149"/>
      <c r="Q3819" s="149"/>
      <c r="R3819" s="149"/>
      <c r="S3819" s="149"/>
      <c r="T3819" s="149"/>
      <c r="U3819" s="149"/>
      <c r="V3819" s="149"/>
      <c r="W3819" s="149"/>
      <c r="X3819" s="149"/>
      <c r="Y3819" s="149"/>
      <c r="Z3819" s="149"/>
      <c r="AA3819" s="149"/>
      <c r="AB3819" s="149"/>
      <c r="AC3819" s="149"/>
      <c r="AD3819" s="149"/>
      <c r="AE3819" s="149"/>
      <c r="AF3819" s="149"/>
      <c r="AG3819" s="149"/>
      <c r="AH3819" s="149"/>
      <c r="AI3819" s="149"/>
      <c r="AJ3819" s="149"/>
      <c r="AK3819" s="149"/>
      <c r="AL3819" s="149"/>
      <c r="AM3819" s="149"/>
      <c r="AN3819" s="149"/>
      <c r="AO3819" s="128"/>
      <c r="AP3819" s="128"/>
      <c r="AQ3819" s="128"/>
      <c r="AR3819" s="128"/>
      <c r="AS3819" s="128"/>
      <c r="AT3819" s="128"/>
      <c r="AU3819" s="128"/>
      <c r="AV3819" s="128"/>
      <c r="AW3819" s="128"/>
      <c r="AX3819" s="128"/>
      <c r="AY3819" s="128"/>
      <c r="AZ3819" s="128"/>
      <c r="BA3819" s="128"/>
      <c r="BB3819" s="128"/>
      <c r="BC3819" s="128"/>
      <c r="BD3819" s="128"/>
      <c r="BE3819" s="128"/>
      <c r="BF3819" s="128"/>
      <c r="BG3819" s="128"/>
      <c r="BH3819" s="128"/>
      <c r="BI3819" s="128"/>
      <c r="BJ3819" s="128"/>
      <c r="BK3819" s="128"/>
      <c r="BL3819" s="128"/>
      <c r="BM3819" s="151"/>
      <c r="BN3819" s="128"/>
      <c r="BO3819" s="128"/>
      <c r="BP3819" s="128"/>
      <c r="BQ3819" s="128"/>
      <c r="BR3819" s="128"/>
      <c r="BS3819" s="128"/>
      <c r="BT3819" s="128"/>
      <c r="BU3819" s="128"/>
      <c r="BV3819" s="128"/>
      <c r="BW3819" s="128"/>
      <c r="BX3819" s="128"/>
      <c r="BY3819" s="128"/>
      <c r="BZ3819" s="128"/>
      <c r="CA3819" s="128"/>
      <c r="CB3819" s="128"/>
      <c r="CC3819" s="128"/>
      <c r="CD3819" s="128"/>
      <c r="CE3819" s="128"/>
      <c r="CF3819" s="128"/>
      <c r="CG3819" s="128"/>
      <c r="CI3819" s="128"/>
      <c r="CJ3819" s="128"/>
      <c r="CK3819" s="128"/>
      <c r="CL3819" s="128"/>
      <c r="CM3819" s="128"/>
      <c r="CN3819" s="128"/>
      <c r="CO3819" s="128"/>
      <c r="CP3819" s="128"/>
      <c r="CQ3819" s="128"/>
      <c r="CR3819" s="128"/>
      <c r="CS3819" s="128"/>
      <c r="CT3819" s="128"/>
      <c r="CU3819" s="128"/>
      <c r="CV3819" s="128"/>
      <c r="CW3819" s="128"/>
      <c r="CX3819" s="128"/>
      <c r="CY3819" s="128"/>
      <c r="CZ3819" s="165"/>
    </row>
    <row r="3820" spans="1:104">
      <c r="A3820" s="149"/>
      <c r="B3820" s="149"/>
      <c r="C3820" s="150"/>
      <c r="D3820" s="102"/>
      <c r="E3820" s="149"/>
      <c r="F3820" s="149"/>
      <c r="G3820" s="149"/>
      <c r="H3820" s="149"/>
      <c r="I3820" s="149"/>
      <c r="J3820" s="149"/>
      <c r="K3820" s="149"/>
      <c r="L3820" s="149"/>
      <c r="M3820" s="149"/>
      <c r="N3820" s="149"/>
      <c r="O3820" s="149"/>
      <c r="P3820" s="149"/>
      <c r="Q3820" s="149"/>
      <c r="R3820" s="149"/>
      <c r="S3820" s="149"/>
      <c r="T3820" s="149"/>
      <c r="U3820" s="149"/>
      <c r="V3820" s="149"/>
      <c r="W3820" s="149"/>
      <c r="X3820" s="149"/>
      <c r="Y3820" s="149"/>
      <c r="Z3820" s="149"/>
      <c r="AA3820" s="149"/>
      <c r="AB3820" s="149"/>
      <c r="AC3820" s="149"/>
      <c r="AD3820" s="149"/>
      <c r="AE3820" s="149"/>
      <c r="AF3820" s="149"/>
      <c r="AG3820" s="149"/>
      <c r="AH3820" s="149"/>
      <c r="AI3820" s="149"/>
      <c r="AJ3820" s="149"/>
      <c r="AK3820" s="149"/>
      <c r="AL3820" s="149"/>
      <c r="AM3820" s="149"/>
      <c r="AN3820" s="149"/>
      <c r="AO3820" s="128"/>
      <c r="AP3820" s="128"/>
      <c r="AQ3820" s="128"/>
      <c r="AR3820" s="128"/>
      <c r="AS3820" s="128"/>
      <c r="AT3820" s="128"/>
      <c r="AU3820" s="128"/>
      <c r="AV3820" s="128"/>
      <c r="AW3820" s="128"/>
      <c r="AX3820" s="128"/>
      <c r="AY3820" s="128"/>
      <c r="AZ3820" s="128"/>
      <c r="BA3820" s="128"/>
      <c r="BB3820" s="128"/>
      <c r="BC3820" s="128"/>
      <c r="BD3820" s="128"/>
      <c r="BE3820" s="128"/>
      <c r="BF3820" s="128"/>
      <c r="BG3820" s="128"/>
      <c r="BH3820" s="128"/>
      <c r="BI3820" s="128"/>
      <c r="BJ3820" s="128"/>
      <c r="BK3820" s="128"/>
      <c r="BL3820" s="128"/>
      <c r="BM3820" s="151"/>
      <c r="BN3820" s="128"/>
      <c r="BO3820" s="128"/>
      <c r="BP3820" s="128"/>
      <c r="BQ3820" s="128"/>
      <c r="BR3820" s="128"/>
      <c r="BS3820" s="128"/>
      <c r="BT3820" s="128"/>
      <c r="BU3820" s="128"/>
      <c r="BV3820" s="128"/>
      <c r="BW3820" s="128"/>
      <c r="BX3820" s="128"/>
      <c r="BY3820" s="128"/>
      <c r="BZ3820" s="128"/>
      <c r="CA3820" s="128"/>
      <c r="CB3820" s="128"/>
      <c r="CC3820" s="128"/>
      <c r="CD3820" s="128"/>
      <c r="CE3820" s="128"/>
      <c r="CF3820" s="128"/>
      <c r="CG3820" s="128"/>
      <c r="CI3820" s="128"/>
      <c r="CJ3820" s="128"/>
      <c r="CK3820" s="128"/>
      <c r="CL3820" s="128"/>
      <c r="CM3820" s="128"/>
      <c r="CN3820" s="128"/>
      <c r="CO3820" s="128"/>
      <c r="CP3820" s="128"/>
      <c r="CQ3820" s="128"/>
      <c r="CR3820" s="128"/>
      <c r="CS3820" s="128"/>
      <c r="CT3820" s="128"/>
      <c r="CU3820" s="128"/>
      <c r="CV3820" s="128"/>
      <c r="CW3820" s="128"/>
      <c r="CX3820" s="128"/>
      <c r="CY3820" s="128"/>
      <c r="CZ3820" s="165"/>
    </row>
    <row r="3821" spans="1:104">
      <c r="A3821" s="149"/>
      <c r="B3821" s="149"/>
      <c r="C3821" s="150"/>
      <c r="D3821" s="102"/>
      <c r="E3821" s="149"/>
      <c r="F3821" s="149"/>
      <c r="G3821" s="149"/>
      <c r="H3821" s="149"/>
      <c r="I3821" s="149"/>
      <c r="J3821" s="149"/>
      <c r="K3821" s="149"/>
      <c r="L3821" s="149"/>
      <c r="M3821" s="149"/>
      <c r="N3821" s="149"/>
      <c r="O3821" s="149"/>
      <c r="P3821" s="149"/>
      <c r="Q3821" s="149"/>
      <c r="R3821" s="149"/>
      <c r="S3821" s="149"/>
      <c r="T3821" s="149"/>
      <c r="U3821" s="149"/>
      <c r="V3821" s="149"/>
      <c r="W3821" s="149"/>
      <c r="X3821" s="149"/>
      <c r="Y3821" s="149"/>
      <c r="Z3821" s="149"/>
      <c r="AA3821" s="149"/>
      <c r="AB3821" s="149"/>
      <c r="AC3821" s="149"/>
      <c r="AD3821" s="149"/>
      <c r="AE3821" s="149"/>
      <c r="AF3821" s="149"/>
      <c r="AG3821" s="149"/>
      <c r="AH3821" s="149"/>
      <c r="AI3821" s="149"/>
      <c r="AJ3821" s="149"/>
      <c r="AK3821" s="149"/>
      <c r="AL3821" s="149"/>
      <c r="AM3821" s="149"/>
      <c r="AN3821" s="149"/>
      <c r="AO3821" s="128"/>
      <c r="AP3821" s="128"/>
      <c r="AQ3821" s="128"/>
      <c r="AR3821" s="128"/>
      <c r="AS3821" s="128"/>
      <c r="AT3821" s="128"/>
      <c r="AU3821" s="128"/>
      <c r="AV3821" s="128"/>
      <c r="AW3821" s="128"/>
      <c r="AX3821" s="128"/>
      <c r="AY3821" s="128"/>
      <c r="AZ3821" s="128"/>
      <c r="BA3821" s="128"/>
      <c r="BB3821" s="128"/>
      <c r="BC3821" s="128"/>
      <c r="BD3821" s="128"/>
      <c r="BE3821" s="128"/>
      <c r="BF3821" s="128"/>
      <c r="BG3821" s="128"/>
      <c r="BH3821" s="128"/>
      <c r="BI3821" s="128"/>
      <c r="BJ3821" s="128"/>
      <c r="BK3821" s="128"/>
      <c r="BL3821" s="128"/>
      <c r="BM3821" s="151"/>
      <c r="BN3821" s="128"/>
      <c r="BO3821" s="128"/>
      <c r="BP3821" s="128"/>
      <c r="BQ3821" s="128"/>
      <c r="BR3821" s="128"/>
      <c r="BS3821" s="128"/>
      <c r="BT3821" s="128"/>
      <c r="BU3821" s="128"/>
      <c r="BV3821" s="128"/>
      <c r="BW3821" s="128"/>
      <c r="BX3821" s="128"/>
      <c r="BY3821" s="128"/>
      <c r="BZ3821" s="128"/>
      <c r="CA3821" s="128"/>
      <c r="CB3821" s="128"/>
      <c r="CC3821" s="128"/>
      <c r="CD3821" s="128"/>
      <c r="CE3821" s="128"/>
      <c r="CF3821" s="128"/>
      <c r="CG3821" s="128"/>
      <c r="CI3821" s="128"/>
      <c r="CJ3821" s="128"/>
      <c r="CK3821" s="128"/>
      <c r="CL3821" s="128"/>
      <c r="CM3821" s="128"/>
      <c r="CN3821" s="128"/>
      <c r="CO3821" s="128"/>
      <c r="CP3821" s="128"/>
      <c r="CQ3821" s="128"/>
      <c r="CR3821" s="128"/>
      <c r="CS3821" s="128"/>
      <c r="CT3821" s="128"/>
      <c r="CU3821" s="128"/>
      <c r="CV3821" s="128"/>
      <c r="CW3821" s="128"/>
      <c r="CX3821" s="128"/>
      <c r="CY3821" s="128"/>
      <c r="CZ3821" s="165"/>
    </row>
    <row r="3822" spans="1:104">
      <c r="A3822" s="149"/>
      <c r="B3822" s="149"/>
      <c r="C3822" s="150"/>
      <c r="D3822" s="102"/>
      <c r="E3822" s="149"/>
      <c r="F3822" s="149"/>
      <c r="G3822" s="149"/>
      <c r="H3822" s="149"/>
      <c r="I3822" s="149"/>
      <c r="J3822" s="149"/>
      <c r="K3822" s="149"/>
      <c r="L3822" s="149"/>
      <c r="M3822" s="149"/>
      <c r="N3822" s="149"/>
      <c r="O3822" s="149"/>
      <c r="P3822" s="149"/>
      <c r="Q3822" s="149"/>
      <c r="R3822" s="149"/>
      <c r="S3822" s="149"/>
      <c r="T3822" s="149"/>
      <c r="U3822" s="149"/>
      <c r="V3822" s="149"/>
      <c r="W3822" s="149"/>
      <c r="X3822" s="149"/>
      <c r="Y3822" s="149"/>
      <c r="Z3822" s="149"/>
      <c r="AA3822" s="149"/>
      <c r="AB3822" s="149"/>
      <c r="AC3822" s="149"/>
      <c r="AD3822" s="149"/>
      <c r="AE3822" s="149"/>
      <c r="AF3822" s="149"/>
      <c r="AG3822" s="149"/>
      <c r="AH3822" s="149"/>
      <c r="AI3822" s="149"/>
      <c r="AJ3822" s="149"/>
      <c r="AK3822" s="149"/>
      <c r="AL3822" s="149"/>
      <c r="AM3822" s="149"/>
      <c r="AN3822" s="149"/>
      <c r="AO3822" s="128"/>
      <c r="AP3822" s="128"/>
      <c r="AQ3822" s="128"/>
      <c r="AR3822" s="128"/>
      <c r="AS3822" s="128"/>
      <c r="AT3822" s="128"/>
      <c r="AU3822" s="128"/>
      <c r="AV3822" s="128"/>
      <c r="AW3822" s="128"/>
      <c r="AX3822" s="128"/>
      <c r="AY3822" s="128"/>
      <c r="AZ3822" s="128"/>
      <c r="BA3822" s="128"/>
      <c r="BB3822" s="128"/>
      <c r="BC3822" s="128"/>
      <c r="BD3822" s="128"/>
      <c r="BE3822" s="128"/>
      <c r="BF3822" s="128"/>
      <c r="BG3822" s="128"/>
      <c r="BH3822" s="128"/>
      <c r="BI3822" s="128"/>
      <c r="BJ3822" s="128"/>
      <c r="BK3822" s="128"/>
      <c r="BL3822" s="128"/>
      <c r="BM3822" s="151"/>
      <c r="BN3822" s="128"/>
      <c r="BO3822" s="128"/>
      <c r="BP3822" s="128"/>
      <c r="BQ3822" s="128"/>
      <c r="BR3822" s="128"/>
      <c r="BS3822" s="128"/>
      <c r="BT3822" s="128"/>
      <c r="BU3822" s="128"/>
      <c r="BV3822" s="128"/>
      <c r="BW3822" s="128"/>
      <c r="BX3822" s="128"/>
      <c r="BY3822" s="128"/>
      <c r="BZ3822" s="128"/>
      <c r="CA3822" s="128"/>
      <c r="CB3822" s="128"/>
      <c r="CC3822" s="128"/>
      <c r="CD3822" s="128"/>
      <c r="CE3822" s="128"/>
      <c r="CF3822" s="128"/>
      <c r="CG3822" s="128"/>
      <c r="CI3822" s="128"/>
      <c r="CJ3822" s="128"/>
      <c r="CK3822" s="128"/>
      <c r="CL3822" s="128"/>
      <c r="CM3822" s="128"/>
      <c r="CN3822" s="128"/>
      <c r="CO3822" s="128"/>
      <c r="CP3822" s="128"/>
      <c r="CQ3822" s="128"/>
      <c r="CR3822" s="128"/>
      <c r="CS3822" s="128"/>
      <c r="CT3822" s="128"/>
      <c r="CU3822" s="128"/>
      <c r="CV3822" s="128"/>
      <c r="CW3822" s="128"/>
      <c r="CX3822" s="128"/>
      <c r="CY3822" s="128"/>
      <c r="CZ3822" s="165"/>
    </row>
    <row r="3823" spans="1:104">
      <c r="A3823" s="149"/>
      <c r="B3823" s="149"/>
      <c r="C3823" s="150"/>
      <c r="D3823" s="102"/>
      <c r="E3823" s="149"/>
      <c r="F3823" s="149"/>
      <c r="G3823" s="149"/>
      <c r="H3823" s="149"/>
      <c r="I3823" s="149"/>
      <c r="J3823" s="149"/>
      <c r="K3823" s="149"/>
      <c r="L3823" s="149"/>
      <c r="M3823" s="149"/>
      <c r="N3823" s="149"/>
      <c r="O3823" s="149"/>
      <c r="P3823" s="149"/>
      <c r="Q3823" s="149"/>
      <c r="R3823" s="149"/>
      <c r="S3823" s="149"/>
      <c r="T3823" s="149"/>
      <c r="U3823" s="149"/>
      <c r="V3823" s="149"/>
      <c r="W3823" s="149"/>
      <c r="X3823" s="149"/>
      <c r="Y3823" s="149"/>
      <c r="Z3823" s="149"/>
      <c r="AA3823" s="149"/>
      <c r="AB3823" s="149"/>
      <c r="AC3823" s="149"/>
      <c r="AD3823" s="149"/>
      <c r="AE3823" s="149"/>
      <c r="AF3823" s="149"/>
      <c r="AG3823" s="149"/>
      <c r="AH3823" s="149"/>
      <c r="AI3823" s="149"/>
      <c r="AJ3823" s="149"/>
      <c r="AK3823" s="149"/>
      <c r="AL3823" s="149"/>
      <c r="AM3823" s="149"/>
      <c r="AN3823" s="149"/>
      <c r="AO3823" s="128"/>
      <c r="AP3823" s="128"/>
      <c r="AQ3823" s="128"/>
      <c r="AR3823" s="128"/>
      <c r="AS3823" s="128"/>
      <c r="AT3823" s="128"/>
      <c r="AU3823" s="128"/>
      <c r="AV3823" s="128"/>
      <c r="AW3823" s="128"/>
      <c r="AX3823" s="128"/>
      <c r="AY3823" s="128"/>
      <c r="AZ3823" s="128"/>
      <c r="BA3823" s="128"/>
      <c r="BB3823" s="128"/>
      <c r="BC3823" s="128"/>
      <c r="BD3823" s="128"/>
      <c r="BE3823" s="128"/>
      <c r="BF3823" s="128"/>
      <c r="BG3823" s="128"/>
      <c r="BH3823" s="128"/>
      <c r="BI3823" s="128"/>
      <c r="BJ3823" s="128"/>
      <c r="BK3823" s="128"/>
      <c r="BL3823" s="128"/>
      <c r="BM3823" s="151"/>
      <c r="BN3823" s="128"/>
      <c r="BO3823" s="128"/>
      <c r="BP3823" s="128"/>
      <c r="BQ3823" s="128"/>
      <c r="BR3823" s="128"/>
      <c r="BS3823" s="128"/>
      <c r="BT3823" s="128"/>
      <c r="BU3823" s="128"/>
      <c r="BV3823" s="128"/>
      <c r="BW3823" s="128"/>
      <c r="BX3823" s="128"/>
      <c r="BY3823" s="128"/>
      <c r="BZ3823" s="128"/>
      <c r="CA3823" s="128"/>
      <c r="CB3823" s="128"/>
      <c r="CC3823" s="128"/>
      <c r="CD3823" s="128"/>
      <c r="CE3823" s="128"/>
      <c r="CF3823" s="128"/>
      <c r="CG3823" s="128"/>
      <c r="CI3823" s="128"/>
      <c r="CJ3823" s="128"/>
      <c r="CK3823" s="128"/>
      <c r="CL3823" s="128"/>
      <c r="CM3823" s="128"/>
      <c r="CN3823" s="128"/>
      <c r="CO3823" s="128"/>
      <c r="CP3823" s="128"/>
      <c r="CQ3823" s="128"/>
      <c r="CR3823" s="128"/>
      <c r="CS3823" s="128"/>
      <c r="CT3823" s="128"/>
      <c r="CU3823" s="128"/>
      <c r="CV3823" s="128"/>
      <c r="CW3823" s="128"/>
      <c r="CX3823" s="128"/>
      <c r="CY3823" s="128"/>
      <c r="CZ3823" s="165"/>
    </row>
    <row r="3824" spans="1:104">
      <c r="A3824" s="149"/>
      <c r="B3824" s="149"/>
      <c r="C3824" s="150"/>
      <c r="D3824" s="102"/>
      <c r="E3824" s="149"/>
      <c r="F3824" s="149"/>
      <c r="G3824" s="149"/>
      <c r="H3824" s="149"/>
      <c r="I3824" s="149"/>
      <c r="J3824" s="149"/>
      <c r="K3824" s="149"/>
      <c r="L3824" s="149"/>
      <c r="M3824" s="149"/>
      <c r="N3824" s="149"/>
      <c r="O3824" s="149"/>
      <c r="P3824" s="149"/>
      <c r="Q3824" s="149"/>
      <c r="R3824" s="149"/>
      <c r="S3824" s="149"/>
      <c r="T3824" s="149"/>
      <c r="U3824" s="149"/>
      <c r="V3824" s="149"/>
      <c r="W3824" s="149"/>
      <c r="X3824" s="149"/>
      <c r="Y3824" s="149"/>
      <c r="Z3824" s="149"/>
      <c r="AA3824" s="149"/>
      <c r="AB3824" s="149"/>
      <c r="AC3824" s="149"/>
      <c r="AD3824" s="149"/>
      <c r="AE3824" s="149"/>
      <c r="AF3824" s="149"/>
      <c r="AG3824" s="149"/>
      <c r="AH3824" s="149"/>
      <c r="AI3824" s="149"/>
      <c r="AJ3824" s="149"/>
      <c r="AK3824" s="149"/>
      <c r="AL3824" s="149"/>
      <c r="AM3824" s="149"/>
      <c r="AN3824" s="149"/>
      <c r="AO3824" s="128"/>
      <c r="AP3824" s="128"/>
      <c r="AQ3824" s="128"/>
      <c r="AR3824" s="128"/>
      <c r="AS3824" s="128"/>
      <c r="AT3824" s="128"/>
      <c r="AU3824" s="128"/>
      <c r="AV3824" s="128"/>
      <c r="AW3824" s="128"/>
      <c r="AX3824" s="128"/>
      <c r="AY3824" s="128"/>
      <c r="AZ3824" s="128"/>
      <c r="BA3824" s="128"/>
      <c r="BB3824" s="128"/>
      <c r="BC3824" s="128"/>
      <c r="BD3824" s="128"/>
      <c r="BE3824" s="128"/>
      <c r="BF3824" s="128"/>
      <c r="BG3824" s="128"/>
      <c r="BH3824" s="128"/>
      <c r="BI3824" s="128"/>
      <c r="BJ3824" s="128"/>
      <c r="BK3824" s="128"/>
      <c r="BL3824" s="128"/>
      <c r="BM3824" s="151"/>
      <c r="BN3824" s="128"/>
      <c r="BO3824" s="128"/>
      <c r="BP3824" s="128"/>
      <c r="BQ3824" s="128"/>
      <c r="BR3824" s="128"/>
      <c r="BS3824" s="128"/>
      <c r="BT3824" s="128"/>
      <c r="BU3824" s="128"/>
      <c r="BV3824" s="128"/>
      <c r="BW3824" s="128"/>
      <c r="BX3824" s="128"/>
      <c r="BY3824" s="128"/>
      <c r="BZ3824" s="128"/>
      <c r="CA3824" s="128"/>
      <c r="CB3824" s="128"/>
      <c r="CC3824" s="128"/>
      <c r="CD3824" s="128"/>
      <c r="CE3824" s="128"/>
      <c r="CF3824" s="128"/>
      <c r="CG3824" s="128"/>
      <c r="CI3824" s="128"/>
      <c r="CJ3824" s="128"/>
      <c r="CK3824" s="128"/>
      <c r="CL3824" s="128"/>
      <c r="CM3824" s="128"/>
      <c r="CN3824" s="128"/>
      <c r="CO3824" s="128"/>
      <c r="CP3824" s="128"/>
      <c r="CQ3824" s="128"/>
      <c r="CR3824" s="128"/>
      <c r="CS3824" s="128"/>
      <c r="CT3824" s="128"/>
      <c r="CU3824" s="128"/>
      <c r="CV3824" s="128"/>
      <c r="CW3824" s="128"/>
      <c r="CX3824" s="128"/>
      <c r="CY3824" s="128"/>
      <c r="CZ3824" s="165"/>
    </row>
    <row r="3825" spans="1:104">
      <c r="A3825" s="149"/>
      <c r="B3825" s="149"/>
      <c r="C3825" s="150"/>
      <c r="D3825" s="102"/>
      <c r="E3825" s="149"/>
      <c r="F3825" s="149"/>
      <c r="G3825" s="149"/>
      <c r="H3825" s="149"/>
      <c r="I3825" s="149"/>
      <c r="J3825" s="149"/>
      <c r="K3825" s="149"/>
      <c r="L3825" s="149"/>
      <c r="M3825" s="149"/>
      <c r="N3825" s="149"/>
      <c r="O3825" s="149"/>
      <c r="P3825" s="149"/>
      <c r="Q3825" s="149"/>
      <c r="R3825" s="149"/>
      <c r="S3825" s="149"/>
      <c r="T3825" s="149"/>
      <c r="U3825" s="149"/>
      <c r="V3825" s="149"/>
      <c r="W3825" s="149"/>
      <c r="X3825" s="149"/>
      <c r="Y3825" s="149"/>
      <c r="Z3825" s="149"/>
      <c r="AA3825" s="149"/>
      <c r="AB3825" s="149"/>
      <c r="AC3825" s="149"/>
      <c r="AD3825" s="149"/>
      <c r="AE3825" s="149"/>
      <c r="AF3825" s="149"/>
      <c r="AG3825" s="149"/>
      <c r="AH3825" s="149"/>
      <c r="AI3825" s="149"/>
      <c r="AJ3825" s="149"/>
      <c r="AK3825" s="149"/>
      <c r="AL3825" s="149"/>
      <c r="AM3825" s="149"/>
      <c r="AN3825" s="149"/>
      <c r="AO3825" s="128"/>
      <c r="AP3825" s="128"/>
      <c r="AQ3825" s="128"/>
      <c r="AR3825" s="128"/>
      <c r="AS3825" s="128"/>
      <c r="AT3825" s="128"/>
      <c r="AU3825" s="128"/>
      <c r="AV3825" s="128"/>
      <c r="AW3825" s="128"/>
      <c r="AX3825" s="128"/>
      <c r="AY3825" s="128"/>
      <c r="AZ3825" s="128"/>
      <c r="BA3825" s="128"/>
      <c r="BB3825" s="128"/>
      <c r="BC3825" s="128"/>
      <c r="BD3825" s="128"/>
      <c r="BE3825" s="128"/>
      <c r="BF3825" s="128"/>
      <c r="BG3825" s="128"/>
      <c r="BH3825" s="128"/>
      <c r="BI3825" s="128"/>
      <c r="BJ3825" s="128"/>
      <c r="BK3825" s="128"/>
      <c r="BL3825" s="128"/>
      <c r="BM3825" s="151"/>
      <c r="BN3825" s="128"/>
      <c r="BO3825" s="128"/>
      <c r="BP3825" s="128"/>
      <c r="BQ3825" s="128"/>
      <c r="BR3825" s="128"/>
      <c r="BS3825" s="128"/>
      <c r="BT3825" s="128"/>
      <c r="BU3825" s="128"/>
      <c r="BV3825" s="128"/>
      <c r="BW3825" s="128"/>
      <c r="BX3825" s="128"/>
      <c r="BY3825" s="128"/>
      <c r="BZ3825" s="128"/>
      <c r="CA3825" s="128"/>
      <c r="CB3825" s="128"/>
      <c r="CC3825" s="128"/>
      <c r="CD3825" s="128"/>
      <c r="CE3825" s="128"/>
      <c r="CF3825" s="128"/>
      <c r="CG3825" s="128"/>
      <c r="CI3825" s="128"/>
      <c r="CJ3825" s="128"/>
      <c r="CK3825" s="128"/>
      <c r="CL3825" s="128"/>
      <c r="CM3825" s="128"/>
      <c r="CN3825" s="128"/>
      <c r="CO3825" s="128"/>
      <c r="CP3825" s="128"/>
      <c r="CQ3825" s="128"/>
      <c r="CR3825" s="128"/>
      <c r="CS3825" s="128"/>
      <c r="CT3825" s="128"/>
      <c r="CU3825" s="128"/>
      <c r="CV3825" s="128"/>
      <c r="CW3825" s="128"/>
      <c r="CX3825" s="128"/>
      <c r="CY3825" s="128"/>
      <c r="CZ3825" s="165"/>
    </row>
    <row r="3826" spans="1:104">
      <c r="A3826" s="149"/>
      <c r="B3826" s="149"/>
      <c r="C3826" s="150"/>
      <c r="D3826" s="102"/>
      <c r="E3826" s="149"/>
      <c r="F3826" s="149"/>
      <c r="G3826" s="149"/>
      <c r="H3826" s="149"/>
      <c r="I3826" s="149"/>
      <c r="J3826" s="149"/>
      <c r="K3826" s="149"/>
      <c r="L3826" s="149"/>
      <c r="M3826" s="149"/>
      <c r="N3826" s="149"/>
      <c r="O3826" s="149"/>
      <c r="P3826" s="149"/>
      <c r="Q3826" s="149"/>
      <c r="R3826" s="149"/>
      <c r="S3826" s="149"/>
      <c r="T3826" s="149"/>
      <c r="U3826" s="149"/>
      <c r="V3826" s="149"/>
      <c r="W3826" s="149"/>
      <c r="X3826" s="149"/>
      <c r="Y3826" s="149"/>
      <c r="Z3826" s="149"/>
      <c r="AA3826" s="149"/>
      <c r="AB3826" s="149"/>
      <c r="AC3826" s="149"/>
      <c r="AD3826" s="149"/>
      <c r="AE3826" s="149"/>
      <c r="AF3826" s="149"/>
      <c r="AG3826" s="149"/>
      <c r="AH3826" s="149"/>
      <c r="AI3826" s="149"/>
      <c r="AJ3826" s="149"/>
      <c r="AK3826" s="149"/>
      <c r="AL3826" s="149"/>
      <c r="AM3826" s="149"/>
      <c r="AN3826" s="149"/>
      <c r="AO3826" s="128"/>
      <c r="AP3826" s="128"/>
      <c r="AQ3826" s="128"/>
      <c r="AR3826" s="128"/>
      <c r="AS3826" s="128"/>
      <c r="AT3826" s="128"/>
      <c r="AU3826" s="128"/>
      <c r="AV3826" s="128"/>
      <c r="AW3826" s="128"/>
      <c r="AX3826" s="128"/>
      <c r="AY3826" s="128"/>
      <c r="AZ3826" s="128"/>
      <c r="BA3826" s="128"/>
      <c r="BB3826" s="128"/>
      <c r="BC3826" s="128"/>
      <c r="BD3826" s="128"/>
      <c r="BE3826" s="128"/>
      <c r="BF3826" s="128"/>
      <c r="BG3826" s="128"/>
      <c r="BH3826" s="128"/>
      <c r="BI3826" s="128"/>
      <c r="BJ3826" s="128"/>
      <c r="BK3826" s="128"/>
      <c r="BL3826" s="128"/>
      <c r="BM3826" s="151"/>
      <c r="BN3826" s="128"/>
      <c r="BO3826" s="128"/>
      <c r="BP3826" s="128"/>
      <c r="BQ3826" s="128"/>
      <c r="BR3826" s="128"/>
      <c r="BS3826" s="128"/>
      <c r="BT3826" s="128"/>
      <c r="BU3826" s="128"/>
      <c r="BV3826" s="128"/>
      <c r="BW3826" s="128"/>
      <c r="BX3826" s="128"/>
      <c r="BY3826" s="128"/>
      <c r="BZ3826" s="128"/>
      <c r="CA3826" s="128"/>
      <c r="CB3826" s="128"/>
      <c r="CC3826" s="128"/>
      <c r="CD3826" s="128"/>
      <c r="CE3826" s="128"/>
      <c r="CF3826" s="128"/>
      <c r="CG3826" s="128"/>
      <c r="CI3826" s="128"/>
      <c r="CJ3826" s="128"/>
      <c r="CK3826" s="128"/>
      <c r="CL3826" s="128"/>
      <c r="CM3826" s="128"/>
      <c r="CN3826" s="128"/>
      <c r="CO3826" s="128"/>
      <c r="CP3826" s="128"/>
      <c r="CQ3826" s="128"/>
      <c r="CR3826" s="128"/>
      <c r="CS3826" s="128"/>
      <c r="CT3826" s="128"/>
      <c r="CU3826" s="128"/>
      <c r="CV3826" s="128"/>
      <c r="CW3826" s="128"/>
      <c r="CX3826" s="128"/>
      <c r="CY3826" s="128"/>
      <c r="CZ3826" s="165"/>
    </row>
    <row r="3827" spans="1:104">
      <c r="A3827" s="149"/>
      <c r="B3827" s="149"/>
      <c r="C3827" s="150"/>
      <c r="D3827" s="102"/>
      <c r="E3827" s="149"/>
      <c r="F3827" s="149"/>
      <c r="G3827" s="149"/>
      <c r="H3827" s="149"/>
      <c r="I3827" s="149"/>
      <c r="J3827" s="149"/>
      <c r="K3827" s="149"/>
      <c r="L3827" s="149"/>
      <c r="M3827" s="149"/>
      <c r="N3827" s="149"/>
      <c r="O3827" s="149"/>
      <c r="P3827" s="149"/>
      <c r="Q3827" s="149"/>
      <c r="R3827" s="149"/>
      <c r="S3827" s="149"/>
      <c r="T3827" s="149"/>
      <c r="U3827" s="149"/>
      <c r="V3827" s="149"/>
      <c r="W3827" s="149"/>
      <c r="X3827" s="149"/>
      <c r="Y3827" s="149"/>
      <c r="Z3827" s="149"/>
      <c r="AA3827" s="149"/>
      <c r="AB3827" s="149"/>
      <c r="AC3827" s="149"/>
      <c r="AD3827" s="149"/>
      <c r="AE3827" s="149"/>
      <c r="AF3827" s="149"/>
      <c r="AG3827" s="149"/>
      <c r="AH3827" s="149"/>
      <c r="AI3827" s="149"/>
      <c r="AJ3827" s="149"/>
      <c r="AK3827" s="149"/>
      <c r="AL3827" s="149"/>
      <c r="AM3827" s="149"/>
      <c r="AN3827" s="149"/>
      <c r="AO3827" s="128"/>
      <c r="AP3827" s="128"/>
      <c r="AQ3827" s="128"/>
      <c r="AR3827" s="128"/>
      <c r="AS3827" s="128"/>
      <c r="AT3827" s="128"/>
      <c r="AU3827" s="128"/>
      <c r="AV3827" s="128"/>
      <c r="AW3827" s="128"/>
      <c r="AX3827" s="128"/>
      <c r="AY3827" s="128"/>
      <c r="AZ3827" s="128"/>
      <c r="BA3827" s="128"/>
      <c r="BB3827" s="128"/>
      <c r="BC3827" s="128"/>
      <c r="BD3827" s="128"/>
      <c r="BE3827" s="128"/>
      <c r="BF3827" s="128"/>
      <c r="BG3827" s="128"/>
      <c r="BH3827" s="128"/>
      <c r="BI3827" s="128"/>
      <c r="BJ3827" s="128"/>
      <c r="BK3827" s="128"/>
      <c r="BL3827" s="128"/>
      <c r="BM3827" s="151"/>
      <c r="BN3827" s="128"/>
      <c r="BO3827" s="128"/>
      <c r="BP3827" s="128"/>
      <c r="BQ3827" s="128"/>
      <c r="BR3827" s="128"/>
      <c r="BS3827" s="128"/>
      <c r="BT3827" s="128"/>
      <c r="BU3827" s="128"/>
      <c r="BV3827" s="128"/>
      <c r="BW3827" s="128"/>
      <c r="BX3827" s="128"/>
      <c r="BY3827" s="128"/>
      <c r="BZ3827" s="128"/>
      <c r="CA3827" s="128"/>
      <c r="CB3827" s="128"/>
      <c r="CC3827" s="128"/>
      <c r="CD3827" s="128"/>
      <c r="CE3827" s="128"/>
      <c r="CF3827" s="128"/>
      <c r="CG3827" s="128"/>
      <c r="CI3827" s="128"/>
      <c r="CJ3827" s="128"/>
      <c r="CK3827" s="128"/>
      <c r="CL3827" s="128"/>
      <c r="CM3827" s="128"/>
      <c r="CN3827" s="128"/>
      <c r="CO3827" s="128"/>
      <c r="CP3827" s="128"/>
      <c r="CQ3827" s="128"/>
      <c r="CR3827" s="128"/>
      <c r="CS3827" s="128"/>
      <c r="CT3827" s="128"/>
      <c r="CU3827" s="128"/>
      <c r="CV3827" s="128"/>
      <c r="CW3827" s="128"/>
      <c r="CX3827" s="128"/>
      <c r="CY3827" s="128"/>
      <c r="CZ3827" s="165"/>
    </row>
    <row r="3828" spans="1:104">
      <c r="A3828" s="149"/>
      <c r="B3828" s="149"/>
      <c r="C3828" s="150"/>
      <c r="D3828" s="102"/>
      <c r="E3828" s="149"/>
      <c r="F3828" s="149"/>
      <c r="G3828" s="149"/>
      <c r="H3828" s="149"/>
      <c r="I3828" s="149"/>
      <c r="J3828" s="149"/>
      <c r="K3828" s="149"/>
      <c r="L3828" s="149"/>
      <c r="M3828" s="149"/>
      <c r="N3828" s="149"/>
      <c r="O3828" s="149"/>
      <c r="P3828" s="149"/>
      <c r="Q3828" s="149"/>
      <c r="R3828" s="149"/>
      <c r="S3828" s="149"/>
      <c r="T3828" s="149"/>
      <c r="U3828" s="149"/>
      <c r="V3828" s="149"/>
      <c r="W3828" s="149"/>
      <c r="X3828" s="149"/>
      <c r="Y3828" s="149"/>
      <c r="Z3828" s="149"/>
      <c r="AA3828" s="149"/>
      <c r="AB3828" s="149"/>
      <c r="AC3828" s="149"/>
      <c r="AD3828" s="149"/>
      <c r="AE3828" s="149"/>
      <c r="AF3828" s="149"/>
      <c r="AG3828" s="149"/>
      <c r="AH3828" s="149"/>
      <c r="AI3828" s="149"/>
      <c r="AJ3828" s="149"/>
      <c r="AK3828" s="149"/>
      <c r="AL3828" s="149"/>
      <c r="AM3828" s="149"/>
      <c r="AN3828" s="149"/>
      <c r="AO3828" s="128"/>
      <c r="AP3828" s="128"/>
      <c r="AQ3828" s="128"/>
      <c r="AR3828" s="128"/>
      <c r="AS3828" s="128"/>
      <c r="AT3828" s="128"/>
      <c r="AU3828" s="128"/>
      <c r="AV3828" s="128"/>
      <c r="AW3828" s="128"/>
      <c r="AX3828" s="128"/>
      <c r="AY3828" s="128"/>
      <c r="AZ3828" s="128"/>
      <c r="BA3828" s="128"/>
      <c r="BB3828" s="128"/>
      <c r="BC3828" s="128"/>
      <c r="BD3828" s="128"/>
      <c r="BE3828" s="128"/>
      <c r="BF3828" s="128"/>
      <c r="BG3828" s="128"/>
      <c r="BH3828" s="128"/>
      <c r="BI3828" s="128"/>
      <c r="BJ3828" s="128"/>
      <c r="BK3828" s="128"/>
      <c r="BL3828" s="128"/>
      <c r="BM3828" s="151"/>
      <c r="BN3828" s="128"/>
      <c r="BO3828" s="128"/>
      <c r="BP3828" s="128"/>
      <c r="BQ3828" s="128"/>
      <c r="BR3828" s="128"/>
      <c r="BS3828" s="128"/>
      <c r="BT3828" s="128"/>
      <c r="BU3828" s="128"/>
      <c r="BV3828" s="128"/>
      <c r="BW3828" s="128"/>
      <c r="BX3828" s="128"/>
      <c r="BY3828" s="128"/>
      <c r="BZ3828" s="128"/>
      <c r="CA3828" s="128"/>
      <c r="CB3828" s="128"/>
      <c r="CC3828" s="128"/>
      <c r="CD3828" s="128"/>
      <c r="CE3828" s="128"/>
      <c r="CF3828" s="128"/>
      <c r="CG3828" s="128"/>
      <c r="CI3828" s="128"/>
      <c r="CJ3828" s="128"/>
      <c r="CK3828" s="128"/>
      <c r="CL3828" s="128"/>
      <c r="CM3828" s="128"/>
      <c r="CN3828" s="128"/>
      <c r="CO3828" s="128"/>
      <c r="CP3828" s="128"/>
      <c r="CQ3828" s="128"/>
      <c r="CR3828" s="128"/>
      <c r="CS3828" s="128"/>
      <c r="CT3828" s="128"/>
      <c r="CU3828" s="128"/>
      <c r="CV3828" s="128"/>
      <c r="CW3828" s="128"/>
      <c r="CX3828" s="128"/>
      <c r="CY3828" s="128"/>
      <c r="CZ3828" s="165"/>
    </row>
    <row r="3829" spans="1:104">
      <c r="A3829" s="149"/>
      <c r="B3829" s="149"/>
      <c r="C3829" s="150"/>
      <c r="D3829" s="102"/>
      <c r="E3829" s="149"/>
      <c r="F3829" s="149"/>
      <c r="G3829" s="149"/>
      <c r="H3829" s="149"/>
      <c r="I3829" s="149"/>
      <c r="J3829" s="149"/>
      <c r="K3829" s="149"/>
      <c r="L3829" s="149"/>
      <c r="M3829" s="149"/>
      <c r="N3829" s="149"/>
      <c r="O3829" s="149"/>
      <c r="P3829" s="149"/>
      <c r="Q3829" s="149"/>
      <c r="R3829" s="149"/>
      <c r="S3829" s="149"/>
      <c r="T3829" s="149"/>
      <c r="U3829" s="149"/>
      <c r="V3829" s="149"/>
      <c r="W3829" s="149"/>
      <c r="X3829" s="149"/>
      <c r="Y3829" s="149"/>
      <c r="Z3829" s="149"/>
      <c r="AA3829" s="149"/>
      <c r="AB3829" s="149"/>
      <c r="AC3829" s="149"/>
      <c r="AD3829" s="149"/>
      <c r="AE3829" s="149"/>
      <c r="AF3829" s="149"/>
      <c r="AG3829" s="149"/>
      <c r="AH3829" s="149"/>
      <c r="AI3829" s="149"/>
      <c r="AJ3829" s="149"/>
      <c r="AK3829" s="149"/>
      <c r="AL3829" s="149"/>
      <c r="AM3829" s="149"/>
      <c r="AN3829" s="149"/>
      <c r="AO3829" s="128"/>
      <c r="AP3829" s="128"/>
      <c r="AQ3829" s="128"/>
      <c r="AR3829" s="128"/>
      <c r="AS3829" s="128"/>
      <c r="AT3829" s="128"/>
      <c r="AU3829" s="128"/>
      <c r="AV3829" s="128"/>
      <c r="AW3829" s="128"/>
      <c r="AX3829" s="128"/>
      <c r="AY3829" s="128"/>
      <c r="AZ3829" s="128"/>
      <c r="BA3829" s="128"/>
      <c r="BB3829" s="128"/>
      <c r="BC3829" s="128"/>
      <c r="BD3829" s="128"/>
      <c r="BE3829" s="128"/>
      <c r="BF3829" s="128"/>
      <c r="BG3829" s="128"/>
      <c r="BH3829" s="128"/>
      <c r="BI3829" s="128"/>
      <c r="BJ3829" s="128"/>
      <c r="BK3829" s="128"/>
      <c r="BL3829" s="128"/>
      <c r="BM3829" s="151"/>
      <c r="BN3829" s="128"/>
      <c r="BO3829" s="128"/>
      <c r="BP3829" s="128"/>
      <c r="BQ3829" s="128"/>
      <c r="BR3829" s="128"/>
      <c r="BS3829" s="128"/>
      <c r="BT3829" s="128"/>
      <c r="BU3829" s="128"/>
      <c r="BV3829" s="128"/>
      <c r="BW3829" s="128"/>
      <c r="BX3829" s="128"/>
      <c r="BY3829" s="128"/>
      <c r="BZ3829" s="128"/>
      <c r="CA3829" s="128"/>
      <c r="CB3829" s="128"/>
      <c r="CC3829" s="128"/>
      <c r="CD3829" s="128"/>
      <c r="CE3829" s="128"/>
      <c r="CF3829" s="128"/>
      <c r="CG3829" s="128"/>
      <c r="CI3829" s="128"/>
      <c r="CJ3829" s="128"/>
      <c r="CK3829" s="128"/>
      <c r="CL3829" s="128"/>
      <c r="CM3829" s="128"/>
      <c r="CN3829" s="128"/>
      <c r="CO3829" s="128"/>
      <c r="CP3829" s="128"/>
      <c r="CQ3829" s="128"/>
      <c r="CR3829" s="128"/>
      <c r="CS3829" s="128"/>
      <c r="CT3829" s="128"/>
      <c r="CU3829" s="128"/>
      <c r="CV3829" s="128"/>
      <c r="CW3829" s="128"/>
      <c r="CX3829" s="128"/>
      <c r="CY3829" s="128"/>
      <c r="CZ3829" s="165"/>
    </row>
    <row r="3830" spans="1:104">
      <c r="A3830" s="149"/>
      <c r="B3830" s="149"/>
      <c r="C3830" s="150"/>
      <c r="D3830" s="102"/>
      <c r="E3830" s="149"/>
      <c r="F3830" s="149"/>
      <c r="G3830" s="149"/>
      <c r="H3830" s="149"/>
      <c r="I3830" s="149"/>
      <c r="J3830" s="149"/>
      <c r="K3830" s="149"/>
      <c r="L3830" s="149"/>
      <c r="M3830" s="149"/>
      <c r="N3830" s="149"/>
      <c r="O3830" s="149"/>
      <c r="P3830" s="149"/>
      <c r="Q3830" s="149"/>
      <c r="R3830" s="149"/>
      <c r="S3830" s="149"/>
      <c r="T3830" s="149"/>
      <c r="U3830" s="149"/>
      <c r="V3830" s="149"/>
      <c r="W3830" s="149"/>
      <c r="X3830" s="149"/>
      <c r="Y3830" s="149"/>
      <c r="Z3830" s="149"/>
      <c r="AA3830" s="149"/>
      <c r="AB3830" s="149"/>
      <c r="AC3830" s="149"/>
      <c r="AD3830" s="149"/>
      <c r="AE3830" s="149"/>
      <c r="AF3830" s="149"/>
      <c r="AG3830" s="149"/>
      <c r="AH3830" s="149"/>
      <c r="AI3830" s="149"/>
      <c r="AJ3830" s="149"/>
      <c r="AK3830" s="149"/>
      <c r="AL3830" s="149"/>
      <c r="AM3830" s="149"/>
      <c r="AN3830" s="149"/>
      <c r="AO3830" s="128"/>
      <c r="AP3830" s="128"/>
      <c r="AQ3830" s="128"/>
      <c r="AR3830" s="128"/>
      <c r="AS3830" s="128"/>
      <c r="AT3830" s="128"/>
      <c r="AU3830" s="128"/>
      <c r="AV3830" s="128"/>
      <c r="AW3830" s="128"/>
      <c r="AX3830" s="128"/>
      <c r="AY3830" s="128"/>
      <c r="AZ3830" s="128"/>
      <c r="BA3830" s="128"/>
      <c r="BB3830" s="128"/>
      <c r="BC3830" s="128"/>
      <c r="BD3830" s="128"/>
      <c r="BE3830" s="128"/>
      <c r="BF3830" s="128"/>
      <c r="BG3830" s="128"/>
      <c r="BH3830" s="128"/>
      <c r="BI3830" s="128"/>
      <c r="BJ3830" s="128"/>
      <c r="BK3830" s="128"/>
      <c r="BL3830" s="128"/>
      <c r="BM3830" s="151"/>
      <c r="BN3830" s="128"/>
      <c r="BO3830" s="128"/>
      <c r="BP3830" s="128"/>
      <c r="BQ3830" s="128"/>
      <c r="BR3830" s="128"/>
      <c r="BS3830" s="128"/>
      <c r="BT3830" s="128"/>
      <c r="BU3830" s="128"/>
      <c r="BV3830" s="128"/>
      <c r="BW3830" s="128"/>
      <c r="BX3830" s="128"/>
      <c r="BY3830" s="128"/>
      <c r="BZ3830" s="128"/>
      <c r="CA3830" s="128"/>
      <c r="CB3830" s="128"/>
      <c r="CC3830" s="128"/>
      <c r="CD3830" s="128"/>
      <c r="CE3830" s="128"/>
      <c r="CF3830" s="128"/>
      <c r="CG3830" s="128"/>
      <c r="CI3830" s="128"/>
      <c r="CJ3830" s="128"/>
      <c r="CK3830" s="128"/>
      <c r="CL3830" s="128"/>
      <c r="CM3830" s="128"/>
      <c r="CN3830" s="128"/>
      <c r="CO3830" s="128"/>
      <c r="CP3830" s="128"/>
      <c r="CQ3830" s="128"/>
      <c r="CR3830" s="128"/>
      <c r="CS3830" s="128"/>
      <c r="CT3830" s="128"/>
      <c r="CU3830" s="128"/>
      <c r="CV3830" s="128"/>
      <c r="CW3830" s="128"/>
      <c r="CX3830" s="128"/>
      <c r="CY3830" s="128"/>
      <c r="CZ3830" s="165"/>
    </row>
    <row r="3831" spans="1:104">
      <c r="A3831" s="149"/>
      <c r="B3831" s="149"/>
      <c r="C3831" s="150"/>
      <c r="D3831" s="102"/>
      <c r="E3831" s="149"/>
      <c r="F3831" s="149"/>
      <c r="G3831" s="149"/>
      <c r="H3831" s="149"/>
      <c r="I3831" s="149"/>
      <c r="J3831" s="149"/>
      <c r="K3831" s="149"/>
      <c r="L3831" s="149"/>
      <c r="M3831" s="149"/>
      <c r="N3831" s="149"/>
      <c r="O3831" s="149"/>
      <c r="P3831" s="149"/>
      <c r="Q3831" s="149"/>
      <c r="R3831" s="149"/>
      <c r="S3831" s="149"/>
      <c r="T3831" s="149"/>
      <c r="U3831" s="149"/>
      <c r="V3831" s="149"/>
      <c r="W3831" s="149"/>
      <c r="X3831" s="149"/>
      <c r="Y3831" s="149"/>
      <c r="Z3831" s="149"/>
      <c r="AA3831" s="149"/>
      <c r="AB3831" s="149"/>
      <c r="AC3831" s="149"/>
      <c r="AD3831" s="149"/>
      <c r="AE3831" s="149"/>
      <c r="AF3831" s="149"/>
      <c r="AG3831" s="149"/>
      <c r="AH3831" s="149"/>
      <c r="AI3831" s="149"/>
      <c r="AJ3831" s="149"/>
      <c r="AK3831" s="149"/>
      <c r="AL3831" s="149"/>
      <c r="AM3831" s="149"/>
      <c r="AN3831" s="149"/>
      <c r="AO3831" s="128"/>
      <c r="AP3831" s="128"/>
      <c r="AQ3831" s="128"/>
      <c r="AR3831" s="128"/>
      <c r="AS3831" s="128"/>
      <c r="AT3831" s="128"/>
      <c r="AU3831" s="128"/>
      <c r="AV3831" s="128"/>
      <c r="AW3831" s="128"/>
      <c r="AX3831" s="128"/>
      <c r="AY3831" s="128"/>
      <c r="AZ3831" s="128"/>
      <c r="BA3831" s="128"/>
      <c r="BB3831" s="128"/>
      <c r="BC3831" s="128"/>
      <c r="BD3831" s="128"/>
      <c r="BE3831" s="128"/>
      <c r="BF3831" s="128"/>
      <c r="BG3831" s="128"/>
      <c r="BH3831" s="128"/>
      <c r="BI3831" s="128"/>
      <c r="BJ3831" s="128"/>
      <c r="BK3831" s="128"/>
      <c r="BL3831" s="128"/>
      <c r="BM3831" s="151"/>
      <c r="BN3831" s="128"/>
      <c r="BO3831" s="128"/>
      <c r="BP3831" s="128"/>
      <c r="BQ3831" s="128"/>
      <c r="BR3831" s="128"/>
      <c r="BS3831" s="128"/>
      <c r="BT3831" s="128"/>
      <c r="BU3831" s="128"/>
      <c r="BV3831" s="128"/>
      <c r="BW3831" s="128"/>
      <c r="BX3831" s="128"/>
      <c r="BY3831" s="128"/>
      <c r="BZ3831" s="128"/>
      <c r="CA3831" s="128"/>
      <c r="CB3831" s="128"/>
      <c r="CC3831" s="128"/>
      <c r="CD3831" s="128"/>
      <c r="CE3831" s="128"/>
      <c r="CF3831" s="128"/>
      <c r="CG3831" s="128"/>
      <c r="CI3831" s="128"/>
      <c r="CJ3831" s="128"/>
      <c r="CK3831" s="128"/>
      <c r="CL3831" s="128"/>
      <c r="CM3831" s="128"/>
      <c r="CN3831" s="128"/>
      <c r="CO3831" s="128"/>
      <c r="CP3831" s="128"/>
      <c r="CQ3831" s="128"/>
      <c r="CR3831" s="128"/>
      <c r="CS3831" s="128"/>
      <c r="CT3831" s="128"/>
      <c r="CU3831" s="128"/>
      <c r="CV3831" s="128"/>
      <c r="CW3831" s="128"/>
      <c r="CX3831" s="128"/>
      <c r="CY3831" s="128"/>
      <c r="CZ3831" s="165"/>
    </row>
    <row r="3832" spans="1:104">
      <c r="A3832" s="149"/>
      <c r="B3832" s="149"/>
      <c r="C3832" s="150"/>
      <c r="D3832" s="102"/>
      <c r="E3832" s="149"/>
      <c r="F3832" s="149"/>
      <c r="G3832" s="149"/>
      <c r="H3832" s="149"/>
      <c r="I3832" s="149"/>
      <c r="J3832" s="149"/>
      <c r="K3832" s="149"/>
      <c r="L3832" s="149"/>
      <c r="M3832" s="149"/>
      <c r="N3832" s="149"/>
      <c r="O3832" s="149"/>
      <c r="P3832" s="149"/>
      <c r="Q3832" s="149"/>
      <c r="R3832" s="149"/>
      <c r="S3832" s="149"/>
      <c r="T3832" s="149"/>
      <c r="U3832" s="149"/>
      <c r="V3832" s="149"/>
      <c r="W3832" s="149"/>
      <c r="X3832" s="149"/>
      <c r="Y3832" s="149"/>
      <c r="Z3832" s="149"/>
      <c r="AA3832" s="149"/>
      <c r="AB3832" s="149"/>
      <c r="AC3832" s="149"/>
      <c r="AD3832" s="149"/>
      <c r="AE3832" s="149"/>
      <c r="AF3832" s="149"/>
      <c r="AG3832" s="149"/>
      <c r="AH3832" s="149"/>
      <c r="AI3832" s="149"/>
      <c r="AJ3832" s="149"/>
      <c r="AK3832" s="149"/>
      <c r="AL3832" s="149"/>
      <c r="AM3832" s="149"/>
      <c r="AN3832" s="149"/>
      <c r="AO3832" s="128"/>
      <c r="AP3832" s="128"/>
      <c r="AQ3832" s="128"/>
      <c r="AR3832" s="128"/>
      <c r="AS3832" s="128"/>
      <c r="AT3832" s="128"/>
      <c r="AU3832" s="128"/>
      <c r="AV3832" s="128"/>
      <c r="AW3832" s="128"/>
      <c r="AX3832" s="128"/>
      <c r="AY3832" s="128"/>
      <c r="AZ3832" s="128"/>
      <c r="BA3832" s="128"/>
      <c r="BB3832" s="128"/>
      <c r="BC3832" s="128"/>
      <c r="BD3832" s="128"/>
      <c r="BE3832" s="128"/>
      <c r="BF3832" s="128"/>
      <c r="BG3832" s="128"/>
      <c r="BH3832" s="128"/>
      <c r="BI3832" s="128"/>
      <c r="BJ3832" s="128"/>
      <c r="BK3832" s="128"/>
      <c r="BL3832" s="128"/>
      <c r="BM3832" s="151"/>
      <c r="BN3832" s="128"/>
      <c r="BO3832" s="128"/>
      <c r="BP3832" s="128"/>
      <c r="BQ3832" s="128"/>
      <c r="BR3832" s="128"/>
      <c r="BS3832" s="128"/>
      <c r="BT3832" s="128"/>
      <c r="BU3832" s="128"/>
      <c r="BV3832" s="128"/>
      <c r="BW3832" s="128"/>
      <c r="BX3832" s="128"/>
      <c r="BY3832" s="128"/>
      <c r="BZ3832" s="128"/>
      <c r="CA3832" s="128"/>
      <c r="CB3832" s="128"/>
      <c r="CC3832" s="128"/>
      <c r="CD3832" s="128"/>
      <c r="CE3832" s="128"/>
      <c r="CF3832" s="128"/>
      <c r="CG3832" s="128"/>
      <c r="CI3832" s="128"/>
      <c r="CJ3832" s="128"/>
      <c r="CK3832" s="128"/>
      <c r="CL3832" s="128"/>
      <c r="CM3832" s="128"/>
      <c r="CN3832" s="128"/>
      <c r="CO3832" s="128"/>
      <c r="CP3832" s="128"/>
      <c r="CQ3832" s="128"/>
      <c r="CR3832" s="128"/>
      <c r="CS3832" s="128"/>
      <c r="CT3832" s="128"/>
      <c r="CU3832" s="128"/>
      <c r="CV3832" s="128"/>
      <c r="CW3832" s="128"/>
      <c r="CX3832" s="128"/>
      <c r="CY3832" s="128"/>
      <c r="CZ3832" s="165"/>
    </row>
    <row r="3833" spans="1:104">
      <c r="A3833" s="149"/>
      <c r="B3833" s="149"/>
      <c r="C3833" s="150"/>
      <c r="D3833" s="102"/>
      <c r="E3833" s="149"/>
      <c r="F3833" s="149"/>
      <c r="G3833" s="149"/>
      <c r="H3833" s="149"/>
      <c r="I3833" s="149"/>
      <c r="J3833" s="149"/>
      <c r="K3833" s="149"/>
      <c r="L3833" s="149"/>
      <c r="M3833" s="149"/>
      <c r="N3833" s="149"/>
      <c r="O3833" s="149"/>
      <c r="P3833" s="149"/>
      <c r="Q3833" s="149"/>
      <c r="R3833" s="149"/>
      <c r="S3833" s="149"/>
      <c r="T3833" s="149"/>
      <c r="U3833" s="149"/>
      <c r="V3833" s="149"/>
      <c r="W3833" s="149"/>
      <c r="X3833" s="149"/>
      <c r="Y3833" s="149"/>
      <c r="Z3833" s="149"/>
      <c r="AA3833" s="149"/>
      <c r="AB3833" s="149"/>
      <c r="AC3833" s="149"/>
      <c r="AD3833" s="149"/>
      <c r="AE3833" s="149"/>
      <c r="AF3833" s="149"/>
      <c r="AG3833" s="149"/>
      <c r="AH3833" s="149"/>
      <c r="AI3833" s="149"/>
      <c r="AJ3833" s="149"/>
      <c r="AK3833" s="149"/>
      <c r="AL3833" s="149"/>
      <c r="AM3833" s="149"/>
      <c r="AN3833" s="149"/>
      <c r="AO3833" s="128"/>
      <c r="AP3833" s="128"/>
      <c r="AQ3833" s="128"/>
      <c r="AR3833" s="128"/>
      <c r="AS3833" s="128"/>
      <c r="AT3833" s="128"/>
      <c r="AU3833" s="128"/>
      <c r="AV3833" s="128"/>
      <c r="AW3833" s="128"/>
      <c r="AX3833" s="128"/>
      <c r="AY3833" s="128"/>
      <c r="AZ3833" s="128"/>
      <c r="BA3833" s="128"/>
      <c r="BB3833" s="128"/>
      <c r="BC3833" s="128"/>
      <c r="BD3833" s="128"/>
      <c r="BE3833" s="128"/>
      <c r="BF3833" s="128"/>
      <c r="BG3833" s="128"/>
      <c r="BH3833" s="128"/>
      <c r="BI3833" s="128"/>
      <c r="BJ3833" s="128"/>
      <c r="BK3833" s="128"/>
      <c r="BL3833" s="128"/>
      <c r="BM3833" s="151"/>
      <c r="BN3833" s="128"/>
      <c r="BO3833" s="128"/>
      <c r="BP3833" s="128"/>
      <c r="BQ3833" s="128"/>
      <c r="BR3833" s="128"/>
      <c r="BS3833" s="128"/>
      <c r="BT3833" s="128"/>
      <c r="BU3833" s="128"/>
      <c r="BV3833" s="128"/>
      <c r="BW3833" s="128"/>
      <c r="BX3833" s="128"/>
      <c r="BY3833" s="128"/>
      <c r="BZ3833" s="128"/>
      <c r="CA3833" s="128"/>
      <c r="CB3833" s="128"/>
      <c r="CC3833" s="128"/>
      <c r="CD3833" s="128"/>
      <c r="CE3833" s="128"/>
      <c r="CF3833" s="128"/>
      <c r="CG3833" s="128"/>
      <c r="CI3833" s="128"/>
      <c r="CJ3833" s="128"/>
      <c r="CK3833" s="128"/>
      <c r="CL3833" s="128"/>
      <c r="CM3833" s="128"/>
      <c r="CN3833" s="128"/>
      <c r="CO3833" s="128"/>
      <c r="CP3833" s="128"/>
      <c r="CQ3833" s="128"/>
      <c r="CR3833" s="128"/>
      <c r="CS3833" s="128"/>
      <c r="CT3833" s="128"/>
      <c r="CU3833" s="128"/>
      <c r="CV3833" s="128"/>
      <c r="CW3833" s="128"/>
      <c r="CX3833" s="128"/>
      <c r="CY3833" s="128"/>
      <c r="CZ3833" s="165"/>
    </row>
    <row r="3834" spans="1:104">
      <c r="A3834" s="149"/>
      <c r="B3834" s="149"/>
      <c r="C3834" s="150"/>
      <c r="D3834" s="102"/>
      <c r="E3834" s="149"/>
      <c r="F3834" s="149"/>
      <c r="G3834" s="149"/>
      <c r="H3834" s="149"/>
      <c r="I3834" s="149"/>
      <c r="J3834" s="149"/>
      <c r="K3834" s="149"/>
      <c r="L3834" s="149"/>
      <c r="M3834" s="149"/>
      <c r="N3834" s="149"/>
      <c r="O3834" s="149"/>
      <c r="P3834" s="149"/>
      <c r="Q3834" s="149"/>
      <c r="R3834" s="149"/>
      <c r="S3834" s="149"/>
      <c r="T3834" s="149"/>
      <c r="U3834" s="149"/>
      <c r="V3834" s="149"/>
      <c r="W3834" s="149"/>
      <c r="X3834" s="149"/>
      <c r="Y3834" s="149"/>
      <c r="Z3834" s="149"/>
      <c r="AA3834" s="149"/>
      <c r="AB3834" s="149"/>
      <c r="AC3834" s="149"/>
      <c r="AD3834" s="149"/>
      <c r="AE3834" s="149"/>
      <c r="AF3834" s="149"/>
      <c r="AG3834" s="149"/>
      <c r="AH3834" s="149"/>
      <c r="AI3834" s="149"/>
      <c r="AJ3834" s="149"/>
      <c r="AK3834" s="149"/>
      <c r="AL3834" s="149"/>
      <c r="AM3834" s="149"/>
      <c r="AN3834" s="149"/>
      <c r="AO3834" s="128"/>
      <c r="AP3834" s="128"/>
      <c r="AQ3834" s="128"/>
      <c r="AR3834" s="128"/>
      <c r="AS3834" s="128"/>
      <c r="AT3834" s="128"/>
      <c r="AU3834" s="128"/>
      <c r="AV3834" s="128"/>
      <c r="AW3834" s="128"/>
      <c r="AX3834" s="128"/>
      <c r="AY3834" s="128"/>
      <c r="AZ3834" s="128"/>
      <c r="BA3834" s="128"/>
      <c r="BB3834" s="128"/>
      <c r="BC3834" s="128"/>
      <c r="BD3834" s="128"/>
      <c r="BE3834" s="128"/>
      <c r="BF3834" s="128"/>
      <c r="BG3834" s="128"/>
      <c r="BH3834" s="128"/>
      <c r="BI3834" s="128"/>
      <c r="BJ3834" s="128"/>
      <c r="BK3834" s="128"/>
      <c r="BL3834" s="128"/>
      <c r="BM3834" s="151"/>
      <c r="BN3834" s="128"/>
      <c r="BO3834" s="128"/>
      <c r="BP3834" s="128"/>
      <c r="BQ3834" s="128"/>
      <c r="BR3834" s="128"/>
      <c r="BS3834" s="128"/>
      <c r="BT3834" s="128"/>
      <c r="BU3834" s="128"/>
      <c r="BV3834" s="128"/>
      <c r="BW3834" s="128"/>
      <c r="BX3834" s="128"/>
      <c r="BY3834" s="128"/>
      <c r="BZ3834" s="128"/>
      <c r="CA3834" s="128"/>
      <c r="CB3834" s="128"/>
      <c r="CC3834" s="128"/>
      <c r="CD3834" s="128"/>
      <c r="CE3834" s="128"/>
      <c r="CF3834" s="128"/>
      <c r="CG3834" s="128"/>
      <c r="CI3834" s="128"/>
      <c r="CJ3834" s="128"/>
      <c r="CK3834" s="128"/>
      <c r="CL3834" s="128"/>
      <c r="CM3834" s="128"/>
      <c r="CN3834" s="128"/>
      <c r="CO3834" s="128"/>
      <c r="CP3834" s="128"/>
      <c r="CQ3834" s="128"/>
      <c r="CR3834" s="128"/>
      <c r="CS3834" s="128"/>
      <c r="CT3834" s="128"/>
      <c r="CU3834" s="128"/>
      <c r="CV3834" s="128"/>
      <c r="CW3834" s="128"/>
      <c r="CX3834" s="128"/>
      <c r="CY3834" s="128"/>
      <c r="CZ3834" s="165"/>
    </row>
    <row r="3835" spans="1:104">
      <c r="A3835" s="149"/>
      <c r="B3835" s="149"/>
      <c r="C3835" s="150"/>
      <c r="D3835" s="102"/>
      <c r="E3835" s="149"/>
      <c r="F3835" s="149"/>
      <c r="G3835" s="149"/>
      <c r="H3835" s="149"/>
      <c r="I3835" s="149"/>
      <c r="J3835" s="149"/>
      <c r="K3835" s="149"/>
      <c r="L3835" s="149"/>
      <c r="M3835" s="149"/>
      <c r="N3835" s="149"/>
      <c r="O3835" s="149"/>
      <c r="P3835" s="149"/>
      <c r="Q3835" s="149"/>
      <c r="R3835" s="149"/>
      <c r="S3835" s="149"/>
      <c r="T3835" s="149"/>
      <c r="U3835" s="149"/>
      <c r="V3835" s="149"/>
      <c r="W3835" s="149"/>
      <c r="X3835" s="149"/>
      <c r="Y3835" s="149"/>
      <c r="Z3835" s="149"/>
      <c r="AA3835" s="149"/>
      <c r="AB3835" s="149"/>
      <c r="AC3835" s="149"/>
      <c r="AD3835" s="149"/>
      <c r="AE3835" s="149"/>
      <c r="AF3835" s="149"/>
      <c r="AG3835" s="149"/>
      <c r="AH3835" s="149"/>
      <c r="AI3835" s="149"/>
      <c r="AJ3835" s="149"/>
      <c r="AK3835" s="149"/>
      <c r="AL3835" s="149"/>
      <c r="AM3835" s="149"/>
      <c r="AN3835" s="149"/>
      <c r="AO3835" s="128"/>
      <c r="AP3835" s="128"/>
      <c r="AQ3835" s="128"/>
      <c r="AR3835" s="128"/>
      <c r="AS3835" s="128"/>
      <c r="AT3835" s="128"/>
      <c r="AU3835" s="128"/>
      <c r="AV3835" s="128"/>
      <c r="AW3835" s="128"/>
      <c r="AX3835" s="128"/>
      <c r="AY3835" s="128"/>
      <c r="AZ3835" s="128"/>
      <c r="BA3835" s="128"/>
      <c r="BB3835" s="128"/>
      <c r="BC3835" s="128"/>
      <c r="BD3835" s="128"/>
      <c r="BE3835" s="128"/>
      <c r="BF3835" s="128"/>
      <c r="BG3835" s="128"/>
      <c r="BH3835" s="128"/>
      <c r="BI3835" s="128"/>
      <c r="BJ3835" s="128"/>
      <c r="BK3835" s="128"/>
      <c r="BL3835" s="128"/>
      <c r="BM3835" s="151"/>
      <c r="BN3835" s="128"/>
      <c r="BO3835" s="128"/>
      <c r="BP3835" s="128"/>
      <c r="BQ3835" s="128"/>
      <c r="BR3835" s="128"/>
      <c r="BS3835" s="128"/>
      <c r="BT3835" s="128"/>
      <c r="BU3835" s="128"/>
      <c r="BV3835" s="128"/>
      <c r="BW3835" s="128"/>
      <c r="BX3835" s="128"/>
      <c r="BY3835" s="128"/>
      <c r="BZ3835" s="128"/>
      <c r="CA3835" s="128"/>
      <c r="CB3835" s="128"/>
      <c r="CC3835" s="128"/>
      <c r="CD3835" s="128"/>
      <c r="CE3835" s="128"/>
      <c r="CF3835" s="128"/>
      <c r="CG3835" s="128"/>
      <c r="CI3835" s="128"/>
      <c r="CJ3835" s="128"/>
      <c r="CK3835" s="128"/>
      <c r="CL3835" s="128"/>
      <c r="CM3835" s="128"/>
      <c r="CN3835" s="128"/>
      <c r="CO3835" s="128"/>
      <c r="CP3835" s="128"/>
      <c r="CQ3835" s="128"/>
      <c r="CR3835" s="128"/>
      <c r="CS3835" s="128"/>
      <c r="CT3835" s="128"/>
      <c r="CU3835" s="128"/>
      <c r="CV3835" s="128"/>
      <c r="CW3835" s="128"/>
      <c r="CX3835" s="128"/>
      <c r="CY3835" s="128"/>
      <c r="CZ3835" s="165"/>
    </row>
    <row r="3836" spans="1:104">
      <c r="A3836" s="149"/>
      <c r="B3836" s="149"/>
      <c r="C3836" s="150"/>
      <c r="D3836" s="102"/>
      <c r="E3836" s="149"/>
      <c r="F3836" s="149"/>
      <c r="G3836" s="149"/>
      <c r="H3836" s="149"/>
      <c r="I3836" s="149"/>
      <c r="J3836" s="149"/>
      <c r="K3836" s="149"/>
      <c r="L3836" s="149"/>
      <c r="M3836" s="149"/>
      <c r="N3836" s="149"/>
      <c r="O3836" s="149"/>
      <c r="P3836" s="149"/>
      <c r="Q3836" s="149"/>
      <c r="R3836" s="149"/>
      <c r="S3836" s="149"/>
      <c r="T3836" s="149"/>
      <c r="U3836" s="149"/>
      <c r="V3836" s="149"/>
      <c r="W3836" s="149"/>
      <c r="X3836" s="149"/>
      <c r="Y3836" s="149"/>
      <c r="Z3836" s="149"/>
      <c r="AA3836" s="149"/>
      <c r="AB3836" s="149"/>
      <c r="AC3836" s="149"/>
      <c r="AD3836" s="149"/>
      <c r="AE3836" s="149"/>
      <c r="AF3836" s="149"/>
      <c r="AG3836" s="149"/>
      <c r="AH3836" s="149"/>
      <c r="AI3836" s="149"/>
      <c r="AJ3836" s="149"/>
      <c r="AK3836" s="149"/>
      <c r="AL3836" s="149"/>
      <c r="AM3836" s="149"/>
      <c r="AN3836" s="149"/>
      <c r="AO3836" s="128"/>
      <c r="AP3836" s="128"/>
      <c r="AQ3836" s="128"/>
      <c r="AR3836" s="128"/>
      <c r="AS3836" s="128"/>
      <c r="AT3836" s="128"/>
      <c r="AU3836" s="128"/>
      <c r="AV3836" s="128"/>
      <c r="AW3836" s="128"/>
      <c r="AX3836" s="128"/>
      <c r="AY3836" s="128"/>
      <c r="AZ3836" s="128"/>
      <c r="BA3836" s="128"/>
      <c r="BB3836" s="128"/>
      <c r="BC3836" s="128"/>
      <c r="BD3836" s="128"/>
      <c r="BE3836" s="128"/>
      <c r="BF3836" s="128"/>
      <c r="BG3836" s="128"/>
      <c r="BH3836" s="128"/>
      <c r="BI3836" s="128"/>
      <c r="BJ3836" s="128"/>
      <c r="BK3836" s="128"/>
      <c r="BL3836" s="128"/>
      <c r="BM3836" s="151"/>
      <c r="BN3836" s="128"/>
      <c r="BO3836" s="128"/>
      <c r="BP3836" s="128"/>
      <c r="BQ3836" s="128"/>
      <c r="BR3836" s="128"/>
      <c r="BS3836" s="128"/>
      <c r="BT3836" s="128"/>
      <c r="BU3836" s="128"/>
      <c r="BV3836" s="128"/>
      <c r="BW3836" s="128"/>
      <c r="BX3836" s="128"/>
      <c r="BY3836" s="128"/>
      <c r="BZ3836" s="128"/>
      <c r="CA3836" s="128"/>
      <c r="CB3836" s="128"/>
      <c r="CC3836" s="128"/>
      <c r="CD3836" s="128"/>
      <c r="CE3836" s="128"/>
      <c r="CF3836" s="128"/>
      <c r="CG3836" s="128"/>
      <c r="CI3836" s="128"/>
      <c r="CJ3836" s="128"/>
      <c r="CK3836" s="128"/>
      <c r="CL3836" s="128"/>
      <c r="CM3836" s="128"/>
      <c r="CN3836" s="128"/>
      <c r="CO3836" s="128"/>
      <c r="CP3836" s="128"/>
      <c r="CQ3836" s="128"/>
      <c r="CR3836" s="128"/>
      <c r="CS3836" s="128"/>
      <c r="CT3836" s="128"/>
      <c r="CU3836" s="128"/>
      <c r="CV3836" s="128"/>
      <c r="CW3836" s="128"/>
      <c r="CX3836" s="128"/>
      <c r="CY3836" s="128"/>
      <c r="CZ3836" s="165"/>
    </row>
    <row r="3837" spans="1:104">
      <c r="A3837" s="149"/>
      <c r="B3837" s="149"/>
      <c r="C3837" s="150"/>
      <c r="D3837" s="102"/>
      <c r="E3837" s="149"/>
      <c r="F3837" s="149"/>
      <c r="G3837" s="149"/>
      <c r="H3837" s="149"/>
      <c r="I3837" s="149"/>
      <c r="J3837" s="149"/>
      <c r="K3837" s="149"/>
      <c r="L3837" s="149"/>
      <c r="M3837" s="149"/>
      <c r="N3837" s="149"/>
      <c r="O3837" s="149"/>
      <c r="P3837" s="149"/>
      <c r="Q3837" s="149"/>
      <c r="R3837" s="149"/>
      <c r="S3837" s="149"/>
      <c r="T3837" s="149"/>
      <c r="U3837" s="149"/>
      <c r="V3837" s="149"/>
      <c r="W3837" s="149"/>
      <c r="X3837" s="149"/>
      <c r="Y3837" s="149"/>
      <c r="Z3837" s="149"/>
      <c r="AA3837" s="149"/>
      <c r="AB3837" s="149"/>
      <c r="AC3837" s="149"/>
      <c r="AD3837" s="149"/>
      <c r="AE3837" s="149"/>
      <c r="AF3837" s="149"/>
      <c r="AG3837" s="149"/>
      <c r="AH3837" s="149"/>
      <c r="AI3837" s="149"/>
      <c r="AJ3837" s="149"/>
      <c r="AK3837" s="149"/>
      <c r="AL3837" s="149"/>
      <c r="AM3837" s="149"/>
      <c r="AN3837" s="149"/>
      <c r="AO3837" s="128"/>
      <c r="AP3837" s="128"/>
      <c r="AQ3837" s="128"/>
      <c r="AR3837" s="128"/>
      <c r="AS3837" s="128"/>
      <c r="AT3837" s="128"/>
      <c r="AU3837" s="128"/>
      <c r="AV3837" s="128"/>
      <c r="AW3837" s="128"/>
      <c r="AX3837" s="128"/>
      <c r="AY3837" s="128"/>
      <c r="AZ3837" s="128"/>
      <c r="BA3837" s="128"/>
      <c r="BB3837" s="128"/>
      <c r="BC3837" s="128"/>
      <c r="BD3837" s="128"/>
      <c r="BE3837" s="128"/>
      <c r="BF3837" s="128"/>
      <c r="BG3837" s="128"/>
      <c r="BH3837" s="128"/>
      <c r="BI3837" s="128"/>
      <c r="BJ3837" s="128"/>
      <c r="BK3837" s="128"/>
      <c r="BL3837" s="128"/>
      <c r="BM3837" s="151"/>
      <c r="BN3837" s="128"/>
      <c r="BO3837" s="128"/>
      <c r="BP3837" s="128"/>
      <c r="BQ3837" s="128"/>
      <c r="BR3837" s="128"/>
      <c r="BS3837" s="128"/>
      <c r="BT3837" s="128"/>
      <c r="BU3837" s="128"/>
      <c r="BV3837" s="128"/>
      <c r="BW3837" s="128"/>
      <c r="BX3837" s="128"/>
      <c r="BY3837" s="128"/>
      <c r="BZ3837" s="128"/>
      <c r="CA3837" s="128"/>
      <c r="CB3837" s="128"/>
      <c r="CC3837" s="128"/>
      <c r="CD3837" s="128"/>
      <c r="CE3837" s="128"/>
      <c r="CF3837" s="128"/>
      <c r="CG3837" s="128"/>
      <c r="CI3837" s="128"/>
      <c r="CJ3837" s="128"/>
      <c r="CK3837" s="128"/>
      <c r="CL3837" s="128"/>
      <c r="CM3837" s="128"/>
      <c r="CN3837" s="128"/>
      <c r="CO3837" s="128"/>
      <c r="CP3837" s="128"/>
      <c r="CQ3837" s="128"/>
      <c r="CR3837" s="128"/>
      <c r="CS3837" s="128"/>
      <c r="CT3837" s="128"/>
      <c r="CU3837" s="128"/>
      <c r="CV3837" s="128"/>
      <c r="CW3837" s="128"/>
      <c r="CX3837" s="128"/>
      <c r="CY3837" s="128"/>
      <c r="CZ3837" s="165"/>
    </row>
    <row r="3838" spans="1:104">
      <c r="A3838" s="149"/>
      <c r="B3838" s="149"/>
      <c r="C3838" s="150"/>
      <c r="D3838" s="102"/>
      <c r="E3838" s="149"/>
      <c r="F3838" s="149"/>
      <c r="G3838" s="149"/>
      <c r="H3838" s="149"/>
      <c r="I3838" s="149"/>
      <c r="J3838" s="149"/>
      <c r="K3838" s="149"/>
      <c r="L3838" s="149"/>
      <c r="M3838" s="149"/>
      <c r="N3838" s="149"/>
      <c r="O3838" s="149"/>
      <c r="P3838" s="149"/>
      <c r="Q3838" s="149"/>
      <c r="R3838" s="149"/>
      <c r="S3838" s="149"/>
      <c r="T3838" s="149"/>
      <c r="U3838" s="149"/>
      <c r="V3838" s="149"/>
      <c r="W3838" s="149"/>
      <c r="X3838" s="149"/>
      <c r="Y3838" s="149"/>
      <c r="Z3838" s="149"/>
      <c r="AA3838" s="149"/>
      <c r="AB3838" s="149"/>
      <c r="AC3838" s="149"/>
      <c r="AD3838" s="149"/>
      <c r="AE3838" s="149"/>
      <c r="AF3838" s="149"/>
      <c r="AG3838" s="149"/>
      <c r="AH3838" s="149"/>
      <c r="AI3838" s="149"/>
      <c r="AJ3838" s="149"/>
      <c r="AK3838" s="149"/>
      <c r="AL3838" s="149"/>
      <c r="AM3838" s="149"/>
      <c r="AN3838" s="149"/>
      <c r="AO3838" s="128"/>
      <c r="AP3838" s="128"/>
      <c r="AQ3838" s="128"/>
      <c r="AR3838" s="128"/>
      <c r="AS3838" s="128"/>
      <c r="AT3838" s="128"/>
      <c r="AU3838" s="128"/>
      <c r="AV3838" s="128"/>
      <c r="AW3838" s="128"/>
      <c r="AX3838" s="128"/>
      <c r="AY3838" s="128"/>
      <c r="AZ3838" s="128"/>
      <c r="BA3838" s="128"/>
      <c r="BB3838" s="128"/>
      <c r="BC3838" s="128"/>
      <c r="BD3838" s="128"/>
      <c r="BE3838" s="128"/>
      <c r="BF3838" s="128"/>
      <c r="BG3838" s="128"/>
      <c r="BH3838" s="128"/>
      <c r="BI3838" s="128"/>
      <c r="BJ3838" s="128"/>
      <c r="BK3838" s="128"/>
      <c r="BL3838" s="128"/>
      <c r="BM3838" s="151"/>
      <c r="BN3838" s="128"/>
      <c r="BO3838" s="128"/>
      <c r="BP3838" s="128"/>
      <c r="BQ3838" s="128"/>
      <c r="BR3838" s="128"/>
      <c r="BS3838" s="128"/>
      <c r="BT3838" s="128"/>
      <c r="BU3838" s="128"/>
      <c r="BV3838" s="128"/>
      <c r="BW3838" s="128"/>
      <c r="BX3838" s="128"/>
      <c r="BY3838" s="128"/>
      <c r="BZ3838" s="128"/>
      <c r="CA3838" s="128"/>
      <c r="CB3838" s="128"/>
      <c r="CC3838" s="128"/>
      <c r="CD3838" s="128"/>
      <c r="CE3838" s="128"/>
      <c r="CF3838" s="128"/>
      <c r="CG3838" s="128"/>
      <c r="CI3838" s="128"/>
      <c r="CJ3838" s="128"/>
      <c r="CK3838" s="128"/>
      <c r="CL3838" s="128"/>
      <c r="CM3838" s="128"/>
      <c r="CN3838" s="128"/>
      <c r="CO3838" s="128"/>
      <c r="CP3838" s="128"/>
      <c r="CQ3838" s="128"/>
      <c r="CR3838" s="128"/>
      <c r="CS3838" s="128"/>
      <c r="CT3838" s="128"/>
      <c r="CU3838" s="128"/>
      <c r="CV3838" s="128"/>
      <c r="CW3838" s="128"/>
      <c r="CX3838" s="128"/>
      <c r="CY3838" s="128"/>
      <c r="CZ3838" s="165"/>
    </row>
    <row r="3839" spans="1:104">
      <c r="A3839" s="149"/>
      <c r="B3839" s="149"/>
      <c r="C3839" s="150"/>
      <c r="D3839" s="102"/>
      <c r="E3839" s="149"/>
      <c r="F3839" s="149"/>
      <c r="G3839" s="149"/>
      <c r="H3839" s="149"/>
      <c r="I3839" s="149"/>
      <c r="J3839" s="149"/>
      <c r="K3839" s="149"/>
      <c r="L3839" s="149"/>
      <c r="M3839" s="149"/>
      <c r="N3839" s="149"/>
      <c r="O3839" s="149"/>
      <c r="P3839" s="149"/>
      <c r="Q3839" s="149"/>
      <c r="R3839" s="149"/>
      <c r="S3839" s="149"/>
      <c r="T3839" s="149"/>
      <c r="U3839" s="149"/>
      <c r="V3839" s="149"/>
      <c r="W3839" s="149"/>
      <c r="X3839" s="149"/>
      <c r="Y3839" s="149"/>
      <c r="Z3839" s="149"/>
      <c r="AA3839" s="149"/>
      <c r="AB3839" s="149"/>
      <c r="AC3839" s="149"/>
      <c r="AD3839" s="149"/>
      <c r="AE3839" s="149"/>
      <c r="AF3839" s="149"/>
      <c r="AG3839" s="149"/>
      <c r="AH3839" s="149"/>
      <c r="AI3839" s="149"/>
      <c r="AJ3839" s="149"/>
      <c r="AK3839" s="149"/>
      <c r="AL3839" s="149"/>
      <c r="AM3839" s="149"/>
      <c r="AN3839" s="149"/>
      <c r="AO3839" s="128"/>
      <c r="AP3839" s="128"/>
      <c r="AQ3839" s="128"/>
      <c r="AR3839" s="128"/>
      <c r="AS3839" s="128"/>
      <c r="AT3839" s="128"/>
      <c r="AU3839" s="128"/>
      <c r="AV3839" s="128"/>
      <c r="AW3839" s="128"/>
      <c r="AX3839" s="128"/>
      <c r="AY3839" s="128"/>
      <c r="AZ3839" s="128"/>
      <c r="BA3839" s="128"/>
      <c r="BB3839" s="128"/>
      <c r="BC3839" s="128"/>
      <c r="BD3839" s="128"/>
      <c r="BE3839" s="128"/>
      <c r="BF3839" s="128"/>
      <c r="BG3839" s="128"/>
      <c r="BH3839" s="128"/>
      <c r="BI3839" s="128"/>
      <c r="BJ3839" s="128"/>
      <c r="BK3839" s="128"/>
      <c r="BL3839" s="128"/>
      <c r="BM3839" s="151"/>
      <c r="BN3839" s="128"/>
      <c r="BO3839" s="128"/>
      <c r="BP3839" s="128"/>
      <c r="BQ3839" s="128"/>
      <c r="BR3839" s="128"/>
      <c r="BS3839" s="128"/>
      <c r="BT3839" s="128"/>
      <c r="BU3839" s="128"/>
      <c r="BV3839" s="128"/>
      <c r="BW3839" s="128"/>
      <c r="BX3839" s="128"/>
      <c r="BY3839" s="128"/>
      <c r="BZ3839" s="128"/>
      <c r="CA3839" s="128"/>
      <c r="CB3839" s="128"/>
      <c r="CC3839" s="128"/>
      <c r="CD3839" s="128"/>
      <c r="CE3839" s="128"/>
      <c r="CF3839" s="128"/>
      <c r="CG3839" s="128"/>
      <c r="CI3839" s="128"/>
      <c r="CJ3839" s="128"/>
      <c r="CK3839" s="128"/>
      <c r="CL3839" s="128"/>
      <c r="CM3839" s="128"/>
      <c r="CN3839" s="128"/>
      <c r="CO3839" s="128"/>
      <c r="CP3839" s="128"/>
      <c r="CQ3839" s="128"/>
      <c r="CR3839" s="128"/>
      <c r="CS3839" s="128"/>
      <c r="CT3839" s="128"/>
      <c r="CU3839" s="128"/>
      <c r="CV3839" s="128"/>
      <c r="CW3839" s="128"/>
      <c r="CX3839" s="128"/>
      <c r="CY3839" s="128"/>
      <c r="CZ3839" s="165"/>
    </row>
    <row r="3840" spans="1:104">
      <c r="A3840" s="149"/>
      <c r="B3840" s="149"/>
      <c r="C3840" s="150"/>
      <c r="D3840" s="102"/>
      <c r="E3840" s="149"/>
      <c r="F3840" s="149"/>
      <c r="G3840" s="149"/>
      <c r="H3840" s="149"/>
      <c r="I3840" s="149"/>
      <c r="J3840" s="149"/>
      <c r="K3840" s="149"/>
      <c r="L3840" s="149"/>
      <c r="M3840" s="149"/>
      <c r="N3840" s="149"/>
      <c r="O3840" s="149"/>
      <c r="P3840" s="149"/>
      <c r="Q3840" s="149"/>
      <c r="R3840" s="149"/>
      <c r="S3840" s="149"/>
      <c r="T3840" s="149"/>
      <c r="U3840" s="149"/>
      <c r="V3840" s="149"/>
      <c r="W3840" s="149"/>
      <c r="X3840" s="149"/>
      <c r="Y3840" s="149"/>
      <c r="Z3840" s="149"/>
      <c r="AA3840" s="149"/>
      <c r="AB3840" s="149"/>
      <c r="AC3840" s="149"/>
      <c r="AD3840" s="149"/>
      <c r="AE3840" s="149"/>
      <c r="AF3840" s="149"/>
      <c r="AG3840" s="149"/>
      <c r="AH3840" s="149"/>
      <c r="AI3840" s="149"/>
      <c r="AJ3840" s="149"/>
      <c r="AK3840" s="149"/>
      <c r="AL3840" s="149"/>
      <c r="AM3840" s="149"/>
      <c r="AN3840" s="149"/>
      <c r="AO3840" s="128"/>
      <c r="AP3840" s="128"/>
      <c r="AQ3840" s="128"/>
      <c r="AR3840" s="128"/>
      <c r="AS3840" s="128"/>
      <c r="AT3840" s="128"/>
      <c r="AU3840" s="128"/>
      <c r="AV3840" s="128"/>
      <c r="AW3840" s="128"/>
      <c r="AX3840" s="128"/>
      <c r="AY3840" s="128"/>
      <c r="AZ3840" s="128"/>
      <c r="BA3840" s="128"/>
      <c r="BB3840" s="128"/>
      <c r="BC3840" s="128"/>
      <c r="BD3840" s="128"/>
      <c r="BE3840" s="128"/>
      <c r="BF3840" s="128"/>
      <c r="BG3840" s="128"/>
      <c r="BH3840" s="128"/>
      <c r="BI3840" s="128"/>
      <c r="BJ3840" s="128"/>
      <c r="BK3840" s="128"/>
      <c r="BL3840" s="128"/>
      <c r="BM3840" s="151"/>
      <c r="BN3840" s="128"/>
      <c r="BO3840" s="128"/>
      <c r="BP3840" s="128"/>
      <c r="BQ3840" s="128"/>
      <c r="BR3840" s="128"/>
      <c r="BS3840" s="128"/>
      <c r="BT3840" s="128"/>
      <c r="BU3840" s="128"/>
      <c r="BV3840" s="128"/>
      <c r="BW3840" s="128"/>
      <c r="BX3840" s="128"/>
      <c r="BY3840" s="128"/>
      <c r="BZ3840" s="128"/>
      <c r="CA3840" s="128"/>
      <c r="CB3840" s="128"/>
      <c r="CC3840" s="128"/>
      <c r="CD3840" s="128"/>
      <c r="CE3840" s="128"/>
      <c r="CF3840" s="128"/>
      <c r="CG3840" s="128"/>
      <c r="CI3840" s="128"/>
      <c r="CJ3840" s="128"/>
      <c r="CK3840" s="128"/>
      <c r="CL3840" s="128"/>
      <c r="CM3840" s="128"/>
      <c r="CN3840" s="128"/>
      <c r="CO3840" s="128"/>
      <c r="CP3840" s="128"/>
      <c r="CQ3840" s="128"/>
      <c r="CR3840" s="128"/>
      <c r="CS3840" s="128"/>
      <c r="CT3840" s="128"/>
      <c r="CU3840" s="128"/>
      <c r="CV3840" s="128"/>
      <c r="CW3840" s="128"/>
      <c r="CX3840" s="128"/>
      <c r="CY3840" s="128"/>
      <c r="CZ3840" s="165"/>
    </row>
    <row r="3841" spans="1:104">
      <c r="A3841" s="149"/>
      <c r="B3841" s="149"/>
      <c r="C3841" s="150"/>
      <c r="D3841" s="102"/>
      <c r="E3841" s="149"/>
      <c r="F3841" s="149"/>
      <c r="G3841" s="149"/>
      <c r="H3841" s="149"/>
      <c r="I3841" s="149"/>
      <c r="J3841" s="149"/>
      <c r="K3841" s="149"/>
      <c r="L3841" s="149"/>
      <c r="M3841" s="149"/>
      <c r="N3841" s="149"/>
      <c r="O3841" s="149"/>
      <c r="P3841" s="149"/>
      <c r="Q3841" s="149"/>
      <c r="R3841" s="149"/>
      <c r="S3841" s="149"/>
      <c r="T3841" s="149"/>
      <c r="U3841" s="149"/>
      <c r="V3841" s="149"/>
      <c r="W3841" s="149"/>
      <c r="X3841" s="149"/>
      <c r="Y3841" s="149"/>
      <c r="Z3841" s="149"/>
      <c r="AA3841" s="149"/>
      <c r="AB3841" s="149"/>
      <c r="AC3841" s="149"/>
      <c r="AD3841" s="149"/>
      <c r="AE3841" s="149"/>
      <c r="AF3841" s="149"/>
      <c r="AG3841" s="149"/>
      <c r="AH3841" s="149"/>
      <c r="AI3841" s="149"/>
      <c r="AJ3841" s="149"/>
      <c r="AK3841" s="149"/>
      <c r="AL3841" s="149"/>
      <c r="AM3841" s="149"/>
      <c r="AN3841" s="149"/>
      <c r="AO3841" s="128"/>
      <c r="AP3841" s="128"/>
      <c r="AQ3841" s="128"/>
      <c r="AR3841" s="128"/>
      <c r="AS3841" s="128"/>
      <c r="AT3841" s="128"/>
      <c r="AU3841" s="128"/>
      <c r="AV3841" s="128"/>
      <c r="AW3841" s="128"/>
      <c r="AX3841" s="128"/>
      <c r="AY3841" s="128"/>
      <c r="AZ3841" s="128"/>
      <c r="BA3841" s="128"/>
      <c r="BB3841" s="128"/>
      <c r="BC3841" s="128"/>
      <c r="BD3841" s="128"/>
      <c r="BE3841" s="128"/>
      <c r="BF3841" s="128"/>
      <c r="BG3841" s="128"/>
      <c r="BH3841" s="128"/>
      <c r="BI3841" s="128"/>
      <c r="BJ3841" s="128"/>
      <c r="BK3841" s="128"/>
      <c r="BL3841" s="128"/>
      <c r="BM3841" s="151"/>
      <c r="BN3841" s="128"/>
      <c r="BO3841" s="128"/>
      <c r="BP3841" s="128"/>
      <c r="BQ3841" s="128"/>
      <c r="BR3841" s="128"/>
      <c r="BS3841" s="128"/>
      <c r="BT3841" s="128"/>
      <c r="BU3841" s="128"/>
      <c r="BV3841" s="128"/>
      <c r="BW3841" s="128"/>
      <c r="BX3841" s="128"/>
      <c r="BY3841" s="128"/>
      <c r="BZ3841" s="128"/>
      <c r="CA3841" s="128"/>
      <c r="CB3841" s="128"/>
      <c r="CC3841" s="128"/>
      <c r="CD3841" s="128"/>
      <c r="CE3841" s="128"/>
      <c r="CF3841" s="128"/>
      <c r="CG3841" s="128"/>
      <c r="CI3841" s="128"/>
      <c r="CJ3841" s="128"/>
      <c r="CK3841" s="128"/>
      <c r="CL3841" s="128"/>
      <c r="CM3841" s="128"/>
      <c r="CN3841" s="128"/>
      <c r="CO3841" s="128"/>
      <c r="CP3841" s="128"/>
      <c r="CQ3841" s="128"/>
      <c r="CR3841" s="128"/>
      <c r="CS3841" s="128"/>
      <c r="CT3841" s="128"/>
      <c r="CU3841" s="128"/>
      <c r="CV3841" s="128"/>
      <c r="CW3841" s="128"/>
      <c r="CX3841" s="128"/>
      <c r="CY3841" s="128"/>
      <c r="CZ3841" s="165"/>
    </row>
    <row r="3842" spans="1:104">
      <c r="A3842" s="149"/>
      <c r="B3842" s="149"/>
      <c r="C3842" s="150"/>
      <c r="D3842" s="102"/>
      <c r="E3842" s="149"/>
      <c r="F3842" s="149"/>
      <c r="G3842" s="149"/>
      <c r="H3842" s="149"/>
      <c r="I3842" s="149"/>
      <c r="J3842" s="149"/>
      <c r="K3842" s="149"/>
      <c r="L3842" s="149"/>
      <c r="M3842" s="149"/>
      <c r="N3842" s="149"/>
      <c r="O3842" s="149"/>
      <c r="P3842" s="149"/>
      <c r="Q3842" s="149"/>
      <c r="R3842" s="149"/>
      <c r="S3842" s="149"/>
      <c r="T3842" s="149"/>
      <c r="U3842" s="149"/>
      <c r="V3842" s="149"/>
      <c r="W3842" s="149"/>
      <c r="X3842" s="149"/>
      <c r="Y3842" s="149"/>
      <c r="Z3842" s="149"/>
      <c r="AA3842" s="149"/>
      <c r="AB3842" s="149"/>
      <c r="AC3842" s="149"/>
      <c r="AD3842" s="149"/>
      <c r="AE3842" s="149"/>
      <c r="AF3842" s="149"/>
      <c r="AG3842" s="149"/>
      <c r="AH3842" s="149"/>
      <c r="AI3842" s="149"/>
      <c r="AJ3842" s="149"/>
      <c r="AK3842" s="149"/>
      <c r="AL3842" s="149"/>
      <c r="AM3842" s="149"/>
      <c r="AN3842" s="149"/>
      <c r="AO3842" s="128"/>
      <c r="AP3842" s="128"/>
      <c r="AQ3842" s="128"/>
      <c r="AR3842" s="128"/>
      <c r="AS3842" s="128"/>
      <c r="AT3842" s="128"/>
      <c r="AU3842" s="128"/>
      <c r="AV3842" s="128"/>
      <c r="AW3842" s="128"/>
      <c r="AX3842" s="128"/>
      <c r="AY3842" s="128"/>
      <c r="AZ3842" s="128"/>
      <c r="BA3842" s="128"/>
      <c r="BB3842" s="128"/>
      <c r="BC3842" s="128"/>
      <c r="BD3842" s="128"/>
      <c r="BE3842" s="128"/>
      <c r="BF3842" s="128"/>
      <c r="BG3842" s="128"/>
      <c r="BH3842" s="128"/>
      <c r="BI3842" s="128"/>
      <c r="BJ3842" s="128"/>
      <c r="BK3842" s="128"/>
      <c r="BL3842" s="128"/>
      <c r="BM3842" s="151"/>
      <c r="BN3842" s="128"/>
      <c r="BO3842" s="128"/>
      <c r="BP3842" s="128"/>
      <c r="BQ3842" s="128"/>
      <c r="BR3842" s="128"/>
      <c r="BS3842" s="128"/>
      <c r="BT3842" s="128"/>
      <c r="BU3842" s="128"/>
      <c r="BV3842" s="128"/>
      <c r="BW3842" s="128"/>
      <c r="BX3842" s="128"/>
      <c r="BY3842" s="128"/>
      <c r="BZ3842" s="128"/>
      <c r="CA3842" s="128"/>
      <c r="CB3842" s="128"/>
      <c r="CC3842" s="128"/>
      <c r="CD3842" s="128"/>
      <c r="CE3842" s="128"/>
      <c r="CF3842" s="128"/>
      <c r="CG3842" s="128"/>
      <c r="CI3842" s="128"/>
      <c r="CJ3842" s="128"/>
      <c r="CK3842" s="128"/>
      <c r="CL3842" s="128"/>
      <c r="CM3842" s="128"/>
      <c r="CN3842" s="128"/>
      <c r="CO3842" s="128"/>
      <c r="CP3842" s="128"/>
      <c r="CQ3842" s="128"/>
      <c r="CR3842" s="128"/>
      <c r="CS3842" s="128"/>
      <c r="CT3842" s="128"/>
      <c r="CU3842" s="128"/>
      <c r="CV3842" s="128"/>
      <c r="CW3842" s="128"/>
      <c r="CX3842" s="128"/>
      <c r="CY3842" s="128"/>
      <c r="CZ3842" s="165"/>
    </row>
    <row r="3843" spans="1:104">
      <c r="A3843" s="149"/>
      <c r="B3843" s="149"/>
      <c r="C3843" s="150"/>
      <c r="D3843" s="102"/>
      <c r="E3843" s="149"/>
      <c r="F3843" s="149"/>
      <c r="G3843" s="149"/>
      <c r="H3843" s="149"/>
      <c r="I3843" s="149"/>
      <c r="J3843" s="149"/>
      <c r="K3843" s="149"/>
      <c r="L3843" s="149"/>
      <c r="M3843" s="149"/>
      <c r="N3843" s="149"/>
      <c r="O3843" s="149"/>
      <c r="P3843" s="149"/>
      <c r="Q3843" s="149"/>
      <c r="R3843" s="149"/>
      <c r="S3843" s="149"/>
      <c r="T3843" s="149"/>
      <c r="U3843" s="149"/>
      <c r="V3843" s="149"/>
      <c r="W3843" s="149"/>
      <c r="X3843" s="149"/>
      <c r="Y3843" s="149"/>
      <c r="Z3843" s="149"/>
      <c r="AA3843" s="149"/>
      <c r="AB3843" s="149"/>
      <c r="AC3843" s="149"/>
      <c r="AD3843" s="149"/>
      <c r="AE3843" s="149"/>
      <c r="AF3843" s="149"/>
      <c r="AG3843" s="149"/>
      <c r="AH3843" s="149"/>
      <c r="AI3843" s="149"/>
      <c r="AJ3843" s="149"/>
      <c r="AK3843" s="149"/>
      <c r="AL3843" s="149"/>
      <c r="AM3843" s="149"/>
      <c r="AN3843" s="149"/>
      <c r="AO3843" s="128"/>
      <c r="AP3843" s="128"/>
      <c r="AQ3843" s="128"/>
      <c r="AR3843" s="128"/>
      <c r="AS3843" s="128"/>
      <c r="AT3843" s="128"/>
      <c r="AU3843" s="128"/>
      <c r="AV3843" s="128"/>
      <c r="AW3843" s="128"/>
      <c r="AX3843" s="128"/>
      <c r="AY3843" s="128"/>
      <c r="AZ3843" s="128"/>
      <c r="BA3843" s="128"/>
      <c r="BB3843" s="128"/>
      <c r="BC3843" s="128"/>
      <c r="BD3843" s="128"/>
      <c r="BE3843" s="128"/>
      <c r="BF3843" s="128"/>
      <c r="BG3843" s="128"/>
      <c r="BH3843" s="128"/>
      <c r="BI3843" s="128"/>
      <c r="BJ3843" s="128"/>
      <c r="BK3843" s="128"/>
      <c r="BL3843" s="128"/>
      <c r="BM3843" s="151"/>
      <c r="BN3843" s="128"/>
      <c r="BO3843" s="128"/>
      <c r="BP3843" s="128"/>
      <c r="BQ3843" s="128"/>
      <c r="BR3843" s="128"/>
      <c r="BS3843" s="128"/>
      <c r="BT3843" s="128"/>
      <c r="BU3843" s="128"/>
      <c r="BV3843" s="128"/>
      <c r="BW3843" s="128"/>
      <c r="BX3843" s="128"/>
      <c r="BY3843" s="128"/>
      <c r="BZ3843" s="128"/>
      <c r="CA3843" s="128"/>
      <c r="CB3843" s="128"/>
      <c r="CC3843" s="128"/>
      <c r="CD3843" s="128"/>
      <c r="CE3843" s="128"/>
      <c r="CF3843" s="128"/>
      <c r="CG3843" s="128"/>
      <c r="CI3843" s="128"/>
      <c r="CJ3843" s="128"/>
      <c r="CK3843" s="128"/>
      <c r="CL3843" s="128"/>
      <c r="CM3843" s="128"/>
      <c r="CN3843" s="128"/>
      <c r="CO3843" s="128"/>
      <c r="CP3843" s="128"/>
      <c r="CQ3843" s="128"/>
      <c r="CR3843" s="128"/>
      <c r="CS3843" s="128"/>
      <c r="CT3843" s="128"/>
      <c r="CU3843" s="128"/>
      <c r="CV3843" s="128"/>
      <c r="CW3843" s="128"/>
      <c r="CX3843" s="128"/>
      <c r="CY3843" s="128"/>
      <c r="CZ3843" s="165"/>
    </row>
    <row r="3844" spans="1:104">
      <c r="A3844" s="149"/>
      <c r="B3844" s="149"/>
      <c r="C3844" s="150"/>
      <c r="D3844" s="102"/>
      <c r="E3844" s="149"/>
      <c r="F3844" s="149"/>
      <c r="G3844" s="149"/>
      <c r="H3844" s="149"/>
      <c r="I3844" s="149"/>
      <c r="J3844" s="149"/>
      <c r="K3844" s="149"/>
      <c r="L3844" s="149"/>
      <c r="M3844" s="149"/>
      <c r="N3844" s="149"/>
      <c r="O3844" s="149"/>
      <c r="P3844" s="149"/>
      <c r="Q3844" s="149"/>
      <c r="R3844" s="149"/>
      <c r="S3844" s="149"/>
      <c r="T3844" s="149"/>
      <c r="U3844" s="149"/>
      <c r="V3844" s="149"/>
      <c r="W3844" s="149"/>
      <c r="X3844" s="149"/>
      <c r="Y3844" s="149"/>
      <c r="Z3844" s="149"/>
      <c r="AA3844" s="149"/>
      <c r="AB3844" s="149"/>
      <c r="AC3844" s="149"/>
      <c r="AD3844" s="149"/>
      <c r="AE3844" s="149"/>
      <c r="AF3844" s="149"/>
      <c r="AG3844" s="149"/>
      <c r="AH3844" s="149"/>
      <c r="AI3844" s="149"/>
      <c r="AJ3844" s="149"/>
      <c r="AK3844" s="149"/>
      <c r="AL3844" s="149"/>
      <c r="AM3844" s="149"/>
      <c r="AN3844" s="149"/>
      <c r="AO3844" s="128"/>
      <c r="AP3844" s="128"/>
      <c r="AQ3844" s="128"/>
      <c r="AR3844" s="128"/>
      <c r="AS3844" s="128"/>
      <c r="AT3844" s="128"/>
      <c r="AU3844" s="128"/>
      <c r="AV3844" s="128"/>
      <c r="AW3844" s="128"/>
      <c r="AX3844" s="128"/>
      <c r="AY3844" s="128"/>
      <c r="AZ3844" s="128"/>
      <c r="BA3844" s="128"/>
      <c r="BB3844" s="128"/>
      <c r="BC3844" s="128"/>
      <c r="BD3844" s="128"/>
      <c r="BE3844" s="128"/>
      <c r="BF3844" s="128"/>
      <c r="BG3844" s="128"/>
      <c r="BH3844" s="128"/>
      <c r="BI3844" s="128"/>
      <c r="BJ3844" s="128"/>
      <c r="BK3844" s="128"/>
      <c r="BL3844" s="128"/>
      <c r="BM3844" s="151"/>
      <c r="BN3844" s="128"/>
      <c r="BO3844" s="128"/>
      <c r="BP3844" s="128"/>
      <c r="BQ3844" s="128"/>
      <c r="BR3844" s="128"/>
      <c r="BS3844" s="128"/>
      <c r="BT3844" s="128"/>
      <c r="BU3844" s="128"/>
      <c r="BV3844" s="128"/>
      <c r="BW3844" s="128"/>
      <c r="BX3844" s="128"/>
      <c r="BY3844" s="128"/>
      <c r="BZ3844" s="128"/>
      <c r="CA3844" s="128"/>
      <c r="CB3844" s="128"/>
      <c r="CC3844" s="128"/>
      <c r="CD3844" s="128"/>
      <c r="CE3844" s="128"/>
      <c r="CF3844" s="128"/>
      <c r="CG3844" s="128"/>
      <c r="CI3844" s="128"/>
      <c r="CJ3844" s="128"/>
      <c r="CK3844" s="128"/>
      <c r="CL3844" s="128"/>
      <c r="CM3844" s="128"/>
      <c r="CN3844" s="128"/>
      <c r="CO3844" s="128"/>
      <c r="CP3844" s="128"/>
      <c r="CQ3844" s="128"/>
      <c r="CR3844" s="128"/>
      <c r="CS3844" s="128"/>
      <c r="CT3844" s="128"/>
      <c r="CU3844" s="128"/>
      <c r="CV3844" s="128"/>
      <c r="CW3844" s="128"/>
      <c r="CX3844" s="128"/>
      <c r="CY3844" s="128"/>
      <c r="CZ3844" s="165"/>
    </row>
    <row r="3845" spans="1:104">
      <c r="A3845" s="149"/>
      <c r="B3845" s="149"/>
      <c r="C3845" s="150"/>
      <c r="D3845" s="102"/>
      <c r="E3845" s="149"/>
      <c r="F3845" s="149"/>
      <c r="G3845" s="149"/>
      <c r="H3845" s="149"/>
      <c r="I3845" s="149"/>
      <c r="J3845" s="149"/>
      <c r="K3845" s="149"/>
      <c r="L3845" s="149"/>
      <c r="M3845" s="149"/>
      <c r="N3845" s="149"/>
      <c r="O3845" s="149"/>
      <c r="P3845" s="149"/>
      <c r="Q3845" s="149"/>
      <c r="R3845" s="149"/>
      <c r="S3845" s="149"/>
      <c r="T3845" s="149"/>
      <c r="U3845" s="149"/>
      <c r="V3845" s="149"/>
      <c r="W3845" s="149"/>
      <c r="X3845" s="149"/>
      <c r="Y3845" s="149"/>
      <c r="Z3845" s="149"/>
      <c r="AA3845" s="149"/>
      <c r="AB3845" s="149"/>
      <c r="AC3845" s="149"/>
      <c r="AD3845" s="149"/>
      <c r="AE3845" s="149"/>
      <c r="AF3845" s="149"/>
      <c r="AG3845" s="149"/>
      <c r="AH3845" s="149"/>
      <c r="AI3845" s="149"/>
      <c r="AJ3845" s="149"/>
      <c r="AK3845" s="149"/>
      <c r="AL3845" s="149"/>
      <c r="AM3845" s="149"/>
      <c r="AN3845" s="149"/>
      <c r="AO3845" s="128"/>
      <c r="AP3845" s="128"/>
      <c r="AQ3845" s="128"/>
      <c r="AR3845" s="128"/>
      <c r="AS3845" s="128"/>
      <c r="AT3845" s="128"/>
      <c r="AU3845" s="128"/>
      <c r="AV3845" s="128"/>
      <c r="AW3845" s="128"/>
      <c r="AX3845" s="128"/>
      <c r="AY3845" s="128"/>
      <c r="AZ3845" s="128"/>
      <c r="BA3845" s="128"/>
      <c r="BB3845" s="128"/>
      <c r="BC3845" s="128"/>
      <c r="BD3845" s="128"/>
      <c r="BE3845" s="128"/>
      <c r="BF3845" s="128"/>
      <c r="BG3845" s="128"/>
      <c r="BH3845" s="128"/>
      <c r="BI3845" s="128"/>
      <c r="BJ3845" s="128"/>
      <c r="BK3845" s="128"/>
      <c r="BL3845" s="128"/>
      <c r="BM3845" s="151"/>
      <c r="BN3845" s="128"/>
      <c r="BO3845" s="128"/>
      <c r="BP3845" s="128"/>
      <c r="BQ3845" s="128"/>
      <c r="BR3845" s="128"/>
      <c r="BS3845" s="128"/>
      <c r="BT3845" s="128"/>
      <c r="BU3845" s="128"/>
      <c r="BV3845" s="128"/>
      <c r="BW3845" s="128"/>
      <c r="BX3845" s="128"/>
      <c r="BY3845" s="128"/>
      <c r="BZ3845" s="128"/>
      <c r="CA3845" s="128"/>
      <c r="CB3845" s="128"/>
      <c r="CC3845" s="128"/>
      <c r="CD3845" s="128"/>
      <c r="CE3845" s="128"/>
      <c r="CF3845" s="128"/>
      <c r="CG3845" s="128"/>
      <c r="CI3845" s="128"/>
      <c r="CJ3845" s="128"/>
      <c r="CK3845" s="128"/>
      <c r="CL3845" s="128"/>
      <c r="CM3845" s="128"/>
      <c r="CN3845" s="128"/>
      <c r="CO3845" s="128"/>
      <c r="CP3845" s="128"/>
      <c r="CQ3845" s="128"/>
      <c r="CR3845" s="128"/>
      <c r="CS3845" s="128"/>
      <c r="CT3845" s="128"/>
      <c r="CU3845" s="128"/>
      <c r="CV3845" s="128"/>
      <c r="CW3845" s="128"/>
      <c r="CX3845" s="128"/>
      <c r="CY3845" s="128"/>
      <c r="CZ3845" s="165"/>
    </row>
    <row r="3846" spans="1:104">
      <c r="A3846" s="149"/>
      <c r="B3846" s="149"/>
      <c r="C3846" s="150"/>
      <c r="D3846" s="102"/>
      <c r="E3846" s="149"/>
      <c r="F3846" s="149"/>
      <c r="G3846" s="149"/>
      <c r="H3846" s="149"/>
      <c r="I3846" s="149"/>
      <c r="J3846" s="149"/>
      <c r="K3846" s="149"/>
      <c r="L3846" s="149"/>
      <c r="M3846" s="149"/>
      <c r="N3846" s="149"/>
      <c r="O3846" s="149"/>
      <c r="P3846" s="149"/>
      <c r="Q3846" s="149"/>
      <c r="R3846" s="149"/>
      <c r="S3846" s="149"/>
      <c r="T3846" s="149"/>
      <c r="U3846" s="149"/>
      <c r="V3846" s="149"/>
      <c r="W3846" s="149"/>
      <c r="X3846" s="149"/>
      <c r="Y3846" s="149"/>
      <c r="Z3846" s="149"/>
      <c r="AA3846" s="149"/>
      <c r="AB3846" s="149"/>
      <c r="AC3846" s="149"/>
      <c r="AD3846" s="149"/>
      <c r="AE3846" s="149"/>
      <c r="AF3846" s="149"/>
      <c r="AG3846" s="149"/>
      <c r="AH3846" s="149"/>
      <c r="AI3846" s="149"/>
      <c r="AJ3846" s="149"/>
      <c r="AK3846" s="149"/>
      <c r="AL3846" s="149"/>
      <c r="AM3846" s="149"/>
      <c r="AN3846" s="149"/>
      <c r="AO3846" s="128"/>
      <c r="AP3846" s="128"/>
      <c r="AQ3846" s="128"/>
      <c r="AR3846" s="128"/>
      <c r="AS3846" s="128"/>
      <c r="AT3846" s="128"/>
      <c r="AU3846" s="128"/>
      <c r="AV3846" s="128"/>
      <c r="AW3846" s="128"/>
      <c r="AX3846" s="128"/>
      <c r="AY3846" s="128"/>
      <c r="AZ3846" s="128"/>
      <c r="BA3846" s="128"/>
      <c r="BB3846" s="128"/>
      <c r="BC3846" s="128"/>
      <c r="BD3846" s="128"/>
      <c r="BE3846" s="128"/>
      <c r="BF3846" s="128"/>
      <c r="BG3846" s="128"/>
      <c r="BH3846" s="128"/>
      <c r="BI3846" s="128"/>
      <c r="BJ3846" s="128"/>
      <c r="BK3846" s="128"/>
      <c r="BL3846" s="128"/>
      <c r="BM3846" s="151"/>
      <c r="BN3846" s="128"/>
      <c r="BO3846" s="128"/>
      <c r="BP3846" s="128"/>
      <c r="BQ3846" s="128"/>
      <c r="BR3846" s="128"/>
      <c r="BS3846" s="128"/>
      <c r="BT3846" s="128"/>
      <c r="BU3846" s="128"/>
      <c r="BV3846" s="128"/>
      <c r="BW3846" s="128"/>
      <c r="BX3846" s="128"/>
      <c r="BY3846" s="128"/>
      <c r="BZ3846" s="128"/>
      <c r="CA3846" s="128"/>
      <c r="CB3846" s="128"/>
      <c r="CC3846" s="128"/>
      <c r="CD3846" s="128"/>
      <c r="CE3846" s="128"/>
      <c r="CF3846" s="128"/>
      <c r="CG3846" s="128"/>
      <c r="CI3846" s="128"/>
      <c r="CJ3846" s="128"/>
      <c r="CK3846" s="128"/>
      <c r="CL3846" s="128"/>
      <c r="CM3846" s="128"/>
      <c r="CN3846" s="128"/>
      <c r="CO3846" s="128"/>
      <c r="CP3846" s="128"/>
      <c r="CQ3846" s="128"/>
      <c r="CR3846" s="128"/>
      <c r="CS3846" s="128"/>
      <c r="CT3846" s="128"/>
      <c r="CU3846" s="128"/>
      <c r="CV3846" s="128"/>
      <c r="CW3846" s="128"/>
      <c r="CX3846" s="128"/>
      <c r="CY3846" s="128"/>
      <c r="CZ3846" s="165"/>
    </row>
    <row r="3847" spans="1:104">
      <c r="A3847" s="149"/>
      <c r="B3847" s="149"/>
      <c r="C3847" s="150"/>
      <c r="D3847" s="102"/>
      <c r="E3847" s="149"/>
      <c r="F3847" s="149"/>
      <c r="G3847" s="149"/>
      <c r="H3847" s="149"/>
      <c r="I3847" s="149"/>
      <c r="J3847" s="149"/>
      <c r="K3847" s="149"/>
      <c r="L3847" s="149"/>
      <c r="M3847" s="149"/>
      <c r="N3847" s="149"/>
      <c r="O3847" s="149"/>
      <c r="P3847" s="149"/>
      <c r="Q3847" s="149"/>
      <c r="R3847" s="149"/>
      <c r="S3847" s="149"/>
      <c r="T3847" s="149"/>
      <c r="U3847" s="149"/>
      <c r="V3847" s="149"/>
      <c r="W3847" s="149"/>
      <c r="X3847" s="149"/>
      <c r="Y3847" s="149"/>
      <c r="Z3847" s="149"/>
      <c r="AA3847" s="149"/>
      <c r="AB3847" s="149"/>
      <c r="AC3847" s="149"/>
      <c r="AD3847" s="149"/>
      <c r="AE3847" s="149"/>
      <c r="AF3847" s="149"/>
      <c r="AG3847" s="149"/>
      <c r="AH3847" s="149"/>
      <c r="AI3847" s="149"/>
      <c r="AJ3847" s="149"/>
      <c r="AK3847" s="149"/>
      <c r="AL3847" s="149"/>
      <c r="AM3847" s="149"/>
      <c r="AN3847" s="149"/>
      <c r="AO3847" s="128"/>
      <c r="AP3847" s="128"/>
      <c r="AQ3847" s="128"/>
      <c r="AR3847" s="128"/>
      <c r="AS3847" s="128"/>
      <c r="AT3847" s="128"/>
      <c r="AU3847" s="128"/>
      <c r="AV3847" s="128"/>
      <c r="AW3847" s="128"/>
      <c r="AX3847" s="128"/>
      <c r="AY3847" s="128"/>
      <c r="AZ3847" s="128"/>
      <c r="BA3847" s="128"/>
      <c r="BB3847" s="128"/>
      <c r="BC3847" s="128"/>
      <c r="BD3847" s="128"/>
      <c r="BE3847" s="128"/>
      <c r="BF3847" s="128"/>
      <c r="BG3847" s="128"/>
      <c r="BH3847" s="128"/>
      <c r="BI3847" s="128"/>
      <c r="BJ3847" s="128"/>
      <c r="BK3847" s="128"/>
      <c r="BL3847" s="128"/>
      <c r="BM3847" s="151"/>
      <c r="BN3847" s="128"/>
      <c r="BO3847" s="128"/>
      <c r="BP3847" s="128"/>
      <c r="BQ3847" s="128"/>
      <c r="BR3847" s="128"/>
      <c r="BS3847" s="128"/>
      <c r="BT3847" s="128"/>
      <c r="BU3847" s="128"/>
      <c r="BV3847" s="128"/>
      <c r="BW3847" s="128"/>
      <c r="BX3847" s="128"/>
      <c r="BY3847" s="128"/>
      <c r="BZ3847" s="128"/>
      <c r="CA3847" s="128"/>
      <c r="CB3847" s="128"/>
      <c r="CC3847" s="128"/>
      <c r="CD3847" s="128"/>
      <c r="CE3847" s="128"/>
      <c r="CF3847" s="128"/>
      <c r="CG3847" s="128"/>
      <c r="CI3847" s="128"/>
      <c r="CJ3847" s="128"/>
      <c r="CK3847" s="128"/>
      <c r="CL3847" s="128"/>
      <c r="CM3847" s="128"/>
      <c r="CN3847" s="128"/>
      <c r="CO3847" s="128"/>
      <c r="CP3847" s="128"/>
      <c r="CQ3847" s="128"/>
      <c r="CR3847" s="128"/>
      <c r="CS3847" s="128"/>
      <c r="CT3847" s="128"/>
      <c r="CU3847" s="128"/>
      <c r="CV3847" s="128"/>
      <c r="CW3847" s="128"/>
      <c r="CX3847" s="128"/>
      <c r="CY3847" s="128"/>
      <c r="CZ3847" s="165"/>
    </row>
    <row r="3848" spans="1:104">
      <c r="A3848" s="149"/>
      <c r="B3848" s="149"/>
      <c r="C3848" s="150"/>
      <c r="D3848" s="102"/>
      <c r="E3848" s="149"/>
      <c r="F3848" s="149"/>
      <c r="G3848" s="149"/>
      <c r="H3848" s="149"/>
      <c r="I3848" s="149"/>
      <c r="J3848" s="149"/>
      <c r="K3848" s="149"/>
      <c r="L3848" s="149"/>
      <c r="M3848" s="149"/>
      <c r="N3848" s="149"/>
      <c r="O3848" s="149"/>
      <c r="P3848" s="149"/>
      <c r="Q3848" s="149"/>
      <c r="R3848" s="149"/>
      <c r="S3848" s="149"/>
      <c r="T3848" s="149"/>
      <c r="U3848" s="149"/>
      <c r="V3848" s="149"/>
      <c r="W3848" s="149"/>
      <c r="X3848" s="149"/>
      <c r="Y3848" s="149"/>
      <c r="Z3848" s="149"/>
      <c r="AA3848" s="149"/>
      <c r="AB3848" s="149"/>
      <c r="AC3848" s="149"/>
      <c r="AD3848" s="149"/>
      <c r="AE3848" s="149"/>
      <c r="AF3848" s="149"/>
      <c r="AG3848" s="149"/>
      <c r="AH3848" s="149"/>
      <c r="AI3848" s="149"/>
      <c r="AJ3848" s="149"/>
      <c r="AK3848" s="149"/>
      <c r="AL3848" s="149"/>
      <c r="AM3848" s="149"/>
      <c r="AN3848" s="149"/>
      <c r="AO3848" s="128"/>
      <c r="AP3848" s="128"/>
      <c r="AQ3848" s="128"/>
      <c r="AR3848" s="128"/>
      <c r="AS3848" s="128"/>
      <c r="AT3848" s="128"/>
      <c r="AU3848" s="128"/>
      <c r="AV3848" s="128"/>
      <c r="AW3848" s="128"/>
      <c r="AX3848" s="128"/>
      <c r="AY3848" s="128"/>
      <c r="AZ3848" s="128"/>
      <c r="BA3848" s="128"/>
      <c r="BB3848" s="128"/>
      <c r="BC3848" s="128"/>
      <c r="BD3848" s="128"/>
      <c r="BE3848" s="128"/>
      <c r="BF3848" s="128"/>
      <c r="BG3848" s="128"/>
      <c r="BH3848" s="128"/>
      <c r="BI3848" s="128"/>
      <c r="BJ3848" s="128"/>
      <c r="BK3848" s="128"/>
      <c r="BL3848" s="128"/>
      <c r="BM3848" s="151"/>
      <c r="BN3848" s="128"/>
      <c r="BO3848" s="128"/>
      <c r="BP3848" s="128"/>
      <c r="BQ3848" s="128"/>
      <c r="BR3848" s="128"/>
      <c r="BS3848" s="128"/>
      <c r="BT3848" s="128"/>
      <c r="BU3848" s="128"/>
      <c r="BV3848" s="128"/>
      <c r="BW3848" s="128"/>
      <c r="BX3848" s="128"/>
      <c r="BY3848" s="128"/>
      <c r="BZ3848" s="128"/>
      <c r="CA3848" s="128"/>
      <c r="CB3848" s="128"/>
      <c r="CC3848" s="128"/>
      <c r="CD3848" s="128"/>
      <c r="CE3848" s="128"/>
      <c r="CF3848" s="128"/>
      <c r="CG3848" s="128"/>
      <c r="CI3848" s="128"/>
      <c r="CJ3848" s="128"/>
      <c r="CK3848" s="128"/>
      <c r="CL3848" s="128"/>
      <c r="CM3848" s="128"/>
      <c r="CN3848" s="128"/>
      <c r="CO3848" s="128"/>
      <c r="CP3848" s="128"/>
      <c r="CQ3848" s="128"/>
      <c r="CR3848" s="128"/>
      <c r="CS3848" s="128"/>
      <c r="CT3848" s="128"/>
      <c r="CU3848" s="128"/>
      <c r="CV3848" s="128"/>
      <c r="CW3848" s="128"/>
      <c r="CX3848" s="128"/>
      <c r="CY3848" s="128"/>
      <c r="CZ3848" s="165"/>
    </row>
    <row r="3849" spans="1:104">
      <c r="A3849" s="149"/>
      <c r="B3849" s="149"/>
      <c r="C3849" s="150"/>
      <c r="D3849" s="102"/>
      <c r="E3849" s="149"/>
      <c r="F3849" s="149"/>
      <c r="G3849" s="149"/>
      <c r="H3849" s="149"/>
      <c r="I3849" s="149"/>
      <c r="J3849" s="149"/>
      <c r="K3849" s="149"/>
      <c r="L3849" s="149"/>
      <c r="M3849" s="149"/>
      <c r="N3849" s="149"/>
      <c r="O3849" s="149"/>
      <c r="P3849" s="149"/>
      <c r="Q3849" s="149"/>
      <c r="R3849" s="149"/>
      <c r="S3849" s="149"/>
      <c r="T3849" s="149"/>
      <c r="U3849" s="149"/>
      <c r="V3849" s="149"/>
      <c r="W3849" s="149"/>
      <c r="X3849" s="149"/>
      <c r="Y3849" s="149"/>
      <c r="Z3849" s="149"/>
      <c r="AA3849" s="149"/>
      <c r="AB3849" s="149"/>
      <c r="AC3849" s="149"/>
      <c r="AD3849" s="149"/>
      <c r="AE3849" s="149"/>
      <c r="AF3849" s="149"/>
      <c r="AG3849" s="149"/>
      <c r="AH3849" s="149"/>
      <c r="AI3849" s="149"/>
      <c r="AJ3849" s="149"/>
      <c r="AK3849" s="149"/>
      <c r="AL3849" s="149"/>
      <c r="AM3849" s="149"/>
      <c r="AN3849" s="149"/>
      <c r="AO3849" s="128"/>
      <c r="AP3849" s="128"/>
      <c r="AQ3849" s="128"/>
      <c r="AR3849" s="128"/>
      <c r="AS3849" s="128"/>
      <c r="AT3849" s="128"/>
      <c r="AU3849" s="128"/>
      <c r="AV3849" s="128"/>
      <c r="AW3849" s="128"/>
      <c r="AX3849" s="128"/>
      <c r="AY3849" s="128"/>
      <c r="AZ3849" s="128"/>
      <c r="BA3849" s="128"/>
      <c r="BB3849" s="128"/>
      <c r="BC3849" s="128"/>
      <c r="BD3849" s="128"/>
      <c r="BE3849" s="128"/>
      <c r="BF3849" s="128"/>
      <c r="BG3849" s="128"/>
      <c r="BH3849" s="128"/>
      <c r="BI3849" s="128"/>
      <c r="BJ3849" s="128"/>
      <c r="BK3849" s="128"/>
      <c r="BL3849" s="128"/>
      <c r="BM3849" s="151"/>
      <c r="BN3849" s="128"/>
      <c r="BO3849" s="128"/>
      <c r="BP3849" s="128"/>
      <c r="BQ3849" s="128"/>
      <c r="BR3849" s="128"/>
      <c r="BS3849" s="128"/>
      <c r="BT3849" s="128"/>
      <c r="BU3849" s="128"/>
      <c r="BV3849" s="128"/>
      <c r="BW3849" s="128"/>
      <c r="BX3849" s="128"/>
      <c r="BY3849" s="128"/>
      <c r="BZ3849" s="128"/>
      <c r="CA3849" s="128"/>
      <c r="CB3849" s="128"/>
      <c r="CC3849" s="128"/>
      <c r="CD3849" s="128"/>
      <c r="CE3849" s="128"/>
      <c r="CF3849" s="128"/>
      <c r="CG3849" s="128"/>
      <c r="CI3849" s="128"/>
      <c r="CJ3849" s="128"/>
      <c r="CK3849" s="128"/>
      <c r="CL3849" s="128"/>
      <c r="CM3849" s="128"/>
      <c r="CN3849" s="128"/>
      <c r="CO3849" s="128"/>
      <c r="CP3849" s="128"/>
      <c r="CQ3849" s="128"/>
      <c r="CR3849" s="128"/>
      <c r="CS3849" s="128"/>
      <c r="CT3849" s="128"/>
      <c r="CU3849" s="128"/>
      <c r="CV3849" s="128"/>
      <c r="CW3849" s="128"/>
      <c r="CX3849" s="128"/>
      <c r="CY3849" s="128"/>
      <c r="CZ3849" s="165"/>
    </row>
    <row r="3850" spans="1:104">
      <c r="A3850" s="149"/>
      <c r="B3850" s="149"/>
      <c r="C3850" s="150"/>
      <c r="D3850" s="102"/>
      <c r="E3850" s="149"/>
      <c r="F3850" s="149"/>
      <c r="G3850" s="149"/>
      <c r="H3850" s="149"/>
      <c r="I3850" s="149"/>
      <c r="J3850" s="149"/>
      <c r="K3850" s="149"/>
      <c r="L3850" s="149"/>
      <c r="M3850" s="149"/>
      <c r="N3850" s="149"/>
      <c r="O3850" s="149"/>
      <c r="P3850" s="149"/>
      <c r="Q3850" s="149"/>
      <c r="R3850" s="149"/>
      <c r="S3850" s="149"/>
      <c r="T3850" s="149"/>
      <c r="U3850" s="149"/>
      <c r="V3850" s="149"/>
      <c r="W3850" s="149"/>
      <c r="X3850" s="149"/>
      <c r="Y3850" s="149"/>
      <c r="Z3850" s="149"/>
      <c r="AA3850" s="149"/>
      <c r="AB3850" s="149"/>
      <c r="AC3850" s="149"/>
      <c r="AD3850" s="149"/>
      <c r="AE3850" s="149"/>
      <c r="AF3850" s="149"/>
      <c r="AG3850" s="149"/>
      <c r="AH3850" s="149"/>
      <c r="AI3850" s="149"/>
      <c r="AJ3850" s="149"/>
      <c r="AK3850" s="149"/>
      <c r="AL3850" s="149"/>
      <c r="AM3850" s="149"/>
      <c r="AN3850" s="149"/>
      <c r="AO3850" s="128"/>
      <c r="AP3850" s="128"/>
      <c r="AQ3850" s="128"/>
      <c r="AR3850" s="128"/>
      <c r="AS3850" s="128"/>
      <c r="AT3850" s="128"/>
      <c r="AU3850" s="128"/>
      <c r="AV3850" s="128"/>
      <c r="AW3850" s="128"/>
      <c r="AX3850" s="128"/>
      <c r="AY3850" s="128"/>
      <c r="AZ3850" s="128"/>
      <c r="BA3850" s="128"/>
      <c r="BB3850" s="128"/>
      <c r="BC3850" s="128"/>
      <c r="BD3850" s="128"/>
      <c r="BE3850" s="128"/>
      <c r="BF3850" s="128"/>
      <c r="BG3850" s="128"/>
      <c r="BH3850" s="128"/>
      <c r="BI3850" s="128"/>
      <c r="BJ3850" s="128"/>
      <c r="BK3850" s="128"/>
      <c r="BL3850" s="128"/>
      <c r="BM3850" s="151"/>
      <c r="BN3850" s="128"/>
      <c r="BO3850" s="128"/>
      <c r="BP3850" s="128"/>
      <c r="BQ3850" s="128"/>
      <c r="BR3850" s="128"/>
      <c r="BS3850" s="128"/>
      <c r="BT3850" s="128"/>
      <c r="BU3850" s="128"/>
      <c r="BV3850" s="128"/>
      <c r="BW3850" s="128"/>
      <c r="BX3850" s="128"/>
      <c r="BY3850" s="128"/>
      <c r="BZ3850" s="128"/>
      <c r="CA3850" s="128"/>
      <c r="CB3850" s="128"/>
      <c r="CC3850" s="128"/>
      <c r="CD3850" s="128"/>
      <c r="CE3850" s="128"/>
      <c r="CF3850" s="128"/>
      <c r="CG3850" s="128"/>
      <c r="CI3850" s="128"/>
      <c r="CJ3850" s="128"/>
      <c r="CK3850" s="128"/>
      <c r="CL3850" s="128"/>
      <c r="CM3850" s="128"/>
      <c r="CN3850" s="128"/>
      <c r="CO3850" s="128"/>
      <c r="CP3850" s="128"/>
      <c r="CQ3850" s="128"/>
      <c r="CR3850" s="128"/>
      <c r="CS3850" s="128"/>
      <c r="CT3850" s="128"/>
      <c r="CU3850" s="128"/>
      <c r="CV3850" s="128"/>
      <c r="CW3850" s="128"/>
      <c r="CX3850" s="128"/>
      <c r="CY3850" s="128"/>
      <c r="CZ3850" s="165"/>
    </row>
    <row r="3851" spans="1:104">
      <c r="A3851" s="149"/>
      <c r="B3851" s="149"/>
      <c r="C3851" s="150"/>
      <c r="D3851" s="102"/>
      <c r="E3851" s="149"/>
      <c r="F3851" s="149"/>
      <c r="G3851" s="149"/>
      <c r="H3851" s="149"/>
      <c r="I3851" s="149"/>
      <c r="J3851" s="149"/>
      <c r="K3851" s="149"/>
      <c r="L3851" s="149"/>
      <c r="M3851" s="149"/>
      <c r="N3851" s="149"/>
      <c r="O3851" s="149"/>
      <c r="P3851" s="149"/>
      <c r="Q3851" s="149"/>
      <c r="R3851" s="149"/>
      <c r="S3851" s="149"/>
      <c r="T3851" s="149"/>
      <c r="U3851" s="149"/>
      <c r="V3851" s="149"/>
      <c r="W3851" s="149"/>
      <c r="X3851" s="149"/>
      <c r="Y3851" s="149"/>
      <c r="Z3851" s="149"/>
      <c r="AA3851" s="149"/>
      <c r="AB3851" s="149"/>
      <c r="AC3851" s="149"/>
      <c r="AD3851" s="149"/>
      <c r="AE3851" s="149"/>
      <c r="AF3851" s="149"/>
      <c r="AG3851" s="149"/>
      <c r="AH3851" s="149"/>
      <c r="AI3851" s="149"/>
      <c r="AJ3851" s="149"/>
      <c r="AK3851" s="149"/>
      <c r="AL3851" s="149"/>
      <c r="AM3851" s="149"/>
      <c r="AN3851" s="149"/>
      <c r="AO3851" s="128"/>
      <c r="AP3851" s="128"/>
      <c r="AQ3851" s="128"/>
      <c r="AR3851" s="128"/>
      <c r="AS3851" s="128"/>
      <c r="AT3851" s="128"/>
      <c r="AU3851" s="128"/>
      <c r="AV3851" s="128"/>
      <c r="AW3851" s="128"/>
      <c r="AX3851" s="128"/>
      <c r="AY3851" s="128"/>
      <c r="AZ3851" s="128"/>
      <c r="BA3851" s="128"/>
      <c r="BB3851" s="128"/>
      <c r="BC3851" s="128"/>
      <c r="BD3851" s="128"/>
      <c r="BE3851" s="128"/>
      <c r="BF3851" s="128"/>
      <c r="BG3851" s="128"/>
      <c r="BH3851" s="128"/>
      <c r="BI3851" s="128"/>
      <c r="BJ3851" s="128"/>
      <c r="BK3851" s="128"/>
      <c r="BL3851" s="128"/>
      <c r="BM3851" s="151"/>
      <c r="BN3851" s="128"/>
      <c r="BO3851" s="128"/>
      <c r="BP3851" s="128"/>
      <c r="BQ3851" s="128"/>
      <c r="BR3851" s="128"/>
      <c r="BS3851" s="128"/>
      <c r="BT3851" s="128"/>
      <c r="BU3851" s="128"/>
      <c r="BV3851" s="128"/>
      <c r="BW3851" s="128"/>
      <c r="BX3851" s="128"/>
      <c r="BY3851" s="128"/>
      <c r="BZ3851" s="128"/>
      <c r="CA3851" s="128"/>
      <c r="CB3851" s="128"/>
      <c r="CC3851" s="128"/>
      <c r="CD3851" s="128"/>
      <c r="CE3851" s="128"/>
      <c r="CF3851" s="128"/>
      <c r="CG3851" s="128"/>
      <c r="CI3851" s="128"/>
      <c r="CJ3851" s="128"/>
      <c r="CK3851" s="128"/>
      <c r="CL3851" s="128"/>
      <c r="CM3851" s="128"/>
      <c r="CN3851" s="128"/>
      <c r="CO3851" s="128"/>
      <c r="CP3851" s="128"/>
      <c r="CQ3851" s="128"/>
      <c r="CR3851" s="128"/>
      <c r="CS3851" s="128"/>
      <c r="CT3851" s="128"/>
      <c r="CU3851" s="128"/>
      <c r="CV3851" s="128"/>
      <c r="CW3851" s="128"/>
      <c r="CX3851" s="128"/>
      <c r="CY3851" s="128"/>
      <c r="CZ3851" s="165"/>
    </row>
    <row r="3852" spans="1:104">
      <c r="A3852" s="149"/>
      <c r="B3852" s="149"/>
      <c r="C3852" s="150"/>
      <c r="D3852" s="102"/>
      <c r="E3852" s="149"/>
      <c r="F3852" s="149"/>
      <c r="G3852" s="149"/>
      <c r="H3852" s="149"/>
      <c r="I3852" s="149"/>
      <c r="J3852" s="149"/>
      <c r="K3852" s="149"/>
      <c r="L3852" s="149"/>
      <c r="M3852" s="149"/>
      <c r="N3852" s="149"/>
      <c r="O3852" s="149"/>
      <c r="P3852" s="149"/>
      <c r="Q3852" s="149"/>
      <c r="R3852" s="149"/>
      <c r="S3852" s="149"/>
      <c r="T3852" s="149"/>
      <c r="U3852" s="149"/>
      <c r="V3852" s="149"/>
      <c r="W3852" s="149"/>
      <c r="X3852" s="149"/>
      <c r="Y3852" s="149"/>
      <c r="Z3852" s="149"/>
      <c r="AA3852" s="149"/>
      <c r="AB3852" s="149"/>
      <c r="AC3852" s="149"/>
      <c r="AD3852" s="149"/>
      <c r="AE3852" s="149"/>
      <c r="AF3852" s="149"/>
      <c r="AG3852" s="149"/>
      <c r="AH3852" s="149"/>
      <c r="AI3852" s="149"/>
      <c r="AJ3852" s="149"/>
      <c r="AK3852" s="149"/>
      <c r="AL3852" s="149"/>
      <c r="AM3852" s="149"/>
      <c r="AN3852" s="149"/>
      <c r="AO3852" s="128"/>
      <c r="AP3852" s="128"/>
      <c r="AQ3852" s="128"/>
      <c r="AR3852" s="128"/>
      <c r="AS3852" s="128"/>
      <c r="AT3852" s="128"/>
      <c r="AU3852" s="128"/>
      <c r="AV3852" s="128"/>
      <c r="AW3852" s="128"/>
      <c r="AX3852" s="128"/>
      <c r="AY3852" s="128"/>
      <c r="AZ3852" s="128"/>
      <c r="BA3852" s="128"/>
      <c r="BB3852" s="128"/>
      <c r="BC3852" s="128"/>
      <c r="BD3852" s="128"/>
      <c r="BE3852" s="128"/>
      <c r="BF3852" s="128"/>
      <c r="BG3852" s="128"/>
      <c r="BH3852" s="128"/>
      <c r="BI3852" s="128"/>
      <c r="BJ3852" s="128"/>
      <c r="BK3852" s="128"/>
      <c r="BL3852" s="128"/>
      <c r="BM3852" s="151"/>
      <c r="BN3852" s="128"/>
      <c r="BO3852" s="128"/>
      <c r="BP3852" s="128"/>
      <c r="BQ3852" s="128"/>
      <c r="BR3852" s="128"/>
      <c r="BS3852" s="128"/>
      <c r="BT3852" s="128"/>
      <c r="BU3852" s="128"/>
      <c r="BV3852" s="128"/>
      <c r="BW3852" s="128"/>
      <c r="BX3852" s="128"/>
      <c r="BY3852" s="128"/>
      <c r="BZ3852" s="128"/>
      <c r="CA3852" s="128"/>
      <c r="CB3852" s="128"/>
      <c r="CC3852" s="128"/>
      <c r="CD3852" s="128"/>
      <c r="CE3852" s="128"/>
      <c r="CF3852" s="128"/>
      <c r="CG3852" s="128"/>
      <c r="CI3852" s="128"/>
      <c r="CJ3852" s="128"/>
      <c r="CK3852" s="128"/>
      <c r="CL3852" s="128"/>
      <c r="CM3852" s="128"/>
      <c r="CN3852" s="128"/>
      <c r="CO3852" s="128"/>
      <c r="CP3852" s="128"/>
      <c r="CQ3852" s="128"/>
      <c r="CR3852" s="128"/>
      <c r="CS3852" s="128"/>
      <c r="CT3852" s="128"/>
      <c r="CU3852" s="128"/>
      <c r="CV3852" s="128"/>
      <c r="CW3852" s="128"/>
      <c r="CX3852" s="128"/>
      <c r="CY3852" s="128"/>
      <c r="CZ3852" s="165"/>
    </row>
    <row r="3853" spans="1:104">
      <c r="A3853" s="149"/>
      <c r="B3853" s="149"/>
      <c r="C3853" s="150"/>
      <c r="D3853" s="102"/>
      <c r="E3853" s="149"/>
      <c r="F3853" s="149"/>
      <c r="G3853" s="149"/>
      <c r="H3853" s="149"/>
      <c r="I3853" s="149"/>
      <c r="J3853" s="149"/>
      <c r="K3853" s="149"/>
      <c r="L3853" s="149"/>
      <c r="M3853" s="149"/>
      <c r="N3853" s="149"/>
      <c r="O3853" s="149"/>
      <c r="P3853" s="149"/>
      <c r="Q3853" s="149"/>
      <c r="R3853" s="149"/>
      <c r="S3853" s="149"/>
      <c r="T3853" s="149"/>
      <c r="U3853" s="149"/>
      <c r="V3853" s="149"/>
      <c r="W3853" s="149"/>
      <c r="X3853" s="149"/>
      <c r="Y3853" s="149"/>
      <c r="Z3853" s="149"/>
      <c r="AA3853" s="149"/>
      <c r="AB3853" s="149"/>
      <c r="AC3853" s="149"/>
      <c r="AD3853" s="149"/>
      <c r="AE3853" s="149"/>
      <c r="AF3853" s="149"/>
      <c r="AG3853" s="149"/>
      <c r="AH3853" s="149"/>
      <c r="AI3853" s="149"/>
      <c r="AJ3853" s="149"/>
      <c r="AK3853" s="149"/>
      <c r="AL3853" s="149"/>
      <c r="AM3853" s="149"/>
      <c r="AN3853" s="149"/>
      <c r="AO3853" s="128"/>
      <c r="AP3853" s="128"/>
      <c r="AQ3853" s="128"/>
      <c r="AR3853" s="128"/>
      <c r="AS3853" s="128"/>
      <c r="AT3853" s="128"/>
      <c r="AU3853" s="128"/>
      <c r="AV3853" s="128"/>
      <c r="AW3853" s="128"/>
      <c r="AX3853" s="128"/>
      <c r="AY3853" s="128"/>
      <c r="AZ3853" s="128"/>
      <c r="BA3853" s="128"/>
      <c r="BB3853" s="128"/>
      <c r="BC3853" s="128"/>
      <c r="BD3853" s="128"/>
      <c r="BE3853" s="128"/>
      <c r="BF3853" s="128"/>
      <c r="BG3853" s="128"/>
      <c r="BH3853" s="128"/>
      <c r="BI3853" s="128"/>
      <c r="BJ3853" s="128"/>
      <c r="BK3853" s="128"/>
      <c r="BL3853" s="128"/>
      <c r="BM3853" s="151"/>
      <c r="BN3853" s="128"/>
      <c r="BO3853" s="128"/>
      <c r="BP3853" s="128"/>
      <c r="BQ3853" s="128"/>
      <c r="BR3853" s="128"/>
      <c r="BS3853" s="128"/>
      <c r="BT3853" s="128"/>
      <c r="BU3853" s="128"/>
      <c r="BV3853" s="128"/>
      <c r="BW3853" s="128"/>
      <c r="BX3853" s="128"/>
      <c r="BY3853" s="128"/>
      <c r="BZ3853" s="128"/>
      <c r="CA3853" s="128"/>
      <c r="CB3853" s="128"/>
      <c r="CC3853" s="128"/>
      <c r="CD3853" s="128"/>
      <c r="CE3853" s="128"/>
      <c r="CF3853" s="128"/>
      <c r="CG3853" s="128"/>
      <c r="CI3853" s="128"/>
      <c r="CJ3853" s="128"/>
      <c r="CK3853" s="128"/>
      <c r="CL3853" s="128"/>
      <c r="CM3853" s="128"/>
      <c r="CN3853" s="128"/>
      <c r="CO3853" s="128"/>
      <c r="CP3853" s="128"/>
      <c r="CQ3853" s="128"/>
      <c r="CR3853" s="128"/>
      <c r="CS3853" s="128"/>
      <c r="CT3853" s="128"/>
      <c r="CU3853" s="128"/>
      <c r="CV3853" s="128"/>
      <c r="CW3853" s="128"/>
      <c r="CX3853" s="128"/>
      <c r="CY3853" s="128"/>
      <c r="CZ3853" s="165"/>
    </row>
    <row r="3854" spans="1:104">
      <c r="A3854" s="149"/>
      <c r="B3854" s="149"/>
      <c r="C3854" s="150"/>
      <c r="D3854" s="102"/>
      <c r="E3854" s="149"/>
      <c r="F3854" s="149"/>
      <c r="G3854" s="149"/>
      <c r="H3854" s="149"/>
      <c r="I3854" s="149"/>
      <c r="J3854" s="149"/>
      <c r="K3854" s="149"/>
      <c r="L3854" s="149"/>
      <c r="M3854" s="149"/>
      <c r="N3854" s="149"/>
      <c r="O3854" s="149"/>
      <c r="P3854" s="149"/>
      <c r="Q3854" s="149"/>
      <c r="R3854" s="149"/>
      <c r="S3854" s="149"/>
      <c r="T3854" s="149"/>
      <c r="U3854" s="149"/>
      <c r="V3854" s="149"/>
      <c r="W3854" s="149"/>
      <c r="X3854" s="149"/>
      <c r="Y3854" s="149"/>
      <c r="Z3854" s="149"/>
      <c r="AA3854" s="149"/>
      <c r="AB3854" s="149"/>
      <c r="AC3854" s="149"/>
      <c r="AD3854" s="149"/>
      <c r="AE3854" s="149"/>
      <c r="AF3854" s="149"/>
      <c r="AG3854" s="149"/>
      <c r="AH3854" s="149"/>
      <c r="AI3854" s="149"/>
      <c r="AJ3854" s="149"/>
      <c r="AK3854" s="149"/>
      <c r="AL3854" s="149"/>
      <c r="AM3854" s="149"/>
      <c r="AN3854" s="149"/>
      <c r="AO3854" s="128"/>
      <c r="AP3854" s="128"/>
      <c r="AQ3854" s="128"/>
      <c r="AR3854" s="128"/>
      <c r="AS3854" s="128"/>
      <c r="AT3854" s="128"/>
      <c r="AU3854" s="128"/>
      <c r="AV3854" s="128"/>
      <c r="AW3854" s="128"/>
      <c r="AX3854" s="128"/>
      <c r="AY3854" s="128"/>
      <c r="AZ3854" s="128"/>
      <c r="BA3854" s="128"/>
      <c r="BB3854" s="128"/>
      <c r="BC3854" s="128"/>
      <c r="BD3854" s="128"/>
      <c r="BE3854" s="128"/>
      <c r="BF3854" s="128"/>
      <c r="BG3854" s="128"/>
      <c r="BH3854" s="128"/>
      <c r="BI3854" s="128"/>
      <c r="BJ3854" s="128"/>
      <c r="BK3854" s="128"/>
      <c r="BL3854" s="128"/>
      <c r="BM3854" s="151"/>
      <c r="BN3854" s="128"/>
      <c r="BO3854" s="128"/>
      <c r="BP3854" s="128"/>
      <c r="BQ3854" s="128"/>
      <c r="BR3854" s="128"/>
      <c r="BS3854" s="128"/>
      <c r="BT3854" s="128"/>
      <c r="BU3854" s="128"/>
      <c r="BV3854" s="128"/>
      <c r="BW3854" s="128"/>
      <c r="BX3854" s="128"/>
      <c r="BY3854" s="128"/>
      <c r="BZ3854" s="128"/>
      <c r="CA3854" s="128"/>
      <c r="CB3854" s="128"/>
      <c r="CC3854" s="128"/>
      <c r="CD3854" s="128"/>
      <c r="CE3854" s="128"/>
      <c r="CF3854" s="128"/>
      <c r="CG3854" s="128"/>
      <c r="CI3854" s="128"/>
      <c r="CJ3854" s="128"/>
      <c r="CK3854" s="128"/>
      <c r="CL3854" s="128"/>
      <c r="CM3854" s="128"/>
      <c r="CN3854" s="128"/>
      <c r="CO3854" s="128"/>
      <c r="CP3854" s="128"/>
      <c r="CQ3854" s="128"/>
      <c r="CR3854" s="128"/>
      <c r="CS3854" s="128"/>
      <c r="CT3854" s="128"/>
      <c r="CU3854" s="128"/>
      <c r="CV3854" s="128"/>
      <c r="CW3854" s="128"/>
      <c r="CX3854" s="128"/>
      <c r="CY3854" s="128"/>
      <c r="CZ3854" s="165"/>
    </row>
    <row r="3855" spans="1:104">
      <c r="A3855" s="149"/>
      <c r="B3855" s="149"/>
      <c r="C3855" s="150"/>
      <c r="D3855" s="102"/>
      <c r="E3855" s="149"/>
      <c r="F3855" s="149"/>
      <c r="G3855" s="149"/>
      <c r="H3855" s="149"/>
      <c r="I3855" s="149"/>
      <c r="J3855" s="149"/>
      <c r="K3855" s="149"/>
      <c r="L3855" s="149"/>
      <c r="M3855" s="149"/>
      <c r="N3855" s="149"/>
      <c r="O3855" s="149"/>
      <c r="P3855" s="149"/>
      <c r="Q3855" s="149"/>
      <c r="R3855" s="149"/>
      <c r="S3855" s="149"/>
      <c r="T3855" s="149"/>
      <c r="U3855" s="149"/>
      <c r="V3855" s="149"/>
      <c r="W3855" s="149"/>
      <c r="X3855" s="149"/>
      <c r="Y3855" s="149"/>
      <c r="Z3855" s="149"/>
      <c r="AA3855" s="149"/>
      <c r="AB3855" s="149"/>
      <c r="AC3855" s="149"/>
      <c r="AD3855" s="149"/>
      <c r="AE3855" s="149"/>
      <c r="AF3855" s="149"/>
      <c r="AG3855" s="149"/>
      <c r="AH3855" s="149"/>
      <c r="AI3855" s="149"/>
      <c r="AJ3855" s="149"/>
      <c r="AK3855" s="149"/>
      <c r="AL3855" s="149"/>
      <c r="AM3855" s="149"/>
      <c r="AN3855" s="149"/>
      <c r="AO3855" s="128"/>
      <c r="AP3855" s="128"/>
      <c r="AQ3855" s="128"/>
      <c r="AR3855" s="128"/>
      <c r="AS3855" s="128"/>
      <c r="AT3855" s="128"/>
      <c r="AU3855" s="128"/>
      <c r="AV3855" s="128"/>
      <c r="AW3855" s="128"/>
      <c r="AX3855" s="128"/>
      <c r="AY3855" s="128"/>
      <c r="AZ3855" s="128"/>
      <c r="BA3855" s="128"/>
      <c r="BB3855" s="128"/>
      <c r="BC3855" s="128"/>
      <c r="BD3855" s="128"/>
      <c r="BE3855" s="128"/>
      <c r="BF3855" s="128"/>
      <c r="BG3855" s="128"/>
      <c r="BH3855" s="128"/>
      <c r="BI3855" s="128"/>
      <c r="BJ3855" s="128"/>
      <c r="BK3855" s="128"/>
      <c r="BL3855" s="128"/>
      <c r="BM3855" s="151"/>
      <c r="BN3855" s="128"/>
      <c r="BO3855" s="128"/>
      <c r="BP3855" s="128"/>
      <c r="BQ3855" s="128"/>
      <c r="BR3855" s="128"/>
      <c r="BS3855" s="128"/>
      <c r="BT3855" s="128"/>
      <c r="BU3855" s="128"/>
      <c r="BV3855" s="128"/>
      <c r="BW3855" s="128"/>
      <c r="BX3855" s="128"/>
      <c r="BY3855" s="128"/>
      <c r="BZ3855" s="128"/>
      <c r="CA3855" s="128"/>
      <c r="CB3855" s="128"/>
      <c r="CC3855" s="128"/>
      <c r="CD3855" s="128"/>
      <c r="CE3855" s="128"/>
      <c r="CF3855" s="128"/>
      <c r="CG3855" s="128"/>
      <c r="CI3855" s="128"/>
      <c r="CJ3855" s="128"/>
      <c r="CK3855" s="128"/>
      <c r="CL3855" s="128"/>
      <c r="CM3855" s="128"/>
      <c r="CN3855" s="128"/>
      <c r="CO3855" s="128"/>
      <c r="CP3855" s="128"/>
      <c r="CQ3855" s="128"/>
      <c r="CR3855" s="128"/>
      <c r="CS3855" s="128"/>
      <c r="CT3855" s="128"/>
      <c r="CU3855" s="128"/>
      <c r="CV3855" s="128"/>
      <c r="CW3855" s="128"/>
      <c r="CX3855" s="128"/>
      <c r="CY3855" s="128"/>
      <c r="CZ3855" s="165"/>
    </row>
    <row r="3856" spans="1:104">
      <c r="A3856" s="149"/>
      <c r="B3856" s="149"/>
      <c r="C3856" s="150"/>
      <c r="D3856" s="102"/>
      <c r="E3856" s="149"/>
      <c r="F3856" s="149"/>
      <c r="G3856" s="149"/>
      <c r="H3856" s="149"/>
      <c r="I3856" s="149"/>
      <c r="J3856" s="149"/>
      <c r="K3856" s="149"/>
      <c r="L3856" s="149"/>
      <c r="M3856" s="149"/>
      <c r="N3856" s="149"/>
      <c r="O3856" s="149"/>
      <c r="P3856" s="149"/>
      <c r="Q3856" s="149"/>
      <c r="R3856" s="149"/>
      <c r="S3856" s="149"/>
      <c r="T3856" s="149"/>
      <c r="U3856" s="149"/>
      <c r="V3856" s="149"/>
      <c r="W3856" s="149"/>
      <c r="X3856" s="149"/>
      <c r="Y3856" s="149"/>
      <c r="Z3856" s="149"/>
      <c r="AA3856" s="149"/>
      <c r="AB3856" s="149"/>
      <c r="AC3856" s="149"/>
      <c r="AD3856" s="149"/>
      <c r="AE3856" s="149"/>
      <c r="AF3856" s="149"/>
      <c r="AG3856" s="149"/>
      <c r="AH3856" s="149"/>
      <c r="AI3856" s="149"/>
      <c r="AJ3856" s="149"/>
      <c r="AK3856" s="149"/>
      <c r="AL3856" s="149"/>
      <c r="AM3856" s="149"/>
      <c r="AN3856" s="149"/>
      <c r="AO3856" s="128"/>
      <c r="AP3856" s="128"/>
      <c r="AQ3856" s="128"/>
      <c r="AR3856" s="128"/>
      <c r="AS3856" s="128"/>
      <c r="AT3856" s="128"/>
      <c r="AU3856" s="128"/>
      <c r="AV3856" s="128"/>
      <c r="AW3856" s="128"/>
      <c r="AX3856" s="128"/>
      <c r="AY3856" s="128"/>
      <c r="AZ3856" s="128"/>
      <c r="BA3856" s="128"/>
      <c r="BB3856" s="128"/>
      <c r="BC3856" s="128"/>
      <c r="BD3856" s="128"/>
      <c r="BE3856" s="128"/>
      <c r="BF3856" s="128"/>
      <c r="BG3856" s="128"/>
      <c r="BH3856" s="128"/>
      <c r="BI3856" s="128"/>
      <c r="BJ3856" s="128"/>
      <c r="BK3856" s="128"/>
      <c r="BL3856" s="128"/>
      <c r="BM3856" s="151"/>
      <c r="BN3856" s="128"/>
      <c r="BO3856" s="128"/>
      <c r="BP3856" s="128"/>
      <c r="BQ3856" s="128"/>
      <c r="BR3856" s="128"/>
      <c r="BS3856" s="128"/>
      <c r="BT3856" s="128"/>
      <c r="BU3856" s="128"/>
      <c r="BV3856" s="128"/>
      <c r="BW3856" s="128"/>
      <c r="BX3856" s="128"/>
      <c r="BY3856" s="128"/>
      <c r="BZ3856" s="128"/>
      <c r="CA3856" s="128"/>
      <c r="CB3856" s="128"/>
      <c r="CC3856" s="128"/>
      <c r="CD3856" s="128"/>
      <c r="CE3856" s="128"/>
      <c r="CF3856" s="128"/>
      <c r="CG3856" s="128"/>
      <c r="CI3856" s="128"/>
      <c r="CJ3856" s="128"/>
      <c r="CK3856" s="128"/>
      <c r="CL3856" s="128"/>
      <c r="CM3856" s="128"/>
      <c r="CN3856" s="128"/>
      <c r="CO3856" s="128"/>
      <c r="CP3856" s="128"/>
      <c r="CQ3856" s="128"/>
      <c r="CR3856" s="128"/>
      <c r="CS3856" s="128"/>
      <c r="CT3856" s="128"/>
      <c r="CU3856" s="128"/>
      <c r="CV3856" s="128"/>
      <c r="CW3856" s="128"/>
      <c r="CX3856" s="128"/>
      <c r="CY3856" s="128"/>
      <c r="CZ3856" s="165"/>
    </row>
    <row r="3857" spans="1:104">
      <c r="A3857" s="149"/>
      <c r="B3857" s="149"/>
      <c r="C3857" s="150"/>
      <c r="D3857" s="102"/>
      <c r="E3857" s="149"/>
      <c r="F3857" s="149"/>
      <c r="G3857" s="149"/>
      <c r="H3857" s="149"/>
      <c r="I3857" s="149"/>
      <c r="J3857" s="149"/>
      <c r="K3857" s="149"/>
      <c r="L3857" s="149"/>
      <c r="M3857" s="149"/>
      <c r="N3857" s="149"/>
      <c r="O3857" s="149"/>
      <c r="P3857" s="149"/>
      <c r="Q3857" s="149"/>
      <c r="R3857" s="149"/>
      <c r="S3857" s="149"/>
      <c r="T3857" s="149"/>
      <c r="U3857" s="149"/>
      <c r="V3857" s="149"/>
      <c r="W3857" s="149"/>
      <c r="X3857" s="149"/>
      <c r="Y3857" s="149"/>
      <c r="Z3857" s="149"/>
      <c r="AA3857" s="149"/>
      <c r="AB3857" s="149"/>
      <c r="AC3857" s="149"/>
      <c r="AD3857" s="149"/>
      <c r="AE3857" s="149"/>
      <c r="AF3857" s="149"/>
      <c r="AG3857" s="149"/>
      <c r="AH3857" s="149"/>
      <c r="AI3857" s="149"/>
      <c r="AJ3857" s="149"/>
      <c r="AK3857" s="149"/>
      <c r="AL3857" s="149"/>
      <c r="AM3857" s="149"/>
      <c r="AN3857" s="149"/>
      <c r="AO3857" s="128"/>
      <c r="AP3857" s="128"/>
      <c r="AQ3857" s="128"/>
      <c r="AR3857" s="128"/>
      <c r="AS3857" s="128"/>
      <c r="AT3857" s="128"/>
      <c r="AU3857" s="128"/>
      <c r="AV3857" s="128"/>
      <c r="AW3857" s="128"/>
      <c r="AX3857" s="128"/>
      <c r="AY3857" s="128"/>
      <c r="AZ3857" s="128"/>
      <c r="BA3857" s="128"/>
      <c r="BB3857" s="128"/>
      <c r="BC3857" s="128"/>
      <c r="BD3857" s="128"/>
      <c r="BE3857" s="128"/>
      <c r="BF3857" s="128"/>
      <c r="BG3857" s="128"/>
      <c r="BH3857" s="128"/>
      <c r="BI3857" s="128"/>
      <c r="BJ3857" s="128"/>
      <c r="BK3857" s="128"/>
      <c r="BL3857" s="128"/>
      <c r="BM3857" s="151"/>
      <c r="BN3857" s="128"/>
      <c r="BO3857" s="128"/>
      <c r="BP3857" s="128"/>
      <c r="BQ3857" s="128"/>
      <c r="BR3857" s="128"/>
      <c r="BS3857" s="128"/>
      <c r="BT3857" s="128"/>
      <c r="BU3857" s="128"/>
      <c r="BV3857" s="128"/>
      <c r="BW3857" s="128"/>
      <c r="BX3857" s="128"/>
      <c r="BY3857" s="128"/>
      <c r="BZ3857" s="128"/>
      <c r="CA3857" s="128"/>
      <c r="CB3857" s="128"/>
      <c r="CC3857" s="128"/>
      <c r="CD3857" s="128"/>
      <c r="CE3857" s="128"/>
      <c r="CF3857" s="128"/>
      <c r="CG3857" s="128"/>
      <c r="CI3857" s="128"/>
      <c r="CJ3857" s="128"/>
      <c r="CK3857" s="128"/>
      <c r="CL3857" s="128"/>
      <c r="CM3857" s="128"/>
      <c r="CN3857" s="128"/>
      <c r="CO3857" s="128"/>
      <c r="CP3857" s="128"/>
      <c r="CQ3857" s="128"/>
      <c r="CR3857" s="128"/>
      <c r="CS3857" s="128"/>
      <c r="CT3857" s="128"/>
      <c r="CU3857" s="128"/>
      <c r="CV3857" s="128"/>
      <c r="CW3857" s="128"/>
      <c r="CX3857" s="128"/>
      <c r="CY3857" s="128"/>
      <c r="CZ3857" s="165"/>
    </row>
    <row r="3858" spans="1:104">
      <c r="A3858" s="149"/>
      <c r="B3858" s="149"/>
      <c r="C3858" s="150"/>
      <c r="D3858" s="102"/>
      <c r="E3858" s="149"/>
      <c r="F3858" s="149"/>
      <c r="G3858" s="149"/>
      <c r="H3858" s="149"/>
      <c r="I3858" s="149"/>
      <c r="J3858" s="149"/>
      <c r="K3858" s="149"/>
      <c r="L3858" s="149"/>
      <c r="M3858" s="149"/>
      <c r="N3858" s="149"/>
      <c r="O3858" s="149"/>
      <c r="P3858" s="149"/>
      <c r="Q3858" s="149"/>
      <c r="R3858" s="149"/>
      <c r="S3858" s="149"/>
      <c r="T3858" s="149"/>
      <c r="U3858" s="149"/>
      <c r="V3858" s="149"/>
      <c r="W3858" s="149"/>
      <c r="X3858" s="149"/>
      <c r="Y3858" s="149"/>
      <c r="Z3858" s="149"/>
      <c r="AA3858" s="149"/>
      <c r="AB3858" s="149"/>
      <c r="AC3858" s="149"/>
      <c r="AD3858" s="149"/>
      <c r="AE3858" s="149"/>
      <c r="AF3858" s="149"/>
      <c r="AG3858" s="149"/>
      <c r="AH3858" s="149"/>
      <c r="AI3858" s="149"/>
      <c r="AJ3858" s="149"/>
      <c r="AK3858" s="149"/>
      <c r="AL3858" s="149"/>
      <c r="AM3858" s="149"/>
      <c r="AN3858" s="149"/>
      <c r="AO3858" s="128"/>
      <c r="AP3858" s="128"/>
      <c r="AQ3858" s="128"/>
      <c r="AR3858" s="128"/>
      <c r="AS3858" s="128"/>
      <c r="AT3858" s="128"/>
      <c r="AU3858" s="128"/>
      <c r="AV3858" s="128"/>
      <c r="AW3858" s="128"/>
      <c r="AX3858" s="128"/>
      <c r="AY3858" s="128"/>
      <c r="AZ3858" s="128"/>
      <c r="BA3858" s="128"/>
      <c r="BB3858" s="128"/>
      <c r="BC3858" s="128"/>
      <c r="BD3858" s="128"/>
      <c r="BE3858" s="128"/>
      <c r="BF3858" s="128"/>
      <c r="BG3858" s="128"/>
      <c r="BH3858" s="128"/>
      <c r="BI3858" s="128"/>
      <c r="BJ3858" s="128"/>
      <c r="BK3858" s="128"/>
      <c r="BL3858" s="128"/>
      <c r="BM3858" s="151"/>
      <c r="BN3858" s="128"/>
      <c r="BO3858" s="128"/>
      <c r="BP3858" s="128"/>
      <c r="BQ3858" s="128"/>
      <c r="BR3858" s="128"/>
      <c r="BS3858" s="128"/>
      <c r="BT3858" s="128"/>
      <c r="BU3858" s="128"/>
      <c r="BV3858" s="128"/>
      <c r="BW3858" s="128"/>
      <c r="BX3858" s="128"/>
      <c r="BY3858" s="128"/>
      <c r="BZ3858" s="128"/>
      <c r="CA3858" s="128"/>
      <c r="CB3858" s="128"/>
      <c r="CC3858" s="128"/>
      <c r="CD3858" s="128"/>
      <c r="CE3858" s="128"/>
      <c r="CF3858" s="128"/>
      <c r="CG3858" s="128"/>
      <c r="CI3858" s="128"/>
      <c r="CJ3858" s="128"/>
      <c r="CK3858" s="128"/>
      <c r="CL3858" s="128"/>
      <c r="CM3858" s="128"/>
      <c r="CN3858" s="128"/>
      <c r="CO3858" s="128"/>
      <c r="CP3858" s="128"/>
      <c r="CQ3858" s="128"/>
      <c r="CR3858" s="128"/>
      <c r="CS3858" s="128"/>
      <c r="CT3858" s="128"/>
      <c r="CU3858" s="128"/>
      <c r="CV3858" s="128"/>
      <c r="CW3858" s="128"/>
      <c r="CX3858" s="128"/>
      <c r="CY3858" s="128"/>
      <c r="CZ3858" s="165"/>
    </row>
    <row r="3859" spans="1:104">
      <c r="A3859" s="149"/>
      <c r="B3859" s="149"/>
      <c r="C3859" s="150"/>
      <c r="D3859" s="102"/>
      <c r="E3859" s="149"/>
      <c r="F3859" s="149"/>
      <c r="G3859" s="149"/>
      <c r="H3859" s="149"/>
      <c r="I3859" s="149"/>
      <c r="J3859" s="149"/>
      <c r="K3859" s="149"/>
      <c r="L3859" s="149"/>
      <c r="M3859" s="149"/>
      <c r="N3859" s="149"/>
      <c r="O3859" s="149"/>
      <c r="P3859" s="149"/>
      <c r="Q3859" s="149"/>
      <c r="R3859" s="149"/>
      <c r="S3859" s="149"/>
      <c r="T3859" s="149"/>
      <c r="U3859" s="149"/>
      <c r="V3859" s="149"/>
      <c r="W3859" s="149"/>
      <c r="X3859" s="149"/>
      <c r="Y3859" s="149"/>
      <c r="Z3859" s="149"/>
      <c r="AA3859" s="149"/>
      <c r="AB3859" s="149"/>
      <c r="AC3859" s="149"/>
      <c r="AD3859" s="149"/>
      <c r="AE3859" s="149"/>
      <c r="AF3859" s="149"/>
      <c r="AG3859" s="149"/>
      <c r="AH3859" s="149"/>
      <c r="AI3859" s="149"/>
      <c r="AJ3859" s="149"/>
      <c r="AK3859" s="149"/>
      <c r="AL3859" s="149"/>
      <c r="AM3859" s="149"/>
      <c r="AN3859" s="149"/>
      <c r="AO3859" s="128"/>
      <c r="AP3859" s="128"/>
      <c r="AQ3859" s="128"/>
      <c r="AR3859" s="128"/>
      <c r="AS3859" s="128"/>
      <c r="AT3859" s="128"/>
      <c r="AU3859" s="128"/>
      <c r="AV3859" s="128"/>
      <c r="AW3859" s="128"/>
      <c r="AX3859" s="128"/>
      <c r="AY3859" s="128"/>
      <c r="AZ3859" s="128"/>
      <c r="BA3859" s="128"/>
      <c r="BB3859" s="128"/>
      <c r="BC3859" s="128"/>
      <c r="BD3859" s="128"/>
      <c r="BE3859" s="128"/>
      <c r="BF3859" s="128"/>
      <c r="BG3859" s="128"/>
      <c r="BH3859" s="128"/>
      <c r="BI3859" s="128"/>
      <c r="BJ3859" s="128"/>
      <c r="BK3859" s="128"/>
      <c r="BL3859" s="128"/>
      <c r="BM3859" s="151"/>
      <c r="BN3859" s="128"/>
      <c r="BO3859" s="128"/>
      <c r="BP3859" s="128"/>
      <c r="BQ3859" s="128"/>
      <c r="BR3859" s="128"/>
      <c r="BS3859" s="128"/>
      <c r="BT3859" s="128"/>
      <c r="BU3859" s="128"/>
      <c r="BV3859" s="128"/>
      <c r="BW3859" s="128"/>
      <c r="BX3859" s="128"/>
      <c r="BY3859" s="128"/>
      <c r="BZ3859" s="128"/>
      <c r="CA3859" s="128"/>
      <c r="CB3859" s="128"/>
      <c r="CC3859" s="128"/>
      <c r="CD3859" s="128"/>
      <c r="CE3859" s="128"/>
      <c r="CF3859" s="128"/>
      <c r="CG3859" s="128"/>
      <c r="CI3859" s="128"/>
      <c r="CJ3859" s="128"/>
      <c r="CK3859" s="128"/>
      <c r="CL3859" s="128"/>
      <c r="CM3859" s="128"/>
      <c r="CN3859" s="128"/>
      <c r="CO3859" s="128"/>
      <c r="CP3859" s="128"/>
      <c r="CQ3859" s="128"/>
      <c r="CR3859" s="128"/>
      <c r="CS3859" s="128"/>
      <c r="CT3859" s="128"/>
      <c r="CU3859" s="128"/>
      <c r="CV3859" s="128"/>
      <c r="CW3859" s="128"/>
      <c r="CX3859" s="128"/>
      <c r="CY3859" s="128"/>
      <c r="CZ3859" s="165"/>
    </row>
    <row r="3860" spans="1:104">
      <c r="A3860" s="149"/>
      <c r="B3860" s="149"/>
      <c r="C3860" s="150"/>
      <c r="D3860" s="102"/>
      <c r="E3860" s="149"/>
      <c r="F3860" s="149"/>
      <c r="G3860" s="149"/>
      <c r="H3860" s="149"/>
      <c r="I3860" s="149"/>
      <c r="J3860" s="149"/>
      <c r="K3860" s="149"/>
      <c r="L3860" s="149"/>
      <c r="M3860" s="149"/>
      <c r="N3860" s="149"/>
      <c r="O3860" s="149"/>
      <c r="P3860" s="149"/>
      <c r="Q3860" s="149"/>
      <c r="R3860" s="149"/>
      <c r="S3860" s="149"/>
      <c r="T3860" s="149"/>
      <c r="U3860" s="149"/>
      <c r="V3860" s="149"/>
      <c r="W3860" s="149"/>
      <c r="X3860" s="149"/>
      <c r="Y3860" s="149"/>
      <c r="Z3860" s="149"/>
      <c r="AA3860" s="149"/>
      <c r="AB3860" s="149"/>
      <c r="AC3860" s="149"/>
      <c r="AD3860" s="149"/>
      <c r="AE3860" s="149"/>
      <c r="AF3860" s="149"/>
      <c r="AG3860" s="149"/>
      <c r="AH3860" s="149"/>
      <c r="AI3860" s="149"/>
      <c r="AJ3860" s="149"/>
      <c r="AK3860" s="149"/>
      <c r="AL3860" s="149"/>
      <c r="AM3860" s="149"/>
      <c r="AN3860" s="149"/>
      <c r="AO3860" s="128"/>
      <c r="AP3860" s="128"/>
      <c r="AQ3860" s="128"/>
      <c r="AR3860" s="128"/>
      <c r="AS3860" s="128"/>
      <c r="AT3860" s="128"/>
      <c r="AU3860" s="128"/>
      <c r="AV3860" s="128"/>
      <c r="AW3860" s="128"/>
      <c r="AX3860" s="128"/>
      <c r="AY3860" s="128"/>
      <c r="AZ3860" s="128"/>
      <c r="BA3860" s="128"/>
      <c r="BB3860" s="128"/>
      <c r="BC3860" s="128"/>
      <c r="BD3860" s="128"/>
      <c r="BE3860" s="128"/>
      <c r="BF3860" s="128"/>
      <c r="BG3860" s="128"/>
      <c r="BH3860" s="128"/>
      <c r="BI3860" s="128"/>
      <c r="BJ3860" s="128"/>
      <c r="BK3860" s="128"/>
      <c r="BL3860" s="128"/>
      <c r="BM3860" s="151"/>
      <c r="BN3860" s="128"/>
      <c r="BO3860" s="128"/>
      <c r="BP3860" s="128"/>
      <c r="BQ3860" s="128"/>
      <c r="BR3860" s="128"/>
      <c r="BS3860" s="128"/>
      <c r="BT3860" s="128"/>
      <c r="BU3860" s="128"/>
      <c r="BV3860" s="128"/>
      <c r="BW3860" s="128"/>
      <c r="BX3860" s="128"/>
      <c r="BY3860" s="128"/>
      <c r="BZ3860" s="128"/>
      <c r="CA3860" s="128"/>
      <c r="CB3860" s="128"/>
      <c r="CC3860" s="128"/>
      <c r="CD3860" s="128"/>
      <c r="CE3860" s="128"/>
      <c r="CF3860" s="128"/>
      <c r="CG3860" s="128"/>
      <c r="CI3860" s="128"/>
      <c r="CJ3860" s="128"/>
      <c r="CK3860" s="128"/>
      <c r="CL3860" s="128"/>
      <c r="CM3860" s="128"/>
      <c r="CN3860" s="128"/>
      <c r="CO3860" s="128"/>
      <c r="CP3860" s="128"/>
      <c r="CQ3860" s="128"/>
      <c r="CR3860" s="128"/>
      <c r="CS3860" s="128"/>
      <c r="CT3860" s="128"/>
      <c r="CU3860" s="128"/>
      <c r="CV3860" s="128"/>
      <c r="CW3860" s="128"/>
      <c r="CX3860" s="128"/>
      <c r="CY3860" s="128"/>
      <c r="CZ3860" s="165"/>
    </row>
    <row r="3861" spans="1:104">
      <c r="A3861" s="149"/>
      <c r="B3861" s="149"/>
      <c r="C3861" s="150"/>
      <c r="D3861" s="102"/>
      <c r="E3861" s="149"/>
      <c r="F3861" s="149"/>
      <c r="G3861" s="149"/>
      <c r="H3861" s="149"/>
      <c r="I3861" s="149"/>
      <c r="J3861" s="149"/>
      <c r="K3861" s="149"/>
      <c r="L3861" s="149"/>
      <c r="M3861" s="149"/>
      <c r="N3861" s="149"/>
      <c r="O3861" s="149"/>
      <c r="P3861" s="149"/>
      <c r="Q3861" s="149"/>
      <c r="R3861" s="149"/>
      <c r="S3861" s="149"/>
      <c r="T3861" s="149"/>
      <c r="U3861" s="149"/>
      <c r="V3861" s="149"/>
      <c r="W3861" s="149"/>
      <c r="X3861" s="149"/>
      <c r="Y3861" s="149"/>
      <c r="Z3861" s="149"/>
      <c r="AA3861" s="149"/>
      <c r="AB3861" s="149"/>
      <c r="AC3861" s="149"/>
      <c r="AD3861" s="149"/>
      <c r="AE3861" s="149"/>
      <c r="AF3861" s="149"/>
      <c r="AG3861" s="149"/>
      <c r="AH3861" s="149"/>
      <c r="AI3861" s="149"/>
      <c r="AJ3861" s="149"/>
      <c r="AK3861" s="149"/>
      <c r="AL3861" s="149"/>
      <c r="AM3861" s="149"/>
      <c r="AN3861" s="149"/>
      <c r="AO3861" s="128"/>
      <c r="AP3861" s="128"/>
      <c r="AQ3861" s="128"/>
      <c r="AR3861" s="128"/>
      <c r="AS3861" s="128"/>
      <c r="AT3861" s="128"/>
      <c r="AU3861" s="128"/>
      <c r="AV3861" s="128"/>
      <c r="AW3861" s="128"/>
      <c r="AX3861" s="128"/>
      <c r="AY3861" s="128"/>
      <c r="AZ3861" s="128"/>
      <c r="BA3861" s="128"/>
      <c r="BB3861" s="128"/>
      <c r="BC3861" s="128"/>
      <c r="BD3861" s="128"/>
      <c r="BE3861" s="128"/>
      <c r="BF3861" s="128"/>
      <c r="BG3861" s="128"/>
      <c r="BH3861" s="128"/>
      <c r="BI3861" s="128"/>
      <c r="BJ3861" s="128"/>
      <c r="BK3861" s="128"/>
      <c r="BL3861" s="128"/>
      <c r="BM3861" s="151"/>
      <c r="BN3861" s="128"/>
      <c r="BO3861" s="128"/>
      <c r="BP3861" s="128"/>
      <c r="BQ3861" s="128"/>
      <c r="BR3861" s="128"/>
      <c r="BS3861" s="128"/>
      <c r="BT3861" s="128"/>
      <c r="BU3861" s="128"/>
      <c r="BV3861" s="128"/>
      <c r="BW3861" s="128"/>
      <c r="BX3861" s="128"/>
      <c r="BY3861" s="128"/>
      <c r="BZ3861" s="128"/>
      <c r="CA3861" s="128"/>
      <c r="CB3861" s="128"/>
      <c r="CC3861" s="128"/>
      <c r="CD3861" s="128"/>
      <c r="CE3861" s="128"/>
      <c r="CF3861" s="128"/>
      <c r="CG3861" s="128"/>
      <c r="CI3861" s="128"/>
      <c r="CJ3861" s="128"/>
      <c r="CK3861" s="128"/>
      <c r="CL3861" s="128"/>
      <c r="CM3861" s="128"/>
      <c r="CN3861" s="128"/>
      <c r="CO3861" s="128"/>
      <c r="CP3861" s="128"/>
      <c r="CQ3861" s="128"/>
      <c r="CR3861" s="128"/>
      <c r="CS3861" s="128"/>
      <c r="CT3861" s="128"/>
      <c r="CU3861" s="128"/>
      <c r="CV3861" s="128"/>
      <c r="CW3861" s="128"/>
      <c r="CX3861" s="128"/>
      <c r="CY3861" s="128"/>
      <c r="CZ3861" s="165"/>
    </row>
    <row r="3862" spans="1:104">
      <c r="A3862" s="149"/>
      <c r="B3862" s="149"/>
      <c r="C3862" s="150"/>
      <c r="D3862" s="102"/>
      <c r="E3862" s="149"/>
      <c r="F3862" s="149"/>
      <c r="G3862" s="149"/>
      <c r="H3862" s="149"/>
      <c r="I3862" s="149"/>
      <c r="J3862" s="149"/>
      <c r="K3862" s="149"/>
      <c r="L3862" s="149"/>
      <c r="M3862" s="149"/>
      <c r="N3862" s="149"/>
      <c r="O3862" s="149"/>
      <c r="P3862" s="149"/>
      <c r="Q3862" s="149"/>
      <c r="R3862" s="149"/>
      <c r="S3862" s="149"/>
      <c r="T3862" s="149"/>
      <c r="U3862" s="149"/>
      <c r="V3862" s="149"/>
      <c r="W3862" s="149"/>
      <c r="X3862" s="149"/>
      <c r="Y3862" s="149"/>
      <c r="Z3862" s="149"/>
      <c r="AA3862" s="149"/>
      <c r="AB3862" s="149"/>
      <c r="AC3862" s="149"/>
      <c r="AD3862" s="149"/>
      <c r="AE3862" s="149"/>
      <c r="AF3862" s="149"/>
      <c r="AG3862" s="149"/>
      <c r="AH3862" s="149"/>
      <c r="AI3862" s="149"/>
      <c r="AJ3862" s="149"/>
      <c r="AK3862" s="149"/>
      <c r="AL3862" s="149"/>
      <c r="AM3862" s="149"/>
      <c r="AN3862" s="149"/>
      <c r="AO3862" s="128"/>
      <c r="AP3862" s="128"/>
      <c r="AQ3862" s="128"/>
      <c r="AR3862" s="128"/>
      <c r="AS3862" s="128"/>
      <c r="AT3862" s="128"/>
      <c r="AU3862" s="128"/>
      <c r="AV3862" s="128"/>
      <c r="AW3862" s="128"/>
      <c r="AX3862" s="128"/>
      <c r="AY3862" s="128"/>
      <c r="AZ3862" s="128"/>
      <c r="BA3862" s="128"/>
      <c r="BB3862" s="128"/>
      <c r="BC3862" s="128"/>
      <c r="BD3862" s="128"/>
      <c r="BE3862" s="128"/>
      <c r="BF3862" s="128"/>
      <c r="BG3862" s="128"/>
      <c r="BH3862" s="128"/>
      <c r="BI3862" s="128"/>
      <c r="BJ3862" s="128"/>
      <c r="BK3862" s="128"/>
      <c r="BL3862" s="128"/>
      <c r="BM3862" s="151"/>
      <c r="BN3862" s="128"/>
      <c r="BO3862" s="128"/>
      <c r="BP3862" s="128"/>
      <c r="BQ3862" s="128"/>
      <c r="BR3862" s="128"/>
      <c r="BS3862" s="128"/>
      <c r="BT3862" s="128"/>
      <c r="BU3862" s="128"/>
      <c r="BV3862" s="128"/>
      <c r="BW3862" s="128"/>
      <c r="BX3862" s="128"/>
      <c r="BY3862" s="128"/>
      <c r="BZ3862" s="128"/>
      <c r="CA3862" s="128"/>
      <c r="CB3862" s="128"/>
      <c r="CC3862" s="128"/>
      <c r="CD3862" s="128"/>
      <c r="CE3862" s="128"/>
      <c r="CF3862" s="128"/>
      <c r="CG3862" s="128"/>
      <c r="CI3862" s="128"/>
      <c r="CJ3862" s="128"/>
      <c r="CK3862" s="128"/>
      <c r="CL3862" s="128"/>
      <c r="CM3862" s="128"/>
      <c r="CN3862" s="128"/>
      <c r="CO3862" s="128"/>
      <c r="CP3862" s="128"/>
      <c r="CQ3862" s="128"/>
      <c r="CR3862" s="128"/>
      <c r="CS3862" s="128"/>
      <c r="CT3862" s="128"/>
      <c r="CU3862" s="128"/>
      <c r="CV3862" s="128"/>
      <c r="CW3862" s="128"/>
      <c r="CX3862" s="128"/>
      <c r="CY3862" s="128"/>
      <c r="CZ3862" s="165"/>
    </row>
    <row r="3863" spans="1:104">
      <c r="A3863" s="149"/>
      <c r="B3863" s="149"/>
      <c r="C3863" s="150"/>
      <c r="D3863" s="102"/>
      <c r="E3863" s="149"/>
      <c r="F3863" s="149"/>
      <c r="G3863" s="149"/>
      <c r="H3863" s="149"/>
      <c r="I3863" s="149"/>
      <c r="J3863" s="149"/>
      <c r="K3863" s="149"/>
      <c r="L3863" s="149"/>
      <c r="M3863" s="149"/>
      <c r="N3863" s="149"/>
      <c r="O3863" s="149"/>
      <c r="P3863" s="149"/>
      <c r="Q3863" s="149"/>
      <c r="R3863" s="149"/>
      <c r="S3863" s="149"/>
      <c r="T3863" s="149"/>
      <c r="U3863" s="149"/>
      <c r="V3863" s="149"/>
      <c r="W3863" s="149"/>
      <c r="X3863" s="149"/>
      <c r="Y3863" s="149"/>
      <c r="Z3863" s="149"/>
      <c r="AA3863" s="149"/>
      <c r="AB3863" s="149"/>
      <c r="AC3863" s="149"/>
      <c r="AD3863" s="149"/>
      <c r="AE3863" s="149"/>
      <c r="AF3863" s="149"/>
      <c r="AG3863" s="149"/>
      <c r="AH3863" s="149"/>
      <c r="AI3863" s="149"/>
      <c r="AJ3863" s="149"/>
      <c r="AK3863" s="149"/>
      <c r="AL3863" s="149"/>
      <c r="AM3863" s="149"/>
      <c r="AN3863" s="149"/>
      <c r="AO3863" s="128"/>
      <c r="AP3863" s="128"/>
      <c r="AQ3863" s="128"/>
      <c r="AR3863" s="128"/>
      <c r="AS3863" s="128"/>
      <c r="AT3863" s="128"/>
      <c r="AU3863" s="128"/>
      <c r="AV3863" s="128"/>
      <c r="AW3863" s="128"/>
      <c r="AX3863" s="128"/>
      <c r="AY3863" s="128"/>
      <c r="AZ3863" s="128"/>
      <c r="BA3863" s="128"/>
      <c r="BB3863" s="128"/>
      <c r="BC3863" s="128"/>
      <c r="BD3863" s="128"/>
      <c r="BE3863" s="128"/>
      <c r="BF3863" s="128"/>
      <c r="BG3863" s="128"/>
      <c r="BH3863" s="128"/>
      <c r="BI3863" s="128"/>
      <c r="BJ3863" s="128"/>
      <c r="BK3863" s="128"/>
      <c r="BL3863" s="128"/>
      <c r="BM3863" s="151"/>
      <c r="BN3863" s="128"/>
      <c r="BO3863" s="128"/>
      <c r="BP3863" s="128"/>
      <c r="BQ3863" s="128"/>
      <c r="BR3863" s="128"/>
      <c r="BS3863" s="128"/>
      <c r="BT3863" s="128"/>
      <c r="BU3863" s="128"/>
      <c r="BV3863" s="128"/>
      <c r="BW3863" s="128"/>
      <c r="BX3863" s="128"/>
      <c r="BY3863" s="128"/>
      <c r="BZ3863" s="128"/>
      <c r="CA3863" s="128"/>
      <c r="CB3863" s="128"/>
      <c r="CC3863" s="128"/>
      <c r="CD3863" s="128"/>
      <c r="CE3863" s="128"/>
      <c r="CF3863" s="128"/>
      <c r="CG3863" s="128"/>
      <c r="CI3863" s="128"/>
      <c r="CJ3863" s="128"/>
      <c r="CK3863" s="128"/>
      <c r="CL3863" s="128"/>
      <c r="CM3863" s="128"/>
      <c r="CN3863" s="128"/>
      <c r="CO3863" s="128"/>
      <c r="CP3863" s="128"/>
      <c r="CQ3863" s="128"/>
      <c r="CR3863" s="128"/>
      <c r="CS3863" s="128"/>
      <c r="CT3863" s="128"/>
      <c r="CU3863" s="128"/>
      <c r="CV3863" s="128"/>
      <c r="CW3863" s="128"/>
      <c r="CX3863" s="128"/>
      <c r="CY3863" s="128"/>
      <c r="CZ3863" s="165"/>
    </row>
    <row r="3864" spans="1:104">
      <c r="A3864" s="149"/>
      <c r="B3864" s="149"/>
      <c r="C3864" s="150"/>
      <c r="D3864" s="102"/>
      <c r="E3864" s="149"/>
      <c r="F3864" s="149"/>
      <c r="G3864" s="149"/>
      <c r="H3864" s="149"/>
      <c r="I3864" s="149"/>
      <c r="J3864" s="149"/>
      <c r="K3864" s="149"/>
      <c r="L3864" s="149"/>
      <c r="M3864" s="149"/>
      <c r="N3864" s="149"/>
      <c r="O3864" s="149"/>
      <c r="P3864" s="149"/>
      <c r="Q3864" s="149"/>
      <c r="R3864" s="149"/>
      <c r="S3864" s="149"/>
      <c r="T3864" s="149"/>
      <c r="U3864" s="149"/>
      <c r="V3864" s="149"/>
      <c r="W3864" s="149"/>
      <c r="X3864" s="149"/>
      <c r="Y3864" s="149"/>
      <c r="Z3864" s="149"/>
      <c r="AA3864" s="149"/>
      <c r="AB3864" s="149"/>
      <c r="AC3864" s="149"/>
      <c r="AD3864" s="149"/>
      <c r="AE3864" s="149"/>
      <c r="AF3864" s="149"/>
      <c r="AG3864" s="149"/>
      <c r="AH3864" s="149"/>
      <c r="AI3864" s="149"/>
      <c r="AJ3864" s="149"/>
      <c r="AK3864" s="149"/>
      <c r="AL3864" s="149"/>
      <c r="AM3864" s="149"/>
      <c r="AN3864" s="149"/>
      <c r="AO3864" s="128"/>
      <c r="AP3864" s="128"/>
      <c r="AQ3864" s="128"/>
      <c r="AR3864" s="128"/>
      <c r="AS3864" s="128"/>
      <c r="AT3864" s="128"/>
      <c r="AU3864" s="128"/>
      <c r="AV3864" s="128"/>
      <c r="AW3864" s="128"/>
      <c r="AX3864" s="128"/>
      <c r="AY3864" s="128"/>
      <c r="AZ3864" s="128"/>
      <c r="BA3864" s="128"/>
      <c r="BB3864" s="128"/>
      <c r="BC3864" s="128"/>
      <c r="BD3864" s="128"/>
      <c r="BE3864" s="128"/>
      <c r="BF3864" s="128"/>
      <c r="BG3864" s="128"/>
      <c r="BH3864" s="128"/>
      <c r="BI3864" s="128"/>
      <c r="BJ3864" s="128"/>
      <c r="BK3864" s="128"/>
      <c r="BL3864" s="128"/>
      <c r="BM3864" s="151"/>
      <c r="BN3864" s="128"/>
      <c r="BO3864" s="128"/>
      <c r="BP3864" s="128"/>
      <c r="BQ3864" s="128"/>
      <c r="BR3864" s="128"/>
      <c r="BS3864" s="128"/>
      <c r="BT3864" s="128"/>
      <c r="BU3864" s="128"/>
      <c r="BV3864" s="128"/>
      <c r="BW3864" s="128"/>
      <c r="BX3864" s="128"/>
      <c r="BY3864" s="128"/>
      <c r="BZ3864" s="128"/>
      <c r="CA3864" s="128"/>
      <c r="CB3864" s="128"/>
      <c r="CC3864" s="128"/>
      <c r="CD3864" s="128"/>
      <c r="CE3864" s="128"/>
      <c r="CF3864" s="128"/>
      <c r="CG3864" s="128"/>
      <c r="CI3864" s="128"/>
      <c r="CJ3864" s="128"/>
      <c r="CK3864" s="128"/>
      <c r="CL3864" s="128"/>
      <c r="CM3864" s="128"/>
      <c r="CN3864" s="128"/>
      <c r="CO3864" s="128"/>
      <c r="CP3864" s="128"/>
      <c r="CQ3864" s="128"/>
      <c r="CR3864" s="128"/>
      <c r="CS3864" s="128"/>
      <c r="CT3864" s="128"/>
      <c r="CU3864" s="128"/>
      <c r="CV3864" s="128"/>
      <c r="CW3864" s="128"/>
      <c r="CX3864" s="128"/>
      <c r="CY3864" s="128"/>
      <c r="CZ3864" s="165"/>
    </row>
    <row r="3865" spans="1:104">
      <c r="A3865" s="149"/>
      <c r="B3865" s="149"/>
      <c r="C3865" s="150"/>
      <c r="D3865" s="102"/>
      <c r="E3865" s="149"/>
      <c r="F3865" s="149"/>
      <c r="G3865" s="149"/>
      <c r="H3865" s="149"/>
      <c r="I3865" s="149"/>
      <c r="J3865" s="149"/>
      <c r="K3865" s="149"/>
      <c r="L3865" s="149"/>
      <c r="M3865" s="149"/>
      <c r="N3865" s="149"/>
      <c r="O3865" s="149"/>
      <c r="P3865" s="149"/>
      <c r="Q3865" s="149"/>
      <c r="R3865" s="149"/>
      <c r="S3865" s="149"/>
      <c r="T3865" s="149"/>
      <c r="U3865" s="149"/>
      <c r="V3865" s="149"/>
      <c r="W3865" s="149"/>
      <c r="X3865" s="149"/>
      <c r="Y3865" s="149"/>
      <c r="Z3865" s="149"/>
      <c r="AA3865" s="149"/>
      <c r="AB3865" s="149"/>
      <c r="AC3865" s="149"/>
      <c r="AD3865" s="149"/>
      <c r="AE3865" s="149"/>
      <c r="AF3865" s="149"/>
      <c r="AG3865" s="149"/>
      <c r="AH3865" s="149"/>
      <c r="AI3865" s="149"/>
      <c r="AJ3865" s="149"/>
      <c r="AK3865" s="149"/>
      <c r="AL3865" s="149"/>
      <c r="AM3865" s="149"/>
      <c r="AN3865" s="149"/>
      <c r="AO3865" s="128"/>
      <c r="AP3865" s="128"/>
      <c r="AQ3865" s="128"/>
      <c r="AR3865" s="128"/>
      <c r="AS3865" s="128"/>
      <c r="AT3865" s="128"/>
      <c r="AU3865" s="128"/>
      <c r="AV3865" s="128"/>
      <c r="AW3865" s="128"/>
      <c r="AX3865" s="128"/>
      <c r="AY3865" s="128"/>
      <c r="AZ3865" s="128"/>
      <c r="BA3865" s="128"/>
      <c r="BB3865" s="128"/>
      <c r="BC3865" s="128"/>
      <c r="BD3865" s="128"/>
      <c r="BE3865" s="128"/>
      <c r="BF3865" s="128"/>
      <c r="BG3865" s="128"/>
      <c r="BH3865" s="128"/>
      <c r="BI3865" s="128"/>
      <c r="BJ3865" s="128"/>
      <c r="BK3865" s="128"/>
      <c r="BL3865" s="128"/>
      <c r="BM3865" s="151"/>
      <c r="BN3865" s="128"/>
      <c r="BO3865" s="128"/>
      <c r="BP3865" s="128"/>
      <c r="BQ3865" s="128"/>
      <c r="BR3865" s="128"/>
      <c r="BS3865" s="128"/>
      <c r="BT3865" s="128"/>
      <c r="BU3865" s="128"/>
      <c r="BV3865" s="128"/>
      <c r="BW3865" s="128"/>
      <c r="BX3865" s="128"/>
      <c r="BY3865" s="128"/>
      <c r="BZ3865" s="128"/>
      <c r="CA3865" s="128"/>
      <c r="CB3865" s="128"/>
      <c r="CC3865" s="128"/>
      <c r="CD3865" s="128"/>
      <c r="CE3865" s="128"/>
      <c r="CF3865" s="128"/>
      <c r="CG3865" s="128"/>
      <c r="CI3865" s="128"/>
      <c r="CJ3865" s="128"/>
      <c r="CK3865" s="128"/>
      <c r="CL3865" s="128"/>
      <c r="CM3865" s="128"/>
      <c r="CN3865" s="128"/>
      <c r="CO3865" s="128"/>
      <c r="CP3865" s="128"/>
      <c r="CQ3865" s="128"/>
      <c r="CR3865" s="128"/>
      <c r="CS3865" s="128"/>
      <c r="CT3865" s="128"/>
      <c r="CU3865" s="128"/>
      <c r="CV3865" s="128"/>
      <c r="CW3865" s="128"/>
      <c r="CX3865" s="128"/>
      <c r="CY3865" s="128"/>
      <c r="CZ3865" s="165"/>
    </row>
    <row r="3866" spans="1:104">
      <c r="A3866" s="149"/>
      <c r="B3866" s="149"/>
      <c r="C3866" s="150"/>
      <c r="D3866" s="102"/>
      <c r="E3866" s="149"/>
      <c r="F3866" s="149"/>
      <c r="G3866" s="149"/>
      <c r="H3866" s="149"/>
      <c r="I3866" s="149"/>
      <c r="J3866" s="149"/>
      <c r="K3866" s="149"/>
      <c r="L3866" s="149"/>
      <c r="M3866" s="149"/>
      <c r="N3866" s="149"/>
      <c r="O3866" s="149"/>
      <c r="P3866" s="149"/>
      <c r="Q3866" s="149"/>
      <c r="R3866" s="149"/>
      <c r="S3866" s="149"/>
      <c r="T3866" s="149"/>
      <c r="U3866" s="149"/>
      <c r="V3866" s="149"/>
      <c r="W3866" s="149"/>
      <c r="X3866" s="149"/>
      <c r="Y3866" s="149"/>
      <c r="Z3866" s="149"/>
      <c r="AA3866" s="149"/>
      <c r="AB3866" s="149"/>
      <c r="AC3866" s="149"/>
      <c r="AD3866" s="149"/>
      <c r="AE3866" s="149"/>
      <c r="AF3866" s="149"/>
      <c r="AG3866" s="149"/>
      <c r="AH3866" s="149"/>
      <c r="AI3866" s="149"/>
      <c r="AJ3866" s="149"/>
      <c r="AK3866" s="149"/>
      <c r="AL3866" s="149"/>
      <c r="AM3866" s="149"/>
      <c r="AN3866" s="149"/>
      <c r="AO3866" s="128"/>
      <c r="AP3866" s="128"/>
      <c r="AQ3866" s="128"/>
      <c r="AR3866" s="128"/>
      <c r="AS3866" s="128"/>
      <c r="AT3866" s="128"/>
      <c r="AU3866" s="128"/>
      <c r="AV3866" s="128"/>
      <c r="AW3866" s="128"/>
      <c r="AX3866" s="128"/>
      <c r="AY3866" s="128"/>
      <c r="AZ3866" s="128"/>
      <c r="BA3866" s="128"/>
      <c r="BB3866" s="128"/>
      <c r="BC3866" s="128"/>
      <c r="BD3866" s="128"/>
      <c r="BE3866" s="128"/>
      <c r="BF3866" s="128"/>
      <c r="BG3866" s="128"/>
      <c r="BH3866" s="128"/>
      <c r="BI3866" s="128"/>
      <c r="BJ3866" s="128"/>
      <c r="BK3866" s="128"/>
      <c r="BL3866" s="128"/>
      <c r="BM3866" s="151"/>
      <c r="BN3866" s="128"/>
      <c r="BO3866" s="128"/>
      <c r="BP3866" s="128"/>
      <c r="BQ3866" s="128"/>
      <c r="BR3866" s="128"/>
      <c r="BS3866" s="128"/>
      <c r="BT3866" s="128"/>
      <c r="BU3866" s="128"/>
      <c r="BV3866" s="128"/>
      <c r="BW3866" s="128"/>
      <c r="BX3866" s="128"/>
      <c r="BY3866" s="128"/>
      <c r="BZ3866" s="128"/>
      <c r="CA3866" s="128"/>
      <c r="CB3866" s="128"/>
      <c r="CC3866" s="128"/>
      <c r="CD3866" s="128"/>
      <c r="CE3866" s="128"/>
      <c r="CF3866" s="128"/>
      <c r="CG3866" s="128"/>
      <c r="CI3866" s="128"/>
      <c r="CJ3866" s="128"/>
      <c r="CK3866" s="128"/>
      <c r="CL3866" s="128"/>
      <c r="CM3866" s="128"/>
      <c r="CN3866" s="128"/>
      <c r="CO3866" s="128"/>
      <c r="CP3866" s="128"/>
      <c r="CQ3866" s="128"/>
      <c r="CR3866" s="128"/>
      <c r="CS3866" s="128"/>
      <c r="CT3866" s="128"/>
      <c r="CU3866" s="128"/>
      <c r="CV3866" s="128"/>
      <c r="CW3866" s="128"/>
      <c r="CX3866" s="128"/>
      <c r="CY3866" s="128"/>
      <c r="CZ3866" s="165"/>
    </row>
    <row r="3867" spans="1:104">
      <c r="A3867" s="149"/>
      <c r="B3867" s="149"/>
      <c r="C3867" s="150"/>
      <c r="D3867" s="102"/>
      <c r="E3867" s="149"/>
      <c r="F3867" s="149"/>
      <c r="G3867" s="149"/>
      <c r="H3867" s="149"/>
      <c r="I3867" s="149"/>
      <c r="J3867" s="149"/>
      <c r="K3867" s="149"/>
      <c r="L3867" s="149"/>
      <c r="M3867" s="149"/>
      <c r="N3867" s="149"/>
      <c r="O3867" s="149"/>
      <c r="P3867" s="149"/>
      <c r="Q3867" s="149"/>
      <c r="R3867" s="149"/>
      <c r="S3867" s="149"/>
      <c r="T3867" s="149"/>
      <c r="U3867" s="149"/>
      <c r="V3867" s="149"/>
      <c r="W3867" s="149"/>
      <c r="X3867" s="149"/>
      <c r="Y3867" s="149"/>
      <c r="Z3867" s="149"/>
      <c r="AA3867" s="149"/>
      <c r="AB3867" s="149"/>
      <c r="AC3867" s="149"/>
      <c r="AD3867" s="149"/>
      <c r="AE3867" s="149"/>
      <c r="AF3867" s="149"/>
      <c r="AG3867" s="149"/>
      <c r="AH3867" s="149"/>
      <c r="AI3867" s="149"/>
      <c r="AJ3867" s="149"/>
      <c r="AK3867" s="149"/>
      <c r="AL3867" s="149"/>
      <c r="AM3867" s="149"/>
      <c r="AN3867" s="149"/>
      <c r="AO3867" s="128"/>
      <c r="AP3867" s="128"/>
      <c r="AQ3867" s="128"/>
      <c r="AR3867" s="128"/>
      <c r="AS3867" s="128"/>
      <c r="AT3867" s="128"/>
      <c r="AU3867" s="128"/>
      <c r="AV3867" s="128"/>
      <c r="AW3867" s="128"/>
      <c r="AX3867" s="128"/>
      <c r="AY3867" s="128"/>
      <c r="AZ3867" s="128"/>
      <c r="BA3867" s="128"/>
      <c r="BB3867" s="128"/>
      <c r="BC3867" s="128"/>
      <c r="BD3867" s="128"/>
      <c r="BE3867" s="128"/>
      <c r="BF3867" s="128"/>
      <c r="BG3867" s="128"/>
      <c r="BH3867" s="128"/>
      <c r="BI3867" s="128"/>
      <c r="BJ3867" s="128"/>
      <c r="BK3867" s="128"/>
      <c r="BL3867" s="128"/>
      <c r="BM3867" s="151"/>
      <c r="BN3867" s="128"/>
      <c r="BO3867" s="128"/>
      <c r="BP3867" s="128"/>
      <c r="BQ3867" s="128"/>
      <c r="BR3867" s="128"/>
      <c r="BS3867" s="128"/>
      <c r="BT3867" s="128"/>
      <c r="BU3867" s="128"/>
      <c r="BV3867" s="128"/>
      <c r="BW3867" s="128"/>
      <c r="BX3867" s="128"/>
      <c r="BY3867" s="128"/>
      <c r="BZ3867" s="128"/>
      <c r="CA3867" s="128"/>
      <c r="CB3867" s="128"/>
      <c r="CC3867" s="128"/>
      <c r="CD3867" s="128"/>
      <c r="CE3867" s="128"/>
      <c r="CF3867" s="128"/>
      <c r="CG3867" s="128"/>
      <c r="CI3867" s="128"/>
      <c r="CJ3867" s="128"/>
      <c r="CK3867" s="128"/>
      <c r="CL3867" s="128"/>
      <c r="CM3867" s="128"/>
      <c r="CN3867" s="128"/>
      <c r="CO3867" s="128"/>
      <c r="CP3867" s="128"/>
      <c r="CQ3867" s="128"/>
      <c r="CR3867" s="128"/>
      <c r="CS3867" s="128"/>
      <c r="CT3867" s="128"/>
      <c r="CU3867" s="128"/>
      <c r="CV3867" s="128"/>
      <c r="CW3867" s="128"/>
      <c r="CX3867" s="128"/>
      <c r="CY3867" s="128"/>
      <c r="CZ3867" s="165"/>
    </row>
    <row r="3868" spans="1:104">
      <c r="A3868" s="149"/>
      <c r="B3868" s="149"/>
      <c r="C3868" s="150"/>
      <c r="D3868" s="102"/>
      <c r="E3868" s="149"/>
      <c r="F3868" s="149"/>
      <c r="G3868" s="149"/>
      <c r="H3868" s="149"/>
      <c r="I3868" s="149"/>
      <c r="J3868" s="149"/>
      <c r="K3868" s="149"/>
      <c r="L3868" s="149"/>
      <c r="M3868" s="149"/>
      <c r="N3868" s="149"/>
      <c r="O3868" s="149"/>
      <c r="P3868" s="149"/>
      <c r="Q3868" s="149"/>
      <c r="R3868" s="149"/>
      <c r="S3868" s="149"/>
      <c r="T3868" s="149"/>
      <c r="U3868" s="149"/>
      <c r="V3868" s="149"/>
      <c r="W3868" s="149"/>
      <c r="X3868" s="149"/>
      <c r="Y3868" s="149"/>
      <c r="Z3868" s="149"/>
      <c r="AA3868" s="149"/>
      <c r="AB3868" s="149"/>
      <c r="AC3868" s="149"/>
      <c r="AD3868" s="149"/>
      <c r="AE3868" s="149"/>
      <c r="AF3868" s="149"/>
      <c r="AG3868" s="149"/>
      <c r="AH3868" s="149"/>
      <c r="AI3868" s="149"/>
      <c r="AJ3868" s="149"/>
      <c r="AK3868" s="149"/>
      <c r="AL3868" s="149"/>
      <c r="AM3868" s="149"/>
      <c r="AN3868" s="149"/>
      <c r="AO3868" s="128"/>
      <c r="AP3868" s="128"/>
      <c r="AQ3868" s="128"/>
      <c r="AR3868" s="128"/>
      <c r="AS3868" s="128"/>
      <c r="AT3868" s="128"/>
      <c r="AU3868" s="128"/>
      <c r="AV3868" s="128"/>
      <c r="AW3868" s="128"/>
      <c r="AX3868" s="128"/>
      <c r="AY3868" s="128"/>
      <c r="AZ3868" s="128"/>
      <c r="BA3868" s="128"/>
      <c r="BB3868" s="128"/>
      <c r="BC3868" s="128"/>
      <c r="BD3868" s="128"/>
      <c r="BE3868" s="128"/>
      <c r="BF3868" s="128"/>
      <c r="BG3868" s="128"/>
      <c r="BH3868" s="128"/>
      <c r="BI3868" s="128"/>
      <c r="BJ3868" s="128"/>
      <c r="BK3868" s="128"/>
      <c r="BL3868" s="128"/>
      <c r="BM3868" s="151"/>
      <c r="BN3868" s="128"/>
      <c r="BO3868" s="128"/>
      <c r="BP3868" s="128"/>
      <c r="BQ3868" s="128"/>
      <c r="BR3868" s="128"/>
      <c r="BS3868" s="128"/>
      <c r="BT3868" s="128"/>
      <c r="BU3868" s="128"/>
      <c r="BV3868" s="128"/>
      <c r="BW3868" s="128"/>
      <c r="BX3868" s="128"/>
      <c r="BY3868" s="128"/>
      <c r="BZ3868" s="128"/>
      <c r="CA3868" s="128"/>
      <c r="CB3868" s="128"/>
      <c r="CC3868" s="128"/>
      <c r="CD3868" s="128"/>
      <c r="CE3868" s="128"/>
      <c r="CF3868" s="128"/>
      <c r="CG3868" s="128"/>
      <c r="CI3868" s="128"/>
      <c r="CJ3868" s="128"/>
      <c r="CK3868" s="128"/>
      <c r="CL3868" s="128"/>
      <c r="CM3868" s="128"/>
      <c r="CN3868" s="128"/>
      <c r="CO3868" s="128"/>
      <c r="CP3868" s="128"/>
      <c r="CQ3868" s="128"/>
      <c r="CR3868" s="128"/>
      <c r="CS3868" s="128"/>
      <c r="CT3868" s="128"/>
      <c r="CU3868" s="128"/>
      <c r="CV3868" s="128"/>
      <c r="CW3868" s="128"/>
      <c r="CX3868" s="128"/>
      <c r="CY3868" s="128"/>
      <c r="CZ3868" s="165"/>
    </row>
    <row r="3869" spans="1:104">
      <c r="A3869" s="149"/>
      <c r="B3869" s="149"/>
      <c r="C3869" s="150"/>
      <c r="D3869" s="102"/>
      <c r="E3869" s="149"/>
      <c r="F3869" s="149"/>
      <c r="G3869" s="149"/>
      <c r="H3869" s="149"/>
      <c r="I3869" s="149"/>
      <c r="J3869" s="149"/>
      <c r="K3869" s="149"/>
      <c r="L3869" s="149"/>
      <c r="M3869" s="149"/>
      <c r="N3869" s="149"/>
      <c r="O3869" s="149"/>
      <c r="P3869" s="149"/>
      <c r="Q3869" s="149"/>
      <c r="R3869" s="149"/>
      <c r="S3869" s="149"/>
      <c r="T3869" s="149"/>
      <c r="U3869" s="149"/>
      <c r="V3869" s="149"/>
      <c r="W3869" s="149"/>
      <c r="X3869" s="149"/>
      <c r="Y3869" s="149"/>
      <c r="Z3869" s="149"/>
      <c r="AA3869" s="149"/>
      <c r="AB3869" s="149"/>
      <c r="AC3869" s="149"/>
      <c r="AD3869" s="149"/>
      <c r="AE3869" s="149"/>
      <c r="AF3869" s="149"/>
      <c r="AG3869" s="149"/>
      <c r="AH3869" s="149"/>
      <c r="AI3869" s="149"/>
      <c r="AJ3869" s="149"/>
      <c r="AK3869" s="149"/>
      <c r="AL3869" s="149"/>
      <c r="AM3869" s="149"/>
      <c r="AN3869" s="149"/>
      <c r="AO3869" s="128"/>
      <c r="AP3869" s="128"/>
      <c r="AQ3869" s="128"/>
      <c r="AR3869" s="128"/>
      <c r="AS3869" s="128"/>
      <c r="AT3869" s="128"/>
      <c r="AU3869" s="128"/>
      <c r="AV3869" s="128"/>
      <c r="AW3869" s="128"/>
      <c r="AX3869" s="128"/>
      <c r="AY3869" s="128"/>
      <c r="AZ3869" s="128"/>
      <c r="BA3869" s="128"/>
      <c r="BB3869" s="128"/>
      <c r="BC3869" s="128"/>
      <c r="BD3869" s="128"/>
      <c r="BE3869" s="128"/>
      <c r="BF3869" s="128"/>
      <c r="BG3869" s="128"/>
      <c r="BH3869" s="128"/>
      <c r="BI3869" s="128"/>
      <c r="BJ3869" s="128"/>
      <c r="BK3869" s="128"/>
      <c r="BL3869" s="128"/>
      <c r="BM3869" s="151"/>
      <c r="BN3869" s="128"/>
      <c r="BO3869" s="128"/>
      <c r="BP3869" s="128"/>
      <c r="BQ3869" s="128"/>
      <c r="BR3869" s="128"/>
      <c r="BS3869" s="128"/>
      <c r="BT3869" s="128"/>
      <c r="BU3869" s="128"/>
      <c r="BV3869" s="128"/>
      <c r="BW3869" s="128"/>
      <c r="BX3869" s="128"/>
      <c r="BY3869" s="128"/>
      <c r="BZ3869" s="128"/>
      <c r="CA3869" s="128"/>
      <c r="CB3869" s="128"/>
      <c r="CC3869" s="128"/>
      <c r="CD3869" s="128"/>
      <c r="CE3869" s="128"/>
      <c r="CF3869" s="128"/>
      <c r="CG3869" s="128"/>
      <c r="CI3869" s="128"/>
      <c r="CJ3869" s="128"/>
      <c r="CK3869" s="128"/>
      <c r="CL3869" s="128"/>
      <c r="CM3869" s="128"/>
      <c r="CN3869" s="128"/>
      <c r="CO3869" s="128"/>
      <c r="CP3869" s="128"/>
      <c r="CQ3869" s="128"/>
      <c r="CR3869" s="128"/>
      <c r="CS3869" s="128"/>
      <c r="CT3869" s="128"/>
      <c r="CU3869" s="128"/>
      <c r="CV3869" s="128"/>
      <c r="CW3869" s="128"/>
      <c r="CX3869" s="128"/>
      <c r="CY3869" s="128"/>
      <c r="CZ3869" s="165"/>
    </row>
    <row r="3870" spans="1:104">
      <c r="A3870" s="149"/>
      <c r="B3870" s="149"/>
      <c r="C3870" s="150"/>
      <c r="D3870" s="102"/>
      <c r="E3870" s="149"/>
      <c r="F3870" s="149"/>
      <c r="G3870" s="149"/>
      <c r="H3870" s="149"/>
      <c r="I3870" s="149"/>
      <c r="J3870" s="149"/>
      <c r="K3870" s="149"/>
      <c r="L3870" s="149"/>
      <c r="M3870" s="149"/>
      <c r="N3870" s="149"/>
      <c r="O3870" s="149"/>
      <c r="P3870" s="149"/>
      <c r="Q3870" s="149"/>
      <c r="R3870" s="149"/>
      <c r="S3870" s="149"/>
      <c r="T3870" s="149"/>
      <c r="U3870" s="149"/>
      <c r="V3870" s="149"/>
      <c r="W3870" s="149"/>
      <c r="X3870" s="149"/>
      <c r="Y3870" s="149"/>
      <c r="Z3870" s="149"/>
      <c r="AA3870" s="149"/>
      <c r="AB3870" s="149"/>
      <c r="AC3870" s="149"/>
      <c r="AD3870" s="149"/>
      <c r="AE3870" s="149"/>
      <c r="AF3870" s="149"/>
      <c r="AG3870" s="149"/>
      <c r="AH3870" s="149"/>
      <c r="AI3870" s="149"/>
      <c r="AJ3870" s="149"/>
      <c r="AK3870" s="149"/>
      <c r="AL3870" s="149"/>
      <c r="AM3870" s="149"/>
      <c r="AN3870" s="149"/>
      <c r="AO3870" s="128"/>
      <c r="AP3870" s="128"/>
      <c r="AQ3870" s="128"/>
      <c r="AR3870" s="128"/>
      <c r="AS3870" s="128"/>
      <c r="AT3870" s="128"/>
      <c r="AU3870" s="128"/>
      <c r="AV3870" s="128"/>
      <c r="AW3870" s="128"/>
      <c r="AX3870" s="128"/>
      <c r="AY3870" s="128"/>
      <c r="AZ3870" s="128"/>
      <c r="BA3870" s="128"/>
      <c r="BB3870" s="128"/>
      <c r="BC3870" s="128"/>
      <c r="BD3870" s="128"/>
      <c r="BE3870" s="128"/>
      <c r="BF3870" s="128"/>
      <c r="BG3870" s="128"/>
      <c r="BH3870" s="128"/>
      <c r="BI3870" s="128"/>
      <c r="BJ3870" s="128"/>
      <c r="BK3870" s="128"/>
      <c r="BL3870" s="128"/>
      <c r="BM3870" s="151"/>
      <c r="BN3870" s="128"/>
      <c r="BO3870" s="128"/>
      <c r="BP3870" s="128"/>
      <c r="BQ3870" s="128"/>
      <c r="BR3870" s="128"/>
      <c r="BS3870" s="128"/>
      <c r="BT3870" s="128"/>
      <c r="BU3870" s="128"/>
      <c r="BV3870" s="128"/>
      <c r="BW3870" s="128"/>
      <c r="BX3870" s="128"/>
      <c r="BY3870" s="128"/>
      <c r="BZ3870" s="128"/>
      <c r="CA3870" s="128"/>
      <c r="CB3870" s="128"/>
      <c r="CC3870" s="128"/>
      <c r="CD3870" s="128"/>
      <c r="CE3870" s="128"/>
      <c r="CF3870" s="128"/>
      <c r="CG3870" s="128"/>
      <c r="CI3870" s="128"/>
      <c r="CJ3870" s="128"/>
      <c r="CK3870" s="128"/>
      <c r="CL3870" s="128"/>
      <c r="CM3870" s="128"/>
      <c r="CN3870" s="128"/>
      <c r="CO3870" s="128"/>
      <c r="CP3870" s="128"/>
      <c r="CQ3870" s="128"/>
      <c r="CR3870" s="128"/>
      <c r="CS3870" s="128"/>
      <c r="CT3870" s="128"/>
      <c r="CU3870" s="128"/>
      <c r="CV3870" s="128"/>
      <c r="CW3870" s="128"/>
      <c r="CX3870" s="128"/>
      <c r="CY3870" s="128"/>
      <c r="CZ3870" s="165"/>
    </row>
    <row r="3871" spans="1:104">
      <c r="A3871" s="149"/>
      <c r="B3871" s="149"/>
      <c r="C3871" s="150"/>
      <c r="D3871" s="102"/>
      <c r="E3871" s="149"/>
      <c r="F3871" s="149"/>
      <c r="G3871" s="149"/>
      <c r="H3871" s="149"/>
      <c r="I3871" s="149"/>
      <c r="J3871" s="149"/>
      <c r="K3871" s="149"/>
      <c r="L3871" s="149"/>
      <c r="M3871" s="149"/>
      <c r="N3871" s="149"/>
      <c r="O3871" s="149"/>
      <c r="P3871" s="149"/>
      <c r="Q3871" s="149"/>
      <c r="R3871" s="149"/>
      <c r="S3871" s="149"/>
      <c r="T3871" s="149"/>
      <c r="U3871" s="149"/>
      <c r="V3871" s="149"/>
      <c r="W3871" s="149"/>
      <c r="X3871" s="149"/>
      <c r="Y3871" s="149"/>
      <c r="Z3871" s="149"/>
      <c r="AA3871" s="149"/>
      <c r="AB3871" s="149"/>
      <c r="AC3871" s="149"/>
      <c r="AD3871" s="149"/>
      <c r="AE3871" s="149"/>
      <c r="AF3871" s="149"/>
      <c r="AG3871" s="149"/>
      <c r="AH3871" s="149"/>
      <c r="AI3871" s="149"/>
      <c r="AJ3871" s="149"/>
      <c r="AK3871" s="149"/>
      <c r="AL3871" s="149"/>
      <c r="AM3871" s="149"/>
      <c r="AN3871" s="149"/>
      <c r="AO3871" s="128"/>
      <c r="AP3871" s="128"/>
      <c r="AQ3871" s="128"/>
      <c r="AR3871" s="128"/>
      <c r="AS3871" s="128"/>
      <c r="AT3871" s="128"/>
      <c r="AU3871" s="128"/>
      <c r="AV3871" s="128"/>
      <c r="AW3871" s="128"/>
      <c r="AX3871" s="128"/>
      <c r="AY3871" s="128"/>
      <c r="AZ3871" s="128"/>
      <c r="BA3871" s="128"/>
      <c r="BB3871" s="128"/>
      <c r="BC3871" s="128"/>
      <c r="BD3871" s="128"/>
      <c r="BE3871" s="128"/>
      <c r="BF3871" s="128"/>
      <c r="BG3871" s="128"/>
      <c r="BH3871" s="128"/>
      <c r="BI3871" s="128"/>
      <c r="BJ3871" s="128"/>
      <c r="BK3871" s="128"/>
      <c r="BL3871" s="128"/>
      <c r="BM3871" s="151"/>
      <c r="BN3871" s="128"/>
      <c r="BO3871" s="128"/>
      <c r="BP3871" s="128"/>
      <c r="BQ3871" s="128"/>
      <c r="BR3871" s="128"/>
      <c r="BS3871" s="128"/>
      <c r="BT3871" s="128"/>
      <c r="BU3871" s="128"/>
      <c r="BV3871" s="128"/>
      <c r="BW3871" s="128"/>
      <c r="BX3871" s="128"/>
      <c r="BY3871" s="128"/>
      <c r="BZ3871" s="128"/>
      <c r="CA3871" s="128"/>
      <c r="CB3871" s="128"/>
      <c r="CC3871" s="128"/>
      <c r="CD3871" s="128"/>
      <c r="CE3871" s="128"/>
      <c r="CF3871" s="128"/>
      <c r="CG3871" s="128"/>
      <c r="CI3871" s="128"/>
      <c r="CJ3871" s="128"/>
      <c r="CK3871" s="128"/>
      <c r="CL3871" s="128"/>
      <c r="CM3871" s="128"/>
      <c r="CN3871" s="128"/>
      <c r="CO3871" s="128"/>
      <c r="CP3871" s="128"/>
      <c r="CQ3871" s="128"/>
      <c r="CR3871" s="128"/>
      <c r="CS3871" s="128"/>
      <c r="CT3871" s="128"/>
      <c r="CU3871" s="128"/>
      <c r="CV3871" s="128"/>
      <c r="CW3871" s="128"/>
      <c r="CX3871" s="128"/>
      <c r="CY3871" s="128"/>
      <c r="CZ3871" s="165"/>
    </row>
    <row r="3872" spans="1:104">
      <c r="A3872" s="149"/>
      <c r="B3872" s="149"/>
      <c r="C3872" s="150"/>
      <c r="D3872" s="102"/>
      <c r="E3872" s="149"/>
      <c r="F3872" s="149"/>
      <c r="G3872" s="149"/>
      <c r="H3872" s="149"/>
      <c r="I3872" s="149"/>
      <c r="J3872" s="149"/>
      <c r="K3872" s="149"/>
      <c r="L3872" s="149"/>
      <c r="M3872" s="149"/>
      <c r="N3872" s="149"/>
      <c r="O3872" s="149"/>
      <c r="P3872" s="149"/>
      <c r="Q3872" s="149"/>
      <c r="R3872" s="149"/>
      <c r="S3872" s="149"/>
      <c r="T3872" s="149"/>
      <c r="U3872" s="149"/>
      <c r="V3872" s="149"/>
      <c r="W3872" s="149"/>
      <c r="X3872" s="149"/>
      <c r="Y3872" s="149"/>
      <c r="Z3872" s="149"/>
      <c r="AA3872" s="149"/>
      <c r="AB3872" s="149"/>
      <c r="AC3872" s="149"/>
      <c r="AD3872" s="149"/>
      <c r="AE3872" s="149"/>
      <c r="AF3872" s="149"/>
      <c r="AG3872" s="149"/>
      <c r="AH3872" s="149"/>
      <c r="AI3872" s="149"/>
      <c r="AJ3872" s="149"/>
      <c r="AK3872" s="149"/>
      <c r="AL3872" s="149"/>
      <c r="AM3872" s="149"/>
      <c r="AN3872" s="149"/>
      <c r="AO3872" s="128"/>
      <c r="AP3872" s="128"/>
      <c r="AQ3872" s="128"/>
      <c r="AR3872" s="128"/>
      <c r="AS3872" s="128"/>
      <c r="AT3872" s="128"/>
      <c r="AU3872" s="128"/>
      <c r="AV3872" s="128"/>
      <c r="AW3872" s="128"/>
      <c r="AX3872" s="128"/>
      <c r="AY3872" s="128"/>
      <c r="AZ3872" s="128"/>
      <c r="BA3872" s="128"/>
      <c r="BB3872" s="128"/>
      <c r="BC3872" s="128"/>
      <c r="BD3872" s="128"/>
      <c r="BE3872" s="128"/>
      <c r="BF3872" s="128"/>
      <c r="BG3872" s="128"/>
      <c r="BH3872" s="128"/>
      <c r="BI3872" s="128"/>
      <c r="BJ3872" s="128"/>
      <c r="BK3872" s="128"/>
      <c r="BL3872" s="128"/>
      <c r="BM3872" s="151"/>
      <c r="BN3872" s="128"/>
      <c r="BO3872" s="128"/>
      <c r="BP3872" s="128"/>
      <c r="BQ3872" s="128"/>
      <c r="BR3872" s="128"/>
      <c r="BS3872" s="128"/>
      <c r="BT3872" s="128"/>
      <c r="BU3872" s="128"/>
      <c r="BV3872" s="128"/>
      <c r="BW3872" s="128"/>
      <c r="BX3872" s="128"/>
      <c r="BY3872" s="128"/>
      <c r="BZ3872" s="128"/>
      <c r="CA3872" s="128"/>
      <c r="CB3872" s="128"/>
      <c r="CC3872" s="128"/>
      <c r="CD3872" s="128"/>
      <c r="CE3872" s="128"/>
      <c r="CF3872" s="128"/>
      <c r="CG3872" s="128"/>
      <c r="CI3872" s="128"/>
      <c r="CJ3872" s="128"/>
      <c r="CK3872" s="128"/>
      <c r="CL3872" s="128"/>
      <c r="CM3872" s="128"/>
      <c r="CN3872" s="128"/>
      <c r="CO3872" s="128"/>
      <c r="CP3872" s="128"/>
      <c r="CQ3872" s="128"/>
      <c r="CR3872" s="128"/>
      <c r="CS3872" s="128"/>
      <c r="CT3872" s="128"/>
      <c r="CU3872" s="128"/>
      <c r="CV3872" s="128"/>
      <c r="CW3872" s="128"/>
      <c r="CX3872" s="128"/>
      <c r="CY3872" s="128"/>
      <c r="CZ3872" s="165"/>
    </row>
    <row r="3873" spans="1:104">
      <c r="A3873" s="149"/>
      <c r="B3873" s="149"/>
      <c r="C3873" s="150"/>
      <c r="D3873" s="102"/>
      <c r="E3873" s="149"/>
      <c r="F3873" s="149"/>
      <c r="G3873" s="149"/>
      <c r="H3873" s="149"/>
      <c r="I3873" s="149"/>
      <c r="J3873" s="149"/>
      <c r="K3873" s="149"/>
      <c r="L3873" s="149"/>
      <c r="M3873" s="149"/>
      <c r="N3873" s="149"/>
      <c r="O3873" s="149"/>
      <c r="P3873" s="149"/>
      <c r="Q3873" s="149"/>
      <c r="R3873" s="149"/>
      <c r="S3873" s="149"/>
      <c r="T3873" s="149"/>
      <c r="U3873" s="149"/>
      <c r="V3873" s="149"/>
      <c r="W3873" s="149"/>
      <c r="X3873" s="149"/>
      <c r="Y3873" s="149"/>
      <c r="Z3873" s="149"/>
      <c r="AA3873" s="149"/>
      <c r="AB3873" s="149"/>
      <c r="AC3873" s="149"/>
      <c r="AD3873" s="149"/>
      <c r="AE3873" s="149"/>
      <c r="AF3873" s="149"/>
      <c r="AG3873" s="149"/>
      <c r="AH3873" s="149"/>
      <c r="AI3873" s="149"/>
      <c r="AJ3873" s="149"/>
      <c r="AK3873" s="149"/>
      <c r="AL3873" s="149"/>
      <c r="AM3873" s="149"/>
      <c r="AN3873" s="149"/>
      <c r="AO3873" s="128"/>
      <c r="AP3873" s="128"/>
      <c r="AQ3873" s="128"/>
      <c r="AR3873" s="128"/>
      <c r="AS3873" s="128"/>
      <c r="AT3873" s="128"/>
      <c r="AU3873" s="128"/>
      <c r="AV3873" s="128"/>
      <c r="AW3873" s="128"/>
      <c r="AX3873" s="128"/>
      <c r="AY3873" s="128"/>
      <c r="AZ3873" s="128"/>
      <c r="BA3873" s="128"/>
      <c r="BB3873" s="128"/>
      <c r="BC3873" s="128"/>
      <c r="BD3873" s="128"/>
      <c r="BE3873" s="128"/>
      <c r="BF3873" s="128"/>
      <c r="BG3873" s="128"/>
      <c r="BH3873" s="128"/>
      <c r="BI3873" s="128"/>
      <c r="BJ3873" s="128"/>
      <c r="BK3873" s="128"/>
      <c r="BL3873" s="128"/>
      <c r="BM3873" s="151"/>
      <c r="BN3873" s="128"/>
      <c r="BO3873" s="128"/>
      <c r="BP3873" s="128"/>
      <c r="BQ3873" s="128"/>
      <c r="BR3873" s="128"/>
      <c r="BS3873" s="128"/>
      <c r="BT3873" s="128"/>
      <c r="BU3873" s="128"/>
      <c r="BV3873" s="128"/>
      <c r="BW3873" s="128"/>
      <c r="BX3873" s="128"/>
      <c r="BY3873" s="128"/>
      <c r="BZ3873" s="128"/>
      <c r="CA3873" s="128"/>
      <c r="CB3873" s="128"/>
      <c r="CC3873" s="128"/>
      <c r="CD3873" s="128"/>
      <c r="CE3873" s="128"/>
      <c r="CF3873" s="128"/>
      <c r="CG3873" s="128"/>
      <c r="CI3873" s="128"/>
      <c r="CJ3873" s="128"/>
      <c r="CK3873" s="128"/>
      <c r="CL3873" s="128"/>
      <c r="CM3873" s="128"/>
      <c r="CN3873" s="128"/>
      <c r="CO3873" s="128"/>
      <c r="CP3873" s="128"/>
      <c r="CQ3873" s="128"/>
      <c r="CR3873" s="128"/>
      <c r="CS3873" s="128"/>
      <c r="CT3873" s="128"/>
      <c r="CU3873" s="128"/>
      <c r="CV3873" s="128"/>
      <c r="CW3873" s="128"/>
      <c r="CX3873" s="128"/>
      <c r="CY3873" s="128"/>
      <c r="CZ3873" s="165"/>
    </row>
    <row r="3874" spans="1:104">
      <c r="A3874" s="149"/>
      <c r="B3874" s="149"/>
      <c r="C3874" s="150"/>
      <c r="D3874" s="102"/>
      <c r="E3874" s="149"/>
      <c r="F3874" s="149"/>
      <c r="G3874" s="149"/>
      <c r="H3874" s="149"/>
      <c r="I3874" s="149"/>
      <c r="J3874" s="149"/>
      <c r="K3874" s="149"/>
      <c r="L3874" s="149"/>
      <c r="M3874" s="149"/>
      <c r="N3874" s="149"/>
      <c r="O3874" s="149"/>
      <c r="P3874" s="149"/>
      <c r="Q3874" s="149"/>
      <c r="R3874" s="149"/>
      <c r="S3874" s="149"/>
      <c r="T3874" s="149"/>
      <c r="U3874" s="149"/>
      <c r="V3874" s="149"/>
      <c r="W3874" s="149"/>
      <c r="X3874" s="149"/>
      <c r="Y3874" s="149"/>
      <c r="Z3874" s="149"/>
      <c r="AA3874" s="149"/>
      <c r="AB3874" s="149"/>
      <c r="AC3874" s="149"/>
      <c r="AD3874" s="149"/>
      <c r="AE3874" s="149"/>
      <c r="AF3874" s="149"/>
      <c r="AG3874" s="149"/>
      <c r="AH3874" s="149"/>
      <c r="AI3874" s="149"/>
      <c r="AJ3874" s="149"/>
      <c r="AK3874" s="149"/>
      <c r="AL3874" s="149"/>
      <c r="AM3874" s="149"/>
      <c r="AN3874" s="149"/>
      <c r="AO3874" s="128"/>
      <c r="AP3874" s="128"/>
      <c r="AQ3874" s="128"/>
      <c r="AR3874" s="128"/>
      <c r="AS3874" s="128"/>
      <c r="AT3874" s="128"/>
      <c r="AU3874" s="128"/>
      <c r="AV3874" s="128"/>
      <c r="AW3874" s="128"/>
      <c r="AX3874" s="128"/>
      <c r="AY3874" s="128"/>
      <c r="AZ3874" s="128"/>
      <c r="BA3874" s="128"/>
      <c r="BB3874" s="128"/>
      <c r="BC3874" s="128"/>
      <c r="BD3874" s="128"/>
      <c r="BE3874" s="128"/>
      <c r="BF3874" s="128"/>
      <c r="BG3874" s="128"/>
      <c r="BH3874" s="128"/>
      <c r="BI3874" s="128"/>
      <c r="BJ3874" s="128"/>
      <c r="BK3874" s="128"/>
      <c r="BL3874" s="128"/>
      <c r="BM3874" s="151"/>
      <c r="BN3874" s="128"/>
      <c r="BO3874" s="128"/>
      <c r="BP3874" s="128"/>
      <c r="BQ3874" s="128"/>
      <c r="BR3874" s="128"/>
      <c r="BS3874" s="128"/>
      <c r="BT3874" s="128"/>
      <c r="BU3874" s="128"/>
      <c r="BV3874" s="128"/>
      <c r="BW3874" s="128"/>
      <c r="BX3874" s="128"/>
      <c r="BY3874" s="128"/>
      <c r="BZ3874" s="128"/>
      <c r="CA3874" s="128"/>
      <c r="CB3874" s="128"/>
      <c r="CC3874" s="128"/>
      <c r="CD3874" s="128"/>
      <c r="CE3874" s="128"/>
      <c r="CF3874" s="128"/>
      <c r="CG3874" s="128"/>
      <c r="CI3874" s="128"/>
      <c r="CJ3874" s="128"/>
      <c r="CK3874" s="128"/>
      <c r="CL3874" s="128"/>
      <c r="CM3874" s="128"/>
      <c r="CN3874" s="128"/>
      <c r="CO3874" s="128"/>
      <c r="CP3874" s="128"/>
      <c r="CQ3874" s="128"/>
      <c r="CR3874" s="128"/>
      <c r="CS3874" s="128"/>
      <c r="CT3874" s="128"/>
      <c r="CU3874" s="128"/>
      <c r="CV3874" s="128"/>
      <c r="CW3874" s="128"/>
      <c r="CX3874" s="128"/>
      <c r="CY3874" s="128"/>
      <c r="CZ3874" s="165"/>
    </row>
    <row r="3875" spans="1:104">
      <c r="A3875" s="149"/>
      <c r="B3875" s="149"/>
      <c r="C3875" s="150"/>
      <c r="D3875" s="102"/>
      <c r="E3875" s="149"/>
      <c r="F3875" s="149"/>
      <c r="G3875" s="149"/>
      <c r="H3875" s="149"/>
      <c r="I3875" s="149"/>
      <c r="J3875" s="149"/>
      <c r="K3875" s="149"/>
      <c r="L3875" s="149"/>
      <c r="M3875" s="149"/>
      <c r="N3875" s="149"/>
      <c r="O3875" s="149"/>
      <c r="P3875" s="149"/>
      <c r="Q3875" s="149"/>
      <c r="R3875" s="149"/>
      <c r="S3875" s="149"/>
      <c r="T3875" s="149"/>
      <c r="U3875" s="149"/>
      <c r="V3875" s="149"/>
      <c r="W3875" s="149"/>
      <c r="X3875" s="149"/>
      <c r="Y3875" s="149"/>
      <c r="Z3875" s="149"/>
      <c r="AA3875" s="149"/>
      <c r="AB3875" s="149"/>
      <c r="AC3875" s="149"/>
      <c r="AD3875" s="149"/>
      <c r="AE3875" s="149"/>
      <c r="AF3875" s="149"/>
      <c r="AG3875" s="149"/>
      <c r="AH3875" s="149"/>
      <c r="AI3875" s="149"/>
      <c r="AJ3875" s="149"/>
      <c r="AK3875" s="149"/>
      <c r="AL3875" s="149"/>
      <c r="AM3875" s="149"/>
      <c r="AN3875" s="149"/>
      <c r="AO3875" s="128"/>
      <c r="AP3875" s="128"/>
      <c r="AQ3875" s="128"/>
      <c r="AR3875" s="128"/>
      <c r="AS3875" s="128"/>
      <c r="AT3875" s="128"/>
      <c r="AU3875" s="128"/>
      <c r="AV3875" s="128"/>
      <c r="AW3875" s="128"/>
      <c r="AX3875" s="128"/>
      <c r="AY3875" s="128"/>
      <c r="AZ3875" s="128"/>
      <c r="BA3875" s="128"/>
      <c r="BB3875" s="128"/>
      <c r="BC3875" s="128"/>
      <c r="BD3875" s="128"/>
      <c r="BE3875" s="128"/>
      <c r="BF3875" s="128"/>
      <c r="BG3875" s="128"/>
      <c r="BH3875" s="128"/>
      <c r="BI3875" s="128"/>
      <c r="BJ3875" s="128"/>
      <c r="BK3875" s="128"/>
      <c r="BL3875" s="128"/>
      <c r="BM3875" s="151"/>
      <c r="BN3875" s="128"/>
      <c r="BO3875" s="128"/>
      <c r="BP3875" s="128"/>
      <c r="BQ3875" s="128"/>
      <c r="BR3875" s="128"/>
      <c r="BS3875" s="128"/>
      <c r="BT3875" s="128"/>
      <c r="BU3875" s="128"/>
      <c r="BV3875" s="128"/>
      <c r="BW3875" s="128"/>
      <c r="BX3875" s="128"/>
      <c r="BY3875" s="128"/>
      <c r="BZ3875" s="128"/>
      <c r="CA3875" s="128"/>
      <c r="CB3875" s="128"/>
      <c r="CC3875" s="128"/>
      <c r="CD3875" s="128"/>
      <c r="CE3875" s="128"/>
      <c r="CF3875" s="128"/>
      <c r="CG3875" s="128"/>
      <c r="CI3875" s="128"/>
      <c r="CJ3875" s="128"/>
      <c r="CK3875" s="128"/>
      <c r="CL3875" s="128"/>
      <c r="CM3875" s="128"/>
      <c r="CN3875" s="128"/>
      <c r="CO3875" s="128"/>
      <c r="CP3875" s="128"/>
      <c r="CQ3875" s="128"/>
      <c r="CR3875" s="128"/>
      <c r="CS3875" s="128"/>
      <c r="CT3875" s="128"/>
      <c r="CU3875" s="128"/>
      <c r="CV3875" s="128"/>
      <c r="CW3875" s="128"/>
      <c r="CX3875" s="128"/>
      <c r="CY3875" s="128"/>
      <c r="CZ3875" s="165"/>
    </row>
    <row r="3876" spans="1:104">
      <c r="A3876" s="149"/>
      <c r="B3876" s="149"/>
      <c r="C3876" s="150"/>
      <c r="D3876" s="102"/>
      <c r="E3876" s="149"/>
      <c r="F3876" s="149"/>
      <c r="G3876" s="149"/>
      <c r="H3876" s="149"/>
      <c r="I3876" s="149"/>
      <c r="J3876" s="149"/>
      <c r="K3876" s="149"/>
      <c r="L3876" s="149"/>
      <c r="M3876" s="149"/>
      <c r="N3876" s="149"/>
      <c r="O3876" s="149"/>
      <c r="P3876" s="149"/>
      <c r="Q3876" s="149"/>
      <c r="R3876" s="149"/>
      <c r="S3876" s="149"/>
      <c r="T3876" s="149"/>
      <c r="U3876" s="149"/>
      <c r="V3876" s="149"/>
      <c r="W3876" s="149"/>
      <c r="X3876" s="149"/>
      <c r="Y3876" s="149"/>
      <c r="Z3876" s="149"/>
      <c r="AA3876" s="149"/>
      <c r="AB3876" s="149"/>
      <c r="AC3876" s="149"/>
      <c r="AD3876" s="149"/>
      <c r="AE3876" s="149"/>
      <c r="AF3876" s="149"/>
      <c r="AG3876" s="149"/>
      <c r="AH3876" s="149"/>
      <c r="AI3876" s="149"/>
      <c r="AJ3876" s="149"/>
      <c r="AK3876" s="149"/>
      <c r="AL3876" s="149"/>
      <c r="AM3876" s="149"/>
      <c r="AN3876" s="149"/>
      <c r="AO3876" s="128"/>
      <c r="AP3876" s="128"/>
      <c r="AQ3876" s="128"/>
      <c r="AR3876" s="128"/>
      <c r="AS3876" s="128"/>
      <c r="AT3876" s="128"/>
      <c r="AU3876" s="128"/>
      <c r="AV3876" s="128"/>
      <c r="AW3876" s="128"/>
      <c r="AX3876" s="128"/>
      <c r="AY3876" s="128"/>
      <c r="AZ3876" s="128"/>
      <c r="BA3876" s="128"/>
      <c r="BB3876" s="128"/>
      <c r="BC3876" s="128"/>
      <c r="BD3876" s="128"/>
      <c r="BE3876" s="128"/>
      <c r="BF3876" s="128"/>
      <c r="BG3876" s="128"/>
      <c r="BH3876" s="128"/>
      <c r="BI3876" s="128"/>
      <c r="BJ3876" s="128"/>
      <c r="BK3876" s="128"/>
      <c r="BL3876" s="128"/>
      <c r="BM3876" s="151"/>
      <c r="BN3876" s="128"/>
      <c r="BO3876" s="128"/>
      <c r="BP3876" s="128"/>
      <c r="BQ3876" s="128"/>
      <c r="BR3876" s="128"/>
      <c r="BS3876" s="128"/>
      <c r="BT3876" s="128"/>
      <c r="BU3876" s="128"/>
      <c r="BV3876" s="128"/>
      <c r="BW3876" s="128"/>
      <c r="BX3876" s="128"/>
      <c r="BY3876" s="128"/>
      <c r="BZ3876" s="128"/>
      <c r="CA3876" s="128"/>
      <c r="CB3876" s="128"/>
      <c r="CC3876" s="128"/>
      <c r="CD3876" s="128"/>
      <c r="CE3876" s="128"/>
      <c r="CF3876" s="128"/>
      <c r="CG3876" s="128"/>
      <c r="CI3876" s="128"/>
      <c r="CJ3876" s="128"/>
      <c r="CK3876" s="128"/>
      <c r="CL3876" s="128"/>
      <c r="CM3876" s="128"/>
      <c r="CN3876" s="128"/>
      <c r="CO3876" s="128"/>
      <c r="CP3876" s="128"/>
      <c r="CQ3876" s="128"/>
      <c r="CR3876" s="128"/>
      <c r="CS3876" s="128"/>
      <c r="CT3876" s="128"/>
      <c r="CU3876" s="128"/>
      <c r="CV3876" s="128"/>
      <c r="CW3876" s="128"/>
      <c r="CX3876" s="128"/>
      <c r="CY3876" s="128"/>
      <c r="CZ3876" s="165"/>
    </row>
    <row r="3877" spans="1:104">
      <c r="A3877" s="149"/>
      <c r="B3877" s="149"/>
      <c r="C3877" s="150"/>
      <c r="D3877" s="102"/>
      <c r="E3877" s="149"/>
      <c r="F3877" s="149"/>
      <c r="G3877" s="149"/>
      <c r="H3877" s="149"/>
      <c r="I3877" s="149"/>
      <c r="J3877" s="149"/>
      <c r="K3877" s="149"/>
      <c r="L3877" s="149"/>
      <c r="M3877" s="149"/>
      <c r="N3877" s="149"/>
      <c r="O3877" s="149"/>
      <c r="P3877" s="149"/>
      <c r="Q3877" s="149"/>
      <c r="R3877" s="149"/>
      <c r="S3877" s="149"/>
      <c r="T3877" s="149"/>
      <c r="U3877" s="149"/>
      <c r="V3877" s="149"/>
      <c r="W3877" s="149"/>
      <c r="X3877" s="149"/>
      <c r="Y3877" s="149"/>
      <c r="Z3877" s="149"/>
      <c r="AA3877" s="149"/>
      <c r="AB3877" s="149"/>
      <c r="AC3877" s="149"/>
      <c r="AD3877" s="149"/>
      <c r="AE3877" s="149"/>
      <c r="AF3877" s="149"/>
      <c r="AG3877" s="149"/>
      <c r="AH3877" s="149"/>
      <c r="AI3877" s="149"/>
      <c r="AJ3877" s="149"/>
      <c r="AK3877" s="149"/>
      <c r="AL3877" s="149"/>
      <c r="AM3877" s="149"/>
      <c r="AN3877" s="149"/>
      <c r="AO3877" s="128"/>
      <c r="AP3877" s="128"/>
      <c r="AQ3877" s="128"/>
      <c r="AR3877" s="128"/>
      <c r="AS3877" s="128"/>
      <c r="AT3877" s="128"/>
      <c r="AU3877" s="128"/>
      <c r="AV3877" s="128"/>
      <c r="AW3877" s="128"/>
      <c r="AX3877" s="128"/>
      <c r="AY3877" s="128"/>
      <c r="AZ3877" s="128"/>
      <c r="BA3877" s="128"/>
      <c r="BB3877" s="128"/>
      <c r="BC3877" s="128"/>
      <c r="BD3877" s="128"/>
      <c r="BE3877" s="128"/>
      <c r="BF3877" s="128"/>
      <c r="BG3877" s="128"/>
      <c r="BH3877" s="128"/>
      <c r="BI3877" s="128"/>
      <c r="BJ3877" s="128"/>
      <c r="BK3877" s="128"/>
      <c r="BL3877" s="128"/>
      <c r="BM3877" s="151"/>
      <c r="BN3877" s="128"/>
      <c r="BO3877" s="128"/>
      <c r="BP3877" s="128"/>
      <c r="BQ3877" s="128"/>
      <c r="BR3877" s="128"/>
      <c r="BS3877" s="128"/>
      <c r="BT3877" s="128"/>
      <c r="BU3877" s="128"/>
      <c r="BV3877" s="128"/>
      <c r="BW3877" s="128"/>
      <c r="BX3877" s="128"/>
      <c r="BY3877" s="128"/>
      <c r="BZ3877" s="128"/>
      <c r="CA3877" s="128"/>
      <c r="CB3877" s="128"/>
      <c r="CC3877" s="128"/>
      <c r="CD3877" s="128"/>
      <c r="CE3877" s="128"/>
      <c r="CF3877" s="128"/>
      <c r="CG3877" s="128"/>
      <c r="CI3877" s="128"/>
      <c r="CJ3877" s="128"/>
      <c r="CK3877" s="128"/>
      <c r="CL3877" s="128"/>
      <c r="CM3877" s="128"/>
      <c r="CN3877" s="128"/>
      <c r="CO3877" s="128"/>
      <c r="CP3877" s="128"/>
      <c r="CQ3877" s="128"/>
      <c r="CR3877" s="128"/>
      <c r="CS3877" s="128"/>
      <c r="CT3877" s="128"/>
      <c r="CU3877" s="128"/>
      <c r="CV3877" s="128"/>
      <c r="CW3877" s="128"/>
      <c r="CX3877" s="128"/>
      <c r="CY3877" s="128"/>
      <c r="CZ3877" s="165"/>
    </row>
    <row r="3878" spans="1:104">
      <c r="A3878" s="149"/>
      <c r="B3878" s="149"/>
      <c r="C3878" s="150"/>
      <c r="D3878" s="102"/>
      <c r="E3878" s="149"/>
      <c r="F3878" s="149"/>
      <c r="G3878" s="149"/>
      <c r="H3878" s="149"/>
      <c r="I3878" s="149"/>
      <c r="J3878" s="149"/>
      <c r="K3878" s="149"/>
      <c r="L3878" s="149"/>
      <c r="M3878" s="149"/>
      <c r="N3878" s="149"/>
      <c r="O3878" s="149"/>
      <c r="P3878" s="149"/>
      <c r="Q3878" s="149"/>
      <c r="R3878" s="149"/>
      <c r="S3878" s="149"/>
      <c r="T3878" s="149"/>
      <c r="U3878" s="149"/>
      <c r="V3878" s="149"/>
      <c r="W3878" s="149"/>
      <c r="X3878" s="149"/>
      <c r="Y3878" s="149"/>
      <c r="Z3878" s="149"/>
      <c r="AA3878" s="149"/>
      <c r="AB3878" s="149"/>
      <c r="AC3878" s="149"/>
      <c r="AD3878" s="149"/>
      <c r="AE3878" s="149"/>
      <c r="AF3878" s="149"/>
      <c r="AG3878" s="149"/>
      <c r="AH3878" s="149"/>
      <c r="AI3878" s="149"/>
      <c r="AJ3878" s="149"/>
      <c r="AK3878" s="149"/>
      <c r="AL3878" s="149"/>
      <c r="AM3878" s="149"/>
      <c r="AN3878" s="149"/>
      <c r="AO3878" s="128"/>
      <c r="AP3878" s="128"/>
      <c r="AQ3878" s="128"/>
      <c r="AR3878" s="128"/>
      <c r="AS3878" s="128"/>
      <c r="AT3878" s="128"/>
      <c r="AU3878" s="128"/>
      <c r="AV3878" s="128"/>
      <c r="AW3878" s="128"/>
      <c r="AX3878" s="128"/>
      <c r="AY3878" s="128"/>
      <c r="AZ3878" s="128"/>
      <c r="BA3878" s="128"/>
      <c r="BB3878" s="128"/>
      <c r="BC3878" s="128"/>
      <c r="BD3878" s="128"/>
      <c r="BE3878" s="128"/>
      <c r="BF3878" s="128"/>
      <c r="BG3878" s="128"/>
      <c r="BH3878" s="128"/>
      <c r="BI3878" s="128"/>
      <c r="BJ3878" s="128"/>
      <c r="BK3878" s="128"/>
      <c r="BL3878" s="128"/>
      <c r="BM3878" s="151"/>
      <c r="BN3878" s="128"/>
      <c r="BO3878" s="128"/>
      <c r="BP3878" s="128"/>
      <c r="BQ3878" s="128"/>
      <c r="BR3878" s="128"/>
      <c r="BS3878" s="128"/>
      <c r="BT3878" s="128"/>
      <c r="BU3878" s="128"/>
      <c r="BV3878" s="128"/>
      <c r="BW3878" s="128"/>
      <c r="BX3878" s="128"/>
      <c r="BY3878" s="128"/>
      <c r="BZ3878" s="128"/>
      <c r="CA3878" s="128"/>
      <c r="CB3878" s="128"/>
      <c r="CC3878" s="128"/>
      <c r="CD3878" s="128"/>
      <c r="CE3878" s="128"/>
      <c r="CF3878" s="128"/>
      <c r="CG3878" s="128"/>
      <c r="CI3878" s="128"/>
      <c r="CJ3878" s="128"/>
      <c r="CK3878" s="128"/>
      <c r="CL3878" s="128"/>
      <c r="CM3878" s="128"/>
      <c r="CN3878" s="128"/>
      <c r="CO3878" s="128"/>
      <c r="CP3878" s="128"/>
      <c r="CQ3878" s="128"/>
      <c r="CR3878" s="128"/>
      <c r="CS3878" s="128"/>
      <c r="CT3878" s="128"/>
      <c r="CU3878" s="128"/>
      <c r="CV3878" s="128"/>
      <c r="CW3878" s="128"/>
      <c r="CX3878" s="128"/>
      <c r="CY3878" s="128"/>
      <c r="CZ3878" s="165"/>
    </row>
    <row r="3879" spans="1:104">
      <c r="A3879" s="149"/>
      <c r="B3879" s="149"/>
      <c r="C3879" s="150"/>
      <c r="D3879" s="102"/>
      <c r="E3879" s="149"/>
      <c r="F3879" s="149"/>
      <c r="G3879" s="149"/>
      <c r="H3879" s="149"/>
      <c r="I3879" s="149"/>
      <c r="J3879" s="149"/>
      <c r="K3879" s="149"/>
      <c r="L3879" s="149"/>
      <c r="M3879" s="149"/>
      <c r="N3879" s="149"/>
      <c r="O3879" s="149"/>
      <c r="P3879" s="149"/>
      <c r="Q3879" s="149"/>
      <c r="R3879" s="149"/>
      <c r="S3879" s="149"/>
      <c r="T3879" s="149"/>
      <c r="U3879" s="149"/>
      <c r="V3879" s="149"/>
      <c r="W3879" s="149"/>
      <c r="X3879" s="149"/>
      <c r="Y3879" s="149"/>
      <c r="Z3879" s="149"/>
      <c r="AA3879" s="149"/>
      <c r="AB3879" s="149"/>
      <c r="AC3879" s="149"/>
      <c r="AD3879" s="149"/>
      <c r="AE3879" s="149"/>
      <c r="AF3879" s="149"/>
      <c r="AG3879" s="149"/>
      <c r="AH3879" s="149"/>
      <c r="AI3879" s="149"/>
      <c r="AJ3879" s="149"/>
      <c r="AK3879" s="149"/>
      <c r="AL3879" s="149"/>
      <c r="AM3879" s="149"/>
      <c r="AN3879" s="149"/>
      <c r="AO3879" s="128"/>
      <c r="AP3879" s="128"/>
      <c r="AQ3879" s="128"/>
      <c r="AR3879" s="128"/>
      <c r="AS3879" s="128"/>
      <c r="AT3879" s="128"/>
      <c r="AU3879" s="128"/>
      <c r="AV3879" s="128"/>
      <c r="AW3879" s="128"/>
      <c r="AX3879" s="128"/>
      <c r="AY3879" s="128"/>
      <c r="AZ3879" s="128"/>
      <c r="BA3879" s="128"/>
      <c r="BB3879" s="128"/>
      <c r="BC3879" s="128"/>
      <c r="BD3879" s="128"/>
      <c r="BE3879" s="128"/>
      <c r="BF3879" s="128"/>
      <c r="BG3879" s="128"/>
      <c r="BH3879" s="128"/>
      <c r="BI3879" s="128"/>
      <c r="BJ3879" s="128"/>
      <c r="BK3879" s="128"/>
      <c r="BL3879" s="128"/>
      <c r="BM3879" s="151"/>
      <c r="BN3879" s="128"/>
      <c r="BO3879" s="128"/>
      <c r="BP3879" s="128"/>
      <c r="BQ3879" s="128"/>
      <c r="BR3879" s="128"/>
      <c r="BS3879" s="128"/>
      <c r="BT3879" s="128"/>
      <c r="BU3879" s="128"/>
      <c r="BV3879" s="128"/>
      <c r="BW3879" s="128"/>
      <c r="BX3879" s="128"/>
      <c r="BY3879" s="128"/>
      <c r="BZ3879" s="128"/>
      <c r="CA3879" s="128"/>
      <c r="CB3879" s="128"/>
      <c r="CC3879" s="128"/>
      <c r="CD3879" s="128"/>
      <c r="CE3879" s="128"/>
      <c r="CF3879" s="128"/>
      <c r="CG3879" s="128"/>
      <c r="CI3879" s="128"/>
      <c r="CJ3879" s="128"/>
      <c r="CK3879" s="128"/>
      <c r="CL3879" s="128"/>
      <c r="CM3879" s="128"/>
      <c r="CN3879" s="128"/>
      <c r="CO3879" s="128"/>
      <c r="CP3879" s="128"/>
      <c r="CQ3879" s="128"/>
      <c r="CR3879" s="128"/>
      <c r="CS3879" s="128"/>
      <c r="CT3879" s="128"/>
      <c r="CU3879" s="128"/>
      <c r="CV3879" s="128"/>
      <c r="CW3879" s="128"/>
      <c r="CX3879" s="128"/>
      <c r="CY3879" s="128"/>
      <c r="CZ3879" s="165"/>
    </row>
    <row r="3880" spans="1:104">
      <c r="A3880" s="149"/>
      <c r="B3880" s="149"/>
      <c r="C3880" s="150"/>
      <c r="D3880" s="102"/>
      <c r="E3880" s="149"/>
      <c r="F3880" s="149"/>
      <c r="G3880" s="149"/>
      <c r="H3880" s="149"/>
      <c r="I3880" s="149"/>
      <c r="J3880" s="149"/>
      <c r="K3880" s="149"/>
      <c r="L3880" s="149"/>
      <c r="M3880" s="149"/>
      <c r="N3880" s="149"/>
      <c r="O3880" s="149"/>
      <c r="P3880" s="149"/>
      <c r="Q3880" s="149"/>
      <c r="R3880" s="149"/>
      <c r="S3880" s="149"/>
      <c r="T3880" s="149"/>
      <c r="U3880" s="149"/>
      <c r="V3880" s="149"/>
      <c r="W3880" s="149"/>
      <c r="X3880" s="149"/>
      <c r="Y3880" s="149"/>
      <c r="Z3880" s="149"/>
      <c r="AA3880" s="149"/>
      <c r="AB3880" s="149"/>
      <c r="AC3880" s="149"/>
      <c r="AD3880" s="149"/>
      <c r="AE3880" s="149"/>
      <c r="AF3880" s="149"/>
      <c r="AG3880" s="149"/>
      <c r="AH3880" s="149"/>
      <c r="AI3880" s="149"/>
      <c r="AJ3880" s="149"/>
      <c r="AK3880" s="149"/>
      <c r="AL3880" s="149"/>
      <c r="AM3880" s="149"/>
      <c r="AN3880" s="149"/>
      <c r="AO3880" s="128"/>
      <c r="AP3880" s="128"/>
      <c r="AQ3880" s="128"/>
      <c r="AR3880" s="128"/>
      <c r="AS3880" s="128"/>
      <c r="AT3880" s="128"/>
      <c r="AU3880" s="128"/>
      <c r="AV3880" s="128"/>
      <c r="AW3880" s="128"/>
      <c r="AX3880" s="128"/>
      <c r="AY3880" s="128"/>
      <c r="AZ3880" s="128"/>
      <c r="BA3880" s="128"/>
      <c r="BB3880" s="128"/>
      <c r="BC3880" s="128"/>
      <c r="BD3880" s="128"/>
      <c r="BE3880" s="128"/>
      <c r="BF3880" s="128"/>
      <c r="BG3880" s="128"/>
      <c r="BH3880" s="128"/>
      <c r="BI3880" s="128"/>
      <c r="BJ3880" s="128"/>
      <c r="BK3880" s="128"/>
      <c r="BL3880" s="128"/>
      <c r="BM3880" s="151"/>
      <c r="BN3880" s="128"/>
      <c r="BO3880" s="128"/>
      <c r="BP3880" s="128"/>
      <c r="BQ3880" s="128"/>
      <c r="BR3880" s="128"/>
      <c r="BS3880" s="128"/>
      <c r="BT3880" s="128"/>
      <c r="BU3880" s="128"/>
      <c r="BV3880" s="128"/>
      <c r="BW3880" s="128"/>
      <c r="BX3880" s="128"/>
      <c r="BY3880" s="128"/>
      <c r="BZ3880" s="128"/>
      <c r="CA3880" s="128"/>
      <c r="CB3880" s="128"/>
      <c r="CC3880" s="128"/>
      <c r="CD3880" s="128"/>
      <c r="CE3880" s="128"/>
      <c r="CF3880" s="128"/>
      <c r="CG3880" s="128"/>
      <c r="CI3880" s="128"/>
      <c r="CJ3880" s="128"/>
      <c r="CK3880" s="128"/>
      <c r="CL3880" s="128"/>
      <c r="CM3880" s="128"/>
      <c r="CN3880" s="128"/>
      <c r="CO3880" s="128"/>
      <c r="CP3880" s="128"/>
      <c r="CQ3880" s="128"/>
      <c r="CR3880" s="128"/>
      <c r="CS3880" s="128"/>
      <c r="CT3880" s="128"/>
      <c r="CU3880" s="128"/>
      <c r="CV3880" s="128"/>
      <c r="CW3880" s="128"/>
      <c r="CX3880" s="128"/>
      <c r="CY3880" s="128"/>
      <c r="CZ3880" s="165"/>
    </row>
    <row r="3881" spans="1:104">
      <c r="A3881" s="149"/>
      <c r="B3881" s="149"/>
      <c r="C3881" s="150"/>
      <c r="D3881" s="102"/>
      <c r="E3881" s="149"/>
      <c r="F3881" s="149"/>
      <c r="G3881" s="149"/>
      <c r="H3881" s="149"/>
      <c r="I3881" s="149"/>
      <c r="J3881" s="149"/>
      <c r="K3881" s="149"/>
      <c r="L3881" s="149"/>
      <c r="M3881" s="149"/>
      <c r="N3881" s="149"/>
      <c r="O3881" s="149"/>
      <c r="P3881" s="149"/>
      <c r="Q3881" s="149"/>
      <c r="R3881" s="149"/>
      <c r="S3881" s="149"/>
      <c r="T3881" s="149"/>
      <c r="U3881" s="149"/>
      <c r="V3881" s="149"/>
      <c r="W3881" s="149"/>
      <c r="X3881" s="149"/>
      <c r="Y3881" s="149"/>
      <c r="Z3881" s="149"/>
      <c r="AA3881" s="149"/>
      <c r="AB3881" s="149"/>
      <c r="AC3881" s="149"/>
      <c r="AD3881" s="149"/>
      <c r="AE3881" s="149"/>
      <c r="AF3881" s="149"/>
      <c r="AG3881" s="149"/>
      <c r="AH3881" s="149"/>
      <c r="AI3881" s="149"/>
      <c r="AJ3881" s="149"/>
      <c r="AK3881" s="149"/>
      <c r="AL3881" s="149"/>
      <c r="AM3881" s="149"/>
      <c r="AN3881" s="149"/>
      <c r="AO3881" s="128"/>
      <c r="AP3881" s="128"/>
      <c r="AQ3881" s="128"/>
      <c r="AR3881" s="128"/>
      <c r="AS3881" s="128"/>
      <c r="AT3881" s="128"/>
      <c r="AU3881" s="128"/>
      <c r="AV3881" s="128"/>
      <c r="AW3881" s="128"/>
      <c r="AX3881" s="128"/>
      <c r="AY3881" s="128"/>
      <c r="AZ3881" s="128"/>
      <c r="BA3881" s="128"/>
      <c r="BB3881" s="128"/>
      <c r="BC3881" s="128"/>
      <c r="BD3881" s="128"/>
      <c r="BE3881" s="128"/>
      <c r="BF3881" s="128"/>
      <c r="BG3881" s="128"/>
      <c r="BH3881" s="128"/>
      <c r="BI3881" s="128"/>
      <c r="BJ3881" s="128"/>
      <c r="BK3881" s="128"/>
      <c r="BL3881" s="128"/>
      <c r="BM3881" s="151"/>
      <c r="BN3881" s="128"/>
      <c r="BO3881" s="128"/>
      <c r="BP3881" s="128"/>
      <c r="BQ3881" s="128"/>
      <c r="BR3881" s="128"/>
      <c r="BS3881" s="128"/>
      <c r="BT3881" s="128"/>
      <c r="BU3881" s="128"/>
      <c r="BV3881" s="128"/>
      <c r="BW3881" s="128"/>
      <c r="BX3881" s="128"/>
      <c r="BY3881" s="128"/>
      <c r="BZ3881" s="128"/>
      <c r="CA3881" s="128"/>
      <c r="CB3881" s="128"/>
      <c r="CC3881" s="128"/>
      <c r="CD3881" s="128"/>
      <c r="CE3881" s="128"/>
      <c r="CF3881" s="128"/>
      <c r="CG3881" s="128"/>
      <c r="CI3881" s="128"/>
      <c r="CJ3881" s="128"/>
      <c r="CK3881" s="128"/>
      <c r="CL3881" s="128"/>
      <c r="CM3881" s="128"/>
      <c r="CN3881" s="128"/>
      <c r="CO3881" s="128"/>
      <c r="CP3881" s="128"/>
      <c r="CQ3881" s="128"/>
      <c r="CR3881" s="128"/>
      <c r="CS3881" s="128"/>
      <c r="CT3881" s="128"/>
      <c r="CU3881" s="128"/>
      <c r="CV3881" s="128"/>
      <c r="CW3881" s="128"/>
      <c r="CX3881" s="128"/>
      <c r="CY3881" s="128"/>
      <c r="CZ3881" s="165"/>
    </row>
    <row r="3882" spans="1:104">
      <c r="A3882" s="149"/>
      <c r="B3882" s="149"/>
      <c r="C3882" s="150"/>
      <c r="D3882" s="102"/>
      <c r="E3882" s="149"/>
      <c r="F3882" s="149"/>
      <c r="G3882" s="149"/>
      <c r="H3882" s="149"/>
      <c r="I3882" s="149"/>
      <c r="J3882" s="149"/>
      <c r="K3882" s="149"/>
      <c r="L3882" s="149"/>
      <c r="M3882" s="149"/>
      <c r="N3882" s="149"/>
      <c r="O3882" s="149"/>
      <c r="P3882" s="149"/>
      <c r="Q3882" s="149"/>
      <c r="R3882" s="149"/>
      <c r="S3882" s="149"/>
      <c r="T3882" s="149"/>
      <c r="U3882" s="149"/>
      <c r="V3882" s="149"/>
      <c r="W3882" s="149"/>
      <c r="X3882" s="149"/>
      <c r="Y3882" s="149"/>
      <c r="Z3882" s="149"/>
      <c r="AA3882" s="149"/>
      <c r="AB3882" s="149"/>
      <c r="AC3882" s="149"/>
      <c r="AD3882" s="149"/>
      <c r="AE3882" s="149"/>
      <c r="AF3882" s="149"/>
      <c r="AG3882" s="149"/>
      <c r="AH3882" s="149"/>
      <c r="AI3882" s="149"/>
      <c r="AJ3882" s="149"/>
      <c r="AK3882" s="149"/>
      <c r="AL3882" s="149"/>
      <c r="AM3882" s="149"/>
      <c r="AN3882" s="149"/>
      <c r="AO3882" s="128"/>
      <c r="AP3882" s="128"/>
      <c r="AQ3882" s="128"/>
      <c r="AR3882" s="128"/>
      <c r="AS3882" s="128"/>
      <c r="AT3882" s="128"/>
      <c r="AU3882" s="128"/>
      <c r="AV3882" s="128"/>
      <c r="AW3882" s="128"/>
      <c r="AX3882" s="128"/>
      <c r="AY3882" s="128"/>
      <c r="AZ3882" s="128"/>
      <c r="BA3882" s="128"/>
      <c r="BB3882" s="128"/>
      <c r="BC3882" s="128"/>
      <c r="BD3882" s="128"/>
      <c r="BE3882" s="128"/>
      <c r="BF3882" s="128"/>
      <c r="BG3882" s="128"/>
      <c r="BH3882" s="128"/>
      <c r="BI3882" s="128"/>
      <c r="BJ3882" s="128"/>
      <c r="BK3882" s="128"/>
      <c r="BL3882" s="128"/>
      <c r="BM3882" s="151"/>
      <c r="BN3882" s="128"/>
      <c r="BO3882" s="128"/>
      <c r="BP3882" s="128"/>
      <c r="BQ3882" s="128"/>
      <c r="BR3882" s="128"/>
      <c r="BS3882" s="128"/>
      <c r="BT3882" s="128"/>
      <c r="BU3882" s="128"/>
      <c r="BV3882" s="128"/>
      <c r="BW3882" s="128"/>
      <c r="BX3882" s="128"/>
      <c r="BY3882" s="128"/>
      <c r="BZ3882" s="128"/>
      <c r="CA3882" s="128"/>
      <c r="CB3882" s="128"/>
      <c r="CC3882" s="128"/>
      <c r="CD3882" s="128"/>
      <c r="CE3882" s="128"/>
      <c r="CF3882" s="128"/>
      <c r="CG3882" s="128"/>
      <c r="CI3882" s="128"/>
      <c r="CJ3882" s="128"/>
      <c r="CK3882" s="128"/>
      <c r="CL3882" s="128"/>
      <c r="CM3882" s="128"/>
      <c r="CN3882" s="128"/>
      <c r="CO3882" s="128"/>
      <c r="CP3882" s="128"/>
      <c r="CQ3882" s="128"/>
      <c r="CR3882" s="128"/>
      <c r="CS3882" s="128"/>
      <c r="CT3882" s="128"/>
      <c r="CU3882" s="128"/>
      <c r="CV3882" s="128"/>
      <c r="CW3882" s="128"/>
      <c r="CX3882" s="128"/>
      <c r="CY3882" s="128"/>
      <c r="CZ3882" s="165"/>
    </row>
    <row r="3883" spans="1:104">
      <c r="A3883" s="149"/>
      <c r="B3883" s="149"/>
      <c r="C3883" s="150"/>
      <c r="D3883" s="102"/>
      <c r="E3883" s="149"/>
      <c r="F3883" s="149"/>
      <c r="G3883" s="149"/>
      <c r="H3883" s="149"/>
      <c r="I3883" s="149"/>
      <c r="J3883" s="149"/>
      <c r="K3883" s="149"/>
      <c r="L3883" s="149"/>
      <c r="M3883" s="149"/>
      <c r="N3883" s="149"/>
      <c r="O3883" s="149"/>
      <c r="P3883" s="149"/>
      <c r="Q3883" s="149"/>
      <c r="R3883" s="149"/>
      <c r="S3883" s="149"/>
      <c r="T3883" s="149"/>
      <c r="U3883" s="149"/>
      <c r="V3883" s="149"/>
      <c r="W3883" s="149"/>
      <c r="X3883" s="149"/>
      <c r="Y3883" s="149"/>
      <c r="Z3883" s="149"/>
      <c r="AA3883" s="149"/>
      <c r="AB3883" s="149"/>
      <c r="AC3883" s="149"/>
      <c r="AD3883" s="149"/>
      <c r="AE3883" s="149"/>
      <c r="AF3883" s="149"/>
      <c r="AG3883" s="149"/>
      <c r="AH3883" s="149"/>
      <c r="AI3883" s="149"/>
      <c r="AJ3883" s="149"/>
      <c r="AK3883" s="149"/>
      <c r="AL3883" s="149"/>
      <c r="AM3883" s="149"/>
      <c r="AN3883" s="149"/>
      <c r="AO3883" s="128"/>
      <c r="AP3883" s="128"/>
      <c r="AQ3883" s="128"/>
      <c r="AR3883" s="128"/>
      <c r="AS3883" s="128"/>
      <c r="AT3883" s="128"/>
      <c r="AU3883" s="128"/>
      <c r="AV3883" s="128"/>
      <c r="AW3883" s="128"/>
      <c r="AX3883" s="128"/>
      <c r="AY3883" s="128"/>
      <c r="AZ3883" s="128"/>
      <c r="BA3883" s="128"/>
      <c r="BB3883" s="128"/>
      <c r="BC3883" s="128"/>
      <c r="BD3883" s="128"/>
      <c r="BE3883" s="128"/>
      <c r="BF3883" s="128"/>
      <c r="BG3883" s="128"/>
      <c r="BH3883" s="128"/>
      <c r="BI3883" s="128"/>
      <c r="BJ3883" s="128"/>
      <c r="BK3883" s="128"/>
      <c r="BL3883" s="128"/>
      <c r="BM3883" s="151"/>
      <c r="BN3883" s="128"/>
      <c r="BO3883" s="128"/>
      <c r="BP3883" s="128"/>
      <c r="BQ3883" s="128"/>
      <c r="BR3883" s="128"/>
      <c r="BS3883" s="128"/>
      <c r="BT3883" s="128"/>
      <c r="BU3883" s="128"/>
      <c r="BV3883" s="128"/>
      <c r="BW3883" s="128"/>
      <c r="BX3883" s="128"/>
      <c r="BY3883" s="128"/>
      <c r="BZ3883" s="128"/>
      <c r="CA3883" s="128"/>
      <c r="CB3883" s="128"/>
      <c r="CC3883" s="128"/>
      <c r="CD3883" s="128"/>
      <c r="CE3883" s="128"/>
      <c r="CF3883" s="128"/>
      <c r="CG3883" s="128"/>
      <c r="CI3883" s="128"/>
      <c r="CJ3883" s="128"/>
      <c r="CK3883" s="128"/>
      <c r="CL3883" s="128"/>
      <c r="CM3883" s="128"/>
      <c r="CN3883" s="128"/>
      <c r="CO3883" s="128"/>
      <c r="CP3883" s="128"/>
      <c r="CQ3883" s="128"/>
      <c r="CR3883" s="128"/>
      <c r="CS3883" s="128"/>
      <c r="CT3883" s="128"/>
      <c r="CU3883" s="128"/>
      <c r="CV3883" s="128"/>
      <c r="CW3883" s="128"/>
      <c r="CX3883" s="128"/>
      <c r="CY3883" s="128"/>
      <c r="CZ3883" s="165"/>
    </row>
    <row r="3884" spans="1:104">
      <c r="A3884" s="149"/>
      <c r="B3884" s="149"/>
      <c r="C3884" s="150"/>
      <c r="D3884" s="102"/>
      <c r="E3884" s="149"/>
      <c r="F3884" s="149"/>
      <c r="G3884" s="149"/>
      <c r="H3884" s="149"/>
      <c r="I3884" s="149"/>
      <c r="J3884" s="149"/>
      <c r="K3884" s="149"/>
      <c r="L3884" s="149"/>
      <c r="M3884" s="149"/>
      <c r="N3884" s="149"/>
      <c r="O3884" s="149"/>
      <c r="P3884" s="149"/>
      <c r="Q3884" s="149"/>
      <c r="R3884" s="149"/>
      <c r="S3884" s="149"/>
      <c r="T3884" s="149"/>
      <c r="U3884" s="149"/>
      <c r="V3884" s="149"/>
      <c r="W3884" s="149"/>
      <c r="X3884" s="149"/>
      <c r="Y3884" s="149"/>
      <c r="Z3884" s="149"/>
      <c r="AA3884" s="149"/>
      <c r="AB3884" s="149"/>
      <c r="AC3884" s="149"/>
      <c r="AD3884" s="149"/>
      <c r="AE3884" s="149"/>
      <c r="AF3884" s="149"/>
      <c r="AG3884" s="149"/>
      <c r="AH3884" s="149"/>
      <c r="AI3884" s="149"/>
      <c r="AJ3884" s="149"/>
      <c r="AK3884" s="149"/>
      <c r="AL3884" s="149"/>
      <c r="AM3884" s="149"/>
      <c r="AN3884" s="149"/>
      <c r="AO3884" s="128"/>
      <c r="AP3884" s="128"/>
      <c r="AQ3884" s="128"/>
      <c r="AR3884" s="128"/>
      <c r="AS3884" s="128"/>
      <c r="AT3884" s="128"/>
      <c r="AU3884" s="128"/>
      <c r="AV3884" s="128"/>
      <c r="AW3884" s="128"/>
      <c r="AX3884" s="128"/>
      <c r="AY3884" s="128"/>
      <c r="AZ3884" s="128"/>
      <c r="BA3884" s="128"/>
      <c r="BB3884" s="128"/>
      <c r="BC3884" s="128"/>
      <c r="BD3884" s="128"/>
      <c r="BE3884" s="128"/>
      <c r="BF3884" s="128"/>
      <c r="BG3884" s="128"/>
      <c r="BH3884" s="128"/>
      <c r="BI3884" s="128"/>
      <c r="BJ3884" s="128"/>
      <c r="BK3884" s="128"/>
      <c r="BL3884" s="128"/>
      <c r="BM3884" s="151"/>
      <c r="BN3884" s="128"/>
      <c r="BO3884" s="128"/>
      <c r="BP3884" s="128"/>
      <c r="BQ3884" s="128"/>
      <c r="BR3884" s="128"/>
      <c r="BS3884" s="128"/>
      <c r="BT3884" s="128"/>
      <c r="BU3884" s="128"/>
      <c r="BV3884" s="128"/>
      <c r="BW3884" s="128"/>
      <c r="BX3884" s="128"/>
      <c r="BY3884" s="128"/>
      <c r="BZ3884" s="128"/>
      <c r="CA3884" s="128"/>
      <c r="CB3884" s="128"/>
      <c r="CC3884" s="128"/>
      <c r="CD3884" s="128"/>
      <c r="CE3884" s="128"/>
      <c r="CF3884" s="128"/>
      <c r="CG3884" s="128"/>
      <c r="CI3884" s="128"/>
      <c r="CJ3884" s="128"/>
      <c r="CK3884" s="128"/>
      <c r="CL3884" s="128"/>
      <c r="CM3884" s="128"/>
      <c r="CN3884" s="128"/>
      <c r="CO3884" s="128"/>
      <c r="CP3884" s="128"/>
      <c r="CQ3884" s="128"/>
      <c r="CR3884" s="128"/>
      <c r="CS3884" s="128"/>
      <c r="CT3884" s="128"/>
      <c r="CU3884" s="128"/>
      <c r="CV3884" s="128"/>
      <c r="CW3884" s="128"/>
      <c r="CX3884" s="128"/>
      <c r="CY3884" s="128"/>
      <c r="CZ3884" s="165"/>
    </row>
    <row r="3885" spans="1:104">
      <c r="A3885" s="149"/>
      <c r="B3885" s="149"/>
      <c r="C3885" s="150"/>
      <c r="D3885" s="102"/>
      <c r="E3885" s="149"/>
      <c r="F3885" s="149"/>
      <c r="G3885" s="149"/>
      <c r="H3885" s="149"/>
      <c r="I3885" s="149"/>
      <c r="J3885" s="149"/>
      <c r="K3885" s="149"/>
      <c r="L3885" s="149"/>
      <c r="M3885" s="149"/>
      <c r="N3885" s="149"/>
      <c r="O3885" s="149"/>
      <c r="P3885" s="149"/>
      <c r="Q3885" s="149"/>
      <c r="R3885" s="149"/>
      <c r="S3885" s="149"/>
      <c r="T3885" s="149"/>
      <c r="U3885" s="149"/>
      <c r="V3885" s="149"/>
      <c r="W3885" s="149"/>
      <c r="X3885" s="149"/>
      <c r="Y3885" s="149"/>
      <c r="Z3885" s="149"/>
      <c r="AA3885" s="149"/>
      <c r="AB3885" s="149"/>
      <c r="AC3885" s="149"/>
      <c r="AD3885" s="149"/>
      <c r="AE3885" s="149"/>
      <c r="AF3885" s="149"/>
      <c r="AG3885" s="149"/>
      <c r="AH3885" s="149"/>
      <c r="AI3885" s="149"/>
      <c r="AJ3885" s="149"/>
      <c r="AK3885" s="149"/>
      <c r="AL3885" s="149"/>
      <c r="AM3885" s="149"/>
      <c r="AN3885" s="149"/>
      <c r="AO3885" s="128"/>
      <c r="AP3885" s="128"/>
      <c r="AQ3885" s="128"/>
      <c r="AR3885" s="128"/>
      <c r="AS3885" s="128"/>
      <c r="AT3885" s="128"/>
      <c r="AU3885" s="128"/>
      <c r="AV3885" s="128"/>
      <c r="AW3885" s="128"/>
      <c r="AX3885" s="128"/>
      <c r="AY3885" s="128"/>
      <c r="AZ3885" s="128"/>
      <c r="BA3885" s="128"/>
      <c r="BB3885" s="128"/>
      <c r="BC3885" s="128"/>
      <c r="BD3885" s="128"/>
      <c r="BE3885" s="128"/>
      <c r="BF3885" s="128"/>
      <c r="BG3885" s="128"/>
      <c r="BH3885" s="128"/>
      <c r="BI3885" s="128"/>
      <c r="BJ3885" s="128"/>
      <c r="BK3885" s="128"/>
      <c r="BL3885" s="128"/>
      <c r="BM3885" s="151"/>
      <c r="BN3885" s="128"/>
      <c r="BO3885" s="128"/>
      <c r="BP3885" s="128"/>
      <c r="BQ3885" s="128"/>
      <c r="BR3885" s="128"/>
      <c r="BS3885" s="128"/>
      <c r="BT3885" s="128"/>
      <c r="BU3885" s="128"/>
      <c r="BV3885" s="128"/>
      <c r="BW3885" s="128"/>
      <c r="BX3885" s="128"/>
      <c r="BY3885" s="128"/>
      <c r="BZ3885" s="128"/>
      <c r="CA3885" s="128"/>
      <c r="CB3885" s="128"/>
      <c r="CC3885" s="128"/>
      <c r="CD3885" s="128"/>
      <c r="CE3885" s="128"/>
      <c r="CF3885" s="128"/>
      <c r="CG3885" s="128"/>
      <c r="CI3885" s="128"/>
      <c r="CJ3885" s="128"/>
      <c r="CK3885" s="128"/>
      <c r="CL3885" s="128"/>
      <c r="CM3885" s="128"/>
      <c r="CN3885" s="128"/>
      <c r="CO3885" s="128"/>
      <c r="CP3885" s="128"/>
      <c r="CQ3885" s="128"/>
      <c r="CR3885" s="128"/>
      <c r="CS3885" s="128"/>
      <c r="CT3885" s="128"/>
      <c r="CU3885" s="128"/>
      <c r="CV3885" s="128"/>
      <c r="CW3885" s="128"/>
      <c r="CX3885" s="128"/>
      <c r="CY3885" s="128"/>
      <c r="CZ3885" s="165"/>
    </row>
    <row r="3886" spans="1:104">
      <c r="A3886" s="149"/>
      <c r="B3886" s="149"/>
      <c r="C3886" s="150"/>
      <c r="D3886" s="102"/>
      <c r="E3886" s="149"/>
      <c r="F3886" s="149"/>
      <c r="G3886" s="149"/>
      <c r="H3886" s="149"/>
      <c r="I3886" s="149"/>
      <c r="J3886" s="149"/>
      <c r="K3886" s="149"/>
      <c r="L3886" s="149"/>
      <c r="M3886" s="149"/>
      <c r="N3886" s="149"/>
      <c r="O3886" s="149"/>
      <c r="P3886" s="149"/>
      <c r="Q3886" s="149"/>
      <c r="R3886" s="149"/>
      <c r="S3886" s="149"/>
      <c r="T3886" s="149"/>
      <c r="U3886" s="149"/>
      <c r="V3886" s="149"/>
      <c r="W3886" s="149"/>
      <c r="X3886" s="149"/>
      <c r="Y3886" s="149"/>
      <c r="Z3886" s="149"/>
      <c r="AA3886" s="149"/>
      <c r="AB3886" s="149"/>
      <c r="AC3886" s="149"/>
      <c r="AD3886" s="149"/>
      <c r="AE3886" s="149"/>
      <c r="AF3886" s="149"/>
      <c r="AG3886" s="149"/>
      <c r="AH3886" s="149"/>
      <c r="AI3886" s="149"/>
      <c r="AJ3886" s="149"/>
      <c r="AK3886" s="149"/>
      <c r="AL3886" s="149"/>
      <c r="AM3886" s="149"/>
      <c r="AN3886" s="149"/>
      <c r="AO3886" s="128"/>
      <c r="AP3886" s="128"/>
      <c r="AQ3886" s="128"/>
      <c r="AR3886" s="128"/>
      <c r="AS3886" s="128"/>
      <c r="AT3886" s="128"/>
      <c r="AU3886" s="128"/>
      <c r="AV3886" s="128"/>
      <c r="AW3886" s="128"/>
      <c r="AX3886" s="128"/>
      <c r="AY3886" s="128"/>
      <c r="AZ3886" s="128"/>
      <c r="BA3886" s="128"/>
      <c r="BB3886" s="128"/>
      <c r="BC3886" s="128"/>
      <c r="BD3886" s="128"/>
      <c r="BE3886" s="128"/>
      <c r="BF3886" s="128"/>
      <c r="BG3886" s="128"/>
      <c r="BH3886" s="128"/>
      <c r="BI3886" s="128"/>
      <c r="BJ3886" s="128"/>
      <c r="BK3886" s="128"/>
      <c r="BL3886" s="128"/>
      <c r="BM3886" s="151"/>
      <c r="BN3886" s="128"/>
      <c r="BO3886" s="128"/>
      <c r="BP3886" s="128"/>
      <c r="BQ3886" s="128"/>
      <c r="BR3886" s="128"/>
      <c r="BS3886" s="128"/>
      <c r="BT3886" s="128"/>
      <c r="BU3886" s="128"/>
      <c r="BV3886" s="128"/>
      <c r="BW3886" s="128"/>
      <c r="BX3886" s="128"/>
      <c r="BY3886" s="128"/>
      <c r="BZ3886" s="128"/>
      <c r="CA3886" s="128"/>
      <c r="CB3886" s="128"/>
      <c r="CC3886" s="128"/>
      <c r="CD3886" s="128"/>
      <c r="CE3886" s="128"/>
      <c r="CF3886" s="128"/>
      <c r="CG3886" s="128"/>
      <c r="CI3886" s="128"/>
      <c r="CJ3886" s="128"/>
      <c r="CK3886" s="128"/>
      <c r="CL3886" s="128"/>
      <c r="CM3886" s="128"/>
      <c r="CN3886" s="128"/>
      <c r="CO3886" s="128"/>
      <c r="CP3886" s="128"/>
      <c r="CQ3886" s="128"/>
      <c r="CR3886" s="128"/>
      <c r="CS3886" s="128"/>
      <c r="CT3886" s="128"/>
      <c r="CU3886" s="128"/>
      <c r="CV3886" s="128"/>
      <c r="CW3886" s="128"/>
      <c r="CX3886" s="128"/>
      <c r="CY3886" s="128"/>
      <c r="CZ3886" s="165"/>
    </row>
    <row r="3887" spans="1:104">
      <c r="A3887" s="149"/>
      <c r="B3887" s="149"/>
      <c r="C3887" s="150"/>
      <c r="D3887" s="102"/>
      <c r="E3887" s="149"/>
      <c r="F3887" s="149"/>
      <c r="G3887" s="149"/>
      <c r="H3887" s="149"/>
      <c r="I3887" s="149"/>
      <c r="J3887" s="149"/>
      <c r="K3887" s="149"/>
      <c r="L3887" s="149"/>
      <c r="M3887" s="149"/>
      <c r="N3887" s="149"/>
      <c r="O3887" s="149"/>
      <c r="P3887" s="149"/>
      <c r="Q3887" s="149"/>
      <c r="R3887" s="149"/>
      <c r="S3887" s="149"/>
      <c r="T3887" s="149"/>
      <c r="U3887" s="149"/>
      <c r="V3887" s="149"/>
      <c r="W3887" s="149"/>
      <c r="X3887" s="149"/>
      <c r="Y3887" s="149"/>
      <c r="Z3887" s="149"/>
      <c r="AA3887" s="149"/>
      <c r="AB3887" s="149"/>
      <c r="AC3887" s="149"/>
      <c r="AD3887" s="149"/>
      <c r="AE3887" s="149"/>
      <c r="AF3887" s="149"/>
      <c r="AG3887" s="149"/>
      <c r="AH3887" s="149"/>
      <c r="AI3887" s="149"/>
      <c r="AJ3887" s="149"/>
      <c r="AK3887" s="149"/>
      <c r="AL3887" s="149"/>
      <c r="AM3887" s="149"/>
      <c r="AN3887" s="149"/>
      <c r="AO3887" s="128"/>
      <c r="AP3887" s="128"/>
      <c r="AQ3887" s="128"/>
      <c r="AR3887" s="128"/>
      <c r="AS3887" s="128"/>
      <c r="AT3887" s="128"/>
      <c r="AU3887" s="128"/>
      <c r="AV3887" s="128"/>
      <c r="AW3887" s="128"/>
      <c r="AX3887" s="128"/>
      <c r="AY3887" s="128"/>
      <c r="AZ3887" s="128"/>
      <c r="BA3887" s="128"/>
      <c r="BB3887" s="128"/>
      <c r="BC3887" s="128"/>
      <c r="BD3887" s="128"/>
      <c r="BE3887" s="128"/>
      <c r="BF3887" s="128"/>
      <c r="BG3887" s="128"/>
      <c r="BH3887" s="128"/>
      <c r="BI3887" s="128"/>
      <c r="BJ3887" s="128"/>
      <c r="BK3887" s="128"/>
      <c r="BL3887" s="128"/>
      <c r="BM3887" s="151"/>
      <c r="BN3887" s="128"/>
      <c r="BO3887" s="128"/>
      <c r="BP3887" s="128"/>
      <c r="BQ3887" s="128"/>
      <c r="BR3887" s="128"/>
      <c r="BS3887" s="128"/>
      <c r="BT3887" s="128"/>
      <c r="BU3887" s="128"/>
      <c r="BV3887" s="128"/>
      <c r="BW3887" s="128"/>
      <c r="BX3887" s="128"/>
      <c r="BY3887" s="128"/>
      <c r="BZ3887" s="128"/>
      <c r="CA3887" s="128"/>
      <c r="CB3887" s="128"/>
      <c r="CC3887" s="128"/>
      <c r="CD3887" s="128"/>
      <c r="CE3887" s="128"/>
      <c r="CF3887" s="128"/>
      <c r="CG3887" s="128"/>
      <c r="CI3887" s="128"/>
      <c r="CJ3887" s="128"/>
      <c r="CK3887" s="128"/>
      <c r="CL3887" s="128"/>
      <c r="CM3887" s="128"/>
      <c r="CN3887" s="128"/>
      <c r="CO3887" s="128"/>
      <c r="CP3887" s="128"/>
      <c r="CQ3887" s="128"/>
      <c r="CR3887" s="128"/>
      <c r="CS3887" s="128"/>
      <c r="CT3887" s="128"/>
      <c r="CU3887" s="128"/>
      <c r="CV3887" s="128"/>
      <c r="CW3887" s="128"/>
      <c r="CX3887" s="128"/>
      <c r="CY3887" s="128"/>
      <c r="CZ3887" s="165"/>
    </row>
    <row r="3888" spans="1:104">
      <c r="A3888" s="149"/>
      <c r="B3888" s="149"/>
      <c r="C3888" s="150"/>
      <c r="D3888" s="102"/>
      <c r="E3888" s="149"/>
      <c r="F3888" s="149"/>
      <c r="G3888" s="149"/>
      <c r="H3888" s="149"/>
      <c r="I3888" s="149"/>
      <c r="J3888" s="149"/>
      <c r="K3888" s="149"/>
      <c r="L3888" s="149"/>
      <c r="M3888" s="149"/>
      <c r="N3888" s="149"/>
      <c r="O3888" s="149"/>
      <c r="P3888" s="149"/>
      <c r="Q3888" s="149"/>
      <c r="R3888" s="149"/>
      <c r="S3888" s="149"/>
      <c r="T3888" s="149"/>
      <c r="U3888" s="149"/>
      <c r="V3888" s="149"/>
      <c r="W3888" s="149"/>
      <c r="X3888" s="149"/>
      <c r="Y3888" s="149"/>
      <c r="Z3888" s="149"/>
      <c r="AA3888" s="149"/>
      <c r="AB3888" s="149"/>
      <c r="AC3888" s="149"/>
      <c r="AD3888" s="149"/>
      <c r="AE3888" s="149"/>
      <c r="AF3888" s="149"/>
      <c r="AG3888" s="149"/>
      <c r="AH3888" s="149"/>
      <c r="AI3888" s="149"/>
      <c r="AJ3888" s="149"/>
      <c r="AK3888" s="149"/>
      <c r="AL3888" s="149"/>
      <c r="AM3888" s="149"/>
      <c r="AN3888" s="149"/>
      <c r="AO3888" s="128"/>
      <c r="AP3888" s="128"/>
      <c r="AQ3888" s="128"/>
      <c r="AR3888" s="128"/>
      <c r="AS3888" s="128"/>
      <c r="AT3888" s="128"/>
      <c r="AU3888" s="128"/>
      <c r="AV3888" s="128"/>
      <c r="AW3888" s="128"/>
      <c r="AX3888" s="128"/>
      <c r="AY3888" s="128"/>
      <c r="AZ3888" s="128"/>
      <c r="BA3888" s="128"/>
      <c r="BB3888" s="128"/>
      <c r="BC3888" s="128"/>
      <c r="BD3888" s="128"/>
      <c r="BE3888" s="128"/>
      <c r="BF3888" s="128"/>
      <c r="BG3888" s="128"/>
      <c r="BH3888" s="128"/>
      <c r="BI3888" s="128"/>
      <c r="BJ3888" s="128"/>
      <c r="BK3888" s="128"/>
      <c r="BL3888" s="128"/>
      <c r="BM3888" s="151"/>
      <c r="BN3888" s="128"/>
      <c r="BO3888" s="128"/>
      <c r="BP3888" s="128"/>
      <c r="BQ3888" s="128"/>
      <c r="BR3888" s="128"/>
      <c r="BS3888" s="128"/>
      <c r="BT3888" s="128"/>
      <c r="BU3888" s="128"/>
      <c r="BV3888" s="128"/>
      <c r="BW3888" s="128"/>
      <c r="BX3888" s="128"/>
      <c r="BY3888" s="128"/>
      <c r="BZ3888" s="128"/>
      <c r="CA3888" s="128"/>
      <c r="CB3888" s="128"/>
      <c r="CC3888" s="128"/>
      <c r="CD3888" s="128"/>
      <c r="CE3888" s="128"/>
      <c r="CF3888" s="128"/>
      <c r="CG3888" s="128"/>
      <c r="CI3888" s="128"/>
      <c r="CJ3888" s="128"/>
      <c r="CK3888" s="128"/>
      <c r="CL3888" s="128"/>
      <c r="CM3888" s="128"/>
      <c r="CN3888" s="128"/>
      <c r="CO3888" s="128"/>
      <c r="CP3888" s="128"/>
      <c r="CQ3888" s="128"/>
      <c r="CR3888" s="128"/>
      <c r="CS3888" s="128"/>
      <c r="CT3888" s="128"/>
      <c r="CU3888" s="128"/>
      <c r="CV3888" s="128"/>
      <c r="CW3888" s="128"/>
      <c r="CX3888" s="128"/>
      <c r="CY3888" s="128"/>
      <c r="CZ3888" s="165"/>
    </row>
    <row r="3889" spans="1:104">
      <c r="A3889" s="149"/>
      <c r="B3889" s="149"/>
      <c r="C3889" s="150"/>
      <c r="D3889" s="102"/>
      <c r="E3889" s="149"/>
      <c r="F3889" s="149"/>
      <c r="G3889" s="149"/>
      <c r="H3889" s="149"/>
      <c r="I3889" s="149"/>
      <c r="J3889" s="149"/>
      <c r="K3889" s="149"/>
      <c r="L3889" s="149"/>
      <c r="M3889" s="149"/>
      <c r="N3889" s="149"/>
      <c r="O3889" s="149"/>
      <c r="P3889" s="149"/>
      <c r="Q3889" s="149"/>
      <c r="R3889" s="149"/>
      <c r="S3889" s="149"/>
      <c r="T3889" s="149"/>
      <c r="U3889" s="149"/>
      <c r="V3889" s="149"/>
      <c r="W3889" s="149"/>
      <c r="X3889" s="149"/>
      <c r="Y3889" s="149"/>
      <c r="Z3889" s="149"/>
      <c r="AA3889" s="149"/>
      <c r="AB3889" s="149"/>
      <c r="AC3889" s="149"/>
      <c r="AD3889" s="149"/>
      <c r="AE3889" s="149"/>
      <c r="AF3889" s="149"/>
      <c r="AG3889" s="149"/>
      <c r="AH3889" s="149"/>
      <c r="AI3889" s="149"/>
      <c r="AJ3889" s="149"/>
      <c r="AK3889" s="149"/>
      <c r="AL3889" s="149"/>
      <c r="AM3889" s="149"/>
      <c r="AN3889" s="149"/>
      <c r="AO3889" s="128"/>
      <c r="AP3889" s="128"/>
      <c r="AQ3889" s="128"/>
      <c r="AR3889" s="128"/>
      <c r="AS3889" s="128"/>
      <c r="AT3889" s="128"/>
      <c r="AU3889" s="128"/>
      <c r="AV3889" s="128"/>
      <c r="AW3889" s="128"/>
      <c r="AX3889" s="128"/>
      <c r="AY3889" s="128"/>
      <c r="AZ3889" s="128"/>
      <c r="BA3889" s="128"/>
      <c r="BB3889" s="128"/>
      <c r="BC3889" s="128"/>
      <c r="BD3889" s="128"/>
      <c r="BE3889" s="128"/>
      <c r="BF3889" s="128"/>
      <c r="BG3889" s="128"/>
      <c r="BH3889" s="128"/>
      <c r="BI3889" s="128"/>
      <c r="BJ3889" s="128"/>
      <c r="BK3889" s="128"/>
      <c r="BL3889" s="128"/>
      <c r="BM3889" s="151"/>
      <c r="BN3889" s="128"/>
      <c r="BO3889" s="128"/>
      <c r="BP3889" s="128"/>
      <c r="BQ3889" s="128"/>
      <c r="BR3889" s="128"/>
      <c r="BS3889" s="128"/>
      <c r="BT3889" s="128"/>
      <c r="BU3889" s="128"/>
      <c r="BV3889" s="128"/>
      <c r="BW3889" s="128"/>
      <c r="BX3889" s="128"/>
      <c r="BY3889" s="128"/>
      <c r="BZ3889" s="128"/>
      <c r="CA3889" s="128"/>
      <c r="CB3889" s="128"/>
      <c r="CC3889" s="128"/>
      <c r="CD3889" s="128"/>
      <c r="CE3889" s="128"/>
      <c r="CF3889" s="128"/>
      <c r="CG3889" s="128"/>
      <c r="CI3889" s="128"/>
      <c r="CJ3889" s="128"/>
      <c r="CK3889" s="128"/>
      <c r="CL3889" s="128"/>
      <c r="CM3889" s="128"/>
      <c r="CN3889" s="128"/>
      <c r="CO3889" s="128"/>
      <c r="CP3889" s="128"/>
      <c r="CQ3889" s="128"/>
      <c r="CR3889" s="128"/>
      <c r="CS3889" s="128"/>
      <c r="CT3889" s="128"/>
      <c r="CU3889" s="128"/>
      <c r="CV3889" s="128"/>
      <c r="CW3889" s="128"/>
      <c r="CX3889" s="128"/>
      <c r="CY3889" s="128"/>
      <c r="CZ3889" s="165"/>
    </row>
    <row r="3890" spans="1:104">
      <c r="A3890" s="149"/>
      <c r="B3890" s="149"/>
      <c r="C3890" s="150"/>
      <c r="D3890" s="102"/>
      <c r="E3890" s="149"/>
      <c r="F3890" s="149"/>
      <c r="G3890" s="149"/>
      <c r="H3890" s="149"/>
      <c r="I3890" s="149"/>
      <c r="J3890" s="149"/>
      <c r="K3890" s="149"/>
      <c r="L3890" s="149"/>
      <c r="M3890" s="149"/>
      <c r="N3890" s="149"/>
      <c r="O3890" s="149"/>
      <c r="P3890" s="149"/>
      <c r="Q3890" s="149"/>
      <c r="R3890" s="149"/>
      <c r="S3890" s="149"/>
      <c r="T3890" s="149"/>
      <c r="U3890" s="149"/>
      <c r="V3890" s="149"/>
      <c r="W3890" s="149"/>
      <c r="X3890" s="149"/>
      <c r="Y3890" s="149"/>
      <c r="Z3890" s="149"/>
      <c r="AA3890" s="149"/>
      <c r="AB3890" s="149"/>
      <c r="AC3890" s="149"/>
      <c r="AD3890" s="149"/>
      <c r="AE3890" s="149"/>
      <c r="AF3890" s="149"/>
      <c r="AG3890" s="149"/>
      <c r="AH3890" s="149"/>
      <c r="AI3890" s="149"/>
      <c r="AJ3890" s="149"/>
      <c r="AK3890" s="149"/>
      <c r="AL3890" s="149"/>
      <c r="AM3890" s="149"/>
      <c r="AN3890" s="149"/>
      <c r="AO3890" s="128"/>
      <c r="AP3890" s="128"/>
      <c r="AQ3890" s="128"/>
      <c r="AR3890" s="128"/>
      <c r="AS3890" s="128"/>
      <c r="AT3890" s="128"/>
      <c r="AU3890" s="128"/>
      <c r="AV3890" s="128"/>
      <c r="AW3890" s="128"/>
      <c r="AX3890" s="128"/>
      <c r="AY3890" s="128"/>
      <c r="AZ3890" s="128"/>
      <c r="BA3890" s="128"/>
      <c r="BB3890" s="128"/>
      <c r="BC3890" s="128"/>
      <c r="BD3890" s="128"/>
      <c r="BE3890" s="128"/>
      <c r="BF3890" s="128"/>
      <c r="BG3890" s="128"/>
      <c r="BH3890" s="128"/>
      <c r="BI3890" s="128"/>
      <c r="BJ3890" s="128"/>
      <c r="BK3890" s="128"/>
      <c r="BL3890" s="128"/>
      <c r="BM3890" s="151"/>
      <c r="BN3890" s="128"/>
      <c r="BO3890" s="128"/>
      <c r="BP3890" s="128"/>
      <c r="BQ3890" s="128"/>
      <c r="BR3890" s="128"/>
      <c r="BS3890" s="128"/>
      <c r="BT3890" s="128"/>
      <c r="BU3890" s="128"/>
      <c r="BV3890" s="128"/>
      <c r="BW3890" s="128"/>
      <c r="BX3890" s="128"/>
      <c r="BY3890" s="128"/>
      <c r="BZ3890" s="128"/>
      <c r="CA3890" s="128"/>
      <c r="CB3890" s="128"/>
      <c r="CC3890" s="128"/>
      <c r="CD3890" s="128"/>
      <c r="CE3890" s="128"/>
      <c r="CF3890" s="128"/>
      <c r="CG3890" s="128"/>
      <c r="CI3890" s="128"/>
      <c r="CJ3890" s="128"/>
      <c r="CK3890" s="128"/>
      <c r="CL3890" s="128"/>
      <c r="CM3890" s="128"/>
      <c r="CN3890" s="128"/>
      <c r="CO3890" s="128"/>
      <c r="CP3890" s="128"/>
      <c r="CQ3890" s="128"/>
      <c r="CR3890" s="128"/>
      <c r="CS3890" s="128"/>
      <c r="CT3890" s="128"/>
      <c r="CU3890" s="128"/>
      <c r="CV3890" s="128"/>
      <c r="CW3890" s="128"/>
      <c r="CX3890" s="128"/>
      <c r="CY3890" s="128"/>
      <c r="CZ3890" s="165"/>
    </row>
    <row r="3891" spans="1:104">
      <c r="A3891" s="149"/>
      <c r="B3891" s="149"/>
      <c r="C3891" s="150"/>
      <c r="D3891" s="102"/>
      <c r="E3891" s="149"/>
      <c r="F3891" s="149"/>
      <c r="G3891" s="149"/>
      <c r="H3891" s="149"/>
      <c r="I3891" s="149"/>
      <c r="J3891" s="149"/>
      <c r="K3891" s="149"/>
      <c r="L3891" s="149"/>
      <c r="M3891" s="149"/>
      <c r="N3891" s="149"/>
      <c r="O3891" s="149"/>
      <c r="P3891" s="149"/>
      <c r="Q3891" s="149"/>
      <c r="R3891" s="149"/>
      <c r="S3891" s="149"/>
      <c r="T3891" s="149"/>
      <c r="U3891" s="149"/>
      <c r="V3891" s="149"/>
      <c r="W3891" s="149"/>
      <c r="X3891" s="149"/>
      <c r="Y3891" s="149"/>
      <c r="Z3891" s="149"/>
      <c r="AA3891" s="149"/>
      <c r="AB3891" s="149"/>
      <c r="AC3891" s="149"/>
      <c r="AD3891" s="149"/>
      <c r="AE3891" s="149"/>
      <c r="AF3891" s="149"/>
      <c r="AG3891" s="149"/>
      <c r="AH3891" s="149"/>
      <c r="AI3891" s="149"/>
      <c r="AJ3891" s="149"/>
      <c r="AK3891" s="149"/>
      <c r="AL3891" s="149"/>
      <c r="AM3891" s="149"/>
      <c r="AN3891" s="149"/>
      <c r="AO3891" s="128"/>
      <c r="AP3891" s="128"/>
      <c r="AQ3891" s="128"/>
      <c r="AR3891" s="128"/>
      <c r="AS3891" s="128"/>
      <c r="AT3891" s="128"/>
      <c r="AU3891" s="128"/>
      <c r="AV3891" s="128"/>
      <c r="AW3891" s="128"/>
      <c r="AX3891" s="128"/>
      <c r="AY3891" s="128"/>
      <c r="AZ3891" s="128"/>
      <c r="BA3891" s="128"/>
      <c r="BB3891" s="128"/>
      <c r="BC3891" s="128"/>
      <c r="BD3891" s="128"/>
      <c r="BE3891" s="128"/>
      <c r="BF3891" s="128"/>
      <c r="BG3891" s="128"/>
      <c r="BH3891" s="128"/>
      <c r="BI3891" s="128"/>
      <c r="BJ3891" s="128"/>
      <c r="BK3891" s="128"/>
      <c r="BL3891" s="128"/>
      <c r="BM3891" s="151"/>
      <c r="BN3891" s="128"/>
      <c r="BO3891" s="128"/>
      <c r="BP3891" s="128"/>
      <c r="BQ3891" s="128"/>
      <c r="BR3891" s="128"/>
      <c r="BS3891" s="128"/>
      <c r="BT3891" s="128"/>
      <c r="BU3891" s="128"/>
      <c r="BV3891" s="128"/>
      <c r="BW3891" s="128"/>
      <c r="BX3891" s="128"/>
      <c r="BY3891" s="128"/>
      <c r="BZ3891" s="128"/>
      <c r="CA3891" s="128"/>
      <c r="CB3891" s="128"/>
      <c r="CC3891" s="128"/>
      <c r="CD3891" s="128"/>
      <c r="CE3891" s="128"/>
      <c r="CF3891" s="128"/>
      <c r="CG3891" s="128"/>
      <c r="CI3891" s="128"/>
      <c r="CJ3891" s="128"/>
      <c r="CK3891" s="128"/>
      <c r="CL3891" s="128"/>
      <c r="CM3891" s="128"/>
      <c r="CN3891" s="128"/>
      <c r="CO3891" s="128"/>
      <c r="CP3891" s="128"/>
      <c r="CQ3891" s="128"/>
      <c r="CR3891" s="128"/>
      <c r="CS3891" s="128"/>
      <c r="CT3891" s="128"/>
      <c r="CU3891" s="128"/>
      <c r="CV3891" s="128"/>
      <c r="CW3891" s="128"/>
      <c r="CX3891" s="128"/>
      <c r="CY3891" s="128"/>
      <c r="CZ3891" s="165"/>
    </row>
    <row r="3892" spans="1:104">
      <c r="A3892" s="149"/>
      <c r="B3892" s="149"/>
      <c r="C3892" s="150"/>
      <c r="D3892" s="102"/>
      <c r="E3892" s="149"/>
      <c r="F3892" s="149"/>
      <c r="G3892" s="149"/>
      <c r="H3892" s="149"/>
      <c r="I3892" s="149"/>
      <c r="J3892" s="149"/>
      <c r="K3892" s="149"/>
      <c r="L3892" s="149"/>
      <c r="M3892" s="149"/>
      <c r="N3892" s="149"/>
      <c r="O3892" s="149"/>
      <c r="P3892" s="149"/>
      <c r="Q3892" s="149"/>
      <c r="R3892" s="149"/>
      <c r="S3892" s="149"/>
      <c r="T3892" s="149"/>
      <c r="U3892" s="149"/>
      <c r="V3892" s="149"/>
      <c r="W3892" s="149"/>
      <c r="X3892" s="149"/>
      <c r="Y3892" s="149"/>
      <c r="Z3892" s="149"/>
      <c r="AA3892" s="149"/>
      <c r="AB3892" s="149"/>
      <c r="AC3892" s="149"/>
      <c r="AD3892" s="149"/>
      <c r="AE3892" s="149"/>
      <c r="AF3892" s="149"/>
      <c r="AG3892" s="149"/>
      <c r="AH3892" s="149"/>
      <c r="AI3892" s="149"/>
      <c r="AJ3892" s="149"/>
      <c r="AK3892" s="149"/>
      <c r="AL3892" s="149"/>
      <c r="AM3892" s="149"/>
      <c r="AN3892" s="149"/>
      <c r="AO3892" s="128"/>
      <c r="AP3892" s="128"/>
      <c r="AQ3892" s="128"/>
      <c r="AR3892" s="128"/>
      <c r="AS3892" s="128"/>
      <c r="AT3892" s="128"/>
      <c r="AU3892" s="128"/>
      <c r="AV3892" s="128"/>
      <c r="AW3892" s="128"/>
      <c r="AX3892" s="128"/>
      <c r="AY3892" s="128"/>
      <c r="AZ3892" s="128"/>
      <c r="BA3892" s="128"/>
      <c r="BB3892" s="128"/>
      <c r="BC3892" s="128"/>
      <c r="BD3892" s="128"/>
      <c r="BE3892" s="128"/>
      <c r="BF3892" s="128"/>
      <c r="BG3892" s="128"/>
      <c r="BH3892" s="128"/>
      <c r="BI3892" s="128"/>
      <c r="BJ3892" s="128"/>
      <c r="BK3892" s="128"/>
      <c r="BL3892" s="128"/>
      <c r="BM3892" s="151"/>
      <c r="BN3892" s="128"/>
      <c r="BO3892" s="128"/>
      <c r="BP3892" s="128"/>
      <c r="BQ3892" s="128"/>
      <c r="BR3892" s="128"/>
      <c r="BS3892" s="128"/>
      <c r="BT3892" s="128"/>
      <c r="BU3892" s="128"/>
      <c r="BV3892" s="128"/>
      <c r="BW3892" s="128"/>
      <c r="BX3892" s="128"/>
      <c r="BY3892" s="128"/>
      <c r="BZ3892" s="128"/>
      <c r="CA3892" s="128"/>
      <c r="CB3892" s="128"/>
      <c r="CC3892" s="128"/>
      <c r="CD3892" s="128"/>
      <c r="CE3892" s="128"/>
      <c r="CF3892" s="128"/>
      <c r="CG3892" s="128"/>
      <c r="CI3892" s="128"/>
      <c r="CJ3892" s="128"/>
      <c r="CK3892" s="128"/>
      <c r="CL3892" s="128"/>
      <c r="CM3892" s="128"/>
      <c r="CN3892" s="128"/>
      <c r="CO3892" s="128"/>
      <c r="CP3892" s="128"/>
      <c r="CQ3892" s="128"/>
      <c r="CR3892" s="128"/>
      <c r="CS3892" s="128"/>
      <c r="CT3892" s="128"/>
      <c r="CU3892" s="128"/>
      <c r="CV3892" s="128"/>
      <c r="CW3892" s="128"/>
      <c r="CX3892" s="128"/>
      <c r="CY3892" s="128"/>
      <c r="CZ3892" s="165"/>
    </row>
    <row r="3893" spans="1:104">
      <c r="A3893" s="149"/>
      <c r="B3893" s="149"/>
      <c r="C3893" s="150"/>
      <c r="D3893" s="102"/>
      <c r="E3893" s="149"/>
      <c r="F3893" s="149"/>
      <c r="G3893" s="149"/>
      <c r="H3893" s="149"/>
      <c r="I3893" s="149"/>
      <c r="J3893" s="149"/>
      <c r="K3893" s="149"/>
      <c r="L3893" s="149"/>
      <c r="M3893" s="149"/>
      <c r="N3893" s="149"/>
      <c r="O3893" s="149"/>
      <c r="P3893" s="149"/>
      <c r="Q3893" s="149"/>
      <c r="R3893" s="149"/>
      <c r="S3893" s="149"/>
      <c r="T3893" s="149"/>
      <c r="U3893" s="149"/>
      <c r="V3893" s="149"/>
      <c r="W3893" s="149"/>
      <c r="X3893" s="149"/>
      <c r="Y3893" s="149"/>
      <c r="Z3893" s="149"/>
      <c r="AA3893" s="149"/>
      <c r="AB3893" s="149"/>
      <c r="AC3893" s="149"/>
      <c r="AD3893" s="149"/>
      <c r="AE3893" s="149"/>
      <c r="AF3893" s="149"/>
      <c r="AG3893" s="149"/>
      <c r="AH3893" s="149"/>
      <c r="AI3893" s="149"/>
      <c r="AJ3893" s="149"/>
      <c r="AK3893" s="149"/>
      <c r="AL3893" s="149"/>
      <c r="AM3893" s="149"/>
      <c r="AN3893" s="149"/>
      <c r="AO3893" s="128"/>
      <c r="AP3893" s="128"/>
      <c r="AQ3893" s="128"/>
      <c r="AR3893" s="128"/>
      <c r="AS3893" s="128"/>
      <c r="AT3893" s="128"/>
      <c r="AU3893" s="128"/>
      <c r="AV3893" s="128"/>
      <c r="AW3893" s="128"/>
      <c r="AX3893" s="128"/>
      <c r="AY3893" s="128"/>
      <c r="AZ3893" s="128"/>
      <c r="BA3893" s="128"/>
      <c r="BB3893" s="128"/>
      <c r="BC3893" s="128"/>
      <c r="BD3893" s="128"/>
      <c r="BE3893" s="128"/>
      <c r="BF3893" s="128"/>
      <c r="BG3893" s="128"/>
      <c r="BH3893" s="128"/>
      <c r="BI3893" s="128"/>
      <c r="BJ3893" s="128"/>
      <c r="BK3893" s="128"/>
      <c r="BL3893" s="128"/>
      <c r="BM3893" s="151"/>
      <c r="BN3893" s="128"/>
      <c r="BO3893" s="128"/>
      <c r="BP3893" s="128"/>
      <c r="BQ3893" s="128"/>
      <c r="BR3893" s="128"/>
      <c r="BS3893" s="128"/>
      <c r="BT3893" s="128"/>
      <c r="BU3893" s="128"/>
      <c r="BV3893" s="128"/>
      <c r="BW3893" s="128"/>
      <c r="BX3893" s="128"/>
      <c r="BY3893" s="128"/>
      <c r="BZ3893" s="128"/>
      <c r="CA3893" s="128"/>
      <c r="CB3893" s="128"/>
      <c r="CC3893" s="128"/>
      <c r="CD3893" s="128"/>
      <c r="CE3893" s="128"/>
      <c r="CF3893" s="128"/>
      <c r="CG3893" s="128"/>
      <c r="CI3893" s="128"/>
      <c r="CJ3893" s="128"/>
      <c r="CK3893" s="128"/>
      <c r="CL3893" s="128"/>
      <c r="CM3893" s="128"/>
      <c r="CN3893" s="128"/>
      <c r="CO3893" s="128"/>
      <c r="CP3893" s="128"/>
      <c r="CQ3893" s="128"/>
      <c r="CR3893" s="128"/>
      <c r="CS3893" s="128"/>
      <c r="CT3893" s="128"/>
      <c r="CU3893" s="128"/>
      <c r="CV3893" s="128"/>
      <c r="CW3893" s="128"/>
      <c r="CX3893" s="128"/>
      <c r="CY3893" s="128"/>
      <c r="CZ3893" s="165"/>
    </row>
    <row r="3894" spans="1:104">
      <c r="A3894" s="149"/>
      <c r="B3894" s="149"/>
      <c r="C3894" s="150"/>
      <c r="D3894" s="102"/>
      <c r="E3894" s="149"/>
      <c r="F3894" s="149"/>
      <c r="G3894" s="149"/>
      <c r="H3894" s="149"/>
      <c r="I3894" s="149"/>
      <c r="J3894" s="149"/>
      <c r="K3894" s="149"/>
      <c r="L3894" s="149"/>
      <c r="M3894" s="149"/>
      <c r="N3894" s="149"/>
      <c r="O3894" s="149"/>
      <c r="P3894" s="149"/>
      <c r="Q3894" s="149"/>
      <c r="R3894" s="149"/>
      <c r="S3894" s="149"/>
      <c r="T3894" s="149"/>
      <c r="U3894" s="149"/>
      <c r="V3894" s="149"/>
      <c r="W3894" s="149"/>
      <c r="X3894" s="149"/>
      <c r="Y3894" s="149"/>
      <c r="Z3894" s="149"/>
      <c r="AA3894" s="149"/>
      <c r="AB3894" s="149"/>
      <c r="AC3894" s="149"/>
      <c r="AD3894" s="149"/>
      <c r="AE3894" s="149"/>
      <c r="AF3894" s="149"/>
      <c r="AG3894" s="149"/>
      <c r="AH3894" s="149"/>
      <c r="AI3894" s="149"/>
      <c r="AJ3894" s="149"/>
      <c r="AK3894" s="149"/>
      <c r="AL3894" s="149"/>
      <c r="AM3894" s="149"/>
      <c r="AN3894" s="149"/>
      <c r="AO3894" s="128"/>
      <c r="AP3894" s="128"/>
      <c r="AQ3894" s="128"/>
      <c r="AR3894" s="128"/>
      <c r="AS3894" s="128"/>
      <c r="AT3894" s="128"/>
      <c r="AU3894" s="128"/>
      <c r="AV3894" s="128"/>
      <c r="AW3894" s="128"/>
      <c r="AX3894" s="128"/>
      <c r="AY3894" s="128"/>
      <c r="AZ3894" s="128"/>
      <c r="BA3894" s="128"/>
      <c r="BB3894" s="128"/>
      <c r="BC3894" s="128"/>
      <c r="BD3894" s="128"/>
      <c r="BE3894" s="128"/>
      <c r="BF3894" s="128"/>
      <c r="BG3894" s="128"/>
      <c r="BH3894" s="128"/>
      <c r="BI3894" s="128"/>
      <c r="BJ3894" s="128"/>
      <c r="BK3894" s="128"/>
      <c r="BL3894" s="128"/>
      <c r="BM3894" s="151"/>
      <c r="BN3894" s="128"/>
      <c r="BO3894" s="128"/>
      <c r="BP3894" s="128"/>
      <c r="BQ3894" s="128"/>
      <c r="BR3894" s="128"/>
      <c r="BS3894" s="128"/>
      <c r="BT3894" s="128"/>
      <c r="BU3894" s="128"/>
      <c r="BV3894" s="128"/>
      <c r="BW3894" s="128"/>
      <c r="BX3894" s="128"/>
      <c r="BY3894" s="128"/>
      <c r="BZ3894" s="128"/>
      <c r="CA3894" s="128"/>
      <c r="CB3894" s="128"/>
      <c r="CC3894" s="128"/>
      <c r="CD3894" s="128"/>
      <c r="CE3894" s="128"/>
      <c r="CF3894" s="128"/>
      <c r="CG3894" s="128"/>
      <c r="CI3894" s="128"/>
      <c r="CJ3894" s="128"/>
      <c r="CK3894" s="128"/>
      <c r="CL3894" s="128"/>
      <c r="CM3894" s="128"/>
      <c r="CN3894" s="128"/>
      <c r="CO3894" s="128"/>
      <c r="CP3894" s="128"/>
      <c r="CQ3894" s="128"/>
      <c r="CR3894" s="128"/>
      <c r="CS3894" s="128"/>
      <c r="CT3894" s="128"/>
      <c r="CU3894" s="128"/>
      <c r="CV3894" s="128"/>
      <c r="CW3894" s="128"/>
      <c r="CX3894" s="128"/>
      <c r="CY3894" s="128"/>
      <c r="CZ3894" s="165"/>
    </row>
    <row r="3895" spans="1:104">
      <c r="A3895" s="149"/>
      <c r="B3895" s="149"/>
      <c r="C3895" s="150"/>
      <c r="D3895" s="102"/>
      <c r="E3895" s="149"/>
      <c r="F3895" s="149"/>
      <c r="G3895" s="149"/>
      <c r="H3895" s="149"/>
      <c r="I3895" s="149"/>
      <c r="J3895" s="149"/>
      <c r="K3895" s="149"/>
      <c r="L3895" s="149"/>
      <c r="M3895" s="149"/>
      <c r="N3895" s="149"/>
      <c r="O3895" s="149"/>
      <c r="P3895" s="149"/>
      <c r="Q3895" s="149"/>
      <c r="R3895" s="149"/>
      <c r="S3895" s="149"/>
      <c r="T3895" s="149"/>
      <c r="U3895" s="149"/>
      <c r="V3895" s="149"/>
      <c r="W3895" s="149"/>
      <c r="X3895" s="149"/>
      <c r="Y3895" s="149"/>
      <c r="Z3895" s="149"/>
      <c r="AA3895" s="149"/>
      <c r="AB3895" s="149"/>
      <c r="AC3895" s="149"/>
      <c r="AD3895" s="149"/>
      <c r="AE3895" s="149"/>
      <c r="AF3895" s="149"/>
      <c r="AG3895" s="149"/>
      <c r="AH3895" s="149"/>
      <c r="AI3895" s="149"/>
      <c r="AJ3895" s="149"/>
      <c r="AK3895" s="149"/>
      <c r="AL3895" s="149"/>
      <c r="AM3895" s="149"/>
      <c r="AN3895" s="149"/>
      <c r="AO3895" s="128"/>
      <c r="AP3895" s="128"/>
      <c r="AQ3895" s="128"/>
      <c r="AR3895" s="128"/>
      <c r="AS3895" s="128"/>
      <c r="AT3895" s="128"/>
      <c r="AU3895" s="128"/>
      <c r="AV3895" s="128"/>
      <c r="AW3895" s="128"/>
      <c r="AX3895" s="128"/>
      <c r="AY3895" s="128"/>
      <c r="AZ3895" s="128"/>
      <c r="BA3895" s="128"/>
      <c r="BB3895" s="128"/>
      <c r="BC3895" s="128"/>
      <c r="BD3895" s="128"/>
      <c r="BE3895" s="128"/>
      <c r="BF3895" s="128"/>
      <c r="BG3895" s="128"/>
      <c r="BH3895" s="128"/>
      <c r="BI3895" s="128"/>
      <c r="BJ3895" s="128"/>
      <c r="BK3895" s="128"/>
      <c r="BL3895" s="128"/>
      <c r="BM3895" s="151"/>
      <c r="BN3895" s="128"/>
      <c r="BO3895" s="128"/>
      <c r="BP3895" s="128"/>
      <c r="BQ3895" s="128"/>
      <c r="BR3895" s="128"/>
      <c r="BS3895" s="128"/>
      <c r="BT3895" s="128"/>
      <c r="BU3895" s="128"/>
      <c r="BV3895" s="128"/>
      <c r="BW3895" s="128"/>
      <c r="BX3895" s="128"/>
      <c r="BY3895" s="128"/>
      <c r="BZ3895" s="128"/>
      <c r="CA3895" s="128"/>
      <c r="CB3895" s="128"/>
      <c r="CC3895" s="128"/>
      <c r="CD3895" s="128"/>
      <c r="CE3895" s="128"/>
      <c r="CF3895" s="128"/>
      <c r="CG3895" s="128"/>
      <c r="CI3895" s="128"/>
      <c r="CJ3895" s="128"/>
      <c r="CK3895" s="128"/>
      <c r="CL3895" s="128"/>
      <c r="CM3895" s="128"/>
      <c r="CN3895" s="128"/>
      <c r="CO3895" s="128"/>
      <c r="CP3895" s="128"/>
      <c r="CQ3895" s="128"/>
      <c r="CR3895" s="128"/>
      <c r="CS3895" s="128"/>
      <c r="CT3895" s="128"/>
      <c r="CU3895" s="128"/>
      <c r="CV3895" s="128"/>
      <c r="CW3895" s="128"/>
      <c r="CX3895" s="128"/>
      <c r="CY3895" s="128"/>
      <c r="CZ3895" s="165"/>
    </row>
    <row r="3896" spans="1:104">
      <c r="A3896" s="149"/>
      <c r="B3896" s="149"/>
      <c r="C3896" s="150"/>
      <c r="D3896" s="102"/>
      <c r="E3896" s="149"/>
      <c r="F3896" s="149"/>
      <c r="G3896" s="149"/>
      <c r="H3896" s="149"/>
      <c r="I3896" s="149"/>
      <c r="J3896" s="149"/>
      <c r="K3896" s="149"/>
      <c r="L3896" s="149"/>
      <c r="M3896" s="149"/>
      <c r="N3896" s="149"/>
      <c r="O3896" s="149"/>
      <c r="P3896" s="149"/>
      <c r="Q3896" s="149"/>
      <c r="R3896" s="149"/>
      <c r="S3896" s="149"/>
      <c r="T3896" s="149"/>
      <c r="U3896" s="149"/>
      <c r="V3896" s="149"/>
      <c r="W3896" s="149"/>
      <c r="X3896" s="149"/>
      <c r="Y3896" s="149"/>
      <c r="Z3896" s="149"/>
      <c r="AA3896" s="149"/>
      <c r="AB3896" s="149"/>
      <c r="AC3896" s="149"/>
      <c r="AD3896" s="149"/>
      <c r="AE3896" s="149"/>
      <c r="AF3896" s="149"/>
      <c r="AG3896" s="149"/>
      <c r="AH3896" s="149"/>
      <c r="AI3896" s="149"/>
      <c r="AJ3896" s="149"/>
      <c r="AK3896" s="149"/>
      <c r="AL3896" s="149"/>
      <c r="AM3896" s="149"/>
      <c r="AN3896" s="149"/>
      <c r="AO3896" s="128"/>
      <c r="AP3896" s="128"/>
      <c r="AQ3896" s="128"/>
      <c r="AR3896" s="128"/>
      <c r="AS3896" s="128"/>
      <c r="AT3896" s="128"/>
      <c r="AU3896" s="128"/>
      <c r="AV3896" s="128"/>
      <c r="AW3896" s="128"/>
      <c r="AX3896" s="128"/>
      <c r="AY3896" s="128"/>
      <c r="AZ3896" s="128"/>
      <c r="BA3896" s="128"/>
      <c r="BB3896" s="128"/>
      <c r="BC3896" s="128"/>
      <c r="BD3896" s="128"/>
      <c r="BE3896" s="128"/>
      <c r="BF3896" s="128"/>
      <c r="BG3896" s="128"/>
      <c r="BH3896" s="128"/>
      <c r="BI3896" s="128"/>
      <c r="BJ3896" s="128"/>
      <c r="BK3896" s="128"/>
      <c r="BL3896" s="128"/>
      <c r="BM3896" s="151"/>
      <c r="BN3896" s="128"/>
      <c r="BO3896" s="128"/>
      <c r="BP3896" s="128"/>
      <c r="BQ3896" s="128"/>
      <c r="BR3896" s="128"/>
      <c r="BS3896" s="128"/>
      <c r="BT3896" s="128"/>
      <c r="BU3896" s="128"/>
      <c r="BV3896" s="128"/>
      <c r="BW3896" s="128"/>
      <c r="BX3896" s="128"/>
      <c r="BY3896" s="128"/>
      <c r="BZ3896" s="128"/>
      <c r="CA3896" s="128"/>
      <c r="CB3896" s="128"/>
      <c r="CC3896" s="128"/>
      <c r="CD3896" s="128"/>
      <c r="CE3896" s="128"/>
      <c r="CF3896" s="128"/>
      <c r="CG3896" s="128"/>
      <c r="CI3896" s="128"/>
      <c r="CJ3896" s="128"/>
      <c r="CK3896" s="128"/>
      <c r="CL3896" s="128"/>
      <c r="CM3896" s="128"/>
      <c r="CN3896" s="128"/>
      <c r="CO3896" s="128"/>
      <c r="CP3896" s="128"/>
      <c r="CQ3896" s="128"/>
      <c r="CR3896" s="128"/>
      <c r="CS3896" s="128"/>
      <c r="CT3896" s="128"/>
      <c r="CU3896" s="128"/>
      <c r="CV3896" s="128"/>
      <c r="CW3896" s="128"/>
      <c r="CX3896" s="128"/>
      <c r="CY3896" s="128"/>
      <c r="CZ3896" s="165"/>
    </row>
    <row r="3897" spans="1:104">
      <c r="A3897" s="149"/>
      <c r="B3897" s="149"/>
      <c r="C3897" s="150"/>
      <c r="D3897" s="102"/>
      <c r="E3897" s="149"/>
      <c r="F3897" s="149"/>
      <c r="G3897" s="149"/>
      <c r="H3897" s="149"/>
      <c r="I3897" s="149"/>
      <c r="J3897" s="149"/>
      <c r="K3897" s="149"/>
      <c r="L3897" s="149"/>
      <c r="M3897" s="149"/>
      <c r="N3897" s="149"/>
      <c r="O3897" s="149"/>
      <c r="P3897" s="149"/>
      <c r="Q3897" s="149"/>
      <c r="R3897" s="149"/>
      <c r="S3897" s="149"/>
      <c r="T3897" s="149"/>
      <c r="U3897" s="149"/>
      <c r="V3897" s="149"/>
      <c r="W3897" s="149"/>
      <c r="X3897" s="149"/>
      <c r="Y3897" s="149"/>
      <c r="Z3897" s="149"/>
      <c r="AA3897" s="149"/>
      <c r="AB3897" s="149"/>
      <c r="AC3897" s="149"/>
      <c r="AD3897" s="149"/>
      <c r="AE3897" s="149"/>
      <c r="AF3897" s="149"/>
      <c r="AG3897" s="149"/>
      <c r="AH3897" s="149"/>
      <c r="AI3897" s="149"/>
      <c r="AJ3897" s="149"/>
      <c r="AK3897" s="149"/>
      <c r="AL3897" s="149"/>
      <c r="AM3897" s="149"/>
      <c r="AN3897" s="149"/>
      <c r="AO3897" s="128"/>
      <c r="AP3897" s="128"/>
      <c r="AQ3897" s="128"/>
      <c r="AR3897" s="128"/>
      <c r="AS3897" s="128"/>
      <c r="AT3897" s="128"/>
      <c r="AU3897" s="128"/>
      <c r="AV3897" s="128"/>
      <c r="AW3897" s="128"/>
      <c r="AX3897" s="128"/>
      <c r="AY3897" s="128"/>
      <c r="AZ3897" s="128"/>
      <c r="BA3897" s="128"/>
      <c r="BB3897" s="128"/>
      <c r="BC3897" s="128"/>
      <c r="BD3897" s="128"/>
      <c r="BE3897" s="128"/>
      <c r="BF3897" s="128"/>
      <c r="BG3897" s="128"/>
      <c r="BH3897" s="128"/>
      <c r="BI3897" s="128"/>
      <c r="BJ3897" s="128"/>
      <c r="BK3897" s="128"/>
      <c r="BL3897" s="128"/>
      <c r="BM3897" s="151"/>
      <c r="BN3897" s="128"/>
      <c r="BO3897" s="128"/>
      <c r="BP3897" s="128"/>
      <c r="BQ3897" s="128"/>
      <c r="BR3897" s="128"/>
      <c r="BS3897" s="128"/>
      <c r="BT3897" s="128"/>
      <c r="BU3897" s="128"/>
      <c r="BV3897" s="128"/>
      <c r="BW3897" s="128"/>
      <c r="BX3897" s="128"/>
      <c r="BY3897" s="128"/>
      <c r="BZ3897" s="128"/>
      <c r="CA3897" s="128"/>
      <c r="CB3897" s="128"/>
      <c r="CC3897" s="128"/>
      <c r="CD3897" s="128"/>
      <c r="CE3897" s="128"/>
      <c r="CF3897" s="128"/>
      <c r="CG3897" s="128"/>
      <c r="CI3897" s="128"/>
      <c r="CJ3897" s="128"/>
      <c r="CK3897" s="128"/>
      <c r="CL3897" s="128"/>
      <c r="CM3897" s="128"/>
      <c r="CN3897" s="128"/>
      <c r="CO3897" s="128"/>
      <c r="CP3897" s="128"/>
      <c r="CQ3897" s="128"/>
      <c r="CR3897" s="128"/>
      <c r="CS3897" s="128"/>
      <c r="CT3897" s="128"/>
      <c r="CU3897" s="128"/>
      <c r="CV3897" s="128"/>
      <c r="CW3897" s="128"/>
      <c r="CX3897" s="128"/>
      <c r="CY3897" s="128"/>
      <c r="CZ3897" s="165"/>
    </row>
    <row r="3898" spans="1:104">
      <c r="A3898" s="149"/>
      <c r="B3898" s="149"/>
      <c r="C3898" s="150"/>
      <c r="D3898" s="102"/>
      <c r="E3898" s="149"/>
      <c r="F3898" s="149"/>
      <c r="G3898" s="149"/>
      <c r="H3898" s="149"/>
      <c r="I3898" s="149"/>
      <c r="J3898" s="149"/>
      <c r="K3898" s="149"/>
      <c r="L3898" s="149"/>
      <c r="M3898" s="149"/>
      <c r="N3898" s="149"/>
      <c r="O3898" s="149"/>
      <c r="P3898" s="149"/>
      <c r="Q3898" s="149"/>
      <c r="R3898" s="149"/>
      <c r="S3898" s="149"/>
      <c r="T3898" s="149"/>
      <c r="U3898" s="149"/>
      <c r="V3898" s="149"/>
      <c r="W3898" s="149"/>
      <c r="X3898" s="149"/>
      <c r="Y3898" s="149"/>
      <c r="Z3898" s="149"/>
      <c r="AA3898" s="149"/>
      <c r="AB3898" s="149"/>
      <c r="AC3898" s="149"/>
      <c r="AD3898" s="149"/>
      <c r="AE3898" s="149"/>
      <c r="AF3898" s="149"/>
      <c r="AG3898" s="149"/>
      <c r="AH3898" s="149"/>
      <c r="AI3898" s="149"/>
      <c r="AJ3898" s="149"/>
      <c r="AK3898" s="149"/>
      <c r="AL3898" s="149"/>
      <c r="AM3898" s="149"/>
      <c r="AN3898" s="149"/>
      <c r="AO3898" s="128"/>
      <c r="AP3898" s="128"/>
      <c r="AQ3898" s="128"/>
      <c r="AR3898" s="128"/>
      <c r="AS3898" s="128"/>
      <c r="AT3898" s="128"/>
      <c r="AU3898" s="128"/>
      <c r="AV3898" s="128"/>
      <c r="AW3898" s="128"/>
      <c r="AX3898" s="128"/>
      <c r="AY3898" s="128"/>
      <c r="AZ3898" s="128"/>
      <c r="BA3898" s="128"/>
      <c r="BB3898" s="128"/>
      <c r="BC3898" s="128"/>
      <c r="BD3898" s="128"/>
      <c r="BE3898" s="128"/>
      <c r="BF3898" s="128"/>
      <c r="BG3898" s="128"/>
      <c r="BH3898" s="128"/>
      <c r="BI3898" s="128"/>
      <c r="BJ3898" s="128"/>
      <c r="BK3898" s="128"/>
      <c r="BL3898" s="128"/>
      <c r="BM3898" s="151"/>
      <c r="BN3898" s="128"/>
      <c r="BO3898" s="128"/>
      <c r="BP3898" s="128"/>
      <c r="BQ3898" s="128"/>
      <c r="BR3898" s="128"/>
      <c r="BS3898" s="128"/>
      <c r="BT3898" s="128"/>
      <c r="BU3898" s="128"/>
      <c r="BV3898" s="128"/>
      <c r="BW3898" s="128"/>
      <c r="BX3898" s="128"/>
      <c r="BY3898" s="128"/>
      <c r="BZ3898" s="128"/>
      <c r="CA3898" s="128"/>
      <c r="CB3898" s="128"/>
      <c r="CC3898" s="128"/>
      <c r="CD3898" s="128"/>
      <c r="CE3898" s="128"/>
      <c r="CF3898" s="128"/>
      <c r="CG3898" s="128"/>
      <c r="CI3898" s="128"/>
      <c r="CJ3898" s="128"/>
      <c r="CK3898" s="128"/>
      <c r="CL3898" s="128"/>
      <c r="CM3898" s="128"/>
      <c r="CN3898" s="128"/>
      <c r="CO3898" s="128"/>
      <c r="CP3898" s="128"/>
      <c r="CQ3898" s="128"/>
      <c r="CR3898" s="128"/>
      <c r="CS3898" s="128"/>
      <c r="CT3898" s="128"/>
      <c r="CU3898" s="128"/>
      <c r="CV3898" s="128"/>
      <c r="CW3898" s="128"/>
      <c r="CX3898" s="128"/>
      <c r="CY3898" s="128"/>
      <c r="CZ3898" s="165"/>
    </row>
    <row r="3899" spans="1:104">
      <c r="A3899" s="149"/>
      <c r="B3899" s="149"/>
      <c r="C3899" s="150"/>
      <c r="D3899" s="102"/>
      <c r="E3899" s="149"/>
      <c r="F3899" s="149"/>
      <c r="G3899" s="149"/>
      <c r="H3899" s="149"/>
      <c r="I3899" s="149"/>
      <c r="J3899" s="149"/>
      <c r="K3899" s="149"/>
      <c r="L3899" s="149"/>
      <c r="M3899" s="149"/>
      <c r="N3899" s="149"/>
      <c r="O3899" s="149"/>
      <c r="P3899" s="149"/>
      <c r="Q3899" s="149"/>
      <c r="R3899" s="149"/>
      <c r="S3899" s="149"/>
      <c r="T3899" s="149"/>
      <c r="U3899" s="149"/>
      <c r="V3899" s="149"/>
      <c r="W3899" s="149"/>
      <c r="X3899" s="149"/>
      <c r="Y3899" s="149"/>
      <c r="Z3899" s="149"/>
      <c r="AA3899" s="149"/>
      <c r="AB3899" s="149"/>
      <c r="AC3899" s="149"/>
      <c r="AD3899" s="149"/>
      <c r="AE3899" s="149"/>
      <c r="AF3899" s="149"/>
      <c r="AG3899" s="149"/>
      <c r="AH3899" s="149"/>
      <c r="AI3899" s="149"/>
      <c r="AJ3899" s="149"/>
      <c r="AK3899" s="149"/>
      <c r="AL3899" s="149"/>
      <c r="AM3899" s="149"/>
      <c r="AN3899" s="149"/>
      <c r="AO3899" s="128"/>
      <c r="AP3899" s="128"/>
      <c r="AQ3899" s="128"/>
      <c r="AR3899" s="128"/>
      <c r="AS3899" s="128"/>
      <c r="AT3899" s="128"/>
      <c r="AU3899" s="128"/>
      <c r="AV3899" s="128"/>
      <c r="AW3899" s="128"/>
      <c r="AX3899" s="128"/>
      <c r="AY3899" s="128"/>
      <c r="AZ3899" s="128"/>
      <c r="BA3899" s="128"/>
      <c r="BB3899" s="128"/>
      <c r="BC3899" s="128"/>
      <c r="BD3899" s="128"/>
      <c r="BE3899" s="128"/>
      <c r="BF3899" s="128"/>
      <c r="BG3899" s="128"/>
      <c r="BH3899" s="128"/>
      <c r="BI3899" s="128"/>
      <c r="BJ3899" s="128"/>
      <c r="BK3899" s="128"/>
      <c r="BL3899" s="128"/>
      <c r="BM3899" s="151"/>
      <c r="BN3899" s="128"/>
      <c r="BO3899" s="128"/>
      <c r="BP3899" s="128"/>
      <c r="BQ3899" s="128"/>
      <c r="BR3899" s="128"/>
      <c r="BS3899" s="128"/>
      <c r="BT3899" s="128"/>
      <c r="BU3899" s="128"/>
      <c r="BV3899" s="128"/>
      <c r="BW3899" s="128"/>
      <c r="BX3899" s="128"/>
      <c r="BY3899" s="128"/>
      <c r="BZ3899" s="128"/>
      <c r="CA3899" s="128"/>
      <c r="CB3899" s="128"/>
      <c r="CC3899" s="128"/>
      <c r="CD3899" s="128"/>
      <c r="CE3899" s="128"/>
      <c r="CF3899" s="128"/>
      <c r="CG3899" s="128"/>
      <c r="CI3899" s="128"/>
      <c r="CJ3899" s="128"/>
      <c r="CK3899" s="128"/>
      <c r="CL3899" s="128"/>
      <c r="CM3899" s="128"/>
      <c r="CN3899" s="128"/>
      <c r="CO3899" s="128"/>
      <c r="CP3899" s="128"/>
      <c r="CQ3899" s="128"/>
      <c r="CR3899" s="128"/>
      <c r="CS3899" s="128"/>
      <c r="CT3899" s="128"/>
      <c r="CU3899" s="128"/>
      <c r="CV3899" s="128"/>
      <c r="CW3899" s="128"/>
      <c r="CX3899" s="128"/>
      <c r="CY3899" s="128"/>
      <c r="CZ3899" s="165"/>
    </row>
    <row r="3900" spans="1:104">
      <c r="A3900" s="149"/>
      <c r="B3900" s="149"/>
      <c r="C3900" s="150"/>
      <c r="D3900" s="102"/>
      <c r="E3900" s="149"/>
      <c r="F3900" s="149"/>
      <c r="G3900" s="149"/>
      <c r="H3900" s="149"/>
      <c r="I3900" s="149"/>
      <c r="J3900" s="149"/>
      <c r="K3900" s="149"/>
      <c r="L3900" s="149"/>
      <c r="M3900" s="149"/>
      <c r="N3900" s="149"/>
      <c r="O3900" s="149"/>
      <c r="P3900" s="149"/>
      <c r="Q3900" s="149"/>
      <c r="R3900" s="149"/>
      <c r="S3900" s="149"/>
      <c r="T3900" s="149"/>
      <c r="U3900" s="149"/>
      <c r="V3900" s="149"/>
      <c r="W3900" s="149"/>
      <c r="X3900" s="149"/>
      <c r="Y3900" s="149"/>
      <c r="Z3900" s="149"/>
      <c r="AA3900" s="149"/>
      <c r="AB3900" s="149"/>
      <c r="AC3900" s="149"/>
      <c r="AD3900" s="149"/>
      <c r="AE3900" s="149"/>
      <c r="AF3900" s="149"/>
      <c r="AG3900" s="149"/>
      <c r="AH3900" s="149"/>
      <c r="AI3900" s="149"/>
      <c r="AJ3900" s="149"/>
      <c r="AK3900" s="149"/>
      <c r="AL3900" s="149"/>
      <c r="AM3900" s="149"/>
      <c r="AN3900" s="149"/>
      <c r="AO3900" s="128"/>
      <c r="AP3900" s="128"/>
      <c r="AQ3900" s="128"/>
      <c r="AR3900" s="128"/>
      <c r="AS3900" s="128"/>
      <c r="AT3900" s="128"/>
      <c r="AU3900" s="128"/>
      <c r="AV3900" s="128"/>
      <c r="AW3900" s="128"/>
      <c r="AX3900" s="128"/>
      <c r="AY3900" s="128"/>
      <c r="AZ3900" s="128"/>
      <c r="BA3900" s="128"/>
      <c r="BB3900" s="128"/>
      <c r="BC3900" s="128"/>
      <c r="BD3900" s="128"/>
      <c r="BE3900" s="128"/>
      <c r="BF3900" s="128"/>
      <c r="BG3900" s="128"/>
      <c r="BH3900" s="128"/>
      <c r="BI3900" s="128"/>
      <c r="BJ3900" s="128"/>
      <c r="BK3900" s="128"/>
      <c r="BL3900" s="128"/>
      <c r="BM3900" s="151"/>
      <c r="BN3900" s="128"/>
      <c r="BO3900" s="128"/>
      <c r="BP3900" s="128"/>
      <c r="BQ3900" s="128"/>
      <c r="BR3900" s="128"/>
      <c r="BS3900" s="128"/>
      <c r="BT3900" s="128"/>
      <c r="BU3900" s="128"/>
      <c r="BV3900" s="128"/>
      <c r="BW3900" s="128"/>
      <c r="BX3900" s="128"/>
      <c r="BY3900" s="128"/>
      <c r="BZ3900" s="128"/>
      <c r="CA3900" s="128"/>
      <c r="CB3900" s="128"/>
      <c r="CC3900" s="128"/>
      <c r="CD3900" s="128"/>
      <c r="CE3900" s="128"/>
      <c r="CF3900" s="128"/>
      <c r="CG3900" s="128"/>
      <c r="CI3900" s="128"/>
      <c r="CJ3900" s="128"/>
      <c r="CK3900" s="128"/>
      <c r="CL3900" s="128"/>
      <c r="CM3900" s="128"/>
      <c r="CN3900" s="128"/>
      <c r="CO3900" s="128"/>
      <c r="CP3900" s="128"/>
      <c r="CQ3900" s="128"/>
      <c r="CR3900" s="128"/>
      <c r="CS3900" s="128"/>
      <c r="CT3900" s="128"/>
      <c r="CU3900" s="128"/>
      <c r="CV3900" s="128"/>
      <c r="CW3900" s="128"/>
      <c r="CX3900" s="128"/>
      <c r="CY3900" s="128"/>
      <c r="CZ3900" s="165"/>
    </row>
    <row r="3901" spans="1:104">
      <c r="A3901" s="149"/>
      <c r="B3901" s="149"/>
      <c r="C3901" s="150"/>
      <c r="D3901" s="102"/>
      <c r="E3901" s="149"/>
      <c r="F3901" s="149"/>
      <c r="G3901" s="149"/>
      <c r="H3901" s="149"/>
      <c r="I3901" s="149"/>
      <c r="J3901" s="149"/>
      <c r="K3901" s="149"/>
      <c r="L3901" s="149"/>
      <c r="M3901" s="149"/>
      <c r="N3901" s="149"/>
      <c r="O3901" s="149"/>
      <c r="P3901" s="149"/>
      <c r="Q3901" s="149"/>
      <c r="R3901" s="149"/>
      <c r="S3901" s="149"/>
      <c r="T3901" s="149"/>
      <c r="U3901" s="149"/>
      <c r="V3901" s="149"/>
      <c r="W3901" s="149"/>
      <c r="X3901" s="149"/>
      <c r="Y3901" s="149"/>
      <c r="Z3901" s="149"/>
      <c r="AA3901" s="149"/>
      <c r="AB3901" s="149"/>
      <c r="AC3901" s="149"/>
      <c r="AD3901" s="149"/>
      <c r="AE3901" s="149"/>
      <c r="AF3901" s="149"/>
      <c r="AG3901" s="149"/>
      <c r="AH3901" s="149"/>
      <c r="AI3901" s="149"/>
      <c r="AJ3901" s="149"/>
      <c r="AK3901" s="149"/>
      <c r="AL3901" s="149"/>
      <c r="AM3901" s="149"/>
      <c r="AN3901" s="149"/>
      <c r="AO3901" s="128"/>
      <c r="AP3901" s="128"/>
      <c r="AQ3901" s="128"/>
      <c r="AR3901" s="128"/>
      <c r="AS3901" s="128"/>
      <c r="AT3901" s="128"/>
      <c r="AU3901" s="128"/>
      <c r="AV3901" s="128"/>
      <c r="AW3901" s="128"/>
      <c r="AX3901" s="128"/>
      <c r="AY3901" s="128"/>
      <c r="AZ3901" s="128"/>
      <c r="BA3901" s="128"/>
      <c r="BB3901" s="128"/>
      <c r="BC3901" s="128"/>
      <c r="BD3901" s="128"/>
      <c r="BE3901" s="128"/>
      <c r="BF3901" s="128"/>
      <c r="BG3901" s="128"/>
      <c r="BH3901" s="128"/>
      <c r="BI3901" s="128"/>
      <c r="BJ3901" s="128"/>
      <c r="BK3901" s="128"/>
      <c r="BL3901" s="128"/>
      <c r="BM3901" s="151"/>
      <c r="BN3901" s="128"/>
      <c r="BO3901" s="128"/>
      <c r="BP3901" s="128"/>
      <c r="BQ3901" s="128"/>
      <c r="BR3901" s="128"/>
      <c r="BS3901" s="128"/>
      <c r="BT3901" s="128"/>
      <c r="BU3901" s="128"/>
      <c r="BV3901" s="128"/>
      <c r="BW3901" s="128"/>
      <c r="BX3901" s="128"/>
      <c r="BY3901" s="128"/>
      <c r="BZ3901" s="128"/>
      <c r="CA3901" s="128"/>
      <c r="CB3901" s="128"/>
      <c r="CC3901" s="128"/>
      <c r="CD3901" s="128"/>
      <c r="CE3901" s="128"/>
      <c r="CF3901" s="128"/>
      <c r="CG3901" s="128"/>
      <c r="CI3901" s="128"/>
      <c r="CJ3901" s="128"/>
      <c r="CK3901" s="128"/>
      <c r="CL3901" s="128"/>
      <c r="CM3901" s="128"/>
      <c r="CN3901" s="128"/>
      <c r="CO3901" s="128"/>
      <c r="CP3901" s="128"/>
      <c r="CQ3901" s="128"/>
      <c r="CR3901" s="128"/>
      <c r="CS3901" s="128"/>
      <c r="CT3901" s="128"/>
      <c r="CU3901" s="128"/>
      <c r="CV3901" s="128"/>
      <c r="CW3901" s="128"/>
      <c r="CX3901" s="128"/>
      <c r="CY3901" s="128"/>
      <c r="CZ3901" s="165"/>
    </row>
    <row r="3902" spans="1:104">
      <c r="A3902" s="149"/>
      <c r="B3902" s="149"/>
      <c r="C3902" s="150"/>
      <c r="D3902" s="102"/>
      <c r="E3902" s="149"/>
      <c r="F3902" s="149"/>
      <c r="G3902" s="149"/>
      <c r="H3902" s="149"/>
      <c r="I3902" s="149"/>
      <c r="J3902" s="149"/>
      <c r="K3902" s="149"/>
      <c r="L3902" s="149"/>
      <c r="M3902" s="149"/>
      <c r="N3902" s="149"/>
      <c r="O3902" s="149"/>
      <c r="P3902" s="149"/>
      <c r="Q3902" s="149"/>
      <c r="R3902" s="149"/>
      <c r="S3902" s="149"/>
      <c r="T3902" s="149"/>
      <c r="U3902" s="149"/>
      <c r="V3902" s="149"/>
      <c r="W3902" s="149"/>
      <c r="X3902" s="149"/>
      <c r="Y3902" s="149"/>
      <c r="Z3902" s="149"/>
      <c r="AA3902" s="149"/>
      <c r="AB3902" s="149"/>
      <c r="AC3902" s="149"/>
      <c r="AD3902" s="149"/>
      <c r="AE3902" s="149"/>
      <c r="AF3902" s="149"/>
      <c r="AG3902" s="149"/>
      <c r="AH3902" s="149"/>
      <c r="AI3902" s="149"/>
      <c r="AJ3902" s="149"/>
      <c r="AK3902" s="149"/>
      <c r="AL3902" s="149"/>
      <c r="AM3902" s="149"/>
      <c r="AN3902" s="149"/>
      <c r="AO3902" s="128"/>
      <c r="AP3902" s="128"/>
      <c r="AQ3902" s="128"/>
      <c r="AR3902" s="128"/>
      <c r="AS3902" s="128"/>
      <c r="AT3902" s="128"/>
      <c r="AU3902" s="128"/>
      <c r="AV3902" s="128"/>
      <c r="AW3902" s="128"/>
      <c r="AX3902" s="128"/>
      <c r="AY3902" s="128"/>
      <c r="AZ3902" s="128"/>
      <c r="BA3902" s="128"/>
      <c r="BB3902" s="128"/>
      <c r="BC3902" s="128"/>
      <c r="BD3902" s="128"/>
      <c r="BE3902" s="128"/>
      <c r="BF3902" s="128"/>
      <c r="BG3902" s="128"/>
      <c r="BH3902" s="128"/>
      <c r="BI3902" s="128"/>
      <c r="BJ3902" s="128"/>
      <c r="BK3902" s="128"/>
      <c r="BL3902" s="128"/>
      <c r="BM3902" s="151"/>
      <c r="BN3902" s="128"/>
      <c r="BO3902" s="128"/>
      <c r="BP3902" s="128"/>
      <c r="BQ3902" s="128"/>
      <c r="BR3902" s="128"/>
      <c r="BS3902" s="128"/>
      <c r="BT3902" s="128"/>
      <c r="BU3902" s="128"/>
      <c r="BV3902" s="128"/>
      <c r="BW3902" s="128"/>
      <c r="BX3902" s="128"/>
      <c r="BY3902" s="128"/>
      <c r="BZ3902" s="128"/>
      <c r="CA3902" s="128"/>
      <c r="CB3902" s="128"/>
      <c r="CC3902" s="128"/>
      <c r="CD3902" s="128"/>
      <c r="CE3902" s="128"/>
      <c r="CF3902" s="128"/>
      <c r="CG3902" s="128"/>
      <c r="CI3902" s="128"/>
      <c r="CJ3902" s="128"/>
      <c r="CK3902" s="128"/>
      <c r="CL3902" s="128"/>
      <c r="CM3902" s="128"/>
      <c r="CN3902" s="128"/>
      <c r="CO3902" s="128"/>
      <c r="CP3902" s="128"/>
      <c r="CQ3902" s="128"/>
      <c r="CR3902" s="128"/>
      <c r="CS3902" s="128"/>
      <c r="CT3902" s="128"/>
      <c r="CU3902" s="128"/>
      <c r="CV3902" s="128"/>
      <c r="CW3902" s="128"/>
      <c r="CX3902" s="128"/>
      <c r="CY3902" s="128"/>
      <c r="CZ3902" s="165"/>
    </row>
    <row r="3903" spans="1:104">
      <c r="A3903" s="149"/>
      <c r="B3903" s="149"/>
      <c r="C3903" s="150"/>
      <c r="D3903" s="102"/>
      <c r="E3903" s="149"/>
      <c r="F3903" s="149"/>
      <c r="G3903" s="149"/>
      <c r="H3903" s="149"/>
      <c r="I3903" s="149"/>
      <c r="J3903" s="149"/>
      <c r="K3903" s="149"/>
      <c r="L3903" s="149"/>
      <c r="M3903" s="149"/>
      <c r="N3903" s="149"/>
      <c r="O3903" s="149"/>
      <c r="P3903" s="149"/>
      <c r="Q3903" s="149"/>
      <c r="R3903" s="149"/>
      <c r="S3903" s="149"/>
      <c r="T3903" s="149"/>
      <c r="U3903" s="149"/>
      <c r="V3903" s="149"/>
      <c r="W3903" s="149"/>
      <c r="X3903" s="149"/>
      <c r="Y3903" s="149"/>
      <c r="Z3903" s="149"/>
      <c r="AA3903" s="149"/>
      <c r="AB3903" s="149"/>
      <c r="AC3903" s="149"/>
      <c r="AD3903" s="149"/>
      <c r="AE3903" s="149"/>
      <c r="AF3903" s="149"/>
      <c r="AG3903" s="149"/>
      <c r="AH3903" s="149"/>
      <c r="AI3903" s="149"/>
      <c r="AJ3903" s="149"/>
      <c r="AK3903" s="149"/>
      <c r="AL3903" s="149"/>
      <c r="AM3903" s="149"/>
      <c r="AN3903" s="149"/>
      <c r="AO3903" s="128"/>
      <c r="AP3903" s="128"/>
      <c r="AQ3903" s="128"/>
      <c r="AR3903" s="128"/>
      <c r="AS3903" s="128"/>
      <c r="AT3903" s="128"/>
      <c r="AU3903" s="128"/>
      <c r="AV3903" s="128"/>
      <c r="AW3903" s="128"/>
      <c r="AX3903" s="128"/>
      <c r="AY3903" s="128"/>
      <c r="AZ3903" s="128"/>
      <c r="BA3903" s="128"/>
      <c r="BB3903" s="128"/>
      <c r="BC3903" s="128"/>
      <c r="BD3903" s="128"/>
      <c r="BE3903" s="128"/>
      <c r="BF3903" s="128"/>
      <c r="BG3903" s="128"/>
      <c r="BH3903" s="128"/>
      <c r="BI3903" s="128"/>
      <c r="BJ3903" s="128"/>
      <c r="BK3903" s="128"/>
      <c r="BL3903" s="128"/>
      <c r="BM3903" s="151"/>
      <c r="BN3903" s="128"/>
      <c r="BO3903" s="128"/>
      <c r="BP3903" s="128"/>
      <c r="BQ3903" s="128"/>
      <c r="BR3903" s="128"/>
      <c r="BS3903" s="128"/>
      <c r="BT3903" s="128"/>
      <c r="BU3903" s="128"/>
      <c r="BV3903" s="128"/>
      <c r="BW3903" s="128"/>
      <c r="BX3903" s="128"/>
      <c r="BY3903" s="128"/>
      <c r="BZ3903" s="128"/>
      <c r="CA3903" s="128"/>
      <c r="CB3903" s="128"/>
      <c r="CC3903" s="128"/>
      <c r="CD3903" s="128"/>
      <c r="CE3903" s="128"/>
      <c r="CF3903" s="128"/>
      <c r="CG3903" s="128"/>
      <c r="CI3903" s="128"/>
      <c r="CJ3903" s="128"/>
      <c r="CK3903" s="128"/>
      <c r="CL3903" s="128"/>
      <c r="CM3903" s="128"/>
      <c r="CN3903" s="128"/>
      <c r="CO3903" s="128"/>
      <c r="CP3903" s="128"/>
      <c r="CQ3903" s="128"/>
      <c r="CR3903" s="128"/>
      <c r="CS3903" s="128"/>
      <c r="CT3903" s="128"/>
      <c r="CU3903" s="128"/>
      <c r="CV3903" s="128"/>
      <c r="CW3903" s="128"/>
      <c r="CX3903" s="128"/>
      <c r="CY3903" s="128"/>
      <c r="CZ3903" s="165"/>
    </row>
    <row r="3904" spans="1:104">
      <c r="A3904" s="149"/>
      <c r="B3904" s="149"/>
      <c r="C3904" s="150"/>
      <c r="D3904" s="102"/>
      <c r="E3904" s="149"/>
      <c r="F3904" s="149"/>
      <c r="G3904" s="149"/>
      <c r="H3904" s="149"/>
      <c r="I3904" s="149"/>
      <c r="J3904" s="149"/>
      <c r="K3904" s="149"/>
      <c r="L3904" s="149"/>
      <c r="M3904" s="149"/>
      <c r="N3904" s="149"/>
      <c r="O3904" s="149"/>
      <c r="P3904" s="149"/>
      <c r="Q3904" s="149"/>
      <c r="R3904" s="149"/>
      <c r="S3904" s="149"/>
      <c r="T3904" s="149"/>
      <c r="U3904" s="149"/>
      <c r="V3904" s="149"/>
      <c r="W3904" s="149"/>
      <c r="X3904" s="149"/>
      <c r="Y3904" s="149"/>
      <c r="Z3904" s="149"/>
      <c r="AA3904" s="149"/>
      <c r="AB3904" s="149"/>
      <c r="AC3904" s="149"/>
      <c r="AD3904" s="149"/>
      <c r="AE3904" s="149"/>
      <c r="AF3904" s="149"/>
      <c r="AG3904" s="149"/>
      <c r="AH3904" s="149"/>
      <c r="AI3904" s="149"/>
      <c r="AJ3904" s="149"/>
      <c r="AK3904" s="149"/>
      <c r="AL3904" s="149"/>
      <c r="AM3904" s="149"/>
      <c r="AN3904" s="149"/>
      <c r="AO3904" s="128"/>
      <c r="AP3904" s="128"/>
      <c r="AQ3904" s="128"/>
      <c r="AR3904" s="128"/>
      <c r="AS3904" s="128"/>
      <c r="AT3904" s="128"/>
      <c r="AU3904" s="128"/>
      <c r="AV3904" s="128"/>
      <c r="AW3904" s="128"/>
      <c r="AX3904" s="128"/>
      <c r="AY3904" s="128"/>
      <c r="AZ3904" s="128"/>
      <c r="BA3904" s="128"/>
      <c r="BB3904" s="128"/>
      <c r="BC3904" s="128"/>
      <c r="BD3904" s="128"/>
      <c r="BE3904" s="128"/>
      <c r="BF3904" s="128"/>
      <c r="BG3904" s="128"/>
      <c r="BH3904" s="128"/>
      <c r="BI3904" s="128"/>
      <c r="BJ3904" s="128"/>
      <c r="BK3904" s="128"/>
      <c r="BL3904" s="128"/>
      <c r="BM3904" s="151"/>
      <c r="BN3904" s="128"/>
      <c r="BO3904" s="128"/>
      <c r="BP3904" s="128"/>
      <c r="BQ3904" s="128"/>
      <c r="BR3904" s="128"/>
      <c r="BS3904" s="128"/>
      <c r="BT3904" s="128"/>
      <c r="BU3904" s="128"/>
      <c r="BV3904" s="128"/>
      <c r="BW3904" s="128"/>
      <c r="BX3904" s="128"/>
      <c r="BY3904" s="128"/>
      <c r="BZ3904" s="128"/>
      <c r="CA3904" s="128"/>
      <c r="CB3904" s="128"/>
      <c r="CC3904" s="128"/>
      <c r="CD3904" s="128"/>
      <c r="CE3904" s="128"/>
      <c r="CF3904" s="128"/>
      <c r="CG3904" s="128"/>
      <c r="CI3904" s="128"/>
      <c r="CJ3904" s="128"/>
      <c r="CK3904" s="128"/>
      <c r="CL3904" s="128"/>
      <c r="CM3904" s="128"/>
      <c r="CN3904" s="128"/>
      <c r="CO3904" s="128"/>
      <c r="CP3904" s="128"/>
      <c r="CQ3904" s="128"/>
      <c r="CR3904" s="128"/>
      <c r="CS3904" s="128"/>
      <c r="CT3904" s="128"/>
      <c r="CU3904" s="128"/>
      <c r="CV3904" s="128"/>
      <c r="CW3904" s="128"/>
      <c r="CX3904" s="128"/>
      <c r="CY3904" s="128"/>
      <c r="CZ3904" s="165"/>
    </row>
    <row r="3905" spans="1:104">
      <c r="A3905" s="149"/>
      <c r="B3905" s="149"/>
      <c r="C3905" s="150"/>
      <c r="D3905" s="102"/>
      <c r="E3905" s="149"/>
      <c r="F3905" s="149"/>
      <c r="G3905" s="149"/>
      <c r="H3905" s="149"/>
      <c r="I3905" s="149"/>
      <c r="J3905" s="149"/>
      <c r="K3905" s="149"/>
      <c r="L3905" s="149"/>
      <c r="M3905" s="149"/>
      <c r="N3905" s="149"/>
      <c r="O3905" s="149"/>
      <c r="P3905" s="149"/>
      <c r="Q3905" s="149"/>
      <c r="R3905" s="149"/>
      <c r="S3905" s="149"/>
      <c r="T3905" s="149"/>
      <c r="U3905" s="149"/>
      <c r="V3905" s="149"/>
      <c r="W3905" s="149"/>
      <c r="X3905" s="149"/>
      <c r="Y3905" s="149"/>
      <c r="Z3905" s="149"/>
      <c r="AA3905" s="149"/>
      <c r="AB3905" s="149"/>
      <c r="AC3905" s="149"/>
      <c r="AD3905" s="149"/>
      <c r="AE3905" s="149"/>
      <c r="AF3905" s="149"/>
      <c r="AG3905" s="149"/>
      <c r="AH3905" s="149"/>
      <c r="AI3905" s="149"/>
      <c r="AJ3905" s="149"/>
      <c r="AK3905" s="149"/>
      <c r="AL3905" s="149"/>
      <c r="AM3905" s="149"/>
      <c r="AN3905" s="149"/>
      <c r="AO3905" s="128"/>
      <c r="AP3905" s="128"/>
      <c r="AQ3905" s="128"/>
      <c r="AR3905" s="128"/>
      <c r="AS3905" s="128"/>
      <c r="AT3905" s="128"/>
      <c r="AU3905" s="128"/>
      <c r="AV3905" s="128"/>
      <c r="AW3905" s="128"/>
      <c r="AX3905" s="128"/>
      <c r="AY3905" s="128"/>
      <c r="AZ3905" s="128"/>
      <c r="BA3905" s="128"/>
      <c r="BB3905" s="128"/>
      <c r="BC3905" s="128"/>
      <c r="BD3905" s="128"/>
      <c r="BE3905" s="128"/>
      <c r="BF3905" s="128"/>
      <c r="BG3905" s="128"/>
      <c r="BH3905" s="128"/>
      <c r="BI3905" s="128"/>
      <c r="BJ3905" s="128"/>
      <c r="BK3905" s="128"/>
      <c r="BL3905" s="128"/>
      <c r="BM3905" s="151"/>
      <c r="BN3905" s="128"/>
      <c r="BO3905" s="128"/>
      <c r="BP3905" s="128"/>
      <c r="BQ3905" s="128"/>
      <c r="BR3905" s="128"/>
      <c r="BS3905" s="128"/>
      <c r="BT3905" s="128"/>
      <c r="BU3905" s="128"/>
      <c r="BV3905" s="128"/>
      <c r="BW3905" s="128"/>
      <c r="BX3905" s="128"/>
      <c r="BY3905" s="128"/>
      <c r="BZ3905" s="128"/>
      <c r="CA3905" s="128"/>
      <c r="CB3905" s="128"/>
      <c r="CC3905" s="128"/>
      <c r="CD3905" s="128"/>
      <c r="CE3905" s="128"/>
      <c r="CF3905" s="128"/>
      <c r="CG3905" s="128"/>
      <c r="CI3905" s="128"/>
      <c r="CJ3905" s="128"/>
      <c r="CK3905" s="128"/>
      <c r="CL3905" s="128"/>
      <c r="CM3905" s="128"/>
      <c r="CN3905" s="128"/>
      <c r="CO3905" s="128"/>
      <c r="CP3905" s="128"/>
      <c r="CQ3905" s="128"/>
      <c r="CR3905" s="128"/>
      <c r="CS3905" s="128"/>
      <c r="CT3905" s="128"/>
      <c r="CU3905" s="128"/>
      <c r="CV3905" s="128"/>
      <c r="CW3905" s="128"/>
      <c r="CX3905" s="128"/>
      <c r="CY3905" s="128"/>
      <c r="CZ3905" s="165"/>
    </row>
    <row r="3906" spans="1:104">
      <c r="A3906" s="149"/>
      <c r="B3906" s="149"/>
      <c r="C3906" s="150"/>
      <c r="D3906" s="102"/>
      <c r="E3906" s="149"/>
      <c r="F3906" s="149"/>
      <c r="G3906" s="149"/>
      <c r="H3906" s="149"/>
      <c r="I3906" s="149"/>
      <c r="J3906" s="149"/>
      <c r="K3906" s="149"/>
      <c r="L3906" s="149"/>
      <c r="M3906" s="149"/>
      <c r="N3906" s="149"/>
      <c r="O3906" s="149"/>
      <c r="P3906" s="149"/>
      <c r="Q3906" s="149"/>
      <c r="R3906" s="149"/>
      <c r="S3906" s="149"/>
      <c r="T3906" s="149"/>
      <c r="U3906" s="149"/>
      <c r="V3906" s="149"/>
      <c r="W3906" s="149"/>
      <c r="X3906" s="149"/>
      <c r="Y3906" s="149"/>
      <c r="Z3906" s="149"/>
      <c r="AA3906" s="149"/>
      <c r="AB3906" s="149"/>
      <c r="AC3906" s="149"/>
      <c r="AD3906" s="149"/>
      <c r="AE3906" s="149"/>
      <c r="AF3906" s="149"/>
      <c r="AG3906" s="149"/>
      <c r="AH3906" s="149"/>
      <c r="AI3906" s="149"/>
      <c r="AJ3906" s="149"/>
      <c r="AK3906" s="149"/>
      <c r="AL3906" s="149"/>
      <c r="AM3906" s="149"/>
      <c r="AN3906" s="149"/>
      <c r="AO3906" s="128"/>
      <c r="AP3906" s="128"/>
      <c r="AQ3906" s="128"/>
      <c r="AR3906" s="128"/>
      <c r="AS3906" s="128"/>
      <c r="AT3906" s="128"/>
      <c r="AU3906" s="128"/>
      <c r="AV3906" s="128"/>
      <c r="AW3906" s="128"/>
      <c r="AX3906" s="128"/>
      <c r="AY3906" s="128"/>
      <c r="AZ3906" s="128"/>
      <c r="BA3906" s="128"/>
      <c r="BB3906" s="128"/>
      <c r="BC3906" s="128"/>
      <c r="BD3906" s="128"/>
      <c r="BE3906" s="128"/>
      <c r="BF3906" s="128"/>
      <c r="BG3906" s="128"/>
      <c r="BH3906" s="128"/>
      <c r="BI3906" s="128"/>
      <c r="BJ3906" s="128"/>
      <c r="BK3906" s="128"/>
      <c r="BL3906" s="128"/>
      <c r="BM3906" s="151"/>
      <c r="BN3906" s="128"/>
      <c r="BO3906" s="128"/>
      <c r="BP3906" s="128"/>
      <c r="BQ3906" s="128"/>
      <c r="BR3906" s="128"/>
      <c r="BS3906" s="128"/>
      <c r="BT3906" s="128"/>
      <c r="BU3906" s="128"/>
      <c r="BV3906" s="128"/>
      <c r="BW3906" s="128"/>
      <c r="BX3906" s="128"/>
      <c r="BY3906" s="128"/>
      <c r="BZ3906" s="128"/>
      <c r="CA3906" s="128"/>
      <c r="CB3906" s="128"/>
      <c r="CC3906" s="128"/>
      <c r="CD3906" s="128"/>
      <c r="CE3906" s="128"/>
      <c r="CF3906" s="128"/>
      <c r="CG3906" s="128"/>
      <c r="CI3906" s="128"/>
      <c r="CJ3906" s="128"/>
      <c r="CK3906" s="128"/>
      <c r="CL3906" s="128"/>
      <c r="CM3906" s="128"/>
      <c r="CN3906" s="128"/>
      <c r="CO3906" s="128"/>
      <c r="CP3906" s="128"/>
      <c r="CQ3906" s="128"/>
      <c r="CR3906" s="128"/>
      <c r="CS3906" s="128"/>
      <c r="CT3906" s="128"/>
      <c r="CU3906" s="128"/>
      <c r="CV3906" s="128"/>
      <c r="CW3906" s="128"/>
      <c r="CX3906" s="128"/>
      <c r="CY3906" s="128"/>
      <c r="CZ3906" s="165"/>
    </row>
    <row r="3907" spans="1:104">
      <c r="A3907" s="149"/>
      <c r="B3907" s="149"/>
      <c r="C3907" s="150"/>
      <c r="D3907" s="102"/>
      <c r="E3907" s="149"/>
      <c r="F3907" s="149"/>
      <c r="G3907" s="149"/>
      <c r="H3907" s="149"/>
      <c r="I3907" s="149"/>
      <c r="J3907" s="149"/>
      <c r="K3907" s="149"/>
      <c r="L3907" s="149"/>
      <c r="M3907" s="149"/>
      <c r="N3907" s="149"/>
      <c r="O3907" s="149"/>
      <c r="P3907" s="149"/>
      <c r="Q3907" s="149"/>
      <c r="R3907" s="149"/>
      <c r="S3907" s="149"/>
      <c r="T3907" s="149"/>
      <c r="U3907" s="149"/>
      <c r="V3907" s="149"/>
      <c r="W3907" s="149"/>
      <c r="X3907" s="149"/>
      <c r="Y3907" s="149"/>
      <c r="Z3907" s="149"/>
      <c r="AA3907" s="149"/>
      <c r="AB3907" s="149"/>
      <c r="AC3907" s="149"/>
      <c r="AD3907" s="149"/>
      <c r="AE3907" s="149"/>
      <c r="AF3907" s="149"/>
      <c r="AG3907" s="149"/>
      <c r="AH3907" s="149"/>
      <c r="AI3907" s="149"/>
      <c r="AJ3907" s="149"/>
      <c r="AK3907" s="149"/>
      <c r="AL3907" s="149"/>
      <c r="AM3907" s="149"/>
      <c r="AN3907" s="149"/>
      <c r="AO3907" s="128"/>
      <c r="AP3907" s="128"/>
      <c r="AQ3907" s="128"/>
      <c r="AR3907" s="128"/>
      <c r="AS3907" s="128"/>
      <c r="AT3907" s="128"/>
      <c r="AU3907" s="128"/>
      <c r="AV3907" s="128"/>
      <c r="AW3907" s="128"/>
      <c r="AX3907" s="128"/>
      <c r="AY3907" s="128"/>
      <c r="AZ3907" s="128"/>
      <c r="BA3907" s="128"/>
      <c r="BB3907" s="128"/>
      <c r="BC3907" s="128"/>
      <c r="BD3907" s="128"/>
      <c r="BE3907" s="128"/>
      <c r="BF3907" s="128"/>
      <c r="BG3907" s="128"/>
      <c r="BH3907" s="128"/>
      <c r="BI3907" s="128"/>
      <c r="BJ3907" s="128"/>
      <c r="BK3907" s="128"/>
      <c r="BL3907" s="128"/>
      <c r="BM3907" s="151"/>
      <c r="BN3907" s="128"/>
      <c r="BO3907" s="128"/>
      <c r="BP3907" s="128"/>
      <c r="BQ3907" s="128"/>
      <c r="BR3907" s="128"/>
      <c r="BS3907" s="128"/>
      <c r="BT3907" s="128"/>
      <c r="BU3907" s="128"/>
      <c r="BV3907" s="128"/>
      <c r="BW3907" s="128"/>
      <c r="BX3907" s="128"/>
      <c r="BY3907" s="128"/>
      <c r="BZ3907" s="128"/>
      <c r="CA3907" s="128"/>
      <c r="CB3907" s="128"/>
      <c r="CC3907" s="128"/>
      <c r="CD3907" s="128"/>
      <c r="CE3907" s="128"/>
      <c r="CF3907" s="128"/>
      <c r="CG3907" s="128"/>
      <c r="CI3907" s="128"/>
      <c r="CJ3907" s="128"/>
      <c r="CK3907" s="128"/>
      <c r="CL3907" s="128"/>
      <c r="CM3907" s="128"/>
      <c r="CN3907" s="128"/>
      <c r="CO3907" s="128"/>
      <c r="CP3907" s="128"/>
      <c r="CQ3907" s="128"/>
      <c r="CR3907" s="128"/>
      <c r="CS3907" s="128"/>
      <c r="CT3907" s="128"/>
      <c r="CU3907" s="128"/>
      <c r="CV3907" s="128"/>
      <c r="CW3907" s="128"/>
      <c r="CX3907" s="128"/>
      <c r="CY3907" s="128"/>
      <c r="CZ3907" s="165"/>
    </row>
    <row r="3908" spans="1:104">
      <c r="A3908" s="149"/>
      <c r="B3908" s="149"/>
      <c r="C3908" s="150"/>
      <c r="D3908" s="102"/>
      <c r="E3908" s="149"/>
      <c r="F3908" s="149"/>
      <c r="G3908" s="149"/>
      <c r="H3908" s="149"/>
      <c r="I3908" s="149"/>
      <c r="J3908" s="149"/>
      <c r="K3908" s="149"/>
      <c r="L3908" s="149"/>
      <c r="M3908" s="149"/>
      <c r="N3908" s="149"/>
      <c r="O3908" s="149"/>
      <c r="P3908" s="149"/>
      <c r="Q3908" s="149"/>
      <c r="R3908" s="149"/>
      <c r="S3908" s="149"/>
      <c r="T3908" s="149"/>
      <c r="U3908" s="149"/>
      <c r="V3908" s="149"/>
      <c r="W3908" s="149"/>
      <c r="X3908" s="149"/>
      <c r="Y3908" s="149"/>
      <c r="Z3908" s="149"/>
      <c r="AA3908" s="149"/>
      <c r="AB3908" s="149"/>
      <c r="AC3908" s="149"/>
      <c r="AD3908" s="149"/>
      <c r="AE3908" s="149"/>
      <c r="AF3908" s="149"/>
      <c r="AG3908" s="149"/>
      <c r="AH3908" s="149"/>
      <c r="AI3908" s="149"/>
      <c r="AJ3908" s="149"/>
      <c r="AK3908" s="149"/>
      <c r="AL3908" s="149"/>
      <c r="AM3908" s="149"/>
      <c r="AN3908" s="149"/>
      <c r="AO3908" s="128"/>
      <c r="AP3908" s="128"/>
      <c r="AQ3908" s="128"/>
      <c r="AR3908" s="128"/>
      <c r="AS3908" s="128"/>
      <c r="AT3908" s="128"/>
      <c r="AU3908" s="128"/>
      <c r="AV3908" s="128"/>
      <c r="AW3908" s="128"/>
      <c r="AX3908" s="128"/>
      <c r="AY3908" s="128"/>
      <c r="AZ3908" s="128"/>
      <c r="BA3908" s="128"/>
      <c r="BB3908" s="128"/>
      <c r="BC3908" s="128"/>
      <c r="BD3908" s="128"/>
      <c r="BE3908" s="128"/>
      <c r="BF3908" s="128"/>
      <c r="BG3908" s="128"/>
      <c r="BH3908" s="128"/>
      <c r="BI3908" s="128"/>
      <c r="BJ3908" s="128"/>
      <c r="BK3908" s="128"/>
      <c r="BL3908" s="128"/>
      <c r="BM3908" s="151"/>
      <c r="BN3908" s="128"/>
      <c r="BO3908" s="128"/>
      <c r="BP3908" s="128"/>
      <c r="BQ3908" s="128"/>
      <c r="BR3908" s="128"/>
      <c r="BS3908" s="128"/>
      <c r="BT3908" s="128"/>
      <c r="BU3908" s="128"/>
      <c r="BV3908" s="128"/>
      <c r="BW3908" s="128"/>
      <c r="BX3908" s="128"/>
      <c r="BY3908" s="128"/>
      <c r="BZ3908" s="128"/>
      <c r="CA3908" s="128"/>
      <c r="CB3908" s="128"/>
      <c r="CC3908" s="128"/>
      <c r="CD3908" s="128"/>
      <c r="CE3908" s="128"/>
      <c r="CF3908" s="128"/>
      <c r="CG3908" s="128"/>
      <c r="CI3908" s="128"/>
      <c r="CJ3908" s="128"/>
      <c r="CK3908" s="128"/>
      <c r="CL3908" s="128"/>
      <c r="CM3908" s="128"/>
      <c r="CN3908" s="128"/>
      <c r="CO3908" s="128"/>
      <c r="CP3908" s="128"/>
      <c r="CQ3908" s="128"/>
      <c r="CR3908" s="128"/>
      <c r="CS3908" s="128"/>
      <c r="CT3908" s="128"/>
      <c r="CU3908" s="128"/>
      <c r="CV3908" s="128"/>
      <c r="CW3908" s="128"/>
      <c r="CX3908" s="128"/>
      <c r="CY3908" s="128"/>
      <c r="CZ3908" s="165"/>
    </row>
    <row r="3909" spans="1:104">
      <c r="A3909" s="149"/>
      <c r="B3909" s="149"/>
      <c r="C3909" s="150"/>
      <c r="D3909" s="102"/>
      <c r="E3909" s="149"/>
      <c r="F3909" s="149"/>
      <c r="G3909" s="149"/>
      <c r="H3909" s="149"/>
      <c r="I3909" s="149"/>
      <c r="J3909" s="149"/>
      <c r="K3909" s="149"/>
      <c r="L3909" s="149"/>
      <c r="M3909" s="149"/>
      <c r="N3909" s="149"/>
      <c r="O3909" s="149"/>
      <c r="P3909" s="149"/>
      <c r="Q3909" s="149"/>
      <c r="R3909" s="149"/>
      <c r="S3909" s="149"/>
      <c r="T3909" s="149"/>
      <c r="U3909" s="149"/>
      <c r="V3909" s="149"/>
      <c r="W3909" s="149"/>
      <c r="X3909" s="149"/>
      <c r="Y3909" s="149"/>
      <c r="Z3909" s="149"/>
      <c r="AA3909" s="149"/>
      <c r="AB3909" s="149"/>
      <c r="AC3909" s="149"/>
      <c r="AD3909" s="149"/>
      <c r="AE3909" s="149"/>
      <c r="AF3909" s="149"/>
      <c r="AG3909" s="149"/>
      <c r="AH3909" s="149"/>
      <c r="AI3909" s="149"/>
      <c r="AJ3909" s="149"/>
      <c r="AK3909" s="149"/>
      <c r="AL3909" s="149"/>
      <c r="AM3909" s="149"/>
      <c r="AN3909" s="149"/>
      <c r="AO3909" s="128"/>
      <c r="AP3909" s="128"/>
      <c r="AQ3909" s="128"/>
      <c r="AR3909" s="128"/>
      <c r="AS3909" s="128"/>
      <c r="AT3909" s="128"/>
      <c r="AU3909" s="128"/>
      <c r="AV3909" s="128"/>
      <c r="AW3909" s="128"/>
      <c r="AX3909" s="128"/>
      <c r="AY3909" s="128"/>
      <c r="AZ3909" s="128"/>
      <c r="BA3909" s="128"/>
      <c r="BB3909" s="128"/>
      <c r="BC3909" s="128"/>
      <c r="BD3909" s="128"/>
      <c r="BE3909" s="128"/>
      <c r="BF3909" s="128"/>
      <c r="BG3909" s="128"/>
      <c r="BH3909" s="128"/>
      <c r="BI3909" s="128"/>
      <c r="BJ3909" s="128"/>
      <c r="BK3909" s="128"/>
      <c r="BL3909" s="128"/>
      <c r="BM3909" s="151"/>
      <c r="BN3909" s="128"/>
      <c r="BO3909" s="128"/>
      <c r="BP3909" s="128"/>
      <c r="BQ3909" s="128"/>
      <c r="BR3909" s="128"/>
      <c r="BS3909" s="128"/>
      <c r="BT3909" s="128"/>
      <c r="BU3909" s="128"/>
      <c r="BV3909" s="128"/>
      <c r="BW3909" s="128"/>
      <c r="BX3909" s="128"/>
      <c r="BY3909" s="128"/>
      <c r="BZ3909" s="128"/>
      <c r="CA3909" s="128"/>
      <c r="CB3909" s="128"/>
      <c r="CC3909" s="128"/>
      <c r="CD3909" s="128"/>
      <c r="CE3909" s="128"/>
      <c r="CF3909" s="128"/>
      <c r="CG3909" s="128"/>
      <c r="CI3909" s="128"/>
      <c r="CJ3909" s="128"/>
      <c r="CK3909" s="128"/>
      <c r="CL3909" s="128"/>
      <c r="CM3909" s="128"/>
      <c r="CN3909" s="128"/>
      <c r="CO3909" s="128"/>
      <c r="CP3909" s="128"/>
      <c r="CQ3909" s="128"/>
      <c r="CR3909" s="128"/>
      <c r="CS3909" s="128"/>
      <c r="CT3909" s="128"/>
      <c r="CU3909" s="128"/>
      <c r="CV3909" s="128"/>
      <c r="CW3909" s="128"/>
      <c r="CX3909" s="128"/>
      <c r="CY3909" s="128"/>
      <c r="CZ3909" s="165"/>
    </row>
    <row r="3910" spans="1:104">
      <c r="A3910" s="149"/>
      <c r="B3910" s="149"/>
      <c r="C3910" s="150"/>
      <c r="D3910" s="102"/>
      <c r="E3910" s="149"/>
      <c r="F3910" s="149"/>
      <c r="G3910" s="149"/>
      <c r="H3910" s="149"/>
      <c r="I3910" s="149"/>
      <c r="J3910" s="149"/>
      <c r="K3910" s="149"/>
      <c r="L3910" s="149"/>
      <c r="M3910" s="149"/>
      <c r="N3910" s="149"/>
      <c r="O3910" s="149"/>
      <c r="P3910" s="149"/>
      <c r="Q3910" s="149"/>
      <c r="R3910" s="149"/>
      <c r="S3910" s="149"/>
      <c r="T3910" s="149"/>
      <c r="U3910" s="149"/>
      <c r="V3910" s="149"/>
      <c r="W3910" s="149"/>
      <c r="X3910" s="149"/>
      <c r="Y3910" s="149"/>
      <c r="Z3910" s="149"/>
      <c r="AA3910" s="149"/>
      <c r="AB3910" s="149"/>
      <c r="AC3910" s="149"/>
      <c r="AD3910" s="149"/>
      <c r="AE3910" s="149"/>
      <c r="AF3910" s="149"/>
      <c r="AG3910" s="149"/>
      <c r="AH3910" s="149"/>
      <c r="AI3910" s="149"/>
      <c r="AJ3910" s="149"/>
      <c r="AK3910" s="149"/>
      <c r="AL3910" s="149"/>
      <c r="AM3910" s="149"/>
      <c r="AN3910" s="149"/>
      <c r="AO3910" s="128"/>
      <c r="AP3910" s="128"/>
      <c r="AQ3910" s="128"/>
      <c r="AR3910" s="128"/>
      <c r="AS3910" s="128"/>
      <c r="AT3910" s="128"/>
      <c r="AU3910" s="128"/>
      <c r="AV3910" s="128"/>
      <c r="AW3910" s="128"/>
      <c r="AX3910" s="128"/>
      <c r="AY3910" s="128"/>
      <c r="AZ3910" s="128"/>
      <c r="BA3910" s="128"/>
      <c r="BB3910" s="128"/>
      <c r="BC3910" s="128"/>
      <c r="BD3910" s="128"/>
      <c r="BE3910" s="128"/>
      <c r="BF3910" s="128"/>
      <c r="BG3910" s="128"/>
      <c r="BH3910" s="128"/>
      <c r="BI3910" s="128"/>
      <c r="BJ3910" s="128"/>
      <c r="BK3910" s="128"/>
      <c r="BL3910" s="128"/>
      <c r="BM3910" s="151"/>
      <c r="BN3910" s="128"/>
      <c r="BO3910" s="128"/>
      <c r="BP3910" s="128"/>
      <c r="BQ3910" s="128"/>
      <c r="BR3910" s="128"/>
      <c r="BS3910" s="128"/>
      <c r="BT3910" s="128"/>
      <c r="BU3910" s="128"/>
      <c r="BV3910" s="128"/>
      <c r="BW3910" s="128"/>
      <c r="BX3910" s="128"/>
      <c r="BY3910" s="128"/>
      <c r="BZ3910" s="128"/>
      <c r="CA3910" s="128"/>
      <c r="CB3910" s="128"/>
      <c r="CC3910" s="128"/>
      <c r="CD3910" s="128"/>
      <c r="CE3910" s="128"/>
      <c r="CF3910" s="128"/>
      <c r="CG3910" s="128"/>
      <c r="CI3910" s="128"/>
      <c r="CJ3910" s="128"/>
      <c r="CK3910" s="128"/>
      <c r="CL3910" s="128"/>
      <c r="CM3910" s="128"/>
      <c r="CN3910" s="128"/>
      <c r="CO3910" s="128"/>
      <c r="CP3910" s="128"/>
      <c r="CQ3910" s="128"/>
      <c r="CR3910" s="128"/>
      <c r="CS3910" s="128"/>
      <c r="CT3910" s="128"/>
      <c r="CU3910" s="128"/>
      <c r="CV3910" s="128"/>
      <c r="CW3910" s="128"/>
      <c r="CX3910" s="128"/>
      <c r="CY3910" s="128"/>
      <c r="CZ3910" s="165"/>
    </row>
    <row r="3911" spans="1:104">
      <c r="A3911" s="149"/>
      <c r="B3911" s="149"/>
      <c r="C3911" s="150"/>
      <c r="D3911" s="102"/>
      <c r="E3911" s="149"/>
      <c r="F3911" s="149"/>
      <c r="G3911" s="149"/>
      <c r="H3911" s="149"/>
      <c r="I3911" s="149"/>
      <c r="J3911" s="149"/>
      <c r="K3911" s="149"/>
      <c r="L3911" s="149"/>
      <c r="M3911" s="149"/>
      <c r="N3911" s="149"/>
      <c r="O3911" s="149"/>
      <c r="P3911" s="149"/>
      <c r="Q3911" s="149"/>
      <c r="R3911" s="149"/>
      <c r="S3911" s="149"/>
      <c r="T3911" s="149"/>
      <c r="U3911" s="149"/>
      <c r="V3911" s="149"/>
      <c r="W3911" s="149"/>
      <c r="X3911" s="149"/>
      <c r="Y3911" s="149"/>
      <c r="Z3911" s="149"/>
      <c r="AA3911" s="149"/>
      <c r="AB3911" s="149"/>
      <c r="AC3911" s="149"/>
      <c r="AD3911" s="149"/>
      <c r="AE3911" s="149"/>
      <c r="AF3911" s="149"/>
      <c r="AG3911" s="149"/>
      <c r="AH3911" s="149"/>
      <c r="AI3911" s="149"/>
      <c r="AJ3911" s="149"/>
      <c r="AK3911" s="149"/>
      <c r="AL3911" s="149"/>
      <c r="AM3911" s="149"/>
      <c r="AN3911" s="149"/>
      <c r="AO3911" s="128"/>
      <c r="AP3911" s="128"/>
      <c r="AQ3911" s="128"/>
      <c r="AR3911" s="128"/>
      <c r="AS3911" s="128"/>
      <c r="AT3911" s="128"/>
      <c r="AU3911" s="128"/>
      <c r="AV3911" s="128"/>
      <c r="AW3911" s="128"/>
      <c r="AX3911" s="128"/>
      <c r="AY3911" s="128"/>
      <c r="AZ3911" s="128"/>
      <c r="BA3911" s="128"/>
      <c r="BB3911" s="128"/>
      <c r="BC3911" s="128"/>
      <c r="BD3911" s="128"/>
      <c r="BE3911" s="128"/>
      <c r="BF3911" s="128"/>
      <c r="BG3911" s="128"/>
      <c r="BH3911" s="128"/>
      <c r="BI3911" s="128"/>
      <c r="BJ3911" s="128"/>
      <c r="BK3911" s="128"/>
      <c r="BL3911" s="128"/>
      <c r="BM3911" s="151"/>
      <c r="BN3911" s="128"/>
      <c r="BO3911" s="128"/>
      <c r="BP3911" s="128"/>
      <c r="BQ3911" s="128"/>
      <c r="BR3911" s="128"/>
      <c r="BS3911" s="128"/>
      <c r="BT3911" s="128"/>
      <c r="BU3911" s="128"/>
      <c r="BV3911" s="128"/>
      <c r="BW3911" s="128"/>
      <c r="BX3911" s="128"/>
      <c r="BY3911" s="128"/>
      <c r="BZ3911" s="128"/>
      <c r="CA3911" s="128"/>
      <c r="CB3911" s="128"/>
      <c r="CC3911" s="128"/>
      <c r="CD3911" s="128"/>
      <c r="CE3911" s="128"/>
      <c r="CF3911" s="128"/>
      <c r="CG3911" s="128"/>
      <c r="CI3911" s="128"/>
      <c r="CJ3911" s="128"/>
      <c r="CK3911" s="128"/>
      <c r="CL3911" s="128"/>
      <c r="CM3911" s="128"/>
      <c r="CN3911" s="128"/>
      <c r="CO3911" s="128"/>
      <c r="CP3911" s="128"/>
      <c r="CQ3911" s="128"/>
      <c r="CR3911" s="128"/>
      <c r="CS3911" s="128"/>
      <c r="CT3911" s="128"/>
      <c r="CU3911" s="128"/>
      <c r="CV3911" s="128"/>
      <c r="CW3911" s="128"/>
      <c r="CX3911" s="128"/>
      <c r="CY3911" s="128"/>
      <c r="CZ3911" s="165"/>
    </row>
    <row r="3912" spans="1:104">
      <c r="A3912" s="149"/>
      <c r="B3912" s="149"/>
      <c r="C3912" s="150"/>
      <c r="D3912" s="102"/>
      <c r="E3912" s="149"/>
      <c r="F3912" s="149"/>
      <c r="G3912" s="149"/>
      <c r="H3912" s="149"/>
      <c r="I3912" s="149"/>
      <c r="J3912" s="149"/>
      <c r="K3912" s="149"/>
      <c r="L3912" s="149"/>
      <c r="M3912" s="149"/>
      <c r="N3912" s="149"/>
      <c r="O3912" s="149"/>
      <c r="P3912" s="149"/>
      <c r="Q3912" s="149"/>
      <c r="R3912" s="149"/>
      <c r="S3912" s="149"/>
      <c r="T3912" s="149"/>
      <c r="U3912" s="149"/>
      <c r="V3912" s="149"/>
      <c r="W3912" s="149"/>
      <c r="X3912" s="149"/>
      <c r="Y3912" s="149"/>
      <c r="Z3912" s="149"/>
      <c r="AA3912" s="149"/>
      <c r="AB3912" s="149"/>
      <c r="AC3912" s="149"/>
      <c r="AD3912" s="149"/>
      <c r="AE3912" s="149"/>
      <c r="AF3912" s="149"/>
      <c r="AG3912" s="149"/>
      <c r="AH3912" s="149"/>
      <c r="AI3912" s="149"/>
      <c r="AJ3912" s="149"/>
      <c r="AK3912" s="149"/>
      <c r="AL3912" s="149"/>
      <c r="AM3912" s="149"/>
      <c r="AN3912" s="149"/>
      <c r="AO3912" s="128"/>
      <c r="AP3912" s="128"/>
      <c r="AQ3912" s="128"/>
      <c r="AR3912" s="128"/>
      <c r="AS3912" s="128"/>
      <c r="AT3912" s="128"/>
      <c r="AU3912" s="128"/>
      <c r="AV3912" s="128"/>
      <c r="AW3912" s="128"/>
      <c r="AX3912" s="128"/>
      <c r="AY3912" s="128"/>
      <c r="AZ3912" s="128"/>
      <c r="BA3912" s="128"/>
      <c r="BB3912" s="128"/>
      <c r="BC3912" s="128"/>
      <c r="BD3912" s="128"/>
      <c r="BE3912" s="128"/>
      <c r="BF3912" s="128"/>
      <c r="BG3912" s="128"/>
      <c r="BH3912" s="128"/>
      <c r="BI3912" s="128"/>
      <c r="BJ3912" s="128"/>
      <c r="BK3912" s="128"/>
      <c r="BL3912" s="128"/>
      <c r="BM3912" s="151"/>
      <c r="BN3912" s="128"/>
      <c r="BO3912" s="128"/>
      <c r="BP3912" s="128"/>
      <c r="BQ3912" s="128"/>
      <c r="BR3912" s="128"/>
      <c r="BS3912" s="128"/>
      <c r="BT3912" s="128"/>
      <c r="BU3912" s="128"/>
      <c r="BV3912" s="128"/>
      <c r="BW3912" s="128"/>
      <c r="BX3912" s="128"/>
      <c r="BY3912" s="128"/>
      <c r="BZ3912" s="128"/>
      <c r="CA3912" s="128"/>
      <c r="CB3912" s="128"/>
      <c r="CC3912" s="128"/>
      <c r="CD3912" s="128"/>
      <c r="CE3912" s="128"/>
      <c r="CF3912" s="128"/>
      <c r="CG3912" s="128"/>
      <c r="CI3912" s="128"/>
      <c r="CJ3912" s="128"/>
      <c r="CK3912" s="128"/>
      <c r="CL3912" s="128"/>
      <c r="CM3912" s="128"/>
      <c r="CN3912" s="128"/>
      <c r="CO3912" s="128"/>
      <c r="CP3912" s="128"/>
      <c r="CQ3912" s="128"/>
      <c r="CR3912" s="128"/>
      <c r="CS3912" s="128"/>
      <c r="CT3912" s="128"/>
      <c r="CU3912" s="128"/>
      <c r="CV3912" s="128"/>
      <c r="CW3912" s="128"/>
      <c r="CX3912" s="128"/>
      <c r="CY3912" s="128"/>
      <c r="CZ3912" s="165"/>
    </row>
    <row r="3913" spans="1:104">
      <c r="A3913" s="149"/>
      <c r="B3913" s="149"/>
      <c r="C3913" s="150"/>
      <c r="D3913" s="102"/>
      <c r="E3913" s="149"/>
      <c r="F3913" s="149"/>
      <c r="G3913" s="149"/>
      <c r="H3913" s="149"/>
      <c r="I3913" s="149"/>
      <c r="J3913" s="149"/>
      <c r="K3913" s="149"/>
      <c r="L3913" s="149"/>
      <c r="M3913" s="149"/>
      <c r="N3913" s="149"/>
      <c r="O3913" s="149"/>
      <c r="P3913" s="149"/>
      <c r="Q3913" s="149"/>
      <c r="R3913" s="149"/>
      <c r="S3913" s="149"/>
      <c r="T3913" s="149"/>
      <c r="U3913" s="149"/>
      <c r="V3913" s="149"/>
      <c r="W3913" s="149"/>
      <c r="X3913" s="149"/>
      <c r="Y3913" s="149"/>
      <c r="Z3913" s="149"/>
      <c r="AA3913" s="149"/>
      <c r="AB3913" s="149"/>
      <c r="AC3913" s="149"/>
      <c r="AD3913" s="149"/>
      <c r="AE3913" s="149"/>
      <c r="AF3913" s="149"/>
      <c r="AG3913" s="149"/>
      <c r="AH3913" s="149"/>
      <c r="AI3913" s="149"/>
      <c r="AJ3913" s="149"/>
      <c r="AK3913" s="149"/>
      <c r="AL3913" s="149"/>
      <c r="AM3913" s="149"/>
      <c r="AN3913" s="149"/>
      <c r="AO3913" s="128"/>
      <c r="AP3913" s="128"/>
      <c r="AQ3913" s="128"/>
      <c r="AR3913" s="128"/>
      <c r="AS3913" s="128"/>
      <c r="AT3913" s="128"/>
      <c r="AU3913" s="128"/>
      <c r="AV3913" s="128"/>
      <c r="AW3913" s="128"/>
      <c r="AX3913" s="128"/>
      <c r="AY3913" s="128"/>
      <c r="AZ3913" s="128"/>
      <c r="BA3913" s="128"/>
      <c r="BB3913" s="128"/>
      <c r="BC3913" s="128"/>
      <c r="BD3913" s="128"/>
      <c r="BE3913" s="128"/>
      <c r="BF3913" s="128"/>
      <c r="BG3913" s="128"/>
      <c r="BH3913" s="128"/>
      <c r="BI3913" s="128"/>
      <c r="BJ3913" s="128"/>
      <c r="BK3913" s="128"/>
      <c r="BL3913" s="128"/>
      <c r="BM3913" s="151"/>
      <c r="BN3913" s="128"/>
      <c r="BO3913" s="128"/>
      <c r="BP3913" s="128"/>
      <c r="BQ3913" s="128"/>
      <c r="BR3913" s="128"/>
      <c r="BS3913" s="128"/>
      <c r="BT3913" s="128"/>
      <c r="BU3913" s="128"/>
      <c r="BV3913" s="128"/>
      <c r="BW3913" s="128"/>
      <c r="BX3913" s="128"/>
      <c r="BY3913" s="128"/>
      <c r="BZ3913" s="128"/>
      <c r="CA3913" s="128"/>
      <c r="CB3913" s="128"/>
      <c r="CC3913" s="128"/>
      <c r="CD3913" s="128"/>
      <c r="CE3913" s="128"/>
      <c r="CF3913" s="128"/>
      <c r="CG3913" s="128"/>
      <c r="CI3913" s="128"/>
      <c r="CJ3913" s="128"/>
      <c r="CK3913" s="128"/>
      <c r="CL3913" s="128"/>
      <c r="CM3913" s="128"/>
      <c r="CN3913" s="128"/>
      <c r="CO3913" s="128"/>
      <c r="CP3913" s="128"/>
      <c r="CQ3913" s="128"/>
      <c r="CR3913" s="128"/>
      <c r="CS3913" s="128"/>
      <c r="CT3913" s="128"/>
      <c r="CU3913" s="128"/>
      <c r="CV3913" s="128"/>
      <c r="CW3913" s="128"/>
      <c r="CX3913" s="128"/>
      <c r="CY3913" s="128"/>
      <c r="CZ3913" s="165"/>
    </row>
    <row r="3914" spans="1:104">
      <c r="A3914" s="149"/>
      <c r="B3914" s="149"/>
      <c r="C3914" s="150"/>
      <c r="D3914" s="102"/>
      <c r="E3914" s="149"/>
      <c r="F3914" s="149"/>
      <c r="G3914" s="149"/>
      <c r="H3914" s="149"/>
      <c r="I3914" s="149"/>
      <c r="J3914" s="149"/>
      <c r="K3914" s="149"/>
      <c r="L3914" s="149"/>
      <c r="M3914" s="149"/>
      <c r="N3914" s="149"/>
      <c r="O3914" s="149"/>
      <c r="P3914" s="149"/>
      <c r="Q3914" s="149"/>
      <c r="R3914" s="149"/>
      <c r="S3914" s="149"/>
      <c r="T3914" s="149"/>
      <c r="U3914" s="149"/>
      <c r="V3914" s="149"/>
      <c r="W3914" s="149"/>
      <c r="X3914" s="149"/>
      <c r="Y3914" s="149"/>
      <c r="Z3914" s="149"/>
      <c r="AA3914" s="149"/>
      <c r="AB3914" s="149"/>
      <c r="AC3914" s="149"/>
      <c r="AD3914" s="149"/>
      <c r="AE3914" s="149"/>
      <c r="AF3914" s="149"/>
      <c r="AG3914" s="149"/>
      <c r="AH3914" s="149"/>
      <c r="AI3914" s="149"/>
      <c r="AJ3914" s="149"/>
      <c r="AK3914" s="149"/>
      <c r="AL3914" s="149"/>
      <c r="AM3914" s="149"/>
      <c r="AN3914" s="149"/>
      <c r="AO3914" s="128"/>
      <c r="AP3914" s="128"/>
      <c r="AQ3914" s="128"/>
      <c r="AR3914" s="128"/>
      <c r="AS3914" s="128"/>
      <c r="AT3914" s="128"/>
      <c r="AU3914" s="128"/>
      <c r="AV3914" s="128"/>
      <c r="AW3914" s="128"/>
      <c r="AX3914" s="128"/>
      <c r="AY3914" s="128"/>
      <c r="AZ3914" s="128"/>
      <c r="BA3914" s="128"/>
      <c r="BB3914" s="128"/>
      <c r="BC3914" s="128"/>
      <c r="BD3914" s="128"/>
      <c r="BE3914" s="128"/>
      <c r="BF3914" s="128"/>
      <c r="BG3914" s="128"/>
      <c r="BH3914" s="128"/>
      <c r="BI3914" s="128"/>
      <c r="BJ3914" s="128"/>
      <c r="BK3914" s="128"/>
      <c r="BL3914" s="128"/>
      <c r="BM3914" s="151"/>
      <c r="BN3914" s="128"/>
      <c r="BO3914" s="128"/>
      <c r="BP3914" s="128"/>
      <c r="BQ3914" s="128"/>
      <c r="BR3914" s="128"/>
      <c r="BS3914" s="128"/>
      <c r="BT3914" s="128"/>
      <c r="BU3914" s="128"/>
      <c r="BV3914" s="128"/>
      <c r="BW3914" s="128"/>
      <c r="BX3914" s="128"/>
      <c r="BY3914" s="128"/>
      <c r="BZ3914" s="128"/>
      <c r="CA3914" s="128"/>
      <c r="CB3914" s="128"/>
      <c r="CC3914" s="128"/>
      <c r="CD3914" s="128"/>
      <c r="CE3914" s="128"/>
      <c r="CF3914" s="128"/>
      <c r="CG3914" s="128"/>
      <c r="CI3914" s="128"/>
      <c r="CJ3914" s="128"/>
      <c r="CK3914" s="128"/>
      <c r="CL3914" s="128"/>
      <c r="CM3914" s="128"/>
      <c r="CN3914" s="128"/>
      <c r="CO3914" s="128"/>
      <c r="CP3914" s="128"/>
      <c r="CQ3914" s="128"/>
      <c r="CR3914" s="128"/>
      <c r="CS3914" s="128"/>
      <c r="CT3914" s="128"/>
      <c r="CU3914" s="128"/>
      <c r="CV3914" s="128"/>
      <c r="CW3914" s="128"/>
      <c r="CX3914" s="128"/>
      <c r="CY3914" s="128"/>
      <c r="CZ3914" s="165"/>
    </row>
    <row r="3915" spans="1:104">
      <c r="A3915" s="149"/>
      <c r="B3915" s="149"/>
      <c r="C3915" s="150"/>
      <c r="D3915" s="102"/>
      <c r="E3915" s="149"/>
      <c r="F3915" s="149"/>
      <c r="G3915" s="149"/>
      <c r="H3915" s="149"/>
      <c r="I3915" s="149"/>
      <c r="J3915" s="149"/>
      <c r="K3915" s="149"/>
      <c r="L3915" s="149"/>
      <c r="M3915" s="149"/>
      <c r="N3915" s="149"/>
      <c r="O3915" s="149"/>
      <c r="P3915" s="149"/>
      <c r="Q3915" s="149"/>
      <c r="R3915" s="149"/>
      <c r="S3915" s="149"/>
      <c r="T3915" s="149"/>
      <c r="U3915" s="149"/>
      <c r="V3915" s="149"/>
      <c r="W3915" s="149"/>
      <c r="X3915" s="149"/>
      <c r="Y3915" s="149"/>
      <c r="Z3915" s="149"/>
      <c r="AA3915" s="149"/>
      <c r="AB3915" s="149"/>
      <c r="AC3915" s="149"/>
      <c r="AD3915" s="149"/>
      <c r="AE3915" s="149"/>
      <c r="AF3915" s="149"/>
      <c r="AG3915" s="149"/>
      <c r="AH3915" s="149"/>
      <c r="AI3915" s="149"/>
      <c r="AJ3915" s="149"/>
      <c r="AK3915" s="149"/>
      <c r="AL3915" s="149"/>
      <c r="AM3915" s="149"/>
      <c r="AN3915" s="149"/>
      <c r="AO3915" s="128"/>
      <c r="AP3915" s="128"/>
      <c r="AQ3915" s="128"/>
      <c r="AR3915" s="128"/>
      <c r="AS3915" s="128"/>
      <c r="AT3915" s="128"/>
      <c r="AU3915" s="128"/>
      <c r="AV3915" s="128"/>
      <c r="AW3915" s="128"/>
      <c r="AX3915" s="128"/>
      <c r="AY3915" s="128"/>
      <c r="AZ3915" s="128"/>
      <c r="BA3915" s="128"/>
      <c r="BB3915" s="128"/>
      <c r="BC3915" s="128"/>
      <c r="BD3915" s="128"/>
      <c r="BE3915" s="128"/>
      <c r="BF3915" s="128"/>
      <c r="BG3915" s="128"/>
      <c r="BH3915" s="128"/>
      <c r="BI3915" s="128"/>
      <c r="BJ3915" s="128"/>
      <c r="BK3915" s="128"/>
      <c r="BL3915" s="128"/>
      <c r="BM3915" s="151"/>
      <c r="BN3915" s="128"/>
      <c r="BO3915" s="128"/>
      <c r="BP3915" s="128"/>
      <c r="BQ3915" s="128"/>
      <c r="BR3915" s="128"/>
      <c r="BS3915" s="128"/>
      <c r="BT3915" s="128"/>
      <c r="BU3915" s="128"/>
      <c r="BV3915" s="128"/>
      <c r="BW3915" s="128"/>
      <c r="BX3915" s="128"/>
      <c r="BY3915" s="128"/>
      <c r="BZ3915" s="128"/>
      <c r="CA3915" s="128"/>
      <c r="CB3915" s="128"/>
      <c r="CC3915" s="128"/>
      <c r="CD3915" s="128"/>
      <c r="CE3915" s="128"/>
      <c r="CF3915" s="128"/>
      <c r="CG3915" s="128"/>
      <c r="CI3915" s="128"/>
      <c r="CJ3915" s="128"/>
      <c r="CK3915" s="128"/>
      <c r="CL3915" s="128"/>
      <c r="CM3915" s="128"/>
      <c r="CN3915" s="128"/>
      <c r="CO3915" s="128"/>
      <c r="CP3915" s="128"/>
      <c r="CQ3915" s="128"/>
      <c r="CR3915" s="128"/>
      <c r="CS3915" s="128"/>
      <c r="CT3915" s="128"/>
      <c r="CU3915" s="128"/>
      <c r="CV3915" s="128"/>
      <c r="CW3915" s="128"/>
      <c r="CX3915" s="128"/>
      <c r="CY3915" s="128"/>
      <c r="CZ3915" s="165"/>
    </row>
    <row r="3916" spans="1:104">
      <c r="A3916" s="149"/>
      <c r="B3916" s="149"/>
      <c r="C3916" s="150"/>
      <c r="D3916" s="102"/>
      <c r="E3916" s="149"/>
      <c r="F3916" s="149"/>
      <c r="G3916" s="149"/>
      <c r="H3916" s="149"/>
      <c r="I3916" s="149"/>
      <c r="J3916" s="149"/>
      <c r="K3916" s="149"/>
      <c r="L3916" s="149"/>
      <c r="M3916" s="149"/>
      <c r="N3916" s="149"/>
      <c r="O3916" s="149"/>
      <c r="P3916" s="149"/>
      <c r="Q3916" s="149"/>
      <c r="R3916" s="149"/>
      <c r="S3916" s="149"/>
      <c r="T3916" s="149"/>
      <c r="U3916" s="149"/>
      <c r="V3916" s="149"/>
      <c r="W3916" s="149"/>
      <c r="X3916" s="149"/>
      <c r="Y3916" s="149"/>
      <c r="Z3916" s="149"/>
      <c r="AA3916" s="149"/>
      <c r="AB3916" s="149"/>
      <c r="AC3916" s="149"/>
      <c r="AD3916" s="149"/>
      <c r="AE3916" s="149"/>
      <c r="AF3916" s="149"/>
      <c r="AG3916" s="149"/>
      <c r="AH3916" s="149"/>
      <c r="AI3916" s="149"/>
      <c r="AJ3916" s="149"/>
      <c r="AK3916" s="149"/>
      <c r="AL3916" s="149"/>
      <c r="AM3916" s="149"/>
      <c r="AN3916" s="149"/>
      <c r="AO3916" s="128"/>
      <c r="AP3916" s="128"/>
      <c r="AQ3916" s="128"/>
      <c r="AR3916" s="128"/>
      <c r="AS3916" s="128"/>
      <c r="AT3916" s="128"/>
      <c r="AU3916" s="128"/>
      <c r="AV3916" s="128"/>
      <c r="AW3916" s="128"/>
      <c r="AX3916" s="128"/>
      <c r="AY3916" s="128"/>
      <c r="AZ3916" s="128"/>
      <c r="BA3916" s="128"/>
      <c r="BB3916" s="128"/>
      <c r="BC3916" s="128"/>
      <c r="BD3916" s="128"/>
      <c r="BE3916" s="128"/>
      <c r="BF3916" s="128"/>
      <c r="BG3916" s="128"/>
      <c r="BH3916" s="128"/>
      <c r="BI3916" s="128"/>
      <c r="BJ3916" s="128"/>
      <c r="BK3916" s="128"/>
      <c r="BL3916" s="128"/>
      <c r="BM3916" s="151"/>
      <c r="BN3916" s="128"/>
      <c r="BO3916" s="128"/>
      <c r="BP3916" s="128"/>
      <c r="BQ3916" s="128"/>
      <c r="BR3916" s="128"/>
      <c r="BS3916" s="128"/>
      <c r="BT3916" s="128"/>
      <c r="BU3916" s="128"/>
      <c r="BV3916" s="128"/>
      <c r="BW3916" s="128"/>
      <c r="BX3916" s="128"/>
      <c r="BY3916" s="128"/>
      <c r="BZ3916" s="128"/>
      <c r="CA3916" s="128"/>
      <c r="CB3916" s="128"/>
      <c r="CC3916" s="128"/>
      <c r="CD3916" s="128"/>
      <c r="CE3916" s="128"/>
      <c r="CF3916" s="128"/>
      <c r="CG3916" s="128"/>
      <c r="CI3916" s="128"/>
      <c r="CJ3916" s="128"/>
      <c r="CK3916" s="128"/>
      <c r="CL3916" s="128"/>
      <c r="CM3916" s="128"/>
      <c r="CN3916" s="128"/>
      <c r="CO3916" s="128"/>
      <c r="CP3916" s="128"/>
      <c r="CQ3916" s="128"/>
      <c r="CR3916" s="128"/>
      <c r="CS3916" s="128"/>
      <c r="CT3916" s="128"/>
      <c r="CU3916" s="128"/>
      <c r="CV3916" s="128"/>
      <c r="CW3916" s="128"/>
      <c r="CX3916" s="128"/>
      <c r="CY3916" s="128"/>
      <c r="CZ3916" s="165"/>
    </row>
    <row r="3917" spans="1:104">
      <c r="A3917" s="149"/>
      <c r="B3917" s="149"/>
      <c r="C3917" s="150"/>
      <c r="D3917" s="102"/>
      <c r="E3917" s="149"/>
      <c r="F3917" s="149"/>
      <c r="G3917" s="149"/>
      <c r="H3917" s="149"/>
      <c r="I3917" s="149"/>
      <c r="J3917" s="149"/>
      <c r="K3917" s="149"/>
      <c r="L3917" s="149"/>
      <c r="M3917" s="149"/>
      <c r="N3917" s="149"/>
      <c r="O3917" s="149"/>
      <c r="P3917" s="149"/>
      <c r="Q3917" s="149"/>
      <c r="R3917" s="149"/>
      <c r="S3917" s="149"/>
      <c r="T3917" s="149"/>
      <c r="U3917" s="149"/>
      <c r="V3917" s="149"/>
      <c r="W3917" s="149"/>
      <c r="X3917" s="149"/>
      <c r="Y3917" s="149"/>
      <c r="Z3917" s="149"/>
      <c r="AA3917" s="149"/>
      <c r="AB3917" s="149"/>
      <c r="AC3917" s="149"/>
      <c r="AD3917" s="149"/>
      <c r="AE3917" s="149"/>
      <c r="AF3917" s="149"/>
      <c r="AG3917" s="149"/>
      <c r="AH3917" s="149"/>
      <c r="AI3917" s="149"/>
      <c r="AJ3917" s="149"/>
      <c r="AK3917" s="149"/>
      <c r="AL3917" s="149"/>
      <c r="AM3917" s="149"/>
      <c r="AN3917" s="149"/>
      <c r="AO3917" s="128"/>
      <c r="AP3917" s="128"/>
      <c r="AQ3917" s="128"/>
      <c r="AR3917" s="128"/>
      <c r="AS3917" s="128"/>
      <c r="AT3917" s="128"/>
      <c r="AU3917" s="128"/>
      <c r="AV3917" s="128"/>
      <c r="AW3917" s="128"/>
      <c r="AX3917" s="128"/>
      <c r="AY3917" s="128"/>
      <c r="AZ3917" s="128"/>
      <c r="BA3917" s="128"/>
      <c r="BB3917" s="128"/>
      <c r="BC3917" s="128"/>
      <c r="BD3917" s="128"/>
      <c r="BE3917" s="128"/>
      <c r="BF3917" s="128"/>
      <c r="BG3917" s="128"/>
      <c r="BH3917" s="128"/>
      <c r="BI3917" s="128"/>
      <c r="BJ3917" s="128"/>
      <c r="BK3917" s="128"/>
      <c r="BL3917" s="128"/>
      <c r="BM3917" s="151"/>
      <c r="BN3917" s="128"/>
      <c r="BO3917" s="128"/>
      <c r="BP3917" s="128"/>
      <c r="BQ3917" s="128"/>
      <c r="BR3917" s="128"/>
      <c r="BS3917" s="128"/>
      <c r="BT3917" s="128"/>
      <c r="BU3917" s="128"/>
      <c r="BV3917" s="128"/>
      <c r="BW3917" s="128"/>
      <c r="BX3917" s="128"/>
      <c r="BY3917" s="128"/>
      <c r="BZ3917" s="128"/>
      <c r="CA3917" s="128"/>
      <c r="CB3917" s="128"/>
      <c r="CC3917" s="128"/>
      <c r="CD3917" s="128"/>
      <c r="CE3917" s="128"/>
      <c r="CF3917" s="128"/>
      <c r="CG3917" s="128"/>
      <c r="CI3917" s="128"/>
      <c r="CJ3917" s="128"/>
      <c r="CK3917" s="128"/>
      <c r="CL3917" s="128"/>
      <c r="CM3917" s="128"/>
      <c r="CN3917" s="128"/>
      <c r="CO3917" s="128"/>
      <c r="CP3917" s="128"/>
      <c r="CQ3917" s="128"/>
      <c r="CR3917" s="128"/>
      <c r="CS3917" s="128"/>
      <c r="CT3917" s="128"/>
      <c r="CU3917" s="128"/>
      <c r="CV3917" s="128"/>
      <c r="CW3917" s="128"/>
      <c r="CX3917" s="128"/>
      <c r="CY3917" s="128"/>
      <c r="CZ3917" s="165"/>
    </row>
    <row r="3918" spans="1:104">
      <c r="A3918" s="149"/>
      <c r="B3918" s="149"/>
      <c r="C3918" s="150"/>
      <c r="D3918" s="102"/>
      <c r="E3918" s="149"/>
      <c r="F3918" s="149"/>
      <c r="G3918" s="149"/>
      <c r="H3918" s="149"/>
      <c r="I3918" s="149"/>
      <c r="J3918" s="149"/>
      <c r="K3918" s="149"/>
      <c r="L3918" s="149"/>
      <c r="M3918" s="149"/>
      <c r="N3918" s="149"/>
      <c r="O3918" s="149"/>
      <c r="P3918" s="149"/>
      <c r="Q3918" s="149"/>
      <c r="R3918" s="149"/>
      <c r="S3918" s="149"/>
      <c r="T3918" s="149"/>
      <c r="U3918" s="149"/>
      <c r="V3918" s="149"/>
      <c r="W3918" s="149"/>
      <c r="X3918" s="149"/>
      <c r="Y3918" s="149"/>
      <c r="Z3918" s="149"/>
      <c r="AA3918" s="149"/>
      <c r="AB3918" s="149"/>
      <c r="AC3918" s="149"/>
      <c r="AD3918" s="149"/>
      <c r="AE3918" s="149"/>
      <c r="AF3918" s="149"/>
      <c r="AG3918" s="149"/>
      <c r="AH3918" s="149"/>
      <c r="AI3918" s="149"/>
      <c r="AJ3918" s="149"/>
      <c r="AK3918" s="149"/>
      <c r="AL3918" s="149"/>
      <c r="AM3918" s="149"/>
      <c r="AN3918" s="149"/>
      <c r="AO3918" s="128"/>
      <c r="AP3918" s="128"/>
      <c r="AQ3918" s="128"/>
      <c r="AR3918" s="128"/>
      <c r="AS3918" s="128"/>
      <c r="AT3918" s="128"/>
      <c r="AU3918" s="128"/>
      <c r="AV3918" s="128"/>
      <c r="AW3918" s="128"/>
      <c r="AX3918" s="128"/>
      <c r="AY3918" s="128"/>
      <c r="AZ3918" s="128"/>
      <c r="BA3918" s="128"/>
      <c r="BB3918" s="128"/>
      <c r="BC3918" s="128"/>
      <c r="BD3918" s="128"/>
      <c r="BE3918" s="128"/>
      <c r="BF3918" s="128"/>
      <c r="BG3918" s="128"/>
      <c r="BH3918" s="128"/>
      <c r="BI3918" s="128"/>
      <c r="BJ3918" s="128"/>
      <c r="BK3918" s="128"/>
      <c r="BL3918" s="128"/>
      <c r="BM3918" s="151"/>
      <c r="BN3918" s="128"/>
      <c r="BO3918" s="128"/>
      <c r="BP3918" s="128"/>
      <c r="BQ3918" s="128"/>
      <c r="BR3918" s="128"/>
      <c r="BS3918" s="128"/>
      <c r="BT3918" s="128"/>
      <c r="BU3918" s="128"/>
      <c r="BV3918" s="128"/>
      <c r="BW3918" s="128"/>
      <c r="BX3918" s="128"/>
      <c r="BY3918" s="128"/>
      <c r="BZ3918" s="128"/>
      <c r="CA3918" s="128"/>
      <c r="CB3918" s="128"/>
      <c r="CC3918" s="128"/>
      <c r="CD3918" s="128"/>
      <c r="CE3918" s="128"/>
      <c r="CF3918" s="128"/>
      <c r="CG3918" s="128"/>
      <c r="CI3918" s="128"/>
      <c r="CJ3918" s="128"/>
      <c r="CK3918" s="128"/>
      <c r="CL3918" s="128"/>
      <c r="CM3918" s="128"/>
      <c r="CN3918" s="128"/>
      <c r="CO3918" s="128"/>
      <c r="CP3918" s="128"/>
      <c r="CQ3918" s="128"/>
      <c r="CR3918" s="128"/>
      <c r="CS3918" s="128"/>
      <c r="CT3918" s="128"/>
      <c r="CU3918" s="128"/>
      <c r="CV3918" s="128"/>
      <c r="CW3918" s="128"/>
      <c r="CX3918" s="128"/>
      <c r="CY3918" s="128"/>
      <c r="CZ3918" s="165"/>
    </row>
    <row r="3919" spans="1:104">
      <c r="A3919" s="149"/>
      <c r="B3919" s="149"/>
      <c r="C3919" s="150"/>
      <c r="D3919" s="102"/>
      <c r="E3919" s="149"/>
      <c r="F3919" s="149"/>
      <c r="G3919" s="149"/>
      <c r="H3919" s="149"/>
      <c r="I3919" s="149"/>
      <c r="J3919" s="149"/>
      <c r="K3919" s="149"/>
      <c r="L3919" s="149"/>
      <c r="M3919" s="149"/>
      <c r="N3919" s="149"/>
      <c r="O3919" s="149"/>
      <c r="P3919" s="149"/>
      <c r="Q3919" s="149"/>
      <c r="R3919" s="149"/>
      <c r="S3919" s="149"/>
      <c r="T3919" s="149"/>
      <c r="U3919" s="149"/>
      <c r="V3919" s="149"/>
      <c r="W3919" s="149"/>
      <c r="X3919" s="149"/>
      <c r="Y3919" s="149"/>
      <c r="Z3919" s="149"/>
      <c r="AA3919" s="149"/>
      <c r="AB3919" s="149"/>
      <c r="AC3919" s="149"/>
      <c r="AD3919" s="149"/>
      <c r="AE3919" s="149"/>
      <c r="AF3919" s="149"/>
      <c r="AG3919" s="149"/>
      <c r="AH3919" s="149"/>
      <c r="AI3919" s="149"/>
      <c r="AJ3919" s="149"/>
      <c r="AK3919" s="149"/>
      <c r="AL3919" s="149"/>
      <c r="AM3919" s="149"/>
      <c r="AN3919" s="149"/>
      <c r="AO3919" s="128"/>
      <c r="AP3919" s="128"/>
      <c r="AQ3919" s="128"/>
      <c r="AR3919" s="128"/>
      <c r="AS3919" s="128"/>
      <c r="AT3919" s="128"/>
      <c r="AU3919" s="128"/>
      <c r="AV3919" s="128"/>
      <c r="AW3919" s="128"/>
      <c r="AX3919" s="128"/>
      <c r="AY3919" s="128"/>
      <c r="AZ3919" s="128"/>
      <c r="BA3919" s="128"/>
      <c r="BB3919" s="128"/>
      <c r="BC3919" s="128"/>
      <c r="BD3919" s="128"/>
      <c r="BE3919" s="128"/>
      <c r="BF3919" s="128"/>
      <c r="BG3919" s="128"/>
      <c r="BH3919" s="128"/>
      <c r="BI3919" s="128"/>
      <c r="BJ3919" s="128"/>
      <c r="BK3919" s="128"/>
      <c r="BL3919" s="128"/>
      <c r="BM3919" s="151"/>
      <c r="BN3919" s="128"/>
      <c r="BO3919" s="128"/>
      <c r="BP3919" s="128"/>
      <c r="BQ3919" s="128"/>
      <c r="BR3919" s="128"/>
      <c r="BS3919" s="128"/>
      <c r="BT3919" s="128"/>
      <c r="BU3919" s="128"/>
      <c r="BV3919" s="128"/>
      <c r="BW3919" s="128"/>
      <c r="BX3919" s="128"/>
      <c r="BY3919" s="128"/>
      <c r="BZ3919" s="128"/>
      <c r="CA3919" s="128"/>
      <c r="CB3919" s="128"/>
      <c r="CC3919" s="128"/>
      <c r="CD3919" s="128"/>
      <c r="CE3919" s="128"/>
      <c r="CF3919" s="128"/>
      <c r="CG3919" s="128"/>
      <c r="CI3919" s="128"/>
      <c r="CJ3919" s="128"/>
      <c r="CK3919" s="128"/>
      <c r="CL3919" s="128"/>
      <c r="CM3919" s="128"/>
      <c r="CN3919" s="128"/>
      <c r="CO3919" s="128"/>
      <c r="CP3919" s="128"/>
      <c r="CQ3919" s="128"/>
      <c r="CR3919" s="128"/>
      <c r="CS3919" s="128"/>
      <c r="CT3919" s="128"/>
      <c r="CU3919" s="128"/>
      <c r="CV3919" s="128"/>
      <c r="CW3919" s="128"/>
      <c r="CX3919" s="128"/>
      <c r="CY3919" s="128"/>
      <c r="CZ3919" s="165"/>
    </row>
    <row r="3920" spans="1:104">
      <c r="A3920" s="149"/>
      <c r="B3920" s="149"/>
      <c r="C3920" s="150"/>
      <c r="D3920" s="102"/>
      <c r="E3920" s="149"/>
      <c r="F3920" s="149"/>
      <c r="G3920" s="149"/>
      <c r="H3920" s="149"/>
      <c r="I3920" s="149"/>
      <c r="J3920" s="149"/>
      <c r="K3920" s="149"/>
      <c r="L3920" s="149"/>
      <c r="M3920" s="149"/>
      <c r="N3920" s="149"/>
      <c r="O3920" s="149"/>
      <c r="P3920" s="149"/>
      <c r="Q3920" s="149"/>
      <c r="R3920" s="149"/>
      <c r="S3920" s="149"/>
      <c r="T3920" s="149"/>
      <c r="U3920" s="149"/>
      <c r="V3920" s="149"/>
      <c r="W3920" s="149"/>
      <c r="X3920" s="149"/>
      <c r="Y3920" s="149"/>
      <c r="Z3920" s="149"/>
      <c r="AA3920" s="149"/>
      <c r="AB3920" s="149"/>
      <c r="AC3920" s="149"/>
      <c r="AD3920" s="149"/>
      <c r="AE3920" s="149"/>
      <c r="AF3920" s="149"/>
      <c r="AG3920" s="149"/>
      <c r="AH3920" s="149"/>
      <c r="AI3920" s="149"/>
      <c r="AJ3920" s="149"/>
      <c r="AK3920" s="149"/>
      <c r="AL3920" s="149"/>
      <c r="AM3920" s="149"/>
      <c r="AN3920" s="149"/>
      <c r="AO3920" s="128"/>
      <c r="AP3920" s="128"/>
      <c r="AQ3920" s="128"/>
      <c r="AR3920" s="128"/>
      <c r="AS3920" s="128"/>
      <c r="AT3920" s="128"/>
      <c r="AU3920" s="128"/>
      <c r="AV3920" s="128"/>
      <c r="AW3920" s="128"/>
      <c r="AX3920" s="128"/>
      <c r="AY3920" s="128"/>
      <c r="AZ3920" s="128"/>
      <c r="BA3920" s="128"/>
      <c r="BB3920" s="128"/>
      <c r="BC3920" s="128"/>
      <c r="BD3920" s="128"/>
      <c r="BE3920" s="128"/>
      <c r="BF3920" s="128"/>
      <c r="BG3920" s="128"/>
      <c r="BH3920" s="128"/>
      <c r="BI3920" s="128"/>
      <c r="BJ3920" s="128"/>
      <c r="BK3920" s="128"/>
      <c r="BL3920" s="128"/>
      <c r="BM3920" s="151"/>
      <c r="BN3920" s="128"/>
      <c r="BO3920" s="128"/>
      <c r="BP3920" s="128"/>
      <c r="BQ3920" s="128"/>
      <c r="BR3920" s="128"/>
      <c r="BS3920" s="128"/>
      <c r="BT3920" s="128"/>
      <c r="BU3920" s="128"/>
      <c r="BV3920" s="128"/>
      <c r="BW3920" s="128"/>
      <c r="BX3920" s="128"/>
      <c r="BY3920" s="128"/>
      <c r="BZ3920" s="128"/>
      <c r="CA3920" s="128"/>
      <c r="CB3920" s="128"/>
      <c r="CC3920" s="128"/>
      <c r="CD3920" s="128"/>
      <c r="CE3920" s="128"/>
      <c r="CF3920" s="128"/>
      <c r="CG3920" s="128"/>
      <c r="CI3920" s="128"/>
      <c r="CJ3920" s="128"/>
      <c r="CK3920" s="128"/>
      <c r="CL3920" s="128"/>
      <c r="CM3920" s="128"/>
      <c r="CN3920" s="128"/>
      <c r="CO3920" s="128"/>
      <c r="CP3920" s="128"/>
      <c r="CQ3920" s="128"/>
      <c r="CR3920" s="128"/>
      <c r="CS3920" s="128"/>
      <c r="CT3920" s="128"/>
      <c r="CU3920" s="128"/>
      <c r="CV3920" s="128"/>
      <c r="CW3920" s="128"/>
      <c r="CX3920" s="128"/>
      <c r="CY3920" s="128"/>
      <c r="CZ3920" s="165"/>
    </row>
    <row r="3921" spans="1:104">
      <c r="A3921" s="149"/>
      <c r="B3921" s="149"/>
      <c r="C3921" s="150"/>
      <c r="D3921" s="102"/>
      <c r="E3921" s="149"/>
      <c r="F3921" s="149"/>
      <c r="G3921" s="149"/>
      <c r="H3921" s="149"/>
      <c r="I3921" s="149"/>
      <c r="J3921" s="149"/>
      <c r="K3921" s="149"/>
      <c r="L3921" s="149"/>
      <c r="M3921" s="149"/>
      <c r="N3921" s="149"/>
      <c r="O3921" s="149"/>
      <c r="P3921" s="149"/>
      <c r="Q3921" s="149"/>
      <c r="R3921" s="149"/>
      <c r="S3921" s="149"/>
      <c r="T3921" s="149"/>
      <c r="U3921" s="149"/>
      <c r="V3921" s="149"/>
      <c r="W3921" s="149"/>
      <c r="X3921" s="149"/>
      <c r="Y3921" s="149"/>
      <c r="Z3921" s="149"/>
      <c r="AA3921" s="149"/>
      <c r="AB3921" s="149"/>
      <c r="AC3921" s="149"/>
      <c r="AD3921" s="149"/>
      <c r="AE3921" s="149"/>
      <c r="AF3921" s="149"/>
      <c r="AG3921" s="149"/>
      <c r="AH3921" s="149"/>
      <c r="AI3921" s="149"/>
      <c r="AJ3921" s="149"/>
      <c r="AK3921" s="149"/>
      <c r="AL3921" s="149"/>
      <c r="AM3921" s="149"/>
      <c r="AN3921" s="149"/>
      <c r="AO3921" s="128"/>
      <c r="AP3921" s="128"/>
      <c r="AQ3921" s="128"/>
      <c r="AR3921" s="128"/>
      <c r="AS3921" s="128"/>
      <c r="AT3921" s="128"/>
      <c r="AU3921" s="128"/>
      <c r="AV3921" s="128"/>
      <c r="AW3921" s="128"/>
      <c r="AX3921" s="128"/>
      <c r="AY3921" s="128"/>
      <c r="AZ3921" s="128"/>
      <c r="BA3921" s="128"/>
      <c r="BB3921" s="128"/>
      <c r="BC3921" s="128"/>
      <c r="BD3921" s="128"/>
      <c r="BE3921" s="128"/>
      <c r="BF3921" s="128"/>
      <c r="BG3921" s="128"/>
      <c r="BH3921" s="128"/>
      <c r="BI3921" s="128"/>
      <c r="BJ3921" s="128"/>
      <c r="BK3921" s="128"/>
      <c r="BL3921" s="128"/>
      <c r="BM3921" s="151"/>
      <c r="BN3921" s="128"/>
      <c r="BO3921" s="128"/>
      <c r="BP3921" s="128"/>
      <c r="BQ3921" s="128"/>
      <c r="BR3921" s="128"/>
      <c r="BS3921" s="128"/>
      <c r="BT3921" s="128"/>
      <c r="BU3921" s="128"/>
      <c r="BV3921" s="128"/>
      <c r="BW3921" s="128"/>
      <c r="BX3921" s="128"/>
      <c r="BY3921" s="128"/>
      <c r="BZ3921" s="128"/>
      <c r="CA3921" s="128"/>
      <c r="CB3921" s="128"/>
      <c r="CC3921" s="128"/>
      <c r="CD3921" s="128"/>
      <c r="CE3921" s="128"/>
      <c r="CF3921" s="128"/>
      <c r="CG3921" s="128"/>
      <c r="CI3921" s="128"/>
      <c r="CJ3921" s="128"/>
      <c r="CK3921" s="128"/>
      <c r="CL3921" s="128"/>
      <c r="CM3921" s="128"/>
      <c r="CN3921" s="128"/>
      <c r="CO3921" s="128"/>
      <c r="CP3921" s="128"/>
      <c r="CQ3921" s="128"/>
      <c r="CR3921" s="128"/>
      <c r="CS3921" s="128"/>
      <c r="CT3921" s="128"/>
      <c r="CU3921" s="128"/>
      <c r="CV3921" s="128"/>
      <c r="CW3921" s="128"/>
      <c r="CX3921" s="128"/>
      <c r="CY3921" s="128"/>
      <c r="CZ3921" s="165"/>
    </row>
    <row r="3922" spans="1:104">
      <c r="A3922" s="149"/>
      <c r="B3922" s="149"/>
      <c r="C3922" s="150"/>
      <c r="D3922" s="102"/>
      <c r="E3922" s="149"/>
      <c r="F3922" s="149"/>
      <c r="G3922" s="149"/>
      <c r="H3922" s="149"/>
      <c r="I3922" s="149"/>
      <c r="J3922" s="149"/>
      <c r="K3922" s="149"/>
      <c r="L3922" s="149"/>
      <c r="M3922" s="149"/>
      <c r="N3922" s="149"/>
      <c r="O3922" s="149"/>
      <c r="P3922" s="149"/>
      <c r="Q3922" s="149"/>
      <c r="R3922" s="149"/>
      <c r="S3922" s="149"/>
      <c r="T3922" s="149"/>
      <c r="U3922" s="149"/>
      <c r="V3922" s="149"/>
      <c r="W3922" s="149"/>
      <c r="X3922" s="149"/>
      <c r="Y3922" s="149"/>
      <c r="Z3922" s="149"/>
      <c r="AA3922" s="149"/>
      <c r="AB3922" s="149"/>
      <c r="AC3922" s="149"/>
      <c r="AD3922" s="149"/>
      <c r="AE3922" s="149"/>
      <c r="AF3922" s="149"/>
      <c r="AG3922" s="149"/>
      <c r="AH3922" s="149"/>
      <c r="AI3922" s="149"/>
      <c r="AJ3922" s="149"/>
      <c r="AK3922" s="149"/>
      <c r="AL3922" s="149"/>
      <c r="AM3922" s="149"/>
      <c r="AN3922" s="149"/>
      <c r="AO3922" s="128"/>
      <c r="AP3922" s="128"/>
      <c r="AQ3922" s="128"/>
      <c r="AR3922" s="128"/>
      <c r="AS3922" s="128"/>
      <c r="AT3922" s="128"/>
      <c r="AU3922" s="128"/>
      <c r="AV3922" s="128"/>
      <c r="AW3922" s="128"/>
      <c r="AX3922" s="128"/>
      <c r="AY3922" s="128"/>
      <c r="AZ3922" s="128"/>
      <c r="BA3922" s="128"/>
      <c r="BB3922" s="128"/>
      <c r="BC3922" s="128"/>
      <c r="BD3922" s="128"/>
      <c r="BE3922" s="128"/>
      <c r="BF3922" s="128"/>
      <c r="BG3922" s="128"/>
      <c r="BH3922" s="128"/>
      <c r="BI3922" s="128"/>
      <c r="BJ3922" s="128"/>
      <c r="BK3922" s="128"/>
      <c r="BL3922" s="128"/>
      <c r="BM3922" s="151"/>
      <c r="BN3922" s="128"/>
      <c r="BO3922" s="128"/>
      <c r="BP3922" s="128"/>
      <c r="BQ3922" s="128"/>
      <c r="BR3922" s="128"/>
      <c r="BS3922" s="128"/>
      <c r="BT3922" s="128"/>
      <c r="BU3922" s="128"/>
      <c r="BV3922" s="128"/>
      <c r="BW3922" s="128"/>
      <c r="BX3922" s="128"/>
      <c r="BY3922" s="128"/>
      <c r="BZ3922" s="128"/>
      <c r="CA3922" s="128"/>
      <c r="CB3922" s="128"/>
      <c r="CC3922" s="128"/>
      <c r="CD3922" s="128"/>
      <c r="CE3922" s="128"/>
      <c r="CF3922" s="128"/>
      <c r="CG3922" s="128"/>
      <c r="CI3922" s="128"/>
      <c r="CJ3922" s="128"/>
      <c r="CK3922" s="128"/>
      <c r="CL3922" s="128"/>
      <c r="CM3922" s="128"/>
      <c r="CN3922" s="128"/>
      <c r="CO3922" s="128"/>
      <c r="CP3922" s="128"/>
      <c r="CQ3922" s="128"/>
      <c r="CR3922" s="128"/>
      <c r="CS3922" s="128"/>
      <c r="CT3922" s="128"/>
      <c r="CU3922" s="128"/>
      <c r="CV3922" s="128"/>
      <c r="CW3922" s="128"/>
      <c r="CX3922" s="128"/>
      <c r="CY3922" s="128"/>
      <c r="CZ3922" s="165"/>
    </row>
    <row r="3923" spans="1:104">
      <c r="A3923" s="149"/>
      <c r="B3923" s="149"/>
      <c r="C3923" s="150"/>
      <c r="D3923" s="102"/>
      <c r="E3923" s="149"/>
      <c r="F3923" s="149"/>
      <c r="G3923" s="149"/>
      <c r="H3923" s="149"/>
      <c r="I3923" s="149"/>
      <c r="J3923" s="149"/>
      <c r="K3923" s="149"/>
      <c r="L3923" s="149"/>
      <c r="M3923" s="149"/>
      <c r="N3923" s="149"/>
      <c r="O3923" s="149"/>
      <c r="P3923" s="149"/>
      <c r="Q3923" s="149"/>
      <c r="R3923" s="149"/>
      <c r="S3923" s="149"/>
      <c r="T3923" s="149"/>
      <c r="U3923" s="149"/>
      <c r="V3923" s="149"/>
      <c r="W3923" s="149"/>
      <c r="X3923" s="149"/>
      <c r="Y3923" s="149"/>
      <c r="Z3923" s="149"/>
      <c r="AA3923" s="149"/>
      <c r="AB3923" s="149"/>
      <c r="AC3923" s="149"/>
      <c r="AD3923" s="149"/>
      <c r="AE3923" s="149"/>
      <c r="AF3923" s="149"/>
      <c r="AG3923" s="149"/>
      <c r="AH3923" s="149"/>
      <c r="AI3923" s="149"/>
      <c r="AJ3923" s="149"/>
      <c r="AK3923" s="149"/>
      <c r="AL3923" s="149"/>
      <c r="AM3923" s="149"/>
      <c r="AN3923" s="149"/>
      <c r="AO3923" s="128"/>
      <c r="AP3923" s="128"/>
      <c r="AQ3923" s="128"/>
      <c r="AR3923" s="128"/>
      <c r="AS3923" s="128"/>
      <c r="AT3923" s="128"/>
      <c r="AU3923" s="128"/>
      <c r="AV3923" s="128"/>
      <c r="AW3923" s="128"/>
      <c r="AX3923" s="128"/>
      <c r="AY3923" s="128"/>
      <c r="AZ3923" s="128"/>
      <c r="BA3923" s="128"/>
      <c r="BB3923" s="128"/>
      <c r="BC3923" s="128"/>
      <c r="BD3923" s="128"/>
      <c r="BE3923" s="128"/>
      <c r="BF3923" s="128"/>
      <c r="BG3923" s="128"/>
      <c r="BH3923" s="128"/>
      <c r="BI3923" s="128"/>
      <c r="BJ3923" s="128"/>
      <c r="BK3923" s="128"/>
      <c r="BL3923" s="128"/>
      <c r="BM3923" s="151"/>
      <c r="BN3923" s="128"/>
      <c r="BO3923" s="128"/>
      <c r="BP3923" s="128"/>
      <c r="BQ3923" s="128"/>
      <c r="BR3923" s="128"/>
      <c r="BS3923" s="128"/>
      <c r="BT3923" s="128"/>
      <c r="BU3923" s="128"/>
      <c r="BV3923" s="128"/>
      <c r="BW3923" s="128"/>
      <c r="BX3923" s="128"/>
      <c r="BY3923" s="128"/>
      <c r="BZ3923" s="128"/>
      <c r="CA3923" s="128"/>
      <c r="CB3923" s="128"/>
      <c r="CC3923" s="128"/>
      <c r="CD3923" s="128"/>
      <c r="CE3923" s="128"/>
      <c r="CF3923" s="128"/>
      <c r="CG3923" s="128"/>
      <c r="CI3923" s="128"/>
      <c r="CJ3923" s="128"/>
      <c r="CK3923" s="128"/>
      <c r="CL3923" s="128"/>
      <c r="CM3923" s="128"/>
      <c r="CN3923" s="128"/>
      <c r="CO3923" s="128"/>
      <c r="CP3923" s="128"/>
      <c r="CQ3923" s="128"/>
      <c r="CR3923" s="128"/>
      <c r="CS3923" s="128"/>
      <c r="CT3923" s="128"/>
      <c r="CU3923" s="128"/>
      <c r="CV3923" s="128"/>
      <c r="CW3923" s="128"/>
      <c r="CX3923" s="128"/>
      <c r="CY3923" s="128"/>
      <c r="CZ3923" s="165"/>
    </row>
    <row r="3924" spans="1:104">
      <c r="A3924" s="149"/>
      <c r="B3924" s="149"/>
      <c r="C3924" s="150"/>
      <c r="D3924" s="102"/>
      <c r="E3924" s="149"/>
      <c r="F3924" s="149"/>
      <c r="G3924" s="149"/>
      <c r="H3924" s="149"/>
      <c r="I3924" s="149"/>
      <c r="J3924" s="149"/>
      <c r="K3924" s="149"/>
      <c r="L3924" s="149"/>
      <c r="M3924" s="149"/>
      <c r="N3924" s="149"/>
      <c r="O3924" s="149"/>
      <c r="P3924" s="149"/>
      <c r="Q3924" s="149"/>
      <c r="R3924" s="149"/>
      <c r="S3924" s="149"/>
      <c r="T3924" s="149"/>
      <c r="U3924" s="149"/>
      <c r="V3924" s="149"/>
      <c r="W3924" s="149"/>
      <c r="X3924" s="149"/>
      <c r="Y3924" s="149"/>
      <c r="Z3924" s="149"/>
      <c r="AA3924" s="149"/>
      <c r="AB3924" s="149"/>
      <c r="AC3924" s="149"/>
      <c r="AD3924" s="149"/>
      <c r="AE3924" s="149"/>
      <c r="AF3924" s="149"/>
      <c r="AG3924" s="149"/>
      <c r="AH3924" s="149"/>
      <c r="AI3924" s="149"/>
      <c r="AJ3924" s="149"/>
      <c r="AK3924" s="149"/>
      <c r="AL3924" s="149"/>
      <c r="AM3924" s="149"/>
      <c r="AN3924" s="149"/>
      <c r="AO3924" s="128"/>
      <c r="AP3924" s="128"/>
      <c r="AQ3924" s="128"/>
      <c r="AR3924" s="128"/>
      <c r="AS3924" s="128"/>
      <c r="AT3924" s="128"/>
      <c r="AU3924" s="128"/>
      <c r="AV3924" s="128"/>
      <c r="AW3924" s="128"/>
      <c r="AX3924" s="128"/>
      <c r="AY3924" s="128"/>
      <c r="AZ3924" s="128"/>
      <c r="BA3924" s="128"/>
      <c r="BB3924" s="128"/>
      <c r="BC3924" s="128"/>
      <c r="BD3924" s="128"/>
      <c r="BE3924" s="128"/>
      <c r="BF3924" s="128"/>
      <c r="BG3924" s="128"/>
      <c r="BH3924" s="128"/>
      <c r="BI3924" s="128"/>
      <c r="BJ3924" s="128"/>
      <c r="BK3924" s="128"/>
      <c r="BL3924" s="128"/>
      <c r="BM3924" s="151"/>
      <c r="BN3924" s="128"/>
      <c r="BO3924" s="128"/>
      <c r="BP3924" s="128"/>
      <c r="BQ3924" s="128"/>
      <c r="BR3924" s="128"/>
      <c r="BS3924" s="128"/>
      <c r="BT3924" s="128"/>
      <c r="BU3924" s="128"/>
      <c r="BV3924" s="128"/>
      <c r="BW3924" s="128"/>
      <c r="BX3924" s="128"/>
      <c r="BY3924" s="128"/>
      <c r="BZ3924" s="128"/>
      <c r="CA3924" s="128"/>
      <c r="CB3924" s="128"/>
      <c r="CC3924" s="128"/>
      <c r="CD3924" s="128"/>
      <c r="CE3924" s="128"/>
      <c r="CF3924" s="128"/>
      <c r="CG3924" s="128"/>
      <c r="CI3924" s="128"/>
      <c r="CJ3924" s="128"/>
      <c r="CK3924" s="128"/>
      <c r="CL3924" s="128"/>
      <c r="CM3924" s="128"/>
      <c r="CN3924" s="128"/>
      <c r="CO3924" s="128"/>
      <c r="CP3924" s="128"/>
      <c r="CQ3924" s="128"/>
      <c r="CR3924" s="128"/>
      <c r="CS3924" s="128"/>
      <c r="CT3924" s="128"/>
      <c r="CU3924" s="128"/>
      <c r="CV3924" s="128"/>
      <c r="CW3924" s="128"/>
      <c r="CX3924" s="128"/>
      <c r="CY3924" s="128"/>
      <c r="CZ3924" s="165"/>
    </row>
    <row r="3925" spans="1:104">
      <c r="A3925" s="149"/>
      <c r="B3925" s="149"/>
      <c r="C3925" s="150"/>
      <c r="D3925" s="102"/>
      <c r="E3925" s="149"/>
      <c r="F3925" s="149"/>
      <c r="G3925" s="149"/>
      <c r="H3925" s="149"/>
      <c r="I3925" s="149"/>
      <c r="J3925" s="149"/>
      <c r="K3925" s="149"/>
      <c r="L3925" s="149"/>
      <c r="M3925" s="149"/>
      <c r="N3925" s="149"/>
      <c r="O3925" s="149"/>
      <c r="P3925" s="149"/>
      <c r="Q3925" s="149"/>
      <c r="R3925" s="149"/>
      <c r="S3925" s="149"/>
      <c r="T3925" s="149"/>
      <c r="U3925" s="149"/>
      <c r="V3925" s="149"/>
      <c r="W3925" s="149"/>
      <c r="X3925" s="149"/>
      <c r="Y3925" s="149"/>
      <c r="Z3925" s="149"/>
      <c r="AA3925" s="149"/>
      <c r="AB3925" s="149"/>
      <c r="AC3925" s="149"/>
      <c r="AD3925" s="149"/>
      <c r="AE3925" s="149"/>
      <c r="AF3925" s="149"/>
      <c r="AG3925" s="149"/>
      <c r="AH3925" s="149"/>
      <c r="AI3925" s="149"/>
      <c r="AJ3925" s="149"/>
      <c r="AK3925" s="149"/>
      <c r="AL3925" s="149"/>
      <c r="AM3925" s="149"/>
      <c r="AN3925" s="149"/>
      <c r="AO3925" s="128"/>
      <c r="AP3925" s="128"/>
      <c r="AQ3925" s="128"/>
      <c r="AR3925" s="128"/>
      <c r="AS3925" s="128"/>
      <c r="AT3925" s="128"/>
      <c r="AU3925" s="128"/>
      <c r="AV3925" s="128"/>
      <c r="AW3925" s="128"/>
      <c r="AX3925" s="128"/>
      <c r="AY3925" s="128"/>
      <c r="AZ3925" s="128"/>
      <c r="BA3925" s="128"/>
      <c r="BB3925" s="128"/>
      <c r="BC3925" s="128"/>
      <c r="BD3925" s="128"/>
      <c r="BE3925" s="128"/>
      <c r="BF3925" s="128"/>
      <c r="BG3925" s="128"/>
      <c r="BH3925" s="128"/>
      <c r="BI3925" s="128"/>
      <c r="BJ3925" s="128"/>
      <c r="BK3925" s="128"/>
      <c r="BL3925" s="128"/>
      <c r="BM3925" s="151"/>
      <c r="BN3925" s="128"/>
      <c r="BO3925" s="128"/>
      <c r="BP3925" s="128"/>
      <c r="BQ3925" s="128"/>
      <c r="BR3925" s="128"/>
      <c r="BS3925" s="128"/>
      <c r="BT3925" s="128"/>
      <c r="BU3925" s="128"/>
      <c r="BV3925" s="128"/>
      <c r="BW3925" s="128"/>
      <c r="BX3925" s="128"/>
      <c r="BY3925" s="128"/>
      <c r="BZ3925" s="128"/>
      <c r="CA3925" s="128"/>
      <c r="CB3925" s="128"/>
      <c r="CC3925" s="128"/>
      <c r="CD3925" s="128"/>
      <c r="CE3925" s="128"/>
      <c r="CF3925" s="128"/>
      <c r="CG3925" s="128"/>
      <c r="CI3925" s="128"/>
      <c r="CJ3925" s="128"/>
      <c r="CK3925" s="128"/>
      <c r="CL3925" s="128"/>
      <c r="CM3925" s="128"/>
      <c r="CN3925" s="128"/>
      <c r="CO3925" s="128"/>
      <c r="CP3925" s="128"/>
      <c r="CQ3925" s="128"/>
      <c r="CR3925" s="128"/>
      <c r="CS3925" s="128"/>
      <c r="CT3925" s="128"/>
      <c r="CU3925" s="128"/>
      <c r="CV3925" s="128"/>
      <c r="CW3925" s="128"/>
      <c r="CX3925" s="128"/>
      <c r="CY3925" s="128"/>
      <c r="CZ3925" s="165"/>
    </row>
    <row r="3926" spans="1:104">
      <c r="A3926" s="149"/>
      <c r="B3926" s="149"/>
      <c r="C3926" s="150"/>
      <c r="D3926" s="102"/>
      <c r="E3926" s="149"/>
      <c r="F3926" s="149"/>
      <c r="G3926" s="149"/>
      <c r="H3926" s="149"/>
      <c r="I3926" s="149"/>
      <c r="J3926" s="149"/>
      <c r="K3926" s="149"/>
      <c r="L3926" s="149"/>
      <c r="M3926" s="149"/>
      <c r="N3926" s="149"/>
      <c r="O3926" s="149"/>
      <c r="P3926" s="149"/>
      <c r="Q3926" s="149"/>
      <c r="R3926" s="149"/>
      <c r="S3926" s="149"/>
      <c r="T3926" s="149"/>
      <c r="U3926" s="149"/>
      <c r="V3926" s="149"/>
      <c r="W3926" s="149"/>
      <c r="X3926" s="149"/>
      <c r="Y3926" s="149"/>
      <c r="Z3926" s="149"/>
      <c r="AA3926" s="149"/>
      <c r="AB3926" s="149"/>
      <c r="AC3926" s="149"/>
      <c r="AD3926" s="149"/>
      <c r="AE3926" s="149"/>
      <c r="AF3926" s="149"/>
      <c r="AG3926" s="149"/>
      <c r="AH3926" s="149"/>
      <c r="AI3926" s="149"/>
      <c r="AJ3926" s="149"/>
      <c r="AK3926" s="149"/>
      <c r="AL3926" s="149"/>
      <c r="AM3926" s="149"/>
      <c r="AN3926" s="149"/>
      <c r="AO3926" s="128"/>
      <c r="AP3926" s="128"/>
      <c r="AQ3926" s="128"/>
      <c r="AR3926" s="128"/>
      <c r="AS3926" s="128"/>
      <c r="AT3926" s="128"/>
      <c r="AU3926" s="128"/>
      <c r="AV3926" s="128"/>
      <c r="AW3926" s="128"/>
      <c r="AX3926" s="128"/>
      <c r="AY3926" s="128"/>
      <c r="AZ3926" s="128"/>
      <c r="BA3926" s="128"/>
      <c r="BB3926" s="128"/>
      <c r="BC3926" s="128"/>
      <c r="BD3926" s="128"/>
      <c r="BE3926" s="128"/>
      <c r="BF3926" s="128"/>
      <c r="BG3926" s="128"/>
      <c r="BH3926" s="128"/>
      <c r="BI3926" s="128"/>
      <c r="BJ3926" s="128"/>
      <c r="BK3926" s="128"/>
      <c r="BL3926" s="128"/>
      <c r="BM3926" s="151"/>
      <c r="BN3926" s="128"/>
      <c r="BO3926" s="128"/>
      <c r="BP3926" s="128"/>
      <c r="BQ3926" s="128"/>
      <c r="BR3926" s="128"/>
      <c r="BS3926" s="128"/>
      <c r="BT3926" s="128"/>
      <c r="BU3926" s="128"/>
      <c r="BV3926" s="128"/>
      <c r="BW3926" s="128"/>
      <c r="BX3926" s="128"/>
      <c r="BY3926" s="128"/>
      <c r="BZ3926" s="128"/>
      <c r="CA3926" s="128"/>
      <c r="CB3926" s="128"/>
      <c r="CC3926" s="128"/>
      <c r="CD3926" s="128"/>
      <c r="CE3926" s="128"/>
      <c r="CF3926" s="128"/>
      <c r="CG3926" s="128"/>
      <c r="CI3926" s="128"/>
      <c r="CJ3926" s="128"/>
      <c r="CK3926" s="128"/>
      <c r="CL3926" s="128"/>
      <c r="CM3926" s="128"/>
      <c r="CN3926" s="128"/>
      <c r="CO3926" s="128"/>
      <c r="CP3926" s="128"/>
      <c r="CQ3926" s="128"/>
      <c r="CR3926" s="128"/>
      <c r="CS3926" s="128"/>
      <c r="CT3926" s="128"/>
      <c r="CU3926" s="128"/>
      <c r="CV3926" s="128"/>
      <c r="CW3926" s="128"/>
      <c r="CX3926" s="128"/>
      <c r="CY3926" s="128"/>
      <c r="CZ3926" s="165"/>
    </row>
    <row r="3927" spans="1:104">
      <c r="A3927" s="149"/>
      <c r="B3927" s="149"/>
      <c r="C3927" s="150"/>
      <c r="D3927" s="102"/>
      <c r="E3927" s="149"/>
      <c r="F3927" s="149"/>
      <c r="G3927" s="149"/>
      <c r="H3927" s="149"/>
      <c r="I3927" s="149"/>
      <c r="J3927" s="149"/>
      <c r="K3927" s="149"/>
      <c r="L3927" s="149"/>
      <c r="M3927" s="149"/>
      <c r="N3927" s="149"/>
      <c r="O3927" s="149"/>
      <c r="P3927" s="149"/>
      <c r="Q3927" s="149"/>
      <c r="R3927" s="149"/>
      <c r="S3927" s="149"/>
      <c r="T3927" s="149"/>
      <c r="U3927" s="149"/>
      <c r="V3927" s="149"/>
      <c r="W3927" s="149"/>
      <c r="X3927" s="149"/>
      <c r="Y3927" s="149"/>
      <c r="Z3927" s="149"/>
      <c r="AA3927" s="149"/>
      <c r="AB3927" s="149"/>
      <c r="AC3927" s="149"/>
      <c r="AD3927" s="149"/>
      <c r="AE3927" s="149"/>
      <c r="AF3927" s="149"/>
      <c r="AG3927" s="149"/>
      <c r="AH3927" s="149"/>
      <c r="AI3927" s="149"/>
      <c r="AJ3927" s="149"/>
      <c r="AK3927" s="149"/>
      <c r="AL3927" s="149"/>
      <c r="AM3927" s="149"/>
      <c r="AN3927" s="149"/>
      <c r="AO3927" s="128"/>
      <c r="AP3927" s="128"/>
      <c r="AQ3927" s="128"/>
      <c r="AR3927" s="128"/>
      <c r="AS3927" s="128"/>
      <c r="AT3927" s="128"/>
      <c r="AU3927" s="128"/>
      <c r="AV3927" s="128"/>
      <c r="AW3927" s="128"/>
      <c r="AX3927" s="128"/>
      <c r="AY3927" s="128"/>
      <c r="AZ3927" s="128"/>
      <c r="BA3927" s="128"/>
      <c r="BB3927" s="128"/>
      <c r="BC3927" s="128"/>
      <c r="BD3927" s="128"/>
      <c r="BE3927" s="128"/>
      <c r="BF3927" s="128"/>
      <c r="BG3927" s="128"/>
      <c r="BH3927" s="128"/>
      <c r="BI3927" s="128"/>
      <c r="BJ3927" s="128"/>
      <c r="BK3927" s="128"/>
      <c r="BL3927" s="128"/>
      <c r="BM3927" s="151"/>
      <c r="BN3927" s="128"/>
      <c r="BO3927" s="128"/>
      <c r="BP3927" s="128"/>
      <c r="BQ3927" s="128"/>
      <c r="BR3927" s="128"/>
      <c r="BS3927" s="128"/>
      <c r="BT3927" s="128"/>
      <c r="BU3927" s="128"/>
      <c r="BV3927" s="128"/>
      <c r="BW3927" s="128"/>
      <c r="BX3927" s="128"/>
      <c r="BY3927" s="128"/>
      <c r="BZ3927" s="128"/>
      <c r="CA3927" s="128"/>
      <c r="CB3927" s="128"/>
      <c r="CC3927" s="128"/>
      <c r="CD3927" s="128"/>
      <c r="CE3927" s="128"/>
      <c r="CF3927" s="128"/>
      <c r="CG3927" s="128"/>
      <c r="CI3927" s="128"/>
      <c r="CJ3927" s="128"/>
      <c r="CK3927" s="128"/>
      <c r="CL3927" s="128"/>
      <c r="CM3927" s="128"/>
      <c r="CN3927" s="128"/>
      <c r="CO3927" s="128"/>
      <c r="CP3927" s="128"/>
      <c r="CQ3927" s="128"/>
      <c r="CR3927" s="128"/>
      <c r="CS3927" s="128"/>
      <c r="CT3927" s="128"/>
      <c r="CU3927" s="128"/>
      <c r="CV3927" s="128"/>
      <c r="CW3927" s="128"/>
      <c r="CX3927" s="128"/>
      <c r="CY3927" s="128"/>
      <c r="CZ3927" s="165"/>
    </row>
    <row r="3928" spans="1:104">
      <c r="A3928" s="149"/>
      <c r="B3928" s="149"/>
      <c r="C3928" s="150"/>
      <c r="D3928" s="102"/>
      <c r="E3928" s="149"/>
      <c r="F3928" s="149"/>
      <c r="G3928" s="149"/>
      <c r="H3928" s="149"/>
      <c r="I3928" s="149"/>
      <c r="J3928" s="149"/>
      <c r="K3928" s="149"/>
      <c r="L3928" s="149"/>
      <c r="M3928" s="149"/>
      <c r="N3928" s="149"/>
      <c r="O3928" s="149"/>
      <c r="P3928" s="149"/>
      <c r="Q3928" s="149"/>
      <c r="R3928" s="149"/>
      <c r="S3928" s="149"/>
      <c r="T3928" s="149"/>
      <c r="U3928" s="149"/>
      <c r="V3928" s="149"/>
      <c r="W3928" s="149"/>
      <c r="X3928" s="149"/>
      <c r="Y3928" s="149"/>
      <c r="Z3928" s="149"/>
      <c r="AA3928" s="149"/>
      <c r="AB3928" s="149"/>
      <c r="AC3928" s="149"/>
      <c r="AD3928" s="149"/>
      <c r="AE3928" s="149"/>
      <c r="AF3928" s="149"/>
      <c r="AG3928" s="149"/>
      <c r="AH3928" s="149"/>
      <c r="AI3928" s="149"/>
      <c r="AJ3928" s="149"/>
      <c r="AK3928" s="149"/>
      <c r="AL3928" s="149"/>
      <c r="AM3928" s="149"/>
      <c r="AN3928" s="149"/>
      <c r="AO3928" s="128"/>
      <c r="AP3928" s="128"/>
      <c r="AQ3928" s="128"/>
      <c r="AR3928" s="128"/>
      <c r="AS3928" s="128"/>
      <c r="AT3928" s="128"/>
      <c r="AU3928" s="128"/>
      <c r="AV3928" s="128"/>
      <c r="AW3928" s="128"/>
      <c r="AX3928" s="128"/>
      <c r="AY3928" s="128"/>
      <c r="AZ3928" s="128"/>
      <c r="BA3928" s="128"/>
      <c r="BB3928" s="128"/>
      <c r="BC3928" s="128"/>
      <c r="BD3928" s="128"/>
      <c r="BE3928" s="128"/>
      <c r="BF3928" s="128"/>
      <c r="BG3928" s="128"/>
      <c r="BH3928" s="128"/>
      <c r="BI3928" s="128"/>
      <c r="BJ3928" s="128"/>
      <c r="BK3928" s="128"/>
      <c r="BL3928" s="128"/>
      <c r="BM3928" s="151"/>
      <c r="BN3928" s="128"/>
      <c r="BO3928" s="128"/>
      <c r="BP3928" s="128"/>
      <c r="BQ3928" s="128"/>
      <c r="BR3928" s="128"/>
      <c r="BS3928" s="128"/>
      <c r="BT3928" s="128"/>
      <c r="BU3928" s="128"/>
      <c r="BV3928" s="128"/>
      <c r="BW3928" s="128"/>
      <c r="BX3928" s="128"/>
      <c r="BY3928" s="128"/>
      <c r="BZ3928" s="128"/>
      <c r="CA3928" s="128"/>
      <c r="CB3928" s="128"/>
      <c r="CC3928" s="128"/>
      <c r="CD3928" s="128"/>
      <c r="CE3928" s="128"/>
      <c r="CF3928" s="128"/>
      <c r="CG3928" s="128"/>
      <c r="CI3928" s="128"/>
      <c r="CJ3928" s="128"/>
      <c r="CK3928" s="128"/>
      <c r="CL3928" s="128"/>
      <c r="CM3928" s="128"/>
      <c r="CN3928" s="128"/>
      <c r="CO3928" s="128"/>
      <c r="CP3928" s="128"/>
      <c r="CQ3928" s="128"/>
      <c r="CR3928" s="128"/>
      <c r="CS3928" s="128"/>
      <c r="CT3928" s="128"/>
      <c r="CU3928" s="128"/>
      <c r="CV3928" s="128"/>
      <c r="CW3928" s="128"/>
      <c r="CX3928" s="128"/>
      <c r="CY3928" s="128"/>
      <c r="CZ3928" s="165"/>
    </row>
    <row r="3929" spans="1:104">
      <c r="A3929" s="149"/>
      <c r="B3929" s="149"/>
      <c r="C3929" s="150"/>
      <c r="D3929" s="102"/>
      <c r="E3929" s="149"/>
      <c r="F3929" s="149"/>
      <c r="G3929" s="149"/>
      <c r="H3929" s="149"/>
      <c r="I3929" s="149"/>
      <c r="J3929" s="149"/>
      <c r="K3929" s="149"/>
      <c r="L3929" s="149"/>
      <c r="M3929" s="149"/>
      <c r="N3929" s="149"/>
      <c r="O3929" s="149"/>
      <c r="P3929" s="149"/>
      <c r="Q3929" s="149"/>
      <c r="R3929" s="149"/>
      <c r="S3929" s="149"/>
      <c r="T3929" s="149"/>
      <c r="U3929" s="149"/>
      <c r="V3929" s="149"/>
      <c r="W3929" s="149"/>
      <c r="X3929" s="149"/>
      <c r="Y3929" s="149"/>
      <c r="Z3929" s="149"/>
      <c r="AA3929" s="149"/>
      <c r="AB3929" s="149"/>
      <c r="AC3929" s="149"/>
      <c r="AD3929" s="149"/>
      <c r="AE3929" s="149"/>
      <c r="AF3929" s="149"/>
      <c r="AG3929" s="149"/>
      <c r="AH3929" s="149"/>
      <c r="AI3929" s="149"/>
      <c r="AJ3929" s="149"/>
      <c r="AK3929" s="149"/>
      <c r="AL3929" s="149"/>
      <c r="AM3929" s="149"/>
      <c r="AN3929" s="149"/>
      <c r="AO3929" s="128"/>
      <c r="AP3929" s="128"/>
      <c r="AQ3929" s="128"/>
      <c r="AR3929" s="128"/>
      <c r="AS3929" s="128"/>
      <c r="AT3929" s="128"/>
      <c r="AU3929" s="128"/>
      <c r="AV3929" s="128"/>
      <c r="AW3929" s="128"/>
      <c r="AX3929" s="128"/>
      <c r="AY3929" s="128"/>
      <c r="AZ3929" s="128"/>
      <c r="BA3929" s="128"/>
      <c r="BB3929" s="128"/>
      <c r="BC3929" s="128"/>
      <c r="BD3929" s="128"/>
      <c r="BE3929" s="128"/>
      <c r="BF3929" s="128"/>
      <c r="BG3929" s="128"/>
      <c r="BH3929" s="128"/>
      <c r="BI3929" s="128"/>
      <c r="BJ3929" s="128"/>
      <c r="BK3929" s="128"/>
      <c r="BL3929" s="128"/>
      <c r="BM3929" s="151"/>
      <c r="BN3929" s="128"/>
      <c r="BO3929" s="128"/>
      <c r="BP3929" s="128"/>
      <c r="BQ3929" s="128"/>
      <c r="BR3929" s="128"/>
      <c r="BS3929" s="128"/>
      <c r="BT3929" s="128"/>
      <c r="BU3929" s="128"/>
      <c r="BV3929" s="128"/>
      <c r="BW3929" s="128"/>
      <c r="BX3929" s="128"/>
      <c r="BY3929" s="128"/>
      <c r="BZ3929" s="128"/>
      <c r="CA3929" s="128"/>
      <c r="CB3929" s="128"/>
      <c r="CC3929" s="128"/>
      <c r="CD3929" s="128"/>
      <c r="CE3929" s="128"/>
      <c r="CF3929" s="128"/>
      <c r="CG3929" s="128"/>
      <c r="CI3929" s="128"/>
      <c r="CJ3929" s="128"/>
      <c r="CK3929" s="128"/>
      <c r="CL3929" s="128"/>
      <c r="CM3929" s="128"/>
      <c r="CN3929" s="128"/>
      <c r="CO3929" s="128"/>
      <c r="CP3929" s="128"/>
      <c r="CQ3929" s="128"/>
      <c r="CR3929" s="128"/>
      <c r="CS3929" s="128"/>
      <c r="CT3929" s="128"/>
      <c r="CU3929" s="128"/>
      <c r="CV3929" s="128"/>
      <c r="CW3929" s="128"/>
      <c r="CX3929" s="128"/>
      <c r="CY3929" s="128"/>
      <c r="CZ3929" s="165"/>
    </row>
    <row r="3930" spans="1:104">
      <c r="A3930" s="149"/>
      <c r="B3930" s="149"/>
      <c r="C3930" s="150"/>
      <c r="D3930" s="102"/>
      <c r="E3930" s="149"/>
      <c r="F3930" s="149"/>
      <c r="G3930" s="149"/>
      <c r="H3930" s="149"/>
      <c r="I3930" s="149"/>
      <c r="J3930" s="149"/>
      <c r="K3930" s="149"/>
      <c r="L3930" s="149"/>
      <c r="M3930" s="149"/>
      <c r="N3930" s="149"/>
      <c r="O3930" s="149"/>
      <c r="P3930" s="149"/>
      <c r="Q3930" s="149"/>
      <c r="R3930" s="149"/>
      <c r="S3930" s="149"/>
      <c r="T3930" s="149"/>
      <c r="U3930" s="149"/>
      <c r="V3930" s="149"/>
      <c r="W3930" s="149"/>
      <c r="X3930" s="149"/>
      <c r="Y3930" s="149"/>
      <c r="Z3930" s="149"/>
      <c r="AA3930" s="149"/>
      <c r="AB3930" s="149"/>
      <c r="AC3930" s="149"/>
      <c r="AD3930" s="149"/>
      <c r="AE3930" s="149"/>
      <c r="AF3930" s="149"/>
      <c r="AG3930" s="149"/>
      <c r="AH3930" s="149"/>
      <c r="AI3930" s="149"/>
      <c r="AJ3930" s="149"/>
      <c r="AK3930" s="149"/>
      <c r="AL3930" s="149"/>
      <c r="AM3930" s="149"/>
      <c r="AN3930" s="149"/>
      <c r="AO3930" s="128"/>
      <c r="AP3930" s="128"/>
      <c r="AQ3930" s="128"/>
      <c r="AR3930" s="128"/>
      <c r="AS3930" s="128"/>
      <c r="AT3930" s="128"/>
      <c r="AU3930" s="128"/>
      <c r="AV3930" s="128"/>
      <c r="AW3930" s="128"/>
      <c r="AX3930" s="128"/>
      <c r="AY3930" s="128"/>
      <c r="AZ3930" s="128"/>
      <c r="BA3930" s="128"/>
      <c r="BB3930" s="128"/>
      <c r="BC3930" s="128"/>
      <c r="BD3930" s="128"/>
      <c r="BE3930" s="128"/>
      <c r="BF3930" s="128"/>
      <c r="BG3930" s="128"/>
      <c r="BH3930" s="128"/>
      <c r="BI3930" s="128"/>
      <c r="BJ3930" s="128"/>
      <c r="BK3930" s="128"/>
      <c r="BL3930" s="128"/>
      <c r="BM3930" s="151"/>
      <c r="BN3930" s="128"/>
      <c r="BO3930" s="128"/>
      <c r="BP3930" s="128"/>
      <c r="BQ3930" s="128"/>
      <c r="BR3930" s="128"/>
      <c r="BS3930" s="128"/>
      <c r="BT3930" s="128"/>
      <c r="BU3930" s="128"/>
      <c r="BV3930" s="128"/>
      <c r="BW3930" s="128"/>
      <c r="BX3930" s="128"/>
      <c r="BY3930" s="128"/>
      <c r="BZ3930" s="128"/>
      <c r="CA3930" s="128"/>
      <c r="CB3930" s="128"/>
      <c r="CC3930" s="128"/>
      <c r="CD3930" s="128"/>
      <c r="CE3930" s="128"/>
      <c r="CF3930" s="128"/>
      <c r="CG3930" s="128"/>
      <c r="CI3930" s="128"/>
      <c r="CJ3930" s="128"/>
      <c r="CK3930" s="128"/>
      <c r="CL3930" s="128"/>
      <c r="CM3930" s="128"/>
      <c r="CN3930" s="128"/>
      <c r="CO3930" s="128"/>
      <c r="CP3930" s="128"/>
      <c r="CQ3930" s="128"/>
      <c r="CR3930" s="128"/>
      <c r="CS3930" s="128"/>
      <c r="CT3930" s="128"/>
      <c r="CU3930" s="128"/>
      <c r="CV3930" s="128"/>
      <c r="CW3930" s="128"/>
      <c r="CX3930" s="128"/>
      <c r="CY3930" s="128"/>
      <c r="CZ3930" s="165"/>
    </row>
    <row r="3931" spans="1:104">
      <c r="A3931" s="149"/>
      <c r="B3931" s="149"/>
      <c r="C3931" s="150"/>
      <c r="D3931" s="102"/>
      <c r="E3931" s="149"/>
      <c r="F3931" s="149"/>
      <c r="G3931" s="149"/>
      <c r="H3931" s="149"/>
      <c r="I3931" s="149"/>
      <c r="J3931" s="149"/>
      <c r="K3931" s="149"/>
      <c r="L3931" s="149"/>
      <c r="M3931" s="149"/>
      <c r="N3931" s="149"/>
      <c r="O3931" s="149"/>
      <c r="P3931" s="149"/>
      <c r="Q3931" s="149"/>
      <c r="R3931" s="149"/>
      <c r="S3931" s="149"/>
      <c r="T3931" s="149"/>
      <c r="U3931" s="149"/>
      <c r="V3931" s="149"/>
      <c r="W3931" s="149"/>
      <c r="X3931" s="149"/>
      <c r="Y3931" s="149"/>
      <c r="Z3931" s="149"/>
      <c r="AA3931" s="149"/>
      <c r="AB3931" s="149"/>
      <c r="AC3931" s="149"/>
      <c r="AD3931" s="149"/>
      <c r="AE3931" s="149"/>
      <c r="AF3931" s="149"/>
      <c r="AG3931" s="149"/>
      <c r="AH3931" s="149"/>
      <c r="AI3931" s="149"/>
      <c r="AJ3931" s="149"/>
      <c r="AK3931" s="149"/>
      <c r="AL3931" s="149"/>
      <c r="AM3931" s="149"/>
      <c r="AN3931" s="149"/>
      <c r="AO3931" s="128"/>
      <c r="AP3931" s="128"/>
      <c r="AQ3931" s="128"/>
      <c r="AR3931" s="128"/>
      <c r="AS3931" s="128"/>
      <c r="AT3931" s="128"/>
      <c r="AU3931" s="128"/>
      <c r="AV3931" s="128"/>
      <c r="AW3931" s="128"/>
      <c r="AX3931" s="128"/>
      <c r="AY3931" s="128"/>
      <c r="AZ3931" s="128"/>
      <c r="BA3931" s="128"/>
      <c r="BB3931" s="128"/>
      <c r="BC3931" s="128"/>
      <c r="BD3931" s="128"/>
      <c r="BE3931" s="128"/>
      <c r="BF3931" s="128"/>
      <c r="BG3931" s="128"/>
      <c r="BH3931" s="128"/>
      <c r="BI3931" s="128"/>
      <c r="BJ3931" s="128"/>
      <c r="BK3931" s="128"/>
      <c r="BL3931" s="128"/>
      <c r="BM3931" s="151"/>
      <c r="BN3931" s="128"/>
      <c r="BO3931" s="128"/>
      <c r="BP3931" s="128"/>
      <c r="BQ3931" s="128"/>
      <c r="BR3931" s="128"/>
      <c r="BS3931" s="128"/>
      <c r="BT3931" s="128"/>
      <c r="BU3931" s="128"/>
      <c r="BV3931" s="128"/>
      <c r="BW3931" s="128"/>
      <c r="BX3931" s="128"/>
      <c r="BY3931" s="128"/>
      <c r="BZ3931" s="128"/>
      <c r="CA3931" s="128"/>
      <c r="CB3931" s="128"/>
      <c r="CC3931" s="128"/>
      <c r="CD3931" s="128"/>
      <c r="CE3931" s="128"/>
      <c r="CF3931" s="128"/>
      <c r="CG3931" s="128"/>
      <c r="CI3931" s="128"/>
      <c r="CJ3931" s="128"/>
      <c r="CK3931" s="128"/>
      <c r="CL3931" s="128"/>
      <c r="CM3931" s="128"/>
      <c r="CN3931" s="128"/>
      <c r="CO3931" s="128"/>
      <c r="CP3931" s="128"/>
      <c r="CQ3931" s="128"/>
      <c r="CR3931" s="128"/>
      <c r="CS3931" s="128"/>
      <c r="CT3931" s="128"/>
      <c r="CU3931" s="128"/>
      <c r="CV3931" s="128"/>
      <c r="CW3931" s="128"/>
      <c r="CX3931" s="128"/>
      <c r="CY3931" s="128"/>
      <c r="CZ3931" s="165"/>
    </row>
    <row r="3932" spans="1:104">
      <c r="A3932" s="149"/>
      <c r="B3932" s="149"/>
      <c r="C3932" s="150"/>
      <c r="D3932" s="102"/>
      <c r="E3932" s="149"/>
      <c r="F3932" s="149"/>
      <c r="G3932" s="149"/>
      <c r="H3932" s="149"/>
      <c r="I3932" s="149"/>
      <c r="J3932" s="149"/>
      <c r="K3932" s="149"/>
      <c r="L3932" s="149"/>
      <c r="M3932" s="149"/>
      <c r="N3932" s="149"/>
      <c r="O3932" s="149"/>
      <c r="P3932" s="149"/>
      <c r="Q3932" s="149"/>
      <c r="R3932" s="149"/>
      <c r="S3932" s="149"/>
      <c r="T3932" s="149"/>
      <c r="U3932" s="149"/>
      <c r="V3932" s="149"/>
      <c r="W3932" s="149"/>
      <c r="X3932" s="149"/>
      <c r="Y3932" s="149"/>
      <c r="Z3932" s="149"/>
      <c r="AA3932" s="149"/>
      <c r="AB3932" s="149"/>
      <c r="AC3932" s="149"/>
      <c r="AD3932" s="149"/>
      <c r="AE3932" s="149"/>
      <c r="AF3932" s="149"/>
      <c r="AG3932" s="149"/>
      <c r="AH3932" s="149"/>
      <c r="AI3932" s="149"/>
      <c r="AJ3932" s="149"/>
      <c r="AK3932" s="149"/>
      <c r="AL3932" s="149"/>
      <c r="AM3932" s="149"/>
      <c r="AN3932" s="149"/>
      <c r="AO3932" s="128"/>
      <c r="AP3932" s="128"/>
      <c r="AQ3932" s="128"/>
      <c r="AR3932" s="128"/>
      <c r="AS3932" s="128"/>
      <c r="AT3932" s="128"/>
      <c r="AU3932" s="128"/>
      <c r="AV3932" s="128"/>
      <c r="AW3932" s="128"/>
      <c r="AX3932" s="128"/>
      <c r="AY3932" s="128"/>
      <c r="AZ3932" s="128"/>
      <c r="BA3932" s="128"/>
      <c r="BB3932" s="128"/>
      <c r="BC3932" s="128"/>
      <c r="BD3932" s="128"/>
      <c r="BE3932" s="128"/>
      <c r="BF3932" s="128"/>
      <c r="BG3932" s="128"/>
      <c r="BH3932" s="128"/>
      <c r="BI3932" s="128"/>
      <c r="BJ3932" s="128"/>
      <c r="BK3932" s="128"/>
      <c r="BL3932" s="128"/>
      <c r="BM3932" s="151"/>
      <c r="BN3932" s="128"/>
      <c r="BO3932" s="128"/>
      <c r="BP3932" s="128"/>
      <c r="BQ3932" s="128"/>
      <c r="BR3932" s="128"/>
      <c r="BS3932" s="128"/>
      <c r="BT3932" s="128"/>
      <c r="BU3932" s="128"/>
      <c r="BV3932" s="128"/>
      <c r="BW3932" s="128"/>
      <c r="BX3932" s="128"/>
      <c r="BY3932" s="128"/>
      <c r="BZ3932" s="128"/>
      <c r="CA3932" s="128"/>
      <c r="CB3932" s="128"/>
      <c r="CC3932" s="128"/>
      <c r="CD3932" s="128"/>
      <c r="CE3932" s="128"/>
      <c r="CF3932" s="128"/>
      <c r="CG3932" s="128"/>
      <c r="CI3932" s="128"/>
      <c r="CJ3932" s="128"/>
      <c r="CK3932" s="128"/>
      <c r="CL3932" s="128"/>
      <c r="CM3932" s="128"/>
      <c r="CN3932" s="128"/>
      <c r="CO3932" s="128"/>
      <c r="CP3932" s="128"/>
      <c r="CQ3932" s="128"/>
      <c r="CR3932" s="128"/>
      <c r="CS3932" s="128"/>
      <c r="CT3932" s="128"/>
      <c r="CU3932" s="128"/>
      <c r="CV3932" s="128"/>
      <c r="CW3932" s="128"/>
      <c r="CX3932" s="128"/>
      <c r="CY3932" s="128"/>
      <c r="CZ3932" s="165"/>
    </row>
    <row r="3933" spans="1:104">
      <c r="A3933" s="149"/>
      <c r="B3933" s="149"/>
      <c r="C3933" s="150"/>
      <c r="D3933" s="102"/>
      <c r="E3933" s="149"/>
      <c r="F3933" s="149"/>
      <c r="G3933" s="149"/>
      <c r="H3933" s="149"/>
      <c r="I3933" s="149"/>
      <c r="J3933" s="149"/>
      <c r="K3933" s="149"/>
      <c r="L3933" s="149"/>
      <c r="M3933" s="149"/>
      <c r="N3933" s="149"/>
      <c r="O3933" s="149"/>
      <c r="P3933" s="149"/>
      <c r="Q3933" s="149"/>
      <c r="R3933" s="149"/>
      <c r="S3933" s="149"/>
      <c r="T3933" s="149"/>
      <c r="U3933" s="149"/>
      <c r="V3933" s="149"/>
      <c r="W3933" s="149"/>
      <c r="X3933" s="149"/>
      <c r="Y3933" s="149"/>
      <c r="Z3933" s="149"/>
      <c r="AA3933" s="149"/>
      <c r="AB3933" s="149"/>
      <c r="AC3933" s="149"/>
      <c r="AD3933" s="149"/>
      <c r="AE3933" s="149"/>
      <c r="AF3933" s="149"/>
      <c r="AG3933" s="149"/>
      <c r="AH3933" s="149"/>
      <c r="AI3933" s="149"/>
      <c r="AJ3933" s="149"/>
      <c r="AK3933" s="149"/>
      <c r="AL3933" s="149"/>
      <c r="AM3933" s="149"/>
      <c r="AN3933" s="149"/>
      <c r="AO3933" s="128"/>
      <c r="AP3933" s="128"/>
      <c r="AQ3933" s="128"/>
      <c r="AR3933" s="128"/>
      <c r="AS3933" s="128"/>
      <c r="AT3933" s="128"/>
      <c r="AU3933" s="128"/>
      <c r="AV3933" s="128"/>
      <c r="AW3933" s="128"/>
      <c r="AX3933" s="128"/>
      <c r="AY3933" s="128"/>
      <c r="AZ3933" s="128"/>
      <c r="BA3933" s="128"/>
      <c r="BB3933" s="128"/>
      <c r="BC3933" s="128"/>
      <c r="BD3933" s="128"/>
      <c r="BE3933" s="128"/>
      <c r="BF3933" s="128"/>
      <c r="BG3933" s="128"/>
      <c r="BH3933" s="128"/>
      <c r="BI3933" s="128"/>
      <c r="BJ3933" s="128"/>
      <c r="BK3933" s="128"/>
      <c r="BL3933" s="128"/>
      <c r="BM3933" s="151"/>
      <c r="BN3933" s="128"/>
      <c r="BO3933" s="128"/>
      <c r="BP3933" s="128"/>
      <c r="BQ3933" s="128"/>
      <c r="BR3933" s="128"/>
      <c r="BS3933" s="128"/>
      <c r="BT3933" s="128"/>
      <c r="BU3933" s="128"/>
      <c r="BV3933" s="128"/>
      <c r="BW3933" s="128"/>
      <c r="BX3933" s="128"/>
      <c r="BY3933" s="128"/>
      <c r="BZ3933" s="128"/>
      <c r="CA3933" s="128"/>
      <c r="CB3933" s="128"/>
      <c r="CC3933" s="128"/>
      <c r="CD3933" s="128"/>
      <c r="CE3933" s="128"/>
      <c r="CF3933" s="128"/>
      <c r="CG3933" s="128"/>
      <c r="CI3933" s="128"/>
      <c r="CJ3933" s="128"/>
      <c r="CK3933" s="128"/>
      <c r="CL3933" s="128"/>
      <c r="CM3933" s="128"/>
      <c r="CN3933" s="128"/>
      <c r="CO3933" s="128"/>
      <c r="CP3933" s="128"/>
      <c r="CQ3933" s="128"/>
      <c r="CR3933" s="128"/>
      <c r="CS3933" s="128"/>
      <c r="CT3933" s="128"/>
      <c r="CU3933" s="128"/>
      <c r="CV3933" s="128"/>
      <c r="CW3933" s="128"/>
      <c r="CX3933" s="128"/>
      <c r="CY3933" s="128"/>
      <c r="CZ3933" s="165"/>
    </row>
    <row r="3934" spans="1:104">
      <c r="A3934" s="149"/>
      <c r="B3934" s="149"/>
      <c r="C3934" s="150"/>
      <c r="D3934" s="102"/>
      <c r="E3934" s="149"/>
      <c r="F3934" s="149"/>
      <c r="G3934" s="149"/>
      <c r="H3934" s="149"/>
      <c r="I3934" s="149"/>
      <c r="J3934" s="149"/>
      <c r="K3934" s="149"/>
      <c r="L3934" s="149"/>
      <c r="M3934" s="149"/>
      <c r="N3934" s="149"/>
      <c r="O3934" s="149"/>
      <c r="P3934" s="149"/>
      <c r="Q3934" s="149"/>
      <c r="R3934" s="149"/>
      <c r="S3934" s="149"/>
      <c r="T3934" s="149"/>
      <c r="U3934" s="149"/>
      <c r="V3934" s="149"/>
      <c r="W3934" s="149"/>
      <c r="X3934" s="149"/>
      <c r="Y3934" s="149"/>
      <c r="Z3934" s="149"/>
      <c r="AA3934" s="149"/>
      <c r="AB3934" s="149"/>
      <c r="AC3934" s="149"/>
      <c r="AD3934" s="149"/>
      <c r="AE3934" s="149"/>
      <c r="AF3934" s="149"/>
      <c r="AG3934" s="149"/>
      <c r="AH3934" s="149"/>
      <c r="AI3934" s="149"/>
      <c r="AJ3934" s="149"/>
      <c r="AK3934" s="149"/>
      <c r="AL3934" s="149"/>
      <c r="AM3934" s="149"/>
      <c r="AN3934" s="149"/>
      <c r="AO3934" s="128"/>
      <c r="AP3934" s="128"/>
      <c r="AQ3934" s="128"/>
      <c r="AR3934" s="128"/>
      <c r="AS3934" s="128"/>
      <c r="AT3934" s="128"/>
      <c r="AU3934" s="128"/>
      <c r="AV3934" s="128"/>
      <c r="AW3934" s="128"/>
      <c r="AX3934" s="128"/>
      <c r="AY3934" s="128"/>
      <c r="AZ3934" s="128"/>
      <c r="BA3934" s="128"/>
      <c r="BB3934" s="128"/>
      <c r="BC3934" s="128"/>
      <c r="BD3934" s="128"/>
      <c r="BE3934" s="128"/>
      <c r="BF3934" s="128"/>
      <c r="BG3934" s="128"/>
      <c r="BH3934" s="128"/>
      <c r="BI3934" s="128"/>
      <c r="BJ3934" s="128"/>
      <c r="BK3934" s="128"/>
      <c r="BL3934" s="128"/>
      <c r="BM3934" s="151"/>
      <c r="BN3934" s="128"/>
      <c r="BO3934" s="128"/>
      <c r="BP3934" s="128"/>
      <c r="BQ3934" s="128"/>
      <c r="BR3934" s="128"/>
      <c r="BS3934" s="128"/>
      <c r="BT3934" s="128"/>
      <c r="BU3934" s="128"/>
      <c r="BV3934" s="128"/>
      <c r="BW3934" s="128"/>
      <c r="BX3934" s="128"/>
      <c r="BY3934" s="128"/>
      <c r="BZ3934" s="128"/>
      <c r="CA3934" s="128"/>
      <c r="CB3934" s="128"/>
      <c r="CC3934" s="128"/>
      <c r="CD3934" s="128"/>
      <c r="CE3934" s="128"/>
      <c r="CF3934" s="128"/>
      <c r="CG3934" s="128"/>
      <c r="CI3934" s="128"/>
      <c r="CJ3934" s="128"/>
      <c r="CK3934" s="128"/>
      <c r="CL3934" s="128"/>
      <c r="CM3934" s="128"/>
      <c r="CN3934" s="128"/>
      <c r="CO3934" s="128"/>
      <c r="CP3934" s="128"/>
      <c r="CQ3934" s="128"/>
      <c r="CR3934" s="128"/>
      <c r="CS3934" s="128"/>
      <c r="CT3934" s="128"/>
      <c r="CU3934" s="128"/>
      <c r="CV3934" s="128"/>
      <c r="CW3934" s="128"/>
      <c r="CX3934" s="128"/>
      <c r="CY3934" s="128"/>
      <c r="CZ3934" s="165"/>
    </row>
    <row r="3935" spans="1:104">
      <c r="A3935" s="149"/>
      <c r="B3935" s="149"/>
      <c r="C3935" s="150"/>
      <c r="D3935" s="102"/>
      <c r="E3935" s="149"/>
      <c r="F3935" s="149"/>
      <c r="G3935" s="149"/>
      <c r="H3935" s="149"/>
      <c r="I3935" s="149"/>
      <c r="J3935" s="149"/>
      <c r="K3935" s="149"/>
      <c r="L3935" s="149"/>
      <c r="M3935" s="149"/>
      <c r="N3935" s="149"/>
      <c r="O3935" s="149"/>
      <c r="P3935" s="149"/>
      <c r="Q3935" s="149"/>
      <c r="R3935" s="149"/>
      <c r="S3935" s="149"/>
      <c r="T3935" s="149"/>
      <c r="U3935" s="149"/>
      <c r="V3935" s="149"/>
      <c r="W3935" s="149"/>
      <c r="X3935" s="149"/>
      <c r="Y3935" s="149"/>
      <c r="Z3935" s="149"/>
      <c r="AA3935" s="149"/>
      <c r="AB3935" s="149"/>
      <c r="AC3935" s="149"/>
      <c r="AD3935" s="149"/>
      <c r="AE3935" s="149"/>
      <c r="AF3935" s="149"/>
      <c r="AG3935" s="149"/>
      <c r="AH3935" s="149"/>
      <c r="AI3935" s="149"/>
      <c r="AJ3935" s="149"/>
      <c r="AK3935" s="149"/>
      <c r="AL3935" s="149"/>
      <c r="AM3935" s="149"/>
      <c r="AN3935" s="149"/>
      <c r="AO3935" s="128"/>
      <c r="AP3935" s="128"/>
      <c r="AQ3935" s="128"/>
      <c r="AR3935" s="128"/>
      <c r="AS3935" s="128"/>
      <c r="AT3935" s="128"/>
      <c r="AU3935" s="128"/>
      <c r="AV3935" s="128"/>
      <c r="AW3935" s="128"/>
      <c r="AX3935" s="128"/>
      <c r="AY3935" s="128"/>
      <c r="AZ3935" s="128"/>
      <c r="BA3935" s="128"/>
      <c r="BB3935" s="128"/>
      <c r="BC3935" s="128"/>
      <c r="BD3935" s="128"/>
      <c r="BE3935" s="128"/>
      <c r="BF3935" s="128"/>
      <c r="BG3935" s="128"/>
      <c r="BH3935" s="128"/>
      <c r="BI3935" s="128"/>
      <c r="BJ3935" s="128"/>
      <c r="BK3935" s="128"/>
      <c r="BL3935" s="128"/>
      <c r="BM3935" s="151"/>
      <c r="BN3935" s="128"/>
      <c r="BO3935" s="128"/>
      <c r="BP3935" s="128"/>
      <c r="BQ3935" s="128"/>
      <c r="BR3935" s="128"/>
      <c r="BS3935" s="128"/>
      <c r="BT3935" s="128"/>
      <c r="BU3935" s="128"/>
      <c r="BV3935" s="128"/>
      <c r="BW3935" s="128"/>
      <c r="BX3935" s="128"/>
      <c r="BY3935" s="128"/>
      <c r="BZ3935" s="128"/>
      <c r="CA3935" s="128"/>
      <c r="CB3935" s="128"/>
      <c r="CC3935" s="128"/>
      <c r="CD3935" s="128"/>
      <c r="CE3935" s="128"/>
      <c r="CF3935" s="128"/>
      <c r="CG3935" s="128"/>
      <c r="CI3935" s="128"/>
      <c r="CJ3935" s="128"/>
      <c r="CK3935" s="128"/>
      <c r="CL3935" s="128"/>
      <c r="CM3935" s="128"/>
      <c r="CN3935" s="128"/>
      <c r="CO3935" s="128"/>
      <c r="CP3935" s="128"/>
      <c r="CQ3935" s="128"/>
      <c r="CR3935" s="128"/>
      <c r="CS3935" s="128"/>
      <c r="CT3935" s="128"/>
      <c r="CU3935" s="128"/>
      <c r="CV3935" s="128"/>
      <c r="CW3935" s="128"/>
      <c r="CX3935" s="128"/>
      <c r="CY3935" s="128"/>
      <c r="CZ3935" s="165"/>
    </row>
    <row r="3936" spans="1:104">
      <c r="A3936" s="149"/>
      <c r="B3936" s="149"/>
      <c r="C3936" s="150"/>
      <c r="D3936" s="102"/>
      <c r="E3936" s="149"/>
      <c r="F3936" s="149"/>
      <c r="G3936" s="149"/>
      <c r="H3936" s="149"/>
      <c r="I3936" s="149"/>
      <c r="J3936" s="149"/>
      <c r="K3936" s="149"/>
      <c r="L3936" s="149"/>
      <c r="M3936" s="149"/>
      <c r="N3936" s="149"/>
      <c r="O3936" s="149"/>
      <c r="P3936" s="149"/>
      <c r="Q3936" s="149"/>
      <c r="R3936" s="149"/>
      <c r="S3936" s="149"/>
      <c r="T3936" s="149"/>
      <c r="U3936" s="149"/>
      <c r="V3936" s="149"/>
      <c r="W3936" s="149"/>
      <c r="X3936" s="149"/>
      <c r="Y3936" s="149"/>
      <c r="Z3936" s="149"/>
      <c r="AA3936" s="149"/>
      <c r="AB3936" s="149"/>
      <c r="AC3936" s="149"/>
      <c r="AD3936" s="149"/>
      <c r="AE3936" s="149"/>
      <c r="AF3936" s="149"/>
      <c r="AG3936" s="149"/>
      <c r="AH3936" s="149"/>
      <c r="AI3936" s="149"/>
      <c r="AJ3936" s="149"/>
      <c r="AK3936" s="149"/>
      <c r="AL3936" s="149"/>
      <c r="AM3936" s="149"/>
      <c r="AN3936" s="149"/>
      <c r="AO3936" s="128"/>
      <c r="AP3936" s="128"/>
      <c r="AQ3936" s="128"/>
      <c r="AR3936" s="128"/>
      <c r="AS3936" s="128"/>
      <c r="AT3936" s="128"/>
      <c r="AU3936" s="128"/>
      <c r="AV3936" s="128"/>
      <c r="AW3936" s="128"/>
      <c r="AX3936" s="128"/>
      <c r="AY3936" s="128"/>
      <c r="AZ3936" s="128"/>
      <c r="BA3936" s="128"/>
      <c r="BB3936" s="128"/>
      <c r="BC3936" s="128"/>
      <c r="BD3936" s="128"/>
      <c r="BE3936" s="128"/>
      <c r="BF3936" s="128"/>
      <c r="BG3936" s="128"/>
      <c r="BH3936" s="128"/>
      <c r="BI3936" s="128"/>
      <c r="BJ3936" s="128"/>
      <c r="BK3936" s="128"/>
      <c r="BL3936" s="128"/>
      <c r="BM3936" s="151"/>
      <c r="BN3936" s="128"/>
      <c r="BO3936" s="128"/>
      <c r="BP3936" s="128"/>
      <c r="BQ3936" s="128"/>
      <c r="BR3936" s="128"/>
      <c r="BS3936" s="128"/>
      <c r="BT3936" s="128"/>
      <c r="BU3936" s="128"/>
      <c r="BV3936" s="128"/>
      <c r="BW3936" s="128"/>
      <c r="BX3936" s="128"/>
      <c r="BY3936" s="128"/>
      <c r="BZ3936" s="128"/>
      <c r="CA3936" s="128"/>
      <c r="CB3936" s="128"/>
      <c r="CC3936" s="128"/>
      <c r="CD3936" s="128"/>
      <c r="CE3936" s="128"/>
      <c r="CF3936" s="128"/>
      <c r="CG3936" s="128"/>
      <c r="CI3936" s="128"/>
      <c r="CJ3936" s="128"/>
      <c r="CK3936" s="128"/>
      <c r="CL3936" s="128"/>
      <c r="CM3936" s="128"/>
      <c r="CN3936" s="128"/>
      <c r="CO3936" s="128"/>
      <c r="CP3936" s="128"/>
      <c r="CQ3936" s="128"/>
      <c r="CR3936" s="128"/>
      <c r="CS3936" s="128"/>
      <c r="CT3936" s="128"/>
      <c r="CU3936" s="128"/>
      <c r="CV3936" s="128"/>
      <c r="CW3936" s="128"/>
      <c r="CX3936" s="128"/>
      <c r="CY3936" s="128"/>
      <c r="CZ3936" s="165"/>
    </row>
    <row r="3937" spans="1:104">
      <c r="A3937" s="149"/>
      <c r="B3937" s="149"/>
      <c r="C3937" s="150"/>
      <c r="D3937" s="102"/>
      <c r="E3937" s="149"/>
      <c r="F3937" s="149"/>
      <c r="G3937" s="149"/>
      <c r="H3937" s="149"/>
      <c r="I3937" s="149"/>
      <c r="J3937" s="149"/>
      <c r="K3937" s="149"/>
      <c r="L3937" s="149"/>
      <c r="M3937" s="149"/>
      <c r="N3937" s="149"/>
      <c r="O3937" s="149"/>
      <c r="P3937" s="149"/>
      <c r="Q3937" s="149"/>
      <c r="R3937" s="149"/>
      <c r="S3937" s="149"/>
      <c r="T3937" s="149"/>
      <c r="U3937" s="149"/>
      <c r="V3937" s="149"/>
      <c r="W3937" s="149"/>
      <c r="X3937" s="149"/>
      <c r="Y3937" s="149"/>
      <c r="Z3937" s="149"/>
      <c r="AA3937" s="149"/>
      <c r="AB3937" s="149"/>
      <c r="AC3937" s="149"/>
      <c r="AD3937" s="149"/>
      <c r="AE3937" s="149"/>
      <c r="AF3937" s="149"/>
      <c r="AG3937" s="149"/>
      <c r="AH3937" s="149"/>
      <c r="AI3937" s="149"/>
      <c r="AJ3937" s="149"/>
      <c r="AK3937" s="149"/>
      <c r="AL3937" s="149"/>
      <c r="AM3937" s="149"/>
      <c r="AN3937" s="149"/>
      <c r="AO3937" s="128"/>
      <c r="AP3937" s="128"/>
      <c r="AQ3937" s="128"/>
      <c r="AR3937" s="128"/>
      <c r="AS3937" s="128"/>
      <c r="AT3937" s="128"/>
      <c r="AU3937" s="128"/>
      <c r="AV3937" s="128"/>
      <c r="AW3937" s="128"/>
      <c r="AX3937" s="128"/>
      <c r="AY3937" s="128"/>
      <c r="AZ3937" s="128"/>
      <c r="BA3937" s="128"/>
      <c r="BB3937" s="128"/>
      <c r="BC3937" s="128"/>
      <c r="BD3937" s="128"/>
      <c r="BE3937" s="128"/>
      <c r="BF3937" s="128"/>
      <c r="BG3937" s="128"/>
      <c r="BH3937" s="128"/>
      <c r="BI3937" s="128"/>
      <c r="BJ3937" s="128"/>
      <c r="BK3937" s="128"/>
      <c r="BL3937" s="128"/>
      <c r="BM3937" s="151"/>
      <c r="BN3937" s="128"/>
      <c r="BO3937" s="128"/>
      <c r="BP3937" s="128"/>
      <c r="BQ3937" s="128"/>
      <c r="BR3937" s="128"/>
      <c r="BS3937" s="128"/>
      <c r="BT3937" s="128"/>
      <c r="BU3937" s="128"/>
      <c r="BV3937" s="128"/>
      <c r="BW3937" s="128"/>
      <c r="BX3937" s="128"/>
      <c r="BY3937" s="128"/>
      <c r="BZ3937" s="128"/>
      <c r="CA3937" s="128"/>
      <c r="CB3937" s="128"/>
      <c r="CC3937" s="128"/>
      <c r="CD3937" s="128"/>
      <c r="CE3937" s="128"/>
      <c r="CF3937" s="128"/>
      <c r="CG3937" s="128"/>
      <c r="CI3937" s="128"/>
      <c r="CJ3937" s="128"/>
      <c r="CK3937" s="128"/>
      <c r="CL3937" s="128"/>
      <c r="CM3937" s="128"/>
      <c r="CN3937" s="128"/>
      <c r="CO3937" s="128"/>
      <c r="CP3937" s="128"/>
      <c r="CQ3937" s="128"/>
      <c r="CR3937" s="128"/>
      <c r="CS3937" s="128"/>
      <c r="CT3937" s="128"/>
      <c r="CU3937" s="128"/>
      <c r="CV3937" s="128"/>
      <c r="CW3937" s="128"/>
      <c r="CX3937" s="128"/>
      <c r="CY3937" s="128"/>
      <c r="CZ3937" s="165"/>
    </row>
    <row r="3938" spans="1:104">
      <c r="A3938" s="149"/>
      <c r="B3938" s="149"/>
      <c r="C3938" s="150"/>
      <c r="D3938" s="102"/>
      <c r="E3938" s="149"/>
      <c r="F3938" s="149"/>
      <c r="G3938" s="149"/>
      <c r="H3938" s="149"/>
      <c r="I3938" s="149"/>
      <c r="J3938" s="149"/>
      <c r="K3938" s="149"/>
      <c r="L3938" s="149"/>
      <c r="M3938" s="149"/>
      <c r="N3938" s="149"/>
      <c r="O3938" s="149"/>
      <c r="P3938" s="149"/>
      <c r="Q3938" s="149"/>
      <c r="R3938" s="149"/>
      <c r="S3938" s="149"/>
      <c r="T3938" s="149"/>
      <c r="U3938" s="149"/>
      <c r="V3938" s="149"/>
      <c r="W3938" s="149"/>
      <c r="X3938" s="149"/>
      <c r="Y3938" s="149"/>
      <c r="Z3938" s="149"/>
      <c r="AA3938" s="149"/>
      <c r="AB3938" s="149"/>
      <c r="AC3938" s="149"/>
      <c r="AD3938" s="149"/>
      <c r="AE3938" s="149"/>
      <c r="AF3938" s="149"/>
      <c r="AG3938" s="149"/>
      <c r="AH3938" s="149"/>
      <c r="AI3938" s="149"/>
      <c r="AJ3938" s="149"/>
      <c r="AK3938" s="149"/>
      <c r="AL3938" s="149"/>
      <c r="AM3938" s="149"/>
      <c r="AN3938" s="149"/>
      <c r="AO3938" s="128"/>
      <c r="AP3938" s="128"/>
      <c r="AQ3938" s="128"/>
      <c r="AR3938" s="128"/>
      <c r="AS3938" s="128"/>
      <c r="AT3938" s="128"/>
      <c r="AU3938" s="128"/>
      <c r="AV3938" s="128"/>
      <c r="AW3938" s="128"/>
      <c r="AX3938" s="128"/>
      <c r="AY3938" s="128"/>
      <c r="AZ3938" s="128"/>
      <c r="BA3938" s="128"/>
      <c r="BB3938" s="128"/>
      <c r="BC3938" s="128"/>
      <c r="BD3938" s="128"/>
      <c r="BE3938" s="128"/>
      <c r="BF3938" s="128"/>
      <c r="BG3938" s="128"/>
      <c r="BH3938" s="128"/>
      <c r="BI3938" s="128"/>
      <c r="BJ3938" s="128"/>
      <c r="BK3938" s="128"/>
      <c r="BL3938" s="128"/>
      <c r="BM3938" s="151"/>
      <c r="BN3938" s="128"/>
      <c r="BO3938" s="128"/>
      <c r="BP3938" s="128"/>
      <c r="BQ3938" s="128"/>
      <c r="BR3938" s="128"/>
      <c r="BS3938" s="128"/>
      <c r="BT3938" s="128"/>
      <c r="BU3938" s="128"/>
      <c r="BV3938" s="128"/>
      <c r="BW3938" s="128"/>
      <c r="BX3938" s="128"/>
      <c r="BY3938" s="128"/>
      <c r="BZ3938" s="128"/>
      <c r="CA3938" s="128"/>
      <c r="CB3938" s="128"/>
      <c r="CC3938" s="128"/>
      <c r="CD3938" s="128"/>
      <c r="CE3938" s="128"/>
      <c r="CF3938" s="128"/>
      <c r="CG3938" s="128"/>
      <c r="CI3938" s="128"/>
      <c r="CJ3938" s="128"/>
      <c r="CK3938" s="128"/>
      <c r="CL3938" s="128"/>
      <c r="CM3938" s="128"/>
      <c r="CN3938" s="128"/>
      <c r="CO3938" s="128"/>
      <c r="CP3938" s="128"/>
      <c r="CQ3938" s="128"/>
      <c r="CR3938" s="128"/>
      <c r="CS3938" s="128"/>
      <c r="CT3938" s="128"/>
      <c r="CU3938" s="128"/>
      <c r="CV3938" s="128"/>
      <c r="CW3938" s="128"/>
      <c r="CX3938" s="128"/>
      <c r="CY3938" s="128"/>
      <c r="CZ3938" s="165"/>
    </row>
    <row r="3939" spans="1:104">
      <c r="A3939" s="149"/>
      <c r="B3939" s="149"/>
      <c r="C3939" s="150"/>
      <c r="D3939" s="102"/>
      <c r="E3939" s="149"/>
      <c r="F3939" s="149"/>
      <c r="G3939" s="149"/>
      <c r="H3939" s="149"/>
      <c r="I3939" s="149"/>
      <c r="J3939" s="149"/>
      <c r="K3939" s="149"/>
      <c r="L3939" s="149"/>
      <c r="M3939" s="149"/>
      <c r="N3939" s="149"/>
      <c r="O3939" s="149"/>
      <c r="P3939" s="149"/>
      <c r="Q3939" s="149"/>
      <c r="R3939" s="149"/>
      <c r="S3939" s="149"/>
      <c r="T3939" s="149"/>
      <c r="U3939" s="149"/>
      <c r="V3939" s="149"/>
      <c r="W3939" s="149"/>
      <c r="X3939" s="149"/>
      <c r="Y3939" s="149"/>
      <c r="Z3939" s="149"/>
      <c r="AA3939" s="149"/>
      <c r="AB3939" s="149"/>
      <c r="AC3939" s="149"/>
      <c r="AD3939" s="149"/>
      <c r="AE3939" s="149"/>
      <c r="AF3939" s="149"/>
      <c r="AG3939" s="149"/>
      <c r="AH3939" s="149"/>
      <c r="AI3939" s="149"/>
      <c r="AJ3939" s="149"/>
      <c r="AK3939" s="149"/>
      <c r="AL3939" s="149"/>
      <c r="AM3939" s="149"/>
      <c r="AN3939" s="149"/>
      <c r="AO3939" s="128"/>
      <c r="AP3939" s="128"/>
      <c r="AQ3939" s="128"/>
      <c r="AR3939" s="128"/>
      <c r="AS3939" s="128"/>
      <c r="AT3939" s="128"/>
      <c r="AU3939" s="128"/>
      <c r="AV3939" s="128"/>
      <c r="AW3939" s="128"/>
      <c r="AX3939" s="128"/>
      <c r="AY3939" s="128"/>
      <c r="AZ3939" s="128"/>
      <c r="BA3939" s="128"/>
      <c r="BB3939" s="128"/>
      <c r="BC3939" s="128"/>
      <c r="BD3939" s="128"/>
      <c r="BE3939" s="128"/>
      <c r="BF3939" s="128"/>
      <c r="BG3939" s="128"/>
      <c r="BH3939" s="128"/>
      <c r="BI3939" s="128"/>
      <c r="BJ3939" s="128"/>
      <c r="BK3939" s="128"/>
      <c r="BL3939" s="128"/>
      <c r="BM3939" s="151"/>
      <c r="BN3939" s="128"/>
      <c r="BO3939" s="128"/>
      <c r="BP3939" s="128"/>
      <c r="BQ3939" s="128"/>
      <c r="BR3939" s="128"/>
      <c r="BS3939" s="128"/>
      <c r="BT3939" s="128"/>
      <c r="BU3939" s="128"/>
      <c r="BV3939" s="128"/>
      <c r="BW3939" s="128"/>
      <c r="BX3939" s="128"/>
      <c r="BY3939" s="128"/>
      <c r="BZ3939" s="128"/>
      <c r="CA3939" s="128"/>
      <c r="CB3939" s="128"/>
      <c r="CC3939" s="128"/>
      <c r="CD3939" s="128"/>
      <c r="CE3939" s="128"/>
      <c r="CF3939" s="128"/>
      <c r="CG3939" s="128"/>
      <c r="CI3939" s="128"/>
      <c r="CJ3939" s="128"/>
      <c r="CK3939" s="128"/>
      <c r="CL3939" s="128"/>
      <c r="CM3939" s="128"/>
      <c r="CN3939" s="128"/>
      <c r="CO3939" s="128"/>
      <c r="CP3939" s="128"/>
      <c r="CQ3939" s="128"/>
      <c r="CR3939" s="128"/>
      <c r="CS3939" s="128"/>
      <c r="CT3939" s="128"/>
      <c r="CU3939" s="128"/>
      <c r="CV3939" s="128"/>
      <c r="CW3939" s="128"/>
      <c r="CX3939" s="128"/>
      <c r="CY3939" s="128"/>
      <c r="CZ3939" s="165"/>
    </row>
    <row r="3940" spans="1:104">
      <c r="A3940" s="149"/>
      <c r="B3940" s="149"/>
      <c r="C3940" s="150"/>
      <c r="D3940" s="102"/>
      <c r="E3940" s="149"/>
      <c r="F3940" s="149"/>
      <c r="G3940" s="149"/>
      <c r="H3940" s="149"/>
      <c r="I3940" s="149"/>
      <c r="J3940" s="149"/>
      <c r="K3940" s="149"/>
      <c r="L3940" s="149"/>
      <c r="M3940" s="149"/>
      <c r="N3940" s="149"/>
      <c r="O3940" s="149"/>
      <c r="P3940" s="149"/>
      <c r="Q3940" s="149"/>
      <c r="R3940" s="149"/>
      <c r="S3940" s="149"/>
      <c r="T3940" s="149"/>
      <c r="U3940" s="149"/>
      <c r="V3940" s="149"/>
      <c r="W3940" s="149"/>
      <c r="X3940" s="149"/>
      <c r="Y3940" s="149"/>
      <c r="Z3940" s="149"/>
      <c r="AA3940" s="149"/>
      <c r="AB3940" s="149"/>
      <c r="AC3940" s="149"/>
      <c r="AD3940" s="149"/>
      <c r="AE3940" s="149"/>
      <c r="AF3940" s="149"/>
      <c r="AG3940" s="149"/>
      <c r="AH3940" s="149"/>
      <c r="AI3940" s="149"/>
      <c r="AJ3940" s="149"/>
      <c r="AK3940" s="149"/>
      <c r="AL3940" s="149"/>
      <c r="AM3940" s="149"/>
      <c r="AN3940" s="149"/>
      <c r="AO3940" s="128"/>
      <c r="AP3940" s="128"/>
      <c r="AQ3940" s="128"/>
      <c r="AR3940" s="128"/>
      <c r="AS3940" s="128"/>
      <c r="AT3940" s="128"/>
      <c r="AU3940" s="128"/>
      <c r="AV3940" s="128"/>
      <c r="AW3940" s="128"/>
      <c r="AX3940" s="128"/>
      <c r="AY3940" s="128"/>
      <c r="AZ3940" s="128"/>
      <c r="BA3940" s="128"/>
      <c r="BB3940" s="128"/>
      <c r="BC3940" s="128"/>
      <c r="BD3940" s="128"/>
      <c r="BE3940" s="128"/>
      <c r="BF3940" s="128"/>
      <c r="BG3940" s="128"/>
      <c r="BH3940" s="128"/>
      <c r="BI3940" s="128"/>
      <c r="BJ3940" s="128"/>
      <c r="BK3940" s="128"/>
      <c r="BL3940" s="128"/>
      <c r="BM3940" s="151"/>
      <c r="BN3940" s="128"/>
      <c r="BO3940" s="128"/>
      <c r="BP3940" s="128"/>
      <c r="BQ3940" s="128"/>
      <c r="BR3940" s="128"/>
      <c r="BS3940" s="128"/>
      <c r="BT3940" s="128"/>
      <c r="BU3940" s="128"/>
      <c r="BV3940" s="128"/>
      <c r="BW3940" s="128"/>
      <c r="BX3940" s="128"/>
      <c r="BY3940" s="128"/>
      <c r="BZ3940" s="128"/>
      <c r="CA3940" s="128"/>
      <c r="CB3940" s="128"/>
      <c r="CC3940" s="128"/>
      <c r="CD3940" s="128"/>
      <c r="CE3940" s="128"/>
      <c r="CF3940" s="128"/>
      <c r="CG3940" s="128"/>
      <c r="CI3940" s="128"/>
      <c r="CJ3940" s="128"/>
      <c r="CK3940" s="128"/>
      <c r="CL3940" s="128"/>
      <c r="CM3940" s="128"/>
      <c r="CN3940" s="128"/>
      <c r="CO3940" s="128"/>
      <c r="CP3940" s="128"/>
      <c r="CQ3940" s="128"/>
      <c r="CR3940" s="128"/>
      <c r="CS3940" s="128"/>
      <c r="CT3940" s="128"/>
      <c r="CU3940" s="128"/>
      <c r="CV3940" s="128"/>
      <c r="CW3940" s="128"/>
      <c r="CX3940" s="128"/>
      <c r="CY3940" s="128"/>
      <c r="CZ3940" s="165"/>
    </row>
    <row r="3941" spans="1:104">
      <c r="A3941" s="149"/>
      <c r="B3941" s="149"/>
      <c r="C3941" s="150"/>
      <c r="D3941" s="102"/>
      <c r="E3941" s="149"/>
      <c r="F3941" s="149"/>
      <c r="G3941" s="149"/>
      <c r="H3941" s="149"/>
      <c r="I3941" s="149"/>
      <c r="J3941" s="149"/>
      <c r="K3941" s="149"/>
      <c r="L3941" s="149"/>
      <c r="M3941" s="149"/>
      <c r="N3941" s="149"/>
      <c r="O3941" s="149"/>
      <c r="P3941" s="149"/>
      <c r="Q3941" s="149"/>
      <c r="R3941" s="149"/>
      <c r="S3941" s="149"/>
      <c r="T3941" s="149"/>
      <c r="U3941" s="149"/>
      <c r="V3941" s="149"/>
      <c r="W3941" s="149"/>
      <c r="X3941" s="149"/>
      <c r="Y3941" s="149"/>
      <c r="Z3941" s="149"/>
      <c r="AA3941" s="149"/>
      <c r="AB3941" s="149"/>
      <c r="AC3941" s="149"/>
      <c r="AD3941" s="149"/>
      <c r="AE3941" s="149"/>
      <c r="AF3941" s="149"/>
      <c r="AG3941" s="149"/>
      <c r="AH3941" s="149"/>
      <c r="AI3941" s="149"/>
      <c r="AJ3941" s="149"/>
      <c r="AK3941" s="149"/>
      <c r="AL3941" s="149"/>
      <c r="AM3941" s="149"/>
      <c r="AN3941" s="149"/>
      <c r="AO3941" s="128"/>
      <c r="AP3941" s="128"/>
      <c r="AQ3941" s="128"/>
      <c r="AR3941" s="128"/>
      <c r="AS3941" s="128"/>
      <c r="AT3941" s="128"/>
      <c r="AU3941" s="128"/>
      <c r="AV3941" s="128"/>
      <c r="AW3941" s="128"/>
      <c r="AX3941" s="128"/>
      <c r="AY3941" s="128"/>
      <c r="AZ3941" s="128"/>
      <c r="BA3941" s="128"/>
      <c r="BB3941" s="128"/>
      <c r="BC3941" s="128"/>
      <c r="BD3941" s="128"/>
      <c r="BE3941" s="128"/>
      <c r="BF3941" s="128"/>
      <c r="BG3941" s="128"/>
      <c r="BH3941" s="128"/>
      <c r="BI3941" s="128"/>
      <c r="BJ3941" s="128"/>
      <c r="BK3941" s="128"/>
      <c r="BL3941" s="128"/>
      <c r="BM3941" s="151"/>
      <c r="BN3941" s="128"/>
      <c r="BO3941" s="128"/>
      <c r="BP3941" s="128"/>
      <c r="BQ3941" s="128"/>
      <c r="BR3941" s="128"/>
      <c r="BS3941" s="128"/>
      <c r="BT3941" s="128"/>
      <c r="BU3941" s="128"/>
      <c r="BV3941" s="128"/>
      <c r="BW3941" s="128"/>
      <c r="BX3941" s="128"/>
      <c r="BY3941" s="128"/>
      <c r="BZ3941" s="128"/>
      <c r="CA3941" s="128"/>
      <c r="CB3941" s="128"/>
      <c r="CC3941" s="128"/>
      <c r="CD3941" s="128"/>
      <c r="CE3941" s="128"/>
      <c r="CF3941" s="128"/>
      <c r="CG3941" s="128"/>
      <c r="CI3941" s="128"/>
      <c r="CJ3941" s="128"/>
      <c r="CK3941" s="128"/>
      <c r="CL3941" s="128"/>
      <c r="CM3941" s="128"/>
      <c r="CN3941" s="128"/>
      <c r="CO3941" s="128"/>
      <c r="CP3941" s="128"/>
      <c r="CQ3941" s="128"/>
      <c r="CR3941" s="128"/>
      <c r="CS3941" s="128"/>
      <c r="CT3941" s="128"/>
      <c r="CU3941" s="128"/>
      <c r="CV3941" s="128"/>
      <c r="CW3941" s="128"/>
      <c r="CX3941" s="128"/>
      <c r="CY3941" s="128"/>
      <c r="CZ3941" s="165"/>
    </row>
    <row r="3942" spans="1:104">
      <c r="A3942" s="149"/>
      <c r="B3942" s="149"/>
      <c r="C3942" s="150"/>
      <c r="D3942" s="102"/>
      <c r="E3942" s="149"/>
      <c r="F3942" s="149"/>
      <c r="G3942" s="149"/>
      <c r="H3942" s="149"/>
      <c r="I3942" s="149"/>
      <c r="J3942" s="149"/>
      <c r="K3942" s="149"/>
      <c r="L3942" s="149"/>
      <c r="M3942" s="149"/>
      <c r="N3942" s="149"/>
      <c r="O3942" s="149"/>
      <c r="P3942" s="149"/>
      <c r="Q3942" s="149"/>
      <c r="R3942" s="149"/>
      <c r="S3942" s="149"/>
      <c r="T3942" s="149"/>
      <c r="U3942" s="149"/>
      <c r="V3942" s="149"/>
      <c r="W3942" s="149"/>
      <c r="X3942" s="149"/>
      <c r="Y3942" s="149"/>
      <c r="Z3942" s="149"/>
      <c r="AA3942" s="149"/>
      <c r="AB3942" s="149"/>
      <c r="AC3942" s="149"/>
      <c r="AD3942" s="149"/>
      <c r="AE3942" s="149"/>
      <c r="AF3942" s="149"/>
      <c r="AG3942" s="149"/>
      <c r="AH3942" s="149"/>
      <c r="AI3942" s="149"/>
      <c r="AJ3942" s="149"/>
      <c r="AK3942" s="149"/>
      <c r="AL3942" s="149"/>
      <c r="AM3942" s="149"/>
      <c r="AN3942" s="149"/>
      <c r="AO3942" s="128"/>
      <c r="AP3942" s="128"/>
      <c r="AQ3942" s="128"/>
      <c r="AR3942" s="128"/>
      <c r="AS3942" s="128"/>
      <c r="AT3942" s="128"/>
      <c r="AU3942" s="128"/>
      <c r="AV3942" s="128"/>
      <c r="AW3942" s="128"/>
      <c r="AX3942" s="128"/>
      <c r="AY3942" s="128"/>
      <c r="AZ3942" s="128"/>
      <c r="BA3942" s="128"/>
      <c r="BB3942" s="128"/>
      <c r="BC3942" s="128"/>
      <c r="BD3942" s="128"/>
      <c r="BE3942" s="128"/>
      <c r="BF3942" s="128"/>
      <c r="BG3942" s="128"/>
      <c r="BH3942" s="128"/>
      <c r="BI3942" s="128"/>
      <c r="BJ3942" s="128"/>
      <c r="BK3942" s="128"/>
      <c r="BL3942" s="128"/>
      <c r="BM3942" s="151"/>
      <c r="BN3942" s="128"/>
      <c r="BO3942" s="128"/>
      <c r="BP3942" s="128"/>
      <c r="BQ3942" s="128"/>
      <c r="BR3942" s="128"/>
      <c r="BS3942" s="128"/>
      <c r="BT3942" s="128"/>
      <c r="BU3942" s="128"/>
      <c r="BV3942" s="128"/>
      <c r="BW3942" s="128"/>
      <c r="BX3942" s="128"/>
      <c r="BY3942" s="128"/>
      <c r="BZ3942" s="128"/>
      <c r="CA3942" s="128"/>
      <c r="CB3942" s="128"/>
      <c r="CC3942" s="128"/>
      <c r="CD3942" s="128"/>
      <c r="CE3942" s="128"/>
      <c r="CF3942" s="128"/>
      <c r="CG3942" s="128"/>
      <c r="CI3942" s="128"/>
      <c r="CJ3942" s="128"/>
      <c r="CK3942" s="128"/>
      <c r="CL3942" s="128"/>
      <c r="CM3942" s="128"/>
      <c r="CN3942" s="128"/>
      <c r="CO3942" s="128"/>
      <c r="CP3942" s="128"/>
      <c r="CQ3942" s="128"/>
      <c r="CR3942" s="128"/>
      <c r="CS3942" s="128"/>
      <c r="CT3942" s="128"/>
      <c r="CU3942" s="128"/>
      <c r="CV3942" s="128"/>
      <c r="CW3942" s="128"/>
      <c r="CX3942" s="128"/>
      <c r="CY3942" s="128"/>
      <c r="CZ3942" s="165"/>
    </row>
    <row r="3943" spans="1:104">
      <c r="A3943" s="149"/>
      <c r="B3943" s="149"/>
      <c r="C3943" s="150"/>
      <c r="D3943" s="102"/>
      <c r="E3943" s="149"/>
      <c r="F3943" s="149"/>
      <c r="G3943" s="149"/>
      <c r="H3943" s="149"/>
      <c r="I3943" s="149"/>
      <c r="J3943" s="149"/>
      <c r="K3943" s="149"/>
      <c r="L3943" s="149"/>
      <c r="M3943" s="149"/>
      <c r="N3943" s="149"/>
      <c r="O3943" s="149"/>
      <c r="P3943" s="149"/>
      <c r="Q3943" s="149"/>
      <c r="R3943" s="149"/>
      <c r="S3943" s="149"/>
      <c r="T3943" s="149"/>
      <c r="U3943" s="149"/>
      <c r="V3943" s="149"/>
      <c r="W3943" s="149"/>
      <c r="X3943" s="149"/>
      <c r="Y3943" s="149"/>
      <c r="Z3943" s="149"/>
      <c r="AA3943" s="149"/>
      <c r="AB3943" s="149"/>
      <c r="AC3943" s="149"/>
      <c r="AD3943" s="149"/>
      <c r="AE3943" s="149"/>
      <c r="AF3943" s="149"/>
      <c r="AG3943" s="149"/>
      <c r="AH3943" s="149"/>
      <c r="AI3943" s="149"/>
      <c r="AJ3943" s="149"/>
      <c r="AK3943" s="149"/>
      <c r="AL3943" s="149"/>
      <c r="AM3943" s="149"/>
      <c r="AN3943" s="149"/>
      <c r="AO3943" s="128"/>
      <c r="AP3943" s="128"/>
      <c r="AQ3943" s="128"/>
      <c r="AR3943" s="128"/>
      <c r="AS3943" s="128"/>
      <c r="AT3943" s="128"/>
      <c r="AU3943" s="128"/>
      <c r="AV3943" s="128"/>
      <c r="AW3943" s="128"/>
      <c r="AX3943" s="128"/>
      <c r="AY3943" s="128"/>
      <c r="AZ3943" s="128"/>
      <c r="BA3943" s="128"/>
      <c r="BB3943" s="128"/>
      <c r="BC3943" s="128"/>
      <c r="BD3943" s="128"/>
      <c r="BE3943" s="128"/>
      <c r="BF3943" s="128"/>
      <c r="BG3943" s="128"/>
      <c r="BH3943" s="128"/>
      <c r="BI3943" s="128"/>
      <c r="BJ3943" s="128"/>
      <c r="BK3943" s="128"/>
      <c r="BL3943" s="128"/>
      <c r="BM3943" s="151"/>
      <c r="BN3943" s="128"/>
      <c r="BO3943" s="128"/>
      <c r="BP3943" s="128"/>
      <c r="BQ3943" s="128"/>
      <c r="BR3943" s="128"/>
      <c r="BS3943" s="128"/>
      <c r="BT3943" s="128"/>
      <c r="BU3943" s="128"/>
      <c r="BV3943" s="128"/>
      <c r="BW3943" s="128"/>
      <c r="BX3943" s="128"/>
      <c r="BY3943" s="128"/>
      <c r="BZ3943" s="128"/>
      <c r="CA3943" s="128"/>
      <c r="CB3943" s="128"/>
      <c r="CC3943" s="128"/>
      <c r="CD3943" s="128"/>
      <c r="CE3943" s="128"/>
      <c r="CF3943" s="128"/>
      <c r="CG3943" s="128"/>
      <c r="CI3943" s="128"/>
      <c r="CJ3943" s="128"/>
      <c r="CK3943" s="128"/>
      <c r="CL3943" s="128"/>
      <c r="CM3943" s="128"/>
      <c r="CN3943" s="128"/>
      <c r="CO3943" s="128"/>
      <c r="CP3943" s="128"/>
      <c r="CQ3943" s="128"/>
      <c r="CR3943" s="128"/>
      <c r="CS3943" s="128"/>
      <c r="CT3943" s="128"/>
      <c r="CU3943" s="128"/>
      <c r="CV3943" s="128"/>
      <c r="CW3943" s="128"/>
      <c r="CX3943" s="128"/>
      <c r="CY3943" s="128"/>
      <c r="CZ3943" s="165"/>
    </row>
    <row r="3944" spans="1:104">
      <c r="A3944" s="149"/>
      <c r="B3944" s="149"/>
      <c r="C3944" s="150"/>
      <c r="D3944" s="102"/>
      <c r="E3944" s="149"/>
      <c r="F3944" s="149"/>
      <c r="G3944" s="149"/>
      <c r="H3944" s="149"/>
      <c r="I3944" s="149"/>
      <c r="J3944" s="149"/>
      <c r="K3944" s="149"/>
      <c r="L3944" s="149"/>
      <c r="M3944" s="149"/>
      <c r="N3944" s="149"/>
      <c r="O3944" s="149"/>
      <c r="P3944" s="149"/>
      <c r="Q3944" s="149"/>
      <c r="R3944" s="149"/>
      <c r="S3944" s="149"/>
      <c r="T3944" s="149"/>
      <c r="U3944" s="149"/>
      <c r="V3944" s="149"/>
      <c r="W3944" s="149"/>
      <c r="X3944" s="149"/>
      <c r="Y3944" s="149"/>
      <c r="Z3944" s="149"/>
      <c r="AA3944" s="149"/>
      <c r="AB3944" s="149"/>
      <c r="AC3944" s="149"/>
      <c r="AD3944" s="149"/>
      <c r="AE3944" s="149"/>
      <c r="AF3944" s="149"/>
      <c r="AG3944" s="149"/>
      <c r="AH3944" s="149"/>
      <c r="AI3944" s="149"/>
      <c r="AJ3944" s="149"/>
      <c r="AK3944" s="149"/>
      <c r="AL3944" s="149"/>
      <c r="AM3944" s="149"/>
      <c r="AN3944" s="149"/>
      <c r="AO3944" s="128"/>
      <c r="AP3944" s="128"/>
      <c r="AQ3944" s="128"/>
      <c r="AR3944" s="128"/>
      <c r="AS3944" s="128"/>
      <c r="AT3944" s="128"/>
      <c r="AU3944" s="128"/>
      <c r="AV3944" s="128"/>
      <c r="AW3944" s="128"/>
      <c r="AX3944" s="128"/>
      <c r="AY3944" s="128"/>
      <c r="AZ3944" s="128"/>
      <c r="BA3944" s="128"/>
      <c r="BB3944" s="128"/>
      <c r="BC3944" s="128"/>
      <c r="BD3944" s="128"/>
      <c r="BE3944" s="128"/>
      <c r="BF3944" s="128"/>
      <c r="BG3944" s="128"/>
      <c r="BH3944" s="128"/>
      <c r="BI3944" s="128"/>
      <c r="BJ3944" s="128"/>
      <c r="BK3944" s="128"/>
      <c r="BL3944" s="128"/>
      <c r="BM3944" s="151"/>
      <c r="BN3944" s="128"/>
      <c r="BO3944" s="128"/>
      <c r="BP3944" s="128"/>
      <c r="BQ3944" s="128"/>
      <c r="BR3944" s="128"/>
      <c r="BS3944" s="128"/>
      <c r="BT3944" s="128"/>
      <c r="BU3944" s="128"/>
      <c r="BV3944" s="128"/>
      <c r="BW3944" s="128"/>
      <c r="BX3944" s="128"/>
      <c r="BY3944" s="128"/>
      <c r="BZ3944" s="128"/>
      <c r="CA3944" s="128"/>
      <c r="CB3944" s="128"/>
      <c r="CC3944" s="128"/>
      <c r="CD3944" s="128"/>
      <c r="CE3944" s="128"/>
      <c r="CF3944" s="128"/>
      <c r="CG3944" s="128"/>
      <c r="CI3944" s="128"/>
      <c r="CJ3944" s="128"/>
      <c r="CK3944" s="128"/>
      <c r="CL3944" s="128"/>
      <c r="CM3944" s="128"/>
      <c r="CN3944" s="128"/>
      <c r="CO3944" s="128"/>
      <c r="CP3944" s="128"/>
      <c r="CQ3944" s="128"/>
      <c r="CR3944" s="128"/>
      <c r="CS3944" s="128"/>
      <c r="CT3944" s="128"/>
      <c r="CU3944" s="128"/>
      <c r="CV3944" s="128"/>
      <c r="CW3944" s="128"/>
      <c r="CX3944" s="128"/>
      <c r="CY3944" s="128"/>
      <c r="CZ3944" s="165"/>
    </row>
    <row r="3945" spans="1:104">
      <c r="A3945" s="149"/>
      <c r="B3945" s="149"/>
      <c r="C3945" s="150"/>
      <c r="D3945" s="102"/>
      <c r="E3945" s="149"/>
      <c r="F3945" s="149"/>
      <c r="G3945" s="149"/>
      <c r="H3945" s="149"/>
      <c r="I3945" s="149"/>
      <c r="J3945" s="149"/>
      <c r="K3945" s="149"/>
      <c r="L3945" s="149"/>
      <c r="M3945" s="149"/>
      <c r="N3945" s="149"/>
      <c r="O3945" s="149"/>
      <c r="P3945" s="149"/>
      <c r="Q3945" s="149"/>
      <c r="R3945" s="149"/>
      <c r="S3945" s="149"/>
      <c r="T3945" s="149"/>
      <c r="U3945" s="149"/>
      <c r="V3945" s="149"/>
      <c r="W3945" s="149"/>
      <c r="X3945" s="149"/>
      <c r="Y3945" s="149"/>
      <c r="Z3945" s="149"/>
      <c r="AA3945" s="149"/>
      <c r="AB3945" s="149"/>
      <c r="AC3945" s="149"/>
      <c r="AD3945" s="149"/>
      <c r="AE3945" s="149"/>
      <c r="AF3945" s="149"/>
      <c r="AG3945" s="149"/>
      <c r="AH3945" s="149"/>
      <c r="AI3945" s="149"/>
      <c r="AJ3945" s="149"/>
      <c r="AK3945" s="149"/>
      <c r="AL3945" s="149"/>
      <c r="AM3945" s="149"/>
      <c r="AN3945" s="149"/>
      <c r="AO3945" s="128"/>
      <c r="AP3945" s="128"/>
      <c r="AQ3945" s="128"/>
      <c r="AR3945" s="128"/>
      <c r="AS3945" s="128"/>
      <c r="AT3945" s="128"/>
      <c r="AU3945" s="128"/>
      <c r="AV3945" s="128"/>
      <c r="AW3945" s="128"/>
      <c r="AX3945" s="128"/>
      <c r="AY3945" s="128"/>
      <c r="AZ3945" s="128"/>
      <c r="BA3945" s="128"/>
      <c r="BB3945" s="128"/>
      <c r="BC3945" s="128"/>
      <c r="BD3945" s="128"/>
      <c r="BE3945" s="128"/>
      <c r="BF3945" s="128"/>
      <c r="BG3945" s="128"/>
      <c r="BH3945" s="128"/>
      <c r="BI3945" s="128"/>
      <c r="BJ3945" s="128"/>
      <c r="BK3945" s="128"/>
      <c r="BL3945" s="128"/>
      <c r="BM3945" s="151"/>
      <c r="BN3945" s="128"/>
      <c r="BO3945" s="128"/>
      <c r="BP3945" s="128"/>
      <c r="BQ3945" s="128"/>
      <c r="BR3945" s="128"/>
      <c r="BS3945" s="128"/>
      <c r="BT3945" s="128"/>
      <c r="BU3945" s="128"/>
      <c r="BV3945" s="128"/>
      <c r="BW3945" s="128"/>
      <c r="BX3945" s="128"/>
      <c r="BY3945" s="128"/>
      <c r="BZ3945" s="128"/>
      <c r="CA3945" s="128"/>
      <c r="CB3945" s="128"/>
      <c r="CC3945" s="128"/>
      <c r="CD3945" s="128"/>
      <c r="CE3945" s="128"/>
      <c r="CF3945" s="128"/>
      <c r="CG3945" s="128"/>
      <c r="CI3945" s="128"/>
      <c r="CJ3945" s="128"/>
      <c r="CK3945" s="128"/>
      <c r="CL3945" s="128"/>
      <c r="CM3945" s="128"/>
      <c r="CN3945" s="128"/>
      <c r="CO3945" s="128"/>
      <c r="CP3945" s="128"/>
      <c r="CQ3945" s="128"/>
      <c r="CR3945" s="128"/>
      <c r="CS3945" s="128"/>
      <c r="CT3945" s="128"/>
      <c r="CU3945" s="128"/>
      <c r="CV3945" s="128"/>
      <c r="CW3945" s="128"/>
      <c r="CX3945" s="128"/>
      <c r="CY3945" s="128"/>
      <c r="CZ3945" s="165"/>
    </row>
    <row r="3946" spans="1:104">
      <c r="A3946" s="149"/>
      <c r="B3946" s="149"/>
      <c r="C3946" s="150"/>
      <c r="D3946" s="102"/>
      <c r="E3946" s="149"/>
      <c r="F3946" s="149"/>
      <c r="G3946" s="149"/>
      <c r="H3946" s="149"/>
      <c r="I3946" s="149"/>
      <c r="J3946" s="149"/>
      <c r="K3946" s="149"/>
      <c r="L3946" s="149"/>
      <c r="M3946" s="149"/>
      <c r="N3946" s="149"/>
      <c r="O3946" s="149"/>
      <c r="P3946" s="149"/>
      <c r="Q3946" s="149"/>
      <c r="R3946" s="149"/>
      <c r="S3946" s="149"/>
      <c r="T3946" s="149"/>
      <c r="U3946" s="149"/>
      <c r="V3946" s="149"/>
      <c r="W3946" s="149"/>
      <c r="X3946" s="149"/>
      <c r="Y3946" s="149"/>
      <c r="Z3946" s="149"/>
      <c r="AA3946" s="149"/>
      <c r="AB3946" s="149"/>
      <c r="AC3946" s="149"/>
      <c r="AD3946" s="149"/>
      <c r="AE3946" s="149"/>
      <c r="AF3946" s="149"/>
      <c r="AG3946" s="149"/>
      <c r="AH3946" s="149"/>
      <c r="AI3946" s="149"/>
      <c r="AJ3946" s="149"/>
      <c r="AK3946" s="149"/>
      <c r="AL3946" s="149"/>
      <c r="AM3946" s="149"/>
      <c r="AN3946" s="149"/>
      <c r="AO3946" s="128"/>
      <c r="AP3946" s="128"/>
      <c r="AQ3946" s="128"/>
      <c r="AR3946" s="128"/>
      <c r="AS3946" s="128"/>
      <c r="AT3946" s="128"/>
      <c r="AU3946" s="128"/>
      <c r="AV3946" s="128"/>
      <c r="AW3946" s="128"/>
      <c r="AX3946" s="128"/>
      <c r="AY3946" s="128"/>
      <c r="AZ3946" s="128"/>
      <c r="BA3946" s="128"/>
      <c r="BB3946" s="128"/>
      <c r="BC3946" s="128"/>
      <c r="BD3946" s="128"/>
      <c r="BE3946" s="128"/>
      <c r="BF3946" s="128"/>
      <c r="BG3946" s="128"/>
      <c r="BH3946" s="128"/>
      <c r="BI3946" s="128"/>
      <c r="BJ3946" s="128"/>
      <c r="BK3946" s="128"/>
      <c r="BL3946" s="128"/>
      <c r="BM3946" s="151"/>
      <c r="BN3946" s="128"/>
      <c r="BO3946" s="128"/>
      <c r="BP3946" s="128"/>
      <c r="BQ3946" s="128"/>
      <c r="BR3946" s="128"/>
      <c r="BS3946" s="128"/>
      <c r="BT3946" s="128"/>
      <c r="BU3946" s="128"/>
      <c r="BV3946" s="128"/>
      <c r="BW3946" s="128"/>
      <c r="BX3946" s="128"/>
      <c r="BY3946" s="128"/>
      <c r="BZ3946" s="128"/>
      <c r="CA3946" s="128"/>
      <c r="CB3946" s="128"/>
      <c r="CC3946" s="128"/>
      <c r="CD3946" s="128"/>
      <c r="CE3946" s="128"/>
      <c r="CF3946" s="128"/>
      <c r="CG3946" s="128"/>
      <c r="CI3946" s="128"/>
      <c r="CJ3946" s="128"/>
      <c r="CK3946" s="128"/>
      <c r="CL3946" s="128"/>
      <c r="CM3946" s="128"/>
      <c r="CN3946" s="128"/>
      <c r="CO3946" s="128"/>
      <c r="CP3946" s="128"/>
      <c r="CQ3946" s="128"/>
      <c r="CR3946" s="128"/>
      <c r="CS3946" s="128"/>
      <c r="CT3946" s="128"/>
      <c r="CU3946" s="128"/>
      <c r="CV3946" s="128"/>
      <c r="CW3946" s="128"/>
      <c r="CX3946" s="128"/>
      <c r="CY3946" s="128"/>
      <c r="CZ3946" s="165"/>
    </row>
    <row r="3947" spans="1:104">
      <c r="A3947" s="149"/>
      <c r="B3947" s="149"/>
      <c r="C3947" s="150"/>
      <c r="D3947" s="102"/>
      <c r="E3947" s="149"/>
      <c r="F3947" s="149"/>
      <c r="G3947" s="149"/>
      <c r="H3947" s="149"/>
      <c r="I3947" s="149"/>
      <c r="J3947" s="149"/>
      <c r="K3947" s="149"/>
      <c r="L3947" s="149"/>
      <c r="M3947" s="149"/>
      <c r="N3947" s="149"/>
      <c r="O3947" s="149"/>
      <c r="P3947" s="149"/>
      <c r="Q3947" s="149"/>
      <c r="R3947" s="149"/>
      <c r="S3947" s="149"/>
      <c r="T3947" s="149"/>
      <c r="U3947" s="149"/>
      <c r="V3947" s="149"/>
      <c r="W3947" s="149"/>
      <c r="X3947" s="149"/>
      <c r="Y3947" s="149"/>
      <c r="Z3947" s="149"/>
      <c r="AA3947" s="149"/>
      <c r="AB3947" s="149"/>
      <c r="AC3947" s="149"/>
      <c r="AD3947" s="149"/>
      <c r="AE3947" s="149"/>
      <c r="AF3947" s="149"/>
      <c r="AG3947" s="149"/>
      <c r="AH3947" s="149"/>
      <c r="AI3947" s="149"/>
      <c r="AJ3947" s="149"/>
      <c r="AK3947" s="149"/>
      <c r="AL3947" s="149"/>
      <c r="AM3947" s="149"/>
      <c r="AN3947" s="149"/>
      <c r="AO3947" s="128"/>
      <c r="AP3947" s="128"/>
      <c r="AQ3947" s="128"/>
      <c r="AR3947" s="128"/>
      <c r="AS3947" s="128"/>
      <c r="AT3947" s="128"/>
      <c r="AU3947" s="128"/>
      <c r="AV3947" s="128"/>
      <c r="AW3947" s="128"/>
      <c r="AX3947" s="128"/>
      <c r="AY3947" s="128"/>
      <c r="AZ3947" s="128"/>
      <c r="BA3947" s="128"/>
      <c r="BB3947" s="128"/>
      <c r="BC3947" s="128"/>
      <c r="BD3947" s="128"/>
      <c r="BE3947" s="128"/>
      <c r="BF3947" s="128"/>
      <c r="BG3947" s="128"/>
      <c r="BH3947" s="128"/>
      <c r="BI3947" s="128"/>
      <c r="BJ3947" s="128"/>
      <c r="BK3947" s="128"/>
      <c r="BL3947" s="128"/>
      <c r="BM3947" s="151"/>
      <c r="BN3947" s="128"/>
      <c r="BO3947" s="128"/>
      <c r="BP3947" s="128"/>
      <c r="BQ3947" s="128"/>
      <c r="BR3947" s="128"/>
      <c r="BS3947" s="128"/>
      <c r="BT3947" s="128"/>
      <c r="BU3947" s="128"/>
      <c r="BV3947" s="128"/>
      <c r="BW3947" s="128"/>
      <c r="BX3947" s="128"/>
      <c r="BY3947" s="128"/>
      <c r="BZ3947" s="128"/>
      <c r="CA3947" s="128"/>
      <c r="CB3947" s="128"/>
      <c r="CC3947" s="128"/>
      <c r="CD3947" s="128"/>
      <c r="CE3947" s="128"/>
      <c r="CF3947" s="128"/>
      <c r="CG3947" s="128"/>
      <c r="CI3947" s="128"/>
      <c r="CJ3947" s="128"/>
      <c r="CK3947" s="128"/>
      <c r="CL3947" s="128"/>
      <c r="CM3947" s="128"/>
      <c r="CN3947" s="128"/>
      <c r="CO3947" s="128"/>
      <c r="CP3947" s="128"/>
      <c r="CQ3947" s="128"/>
      <c r="CR3947" s="128"/>
      <c r="CS3947" s="128"/>
      <c r="CT3947" s="128"/>
      <c r="CU3947" s="128"/>
      <c r="CV3947" s="128"/>
      <c r="CW3947" s="128"/>
      <c r="CX3947" s="128"/>
      <c r="CY3947" s="128"/>
      <c r="CZ3947" s="165"/>
    </row>
    <row r="3948" spans="1:104">
      <c r="A3948" s="149"/>
      <c r="B3948" s="149"/>
      <c r="C3948" s="150"/>
      <c r="D3948" s="102"/>
      <c r="E3948" s="149"/>
      <c r="F3948" s="149"/>
      <c r="G3948" s="149"/>
      <c r="H3948" s="149"/>
      <c r="I3948" s="149"/>
      <c r="J3948" s="149"/>
      <c r="K3948" s="149"/>
      <c r="L3948" s="149"/>
      <c r="M3948" s="149"/>
      <c r="N3948" s="149"/>
      <c r="O3948" s="149"/>
      <c r="P3948" s="149"/>
      <c r="Q3948" s="149"/>
      <c r="R3948" s="149"/>
      <c r="S3948" s="149"/>
      <c r="T3948" s="149"/>
      <c r="U3948" s="149"/>
      <c r="V3948" s="149"/>
      <c r="W3948" s="149"/>
      <c r="X3948" s="149"/>
      <c r="Y3948" s="149"/>
      <c r="Z3948" s="149"/>
      <c r="AA3948" s="149"/>
      <c r="AB3948" s="149"/>
      <c r="AC3948" s="149"/>
      <c r="AD3948" s="149"/>
      <c r="AE3948" s="149"/>
      <c r="AF3948" s="149"/>
      <c r="AG3948" s="149"/>
      <c r="AH3948" s="149"/>
      <c r="AI3948" s="149"/>
      <c r="AJ3948" s="149"/>
      <c r="AK3948" s="149"/>
      <c r="AL3948" s="149"/>
      <c r="AM3948" s="149"/>
      <c r="AN3948" s="149"/>
      <c r="AO3948" s="128"/>
      <c r="AP3948" s="128"/>
      <c r="AQ3948" s="128"/>
      <c r="AR3948" s="128"/>
      <c r="AS3948" s="128"/>
      <c r="AT3948" s="128"/>
      <c r="AU3948" s="128"/>
      <c r="AV3948" s="128"/>
      <c r="AW3948" s="128"/>
      <c r="AX3948" s="128"/>
      <c r="AY3948" s="128"/>
      <c r="AZ3948" s="128"/>
      <c r="BA3948" s="128"/>
      <c r="BB3948" s="128"/>
      <c r="BC3948" s="128"/>
      <c r="BD3948" s="128"/>
      <c r="BE3948" s="128"/>
      <c r="BF3948" s="128"/>
      <c r="BG3948" s="128"/>
      <c r="BH3948" s="128"/>
      <c r="BI3948" s="128"/>
      <c r="BJ3948" s="128"/>
      <c r="BK3948" s="128"/>
      <c r="BL3948" s="128"/>
      <c r="BM3948" s="151"/>
      <c r="BN3948" s="128"/>
      <c r="BO3948" s="128"/>
      <c r="BP3948" s="128"/>
      <c r="BQ3948" s="128"/>
      <c r="BR3948" s="128"/>
      <c r="BS3948" s="128"/>
      <c r="BT3948" s="128"/>
      <c r="BU3948" s="128"/>
      <c r="BV3948" s="128"/>
      <c r="BW3948" s="128"/>
      <c r="BX3948" s="128"/>
      <c r="BY3948" s="128"/>
      <c r="BZ3948" s="128"/>
      <c r="CA3948" s="128"/>
      <c r="CB3948" s="128"/>
      <c r="CC3948" s="128"/>
      <c r="CD3948" s="128"/>
      <c r="CE3948" s="128"/>
      <c r="CF3948" s="128"/>
      <c r="CG3948" s="128"/>
      <c r="CI3948" s="128"/>
      <c r="CJ3948" s="128"/>
      <c r="CK3948" s="128"/>
      <c r="CL3948" s="128"/>
      <c r="CM3948" s="128"/>
      <c r="CN3948" s="128"/>
      <c r="CO3948" s="128"/>
      <c r="CP3948" s="128"/>
      <c r="CQ3948" s="128"/>
      <c r="CR3948" s="128"/>
      <c r="CS3948" s="128"/>
      <c r="CT3948" s="128"/>
      <c r="CU3948" s="128"/>
      <c r="CV3948" s="128"/>
      <c r="CW3948" s="128"/>
      <c r="CX3948" s="128"/>
      <c r="CY3948" s="128"/>
      <c r="CZ3948" s="165"/>
    </row>
    <row r="3949" spans="1:104">
      <c r="A3949" s="149"/>
      <c r="B3949" s="149"/>
      <c r="C3949" s="150"/>
      <c r="D3949" s="102"/>
      <c r="E3949" s="149"/>
      <c r="F3949" s="149"/>
      <c r="G3949" s="149"/>
      <c r="H3949" s="149"/>
      <c r="I3949" s="149"/>
      <c r="J3949" s="149"/>
      <c r="K3949" s="149"/>
      <c r="L3949" s="149"/>
      <c r="M3949" s="149"/>
      <c r="N3949" s="149"/>
      <c r="O3949" s="149"/>
      <c r="P3949" s="149"/>
      <c r="Q3949" s="149"/>
      <c r="R3949" s="149"/>
      <c r="S3949" s="149"/>
      <c r="T3949" s="149"/>
      <c r="U3949" s="149"/>
      <c r="V3949" s="149"/>
      <c r="W3949" s="149"/>
      <c r="X3949" s="149"/>
      <c r="Y3949" s="149"/>
      <c r="Z3949" s="149"/>
      <c r="AA3949" s="149"/>
      <c r="AB3949" s="149"/>
      <c r="AC3949" s="149"/>
      <c r="AD3949" s="149"/>
      <c r="AE3949" s="149"/>
      <c r="AF3949" s="149"/>
      <c r="AG3949" s="149"/>
      <c r="AH3949" s="149"/>
      <c r="AI3949" s="149"/>
      <c r="AJ3949" s="149"/>
      <c r="AK3949" s="149"/>
      <c r="AL3949" s="149"/>
      <c r="AM3949" s="149"/>
      <c r="AN3949" s="149"/>
      <c r="AO3949" s="128"/>
      <c r="AP3949" s="128"/>
      <c r="AQ3949" s="128"/>
      <c r="AR3949" s="128"/>
      <c r="AS3949" s="128"/>
      <c r="AT3949" s="128"/>
      <c r="AU3949" s="128"/>
      <c r="AV3949" s="128"/>
      <c r="AW3949" s="128"/>
      <c r="AX3949" s="128"/>
      <c r="AY3949" s="128"/>
      <c r="AZ3949" s="128"/>
      <c r="BA3949" s="128"/>
      <c r="BB3949" s="128"/>
      <c r="BC3949" s="128"/>
      <c r="BD3949" s="128"/>
      <c r="BE3949" s="128"/>
      <c r="BF3949" s="128"/>
      <c r="BG3949" s="128"/>
      <c r="BH3949" s="128"/>
      <c r="BI3949" s="128"/>
      <c r="BJ3949" s="128"/>
      <c r="BK3949" s="128"/>
      <c r="BL3949" s="128"/>
      <c r="BM3949" s="151"/>
      <c r="BN3949" s="128"/>
      <c r="BO3949" s="128"/>
      <c r="BP3949" s="128"/>
      <c r="BQ3949" s="128"/>
      <c r="BR3949" s="128"/>
      <c r="BS3949" s="128"/>
      <c r="BT3949" s="128"/>
      <c r="BU3949" s="128"/>
      <c r="BV3949" s="128"/>
      <c r="BW3949" s="128"/>
      <c r="BX3949" s="128"/>
      <c r="BY3949" s="128"/>
      <c r="BZ3949" s="128"/>
      <c r="CA3949" s="128"/>
      <c r="CB3949" s="128"/>
      <c r="CC3949" s="128"/>
      <c r="CD3949" s="128"/>
      <c r="CE3949" s="128"/>
      <c r="CF3949" s="128"/>
      <c r="CG3949" s="128"/>
      <c r="CI3949" s="128"/>
      <c r="CJ3949" s="128"/>
      <c r="CK3949" s="128"/>
      <c r="CL3949" s="128"/>
      <c r="CM3949" s="128"/>
      <c r="CN3949" s="128"/>
      <c r="CO3949" s="128"/>
      <c r="CP3949" s="128"/>
      <c r="CQ3949" s="128"/>
      <c r="CR3949" s="128"/>
      <c r="CS3949" s="128"/>
      <c r="CT3949" s="128"/>
      <c r="CU3949" s="128"/>
      <c r="CV3949" s="128"/>
      <c r="CW3949" s="128"/>
      <c r="CX3949" s="128"/>
      <c r="CY3949" s="128"/>
      <c r="CZ3949" s="165"/>
    </row>
    <row r="3950" spans="1:104">
      <c r="A3950" s="149"/>
      <c r="B3950" s="149"/>
      <c r="C3950" s="150"/>
      <c r="D3950" s="102"/>
      <c r="E3950" s="149"/>
      <c r="F3950" s="149"/>
      <c r="G3950" s="149"/>
      <c r="H3950" s="149"/>
      <c r="I3950" s="149"/>
      <c r="J3950" s="149"/>
      <c r="K3950" s="149"/>
      <c r="L3950" s="149"/>
      <c r="M3950" s="149"/>
      <c r="N3950" s="149"/>
      <c r="O3950" s="149"/>
      <c r="P3950" s="149"/>
      <c r="Q3950" s="149"/>
      <c r="R3950" s="149"/>
      <c r="S3950" s="149"/>
      <c r="T3950" s="149"/>
      <c r="U3950" s="149"/>
      <c r="V3950" s="149"/>
      <c r="W3950" s="149"/>
      <c r="X3950" s="149"/>
      <c r="Y3950" s="149"/>
      <c r="Z3950" s="149"/>
      <c r="AA3950" s="149"/>
      <c r="AB3950" s="149"/>
      <c r="AC3950" s="149"/>
      <c r="AD3950" s="149"/>
      <c r="AE3950" s="149"/>
      <c r="AF3950" s="149"/>
      <c r="AG3950" s="149"/>
      <c r="AH3950" s="149"/>
      <c r="AI3950" s="149"/>
      <c r="AJ3950" s="149"/>
      <c r="AK3950" s="149"/>
      <c r="AL3950" s="149"/>
      <c r="AM3950" s="149"/>
      <c r="AN3950" s="149"/>
      <c r="AO3950" s="128"/>
      <c r="AP3950" s="128"/>
      <c r="AQ3950" s="128"/>
      <c r="AR3950" s="128"/>
      <c r="AS3950" s="128"/>
      <c r="AT3950" s="128"/>
      <c r="AU3950" s="128"/>
      <c r="AV3950" s="128"/>
      <c r="AW3950" s="128"/>
      <c r="AX3950" s="128"/>
      <c r="AY3950" s="128"/>
      <c r="AZ3950" s="128"/>
      <c r="BA3950" s="128"/>
      <c r="BB3950" s="128"/>
      <c r="BC3950" s="128"/>
      <c r="BD3950" s="128"/>
      <c r="BE3950" s="128"/>
      <c r="BF3950" s="128"/>
      <c r="BG3950" s="128"/>
      <c r="BH3950" s="128"/>
      <c r="BI3950" s="128"/>
      <c r="BJ3950" s="128"/>
      <c r="BK3950" s="128"/>
      <c r="BL3950" s="128"/>
      <c r="BM3950" s="151"/>
      <c r="BN3950" s="128"/>
      <c r="BO3950" s="128"/>
      <c r="BP3950" s="128"/>
      <c r="BQ3950" s="128"/>
      <c r="BR3950" s="128"/>
      <c r="BS3950" s="128"/>
      <c r="BT3950" s="128"/>
      <c r="BU3950" s="128"/>
      <c r="BV3950" s="128"/>
      <c r="BW3950" s="128"/>
      <c r="BX3950" s="128"/>
      <c r="BY3950" s="128"/>
      <c r="BZ3950" s="128"/>
      <c r="CA3950" s="128"/>
      <c r="CB3950" s="128"/>
      <c r="CC3950" s="128"/>
      <c r="CD3950" s="128"/>
      <c r="CE3950" s="128"/>
      <c r="CF3950" s="128"/>
      <c r="CG3950" s="128"/>
      <c r="CI3950" s="128"/>
      <c r="CJ3950" s="128"/>
      <c r="CK3950" s="128"/>
      <c r="CL3950" s="128"/>
      <c r="CM3950" s="128"/>
      <c r="CN3950" s="128"/>
      <c r="CO3950" s="128"/>
      <c r="CP3950" s="128"/>
      <c r="CQ3950" s="128"/>
      <c r="CR3950" s="128"/>
      <c r="CS3950" s="128"/>
      <c r="CT3950" s="128"/>
      <c r="CU3950" s="128"/>
      <c r="CV3950" s="128"/>
      <c r="CW3950" s="128"/>
      <c r="CX3950" s="128"/>
      <c r="CY3950" s="128"/>
      <c r="CZ3950" s="165"/>
    </row>
    <row r="3951" spans="1:104">
      <c r="A3951" s="149"/>
      <c r="B3951" s="149"/>
      <c r="C3951" s="150"/>
      <c r="D3951" s="102"/>
      <c r="E3951" s="149"/>
      <c r="F3951" s="149"/>
      <c r="G3951" s="149"/>
      <c r="H3951" s="149"/>
      <c r="I3951" s="149"/>
      <c r="J3951" s="149"/>
      <c r="K3951" s="149"/>
      <c r="L3951" s="149"/>
      <c r="M3951" s="149"/>
      <c r="N3951" s="149"/>
      <c r="O3951" s="149"/>
      <c r="P3951" s="149"/>
      <c r="Q3951" s="149"/>
      <c r="R3951" s="149"/>
      <c r="S3951" s="149"/>
      <c r="T3951" s="149"/>
      <c r="U3951" s="149"/>
      <c r="V3951" s="149"/>
      <c r="W3951" s="149"/>
      <c r="X3951" s="149"/>
      <c r="Y3951" s="149"/>
      <c r="Z3951" s="149"/>
      <c r="AA3951" s="149"/>
      <c r="AB3951" s="149"/>
      <c r="AC3951" s="149"/>
      <c r="AD3951" s="149"/>
      <c r="AE3951" s="149"/>
      <c r="AF3951" s="149"/>
      <c r="AG3951" s="149"/>
      <c r="AH3951" s="149"/>
      <c r="AI3951" s="149"/>
      <c r="AJ3951" s="149"/>
      <c r="AK3951" s="149"/>
      <c r="AL3951" s="149"/>
      <c r="AM3951" s="149"/>
      <c r="AN3951" s="149"/>
      <c r="AO3951" s="128"/>
      <c r="AP3951" s="128"/>
      <c r="AQ3951" s="128"/>
      <c r="AR3951" s="128"/>
      <c r="AS3951" s="128"/>
      <c r="AT3951" s="128"/>
      <c r="AU3951" s="128"/>
      <c r="AV3951" s="128"/>
      <c r="AW3951" s="128"/>
      <c r="AX3951" s="128"/>
      <c r="AY3951" s="128"/>
      <c r="AZ3951" s="128"/>
      <c r="BA3951" s="128"/>
      <c r="BB3951" s="128"/>
      <c r="BC3951" s="128"/>
      <c r="BD3951" s="128"/>
      <c r="BE3951" s="128"/>
      <c r="BF3951" s="128"/>
      <c r="BG3951" s="128"/>
      <c r="BH3951" s="128"/>
      <c r="BI3951" s="128"/>
      <c r="BJ3951" s="128"/>
      <c r="BK3951" s="128"/>
      <c r="BL3951" s="128"/>
      <c r="BM3951" s="151"/>
      <c r="BN3951" s="128"/>
      <c r="BO3951" s="128"/>
      <c r="BP3951" s="128"/>
      <c r="BQ3951" s="128"/>
      <c r="BR3951" s="128"/>
      <c r="BS3951" s="128"/>
      <c r="BT3951" s="128"/>
      <c r="BU3951" s="128"/>
      <c r="BV3951" s="128"/>
      <c r="BW3951" s="128"/>
      <c r="BX3951" s="128"/>
      <c r="BY3951" s="128"/>
      <c r="BZ3951" s="128"/>
      <c r="CA3951" s="128"/>
      <c r="CB3951" s="128"/>
      <c r="CC3951" s="128"/>
      <c r="CD3951" s="128"/>
      <c r="CE3951" s="128"/>
      <c r="CF3951" s="128"/>
      <c r="CG3951" s="128"/>
      <c r="CI3951" s="128"/>
      <c r="CJ3951" s="128"/>
      <c r="CK3951" s="128"/>
      <c r="CL3951" s="128"/>
      <c r="CM3951" s="128"/>
      <c r="CN3951" s="128"/>
      <c r="CO3951" s="128"/>
      <c r="CP3951" s="128"/>
      <c r="CQ3951" s="128"/>
      <c r="CR3951" s="128"/>
      <c r="CS3951" s="128"/>
      <c r="CT3951" s="128"/>
      <c r="CU3951" s="128"/>
      <c r="CV3951" s="128"/>
      <c r="CW3951" s="128"/>
      <c r="CX3951" s="128"/>
      <c r="CY3951" s="128"/>
      <c r="CZ3951" s="165"/>
    </row>
    <row r="3952" spans="1:104">
      <c r="A3952" s="149"/>
      <c r="B3952" s="149"/>
      <c r="C3952" s="150"/>
      <c r="D3952" s="102"/>
      <c r="E3952" s="149"/>
      <c r="F3952" s="149"/>
      <c r="G3952" s="149"/>
      <c r="H3952" s="149"/>
      <c r="I3952" s="149"/>
      <c r="J3952" s="149"/>
      <c r="K3952" s="149"/>
      <c r="L3952" s="149"/>
      <c r="M3952" s="149"/>
      <c r="N3952" s="149"/>
      <c r="O3952" s="149"/>
      <c r="P3952" s="149"/>
      <c r="Q3952" s="149"/>
      <c r="R3952" s="149"/>
      <c r="S3952" s="149"/>
      <c r="T3952" s="149"/>
      <c r="U3952" s="149"/>
      <c r="V3952" s="149"/>
      <c r="W3952" s="149"/>
      <c r="X3952" s="149"/>
      <c r="Y3952" s="149"/>
      <c r="Z3952" s="149"/>
      <c r="AA3952" s="149"/>
      <c r="AB3952" s="149"/>
      <c r="AC3952" s="149"/>
      <c r="AD3952" s="149"/>
      <c r="AE3952" s="149"/>
      <c r="AF3952" s="149"/>
      <c r="AG3952" s="149"/>
      <c r="AH3952" s="149"/>
      <c r="AI3952" s="149"/>
      <c r="AJ3952" s="149"/>
      <c r="AK3952" s="149"/>
      <c r="AL3952" s="149"/>
      <c r="AM3952" s="149"/>
      <c r="AN3952" s="149"/>
      <c r="AO3952" s="128"/>
      <c r="AP3952" s="128"/>
      <c r="AQ3952" s="128"/>
      <c r="AR3952" s="128"/>
      <c r="AS3952" s="128"/>
      <c r="AT3952" s="128"/>
      <c r="AU3952" s="128"/>
      <c r="AV3952" s="128"/>
      <c r="AW3952" s="128"/>
      <c r="AX3952" s="128"/>
      <c r="AY3952" s="128"/>
      <c r="AZ3952" s="128"/>
      <c r="BA3952" s="128"/>
      <c r="BB3952" s="128"/>
      <c r="BC3952" s="128"/>
      <c r="BD3952" s="128"/>
      <c r="BE3952" s="128"/>
      <c r="BF3952" s="128"/>
      <c r="BG3952" s="128"/>
      <c r="BH3952" s="128"/>
      <c r="BI3952" s="128"/>
      <c r="BJ3952" s="128"/>
      <c r="BK3952" s="128"/>
      <c r="BL3952" s="128"/>
      <c r="BM3952" s="151"/>
      <c r="BN3952" s="128"/>
      <c r="BO3952" s="128"/>
      <c r="BP3952" s="128"/>
      <c r="BQ3952" s="128"/>
      <c r="BR3952" s="128"/>
      <c r="BS3952" s="128"/>
      <c r="BT3952" s="128"/>
      <c r="BU3952" s="128"/>
      <c r="BV3952" s="128"/>
      <c r="BW3952" s="128"/>
      <c r="BX3952" s="128"/>
      <c r="BY3952" s="128"/>
      <c r="BZ3952" s="128"/>
      <c r="CA3952" s="128"/>
      <c r="CB3952" s="128"/>
      <c r="CC3952" s="128"/>
      <c r="CD3952" s="128"/>
      <c r="CE3952" s="128"/>
      <c r="CF3952" s="128"/>
      <c r="CG3952" s="128"/>
      <c r="CI3952" s="128"/>
      <c r="CJ3952" s="128"/>
      <c r="CK3952" s="128"/>
      <c r="CL3952" s="128"/>
      <c r="CM3952" s="128"/>
      <c r="CN3952" s="128"/>
      <c r="CO3952" s="128"/>
      <c r="CP3952" s="128"/>
      <c r="CQ3952" s="128"/>
      <c r="CR3952" s="128"/>
      <c r="CS3952" s="128"/>
      <c r="CT3952" s="128"/>
      <c r="CU3952" s="128"/>
      <c r="CV3952" s="128"/>
      <c r="CW3952" s="128"/>
      <c r="CX3952" s="128"/>
      <c r="CY3952" s="128"/>
      <c r="CZ3952" s="165"/>
    </row>
    <row r="3953" spans="1:104">
      <c r="A3953" s="149"/>
      <c r="B3953" s="149"/>
      <c r="C3953" s="150"/>
      <c r="D3953" s="102"/>
      <c r="E3953" s="149"/>
      <c r="F3953" s="149"/>
      <c r="G3953" s="149"/>
      <c r="H3953" s="149"/>
      <c r="I3953" s="149"/>
      <c r="J3953" s="149"/>
      <c r="K3953" s="149"/>
      <c r="L3953" s="149"/>
      <c r="M3953" s="149"/>
      <c r="N3953" s="149"/>
      <c r="O3953" s="149"/>
      <c r="P3953" s="149"/>
      <c r="Q3953" s="149"/>
      <c r="R3953" s="149"/>
      <c r="S3953" s="149"/>
      <c r="T3953" s="149"/>
      <c r="U3953" s="149"/>
      <c r="V3953" s="149"/>
      <c r="W3953" s="149"/>
      <c r="X3953" s="149"/>
      <c r="Y3953" s="149"/>
      <c r="Z3953" s="149"/>
      <c r="AA3953" s="149"/>
      <c r="AB3953" s="149"/>
      <c r="AC3953" s="149"/>
      <c r="AD3953" s="149"/>
      <c r="AE3953" s="149"/>
      <c r="AF3953" s="149"/>
      <c r="AG3953" s="149"/>
      <c r="AH3953" s="149"/>
      <c r="AI3953" s="149"/>
      <c r="AJ3953" s="149"/>
      <c r="AK3953" s="149"/>
      <c r="AL3953" s="149"/>
      <c r="AM3953" s="149"/>
      <c r="AN3953" s="149"/>
      <c r="AO3953" s="128"/>
      <c r="AP3953" s="128"/>
      <c r="AQ3953" s="128"/>
      <c r="AR3953" s="128"/>
      <c r="AS3953" s="128"/>
      <c r="AT3953" s="128"/>
      <c r="AU3953" s="128"/>
      <c r="AV3953" s="128"/>
      <c r="AW3953" s="128"/>
      <c r="AX3953" s="128"/>
      <c r="AY3953" s="128"/>
      <c r="AZ3953" s="128"/>
      <c r="BA3953" s="128"/>
      <c r="BB3953" s="128"/>
      <c r="BC3953" s="128"/>
      <c r="BD3953" s="128"/>
      <c r="BE3953" s="128"/>
      <c r="BF3953" s="128"/>
      <c r="BG3953" s="128"/>
      <c r="BH3953" s="128"/>
      <c r="BI3953" s="128"/>
      <c r="BJ3953" s="128"/>
      <c r="BK3953" s="128"/>
      <c r="BL3953" s="128"/>
      <c r="BM3953" s="151"/>
      <c r="BN3953" s="128"/>
      <c r="BO3953" s="128"/>
      <c r="BP3953" s="128"/>
      <c r="BQ3953" s="128"/>
      <c r="BR3953" s="128"/>
      <c r="BS3953" s="128"/>
      <c r="BT3953" s="128"/>
      <c r="BU3953" s="128"/>
      <c r="BV3953" s="128"/>
      <c r="BW3953" s="128"/>
      <c r="BX3953" s="128"/>
      <c r="BY3953" s="128"/>
      <c r="BZ3953" s="128"/>
      <c r="CA3953" s="128"/>
      <c r="CB3953" s="128"/>
      <c r="CC3953" s="128"/>
      <c r="CD3953" s="128"/>
      <c r="CE3953" s="128"/>
      <c r="CF3953" s="128"/>
      <c r="CG3953" s="128"/>
      <c r="CI3953" s="128"/>
      <c r="CJ3953" s="128"/>
      <c r="CK3953" s="128"/>
      <c r="CL3953" s="128"/>
      <c r="CM3953" s="128"/>
      <c r="CN3953" s="128"/>
      <c r="CO3953" s="128"/>
      <c r="CP3953" s="128"/>
      <c r="CQ3953" s="128"/>
      <c r="CR3953" s="128"/>
      <c r="CS3953" s="128"/>
      <c r="CT3953" s="128"/>
      <c r="CU3953" s="128"/>
      <c r="CV3953" s="128"/>
      <c r="CW3953" s="128"/>
      <c r="CX3953" s="128"/>
      <c r="CY3953" s="128"/>
      <c r="CZ3953" s="165"/>
    </row>
    <row r="3954" spans="1:104">
      <c r="A3954" s="149"/>
      <c r="B3954" s="149"/>
      <c r="C3954" s="150"/>
      <c r="D3954" s="102"/>
      <c r="E3954" s="149"/>
      <c r="F3954" s="149"/>
      <c r="G3954" s="149"/>
      <c r="H3954" s="149"/>
      <c r="I3954" s="149"/>
      <c r="J3954" s="149"/>
      <c r="K3954" s="149"/>
      <c r="L3954" s="149"/>
      <c r="M3954" s="149"/>
      <c r="N3954" s="149"/>
      <c r="O3954" s="149"/>
      <c r="P3954" s="149"/>
      <c r="Q3954" s="149"/>
      <c r="R3954" s="149"/>
      <c r="S3954" s="149"/>
      <c r="T3954" s="149"/>
      <c r="U3954" s="149"/>
      <c r="V3954" s="149"/>
      <c r="W3954" s="149"/>
      <c r="X3954" s="149"/>
      <c r="Y3954" s="149"/>
      <c r="Z3954" s="149"/>
      <c r="AA3954" s="149"/>
      <c r="AB3954" s="149"/>
      <c r="AC3954" s="149"/>
      <c r="AD3954" s="149"/>
      <c r="AE3954" s="149"/>
      <c r="AF3954" s="149"/>
      <c r="AG3954" s="149"/>
      <c r="AH3954" s="149"/>
      <c r="AI3954" s="149"/>
      <c r="AJ3954" s="149"/>
      <c r="AK3954" s="149"/>
      <c r="AL3954" s="149"/>
      <c r="AM3954" s="149"/>
      <c r="AN3954" s="149"/>
      <c r="AO3954" s="128"/>
      <c r="AP3954" s="128"/>
      <c r="AQ3954" s="128"/>
      <c r="AR3954" s="128"/>
      <c r="AS3954" s="128"/>
      <c r="AT3954" s="128"/>
      <c r="AU3954" s="128"/>
      <c r="AV3954" s="128"/>
      <c r="AW3954" s="128"/>
      <c r="AX3954" s="128"/>
      <c r="AY3954" s="128"/>
      <c r="AZ3954" s="128"/>
      <c r="BA3954" s="128"/>
      <c r="BB3954" s="128"/>
      <c r="BC3954" s="128"/>
      <c r="BD3954" s="128"/>
      <c r="BE3954" s="128"/>
      <c r="BF3954" s="128"/>
      <c r="BG3954" s="128"/>
      <c r="BH3954" s="128"/>
      <c r="BI3954" s="128"/>
      <c r="BJ3954" s="128"/>
      <c r="BK3954" s="128"/>
      <c r="BL3954" s="128"/>
      <c r="BM3954" s="151"/>
      <c r="BN3954" s="128"/>
      <c r="BO3954" s="128"/>
      <c r="BP3954" s="128"/>
      <c r="BQ3954" s="128"/>
      <c r="BR3954" s="128"/>
      <c r="BS3954" s="128"/>
      <c r="BT3954" s="128"/>
      <c r="BU3954" s="128"/>
      <c r="BV3954" s="128"/>
      <c r="BW3954" s="128"/>
      <c r="BX3954" s="128"/>
      <c r="BY3954" s="128"/>
      <c r="BZ3954" s="128"/>
      <c r="CA3954" s="128"/>
      <c r="CB3954" s="128"/>
      <c r="CC3954" s="128"/>
      <c r="CD3954" s="128"/>
      <c r="CE3954" s="128"/>
      <c r="CF3954" s="128"/>
      <c r="CG3954" s="128"/>
      <c r="CI3954" s="128"/>
      <c r="CJ3954" s="128"/>
      <c r="CK3954" s="128"/>
      <c r="CL3954" s="128"/>
      <c r="CM3954" s="128"/>
      <c r="CN3954" s="128"/>
      <c r="CO3954" s="128"/>
      <c r="CP3954" s="128"/>
      <c r="CQ3954" s="128"/>
      <c r="CR3954" s="128"/>
      <c r="CS3954" s="128"/>
      <c r="CT3954" s="128"/>
      <c r="CU3954" s="128"/>
      <c r="CV3954" s="128"/>
      <c r="CW3954" s="128"/>
      <c r="CX3954" s="128"/>
      <c r="CY3954" s="128"/>
      <c r="CZ3954" s="165"/>
    </row>
    <row r="3955" spans="1:104">
      <c r="A3955" s="149"/>
      <c r="B3955" s="149"/>
      <c r="C3955" s="150"/>
      <c r="D3955" s="102"/>
      <c r="E3955" s="149"/>
      <c r="F3955" s="149"/>
      <c r="G3955" s="149"/>
      <c r="H3955" s="149"/>
      <c r="I3955" s="149"/>
      <c r="J3955" s="149"/>
      <c r="K3955" s="149"/>
      <c r="L3955" s="149"/>
      <c r="M3955" s="149"/>
      <c r="N3955" s="149"/>
      <c r="O3955" s="149"/>
      <c r="P3955" s="149"/>
      <c r="Q3955" s="149"/>
      <c r="R3955" s="149"/>
      <c r="S3955" s="149"/>
      <c r="T3955" s="149"/>
      <c r="U3955" s="149"/>
      <c r="V3955" s="149"/>
      <c r="W3955" s="149"/>
      <c r="X3955" s="149"/>
      <c r="Y3955" s="149"/>
      <c r="Z3955" s="149"/>
      <c r="AA3955" s="149"/>
      <c r="AB3955" s="149"/>
      <c r="AC3955" s="149"/>
      <c r="AD3955" s="149"/>
      <c r="AE3955" s="149"/>
      <c r="AF3955" s="149"/>
      <c r="AG3955" s="149"/>
      <c r="AH3955" s="149"/>
      <c r="AI3955" s="149"/>
      <c r="AJ3955" s="149"/>
      <c r="AK3955" s="149"/>
      <c r="AL3955" s="149"/>
      <c r="AM3955" s="149"/>
      <c r="AN3955" s="149"/>
      <c r="AO3955" s="128"/>
      <c r="AP3955" s="128"/>
      <c r="AQ3955" s="128"/>
      <c r="AR3955" s="128"/>
      <c r="AS3955" s="128"/>
      <c r="AT3955" s="128"/>
      <c r="AU3955" s="128"/>
      <c r="AV3955" s="128"/>
      <c r="AW3955" s="128"/>
      <c r="AX3955" s="128"/>
      <c r="AY3955" s="128"/>
      <c r="AZ3955" s="128"/>
      <c r="BA3955" s="128"/>
      <c r="BB3955" s="128"/>
      <c r="BC3955" s="128"/>
      <c r="BD3955" s="128"/>
      <c r="BE3955" s="128"/>
      <c r="BF3955" s="128"/>
      <c r="BG3955" s="128"/>
      <c r="BH3955" s="128"/>
      <c r="BI3955" s="128"/>
      <c r="BJ3955" s="128"/>
      <c r="BK3955" s="128"/>
      <c r="BL3955" s="128"/>
      <c r="BM3955" s="151"/>
      <c r="BN3955" s="128"/>
      <c r="BO3955" s="128"/>
      <c r="BP3955" s="128"/>
      <c r="BQ3955" s="128"/>
      <c r="BR3955" s="128"/>
      <c r="BS3955" s="128"/>
      <c r="BT3955" s="128"/>
      <c r="BU3955" s="128"/>
      <c r="BV3955" s="128"/>
      <c r="BW3955" s="128"/>
      <c r="BX3955" s="128"/>
      <c r="BY3955" s="128"/>
      <c r="BZ3955" s="128"/>
      <c r="CA3955" s="128"/>
      <c r="CB3955" s="128"/>
      <c r="CC3955" s="128"/>
      <c r="CD3955" s="128"/>
      <c r="CE3955" s="128"/>
      <c r="CF3955" s="128"/>
      <c r="CG3955" s="128"/>
      <c r="CI3955" s="128"/>
      <c r="CJ3955" s="128"/>
      <c r="CK3955" s="128"/>
      <c r="CL3955" s="128"/>
      <c r="CM3955" s="128"/>
      <c r="CN3955" s="128"/>
      <c r="CO3955" s="128"/>
      <c r="CP3955" s="128"/>
      <c r="CQ3955" s="128"/>
      <c r="CR3955" s="128"/>
      <c r="CS3955" s="128"/>
      <c r="CT3955" s="128"/>
      <c r="CU3955" s="128"/>
      <c r="CV3955" s="128"/>
      <c r="CW3955" s="128"/>
      <c r="CX3955" s="128"/>
      <c r="CY3955" s="128"/>
      <c r="CZ3955" s="165"/>
    </row>
    <row r="3956" spans="1:104">
      <c r="A3956" s="149"/>
      <c r="B3956" s="149"/>
      <c r="C3956" s="150"/>
      <c r="D3956" s="102"/>
      <c r="E3956" s="149"/>
      <c r="F3956" s="149"/>
      <c r="G3956" s="149"/>
      <c r="H3956" s="149"/>
      <c r="I3956" s="149"/>
      <c r="J3956" s="149"/>
      <c r="K3956" s="149"/>
      <c r="L3956" s="149"/>
      <c r="M3956" s="149"/>
      <c r="N3956" s="149"/>
      <c r="O3956" s="149"/>
      <c r="P3956" s="149"/>
      <c r="Q3956" s="149"/>
      <c r="R3956" s="149"/>
      <c r="S3956" s="149"/>
      <c r="T3956" s="149"/>
      <c r="U3956" s="149"/>
      <c r="V3956" s="149"/>
      <c r="W3956" s="149"/>
      <c r="X3956" s="149"/>
      <c r="Y3956" s="149"/>
      <c r="Z3956" s="149"/>
      <c r="AA3956" s="149"/>
      <c r="AB3956" s="149"/>
      <c r="AC3956" s="149"/>
      <c r="AD3956" s="149"/>
      <c r="AE3956" s="149"/>
      <c r="AF3956" s="149"/>
      <c r="AG3956" s="149"/>
      <c r="AH3956" s="149"/>
      <c r="AI3956" s="149"/>
      <c r="AJ3956" s="149"/>
      <c r="AK3956" s="149"/>
      <c r="AL3956" s="149"/>
      <c r="AM3956" s="149"/>
      <c r="AN3956" s="149"/>
      <c r="AO3956" s="128"/>
      <c r="AP3956" s="128"/>
      <c r="AQ3956" s="128"/>
      <c r="AR3956" s="128"/>
      <c r="AS3956" s="128"/>
      <c r="AT3956" s="128"/>
      <c r="AU3956" s="128"/>
      <c r="AV3956" s="128"/>
      <c r="AW3956" s="128"/>
      <c r="AX3956" s="128"/>
      <c r="AY3956" s="128"/>
      <c r="AZ3956" s="128"/>
      <c r="BA3956" s="128"/>
      <c r="BB3956" s="128"/>
      <c r="BC3956" s="128"/>
      <c r="BD3956" s="128"/>
      <c r="BE3956" s="128"/>
      <c r="BF3956" s="128"/>
      <c r="BG3956" s="128"/>
      <c r="BH3956" s="128"/>
      <c r="BI3956" s="128"/>
      <c r="BJ3956" s="128"/>
      <c r="BK3956" s="128"/>
      <c r="BL3956" s="128"/>
      <c r="BM3956" s="151"/>
      <c r="BN3956" s="128"/>
      <c r="BO3956" s="128"/>
      <c r="BP3956" s="128"/>
      <c r="BQ3956" s="128"/>
      <c r="BR3956" s="128"/>
      <c r="BS3956" s="128"/>
      <c r="BT3956" s="128"/>
      <c r="BU3956" s="128"/>
      <c r="BV3956" s="128"/>
      <c r="BW3956" s="128"/>
      <c r="BX3956" s="128"/>
      <c r="BY3956" s="128"/>
      <c r="BZ3956" s="128"/>
      <c r="CA3956" s="128"/>
      <c r="CB3956" s="128"/>
      <c r="CC3956" s="128"/>
      <c r="CD3956" s="128"/>
      <c r="CE3956" s="128"/>
      <c r="CF3956" s="128"/>
      <c r="CG3956" s="128"/>
      <c r="CI3956" s="128"/>
      <c r="CJ3956" s="128"/>
      <c r="CK3956" s="128"/>
      <c r="CL3956" s="128"/>
      <c r="CM3956" s="128"/>
      <c r="CN3956" s="128"/>
      <c r="CO3956" s="128"/>
      <c r="CP3956" s="128"/>
      <c r="CQ3956" s="128"/>
      <c r="CR3956" s="128"/>
      <c r="CS3956" s="128"/>
      <c r="CT3956" s="128"/>
      <c r="CU3956" s="128"/>
      <c r="CV3956" s="128"/>
      <c r="CW3956" s="128"/>
      <c r="CX3956" s="128"/>
      <c r="CY3956" s="128"/>
      <c r="CZ3956" s="165"/>
    </row>
    <row r="3957" spans="1:104">
      <c r="A3957" s="149"/>
      <c r="B3957" s="149"/>
      <c r="C3957" s="150"/>
      <c r="D3957" s="102"/>
      <c r="E3957" s="149"/>
      <c r="F3957" s="149"/>
      <c r="G3957" s="149"/>
      <c r="H3957" s="149"/>
      <c r="I3957" s="149"/>
      <c r="J3957" s="149"/>
      <c r="K3957" s="149"/>
      <c r="L3957" s="149"/>
      <c r="M3957" s="149"/>
      <c r="N3957" s="149"/>
      <c r="O3957" s="149"/>
      <c r="P3957" s="149"/>
      <c r="Q3957" s="149"/>
      <c r="R3957" s="149"/>
      <c r="S3957" s="149"/>
      <c r="T3957" s="149"/>
      <c r="U3957" s="149"/>
      <c r="V3957" s="149"/>
      <c r="W3957" s="149"/>
      <c r="X3957" s="149"/>
      <c r="Y3957" s="149"/>
      <c r="Z3957" s="149"/>
      <c r="AA3957" s="149"/>
      <c r="AB3957" s="149"/>
      <c r="AC3957" s="149"/>
      <c r="AD3957" s="149"/>
      <c r="AE3957" s="149"/>
      <c r="AF3957" s="149"/>
      <c r="AG3957" s="149"/>
      <c r="AH3957" s="149"/>
      <c r="AI3957" s="149"/>
      <c r="AJ3957" s="149"/>
      <c r="AK3957" s="149"/>
      <c r="AL3957" s="149"/>
      <c r="AM3957" s="149"/>
      <c r="AN3957" s="149"/>
      <c r="AO3957" s="128"/>
      <c r="AP3957" s="128"/>
      <c r="AQ3957" s="128"/>
      <c r="AR3957" s="128"/>
      <c r="AS3957" s="128"/>
      <c r="AT3957" s="128"/>
      <c r="AU3957" s="128"/>
      <c r="AV3957" s="128"/>
      <c r="AW3957" s="128"/>
      <c r="AX3957" s="128"/>
      <c r="AY3957" s="128"/>
      <c r="AZ3957" s="128"/>
      <c r="BA3957" s="128"/>
      <c r="BB3957" s="128"/>
      <c r="BC3957" s="128"/>
      <c r="BD3957" s="128"/>
      <c r="BE3957" s="128"/>
      <c r="BF3957" s="128"/>
      <c r="BG3957" s="128"/>
      <c r="BH3957" s="128"/>
      <c r="BI3957" s="128"/>
      <c r="BJ3957" s="128"/>
      <c r="BK3957" s="128"/>
      <c r="BL3957" s="128"/>
      <c r="BM3957" s="151"/>
      <c r="BN3957" s="128"/>
      <c r="BO3957" s="128"/>
      <c r="BP3957" s="128"/>
      <c r="BQ3957" s="128"/>
      <c r="BR3957" s="128"/>
      <c r="BS3957" s="128"/>
      <c r="BT3957" s="128"/>
      <c r="BU3957" s="128"/>
      <c r="BV3957" s="128"/>
      <c r="BW3957" s="128"/>
      <c r="BX3957" s="128"/>
      <c r="BY3957" s="128"/>
      <c r="BZ3957" s="128"/>
      <c r="CA3957" s="128"/>
      <c r="CB3957" s="128"/>
      <c r="CC3957" s="128"/>
      <c r="CD3957" s="128"/>
      <c r="CE3957" s="128"/>
      <c r="CF3957" s="128"/>
      <c r="CG3957" s="128"/>
      <c r="CI3957" s="128"/>
      <c r="CJ3957" s="128"/>
      <c r="CK3957" s="128"/>
      <c r="CL3957" s="128"/>
      <c r="CM3957" s="128"/>
      <c r="CN3957" s="128"/>
      <c r="CO3957" s="128"/>
      <c r="CP3957" s="128"/>
      <c r="CQ3957" s="128"/>
      <c r="CR3957" s="128"/>
      <c r="CS3957" s="128"/>
      <c r="CT3957" s="128"/>
      <c r="CU3957" s="128"/>
      <c r="CV3957" s="128"/>
      <c r="CW3957" s="128"/>
      <c r="CX3957" s="128"/>
      <c r="CY3957" s="128"/>
      <c r="CZ3957" s="165"/>
    </row>
    <row r="3958" spans="1:104">
      <c r="A3958" s="149"/>
      <c r="B3958" s="149"/>
      <c r="C3958" s="150"/>
      <c r="D3958" s="102"/>
      <c r="E3958" s="149"/>
      <c r="F3958" s="149"/>
      <c r="G3958" s="149"/>
      <c r="H3958" s="149"/>
      <c r="I3958" s="149"/>
      <c r="J3958" s="149"/>
      <c r="K3958" s="149"/>
      <c r="L3958" s="149"/>
      <c r="M3958" s="149"/>
      <c r="N3958" s="149"/>
      <c r="O3958" s="149"/>
      <c r="P3958" s="149"/>
      <c r="Q3958" s="149"/>
      <c r="R3958" s="149"/>
      <c r="S3958" s="149"/>
      <c r="T3958" s="149"/>
      <c r="U3958" s="149"/>
      <c r="V3958" s="149"/>
      <c r="W3958" s="149"/>
      <c r="X3958" s="149"/>
      <c r="Y3958" s="149"/>
      <c r="Z3958" s="149"/>
      <c r="AA3958" s="149"/>
      <c r="AB3958" s="149"/>
      <c r="AC3958" s="149"/>
      <c r="AD3958" s="149"/>
      <c r="AE3958" s="149"/>
      <c r="AF3958" s="149"/>
      <c r="AG3958" s="149"/>
      <c r="AH3958" s="149"/>
      <c r="AI3958" s="149"/>
      <c r="AJ3958" s="149"/>
      <c r="AK3958" s="149"/>
      <c r="AL3958" s="149"/>
      <c r="AM3958" s="149"/>
      <c r="AN3958" s="149"/>
      <c r="AO3958" s="128"/>
      <c r="AP3958" s="128"/>
      <c r="AQ3958" s="128"/>
      <c r="AR3958" s="128"/>
      <c r="AS3958" s="128"/>
      <c r="AT3958" s="128"/>
      <c r="AU3958" s="128"/>
      <c r="AV3958" s="128"/>
      <c r="AW3958" s="128"/>
      <c r="AX3958" s="128"/>
      <c r="AY3958" s="128"/>
      <c r="AZ3958" s="128"/>
      <c r="BA3958" s="128"/>
      <c r="BB3958" s="128"/>
      <c r="BC3958" s="128"/>
      <c r="BD3958" s="128"/>
      <c r="BE3958" s="128"/>
      <c r="BF3958" s="128"/>
      <c r="BG3958" s="128"/>
      <c r="BH3958" s="128"/>
      <c r="BI3958" s="128"/>
      <c r="BJ3958" s="128"/>
      <c r="BK3958" s="128"/>
      <c r="BL3958" s="128"/>
      <c r="BM3958" s="151"/>
      <c r="BN3958" s="128"/>
      <c r="BO3958" s="128"/>
      <c r="BP3958" s="128"/>
      <c r="BQ3958" s="128"/>
      <c r="BR3958" s="128"/>
      <c r="BS3958" s="128"/>
      <c r="BT3958" s="128"/>
      <c r="BU3958" s="128"/>
      <c r="BV3958" s="128"/>
      <c r="BW3958" s="128"/>
      <c r="BX3958" s="128"/>
      <c r="BY3958" s="128"/>
      <c r="BZ3958" s="128"/>
      <c r="CA3958" s="128"/>
      <c r="CB3958" s="128"/>
      <c r="CC3958" s="128"/>
      <c r="CD3958" s="128"/>
      <c r="CE3958" s="128"/>
      <c r="CF3958" s="128"/>
      <c r="CG3958" s="128"/>
      <c r="CI3958" s="128"/>
      <c r="CJ3958" s="128"/>
      <c r="CK3958" s="128"/>
      <c r="CL3958" s="128"/>
      <c r="CM3958" s="128"/>
      <c r="CN3958" s="128"/>
      <c r="CO3958" s="128"/>
      <c r="CP3958" s="128"/>
      <c r="CQ3958" s="128"/>
      <c r="CR3958" s="128"/>
      <c r="CS3958" s="128"/>
      <c r="CT3958" s="128"/>
      <c r="CU3958" s="128"/>
      <c r="CV3958" s="128"/>
      <c r="CW3958" s="128"/>
      <c r="CX3958" s="128"/>
      <c r="CY3958" s="128"/>
      <c r="CZ3958" s="165"/>
    </row>
    <row r="3959" spans="1:104">
      <c r="A3959" s="149"/>
      <c r="B3959" s="149"/>
      <c r="C3959" s="150"/>
      <c r="D3959" s="102"/>
      <c r="E3959" s="149"/>
      <c r="F3959" s="149"/>
      <c r="G3959" s="149"/>
      <c r="H3959" s="149"/>
      <c r="I3959" s="149"/>
      <c r="J3959" s="149"/>
      <c r="K3959" s="149"/>
      <c r="L3959" s="149"/>
      <c r="M3959" s="149"/>
      <c r="N3959" s="149"/>
      <c r="O3959" s="149"/>
      <c r="P3959" s="149"/>
      <c r="Q3959" s="149"/>
      <c r="R3959" s="149"/>
      <c r="S3959" s="149"/>
      <c r="T3959" s="149"/>
      <c r="U3959" s="149"/>
      <c r="V3959" s="149"/>
      <c r="W3959" s="149"/>
      <c r="X3959" s="149"/>
      <c r="Y3959" s="149"/>
      <c r="Z3959" s="149"/>
      <c r="AA3959" s="149"/>
      <c r="AB3959" s="149"/>
      <c r="AC3959" s="149"/>
      <c r="AD3959" s="149"/>
      <c r="AE3959" s="149"/>
      <c r="AF3959" s="149"/>
      <c r="AG3959" s="149"/>
      <c r="AH3959" s="149"/>
      <c r="AI3959" s="149"/>
      <c r="AJ3959" s="149"/>
      <c r="AK3959" s="149"/>
      <c r="AL3959" s="149"/>
      <c r="AM3959" s="149"/>
      <c r="AN3959" s="149"/>
      <c r="AO3959" s="128"/>
      <c r="AP3959" s="128"/>
      <c r="AQ3959" s="128"/>
      <c r="AR3959" s="128"/>
      <c r="AS3959" s="128"/>
      <c r="AT3959" s="128"/>
      <c r="AU3959" s="128"/>
      <c r="AV3959" s="128"/>
      <c r="AW3959" s="128"/>
      <c r="AX3959" s="128"/>
      <c r="AY3959" s="128"/>
      <c r="AZ3959" s="128"/>
      <c r="BA3959" s="128"/>
      <c r="BB3959" s="128"/>
      <c r="BC3959" s="128"/>
      <c r="BD3959" s="128"/>
      <c r="BE3959" s="128"/>
      <c r="BF3959" s="128"/>
      <c r="BG3959" s="128"/>
      <c r="BH3959" s="128"/>
      <c r="BI3959" s="128"/>
      <c r="BJ3959" s="128"/>
      <c r="BK3959" s="128"/>
      <c r="BL3959" s="128"/>
      <c r="BM3959" s="151"/>
      <c r="BN3959" s="128"/>
      <c r="BO3959" s="128"/>
      <c r="BP3959" s="128"/>
      <c r="BQ3959" s="128"/>
      <c r="BR3959" s="128"/>
      <c r="BS3959" s="128"/>
      <c r="BT3959" s="128"/>
      <c r="BU3959" s="128"/>
      <c r="BV3959" s="128"/>
      <c r="BW3959" s="128"/>
      <c r="BX3959" s="128"/>
      <c r="BY3959" s="128"/>
      <c r="BZ3959" s="128"/>
      <c r="CA3959" s="128"/>
      <c r="CB3959" s="128"/>
      <c r="CC3959" s="128"/>
      <c r="CD3959" s="128"/>
      <c r="CE3959" s="128"/>
      <c r="CF3959" s="128"/>
      <c r="CG3959" s="128"/>
      <c r="CI3959" s="128"/>
      <c r="CJ3959" s="128"/>
      <c r="CK3959" s="128"/>
      <c r="CL3959" s="128"/>
      <c r="CM3959" s="128"/>
      <c r="CN3959" s="128"/>
      <c r="CO3959" s="128"/>
      <c r="CP3959" s="128"/>
      <c r="CQ3959" s="128"/>
      <c r="CR3959" s="128"/>
      <c r="CS3959" s="128"/>
      <c r="CT3959" s="128"/>
      <c r="CU3959" s="128"/>
      <c r="CV3959" s="128"/>
      <c r="CW3959" s="128"/>
      <c r="CX3959" s="128"/>
      <c r="CY3959" s="128"/>
      <c r="CZ3959" s="165"/>
    </row>
    <row r="3960" spans="1:104">
      <c r="A3960" s="149"/>
      <c r="B3960" s="149"/>
      <c r="C3960" s="150"/>
      <c r="D3960" s="102"/>
      <c r="E3960" s="149"/>
      <c r="F3960" s="149"/>
      <c r="G3960" s="149"/>
      <c r="H3960" s="149"/>
      <c r="I3960" s="149"/>
      <c r="J3960" s="149"/>
      <c r="K3960" s="149"/>
      <c r="L3960" s="149"/>
      <c r="M3960" s="149"/>
      <c r="N3960" s="149"/>
      <c r="O3960" s="149"/>
      <c r="P3960" s="149"/>
      <c r="Q3960" s="149"/>
      <c r="R3960" s="149"/>
      <c r="S3960" s="149"/>
      <c r="T3960" s="149"/>
      <c r="U3960" s="149"/>
      <c r="V3960" s="149"/>
      <c r="W3960" s="149"/>
      <c r="X3960" s="149"/>
      <c r="Y3960" s="149"/>
      <c r="Z3960" s="149"/>
      <c r="AA3960" s="149"/>
      <c r="AB3960" s="149"/>
      <c r="AC3960" s="149"/>
      <c r="AD3960" s="149"/>
      <c r="AE3960" s="149"/>
      <c r="AF3960" s="149"/>
      <c r="AG3960" s="149"/>
      <c r="AH3960" s="149"/>
      <c r="AI3960" s="149"/>
      <c r="AJ3960" s="149"/>
      <c r="AK3960" s="149"/>
      <c r="AL3960" s="149"/>
      <c r="AM3960" s="149"/>
      <c r="AN3960" s="149"/>
      <c r="AO3960" s="128"/>
      <c r="AP3960" s="128"/>
      <c r="AQ3960" s="128"/>
      <c r="AR3960" s="128"/>
      <c r="AS3960" s="128"/>
      <c r="AT3960" s="128"/>
      <c r="AU3960" s="128"/>
      <c r="AV3960" s="128"/>
      <c r="AW3960" s="128"/>
      <c r="AX3960" s="128"/>
      <c r="AY3960" s="128"/>
      <c r="AZ3960" s="128"/>
      <c r="BA3960" s="128"/>
      <c r="BB3960" s="128"/>
      <c r="BC3960" s="128"/>
      <c r="BD3960" s="128"/>
      <c r="BE3960" s="128"/>
      <c r="BF3960" s="128"/>
      <c r="BG3960" s="128"/>
      <c r="BH3960" s="128"/>
      <c r="BI3960" s="128"/>
      <c r="BJ3960" s="128"/>
      <c r="BK3960" s="128"/>
      <c r="BL3960" s="128"/>
      <c r="BM3960" s="151"/>
      <c r="BN3960" s="128"/>
      <c r="BO3960" s="128"/>
      <c r="BP3960" s="128"/>
      <c r="BQ3960" s="128"/>
      <c r="BR3960" s="128"/>
      <c r="BS3960" s="128"/>
      <c r="BT3960" s="128"/>
      <c r="BU3960" s="128"/>
      <c r="BV3960" s="128"/>
      <c r="BW3960" s="128"/>
      <c r="BX3960" s="128"/>
      <c r="BY3960" s="128"/>
      <c r="BZ3960" s="128"/>
      <c r="CA3960" s="128"/>
      <c r="CB3960" s="128"/>
      <c r="CC3960" s="128"/>
      <c r="CD3960" s="128"/>
      <c r="CE3960" s="128"/>
      <c r="CF3960" s="128"/>
      <c r="CG3960" s="128"/>
      <c r="CI3960" s="128"/>
      <c r="CJ3960" s="128"/>
      <c r="CK3960" s="128"/>
      <c r="CL3960" s="128"/>
      <c r="CM3960" s="128"/>
      <c r="CN3960" s="128"/>
      <c r="CO3960" s="128"/>
      <c r="CP3960" s="128"/>
      <c r="CQ3960" s="128"/>
      <c r="CR3960" s="128"/>
      <c r="CS3960" s="128"/>
      <c r="CT3960" s="128"/>
      <c r="CU3960" s="128"/>
      <c r="CV3960" s="128"/>
      <c r="CW3960" s="128"/>
      <c r="CX3960" s="128"/>
      <c r="CY3960" s="128"/>
      <c r="CZ3960" s="165"/>
    </row>
    <row r="3961" spans="1:104">
      <c r="A3961" s="149"/>
      <c r="B3961" s="149"/>
      <c r="C3961" s="150"/>
      <c r="D3961" s="102"/>
      <c r="E3961" s="149"/>
      <c r="F3961" s="149"/>
      <c r="G3961" s="149"/>
      <c r="H3961" s="149"/>
      <c r="I3961" s="149"/>
      <c r="J3961" s="149"/>
      <c r="K3961" s="149"/>
      <c r="L3961" s="149"/>
      <c r="M3961" s="149"/>
      <c r="N3961" s="149"/>
      <c r="O3961" s="149"/>
      <c r="P3961" s="149"/>
      <c r="Q3961" s="149"/>
      <c r="R3961" s="149"/>
      <c r="S3961" s="149"/>
      <c r="T3961" s="149"/>
      <c r="U3961" s="149"/>
      <c r="V3961" s="149"/>
      <c r="W3961" s="149"/>
      <c r="X3961" s="149"/>
      <c r="Y3961" s="149"/>
      <c r="Z3961" s="149"/>
      <c r="AA3961" s="149"/>
      <c r="AB3961" s="149"/>
      <c r="AC3961" s="149"/>
      <c r="AD3961" s="149"/>
      <c r="AE3961" s="149"/>
      <c r="AF3961" s="149"/>
      <c r="AG3961" s="149"/>
      <c r="AH3961" s="149"/>
      <c r="AI3961" s="149"/>
      <c r="AJ3961" s="149"/>
      <c r="AK3961" s="149"/>
      <c r="AL3961" s="149"/>
      <c r="AM3961" s="149"/>
      <c r="AN3961" s="149"/>
      <c r="AO3961" s="128"/>
      <c r="AP3961" s="128"/>
      <c r="AQ3961" s="128"/>
      <c r="AR3961" s="128"/>
      <c r="AS3961" s="128"/>
      <c r="AT3961" s="128"/>
      <c r="AU3961" s="128"/>
      <c r="AV3961" s="128"/>
      <c r="AW3961" s="128"/>
      <c r="AX3961" s="128"/>
      <c r="AY3961" s="128"/>
      <c r="AZ3961" s="128"/>
      <c r="BA3961" s="128"/>
      <c r="BB3961" s="128"/>
      <c r="BC3961" s="128"/>
      <c r="BD3961" s="128"/>
      <c r="BE3961" s="128"/>
      <c r="BF3961" s="128"/>
      <c r="BG3961" s="128"/>
      <c r="BH3961" s="128"/>
      <c r="BI3961" s="128"/>
      <c r="BJ3961" s="128"/>
      <c r="BK3961" s="128"/>
      <c r="BL3961" s="128"/>
      <c r="BM3961" s="151"/>
      <c r="BN3961" s="128"/>
      <c r="BO3961" s="128"/>
      <c r="BP3961" s="128"/>
      <c r="BQ3961" s="128"/>
      <c r="BR3961" s="128"/>
      <c r="BS3961" s="128"/>
      <c r="BT3961" s="128"/>
      <c r="BU3961" s="128"/>
      <c r="BV3961" s="128"/>
      <c r="BW3961" s="128"/>
      <c r="BX3961" s="128"/>
      <c r="BY3961" s="128"/>
      <c r="BZ3961" s="128"/>
      <c r="CA3961" s="128"/>
      <c r="CB3961" s="128"/>
      <c r="CC3961" s="128"/>
      <c r="CD3961" s="128"/>
      <c r="CE3961" s="128"/>
      <c r="CF3961" s="128"/>
      <c r="CG3961" s="128"/>
      <c r="CI3961" s="128"/>
      <c r="CJ3961" s="128"/>
      <c r="CK3961" s="128"/>
      <c r="CL3961" s="128"/>
      <c r="CM3961" s="128"/>
      <c r="CN3961" s="128"/>
      <c r="CO3961" s="128"/>
      <c r="CP3961" s="128"/>
      <c r="CQ3961" s="128"/>
      <c r="CR3961" s="128"/>
      <c r="CS3961" s="128"/>
      <c r="CT3961" s="128"/>
      <c r="CU3961" s="128"/>
      <c r="CV3961" s="128"/>
      <c r="CW3961" s="128"/>
      <c r="CX3961" s="128"/>
      <c r="CY3961" s="128"/>
      <c r="CZ3961" s="165"/>
    </row>
    <row r="3962" spans="1:104">
      <c r="A3962" s="149"/>
      <c r="B3962" s="149"/>
      <c r="C3962" s="150"/>
      <c r="D3962" s="102"/>
      <c r="E3962" s="149"/>
      <c r="F3962" s="149"/>
      <c r="G3962" s="149"/>
      <c r="H3962" s="149"/>
      <c r="I3962" s="149"/>
      <c r="J3962" s="149"/>
      <c r="K3962" s="149"/>
      <c r="L3962" s="149"/>
      <c r="M3962" s="149"/>
      <c r="N3962" s="149"/>
      <c r="O3962" s="149"/>
      <c r="P3962" s="149"/>
      <c r="Q3962" s="149"/>
      <c r="R3962" s="149"/>
      <c r="S3962" s="149"/>
      <c r="T3962" s="149"/>
      <c r="U3962" s="149"/>
      <c r="V3962" s="149"/>
      <c r="W3962" s="149"/>
      <c r="X3962" s="149"/>
      <c r="Y3962" s="149"/>
      <c r="Z3962" s="149"/>
      <c r="AA3962" s="149"/>
      <c r="AB3962" s="149"/>
      <c r="AC3962" s="149"/>
      <c r="AD3962" s="149"/>
      <c r="AE3962" s="149"/>
      <c r="AF3962" s="149"/>
      <c r="AG3962" s="149"/>
      <c r="AH3962" s="149"/>
      <c r="AI3962" s="149"/>
      <c r="AJ3962" s="149"/>
      <c r="AK3962" s="149"/>
      <c r="AL3962" s="149"/>
      <c r="AM3962" s="149"/>
      <c r="AN3962" s="149"/>
      <c r="AO3962" s="128"/>
      <c r="AP3962" s="128"/>
      <c r="AQ3962" s="128"/>
      <c r="AR3962" s="128"/>
      <c r="AS3962" s="128"/>
      <c r="AT3962" s="128"/>
      <c r="AU3962" s="128"/>
      <c r="AV3962" s="128"/>
      <c r="AW3962" s="128"/>
      <c r="AX3962" s="128"/>
      <c r="AY3962" s="128"/>
      <c r="AZ3962" s="128"/>
      <c r="BA3962" s="128"/>
      <c r="BB3962" s="128"/>
      <c r="BC3962" s="128"/>
      <c r="BD3962" s="128"/>
      <c r="BE3962" s="128"/>
      <c r="BF3962" s="128"/>
      <c r="BG3962" s="128"/>
      <c r="BH3962" s="128"/>
      <c r="BI3962" s="128"/>
      <c r="BJ3962" s="128"/>
      <c r="BK3962" s="128"/>
      <c r="BL3962" s="128"/>
      <c r="BM3962" s="151"/>
      <c r="BN3962" s="128"/>
      <c r="BO3962" s="128"/>
      <c r="BP3962" s="128"/>
      <c r="BQ3962" s="128"/>
      <c r="BR3962" s="128"/>
      <c r="BS3962" s="128"/>
      <c r="BT3962" s="128"/>
      <c r="BU3962" s="128"/>
      <c r="BV3962" s="128"/>
      <c r="BW3962" s="128"/>
      <c r="BX3962" s="128"/>
      <c r="BY3962" s="128"/>
      <c r="BZ3962" s="128"/>
      <c r="CA3962" s="128"/>
      <c r="CB3962" s="128"/>
      <c r="CC3962" s="128"/>
      <c r="CD3962" s="128"/>
      <c r="CE3962" s="128"/>
      <c r="CF3962" s="128"/>
      <c r="CG3962" s="128"/>
      <c r="CI3962" s="128"/>
      <c r="CJ3962" s="128"/>
      <c r="CK3962" s="128"/>
      <c r="CL3962" s="128"/>
      <c r="CM3962" s="128"/>
      <c r="CN3962" s="128"/>
      <c r="CO3962" s="128"/>
      <c r="CP3962" s="128"/>
      <c r="CQ3962" s="128"/>
      <c r="CR3962" s="128"/>
      <c r="CS3962" s="128"/>
      <c r="CT3962" s="128"/>
      <c r="CU3962" s="128"/>
      <c r="CV3962" s="128"/>
      <c r="CW3962" s="128"/>
      <c r="CX3962" s="128"/>
      <c r="CY3962" s="128"/>
      <c r="CZ3962" s="165"/>
    </row>
    <row r="3963" spans="1:104">
      <c r="A3963" s="149"/>
      <c r="B3963" s="149"/>
      <c r="C3963" s="150"/>
      <c r="D3963" s="102"/>
      <c r="E3963" s="149"/>
      <c r="F3963" s="149"/>
      <c r="G3963" s="149"/>
      <c r="H3963" s="149"/>
      <c r="I3963" s="149"/>
      <c r="J3963" s="149"/>
      <c r="K3963" s="149"/>
      <c r="L3963" s="149"/>
      <c r="M3963" s="149"/>
      <c r="N3963" s="149"/>
      <c r="O3963" s="149"/>
      <c r="P3963" s="149"/>
      <c r="Q3963" s="149"/>
      <c r="R3963" s="149"/>
      <c r="S3963" s="149"/>
      <c r="T3963" s="149"/>
      <c r="U3963" s="149"/>
      <c r="V3963" s="149"/>
      <c r="W3963" s="149"/>
      <c r="X3963" s="149"/>
      <c r="Y3963" s="149"/>
      <c r="Z3963" s="149"/>
      <c r="AA3963" s="149"/>
      <c r="AB3963" s="149"/>
      <c r="AC3963" s="149"/>
      <c r="AD3963" s="149"/>
      <c r="AE3963" s="149"/>
      <c r="AF3963" s="149"/>
      <c r="AG3963" s="149"/>
      <c r="AH3963" s="149"/>
      <c r="AI3963" s="149"/>
      <c r="AJ3963" s="149"/>
      <c r="AK3963" s="149"/>
      <c r="AL3963" s="149"/>
      <c r="AM3963" s="149"/>
      <c r="AN3963" s="149"/>
      <c r="AO3963" s="128"/>
      <c r="AP3963" s="128"/>
      <c r="AQ3963" s="128"/>
      <c r="AR3963" s="128"/>
      <c r="AS3963" s="128"/>
      <c r="AT3963" s="128"/>
      <c r="AU3963" s="128"/>
      <c r="AV3963" s="128"/>
      <c r="AW3963" s="128"/>
      <c r="AX3963" s="128"/>
      <c r="AY3963" s="128"/>
      <c r="AZ3963" s="128"/>
      <c r="BA3963" s="128"/>
      <c r="BB3963" s="128"/>
      <c r="BC3963" s="128"/>
      <c r="BD3963" s="128"/>
      <c r="BE3963" s="128"/>
      <c r="BF3963" s="128"/>
      <c r="BG3963" s="128"/>
      <c r="BH3963" s="128"/>
      <c r="BI3963" s="128"/>
      <c r="BJ3963" s="128"/>
      <c r="BK3963" s="128"/>
      <c r="BL3963" s="128"/>
      <c r="BM3963" s="151"/>
      <c r="BN3963" s="128"/>
      <c r="BO3963" s="128"/>
      <c r="BP3963" s="128"/>
      <c r="BQ3963" s="128"/>
      <c r="BR3963" s="128"/>
      <c r="BS3963" s="128"/>
      <c r="BT3963" s="128"/>
      <c r="BU3963" s="128"/>
      <c r="BV3963" s="128"/>
      <c r="BW3963" s="128"/>
      <c r="BX3963" s="128"/>
      <c r="BY3963" s="128"/>
      <c r="BZ3963" s="128"/>
      <c r="CA3963" s="128"/>
      <c r="CB3963" s="128"/>
      <c r="CC3963" s="128"/>
      <c r="CD3963" s="128"/>
      <c r="CE3963" s="128"/>
      <c r="CF3963" s="128"/>
      <c r="CG3963" s="128"/>
      <c r="CI3963" s="128"/>
      <c r="CJ3963" s="128"/>
      <c r="CK3963" s="128"/>
      <c r="CL3963" s="128"/>
      <c r="CM3963" s="128"/>
      <c r="CN3963" s="128"/>
      <c r="CO3963" s="128"/>
      <c r="CP3963" s="128"/>
      <c r="CQ3963" s="128"/>
      <c r="CR3963" s="128"/>
      <c r="CS3963" s="128"/>
      <c r="CT3963" s="128"/>
      <c r="CU3963" s="128"/>
      <c r="CV3963" s="128"/>
      <c r="CW3963" s="128"/>
      <c r="CX3963" s="128"/>
      <c r="CY3963" s="128"/>
      <c r="CZ3963" s="165"/>
    </row>
    <row r="3964" spans="1:104">
      <c r="A3964" s="149"/>
      <c r="B3964" s="149"/>
      <c r="C3964" s="150"/>
      <c r="D3964" s="102"/>
      <c r="E3964" s="149"/>
      <c r="F3964" s="149"/>
      <c r="G3964" s="149"/>
      <c r="H3964" s="149"/>
      <c r="I3964" s="149"/>
      <c r="J3964" s="149"/>
      <c r="K3964" s="149"/>
      <c r="L3964" s="149"/>
      <c r="M3964" s="149"/>
      <c r="N3964" s="149"/>
      <c r="O3964" s="149"/>
      <c r="P3964" s="149"/>
      <c r="Q3964" s="149"/>
      <c r="R3964" s="149"/>
      <c r="S3964" s="149"/>
      <c r="T3964" s="149"/>
      <c r="U3964" s="149"/>
      <c r="V3964" s="149"/>
      <c r="W3964" s="149"/>
      <c r="X3964" s="149"/>
      <c r="Y3964" s="149"/>
      <c r="Z3964" s="149"/>
      <c r="AA3964" s="149"/>
      <c r="AB3964" s="149"/>
      <c r="AC3964" s="149"/>
      <c r="AD3964" s="149"/>
      <c r="AE3964" s="149"/>
      <c r="AF3964" s="149"/>
      <c r="AG3964" s="149"/>
      <c r="AH3964" s="149"/>
      <c r="AI3964" s="149"/>
      <c r="AJ3964" s="149"/>
      <c r="AK3964" s="149"/>
      <c r="AL3964" s="149"/>
      <c r="AM3964" s="149"/>
      <c r="AN3964" s="149"/>
      <c r="AO3964" s="128"/>
      <c r="AP3964" s="128"/>
      <c r="AQ3964" s="128"/>
      <c r="AR3964" s="128"/>
      <c r="AS3964" s="128"/>
      <c r="AT3964" s="128"/>
      <c r="AU3964" s="128"/>
      <c r="AV3964" s="128"/>
      <c r="AW3964" s="128"/>
      <c r="AX3964" s="128"/>
      <c r="AY3964" s="128"/>
      <c r="AZ3964" s="128"/>
      <c r="BA3964" s="128"/>
      <c r="BB3964" s="128"/>
      <c r="BC3964" s="128"/>
      <c r="BD3964" s="128"/>
      <c r="BE3964" s="128"/>
      <c r="BF3964" s="128"/>
      <c r="BG3964" s="128"/>
      <c r="BH3964" s="128"/>
      <c r="BI3964" s="128"/>
      <c r="BJ3964" s="128"/>
      <c r="BK3964" s="128"/>
      <c r="BL3964" s="128"/>
      <c r="BM3964" s="151"/>
      <c r="BN3964" s="128"/>
      <c r="BO3964" s="128"/>
      <c r="BP3964" s="128"/>
      <c r="BQ3964" s="128"/>
      <c r="BR3964" s="128"/>
      <c r="BS3964" s="128"/>
      <c r="BT3964" s="128"/>
      <c r="BU3964" s="128"/>
      <c r="BV3964" s="128"/>
      <c r="BW3964" s="128"/>
      <c r="BX3964" s="128"/>
      <c r="BY3964" s="128"/>
      <c r="BZ3964" s="128"/>
      <c r="CA3964" s="128"/>
      <c r="CB3964" s="128"/>
      <c r="CC3964" s="128"/>
      <c r="CD3964" s="128"/>
      <c r="CE3964" s="128"/>
      <c r="CF3964" s="128"/>
      <c r="CG3964" s="128"/>
      <c r="CI3964" s="128"/>
      <c r="CJ3964" s="128"/>
      <c r="CK3964" s="128"/>
      <c r="CL3964" s="128"/>
      <c r="CM3964" s="128"/>
      <c r="CN3964" s="128"/>
      <c r="CO3964" s="128"/>
      <c r="CP3964" s="128"/>
      <c r="CQ3964" s="128"/>
      <c r="CR3964" s="128"/>
      <c r="CS3964" s="128"/>
      <c r="CT3964" s="128"/>
      <c r="CU3964" s="128"/>
      <c r="CV3964" s="128"/>
      <c r="CW3964" s="128"/>
      <c r="CX3964" s="128"/>
      <c r="CY3964" s="128"/>
      <c r="CZ3964" s="165"/>
    </row>
    <row r="3965" spans="1:104">
      <c r="A3965" s="149"/>
      <c r="B3965" s="149"/>
      <c r="C3965" s="150"/>
      <c r="D3965" s="102"/>
      <c r="E3965" s="149"/>
      <c r="F3965" s="149"/>
      <c r="G3965" s="149"/>
      <c r="H3965" s="149"/>
      <c r="I3965" s="149"/>
      <c r="J3965" s="149"/>
      <c r="K3965" s="149"/>
      <c r="L3965" s="149"/>
      <c r="M3965" s="149"/>
      <c r="N3965" s="149"/>
      <c r="O3965" s="149"/>
      <c r="P3965" s="149"/>
      <c r="Q3965" s="149"/>
      <c r="R3965" s="149"/>
      <c r="S3965" s="149"/>
      <c r="T3965" s="149"/>
      <c r="U3965" s="149"/>
      <c r="V3965" s="149"/>
      <c r="W3965" s="149"/>
      <c r="X3965" s="149"/>
      <c r="Y3965" s="149"/>
      <c r="Z3965" s="149"/>
      <c r="AA3965" s="149"/>
      <c r="AB3965" s="149"/>
      <c r="AC3965" s="149"/>
      <c r="AD3965" s="149"/>
      <c r="AE3965" s="149"/>
      <c r="AF3965" s="149"/>
      <c r="AG3965" s="149"/>
      <c r="AH3965" s="149"/>
      <c r="AI3965" s="149"/>
      <c r="AJ3965" s="149"/>
      <c r="AK3965" s="149"/>
      <c r="AL3965" s="149"/>
      <c r="AM3965" s="149"/>
      <c r="AN3965" s="149"/>
      <c r="AO3965" s="128"/>
      <c r="AP3965" s="128"/>
      <c r="AQ3965" s="128"/>
      <c r="AR3965" s="128"/>
      <c r="AS3965" s="128"/>
      <c r="AT3965" s="128"/>
      <c r="AU3965" s="128"/>
      <c r="AV3965" s="128"/>
      <c r="AW3965" s="128"/>
      <c r="AX3965" s="128"/>
      <c r="AY3965" s="128"/>
      <c r="AZ3965" s="128"/>
      <c r="BA3965" s="128"/>
      <c r="BB3965" s="128"/>
      <c r="BC3965" s="128"/>
      <c r="BD3965" s="128"/>
      <c r="BE3965" s="128"/>
      <c r="BF3965" s="128"/>
      <c r="BG3965" s="128"/>
      <c r="BH3965" s="128"/>
      <c r="BI3965" s="128"/>
      <c r="BJ3965" s="128"/>
      <c r="BK3965" s="128"/>
      <c r="BL3965" s="128"/>
      <c r="BM3965" s="151"/>
      <c r="BN3965" s="128"/>
      <c r="BO3965" s="128"/>
      <c r="BP3965" s="128"/>
      <c r="BQ3965" s="128"/>
      <c r="BR3965" s="128"/>
      <c r="BS3965" s="128"/>
      <c r="BT3965" s="128"/>
      <c r="BU3965" s="128"/>
      <c r="BV3965" s="128"/>
      <c r="BW3965" s="128"/>
      <c r="BX3965" s="128"/>
      <c r="BY3965" s="128"/>
      <c r="BZ3965" s="128"/>
      <c r="CA3965" s="128"/>
      <c r="CB3965" s="128"/>
      <c r="CC3965" s="128"/>
      <c r="CD3965" s="128"/>
      <c r="CE3965" s="128"/>
      <c r="CF3965" s="128"/>
      <c r="CG3965" s="128"/>
      <c r="CI3965" s="128"/>
      <c r="CJ3965" s="128"/>
      <c r="CK3965" s="128"/>
      <c r="CL3965" s="128"/>
      <c r="CM3965" s="128"/>
      <c r="CN3965" s="128"/>
      <c r="CO3965" s="128"/>
      <c r="CP3965" s="128"/>
      <c r="CQ3965" s="128"/>
      <c r="CR3965" s="128"/>
      <c r="CS3965" s="128"/>
      <c r="CT3965" s="128"/>
      <c r="CU3965" s="128"/>
      <c r="CV3965" s="128"/>
      <c r="CW3965" s="128"/>
      <c r="CX3965" s="128"/>
      <c r="CY3965" s="128"/>
      <c r="CZ3965" s="165"/>
    </row>
    <row r="3966" spans="1:104">
      <c r="A3966" s="149"/>
      <c r="B3966" s="149"/>
      <c r="C3966" s="150"/>
      <c r="D3966" s="102"/>
      <c r="E3966" s="149"/>
      <c r="F3966" s="149"/>
      <c r="G3966" s="149"/>
      <c r="H3966" s="149"/>
      <c r="I3966" s="149"/>
      <c r="J3966" s="149"/>
      <c r="K3966" s="149"/>
      <c r="L3966" s="149"/>
      <c r="M3966" s="149"/>
      <c r="N3966" s="149"/>
      <c r="O3966" s="149"/>
      <c r="P3966" s="149"/>
      <c r="Q3966" s="149"/>
      <c r="R3966" s="149"/>
      <c r="S3966" s="149"/>
      <c r="T3966" s="149"/>
      <c r="U3966" s="149"/>
      <c r="V3966" s="149"/>
      <c r="W3966" s="149"/>
      <c r="X3966" s="149"/>
      <c r="Y3966" s="149"/>
      <c r="Z3966" s="149"/>
      <c r="AA3966" s="149"/>
      <c r="AB3966" s="149"/>
      <c r="AC3966" s="149"/>
      <c r="AD3966" s="149"/>
      <c r="AE3966" s="149"/>
      <c r="AF3966" s="149"/>
      <c r="AG3966" s="149"/>
      <c r="AH3966" s="149"/>
      <c r="AI3966" s="149"/>
      <c r="AJ3966" s="149"/>
      <c r="AK3966" s="149"/>
      <c r="AL3966" s="149"/>
      <c r="AM3966" s="149"/>
      <c r="AN3966" s="149"/>
      <c r="AO3966" s="128"/>
      <c r="AP3966" s="128"/>
      <c r="AQ3966" s="128"/>
      <c r="AR3966" s="128"/>
      <c r="AS3966" s="128"/>
      <c r="AT3966" s="128"/>
      <c r="AU3966" s="128"/>
      <c r="AV3966" s="128"/>
      <c r="AW3966" s="128"/>
      <c r="AX3966" s="128"/>
      <c r="AY3966" s="128"/>
      <c r="AZ3966" s="128"/>
      <c r="BA3966" s="128"/>
      <c r="BB3966" s="128"/>
      <c r="BC3966" s="128"/>
      <c r="BD3966" s="128"/>
      <c r="BE3966" s="128"/>
      <c r="BF3966" s="128"/>
      <c r="BG3966" s="128"/>
      <c r="BH3966" s="128"/>
      <c r="BI3966" s="128"/>
      <c r="BJ3966" s="128"/>
      <c r="BK3966" s="128"/>
      <c r="BL3966" s="128"/>
      <c r="BM3966" s="151"/>
      <c r="BN3966" s="128"/>
      <c r="BO3966" s="128"/>
      <c r="BP3966" s="128"/>
      <c r="BQ3966" s="128"/>
      <c r="BR3966" s="128"/>
      <c r="BS3966" s="128"/>
      <c r="BT3966" s="128"/>
      <c r="BU3966" s="128"/>
      <c r="BV3966" s="128"/>
      <c r="BW3966" s="128"/>
      <c r="BX3966" s="128"/>
      <c r="BY3966" s="128"/>
      <c r="BZ3966" s="128"/>
      <c r="CA3966" s="128"/>
      <c r="CB3966" s="128"/>
      <c r="CC3966" s="128"/>
      <c r="CD3966" s="128"/>
      <c r="CE3966" s="128"/>
      <c r="CF3966" s="128"/>
      <c r="CG3966" s="128"/>
      <c r="CI3966" s="128"/>
      <c r="CJ3966" s="128"/>
      <c r="CK3966" s="128"/>
      <c r="CL3966" s="128"/>
      <c r="CM3966" s="128"/>
      <c r="CN3966" s="128"/>
      <c r="CO3966" s="128"/>
      <c r="CP3966" s="128"/>
      <c r="CQ3966" s="128"/>
      <c r="CR3966" s="128"/>
      <c r="CS3966" s="128"/>
      <c r="CT3966" s="128"/>
      <c r="CU3966" s="128"/>
      <c r="CV3966" s="128"/>
      <c r="CW3966" s="128"/>
      <c r="CX3966" s="128"/>
      <c r="CY3966" s="128"/>
      <c r="CZ3966" s="165"/>
    </row>
    <row r="3967" spans="1:104">
      <c r="A3967" s="149"/>
      <c r="B3967" s="149"/>
      <c r="C3967" s="150"/>
      <c r="D3967" s="102"/>
      <c r="E3967" s="149"/>
      <c r="F3967" s="149"/>
      <c r="G3967" s="149"/>
      <c r="H3967" s="149"/>
      <c r="I3967" s="149"/>
      <c r="J3967" s="149"/>
      <c r="K3967" s="149"/>
      <c r="L3967" s="149"/>
      <c r="M3967" s="149"/>
      <c r="N3967" s="149"/>
      <c r="O3967" s="149"/>
      <c r="P3967" s="149"/>
      <c r="Q3967" s="149"/>
      <c r="R3967" s="149"/>
      <c r="S3967" s="149"/>
      <c r="T3967" s="149"/>
      <c r="U3967" s="149"/>
      <c r="V3967" s="149"/>
      <c r="W3967" s="149"/>
      <c r="X3967" s="149"/>
      <c r="Y3967" s="149"/>
      <c r="Z3967" s="149"/>
      <c r="AA3967" s="149"/>
      <c r="AB3967" s="149"/>
      <c r="AC3967" s="149"/>
      <c r="AD3967" s="149"/>
      <c r="AE3967" s="149"/>
      <c r="AF3967" s="149"/>
      <c r="AG3967" s="149"/>
      <c r="AH3967" s="149"/>
      <c r="AI3967" s="149"/>
      <c r="AJ3967" s="149"/>
      <c r="AK3967" s="149"/>
      <c r="AL3967" s="149"/>
      <c r="AM3967" s="149"/>
      <c r="AN3967" s="149"/>
      <c r="AO3967" s="128"/>
      <c r="AP3967" s="128"/>
      <c r="AQ3967" s="128"/>
      <c r="AR3967" s="128"/>
      <c r="AS3967" s="128"/>
      <c r="AT3967" s="128"/>
      <c r="AU3967" s="128"/>
      <c r="AV3967" s="128"/>
      <c r="AW3967" s="128"/>
      <c r="AX3967" s="128"/>
      <c r="AY3967" s="128"/>
      <c r="AZ3967" s="128"/>
      <c r="BA3967" s="128"/>
      <c r="BB3967" s="128"/>
      <c r="BC3967" s="128"/>
      <c r="BD3967" s="128"/>
      <c r="BE3967" s="128"/>
      <c r="BF3967" s="128"/>
      <c r="BG3967" s="128"/>
      <c r="BH3967" s="128"/>
      <c r="BI3967" s="128"/>
      <c r="BJ3967" s="128"/>
      <c r="BK3967" s="128"/>
      <c r="BL3967" s="128"/>
      <c r="BM3967" s="151"/>
      <c r="BN3967" s="128"/>
      <c r="BO3967" s="128"/>
      <c r="BP3967" s="128"/>
      <c r="BQ3967" s="128"/>
      <c r="BR3967" s="128"/>
      <c r="BS3967" s="128"/>
      <c r="BT3967" s="128"/>
      <c r="BU3967" s="128"/>
      <c r="BV3967" s="128"/>
      <c r="BW3967" s="128"/>
      <c r="BX3967" s="128"/>
      <c r="BY3967" s="128"/>
      <c r="BZ3967" s="128"/>
      <c r="CA3967" s="128"/>
      <c r="CB3967" s="128"/>
      <c r="CC3967" s="128"/>
      <c r="CD3967" s="128"/>
      <c r="CE3967" s="128"/>
      <c r="CF3967" s="128"/>
      <c r="CG3967" s="128"/>
      <c r="CI3967" s="128"/>
      <c r="CJ3967" s="128"/>
      <c r="CK3967" s="128"/>
      <c r="CL3967" s="128"/>
      <c r="CM3967" s="128"/>
      <c r="CN3967" s="128"/>
      <c r="CO3967" s="128"/>
      <c r="CP3967" s="128"/>
      <c r="CQ3967" s="128"/>
      <c r="CR3967" s="128"/>
      <c r="CS3967" s="128"/>
      <c r="CT3967" s="128"/>
      <c r="CU3967" s="128"/>
      <c r="CV3967" s="128"/>
      <c r="CW3967" s="128"/>
      <c r="CX3967" s="128"/>
      <c r="CY3967" s="128"/>
      <c r="CZ3967" s="165"/>
    </row>
    <row r="3968" spans="1:104">
      <c r="A3968" s="149"/>
      <c r="B3968" s="149"/>
      <c r="C3968" s="150"/>
      <c r="D3968" s="102"/>
      <c r="E3968" s="149"/>
      <c r="F3968" s="149"/>
      <c r="G3968" s="149"/>
      <c r="H3968" s="149"/>
      <c r="I3968" s="149"/>
      <c r="J3968" s="149"/>
      <c r="K3968" s="149"/>
      <c r="L3968" s="149"/>
      <c r="M3968" s="149"/>
      <c r="N3968" s="149"/>
      <c r="O3968" s="149"/>
      <c r="P3968" s="149"/>
      <c r="Q3968" s="149"/>
      <c r="R3968" s="149"/>
      <c r="S3968" s="149"/>
      <c r="T3968" s="149"/>
      <c r="U3968" s="149"/>
      <c r="V3968" s="149"/>
      <c r="W3968" s="149"/>
      <c r="X3968" s="149"/>
      <c r="Y3968" s="149"/>
      <c r="Z3968" s="149"/>
      <c r="AA3968" s="149"/>
      <c r="AB3968" s="149"/>
      <c r="AC3968" s="149"/>
      <c r="AD3968" s="149"/>
      <c r="AE3968" s="149"/>
      <c r="AF3968" s="149"/>
      <c r="AG3968" s="149"/>
      <c r="AH3968" s="149"/>
      <c r="AI3968" s="149"/>
      <c r="AJ3968" s="149"/>
      <c r="AK3968" s="149"/>
      <c r="AL3968" s="149"/>
      <c r="AM3968" s="149"/>
      <c r="AN3968" s="149"/>
      <c r="AO3968" s="128"/>
      <c r="AP3968" s="128"/>
      <c r="AQ3968" s="128"/>
      <c r="AR3968" s="128"/>
      <c r="AS3968" s="128"/>
      <c r="AT3968" s="128"/>
      <c r="AU3968" s="128"/>
      <c r="AV3968" s="128"/>
      <c r="AW3968" s="128"/>
      <c r="AX3968" s="128"/>
      <c r="AY3968" s="128"/>
      <c r="AZ3968" s="128"/>
      <c r="BA3968" s="128"/>
      <c r="BB3968" s="128"/>
      <c r="BC3968" s="128"/>
      <c r="BD3968" s="128"/>
      <c r="BE3968" s="128"/>
      <c r="BF3968" s="128"/>
      <c r="BG3968" s="128"/>
      <c r="BH3968" s="128"/>
      <c r="BI3968" s="128"/>
      <c r="BJ3968" s="128"/>
      <c r="BK3968" s="128"/>
      <c r="BL3968" s="128"/>
      <c r="BM3968" s="151"/>
      <c r="BN3968" s="128"/>
      <c r="BO3968" s="128"/>
      <c r="BP3968" s="128"/>
      <c r="BQ3968" s="128"/>
      <c r="BR3968" s="128"/>
      <c r="BS3968" s="128"/>
      <c r="BT3968" s="128"/>
      <c r="BU3968" s="128"/>
      <c r="BV3968" s="128"/>
      <c r="BW3968" s="128"/>
      <c r="BX3968" s="128"/>
      <c r="BY3968" s="128"/>
      <c r="BZ3968" s="128"/>
      <c r="CA3968" s="128"/>
      <c r="CB3968" s="128"/>
      <c r="CC3968" s="128"/>
      <c r="CD3968" s="128"/>
      <c r="CE3968" s="128"/>
      <c r="CF3968" s="128"/>
      <c r="CG3968" s="128"/>
      <c r="CI3968" s="128"/>
      <c r="CJ3968" s="128"/>
      <c r="CK3968" s="128"/>
      <c r="CL3968" s="128"/>
      <c r="CM3968" s="128"/>
      <c r="CN3968" s="128"/>
      <c r="CO3968" s="128"/>
      <c r="CP3968" s="128"/>
      <c r="CQ3968" s="128"/>
      <c r="CR3968" s="128"/>
      <c r="CS3968" s="128"/>
      <c r="CT3968" s="128"/>
      <c r="CU3968" s="128"/>
      <c r="CV3968" s="128"/>
      <c r="CW3968" s="128"/>
      <c r="CX3968" s="128"/>
      <c r="CY3968" s="128"/>
      <c r="CZ3968" s="165"/>
    </row>
    <row r="3969" spans="1:104">
      <c r="A3969" s="149"/>
      <c r="B3969" s="149"/>
      <c r="C3969" s="150"/>
      <c r="D3969" s="102"/>
      <c r="E3969" s="149"/>
      <c r="F3969" s="149"/>
      <c r="G3969" s="149"/>
      <c r="H3969" s="149"/>
      <c r="I3969" s="149"/>
      <c r="J3969" s="149"/>
      <c r="K3969" s="149"/>
      <c r="L3969" s="149"/>
      <c r="M3969" s="149"/>
      <c r="N3969" s="149"/>
      <c r="O3969" s="149"/>
      <c r="P3969" s="149"/>
      <c r="Q3969" s="149"/>
      <c r="R3969" s="149"/>
      <c r="S3969" s="149"/>
      <c r="T3969" s="149"/>
      <c r="U3969" s="149"/>
      <c r="V3969" s="149"/>
      <c r="W3969" s="149"/>
      <c r="X3969" s="149"/>
      <c r="Y3969" s="149"/>
      <c r="Z3969" s="149"/>
      <c r="AA3969" s="149"/>
      <c r="AB3969" s="149"/>
      <c r="AC3969" s="149"/>
      <c r="AD3969" s="149"/>
      <c r="AE3969" s="149"/>
      <c r="AF3969" s="149"/>
      <c r="AG3969" s="149"/>
      <c r="AH3969" s="149"/>
      <c r="AI3969" s="149"/>
      <c r="AJ3969" s="149"/>
      <c r="AK3969" s="149"/>
      <c r="AL3969" s="149"/>
      <c r="AM3969" s="149"/>
      <c r="AN3969" s="149"/>
      <c r="AO3969" s="128"/>
      <c r="AP3969" s="128"/>
      <c r="AQ3969" s="128"/>
      <c r="AR3969" s="128"/>
      <c r="AS3969" s="128"/>
      <c r="AT3969" s="128"/>
      <c r="AU3969" s="128"/>
      <c r="AV3969" s="128"/>
      <c r="AW3969" s="128"/>
      <c r="AX3969" s="128"/>
      <c r="AY3969" s="128"/>
      <c r="AZ3969" s="128"/>
      <c r="BA3969" s="128"/>
      <c r="BB3969" s="128"/>
      <c r="BC3969" s="128"/>
      <c r="BD3969" s="128"/>
      <c r="BE3969" s="128"/>
      <c r="BF3969" s="128"/>
      <c r="BG3969" s="128"/>
      <c r="BH3969" s="128"/>
      <c r="BI3969" s="128"/>
      <c r="BJ3969" s="128"/>
      <c r="BK3969" s="128"/>
      <c r="BL3969" s="128"/>
      <c r="BM3969" s="151"/>
      <c r="BN3969" s="128"/>
      <c r="BO3969" s="128"/>
      <c r="BP3969" s="128"/>
      <c r="BQ3969" s="128"/>
      <c r="BR3969" s="128"/>
      <c r="BS3969" s="128"/>
      <c r="BT3969" s="128"/>
      <c r="BU3969" s="128"/>
      <c r="BV3969" s="128"/>
      <c r="BW3969" s="128"/>
      <c r="BX3969" s="128"/>
      <c r="BY3969" s="128"/>
      <c r="BZ3969" s="128"/>
      <c r="CA3969" s="128"/>
      <c r="CB3969" s="128"/>
      <c r="CC3969" s="128"/>
      <c r="CD3969" s="128"/>
      <c r="CE3969" s="128"/>
      <c r="CF3969" s="128"/>
      <c r="CG3969" s="128"/>
      <c r="CI3969" s="128"/>
      <c r="CJ3969" s="128"/>
      <c r="CK3969" s="128"/>
      <c r="CL3969" s="128"/>
      <c r="CM3969" s="128"/>
      <c r="CN3969" s="128"/>
      <c r="CO3969" s="128"/>
      <c r="CP3969" s="128"/>
      <c r="CQ3969" s="128"/>
      <c r="CR3969" s="128"/>
      <c r="CS3969" s="128"/>
      <c r="CT3969" s="128"/>
      <c r="CU3969" s="128"/>
      <c r="CV3969" s="128"/>
      <c r="CW3969" s="128"/>
      <c r="CX3969" s="128"/>
      <c r="CY3969" s="128"/>
      <c r="CZ3969" s="165"/>
    </row>
    <row r="3970" spans="1:104">
      <c r="A3970" s="149"/>
      <c r="B3970" s="149"/>
      <c r="C3970" s="150"/>
      <c r="D3970" s="102"/>
      <c r="E3970" s="149"/>
      <c r="F3970" s="149"/>
      <c r="G3970" s="149"/>
      <c r="H3970" s="149"/>
      <c r="I3970" s="149"/>
      <c r="J3970" s="149"/>
      <c r="K3970" s="149"/>
      <c r="L3970" s="149"/>
      <c r="M3970" s="149"/>
      <c r="N3970" s="149"/>
      <c r="O3970" s="149"/>
      <c r="P3970" s="149"/>
      <c r="Q3970" s="149"/>
      <c r="R3970" s="149"/>
      <c r="S3970" s="149"/>
      <c r="T3970" s="149"/>
      <c r="U3970" s="149"/>
      <c r="V3970" s="149"/>
      <c r="W3970" s="149"/>
      <c r="X3970" s="149"/>
      <c r="Y3970" s="149"/>
      <c r="Z3970" s="149"/>
      <c r="AA3970" s="149"/>
      <c r="AB3970" s="149"/>
      <c r="AC3970" s="149"/>
      <c r="AD3970" s="149"/>
      <c r="AE3970" s="149"/>
      <c r="AF3970" s="149"/>
      <c r="AG3970" s="149"/>
      <c r="AH3970" s="149"/>
      <c r="AI3970" s="149"/>
      <c r="AJ3970" s="149"/>
      <c r="AK3970" s="149"/>
      <c r="AL3970" s="149"/>
      <c r="AM3970" s="149"/>
      <c r="AN3970" s="149"/>
      <c r="AO3970" s="128"/>
      <c r="AP3970" s="128"/>
      <c r="AQ3970" s="128"/>
      <c r="AR3970" s="128"/>
      <c r="AS3970" s="128"/>
      <c r="AT3970" s="128"/>
      <c r="AU3970" s="128"/>
      <c r="AV3970" s="128"/>
      <c r="AW3970" s="128"/>
      <c r="AX3970" s="128"/>
      <c r="AY3970" s="128"/>
      <c r="AZ3970" s="128"/>
      <c r="BA3970" s="128"/>
      <c r="BB3970" s="128"/>
      <c r="BC3970" s="128"/>
      <c r="BD3970" s="128"/>
      <c r="BE3970" s="128"/>
      <c r="BF3970" s="128"/>
      <c r="BG3970" s="128"/>
      <c r="BH3970" s="128"/>
      <c r="BI3970" s="128"/>
      <c r="BJ3970" s="128"/>
      <c r="BK3970" s="128"/>
      <c r="BL3970" s="128"/>
      <c r="BM3970" s="151"/>
      <c r="BN3970" s="128"/>
      <c r="BO3970" s="128"/>
      <c r="BP3970" s="128"/>
      <c r="BQ3970" s="128"/>
      <c r="BR3970" s="128"/>
      <c r="BS3970" s="128"/>
      <c r="BT3970" s="128"/>
      <c r="BU3970" s="128"/>
      <c r="BV3970" s="128"/>
      <c r="BW3970" s="128"/>
      <c r="BX3970" s="128"/>
      <c r="BY3970" s="128"/>
      <c r="BZ3970" s="128"/>
      <c r="CA3970" s="128"/>
      <c r="CB3970" s="128"/>
      <c r="CC3970" s="128"/>
      <c r="CD3970" s="128"/>
      <c r="CE3970" s="128"/>
      <c r="CF3970" s="128"/>
      <c r="CG3970" s="128"/>
      <c r="CI3970" s="128"/>
      <c r="CJ3970" s="128"/>
      <c r="CK3970" s="128"/>
      <c r="CL3970" s="128"/>
      <c r="CM3970" s="128"/>
      <c r="CN3970" s="128"/>
      <c r="CO3970" s="128"/>
      <c r="CP3970" s="128"/>
      <c r="CQ3970" s="128"/>
      <c r="CR3970" s="128"/>
      <c r="CS3970" s="128"/>
      <c r="CT3970" s="128"/>
      <c r="CU3970" s="128"/>
      <c r="CV3970" s="128"/>
      <c r="CW3970" s="128"/>
      <c r="CX3970" s="128"/>
      <c r="CY3970" s="128"/>
      <c r="CZ3970" s="165"/>
    </row>
    <row r="3971" spans="1:104">
      <c r="A3971" s="149"/>
      <c r="B3971" s="149"/>
      <c r="C3971" s="150"/>
      <c r="D3971" s="102"/>
      <c r="E3971" s="149"/>
      <c r="F3971" s="149"/>
      <c r="G3971" s="149"/>
      <c r="H3971" s="149"/>
      <c r="I3971" s="149"/>
      <c r="J3971" s="149"/>
      <c r="K3971" s="149"/>
      <c r="L3971" s="149"/>
      <c r="M3971" s="149"/>
      <c r="N3971" s="149"/>
      <c r="O3971" s="149"/>
      <c r="P3971" s="149"/>
      <c r="Q3971" s="149"/>
      <c r="R3971" s="149"/>
      <c r="S3971" s="149"/>
      <c r="T3971" s="149"/>
      <c r="U3971" s="149"/>
      <c r="V3971" s="149"/>
      <c r="W3971" s="149"/>
      <c r="X3971" s="149"/>
      <c r="Y3971" s="149"/>
      <c r="Z3971" s="149"/>
      <c r="AA3971" s="149"/>
      <c r="AB3971" s="149"/>
      <c r="AC3971" s="149"/>
      <c r="AD3971" s="149"/>
      <c r="AE3971" s="149"/>
      <c r="AF3971" s="149"/>
      <c r="AG3971" s="149"/>
      <c r="AH3971" s="149"/>
      <c r="AI3971" s="149"/>
      <c r="AJ3971" s="149"/>
      <c r="AK3971" s="149"/>
      <c r="AL3971" s="149"/>
      <c r="AM3971" s="149"/>
      <c r="AN3971" s="149"/>
      <c r="AO3971" s="128"/>
      <c r="AP3971" s="128"/>
      <c r="AQ3971" s="128"/>
      <c r="AR3971" s="128"/>
      <c r="AS3971" s="128"/>
      <c r="AT3971" s="128"/>
      <c r="AU3971" s="128"/>
      <c r="AV3971" s="128"/>
      <c r="AW3971" s="128"/>
      <c r="AX3971" s="128"/>
      <c r="AY3971" s="128"/>
      <c r="AZ3971" s="128"/>
      <c r="BA3971" s="128"/>
      <c r="BB3971" s="128"/>
      <c r="BC3971" s="128"/>
      <c r="BD3971" s="128"/>
      <c r="BE3971" s="128"/>
      <c r="BF3971" s="128"/>
      <c r="BG3971" s="128"/>
      <c r="BH3971" s="128"/>
      <c r="BI3971" s="128"/>
      <c r="BJ3971" s="128"/>
      <c r="BK3971" s="128"/>
      <c r="BL3971" s="128"/>
      <c r="BM3971" s="151"/>
      <c r="BN3971" s="128"/>
      <c r="BO3971" s="128"/>
      <c r="BP3971" s="128"/>
      <c r="BQ3971" s="128"/>
      <c r="BR3971" s="128"/>
      <c r="BS3971" s="128"/>
      <c r="BT3971" s="128"/>
      <c r="BU3971" s="128"/>
      <c r="BV3971" s="128"/>
      <c r="BW3971" s="128"/>
      <c r="BX3971" s="128"/>
      <c r="BY3971" s="128"/>
      <c r="BZ3971" s="128"/>
      <c r="CA3971" s="128"/>
      <c r="CB3971" s="128"/>
      <c r="CC3971" s="128"/>
      <c r="CD3971" s="128"/>
      <c r="CE3971" s="128"/>
      <c r="CF3971" s="128"/>
      <c r="CG3971" s="128"/>
      <c r="CI3971" s="128"/>
      <c r="CJ3971" s="128"/>
      <c r="CK3971" s="128"/>
      <c r="CL3971" s="128"/>
      <c r="CM3971" s="128"/>
      <c r="CN3971" s="128"/>
      <c r="CO3971" s="128"/>
      <c r="CP3971" s="128"/>
      <c r="CQ3971" s="128"/>
      <c r="CR3971" s="128"/>
      <c r="CS3971" s="128"/>
      <c r="CT3971" s="128"/>
      <c r="CU3971" s="128"/>
      <c r="CV3971" s="128"/>
      <c r="CW3971" s="128"/>
      <c r="CX3971" s="128"/>
      <c r="CY3971" s="128"/>
      <c r="CZ3971" s="165"/>
    </row>
    <row r="3972" spans="1:104">
      <c r="A3972" s="149"/>
      <c r="B3972" s="149"/>
      <c r="C3972" s="150"/>
      <c r="D3972" s="102"/>
      <c r="E3972" s="149"/>
      <c r="F3972" s="149"/>
      <c r="G3972" s="149"/>
      <c r="H3972" s="149"/>
      <c r="I3972" s="149"/>
      <c r="J3972" s="149"/>
      <c r="K3972" s="149"/>
      <c r="L3972" s="149"/>
      <c r="M3972" s="149"/>
      <c r="N3972" s="149"/>
      <c r="O3972" s="149"/>
      <c r="P3972" s="149"/>
      <c r="Q3972" s="149"/>
      <c r="R3972" s="149"/>
      <c r="S3972" s="149"/>
      <c r="T3972" s="149"/>
      <c r="U3972" s="149"/>
      <c r="V3972" s="149"/>
      <c r="W3972" s="149"/>
      <c r="X3972" s="149"/>
      <c r="Y3972" s="149"/>
      <c r="Z3972" s="149"/>
      <c r="AA3972" s="149"/>
      <c r="AB3972" s="149"/>
      <c r="AC3972" s="149"/>
      <c r="AD3972" s="149"/>
      <c r="AE3972" s="149"/>
      <c r="AF3972" s="149"/>
      <c r="AG3972" s="149"/>
      <c r="AH3972" s="149"/>
      <c r="AI3972" s="149"/>
      <c r="AJ3972" s="149"/>
      <c r="AK3972" s="149"/>
      <c r="AL3972" s="149"/>
      <c r="AM3972" s="149"/>
      <c r="AN3972" s="149"/>
      <c r="AO3972" s="128"/>
      <c r="AP3972" s="128"/>
      <c r="AQ3972" s="128"/>
      <c r="AR3972" s="128"/>
      <c r="AS3972" s="128"/>
      <c r="AT3972" s="128"/>
      <c r="AU3972" s="128"/>
      <c r="AV3972" s="128"/>
      <c r="AW3972" s="128"/>
      <c r="AX3972" s="128"/>
      <c r="AY3972" s="128"/>
      <c r="AZ3972" s="128"/>
      <c r="BA3972" s="128"/>
      <c r="BB3972" s="128"/>
      <c r="BC3972" s="128"/>
      <c r="BD3972" s="128"/>
      <c r="BE3972" s="128"/>
      <c r="BF3972" s="128"/>
      <c r="BG3972" s="128"/>
      <c r="BH3972" s="128"/>
      <c r="BI3972" s="128"/>
      <c r="BJ3972" s="128"/>
      <c r="BK3972" s="128"/>
      <c r="BL3972" s="128"/>
      <c r="BM3972" s="151"/>
      <c r="BN3972" s="128"/>
      <c r="BO3972" s="128"/>
      <c r="BP3972" s="128"/>
      <c r="BQ3972" s="128"/>
      <c r="BR3972" s="128"/>
      <c r="BS3972" s="128"/>
      <c r="BT3972" s="128"/>
      <c r="BU3972" s="128"/>
      <c r="BV3972" s="128"/>
      <c r="BW3972" s="128"/>
      <c r="BX3972" s="128"/>
      <c r="BY3972" s="128"/>
      <c r="BZ3972" s="128"/>
      <c r="CA3972" s="128"/>
      <c r="CB3972" s="128"/>
      <c r="CC3972" s="128"/>
      <c r="CD3972" s="128"/>
      <c r="CE3972" s="128"/>
      <c r="CF3972" s="128"/>
      <c r="CG3972" s="128"/>
      <c r="CI3972" s="128"/>
      <c r="CJ3972" s="128"/>
      <c r="CK3972" s="128"/>
      <c r="CL3972" s="128"/>
      <c r="CM3972" s="128"/>
      <c r="CN3972" s="128"/>
      <c r="CO3972" s="128"/>
      <c r="CP3972" s="128"/>
      <c r="CQ3972" s="128"/>
      <c r="CR3972" s="128"/>
      <c r="CS3972" s="128"/>
      <c r="CT3972" s="128"/>
      <c r="CU3972" s="128"/>
      <c r="CV3972" s="128"/>
      <c r="CW3972" s="128"/>
      <c r="CX3972" s="128"/>
      <c r="CY3972" s="128"/>
      <c r="CZ3972" s="165"/>
    </row>
    <row r="3973" spans="1:104">
      <c r="A3973" s="149"/>
      <c r="B3973" s="149"/>
      <c r="C3973" s="150"/>
      <c r="D3973" s="102"/>
      <c r="E3973" s="149"/>
      <c r="F3973" s="149"/>
      <c r="G3973" s="149"/>
      <c r="H3973" s="149"/>
      <c r="I3973" s="149"/>
      <c r="J3973" s="149"/>
      <c r="K3973" s="149"/>
      <c r="L3973" s="149"/>
      <c r="M3973" s="149"/>
      <c r="N3973" s="149"/>
      <c r="O3973" s="149"/>
      <c r="P3973" s="149"/>
      <c r="Q3973" s="149"/>
      <c r="R3973" s="149"/>
      <c r="S3973" s="149"/>
      <c r="T3973" s="149"/>
      <c r="U3973" s="149"/>
      <c r="V3973" s="149"/>
      <c r="W3973" s="149"/>
      <c r="X3973" s="149"/>
      <c r="Y3973" s="149"/>
      <c r="Z3973" s="149"/>
      <c r="AA3973" s="149"/>
      <c r="AB3973" s="149"/>
      <c r="AC3973" s="149"/>
      <c r="AD3973" s="149"/>
      <c r="AE3973" s="149"/>
      <c r="AF3973" s="149"/>
      <c r="AG3973" s="149"/>
      <c r="AH3973" s="149"/>
      <c r="AI3973" s="149"/>
      <c r="AJ3973" s="149"/>
      <c r="AK3973" s="149"/>
      <c r="AL3973" s="149"/>
      <c r="AM3973" s="149"/>
      <c r="AN3973" s="149"/>
      <c r="AO3973" s="128"/>
      <c r="AP3973" s="128"/>
      <c r="AQ3973" s="128"/>
      <c r="AR3973" s="128"/>
      <c r="AS3973" s="128"/>
      <c r="AT3973" s="128"/>
      <c r="AU3973" s="128"/>
      <c r="AV3973" s="128"/>
      <c r="AW3973" s="128"/>
      <c r="AX3973" s="128"/>
      <c r="AY3973" s="128"/>
      <c r="AZ3973" s="128"/>
      <c r="BA3973" s="128"/>
      <c r="BB3973" s="128"/>
      <c r="BC3973" s="128"/>
      <c r="BD3973" s="128"/>
      <c r="BE3973" s="128"/>
      <c r="BF3973" s="128"/>
      <c r="BG3973" s="128"/>
      <c r="BH3973" s="128"/>
      <c r="BI3973" s="128"/>
      <c r="BJ3973" s="128"/>
      <c r="BK3973" s="128"/>
      <c r="BL3973" s="128"/>
      <c r="BM3973" s="151"/>
      <c r="BN3973" s="128"/>
      <c r="BO3973" s="128"/>
      <c r="BP3973" s="128"/>
      <c r="BQ3973" s="128"/>
      <c r="BR3973" s="128"/>
      <c r="BS3973" s="128"/>
      <c r="BT3973" s="128"/>
      <c r="BU3973" s="128"/>
      <c r="BV3973" s="128"/>
      <c r="BW3973" s="128"/>
      <c r="BX3973" s="128"/>
      <c r="BY3973" s="128"/>
      <c r="BZ3973" s="128"/>
      <c r="CA3973" s="128"/>
      <c r="CB3973" s="128"/>
      <c r="CC3973" s="128"/>
      <c r="CD3973" s="128"/>
      <c r="CE3973" s="128"/>
      <c r="CF3973" s="128"/>
      <c r="CG3973" s="128"/>
      <c r="CI3973" s="128"/>
      <c r="CJ3973" s="128"/>
      <c r="CK3973" s="128"/>
      <c r="CL3973" s="128"/>
      <c r="CM3973" s="128"/>
      <c r="CN3973" s="128"/>
      <c r="CO3973" s="128"/>
      <c r="CP3973" s="128"/>
      <c r="CQ3973" s="128"/>
      <c r="CR3973" s="128"/>
      <c r="CS3973" s="128"/>
      <c r="CT3973" s="128"/>
      <c r="CU3973" s="128"/>
      <c r="CV3973" s="128"/>
      <c r="CW3973" s="128"/>
      <c r="CX3973" s="128"/>
      <c r="CY3973" s="128"/>
      <c r="CZ3973" s="165"/>
    </row>
    <row r="3974" spans="1:104">
      <c r="A3974" s="149"/>
      <c r="B3974" s="149"/>
      <c r="C3974" s="150"/>
      <c r="D3974" s="102"/>
      <c r="E3974" s="149"/>
      <c r="F3974" s="149"/>
      <c r="G3974" s="149"/>
      <c r="H3974" s="149"/>
      <c r="I3974" s="149"/>
      <c r="J3974" s="149"/>
      <c r="K3974" s="149"/>
      <c r="L3974" s="149"/>
      <c r="M3974" s="149"/>
      <c r="N3974" s="149"/>
      <c r="O3974" s="149"/>
      <c r="P3974" s="149"/>
      <c r="Q3974" s="149"/>
      <c r="R3974" s="149"/>
      <c r="S3974" s="149"/>
      <c r="T3974" s="149"/>
      <c r="U3974" s="149"/>
      <c r="V3974" s="149"/>
      <c r="W3974" s="149"/>
      <c r="X3974" s="149"/>
      <c r="Y3974" s="149"/>
      <c r="Z3974" s="149"/>
      <c r="AA3974" s="149"/>
      <c r="AB3974" s="149"/>
      <c r="AC3974" s="149"/>
      <c r="AD3974" s="149"/>
      <c r="AE3974" s="149"/>
      <c r="AF3974" s="149"/>
      <c r="AG3974" s="149"/>
      <c r="AH3974" s="149"/>
      <c r="AI3974" s="149"/>
      <c r="AJ3974" s="149"/>
      <c r="AK3974" s="149"/>
      <c r="AL3974" s="149"/>
      <c r="AM3974" s="149"/>
      <c r="AN3974" s="149"/>
      <c r="AO3974" s="128"/>
      <c r="AP3974" s="128"/>
      <c r="AQ3974" s="128"/>
      <c r="AR3974" s="128"/>
      <c r="AS3974" s="128"/>
      <c r="AT3974" s="128"/>
      <c r="AU3974" s="128"/>
      <c r="AV3974" s="128"/>
      <c r="AW3974" s="128"/>
      <c r="AX3974" s="128"/>
      <c r="AY3974" s="128"/>
      <c r="AZ3974" s="128"/>
      <c r="BA3974" s="128"/>
      <c r="BB3974" s="128"/>
      <c r="BC3974" s="128"/>
      <c r="BD3974" s="128"/>
      <c r="BE3974" s="128"/>
      <c r="BF3974" s="128"/>
      <c r="BG3974" s="128"/>
      <c r="BH3974" s="128"/>
      <c r="BI3974" s="128"/>
      <c r="BJ3974" s="128"/>
      <c r="BK3974" s="128"/>
      <c r="BL3974" s="128"/>
      <c r="BM3974" s="151"/>
      <c r="BN3974" s="128"/>
      <c r="BO3974" s="128"/>
      <c r="BP3974" s="128"/>
      <c r="BQ3974" s="128"/>
      <c r="BR3974" s="128"/>
      <c r="BS3974" s="128"/>
      <c r="BT3974" s="128"/>
      <c r="BU3974" s="128"/>
      <c r="BV3974" s="128"/>
      <c r="BW3974" s="128"/>
      <c r="BX3974" s="128"/>
      <c r="BY3974" s="128"/>
      <c r="BZ3974" s="128"/>
      <c r="CA3974" s="128"/>
      <c r="CB3974" s="128"/>
      <c r="CC3974" s="128"/>
      <c r="CD3974" s="128"/>
      <c r="CE3974" s="128"/>
      <c r="CF3974" s="128"/>
      <c r="CG3974" s="128"/>
      <c r="CI3974" s="128"/>
      <c r="CJ3974" s="128"/>
      <c r="CK3974" s="128"/>
      <c r="CL3974" s="128"/>
      <c r="CM3974" s="128"/>
      <c r="CN3974" s="128"/>
      <c r="CO3974" s="128"/>
      <c r="CP3974" s="128"/>
      <c r="CQ3974" s="128"/>
      <c r="CR3974" s="128"/>
      <c r="CS3974" s="128"/>
      <c r="CT3974" s="128"/>
      <c r="CU3974" s="128"/>
      <c r="CV3974" s="128"/>
      <c r="CW3974" s="128"/>
      <c r="CX3974" s="128"/>
      <c r="CY3974" s="128"/>
      <c r="CZ3974" s="165"/>
    </row>
    <row r="3975" spans="1:104">
      <c r="A3975" s="149"/>
      <c r="B3975" s="149"/>
      <c r="C3975" s="150"/>
      <c r="D3975" s="102"/>
      <c r="E3975" s="149"/>
      <c r="F3975" s="149"/>
      <c r="G3975" s="149"/>
      <c r="H3975" s="149"/>
      <c r="I3975" s="149"/>
      <c r="J3975" s="149"/>
      <c r="K3975" s="149"/>
      <c r="L3975" s="149"/>
      <c r="M3975" s="149"/>
      <c r="N3975" s="149"/>
      <c r="O3975" s="149"/>
      <c r="P3975" s="149"/>
      <c r="Q3975" s="149"/>
      <c r="R3975" s="149"/>
      <c r="S3975" s="149"/>
      <c r="T3975" s="149"/>
      <c r="U3975" s="149"/>
      <c r="V3975" s="149"/>
      <c r="W3975" s="149"/>
      <c r="X3975" s="149"/>
      <c r="Y3975" s="149"/>
      <c r="Z3975" s="149"/>
      <c r="AA3975" s="149"/>
      <c r="AB3975" s="149"/>
      <c r="AC3975" s="149"/>
      <c r="AD3975" s="149"/>
      <c r="AE3975" s="149"/>
      <c r="AF3975" s="149"/>
      <c r="AG3975" s="149"/>
      <c r="AH3975" s="149"/>
      <c r="AI3975" s="149"/>
      <c r="AJ3975" s="149"/>
      <c r="AK3975" s="149"/>
      <c r="AL3975" s="149"/>
      <c r="AM3975" s="149"/>
      <c r="AN3975" s="149"/>
      <c r="AO3975" s="128"/>
      <c r="AP3975" s="128"/>
      <c r="AQ3975" s="128"/>
      <c r="AR3975" s="128"/>
      <c r="AS3975" s="128"/>
      <c r="AT3975" s="128"/>
      <c r="AU3975" s="128"/>
      <c r="AV3975" s="128"/>
      <c r="AW3975" s="128"/>
      <c r="AX3975" s="128"/>
      <c r="AY3975" s="128"/>
      <c r="AZ3975" s="128"/>
      <c r="BA3975" s="128"/>
      <c r="BB3975" s="128"/>
      <c r="BC3975" s="128"/>
      <c r="BD3975" s="128"/>
      <c r="BE3975" s="128"/>
      <c r="BF3975" s="128"/>
      <c r="BG3975" s="128"/>
      <c r="BH3975" s="128"/>
      <c r="BI3975" s="128"/>
      <c r="BJ3975" s="128"/>
      <c r="BK3975" s="128"/>
      <c r="BL3975" s="128"/>
      <c r="BM3975" s="151"/>
      <c r="BN3975" s="128"/>
      <c r="BO3975" s="128"/>
      <c r="BP3975" s="128"/>
      <c r="BQ3975" s="128"/>
      <c r="BR3975" s="128"/>
      <c r="BS3975" s="128"/>
      <c r="BT3975" s="128"/>
      <c r="BU3975" s="128"/>
      <c r="BV3975" s="128"/>
      <c r="BW3975" s="128"/>
      <c r="BX3975" s="128"/>
      <c r="BY3975" s="128"/>
      <c r="BZ3975" s="128"/>
      <c r="CA3975" s="128"/>
      <c r="CB3975" s="128"/>
      <c r="CC3975" s="128"/>
      <c r="CD3975" s="128"/>
      <c r="CE3975" s="128"/>
      <c r="CF3975" s="128"/>
      <c r="CG3975" s="128"/>
      <c r="CI3975" s="128"/>
      <c r="CJ3975" s="128"/>
      <c r="CK3975" s="128"/>
      <c r="CL3975" s="128"/>
      <c r="CM3975" s="128"/>
      <c r="CN3975" s="128"/>
      <c r="CO3975" s="128"/>
      <c r="CP3975" s="128"/>
      <c r="CQ3975" s="128"/>
      <c r="CR3975" s="128"/>
      <c r="CS3975" s="128"/>
      <c r="CT3975" s="128"/>
      <c r="CU3975" s="128"/>
      <c r="CV3975" s="128"/>
      <c r="CW3975" s="128"/>
      <c r="CX3975" s="128"/>
      <c r="CY3975" s="128"/>
      <c r="CZ3975" s="165"/>
    </row>
    <row r="3976" spans="1:104">
      <c r="A3976" s="149"/>
      <c r="B3976" s="149"/>
      <c r="C3976" s="150"/>
      <c r="D3976" s="102"/>
      <c r="E3976" s="149"/>
      <c r="F3976" s="149"/>
      <c r="G3976" s="149"/>
      <c r="H3976" s="149"/>
      <c r="I3976" s="149"/>
      <c r="J3976" s="149"/>
      <c r="K3976" s="149"/>
      <c r="L3976" s="149"/>
      <c r="M3976" s="149"/>
      <c r="N3976" s="149"/>
      <c r="O3976" s="149"/>
      <c r="P3976" s="149"/>
      <c r="Q3976" s="149"/>
      <c r="R3976" s="149"/>
      <c r="S3976" s="149"/>
      <c r="T3976" s="149"/>
      <c r="U3976" s="149"/>
      <c r="V3976" s="149"/>
      <c r="W3976" s="149"/>
      <c r="X3976" s="149"/>
      <c r="Y3976" s="149"/>
      <c r="Z3976" s="149"/>
      <c r="AA3976" s="149"/>
      <c r="AB3976" s="149"/>
      <c r="AC3976" s="149"/>
      <c r="AD3976" s="149"/>
      <c r="AE3976" s="149"/>
      <c r="AF3976" s="149"/>
      <c r="AG3976" s="149"/>
      <c r="AH3976" s="149"/>
      <c r="AI3976" s="149"/>
      <c r="AJ3976" s="149"/>
      <c r="AK3976" s="149"/>
      <c r="AL3976" s="149"/>
      <c r="AM3976" s="149"/>
      <c r="AN3976" s="149"/>
      <c r="AO3976" s="128"/>
      <c r="AP3976" s="128"/>
      <c r="AQ3976" s="128"/>
      <c r="AR3976" s="128"/>
      <c r="AS3976" s="128"/>
      <c r="AT3976" s="128"/>
      <c r="AU3976" s="128"/>
      <c r="AV3976" s="128"/>
      <c r="AW3976" s="128"/>
      <c r="AX3976" s="128"/>
      <c r="AY3976" s="128"/>
      <c r="AZ3976" s="128"/>
      <c r="BA3976" s="128"/>
      <c r="BB3976" s="128"/>
      <c r="BC3976" s="128"/>
      <c r="BD3976" s="128"/>
      <c r="BE3976" s="128"/>
      <c r="BF3976" s="128"/>
      <c r="BG3976" s="128"/>
      <c r="BH3976" s="128"/>
      <c r="BI3976" s="128"/>
      <c r="BJ3976" s="128"/>
      <c r="BK3976" s="128"/>
      <c r="BL3976" s="128"/>
      <c r="BM3976" s="151"/>
      <c r="BN3976" s="128"/>
      <c r="BO3976" s="128"/>
      <c r="BP3976" s="128"/>
      <c r="BQ3976" s="128"/>
      <c r="BR3976" s="128"/>
      <c r="BS3976" s="128"/>
      <c r="BT3976" s="128"/>
      <c r="BU3976" s="128"/>
      <c r="BV3976" s="128"/>
      <c r="BW3976" s="128"/>
      <c r="BX3976" s="128"/>
      <c r="BY3976" s="128"/>
      <c r="BZ3976" s="128"/>
      <c r="CA3976" s="128"/>
      <c r="CB3976" s="128"/>
      <c r="CC3976" s="128"/>
      <c r="CD3976" s="128"/>
      <c r="CE3976" s="128"/>
      <c r="CF3976" s="128"/>
      <c r="CG3976" s="128"/>
      <c r="CI3976" s="128"/>
      <c r="CJ3976" s="128"/>
      <c r="CK3976" s="128"/>
      <c r="CL3976" s="128"/>
      <c r="CM3976" s="128"/>
      <c r="CN3976" s="128"/>
      <c r="CO3976" s="128"/>
      <c r="CP3976" s="128"/>
      <c r="CQ3976" s="128"/>
      <c r="CR3976" s="128"/>
      <c r="CS3976" s="128"/>
      <c r="CT3976" s="128"/>
      <c r="CU3976" s="128"/>
      <c r="CV3976" s="128"/>
      <c r="CW3976" s="128"/>
      <c r="CX3976" s="128"/>
      <c r="CY3976" s="128"/>
      <c r="CZ3976" s="165"/>
    </row>
    <row r="3977" spans="1:104">
      <c r="A3977" s="149"/>
      <c r="B3977" s="149"/>
      <c r="C3977" s="150"/>
      <c r="D3977" s="102"/>
      <c r="E3977" s="149"/>
      <c r="F3977" s="149"/>
      <c r="G3977" s="149"/>
      <c r="H3977" s="149"/>
      <c r="I3977" s="149"/>
      <c r="J3977" s="149"/>
      <c r="K3977" s="149"/>
      <c r="L3977" s="149"/>
      <c r="M3977" s="149"/>
      <c r="N3977" s="149"/>
      <c r="O3977" s="149"/>
      <c r="P3977" s="149"/>
      <c r="Q3977" s="149"/>
      <c r="R3977" s="149"/>
      <c r="S3977" s="149"/>
      <c r="T3977" s="149"/>
      <c r="U3977" s="149"/>
      <c r="V3977" s="149"/>
      <c r="W3977" s="149"/>
      <c r="X3977" s="149"/>
      <c r="Y3977" s="149"/>
      <c r="Z3977" s="149"/>
      <c r="AA3977" s="149"/>
      <c r="AB3977" s="149"/>
      <c r="AC3977" s="149"/>
      <c r="AD3977" s="149"/>
      <c r="AE3977" s="149"/>
      <c r="AF3977" s="149"/>
      <c r="AG3977" s="149"/>
      <c r="AH3977" s="149"/>
      <c r="AI3977" s="149"/>
      <c r="AJ3977" s="149"/>
      <c r="AK3977" s="149"/>
      <c r="AL3977" s="149"/>
      <c r="AM3977" s="149"/>
      <c r="AN3977" s="149"/>
      <c r="AO3977" s="128"/>
      <c r="AP3977" s="128"/>
      <c r="AQ3977" s="128"/>
      <c r="AR3977" s="128"/>
      <c r="AS3977" s="128"/>
      <c r="AT3977" s="128"/>
      <c r="AU3977" s="128"/>
      <c r="AV3977" s="128"/>
      <c r="AW3977" s="128"/>
      <c r="AX3977" s="128"/>
      <c r="AY3977" s="128"/>
      <c r="AZ3977" s="128"/>
      <c r="BA3977" s="128"/>
      <c r="BB3977" s="128"/>
      <c r="BC3977" s="128"/>
      <c r="BD3977" s="128"/>
      <c r="BE3977" s="128"/>
      <c r="BF3977" s="128"/>
      <c r="BG3977" s="128"/>
      <c r="BH3977" s="128"/>
      <c r="BI3977" s="128"/>
      <c r="BJ3977" s="128"/>
      <c r="BK3977" s="128"/>
      <c r="BL3977" s="128"/>
      <c r="BM3977" s="151"/>
      <c r="BN3977" s="128"/>
      <c r="BO3977" s="128"/>
      <c r="BP3977" s="128"/>
      <c r="BQ3977" s="128"/>
      <c r="BR3977" s="128"/>
      <c r="BS3977" s="128"/>
      <c r="BT3977" s="128"/>
      <c r="BU3977" s="128"/>
      <c r="BV3977" s="128"/>
      <c r="BW3977" s="128"/>
      <c r="BX3977" s="128"/>
      <c r="BY3977" s="128"/>
      <c r="BZ3977" s="128"/>
      <c r="CA3977" s="128"/>
      <c r="CB3977" s="128"/>
      <c r="CC3977" s="128"/>
      <c r="CD3977" s="128"/>
      <c r="CE3977" s="128"/>
      <c r="CF3977" s="128"/>
      <c r="CG3977" s="128"/>
      <c r="CI3977" s="128"/>
      <c r="CJ3977" s="128"/>
      <c r="CK3977" s="128"/>
      <c r="CL3977" s="128"/>
      <c r="CM3977" s="128"/>
      <c r="CN3977" s="128"/>
      <c r="CO3977" s="128"/>
      <c r="CP3977" s="128"/>
      <c r="CQ3977" s="128"/>
      <c r="CR3977" s="128"/>
      <c r="CS3977" s="128"/>
      <c r="CT3977" s="128"/>
      <c r="CU3977" s="128"/>
      <c r="CV3977" s="128"/>
      <c r="CW3977" s="128"/>
      <c r="CX3977" s="128"/>
      <c r="CY3977" s="128"/>
      <c r="CZ3977" s="165"/>
    </row>
    <row r="3978" spans="1:104">
      <c r="A3978" s="149"/>
      <c r="B3978" s="149"/>
      <c r="C3978" s="150"/>
      <c r="D3978" s="102"/>
      <c r="E3978" s="149"/>
      <c r="F3978" s="149"/>
      <c r="G3978" s="149"/>
      <c r="H3978" s="149"/>
      <c r="I3978" s="149"/>
      <c r="J3978" s="149"/>
      <c r="K3978" s="149"/>
      <c r="L3978" s="149"/>
      <c r="M3978" s="149"/>
      <c r="N3978" s="149"/>
      <c r="O3978" s="149"/>
      <c r="P3978" s="149"/>
      <c r="Q3978" s="149"/>
      <c r="R3978" s="149"/>
      <c r="S3978" s="149"/>
      <c r="T3978" s="149"/>
      <c r="U3978" s="149"/>
      <c r="V3978" s="149"/>
      <c r="W3978" s="149"/>
      <c r="X3978" s="149"/>
      <c r="Y3978" s="149"/>
      <c r="Z3978" s="149"/>
      <c r="AA3978" s="149"/>
      <c r="AB3978" s="149"/>
      <c r="AC3978" s="149"/>
      <c r="AD3978" s="149"/>
      <c r="AE3978" s="149"/>
      <c r="AF3978" s="149"/>
      <c r="AG3978" s="149"/>
      <c r="AH3978" s="149"/>
      <c r="AI3978" s="149"/>
      <c r="AJ3978" s="149"/>
      <c r="AK3978" s="149"/>
      <c r="AL3978" s="149"/>
      <c r="AM3978" s="149"/>
      <c r="AN3978" s="149"/>
      <c r="AO3978" s="128"/>
      <c r="AP3978" s="128"/>
      <c r="AQ3978" s="128"/>
      <c r="AR3978" s="128"/>
      <c r="AS3978" s="128"/>
      <c r="AT3978" s="128"/>
      <c r="AU3978" s="128"/>
      <c r="AV3978" s="128"/>
      <c r="AW3978" s="128"/>
      <c r="AX3978" s="128"/>
      <c r="AY3978" s="128"/>
      <c r="AZ3978" s="128"/>
      <c r="BA3978" s="128"/>
      <c r="BB3978" s="128"/>
      <c r="BC3978" s="128"/>
      <c r="BD3978" s="128"/>
      <c r="BE3978" s="128"/>
      <c r="BF3978" s="128"/>
      <c r="BG3978" s="128"/>
      <c r="BH3978" s="128"/>
      <c r="BI3978" s="128"/>
      <c r="BJ3978" s="128"/>
      <c r="BK3978" s="128"/>
      <c r="BL3978" s="128"/>
      <c r="BM3978" s="151"/>
      <c r="BN3978" s="128"/>
      <c r="BO3978" s="128"/>
      <c r="BP3978" s="128"/>
      <c r="BQ3978" s="128"/>
      <c r="BR3978" s="128"/>
      <c r="BS3978" s="128"/>
      <c r="BT3978" s="128"/>
      <c r="BU3978" s="128"/>
      <c r="BV3978" s="128"/>
      <c r="BW3978" s="128"/>
      <c r="BX3978" s="128"/>
      <c r="BY3978" s="128"/>
      <c r="BZ3978" s="128"/>
      <c r="CA3978" s="128"/>
      <c r="CB3978" s="128"/>
      <c r="CC3978" s="128"/>
      <c r="CD3978" s="128"/>
      <c r="CE3978" s="128"/>
      <c r="CF3978" s="128"/>
      <c r="CG3978" s="128"/>
      <c r="CI3978" s="128"/>
      <c r="CJ3978" s="128"/>
      <c r="CK3978" s="128"/>
      <c r="CL3978" s="128"/>
      <c r="CM3978" s="128"/>
      <c r="CN3978" s="128"/>
      <c r="CO3978" s="128"/>
      <c r="CP3978" s="128"/>
      <c r="CQ3978" s="128"/>
      <c r="CR3978" s="128"/>
      <c r="CS3978" s="128"/>
      <c r="CT3978" s="128"/>
      <c r="CU3978" s="128"/>
      <c r="CV3978" s="128"/>
      <c r="CW3978" s="128"/>
      <c r="CX3978" s="128"/>
      <c r="CY3978" s="128"/>
      <c r="CZ3978" s="165"/>
    </row>
    <row r="3979" spans="1:104">
      <c r="A3979" s="149"/>
      <c r="B3979" s="149"/>
      <c r="C3979" s="150"/>
      <c r="D3979" s="102"/>
      <c r="E3979" s="149"/>
      <c r="F3979" s="149"/>
      <c r="G3979" s="149"/>
      <c r="H3979" s="149"/>
      <c r="I3979" s="149"/>
      <c r="J3979" s="149"/>
      <c r="K3979" s="149"/>
      <c r="L3979" s="149"/>
      <c r="M3979" s="149"/>
      <c r="N3979" s="149"/>
      <c r="O3979" s="149"/>
      <c r="P3979" s="149"/>
      <c r="Q3979" s="149"/>
      <c r="R3979" s="149"/>
      <c r="S3979" s="149"/>
      <c r="T3979" s="149"/>
      <c r="U3979" s="149"/>
      <c r="V3979" s="149"/>
      <c r="W3979" s="149"/>
      <c r="X3979" s="149"/>
      <c r="Y3979" s="149"/>
      <c r="Z3979" s="149"/>
      <c r="AA3979" s="149"/>
      <c r="AB3979" s="149"/>
      <c r="AC3979" s="149"/>
      <c r="AD3979" s="149"/>
      <c r="AE3979" s="149"/>
      <c r="AF3979" s="149"/>
      <c r="AG3979" s="149"/>
      <c r="AH3979" s="149"/>
      <c r="AI3979" s="149"/>
      <c r="AJ3979" s="149"/>
      <c r="AK3979" s="149"/>
      <c r="AL3979" s="149"/>
      <c r="AM3979" s="149"/>
      <c r="AN3979" s="149"/>
      <c r="AO3979" s="128"/>
      <c r="AP3979" s="128"/>
      <c r="AQ3979" s="128"/>
      <c r="AR3979" s="128"/>
      <c r="AS3979" s="128"/>
      <c r="AT3979" s="128"/>
      <c r="AU3979" s="128"/>
      <c r="AV3979" s="128"/>
      <c r="AW3979" s="128"/>
      <c r="AX3979" s="128"/>
      <c r="AY3979" s="128"/>
      <c r="AZ3979" s="128"/>
      <c r="BA3979" s="128"/>
      <c r="BB3979" s="128"/>
      <c r="BC3979" s="128"/>
      <c r="BD3979" s="128"/>
      <c r="BE3979" s="128"/>
      <c r="BF3979" s="128"/>
      <c r="BG3979" s="128"/>
      <c r="BH3979" s="128"/>
      <c r="BI3979" s="128"/>
      <c r="BJ3979" s="128"/>
      <c r="BK3979" s="128"/>
      <c r="BL3979" s="128"/>
      <c r="BM3979" s="151"/>
      <c r="BN3979" s="128"/>
      <c r="BO3979" s="128"/>
      <c r="BP3979" s="128"/>
      <c r="BQ3979" s="128"/>
      <c r="BR3979" s="128"/>
      <c r="BS3979" s="128"/>
      <c r="BT3979" s="128"/>
      <c r="BU3979" s="128"/>
      <c r="BV3979" s="128"/>
      <c r="BW3979" s="128"/>
      <c r="BX3979" s="128"/>
      <c r="BY3979" s="128"/>
      <c r="BZ3979" s="128"/>
      <c r="CA3979" s="128"/>
      <c r="CB3979" s="128"/>
      <c r="CC3979" s="128"/>
      <c r="CD3979" s="128"/>
      <c r="CE3979" s="128"/>
      <c r="CF3979" s="128"/>
      <c r="CG3979" s="128"/>
      <c r="CI3979" s="128"/>
      <c r="CJ3979" s="128"/>
      <c r="CK3979" s="128"/>
      <c r="CL3979" s="128"/>
      <c r="CM3979" s="128"/>
      <c r="CN3979" s="128"/>
      <c r="CO3979" s="128"/>
      <c r="CP3979" s="128"/>
      <c r="CQ3979" s="128"/>
      <c r="CR3979" s="128"/>
      <c r="CS3979" s="128"/>
      <c r="CT3979" s="128"/>
      <c r="CU3979" s="128"/>
      <c r="CV3979" s="128"/>
      <c r="CW3979" s="128"/>
      <c r="CX3979" s="128"/>
      <c r="CY3979" s="128"/>
      <c r="CZ3979" s="165"/>
    </row>
    <row r="3980" spans="1:104">
      <c r="A3980" s="149"/>
      <c r="B3980" s="149"/>
      <c r="C3980" s="150"/>
      <c r="D3980" s="102"/>
      <c r="E3980" s="149"/>
      <c r="F3980" s="149"/>
      <c r="G3980" s="149"/>
      <c r="H3980" s="149"/>
      <c r="I3980" s="149"/>
      <c r="J3980" s="149"/>
      <c r="K3980" s="149"/>
      <c r="L3980" s="149"/>
      <c r="M3980" s="149"/>
      <c r="N3980" s="149"/>
      <c r="O3980" s="149"/>
      <c r="P3980" s="149"/>
      <c r="Q3980" s="149"/>
      <c r="R3980" s="149"/>
      <c r="S3980" s="149"/>
      <c r="T3980" s="149"/>
      <c r="U3980" s="149"/>
      <c r="V3980" s="149"/>
      <c r="W3980" s="149"/>
      <c r="X3980" s="149"/>
      <c r="Y3980" s="149"/>
      <c r="Z3980" s="149"/>
      <c r="AA3980" s="149"/>
      <c r="AB3980" s="149"/>
      <c r="AC3980" s="149"/>
      <c r="AD3980" s="149"/>
      <c r="AE3980" s="149"/>
      <c r="AF3980" s="149"/>
      <c r="AG3980" s="149"/>
      <c r="AH3980" s="149"/>
      <c r="AI3980" s="149"/>
      <c r="AJ3980" s="149"/>
      <c r="AK3980" s="149"/>
      <c r="AL3980" s="149"/>
      <c r="AM3980" s="149"/>
      <c r="AN3980" s="149"/>
      <c r="AO3980" s="128"/>
      <c r="AP3980" s="128"/>
      <c r="AQ3980" s="128"/>
      <c r="AR3980" s="128"/>
      <c r="AS3980" s="128"/>
      <c r="AT3980" s="128"/>
      <c r="AU3980" s="128"/>
      <c r="AV3980" s="128"/>
      <c r="AW3980" s="128"/>
      <c r="AX3980" s="128"/>
      <c r="AY3980" s="128"/>
      <c r="AZ3980" s="128"/>
      <c r="BA3980" s="128"/>
      <c r="BB3980" s="128"/>
      <c r="BC3980" s="128"/>
      <c r="BD3980" s="128"/>
      <c r="BE3980" s="128"/>
      <c r="BF3980" s="128"/>
      <c r="BG3980" s="128"/>
      <c r="BH3980" s="128"/>
      <c r="BI3980" s="128"/>
      <c r="BJ3980" s="128"/>
      <c r="BK3980" s="128"/>
      <c r="BL3980" s="128"/>
      <c r="BM3980" s="151"/>
      <c r="BN3980" s="128"/>
      <c r="BO3980" s="128"/>
      <c r="BP3980" s="128"/>
      <c r="BQ3980" s="128"/>
      <c r="BR3980" s="128"/>
      <c r="BS3980" s="128"/>
      <c r="BT3980" s="128"/>
      <c r="BU3980" s="128"/>
      <c r="BV3980" s="128"/>
      <c r="BW3980" s="128"/>
      <c r="BX3980" s="128"/>
      <c r="BY3980" s="128"/>
      <c r="BZ3980" s="128"/>
      <c r="CA3980" s="128"/>
      <c r="CB3980" s="128"/>
      <c r="CC3980" s="128"/>
      <c r="CD3980" s="128"/>
      <c r="CE3980" s="128"/>
      <c r="CF3980" s="128"/>
      <c r="CG3980" s="128"/>
      <c r="CI3980" s="128"/>
      <c r="CJ3980" s="128"/>
      <c r="CK3980" s="128"/>
      <c r="CL3980" s="128"/>
      <c r="CM3980" s="128"/>
      <c r="CN3980" s="128"/>
      <c r="CO3980" s="128"/>
      <c r="CP3980" s="128"/>
      <c r="CQ3980" s="128"/>
      <c r="CR3980" s="128"/>
      <c r="CS3980" s="128"/>
      <c r="CT3980" s="128"/>
      <c r="CU3980" s="128"/>
      <c r="CV3980" s="128"/>
      <c r="CW3980" s="128"/>
      <c r="CX3980" s="128"/>
      <c r="CY3980" s="128"/>
      <c r="CZ3980" s="165"/>
    </row>
    <row r="3981" spans="1:104">
      <c r="A3981" s="149"/>
      <c r="B3981" s="149"/>
      <c r="C3981" s="150"/>
      <c r="D3981" s="102"/>
      <c r="E3981" s="149"/>
      <c r="F3981" s="149"/>
      <c r="G3981" s="149"/>
      <c r="H3981" s="149"/>
      <c r="I3981" s="149"/>
      <c r="J3981" s="149"/>
      <c r="K3981" s="149"/>
      <c r="L3981" s="149"/>
      <c r="M3981" s="149"/>
      <c r="N3981" s="149"/>
      <c r="O3981" s="149"/>
      <c r="P3981" s="149"/>
      <c r="Q3981" s="149"/>
      <c r="R3981" s="149"/>
      <c r="S3981" s="149"/>
      <c r="T3981" s="149"/>
      <c r="U3981" s="149"/>
      <c r="V3981" s="149"/>
      <c r="W3981" s="149"/>
      <c r="X3981" s="149"/>
      <c r="Y3981" s="149"/>
      <c r="Z3981" s="149"/>
      <c r="AA3981" s="149"/>
      <c r="AB3981" s="149"/>
      <c r="AC3981" s="149"/>
      <c r="AD3981" s="149"/>
      <c r="AE3981" s="149"/>
      <c r="AF3981" s="149"/>
      <c r="AG3981" s="149"/>
      <c r="AH3981" s="149"/>
      <c r="AI3981" s="149"/>
      <c r="AJ3981" s="149"/>
      <c r="AK3981" s="149"/>
      <c r="AL3981" s="149"/>
      <c r="AM3981" s="149"/>
      <c r="AN3981" s="149"/>
      <c r="AO3981" s="128"/>
      <c r="AP3981" s="128"/>
      <c r="AQ3981" s="128"/>
      <c r="AR3981" s="128"/>
      <c r="AS3981" s="128"/>
      <c r="AT3981" s="128"/>
      <c r="AU3981" s="128"/>
      <c r="AV3981" s="128"/>
      <c r="AW3981" s="128"/>
      <c r="AX3981" s="128"/>
      <c r="AY3981" s="128"/>
      <c r="AZ3981" s="128"/>
      <c r="BA3981" s="128"/>
      <c r="BB3981" s="128"/>
      <c r="BC3981" s="128"/>
      <c r="BD3981" s="128"/>
      <c r="BE3981" s="128"/>
      <c r="BF3981" s="128"/>
      <c r="BG3981" s="128"/>
      <c r="BH3981" s="128"/>
      <c r="BI3981" s="128"/>
      <c r="BJ3981" s="128"/>
      <c r="BK3981" s="128"/>
      <c r="BL3981" s="128"/>
      <c r="BM3981" s="151"/>
      <c r="BN3981" s="128"/>
      <c r="BO3981" s="128"/>
      <c r="BP3981" s="128"/>
      <c r="BQ3981" s="128"/>
      <c r="BR3981" s="128"/>
      <c r="BS3981" s="128"/>
      <c r="BT3981" s="128"/>
      <c r="BU3981" s="128"/>
      <c r="BV3981" s="128"/>
      <c r="BW3981" s="128"/>
      <c r="BX3981" s="128"/>
      <c r="BY3981" s="128"/>
      <c r="BZ3981" s="128"/>
      <c r="CA3981" s="128"/>
      <c r="CB3981" s="128"/>
      <c r="CC3981" s="128"/>
      <c r="CD3981" s="128"/>
      <c r="CE3981" s="128"/>
      <c r="CF3981" s="128"/>
      <c r="CG3981" s="128"/>
      <c r="CI3981" s="128"/>
      <c r="CJ3981" s="128"/>
      <c r="CK3981" s="128"/>
      <c r="CL3981" s="128"/>
      <c r="CM3981" s="128"/>
      <c r="CN3981" s="128"/>
      <c r="CO3981" s="128"/>
      <c r="CP3981" s="128"/>
      <c r="CQ3981" s="128"/>
      <c r="CR3981" s="128"/>
      <c r="CS3981" s="128"/>
      <c r="CT3981" s="128"/>
      <c r="CU3981" s="128"/>
      <c r="CV3981" s="128"/>
      <c r="CW3981" s="128"/>
      <c r="CX3981" s="128"/>
      <c r="CY3981" s="128"/>
      <c r="CZ3981" s="165"/>
    </row>
    <row r="3982" spans="1:104">
      <c r="A3982" s="149"/>
      <c r="B3982" s="149"/>
      <c r="C3982" s="150"/>
      <c r="D3982" s="102"/>
      <c r="E3982" s="149"/>
      <c r="F3982" s="149"/>
      <c r="G3982" s="149"/>
      <c r="H3982" s="149"/>
      <c r="I3982" s="149"/>
      <c r="J3982" s="149"/>
      <c r="K3982" s="149"/>
      <c r="L3982" s="149"/>
      <c r="M3982" s="149"/>
      <c r="N3982" s="149"/>
      <c r="O3982" s="149"/>
      <c r="P3982" s="149"/>
      <c r="Q3982" s="149"/>
      <c r="R3982" s="149"/>
      <c r="S3982" s="149"/>
      <c r="T3982" s="149"/>
      <c r="U3982" s="149"/>
      <c r="V3982" s="149"/>
      <c r="W3982" s="149"/>
      <c r="X3982" s="149"/>
      <c r="Y3982" s="149"/>
      <c r="Z3982" s="149"/>
      <c r="AA3982" s="149"/>
      <c r="AB3982" s="149"/>
      <c r="AC3982" s="149"/>
      <c r="AD3982" s="149"/>
      <c r="AE3982" s="149"/>
      <c r="AF3982" s="149"/>
      <c r="AG3982" s="149"/>
      <c r="AH3982" s="149"/>
      <c r="AI3982" s="149"/>
      <c r="AJ3982" s="149"/>
      <c r="AK3982" s="149"/>
      <c r="AL3982" s="149"/>
      <c r="AM3982" s="149"/>
      <c r="AN3982" s="149"/>
      <c r="AO3982" s="128"/>
      <c r="AP3982" s="128"/>
      <c r="AQ3982" s="128"/>
      <c r="AR3982" s="128"/>
      <c r="AS3982" s="128"/>
      <c r="AT3982" s="128"/>
      <c r="AU3982" s="128"/>
      <c r="AV3982" s="128"/>
      <c r="AW3982" s="128"/>
      <c r="AX3982" s="128"/>
      <c r="AY3982" s="128"/>
      <c r="AZ3982" s="128"/>
      <c r="BA3982" s="128"/>
      <c r="BB3982" s="128"/>
      <c r="BC3982" s="128"/>
      <c r="BD3982" s="128"/>
      <c r="BE3982" s="128"/>
      <c r="BF3982" s="128"/>
      <c r="BG3982" s="128"/>
      <c r="BH3982" s="128"/>
      <c r="BI3982" s="128"/>
      <c r="BJ3982" s="128"/>
      <c r="BK3982" s="128"/>
      <c r="BL3982" s="128"/>
      <c r="BM3982" s="151"/>
      <c r="BN3982" s="128"/>
      <c r="BO3982" s="128"/>
      <c r="BP3982" s="128"/>
      <c r="BQ3982" s="128"/>
      <c r="BR3982" s="128"/>
      <c r="BS3982" s="128"/>
      <c r="BT3982" s="128"/>
      <c r="BU3982" s="128"/>
      <c r="BV3982" s="128"/>
      <c r="BW3982" s="128"/>
      <c r="BX3982" s="128"/>
      <c r="BY3982" s="128"/>
      <c r="BZ3982" s="128"/>
      <c r="CA3982" s="128"/>
      <c r="CB3982" s="128"/>
      <c r="CC3982" s="128"/>
      <c r="CD3982" s="128"/>
      <c r="CE3982" s="128"/>
      <c r="CF3982" s="128"/>
      <c r="CG3982" s="128"/>
      <c r="CI3982" s="128"/>
      <c r="CJ3982" s="128"/>
      <c r="CK3982" s="128"/>
      <c r="CL3982" s="128"/>
      <c r="CM3982" s="128"/>
      <c r="CN3982" s="128"/>
      <c r="CO3982" s="128"/>
      <c r="CP3982" s="128"/>
      <c r="CQ3982" s="128"/>
      <c r="CR3982" s="128"/>
      <c r="CS3982" s="128"/>
      <c r="CT3982" s="128"/>
      <c r="CU3982" s="128"/>
      <c r="CV3982" s="128"/>
      <c r="CW3982" s="128"/>
      <c r="CX3982" s="128"/>
      <c r="CY3982" s="128"/>
      <c r="CZ3982" s="165"/>
    </row>
    <row r="3983" spans="1:104">
      <c r="A3983" s="149"/>
      <c r="B3983" s="149"/>
      <c r="C3983" s="150"/>
      <c r="D3983" s="102"/>
      <c r="E3983" s="149"/>
      <c r="F3983" s="149"/>
      <c r="G3983" s="149"/>
      <c r="H3983" s="149"/>
      <c r="I3983" s="149"/>
      <c r="J3983" s="149"/>
      <c r="K3983" s="149"/>
      <c r="L3983" s="149"/>
      <c r="M3983" s="149"/>
      <c r="N3983" s="149"/>
      <c r="O3983" s="149"/>
      <c r="P3983" s="149"/>
      <c r="Q3983" s="149"/>
      <c r="R3983" s="149"/>
      <c r="S3983" s="149"/>
      <c r="T3983" s="149"/>
      <c r="U3983" s="149"/>
      <c r="V3983" s="149"/>
      <c r="W3983" s="149"/>
      <c r="X3983" s="149"/>
      <c r="Y3983" s="149"/>
      <c r="Z3983" s="149"/>
      <c r="AA3983" s="149"/>
      <c r="AB3983" s="149"/>
      <c r="AC3983" s="149"/>
      <c r="AD3983" s="149"/>
      <c r="AE3983" s="149"/>
      <c r="AF3983" s="149"/>
      <c r="AG3983" s="149"/>
      <c r="AH3983" s="149"/>
      <c r="AI3983" s="149"/>
      <c r="AJ3983" s="149"/>
      <c r="AK3983" s="149"/>
      <c r="AL3983" s="149"/>
      <c r="AM3983" s="149"/>
      <c r="AN3983" s="149"/>
      <c r="AO3983" s="128"/>
      <c r="AP3983" s="128"/>
      <c r="AQ3983" s="128"/>
      <c r="AR3983" s="128"/>
      <c r="AS3983" s="128"/>
      <c r="AT3983" s="128"/>
      <c r="AU3983" s="128"/>
      <c r="AV3983" s="128"/>
      <c r="AW3983" s="128"/>
      <c r="AX3983" s="128"/>
      <c r="AY3983" s="128"/>
      <c r="AZ3983" s="128"/>
      <c r="BA3983" s="128"/>
      <c r="BB3983" s="128"/>
      <c r="BC3983" s="128"/>
      <c r="BD3983" s="128"/>
      <c r="BE3983" s="128"/>
      <c r="BF3983" s="128"/>
      <c r="BG3983" s="128"/>
      <c r="BH3983" s="128"/>
      <c r="BI3983" s="128"/>
      <c r="BJ3983" s="128"/>
      <c r="BK3983" s="128"/>
      <c r="BL3983" s="128"/>
      <c r="BM3983" s="151"/>
      <c r="BN3983" s="128"/>
      <c r="BO3983" s="128"/>
      <c r="BP3983" s="128"/>
      <c r="BQ3983" s="128"/>
      <c r="BR3983" s="128"/>
      <c r="BS3983" s="128"/>
      <c r="BT3983" s="128"/>
      <c r="BU3983" s="128"/>
      <c r="BV3983" s="128"/>
      <c r="BW3983" s="128"/>
      <c r="BX3983" s="128"/>
      <c r="BY3983" s="128"/>
      <c r="BZ3983" s="128"/>
      <c r="CA3983" s="128"/>
      <c r="CB3983" s="128"/>
      <c r="CC3983" s="128"/>
      <c r="CD3983" s="128"/>
      <c r="CE3983" s="128"/>
      <c r="CF3983" s="128"/>
      <c r="CG3983" s="128"/>
      <c r="CI3983" s="128"/>
      <c r="CJ3983" s="128"/>
      <c r="CK3983" s="128"/>
      <c r="CL3983" s="128"/>
      <c r="CM3983" s="128"/>
      <c r="CN3983" s="128"/>
      <c r="CO3983" s="128"/>
      <c r="CP3983" s="128"/>
      <c r="CQ3983" s="128"/>
      <c r="CR3983" s="128"/>
      <c r="CS3983" s="128"/>
      <c r="CT3983" s="128"/>
      <c r="CU3983" s="128"/>
      <c r="CV3983" s="128"/>
      <c r="CW3983" s="128"/>
      <c r="CX3983" s="128"/>
      <c r="CY3983" s="128"/>
      <c r="CZ3983" s="165"/>
    </row>
    <row r="3984" spans="1:104">
      <c r="A3984" s="149"/>
      <c r="B3984" s="149"/>
      <c r="C3984" s="150"/>
      <c r="D3984" s="102"/>
      <c r="E3984" s="149"/>
      <c r="F3984" s="149"/>
      <c r="G3984" s="149"/>
      <c r="H3984" s="149"/>
      <c r="I3984" s="149"/>
      <c r="J3984" s="149"/>
      <c r="K3984" s="149"/>
      <c r="L3984" s="149"/>
      <c r="M3984" s="149"/>
      <c r="N3984" s="149"/>
      <c r="O3984" s="149"/>
      <c r="P3984" s="149"/>
      <c r="Q3984" s="149"/>
      <c r="R3984" s="149"/>
      <c r="S3984" s="149"/>
      <c r="T3984" s="149"/>
      <c r="U3984" s="149"/>
      <c r="V3984" s="149"/>
      <c r="W3984" s="149"/>
      <c r="X3984" s="149"/>
      <c r="Y3984" s="149"/>
      <c r="Z3984" s="149"/>
      <c r="AA3984" s="149"/>
      <c r="AB3984" s="149"/>
      <c r="AC3984" s="149"/>
      <c r="AD3984" s="149"/>
      <c r="AE3984" s="149"/>
      <c r="AF3984" s="149"/>
      <c r="AG3984" s="149"/>
      <c r="AH3984" s="149"/>
      <c r="AI3984" s="149"/>
      <c r="AJ3984" s="149"/>
      <c r="AK3984" s="149"/>
      <c r="AL3984" s="149"/>
      <c r="AM3984" s="149"/>
      <c r="AN3984" s="149"/>
      <c r="AO3984" s="128"/>
      <c r="AP3984" s="128"/>
      <c r="AQ3984" s="128"/>
      <c r="AR3984" s="128"/>
      <c r="AS3984" s="128"/>
      <c r="AT3984" s="128"/>
      <c r="AU3984" s="128"/>
      <c r="AV3984" s="128"/>
      <c r="AW3984" s="128"/>
      <c r="AX3984" s="128"/>
      <c r="AY3984" s="128"/>
      <c r="AZ3984" s="128"/>
      <c r="BA3984" s="128"/>
      <c r="BB3984" s="128"/>
      <c r="BC3984" s="128"/>
      <c r="BD3984" s="128"/>
      <c r="BE3984" s="128"/>
      <c r="BF3984" s="128"/>
      <c r="BG3984" s="128"/>
      <c r="BH3984" s="128"/>
      <c r="BI3984" s="128"/>
      <c r="BJ3984" s="128"/>
      <c r="BK3984" s="128"/>
      <c r="BL3984" s="128"/>
      <c r="BM3984" s="151"/>
      <c r="BN3984" s="128"/>
      <c r="BO3984" s="128"/>
      <c r="BP3984" s="128"/>
      <c r="BQ3984" s="128"/>
      <c r="BR3984" s="128"/>
      <c r="BS3984" s="128"/>
      <c r="BT3984" s="128"/>
      <c r="BU3984" s="128"/>
      <c r="BV3984" s="128"/>
      <c r="BW3984" s="128"/>
      <c r="BX3984" s="128"/>
      <c r="BY3984" s="128"/>
      <c r="BZ3984" s="128"/>
      <c r="CA3984" s="128"/>
      <c r="CB3984" s="128"/>
      <c r="CC3984" s="128"/>
      <c r="CD3984" s="128"/>
      <c r="CE3984" s="128"/>
      <c r="CF3984" s="128"/>
      <c r="CG3984" s="128"/>
      <c r="CI3984" s="128"/>
      <c r="CJ3984" s="128"/>
      <c r="CK3984" s="128"/>
      <c r="CL3984" s="128"/>
      <c r="CM3984" s="128"/>
      <c r="CN3984" s="128"/>
      <c r="CO3984" s="128"/>
      <c r="CP3984" s="128"/>
      <c r="CQ3984" s="128"/>
      <c r="CR3984" s="128"/>
      <c r="CS3984" s="128"/>
      <c r="CT3984" s="128"/>
      <c r="CU3984" s="128"/>
      <c r="CV3984" s="128"/>
      <c r="CW3984" s="128"/>
      <c r="CX3984" s="128"/>
      <c r="CY3984" s="128"/>
      <c r="CZ3984" s="165"/>
    </row>
    <row r="3985" spans="1:104">
      <c r="A3985" s="149"/>
      <c r="B3985" s="149"/>
      <c r="C3985" s="150"/>
      <c r="D3985" s="102"/>
      <c r="E3985" s="149"/>
      <c r="F3985" s="149"/>
      <c r="G3985" s="149"/>
      <c r="H3985" s="149"/>
      <c r="I3985" s="149"/>
      <c r="J3985" s="149"/>
      <c r="K3985" s="149"/>
      <c r="L3985" s="149"/>
      <c r="M3985" s="149"/>
      <c r="N3985" s="149"/>
      <c r="O3985" s="149"/>
      <c r="P3985" s="149"/>
      <c r="Q3985" s="149"/>
      <c r="R3985" s="149"/>
      <c r="S3985" s="149"/>
      <c r="T3985" s="149"/>
      <c r="U3985" s="149"/>
      <c r="V3985" s="149"/>
      <c r="W3985" s="149"/>
      <c r="X3985" s="149"/>
      <c r="Y3985" s="149"/>
      <c r="Z3985" s="149"/>
      <c r="AA3985" s="149"/>
      <c r="AB3985" s="149"/>
      <c r="AC3985" s="149"/>
      <c r="AD3985" s="149"/>
      <c r="AE3985" s="149"/>
      <c r="AF3985" s="149"/>
      <c r="AG3985" s="149"/>
      <c r="AH3985" s="149"/>
      <c r="AI3985" s="149"/>
      <c r="AJ3985" s="149"/>
      <c r="AK3985" s="149"/>
      <c r="AL3985" s="149"/>
      <c r="AM3985" s="149"/>
      <c r="AN3985" s="149"/>
      <c r="AO3985" s="128"/>
      <c r="AP3985" s="128"/>
      <c r="AQ3985" s="128"/>
      <c r="AR3985" s="128"/>
      <c r="AS3985" s="128"/>
      <c r="AT3985" s="128"/>
      <c r="AU3985" s="128"/>
      <c r="AV3985" s="128"/>
      <c r="AW3985" s="128"/>
      <c r="AX3985" s="128"/>
      <c r="AY3985" s="128"/>
      <c r="AZ3985" s="128"/>
      <c r="BA3985" s="128"/>
      <c r="BB3985" s="128"/>
      <c r="BC3985" s="128"/>
      <c r="BD3985" s="128"/>
      <c r="BE3985" s="128"/>
      <c r="BF3985" s="128"/>
      <c r="BG3985" s="128"/>
      <c r="BH3985" s="128"/>
      <c r="BI3985" s="128"/>
      <c r="BJ3985" s="128"/>
      <c r="BK3985" s="128"/>
      <c r="BL3985" s="128"/>
      <c r="BM3985" s="151"/>
      <c r="BN3985" s="128"/>
      <c r="BO3985" s="128"/>
      <c r="BP3985" s="128"/>
      <c r="BQ3985" s="128"/>
      <c r="BR3985" s="128"/>
      <c r="BS3985" s="128"/>
      <c r="BT3985" s="128"/>
      <c r="BU3985" s="128"/>
      <c r="BV3985" s="128"/>
      <c r="BW3985" s="128"/>
      <c r="BX3985" s="128"/>
      <c r="BY3985" s="128"/>
      <c r="BZ3985" s="128"/>
      <c r="CA3985" s="128"/>
      <c r="CB3985" s="128"/>
      <c r="CC3985" s="128"/>
      <c r="CD3985" s="128"/>
      <c r="CE3985" s="128"/>
      <c r="CF3985" s="128"/>
      <c r="CG3985" s="128"/>
      <c r="CI3985" s="128"/>
      <c r="CJ3985" s="128"/>
      <c r="CK3985" s="128"/>
      <c r="CL3985" s="128"/>
      <c r="CM3985" s="128"/>
      <c r="CN3985" s="128"/>
      <c r="CO3985" s="128"/>
      <c r="CP3985" s="128"/>
      <c r="CQ3985" s="128"/>
      <c r="CR3985" s="128"/>
      <c r="CS3985" s="128"/>
      <c r="CT3985" s="128"/>
      <c r="CU3985" s="128"/>
      <c r="CV3985" s="128"/>
      <c r="CW3985" s="128"/>
      <c r="CX3985" s="128"/>
      <c r="CY3985" s="128"/>
      <c r="CZ3985" s="165"/>
    </row>
    <row r="3986" spans="1:104">
      <c r="A3986" s="149"/>
      <c r="B3986" s="149"/>
      <c r="C3986" s="150"/>
      <c r="D3986" s="102"/>
      <c r="E3986" s="149"/>
      <c r="F3986" s="149"/>
      <c r="G3986" s="149"/>
      <c r="H3986" s="149"/>
      <c r="I3986" s="149"/>
      <c r="J3986" s="149"/>
      <c r="K3986" s="149"/>
      <c r="L3986" s="149"/>
      <c r="M3986" s="149"/>
      <c r="N3986" s="149"/>
      <c r="O3986" s="149"/>
      <c r="P3986" s="149"/>
      <c r="Q3986" s="149"/>
      <c r="R3986" s="149"/>
      <c r="S3986" s="149"/>
      <c r="T3986" s="149"/>
      <c r="U3986" s="149"/>
      <c r="V3986" s="149"/>
      <c r="W3986" s="149"/>
      <c r="X3986" s="149"/>
      <c r="Y3986" s="149"/>
      <c r="Z3986" s="149"/>
      <c r="AA3986" s="149"/>
      <c r="AB3986" s="149"/>
      <c r="AC3986" s="149"/>
      <c r="AD3986" s="149"/>
      <c r="AE3986" s="149"/>
      <c r="AF3986" s="149"/>
      <c r="AG3986" s="149"/>
      <c r="AH3986" s="149"/>
      <c r="AI3986" s="149"/>
      <c r="AJ3986" s="149"/>
      <c r="AK3986" s="149"/>
      <c r="AL3986" s="149"/>
      <c r="AM3986" s="149"/>
      <c r="AN3986" s="149"/>
      <c r="AO3986" s="128"/>
      <c r="AP3986" s="128"/>
      <c r="AQ3986" s="128"/>
      <c r="AR3986" s="128"/>
      <c r="AS3986" s="128"/>
      <c r="AT3986" s="128"/>
      <c r="AU3986" s="128"/>
      <c r="AV3986" s="128"/>
      <c r="AW3986" s="128"/>
      <c r="AX3986" s="128"/>
      <c r="AY3986" s="128"/>
      <c r="AZ3986" s="128"/>
      <c r="BA3986" s="128"/>
      <c r="BB3986" s="128"/>
      <c r="BC3986" s="128"/>
      <c r="BD3986" s="128"/>
      <c r="BE3986" s="128"/>
      <c r="BF3986" s="128"/>
      <c r="BG3986" s="128"/>
      <c r="BH3986" s="128"/>
      <c r="BI3986" s="128"/>
      <c r="BJ3986" s="128"/>
      <c r="BK3986" s="128"/>
      <c r="BL3986" s="128"/>
      <c r="BM3986" s="151"/>
      <c r="BN3986" s="128"/>
      <c r="BO3986" s="128"/>
      <c r="BP3986" s="128"/>
      <c r="BQ3986" s="128"/>
      <c r="BR3986" s="128"/>
      <c r="BS3986" s="128"/>
      <c r="BT3986" s="128"/>
      <c r="BU3986" s="128"/>
      <c r="BV3986" s="128"/>
      <c r="BW3986" s="128"/>
      <c r="BX3986" s="128"/>
      <c r="BY3986" s="128"/>
      <c r="BZ3986" s="128"/>
      <c r="CA3986" s="128"/>
      <c r="CB3986" s="128"/>
      <c r="CC3986" s="128"/>
      <c r="CD3986" s="128"/>
      <c r="CE3986" s="128"/>
      <c r="CF3986" s="128"/>
      <c r="CG3986" s="128"/>
      <c r="CI3986" s="128"/>
      <c r="CJ3986" s="128"/>
      <c r="CK3986" s="128"/>
      <c r="CL3986" s="128"/>
      <c r="CM3986" s="128"/>
      <c r="CN3986" s="128"/>
      <c r="CO3986" s="128"/>
      <c r="CP3986" s="128"/>
      <c r="CQ3986" s="128"/>
      <c r="CR3986" s="128"/>
      <c r="CS3986" s="128"/>
      <c r="CT3986" s="128"/>
      <c r="CU3986" s="128"/>
      <c r="CV3986" s="128"/>
      <c r="CW3986" s="128"/>
      <c r="CX3986" s="128"/>
      <c r="CY3986" s="128"/>
      <c r="CZ3986" s="165"/>
    </row>
    <row r="3987" spans="1:104">
      <c r="A3987" s="149"/>
      <c r="B3987" s="149"/>
      <c r="C3987" s="150"/>
      <c r="D3987" s="102"/>
      <c r="E3987" s="149"/>
      <c r="F3987" s="149"/>
      <c r="G3987" s="149"/>
      <c r="H3987" s="149"/>
      <c r="I3987" s="149"/>
      <c r="J3987" s="149"/>
      <c r="K3987" s="149"/>
      <c r="L3987" s="149"/>
      <c r="M3987" s="149"/>
      <c r="N3987" s="149"/>
      <c r="O3987" s="149"/>
      <c r="P3987" s="149"/>
      <c r="Q3987" s="149"/>
      <c r="R3987" s="149"/>
      <c r="S3987" s="149"/>
      <c r="T3987" s="149"/>
      <c r="U3987" s="149"/>
      <c r="V3987" s="149"/>
      <c r="W3987" s="149"/>
      <c r="X3987" s="149"/>
      <c r="Y3987" s="149"/>
      <c r="Z3987" s="149"/>
      <c r="AA3987" s="149"/>
      <c r="AB3987" s="149"/>
      <c r="AC3987" s="149"/>
      <c r="AD3987" s="149"/>
      <c r="AE3987" s="149"/>
      <c r="AF3987" s="149"/>
      <c r="AG3987" s="149"/>
      <c r="AH3987" s="149"/>
      <c r="AI3987" s="149"/>
      <c r="AJ3987" s="149"/>
      <c r="AK3987" s="149"/>
      <c r="AL3987" s="149"/>
      <c r="AM3987" s="149"/>
      <c r="AN3987" s="149"/>
      <c r="AO3987" s="128"/>
      <c r="AP3987" s="128"/>
      <c r="AQ3987" s="128"/>
      <c r="AR3987" s="128"/>
      <c r="AS3987" s="128"/>
      <c r="AT3987" s="128"/>
      <c r="AU3987" s="128"/>
      <c r="AV3987" s="128"/>
      <c r="AW3987" s="128"/>
      <c r="AX3987" s="128"/>
      <c r="AY3987" s="128"/>
      <c r="AZ3987" s="128"/>
      <c r="BA3987" s="128"/>
      <c r="BB3987" s="128"/>
      <c r="BC3987" s="128"/>
      <c r="BD3987" s="128"/>
      <c r="BE3987" s="128"/>
      <c r="BF3987" s="128"/>
      <c r="BG3987" s="128"/>
      <c r="BH3987" s="128"/>
      <c r="BI3987" s="128"/>
      <c r="BJ3987" s="128"/>
      <c r="BK3987" s="128"/>
      <c r="BL3987" s="128"/>
      <c r="BM3987" s="151"/>
      <c r="BN3987" s="128"/>
      <c r="BO3987" s="128"/>
      <c r="BP3987" s="128"/>
      <c r="BQ3987" s="128"/>
      <c r="BR3987" s="128"/>
      <c r="BS3987" s="128"/>
      <c r="BT3987" s="128"/>
      <c r="BU3987" s="128"/>
      <c r="BV3987" s="128"/>
      <c r="BW3987" s="128"/>
      <c r="BX3987" s="128"/>
      <c r="BY3987" s="128"/>
      <c r="BZ3987" s="128"/>
      <c r="CA3987" s="128"/>
      <c r="CB3987" s="128"/>
      <c r="CC3987" s="128"/>
      <c r="CD3987" s="128"/>
      <c r="CE3987" s="128"/>
      <c r="CF3987" s="128"/>
      <c r="CG3987" s="128"/>
      <c r="CI3987" s="128"/>
      <c r="CJ3987" s="128"/>
      <c r="CK3987" s="128"/>
      <c r="CL3987" s="128"/>
      <c r="CM3987" s="128"/>
      <c r="CN3987" s="128"/>
      <c r="CO3987" s="128"/>
      <c r="CP3987" s="128"/>
      <c r="CQ3987" s="128"/>
      <c r="CR3987" s="128"/>
      <c r="CS3987" s="128"/>
      <c r="CT3987" s="128"/>
      <c r="CU3987" s="128"/>
      <c r="CV3987" s="128"/>
      <c r="CW3987" s="128"/>
      <c r="CX3987" s="128"/>
      <c r="CY3987" s="128"/>
      <c r="CZ3987" s="165"/>
    </row>
    <row r="3988" spans="1:104">
      <c r="A3988" s="149"/>
      <c r="B3988" s="149"/>
      <c r="C3988" s="150"/>
      <c r="D3988" s="102"/>
      <c r="E3988" s="149"/>
      <c r="F3988" s="149"/>
      <c r="G3988" s="149"/>
      <c r="H3988" s="149"/>
      <c r="I3988" s="149"/>
      <c r="J3988" s="149"/>
      <c r="K3988" s="149"/>
      <c r="L3988" s="149"/>
      <c r="M3988" s="149"/>
      <c r="N3988" s="149"/>
      <c r="O3988" s="149"/>
      <c r="P3988" s="149"/>
      <c r="Q3988" s="149"/>
      <c r="R3988" s="149"/>
      <c r="S3988" s="149"/>
      <c r="T3988" s="149"/>
      <c r="U3988" s="149"/>
      <c r="V3988" s="149"/>
      <c r="W3988" s="149"/>
      <c r="X3988" s="149"/>
      <c r="Y3988" s="149"/>
      <c r="Z3988" s="149"/>
      <c r="AA3988" s="149"/>
      <c r="AB3988" s="149"/>
      <c r="AC3988" s="149"/>
      <c r="AD3988" s="149"/>
      <c r="AE3988" s="149"/>
      <c r="AF3988" s="149"/>
      <c r="AG3988" s="149"/>
      <c r="AH3988" s="149"/>
      <c r="AI3988" s="149"/>
      <c r="AJ3988" s="149"/>
      <c r="AK3988" s="149"/>
      <c r="AL3988" s="149"/>
      <c r="AM3988" s="149"/>
      <c r="AN3988" s="149"/>
      <c r="AO3988" s="128"/>
      <c r="AP3988" s="128"/>
      <c r="AQ3988" s="128"/>
      <c r="AR3988" s="128"/>
      <c r="AS3988" s="128"/>
      <c r="AT3988" s="128"/>
      <c r="AU3988" s="128"/>
      <c r="AV3988" s="128"/>
      <c r="AW3988" s="128"/>
      <c r="AX3988" s="128"/>
      <c r="AY3988" s="128"/>
      <c r="AZ3988" s="128"/>
      <c r="BA3988" s="128"/>
      <c r="BB3988" s="128"/>
      <c r="BC3988" s="128"/>
      <c r="BD3988" s="128"/>
      <c r="BE3988" s="128"/>
      <c r="BF3988" s="128"/>
      <c r="BG3988" s="128"/>
      <c r="BH3988" s="128"/>
      <c r="BI3988" s="128"/>
      <c r="BJ3988" s="128"/>
      <c r="BK3988" s="128"/>
      <c r="BL3988" s="128"/>
      <c r="BM3988" s="151"/>
      <c r="BN3988" s="128"/>
      <c r="BO3988" s="128"/>
      <c r="BP3988" s="128"/>
      <c r="BQ3988" s="128"/>
      <c r="BR3988" s="128"/>
      <c r="BS3988" s="128"/>
      <c r="BT3988" s="128"/>
      <c r="BU3988" s="128"/>
      <c r="BV3988" s="128"/>
      <c r="BW3988" s="128"/>
      <c r="BX3988" s="128"/>
      <c r="BY3988" s="128"/>
      <c r="BZ3988" s="128"/>
      <c r="CA3988" s="128"/>
      <c r="CB3988" s="128"/>
      <c r="CC3988" s="128"/>
      <c r="CD3988" s="128"/>
      <c r="CE3988" s="128"/>
      <c r="CF3988" s="128"/>
      <c r="CG3988" s="128"/>
      <c r="CI3988" s="128"/>
      <c r="CJ3988" s="128"/>
      <c r="CK3988" s="128"/>
      <c r="CL3988" s="128"/>
      <c r="CM3988" s="128"/>
      <c r="CN3988" s="128"/>
      <c r="CO3988" s="128"/>
      <c r="CP3988" s="128"/>
      <c r="CQ3988" s="128"/>
      <c r="CR3988" s="128"/>
      <c r="CS3988" s="128"/>
      <c r="CT3988" s="128"/>
      <c r="CU3988" s="128"/>
      <c r="CV3988" s="128"/>
      <c r="CW3988" s="128"/>
      <c r="CX3988" s="128"/>
      <c r="CY3988" s="128"/>
      <c r="CZ3988" s="165"/>
    </row>
    <row r="3989" spans="1:104">
      <c r="A3989" s="149"/>
      <c r="B3989" s="149"/>
      <c r="C3989" s="150"/>
      <c r="D3989" s="102"/>
      <c r="E3989" s="149"/>
      <c r="F3989" s="149"/>
      <c r="G3989" s="149"/>
      <c r="H3989" s="149"/>
      <c r="I3989" s="149"/>
      <c r="J3989" s="149"/>
      <c r="K3989" s="149"/>
      <c r="L3989" s="149"/>
      <c r="M3989" s="149"/>
      <c r="N3989" s="149"/>
      <c r="O3989" s="149"/>
      <c r="P3989" s="149"/>
      <c r="Q3989" s="149"/>
      <c r="R3989" s="149"/>
      <c r="S3989" s="149"/>
      <c r="T3989" s="149"/>
      <c r="U3989" s="149"/>
      <c r="V3989" s="149"/>
      <c r="W3989" s="149"/>
      <c r="X3989" s="149"/>
      <c r="Y3989" s="149"/>
      <c r="Z3989" s="149"/>
      <c r="AA3989" s="149"/>
      <c r="AB3989" s="149"/>
      <c r="AC3989" s="149"/>
      <c r="AD3989" s="149"/>
      <c r="AE3989" s="149"/>
      <c r="AF3989" s="149"/>
      <c r="AG3989" s="149"/>
      <c r="AH3989" s="149"/>
      <c r="AI3989" s="149"/>
      <c r="AJ3989" s="149"/>
      <c r="AK3989" s="149"/>
      <c r="AL3989" s="149"/>
      <c r="AM3989" s="149"/>
      <c r="AN3989" s="149"/>
      <c r="AO3989" s="128"/>
      <c r="AP3989" s="128"/>
      <c r="AQ3989" s="128"/>
      <c r="AR3989" s="128"/>
      <c r="AS3989" s="128"/>
      <c r="AT3989" s="128"/>
      <c r="AU3989" s="128"/>
      <c r="AV3989" s="128"/>
      <c r="AW3989" s="128"/>
      <c r="AX3989" s="128"/>
      <c r="AY3989" s="128"/>
      <c r="AZ3989" s="128"/>
      <c r="BA3989" s="128"/>
      <c r="BB3989" s="128"/>
      <c r="BC3989" s="128"/>
      <c r="BD3989" s="128"/>
      <c r="BE3989" s="128"/>
      <c r="BF3989" s="128"/>
      <c r="BG3989" s="128"/>
      <c r="BH3989" s="128"/>
      <c r="BI3989" s="128"/>
      <c r="BJ3989" s="128"/>
      <c r="BK3989" s="128"/>
      <c r="BL3989" s="128"/>
      <c r="BM3989" s="151"/>
      <c r="BN3989" s="128"/>
      <c r="BO3989" s="128"/>
      <c r="BP3989" s="128"/>
      <c r="BQ3989" s="128"/>
      <c r="BR3989" s="128"/>
      <c r="BS3989" s="128"/>
      <c r="BT3989" s="128"/>
      <c r="BU3989" s="128"/>
      <c r="BV3989" s="128"/>
      <c r="BW3989" s="128"/>
      <c r="BX3989" s="128"/>
      <c r="BY3989" s="128"/>
      <c r="BZ3989" s="128"/>
      <c r="CA3989" s="128"/>
      <c r="CB3989" s="128"/>
      <c r="CC3989" s="128"/>
      <c r="CD3989" s="128"/>
      <c r="CE3989" s="128"/>
      <c r="CF3989" s="128"/>
      <c r="CG3989" s="128"/>
      <c r="CI3989" s="128"/>
      <c r="CJ3989" s="128"/>
      <c r="CK3989" s="128"/>
      <c r="CL3989" s="128"/>
      <c r="CM3989" s="128"/>
      <c r="CN3989" s="128"/>
      <c r="CO3989" s="128"/>
      <c r="CP3989" s="128"/>
      <c r="CQ3989" s="128"/>
      <c r="CR3989" s="128"/>
      <c r="CS3989" s="128"/>
      <c r="CT3989" s="128"/>
      <c r="CU3989" s="128"/>
      <c r="CV3989" s="128"/>
      <c r="CW3989" s="128"/>
      <c r="CX3989" s="128"/>
      <c r="CY3989" s="128"/>
      <c r="CZ3989" s="165"/>
    </row>
    <row r="3990" spans="1:104">
      <c r="A3990" s="149"/>
      <c r="B3990" s="149"/>
      <c r="C3990" s="150"/>
      <c r="D3990" s="102"/>
      <c r="E3990" s="149"/>
      <c r="F3990" s="149"/>
      <c r="G3990" s="149"/>
      <c r="H3990" s="149"/>
      <c r="I3990" s="149"/>
      <c r="J3990" s="149"/>
      <c r="K3990" s="149"/>
      <c r="L3990" s="149"/>
      <c r="M3990" s="149"/>
      <c r="N3990" s="149"/>
      <c r="O3990" s="149"/>
      <c r="P3990" s="149"/>
      <c r="Q3990" s="149"/>
      <c r="R3990" s="149"/>
      <c r="S3990" s="149"/>
      <c r="T3990" s="149"/>
      <c r="U3990" s="149"/>
      <c r="V3990" s="149"/>
      <c r="W3990" s="149"/>
      <c r="X3990" s="149"/>
      <c r="Y3990" s="149"/>
      <c r="Z3990" s="149"/>
      <c r="AA3990" s="149"/>
      <c r="AB3990" s="149"/>
      <c r="AC3990" s="149"/>
      <c r="AD3990" s="149"/>
      <c r="AE3990" s="149"/>
      <c r="AF3990" s="149"/>
      <c r="AG3990" s="149"/>
      <c r="AH3990" s="149"/>
      <c r="AI3990" s="149"/>
      <c r="AJ3990" s="149"/>
      <c r="AK3990" s="149"/>
      <c r="AL3990" s="149"/>
      <c r="AM3990" s="149"/>
      <c r="AN3990" s="149"/>
      <c r="AO3990" s="128"/>
      <c r="AP3990" s="128"/>
      <c r="AQ3990" s="128"/>
      <c r="AR3990" s="128"/>
      <c r="AS3990" s="128"/>
      <c r="AT3990" s="128"/>
      <c r="AU3990" s="128"/>
      <c r="AV3990" s="128"/>
      <c r="AW3990" s="128"/>
      <c r="AX3990" s="128"/>
      <c r="AY3990" s="128"/>
      <c r="AZ3990" s="128"/>
      <c r="BA3990" s="128"/>
      <c r="BB3990" s="128"/>
      <c r="BC3990" s="128"/>
      <c r="BD3990" s="128"/>
      <c r="BE3990" s="128"/>
      <c r="BF3990" s="128"/>
      <c r="BG3990" s="128"/>
      <c r="BH3990" s="128"/>
      <c r="BI3990" s="128"/>
      <c r="BJ3990" s="128"/>
      <c r="BK3990" s="128"/>
      <c r="BL3990" s="128"/>
      <c r="BM3990" s="151"/>
      <c r="BN3990" s="128"/>
      <c r="BO3990" s="128"/>
      <c r="BP3990" s="128"/>
      <c r="BQ3990" s="128"/>
      <c r="BR3990" s="128"/>
      <c r="BS3990" s="128"/>
      <c r="BT3990" s="128"/>
      <c r="BU3990" s="128"/>
      <c r="BV3990" s="128"/>
      <c r="BW3990" s="128"/>
      <c r="BX3990" s="128"/>
      <c r="BY3990" s="128"/>
      <c r="BZ3990" s="128"/>
      <c r="CA3990" s="128"/>
      <c r="CB3990" s="128"/>
      <c r="CC3990" s="128"/>
      <c r="CD3990" s="128"/>
      <c r="CE3990" s="128"/>
      <c r="CF3990" s="128"/>
      <c r="CG3990" s="128"/>
      <c r="CI3990" s="128"/>
      <c r="CJ3990" s="128"/>
      <c r="CK3990" s="128"/>
      <c r="CL3990" s="128"/>
      <c r="CM3990" s="128"/>
      <c r="CN3990" s="128"/>
      <c r="CO3990" s="128"/>
      <c r="CP3990" s="128"/>
      <c r="CQ3990" s="128"/>
      <c r="CR3990" s="128"/>
      <c r="CS3990" s="128"/>
      <c r="CT3990" s="128"/>
      <c r="CU3990" s="128"/>
      <c r="CV3990" s="128"/>
      <c r="CW3990" s="128"/>
      <c r="CX3990" s="128"/>
      <c r="CY3990" s="128"/>
      <c r="CZ3990" s="165"/>
    </row>
    <row r="3991" spans="1:104">
      <c r="A3991" s="149"/>
      <c r="B3991" s="149"/>
      <c r="C3991" s="150"/>
      <c r="D3991" s="102"/>
      <c r="E3991" s="149"/>
      <c r="F3991" s="149"/>
      <c r="G3991" s="149"/>
      <c r="H3991" s="149"/>
      <c r="I3991" s="149"/>
      <c r="J3991" s="149"/>
      <c r="K3991" s="149"/>
      <c r="L3991" s="149"/>
      <c r="M3991" s="149"/>
      <c r="N3991" s="149"/>
      <c r="O3991" s="149"/>
      <c r="P3991" s="149"/>
      <c r="Q3991" s="149"/>
      <c r="R3991" s="149"/>
      <c r="S3991" s="149"/>
      <c r="T3991" s="149"/>
      <c r="U3991" s="149"/>
      <c r="V3991" s="149"/>
      <c r="W3991" s="149"/>
      <c r="X3991" s="149"/>
      <c r="Y3991" s="149"/>
      <c r="Z3991" s="149"/>
      <c r="AA3991" s="149"/>
      <c r="AB3991" s="149"/>
      <c r="AC3991" s="149"/>
      <c r="AD3991" s="149"/>
      <c r="AE3991" s="149"/>
      <c r="AF3991" s="149"/>
      <c r="AG3991" s="149"/>
      <c r="AH3991" s="149"/>
      <c r="AI3991" s="149"/>
      <c r="AJ3991" s="149"/>
      <c r="AK3991" s="149"/>
      <c r="AL3991" s="149"/>
      <c r="AM3991" s="149"/>
      <c r="AN3991" s="149"/>
      <c r="AO3991" s="128"/>
      <c r="AP3991" s="128"/>
      <c r="AQ3991" s="128"/>
      <c r="AR3991" s="128"/>
      <c r="AS3991" s="128"/>
      <c r="AT3991" s="128"/>
      <c r="AU3991" s="128"/>
      <c r="AV3991" s="128"/>
      <c r="AW3991" s="128"/>
      <c r="AX3991" s="128"/>
      <c r="AY3991" s="128"/>
      <c r="AZ3991" s="128"/>
      <c r="BA3991" s="128"/>
      <c r="BB3991" s="128"/>
      <c r="BC3991" s="128"/>
      <c r="BD3991" s="128"/>
      <c r="BE3991" s="128"/>
      <c r="BF3991" s="128"/>
      <c r="BG3991" s="128"/>
      <c r="BH3991" s="128"/>
      <c r="BI3991" s="128"/>
      <c r="BJ3991" s="128"/>
      <c r="BK3991" s="128"/>
      <c r="BL3991" s="128"/>
      <c r="BM3991" s="151"/>
      <c r="BN3991" s="128"/>
      <c r="BO3991" s="128"/>
      <c r="BP3991" s="128"/>
      <c r="BQ3991" s="128"/>
      <c r="BR3991" s="128"/>
      <c r="BS3991" s="128"/>
      <c r="BT3991" s="128"/>
      <c r="BU3991" s="128"/>
      <c r="BV3991" s="128"/>
      <c r="BW3991" s="128"/>
      <c r="BX3991" s="128"/>
      <c r="BY3991" s="128"/>
      <c r="BZ3991" s="128"/>
      <c r="CA3991" s="128"/>
      <c r="CB3991" s="128"/>
      <c r="CC3991" s="128"/>
      <c r="CD3991" s="128"/>
      <c r="CE3991" s="128"/>
      <c r="CF3991" s="128"/>
      <c r="CG3991" s="128"/>
      <c r="CI3991" s="128"/>
      <c r="CJ3991" s="128"/>
      <c r="CK3991" s="128"/>
      <c r="CL3991" s="128"/>
      <c r="CM3991" s="128"/>
      <c r="CN3991" s="128"/>
      <c r="CO3991" s="128"/>
      <c r="CP3991" s="128"/>
      <c r="CQ3991" s="128"/>
      <c r="CR3991" s="128"/>
      <c r="CS3991" s="128"/>
      <c r="CT3991" s="128"/>
      <c r="CU3991" s="128"/>
      <c r="CV3991" s="128"/>
      <c r="CW3991" s="128"/>
      <c r="CX3991" s="128"/>
      <c r="CY3991" s="128"/>
      <c r="CZ3991" s="165"/>
    </row>
    <row r="3992" spans="1:104">
      <c r="A3992" s="149"/>
      <c r="B3992" s="149"/>
      <c r="C3992" s="150"/>
      <c r="D3992" s="102"/>
      <c r="E3992" s="149"/>
      <c r="F3992" s="149"/>
      <c r="G3992" s="149"/>
      <c r="H3992" s="149"/>
      <c r="I3992" s="149"/>
      <c r="J3992" s="149"/>
      <c r="K3992" s="149"/>
      <c r="L3992" s="149"/>
      <c r="M3992" s="149"/>
      <c r="N3992" s="149"/>
      <c r="O3992" s="149"/>
      <c r="P3992" s="149"/>
      <c r="Q3992" s="149"/>
      <c r="R3992" s="149"/>
      <c r="S3992" s="149"/>
      <c r="T3992" s="149"/>
      <c r="U3992" s="149"/>
      <c r="V3992" s="149"/>
      <c r="W3992" s="149"/>
      <c r="X3992" s="149"/>
      <c r="Y3992" s="149"/>
      <c r="Z3992" s="149"/>
      <c r="AA3992" s="149"/>
      <c r="AB3992" s="149"/>
      <c r="AC3992" s="149"/>
      <c r="AD3992" s="149"/>
      <c r="AE3992" s="149"/>
      <c r="AF3992" s="149"/>
      <c r="AG3992" s="149"/>
      <c r="AH3992" s="149"/>
      <c r="AI3992" s="149"/>
      <c r="AJ3992" s="149"/>
      <c r="AK3992" s="149"/>
      <c r="AL3992" s="149"/>
      <c r="AM3992" s="149"/>
      <c r="AN3992" s="149"/>
      <c r="AO3992" s="128"/>
      <c r="AP3992" s="128"/>
      <c r="AQ3992" s="128"/>
      <c r="AR3992" s="128"/>
      <c r="AS3992" s="128"/>
      <c r="AT3992" s="128"/>
      <c r="AU3992" s="128"/>
      <c r="AV3992" s="128"/>
      <c r="AW3992" s="128"/>
      <c r="AX3992" s="128"/>
      <c r="AY3992" s="128"/>
      <c r="AZ3992" s="128"/>
      <c r="BA3992" s="128"/>
      <c r="BB3992" s="128"/>
      <c r="BC3992" s="128"/>
      <c r="BD3992" s="128"/>
      <c r="BE3992" s="128"/>
      <c r="BF3992" s="128"/>
      <c r="BG3992" s="128"/>
      <c r="BH3992" s="128"/>
      <c r="BI3992" s="128"/>
      <c r="BJ3992" s="128"/>
      <c r="BK3992" s="128"/>
      <c r="BL3992" s="128"/>
      <c r="BM3992" s="151"/>
      <c r="BN3992" s="128"/>
      <c r="BO3992" s="128"/>
      <c r="BP3992" s="128"/>
      <c r="BQ3992" s="128"/>
      <c r="BR3992" s="128"/>
      <c r="BS3992" s="128"/>
      <c r="BT3992" s="128"/>
      <c r="BU3992" s="128"/>
      <c r="BV3992" s="128"/>
      <c r="BW3992" s="128"/>
      <c r="BX3992" s="128"/>
      <c r="BY3992" s="128"/>
      <c r="BZ3992" s="128"/>
      <c r="CA3992" s="128"/>
      <c r="CB3992" s="128"/>
      <c r="CC3992" s="128"/>
      <c r="CD3992" s="128"/>
      <c r="CE3992" s="128"/>
      <c r="CF3992" s="128"/>
      <c r="CG3992" s="128"/>
      <c r="CI3992" s="128"/>
      <c r="CJ3992" s="128"/>
      <c r="CK3992" s="128"/>
      <c r="CL3992" s="128"/>
      <c r="CM3992" s="128"/>
      <c r="CN3992" s="128"/>
      <c r="CO3992" s="128"/>
      <c r="CP3992" s="128"/>
      <c r="CQ3992" s="128"/>
      <c r="CR3992" s="128"/>
      <c r="CS3992" s="128"/>
      <c r="CT3992" s="128"/>
      <c r="CU3992" s="128"/>
      <c r="CV3992" s="128"/>
      <c r="CW3992" s="128"/>
      <c r="CX3992" s="128"/>
      <c r="CY3992" s="128"/>
      <c r="CZ3992" s="165"/>
    </row>
    <row r="3993" spans="1:104">
      <c r="A3993" s="149"/>
      <c r="B3993" s="149"/>
      <c r="C3993" s="150"/>
      <c r="D3993" s="102"/>
      <c r="E3993" s="149"/>
      <c r="F3993" s="149"/>
      <c r="G3993" s="149"/>
      <c r="H3993" s="149"/>
      <c r="I3993" s="149"/>
      <c r="J3993" s="149"/>
      <c r="K3993" s="149"/>
      <c r="L3993" s="149"/>
      <c r="M3993" s="149"/>
      <c r="N3993" s="149"/>
      <c r="O3993" s="149"/>
      <c r="P3993" s="149"/>
      <c r="Q3993" s="149"/>
      <c r="R3993" s="149"/>
      <c r="S3993" s="149"/>
      <c r="T3993" s="149"/>
      <c r="U3993" s="149"/>
      <c r="V3993" s="149"/>
      <c r="W3993" s="149"/>
      <c r="X3993" s="149"/>
      <c r="Y3993" s="149"/>
      <c r="Z3993" s="149"/>
      <c r="AA3993" s="149"/>
      <c r="AB3993" s="149"/>
      <c r="AC3993" s="149"/>
      <c r="AD3993" s="149"/>
      <c r="AE3993" s="149"/>
      <c r="AF3993" s="149"/>
      <c r="AG3993" s="149"/>
      <c r="AH3993" s="149"/>
      <c r="AI3993" s="149"/>
      <c r="AJ3993" s="149"/>
      <c r="AK3993" s="149"/>
      <c r="AL3993" s="149"/>
      <c r="AM3993" s="149"/>
      <c r="AN3993" s="149"/>
      <c r="AO3993" s="128"/>
      <c r="AP3993" s="128"/>
      <c r="AQ3993" s="128"/>
      <c r="AR3993" s="128"/>
      <c r="AS3993" s="128"/>
      <c r="AT3993" s="128"/>
      <c r="AU3993" s="128"/>
      <c r="AV3993" s="128"/>
      <c r="AW3993" s="128"/>
      <c r="AX3993" s="128"/>
      <c r="AY3993" s="128"/>
      <c r="AZ3993" s="128"/>
      <c r="BA3993" s="128"/>
      <c r="BB3993" s="128"/>
      <c r="BC3993" s="128"/>
      <c r="BD3993" s="128"/>
      <c r="BE3993" s="128"/>
      <c r="BF3993" s="128"/>
      <c r="BG3993" s="128"/>
      <c r="BH3993" s="128"/>
      <c r="BI3993" s="128"/>
      <c r="BJ3993" s="128"/>
      <c r="BK3993" s="128"/>
      <c r="BL3993" s="128"/>
      <c r="BM3993" s="151"/>
      <c r="BN3993" s="128"/>
      <c r="BO3993" s="128"/>
      <c r="BP3993" s="128"/>
      <c r="BQ3993" s="128"/>
      <c r="BR3993" s="128"/>
      <c r="BS3993" s="128"/>
      <c r="BT3993" s="128"/>
      <c r="BU3993" s="128"/>
      <c r="BV3993" s="128"/>
      <c r="BW3993" s="128"/>
      <c r="BX3993" s="128"/>
      <c r="BY3993" s="128"/>
      <c r="BZ3993" s="128"/>
      <c r="CA3993" s="128"/>
      <c r="CB3993" s="128"/>
      <c r="CC3993" s="128"/>
      <c r="CD3993" s="128"/>
      <c r="CE3993" s="128"/>
      <c r="CF3993" s="128"/>
      <c r="CG3993" s="128"/>
      <c r="CI3993" s="128"/>
      <c r="CJ3993" s="128"/>
      <c r="CK3993" s="128"/>
      <c r="CL3993" s="128"/>
      <c r="CM3993" s="128"/>
      <c r="CN3993" s="128"/>
      <c r="CO3993" s="128"/>
      <c r="CP3993" s="128"/>
      <c r="CQ3993" s="128"/>
      <c r="CR3993" s="128"/>
      <c r="CS3993" s="128"/>
      <c r="CT3993" s="128"/>
      <c r="CU3993" s="128"/>
      <c r="CV3993" s="128"/>
      <c r="CW3993" s="128"/>
      <c r="CX3993" s="128"/>
      <c r="CY3993" s="128"/>
      <c r="CZ3993" s="165"/>
    </row>
    <row r="3994" spans="1:104">
      <c r="A3994" s="149"/>
      <c r="B3994" s="149"/>
      <c r="C3994" s="150"/>
      <c r="D3994" s="102"/>
      <c r="E3994" s="149"/>
      <c r="F3994" s="149"/>
      <c r="G3994" s="149"/>
      <c r="H3994" s="149"/>
      <c r="I3994" s="149"/>
      <c r="J3994" s="149"/>
      <c r="K3994" s="149"/>
      <c r="L3994" s="149"/>
      <c r="M3994" s="149"/>
      <c r="N3994" s="149"/>
      <c r="O3994" s="149"/>
      <c r="P3994" s="149"/>
      <c r="Q3994" s="149"/>
      <c r="R3994" s="149"/>
      <c r="S3994" s="149"/>
      <c r="T3994" s="149"/>
      <c r="U3994" s="149"/>
      <c r="V3994" s="149"/>
      <c r="W3994" s="149"/>
      <c r="X3994" s="149"/>
      <c r="Y3994" s="149"/>
      <c r="Z3994" s="149"/>
      <c r="AA3994" s="149"/>
      <c r="AB3994" s="149"/>
      <c r="AC3994" s="149"/>
      <c r="AD3994" s="149"/>
      <c r="AE3994" s="149"/>
      <c r="AF3994" s="149"/>
      <c r="AG3994" s="149"/>
      <c r="AH3994" s="149"/>
      <c r="AI3994" s="149"/>
      <c r="AJ3994" s="149"/>
      <c r="AK3994" s="149"/>
      <c r="AL3994" s="149"/>
      <c r="AM3994" s="149"/>
      <c r="AN3994" s="149"/>
      <c r="AO3994" s="128"/>
      <c r="AP3994" s="128"/>
      <c r="AQ3994" s="128"/>
      <c r="AR3994" s="128"/>
      <c r="AS3994" s="128"/>
      <c r="AT3994" s="128"/>
      <c r="AU3994" s="128"/>
      <c r="AV3994" s="128"/>
      <c r="AW3994" s="128"/>
      <c r="AX3994" s="128"/>
      <c r="AY3994" s="128"/>
      <c r="AZ3994" s="128"/>
      <c r="BA3994" s="128"/>
      <c r="BB3994" s="128"/>
      <c r="BC3994" s="128"/>
      <c r="BD3994" s="128"/>
      <c r="BE3994" s="128"/>
      <c r="BF3994" s="128"/>
      <c r="BG3994" s="128"/>
      <c r="BH3994" s="128"/>
      <c r="BI3994" s="128"/>
      <c r="BJ3994" s="128"/>
      <c r="BK3994" s="128"/>
      <c r="BL3994" s="128"/>
      <c r="BM3994" s="151"/>
      <c r="BN3994" s="128"/>
      <c r="BO3994" s="128"/>
      <c r="BP3994" s="128"/>
      <c r="BQ3994" s="128"/>
      <c r="BR3994" s="128"/>
      <c r="BS3994" s="128"/>
      <c r="BT3994" s="128"/>
      <c r="BU3994" s="128"/>
      <c r="BV3994" s="128"/>
      <c r="BW3994" s="128"/>
      <c r="BX3994" s="128"/>
      <c r="BY3994" s="128"/>
      <c r="BZ3994" s="128"/>
      <c r="CA3994" s="128"/>
      <c r="CB3994" s="128"/>
      <c r="CC3994" s="128"/>
      <c r="CD3994" s="128"/>
      <c r="CE3994" s="128"/>
      <c r="CF3994" s="128"/>
      <c r="CG3994" s="128"/>
      <c r="CI3994" s="128"/>
      <c r="CJ3994" s="128"/>
      <c r="CK3994" s="128"/>
      <c r="CL3994" s="128"/>
      <c r="CM3994" s="128"/>
      <c r="CN3994" s="128"/>
      <c r="CO3994" s="128"/>
      <c r="CP3994" s="128"/>
      <c r="CQ3994" s="128"/>
      <c r="CR3994" s="128"/>
      <c r="CS3994" s="128"/>
      <c r="CT3994" s="128"/>
      <c r="CU3994" s="128"/>
      <c r="CV3994" s="128"/>
      <c r="CW3994" s="128"/>
      <c r="CX3994" s="128"/>
      <c r="CY3994" s="128"/>
      <c r="CZ3994" s="165"/>
    </row>
    <row r="3995" spans="1:104">
      <c r="A3995" s="149"/>
      <c r="B3995" s="149"/>
      <c r="C3995" s="150"/>
      <c r="D3995" s="102"/>
      <c r="E3995" s="149"/>
      <c r="F3995" s="149"/>
      <c r="G3995" s="149"/>
      <c r="H3995" s="149"/>
      <c r="I3995" s="149"/>
      <c r="J3995" s="149"/>
      <c r="K3995" s="149"/>
      <c r="L3995" s="149"/>
      <c r="M3995" s="149"/>
      <c r="N3995" s="149"/>
      <c r="O3995" s="149"/>
      <c r="P3995" s="149"/>
      <c r="Q3995" s="149"/>
      <c r="R3995" s="149"/>
      <c r="S3995" s="149"/>
      <c r="T3995" s="149"/>
      <c r="U3995" s="149"/>
      <c r="V3995" s="149"/>
      <c r="W3995" s="149"/>
      <c r="X3995" s="149"/>
      <c r="Y3995" s="149"/>
      <c r="Z3995" s="149"/>
      <c r="AA3995" s="149"/>
      <c r="AB3995" s="149"/>
      <c r="AC3995" s="149"/>
      <c r="AD3995" s="149"/>
      <c r="AE3995" s="149"/>
      <c r="AF3995" s="149"/>
      <c r="AG3995" s="149"/>
      <c r="AH3995" s="149"/>
      <c r="AI3995" s="149"/>
      <c r="AJ3995" s="149"/>
      <c r="AK3995" s="149"/>
      <c r="AL3995" s="149"/>
      <c r="AM3995" s="149"/>
      <c r="AN3995" s="149"/>
      <c r="AO3995" s="128"/>
      <c r="AP3995" s="128"/>
      <c r="AQ3995" s="128"/>
      <c r="AR3995" s="128"/>
      <c r="AS3995" s="128"/>
      <c r="AT3995" s="128"/>
      <c r="AU3995" s="128"/>
      <c r="AV3995" s="128"/>
      <c r="AW3995" s="128"/>
      <c r="AX3995" s="128"/>
      <c r="AY3995" s="128"/>
      <c r="AZ3995" s="128"/>
      <c r="BA3995" s="128"/>
      <c r="BB3995" s="128"/>
      <c r="BC3995" s="128"/>
      <c r="BD3995" s="128"/>
      <c r="BE3995" s="128"/>
      <c r="BF3995" s="128"/>
      <c r="BG3995" s="128"/>
      <c r="BH3995" s="128"/>
      <c r="BI3995" s="128"/>
      <c r="BJ3995" s="128"/>
      <c r="BK3995" s="128"/>
      <c r="BL3995" s="128"/>
      <c r="BM3995" s="151"/>
      <c r="BN3995" s="128"/>
      <c r="BO3995" s="128"/>
      <c r="BP3995" s="128"/>
      <c r="BQ3995" s="128"/>
      <c r="BR3995" s="128"/>
      <c r="BS3995" s="128"/>
      <c r="BT3995" s="128"/>
      <c r="BU3995" s="128"/>
      <c r="BV3995" s="128"/>
      <c r="BW3995" s="128"/>
      <c r="BX3995" s="128"/>
      <c r="BY3995" s="128"/>
      <c r="BZ3995" s="128"/>
      <c r="CA3995" s="128"/>
      <c r="CB3995" s="128"/>
      <c r="CC3995" s="128"/>
      <c r="CD3995" s="128"/>
      <c r="CE3995" s="128"/>
      <c r="CF3995" s="128"/>
      <c r="CG3995" s="128"/>
      <c r="CI3995" s="128"/>
      <c r="CJ3995" s="128"/>
      <c r="CK3995" s="128"/>
      <c r="CL3995" s="128"/>
      <c r="CM3995" s="128"/>
      <c r="CN3995" s="128"/>
      <c r="CO3995" s="128"/>
      <c r="CP3995" s="128"/>
      <c r="CQ3995" s="128"/>
      <c r="CR3995" s="128"/>
      <c r="CS3995" s="128"/>
      <c r="CT3995" s="128"/>
      <c r="CU3995" s="128"/>
      <c r="CV3995" s="128"/>
      <c r="CW3995" s="128"/>
      <c r="CX3995" s="128"/>
      <c r="CY3995" s="128"/>
      <c r="CZ3995" s="165"/>
    </row>
    <row r="3996" spans="1:104">
      <c r="A3996" s="149"/>
      <c r="B3996" s="149"/>
      <c r="C3996" s="150"/>
      <c r="D3996" s="102"/>
      <c r="E3996" s="149"/>
      <c r="F3996" s="149"/>
      <c r="G3996" s="149"/>
      <c r="H3996" s="149"/>
      <c r="I3996" s="149"/>
      <c r="J3996" s="149"/>
      <c r="K3996" s="149"/>
      <c r="L3996" s="149"/>
      <c r="M3996" s="149"/>
      <c r="N3996" s="149"/>
      <c r="O3996" s="149"/>
      <c r="P3996" s="149"/>
      <c r="Q3996" s="149"/>
      <c r="R3996" s="149"/>
      <c r="S3996" s="149"/>
      <c r="T3996" s="149"/>
      <c r="U3996" s="149"/>
      <c r="V3996" s="149"/>
      <c r="W3996" s="149"/>
      <c r="X3996" s="149"/>
      <c r="Y3996" s="149"/>
      <c r="Z3996" s="149"/>
      <c r="AA3996" s="149"/>
      <c r="AB3996" s="149"/>
      <c r="AC3996" s="149"/>
      <c r="AD3996" s="149"/>
      <c r="AE3996" s="149"/>
      <c r="AF3996" s="149"/>
      <c r="AG3996" s="149"/>
      <c r="AH3996" s="149"/>
      <c r="AI3996" s="149"/>
      <c r="AJ3996" s="149"/>
      <c r="AK3996" s="149"/>
      <c r="AL3996" s="149"/>
      <c r="AM3996" s="149"/>
      <c r="AN3996" s="149"/>
      <c r="AO3996" s="128"/>
      <c r="AP3996" s="128"/>
      <c r="AQ3996" s="128"/>
      <c r="AR3996" s="128"/>
      <c r="AS3996" s="128"/>
      <c r="AT3996" s="128"/>
      <c r="AU3996" s="128"/>
      <c r="AV3996" s="128"/>
      <c r="AW3996" s="128"/>
      <c r="AX3996" s="128"/>
      <c r="AY3996" s="128"/>
      <c r="AZ3996" s="128"/>
      <c r="BA3996" s="128"/>
      <c r="BB3996" s="128"/>
      <c r="BC3996" s="128"/>
      <c r="BD3996" s="128"/>
      <c r="BE3996" s="128"/>
      <c r="BF3996" s="128"/>
      <c r="BG3996" s="128"/>
      <c r="BH3996" s="128"/>
      <c r="BI3996" s="128"/>
      <c r="BJ3996" s="128"/>
      <c r="BK3996" s="128"/>
      <c r="BL3996" s="128"/>
      <c r="BM3996" s="151"/>
      <c r="BN3996" s="128"/>
      <c r="BO3996" s="128"/>
      <c r="BP3996" s="128"/>
      <c r="BQ3996" s="128"/>
      <c r="BR3996" s="128"/>
      <c r="BS3996" s="128"/>
      <c r="BT3996" s="128"/>
      <c r="BU3996" s="128"/>
      <c r="BV3996" s="128"/>
      <c r="BW3996" s="128"/>
      <c r="BX3996" s="128"/>
      <c r="BY3996" s="128"/>
      <c r="BZ3996" s="128"/>
      <c r="CA3996" s="128"/>
      <c r="CB3996" s="128"/>
      <c r="CC3996" s="128"/>
      <c r="CD3996" s="128"/>
      <c r="CE3996" s="128"/>
      <c r="CF3996" s="128"/>
      <c r="CG3996" s="128"/>
      <c r="CI3996" s="128"/>
      <c r="CJ3996" s="128"/>
      <c r="CK3996" s="128"/>
      <c r="CL3996" s="128"/>
      <c r="CM3996" s="128"/>
      <c r="CN3996" s="128"/>
      <c r="CO3996" s="128"/>
      <c r="CP3996" s="128"/>
      <c r="CQ3996" s="128"/>
      <c r="CR3996" s="128"/>
      <c r="CS3996" s="128"/>
      <c r="CT3996" s="128"/>
      <c r="CU3996" s="128"/>
      <c r="CV3996" s="128"/>
      <c r="CW3996" s="128"/>
      <c r="CX3996" s="128"/>
      <c r="CY3996" s="128"/>
      <c r="CZ3996" s="165"/>
    </row>
    <row r="3997" spans="1:104">
      <c r="A3997" s="149"/>
      <c r="B3997" s="149"/>
      <c r="C3997" s="150"/>
      <c r="D3997" s="102"/>
      <c r="E3997" s="149"/>
      <c r="F3997" s="149"/>
      <c r="G3997" s="149"/>
      <c r="H3997" s="149"/>
      <c r="I3997" s="149"/>
      <c r="J3997" s="149"/>
      <c r="K3997" s="149"/>
      <c r="L3997" s="149"/>
      <c r="M3997" s="149"/>
      <c r="N3997" s="149"/>
      <c r="O3997" s="149"/>
      <c r="P3997" s="149"/>
      <c r="Q3997" s="149"/>
      <c r="R3997" s="149"/>
      <c r="S3997" s="149"/>
      <c r="T3997" s="149"/>
      <c r="U3997" s="149"/>
      <c r="V3997" s="149"/>
      <c r="W3997" s="149"/>
      <c r="X3997" s="149"/>
      <c r="Y3997" s="149"/>
      <c r="Z3997" s="149"/>
      <c r="AA3997" s="149"/>
      <c r="AB3997" s="149"/>
      <c r="AC3997" s="149"/>
      <c r="AD3997" s="149"/>
      <c r="AE3997" s="149"/>
      <c r="AF3997" s="149"/>
      <c r="AG3997" s="149"/>
      <c r="AH3997" s="149"/>
      <c r="AI3997" s="149"/>
      <c r="AJ3997" s="149"/>
      <c r="AK3997" s="149"/>
      <c r="AL3997" s="149"/>
      <c r="AM3997" s="149"/>
      <c r="AN3997" s="149"/>
      <c r="AO3997" s="128"/>
      <c r="AP3997" s="128"/>
      <c r="AQ3997" s="128"/>
      <c r="AR3997" s="128"/>
      <c r="AS3997" s="128"/>
      <c r="AT3997" s="128"/>
      <c r="AU3997" s="128"/>
      <c r="AV3997" s="128"/>
      <c r="AW3997" s="128"/>
      <c r="AX3997" s="128"/>
      <c r="AY3997" s="128"/>
      <c r="AZ3997" s="128"/>
      <c r="BA3997" s="128"/>
      <c r="BB3997" s="128"/>
      <c r="BC3997" s="128"/>
      <c r="BD3997" s="128"/>
      <c r="BE3997" s="128"/>
      <c r="BF3997" s="128"/>
      <c r="BG3997" s="128"/>
      <c r="BH3997" s="128"/>
      <c r="BI3997" s="128"/>
      <c r="BJ3997" s="128"/>
      <c r="BK3997" s="128"/>
      <c r="BL3997" s="128"/>
      <c r="BM3997" s="151"/>
      <c r="BN3997" s="128"/>
      <c r="BO3997" s="128"/>
      <c r="BP3997" s="128"/>
      <c r="BQ3997" s="128"/>
      <c r="BR3997" s="128"/>
      <c r="BS3997" s="128"/>
      <c r="BT3997" s="128"/>
      <c r="BU3997" s="128"/>
      <c r="BV3997" s="128"/>
      <c r="BW3997" s="128"/>
      <c r="BX3997" s="128"/>
      <c r="BY3997" s="128"/>
      <c r="BZ3997" s="128"/>
      <c r="CA3997" s="128"/>
      <c r="CB3997" s="128"/>
      <c r="CC3997" s="128"/>
      <c r="CD3997" s="128"/>
      <c r="CE3997" s="128"/>
      <c r="CF3997" s="128"/>
      <c r="CG3997" s="128"/>
      <c r="CI3997" s="128"/>
      <c r="CJ3997" s="128"/>
      <c r="CK3997" s="128"/>
      <c r="CL3997" s="128"/>
      <c r="CM3997" s="128"/>
      <c r="CN3997" s="128"/>
      <c r="CO3997" s="128"/>
      <c r="CP3997" s="128"/>
      <c r="CQ3997" s="128"/>
      <c r="CR3997" s="128"/>
      <c r="CS3997" s="128"/>
      <c r="CT3997" s="128"/>
      <c r="CU3997" s="128"/>
      <c r="CV3997" s="128"/>
      <c r="CW3997" s="128"/>
      <c r="CX3997" s="128"/>
      <c r="CY3997" s="128"/>
      <c r="CZ3997" s="165"/>
    </row>
    <row r="3998" spans="1:104">
      <c r="A3998" s="149"/>
      <c r="B3998" s="149"/>
      <c r="C3998" s="150"/>
      <c r="D3998" s="102"/>
      <c r="E3998" s="149"/>
      <c r="F3998" s="149"/>
      <c r="G3998" s="149"/>
      <c r="H3998" s="149"/>
      <c r="I3998" s="149"/>
      <c r="J3998" s="149"/>
      <c r="K3998" s="149"/>
      <c r="L3998" s="149"/>
      <c r="M3998" s="149"/>
      <c r="N3998" s="149"/>
      <c r="O3998" s="149"/>
      <c r="P3998" s="149"/>
      <c r="Q3998" s="149"/>
      <c r="R3998" s="149"/>
      <c r="S3998" s="149"/>
      <c r="T3998" s="149"/>
      <c r="U3998" s="149"/>
      <c r="V3998" s="149"/>
      <c r="W3998" s="149"/>
      <c r="X3998" s="149"/>
      <c r="Y3998" s="149"/>
      <c r="Z3998" s="149"/>
      <c r="AA3998" s="149"/>
      <c r="AB3998" s="149"/>
      <c r="AC3998" s="149"/>
      <c r="AD3998" s="149"/>
      <c r="AE3998" s="149"/>
      <c r="AF3998" s="149"/>
      <c r="AG3998" s="149"/>
      <c r="AH3998" s="149"/>
      <c r="AI3998" s="149"/>
      <c r="AJ3998" s="149"/>
      <c r="AK3998" s="149"/>
      <c r="AL3998" s="149"/>
      <c r="AM3998" s="149"/>
      <c r="AN3998" s="149"/>
      <c r="AO3998" s="128"/>
      <c r="AP3998" s="128"/>
      <c r="AQ3998" s="128"/>
      <c r="AR3998" s="128"/>
      <c r="AS3998" s="128"/>
      <c r="AT3998" s="128"/>
      <c r="AU3998" s="128"/>
      <c r="AV3998" s="128"/>
      <c r="AW3998" s="128"/>
      <c r="AX3998" s="128"/>
      <c r="AY3998" s="128"/>
      <c r="AZ3998" s="128"/>
      <c r="BA3998" s="128"/>
      <c r="BB3998" s="128"/>
      <c r="BC3998" s="128"/>
      <c r="BD3998" s="128"/>
      <c r="BE3998" s="128"/>
      <c r="BF3998" s="128"/>
      <c r="BG3998" s="128"/>
      <c r="BH3998" s="128"/>
      <c r="BI3998" s="128"/>
      <c r="BJ3998" s="128"/>
      <c r="BK3998" s="128"/>
      <c r="BL3998" s="128"/>
      <c r="BM3998" s="151"/>
      <c r="BN3998" s="128"/>
      <c r="BO3998" s="128"/>
      <c r="BP3998" s="128"/>
      <c r="BQ3998" s="128"/>
      <c r="BR3998" s="128"/>
      <c r="BS3998" s="128"/>
      <c r="BT3998" s="128"/>
      <c r="BU3998" s="128"/>
      <c r="BV3998" s="128"/>
      <c r="BW3998" s="128"/>
      <c r="BX3998" s="128"/>
      <c r="BY3998" s="128"/>
      <c r="BZ3998" s="128"/>
      <c r="CA3998" s="128"/>
      <c r="CB3998" s="128"/>
      <c r="CC3998" s="128"/>
      <c r="CD3998" s="128"/>
      <c r="CE3998" s="128"/>
      <c r="CF3998" s="128"/>
      <c r="CG3998" s="128"/>
      <c r="CI3998" s="128"/>
      <c r="CJ3998" s="128"/>
      <c r="CK3998" s="128"/>
      <c r="CL3998" s="128"/>
      <c r="CM3998" s="128"/>
      <c r="CN3998" s="128"/>
      <c r="CO3998" s="128"/>
      <c r="CP3998" s="128"/>
      <c r="CQ3998" s="128"/>
      <c r="CR3998" s="128"/>
      <c r="CS3998" s="128"/>
      <c r="CT3998" s="128"/>
      <c r="CU3998" s="128"/>
      <c r="CV3998" s="128"/>
      <c r="CW3998" s="128"/>
      <c r="CX3998" s="128"/>
      <c r="CY3998" s="128"/>
      <c r="CZ3998" s="165"/>
    </row>
    <row r="3999" spans="1:104">
      <c r="A3999" s="149"/>
      <c r="B3999" s="149"/>
      <c r="C3999" s="150"/>
      <c r="D3999" s="102"/>
      <c r="E3999" s="149"/>
      <c r="F3999" s="149"/>
      <c r="G3999" s="149"/>
      <c r="H3999" s="149"/>
      <c r="I3999" s="149"/>
      <c r="J3999" s="149"/>
      <c r="K3999" s="149"/>
      <c r="L3999" s="149"/>
      <c r="M3999" s="149"/>
      <c r="N3999" s="149"/>
      <c r="O3999" s="149"/>
      <c r="P3999" s="149"/>
      <c r="Q3999" s="149"/>
      <c r="R3999" s="149"/>
      <c r="S3999" s="149"/>
      <c r="T3999" s="149"/>
      <c r="U3999" s="149"/>
      <c r="V3999" s="149"/>
      <c r="W3999" s="149"/>
      <c r="X3999" s="149"/>
      <c r="Y3999" s="149"/>
      <c r="Z3999" s="149"/>
      <c r="AA3999" s="149"/>
      <c r="AB3999" s="149"/>
      <c r="AC3999" s="149"/>
      <c r="AD3999" s="149"/>
      <c r="AE3999" s="149"/>
      <c r="AF3999" s="149"/>
      <c r="AG3999" s="149"/>
      <c r="AH3999" s="149"/>
      <c r="AI3999" s="149"/>
      <c r="AJ3999" s="149"/>
      <c r="AK3999" s="149"/>
      <c r="AL3999" s="149"/>
      <c r="AM3999" s="149"/>
      <c r="AN3999" s="149"/>
      <c r="AO3999" s="128"/>
      <c r="AP3999" s="128"/>
      <c r="AQ3999" s="128"/>
      <c r="AR3999" s="128"/>
      <c r="AS3999" s="128"/>
      <c r="AT3999" s="128"/>
      <c r="AU3999" s="128"/>
      <c r="AV3999" s="128"/>
      <c r="AW3999" s="128"/>
      <c r="AX3999" s="128"/>
      <c r="AY3999" s="128"/>
      <c r="AZ3999" s="128"/>
      <c r="BA3999" s="128"/>
      <c r="BB3999" s="128"/>
      <c r="BC3999" s="128"/>
      <c r="BD3999" s="128"/>
      <c r="BE3999" s="128"/>
      <c r="BF3999" s="128"/>
      <c r="BG3999" s="128"/>
      <c r="BH3999" s="128"/>
      <c r="BI3999" s="128"/>
      <c r="BJ3999" s="128"/>
      <c r="BK3999" s="128"/>
      <c r="BL3999" s="128"/>
      <c r="BM3999" s="151"/>
      <c r="BN3999" s="128"/>
      <c r="BO3999" s="128"/>
      <c r="BP3999" s="128"/>
      <c r="BQ3999" s="128"/>
      <c r="BR3999" s="128"/>
      <c r="BS3999" s="128"/>
      <c r="BT3999" s="128"/>
      <c r="BU3999" s="128"/>
      <c r="BV3999" s="128"/>
      <c r="BW3999" s="128"/>
      <c r="BX3999" s="128"/>
      <c r="BY3999" s="128"/>
      <c r="BZ3999" s="128"/>
      <c r="CA3999" s="128"/>
      <c r="CB3999" s="128"/>
      <c r="CC3999" s="128"/>
      <c r="CD3999" s="128"/>
      <c r="CE3999" s="128"/>
      <c r="CF3999" s="128"/>
      <c r="CG3999" s="128"/>
      <c r="CI3999" s="128"/>
      <c r="CJ3999" s="128"/>
      <c r="CK3999" s="128"/>
      <c r="CL3999" s="128"/>
      <c r="CM3999" s="128"/>
      <c r="CN3999" s="128"/>
      <c r="CO3999" s="128"/>
      <c r="CP3999" s="128"/>
      <c r="CQ3999" s="128"/>
      <c r="CR3999" s="128"/>
      <c r="CS3999" s="128"/>
      <c r="CT3999" s="128"/>
      <c r="CU3999" s="128"/>
      <c r="CV3999" s="128"/>
      <c r="CW3999" s="128"/>
      <c r="CX3999" s="128"/>
      <c r="CY3999" s="128"/>
      <c r="CZ3999" s="165"/>
    </row>
    <row r="4000" spans="1:104">
      <c r="A4000" s="149"/>
      <c r="B4000" s="149"/>
      <c r="C4000" s="150"/>
      <c r="D4000" s="102"/>
      <c r="E4000" s="149"/>
      <c r="F4000" s="149"/>
      <c r="G4000" s="149"/>
      <c r="H4000" s="149"/>
      <c r="I4000" s="149"/>
      <c r="J4000" s="149"/>
      <c r="K4000" s="149"/>
      <c r="L4000" s="149"/>
      <c r="M4000" s="149"/>
      <c r="N4000" s="149"/>
      <c r="O4000" s="149"/>
      <c r="P4000" s="149"/>
      <c r="Q4000" s="149"/>
      <c r="R4000" s="149"/>
      <c r="S4000" s="149"/>
      <c r="T4000" s="149"/>
      <c r="U4000" s="149"/>
      <c r="V4000" s="149"/>
      <c r="W4000" s="149"/>
      <c r="X4000" s="149"/>
      <c r="Y4000" s="149"/>
      <c r="Z4000" s="149"/>
      <c r="AA4000" s="149"/>
      <c r="AB4000" s="149"/>
      <c r="AC4000" s="149"/>
      <c r="AD4000" s="149"/>
      <c r="AE4000" s="149"/>
      <c r="AF4000" s="149"/>
      <c r="AG4000" s="149"/>
      <c r="AH4000" s="149"/>
      <c r="AI4000" s="149"/>
      <c r="AJ4000" s="149"/>
      <c r="AK4000" s="149"/>
      <c r="AL4000" s="149"/>
      <c r="AM4000" s="149"/>
      <c r="AN4000" s="149"/>
      <c r="AO4000" s="128"/>
      <c r="AP4000" s="128"/>
      <c r="AQ4000" s="128"/>
      <c r="AR4000" s="128"/>
      <c r="AS4000" s="128"/>
      <c r="AT4000" s="128"/>
      <c r="AU4000" s="128"/>
      <c r="AV4000" s="128"/>
      <c r="AW4000" s="128"/>
      <c r="AX4000" s="128"/>
      <c r="AY4000" s="128"/>
      <c r="AZ4000" s="128"/>
      <c r="BA4000" s="128"/>
      <c r="BB4000" s="128"/>
      <c r="BC4000" s="128"/>
      <c r="BD4000" s="128"/>
      <c r="BE4000" s="128"/>
      <c r="BF4000" s="128"/>
      <c r="BG4000" s="128"/>
      <c r="BH4000" s="128"/>
      <c r="BI4000" s="128"/>
      <c r="BJ4000" s="128"/>
      <c r="BK4000" s="128"/>
      <c r="BL4000" s="128"/>
      <c r="BM4000" s="151"/>
      <c r="BN4000" s="128"/>
      <c r="BO4000" s="128"/>
      <c r="BP4000" s="128"/>
      <c r="BQ4000" s="128"/>
      <c r="BR4000" s="128"/>
      <c r="BS4000" s="128"/>
      <c r="BT4000" s="128"/>
      <c r="BU4000" s="128"/>
      <c r="BV4000" s="128"/>
      <c r="BW4000" s="128"/>
      <c r="BX4000" s="128"/>
      <c r="BY4000" s="128"/>
      <c r="BZ4000" s="128"/>
      <c r="CA4000" s="128"/>
      <c r="CB4000" s="128"/>
      <c r="CC4000" s="128"/>
      <c r="CD4000" s="128"/>
      <c r="CE4000" s="128"/>
      <c r="CF4000" s="128"/>
      <c r="CG4000" s="128"/>
      <c r="CI4000" s="128"/>
      <c r="CJ4000" s="128"/>
      <c r="CK4000" s="128"/>
      <c r="CL4000" s="128"/>
      <c r="CM4000" s="128"/>
      <c r="CN4000" s="128"/>
      <c r="CO4000" s="128"/>
      <c r="CP4000" s="128"/>
      <c r="CQ4000" s="128"/>
      <c r="CR4000" s="128"/>
      <c r="CS4000" s="128"/>
      <c r="CT4000" s="128"/>
      <c r="CU4000" s="128"/>
      <c r="CV4000" s="128"/>
      <c r="CW4000" s="128"/>
      <c r="CX4000" s="128"/>
      <c r="CY4000" s="128"/>
      <c r="CZ4000" s="165"/>
    </row>
    <row r="4001" spans="1:104">
      <c r="A4001" s="149"/>
      <c r="B4001" s="149"/>
      <c r="C4001" s="150"/>
      <c r="D4001" s="102"/>
      <c r="E4001" s="149"/>
      <c r="F4001" s="149"/>
      <c r="G4001" s="149"/>
      <c r="H4001" s="149"/>
      <c r="I4001" s="149"/>
      <c r="J4001" s="149"/>
      <c r="K4001" s="149"/>
      <c r="L4001" s="149"/>
      <c r="M4001" s="149"/>
      <c r="N4001" s="149"/>
      <c r="O4001" s="149"/>
      <c r="P4001" s="149"/>
      <c r="Q4001" s="149"/>
      <c r="R4001" s="149"/>
      <c r="S4001" s="149"/>
      <c r="T4001" s="149"/>
      <c r="U4001" s="149"/>
      <c r="V4001" s="149"/>
      <c r="W4001" s="149"/>
      <c r="X4001" s="149"/>
      <c r="Y4001" s="149"/>
      <c r="Z4001" s="149"/>
      <c r="AA4001" s="149"/>
      <c r="AB4001" s="149"/>
      <c r="AC4001" s="149"/>
      <c r="AD4001" s="149"/>
      <c r="AE4001" s="149"/>
      <c r="AF4001" s="149"/>
      <c r="AG4001" s="149"/>
      <c r="AH4001" s="149"/>
      <c r="AI4001" s="149"/>
      <c r="AJ4001" s="149"/>
      <c r="AK4001" s="149"/>
      <c r="AL4001" s="149"/>
      <c r="AM4001" s="149"/>
      <c r="AN4001" s="149"/>
      <c r="AO4001" s="128"/>
      <c r="AP4001" s="128"/>
      <c r="AQ4001" s="128"/>
      <c r="AR4001" s="128"/>
      <c r="AS4001" s="128"/>
      <c r="AT4001" s="128"/>
      <c r="AU4001" s="128"/>
      <c r="AV4001" s="128"/>
      <c r="AW4001" s="128"/>
      <c r="AX4001" s="128"/>
      <c r="AY4001" s="128"/>
      <c r="AZ4001" s="128"/>
      <c r="BA4001" s="128"/>
      <c r="BB4001" s="128"/>
      <c r="BC4001" s="128"/>
      <c r="BD4001" s="128"/>
      <c r="BE4001" s="128"/>
      <c r="BF4001" s="128"/>
      <c r="BG4001" s="128"/>
      <c r="BH4001" s="128"/>
      <c r="BI4001" s="128"/>
      <c r="BJ4001" s="128"/>
      <c r="BK4001" s="128"/>
      <c r="BL4001" s="128"/>
      <c r="BM4001" s="151"/>
      <c r="BN4001" s="128"/>
      <c r="BO4001" s="128"/>
      <c r="BP4001" s="128"/>
      <c r="BQ4001" s="128"/>
      <c r="BR4001" s="128"/>
      <c r="BS4001" s="128"/>
      <c r="BT4001" s="128"/>
      <c r="BU4001" s="128"/>
      <c r="BV4001" s="128"/>
      <c r="BW4001" s="128"/>
      <c r="BX4001" s="128"/>
      <c r="BY4001" s="128"/>
      <c r="BZ4001" s="128"/>
      <c r="CA4001" s="128"/>
      <c r="CB4001" s="128"/>
      <c r="CC4001" s="128"/>
      <c r="CD4001" s="128"/>
      <c r="CE4001" s="128"/>
      <c r="CF4001" s="128"/>
      <c r="CG4001" s="128"/>
      <c r="CI4001" s="128"/>
      <c r="CJ4001" s="128"/>
      <c r="CK4001" s="128"/>
      <c r="CL4001" s="128"/>
      <c r="CM4001" s="128"/>
      <c r="CN4001" s="128"/>
      <c r="CO4001" s="128"/>
      <c r="CP4001" s="128"/>
      <c r="CQ4001" s="128"/>
      <c r="CR4001" s="128"/>
      <c r="CS4001" s="128"/>
      <c r="CT4001" s="128"/>
      <c r="CU4001" s="128"/>
      <c r="CV4001" s="128"/>
      <c r="CW4001" s="128"/>
      <c r="CX4001" s="128"/>
      <c r="CY4001" s="128"/>
      <c r="CZ4001" s="165"/>
    </row>
    <row r="4002" spans="1:104">
      <c r="A4002" s="149"/>
      <c r="B4002" s="149"/>
      <c r="C4002" s="150"/>
      <c r="D4002" s="102"/>
      <c r="E4002" s="149"/>
      <c r="F4002" s="149"/>
      <c r="G4002" s="149"/>
      <c r="H4002" s="149"/>
      <c r="I4002" s="149"/>
      <c r="J4002" s="149"/>
      <c r="K4002" s="149"/>
      <c r="L4002" s="149"/>
      <c r="M4002" s="149"/>
      <c r="N4002" s="149"/>
      <c r="O4002" s="149"/>
      <c r="P4002" s="149"/>
      <c r="Q4002" s="149"/>
      <c r="R4002" s="149"/>
      <c r="S4002" s="149"/>
      <c r="T4002" s="149"/>
      <c r="U4002" s="149"/>
      <c r="V4002" s="149"/>
      <c r="W4002" s="149"/>
      <c r="X4002" s="149"/>
      <c r="Y4002" s="149"/>
      <c r="Z4002" s="149"/>
      <c r="AA4002" s="149"/>
      <c r="AB4002" s="149"/>
      <c r="AC4002" s="149"/>
      <c r="AD4002" s="149"/>
      <c r="AE4002" s="149"/>
      <c r="AF4002" s="149"/>
      <c r="AG4002" s="149"/>
      <c r="AH4002" s="149"/>
      <c r="AI4002" s="149"/>
      <c r="AJ4002" s="149"/>
      <c r="AK4002" s="149"/>
      <c r="AL4002" s="149"/>
      <c r="AM4002" s="149"/>
      <c r="AN4002" s="149"/>
      <c r="AO4002" s="128"/>
      <c r="AP4002" s="128"/>
      <c r="AQ4002" s="128"/>
      <c r="AR4002" s="128"/>
      <c r="AS4002" s="128"/>
      <c r="AT4002" s="128"/>
      <c r="AU4002" s="128"/>
      <c r="AV4002" s="128"/>
      <c r="AW4002" s="128"/>
      <c r="AX4002" s="128"/>
      <c r="AY4002" s="128"/>
      <c r="AZ4002" s="128"/>
      <c r="BA4002" s="128"/>
      <c r="BB4002" s="128"/>
      <c r="BC4002" s="128"/>
      <c r="BD4002" s="128"/>
      <c r="BE4002" s="128"/>
      <c r="BF4002" s="128"/>
      <c r="BG4002" s="128"/>
      <c r="BH4002" s="128"/>
      <c r="BI4002" s="128"/>
      <c r="BJ4002" s="128"/>
      <c r="BK4002" s="128"/>
      <c r="BL4002" s="128"/>
      <c r="BM4002" s="151"/>
      <c r="BN4002" s="128"/>
      <c r="BO4002" s="128"/>
      <c r="BP4002" s="128"/>
      <c r="BQ4002" s="128"/>
      <c r="BR4002" s="128"/>
      <c r="BS4002" s="128"/>
      <c r="BT4002" s="128"/>
      <c r="BU4002" s="128"/>
      <c r="BV4002" s="128"/>
      <c r="BW4002" s="128"/>
      <c r="BX4002" s="128"/>
      <c r="BY4002" s="128"/>
      <c r="BZ4002" s="128"/>
      <c r="CA4002" s="128"/>
      <c r="CB4002" s="128"/>
      <c r="CC4002" s="128"/>
      <c r="CD4002" s="128"/>
      <c r="CE4002" s="128"/>
      <c r="CF4002" s="128"/>
      <c r="CG4002" s="128"/>
      <c r="CI4002" s="128"/>
      <c r="CJ4002" s="128"/>
      <c r="CK4002" s="128"/>
      <c r="CL4002" s="128"/>
      <c r="CM4002" s="128"/>
      <c r="CN4002" s="128"/>
      <c r="CO4002" s="128"/>
      <c r="CP4002" s="128"/>
      <c r="CQ4002" s="128"/>
      <c r="CR4002" s="128"/>
      <c r="CS4002" s="128"/>
      <c r="CT4002" s="128"/>
      <c r="CU4002" s="128"/>
      <c r="CV4002" s="128"/>
      <c r="CW4002" s="128"/>
      <c r="CX4002" s="128"/>
      <c r="CY4002" s="128"/>
      <c r="CZ4002" s="165"/>
    </row>
    <row r="4003" spans="1:104">
      <c r="A4003" s="149"/>
      <c r="B4003" s="149"/>
      <c r="C4003" s="150"/>
      <c r="D4003" s="102"/>
      <c r="E4003" s="149"/>
      <c r="F4003" s="149"/>
      <c r="G4003" s="149"/>
      <c r="H4003" s="149"/>
      <c r="I4003" s="149"/>
      <c r="J4003" s="149"/>
      <c r="K4003" s="149"/>
      <c r="L4003" s="149"/>
      <c r="M4003" s="149"/>
      <c r="N4003" s="149"/>
      <c r="O4003" s="149"/>
      <c r="P4003" s="149"/>
      <c r="Q4003" s="149"/>
      <c r="R4003" s="149"/>
      <c r="S4003" s="149"/>
      <c r="T4003" s="149"/>
      <c r="U4003" s="149"/>
      <c r="V4003" s="149"/>
      <c r="W4003" s="149"/>
      <c r="X4003" s="149"/>
      <c r="Y4003" s="149"/>
      <c r="Z4003" s="149"/>
      <c r="AA4003" s="149"/>
      <c r="AB4003" s="149"/>
      <c r="AC4003" s="149"/>
      <c r="AD4003" s="149"/>
      <c r="AE4003" s="149"/>
      <c r="AF4003" s="149"/>
      <c r="AG4003" s="149"/>
      <c r="AH4003" s="149"/>
      <c r="AI4003" s="149"/>
      <c r="AJ4003" s="149"/>
      <c r="AK4003" s="149"/>
      <c r="AL4003" s="149"/>
      <c r="AM4003" s="149"/>
      <c r="AN4003" s="149"/>
      <c r="AO4003" s="128"/>
      <c r="AP4003" s="128"/>
      <c r="AQ4003" s="128"/>
      <c r="AR4003" s="128"/>
      <c r="AS4003" s="128"/>
      <c r="AT4003" s="128"/>
      <c r="AU4003" s="128"/>
      <c r="AV4003" s="128"/>
      <c r="AW4003" s="128"/>
      <c r="AX4003" s="128"/>
      <c r="AY4003" s="128"/>
      <c r="AZ4003" s="128"/>
      <c r="BA4003" s="128"/>
      <c r="BB4003" s="128"/>
      <c r="BC4003" s="128"/>
      <c r="BD4003" s="128"/>
      <c r="BE4003" s="128"/>
      <c r="BF4003" s="128"/>
      <c r="BG4003" s="128"/>
      <c r="BH4003" s="128"/>
      <c r="BI4003" s="128"/>
      <c r="BJ4003" s="128"/>
      <c r="BK4003" s="128"/>
      <c r="BL4003" s="128"/>
      <c r="BM4003" s="151"/>
      <c r="BN4003" s="128"/>
      <c r="BO4003" s="128"/>
      <c r="BP4003" s="128"/>
      <c r="BQ4003" s="128"/>
      <c r="BR4003" s="128"/>
      <c r="BS4003" s="128"/>
      <c r="BT4003" s="128"/>
      <c r="BU4003" s="128"/>
      <c r="BV4003" s="128"/>
      <c r="BW4003" s="128"/>
      <c r="BX4003" s="128"/>
      <c r="BY4003" s="128"/>
      <c r="BZ4003" s="128"/>
      <c r="CA4003" s="128"/>
      <c r="CB4003" s="128"/>
      <c r="CC4003" s="128"/>
      <c r="CD4003" s="128"/>
      <c r="CE4003" s="128"/>
      <c r="CF4003" s="128"/>
      <c r="CG4003" s="128"/>
      <c r="CI4003" s="128"/>
      <c r="CJ4003" s="128"/>
      <c r="CK4003" s="128"/>
      <c r="CL4003" s="128"/>
      <c r="CM4003" s="128"/>
      <c r="CN4003" s="128"/>
      <c r="CO4003" s="128"/>
      <c r="CP4003" s="128"/>
      <c r="CQ4003" s="128"/>
      <c r="CR4003" s="128"/>
      <c r="CS4003" s="128"/>
      <c r="CT4003" s="128"/>
      <c r="CU4003" s="128"/>
      <c r="CV4003" s="128"/>
      <c r="CW4003" s="128"/>
      <c r="CX4003" s="128"/>
      <c r="CY4003" s="128"/>
      <c r="CZ4003" s="165"/>
    </row>
    <row r="4004" spans="1:104">
      <c r="A4004" s="149"/>
      <c r="B4004" s="149"/>
      <c r="C4004" s="150"/>
      <c r="D4004" s="102"/>
      <c r="E4004" s="149"/>
      <c r="F4004" s="149"/>
      <c r="G4004" s="149"/>
      <c r="H4004" s="149"/>
      <c r="I4004" s="149"/>
      <c r="J4004" s="149"/>
      <c r="K4004" s="149"/>
      <c r="L4004" s="149"/>
      <c r="M4004" s="149"/>
      <c r="N4004" s="149"/>
      <c r="O4004" s="149"/>
      <c r="P4004" s="149"/>
      <c r="Q4004" s="149"/>
      <c r="R4004" s="149"/>
      <c r="S4004" s="149"/>
      <c r="T4004" s="149"/>
      <c r="U4004" s="149"/>
      <c r="V4004" s="149"/>
      <c r="W4004" s="149"/>
      <c r="X4004" s="149"/>
      <c r="Y4004" s="149"/>
      <c r="Z4004" s="149"/>
      <c r="AA4004" s="149"/>
      <c r="AB4004" s="149"/>
      <c r="AC4004" s="149"/>
      <c r="AD4004" s="149"/>
      <c r="AE4004" s="149"/>
      <c r="AF4004" s="149"/>
      <c r="AG4004" s="149"/>
      <c r="AH4004" s="149"/>
      <c r="AI4004" s="149"/>
      <c r="AJ4004" s="149"/>
      <c r="AK4004" s="149"/>
      <c r="AL4004" s="149"/>
      <c r="AM4004" s="149"/>
      <c r="AN4004" s="149"/>
      <c r="AO4004" s="128"/>
      <c r="AP4004" s="128"/>
      <c r="AQ4004" s="128"/>
      <c r="AR4004" s="128"/>
      <c r="AS4004" s="128"/>
      <c r="AT4004" s="128"/>
      <c r="AU4004" s="128"/>
      <c r="AV4004" s="128"/>
      <c r="AW4004" s="128"/>
      <c r="AX4004" s="128"/>
      <c r="AY4004" s="128"/>
      <c r="AZ4004" s="128"/>
      <c r="BA4004" s="128"/>
      <c r="BB4004" s="128"/>
      <c r="BC4004" s="128"/>
      <c r="BD4004" s="128"/>
      <c r="BE4004" s="128"/>
      <c r="BF4004" s="128"/>
      <c r="BG4004" s="128"/>
      <c r="BH4004" s="128"/>
      <c r="BI4004" s="128"/>
      <c r="BJ4004" s="128"/>
      <c r="BK4004" s="128"/>
      <c r="BL4004" s="128"/>
      <c r="BM4004" s="151"/>
      <c r="BN4004" s="128"/>
      <c r="BO4004" s="128"/>
      <c r="BP4004" s="128"/>
      <c r="BQ4004" s="128"/>
      <c r="BR4004" s="128"/>
      <c r="BS4004" s="128"/>
      <c r="BT4004" s="128"/>
      <c r="BU4004" s="128"/>
      <c r="BV4004" s="128"/>
      <c r="BW4004" s="128"/>
      <c r="BX4004" s="128"/>
      <c r="BY4004" s="128"/>
      <c r="BZ4004" s="128"/>
      <c r="CA4004" s="128"/>
      <c r="CB4004" s="128"/>
      <c r="CC4004" s="128"/>
      <c r="CD4004" s="128"/>
      <c r="CE4004" s="128"/>
      <c r="CF4004" s="128"/>
      <c r="CG4004" s="128"/>
      <c r="CI4004" s="128"/>
      <c r="CJ4004" s="128"/>
      <c r="CK4004" s="128"/>
      <c r="CL4004" s="128"/>
      <c r="CM4004" s="128"/>
      <c r="CN4004" s="128"/>
      <c r="CO4004" s="128"/>
      <c r="CP4004" s="128"/>
      <c r="CQ4004" s="128"/>
      <c r="CR4004" s="128"/>
      <c r="CS4004" s="128"/>
      <c r="CT4004" s="128"/>
      <c r="CU4004" s="128"/>
      <c r="CV4004" s="128"/>
      <c r="CW4004" s="128"/>
      <c r="CX4004" s="128"/>
      <c r="CY4004" s="128"/>
      <c r="CZ4004" s="165"/>
    </row>
    <row r="4005" spans="1:104">
      <c r="A4005" s="149"/>
      <c r="B4005" s="149"/>
      <c r="C4005" s="150"/>
      <c r="D4005" s="102"/>
      <c r="E4005" s="149"/>
      <c r="F4005" s="149"/>
      <c r="G4005" s="149"/>
      <c r="H4005" s="149"/>
      <c r="I4005" s="149"/>
      <c r="J4005" s="149"/>
      <c r="K4005" s="149"/>
      <c r="L4005" s="149"/>
      <c r="M4005" s="149"/>
      <c r="N4005" s="149"/>
      <c r="O4005" s="149"/>
      <c r="P4005" s="149"/>
      <c r="Q4005" s="149"/>
      <c r="R4005" s="149"/>
      <c r="S4005" s="149"/>
      <c r="T4005" s="149"/>
      <c r="U4005" s="149"/>
      <c r="V4005" s="149"/>
      <c r="W4005" s="149"/>
      <c r="X4005" s="149"/>
      <c r="Y4005" s="149"/>
      <c r="Z4005" s="149"/>
      <c r="AA4005" s="149"/>
      <c r="AB4005" s="149"/>
      <c r="AC4005" s="149"/>
      <c r="AD4005" s="149"/>
      <c r="AE4005" s="149"/>
      <c r="AF4005" s="149"/>
      <c r="AG4005" s="149"/>
      <c r="AH4005" s="149"/>
      <c r="AI4005" s="149"/>
      <c r="AJ4005" s="149"/>
      <c r="AK4005" s="149"/>
      <c r="AL4005" s="149"/>
      <c r="AM4005" s="149"/>
      <c r="AN4005" s="149"/>
      <c r="AO4005" s="128"/>
      <c r="AP4005" s="128"/>
      <c r="AQ4005" s="128"/>
      <c r="AR4005" s="128"/>
      <c r="AS4005" s="128"/>
      <c r="AT4005" s="128"/>
      <c r="AU4005" s="128"/>
      <c r="AV4005" s="128"/>
      <c r="AW4005" s="128"/>
      <c r="AX4005" s="128"/>
      <c r="AY4005" s="128"/>
      <c r="AZ4005" s="128"/>
      <c r="BA4005" s="128"/>
      <c r="BB4005" s="128"/>
      <c r="BC4005" s="128"/>
      <c r="BD4005" s="128"/>
      <c r="BE4005" s="128"/>
      <c r="BF4005" s="128"/>
      <c r="BG4005" s="128"/>
      <c r="BH4005" s="128"/>
      <c r="BI4005" s="128"/>
      <c r="BJ4005" s="128"/>
      <c r="BK4005" s="128"/>
      <c r="BL4005" s="128"/>
      <c r="BM4005" s="151"/>
      <c r="BN4005" s="128"/>
      <c r="BO4005" s="128"/>
      <c r="BP4005" s="128"/>
      <c r="BQ4005" s="128"/>
      <c r="BR4005" s="128"/>
      <c r="BS4005" s="128"/>
      <c r="BT4005" s="128"/>
      <c r="BU4005" s="128"/>
      <c r="BV4005" s="128"/>
      <c r="BW4005" s="128"/>
      <c r="BX4005" s="128"/>
      <c r="BY4005" s="128"/>
      <c r="BZ4005" s="128"/>
      <c r="CA4005" s="128"/>
      <c r="CB4005" s="128"/>
      <c r="CC4005" s="128"/>
      <c r="CD4005" s="128"/>
      <c r="CE4005" s="128"/>
      <c r="CF4005" s="128"/>
      <c r="CG4005" s="128"/>
      <c r="CI4005" s="128"/>
      <c r="CJ4005" s="128"/>
      <c r="CK4005" s="128"/>
      <c r="CL4005" s="128"/>
      <c r="CM4005" s="128"/>
      <c r="CN4005" s="128"/>
      <c r="CO4005" s="128"/>
      <c r="CP4005" s="128"/>
      <c r="CQ4005" s="128"/>
      <c r="CR4005" s="128"/>
      <c r="CS4005" s="128"/>
      <c r="CT4005" s="128"/>
      <c r="CU4005" s="128"/>
      <c r="CV4005" s="128"/>
      <c r="CW4005" s="128"/>
      <c r="CX4005" s="128"/>
      <c r="CY4005" s="128"/>
      <c r="CZ4005" s="165"/>
    </row>
    <row r="4006" spans="1:104">
      <c r="A4006" s="149"/>
      <c r="B4006" s="149"/>
      <c r="C4006" s="150"/>
      <c r="D4006" s="102"/>
      <c r="E4006" s="149"/>
      <c r="F4006" s="149"/>
      <c r="G4006" s="149"/>
      <c r="H4006" s="149"/>
      <c r="I4006" s="149"/>
      <c r="J4006" s="149"/>
      <c r="K4006" s="149"/>
      <c r="L4006" s="149"/>
      <c r="M4006" s="149"/>
      <c r="N4006" s="149"/>
      <c r="O4006" s="149"/>
      <c r="P4006" s="149"/>
      <c r="Q4006" s="149"/>
      <c r="R4006" s="149"/>
      <c r="S4006" s="149"/>
      <c r="T4006" s="149"/>
      <c r="U4006" s="149"/>
      <c r="V4006" s="149"/>
      <c r="W4006" s="149"/>
      <c r="X4006" s="149"/>
      <c r="Y4006" s="149"/>
      <c r="Z4006" s="149"/>
      <c r="AA4006" s="149"/>
      <c r="AB4006" s="149"/>
      <c r="AC4006" s="149"/>
      <c r="AD4006" s="149"/>
      <c r="AE4006" s="149"/>
      <c r="AF4006" s="149"/>
      <c r="AG4006" s="149"/>
      <c r="AH4006" s="149"/>
      <c r="AI4006" s="149"/>
      <c r="AJ4006" s="149"/>
      <c r="AK4006" s="149"/>
      <c r="AL4006" s="149"/>
      <c r="AM4006" s="149"/>
      <c r="AN4006" s="149"/>
      <c r="AO4006" s="128"/>
      <c r="AP4006" s="128"/>
      <c r="AQ4006" s="128"/>
      <c r="AR4006" s="128"/>
      <c r="AS4006" s="128"/>
      <c r="AT4006" s="128"/>
      <c r="AU4006" s="128"/>
      <c r="AV4006" s="128"/>
      <c r="AW4006" s="128"/>
      <c r="AX4006" s="128"/>
      <c r="AY4006" s="128"/>
      <c r="AZ4006" s="128"/>
      <c r="BA4006" s="128"/>
      <c r="BB4006" s="128"/>
      <c r="BC4006" s="128"/>
      <c r="BD4006" s="128"/>
      <c r="BE4006" s="128"/>
      <c r="BF4006" s="128"/>
      <c r="BG4006" s="128"/>
      <c r="BH4006" s="128"/>
      <c r="BI4006" s="128"/>
      <c r="BJ4006" s="128"/>
      <c r="BK4006" s="128"/>
      <c r="BL4006" s="128"/>
      <c r="BM4006" s="151"/>
      <c r="BN4006" s="128"/>
      <c r="BO4006" s="128"/>
      <c r="BP4006" s="128"/>
      <c r="BQ4006" s="128"/>
      <c r="BR4006" s="128"/>
      <c r="BS4006" s="128"/>
      <c r="BT4006" s="128"/>
      <c r="BU4006" s="128"/>
      <c r="BV4006" s="128"/>
      <c r="BW4006" s="128"/>
      <c r="BX4006" s="128"/>
      <c r="BY4006" s="128"/>
      <c r="BZ4006" s="128"/>
      <c r="CA4006" s="128"/>
      <c r="CB4006" s="128"/>
      <c r="CC4006" s="128"/>
      <c r="CD4006" s="128"/>
      <c r="CE4006" s="128"/>
      <c r="CF4006" s="128"/>
      <c r="CG4006" s="128"/>
      <c r="CI4006" s="128"/>
      <c r="CJ4006" s="128"/>
      <c r="CK4006" s="128"/>
      <c r="CL4006" s="128"/>
      <c r="CM4006" s="128"/>
      <c r="CN4006" s="128"/>
      <c r="CO4006" s="128"/>
      <c r="CP4006" s="128"/>
      <c r="CQ4006" s="128"/>
      <c r="CR4006" s="128"/>
      <c r="CS4006" s="128"/>
      <c r="CT4006" s="128"/>
      <c r="CU4006" s="128"/>
      <c r="CV4006" s="128"/>
      <c r="CW4006" s="128"/>
      <c r="CX4006" s="128"/>
      <c r="CY4006" s="128"/>
      <c r="CZ4006" s="165"/>
    </row>
    <row r="4007" spans="1:104">
      <c r="A4007" s="149"/>
      <c r="B4007" s="149"/>
      <c r="C4007" s="150"/>
      <c r="D4007" s="102"/>
      <c r="E4007" s="149"/>
      <c r="F4007" s="149"/>
      <c r="G4007" s="149"/>
      <c r="H4007" s="149"/>
      <c r="I4007" s="149"/>
      <c r="J4007" s="149"/>
      <c r="K4007" s="149"/>
      <c r="L4007" s="149"/>
      <c r="M4007" s="149"/>
      <c r="N4007" s="149"/>
      <c r="O4007" s="149"/>
      <c r="P4007" s="149"/>
      <c r="Q4007" s="149"/>
      <c r="R4007" s="149"/>
      <c r="S4007" s="149"/>
      <c r="T4007" s="149"/>
      <c r="U4007" s="149"/>
      <c r="V4007" s="149"/>
      <c r="W4007" s="149"/>
      <c r="X4007" s="149"/>
      <c r="Y4007" s="149"/>
      <c r="Z4007" s="149"/>
      <c r="AA4007" s="149"/>
      <c r="AB4007" s="149"/>
      <c r="AC4007" s="149"/>
      <c r="AD4007" s="149"/>
      <c r="AE4007" s="149"/>
      <c r="AF4007" s="149"/>
      <c r="AG4007" s="149"/>
      <c r="AH4007" s="149"/>
      <c r="AI4007" s="149"/>
      <c r="AJ4007" s="149"/>
      <c r="AK4007" s="149"/>
      <c r="AL4007" s="149"/>
      <c r="AM4007" s="149"/>
      <c r="AN4007" s="149"/>
      <c r="AO4007" s="128"/>
      <c r="AP4007" s="128"/>
      <c r="AQ4007" s="128"/>
      <c r="AR4007" s="128"/>
      <c r="AS4007" s="128"/>
      <c r="AT4007" s="128"/>
      <c r="AU4007" s="128"/>
      <c r="AV4007" s="128"/>
      <c r="AW4007" s="128"/>
      <c r="AX4007" s="128"/>
      <c r="AY4007" s="128"/>
      <c r="AZ4007" s="128"/>
      <c r="BA4007" s="128"/>
      <c r="BB4007" s="128"/>
      <c r="BC4007" s="128"/>
      <c r="BD4007" s="128"/>
      <c r="BE4007" s="128"/>
      <c r="BF4007" s="128"/>
      <c r="BG4007" s="128"/>
      <c r="BH4007" s="128"/>
      <c r="BI4007" s="128"/>
      <c r="BJ4007" s="128"/>
      <c r="BK4007" s="128"/>
      <c r="BL4007" s="128"/>
      <c r="BM4007" s="151"/>
      <c r="BN4007" s="128"/>
      <c r="BO4007" s="128"/>
      <c r="BP4007" s="128"/>
      <c r="BQ4007" s="128"/>
      <c r="BR4007" s="128"/>
      <c r="BS4007" s="128"/>
      <c r="BT4007" s="128"/>
      <c r="BU4007" s="128"/>
      <c r="BV4007" s="128"/>
      <c r="BW4007" s="128"/>
      <c r="BX4007" s="128"/>
      <c r="BY4007" s="128"/>
      <c r="BZ4007" s="128"/>
      <c r="CA4007" s="128"/>
      <c r="CB4007" s="128"/>
      <c r="CC4007" s="128"/>
      <c r="CD4007" s="128"/>
      <c r="CE4007" s="128"/>
      <c r="CF4007" s="128"/>
      <c r="CG4007" s="128"/>
      <c r="CI4007" s="128"/>
      <c r="CJ4007" s="128"/>
      <c r="CK4007" s="128"/>
      <c r="CL4007" s="128"/>
      <c r="CM4007" s="128"/>
      <c r="CN4007" s="128"/>
      <c r="CO4007" s="128"/>
      <c r="CP4007" s="128"/>
      <c r="CQ4007" s="128"/>
      <c r="CR4007" s="128"/>
      <c r="CS4007" s="128"/>
      <c r="CT4007" s="128"/>
      <c r="CU4007" s="128"/>
      <c r="CV4007" s="128"/>
      <c r="CW4007" s="128"/>
      <c r="CX4007" s="128"/>
      <c r="CY4007" s="128"/>
      <c r="CZ4007" s="165"/>
    </row>
    <row r="4008" spans="1:104">
      <c r="A4008" s="149"/>
      <c r="B4008" s="149"/>
      <c r="C4008" s="150"/>
      <c r="D4008" s="102"/>
      <c r="E4008" s="149"/>
      <c r="F4008" s="149"/>
      <c r="G4008" s="149"/>
      <c r="H4008" s="149"/>
      <c r="I4008" s="149"/>
      <c r="J4008" s="149"/>
      <c r="K4008" s="149"/>
      <c r="L4008" s="149"/>
      <c r="M4008" s="149"/>
      <c r="N4008" s="149"/>
      <c r="O4008" s="149"/>
      <c r="P4008" s="149"/>
      <c r="Q4008" s="149"/>
      <c r="R4008" s="149"/>
      <c r="S4008" s="149"/>
      <c r="T4008" s="149"/>
      <c r="U4008" s="149"/>
      <c r="V4008" s="149"/>
      <c r="W4008" s="149"/>
      <c r="X4008" s="149"/>
      <c r="Y4008" s="149"/>
      <c r="Z4008" s="149"/>
      <c r="AA4008" s="149"/>
      <c r="AB4008" s="149"/>
      <c r="AC4008" s="149"/>
      <c r="AD4008" s="149"/>
      <c r="AE4008" s="149"/>
      <c r="AF4008" s="149"/>
      <c r="AG4008" s="149"/>
      <c r="AH4008" s="149"/>
      <c r="AI4008" s="149"/>
      <c r="AJ4008" s="149"/>
      <c r="AK4008" s="149"/>
      <c r="AL4008" s="149"/>
      <c r="AM4008" s="149"/>
      <c r="AN4008" s="149"/>
      <c r="AO4008" s="128"/>
      <c r="AP4008" s="128"/>
      <c r="AQ4008" s="128"/>
      <c r="AR4008" s="128"/>
      <c r="AS4008" s="128"/>
      <c r="AT4008" s="128"/>
      <c r="AU4008" s="128"/>
      <c r="AV4008" s="128"/>
      <c r="AW4008" s="128"/>
      <c r="AX4008" s="128"/>
      <c r="AY4008" s="128"/>
      <c r="AZ4008" s="128"/>
      <c r="BA4008" s="128"/>
      <c r="BB4008" s="128"/>
      <c r="BC4008" s="128"/>
      <c r="BD4008" s="128"/>
      <c r="BE4008" s="128"/>
      <c r="BF4008" s="128"/>
      <c r="BG4008" s="128"/>
      <c r="BH4008" s="128"/>
      <c r="BI4008" s="128"/>
      <c r="BJ4008" s="128"/>
      <c r="BK4008" s="128"/>
      <c r="BL4008" s="128"/>
      <c r="BM4008" s="151"/>
      <c r="BN4008" s="128"/>
      <c r="BO4008" s="128"/>
      <c r="BP4008" s="128"/>
      <c r="BQ4008" s="128"/>
      <c r="BR4008" s="128"/>
      <c r="BS4008" s="128"/>
      <c r="BT4008" s="128"/>
      <c r="BU4008" s="128"/>
      <c r="BV4008" s="128"/>
      <c r="BW4008" s="128"/>
      <c r="BX4008" s="128"/>
      <c r="BY4008" s="128"/>
      <c r="BZ4008" s="128"/>
      <c r="CA4008" s="128"/>
      <c r="CB4008" s="128"/>
      <c r="CC4008" s="128"/>
      <c r="CD4008" s="128"/>
      <c r="CE4008" s="128"/>
      <c r="CF4008" s="128"/>
      <c r="CG4008" s="128"/>
      <c r="CI4008" s="128"/>
      <c r="CJ4008" s="128"/>
      <c r="CK4008" s="128"/>
      <c r="CL4008" s="128"/>
      <c r="CM4008" s="128"/>
      <c r="CN4008" s="128"/>
      <c r="CO4008" s="128"/>
      <c r="CP4008" s="128"/>
      <c r="CQ4008" s="128"/>
      <c r="CR4008" s="128"/>
      <c r="CS4008" s="128"/>
      <c r="CT4008" s="128"/>
      <c r="CU4008" s="128"/>
      <c r="CV4008" s="128"/>
      <c r="CW4008" s="128"/>
      <c r="CX4008" s="128"/>
      <c r="CY4008" s="128"/>
      <c r="CZ4008" s="165"/>
    </row>
    <row r="4009" spans="1:104">
      <c r="A4009" s="149"/>
      <c r="B4009" s="149"/>
      <c r="C4009" s="150"/>
      <c r="D4009" s="102"/>
      <c r="E4009" s="149"/>
      <c r="F4009" s="149"/>
      <c r="G4009" s="149"/>
      <c r="H4009" s="149"/>
      <c r="I4009" s="149"/>
      <c r="J4009" s="149"/>
      <c r="K4009" s="149"/>
      <c r="L4009" s="149"/>
      <c r="M4009" s="149"/>
      <c r="N4009" s="149"/>
      <c r="O4009" s="149"/>
      <c r="P4009" s="149"/>
      <c r="Q4009" s="149"/>
      <c r="R4009" s="149"/>
      <c r="S4009" s="149"/>
      <c r="T4009" s="149"/>
      <c r="U4009" s="149"/>
      <c r="V4009" s="149"/>
      <c r="W4009" s="149"/>
      <c r="X4009" s="149"/>
      <c r="Y4009" s="149"/>
      <c r="Z4009" s="149"/>
      <c r="AA4009" s="149"/>
      <c r="AB4009" s="149"/>
      <c r="AC4009" s="149"/>
      <c r="AD4009" s="149"/>
      <c r="AE4009" s="149"/>
      <c r="AF4009" s="149"/>
      <c r="AG4009" s="149"/>
      <c r="AH4009" s="149"/>
      <c r="AI4009" s="149"/>
      <c r="AJ4009" s="149"/>
      <c r="AK4009" s="149"/>
      <c r="AL4009" s="149"/>
      <c r="AM4009" s="149"/>
      <c r="AN4009" s="149"/>
      <c r="AO4009" s="128"/>
      <c r="AP4009" s="128"/>
      <c r="AQ4009" s="128"/>
      <c r="AR4009" s="128"/>
      <c r="AS4009" s="128"/>
      <c r="AT4009" s="128"/>
      <c r="AU4009" s="128"/>
      <c r="AV4009" s="128"/>
      <c r="AW4009" s="128"/>
      <c r="AX4009" s="128"/>
      <c r="AY4009" s="128"/>
      <c r="AZ4009" s="128"/>
      <c r="BA4009" s="128"/>
      <c r="BB4009" s="128"/>
      <c r="BC4009" s="128"/>
      <c r="BD4009" s="128"/>
      <c r="BE4009" s="128"/>
      <c r="BF4009" s="128"/>
      <c r="BG4009" s="128"/>
      <c r="BH4009" s="128"/>
      <c r="BI4009" s="128"/>
      <c r="BJ4009" s="128"/>
      <c r="BK4009" s="128"/>
      <c r="BL4009" s="128"/>
      <c r="BM4009" s="151"/>
      <c r="BN4009" s="128"/>
      <c r="BO4009" s="128"/>
      <c r="BP4009" s="128"/>
      <c r="BQ4009" s="128"/>
      <c r="BR4009" s="128"/>
      <c r="BS4009" s="128"/>
      <c r="BT4009" s="128"/>
      <c r="BU4009" s="128"/>
      <c r="BV4009" s="128"/>
      <c r="BW4009" s="128"/>
      <c r="BX4009" s="128"/>
      <c r="BY4009" s="128"/>
      <c r="BZ4009" s="128"/>
      <c r="CA4009" s="128"/>
      <c r="CB4009" s="128"/>
      <c r="CC4009" s="128"/>
      <c r="CD4009" s="128"/>
      <c r="CE4009" s="128"/>
      <c r="CF4009" s="128"/>
      <c r="CG4009" s="128"/>
      <c r="CI4009" s="128"/>
      <c r="CJ4009" s="128"/>
      <c r="CK4009" s="128"/>
      <c r="CL4009" s="128"/>
      <c r="CM4009" s="128"/>
      <c r="CN4009" s="128"/>
      <c r="CO4009" s="128"/>
      <c r="CP4009" s="128"/>
      <c r="CQ4009" s="128"/>
      <c r="CR4009" s="128"/>
      <c r="CS4009" s="128"/>
      <c r="CT4009" s="128"/>
      <c r="CU4009" s="128"/>
      <c r="CV4009" s="128"/>
      <c r="CW4009" s="128"/>
      <c r="CX4009" s="128"/>
      <c r="CY4009" s="128"/>
      <c r="CZ4009" s="165"/>
    </row>
    <row r="4010" spans="1:104">
      <c r="A4010" s="149"/>
      <c r="B4010" s="149"/>
      <c r="C4010" s="150"/>
      <c r="D4010" s="102"/>
      <c r="E4010" s="149"/>
      <c r="F4010" s="149"/>
      <c r="G4010" s="149"/>
      <c r="H4010" s="149"/>
      <c r="I4010" s="149"/>
      <c r="J4010" s="149"/>
      <c r="K4010" s="149"/>
      <c r="L4010" s="149"/>
      <c r="M4010" s="149"/>
      <c r="N4010" s="149"/>
      <c r="O4010" s="149"/>
      <c r="P4010" s="149"/>
      <c r="Q4010" s="149"/>
      <c r="R4010" s="149"/>
      <c r="S4010" s="149"/>
      <c r="T4010" s="149"/>
      <c r="U4010" s="149"/>
      <c r="V4010" s="149"/>
      <c r="W4010" s="149"/>
      <c r="X4010" s="149"/>
      <c r="Y4010" s="149"/>
      <c r="Z4010" s="149"/>
      <c r="AA4010" s="149"/>
      <c r="AB4010" s="149"/>
      <c r="AC4010" s="149"/>
      <c r="AD4010" s="149"/>
      <c r="AE4010" s="149"/>
      <c r="AF4010" s="149"/>
      <c r="AG4010" s="149"/>
      <c r="AH4010" s="149"/>
      <c r="AI4010" s="149"/>
      <c r="AJ4010" s="149"/>
      <c r="AK4010" s="149"/>
      <c r="AL4010" s="149"/>
      <c r="AM4010" s="149"/>
      <c r="AN4010" s="149"/>
      <c r="AO4010" s="128"/>
      <c r="AP4010" s="128"/>
      <c r="AQ4010" s="128"/>
      <c r="AR4010" s="128"/>
      <c r="AS4010" s="128"/>
      <c r="AT4010" s="128"/>
      <c r="AU4010" s="128"/>
      <c r="AV4010" s="128"/>
      <c r="AW4010" s="128"/>
      <c r="AX4010" s="128"/>
      <c r="AY4010" s="128"/>
      <c r="AZ4010" s="128"/>
      <c r="BA4010" s="128"/>
      <c r="BB4010" s="128"/>
      <c r="BC4010" s="128"/>
      <c r="BD4010" s="128"/>
      <c r="BE4010" s="128"/>
      <c r="BF4010" s="128"/>
      <c r="BG4010" s="128"/>
      <c r="BH4010" s="128"/>
      <c r="BI4010" s="128"/>
      <c r="BJ4010" s="128"/>
      <c r="BK4010" s="128"/>
      <c r="BL4010" s="128"/>
      <c r="BM4010" s="151"/>
      <c r="BN4010" s="128"/>
      <c r="BO4010" s="128"/>
      <c r="BP4010" s="128"/>
      <c r="BQ4010" s="128"/>
      <c r="BR4010" s="128"/>
      <c r="BS4010" s="128"/>
      <c r="BT4010" s="128"/>
      <c r="BU4010" s="128"/>
      <c r="BV4010" s="128"/>
      <c r="BW4010" s="128"/>
      <c r="BX4010" s="128"/>
      <c r="BY4010" s="128"/>
      <c r="BZ4010" s="128"/>
      <c r="CA4010" s="128"/>
      <c r="CB4010" s="128"/>
      <c r="CC4010" s="128"/>
      <c r="CD4010" s="128"/>
      <c r="CE4010" s="128"/>
      <c r="CF4010" s="128"/>
      <c r="CG4010" s="128"/>
      <c r="CI4010" s="128"/>
      <c r="CJ4010" s="128"/>
      <c r="CK4010" s="128"/>
      <c r="CL4010" s="128"/>
      <c r="CM4010" s="128"/>
      <c r="CN4010" s="128"/>
      <c r="CO4010" s="128"/>
      <c r="CP4010" s="128"/>
      <c r="CQ4010" s="128"/>
      <c r="CR4010" s="128"/>
      <c r="CS4010" s="128"/>
      <c r="CT4010" s="128"/>
      <c r="CU4010" s="128"/>
      <c r="CV4010" s="128"/>
      <c r="CW4010" s="128"/>
      <c r="CX4010" s="128"/>
      <c r="CY4010" s="128"/>
      <c r="CZ4010" s="165"/>
    </row>
    <row r="4011" spans="1:104">
      <c r="A4011" s="149"/>
      <c r="B4011" s="149"/>
      <c r="C4011" s="150"/>
      <c r="D4011" s="102"/>
      <c r="E4011" s="149"/>
      <c r="F4011" s="149"/>
      <c r="G4011" s="149"/>
      <c r="H4011" s="149"/>
      <c r="I4011" s="149"/>
      <c r="J4011" s="149"/>
      <c r="K4011" s="149"/>
      <c r="L4011" s="149"/>
      <c r="M4011" s="149"/>
      <c r="N4011" s="149"/>
      <c r="O4011" s="149"/>
      <c r="P4011" s="149"/>
      <c r="Q4011" s="149"/>
      <c r="R4011" s="149"/>
      <c r="S4011" s="149"/>
      <c r="T4011" s="149"/>
      <c r="U4011" s="149"/>
      <c r="V4011" s="149"/>
      <c r="W4011" s="149"/>
      <c r="X4011" s="149"/>
      <c r="Y4011" s="149"/>
      <c r="Z4011" s="149"/>
      <c r="AA4011" s="149"/>
      <c r="AB4011" s="149"/>
      <c r="AC4011" s="149"/>
      <c r="AD4011" s="149"/>
      <c r="AE4011" s="149"/>
      <c r="AF4011" s="149"/>
      <c r="AG4011" s="149"/>
      <c r="AH4011" s="149"/>
      <c r="AI4011" s="149"/>
      <c r="AJ4011" s="149"/>
      <c r="AK4011" s="149"/>
      <c r="AL4011" s="149"/>
      <c r="AM4011" s="149"/>
      <c r="AN4011" s="149"/>
      <c r="AO4011" s="128"/>
      <c r="AP4011" s="128"/>
      <c r="AQ4011" s="128"/>
      <c r="AR4011" s="128"/>
      <c r="AS4011" s="128"/>
      <c r="AT4011" s="128"/>
      <c r="AU4011" s="128"/>
      <c r="AV4011" s="128"/>
      <c r="AW4011" s="128"/>
      <c r="AX4011" s="128"/>
      <c r="AY4011" s="128"/>
      <c r="AZ4011" s="128"/>
      <c r="BA4011" s="128"/>
      <c r="BB4011" s="128"/>
      <c r="BC4011" s="128"/>
      <c r="BD4011" s="128"/>
      <c r="BE4011" s="128"/>
      <c r="BF4011" s="128"/>
      <c r="BG4011" s="128"/>
      <c r="BH4011" s="128"/>
      <c r="BI4011" s="128"/>
      <c r="BJ4011" s="128"/>
      <c r="BK4011" s="128"/>
      <c r="BL4011" s="128"/>
      <c r="BM4011" s="151"/>
      <c r="BN4011" s="128"/>
      <c r="BO4011" s="128"/>
      <c r="BP4011" s="128"/>
      <c r="BQ4011" s="128"/>
      <c r="BR4011" s="128"/>
      <c r="BS4011" s="128"/>
      <c r="BT4011" s="128"/>
      <c r="BU4011" s="128"/>
      <c r="BV4011" s="128"/>
      <c r="BW4011" s="128"/>
      <c r="BX4011" s="128"/>
      <c r="BY4011" s="128"/>
      <c r="BZ4011" s="128"/>
      <c r="CA4011" s="128"/>
      <c r="CB4011" s="128"/>
      <c r="CC4011" s="128"/>
      <c r="CD4011" s="128"/>
      <c r="CE4011" s="128"/>
      <c r="CF4011" s="128"/>
      <c r="CG4011" s="128"/>
      <c r="CI4011" s="128"/>
      <c r="CJ4011" s="128"/>
      <c r="CK4011" s="128"/>
      <c r="CL4011" s="128"/>
      <c r="CM4011" s="128"/>
      <c r="CN4011" s="128"/>
      <c r="CO4011" s="128"/>
      <c r="CP4011" s="128"/>
      <c r="CQ4011" s="128"/>
      <c r="CR4011" s="128"/>
      <c r="CS4011" s="128"/>
      <c r="CT4011" s="128"/>
      <c r="CU4011" s="128"/>
      <c r="CV4011" s="128"/>
      <c r="CW4011" s="128"/>
      <c r="CX4011" s="128"/>
      <c r="CY4011" s="128"/>
      <c r="CZ4011" s="165"/>
    </row>
    <row r="4012" spans="1:104">
      <c r="A4012" s="149"/>
      <c r="B4012" s="149"/>
      <c r="C4012" s="150"/>
      <c r="D4012" s="102"/>
      <c r="E4012" s="149"/>
      <c r="F4012" s="149"/>
      <c r="G4012" s="149"/>
      <c r="H4012" s="149"/>
      <c r="I4012" s="149"/>
      <c r="J4012" s="149"/>
      <c r="K4012" s="149"/>
      <c r="L4012" s="149"/>
      <c r="M4012" s="149"/>
      <c r="N4012" s="149"/>
      <c r="O4012" s="149"/>
      <c r="P4012" s="149"/>
      <c r="Q4012" s="149"/>
      <c r="R4012" s="149"/>
      <c r="S4012" s="149"/>
      <c r="T4012" s="149"/>
      <c r="U4012" s="149"/>
      <c r="V4012" s="149"/>
      <c r="W4012" s="149"/>
      <c r="X4012" s="149"/>
      <c r="Y4012" s="149"/>
      <c r="Z4012" s="149"/>
      <c r="AA4012" s="149"/>
      <c r="AB4012" s="149"/>
      <c r="AC4012" s="149"/>
      <c r="AD4012" s="149"/>
      <c r="AE4012" s="149"/>
      <c r="AF4012" s="149"/>
      <c r="AG4012" s="149"/>
      <c r="AH4012" s="149"/>
      <c r="AI4012" s="149"/>
      <c r="AJ4012" s="149"/>
      <c r="AK4012" s="149"/>
      <c r="AL4012" s="149"/>
      <c r="AM4012" s="149"/>
      <c r="AN4012" s="149"/>
      <c r="AO4012" s="128"/>
      <c r="AP4012" s="128"/>
      <c r="AQ4012" s="128"/>
      <c r="AR4012" s="128"/>
      <c r="AS4012" s="128"/>
      <c r="AT4012" s="128"/>
      <c r="AU4012" s="128"/>
      <c r="AV4012" s="128"/>
      <c r="AW4012" s="128"/>
      <c r="AX4012" s="128"/>
      <c r="AY4012" s="128"/>
      <c r="AZ4012" s="128"/>
      <c r="BA4012" s="128"/>
      <c r="BB4012" s="128"/>
      <c r="BC4012" s="128"/>
      <c r="BD4012" s="128"/>
      <c r="BE4012" s="128"/>
      <c r="BF4012" s="128"/>
      <c r="BG4012" s="128"/>
      <c r="BH4012" s="128"/>
      <c r="BI4012" s="128"/>
      <c r="BJ4012" s="128"/>
      <c r="BK4012" s="128"/>
      <c r="BL4012" s="128"/>
      <c r="BM4012" s="151"/>
      <c r="BN4012" s="128"/>
      <c r="BO4012" s="128"/>
      <c r="BP4012" s="128"/>
      <c r="BQ4012" s="128"/>
      <c r="BR4012" s="128"/>
      <c r="BS4012" s="128"/>
      <c r="BT4012" s="128"/>
      <c r="BU4012" s="128"/>
      <c r="BV4012" s="128"/>
      <c r="BW4012" s="128"/>
      <c r="BX4012" s="128"/>
      <c r="BY4012" s="128"/>
      <c r="BZ4012" s="128"/>
      <c r="CA4012" s="128"/>
      <c r="CB4012" s="128"/>
      <c r="CC4012" s="128"/>
      <c r="CD4012" s="128"/>
      <c r="CE4012" s="128"/>
      <c r="CF4012" s="128"/>
      <c r="CG4012" s="128"/>
      <c r="CI4012" s="128"/>
      <c r="CJ4012" s="128"/>
      <c r="CK4012" s="128"/>
      <c r="CL4012" s="128"/>
      <c r="CM4012" s="128"/>
      <c r="CN4012" s="128"/>
      <c r="CO4012" s="128"/>
      <c r="CP4012" s="128"/>
      <c r="CQ4012" s="128"/>
      <c r="CR4012" s="128"/>
      <c r="CS4012" s="128"/>
      <c r="CT4012" s="128"/>
      <c r="CU4012" s="128"/>
      <c r="CV4012" s="128"/>
      <c r="CW4012" s="128"/>
      <c r="CX4012" s="128"/>
      <c r="CY4012" s="128"/>
      <c r="CZ4012" s="165"/>
    </row>
    <row r="4013" spans="1:104">
      <c r="A4013" s="149"/>
      <c r="B4013" s="149"/>
      <c r="C4013" s="150"/>
      <c r="D4013" s="102"/>
      <c r="E4013" s="149"/>
      <c r="F4013" s="149"/>
      <c r="G4013" s="149"/>
      <c r="H4013" s="149"/>
      <c r="I4013" s="149"/>
      <c r="J4013" s="149"/>
      <c r="K4013" s="149"/>
      <c r="L4013" s="149"/>
      <c r="M4013" s="149"/>
      <c r="N4013" s="149"/>
      <c r="O4013" s="149"/>
      <c r="P4013" s="149"/>
      <c r="Q4013" s="149"/>
      <c r="R4013" s="149"/>
      <c r="S4013" s="149"/>
      <c r="T4013" s="149"/>
      <c r="U4013" s="149"/>
      <c r="V4013" s="149"/>
      <c r="W4013" s="149"/>
      <c r="X4013" s="149"/>
      <c r="Y4013" s="149"/>
      <c r="Z4013" s="149"/>
      <c r="AA4013" s="149"/>
      <c r="AB4013" s="149"/>
      <c r="AC4013" s="149"/>
      <c r="AD4013" s="149"/>
      <c r="AE4013" s="149"/>
      <c r="AF4013" s="149"/>
      <c r="AG4013" s="149"/>
      <c r="AH4013" s="149"/>
      <c r="AI4013" s="149"/>
      <c r="AJ4013" s="149"/>
      <c r="AK4013" s="149"/>
      <c r="AL4013" s="149"/>
      <c r="AM4013" s="149"/>
      <c r="AN4013" s="149"/>
      <c r="AO4013" s="128"/>
      <c r="AP4013" s="128"/>
      <c r="AQ4013" s="128"/>
      <c r="AR4013" s="128"/>
      <c r="AS4013" s="128"/>
      <c r="AT4013" s="128"/>
      <c r="AU4013" s="128"/>
      <c r="AV4013" s="128"/>
      <c r="AW4013" s="128"/>
      <c r="AX4013" s="128"/>
      <c r="AY4013" s="128"/>
      <c r="AZ4013" s="128"/>
      <c r="BA4013" s="128"/>
      <c r="BB4013" s="128"/>
      <c r="BC4013" s="128"/>
      <c r="BD4013" s="128"/>
      <c r="BE4013" s="128"/>
      <c r="BF4013" s="128"/>
      <c r="BG4013" s="128"/>
      <c r="BH4013" s="128"/>
      <c r="BI4013" s="128"/>
      <c r="BJ4013" s="128"/>
      <c r="BK4013" s="128"/>
      <c r="BL4013" s="128"/>
      <c r="BM4013" s="151"/>
      <c r="BN4013" s="128"/>
      <c r="BO4013" s="128"/>
      <c r="BP4013" s="128"/>
      <c r="BQ4013" s="128"/>
      <c r="BR4013" s="128"/>
      <c r="BS4013" s="128"/>
      <c r="BT4013" s="128"/>
      <c r="BU4013" s="128"/>
      <c r="BV4013" s="128"/>
      <c r="BW4013" s="128"/>
      <c r="BX4013" s="128"/>
      <c r="BY4013" s="128"/>
      <c r="BZ4013" s="128"/>
      <c r="CA4013" s="128"/>
      <c r="CB4013" s="128"/>
      <c r="CC4013" s="128"/>
      <c r="CD4013" s="128"/>
      <c r="CE4013" s="128"/>
      <c r="CF4013" s="128"/>
      <c r="CG4013" s="128"/>
      <c r="CI4013" s="128"/>
      <c r="CJ4013" s="128"/>
      <c r="CK4013" s="128"/>
      <c r="CL4013" s="128"/>
      <c r="CM4013" s="128"/>
      <c r="CN4013" s="128"/>
      <c r="CO4013" s="128"/>
      <c r="CP4013" s="128"/>
      <c r="CQ4013" s="128"/>
      <c r="CR4013" s="128"/>
      <c r="CS4013" s="128"/>
      <c r="CT4013" s="128"/>
      <c r="CU4013" s="128"/>
      <c r="CV4013" s="128"/>
      <c r="CW4013" s="128"/>
      <c r="CX4013" s="128"/>
      <c r="CY4013" s="128"/>
      <c r="CZ4013" s="165"/>
    </row>
    <row r="4014" spans="1:104">
      <c r="A4014" s="149"/>
      <c r="B4014" s="149"/>
      <c r="C4014" s="150"/>
      <c r="D4014" s="102"/>
      <c r="E4014" s="149"/>
      <c r="F4014" s="149"/>
      <c r="G4014" s="149"/>
      <c r="H4014" s="149"/>
      <c r="I4014" s="149"/>
      <c r="J4014" s="149"/>
      <c r="K4014" s="149"/>
      <c r="L4014" s="149"/>
      <c r="M4014" s="149"/>
      <c r="N4014" s="149"/>
      <c r="O4014" s="149"/>
      <c r="P4014" s="149"/>
      <c r="Q4014" s="149"/>
      <c r="R4014" s="149"/>
      <c r="S4014" s="149"/>
      <c r="T4014" s="149"/>
      <c r="U4014" s="149"/>
      <c r="V4014" s="149"/>
      <c r="W4014" s="149"/>
      <c r="X4014" s="149"/>
      <c r="Y4014" s="149"/>
      <c r="Z4014" s="149"/>
      <c r="AA4014" s="149"/>
      <c r="AB4014" s="149"/>
      <c r="AC4014" s="149"/>
      <c r="AD4014" s="149"/>
      <c r="AE4014" s="149"/>
      <c r="AF4014" s="149"/>
      <c r="AG4014" s="149"/>
      <c r="AH4014" s="149"/>
      <c r="AI4014" s="149"/>
      <c r="AJ4014" s="149"/>
      <c r="AK4014" s="149"/>
      <c r="AL4014" s="149"/>
      <c r="AM4014" s="149"/>
      <c r="AN4014" s="149"/>
      <c r="AO4014" s="128"/>
      <c r="AP4014" s="128"/>
      <c r="AQ4014" s="128"/>
      <c r="AR4014" s="128"/>
      <c r="AS4014" s="128"/>
      <c r="AT4014" s="128"/>
      <c r="AU4014" s="128"/>
      <c r="AV4014" s="128"/>
      <c r="AW4014" s="128"/>
      <c r="AX4014" s="128"/>
      <c r="AY4014" s="128"/>
      <c r="AZ4014" s="128"/>
      <c r="BA4014" s="128"/>
      <c r="BB4014" s="128"/>
      <c r="BC4014" s="128"/>
      <c r="BD4014" s="128"/>
      <c r="BE4014" s="128"/>
      <c r="BF4014" s="128"/>
      <c r="BG4014" s="128"/>
      <c r="BH4014" s="128"/>
      <c r="BI4014" s="128"/>
      <c r="BJ4014" s="128"/>
      <c r="BK4014" s="128"/>
      <c r="BL4014" s="128"/>
      <c r="BM4014" s="151"/>
      <c r="BN4014" s="128"/>
      <c r="BO4014" s="128"/>
      <c r="BP4014" s="128"/>
      <c r="BQ4014" s="128"/>
      <c r="BR4014" s="128"/>
      <c r="BS4014" s="128"/>
      <c r="BT4014" s="128"/>
      <c r="BU4014" s="128"/>
      <c r="BV4014" s="128"/>
      <c r="BW4014" s="128"/>
      <c r="BX4014" s="128"/>
      <c r="BY4014" s="128"/>
      <c r="BZ4014" s="128"/>
      <c r="CA4014" s="128"/>
      <c r="CB4014" s="128"/>
      <c r="CC4014" s="128"/>
      <c r="CD4014" s="128"/>
      <c r="CE4014" s="128"/>
      <c r="CF4014" s="128"/>
      <c r="CG4014" s="128"/>
      <c r="CI4014" s="128"/>
      <c r="CJ4014" s="128"/>
      <c r="CK4014" s="128"/>
      <c r="CL4014" s="128"/>
      <c r="CM4014" s="128"/>
      <c r="CN4014" s="128"/>
      <c r="CO4014" s="128"/>
      <c r="CP4014" s="128"/>
      <c r="CQ4014" s="128"/>
      <c r="CR4014" s="128"/>
      <c r="CS4014" s="128"/>
      <c r="CT4014" s="128"/>
      <c r="CU4014" s="128"/>
      <c r="CV4014" s="128"/>
      <c r="CW4014" s="128"/>
      <c r="CX4014" s="128"/>
      <c r="CY4014" s="128"/>
      <c r="CZ4014" s="165"/>
    </row>
    <row r="4015" spans="1:104">
      <c r="A4015" s="149"/>
      <c r="B4015" s="149"/>
      <c r="C4015" s="150"/>
      <c r="D4015" s="102"/>
      <c r="E4015" s="149"/>
      <c r="F4015" s="149"/>
      <c r="G4015" s="149"/>
      <c r="H4015" s="149"/>
      <c r="I4015" s="149"/>
      <c r="J4015" s="149"/>
      <c r="K4015" s="149"/>
      <c r="L4015" s="149"/>
      <c r="M4015" s="149"/>
      <c r="N4015" s="149"/>
      <c r="O4015" s="149"/>
      <c r="P4015" s="149"/>
      <c r="Q4015" s="149"/>
      <c r="R4015" s="149"/>
      <c r="S4015" s="149"/>
      <c r="T4015" s="149"/>
      <c r="U4015" s="149"/>
      <c r="V4015" s="149"/>
      <c r="W4015" s="149"/>
      <c r="X4015" s="149"/>
      <c r="Y4015" s="149"/>
      <c r="Z4015" s="149"/>
      <c r="AA4015" s="149"/>
      <c r="AB4015" s="149"/>
      <c r="AC4015" s="149"/>
      <c r="AD4015" s="149"/>
      <c r="AE4015" s="149"/>
      <c r="AF4015" s="149"/>
      <c r="AG4015" s="149"/>
      <c r="AH4015" s="149"/>
      <c r="AI4015" s="149"/>
      <c r="AJ4015" s="149"/>
      <c r="AK4015" s="149"/>
      <c r="AL4015" s="149"/>
      <c r="AM4015" s="149"/>
      <c r="AN4015" s="149"/>
      <c r="AO4015" s="128"/>
      <c r="AP4015" s="128"/>
      <c r="AQ4015" s="128"/>
      <c r="AR4015" s="128"/>
      <c r="AS4015" s="128"/>
      <c r="AT4015" s="128"/>
      <c r="AU4015" s="128"/>
      <c r="AV4015" s="128"/>
      <c r="AW4015" s="128"/>
      <c r="AX4015" s="128"/>
      <c r="AY4015" s="128"/>
      <c r="AZ4015" s="128"/>
      <c r="BA4015" s="128"/>
      <c r="BB4015" s="128"/>
      <c r="BC4015" s="128"/>
      <c r="BD4015" s="128"/>
      <c r="BE4015" s="128"/>
      <c r="BF4015" s="128"/>
      <c r="BG4015" s="128"/>
      <c r="BH4015" s="128"/>
      <c r="BI4015" s="128"/>
      <c r="BJ4015" s="128"/>
      <c r="BK4015" s="128"/>
      <c r="BL4015" s="128"/>
      <c r="BM4015" s="151"/>
      <c r="BN4015" s="128"/>
      <c r="BO4015" s="128"/>
      <c r="BP4015" s="128"/>
      <c r="BQ4015" s="128"/>
      <c r="BR4015" s="128"/>
      <c r="BS4015" s="128"/>
      <c r="BT4015" s="128"/>
      <c r="BU4015" s="128"/>
      <c r="BV4015" s="128"/>
      <c r="BW4015" s="128"/>
      <c r="BX4015" s="128"/>
      <c r="BY4015" s="128"/>
      <c r="BZ4015" s="128"/>
      <c r="CA4015" s="128"/>
      <c r="CB4015" s="128"/>
      <c r="CC4015" s="128"/>
      <c r="CD4015" s="128"/>
      <c r="CE4015" s="128"/>
      <c r="CF4015" s="128"/>
      <c r="CG4015" s="128"/>
      <c r="CI4015" s="128"/>
      <c r="CJ4015" s="128"/>
      <c r="CK4015" s="128"/>
      <c r="CL4015" s="128"/>
      <c r="CM4015" s="128"/>
      <c r="CN4015" s="128"/>
      <c r="CO4015" s="128"/>
      <c r="CP4015" s="128"/>
      <c r="CQ4015" s="128"/>
      <c r="CR4015" s="128"/>
      <c r="CS4015" s="128"/>
      <c r="CT4015" s="128"/>
      <c r="CU4015" s="128"/>
      <c r="CV4015" s="128"/>
      <c r="CW4015" s="128"/>
      <c r="CX4015" s="128"/>
      <c r="CY4015" s="128"/>
      <c r="CZ4015" s="165"/>
    </row>
    <row r="4016" spans="1:104">
      <c r="A4016" s="149"/>
      <c r="B4016" s="149"/>
      <c r="C4016" s="150"/>
      <c r="D4016" s="102"/>
      <c r="E4016" s="149"/>
      <c r="F4016" s="149"/>
      <c r="G4016" s="149"/>
      <c r="H4016" s="149"/>
      <c r="I4016" s="149"/>
      <c r="J4016" s="149"/>
      <c r="K4016" s="149"/>
      <c r="L4016" s="149"/>
      <c r="M4016" s="149"/>
      <c r="N4016" s="149"/>
      <c r="O4016" s="149"/>
      <c r="P4016" s="149"/>
      <c r="Q4016" s="149"/>
      <c r="R4016" s="149"/>
      <c r="S4016" s="149"/>
      <c r="T4016" s="149"/>
      <c r="U4016" s="149"/>
      <c r="V4016" s="149"/>
      <c r="W4016" s="149"/>
      <c r="X4016" s="149"/>
      <c r="Y4016" s="149"/>
      <c r="Z4016" s="149"/>
      <c r="AA4016" s="149"/>
      <c r="AB4016" s="149"/>
      <c r="AC4016" s="149"/>
      <c r="AD4016" s="149"/>
      <c r="AE4016" s="149"/>
      <c r="AF4016" s="149"/>
      <c r="AG4016" s="149"/>
      <c r="AH4016" s="149"/>
      <c r="AI4016" s="149"/>
      <c r="AJ4016" s="149"/>
      <c r="AK4016" s="149"/>
      <c r="AL4016" s="149"/>
      <c r="AM4016" s="149"/>
      <c r="AN4016" s="149"/>
      <c r="AO4016" s="128"/>
      <c r="AP4016" s="128"/>
      <c r="AQ4016" s="128"/>
      <c r="AR4016" s="128"/>
      <c r="AS4016" s="128"/>
      <c r="AT4016" s="128"/>
      <c r="AU4016" s="128"/>
      <c r="AV4016" s="128"/>
      <c r="AW4016" s="128"/>
      <c r="AX4016" s="128"/>
      <c r="AY4016" s="128"/>
      <c r="AZ4016" s="128"/>
      <c r="BA4016" s="128"/>
      <c r="BB4016" s="128"/>
      <c r="BC4016" s="128"/>
      <c r="BD4016" s="128"/>
      <c r="BE4016" s="128"/>
      <c r="BF4016" s="128"/>
      <c r="BG4016" s="128"/>
      <c r="BH4016" s="128"/>
      <c r="BI4016" s="128"/>
      <c r="BJ4016" s="128"/>
      <c r="BK4016" s="128"/>
      <c r="BL4016" s="128"/>
      <c r="BM4016" s="151"/>
      <c r="BN4016" s="128"/>
      <c r="BO4016" s="128"/>
      <c r="BP4016" s="128"/>
      <c r="BQ4016" s="128"/>
      <c r="BR4016" s="128"/>
      <c r="BS4016" s="128"/>
      <c r="BT4016" s="128"/>
      <c r="BU4016" s="128"/>
      <c r="BV4016" s="128"/>
      <c r="BW4016" s="128"/>
      <c r="BX4016" s="128"/>
      <c r="BY4016" s="128"/>
      <c r="BZ4016" s="128"/>
      <c r="CA4016" s="128"/>
      <c r="CB4016" s="128"/>
      <c r="CC4016" s="128"/>
      <c r="CD4016" s="128"/>
      <c r="CE4016" s="128"/>
      <c r="CF4016" s="128"/>
      <c r="CG4016" s="128"/>
      <c r="CI4016" s="128"/>
      <c r="CJ4016" s="128"/>
      <c r="CK4016" s="128"/>
      <c r="CL4016" s="128"/>
      <c r="CM4016" s="128"/>
      <c r="CN4016" s="128"/>
      <c r="CO4016" s="128"/>
      <c r="CP4016" s="128"/>
      <c r="CQ4016" s="128"/>
      <c r="CR4016" s="128"/>
      <c r="CS4016" s="128"/>
      <c r="CT4016" s="128"/>
      <c r="CU4016" s="128"/>
      <c r="CV4016" s="128"/>
      <c r="CW4016" s="128"/>
      <c r="CX4016" s="128"/>
      <c r="CY4016" s="128"/>
      <c r="CZ4016" s="165"/>
    </row>
    <row r="4017" spans="1:104">
      <c r="A4017" s="149"/>
      <c r="B4017" s="149"/>
      <c r="C4017" s="150"/>
      <c r="D4017" s="102"/>
      <c r="E4017" s="149"/>
      <c r="F4017" s="149"/>
      <c r="G4017" s="149"/>
      <c r="H4017" s="149"/>
      <c r="I4017" s="149"/>
      <c r="J4017" s="149"/>
      <c r="K4017" s="149"/>
      <c r="L4017" s="149"/>
      <c r="M4017" s="149"/>
      <c r="N4017" s="149"/>
      <c r="O4017" s="149"/>
      <c r="P4017" s="149"/>
      <c r="Q4017" s="149"/>
      <c r="R4017" s="149"/>
      <c r="S4017" s="149"/>
      <c r="T4017" s="149"/>
      <c r="U4017" s="149"/>
      <c r="V4017" s="149"/>
      <c r="W4017" s="149"/>
      <c r="X4017" s="149"/>
      <c r="Y4017" s="149"/>
      <c r="Z4017" s="149"/>
      <c r="AA4017" s="149"/>
      <c r="AB4017" s="149"/>
      <c r="AC4017" s="149"/>
      <c r="AD4017" s="149"/>
      <c r="AE4017" s="149"/>
      <c r="AF4017" s="149"/>
      <c r="AG4017" s="149"/>
      <c r="AH4017" s="149"/>
      <c r="AI4017" s="149"/>
      <c r="AJ4017" s="149"/>
      <c r="AK4017" s="149"/>
      <c r="AL4017" s="149"/>
      <c r="AM4017" s="149"/>
      <c r="AN4017" s="149"/>
      <c r="AO4017" s="128"/>
      <c r="AP4017" s="128"/>
      <c r="AQ4017" s="128"/>
      <c r="AR4017" s="128"/>
      <c r="AS4017" s="128"/>
      <c r="AT4017" s="128"/>
      <c r="AU4017" s="128"/>
      <c r="AV4017" s="128"/>
      <c r="AW4017" s="128"/>
      <c r="AX4017" s="128"/>
      <c r="AY4017" s="128"/>
      <c r="AZ4017" s="128"/>
      <c r="BA4017" s="128"/>
      <c r="BB4017" s="128"/>
      <c r="BC4017" s="128"/>
      <c r="BD4017" s="128"/>
      <c r="BE4017" s="128"/>
      <c r="BF4017" s="128"/>
      <c r="BG4017" s="128"/>
      <c r="BH4017" s="128"/>
      <c r="BI4017" s="128"/>
      <c r="BJ4017" s="128"/>
      <c r="BK4017" s="128"/>
      <c r="BL4017" s="128"/>
      <c r="BM4017" s="151"/>
      <c r="BN4017" s="128"/>
      <c r="BO4017" s="128"/>
      <c r="BP4017" s="128"/>
      <c r="BQ4017" s="128"/>
      <c r="BR4017" s="128"/>
      <c r="BS4017" s="128"/>
      <c r="BT4017" s="128"/>
      <c r="BU4017" s="128"/>
      <c r="BV4017" s="128"/>
      <c r="BW4017" s="128"/>
      <c r="BX4017" s="128"/>
      <c r="BY4017" s="128"/>
      <c r="BZ4017" s="128"/>
      <c r="CA4017" s="128"/>
      <c r="CB4017" s="128"/>
      <c r="CC4017" s="128"/>
      <c r="CD4017" s="128"/>
      <c r="CE4017" s="128"/>
      <c r="CF4017" s="128"/>
      <c r="CG4017" s="128"/>
      <c r="CI4017" s="128"/>
      <c r="CJ4017" s="128"/>
      <c r="CK4017" s="128"/>
      <c r="CL4017" s="128"/>
      <c r="CM4017" s="128"/>
      <c r="CN4017" s="128"/>
      <c r="CO4017" s="128"/>
      <c r="CP4017" s="128"/>
      <c r="CQ4017" s="128"/>
      <c r="CR4017" s="128"/>
      <c r="CS4017" s="128"/>
      <c r="CT4017" s="128"/>
      <c r="CU4017" s="128"/>
      <c r="CV4017" s="128"/>
      <c r="CW4017" s="128"/>
      <c r="CX4017" s="128"/>
      <c r="CY4017" s="128"/>
      <c r="CZ4017" s="165"/>
    </row>
    <row r="4018" spans="1:104">
      <c r="A4018" s="149"/>
      <c r="B4018" s="149"/>
      <c r="C4018" s="150"/>
      <c r="D4018" s="102"/>
      <c r="E4018" s="149"/>
      <c r="F4018" s="149"/>
      <c r="G4018" s="149"/>
      <c r="H4018" s="149"/>
      <c r="I4018" s="149"/>
      <c r="J4018" s="149"/>
      <c r="K4018" s="149"/>
      <c r="L4018" s="149"/>
      <c r="M4018" s="149"/>
      <c r="N4018" s="149"/>
      <c r="O4018" s="149"/>
      <c r="P4018" s="149"/>
      <c r="Q4018" s="149"/>
      <c r="R4018" s="149"/>
      <c r="S4018" s="149"/>
      <c r="T4018" s="149"/>
      <c r="U4018" s="149"/>
      <c r="V4018" s="149"/>
      <c r="W4018" s="149"/>
      <c r="X4018" s="149"/>
      <c r="Y4018" s="149"/>
      <c r="Z4018" s="149"/>
      <c r="AA4018" s="149"/>
      <c r="AB4018" s="149"/>
      <c r="AC4018" s="149"/>
      <c r="AD4018" s="149"/>
      <c r="AE4018" s="149"/>
      <c r="AF4018" s="149"/>
      <c r="AG4018" s="149"/>
      <c r="AH4018" s="149"/>
      <c r="AI4018" s="149"/>
      <c r="AJ4018" s="149"/>
      <c r="AK4018" s="149"/>
      <c r="AL4018" s="149"/>
      <c r="AM4018" s="149"/>
      <c r="AN4018" s="149"/>
      <c r="AO4018" s="128"/>
      <c r="AP4018" s="128"/>
      <c r="AQ4018" s="128"/>
      <c r="AR4018" s="128"/>
      <c r="AS4018" s="128"/>
      <c r="AT4018" s="128"/>
      <c r="AU4018" s="128"/>
      <c r="AV4018" s="128"/>
      <c r="AW4018" s="128"/>
      <c r="AX4018" s="128"/>
      <c r="AY4018" s="128"/>
      <c r="AZ4018" s="128"/>
      <c r="BA4018" s="128"/>
      <c r="BB4018" s="128"/>
      <c r="BC4018" s="128"/>
      <c r="BD4018" s="128"/>
      <c r="BE4018" s="128"/>
      <c r="BF4018" s="128"/>
      <c r="BG4018" s="128"/>
      <c r="BH4018" s="128"/>
      <c r="BI4018" s="128"/>
      <c r="BJ4018" s="128"/>
      <c r="BK4018" s="128"/>
      <c r="BL4018" s="128"/>
      <c r="BM4018" s="151"/>
      <c r="BN4018" s="128"/>
      <c r="BO4018" s="128"/>
      <c r="BP4018" s="128"/>
      <c r="BQ4018" s="128"/>
      <c r="BR4018" s="128"/>
      <c r="BS4018" s="128"/>
      <c r="BT4018" s="128"/>
      <c r="BU4018" s="128"/>
      <c r="BV4018" s="128"/>
      <c r="BW4018" s="128"/>
      <c r="BX4018" s="128"/>
      <c r="BY4018" s="128"/>
      <c r="BZ4018" s="128"/>
      <c r="CA4018" s="128"/>
      <c r="CB4018" s="128"/>
      <c r="CC4018" s="128"/>
      <c r="CD4018" s="128"/>
      <c r="CE4018" s="128"/>
      <c r="CF4018" s="128"/>
      <c r="CG4018" s="128"/>
      <c r="CI4018" s="128"/>
      <c r="CJ4018" s="128"/>
      <c r="CK4018" s="128"/>
      <c r="CL4018" s="128"/>
      <c r="CM4018" s="128"/>
      <c r="CN4018" s="128"/>
      <c r="CO4018" s="128"/>
      <c r="CP4018" s="128"/>
      <c r="CQ4018" s="128"/>
      <c r="CR4018" s="128"/>
      <c r="CS4018" s="128"/>
      <c r="CT4018" s="128"/>
      <c r="CU4018" s="128"/>
      <c r="CV4018" s="128"/>
      <c r="CW4018" s="128"/>
      <c r="CX4018" s="128"/>
      <c r="CY4018" s="128"/>
      <c r="CZ4018" s="165"/>
    </row>
    <row r="4019" spans="1:104">
      <c r="A4019" s="149"/>
      <c r="B4019" s="149"/>
      <c r="C4019" s="150"/>
      <c r="D4019" s="102"/>
      <c r="E4019" s="149"/>
      <c r="F4019" s="149"/>
      <c r="G4019" s="149"/>
      <c r="H4019" s="149"/>
      <c r="I4019" s="149"/>
      <c r="J4019" s="149"/>
      <c r="K4019" s="149"/>
      <c r="L4019" s="149"/>
      <c r="M4019" s="149"/>
      <c r="N4019" s="149"/>
      <c r="O4019" s="149"/>
      <c r="P4019" s="149"/>
      <c r="Q4019" s="149"/>
      <c r="R4019" s="149"/>
      <c r="S4019" s="149"/>
      <c r="T4019" s="149"/>
      <c r="U4019" s="149"/>
      <c r="V4019" s="149"/>
      <c r="W4019" s="149"/>
      <c r="X4019" s="149"/>
      <c r="Y4019" s="149"/>
      <c r="Z4019" s="149"/>
      <c r="AA4019" s="149"/>
      <c r="AB4019" s="149"/>
      <c r="AC4019" s="149"/>
      <c r="AD4019" s="149"/>
      <c r="AE4019" s="149"/>
      <c r="AF4019" s="149"/>
      <c r="AG4019" s="149"/>
      <c r="AH4019" s="149"/>
      <c r="AI4019" s="149"/>
      <c r="AJ4019" s="149"/>
      <c r="AK4019" s="149"/>
      <c r="AL4019" s="149"/>
      <c r="AM4019" s="149"/>
      <c r="AN4019" s="149"/>
      <c r="AO4019" s="128"/>
      <c r="AP4019" s="128"/>
      <c r="AQ4019" s="128"/>
      <c r="AR4019" s="128"/>
      <c r="AS4019" s="128"/>
      <c r="AT4019" s="128"/>
      <c r="AU4019" s="128"/>
      <c r="AV4019" s="128"/>
      <c r="AW4019" s="128"/>
      <c r="AX4019" s="128"/>
      <c r="AY4019" s="128"/>
      <c r="AZ4019" s="128"/>
      <c r="BA4019" s="128"/>
      <c r="BB4019" s="128"/>
      <c r="BC4019" s="128"/>
      <c r="BD4019" s="128"/>
      <c r="BE4019" s="128"/>
      <c r="BF4019" s="128"/>
      <c r="BG4019" s="128"/>
      <c r="BH4019" s="128"/>
      <c r="BI4019" s="128"/>
      <c r="BJ4019" s="128"/>
      <c r="BK4019" s="128"/>
      <c r="BL4019" s="128"/>
      <c r="BM4019" s="151"/>
      <c r="BN4019" s="128"/>
      <c r="BO4019" s="128"/>
      <c r="BP4019" s="128"/>
      <c r="BQ4019" s="128"/>
      <c r="BR4019" s="128"/>
      <c r="BS4019" s="128"/>
      <c r="BT4019" s="128"/>
      <c r="BU4019" s="128"/>
      <c r="BV4019" s="128"/>
      <c r="BW4019" s="128"/>
      <c r="BX4019" s="128"/>
      <c r="BY4019" s="128"/>
      <c r="BZ4019" s="128"/>
      <c r="CA4019" s="128"/>
      <c r="CB4019" s="128"/>
      <c r="CC4019" s="128"/>
      <c r="CD4019" s="128"/>
      <c r="CE4019" s="128"/>
      <c r="CF4019" s="128"/>
      <c r="CG4019" s="128"/>
      <c r="CI4019" s="128"/>
      <c r="CJ4019" s="128"/>
      <c r="CK4019" s="128"/>
      <c r="CL4019" s="128"/>
      <c r="CM4019" s="128"/>
      <c r="CN4019" s="128"/>
      <c r="CO4019" s="128"/>
      <c r="CP4019" s="128"/>
      <c r="CQ4019" s="128"/>
      <c r="CR4019" s="128"/>
      <c r="CS4019" s="128"/>
      <c r="CT4019" s="128"/>
      <c r="CU4019" s="128"/>
      <c r="CV4019" s="128"/>
      <c r="CW4019" s="128"/>
      <c r="CX4019" s="128"/>
      <c r="CY4019" s="128"/>
      <c r="CZ4019" s="165"/>
    </row>
    <row r="4020" spans="1:104">
      <c r="A4020" s="149"/>
      <c r="B4020" s="149"/>
      <c r="C4020" s="150"/>
      <c r="D4020" s="102"/>
      <c r="E4020" s="149"/>
      <c r="F4020" s="149"/>
      <c r="G4020" s="149"/>
      <c r="H4020" s="149"/>
      <c r="I4020" s="149"/>
      <c r="J4020" s="149"/>
      <c r="K4020" s="149"/>
      <c r="L4020" s="149"/>
      <c r="M4020" s="149"/>
      <c r="N4020" s="149"/>
      <c r="O4020" s="149"/>
      <c r="P4020" s="149"/>
      <c r="Q4020" s="149"/>
      <c r="R4020" s="149"/>
      <c r="S4020" s="149"/>
      <c r="T4020" s="149"/>
      <c r="U4020" s="149"/>
      <c r="V4020" s="149"/>
      <c r="W4020" s="149"/>
      <c r="X4020" s="149"/>
      <c r="Y4020" s="149"/>
      <c r="Z4020" s="149"/>
      <c r="AA4020" s="149"/>
      <c r="AB4020" s="149"/>
      <c r="AC4020" s="149"/>
      <c r="AD4020" s="149"/>
      <c r="AE4020" s="149"/>
      <c r="AF4020" s="149"/>
      <c r="AG4020" s="149"/>
      <c r="AH4020" s="149"/>
      <c r="AI4020" s="149"/>
      <c r="AJ4020" s="149"/>
      <c r="AK4020" s="149"/>
      <c r="AL4020" s="149"/>
      <c r="AM4020" s="149"/>
      <c r="AN4020" s="149"/>
      <c r="AO4020" s="128"/>
      <c r="AP4020" s="128"/>
      <c r="AQ4020" s="128"/>
      <c r="AR4020" s="128"/>
      <c r="AS4020" s="128"/>
      <c r="AT4020" s="128"/>
      <c r="AU4020" s="128"/>
      <c r="AV4020" s="128"/>
      <c r="AW4020" s="128"/>
      <c r="AX4020" s="128"/>
      <c r="AY4020" s="128"/>
      <c r="AZ4020" s="128"/>
      <c r="BA4020" s="128"/>
      <c r="BB4020" s="128"/>
      <c r="BC4020" s="128"/>
      <c r="BD4020" s="128"/>
      <c r="BE4020" s="128"/>
      <c r="BF4020" s="128"/>
      <c r="BG4020" s="128"/>
      <c r="BH4020" s="128"/>
      <c r="BI4020" s="128"/>
      <c r="BJ4020" s="128"/>
      <c r="BK4020" s="128"/>
      <c r="BL4020" s="128"/>
      <c r="BM4020" s="151"/>
      <c r="BN4020" s="128"/>
      <c r="BO4020" s="128"/>
      <c r="BP4020" s="128"/>
      <c r="BQ4020" s="128"/>
      <c r="BR4020" s="128"/>
      <c r="BS4020" s="128"/>
      <c r="BT4020" s="128"/>
      <c r="BU4020" s="128"/>
      <c r="BV4020" s="128"/>
      <c r="BW4020" s="128"/>
      <c r="BX4020" s="128"/>
      <c r="BY4020" s="128"/>
      <c r="BZ4020" s="128"/>
      <c r="CA4020" s="128"/>
      <c r="CB4020" s="128"/>
      <c r="CC4020" s="128"/>
      <c r="CD4020" s="128"/>
      <c r="CE4020" s="128"/>
      <c r="CF4020" s="128"/>
      <c r="CG4020" s="128"/>
      <c r="CI4020" s="128"/>
      <c r="CJ4020" s="128"/>
      <c r="CK4020" s="128"/>
      <c r="CL4020" s="128"/>
      <c r="CM4020" s="128"/>
      <c r="CN4020" s="128"/>
      <c r="CO4020" s="128"/>
      <c r="CP4020" s="128"/>
      <c r="CQ4020" s="128"/>
      <c r="CR4020" s="128"/>
      <c r="CS4020" s="128"/>
      <c r="CT4020" s="128"/>
      <c r="CU4020" s="128"/>
      <c r="CV4020" s="128"/>
      <c r="CW4020" s="128"/>
      <c r="CX4020" s="128"/>
      <c r="CY4020" s="128"/>
      <c r="CZ4020" s="165"/>
    </row>
    <row r="4021" spans="1:104">
      <c r="A4021" s="149"/>
      <c r="B4021" s="149"/>
      <c r="C4021" s="150"/>
      <c r="D4021" s="102"/>
      <c r="E4021" s="149"/>
      <c r="F4021" s="149"/>
      <c r="G4021" s="149"/>
      <c r="H4021" s="149"/>
      <c r="I4021" s="149"/>
      <c r="J4021" s="149"/>
      <c r="K4021" s="149"/>
      <c r="L4021" s="149"/>
      <c r="M4021" s="149"/>
      <c r="N4021" s="149"/>
      <c r="O4021" s="149"/>
      <c r="P4021" s="149"/>
      <c r="Q4021" s="149"/>
      <c r="R4021" s="149"/>
      <c r="S4021" s="149"/>
      <c r="T4021" s="149"/>
      <c r="U4021" s="149"/>
      <c r="V4021" s="149"/>
      <c r="W4021" s="149"/>
      <c r="X4021" s="149"/>
      <c r="Y4021" s="149"/>
      <c r="Z4021" s="149"/>
      <c r="AA4021" s="149"/>
      <c r="AB4021" s="149"/>
      <c r="AC4021" s="149"/>
      <c r="AD4021" s="149"/>
      <c r="AE4021" s="149"/>
      <c r="AF4021" s="149"/>
      <c r="AG4021" s="149"/>
      <c r="AH4021" s="149"/>
      <c r="AI4021" s="149"/>
      <c r="AJ4021" s="149"/>
      <c r="AK4021" s="149"/>
      <c r="AL4021" s="149"/>
      <c r="AM4021" s="149"/>
      <c r="AN4021" s="149"/>
      <c r="AO4021" s="128"/>
      <c r="AP4021" s="128"/>
      <c r="AQ4021" s="128"/>
      <c r="AR4021" s="128"/>
      <c r="AS4021" s="128"/>
      <c r="AT4021" s="128"/>
      <c r="AU4021" s="128"/>
      <c r="AV4021" s="128"/>
      <c r="AW4021" s="128"/>
      <c r="AX4021" s="128"/>
      <c r="AY4021" s="128"/>
      <c r="AZ4021" s="128"/>
      <c r="BA4021" s="128"/>
      <c r="BB4021" s="128"/>
      <c r="BC4021" s="128"/>
      <c r="BD4021" s="128"/>
      <c r="BE4021" s="128"/>
      <c r="BF4021" s="128"/>
      <c r="BG4021" s="128"/>
      <c r="BH4021" s="128"/>
      <c r="BI4021" s="128"/>
      <c r="BJ4021" s="128"/>
      <c r="BK4021" s="128"/>
      <c r="BL4021" s="128"/>
      <c r="BM4021" s="151"/>
      <c r="BN4021" s="128"/>
      <c r="BO4021" s="128"/>
      <c r="BP4021" s="128"/>
      <c r="BQ4021" s="128"/>
      <c r="BR4021" s="128"/>
      <c r="BS4021" s="128"/>
      <c r="BT4021" s="128"/>
      <c r="BU4021" s="128"/>
      <c r="BV4021" s="128"/>
      <c r="BW4021" s="128"/>
      <c r="BX4021" s="128"/>
      <c r="BY4021" s="128"/>
      <c r="BZ4021" s="128"/>
      <c r="CA4021" s="128"/>
      <c r="CB4021" s="128"/>
      <c r="CC4021" s="128"/>
      <c r="CD4021" s="128"/>
      <c r="CE4021" s="128"/>
      <c r="CF4021" s="128"/>
      <c r="CG4021" s="128"/>
      <c r="CI4021" s="128"/>
      <c r="CJ4021" s="128"/>
      <c r="CK4021" s="128"/>
      <c r="CL4021" s="128"/>
      <c r="CM4021" s="128"/>
      <c r="CN4021" s="128"/>
      <c r="CO4021" s="128"/>
      <c r="CP4021" s="128"/>
      <c r="CQ4021" s="128"/>
      <c r="CR4021" s="128"/>
      <c r="CS4021" s="128"/>
      <c r="CT4021" s="128"/>
      <c r="CU4021" s="128"/>
      <c r="CV4021" s="128"/>
      <c r="CW4021" s="128"/>
      <c r="CX4021" s="128"/>
      <c r="CY4021" s="128"/>
      <c r="CZ4021" s="165"/>
    </row>
    <row r="4022" spans="1:104">
      <c r="A4022" s="149"/>
      <c r="B4022" s="149"/>
      <c r="C4022" s="150"/>
      <c r="D4022" s="102"/>
      <c r="E4022" s="149"/>
      <c r="F4022" s="149"/>
      <c r="G4022" s="149"/>
      <c r="H4022" s="149"/>
      <c r="I4022" s="149"/>
      <c r="J4022" s="149"/>
      <c r="K4022" s="149"/>
      <c r="L4022" s="149"/>
      <c r="M4022" s="149"/>
      <c r="N4022" s="149"/>
      <c r="O4022" s="149"/>
      <c r="P4022" s="149"/>
      <c r="Q4022" s="149"/>
      <c r="R4022" s="149"/>
      <c r="S4022" s="149"/>
      <c r="T4022" s="149"/>
      <c r="U4022" s="149"/>
      <c r="V4022" s="149"/>
      <c r="W4022" s="149"/>
      <c r="X4022" s="149"/>
      <c r="Y4022" s="149"/>
      <c r="Z4022" s="149"/>
      <c r="AA4022" s="149"/>
      <c r="AB4022" s="149"/>
      <c r="AC4022" s="149"/>
      <c r="AD4022" s="149"/>
      <c r="AE4022" s="149"/>
      <c r="AF4022" s="149"/>
      <c r="AG4022" s="149"/>
      <c r="AH4022" s="149"/>
      <c r="AI4022" s="149"/>
      <c r="AJ4022" s="149"/>
      <c r="AK4022" s="149"/>
      <c r="AL4022" s="149"/>
      <c r="AM4022" s="149"/>
      <c r="AN4022" s="149"/>
      <c r="AO4022" s="128"/>
      <c r="AP4022" s="128"/>
      <c r="AQ4022" s="128"/>
      <c r="AR4022" s="128"/>
      <c r="AS4022" s="128"/>
      <c r="AT4022" s="128"/>
      <c r="AU4022" s="128"/>
      <c r="AV4022" s="128"/>
      <c r="AW4022" s="128"/>
      <c r="AX4022" s="128"/>
      <c r="AY4022" s="128"/>
      <c r="AZ4022" s="128"/>
      <c r="BA4022" s="128"/>
      <c r="BB4022" s="128"/>
      <c r="BC4022" s="128"/>
      <c r="BD4022" s="128"/>
      <c r="BE4022" s="128"/>
      <c r="BF4022" s="128"/>
      <c r="BG4022" s="128"/>
      <c r="BH4022" s="128"/>
      <c r="BI4022" s="128"/>
      <c r="BJ4022" s="128"/>
      <c r="BK4022" s="128"/>
      <c r="BL4022" s="128"/>
      <c r="BM4022" s="151"/>
      <c r="BN4022" s="128"/>
      <c r="BO4022" s="128"/>
      <c r="BP4022" s="128"/>
      <c r="BQ4022" s="128"/>
      <c r="BR4022" s="128"/>
      <c r="BS4022" s="128"/>
      <c r="BT4022" s="128"/>
      <c r="BU4022" s="128"/>
      <c r="BV4022" s="128"/>
      <c r="BW4022" s="128"/>
      <c r="BX4022" s="128"/>
      <c r="BY4022" s="128"/>
      <c r="BZ4022" s="128"/>
      <c r="CA4022" s="128"/>
      <c r="CB4022" s="128"/>
      <c r="CC4022" s="128"/>
      <c r="CD4022" s="128"/>
      <c r="CE4022" s="128"/>
      <c r="CF4022" s="128"/>
      <c r="CG4022" s="128"/>
      <c r="CI4022" s="128"/>
      <c r="CJ4022" s="128"/>
      <c r="CK4022" s="128"/>
      <c r="CL4022" s="128"/>
      <c r="CM4022" s="128"/>
      <c r="CN4022" s="128"/>
      <c r="CO4022" s="128"/>
      <c r="CP4022" s="128"/>
      <c r="CQ4022" s="128"/>
      <c r="CR4022" s="128"/>
      <c r="CS4022" s="128"/>
      <c r="CT4022" s="128"/>
      <c r="CU4022" s="128"/>
      <c r="CV4022" s="128"/>
      <c r="CW4022" s="128"/>
      <c r="CX4022" s="128"/>
      <c r="CY4022" s="128"/>
      <c r="CZ4022" s="165"/>
    </row>
    <row r="4023" spans="1:104">
      <c r="A4023" s="149"/>
      <c r="B4023" s="149"/>
      <c r="C4023" s="150"/>
      <c r="D4023" s="102"/>
      <c r="E4023" s="149"/>
      <c r="F4023" s="149"/>
      <c r="G4023" s="149"/>
      <c r="H4023" s="149"/>
      <c r="I4023" s="149"/>
      <c r="J4023" s="149"/>
      <c r="K4023" s="149"/>
      <c r="L4023" s="149"/>
      <c r="M4023" s="149"/>
      <c r="N4023" s="149"/>
      <c r="O4023" s="149"/>
      <c r="P4023" s="149"/>
      <c r="Q4023" s="149"/>
      <c r="R4023" s="149"/>
      <c r="S4023" s="149"/>
      <c r="T4023" s="149"/>
      <c r="U4023" s="149"/>
      <c r="V4023" s="149"/>
      <c r="W4023" s="149"/>
      <c r="X4023" s="149"/>
      <c r="Y4023" s="149"/>
      <c r="Z4023" s="149"/>
      <c r="AA4023" s="149"/>
      <c r="AB4023" s="149"/>
      <c r="AC4023" s="149"/>
      <c r="AD4023" s="149"/>
      <c r="AE4023" s="149"/>
      <c r="AF4023" s="149"/>
      <c r="AG4023" s="149"/>
      <c r="AH4023" s="149"/>
      <c r="AI4023" s="149"/>
      <c r="AJ4023" s="149"/>
      <c r="AK4023" s="149"/>
      <c r="AL4023" s="149"/>
      <c r="AM4023" s="149"/>
      <c r="AN4023" s="149"/>
      <c r="AO4023" s="128"/>
      <c r="AP4023" s="128"/>
      <c r="AQ4023" s="128"/>
      <c r="AR4023" s="128"/>
      <c r="AS4023" s="128"/>
      <c r="AT4023" s="128"/>
      <c r="AU4023" s="128"/>
      <c r="AV4023" s="128"/>
      <c r="AW4023" s="128"/>
      <c r="AX4023" s="128"/>
      <c r="AY4023" s="128"/>
      <c r="AZ4023" s="128"/>
      <c r="BA4023" s="128"/>
      <c r="BB4023" s="128"/>
      <c r="BC4023" s="128"/>
      <c r="BD4023" s="128"/>
      <c r="BE4023" s="128"/>
      <c r="BF4023" s="128"/>
      <c r="BG4023" s="128"/>
      <c r="BH4023" s="128"/>
      <c r="BI4023" s="128"/>
      <c r="BJ4023" s="128"/>
      <c r="BK4023" s="128"/>
      <c r="BL4023" s="128"/>
      <c r="BM4023" s="151"/>
      <c r="BN4023" s="128"/>
      <c r="BO4023" s="128"/>
      <c r="BP4023" s="128"/>
      <c r="BQ4023" s="128"/>
      <c r="BR4023" s="128"/>
      <c r="BS4023" s="128"/>
      <c r="BT4023" s="128"/>
      <c r="BU4023" s="128"/>
      <c r="BV4023" s="128"/>
      <c r="BW4023" s="128"/>
      <c r="BX4023" s="128"/>
      <c r="BY4023" s="128"/>
      <c r="BZ4023" s="128"/>
      <c r="CA4023" s="128"/>
      <c r="CB4023" s="128"/>
      <c r="CC4023" s="128"/>
      <c r="CD4023" s="128"/>
      <c r="CE4023" s="128"/>
      <c r="CF4023" s="128"/>
      <c r="CG4023" s="128"/>
      <c r="CI4023" s="128"/>
      <c r="CJ4023" s="128"/>
      <c r="CK4023" s="128"/>
      <c r="CL4023" s="128"/>
      <c r="CM4023" s="128"/>
      <c r="CN4023" s="128"/>
      <c r="CO4023" s="128"/>
      <c r="CP4023" s="128"/>
      <c r="CQ4023" s="128"/>
      <c r="CR4023" s="128"/>
      <c r="CS4023" s="128"/>
      <c r="CT4023" s="128"/>
      <c r="CU4023" s="128"/>
      <c r="CV4023" s="128"/>
      <c r="CW4023" s="128"/>
      <c r="CX4023" s="128"/>
      <c r="CY4023" s="128"/>
      <c r="CZ4023" s="165"/>
    </row>
    <row r="4024" spans="1:104">
      <c r="A4024" s="149"/>
      <c r="B4024" s="149"/>
      <c r="C4024" s="150"/>
      <c r="D4024" s="102"/>
      <c r="E4024" s="149"/>
      <c r="F4024" s="149"/>
      <c r="G4024" s="149"/>
      <c r="H4024" s="149"/>
      <c r="I4024" s="149"/>
      <c r="J4024" s="149"/>
      <c r="K4024" s="149"/>
      <c r="L4024" s="149"/>
      <c r="M4024" s="149"/>
      <c r="N4024" s="149"/>
      <c r="O4024" s="149"/>
      <c r="P4024" s="149"/>
      <c r="Q4024" s="149"/>
      <c r="R4024" s="149"/>
      <c r="S4024" s="149"/>
      <c r="T4024" s="149"/>
      <c r="U4024" s="149"/>
      <c r="V4024" s="149"/>
      <c r="W4024" s="149"/>
      <c r="X4024" s="149"/>
      <c r="Y4024" s="149"/>
      <c r="Z4024" s="149"/>
      <c r="AA4024" s="149"/>
      <c r="AB4024" s="149"/>
      <c r="AC4024" s="149"/>
      <c r="AD4024" s="149"/>
      <c r="AE4024" s="149"/>
      <c r="AF4024" s="149"/>
      <c r="AG4024" s="149"/>
      <c r="AH4024" s="149"/>
      <c r="AI4024" s="149"/>
      <c r="AJ4024" s="149"/>
      <c r="AK4024" s="149"/>
      <c r="AL4024" s="149"/>
      <c r="AM4024" s="149"/>
      <c r="AN4024" s="149"/>
      <c r="AO4024" s="128"/>
      <c r="AP4024" s="128"/>
      <c r="AQ4024" s="128"/>
      <c r="AR4024" s="128"/>
      <c r="AS4024" s="128"/>
      <c r="AT4024" s="128"/>
      <c r="AU4024" s="128"/>
      <c r="AV4024" s="128"/>
      <c r="AW4024" s="128"/>
      <c r="AX4024" s="128"/>
      <c r="AY4024" s="128"/>
      <c r="AZ4024" s="128"/>
      <c r="BA4024" s="128"/>
      <c r="BB4024" s="128"/>
      <c r="BC4024" s="128"/>
      <c r="BD4024" s="128"/>
      <c r="BE4024" s="128"/>
      <c r="BF4024" s="128"/>
      <c r="BG4024" s="128"/>
      <c r="BH4024" s="128"/>
      <c r="BI4024" s="128"/>
      <c r="BJ4024" s="128"/>
      <c r="BK4024" s="128"/>
      <c r="BL4024" s="128"/>
      <c r="BM4024" s="151"/>
      <c r="BN4024" s="128"/>
      <c r="BO4024" s="128"/>
      <c r="BP4024" s="128"/>
      <c r="BQ4024" s="128"/>
      <c r="BR4024" s="128"/>
      <c r="BS4024" s="128"/>
      <c r="BT4024" s="128"/>
      <c r="BU4024" s="128"/>
      <c r="BV4024" s="128"/>
      <c r="BW4024" s="128"/>
      <c r="BX4024" s="128"/>
      <c r="BY4024" s="128"/>
      <c r="BZ4024" s="128"/>
      <c r="CA4024" s="128"/>
      <c r="CB4024" s="128"/>
      <c r="CC4024" s="128"/>
      <c r="CD4024" s="128"/>
      <c r="CE4024" s="128"/>
      <c r="CF4024" s="128"/>
      <c r="CG4024" s="128"/>
      <c r="CI4024" s="128"/>
      <c r="CJ4024" s="128"/>
      <c r="CK4024" s="128"/>
      <c r="CL4024" s="128"/>
      <c r="CM4024" s="128"/>
      <c r="CN4024" s="128"/>
      <c r="CO4024" s="128"/>
      <c r="CP4024" s="128"/>
      <c r="CQ4024" s="128"/>
      <c r="CR4024" s="128"/>
      <c r="CS4024" s="128"/>
      <c r="CT4024" s="128"/>
      <c r="CU4024" s="128"/>
      <c r="CV4024" s="128"/>
      <c r="CW4024" s="128"/>
      <c r="CX4024" s="128"/>
      <c r="CY4024" s="128"/>
      <c r="CZ4024" s="165"/>
    </row>
    <row r="4025" spans="1:104">
      <c r="A4025" s="149"/>
      <c r="B4025" s="149"/>
      <c r="C4025" s="150"/>
      <c r="D4025" s="102"/>
      <c r="E4025" s="149"/>
      <c r="F4025" s="149"/>
      <c r="G4025" s="149"/>
      <c r="H4025" s="149"/>
      <c r="I4025" s="149"/>
      <c r="J4025" s="149"/>
      <c r="K4025" s="149"/>
      <c r="L4025" s="149"/>
      <c r="M4025" s="149"/>
      <c r="N4025" s="149"/>
      <c r="O4025" s="149"/>
      <c r="P4025" s="149"/>
      <c r="Q4025" s="149"/>
      <c r="R4025" s="149"/>
      <c r="S4025" s="149"/>
      <c r="T4025" s="149"/>
      <c r="U4025" s="149"/>
      <c r="V4025" s="149"/>
      <c r="W4025" s="149"/>
      <c r="X4025" s="149"/>
      <c r="Y4025" s="149"/>
      <c r="Z4025" s="149"/>
      <c r="AA4025" s="149"/>
      <c r="AB4025" s="149"/>
      <c r="AC4025" s="149"/>
      <c r="AD4025" s="149"/>
      <c r="AE4025" s="149"/>
      <c r="AF4025" s="149"/>
      <c r="AG4025" s="149"/>
      <c r="AH4025" s="149"/>
      <c r="AI4025" s="149"/>
      <c r="AJ4025" s="149"/>
      <c r="AK4025" s="149"/>
      <c r="AL4025" s="149"/>
      <c r="AM4025" s="149"/>
      <c r="AN4025" s="149"/>
      <c r="AO4025" s="128"/>
      <c r="AP4025" s="128"/>
      <c r="AQ4025" s="128"/>
      <c r="AR4025" s="128"/>
      <c r="AS4025" s="128"/>
      <c r="AT4025" s="128"/>
      <c r="AU4025" s="128"/>
      <c r="AV4025" s="128"/>
      <c r="AW4025" s="128"/>
      <c r="AX4025" s="128"/>
      <c r="AY4025" s="128"/>
      <c r="AZ4025" s="128"/>
      <c r="BA4025" s="128"/>
      <c r="BB4025" s="128"/>
      <c r="BC4025" s="128"/>
      <c r="BD4025" s="128"/>
      <c r="BE4025" s="128"/>
      <c r="BF4025" s="128"/>
      <c r="BG4025" s="128"/>
      <c r="BH4025" s="128"/>
      <c r="BI4025" s="128"/>
      <c r="BJ4025" s="128"/>
      <c r="BK4025" s="128"/>
      <c r="BL4025" s="128"/>
      <c r="BM4025" s="151"/>
      <c r="BN4025" s="128"/>
      <c r="BO4025" s="128"/>
      <c r="BP4025" s="128"/>
      <c r="BQ4025" s="128"/>
      <c r="BR4025" s="128"/>
      <c r="BS4025" s="128"/>
      <c r="BT4025" s="128"/>
      <c r="BU4025" s="128"/>
      <c r="BV4025" s="128"/>
      <c r="BW4025" s="128"/>
      <c r="BX4025" s="128"/>
      <c r="BY4025" s="128"/>
      <c r="BZ4025" s="128"/>
      <c r="CA4025" s="128"/>
      <c r="CB4025" s="128"/>
      <c r="CC4025" s="128"/>
      <c r="CD4025" s="128"/>
      <c r="CE4025" s="128"/>
      <c r="CF4025" s="128"/>
      <c r="CG4025" s="128"/>
      <c r="CI4025" s="128"/>
      <c r="CJ4025" s="128"/>
      <c r="CK4025" s="128"/>
      <c r="CL4025" s="128"/>
      <c r="CM4025" s="128"/>
      <c r="CN4025" s="128"/>
      <c r="CO4025" s="128"/>
      <c r="CP4025" s="128"/>
      <c r="CQ4025" s="128"/>
      <c r="CR4025" s="128"/>
      <c r="CS4025" s="128"/>
      <c r="CT4025" s="128"/>
      <c r="CU4025" s="128"/>
      <c r="CV4025" s="128"/>
      <c r="CW4025" s="128"/>
      <c r="CX4025" s="128"/>
      <c r="CY4025" s="128"/>
      <c r="CZ4025" s="165"/>
    </row>
    <row r="4026" spans="1:104">
      <c r="A4026" s="149"/>
      <c r="B4026" s="149"/>
      <c r="C4026" s="150"/>
      <c r="D4026" s="102"/>
      <c r="E4026" s="149"/>
      <c r="F4026" s="149"/>
      <c r="G4026" s="149"/>
      <c r="H4026" s="149"/>
      <c r="I4026" s="149"/>
      <c r="J4026" s="149"/>
      <c r="K4026" s="149"/>
      <c r="L4026" s="149"/>
      <c r="M4026" s="149"/>
      <c r="N4026" s="149"/>
      <c r="O4026" s="149"/>
      <c r="P4026" s="149"/>
      <c r="Q4026" s="149"/>
      <c r="R4026" s="149"/>
      <c r="S4026" s="149"/>
      <c r="T4026" s="149"/>
      <c r="U4026" s="149"/>
      <c r="V4026" s="149"/>
      <c r="W4026" s="149"/>
      <c r="X4026" s="149"/>
      <c r="Y4026" s="149"/>
      <c r="Z4026" s="149"/>
      <c r="AA4026" s="149"/>
      <c r="AB4026" s="149"/>
      <c r="AC4026" s="149"/>
      <c r="AD4026" s="149"/>
      <c r="AE4026" s="149"/>
      <c r="AF4026" s="149"/>
      <c r="AG4026" s="149"/>
      <c r="AH4026" s="149"/>
      <c r="AI4026" s="149"/>
      <c r="AJ4026" s="149"/>
      <c r="AK4026" s="149"/>
      <c r="AL4026" s="149"/>
      <c r="AM4026" s="149"/>
      <c r="AN4026" s="149"/>
      <c r="AO4026" s="128"/>
      <c r="AP4026" s="128"/>
      <c r="AQ4026" s="128"/>
      <c r="AR4026" s="128"/>
      <c r="AS4026" s="128"/>
      <c r="AT4026" s="128"/>
      <c r="AU4026" s="128"/>
      <c r="AV4026" s="128"/>
      <c r="AW4026" s="128"/>
      <c r="AX4026" s="128"/>
      <c r="AY4026" s="128"/>
      <c r="AZ4026" s="128"/>
      <c r="BA4026" s="128"/>
      <c r="BB4026" s="128"/>
      <c r="BC4026" s="128"/>
      <c r="BD4026" s="128"/>
      <c r="BE4026" s="128"/>
      <c r="BF4026" s="128"/>
      <c r="BG4026" s="128"/>
      <c r="BH4026" s="128"/>
      <c r="BI4026" s="128"/>
      <c r="BJ4026" s="128"/>
      <c r="BK4026" s="128"/>
      <c r="BL4026" s="128"/>
      <c r="BM4026" s="151"/>
      <c r="BN4026" s="128"/>
      <c r="BO4026" s="128"/>
      <c r="BP4026" s="128"/>
      <c r="BQ4026" s="128"/>
      <c r="BR4026" s="128"/>
      <c r="BS4026" s="128"/>
      <c r="BT4026" s="128"/>
      <c r="BU4026" s="128"/>
      <c r="BV4026" s="128"/>
      <c r="BW4026" s="128"/>
      <c r="BX4026" s="128"/>
      <c r="BY4026" s="128"/>
      <c r="BZ4026" s="128"/>
      <c r="CA4026" s="128"/>
      <c r="CB4026" s="128"/>
      <c r="CC4026" s="128"/>
      <c r="CD4026" s="128"/>
      <c r="CE4026" s="128"/>
      <c r="CF4026" s="128"/>
      <c r="CG4026" s="128"/>
      <c r="CI4026" s="128"/>
      <c r="CJ4026" s="128"/>
      <c r="CK4026" s="128"/>
      <c r="CL4026" s="128"/>
      <c r="CM4026" s="128"/>
      <c r="CN4026" s="128"/>
      <c r="CO4026" s="128"/>
      <c r="CP4026" s="128"/>
      <c r="CQ4026" s="128"/>
      <c r="CR4026" s="128"/>
      <c r="CS4026" s="128"/>
      <c r="CT4026" s="128"/>
      <c r="CU4026" s="128"/>
      <c r="CV4026" s="128"/>
      <c r="CW4026" s="128"/>
      <c r="CX4026" s="128"/>
      <c r="CY4026" s="128"/>
      <c r="CZ4026" s="165"/>
    </row>
    <row r="4027" spans="1:104">
      <c r="A4027" s="149"/>
      <c r="B4027" s="149"/>
      <c r="C4027" s="150"/>
      <c r="D4027" s="102"/>
      <c r="E4027" s="149"/>
      <c r="F4027" s="149"/>
      <c r="G4027" s="149"/>
      <c r="H4027" s="149"/>
      <c r="I4027" s="149"/>
      <c r="J4027" s="149"/>
      <c r="K4027" s="149"/>
      <c r="L4027" s="149"/>
      <c r="M4027" s="149"/>
      <c r="N4027" s="149"/>
      <c r="O4027" s="149"/>
      <c r="P4027" s="149"/>
      <c r="Q4027" s="149"/>
      <c r="R4027" s="149"/>
      <c r="S4027" s="149"/>
      <c r="T4027" s="149"/>
      <c r="U4027" s="149"/>
      <c r="V4027" s="149"/>
      <c r="W4027" s="149"/>
      <c r="X4027" s="149"/>
      <c r="Y4027" s="149"/>
      <c r="Z4027" s="149"/>
      <c r="AA4027" s="149"/>
      <c r="AB4027" s="149"/>
      <c r="AC4027" s="149"/>
      <c r="AD4027" s="149"/>
      <c r="AE4027" s="149"/>
      <c r="AF4027" s="149"/>
      <c r="AG4027" s="149"/>
      <c r="AH4027" s="149"/>
      <c r="AI4027" s="149"/>
      <c r="AJ4027" s="149"/>
      <c r="AK4027" s="149"/>
      <c r="AL4027" s="149"/>
      <c r="AM4027" s="149"/>
      <c r="AN4027" s="149"/>
      <c r="AO4027" s="128"/>
      <c r="AP4027" s="128"/>
      <c r="AQ4027" s="128"/>
      <c r="AR4027" s="128"/>
      <c r="AS4027" s="128"/>
      <c r="AT4027" s="128"/>
      <c r="AU4027" s="128"/>
      <c r="AV4027" s="128"/>
      <c r="AW4027" s="128"/>
      <c r="AX4027" s="128"/>
      <c r="AY4027" s="128"/>
      <c r="AZ4027" s="128"/>
      <c r="BA4027" s="128"/>
      <c r="BB4027" s="128"/>
      <c r="BC4027" s="128"/>
      <c r="BD4027" s="128"/>
      <c r="BE4027" s="128"/>
      <c r="BF4027" s="128"/>
      <c r="BG4027" s="128"/>
      <c r="BH4027" s="128"/>
      <c r="BI4027" s="128"/>
      <c r="BJ4027" s="128"/>
      <c r="BK4027" s="128"/>
      <c r="BL4027" s="128"/>
      <c r="BM4027" s="151"/>
      <c r="BN4027" s="128"/>
      <c r="BO4027" s="128"/>
      <c r="BP4027" s="128"/>
      <c r="BQ4027" s="128"/>
      <c r="BR4027" s="128"/>
      <c r="BS4027" s="128"/>
      <c r="BT4027" s="128"/>
      <c r="BU4027" s="128"/>
      <c r="BV4027" s="128"/>
      <c r="BW4027" s="128"/>
      <c r="BX4027" s="128"/>
      <c r="BY4027" s="128"/>
      <c r="BZ4027" s="128"/>
      <c r="CA4027" s="128"/>
      <c r="CB4027" s="128"/>
      <c r="CC4027" s="128"/>
      <c r="CD4027" s="128"/>
      <c r="CE4027" s="128"/>
      <c r="CF4027" s="128"/>
      <c r="CG4027" s="128"/>
      <c r="CI4027" s="128"/>
      <c r="CJ4027" s="128"/>
      <c r="CK4027" s="128"/>
      <c r="CL4027" s="128"/>
      <c r="CM4027" s="128"/>
      <c r="CN4027" s="128"/>
      <c r="CO4027" s="128"/>
      <c r="CP4027" s="128"/>
      <c r="CQ4027" s="128"/>
      <c r="CR4027" s="128"/>
      <c r="CS4027" s="128"/>
      <c r="CT4027" s="128"/>
      <c r="CU4027" s="128"/>
      <c r="CV4027" s="128"/>
      <c r="CW4027" s="128"/>
      <c r="CX4027" s="128"/>
      <c r="CY4027" s="128"/>
      <c r="CZ4027" s="165"/>
    </row>
    <row r="4028" spans="1:104">
      <c r="A4028" s="149"/>
      <c r="B4028" s="149"/>
      <c r="C4028" s="150"/>
      <c r="D4028" s="102"/>
      <c r="E4028" s="149"/>
      <c r="F4028" s="149"/>
      <c r="G4028" s="149"/>
      <c r="H4028" s="149"/>
      <c r="I4028" s="149"/>
      <c r="J4028" s="149"/>
      <c r="K4028" s="149"/>
      <c r="L4028" s="149"/>
      <c r="M4028" s="149"/>
      <c r="N4028" s="149"/>
      <c r="O4028" s="149"/>
      <c r="P4028" s="149"/>
      <c r="Q4028" s="149"/>
      <c r="R4028" s="149"/>
      <c r="S4028" s="149"/>
      <c r="T4028" s="149"/>
      <c r="U4028" s="149"/>
      <c r="V4028" s="149"/>
      <c r="W4028" s="149"/>
      <c r="X4028" s="149"/>
      <c r="Y4028" s="149"/>
      <c r="Z4028" s="149"/>
      <c r="AA4028" s="149"/>
      <c r="AB4028" s="149"/>
      <c r="AC4028" s="149"/>
      <c r="AD4028" s="149"/>
      <c r="AE4028" s="149"/>
      <c r="AF4028" s="149"/>
      <c r="AG4028" s="149"/>
      <c r="AH4028" s="149"/>
      <c r="AI4028" s="149"/>
      <c r="AJ4028" s="149"/>
      <c r="AK4028" s="149"/>
      <c r="AL4028" s="149"/>
      <c r="AM4028" s="149"/>
      <c r="AN4028" s="149"/>
      <c r="AO4028" s="128"/>
      <c r="AP4028" s="128"/>
      <c r="AQ4028" s="128"/>
      <c r="AR4028" s="128"/>
      <c r="AS4028" s="128"/>
      <c r="AT4028" s="128"/>
      <c r="AU4028" s="128"/>
      <c r="AV4028" s="128"/>
      <c r="AW4028" s="128"/>
      <c r="AX4028" s="128"/>
      <c r="AY4028" s="128"/>
      <c r="AZ4028" s="128"/>
      <c r="BA4028" s="128"/>
      <c r="BB4028" s="128"/>
      <c r="BC4028" s="128"/>
      <c r="BD4028" s="128"/>
      <c r="BE4028" s="128"/>
      <c r="BF4028" s="128"/>
      <c r="BG4028" s="128"/>
      <c r="BH4028" s="128"/>
      <c r="BI4028" s="128"/>
      <c r="BJ4028" s="128"/>
      <c r="BK4028" s="128"/>
      <c r="BL4028" s="128"/>
      <c r="BM4028" s="151"/>
      <c r="BN4028" s="128"/>
      <c r="BO4028" s="128"/>
      <c r="BP4028" s="128"/>
      <c r="BQ4028" s="128"/>
      <c r="BR4028" s="128"/>
      <c r="BS4028" s="128"/>
      <c r="BT4028" s="128"/>
      <c r="BU4028" s="128"/>
      <c r="BV4028" s="128"/>
      <c r="BW4028" s="128"/>
      <c r="BX4028" s="128"/>
      <c r="BY4028" s="128"/>
      <c r="BZ4028" s="128"/>
      <c r="CA4028" s="128"/>
      <c r="CB4028" s="128"/>
      <c r="CC4028" s="128"/>
      <c r="CD4028" s="128"/>
      <c r="CE4028" s="128"/>
      <c r="CF4028" s="128"/>
      <c r="CG4028" s="128"/>
      <c r="CI4028" s="128"/>
      <c r="CJ4028" s="128"/>
      <c r="CK4028" s="128"/>
      <c r="CL4028" s="128"/>
      <c r="CM4028" s="128"/>
      <c r="CN4028" s="128"/>
      <c r="CO4028" s="128"/>
      <c r="CP4028" s="128"/>
      <c r="CQ4028" s="128"/>
      <c r="CR4028" s="128"/>
      <c r="CS4028" s="128"/>
      <c r="CT4028" s="128"/>
      <c r="CU4028" s="128"/>
      <c r="CV4028" s="128"/>
      <c r="CW4028" s="128"/>
      <c r="CX4028" s="128"/>
      <c r="CY4028" s="128"/>
      <c r="CZ4028" s="165"/>
    </row>
    <row r="4029" spans="1:104">
      <c r="A4029" s="149"/>
      <c r="B4029" s="149"/>
      <c r="C4029" s="150"/>
      <c r="D4029" s="102"/>
      <c r="E4029" s="149"/>
      <c r="F4029" s="149"/>
      <c r="G4029" s="149"/>
      <c r="H4029" s="149"/>
      <c r="I4029" s="149"/>
      <c r="J4029" s="149"/>
      <c r="K4029" s="149"/>
      <c r="L4029" s="149"/>
      <c r="M4029" s="149"/>
      <c r="N4029" s="149"/>
      <c r="O4029" s="149"/>
      <c r="P4029" s="149"/>
      <c r="Q4029" s="149"/>
      <c r="R4029" s="149"/>
      <c r="S4029" s="149"/>
      <c r="T4029" s="149"/>
      <c r="U4029" s="149"/>
      <c r="V4029" s="149"/>
      <c r="W4029" s="149"/>
      <c r="X4029" s="149"/>
      <c r="Y4029" s="149"/>
      <c r="Z4029" s="149"/>
      <c r="AA4029" s="149"/>
      <c r="AB4029" s="149"/>
      <c r="AC4029" s="149"/>
      <c r="AD4029" s="149"/>
      <c r="AE4029" s="149"/>
      <c r="AF4029" s="149"/>
      <c r="AG4029" s="149"/>
      <c r="AH4029" s="149"/>
      <c r="AI4029" s="149"/>
      <c r="AJ4029" s="149"/>
      <c r="AK4029" s="149"/>
      <c r="AL4029" s="149"/>
      <c r="AM4029" s="149"/>
      <c r="AN4029" s="149"/>
      <c r="AO4029" s="128"/>
      <c r="AP4029" s="128"/>
      <c r="AQ4029" s="128"/>
      <c r="AR4029" s="128"/>
      <c r="AS4029" s="128"/>
      <c r="AT4029" s="128"/>
      <c r="AU4029" s="128"/>
      <c r="AV4029" s="128"/>
      <c r="AW4029" s="128"/>
      <c r="AX4029" s="128"/>
      <c r="AY4029" s="128"/>
      <c r="AZ4029" s="128"/>
      <c r="BA4029" s="128"/>
      <c r="BB4029" s="128"/>
      <c r="BC4029" s="128"/>
      <c r="BD4029" s="128"/>
      <c r="BE4029" s="128"/>
      <c r="BF4029" s="128"/>
      <c r="BG4029" s="128"/>
      <c r="BH4029" s="128"/>
      <c r="BI4029" s="128"/>
      <c r="BJ4029" s="128"/>
      <c r="BK4029" s="128"/>
      <c r="BL4029" s="128"/>
      <c r="BM4029" s="151"/>
      <c r="BN4029" s="128"/>
      <c r="BO4029" s="128"/>
      <c r="BP4029" s="128"/>
      <c r="BQ4029" s="128"/>
      <c r="BR4029" s="128"/>
      <c r="BS4029" s="128"/>
      <c r="BT4029" s="128"/>
      <c r="BU4029" s="128"/>
      <c r="BV4029" s="128"/>
      <c r="BW4029" s="128"/>
      <c r="BX4029" s="128"/>
      <c r="BY4029" s="128"/>
      <c r="BZ4029" s="128"/>
      <c r="CA4029" s="128"/>
      <c r="CB4029" s="128"/>
      <c r="CC4029" s="128"/>
      <c r="CD4029" s="128"/>
      <c r="CE4029" s="128"/>
      <c r="CF4029" s="128"/>
      <c r="CG4029" s="128"/>
      <c r="CI4029" s="128"/>
      <c r="CJ4029" s="128"/>
      <c r="CK4029" s="128"/>
      <c r="CL4029" s="128"/>
      <c r="CM4029" s="128"/>
      <c r="CN4029" s="128"/>
      <c r="CO4029" s="128"/>
      <c r="CP4029" s="128"/>
      <c r="CQ4029" s="128"/>
      <c r="CR4029" s="128"/>
      <c r="CS4029" s="128"/>
      <c r="CT4029" s="128"/>
      <c r="CU4029" s="128"/>
      <c r="CV4029" s="128"/>
      <c r="CW4029" s="128"/>
      <c r="CX4029" s="128"/>
      <c r="CY4029" s="128"/>
      <c r="CZ4029" s="165"/>
    </row>
    <row r="4030" spans="1:104">
      <c r="A4030" s="149"/>
      <c r="B4030" s="149"/>
      <c r="C4030" s="150"/>
      <c r="D4030" s="102"/>
      <c r="E4030" s="149"/>
      <c r="F4030" s="149"/>
      <c r="G4030" s="149"/>
      <c r="H4030" s="149"/>
      <c r="I4030" s="149"/>
      <c r="J4030" s="149"/>
      <c r="K4030" s="149"/>
      <c r="L4030" s="149"/>
      <c r="M4030" s="149"/>
      <c r="N4030" s="149"/>
      <c r="O4030" s="149"/>
      <c r="P4030" s="149"/>
      <c r="Q4030" s="149"/>
      <c r="R4030" s="149"/>
      <c r="S4030" s="149"/>
      <c r="T4030" s="149"/>
      <c r="U4030" s="149"/>
      <c r="V4030" s="149"/>
      <c r="W4030" s="149"/>
      <c r="X4030" s="149"/>
      <c r="Y4030" s="149"/>
      <c r="Z4030" s="149"/>
      <c r="AA4030" s="149"/>
      <c r="AB4030" s="149"/>
      <c r="AC4030" s="149"/>
      <c r="AD4030" s="149"/>
      <c r="AE4030" s="149"/>
      <c r="AF4030" s="149"/>
      <c r="AG4030" s="149"/>
      <c r="AH4030" s="149"/>
      <c r="AI4030" s="149"/>
      <c r="AJ4030" s="149"/>
      <c r="AK4030" s="149"/>
      <c r="AL4030" s="149"/>
      <c r="AM4030" s="149"/>
      <c r="AN4030" s="149"/>
      <c r="AO4030" s="128"/>
      <c r="AP4030" s="128"/>
      <c r="AQ4030" s="128"/>
      <c r="AR4030" s="128"/>
      <c r="AS4030" s="128"/>
      <c r="AT4030" s="128"/>
      <c r="AU4030" s="128"/>
      <c r="AV4030" s="128"/>
      <c r="AW4030" s="128"/>
      <c r="AX4030" s="128"/>
      <c r="AY4030" s="128"/>
      <c r="AZ4030" s="128"/>
      <c r="BA4030" s="128"/>
      <c r="BB4030" s="128"/>
      <c r="BC4030" s="128"/>
      <c r="BD4030" s="128"/>
      <c r="BE4030" s="128"/>
      <c r="BF4030" s="128"/>
      <c r="BG4030" s="128"/>
      <c r="BH4030" s="128"/>
      <c r="BI4030" s="128"/>
      <c r="BJ4030" s="128"/>
      <c r="BK4030" s="128"/>
      <c r="BL4030" s="128"/>
      <c r="BM4030" s="151"/>
      <c r="BN4030" s="128"/>
      <c r="BO4030" s="128"/>
      <c r="BP4030" s="128"/>
      <c r="BQ4030" s="128"/>
      <c r="BR4030" s="128"/>
      <c r="BS4030" s="128"/>
      <c r="BT4030" s="128"/>
      <c r="BU4030" s="128"/>
      <c r="BV4030" s="128"/>
      <c r="BW4030" s="128"/>
      <c r="BX4030" s="128"/>
      <c r="BY4030" s="128"/>
      <c r="BZ4030" s="128"/>
      <c r="CA4030" s="128"/>
      <c r="CB4030" s="128"/>
      <c r="CC4030" s="128"/>
      <c r="CD4030" s="128"/>
      <c r="CE4030" s="128"/>
      <c r="CF4030" s="128"/>
      <c r="CG4030" s="128"/>
      <c r="CI4030" s="128"/>
      <c r="CJ4030" s="128"/>
      <c r="CK4030" s="128"/>
      <c r="CL4030" s="128"/>
      <c r="CM4030" s="128"/>
      <c r="CN4030" s="128"/>
      <c r="CO4030" s="128"/>
      <c r="CP4030" s="128"/>
      <c r="CQ4030" s="128"/>
      <c r="CR4030" s="128"/>
      <c r="CS4030" s="128"/>
      <c r="CT4030" s="128"/>
      <c r="CU4030" s="128"/>
      <c r="CV4030" s="128"/>
      <c r="CW4030" s="128"/>
      <c r="CX4030" s="128"/>
      <c r="CY4030" s="128"/>
      <c r="CZ4030" s="165"/>
    </row>
    <row r="4031" spans="1:104">
      <c r="A4031" s="149"/>
      <c r="B4031" s="149"/>
      <c r="C4031" s="150"/>
      <c r="D4031" s="102"/>
      <c r="E4031" s="149"/>
      <c r="F4031" s="149"/>
      <c r="G4031" s="149"/>
      <c r="H4031" s="149"/>
      <c r="I4031" s="149"/>
      <c r="J4031" s="149"/>
      <c r="K4031" s="149"/>
      <c r="L4031" s="149"/>
      <c r="M4031" s="149"/>
      <c r="N4031" s="149"/>
      <c r="O4031" s="149"/>
      <c r="P4031" s="149"/>
      <c r="Q4031" s="149"/>
      <c r="R4031" s="149"/>
      <c r="S4031" s="149"/>
      <c r="T4031" s="149"/>
      <c r="U4031" s="149"/>
      <c r="V4031" s="149"/>
      <c r="W4031" s="149"/>
      <c r="X4031" s="149"/>
      <c r="Y4031" s="149"/>
      <c r="Z4031" s="149"/>
      <c r="AA4031" s="149"/>
      <c r="AB4031" s="149"/>
      <c r="AC4031" s="149"/>
      <c r="AD4031" s="149"/>
      <c r="AE4031" s="149"/>
      <c r="AF4031" s="149"/>
      <c r="AG4031" s="149"/>
      <c r="AH4031" s="149"/>
      <c r="AI4031" s="149"/>
      <c r="AJ4031" s="149"/>
      <c r="AK4031" s="149"/>
      <c r="AL4031" s="149"/>
      <c r="AM4031" s="149"/>
      <c r="AN4031" s="149"/>
      <c r="AO4031" s="128"/>
      <c r="AP4031" s="128"/>
      <c r="AQ4031" s="128"/>
      <c r="AR4031" s="128"/>
      <c r="AS4031" s="128"/>
      <c r="AT4031" s="128"/>
      <c r="AU4031" s="128"/>
      <c r="AV4031" s="128"/>
      <c r="AW4031" s="128"/>
      <c r="AX4031" s="128"/>
      <c r="AY4031" s="128"/>
      <c r="AZ4031" s="128"/>
      <c r="BA4031" s="128"/>
      <c r="BB4031" s="128"/>
      <c r="BC4031" s="128"/>
      <c r="BD4031" s="128"/>
      <c r="BE4031" s="128"/>
      <c r="BF4031" s="128"/>
      <c r="BG4031" s="128"/>
      <c r="BH4031" s="128"/>
      <c r="BI4031" s="128"/>
      <c r="BJ4031" s="128"/>
      <c r="BK4031" s="128"/>
      <c r="BL4031" s="128"/>
      <c r="BM4031" s="151"/>
      <c r="BN4031" s="128"/>
      <c r="BO4031" s="128"/>
      <c r="BP4031" s="128"/>
      <c r="BQ4031" s="128"/>
      <c r="BR4031" s="128"/>
      <c r="BS4031" s="128"/>
      <c r="BT4031" s="128"/>
      <c r="BU4031" s="128"/>
      <c r="BV4031" s="128"/>
      <c r="BW4031" s="128"/>
      <c r="BX4031" s="128"/>
      <c r="BY4031" s="128"/>
      <c r="BZ4031" s="128"/>
      <c r="CA4031" s="128"/>
      <c r="CB4031" s="128"/>
      <c r="CC4031" s="128"/>
      <c r="CD4031" s="128"/>
      <c r="CE4031" s="128"/>
      <c r="CF4031" s="128"/>
      <c r="CG4031" s="128"/>
      <c r="CI4031" s="128"/>
      <c r="CJ4031" s="128"/>
      <c r="CK4031" s="128"/>
      <c r="CL4031" s="128"/>
      <c r="CM4031" s="128"/>
      <c r="CN4031" s="128"/>
      <c r="CO4031" s="128"/>
      <c r="CP4031" s="128"/>
      <c r="CQ4031" s="128"/>
      <c r="CR4031" s="128"/>
      <c r="CS4031" s="128"/>
      <c r="CT4031" s="128"/>
      <c r="CU4031" s="128"/>
      <c r="CV4031" s="128"/>
      <c r="CW4031" s="128"/>
      <c r="CX4031" s="128"/>
      <c r="CY4031" s="128"/>
      <c r="CZ4031" s="165"/>
    </row>
    <row r="4032" spans="1:104">
      <c r="A4032" s="149"/>
      <c r="B4032" s="149"/>
      <c r="C4032" s="150"/>
      <c r="D4032" s="102"/>
      <c r="E4032" s="149"/>
      <c r="F4032" s="149"/>
      <c r="G4032" s="149"/>
      <c r="H4032" s="149"/>
      <c r="I4032" s="149"/>
      <c r="J4032" s="149"/>
      <c r="K4032" s="149"/>
      <c r="L4032" s="149"/>
      <c r="M4032" s="149"/>
      <c r="N4032" s="149"/>
      <c r="O4032" s="149"/>
      <c r="P4032" s="149"/>
      <c r="Q4032" s="149"/>
      <c r="R4032" s="149"/>
      <c r="S4032" s="149"/>
      <c r="T4032" s="149"/>
      <c r="U4032" s="149"/>
      <c r="V4032" s="149"/>
      <c r="W4032" s="149"/>
      <c r="X4032" s="149"/>
      <c r="Y4032" s="149"/>
      <c r="Z4032" s="149"/>
      <c r="AA4032" s="149"/>
      <c r="AB4032" s="149"/>
      <c r="AC4032" s="149"/>
      <c r="AD4032" s="149"/>
      <c r="AE4032" s="149"/>
      <c r="AF4032" s="149"/>
      <c r="AG4032" s="149"/>
      <c r="AH4032" s="149"/>
      <c r="AI4032" s="149"/>
      <c r="AJ4032" s="149"/>
      <c r="AK4032" s="149"/>
      <c r="AL4032" s="149"/>
      <c r="AM4032" s="149"/>
      <c r="AN4032" s="149"/>
      <c r="AO4032" s="128"/>
      <c r="AP4032" s="128"/>
      <c r="AQ4032" s="128"/>
      <c r="AR4032" s="128"/>
      <c r="AS4032" s="128"/>
      <c r="AT4032" s="128"/>
      <c r="AU4032" s="128"/>
      <c r="AV4032" s="128"/>
      <c r="AW4032" s="128"/>
      <c r="AX4032" s="128"/>
      <c r="AY4032" s="128"/>
      <c r="AZ4032" s="128"/>
      <c r="BA4032" s="128"/>
      <c r="BB4032" s="128"/>
      <c r="BC4032" s="128"/>
      <c r="BD4032" s="128"/>
      <c r="BE4032" s="128"/>
      <c r="BF4032" s="128"/>
      <c r="BG4032" s="128"/>
      <c r="BH4032" s="128"/>
      <c r="BI4032" s="128"/>
      <c r="BJ4032" s="128"/>
      <c r="BK4032" s="128"/>
      <c r="BL4032" s="128"/>
      <c r="BM4032" s="151"/>
      <c r="BN4032" s="128"/>
      <c r="BO4032" s="128"/>
      <c r="BP4032" s="128"/>
      <c r="BQ4032" s="128"/>
      <c r="BR4032" s="128"/>
      <c r="BS4032" s="128"/>
      <c r="BT4032" s="128"/>
      <c r="BU4032" s="128"/>
      <c r="BV4032" s="128"/>
      <c r="BW4032" s="128"/>
      <c r="BX4032" s="128"/>
      <c r="BY4032" s="128"/>
      <c r="BZ4032" s="128"/>
      <c r="CA4032" s="128"/>
      <c r="CB4032" s="128"/>
      <c r="CC4032" s="128"/>
      <c r="CD4032" s="128"/>
      <c r="CE4032" s="128"/>
      <c r="CF4032" s="128"/>
      <c r="CG4032" s="128"/>
      <c r="CI4032" s="128"/>
      <c r="CJ4032" s="128"/>
      <c r="CK4032" s="128"/>
      <c r="CL4032" s="128"/>
      <c r="CM4032" s="128"/>
      <c r="CN4032" s="128"/>
      <c r="CO4032" s="128"/>
      <c r="CP4032" s="128"/>
      <c r="CQ4032" s="128"/>
      <c r="CR4032" s="128"/>
      <c r="CS4032" s="128"/>
      <c r="CT4032" s="128"/>
      <c r="CU4032" s="128"/>
      <c r="CV4032" s="128"/>
      <c r="CW4032" s="128"/>
      <c r="CX4032" s="128"/>
      <c r="CY4032" s="128"/>
      <c r="CZ4032" s="165"/>
    </row>
    <row r="4033" spans="1:104">
      <c r="A4033" s="149"/>
      <c r="B4033" s="149"/>
      <c r="C4033" s="150"/>
      <c r="D4033" s="102"/>
      <c r="E4033" s="149"/>
      <c r="F4033" s="149"/>
      <c r="G4033" s="149"/>
      <c r="H4033" s="149"/>
      <c r="I4033" s="149"/>
      <c r="J4033" s="149"/>
      <c r="K4033" s="149"/>
      <c r="L4033" s="149"/>
      <c r="M4033" s="149"/>
      <c r="N4033" s="149"/>
      <c r="O4033" s="149"/>
      <c r="P4033" s="149"/>
      <c r="Q4033" s="149"/>
      <c r="R4033" s="149"/>
      <c r="S4033" s="149"/>
      <c r="T4033" s="149"/>
      <c r="U4033" s="149"/>
      <c r="V4033" s="149"/>
      <c r="W4033" s="149"/>
      <c r="X4033" s="149"/>
      <c r="Y4033" s="149"/>
      <c r="Z4033" s="149"/>
      <c r="AA4033" s="149"/>
      <c r="AB4033" s="149"/>
      <c r="AC4033" s="149"/>
      <c r="AD4033" s="149"/>
      <c r="AE4033" s="149"/>
      <c r="AF4033" s="149"/>
      <c r="AG4033" s="149"/>
      <c r="AH4033" s="149"/>
      <c r="AI4033" s="149"/>
      <c r="AJ4033" s="149"/>
      <c r="AK4033" s="149"/>
      <c r="AL4033" s="149"/>
      <c r="AM4033" s="149"/>
      <c r="AN4033" s="149"/>
      <c r="AO4033" s="128"/>
      <c r="AP4033" s="128"/>
      <c r="AQ4033" s="128"/>
      <c r="AR4033" s="128"/>
      <c r="AS4033" s="128"/>
      <c r="AT4033" s="128"/>
      <c r="AU4033" s="128"/>
      <c r="AV4033" s="128"/>
      <c r="AW4033" s="128"/>
      <c r="AX4033" s="128"/>
      <c r="AY4033" s="128"/>
      <c r="AZ4033" s="128"/>
      <c r="BA4033" s="128"/>
      <c r="BB4033" s="128"/>
      <c r="BC4033" s="128"/>
      <c r="BD4033" s="128"/>
      <c r="BE4033" s="128"/>
      <c r="BF4033" s="128"/>
      <c r="BG4033" s="128"/>
      <c r="BH4033" s="128"/>
      <c r="BI4033" s="128"/>
      <c r="BJ4033" s="128"/>
      <c r="BK4033" s="128"/>
      <c r="BL4033" s="128"/>
      <c r="BM4033" s="151"/>
      <c r="BN4033" s="128"/>
      <c r="BO4033" s="128"/>
      <c r="BP4033" s="128"/>
      <c r="BQ4033" s="128"/>
      <c r="BR4033" s="128"/>
      <c r="BS4033" s="128"/>
      <c r="BT4033" s="128"/>
      <c r="BU4033" s="128"/>
      <c r="BV4033" s="128"/>
      <c r="BW4033" s="128"/>
      <c r="BX4033" s="128"/>
      <c r="BY4033" s="128"/>
      <c r="BZ4033" s="128"/>
      <c r="CA4033" s="128"/>
      <c r="CB4033" s="128"/>
      <c r="CC4033" s="128"/>
      <c r="CD4033" s="128"/>
      <c r="CE4033" s="128"/>
      <c r="CF4033" s="128"/>
      <c r="CG4033" s="128"/>
      <c r="CI4033" s="128"/>
      <c r="CJ4033" s="128"/>
      <c r="CK4033" s="128"/>
      <c r="CL4033" s="128"/>
      <c r="CM4033" s="128"/>
      <c r="CN4033" s="128"/>
      <c r="CO4033" s="128"/>
      <c r="CP4033" s="128"/>
      <c r="CQ4033" s="128"/>
      <c r="CR4033" s="128"/>
      <c r="CS4033" s="128"/>
      <c r="CT4033" s="128"/>
      <c r="CU4033" s="128"/>
      <c r="CV4033" s="128"/>
      <c r="CW4033" s="128"/>
      <c r="CX4033" s="128"/>
      <c r="CY4033" s="128"/>
      <c r="CZ4033" s="165"/>
    </row>
    <row r="4034" spans="1:104">
      <c r="A4034" s="149"/>
      <c r="B4034" s="149"/>
      <c r="C4034" s="150"/>
      <c r="D4034" s="102"/>
      <c r="E4034" s="149"/>
      <c r="F4034" s="149"/>
      <c r="G4034" s="149"/>
      <c r="H4034" s="149"/>
      <c r="I4034" s="149"/>
      <c r="J4034" s="149"/>
      <c r="K4034" s="149"/>
      <c r="L4034" s="149"/>
      <c r="M4034" s="149"/>
      <c r="N4034" s="149"/>
      <c r="O4034" s="149"/>
      <c r="P4034" s="149"/>
      <c r="Q4034" s="149"/>
      <c r="R4034" s="149"/>
      <c r="S4034" s="149"/>
      <c r="T4034" s="149"/>
      <c r="U4034" s="149"/>
      <c r="V4034" s="149"/>
      <c r="W4034" s="149"/>
      <c r="X4034" s="149"/>
      <c r="Y4034" s="149"/>
      <c r="Z4034" s="149"/>
      <c r="AA4034" s="149"/>
      <c r="AB4034" s="149"/>
      <c r="AC4034" s="149"/>
      <c r="AD4034" s="149"/>
      <c r="AE4034" s="149"/>
      <c r="AF4034" s="149"/>
      <c r="AG4034" s="149"/>
      <c r="AH4034" s="149"/>
      <c r="AI4034" s="149"/>
      <c r="AJ4034" s="149"/>
      <c r="AK4034" s="149"/>
      <c r="AL4034" s="149"/>
      <c r="AM4034" s="149"/>
      <c r="AN4034" s="149"/>
      <c r="AO4034" s="128"/>
      <c r="AP4034" s="128"/>
      <c r="AQ4034" s="128"/>
      <c r="AR4034" s="128"/>
      <c r="AS4034" s="128"/>
      <c r="AT4034" s="128"/>
      <c r="AU4034" s="128"/>
      <c r="AV4034" s="128"/>
      <c r="AW4034" s="128"/>
      <c r="AX4034" s="128"/>
      <c r="AY4034" s="128"/>
      <c r="AZ4034" s="128"/>
      <c r="BA4034" s="128"/>
      <c r="BB4034" s="128"/>
      <c r="BC4034" s="128"/>
      <c r="BD4034" s="128"/>
      <c r="BE4034" s="128"/>
      <c r="BF4034" s="128"/>
      <c r="BG4034" s="128"/>
      <c r="BH4034" s="128"/>
      <c r="BI4034" s="128"/>
      <c r="BJ4034" s="128"/>
      <c r="BK4034" s="128"/>
      <c r="BL4034" s="128"/>
      <c r="BM4034" s="151"/>
      <c r="BN4034" s="128"/>
      <c r="BO4034" s="128"/>
      <c r="BP4034" s="128"/>
      <c r="BQ4034" s="128"/>
      <c r="BR4034" s="128"/>
      <c r="BS4034" s="128"/>
      <c r="BT4034" s="128"/>
      <c r="BU4034" s="128"/>
      <c r="BV4034" s="128"/>
      <c r="BW4034" s="128"/>
      <c r="BX4034" s="128"/>
      <c r="BY4034" s="128"/>
      <c r="BZ4034" s="128"/>
      <c r="CA4034" s="128"/>
      <c r="CB4034" s="128"/>
      <c r="CC4034" s="128"/>
      <c r="CD4034" s="128"/>
      <c r="CE4034" s="128"/>
      <c r="CF4034" s="128"/>
      <c r="CG4034" s="128"/>
      <c r="CI4034" s="128"/>
      <c r="CJ4034" s="128"/>
      <c r="CK4034" s="128"/>
      <c r="CL4034" s="128"/>
      <c r="CM4034" s="128"/>
      <c r="CN4034" s="128"/>
      <c r="CO4034" s="128"/>
      <c r="CP4034" s="128"/>
      <c r="CQ4034" s="128"/>
      <c r="CR4034" s="128"/>
      <c r="CS4034" s="128"/>
      <c r="CT4034" s="128"/>
      <c r="CU4034" s="128"/>
      <c r="CV4034" s="128"/>
      <c r="CW4034" s="128"/>
      <c r="CX4034" s="128"/>
      <c r="CY4034" s="128"/>
      <c r="CZ4034" s="165"/>
    </row>
    <row r="4035" spans="1:104">
      <c r="A4035" s="149"/>
      <c r="B4035" s="149"/>
      <c r="C4035" s="150"/>
      <c r="D4035" s="102"/>
      <c r="E4035" s="149"/>
      <c r="F4035" s="149"/>
      <c r="G4035" s="149"/>
      <c r="H4035" s="149"/>
      <c r="I4035" s="149"/>
      <c r="J4035" s="149"/>
      <c r="K4035" s="149"/>
      <c r="L4035" s="149"/>
      <c r="M4035" s="149"/>
      <c r="N4035" s="149"/>
      <c r="O4035" s="149"/>
      <c r="P4035" s="149"/>
      <c r="Q4035" s="149"/>
      <c r="R4035" s="149"/>
      <c r="S4035" s="149"/>
      <c r="T4035" s="149"/>
      <c r="U4035" s="149"/>
      <c r="V4035" s="149"/>
      <c r="W4035" s="149"/>
      <c r="X4035" s="149"/>
      <c r="Y4035" s="149"/>
      <c r="Z4035" s="149"/>
      <c r="AA4035" s="149"/>
      <c r="AB4035" s="149"/>
      <c r="AC4035" s="149"/>
      <c r="AD4035" s="149"/>
      <c r="AE4035" s="149"/>
      <c r="AF4035" s="149"/>
      <c r="AG4035" s="149"/>
      <c r="AH4035" s="149"/>
      <c r="AI4035" s="149"/>
      <c r="AJ4035" s="149"/>
      <c r="AK4035" s="149"/>
      <c r="AL4035" s="149"/>
      <c r="AM4035" s="149"/>
      <c r="AN4035" s="149"/>
      <c r="AO4035" s="128"/>
      <c r="AP4035" s="128"/>
      <c r="AQ4035" s="128"/>
      <c r="AR4035" s="128"/>
      <c r="AS4035" s="128"/>
      <c r="AT4035" s="128"/>
      <c r="AU4035" s="128"/>
      <c r="AV4035" s="128"/>
      <c r="AW4035" s="128"/>
      <c r="AX4035" s="128"/>
      <c r="AY4035" s="128"/>
      <c r="AZ4035" s="128"/>
      <c r="BA4035" s="128"/>
      <c r="BB4035" s="128"/>
      <c r="BC4035" s="128"/>
      <c r="BD4035" s="128"/>
      <c r="BE4035" s="128"/>
      <c r="BF4035" s="128"/>
      <c r="BG4035" s="128"/>
      <c r="BH4035" s="128"/>
      <c r="BI4035" s="128"/>
      <c r="BJ4035" s="128"/>
      <c r="BK4035" s="128"/>
      <c r="BL4035" s="128"/>
      <c r="BM4035" s="151"/>
      <c r="BN4035" s="128"/>
      <c r="BO4035" s="128"/>
      <c r="BP4035" s="128"/>
      <c r="BQ4035" s="128"/>
      <c r="BR4035" s="128"/>
      <c r="BS4035" s="128"/>
      <c r="BT4035" s="128"/>
      <c r="BU4035" s="128"/>
      <c r="BV4035" s="128"/>
      <c r="BW4035" s="128"/>
      <c r="BX4035" s="128"/>
      <c r="BY4035" s="128"/>
      <c r="BZ4035" s="128"/>
      <c r="CA4035" s="128"/>
      <c r="CB4035" s="128"/>
      <c r="CC4035" s="128"/>
      <c r="CD4035" s="128"/>
      <c r="CE4035" s="128"/>
      <c r="CF4035" s="128"/>
      <c r="CG4035" s="128"/>
      <c r="CI4035" s="128"/>
      <c r="CJ4035" s="128"/>
      <c r="CK4035" s="128"/>
      <c r="CL4035" s="128"/>
      <c r="CM4035" s="128"/>
      <c r="CN4035" s="128"/>
      <c r="CO4035" s="128"/>
      <c r="CP4035" s="128"/>
      <c r="CQ4035" s="128"/>
      <c r="CR4035" s="128"/>
      <c r="CS4035" s="128"/>
      <c r="CT4035" s="128"/>
      <c r="CU4035" s="128"/>
      <c r="CV4035" s="128"/>
      <c r="CW4035" s="128"/>
      <c r="CX4035" s="128"/>
      <c r="CY4035" s="128"/>
      <c r="CZ4035" s="165"/>
    </row>
    <row r="4036" spans="1:104">
      <c r="A4036" s="149"/>
      <c r="B4036" s="149"/>
      <c r="C4036" s="150"/>
      <c r="D4036" s="102"/>
      <c r="E4036" s="149"/>
      <c r="F4036" s="149"/>
      <c r="G4036" s="149"/>
      <c r="H4036" s="149"/>
      <c r="I4036" s="149"/>
      <c r="J4036" s="149"/>
      <c r="K4036" s="149"/>
      <c r="L4036" s="149"/>
      <c r="M4036" s="149"/>
      <c r="N4036" s="149"/>
      <c r="O4036" s="149"/>
      <c r="P4036" s="149"/>
      <c r="Q4036" s="149"/>
      <c r="R4036" s="149"/>
      <c r="S4036" s="149"/>
      <c r="T4036" s="149"/>
      <c r="U4036" s="149"/>
      <c r="V4036" s="149"/>
      <c r="W4036" s="149"/>
      <c r="X4036" s="149"/>
      <c r="Y4036" s="149"/>
      <c r="Z4036" s="149"/>
      <c r="AA4036" s="149"/>
      <c r="AB4036" s="149"/>
      <c r="AC4036" s="149"/>
      <c r="AD4036" s="149"/>
      <c r="AE4036" s="149"/>
      <c r="AF4036" s="149"/>
      <c r="AG4036" s="149"/>
      <c r="AH4036" s="149"/>
      <c r="AI4036" s="149"/>
      <c r="AJ4036" s="149"/>
      <c r="AK4036" s="149"/>
      <c r="AL4036" s="149"/>
      <c r="AM4036" s="149"/>
      <c r="AN4036" s="149"/>
      <c r="AO4036" s="128"/>
      <c r="AP4036" s="128"/>
      <c r="AQ4036" s="128"/>
      <c r="AR4036" s="128"/>
      <c r="AS4036" s="128"/>
      <c r="AT4036" s="128"/>
      <c r="AU4036" s="128"/>
      <c r="AV4036" s="128"/>
      <c r="AW4036" s="128"/>
      <c r="AX4036" s="128"/>
      <c r="AY4036" s="128"/>
      <c r="AZ4036" s="128"/>
      <c r="BA4036" s="128"/>
      <c r="BB4036" s="128"/>
      <c r="BC4036" s="128"/>
      <c r="BD4036" s="128"/>
      <c r="BE4036" s="128"/>
      <c r="BF4036" s="128"/>
      <c r="BG4036" s="128"/>
      <c r="BH4036" s="128"/>
      <c r="BI4036" s="128"/>
      <c r="BJ4036" s="128"/>
      <c r="BK4036" s="128"/>
      <c r="BL4036" s="128"/>
      <c r="BM4036" s="151"/>
      <c r="BN4036" s="128"/>
      <c r="BO4036" s="128"/>
      <c r="BP4036" s="128"/>
      <c r="BQ4036" s="128"/>
      <c r="BR4036" s="128"/>
      <c r="BS4036" s="128"/>
      <c r="BT4036" s="128"/>
      <c r="BU4036" s="128"/>
      <c r="BV4036" s="128"/>
      <c r="BW4036" s="128"/>
      <c r="BX4036" s="128"/>
      <c r="BY4036" s="128"/>
      <c r="BZ4036" s="128"/>
      <c r="CA4036" s="128"/>
      <c r="CB4036" s="128"/>
      <c r="CC4036" s="128"/>
      <c r="CD4036" s="128"/>
      <c r="CE4036" s="128"/>
      <c r="CF4036" s="128"/>
      <c r="CG4036" s="128"/>
      <c r="CI4036" s="128"/>
      <c r="CJ4036" s="128"/>
      <c r="CK4036" s="128"/>
      <c r="CL4036" s="128"/>
      <c r="CM4036" s="128"/>
      <c r="CN4036" s="128"/>
      <c r="CO4036" s="128"/>
      <c r="CP4036" s="128"/>
      <c r="CQ4036" s="128"/>
      <c r="CR4036" s="128"/>
      <c r="CS4036" s="128"/>
      <c r="CT4036" s="128"/>
      <c r="CU4036" s="128"/>
      <c r="CV4036" s="128"/>
      <c r="CW4036" s="128"/>
      <c r="CX4036" s="128"/>
      <c r="CY4036" s="128"/>
      <c r="CZ4036" s="165"/>
    </row>
    <row r="4037" spans="1:104">
      <c r="A4037" s="149"/>
      <c r="B4037" s="149"/>
      <c r="C4037" s="150"/>
      <c r="D4037" s="102"/>
      <c r="E4037" s="149"/>
      <c r="F4037" s="149"/>
      <c r="G4037" s="149"/>
      <c r="H4037" s="149"/>
      <c r="I4037" s="149"/>
      <c r="J4037" s="149"/>
      <c r="K4037" s="149"/>
      <c r="L4037" s="149"/>
      <c r="M4037" s="149"/>
      <c r="N4037" s="149"/>
      <c r="O4037" s="149"/>
      <c r="P4037" s="149"/>
      <c r="Q4037" s="149"/>
      <c r="R4037" s="149"/>
      <c r="S4037" s="149"/>
      <c r="T4037" s="149"/>
      <c r="U4037" s="149"/>
      <c r="V4037" s="149"/>
      <c r="W4037" s="149"/>
      <c r="X4037" s="149"/>
      <c r="Y4037" s="149"/>
      <c r="Z4037" s="149"/>
      <c r="AA4037" s="149"/>
      <c r="AB4037" s="149"/>
      <c r="AC4037" s="149"/>
      <c r="AD4037" s="149"/>
      <c r="AE4037" s="149"/>
      <c r="AF4037" s="149"/>
      <c r="AG4037" s="149"/>
      <c r="AH4037" s="149"/>
      <c r="AI4037" s="149"/>
      <c r="AJ4037" s="149"/>
      <c r="AK4037" s="149"/>
      <c r="AL4037" s="149"/>
      <c r="AM4037" s="149"/>
      <c r="AN4037" s="149"/>
      <c r="AO4037" s="128"/>
      <c r="AP4037" s="128"/>
      <c r="AQ4037" s="128"/>
      <c r="AR4037" s="128"/>
      <c r="AS4037" s="128"/>
      <c r="AT4037" s="128"/>
      <c r="AU4037" s="128"/>
      <c r="AV4037" s="128"/>
      <c r="AW4037" s="128"/>
      <c r="AX4037" s="128"/>
      <c r="AY4037" s="128"/>
      <c r="AZ4037" s="128"/>
      <c r="BA4037" s="128"/>
      <c r="BB4037" s="128"/>
      <c r="BC4037" s="128"/>
      <c r="BD4037" s="128"/>
      <c r="BE4037" s="128"/>
      <c r="BF4037" s="128"/>
      <c r="BG4037" s="128"/>
      <c r="BH4037" s="128"/>
      <c r="BI4037" s="128"/>
      <c r="BJ4037" s="128"/>
      <c r="BK4037" s="128"/>
      <c r="BL4037" s="128"/>
      <c r="BM4037" s="151"/>
      <c r="BN4037" s="128"/>
      <c r="BO4037" s="128"/>
      <c r="BP4037" s="128"/>
      <c r="BQ4037" s="128"/>
      <c r="BR4037" s="128"/>
      <c r="BS4037" s="128"/>
      <c r="BT4037" s="128"/>
      <c r="BU4037" s="128"/>
      <c r="BV4037" s="128"/>
      <c r="BW4037" s="128"/>
      <c r="BX4037" s="128"/>
      <c r="BY4037" s="128"/>
      <c r="BZ4037" s="128"/>
      <c r="CA4037" s="128"/>
      <c r="CB4037" s="128"/>
      <c r="CC4037" s="128"/>
      <c r="CD4037" s="128"/>
      <c r="CE4037" s="128"/>
      <c r="CF4037" s="128"/>
      <c r="CG4037" s="128"/>
      <c r="CI4037" s="128"/>
      <c r="CJ4037" s="128"/>
      <c r="CK4037" s="128"/>
      <c r="CL4037" s="128"/>
      <c r="CM4037" s="128"/>
      <c r="CN4037" s="128"/>
      <c r="CO4037" s="128"/>
      <c r="CP4037" s="128"/>
      <c r="CQ4037" s="128"/>
      <c r="CR4037" s="128"/>
      <c r="CS4037" s="128"/>
      <c r="CT4037" s="128"/>
      <c r="CU4037" s="128"/>
      <c r="CV4037" s="128"/>
      <c r="CW4037" s="128"/>
      <c r="CX4037" s="128"/>
      <c r="CY4037" s="128"/>
      <c r="CZ4037" s="165"/>
    </row>
    <row r="4038" spans="1:104">
      <c r="A4038" s="149"/>
      <c r="B4038" s="149"/>
      <c r="C4038" s="150"/>
      <c r="D4038" s="102"/>
      <c r="E4038" s="149"/>
      <c r="F4038" s="149"/>
      <c r="G4038" s="149"/>
      <c r="H4038" s="149"/>
      <c r="I4038" s="149"/>
      <c r="J4038" s="149"/>
      <c r="K4038" s="149"/>
      <c r="L4038" s="149"/>
      <c r="M4038" s="149"/>
      <c r="N4038" s="149"/>
      <c r="O4038" s="149"/>
      <c r="P4038" s="149"/>
      <c r="Q4038" s="149"/>
      <c r="R4038" s="149"/>
      <c r="S4038" s="149"/>
      <c r="T4038" s="149"/>
      <c r="U4038" s="149"/>
      <c r="V4038" s="149"/>
      <c r="W4038" s="149"/>
      <c r="X4038" s="149"/>
      <c r="Y4038" s="149"/>
      <c r="Z4038" s="149"/>
      <c r="AA4038" s="149"/>
      <c r="AB4038" s="149"/>
      <c r="AC4038" s="149"/>
      <c r="AD4038" s="149"/>
      <c r="AE4038" s="149"/>
      <c r="AF4038" s="149"/>
      <c r="AG4038" s="149"/>
      <c r="AH4038" s="149"/>
      <c r="AI4038" s="149"/>
      <c r="AJ4038" s="149"/>
      <c r="AK4038" s="149"/>
      <c r="AL4038" s="149"/>
      <c r="AM4038" s="149"/>
      <c r="AN4038" s="149"/>
      <c r="AO4038" s="128"/>
      <c r="AP4038" s="128"/>
      <c r="AQ4038" s="128"/>
      <c r="AR4038" s="128"/>
      <c r="AS4038" s="128"/>
      <c r="AT4038" s="128"/>
      <c r="AU4038" s="128"/>
      <c r="AV4038" s="128"/>
      <c r="AW4038" s="128"/>
      <c r="AX4038" s="128"/>
      <c r="AY4038" s="128"/>
      <c r="AZ4038" s="128"/>
      <c r="BA4038" s="128"/>
      <c r="BB4038" s="128"/>
      <c r="BC4038" s="128"/>
      <c r="BD4038" s="128"/>
      <c r="BE4038" s="128"/>
      <c r="BF4038" s="128"/>
      <c r="BG4038" s="128"/>
      <c r="BH4038" s="128"/>
      <c r="BI4038" s="128"/>
      <c r="BJ4038" s="128"/>
      <c r="BK4038" s="128"/>
      <c r="BL4038" s="128"/>
      <c r="BM4038" s="151"/>
      <c r="BN4038" s="128"/>
      <c r="BO4038" s="128"/>
      <c r="BP4038" s="128"/>
      <c r="BQ4038" s="128"/>
      <c r="BR4038" s="128"/>
      <c r="BS4038" s="128"/>
      <c r="BT4038" s="128"/>
      <c r="BU4038" s="128"/>
      <c r="BV4038" s="128"/>
      <c r="BW4038" s="128"/>
      <c r="BX4038" s="128"/>
      <c r="BY4038" s="128"/>
      <c r="BZ4038" s="128"/>
      <c r="CA4038" s="128"/>
      <c r="CB4038" s="128"/>
      <c r="CC4038" s="128"/>
      <c r="CD4038" s="128"/>
      <c r="CE4038" s="128"/>
      <c r="CF4038" s="128"/>
      <c r="CG4038" s="128"/>
      <c r="CI4038" s="128"/>
      <c r="CJ4038" s="128"/>
      <c r="CK4038" s="128"/>
      <c r="CL4038" s="128"/>
      <c r="CM4038" s="128"/>
      <c r="CN4038" s="128"/>
      <c r="CO4038" s="128"/>
      <c r="CP4038" s="128"/>
      <c r="CQ4038" s="128"/>
      <c r="CR4038" s="128"/>
      <c r="CS4038" s="128"/>
      <c r="CT4038" s="128"/>
      <c r="CU4038" s="128"/>
      <c r="CV4038" s="128"/>
      <c r="CW4038" s="128"/>
      <c r="CX4038" s="128"/>
      <c r="CY4038" s="128"/>
      <c r="CZ4038" s="165"/>
    </row>
    <row r="4039" spans="1:104">
      <c r="A4039" s="149"/>
      <c r="B4039" s="149"/>
      <c r="C4039" s="150"/>
      <c r="D4039" s="102"/>
      <c r="E4039" s="149"/>
      <c r="F4039" s="149"/>
      <c r="G4039" s="149"/>
      <c r="H4039" s="149"/>
      <c r="I4039" s="149"/>
      <c r="J4039" s="149"/>
      <c r="K4039" s="149"/>
      <c r="L4039" s="149"/>
      <c r="M4039" s="149"/>
      <c r="N4039" s="149"/>
      <c r="O4039" s="149"/>
      <c r="P4039" s="149"/>
      <c r="Q4039" s="149"/>
      <c r="R4039" s="149"/>
      <c r="S4039" s="149"/>
      <c r="T4039" s="149"/>
      <c r="U4039" s="149"/>
      <c r="V4039" s="149"/>
      <c r="W4039" s="149"/>
      <c r="X4039" s="149"/>
      <c r="Y4039" s="149"/>
      <c r="Z4039" s="149"/>
      <c r="AA4039" s="149"/>
      <c r="AB4039" s="149"/>
      <c r="AC4039" s="149"/>
      <c r="AD4039" s="149"/>
      <c r="AE4039" s="149"/>
      <c r="AF4039" s="149"/>
      <c r="AG4039" s="149"/>
      <c r="AH4039" s="149"/>
      <c r="AI4039" s="149"/>
      <c r="AJ4039" s="149"/>
      <c r="AK4039" s="149"/>
      <c r="AL4039" s="149"/>
      <c r="AM4039" s="149"/>
      <c r="AN4039" s="149"/>
      <c r="AO4039" s="128"/>
      <c r="AP4039" s="128"/>
      <c r="AQ4039" s="128"/>
      <c r="AR4039" s="128"/>
      <c r="AS4039" s="128"/>
      <c r="AT4039" s="128"/>
      <c r="AU4039" s="128"/>
      <c r="AV4039" s="128"/>
      <c r="AW4039" s="128"/>
      <c r="AX4039" s="128"/>
      <c r="AY4039" s="128"/>
      <c r="AZ4039" s="128"/>
      <c r="BA4039" s="128"/>
      <c r="BB4039" s="128"/>
      <c r="BC4039" s="128"/>
      <c r="BD4039" s="128"/>
      <c r="BE4039" s="128"/>
      <c r="BF4039" s="128"/>
      <c r="BG4039" s="128"/>
      <c r="BH4039" s="128"/>
      <c r="BI4039" s="128"/>
      <c r="BJ4039" s="128"/>
      <c r="BK4039" s="128"/>
      <c r="BL4039" s="128"/>
      <c r="BM4039" s="151"/>
      <c r="BN4039" s="128"/>
      <c r="BO4039" s="128"/>
      <c r="BP4039" s="128"/>
      <c r="BQ4039" s="128"/>
      <c r="BR4039" s="128"/>
      <c r="BS4039" s="128"/>
      <c r="BT4039" s="128"/>
      <c r="BU4039" s="128"/>
      <c r="BV4039" s="128"/>
      <c r="BW4039" s="128"/>
      <c r="BX4039" s="128"/>
      <c r="BY4039" s="128"/>
      <c r="BZ4039" s="128"/>
      <c r="CA4039" s="128"/>
      <c r="CB4039" s="128"/>
      <c r="CC4039" s="128"/>
      <c r="CD4039" s="128"/>
      <c r="CE4039" s="128"/>
      <c r="CF4039" s="128"/>
      <c r="CG4039" s="128"/>
      <c r="CI4039" s="128"/>
      <c r="CJ4039" s="128"/>
      <c r="CK4039" s="128"/>
      <c r="CL4039" s="128"/>
      <c r="CM4039" s="128"/>
      <c r="CN4039" s="128"/>
      <c r="CO4039" s="128"/>
      <c r="CP4039" s="128"/>
      <c r="CQ4039" s="128"/>
      <c r="CR4039" s="128"/>
      <c r="CS4039" s="128"/>
      <c r="CT4039" s="128"/>
      <c r="CU4039" s="128"/>
      <c r="CV4039" s="128"/>
      <c r="CW4039" s="128"/>
      <c r="CX4039" s="128"/>
      <c r="CY4039" s="128"/>
      <c r="CZ4039" s="165"/>
    </row>
    <row r="4040" spans="1:104">
      <c r="A4040" s="149"/>
      <c r="B4040" s="149"/>
      <c r="C4040" s="150"/>
      <c r="D4040" s="102"/>
      <c r="E4040" s="149"/>
      <c r="F4040" s="149"/>
      <c r="G4040" s="149"/>
      <c r="H4040" s="149"/>
      <c r="I4040" s="149"/>
      <c r="J4040" s="149"/>
      <c r="K4040" s="149"/>
      <c r="L4040" s="149"/>
      <c r="M4040" s="149"/>
      <c r="N4040" s="149"/>
      <c r="O4040" s="149"/>
      <c r="P4040" s="149"/>
      <c r="Q4040" s="149"/>
      <c r="R4040" s="149"/>
      <c r="S4040" s="149"/>
      <c r="T4040" s="149"/>
      <c r="U4040" s="149"/>
      <c r="V4040" s="149"/>
      <c r="W4040" s="149"/>
      <c r="X4040" s="149"/>
      <c r="Y4040" s="149"/>
      <c r="Z4040" s="149"/>
      <c r="AA4040" s="149"/>
      <c r="AB4040" s="149"/>
      <c r="AC4040" s="149"/>
      <c r="AD4040" s="149"/>
      <c r="AE4040" s="149"/>
      <c r="AF4040" s="149"/>
      <c r="AG4040" s="149"/>
      <c r="AH4040" s="149"/>
      <c r="AI4040" s="149"/>
      <c r="AJ4040" s="149"/>
      <c r="AK4040" s="149"/>
      <c r="AL4040" s="149"/>
      <c r="AM4040" s="149"/>
      <c r="AN4040" s="149"/>
      <c r="AO4040" s="128"/>
      <c r="AP4040" s="128"/>
      <c r="AQ4040" s="128"/>
      <c r="AR4040" s="128"/>
      <c r="AS4040" s="128"/>
      <c r="AT4040" s="128"/>
      <c r="AU4040" s="128"/>
      <c r="AV4040" s="128"/>
      <c r="AW4040" s="128"/>
      <c r="AX4040" s="128"/>
      <c r="AY4040" s="128"/>
      <c r="AZ4040" s="128"/>
      <c r="BA4040" s="128"/>
      <c r="BB4040" s="128"/>
      <c r="BC4040" s="128"/>
      <c r="BD4040" s="128"/>
      <c r="BE4040" s="128"/>
      <c r="BF4040" s="128"/>
      <c r="BG4040" s="128"/>
      <c r="BH4040" s="128"/>
      <c r="BI4040" s="128"/>
      <c r="BJ4040" s="128"/>
      <c r="BK4040" s="128"/>
      <c r="BL4040" s="128"/>
      <c r="BM4040" s="151"/>
      <c r="BN4040" s="128"/>
      <c r="BO4040" s="128"/>
      <c r="BP4040" s="128"/>
      <c r="BQ4040" s="128"/>
      <c r="BR4040" s="128"/>
      <c r="BS4040" s="128"/>
      <c r="BT4040" s="128"/>
      <c r="BU4040" s="128"/>
      <c r="BV4040" s="128"/>
      <c r="BW4040" s="128"/>
      <c r="BX4040" s="128"/>
      <c r="BY4040" s="128"/>
      <c r="BZ4040" s="128"/>
      <c r="CA4040" s="128"/>
      <c r="CB4040" s="128"/>
      <c r="CC4040" s="128"/>
      <c r="CD4040" s="128"/>
      <c r="CE4040" s="128"/>
      <c r="CF4040" s="128"/>
      <c r="CG4040" s="128"/>
      <c r="CI4040" s="128"/>
      <c r="CJ4040" s="128"/>
      <c r="CK4040" s="128"/>
      <c r="CL4040" s="128"/>
      <c r="CM4040" s="128"/>
      <c r="CN4040" s="128"/>
      <c r="CO4040" s="128"/>
      <c r="CP4040" s="128"/>
      <c r="CQ4040" s="128"/>
      <c r="CR4040" s="128"/>
      <c r="CS4040" s="128"/>
      <c r="CT4040" s="128"/>
      <c r="CU4040" s="128"/>
      <c r="CV4040" s="128"/>
      <c r="CW4040" s="128"/>
      <c r="CX4040" s="128"/>
      <c r="CY4040" s="128"/>
      <c r="CZ4040" s="165"/>
    </row>
    <row r="4041" spans="1:104">
      <c r="A4041" s="149"/>
      <c r="B4041" s="149"/>
      <c r="C4041" s="150"/>
      <c r="D4041" s="102"/>
      <c r="E4041" s="149"/>
      <c r="F4041" s="149"/>
      <c r="G4041" s="149"/>
      <c r="H4041" s="149"/>
      <c r="I4041" s="149"/>
      <c r="J4041" s="149"/>
      <c r="K4041" s="149"/>
      <c r="L4041" s="149"/>
      <c r="M4041" s="149"/>
      <c r="N4041" s="149"/>
      <c r="O4041" s="149"/>
      <c r="P4041" s="149"/>
      <c r="Q4041" s="149"/>
      <c r="R4041" s="149"/>
      <c r="S4041" s="149"/>
      <c r="T4041" s="149"/>
      <c r="U4041" s="149"/>
      <c r="V4041" s="149"/>
      <c r="W4041" s="149"/>
      <c r="X4041" s="149"/>
      <c r="Y4041" s="149"/>
      <c r="Z4041" s="149"/>
      <c r="AA4041" s="149"/>
      <c r="AB4041" s="149"/>
      <c r="AC4041" s="149"/>
      <c r="AD4041" s="149"/>
      <c r="AE4041" s="149"/>
      <c r="AF4041" s="149"/>
      <c r="AG4041" s="149"/>
      <c r="AH4041" s="149"/>
      <c r="AI4041" s="149"/>
      <c r="AJ4041" s="149"/>
      <c r="AK4041" s="149"/>
      <c r="AL4041" s="149"/>
      <c r="AM4041" s="149"/>
      <c r="AN4041" s="149"/>
      <c r="AO4041" s="128"/>
      <c r="AP4041" s="128"/>
      <c r="AQ4041" s="128"/>
      <c r="AR4041" s="128"/>
      <c r="AS4041" s="128"/>
      <c r="AT4041" s="128"/>
      <c r="AU4041" s="128"/>
      <c r="AV4041" s="128"/>
      <c r="AW4041" s="128"/>
      <c r="AX4041" s="128"/>
      <c r="AY4041" s="128"/>
      <c r="AZ4041" s="128"/>
      <c r="BA4041" s="128"/>
      <c r="BB4041" s="128"/>
      <c r="BC4041" s="128"/>
      <c r="BD4041" s="128"/>
      <c r="BE4041" s="128"/>
      <c r="BF4041" s="128"/>
      <c r="BG4041" s="128"/>
      <c r="BH4041" s="128"/>
      <c r="BI4041" s="128"/>
      <c r="BJ4041" s="128"/>
      <c r="BK4041" s="128"/>
      <c r="BL4041" s="128"/>
      <c r="BM4041" s="151"/>
      <c r="BN4041" s="128"/>
      <c r="BO4041" s="128"/>
      <c r="BP4041" s="128"/>
      <c r="BQ4041" s="128"/>
      <c r="BR4041" s="128"/>
      <c r="BS4041" s="128"/>
      <c r="BT4041" s="128"/>
      <c r="BU4041" s="128"/>
      <c r="BV4041" s="128"/>
      <c r="BW4041" s="128"/>
      <c r="BX4041" s="128"/>
      <c r="BY4041" s="128"/>
      <c r="BZ4041" s="128"/>
      <c r="CA4041" s="128"/>
      <c r="CB4041" s="128"/>
      <c r="CC4041" s="128"/>
      <c r="CD4041" s="128"/>
      <c r="CE4041" s="128"/>
      <c r="CF4041" s="128"/>
      <c r="CG4041" s="128"/>
      <c r="CI4041" s="128"/>
      <c r="CJ4041" s="128"/>
      <c r="CK4041" s="128"/>
      <c r="CL4041" s="128"/>
      <c r="CM4041" s="128"/>
      <c r="CN4041" s="128"/>
      <c r="CO4041" s="128"/>
      <c r="CP4041" s="128"/>
      <c r="CQ4041" s="128"/>
      <c r="CR4041" s="128"/>
      <c r="CS4041" s="128"/>
      <c r="CT4041" s="128"/>
      <c r="CU4041" s="128"/>
      <c r="CV4041" s="128"/>
      <c r="CW4041" s="128"/>
      <c r="CX4041" s="128"/>
      <c r="CY4041" s="128"/>
      <c r="CZ4041" s="165"/>
    </row>
    <row r="4042" spans="1:104">
      <c r="A4042" s="149"/>
      <c r="B4042" s="149"/>
      <c r="C4042" s="150"/>
      <c r="D4042" s="102"/>
      <c r="E4042" s="149"/>
      <c r="F4042" s="149"/>
      <c r="G4042" s="149"/>
      <c r="H4042" s="149"/>
      <c r="I4042" s="149"/>
      <c r="J4042" s="149"/>
      <c r="K4042" s="149"/>
      <c r="L4042" s="149"/>
      <c r="M4042" s="149"/>
      <c r="N4042" s="149"/>
      <c r="O4042" s="149"/>
      <c r="P4042" s="149"/>
      <c r="Q4042" s="149"/>
      <c r="R4042" s="149"/>
      <c r="S4042" s="149"/>
      <c r="T4042" s="149"/>
      <c r="U4042" s="149"/>
      <c r="V4042" s="149"/>
      <c r="W4042" s="149"/>
      <c r="X4042" s="149"/>
      <c r="Y4042" s="149"/>
      <c r="Z4042" s="149"/>
      <c r="AA4042" s="149"/>
      <c r="AB4042" s="149"/>
      <c r="AC4042" s="149"/>
      <c r="AD4042" s="149"/>
      <c r="AE4042" s="149"/>
      <c r="AF4042" s="149"/>
      <c r="AG4042" s="149"/>
      <c r="AH4042" s="149"/>
      <c r="AI4042" s="149"/>
      <c r="AJ4042" s="149"/>
      <c r="AK4042" s="149"/>
      <c r="AL4042" s="149"/>
      <c r="AM4042" s="149"/>
      <c r="AN4042" s="149"/>
      <c r="AO4042" s="128"/>
      <c r="AP4042" s="128"/>
      <c r="AQ4042" s="128"/>
      <c r="AR4042" s="128"/>
      <c r="AS4042" s="128"/>
      <c r="AT4042" s="128"/>
      <c r="AU4042" s="128"/>
      <c r="AV4042" s="128"/>
      <c r="AW4042" s="128"/>
      <c r="AX4042" s="128"/>
      <c r="AY4042" s="128"/>
      <c r="AZ4042" s="128"/>
      <c r="BA4042" s="128"/>
      <c r="BB4042" s="128"/>
      <c r="BC4042" s="128"/>
      <c r="BD4042" s="128"/>
      <c r="BE4042" s="128"/>
      <c r="BF4042" s="128"/>
      <c r="BG4042" s="128"/>
      <c r="BH4042" s="128"/>
      <c r="BI4042" s="128"/>
      <c r="BJ4042" s="128"/>
      <c r="BK4042" s="128"/>
      <c r="BL4042" s="128"/>
      <c r="BM4042" s="151"/>
      <c r="BN4042" s="128"/>
      <c r="BO4042" s="128"/>
      <c r="BP4042" s="128"/>
      <c r="BQ4042" s="128"/>
      <c r="BR4042" s="128"/>
      <c r="BS4042" s="128"/>
      <c r="BT4042" s="128"/>
      <c r="BU4042" s="128"/>
      <c r="BV4042" s="128"/>
      <c r="BW4042" s="128"/>
      <c r="BX4042" s="128"/>
      <c r="BY4042" s="128"/>
      <c r="BZ4042" s="128"/>
      <c r="CA4042" s="128"/>
      <c r="CB4042" s="128"/>
      <c r="CC4042" s="128"/>
      <c r="CD4042" s="128"/>
      <c r="CE4042" s="128"/>
      <c r="CF4042" s="128"/>
      <c r="CG4042" s="128"/>
      <c r="CI4042" s="128"/>
      <c r="CJ4042" s="128"/>
      <c r="CK4042" s="128"/>
      <c r="CL4042" s="128"/>
      <c r="CM4042" s="128"/>
      <c r="CN4042" s="128"/>
      <c r="CO4042" s="128"/>
      <c r="CP4042" s="128"/>
      <c r="CQ4042" s="128"/>
      <c r="CR4042" s="128"/>
      <c r="CS4042" s="128"/>
      <c r="CT4042" s="128"/>
      <c r="CU4042" s="128"/>
      <c r="CV4042" s="128"/>
      <c r="CW4042" s="128"/>
      <c r="CX4042" s="128"/>
      <c r="CY4042" s="128"/>
      <c r="CZ4042" s="165"/>
    </row>
    <row r="4043" spans="1:104">
      <c r="A4043" s="149"/>
      <c r="B4043" s="149"/>
      <c r="C4043" s="150"/>
      <c r="D4043" s="102"/>
      <c r="E4043" s="149"/>
      <c r="F4043" s="149"/>
      <c r="G4043" s="149"/>
      <c r="H4043" s="149"/>
      <c r="I4043" s="149"/>
      <c r="J4043" s="149"/>
      <c r="K4043" s="149"/>
      <c r="L4043" s="149"/>
      <c r="M4043" s="149"/>
      <c r="N4043" s="149"/>
      <c r="O4043" s="149"/>
      <c r="P4043" s="149"/>
      <c r="Q4043" s="149"/>
      <c r="R4043" s="149"/>
      <c r="S4043" s="149"/>
      <c r="T4043" s="149"/>
      <c r="U4043" s="149"/>
      <c r="V4043" s="149"/>
      <c r="W4043" s="149"/>
      <c r="X4043" s="149"/>
      <c r="Y4043" s="149"/>
      <c r="Z4043" s="149"/>
      <c r="AA4043" s="149"/>
      <c r="AB4043" s="149"/>
      <c r="AC4043" s="149"/>
      <c r="AD4043" s="149"/>
      <c r="AE4043" s="149"/>
      <c r="AF4043" s="149"/>
      <c r="AG4043" s="149"/>
      <c r="AH4043" s="149"/>
      <c r="AI4043" s="149"/>
      <c r="AJ4043" s="149"/>
      <c r="AK4043" s="149"/>
      <c r="AL4043" s="149"/>
      <c r="AM4043" s="149"/>
      <c r="AN4043" s="149"/>
      <c r="AO4043" s="128"/>
      <c r="AP4043" s="128"/>
      <c r="AQ4043" s="128"/>
      <c r="AR4043" s="128"/>
      <c r="AS4043" s="128"/>
      <c r="AT4043" s="128"/>
      <c r="AU4043" s="128"/>
      <c r="AV4043" s="128"/>
      <c r="AW4043" s="128"/>
      <c r="AX4043" s="128"/>
      <c r="AY4043" s="128"/>
      <c r="AZ4043" s="128"/>
      <c r="BA4043" s="128"/>
      <c r="BB4043" s="128"/>
      <c r="BC4043" s="128"/>
      <c r="BD4043" s="128"/>
      <c r="BE4043" s="128"/>
      <c r="BF4043" s="128"/>
      <c r="BG4043" s="128"/>
      <c r="BH4043" s="128"/>
      <c r="BI4043" s="128"/>
      <c r="BJ4043" s="128"/>
      <c r="BK4043" s="128"/>
      <c r="BL4043" s="128"/>
      <c r="BM4043" s="151"/>
      <c r="BN4043" s="128"/>
      <c r="BO4043" s="128"/>
      <c r="BP4043" s="128"/>
      <c r="BQ4043" s="128"/>
      <c r="BR4043" s="128"/>
      <c r="BS4043" s="128"/>
      <c r="BT4043" s="128"/>
      <c r="BU4043" s="128"/>
      <c r="BV4043" s="128"/>
      <c r="BW4043" s="128"/>
      <c r="BX4043" s="128"/>
      <c r="BY4043" s="128"/>
      <c r="BZ4043" s="128"/>
      <c r="CA4043" s="128"/>
      <c r="CB4043" s="128"/>
      <c r="CC4043" s="128"/>
      <c r="CD4043" s="128"/>
      <c r="CE4043" s="128"/>
      <c r="CF4043" s="128"/>
      <c r="CG4043" s="128"/>
      <c r="CI4043" s="128"/>
      <c r="CJ4043" s="128"/>
      <c r="CK4043" s="128"/>
      <c r="CL4043" s="128"/>
      <c r="CM4043" s="128"/>
      <c r="CN4043" s="128"/>
      <c r="CO4043" s="128"/>
      <c r="CP4043" s="128"/>
      <c r="CQ4043" s="128"/>
      <c r="CR4043" s="128"/>
      <c r="CS4043" s="128"/>
      <c r="CT4043" s="128"/>
      <c r="CU4043" s="128"/>
      <c r="CV4043" s="128"/>
      <c r="CW4043" s="128"/>
      <c r="CX4043" s="128"/>
      <c r="CY4043" s="128"/>
      <c r="CZ4043" s="165"/>
    </row>
    <row r="4044" spans="1:104">
      <c r="A4044" s="149"/>
      <c r="B4044" s="149"/>
      <c r="C4044" s="150"/>
      <c r="D4044" s="102"/>
      <c r="E4044" s="149"/>
      <c r="F4044" s="149"/>
      <c r="G4044" s="149"/>
      <c r="H4044" s="149"/>
      <c r="I4044" s="149"/>
      <c r="J4044" s="149"/>
      <c r="K4044" s="149"/>
      <c r="L4044" s="149"/>
      <c r="M4044" s="149"/>
      <c r="N4044" s="149"/>
      <c r="O4044" s="149"/>
      <c r="P4044" s="149"/>
      <c r="Q4044" s="149"/>
      <c r="R4044" s="149"/>
      <c r="S4044" s="149"/>
      <c r="T4044" s="149"/>
      <c r="U4044" s="149"/>
      <c r="V4044" s="149"/>
      <c r="W4044" s="149"/>
      <c r="X4044" s="149"/>
      <c r="Y4044" s="149"/>
      <c r="Z4044" s="149"/>
      <c r="AA4044" s="149"/>
      <c r="AB4044" s="149"/>
      <c r="AC4044" s="149"/>
      <c r="AD4044" s="149"/>
      <c r="AE4044" s="149"/>
      <c r="AF4044" s="149"/>
      <c r="AG4044" s="149"/>
      <c r="AH4044" s="149"/>
      <c r="AI4044" s="149"/>
      <c r="AJ4044" s="149"/>
      <c r="AK4044" s="149"/>
      <c r="AL4044" s="149"/>
      <c r="AM4044" s="149"/>
      <c r="AN4044" s="149"/>
      <c r="AO4044" s="128"/>
      <c r="AP4044" s="128"/>
      <c r="AQ4044" s="128"/>
      <c r="AR4044" s="128"/>
      <c r="AS4044" s="128"/>
      <c r="AT4044" s="128"/>
      <c r="AU4044" s="128"/>
      <c r="AV4044" s="128"/>
      <c r="AW4044" s="128"/>
      <c r="AX4044" s="128"/>
      <c r="AY4044" s="128"/>
      <c r="AZ4044" s="128"/>
      <c r="BA4044" s="128"/>
      <c r="BB4044" s="128"/>
      <c r="BC4044" s="128"/>
      <c r="BD4044" s="128"/>
      <c r="BE4044" s="128"/>
      <c r="BF4044" s="128"/>
      <c r="BG4044" s="128"/>
      <c r="BH4044" s="128"/>
      <c r="BI4044" s="128"/>
      <c r="BJ4044" s="128"/>
      <c r="BK4044" s="128"/>
      <c r="BL4044" s="128"/>
      <c r="BM4044" s="151"/>
      <c r="BN4044" s="128"/>
      <c r="BO4044" s="128"/>
      <c r="BP4044" s="128"/>
      <c r="BQ4044" s="128"/>
      <c r="BR4044" s="128"/>
      <c r="BS4044" s="128"/>
      <c r="BT4044" s="128"/>
      <c r="BU4044" s="128"/>
      <c r="BV4044" s="128"/>
      <c r="BW4044" s="128"/>
      <c r="BX4044" s="128"/>
      <c r="BY4044" s="128"/>
      <c r="BZ4044" s="128"/>
      <c r="CA4044" s="128"/>
      <c r="CB4044" s="128"/>
      <c r="CC4044" s="128"/>
      <c r="CD4044" s="128"/>
      <c r="CE4044" s="128"/>
      <c r="CF4044" s="128"/>
      <c r="CG4044" s="128"/>
      <c r="CI4044" s="128"/>
      <c r="CJ4044" s="128"/>
      <c r="CK4044" s="128"/>
      <c r="CL4044" s="128"/>
      <c r="CM4044" s="128"/>
      <c r="CN4044" s="128"/>
      <c r="CO4044" s="128"/>
      <c r="CP4044" s="128"/>
      <c r="CQ4044" s="128"/>
      <c r="CR4044" s="128"/>
      <c r="CS4044" s="128"/>
      <c r="CT4044" s="128"/>
      <c r="CU4044" s="128"/>
      <c r="CV4044" s="128"/>
      <c r="CW4044" s="128"/>
      <c r="CX4044" s="128"/>
      <c r="CY4044" s="128"/>
      <c r="CZ4044" s="165"/>
    </row>
    <row r="4045" spans="1:104">
      <c r="A4045" s="149"/>
      <c r="B4045" s="149"/>
      <c r="C4045" s="150"/>
      <c r="D4045" s="102"/>
      <c r="E4045" s="149"/>
      <c r="F4045" s="149"/>
      <c r="G4045" s="149"/>
      <c r="H4045" s="149"/>
      <c r="I4045" s="149"/>
      <c r="J4045" s="149"/>
      <c r="K4045" s="149"/>
      <c r="L4045" s="149"/>
      <c r="M4045" s="149"/>
      <c r="N4045" s="149"/>
      <c r="O4045" s="149"/>
      <c r="P4045" s="149"/>
      <c r="Q4045" s="149"/>
      <c r="R4045" s="149"/>
      <c r="S4045" s="149"/>
      <c r="T4045" s="149"/>
      <c r="U4045" s="149"/>
      <c r="V4045" s="149"/>
      <c r="W4045" s="149"/>
      <c r="X4045" s="149"/>
      <c r="Y4045" s="149"/>
      <c r="Z4045" s="149"/>
      <c r="AA4045" s="149"/>
      <c r="AB4045" s="149"/>
      <c r="AC4045" s="149"/>
      <c r="AD4045" s="149"/>
      <c r="AE4045" s="149"/>
      <c r="AF4045" s="149"/>
      <c r="AG4045" s="149"/>
      <c r="AH4045" s="149"/>
      <c r="AI4045" s="149"/>
      <c r="AJ4045" s="149"/>
      <c r="AK4045" s="149"/>
      <c r="AL4045" s="149"/>
      <c r="AM4045" s="149"/>
      <c r="AN4045" s="149"/>
      <c r="AO4045" s="128"/>
      <c r="AP4045" s="128"/>
      <c r="AQ4045" s="128"/>
      <c r="AR4045" s="128"/>
      <c r="AS4045" s="128"/>
      <c r="AT4045" s="128"/>
      <c r="AU4045" s="128"/>
      <c r="AV4045" s="128"/>
      <c r="AW4045" s="128"/>
      <c r="AX4045" s="128"/>
      <c r="AY4045" s="128"/>
      <c r="AZ4045" s="128"/>
      <c r="BA4045" s="128"/>
      <c r="BB4045" s="128"/>
      <c r="BC4045" s="128"/>
      <c r="BD4045" s="128"/>
      <c r="BE4045" s="128"/>
      <c r="BF4045" s="128"/>
      <c r="BG4045" s="128"/>
      <c r="BH4045" s="128"/>
      <c r="BI4045" s="128"/>
      <c r="BJ4045" s="128"/>
      <c r="BK4045" s="128"/>
      <c r="BL4045" s="128"/>
      <c r="BM4045" s="151"/>
      <c r="BN4045" s="128"/>
      <c r="BO4045" s="128"/>
      <c r="BP4045" s="128"/>
      <c r="BQ4045" s="128"/>
      <c r="BR4045" s="128"/>
      <c r="BS4045" s="128"/>
      <c r="BT4045" s="128"/>
      <c r="BU4045" s="128"/>
      <c r="BV4045" s="128"/>
      <c r="BW4045" s="128"/>
      <c r="BX4045" s="128"/>
      <c r="BY4045" s="128"/>
      <c r="BZ4045" s="128"/>
      <c r="CA4045" s="128"/>
      <c r="CB4045" s="128"/>
      <c r="CC4045" s="128"/>
      <c r="CD4045" s="128"/>
      <c r="CE4045" s="128"/>
      <c r="CF4045" s="128"/>
      <c r="CG4045" s="128"/>
      <c r="CI4045" s="128"/>
      <c r="CJ4045" s="128"/>
      <c r="CK4045" s="128"/>
      <c r="CL4045" s="128"/>
      <c r="CM4045" s="128"/>
      <c r="CN4045" s="128"/>
      <c r="CO4045" s="128"/>
      <c r="CP4045" s="128"/>
      <c r="CQ4045" s="128"/>
      <c r="CR4045" s="128"/>
      <c r="CS4045" s="128"/>
      <c r="CT4045" s="128"/>
      <c r="CU4045" s="128"/>
      <c r="CV4045" s="128"/>
      <c r="CW4045" s="128"/>
      <c r="CX4045" s="128"/>
      <c r="CY4045" s="128"/>
      <c r="CZ4045" s="165"/>
    </row>
    <row r="4046" spans="1:104">
      <c r="A4046" s="149"/>
      <c r="B4046" s="149"/>
      <c r="C4046" s="150"/>
      <c r="D4046" s="102"/>
      <c r="E4046" s="149"/>
      <c r="F4046" s="149"/>
      <c r="G4046" s="149"/>
      <c r="H4046" s="149"/>
      <c r="I4046" s="149"/>
      <c r="J4046" s="149"/>
      <c r="K4046" s="149"/>
      <c r="L4046" s="149"/>
      <c r="M4046" s="149"/>
      <c r="N4046" s="149"/>
      <c r="O4046" s="149"/>
      <c r="P4046" s="149"/>
      <c r="Q4046" s="149"/>
      <c r="R4046" s="149"/>
      <c r="S4046" s="149"/>
      <c r="T4046" s="149"/>
      <c r="U4046" s="149"/>
      <c r="V4046" s="149"/>
      <c r="W4046" s="149"/>
      <c r="X4046" s="149"/>
      <c r="Y4046" s="149"/>
      <c r="Z4046" s="149"/>
      <c r="AA4046" s="149"/>
      <c r="AB4046" s="149"/>
      <c r="AC4046" s="149"/>
      <c r="AD4046" s="149"/>
      <c r="AE4046" s="149"/>
      <c r="AF4046" s="149"/>
      <c r="AG4046" s="149"/>
      <c r="AH4046" s="149"/>
      <c r="AI4046" s="149"/>
      <c r="AJ4046" s="149"/>
      <c r="AK4046" s="149"/>
      <c r="AL4046" s="149"/>
      <c r="AM4046" s="149"/>
      <c r="AN4046" s="149"/>
      <c r="AO4046" s="128"/>
      <c r="AP4046" s="128"/>
      <c r="AQ4046" s="128"/>
      <c r="AR4046" s="128"/>
      <c r="AS4046" s="128"/>
      <c r="AT4046" s="128"/>
      <c r="AU4046" s="128"/>
      <c r="AV4046" s="128"/>
      <c r="AW4046" s="128"/>
      <c r="AX4046" s="128"/>
      <c r="AY4046" s="128"/>
      <c r="AZ4046" s="128"/>
      <c r="BA4046" s="128"/>
      <c r="BB4046" s="128"/>
      <c r="BC4046" s="128"/>
      <c r="BD4046" s="128"/>
      <c r="BE4046" s="128"/>
      <c r="BF4046" s="128"/>
      <c r="BG4046" s="128"/>
      <c r="BH4046" s="128"/>
      <c r="BI4046" s="128"/>
      <c r="BJ4046" s="128"/>
      <c r="BK4046" s="128"/>
      <c r="BL4046" s="128"/>
      <c r="BM4046" s="151"/>
      <c r="BN4046" s="128"/>
      <c r="BO4046" s="128"/>
      <c r="BP4046" s="128"/>
      <c r="BQ4046" s="128"/>
      <c r="BR4046" s="128"/>
      <c r="BS4046" s="128"/>
      <c r="BT4046" s="128"/>
      <c r="BU4046" s="128"/>
      <c r="BV4046" s="128"/>
      <c r="BW4046" s="128"/>
      <c r="BX4046" s="128"/>
      <c r="BY4046" s="128"/>
      <c r="BZ4046" s="128"/>
      <c r="CA4046" s="128"/>
      <c r="CB4046" s="128"/>
      <c r="CC4046" s="128"/>
      <c r="CD4046" s="128"/>
      <c r="CE4046" s="128"/>
      <c r="CF4046" s="128"/>
      <c r="CG4046" s="128"/>
      <c r="CI4046" s="128"/>
      <c r="CJ4046" s="128"/>
      <c r="CK4046" s="128"/>
      <c r="CL4046" s="128"/>
      <c r="CM4046" s="128"/>
      <c r="CN4046" s="128"/>
      <c r="CO4046" s="128"/>
      <c r="CP4046" s="128"/>
      <c r="CQ4046" s="128"/>
      <c r="CR4046" s="128"/>
      <c r="CS4046" s="128"/>
      <c r="CT4046" s="128"/>
      <c r="CU4046" s="128"/>
      <c r="CV4046" s="128"/>
      <c r="CW4046" s="128"/>
      <c r="CX4046" s="128"/>
      <c r="CY4046" s="128"/>
      <c r="CZ4046" s="165"/>
    </row>
    <row r="4047" spans="1:104">
      <c r="A4047" s="149"/>
      <c r="B4047" s="149"/>
      <c r="C4047" s="150"/>
      <c r="D4047" s="102"/>
      <c r="E4047" s="149"/>
      <c r="F4047" s="149"/>
      <c r="G4047" s="149"/>
      <c r="H4047" s="149"/>
      <c r="I4047" s="149"/>
      <c r="J4047" s="149"/>
      <c r="K4047" s="149"/>
      <c r="L4047" s="149"/>
      <c r="M4047" s="149"/>
      <c r="N4047" s="149"/>
      <c r="O4047" s="149"/>
      <c r="P4047" s="149"/>
      <c r="Q4047" s="149"/>
      <c r="R4047" s="149"/>
      <c r="S4047" s="149"/>
      <c r="T4047" s="149"/>
      <c r="U4047" s="149"/>
      <c r="V4047" s="149"/>
      <c r="W4047" s="149"/>
      <c r="X4047" s="149"/>
      <c r="Y4047" s="149"/>
      <c r="Z4047" s="149"/>
      <c r="AA4047" s="149"/>
      <c r="AB4047" s="149"/>
      <c r="AC4047" s="149"/>
      <c r="AD4047" s="149"/>
      <c r="AE4047" s="149"/>
      <c r="AF4047" s="149"/>
      <c r="AG4047" s="149"/>
      <c r="AH4047" s="149"/>
      <c r="AI4047" s="149"/>
      <c r="AJ4047" s="149"/>
      <c r="AK4047" s="149"/>
      <c r="AL4047" s="149"/>
      <c r="AM4047" s="149"/>
      <c r="AN4047" s="149"/>
      <c r="AO4047" s="128"/>
      <c r="AP4047" s="128"/>
      <c r="AQ4047" s="128"/>
      <c r="AR4047" s="128"/>
      <c r="AS4047" s="128"/>
      <c r="AT4047" s="128"/>
      <c r="AU4047" s="128"/>
      <c r="AV4047" s="128"/>
      <c r="AW4047" s="128"/>
      <c r="AX4047" s="128"/>
      <c r="AY4047" s="128"/>
      <c r="AZ4047" s="128"/>
      <c r="BA4047" s="128"/>
      <c r="BB4047" s="128"/>
      <c r="BC4047" s="128"/>
      <c r="BD4047" s="128"/>
      <c r="BE4047" s="128"/>
      <c r="BF4047" s="128"/>
      <c r="BG4047" s="128"/>
      <c r="BH4047" s="128"/>
      <c r="BI4047" s="128"/>
      <c r="BJ4047" s="128"/>
      <c r="BK4047" s="128"/>
      <c r="BL4047" s="128"/>
      <c r="BM4047" s="151"/>
      <c r="BN4047" s="128"/>
      <c r="BO4047" s="128"/>
      <c r="BP4047" s="128"/>
      <c r="BQ4047" s="128"/>
      <c r="BR4047" s="128"/>
      <c r="BS4047" s="128"/>
      <c r="BT4047" s="128"/>
      <c r="BU4047" s="128"/>
      <c r="BV4047" s="128"/>
      <c r="BW4047" s="128"/>
      <c r="BX4047" s="128"/>
      <c r="BY4047" s="128"/>
      <c r="BZ4047" s="128"/>
      <c r="CA4047" s="128"/>
      <c r="CB4047" s="128"/>
      <c r="CC4047" s="128"/>
      <c r="CD4047" s="128"/>
      <c r="CE4047" s="128"/>
      <c r="CF4047" s="128"/>
      <c r="CG4047" s="128"/>
      <c r="CI4047" s="128"/>
      <c r="CJ4047" s="128"/>
      <c r="CK4047" s="128"/>
      <c r="CL4047" s="128"/>
      <c r="CM4047" s="128"/>
      <c r="CN4047" s="128"/>
      <c r="CO4047" s="128"/>
      <c r="CP4047" s="128"/>
      <c r="CQ4047" s="128"/>
      <c r="CR4047" s="128"/>
      <c r="CS4047" s="128"/>
      <c r="CT4047" s="128"/>
      <c r="CU4047" s="128"/>
      <c r="CV4047" s="128"/>
      <c r="CW4047" s="128"/>
      <c r="CX4047" s="128"/>
      <c r="CY4047" s="128"/>
      <c r="CZ4047" s="165"/>
    </row>
    <row r="4048" spans="1:104">
      <c r="A4048" s="149"/>
      <c r="B4048" s="149"/>
      <c r="C4048" s="150"/>
      <c r="D4048" s="102"/>
      <c r="E4048" s="149"/>
      <c r="F4048" s="149"/>
      <c r="G4048" s="149"/>
      <c r="H4048" s="149"/>
      <c r="I4048" s="149"/>
      <c r="J4048" s="149"/>
      <c r="K4048" s="149"/>
      <c r="L4048" s="149"/>
      <c r="M4048" s="149"/>
      <c r="N4048" s="149"/>
      <c r="O4048" s="149"/>
      <c r="P4048" s="149"/>
      <c r="Q4048" s="149"/>
      <c r="R4048" s="149"/>
      <c r="S4048" s="149"/>
      <c r="T4048" s="149"/>
      <c r="U4048" s="149"/>
      <c r="V4048" s="149"/>
      <c r="W4048" s="149"/>
      <c r="X4048" s="149"/>
      <c r="Y4048" s="149"/>
      <c r="Z4048" s="149"/>
      <c r="AA4048" s="149"/>
      <c r="AB4048" s="149"/>
      <c r="AC4048" s="149"/>
      <c r="AD4048" s="149"/>
      <c r="AE4048" s="149"/>
      <c r="AF4048" s="149"/>
      <c r="AG4048" s="149"/>
      <c r="AH4048" s="149"/>
      <c r="AI4048" s="149"/>
      <c r="AJ4048" s="149"/>
      <c r="AK4048" s="149"/>
      <c r="AL4048" s="149"/>
      <c r="AM4048" s="149"/>
      <c r="AN4048" s="149"/>
      <c r="AO4048" s="128"/>
      <c r="AP4048" s="128"/>
      <c r="AQ4048" s="128"/>
      <c r="AR4048" s="128"/>
      <c r="AS4048" s="128"/>
      <c r="AT4048" s="128"/>
      <c r="AU4048" s="128"/>
      <c r="AV4048" s="128"/>
      <c r="AW4048" s="128"/>
      <c r="AX4048" s="128"/>
      <c r="AY4048" s="128"/>
      <c r="AZ4048" s="128"/>
      <c r="BA4048" s="128"/>
      <c r="BB4048" s="128"/>
      <c r="BC4048" s="128"/>
      <c r="BD4048" s="128"/>
      <c r="BE4048" s="128"/>
      <c r="BF4048" s="128"/>
      <c r="BG4048" s="128"/>
      <c r="BH4048" s="128"/>
      <c r="BI4048" s="128"/>
      <c r="BJ4048" s="128"/>
      <c r="BK4048" s="128"/>
      <c r="BL4048" s="128"/>
      <c r="BM4048" s="151"/>
      <c r="BN4048" s="128"/>
      <c r="BO4048" s="128"/>
      <c r="BP4048" s="128"/>
      <c r="BQ4048" s="128"/>
      <c r="BR4048" s="128"/>
      <c r="BS4048" s="128"/>
      <c r="BT4048" s="128"/>
      <c r="BU4048" s="128"/>
      <c r="BV4048" s="128"/>
      <c r="BW4048" s="128"/>
      <c r="BX4048" s="128"/>
      <c r="BY4048" s="128"/>
      <c r="BZ4048" s="128"/>
      <c r="CA4048" s="128"/>
      <c r="CB4048" s="128"/>
      <c r="CC4048" s="128"/>
      <c r="CD4048" s="128"/>
      <c r="CE4048" s="128"/>
      <c r="CF4048" s="128"/>
      <c r="CG4048" s="128"/>
      <c r="CI4048" s="128"/>
      <c r="CJ4048" s="128"/>
      <c r="CK4048" s="128"/>
      <c r="CL4048" s="128"/>
      <c r="CM4048" s="128"/>
      <c r="CN4048" s="128"/>
      <c r="CO4048" s="128"/>
      <c r="CP4048" s="128"/>
      <c r="CQ4048" s="128"/>
      <c r="CR4048" s="128"/>
      <c r="CS4048" s="128"/>
      <c r="CT4048" s="128"/>
      <c r="CU4048" s="128"/>
      <c r="CV4048" s="128"/>
      <c r="CW4048" s="128"/>
      <c r="CX4048" s="128"/>
      <c r="CY4048" s="128"/>
      <c r="CZ4048" s="165"/>
    </row>
    <row r="4049" spans="1:104">
      <c r="A4049" s="149"/>
      <c r="B4049" s="149"/>
      <c r="C4049" s="150"/>
      <c r="D4049" s="102"/>
      <c r="E4049" s="149"/>
      <c r="F4049" s="149"/>
      <c r="G4049" s="149"/>
      <c r="H4049" s="149"/>
      <c r="I4049" s="149"/>
      <c r="J4049" s="149"/>
      <c r="K4049" s="149"/>
      <c r="L4049" s="149"/>
      <c r="M4049" s="149"/>
      <c r="N4049" s="149"/>
      <c r="O4049" s="149"/>
      <c r="P4049" s="149"/>
      <c r="Q4049" s="149"/>
      <c r="R4049" s="149"/>
      <c r="S4049" s="149"/>
      <c r="T4049" s="149"/>
      <c r="U4049" s="149"/>
      <c r="V4049" s="149"/>
      <c r="W4049" s="149"/>
      <c r="X4049" s="149"/>
      <c r="Y4049" s="149"/>
      <c r="Z4049" s="149"/>
      <c r="AA4049" s="149"/>
      <c r="AB4049" s="149"/>
      <c r="AC4049" s="149"/>
      <c r="AD4049" s="149"/>
      <c r="AE4049" s="149"/>
      <c r="AF4049" s="149"/>
      <c r="AG4049" s="149"/>
      <c r="AH4049" s="149"/>
      <c r="AI4049" s="149"/>
      <c r="AJ4049" s="149"/>
      <c r="AK4049" s="149"/>
      <c r="AL4049" s="149"/>
      <c r="AM4049" s="149"/>
      <c r="AN4049" s="149"/>
      <c r="AO4049" s="128"/>
      <c r="AP4049" s="128"/>
      <c r="AQ4049" s="128"/>
      <c r="AR4049" s="128"/>
      <c r="AS4049" s="128"/>
      <c r="AT4049" s="128"/>
      <c r="AU4049" s="128"/>
      <c r="AV4049" s="128"/>
      <c r="AW4049" s="128"/>
      <c r="AX4049" s="128"/>
      <c r="AY4049" s="128"/>
      <c r="AZ4049" s="128"/>
      <c r="BA4049" s="128"/>
      <c r="BB4049" s="128"/>
      <c r="BC4049" s="128"/>
      <c r="BD4049" s="128"/>
      <c r="BE4049" s="128"/>
      <c r="BF4049" s="128"/>
      <c r="BG4049" s="128"/>
      <c r="BH4049" s="128"/>
      <c r="BI4049" s="128"/>
      <c r="BJ4049" s="128"/>
      <c r="BK4049" s="128"/>
      <c r="BL4049" s="128"/>
      <c r="BM4049" s="151"/>
      <c r="BN4049" s="128"/>
      <c r="BO4049" s="128"/>
      <c r="BP4049" s="128"/>
      <c r="BQ4049" s="128"/>
      <c r="BR4049" s="128"/>
      <c r="BS4049" s="128"/>
      <c r="BT4049" s="128"/>
      <c r="BU4049" s="128"/>
      <c r="BV4049" s="128"/>
      <c r="BW4049" s="128"/>
      <c r="BX4049" s="128"/>
      <c r="BY4049" s="128"/>
      <c r="BZ4049" s="128"/>
      <c r="CA4049" s="128"/>
      <c r="CB4049" s="128"/>
      <c r="CC4049" s="128"/>
      <c r="CD4049" s="128"/>
      <c r="CE4049" s="128"/>
      <c r="CF4049" s="128"/>
      <c r="CG4049" s="128"/>
      <c r="CI4049" s="128"/>
      <c r="CJ4049" s="128"/>
      <c r="CK4049" s="128"/>
      <c r="CL4049" s="128"/>
      <c r="CM4049" s="128"/>
      <c r="CN4049" s="128"/>
      <c r="CO4049" s="128"/>
      <c r="CP4049" s="128"/>
      <c r="CQ4049" s="128"/>
      <c r="CR4049" s="128"/>
      <c r="CS4049" s="128"/>
      <c r="CT4049" s="128"/>
      <c r="CU4049" s="128"/>
      <c r="CV4049" s="128"/>
      <c r="CW4049" s="128"/>
      <c r="CX4049" s="128"/>
      <c r="CY4049" s="128"/>
      <c r="CZ4049" s="165"/>
    </row>
    <row r="4050" spans="1:104">
      <c r="A4050" s="149"/>
      <c r="B4050" s="149"/>
      <c r="C4050" s="150"/>
      <c r="D4050" s="102"/>
      <c r="E4050" s="149"/>
      <c r="F4050" s="149"/>
      <c r="G4050" s="149"/>
      <c r="H4050" s="149"/>
      <c r="I4050" s="149"/>
      <c r="J4050" s="149"/>
      <c r="K4050" s="149"/>
      <c r="L4050" s="149"/>
      <c r="M4050" s="149"/>
      <c r="N4050" s="149"/>
      <c r="O4050" s="149"/>
      <c r="P4050" s="149"/>
      <c r="Q4050" s="149"/>
      <c r="R4050" s="149"/>
      <c r="S4050" s="149"/>
      <c r="T4050" s="149"/>
      <c r="U4050" s="149"/>
      <c r="V4050" s="149"/>
      <c r="W4050" s="149"/>
      <c r="X4050" s="149"/>
      <c r="Y4050" s="149"/>
      <c r="Z4050" s="149"/>
      <c r="AA4050" s="149"/>
      <c r="AB4050" s="149"/>
      <c r="AC4050" s="149"/>
      <c r="AD4050" s="149"/>
      <c r="AE4050" s="149"/>
      <c r="AF4050" s="149"/>
      <c r="AG4050" s="149"/>
      <c r="AH4050" s="149"/>
      <c r="AI4050" s="149"/>
      <c r="AJ4050" s="149"/>
      <c r="AK4050" s="149"/>
      <c r="AL4050" s="149"/>
      <c r="AM4050" s="149"/>
      <c r="AN4050" s="149"/>
      <c r="AO4050" s="128"/>
      <c r="AP4050" s="128"/>
      <c r="AQ4050" s="128"/>
      <c r="AR4050" s="128"/>
      <c r="AS4050" s="128"/>
      <c r="AT4050" s="128"/>
      <c r="AU4050" s="128"/>
      <c r="AV4050" s="128"/>
      <c r="AW4050" s="128"/>
      <c r="AX4050" s="128"/>
      <c r="AY4050" s="128"/>
      <c r="AZ4050" s="128"/>
      <c r="BA4050" s="128"/>
      <c r="BB4050" s="128"/>
      <c r="BC4050" s="128"/>
      <c r="BD4050" s="128"/>
      <c r="BE4050" s="128"/>
      <c r="BF4050" s="128"/>
      <c r="BG4050" s="128"/>
      <c r="BH4050" s="128"/>
      <c r="BI4050" s="128"/>
      <c r="BJ4050" s="128"/>
      <c r="BK4050" s="128"/>
      <c r="BL4050" s="128"/>
      <c r="BM4050" s="151"/>
      <c r="BN4050" s="128"/>
      <c r="BO4050" s="128"/>
      <c r="BP4050" s="128"/>
      <c r="BQ4050" s="128"/>
      <c r="BR4050" s="128"/>
      <c r="BS4050" s="128"/>
      <c r="BT4050" s="128"/>
      <c r="BU4050" s="128"/>
      <c r="BV4050" s="128"/>
      <c r="BW4050" s="128"/>
      <c r="BX4050" s="128"/>
      <c r="BY4050" s="128"/>
      <c r="BZ4050" s="128"/>
      <c r="CA4050" s="128"/>
      <c r="CB4050" s="128"/>
      <c r="CC4050" s="128"/>
      <c r="CD4050" s="128"/>
      <c r="CE4050" s="128"/>
      <c r="CF4050" s="128"/>
      <c r="CG4050" s="128"/>
      <c r="CI4050" s="128"/>
      <c r="CJ4050" s="128"/>
      <c r="CK4050" s="128"/>
      <c r="CL4050" s="128"/>
      <c r="CM4050" s="128"/>
      <c r="CN4050" s="128"/>
      <c r="CO4050" s="128"/>
      <c r="CP4050" s="128"/>
      <c r="CQ4050" s="128"/>
      <c r="CR4050" s="128"/>
      <c r="CS4050" s="128"/>
      <c r="CT4050" s="128"/>
      <c r="CU4050" s="128"/>
      <c r="CV4050" s="128"/>
      <c r="CW4050" s="128"/>
      <c r="CX4050" s="128"/>
      <c r="CY4050" s="128"/>
      <c r="CZ4050" s="165"/>
    </row>
    <row r="4051" spans="1:104">
      <c r="A4051" s="149"/>
      <c r="B4051" s="149"/>
      <c r="C4051" s="150"/>
      <c r="D4051" s="102"/>
      <c r="E4051" s="149"/>
      <c r="F4051" s="149"/>
      <c r="G4051" s="149"/>
      <c r="H4051" s="149"/>
      <c r="I4051" s="149"/>
      <c r="J4051" s="149"/>
      <c r="K4051" s="149"/>
      <c r="L4051" s="149"/>
      <c r="M4051" s="149"/>
      <c r="N4051" s="149"/>
      <c r="O4051" s="149"/>
      <c r="P4051" s="149"/>
      <c r="Q4051" s="149"/>
      <c r="R4051" s="149"/>
      <c r="S4051" s="149"/>
      <c r="T4051" s="149"/>
      <c r="U4051" s="149"/>
      <c r="V4051" s="149"/>
      <c r="W4051" s="149"/>
      <c r="X4051" s="149"/>
      <c r="Y4051" s="149"/>
      <c r="Z4051" s="149"/>
      <c r="AA4051" s="149"/>
      <c r="AB4051" s="149"/>
      <c r="AC4051" s="149"/>
      <c r="AD4051" s="149"/>
      <c r="AE4051" s="149"/>
      <c r="AF4051" s="149"/>
      <c r="AG4051" s="149"/>
      <c r="AH4051" s="149"/>
      <c r="AI4051" s="149"/>
      <c r="AJ4051" s="149"/>
      <c r="AK4051" s="149"/>
      <c r="AL4051" s="149"/>
      <c r="AM4051" s="149"/>
      <c r="AN4051" s="149"/>
      <c r="AO4051" s="128"/>
      <c r="AP4051" s="128"/>
      <c r="AQ4051" s="128"/>
      <c r="AR4051" s="128"/>
      <c r="AS4051" s="128"/>
      <c r="AT4051" s="128"/>
      <c r="AU4051" s="128"/>
      <c r="AV4051" s="128"/>
      <c r="AW4051" s="128"/>
      <c r="AX4051" s="128"/>
      <c r="AY4051" s="128"/>
      <c r="AZ4051" s="128"/>
      <c r="BA4051" s="128"/>
      <c r="BB4051" s="128"/>
      <c r="BC4051" s="128"/>
      <c r="BD4051" s="128"/>
      <c r="BE4051" s="128"/>
      <c r="BF4051" s="128"/>
      <c r="BG4051" s="128"/>
      <c r="BH4051" s="128"/>
      <c r="BI4051" s="128"/>
      <c r="BJ4051" s="128"/>
      <c r="BK4051" s="128"/>
      <c r="BL4051" s="128"/>
      <c r="BM4051" s="151"/>
      <c r="BN4051" s="128"/>
      <c r="BO4051" s="128"/>
      <c r="BP4051" s="128"/>
      <c r="BQ4051" s="128"/>
      <c r="BR4051" s="128"/>
      <c r="BS4051" s="128"/>
      <c r="BT4051" s="128"/>
      <c r="BU4051" s="128"/>
      <c r="BV4051" s="128"/>
      <c r="BW4051" s="128"/>
      <c r="BX4051" s="128"/>
      <c r="BY4051" s="128"/>
      <c r="BZ4051" s="128"/>
      <c r="CA4051" s="128"/>
      <c r="CB4051" s="128"/>
      <c r="CC4051" s="128"/>
      <c r="CD4051" s="128"/>
      <c r="CE4051" s="128"/>
      <c r="CF4051" s="128"/>
      <c r="CG4051" s="128"/>
      <c r="CI4051" s="128"/>
      <c r="CJ4051" s="128"/>
      <c r="CK4051" s="128"/>
      <c r="CL4051" s="128"/>
      <c r="CM4051" s="128"/>
      <c r="CN4051" s="128"/>
      <c r="CO4051" s="128"/>
      <c r="CP4051" s="128"/>
      <c r="CQ4051" s="128"/>
      <c r="CR4051" s="128"/>
      <c r="CS4051" s="128"/>
      <c r="CT4051" s="128"/>
      <c r="CU4051" s="128"/>
      <c r="CV4051" s="128"/>
      <c r="CW4051" s="128"/>
      <c r="CX4051" s="128"/>
      <c r="CY4051" s="128"/>
      <c r="CZ4051" s="165"/>
    </row>
    <row r="4052" spans="1:104">
      <c r="A4052" s="149"/>
      <c r="B4052" s="149"/>
      <c r="C4052" s="150"/>
      <c r="D4052" s="102"/>
      <c r="E4052" s="149"/>
      <c r="F4052" s="149"/>
      <c r="G4052" s="149"/>
      <c r="H4052" s="149"/>
      <c r="I4052" s="149"/>
      <c r="J4052" s="149"/>
      <c r="K4052" s="149"/>
      <c r="L4052" s="149"/>
      <c r="M4052" s="149"/>
      <c r="N4052" s="149"/>
      <c r="O4052" s="149"/>
      <c r="P4052" s="149"/>
      <c r="Q4052" s="149"/>
      <c r="R4052" s="149"/>
      <c r="S4052" s="149"/>
      <c r="T4052" s="149"/>
      <c r="U4052" s="149"/>
      <c r="V4052" s="149"/>
      <c r="W4052" s="149"/>
      <c r="X4052" s="149"/>
      <c r="Y4052" s="149"/>
      <c r="Z4052" s="149"/>
      <c r="AA4052" s="149"/>
      <c r="AB4052" s="149"/>
      <c r="AC4052" s="149"/>
      <c r="AD4052" s="149"/>
      <c r="AE4052" s="149"/>
      <c r="AF4052" s="149"/>
      <c r="AG4052" s="149"/>
      <c r="AH4052" s="149"/>
      <c r="AI4052" s="149"/>
      <c r="AJ4052" s="149"/>
      <c r="AK4052" s="149"/>
      <c r="AL4052" s="149"/>
      <c r="AM4052" s="149"/>
      <c r="AN4052" s="149"/>
      <c r="AO4052" s="128"/>
      <c r="AP4052" s="128"/>
      <c r="AQ4052" s="128"/>
      <c r="AR4052" s="128"/>
      <c r="AS4052" s="128"/>
      <c r="AT4052" s="128"/>
      <c r="AU4052" s="128"/>
      <c r="AV4052" s="128"/>
      <c r="AW4052" s="128"/>
      <c r="AX4052" s="128"/>
      <c r="AY4052" s="128"/>
      <c r="AZ4052" s="128"/>
      <c r="BA4052" s="128"/>
      <c r="BB4052" s="128"/>
      <c r="BC4052" s="128"/>
      <c r="BD4052" s="128"/>
      <c r="BE4052" s="128"/>
      <c r="BF4052" s="128"/>
      <c r="BG4052" s="128"/>
      <c r="BH4052" s="128"/>
      <c r="BI4052" s="128"/>
      <c r="BJ4052" s="128"/>
      <c r="BK4052" s="128"/>
      <c r="BL4052" s="128"/>
      <c r="BM4052" s="151"/>
      <c r="BN4052" s="128"/>
      <c r="BO4052" s="128"/>
      <c r="BP4052" s="128"/>
      <c r="BQ4052" s="128"/>
      <c r="BR4052" s="128"/>
      <c r="BS4052" s="128"/>
      <c r="BT4052" s="128"/>
      <c r="BU4052" s="128"/>
      <c r="BV4052" s="128"/>
      <c r="BW4052" s="128"/>
      <c r="BX4052" s="128"/>
      <c r="BY4052" s="128"/>
      <c r="BZ4052" s="128"/>
      <c r="CA4052" s="128"/>
      <c r="CB4052" s="128"/>
      <c r="CC4052" s="128"/>
      <c r="CD4052" s="128"/>
      <c r="CE4052" s="128"/>
      <c r="CF4052" s="128"/>
      <c r="CG4052" s="128"/>
      <c r="CI4052" s="128"/>
      <c r="CJ4052" s="128"/>
      <c r="CK4052" s="128"/>
      <c r="CL4052" s="128"/>
      <c r="CM4052" s="128"/>
      <c r="CN4052" s="128"/>
      <c r="CO4052" s="128"/>
      <c r="CP4052" s="128"/>
      <c r="CQ4052" s="128"/>
      <c r="CR4052" s="128"/>
      <c r="CS4052" s="128"/>
      <c r="CT4052" s="128"/>
      <c r="CU4052" s="128"/>
      <c r="CV4052" s="128"/>
      <c r="CW4052" s="128"/>
      <c r="CX4052" s="128"/>
      <c r="CY4052" s="128"/>
      <c r="CZ4052" s="165"/>
    </row>
    <row r="4053" spans="1:104">
      <c r="A4053" s="149"/>
      <c r="B4053" s="149"/>
      <c r="C4053" s="150"/>
      <c r="D4053" s="102"/>
      <c r="E4053" s="149"/>
      <c r="F4053" s="149"/>
      <c r="G4053" s="149"/>
      <c r="H4053" s="149"/>
      <c r="I4053" s="149"/>
      <c r="J4053" s="149"/>
      <c r="K4053" s="149"/>
      <c r="L4053" s="149"/>
      <c r="M4053" s="149"/>
      <c r="N4053" s="149"/>
      <c r="O4053" s="149"/>
      <c r="P4053" s="149"/>
      <c r="Q4053" s="149"/>
      <c r="R4053" s="149"/>
      <c r="S4053" s="149"/>
      <c r="T4053" s="149"/>
      <c r="U4053" s="149"/>
      <c r="V4053" s="149"/>
      <c r="W4053" s="149"/>
      <c r="X4053" s="149"/>
      <c r="Y4053" s="149"/>
      <c r="Z4053" s="149"/>
      <c r="AA4053" s="149"/>
      <c r="AB4053" s="149"/>
      <c r="AC4053" s="149"/>
      <c r="AD4053" s="149"/>
      <c r="AE4053" s="149"/>
      <c r="AF4053" s="149"/>
      <c r="AG4053" s="149"/>
      <c r="AH4053" s="149"/>
      <c r="AI4053" s="149"/>
      <c r="AJ4053" s="149"/>
      <c r="AK4053" s="149"/>
      <c r="AL4053" s="149"/>
      <c r="AM4053" s="149"/>
      <c r="AN4053" s="149"/>
      <c r="AO4053" s="128"/>
      <c r="AP4053" s="128"/>
      <c r="AQ4053" s="128"/>
      <c r="AR4053" s="128"/>
      <c r="AS4053" s="128"/>
      <c r="AT4053" s="128"/>
      <c r="AU4053" s="128"/>
      <c r="AV4053" s="128"/>
      <c r="AW4053" s="128"/>
      <c r="AX4053" s="128"/>
      <c r="AY4053" s="128"/>
      <c r="AZ4053" s="128"/>
      <c r="BA4053" s="128"/>
      <c r="BB4053" s="128"/>
      <c r="BC4053" s="128"/>
      <c r="BD4053" s="128"/>
      <c r="BE4053" s="128"/>
      <c r="BF4053" s="128"/>
      <c r="BG4053" s="128"/>
      <c r="BH4053" s="128"/>
      <c r="BI4053" s="128"/>
      <c r="BJ4053" s="128"/>
      <c r="BK4053" s="128"/>
      <c r="BL4053" s="128"/>
      <c r="BM4053" s="151"/>
      <c r="BN4053" s="128"/>
      <c r="BO4053" s="128"/>
      <c r="BP4053" s="128"/>
      <c r="BQ4053" s="128"/>
      <c r="BR4053" s="128"/>
      <c r="BS4053" s="128"/>
      <c r="BT4053" s="128"/>
      <c r="BU4053" s="128"/>
      <c r="BV4053" s="128"/>
      <c r="BW4053" s="128"/>
      <c r="BX4053" s="128"/>
      <c r="BY4053" s="128"/>
      <c r="BZ4053" s="128"/>
      <c r="CA4053" s="128"/>
      <c r="CB4053" s="128"/>
      <c r="CC4053" s="128"/>
      <c r="CD4053" s="128"/>
      <c r="CE4053" s="128"/>
      <c r="CF4053" s="128"/>
      <c r="CG4053" s="128"/>
      <c r="CI4053" s="128"/>
      <c r="CJ4053" s="128"/>
      <c r="CK4053" s="128"/>
      <c r="CL4053" s="128"/>
      <c r="CM4053" s="128"/>
      <c r="CN4053" s="128"/>
      <c r="CO4053" s="128"/>
      <c r="CP4053" s="128"/>
      <c r="CQ4053" s="128"/>
      <c r="CR4053" s="128"/>
      <c r="CS4053" s="128"/>
      <c r="CT4053" s="128"/>
      <c r="CU4053" s="128"/>
      <c r="CV4053" s="128"/>
      <c r="CW4053" s="128"/>
      <c r="CX4053" s="128"/>
      <c r="CY4053" s="128"/>
      <c r="CZ4053" s="165"/>
    </row>
    <row r="4054" spans="1:104">
      <c r="A4054" s="149"/>
      <c r="B4054" s="149"/>
      <c r="C4054" s="150"/>
      <c r="D4054" s="102"/>
      <c r="E4054" s="149"/>
      <c r="F4054" s="149"/>
      <c r="G4054" s="149"/>
      <c r="H4054" s="149"/>
      <c r="I4054" s="149"/>
      <c r="J4054" s="149"/>
      <c r="K4054" s="149"/>
      <c r="L4054" s="149"/>
      <c r="M4054" s="149"/>
      <c r="N4054" s="149"/>
      <c r="O4054" s="149"/>
      <c r="P4054" s="149"/>
      <c r="Q4054" s="149"/>
      <c r="R4054" s="149"/>
      <c r="S4054" s="149"/>
      <c r="T4054" s="149"/>
      <c r="U4054" s="149"/>
      <c r="V4054" s="149"/>
      <c r="W4054" s="149"/>
      <c r="X4054" s="149"/>
      <c r="Y4054" s="149"/>
      <c r="Z4054" s="149"/>
      <c r="AA4054" s="149"/>
      <c r="AB4054" s="149"/>
      <c r="AC4054" s="149"/>
      <c r="AD4054" s="149"/>
      <c r="AE4054" s="149"/>
      <c r="AF4054" s="149"/>
      <c r="AG4054" s="149"/>
      <c r="AH4054" s="149"/>
      <c r="AI4054" s="149"/>
      <c r="AJ4054" s="149"/>
      <c r="AK4054" s="149"/>
      <c r="AL4054" s="149"/>
      <c r="AM4054" s="149"/>
      <c r="AN4054" s="149"/>
      <c r="AO4054" s="128"/>
      <c r="AP4054" s="128"/>
      <c r="AQ4054" s="128"/>
      <c r="AR4054" s="128"/>
      <c r="AS4054" s="128"/>
      <c r="AT4054" s="128"/>
      <c r="AU4054" s="128"/>
      <c r="AV4054" s="128"/>
      <c r="AW4054" s="128"/>
      <c r="AX4054" s="128"/>
      <c r="AY4054" s="128"/>
      <c r="AZ4054" s="128"/>
      <c r="BA4054" s="128"/>
      <c r="BB4054" s="128"/>
      <c r="BC4054" s="128"/>
      <c r="BD4054" s="128"/>
      <c r="BE4054" s="128"/>
      <c r="BF4054" s="128"/>
      <c r="BG4054" s="128"/>
      <c r="BH4054" s="128"/>
      <c r="BI4054" s="128"/>
      <c r="BJ4054" s="128"/>
      <c r="BK4054" s="128"/>
      <c r="BL4054" s="128"/>
      <c r="BM4054" s="151"/>
      <c r="BN4054" s="128"/>
      <c r="BO4054" s="128"/>
      <c r="BP4054" s="128"/>
      <c r="BQ4054" s="128"/>
      <c r="BR4054" s="128"/>
      <c r="BS4054" s="128"/>
      <c r="BT4054" s="128"/>
      <c r="BU4054" s="128"/>
      <c r="BV4054" s="128"/>
      <c r="BW4054" s="128"/>
      <c r="BX4054" s="128"/>
      <c r="BY4054" s="128"/>
      <c r="BZ4054" s="128"/>
      <c r="CA4054" s="128"/>
      <c r="CB4054" s="128"/>
      <c r="CC4054" s="128"/>
      <c r="CD4054" s="128"/>
      <c r="CE4054" s="128"/>
      <c r="CF4054" s="128"/>
      <c r="CG4054" s="128"/>
      <c r="CI4054" s="128"/>
      <c r="CJ4054" s="128"/>
      <c r="CK4054" s="128"/>
      <c r="CL4054" s="128"/>
      <c r="CM4054" s="128"/>
      <c r="CN4054" s="128"/>
      <c r="CO4054" s="128"/>
      <c r="CP4054" s="128"/>
      <c r="CQ4054" s="128"/>
      <c r="CR4054" s="128"/>
      <c r="CS4054" s="128"/>
      <c r="CT4054" s="128"/>
      <c r="CU4054" s="128"/>
      <c r="CV4054" s="128"/>
      <c r="CW4054" s="128"/>
      <c r="CX4054" s="128"/>
      <c r="CY4054" s="128"/>
      <c r="CZ4054" s="165"/>
    </row>
    <row r="4055" spans="1:104">
      <c r="A4055" s="149"/>
      <c r="B4055" s="149"/>
      <c r="C4055" s="150"/>
      <c r="D4055" s="102"/>
      <c r="E4055" s="149"/>
      <c r="F4055" s="149"/>
      <c r="G4055" s="149"/>
      <c r="H4055" s="149"/>
      <c r="I4055" s="149"/>
      <c r="J4055" s="149"/>
      <c r="K4055" s="149"/>
      <c r="L4055" s="149"/>
      <c r="M4055" s="149"/>
      <c r="N4055" s="149"/>
      <c r="O4055" s="149"/>
      <c r="P4055" s="149"/>
      <c r="Q4055" s="149"/>
      <c r="R4055" s="149"/>
      <c r="S4055" s="149"/>
      <c r="T4055" s="149"/>
      <c r="U4055" s="149"/>
      <c r="V4055" s="149"/>
      <c r="W4055" s="149"/>
      <c r="X4055" s="149"/>
      <c r="Y4055" s="149"/>
      <c r="Z4055" s="149"/>
      <c r="AA4055" s="149"/>
      <c r="AB4055" s="149"/>
      <c r="AC4055" s="149"/>
      <c r="AD4055" s="149"/>
      <c r="AE4055" s="149"/>
      <c r="AF4055" s="149"/>
      <c r="AG4055" s="149"/>
      <c r="AH4055" s="149"/>
      <c r="AI4055" s="149"/>
      <c r="AJ4055" s="149"/>
      <c r="AK4055" s="149"/>
      <c r="AL4055" s="149"/>
      <c r="AM4055" s="149"/>
      <c r="AN4055" s="149"/>
      <c r="AO4055" s="128"/>
      <c r="AP4055" s="128"/>
      <c r="AQ4055" s="128"/>
      <c r="AR4055" s="128"/>
      <c r="AS4055" s="128"/>
      <c r="AT4055" s="128"/>
      <c r="AU4055" s="128"/>
      <c r="AV4055" s="128"/>
      <c r="AW4055" s="128"/>
      <c r="AX4055" s="128"/>
      <c r="AY4055" s="128"/>
      <c r="AZ4055" s="128"/>
      <c r="BA4055" s="128"/>
      <c r="BB4055" s="128"/>
      <c r="BC4055" s="128"/>
      <c r="BD4055" s="128"/>
      <c r="BE4055" s="128"/>
      <c r="BF4055" s="128"/>
      <c r="BG4055" s="128"/>
      <c r="BH4055" s="128"/>
      <c r="BI4055" s="128"/>
      <c r="BJ4055" s="128"/>
      <c r="BK4055" s="128"/>
      <c r="BL4055" s="128"/>
      <c r="BM4055" s="151"/>
      <c r="BN4055" s="128"/>
      <c r="BO4055" s="128"/>
      <c r="BP4055" s="128"/>
      <c r="BQ4055" s="128"/>
      <c r="BR4055" s="128"/>
      <c r="BS4055" s="128"/>
      <c r="BT4055" s="128"/>
      <c r="BU4055" s="128"/>
      <c r="BV4055" s="128"/>
      <c r="BW4055" s="128"/>
      <c r="BX4055" s="128"/>
      <c r="BY4055" s="128"/>
      <c r="BZ4055" s="128"/>
      <c r="CA4055" s="128"/>
      <c r="CB4055" s="128"/>
      <c r="CC4055" s="128"/>
      <c r="CD4055" s="128"/>
      <c r="CE4055" s="128"/>
      <c r="CF4055" s="128"/>
      <c r="CG4055" s="128"/>
      <c r="CI4055" s="128"/>
      <c r="CJ4055" s="128"/>
      <c r="CK4055" s="128"/>
      <c r="CL4055" s="128"/>
      <c r="CM4055" s="128"/>
      <c r="CN4055" s="128"/>
      <c r="CO4055" s="128"/>
      <c r="CP4055" s="128"/>
      <c r="CQ4055" s="128"/>
      <c r="CR4055" s="128"/>
      <c r="CS4055" s="128"/>
      <c r="CT4055" s="128"/>
      <c r="CU4055" s="128"/>
      <c r="CV4055" s="128"/>
      <c r="CW4055" s="128"/>
      <c r="CX4055" s="128"/>
      <c r="CY4055" s="128"/>
      <c r="CZ4055" s="165"/>
    </row>
    <row r="4056" spans="1:104">
      <c r="A4056" s="149"/>
      <c r="B4056" s="149"/>
      <c r="C4056" s="150"/>
      <c r="D4056" s="102"/>
      <c r="E4056" s="149"/>
      <c r="F4056" s="149"/>
      <c r="G4056" s="149"/>
      <c r="H4056" s="149"/>
      <c r="I4056" s="149"/>
      <c r="J4056" s="149"/>
      <c r="K4056" s="149"/>
      <c r="L4056" s="149"/>
      <c r="M4056" s="149"/>
      <c r="N4056" s="149"/>
      <c r="O4056" s="149"/>
      <c r="P4056" s="149"/>
      <c r="Q4056" s="149"/>
      <c r="R4056" s="149"/>
      <c r="S4056" s="149"/>
      <c r="T4056" s="149"/>
      <c r="U4056" s="149"/>
      <c r="V4056" s="149"/>
      <c r="W4056" s="149"/>
      <c r="X4056" s="149"/>
      <c r="Y4056" s="149"/>
      <c r="Z4056" s="149"/>
      <c r="AA4056" s="149"/>
      <c r="AB4056" s="149"/>
      <c r="AC4056" s="149"/>
      <c r="AD4056" s="149"/>
      <c r="AE4056" s="149"/>
      <c r="AF4056" s="149"/>
      <c r="AG4056" s="149"/>
      <c r="AH4056" s="149"/>
      <c r="AI4056" s="149"/>
      <c r="AJ4056" s="149"/>
      <c r="AK4056" s="149"/>
      <c r="AL4056" s="149"/>
      <c r="AM4056" s="149"/>
      <c r="AN4056" s="149"/>
      <c r="AO4056" s="128"/>
      <c r="AP4056" s="128"/>
      <c r="AQ4056" s="128"/>
      <c r="AR4056" s="128"/>
      <c r="AS4056" s="128"/>
      <c r="AT4056" s="128"/>
      <c r="AU4056" s="128"/>
      <c r="AV4056" s="128"/>
      <c r="AW4056" s="128"/>
      <c r="AX4056" s="128"/>
      <c r="AY4056" s="128"/>
      <c r="AZ4056" s="128"/>
      <c r="BA4056" s="128"/>
      <c r="BB4056" s="128"/>
      <c r="BC4056" s="128"/>
      <c r="BD4056" s="128"/>
      <c r="BE4056" s="128"/>
      <c r="BF4056" s="128"/>
      <c r="BG4056" s="128"/>
      <c r="BH4056" s="128"/>
      <c r="BI4056" s="128"/>
      <c r="BJ4056" s="128"/>
      <c r="BK4056" s="128"/>
      <c r="BL4056" s="128"/>
      <c r="BM4056" s="151"/>
      <c r="BN4056" s="128"/>
      <c r="BO4056" s="128"/>
      <c r="BP4056" s="128"/>
      <c r="BQ4056" s="128"/>
      <c r="BR4056" s="128"/>
      <c r="BS4056" s="128"/>
      <c r="BT4056" s="128"/>
      <c r="BU4056" s="128"/>
      <c r="BV4056" s="128"/>
      <c r="BW4056" s="128"/>
      <c r="BX4056" s="128"/>
      <c r="BY4056" s="128"/>
      <c r="BZ4056" s="128"/>
      <c r="CA4056" s="128"/>
      <c r="CB4056" s="128"/>
      <c r="CC4056" s="128"/>
      <c r="CD4056" s="128"/>
      <c r="CE4056" s="128"/>
      <c r="CF4056" s="128"/>
      <c r="CG4056" s="128"/>
      <c r="CI4056" s="128"/>
      <c r="CJ4056" s="128"/>
      <c r="CK4056" s="128"/>
      <c r="CL4056" s="128"/>
      <c r="CM4056" s="128"/>
      <c r="CN4056" s="128"/>
      <c r="CO4056" s="128"/>
      <c r="CP4056" s="128"/>
      <c r="CQ4056" s="128"/>
      <c r="CR4056" s="128"/>
      <c r="CS4056" s="128"/>
      <c r="CT4056" s="128"/>
      <c r="CU4056" s="128"/>
      <c r="CV4056" s="128"/>
      <c r="CW4056" s="128"/>
      <c r="CX4056" s="128"/>
      <c r="CY4056" s="128"/>
      <c r="CZ4056" s="165"/>
    </row>
    <row r="4057" spans="1:104">
      <c r="A4057" s="149"/>
      <c r="B4057" s="149"/>
      <c r="C4057" s="150"/>
      <c r="D4057" s="102"/>
      <c r="E4057" s="149"/>
      <c r="F4057" s="149"/>
      <c r="G4057" s="149"/>
      <c r="H4057" s="149"/>
      <c r="I4057" s="149"/>
      <c r="J4057" s="149"/>
      <c r="K4057" s="149"/>
      <c r="L4057" s="149"/>
      <c r="M4057" s="149"/>
      <c r="N4057" s="149"/>
      <c r="O4057" s="149"/>
      <c r="P4057" s="149"/>
      <c r="Q4057" s="149"/>
      <c r="R4057" s="149"/>
      <c r="S4057" s="149"/>
      <c r="T4057" s="149"/>
      <c r="U4057" s="149"/>
      <c r="V4057" s="149"/>
      <c r="W4057" s="149"/>
      <c r="X4057" s="149"/>
      <c r="Y4057" s="149"/>
      <c r="Z4057" s="149"/>
      <c r="AA4057" s="149"/>
      <c r="AB4057" s="149"/>
      <c r="AC4057" s="149"/>
      <c r="AD4057" s="149"/>
      <c r="AE4057" s="149"/>
      <c r="AF4057" s="149"/>
      <c r="AG4057" s="149"/>
      <c r="AH4057" s="149"/>
      <c r="AI4057" s="149"/>
      <c r="AJ4057" s="149"/>
      <c r="AK4057" s="149"/>
      <c r="AL4057" s="149"/>
      <c r="AM4057" s="149"/>
      <c r="AN4057" s="149"/>
      <c r="AO4057" s="128"/>
      <c r="AP4057" s="128"/>
      <c r="AQ4057" s="128"/>
      <c r="AR4057" s="128"/>
      <c r="AS4057" s="128"/>
      <c r="AT4057" s="128"/>
      <c r="AU4057" s="128"/>
      <c r="AV4057" s="128"/>
      <c r="AW4057" s="128"/>
      <c r="AX4057" s="128"/>
      <c r="AY4057" s="128"/>
      <c r="AZ4057" s="128"/>
      <c r="BA4057" s="128"/>
      <c r="BB4057" s="128"/>
      <c r="BC4057" s="128"/>
      <c r="BD4057" s="128"/>
      <c r="BE4057" s="128"/>
      <c r="BF4057" s="128"/>
      <c r="BG4057" s="128"/>
      <c r="BH4057" s="128"/>
      <c r="BI4057" s="128"/>
      <c r="BJ4057" s="128"/>
      <c r="BK4057" s="128"/>
      <c r="BL4057" s="128"/>
      <c r="BM4057" s="151"/>
      <c r="BN4057" s="128"/>
      <c r="BO4057" s="128"/>
      <c r="BP4057" s="128"/>
      <c r="BQ4057" s="128"/>
      <c r="BR4057" s="128"/>
      <c r="BS4057" s="128"/>
      <c r="BT4057" s="128"/>
      <c r="BU4057" s="128"/>
      <c r="BV4057" s="128"/>
      <c r="BW4057" s="128"/>
      <c r="BX4057" s="128"/>
      <c r="BY4057" s="128"/>
      <c r="BZ4057" s="128"/>
      <c r="CA4057" s="128"/>
      <c r="CB4057" s="128"/>
      <c r="CC4057" s="128"/>
      <c r="CD4057" s="128"/>
      <c r="CE4057" s="128"/>
      <c r="CF4057" s="128"/>
      <c r="CG4057" s="128"/>
      <c r="CI4057" s="128"/>
      <c r="CJ4057" s="128"/>
      <c r="CK4057" s="128"/>
      <c r="CL4057" s="128"/>
      <c r="CM4057" s="128"/>
      <c r="CN4057" s="128"/>
      <c r="CO4057" s="128"/>
      <c r="CP4057" s="128"/>
      <c r="CQ4057" s="128"/>
      <c r="CR4057" s="128"/>
      <c r="CS4057" s="128"/>
      <c r="CT4057" s="128"/>
      <c r="CU4057" s="128"/>
      <c r="CV4057" s="128"/>
      <c r="CW4057" s="128"/>
      <c r="CX4057" s="128"/>
      <c r="CY4057" s="128"/>
      <c r="CZ4057" s="165"/>
    </row>
    <row r="4058" spans="1:104">
      <c r="A4058" s="149"/>
      <c r="B4058" s="149"/>
      <c r="C4058" s="150"/>
      <c r="D4058" s="102"/>
      <c r="E4058" s="149"/>
      <c r="F4058" s="149"/>
      <c r="G4058" s="149"/>
      <c r="H4058" s="149"/>
      <c r="I4058" s="149"/>
      <c r="J4058" s="149"/>
      <c r="K4058" s="149"/>
      <c r="L4058" s="149"/>
      <c r="M4058" s="149"/>
      <c r="N4058" s="149"/>
      <c r="O4058" s="149"/>
      <c r="P4058" s="149"/>
      <c r="Q4058" s="149"/>
      <c r="R4058" s="149"/>
      <c r="S4058" s="149"/>
      <c r="T4058" s="149"/>
      <c r="U4058" s="149"/>
      <c r="V4058" s="149"/>
      <c r="W4058" s="149"/>
      <c r="X4058" s="149"/>
      <c r="Y4058" s="149"/>
      <c r="Z4058" s="149"/>
      <c r="AA4058" s="149"/>
      <c r="AB4058" s="149"/>
      <c r="AC4058" s="149"/>
      <c r="AD4058" s="149"/>
      <c r="AE4058" s="149"/>
      <c r="AF4058" s="149"/>
      <c r="AG4058" s="149"/>
      <c r="AH4058" s="149"/>
      <c r="AI4058" s="149"/>
      <c r="AJ4058" s="149"/>
      <c r="AK4058" s="149"/>
      <c r="AL4058" s="149"/>
      <c r="AM4058" s="149"/>
      <c r="AN4058" s="149"/>
      <c r="AO4058" s="128"/>
      <c r="AP4058" s="128"/>
      <c r="AQ4058" s="128"/>
      <c r="AR4058" s="128"/>
      <c r="AS4058" s="128"/>
      <c r="AT4058" s="128"/>
      <c r="AU4058" s="128"/>
      <c r="AV4058" s="128"/>
      <c r="AW4058" s="128"/>
      <c r="AX4058" s="128"/>
      <c r="AY4058" s="128"/>
      <c r="AZ4058" s="128"/>
      <c r="BA4058" s="128"/>
      <c r="BB4058" s="128"/>
      <c r="BC4058" s="128"/>
      <c r="BD4058" s="128"/>
      <c r="BE4058" s="128"/>
      <c r="BF4058" s="128"/>
      <c r="BG4058" s="128"/>
      <c r="BH4058" s="128"/>
      <c r="BI4058" s="128"/>
      <c r="BJ4058" s="128"/>
      <c r="BK4058" s="128"/>
      <c r="BL4058" s="128"/>
      <c r="BM4058" s="151"/>
      <c r="BN4058" s="128"/>
      <c r="BO4058" s="128"/>
      <c r="BP4058" s="128"/>
      <c r="BQ4058" s="128"/>
      <c r="BR4058" s="128"/>
      <c r="BS4058" s="128"/>
      <c r="BT4058" s="128"/>
      <c r="BU4058" s="128"/>
      <c r="BV4058" s="128"/>
      <c r="BW4058" s="128"/>
      <c r="BX4058" s="128"/>
      <c r="BY4058" s="128"/>
      <c r="BZ4058" s="128"/>
      <c r="CA4058" s="128"/>
      <c r="CB4058" s="128"/>
      <c r="CC4058" s="128"/>
      <c r="CD4058" s="128"/>
      <c r="CE4058" s="128"/>
      <c r="CF4058" s="128"/>
      <c r="CG4058" s="128"/>
      <c r="CI4058" s="128"/>
      <c r="CJ4058" s="128"/>
      <c r="CK4058" s="128"/>
      <c r="CL4058" s="128"/>
      <c r="CM4058" s="128"/>
      <c r="CN4058" s="128"/>
      <c r="CO4058" s="128"/>
      <c r="CP4058" s="128"/>
      <c r="CQ4058" s="128"/>
      <c r="CR4058" s="128"/>
      <c r="CS4058" s="128"/>
      <c r="CT4058" s="128"/>
      <c r="CU4058" s="128"/>
      <c r="CV4058" s="128"/>
      <c r="CW4058" s="128"/>
      <c r="CX4058" s="128"/>
      <c r="CY4058" s="128"/>
      <c r="CZ4058" s="165"/>
    </row>
    <row r="4059" spans="1:104">
      <c r="A4059" s="149"/>
      <c r="B4059" s="149"/>
      <c r="C4059" s="150"/>
      <c r="D4059" s="102"/>
      <c r="E4059" s="149"/>
      <c r="F4059" s="149"/>
      <c r="G4059" s="149"/>
      <c r="H4059" s="149"/>
      <c r="I4059" s="149"/>
      <c r="J4059" s="149"/>
      <c r="K4059" s="149"/>
      <c r="L4059" s="149"/>
      <c r="M4059" s="149"/>
      <c r="N4059" s="149"/>
      <c r="O4059" s="149"/>
      <c r="P4059" s="149"/>
      <c r="Q4059" s="149"/>
      <c r="R4059" s="149"/>
      <c r="S4059" s="149"/>
      <c r="T4059" s="149"/>
      <c r="U4059" s="149"/>
      <c r="V4059" s="149"/>
      <c r="W4059" s="149"/>
      <c r="X4059" s="149"/>
      <c r="Y4059" s="149"/>
      <c r="Z4059" s="149"/>
      <c r="AA4059" s="149"/>
      <c r="AB4059" s="149"/>
      <c r="AC4059" s="149"/>
      <c r="AD4059" s="149"/>
      <c r="AE4059" s="149"/>
      <c r="AF4059" s="149"/>
      <c r="AG4059" s="149"/>
      <c r="AH4059" s="149"/>
      <c r="AI4059" s="149"/>
      <c r="AJ4059" s="149"/>
      <c r="AK4059" s="149"/>
      <c r="AL4059" s="149"/>
      <c r="AM4059" s="149"/>
      <c r="AN4059" s="149"/>
      <c r="AO4059" s="128"/>
      <c r="AP4059" s="128"/>
      <c r="AQ4059" s="128"/>
      <c r="AR4059" s="128"/>
      <c r="AS4059" s="128"/>
      <c r="AT4059" s="128"/>
      <c r="AU4059" s="128"/>
      <c r="AV4059" s="128"/>
      <c r="AW4059" s="128"/>
      <c r="AX4059" s="128"/>
      <c r="AY4059" s="128"/>
      <c r="AZ4059" s="128"/>
      <c r="BA4059" s="128"/>
      <c r="BB4059" s="128"/>
      <c r="BC4059" s="128"/>
      <c r="BD4059" s="128"/>
      <c r="BE4059" s="128"/>
      <c r="BF4059" s="128"/>
      <c r="BG4059" s="128"/>
      <c r="BH4059" s="128"/>
      <c r="BI4059" s="128"/>
      <c r="BJ4059" s="128"/>
      <c r="BK4059" s="128"/>
      <c r="BL4059" s="128"/>
      <c r="BM4059" s="151"/>
      <c r="BN4059" s="128"/>
      <c r="BO4059" s="128"/>
      <c r="BP4059" s="128"/>
      <c r="BQ4059" s="128"/>
      <c r="BR4059" s="128"/>
      <c r="BS4059" s="128"/>
      <c r="BT4059" s="128"/>
      <c r="BU4059" s="128"/>
      <c r="BV4059" s="128"/>
      <c r="BW4059" s="128"/>
      <c r="BX4059" s="128"/>
      <c r="BY4059" s="128"/>
      <c r="BZ4059" s="128"/>
      <c r="CA4059" s="128"/>
      <c r="CB4059" s="128"/>
      <c r="CC4059" s="128"/>
      <c r="CD4059" s="128"/>
      <c r="CE4059" s="128"/>
      <c r="CF4059" s="128"/>
      <c r="CG4059" s="128"/>
      <c r="CI4059" s="128"/>
      <c r="CJ4059" s="128"/>
      <c r="CK4059" s="128"/>
      <c r="CL4059" s="128"/>
      <c r="CM4059" s="128"/>
      <c r="CN4059" s="128"/>
      <c r="CO4059" s="128"/>
      <c r="CP4059" s="128"/>
      <c r="CQ4059" s="128"/>
      <c r="CR4059" s="128"/>
      <c r="CS4059" s="128"/>
      <c r="CT4059" s="128"/>
      <c r="CU4059" s="128"/>
      <c r="CV4059" s="128"/>
      <c r="CW4059" s="128"/>
      <c r="CX4059" s="128"/>
      <c r="CY4059" s="128"/>
      <c r="CZ4059" s="165"/>
    </row>
    <row r="4060" spans="1:104">
      <c r="A4060" s="149"/>
      <c r="B4060" s="149"/>
      <c r="C4060" s="150"/>
      <c r="D4060" s="102"/>
      <c r="E4060" s="149"/>
      <c r="F4060" s="149"/>
      <c r="G4060" s="149"/>
      <c r="H4060" s="149"/>
      <c r="I4060" s="149"/>
      <c r="J4060" s="149"/>
      <c r="K4060" s="149"/>
      <c r="L4060" s="149"/>
      <c r="M4060" s="149"/>
      <c r="N4060" s="149"/>
      <c r="O4060" s="149"/>
      <c r="P4060" s="149"/>
      <c r="Q4060" s="149"/>
      <c r="R4060" s="149"/>
      <c r="S4060" s="149"/>
      <c r="T4060" s="149"/>
      <c r="U4060" s="149"/>
      <c r="V4060" s="149"/>
      <c r="W4060" s="149"/>
      <c r="X4060" s="149"/>
      <c r="Y4060" s="149"/>
      <c r="Z4060" s="149"/>
      <c r="AA4060" s="149"/>
      <c r="AB4060" s="149"/>
      <c r="AC4060" s="149"/>
      <c r="AD4060" s="149"/>
      <c r="AE4060" s="149"/>
      <c r="AF4060" s="149"/>
      <c r="AG4060" s="149"/>
      <c r="AH4060" s="149"/>
      <c r="AI4060" s="149"/>
      <c r="AJ4060" s="149"/>
      <c r="AK4060" s="149"/>
      <c r="AL4060" s="149"/>
      <c r="AM4060" s="149"/>
      <c r="AN4060" s="149"/>
      <c r="AO4060" s="128"/>
      <c r="AP4060" s="128"/>
      <c r="AQ4060" s="128"/>
      <c r="AR4060" s="128"/>
      <c r="AS4060" s="128"/>
      <c r="AT4060" s="128"/>
      <c r="AU4060" s="128"/>
      <c r="AV4060" s="128"/>
      <c r="AW4060" s="128"/>
      <c r="AX4060" s="128"/>
      <c r="AY4060" s="128"/>
      <c r="AZ4060" s="128"/>
      <c r="BA4060" s="128"/>
      <c r="BB4060" s="128"/>
      <c r="BC4060" s="128"/>
      <c r="BD4060" s="128"/>
      <c r="BE4060" s="128"/>
      <c r="BF4060" s="128"/>
      <c r="BG4060" s="128"/>
      <c r="BH4060" s="128"/>
      <c r="BI4060" s="128"/>
      <c r="BJ4060" s="128"/>
      <c r="BK4060" s="128"/>
      <c r="BL4060" s="128"/>
      <c r="BM4060" s="151"/>
      <c r="BN4060" s="128"/>
      <c r="BO4060" s="128"/>
      <c r="BP4060" s="128"/>
      <c r="BQ4060" s="128"/>
      <c r="BR4060" s="128"/>
      <c r="BS4060" s="128"/>
      <c r="BT4060" s="128"/>
      <c r="BU4060" s="128"/>
      <c r="BV4060" s="128"/>
      <c r="BW4060" s="128"/>
      <c r="BX4060" s="128"/>
      <c r="BY4060" s="128"/>
      <c r="BZ4060" s="128"/>
      <c r="CA4060" s="128"/>
      <c r="CB4060" s="128"/>
      <c r="CC4060" s="128"/>
      <c r="CD4060" s="128"/>
      <c r="CE4060" s="128"/>
      <c r="CF4060" s="128"/>
      <c r="CG4060" s="128"/>
      <c r="CI4060" s="128"/>
      <c r="CJ4060" s="128"/>
      <c r="CK4060" s="128"/>
      <c r="CL4060" s="128"/>
      <c r="CM4060" s="128"/>
      <c r="CN4060" s="128"/>
      <c r="CO4060" s="128"/>
      <c r="CP4060" s="128"/>
      <c r="CQ4060" s="128"/>
      <c r="CR4060" s="128"/>
      <c r="CS4060" s="128"/>
      <c r="CT4060" s="128"/>
      <c r="CU4060" s="128"/>
      <c r="CV4060" s="128"/>
      <c r="CW4060" s="128"/>
      <c r="CX4060" s="128"/>
      <c r="CY4060" s="128"/>
      <c r="CZ4060" s="165"/>
    </row>
    <row r="4061" spans="1:104">
      <c r="A4061" s="149"/>
      <c r="B4061" s="149"/>
      <c r="C4061" s="150"/>
      <c r="D4061" s="102"/>
      <c r="E4061" s="149"/>
      <c r="F4061" s="149"/>
      <c r="G4061" s="149"/>
      <c r="H4061" s="149"/>
      <c r="I4061" s="149"/>
      <c r="J4061" s="149"/>
      <c r="K4061" s="149"/>
      <c r="L4061" s="149"/>
      <c r="M4061" s="149"/>
      <c r="N4061" s="149"/>
      <c r="O4061" s="149"/>
      <c r="P4061" s="149"/>
      <c r="Q4061" s="149"/>
      <c r="R4061" s="149"/>
      <c r="S4061" s="149"/>
      <c r="T4061" s="149"/>
      <c r="U4061" s="149"/>
      <c r="V4061" s="149"/>
      <c r="W4061" s="149"/>
      <c r="X4061" s="149"/>
      <c r="Y4061" s="149"/>
      <c r="Z4061" s="149"/>
      <c r="AA4061" s="149"/>
      <c r="AB4061" s="149"/>
      <c r="AC4061" s="149"/>
      <c r="AD4061" s="149"/>
      <c r="AE4061" s="149"/>
      <c r="AF4061" s="149"/>
      <c r="AG4061" s="149"/>
      <c r="AH4061" s="149"/>
      <c r="AI4061" s="149"/>
      <c r="AJ4061" s="149"/>
      <c r="AK4061" s="149"/>
      <c r="AL4061" s="149"/>
      <c r="AM4061" s="149"/>
      <c r="AN4061" s="149"/>
      <c r="AO4061" s="128"/>
      <c r="AP4061" s="128"/>
      <c r="AQ4061" s="128"/>
      <c r="AR4061" s="128"/>
      <c r="AS4061" s="128"/>
      <c r="AT4061" s="128"/>
      <c r="AU4061" s="128"/>
      <c r="AV4061" s="128"/>
      <c r="AW4061" s="128"/>
      <c r="AX4061" s="128"/>
      <c r="AY4061" s="128"/>
      <c r="AZ4061" s="128"/>
      <c r="BA4061" s="128"/>
      <c r="BB4061" s="128"/>
      <c r="BC4061" s="128"/>
      <c r="BD4061" s="128"/>
      <c r="BE4061" s="128"/>
      <c r="BF4061" s="128"/>
      <c r="BG4061" s="128"/>
      <c r="BH4061" s="128"/>
      <c r="BI4061" s="128"/>
      <c r="BJ4061" s="128"/>
      <c r="BK4061" s="128"/>
      <c r="BL4061" s="128"/>
      <c r="BM4061" s="151"/>
      <c r="BN4061" s="128"/>
      <c r="BO4061" s="128"/>
      <c r="BP4061" s="128"/>
      <c r="BQ4061" s="128"/>
      <c r="BR4061" s="128"/>
      <c r="BS4061" s="128"/>
      <c r="BT4061" s="128"/>
      <c r="BU4061" s="128"/>
      <c r="BV4061" s="128"/>
      <c r="BW4061" s="128"/>
      <c r="BX4061" s="128"/>
      <c r="BY4061" s="128"/>
      <c r="BZ4061" s="128"/>
      <c r="CA4061" s="128"/>
      <c r="CB4061" s="128"/>
      <c r="CC4061" s="128"/>
      <c r="CD4061" s="128"/>
      <c r="CE4061" s="128"/>
      <c r="CF4061" s="128"/>
      <c r="CG4061" s="128"/>
      <c r="CI4061" s="128"/>
      <c r="CJ4061" s="128"/>
      <c r="CK4061" s="128"/>
      <c r="CL4061" s="128"/>
      <c r="CM4061" s="128"/>
      <c r="CN4061" s="128"/>
      <c r="CO4061" s="128"/>
      <c r="CP4061" s="128"/>
      <c r="CQ4061" s="128"/>
      <c r="CR4061" s="128"/>
      <c r="CS4061" s="128"/>
      <c r="CT4061" s="128"/>
      <c r="CU4061" s="128"/>
      <c r="CV4061" s="128"/>
      <c r="CW4061" s="128"/>
      <c r="CX4061" s="128"/>
      <c r="CY4061" s="128"/>
      <c r="CZ4061" s="165"/>
    </row>
    <row r="4062" spans="1:104">
      <c r="A4062" s="149"/>
      <c r="B4062" s="149"/>
      <c r="C4062" s="150"/>
      <c r="D4062" s="102"/>
      <c r="E4062" s="149"/>
      <c r="F4062" s="149"/>
      <c r="G4062" s="149"/>
      <c r="H4062" s="149"/>
      <c r="I4062" s="149"/>
      <c r="J4062" s="149"/>
      <c r="K4062" s="149"/>
      <c r="L4062" s="149"/>
      <c r="M4062" s="149"/>
      <c r="N4062" s="149"/>
      <c r="O4062" s="149"/>
      <c r="P4062" s="149"/>
      <c r="Q4062" s="149"/>
      <c r="R4062" s="149"/>
      <c r="S4062" s="149"/>
      <c r="T4062" s="149"/>
      <c r="U4062" s="149"/>
      <c r="V4062" s="149"/>
      <c r="W4062" s="149"/>
      <c r="X4062" s="149"/>
      <c r="Y4062" s="149"/>
      <c r="Z4062" s="149"/>
      <c r="AA4062" s="149"/>
      <c r="AB4062" s="149"/>
      <c r="AC4062" s="149"/>
      <c r="AD4062" s="149"/>
      <c r="AE4062" s="149"/>
      <c r="AF4062" s="149"/>
      <c r="AG4062" s="149"/>
      <c r="AH4062" s="149"/>
      <c r="AI4062" s="149"/>
      <c r="AJ4062" s="149"/>
      <c r="AK4062" s="149"/>
      <c r="AL4062" s="149"/>
      <c r="AM4062" s="149"/>
      <c r="AN4062" s="149"/>
      <c r="AO4062" s="128"/>
      <c r="AP4062" s="128"/>
      <c r="AQ4062" s="128"/>
      <c r="AR4062" s="128"/>
      <c r="AS4062" s="128"/>
      <c r="AT4062" s="128"/>
      <c r="AU4062" s="128"/>
      <c r="AV4062" s="128"/>
      <c r="AW4062" s="128"/>
      <c r="AX4062" s="128"/>
      <c r="AY4062" s="128"/>
      <c r="AZ4062" s="128"/>
      <c r="BA4062" s="128"/>
      <c r="BB4062" s="128"/>
      <c r="BC4062" s="128"/>
      <c r="BD4062" s="128"/>
      <c r="BE4062" s="128"/>
      <c r="BF4062" s="128"/>
      <c r="BG4062" s="128"/>
      <c r="BH4062" s="128"/>
      <c r="BI4062" s="128"/>
      <c r="BJ4062" s="128"/>
      <c r="BK4062" s="128"/>
      <c r="BL4062" s="128"/>
      <c r="BM4062" s="151"/>
      <c r="BN4062" s="128"/>
      <c r="BO4062" s="128"/>
      <c r="BP4062" s="128"/>
      <c r="BQ4062" s="128"/>
      <c r="BR4062" s="128"/>
      <c r="BS4062" s="128"/>
      <c r="BT4062" s="128"/>
      <c r="BU4062" s="128"/>
      <c r="BV4062" s="128"/>
      <c r="BW4062" s="128"/>
      <c r="BX4062" s="128"/>
      <c r="BY4062" s="128"/>
      <c r="BZ4062" s="128"/>
      <c r="CA4062" s="128"/>
      <c r="CB4062" s="128"/>
      <c r="CC4062" s="128"/>
      <c r="CD4062" s="128"/>
      <c r="CE4062" s="128"/>
      <c r="CF4062" s="128"/>
      <c r="CG4062" s="128"/>
      <c r="CI4062" s="128"/>
      <c r="CJ4062" s="128"/>
      <c r="CK4062" s="128"/>
      <c r="CL4062" s="128"/>
      <c r="CM4062" s="128"/>
      <c r="CN4062" s="128"/>
      <c r="CO4062" s="128"/>
      <c r="CP4062" s="128"/>
      <c r="CQ4062" s="128"/>
      <c r="CR4062" s="128"/>
      <c r="CS4062" s="128"/>
      <c r="CT4062" s="128"/>
      <c r="CU4062" s="128"/>
      <c r="CV4062" s="128"/>
      <c r="CW4062" s="128"/>
      <c r="CX4062" s="128"/>
      <c r="CY4062" s="128"/>
      <c r="CZ4062" s="165"/>
    </row>
    <row r="4063" spans="1:104">
      <c r="A4063" s="149"/>
      <c r="B4063" s="149"/>
      <c r="C4063" s="150"/>
      <c r="D4063" s="102"/>
      <c r="E4063" s="149"/>
      <c r="F4063" s="149"/>
      <c r="G4063" s="149"/>
      <c r="H4063" s="149"/>
      <c r="I4063" s="149"/>
      <c r="J4063" s="149"/>
      <c r="K4063" s="149"/>
      <c r="L4063" s="149"/>
      <c r="M4063" s="149"/>
      <c r="N4063" s="149"/>
      <c r="O4063" s="149"/>
      <c r="P4063" s="149"/>
      <c r="Q4063" s="149"/>
      <c r="R4063" s="149"/>
      <c r="S4063" s="149"/>
      <c r="T4063" s="149"/>
      <c r="U4063" s="149"/>
      <c r="V4063" s="149"/>
      <c r="W4063" s="149"/>
      <c r="X4063" s="149"/>
      <c r="Y4063" s="149"/>
      <c r="Z4063" s="149"/>
      <c r="AA4063" s="149"/>
      <c r="AB4063" s="149"/>
      <c r="AC4063" s="149"/>
      <c r="AD4063" s="149"/>
      <c r="AE4063" s="149"/>
      <c r="AF4063" s="149"/>
      <c r="AG4063" s="149"/>
      <c r="AH4063" s="149"/>
      <c r="AI4063" s="149"/>
      <c r="AJ4063" s="149"/>
      <c r="AK4063" s="149"/>
      <c r="AL4063" s="149"/>
      <c r="AM4063" s="149"/>
      <c r="AN4063" s="149"/>
      <c r="AO4063" s="128"/>
      <c r="AP4063" s="128"/>
      <c r="AQ4063" s="128"/>
      <c r="AR4063" s="128"/>
      <c r="AS4063" s="128"/>
      <c r="AT4063" s="128"/>
      <c r="AU4063" s="128"/>
      <c r="AV4063" s="128"/>
      <c r="AW4063" s="128"/>
      <c r="AX4063" s="128"/>
      <c r="AY4063" s="128"/>
      <c r="AZ4063" s="128"/>
      <c r="BA4063" s="128"/>
      <c r="BB4063" s="128"/>
      <c r="BC4063" s="128"/>
      <c r="BD4063" s="128"/>
      <c r="BE4063" s="128"/>
      <c r="BF4063" s="128"/>
      <c r="BG4063" s="128"/>
      <c r="BH4063" s="128"/>
      <c r="BI4063" s="128"/>
      <c r="BJ4063" s="128"/>
      <c r="BK4063" s="128"/>
      <c r="BL4063" s="128"/>
      <c r="BM4063" s="151"/>
      <c r="BN4063" s="128"/>
      <c r="BO4063" s="128"/>
      <c r="BP4063" s="128"/>
      <c r="BQ4063" s="128"/>
      <c r="BR4063" s="128"/>
      <c r="BS4063" s="128"/>
      <c r="BT4063" s="128"/>
      <c r="BU4063" s="128"/>
      <c r="BV4063" s="128"/>
      <c r="BW4063" s="128"/>
      <c r="BX4063" s="128"/>
      <c r="BY4063" s="128"/>
      <c r="BZ4063" s="128"/>
      <c r="CA4063" s="128"/>
      <c r="CB4063" s="128"/>
      <c r="CC4063" s="128"/>
      <c r="CD4063" s="128"/>
      <c r="CE4063" s="128"/>
      <c r="CF4063" s="128"/>
      <c r="CG4063" s="128"/>
      <c r="CI4063" s="128"/>
      <c r="CJ4063" s="128"/>
      <c r="CK4063" s="128"/>
      <c r="CL4063" s="128"/>
      <c r="CM4063" s="128"/>
      <c r="CN4063" s="128"/>
      <c r="CO4063" s="128"/>
      <c r="CP4063" s="128"/>
      <c r="CQ4063" s="128"/>
      <c r="CR4063" s="128"/>
      <c r="CS4063" s="128"/>
      <c r="CT4063" s="128"/>
      <c r="CU4063" s="128"/>
      <c r="CV4063" s="128"/>
      <c r="CW4063" s="128"/>
      <c r="CX4063" s="128"/>
      <c r="CY4063" s="128"/>
      <c r="CZ4063" s="165"/>
    </row>
    <row r="4064" spans="1:104">
      <c r="A4064" s="149"/>
      <c r="B4064" s="149"/>
      <c r="C4064" s="150"/>
      <c r="D4064" s="102"/>
      <c r="E4064" s="149"/>
      <c r="F4064" s="149"/>
      <c r="G4064" s="149"/>
      <c r="H4064" s="149"/>
      <c r="I4064" s="149"/>
      <c r="J4064" s="149"/>
      <c r="K4064" s="149"/>
      <c r="L4064" s="149"/>
      <c r="M4064" s="149"/>
      <c r="N4064" s="149"/>
      <c r="O4064" s="149"/>
      <c r="P4064" s="149"/>
      <c r="Q4064" s="149"/>
      <c r="R4064" s="149"/>
      <c r="S4064" s="149"/>
      <c r="T4064" s="149"/>
      <c r="U4064" s="149"/>
      <c r="V4064" s="149"/>
      <c r="W4064" s="149"/>
      <c r="X4064" s="149"/>
      <c r="Y4064" s="149"/>
      <c r="Z4064" s="149"/>
      <c r="AA4064" s="149"/>
      <c r="AB4064" s="149"/>
      <c r="AC4064" s="149"/>
      <c r="AD4064" s="149"/>
      <c r="AE4064" s="149"/>
      <c r="AF4064" s="149"/>
      <c r="AG4064" s="149"/>
      <c r="AH4064" s="149"/>
      <c r="AI4064" s="149"/>
      <c r="AJ4064" s="149"/>
      <c r="AK4064" s="149"/>
      <c r="AL4064" s="149"/>
      <c r="AM4064" s="149"/>
      <c r="AN4064" s="149"/>
      <c r="AO4064" s="128"/>
      <c r="AP4064" s="128"/>
      <c r="AQ4064" s="128"/>
      <c r="AR4064" s="128"/>
      <c r="AS4064" s="128"/>
      <c r="AT4064" s="128"/>
      <c r="AU4064" s="128"/>
      <c r="AV4064" s="128"/>
      <c r="AW4064" s="128"/>
      <c r="AX4064" s="128"/>
      <c r="AY4064" s="128"/>
      <c r="AZ4064" s="128"/>
      <c r="BA4064" s="128"/>
      <c r="BB4064" s="128"/>
      <c r="BC4064" s="128"/>
      <c r="BD4064" s="128"/>
      <c r="BE4064" s="128"/>
      <c r="BF4064" s="128"/>
      <c r="BG4064" s="128"/>
      <c r="BH4064" s="128"/>
      <c r="BI4064" s="128"/>
      <c r="BJ4064" s="128"/>
      <c r="BK4064" s="128"/>
      <c r="BL4064" s="128"/>
      <c r="BM4064" s="151"/>
      <c r="BN4064" s="128"/>
      <c r="BO4064" s="128"/>
      <c r="BP4064" s="128"/>
      <c r="BQ4064" s="128"/>
      <c r="BR4064" s="128"/>
      <c r="BS4064" s="128"/>
      <c r="BT4064" s="128"/>
      <c r="BU4064" s="128"/>
      <c r="BV4064" s="128"/>
      <c r="BW4064" s="128"/>
      <c r="BX4064" s="128"/>
      <c r="BY4064" s="128"/>
      <c r="BZ4064" s="128"/>
      <c r="CA4064" s="128"/>
      <c r="CB4064" s="128"/>
      <c r="CC4064" s="128"/>
      <c r="CD4064" s="128"/>
      <c r="CE4064" s="128"/>
      <c r="CF4064" s="128"/>
      <c r="CG4064" s="128"/>
      <c r="CI4064" s="128"/>
      <c r="CJ4064" s="128"/>
      <c r="CK4064" s="128"/>
      <c r="CL4064" s="128"/>
      <c r="CM4064" s="128"/>
      <c r="CN4064" s="128"/>
      <c r="CO4064" s="128"/>
      <c r="CP4064" s="128"/>
      <c r="CQ4064" s="128"/>
      <c r="CR4064" s="128"/>
      <c r="CS4064" s="128"/>
      <c r="CT4064" s="128"/>
      <c r="CU4064" s="128"/>
      <c r="CV4064" s="128"/>
      <c r="CW4064" s="128"/>
      <c r="CX4064" s="128"/>
      <c r="CY4064" s="128"/>
      <c r="CZ4064" s="165"/>
    </row>
    <row r="4065" spans="1:104">
      <c r="A4065" s="149"/>
      <c r="B4065" s="149"/>
      <c r="C4065" s="150"/>
      <c r="D4065" s="102"/>
      <c r="E4065" s="149"/>
      <c r="F4065" s="149"/>
      <c r="G4065" s="149"/>
      <c r="H4065" s="149"/>
      <c r="I4065" s="149"/>
      <c r="J4065" s="149"/>
      <c r="K4065" s="149"/>
      <c r="L4065" s="149"/>
      <c r="M4065" s="149"/>
      <c r="N4065" s="149"/>
      <c r="O4065" s="149"/>
      <c r="P4065" s="149"/>
      <c r="Q4065" s="149"/>
      <c r="R4065" s="149"/>
      <c r="S4065" s="149"/>
      <c r="T4065" s="149"/>
      <c r="U4065" s="149"/>
      <c r="V4065" s="149"/>
      <c r="W4065" s="149"/>
      <c r="X4065" s="149"/>
      <c r="Y4065" s="149"/>
      <c r="Z4065" s="149"/>
      <c r="AA4065" s="149"/>
      <c r="AB4065" s="149"/>
      <c r="AC4065" s="149"/>
      <c r="AD4065" s="149"/>
      <c r="AE4065" s="149"/>
      <c r="AF4065" s="149"/>
      <c r="AG4065" s="149"/>
      <c r="AH4065" s="149"/>
      <c r="AI4065" s="149"/>
      <c r="AJ4065" s="149"/>
      <c r="AK4065" s="149"/>
      <c r="AL4065" s="149"/>
      <c r="AM4065" s="149"/>
      <c r="AN4065" s="149"/>
      <c r="AO4065" s="128"/>
      <c r="AP4065" s="128"/>
      <c r="AQ4065" s="128"/>
      <c r="AR4065" s="128"/>
      <c r="AS4065" s="128"/>
      <c r="AT4065" s="128"/>
      <c r="AU4065" s="128"/>
      <c r="AV4065" s="128"/>
      <c r="AW4065" s="128"/>
      <c r="AX4065" s="128"/>
      <c r="AY4065" s="128"/>
      <c r="AZ4065" s="128"/>
      <c r="BA4065" s="128"/>
      <c r="BB4065" s="128"/>
      <c r="BC4065" s="128"/>
      <c r="BD4065" s="128"/>
      <c r="BE4065" s="128"/>
      <c r="BF4065" s="128"/>
      <c r="BG4065" s="128"/>
      <c r="BH4065" s="128"/>
      <c r="BI4065" s="128"/>
      <c r="BJ4065" s="128"/>
      <c r="BK4065" s="128"/>
      <c r="BL4065" s="128"/>
      <c r="BM4065" s="151"/>
      <c r="BN4065" s="128"/>
      <c r="BO4065" s="128"/>
      <c r="BP4065" s="128"/>
      <c r="BQ4065" s="128"/>
      <c r="BR4065" s="128"/>
      <c r="BS4065" s="128"/>
      <c r="BT4065" s="128"/>
      <c r="BU4065" s="128"/>
      <c r="BV4065" s="128"/>
      <c r="BW4065" s="128"/>
      <c r="BX4065" s="128"/>
      <c r="BY4065" s="128"/>
      <c r="BZ4065" s="128"/>
      <c r="CA4065" s="128"/>
      <c r="CB4065" s="128"/>
      <c r="CC4065" s="128"/>
      <c r="CD4065" s="128"/>
      <c r="CE4065" s="128"/>
      <c r="CF4065" s="128"/>
      <c r="CG4065" s="128"/>
      <c r="CI4065" s="128"/>
      <c r="CJ4065" s="128"/>
      <c r="CK4065" s="128"/>
      <c r="CL4065" s="128"/>
      <c r="CM4065" s="128"/>
      <c r="CN4065" s="128"/>
      <c r="CO4065" s="128"/>
      <c r="CP4065" s="128"/>
      <c r="CQ4065" s="128"/>
      <c r="CR4065" s="128"/>
      <c r="CS4065" s="128"/>
      <c r="CT4065" s="128"/>
      <c r="CU4065" s="128"/>
      <c r="CV4065" s="128"/>
      <c r="CW4065" s="128"/>
      <c r="CX4065" s="128"/>
      <c r="CY4065" s="128"/>
      <c r="CZ4065" s="165"/>
    </row>
    <row r="4066" spans="1:104">
      <c r="A4066" s="149"/>
      <c r="B4066" s="149"/>
      <c r="C4066" s="150"/>
      <c r="D4066" s="102"/>
      <c r="E4066" s="149"/>
      <c r="F4066" s="149"/>
      <c r="G4066" s="149"/>
      <c r="H4066" s="149"/>
      <c r="I4066" s="149"/>
      <c r="J4066" s="149"/>
      <c r="K4066" s="149"/>
      <c r="L4066" s="149"/>
      <c r="M4066" s="149"/>
      <c r="N4066" s="149"/>
      <c r="O4066" s="149"/>
      <c r="P4066" s="149"/>
      <c r="Q4066" s="149"/>
      <c r="R4066" s="149"/>
      <c r="S4066" s="149"/>
      <c r="T4066" s="149"/>
      <c r="U4066" s="149"/>
      <c r="V4066" s="149"/>
      <c r="W4066" s="149"/>
      <c r="X4066" s="149"/>
      <c r="Y4066" s="149"/>
      <c r="Z4066" s="149"/>
      <c r="AA4066" s="149"/>
      <c r="AB4066" s="149"/>
      <c r="AC4066" s="149"/>
      <c r="AD4066" s="149"/>
      <c r="AE4066" s="149"/>
      <c r="AF4066" s="149"/>
      <c r="AG4066" s="149"/>
      <c r="AH4066" s="149"/>
      <c r="AI4066" s="149"/>
      <c r="AJ4066" s="149"/>
      <c r="AK4066" s="149"/>
      <c r="AL4066" s="149"/>
      <c r="AM4066" s="149"/>
      <c r="AN4066" s="149"/>
      <c r="AO4066" s="128"/>
      <c r="AP4066" s="128"/>
      <c r="AQ4066" s="128"/>
      <c r="AR4066" s="128"/>
      <c r="AS4066" s="128"/>
      <c r="AT4066" s="128"/>
      <c r="AU4066" s="128"/>
      <c r="AV4066" s="128"/>
      <c r="AW4066" s="128"/>
      <c r="AX4066" s="128"/>
      <c r="AY4066" s="128"/>
      <c r="AZ4066" s="128"/>
      <c r="BA4066" s="128"/>
      <c r="BB4066" s="128"/>
      <c r="BC4066" s="128"/>
      <c r="BD4066" s="128"/>
      <c r="BE4066" s="128"/>
      <c r="BF4066" s="128"/>
      <c r="BG4066" s="128"/>
      <c r="BH4066" s="128"/>
      <c r="BI4066" s="128"/>
      <c r="BJ4066" s="128"/>
      <c r="BK4066" s="128"/>
      <c r="BL4066" s="128"/>
      <c r="BM4066" s="151"/>
      <c r="BN4066" s="128"/>
      <c r="BO4066" s="128"/>
      <c r="BP4066" s="128"/>
      <c r="BQ4066" s="128"/>
      <c r="BR4066" s="128"/>
      <c r="BS4066" s="128"/>
      <c r="BT4066" s="128"/>
      <c r="BU4066" s="128"/>
      <c r="BV4066" s="128"/>
      <c r="BW4066" s="128"/>
      <c r="BX4066" s="128"/>
      <c r="BY4066" s="128"/>
      <c r="BZ4066" s="128"/>
      <c r="CA4066" s="128"/>
      <c r="CB4066" s="128"/>
      <c r="CC4066" s="128"/>
      <c r="CD4066" s="128"/>
      <c r="CE4066" s="128"/>
      <c r="CF4066" s="128"/>
      <c r="CG4066" s="128"/>
      <c r="CI4066" s="128"/>
      <c r="CJ4066" s="128"/>
      <c r="CK4066" s="128"/>
      <c r="CL4066" s="128"/>
      <c r="CM4066" s="128"/>
      <c r="CN4066" s="128"/>
      <c r="CO4066" s="128"/>
      <c r="CP4066" s="128"/>
      <c r="CQ4066" s="128"/>
      <c r="CR4066" s="128"/>
      <c r="CS4066" s="128"/>
      <c r="CT4066" s="128"/>
      <c r="CU4066" s="128"/>
      <c r="CV4066" s="128"/>
      <c r="CW4066" s="128"/>
      <c r="CX4066" s="128"/>
      <c r="CY4066" s="128"/>
      <c r="CZ4066" s="165"/>
    </row>
    <row r="4067" spans="1:104">
      <c r="A4067" s="149"/>
      <c r="B4067" s="149"/>
      <c r="C4067" s="150"/>
      <c r="D4067" s="102"/>
      <c r="E4067" s="149"/>
      <c r="F4067" s="149"/>
      <c r="G4067" s="149"/>
      <c r="H4067" s="149"/>
      <c r="I4067" s="149"/>
      <c r="J4067" s="149"/>
      <c r="K4067" s="149"/>
      <c r="L4067" s="149"/>
      <c r="M4067" s="149"/>
      <c r="N4067" s="149"/>
      <c r="O4067" s="149"/>
      <c r="P4067" s="149"/>
      <c r="Q4067" s="149"/>
      <c r="R4067" s="149"/>
      <c r="S4067" s="149"/>
      <c r="T4067" s="149"/>
      <c r="U4067" s="149"/>
      <c r="V4067" s="149"/>
      <c r="W4067" s="149"/>
      <c r="X4067" s="149"/>
      <c r="Y4067" s="149"/>
      <c r="Z4067" s="149"/>
      <c r="AA4067" s="149"/>
      <c r="AB4067" s="149"/>
      <c r="AC4067" s="149"/>
      <c r="AD4067" s="149"/>
      <c r="AE4067" s="149"/>
      <c r="AF4067" s="149"/>
      <c r="AG4067" s="149"/>
      <c r="AH4067" s="149"/>
      <c r="AI4067" s="149"/>
      <c r="AJ4067" s="149"/>
      <c r="AK4067" s="149"/>
      <c r="AL4067" s="149"/>
      <c r="AM4067" s="149"/>
      <c r="AN4067" s="149"/>
      <c r="AO4067" s="128"/>
      <c r="AP4067" s="128"/>
      <c r="AQ4067" s="128"/>
      <c r="AR4067" s="128"/>
      <c r="AS4067" s="128"/>
      <c r="AT4067" s="128"/>
      <c r="AU4067" s="128"/>
      <c r="AV4067" s="128"/>
      <c r="AW4067" s="128"/>
      <c r="AX4067" s="128"/>
      <c r="AY4067" s="128"/>
      <c r="AZ4067" s="128"/>
      <c r="BA4067" s="128"/>
      <c r="BB4067" s="128"/>
      <c r="BC4067" s="128"/>
      <c r="BD4067" s="128"/>
      <c r="BE4067" s="128"/>
      <c r="BF4067" s="128"/>
      <c r="BG4067" s="128"/>
      <c r="BH4067" s="128"/>
      <c r="BI4067" s="128"/>
      <c r="BJ4067" s="128"/>
      <c r="BK4067" s="128"/>
      <c r="BL4067" s="128"/>
      <c r="BM4067" s="151"/>
      <c r="BN4067" s="128"/>
      <c r="BO4067" s="128"/>
      <c r="BP4067" s="128"/>
      <c r="BQ4067" s="128"/>
      <c r="BR4067" s="128"/>
      <c r="BS4067" s="128"/>
      <c r="BT4067" s="128"/>
      <c r="BU4067" s="128"/>
      <c r="BV4067" s="128"/>
      <c r="BW4067" s="128"/>
      <c r="BX4067" s="128"/>
      <c r="BY4067" s="128"/>
      <c r="BZ4067" s="128"/>
      <c r="CA4067" s="128"/>
      <c r="CB4067" s="128"/>
      <c r="CC4067" s="128"/>
      <c r="CD4067" s="128"/>
      <c r="CE4067" s="128"/>
      <c r="CF4067" s="128"/>
      <c r="CG4067" s="128"/>
      <c r="CI4067" s="128"/>
      <c r="CJ4067" s="128"/>
      <c r="CK4067" s="128"/>
      <c r="CL4067" s="128"/>
      <c r="CM4067" s="128"/>
      <c r="CN4067" s="128"/>
      <c r="CO4067" s="128"/>
      <c r="CP4067" s="128"/>
      <c r="CQ4067" s="128"/>
      <c r="CR4067" s="128"/>
      <c r="CS4067" s="128"/>
      <c r="CT4067" s="128"/>
      <c r="CU4067" s="128"/>
      <c r="CV4067" s="128"/>
      <c r="CW4067" s="128"/>
      <c r="CX4067" s="128"/>
      <c r="CY4067" s="128"/>
      <c r="CZ4067" s="165"/>
    </row>
    <row r="4068" spans="1:104">
      <c r="A4068" s="149"/>
      <c r="B4068" s="149"/>
      <c r="C4068" s="150"/>
      <c r="D4068" s="102"/>
      <c r="E4068" s="149"/>
      <c r="F4068" s="149"/>
      <c r="G4068" s="149"/>
      <c r="H4068" s="149"/>
      <c r="I4068" s="149"/>
      <c r="J4068" s="149"/>
      <c r="K4068" s="149"/>
      <c r="L4068" s="149"/>
      <c r="M4068" s="149"/>
      <c r="N4068" s="149"/>
      <c r="O4068" s="149"/>
      <c r="P4068" s="149"/>
      <c r="Q4068" s="149"/>
      <c r="R4068" s="149"/>
      <c r="S4068" s="149"/>
      <c r="T4068" s="149"/>
      <c r="U4068" s="149"/>
      <c r="V4068" s="149"/>
      <c r="W4068" s="149"/>
      <c r="X4068" s="149"/>
      <c r="Y4068" s="149"/>
      <c r="Z4068" s="149"/>
      <c r="AA4068" s="149"/>
      <c r="AB4068" s="149"/>
      <c r="AC4068" s="149"/>
      <c r="AD4068" s="149"/>
      <c r="AE4068" s="149"/>
      <c r="AF4068" s="149"/>
      <c r="AG4068" s="149"/>
      <c r="AH4068" s="149"/>
      <c r="AI4068" s="149"/>
      <c r="AJ4068" s="149"/>
      <c r="AK4068" s="149"/>
      <c r="AL4068" s="149"/>
      <c r="AM4068" s="149"/>
      <c r="AN4068" s="149"/>
      <c r="AO4068" s="128"/>
      <c r="AP4068" s="128"/>
      <c r="AQ4068" s="128"/>
      <c r="AR4068" s="128"/>
      <c r="AS4068" s="128"/>
      <c r="AT4068" s="128"/>
      <c r="AU4068" s="128"/>
      <c r="AV4068" s="128"/>
      <c r="AW4068" s="128"/>
      <c r="AX4068" s="128"/>
      <c r="AY4068" s="128"/>
      <c r="AZ4068" s="128"/>
      <c r="BA4068" s="128"/>
      <c r="BB4068" s="128"/>
      <c r="BC4068" s="128"/>
      <c r="BD4068" s="128"/>
      <c r="BE4068" s="128"/>
      <c r="BF4068" s="128"/>
      <c r="BG4068" s="128"/>
      <c r="BH4068" s="128"/>
      <c r="BI4068" s="128"/>
      <c r="BJ4068" s="128"/>
      <c r="BK4068" s="128"/>
      <c r="BL4068" s="128"/>
      <c r="BM4068" s="151"/>
      <c r="BN4068" s="128"/>
      <c r="BO4068" s="128"/>
      <c r="BP4068" s="128"/>
      <c r="BQ4068" s="128"/>
      <c r="BR4068" s="128"/>
      <c r="BS4068" s="128"/>
      <c r="BT4068" s="128"/>
      <c r="BU4068" s="128"/>
      <c r="BV4068" s="128"/>
      <c r="BW4068" s="128"/>
      <c r="BX4068" s="128"/>
      <c r="BY4068" s="128"/>
      <c r="BZ4068" s="128"/>
      <c r="CA4068" s="128"/>
      <c r="CB4068" s="128"/>
      <c r="CC4068" s="128"/>
      <c r="CD4068" s="128"/>
      <c r="CE4068" s="128"/>
      <c r="CF4068" s="128"/>
      <c r="CG4068" s="128"/>
      <c r="CI4068" s="128"/>
      <c r="CJ4068" s="128"/>
      <c r="CK4068" s="128"/>
      <c r="CL4068" s="128"/>
      <c r="CM4068" s="128"/>
      <c r="CN4068" s="128"/>
      <c r="CO4068" s="128"/>
      <c r="CP4068" s="128"/>
      <c r="CQ4068" s="128"/>
      <c r="CR4068" s="128"/>
      <c r="CS4068" s="128"/>
      <c r="CT4068" s="128"/>
      <c r="CU4068" s="128"/>
      <c r="CV4068" s="128"/>
      <c r="CW4068" s="128"/>
      <c r="CX4068" s="128"/>
      <c r="CY4068" s="128"/>
      <c r="CZ4068" s="165"/>
    </row>
    <row r="4069" spans="1:104">
      <c r="A4069" s="149"/>
      <c r="B4069" s="149"/>
      <c r="C4069" s="150"/>
      <c r="D4069" s="102"/>
      <c r="E4069" s="149"/>
      <c r="F4069" s="149"/>
      <c r="G4069" s="149"/>
      <c r="H4069" s="149"/>
      <c r="I4069" s="149"/>
      <c r="J4069" s="149"/>
      <c r="K4069" s="149"/>
      <c r="L4069" s="149"/>
      <c r="M4069" s="149"/>
      <c r="N4069" s="149"/>
      <c r="O4069" s="149"/>
      <c r="P4069" s="149"/>
      <c r="Q4069" s="149"/>
      <c r="R4069" s="149"/>
      <c r="S4069" s="149"/>
      <c r="T4069" s="149"/>
      <c r="U4069" s="149"/>
      <c r="V4069" s="149"/>
      <c r="W4069" s="149"/>
      <c r="X4069" s="149"/>
      <c r="Y4069" s="149"/>
      <c r="Z4069" s="149"/>
      <c r="AA4069" s="149"/>
      <c r="AB4069" s="149"/>
      <c r="AC4069" s="149"/>
      <c r="AD4069" s="149"/>
      <c r="AE4069" s="149"/>
      <c r="AF4069" s="149"/>
      <c r="AG4069" s="149"/>
      <c r="AH4069" s="149"/>
      <c r="AI4069" s="149"/>
      <c r="AJ4069" s="149"/>
      <c r="AK4069" s="149"/>
      <c r="AL4069" s="149"/>
      <c r="AM4069" s="149"/>
      <c r="AN4069" s="149"/>
      <c r="AO4069" s="128"/>
      <c r="AP4069" s="128"/>
      <c r="AQ4069" s="128"/>
      <c r="AR4069" s="128"/>
      <c r="AS4069" s="128"/>
      <c r="AT4069" s="128"/>
      <c r="AU4069" s="128"/>
      <c r="AV4069" s="128"/>
      <c r="AW4069" s="128"/>
      <c r="AX4069" s="128"/>
      <c r="AY4069" s="128"/>
      <c r="AZ4069" s="128"/>
      <c r="BA4069" s="128"/>
      <c r="BB4069" s="128"/>
      <c r="BC4069" s="128"/>
      <c r="BD4069" s="128"/>
      <c r="BE4069" s="128"/>
      <c r="BF4069" s="128"/>
      <c r="BG4069" s="128"/>
      <c r="BH4069" s="128"/>
      <c r="BI4069" s="128"/>
      <c r="BJ4069" s="128"/>
      <c r="BK4069" s="128"/>
      <c r="BL4069" s="128"/>
      <c r="BM4069" s="151"/>
      <c r="BN4069" s="128"/>
      <c r="BO4069" s="128"/>
      <c r="BP4069" s="128"/>
      <c r="BQ4069" s="128"/>
      <c r="BR4069" s="128"/>
      <c r="BS4069" s="128"/>
      <c r="BT4069" s="128"/>
      <c r="BU4069" s="128"/>
      <c r="BV4069" s="128"/>
      <c r="BW4069" s="128"/>
      <c r="BX4069" s="128"/>
      <c r="BY4069" s="128"/>
      <c r="BZ4069" s="128"/>
      <c r="CA4069" s="128"/>
      <c r="CB4069" s="128"/>
      <c r="CC4069" s="128"/>
      <c r="CD4069" s="128"/>
      <c r="CE4069" s="128"/>
      <c r="CF4069" s="128"/>
      <c r="CG4069" s="128"/>
      <c r="CI4069" s="128"/>
      <c r="CJ4069" s="128"/>
      <c r="CK4069" s="128"/>
      <c r="CL4069" s="128"/>
      <c r="CM4069" s="128"/>
      <c r="CN4069" s="128"/>
      <c r="CO4069" s="128"/>
      <c r="CP4069" s="128"/>
      <c r="CQ4069" s="128"/>
      <c r="CR4069" s="128"/>
      <c r="CS4069" s="128"/>
      <c r="CT4069" s="128"/>
      <c r="CU4069" s="128"/>
      <c r="CV4069" s="128"/>
      <c r="CW4069" s="128"/>
      <c r="CX4069" s="128"/>
      <c r="CY4069" s="128"/>
      <c r="CZ4069" s="165"/>
    </row>
    <row r="4070" spans="1:104">
      <c r="A4070" s="149"/>
      <c r="B4070" s="149"/>
      <c r="C4070" s="150"/>
      <c r="D4070" s="102"/>
      <c r="E4070" s="149"/>
      <c r="F4070" s="149"/>
      <c r="G4070" s="149"/>
      <c r="H4070" s="149"/>
      <c r="I4070" s="149"/>
      <c r="J4070" s="149"/>
      <c r="K4070" s="149"/>
      <c r="L4070" s="149"/>
      <c r="M4070" s="149"/>
      <c r="N4070" s="149"/>
      <c r="O4070" s="149"/>
      <c r="P4070" s="149"/>
      <c r="Q4070" s="149"/>
      <c r="R4070" s="149"/>
      <c r="S4070" s="149"/>
      <c r="T4070" s="149"/>
      <c r="U4070" s="149"/>
      <c r="V4070" s="149"/>
      <c r="W4070" s="149"/>
      <c r="X4070" s="149"/>
      <c r="Y4070" s="149"/>
      <c r="Z4070" s="149"/>
      <c r="AA4070" s="149"/>
      <c r="AB4070" s="149"/>
      <c r="AC4070" s="149"/>
      <c r="AD4070" s="149"/>
      <c r="AE4070" s="149"/>
      <c r="AF4070" s="149"/>
      <c r="AG4070" s="149"/>
      <c r="AH4070" s="149"/>
      <c r="AI4070" s="149"/>
      <c r="AJ4070" s="149"/>
      <c r="AK4070" s="149"/>
      <c r="AL4070" s="149"/>
      <c r="AM4070" s="149"/>
      <c r="AN4070" s="149"/>
      <c r="AO4070" s="128"/>
      <c r="AP4070" s="128"/>
      <c r="AQ4070" s="128"/>
      <c r="AR4070" s="128"/>
      <c r="AS4070" s="128"/>
      <c r="AT4070" s="128"/>
      <c r="AU4070" s="128"/>
      <c r="AV4070" s="128"/>
      <c r="AW4070" s="128"/>
      <c r="AX4070" s="128"/>
      <c r="AY4070" s="128"/>
      <c r="AZ4070" s="128"/>
      <c r="BA4070" s="128"/>
      <c r="BB4070" s="128"/>
      <c r="BC4070" s="128"/>
      <c r="BD4070" s="128"/>
      <c r="BE4070" s="128"/>
      <c r="BF4070" s="128"/>
      <c r="BG4070" s="128"/>
      <c r="BH4070" s="128"/>
      <c r="BI4070" s="128"/>
      <c r="BJ4070" s="128"/>
      <c r="BK4070" s="128"/>
      <c r="BL4070" s="128"/>
      <c r="BM4070" s="151"/>
      <c r="BN4070" s="128"/>
      <c r="BO4070" s="128"/>
      <c r="BP4070" s="128"/>
      <c r="BQ4070" s="128"/>
      <c r="BR4070" s="128"/>
      <c r="BS4070" s="128"/>
      <c r="BT4070" s="128"/>
      <c r="BU4070" s="128"/>
      <c r="BV4070" s="128"/>
      <c r="BW4070" s="128"/>
      <c r="BX4070" s="128"/>
      <c r="BY4070" s="128"/>
      <c r="BZ4070" s="128"/>
      <c r="CA4070" s="128"/>
      <c r="CB4070" s="128"/>
      <c r="CC4070" s="128"/>
      <c r="CD4070" s="128"/>
      <c r="CE4070" s="128"/>
      <c r="CF4070" s="128"/>
      <c r="CG4070" s="128"/>
      <c r="CI4070" s="128"/>
      <c r="CJ4070" s="128"/>
      <c r="CK4070" s="128"/>
      <c r="CL4070" s="128"/>
      <c r="CM4070" s="128"/>
      <c r="CN4070" s="128"/>
      <c r="CO4070" s="128"/>
      <c r="CP4070" s="128"/>
      <c r="CQ4070" s="128"/>
      <c r="CR4070" s="128"/>
      <c r="CS4070" s="128"/>
      <c r="CT4070" s="128"/>
      <c r="CU4070" s="128"/>
      <c r="CV4070" s="128"/>
      <c r="CW4070" s="128"/>
      <c r="CX4070" s="128"/>
      <c r="CY4070" s="128"/>
      <c r="CZ4070" s="165"/>
    </row>
    <row r="4071" spans="1:104">
      <c r="A4071" s="149"/>
      <c r="B4071" s="149"/>
      <c r="C4071" s="150"/>
      <c r="D4071" s="102"/>
      <c r="E4071" s="149"/>
      <c r="F4071" s="149"/>
      <c r="G4071" s="149"/>
      <c r="H4071" s="149"/>
      <c r="I4071" s="149"/>
      <c r="J4071" s="149"/>
      <c r="K4071" s="149"/>
      <c r="L4071" s="149"/>
      <c r="M4071" s="149"/>
      <c r="N4071" s="149"/>
      <c r="O4071" s="149"/>
      <c r="P4071" s="149"/>
      <c r="Q4071" s="149"/>
      <c r="R4071" s="149"/>
      <c r="S4071" s="149"/>
      <c r="T4071" s="149"/>
      <c r="U4071" s="149"/>
      <c r="V4071" s="149"/>
      <c r="W4071" s="149"/>
      <c r="X4071" s="149"/>
      <c r="Y4071" s="149"/>
      <c r="Z4071" s="149"/>
      <c r="AA4071" s="149"/>
      <c r="AB4071" s="149"/>
      <c r="AC4071" s="149"/>
      <c r="AD4071" s="149"/>
      <c r="AE4071" s="149"/>
      <c r="AF4071" s="149"/>
      <c r="AG4071" s="149"/>
      <c r="AH4071" s="149"/>
      <c r="AI4071" s="149"/>
      <c r="AJ4071" s="149"/>
      <c r="AK4071" s="149"/>
      <c r="AL4071" s="149"/>
      <c r="AM4071" s="149"/>
      <c r="AN4071" s="149"/>
      <c r="AO4071" s="128"/>
      <c r="AP4071" s="128"/>
      <c r="AQ4071" s="128"/>
      <c r="AR4071" s="128"/>
      <c r="AS4071" s="128"/>
      <c r="AT4071" s="128"/>
      <c r="AU4071" s="128"/>
      <c r="AV4071" s="128"/>
      <c r="AW4071" s="128"/>
      <c r="AX4071" s="128"/>
      <c r="AY4071" s="128"/>
      <c r="AZ4071" s="128"/>
      <c r="BA4071" s="128"/>
      <c r="BB4071" s="128"/>
      <c r="BC4071" s="128"/>
      <c r="BD4071" s="128"/>
      <c r="BE4071" s="128"/>
      <c r="BF4071" s="128"/>
      <c r="BG4071" s="128"/>
      <c r="BH4071" s="128"/>
      <c r="BI4071" s="128"/>
      <c r="BJ4071" s="128"/>
      <c r="BK4071" s="128"/>
      <c r="BL4071" s="128"/>
      <c r="BM4071" s="151"/>
      <c r="BN4071" s="128"/>
      <c r="BO4071" s="128"/>
      <c r="BP4071" s="128"/>
      <c r="BQ4071" s="128"/>
      <c r="BR4071" s="128"/>
      <c r="BS4071" s="128"/>
      <c r="BT4071" s="128"/>
      <c r="BU4071" s="128"/>
      <c r="BV4071" s="128"/>
      <c r="BW4071" s="128"/>
      <c r="BX4071" s="128"/>
      <c r="BY4071" s="128"/>
      <c r="BZ4071" s="128"/>
      <c r="CA4071" s="128"/>
      <c r="CB4071" s="128"/>
      <c r="CC4071" s="128"/>
      <c r="CD4071" s="128"/>
      <c r="CE4071" s="128"/>
      <c r="CF4071" s="128"/>
      <c r="CG4071" s="128"/>
      <c r="CI4071" s="128"/>
      <c r="CJ4071" s="128"/>
      <c r="CK4071" s="128"/>
      <c r="CL4071" s="128"/>
      <c r="CM4071" s="128"/>
      <c r="CN4071" s="128"/>
      <c r="CO4071" s="128"/>
      <c r="CP4071" s="128"/>
      <c r="CQ4071" s="128"/>
      <c r="CR4071" s="128"/>
      <c r="CS4071" s="128"/>
      <c r="CT4071" s="128"/>
      <c r="CU4071" s="128"/>
      <c r="CV4071" s="128"/>
      <c r="CW4071" s="128"/>
      <c r="CX4071" s="128"/>
      <c r="CY4071" s="128"/>
      <c r="CZ4071" s="165"/>
    </row>
    <row r="4072" spans="1:104">
      <c r="A4072" s="149"/>
      <c r="B4072" s="149"/>
      <c r="C4072" s="150"/>
      <c r="D4072" s="102"/>
      <c r="E4072" s="149"/>
      <c r="F4072" s="149"/>
      <c r="G4072" s="149"/>
      <c r="H4072" s="149"/>
      <c r="I4072" s="149"/>
      <c r="J4072" s="149"/>
      <c r="K4072" s="149"/>
      <c r="L4072" s="149"/>
      <c r="M4072" s="149"/>
      <c r="N4072" s="149"/>
      <c r="O4072" s="149"/>
      <c r="P4072" s="149"/>
      <c r="Q4072" s="149"/>
      <c r="R4072" s="149"/>
      <c r="S4072" s="149"/>
      <c r="T4072" s="149"/>
      <c r="U4072" s="149"/>
      <c r="V4072" s="149"/>
      <c r="W4072" s="149"/>
      <c r="X4072" s="149"/>
      <c r="Y4072" s="149"/>
      <c r="Z4072" s="149"/>
      <c r="AA4072" s="149"/>
      <c r="AB4072" s="149"/>
      <c r="AC4072" s="149"/>
      <c r="AD4072" s="149"/>
      <c r="AE4072" s="149"/>
      <c r="AF4072" s="149"/>
      <c r="AG4072" s="149"/>
      <c r="AH4072" s="149"/>
      <c r="AI4072" s="149"/>
      <c r="AJ4072" s="149"/>
      <c r="AK4072" s="149"/>
      <c r="AL4072" s="149"/>
      <c r="AM4072" s="149"/>
      <c r="AN4072" s="149"/>
      <c r="AO4072" s="128"/>
      <c r="AP4072" s="128"/>
      <c r="AQ4072" s="128"/>
      <c r="AR4072" s="128"/>
      <c r="AS4072" s="128"/>
      <c r="AT4072" s="128"/>
      <c r="AU4072" s="128"/>
      <c r="AV4072" s="128"/>
      <c r="AW4072" s="128"/>
      <c r="AX4072" s="128"/>
      <c r="AY4072" s="128"/>
      <c r="AZ4072" s="128"/>
      <c r="BA4072" s="128"/>
      <c r="BB4072" s="128"/>
      <c r="BC4072" s="128"/>
      <c r="BD4072" s="128"/>
      <c r="BE4072" s="128"/>
      <c r="BF4072" s="128"/>
      <c r="BG4072" s="128"/>
      <c r="BH4072" s="128"/>
      <c r="BI4072" s="128"/>
      <c r="BJ4072" s="128"/>
      <c r="BK4072" s="128"/>
      <c r="BL4072" s="128"/>
      <c r="BM4072" s="151"/>
      <c r="BN4072" s="128"/>
      <c r="BO4072" s="128"/>
      <c r="BP4072" s="128"/>
      <c r="BQ4072" s="128"/>
      <c r="BR4072" s="128"/>
      <c r="BS4072" s="128"/>
      <c r="BT4072" s="128"/>
      <c r="BU4072" s="128"/>
      <c r="BV4072" s="128"/>
      <c r="BW4072" s="128"/>
      <c r="BX4072" s="128"/>
      <c r="BY4072" s="128"/>
      <c r="BZ4072" s="128"/>
      <c r="CA4072" s="128"/>
      <c r="CB4072" s="128"/>
      <c r="CC4072" s="128"/>
      <c r="CD4072" s="128"/>
      <c r="CE4072" s="128"/>
      <c r="CF4072" s="128"/>
      <c r="CG4072" s="128"/>
      <c r="CI4072" s="128"/>
      <c r="CJ4072" s="128"/>
      <c r="CK4072" s="128"/>
      <c r="CL4072" s="128"/>
      <c r="CM4072" s="128"/>
      <c r="CN4072" s="128"/>
      <c r="CO4072" s="128"/>
      <c r="CP4072" s="128"/>
      <c r="CQ4072" s="128"/>
      <c r="CR4072" s="128"/>
      <c r="CS4072" s="128"/>
      <c r="CT4072" s="128"/>
      <c r="CU4072" s="128"/>
      <c r="CV4072" s="128"/>
      <c r="CW4072" s="128"/>
      <c r="CX4072" s="128"/>
      <c r="CY4072" s="128"/>
      <c r="CZ4072" s="165"/>
    </row>
    <row r="4073" spans="1:104">
      <c r="A4073" s="149"/>
      <c r="B4073" s="149"/>
      <c r="C4073" s="150"/>
      <c r="D4073" s="102"/>
      <c r="E4073" s="149"/>
      <c r="F4073" s="149"/>
      <c r="G4073" s="149"/>
      <c r="H4073" s="149"/>
      <c r="I4073" s="149"/>
      <c r="J4073" s="149"/>
      <c r="K4073" s="149"/>
      <c r="L4073" s="149"/>
      <c r="M4073" s="149"/>
      <c r="N4073" s="149"/>
      <c r="O4073" s="149"/>
      <c r="P4073" s="149"/>
      <c r="Q4073" s="149"/>
      <c r="R4073" s="149"/>
      <c r="S4073" s="149"/>
      <c r="T4073" s="149"/>
      <c r="U4073" s="149"/>
      <c r="V4073" s="149"/>
      <c r="W4073" s="149"/>
      <c r="X4073" s="149"/>
      <c r="Y4073" s="149"/>
      <c r="Z4073" s="149"/>
      <c r="AA4073" s="149"/>
      <c r="AB4073" s="149"/>
      <c r="AC4073" s="149"/>
      <c r="AD4073" s="149"/>
      <c r="AE4073" s="149"/>
      <c r="AF4073" s="149"/>
      <c r="AG4073" s="149"/>
      <c r="AH4073" s="149"/>
      <c r="AI4073" s="149"/>
      <c r="AJ4073" s="149"/>
      <c r="AK4073" s="149"/>
      <c r="AL4073" s="149"/>
      <c r="AM4073" s="149"/>
      <c r="AN4073" s="149"/>
      <c r="AO4073" s="128"/>
      <c r="AP4073" s="128"/>
      <c r="AQ4073" s="128"/>
      <c r="AR4073" s="128"/>
      <c r="AS4073" s="128"/>
      <c r="AT4073" s="128"/>
      <c r="AU4073" s="128"/>
      <c r="AV4073" s="128"/>
      <c r="AW4073" s="128"/>
      <c r="AX4073" s="128"/>
      <c r="AY4073" s="128"/>
      <c r="AZ4073" s="128"/>
      <c r="BA4073" s="128"/>
      <c r="BB4073" s="128"/>
      <c r="BC4073" s="128"/>
      <c r="BD4073" s="128"/>
      <c r="BE4073" s="128"/>
      <c r="BF4073" s="128"/>
      <c r="BG4073" s="128"/>
      <c r="BH4073" s="128"/>
      <c r="BI4073" s="128"/>
      <c r="BJ4073" s="128"/>
      <c r="BK4073" s="128"/>
      <c r="BL4073" s="128"/>
      <c r="BM4073" s="151"/>
      <c r="BN4073" s="128"/>
      <c r="BO4073" s="128"/>
      <c r="BP4073" s="128"/>
      <c r="BQ4073" s="128"/>
      <c r="BR4073" s="128"/>
      <c r="BS4073" s="128"/>
      <c r="BT4073" s="128"/>
      <c r="BU4073" s="128"/>
      <c r="BV4073" s="128"/>
      <c r="BW4073" s="128"/>
      <c r="BX4073" s="128"/>
      <c r="BY4073" s="128"/>
      <c r="BZ4073" s="128"/>
      <c r="CA4073" s="128"/>
      <c r="CB4073" s="128"/>
      <c r="CC4073" s="128"/>
      <c r="CD4073" s="128"/>
      <c r="CE4073" s="128"/>
      <c r="CF4073" s="128"/>
      <c r="CG4073" s="128"/>
      <c r="CI4073" s="128"/>
      <c r="CJ4073" s="128"/>
      <c r="CK4073" s="128"/>
      <c r="CL4073" s="128"/>
      <c r="CM4073" s="128"/>
      <c r="CN4073" s="128"/>
      <c r="CO4073" s="128"/>
      <c r="CP4073" s="128"/>
      <c r="CQ4073" s="128"/>
      <c r="CR4073" s="128"/>
      <c r="CS4073" s="128"/>
      <c r="CT4073" s="128"/>
      <c r="CU4073" s="128"/>
      <c r="CV4073" s="128"/>
      <c r="CW4073" s="128"/>
      <c r="CX4073" s="128"/>
      <c r="CY4073" s="128"/>
      <c r="CZ4073" s="165"/>
    </row>
    <row r="4074" spans="1:104">
      <c r="A4074" s="149"/>
      <c r="B4074" s="149"/>
      <c r="C4074" s="150"/>
      <c r="D4074" s="102"/>
      <c r="E4074" s="149"/>
      <c r="F4074" s="149"/>
      <c r="G4074" s="149"/>
      <c r="H4074" s="149"/>
      <c r="I4074" s="149"/>
      <c r="J4074" s="149"/>
      <c r="K4074" s="149"/>
      <c r="L4074" s="149"/>
      <c r="M4074" s="149"/>
      <c r="N4074" s="149"/>
      <c r="O4074" s="149"/>
      <c r="P4074" s="149"/>
      <c r="Q4074" s="149"/>
      <c r="R4074" s="149"/>
      <c r="S4074" s="149"/>
      <c r="T4074" s="149"/>
      <c r="U4074" s="149"/>
      <c r="V4074" s="149"/>
      <c r="W4074" s="149"/>
      <c r="X4074" s="149"/>
      <c r="Y4074" s="149"/>
      <c r="Z4074" s="149"/>
      <c r="AA4074" s="149"/>
      <c r="AB4074" s="149"/>
      <c r="AC4074" s="149"/>
      <c r="AD4074" s="149"/>
      <c r="AE4074" s="149"/>
      <c r="AF4074" s="149"/>
      <c r="AG4074" s="149"/>
      <c r="AH4074" s="149"/>
      <c r="AI4074" s="149"/>
      <c r="AJ4074" s="149"/>
      <c r="AK4074" s="149"/>
      <c r="AL4074" s="149"/>
      <c r="AM4074" s="149"/>
      <c r="AN4074" s="149"/>
      <c r="AO4074" s="128"/>
      <c r="AP4074" s="128"/>
      <c r="AQ4074" s="128"/>
      <c r="AR4074" s="128"/>
      <c r="AS4074" s="128"/>
      <c r="AT4074" s="128"/>
      <c r="AU4074" s="128"/>
      <c r="AV4074" s="128"/>
      <c r="AW4074" s="128"/>
      <c r="AX4074" s="128"/>
      <c r="AY4074" s="128"/>
      <c r="AZ4074" s="128"/>
      <c r="BA4074" s="128"/>
      <c r="BB4074" s="128"/>
      <c r="BC4074" s="128"/>
      <c r="BD4074" s="128"/>
      <c r="BE4074" s="128"/>
      <c r="BF4074" s="128"/>
      <c r="BG4074" s="128"/>
      <c r="BH4074" s="128"/>
      <c r="BI4074" s="128"/>
      <c r="BJ4074" s="128"/>
      <c r="BK4074" s="128"/>
      <c r="BL4074" s="128"/>
      <c r="BM4074" s="151"/>
      <c r="BN4074" s="128"/>
      <c r="BO4074" s="128"/>
      <c r="BP4074" s="128"/>
      <c r="BQ4074" s="128"/>
      <c r="BR4074" s="128"/>
      <c r="BS4074" s="128"/>
      <c r="BT4074" s="128"/>
      <c r="BU4074" s="128"/>
      <c r="BV4074" s="128"/>
      <c r="BW4074" s="128"/>
      <c r="BX4074" s="128"/>
      <c r="BY4074" s="128"/>
      <c r="BZ4074" s="128"/>
      <c r="CA4074" s="128"/>
      <c r="CB4074" s="128"/>
      <c r="CC4074" s="128"/>
      <c r="CD4074" s="128"/>
      <c r="CE4074" s="128"/>
      <c r="CF4074" s="128"/>
      <c r="CG4074" s="128"/>
      <c r="CI4074" s="128"/>
      <c r="CJ4074" s="128"/>
      <c r="CK4074" s="128"/>
      <c r="CL4074" s="128"/>
      <c r="CM4074" s="128"/>
      <c r="CN4074" s="128"/>
      <c r="CO4074" s="128"/>
      <c r="CP4074" s="128"/>
      <c r="CQ4074" s="128"/>
      <c r="CR4074" s="128"/>
      <c r="CS4074" s="128"/>
      <c r="CT4074" s="128"/>
      <c r="CU4074" s="128"/>
      <c r="CV4074" s="128"/>
      <c r="CW4074" s="128"/>
      <c r="CX4074" s="128"/>
      <c r="CY4074" s="128"/>
      <c r="CZ4074" s="165"/>
    </row>
    <row r="4075" spans="1:104">
      <c r="A4075" s="149"/>
      <c r="B4075" s="149"/>
      <c r="C4075" s="150"/>
      <c r="D4075" s="102"/>
      <c r="E4075" s="149"/>
      <c r="F4075" s="149"/>
      <c r="G4075" s="149"/>
      <c r="H4075" s="149"/>
      <c r="I4075" s="149"/>
      <c r="J4075" s="149"/>
      <c r="K4075" s="149"/>
      <c r="L4075" s="149"/>
      <c r="M4075" s="149"/>
      <c r="N4075" s="149"/>
      <c r="O4075" s="149"/>
      <c r="P4075" s="149"/>
      <c r="Q4075" s="149"/>
      <c r="R4075" s="149"/>
      <c r="S4075" s="149"/>
      <c r="T4075" s="149"/>
      <c r="U4075" s="149"/>
      <c r="V4075" s="149"/>
      <c r="W4075" s="149"/>
      <c r="X4075" s="149"/>
      <c r="Y4075" s="149"/>
      <c r="Z4075" s="149"/>
      <c r="AA4075" s="149"/>
      <c r="AB4075" s="149"/>
      <c r="AC4075" s="149"/>
      <c r="AD4075" s="149"/>
      <c r="AE4075" s="149"/>
      <c r="AF4075" s="149"/>
      <c r="AG4075" s="149"/>
      <c r="AH4075" s="149"/>
      <c r="AI4075" s="149"/>
      <c r="AJ4075" s="149"/>
      <c r="AK4075" s="149"/>
      <c r="AL4075" s="149"/>
      <c r="AM4075" s="149"/>
      <c r="AN4075" s="149"/>
      <c r="AO4075" s="128"/>
      <c r="AP4075" s="128"/>
      <c r="AQ4075" s="128"/>
      <c r="AR4075" s="128"/>
      <c r="AS4075" s="128"/>
      <c r="AT4075" s="128"/>
      <c r="AU4075" s="128"/>
      <c r="AV4075" s="128"/>
      <c r="AW4075" s="128"/>
      <c r="AX4075" s="128"/>
      <c r="AY4075" s="128"/>
      <c r="AZ4075" s="128"/>
      <c r="BA4075" s="128"/>
      <c r="BB4075" s="128"/>
      <c r="BC4075" s="128"/>
      <c r="BD4075" s="128"/>
      <c r="BE4075" s="128"/>
      <c r="BF4075" s="128"/>
      <c r="BG4075" s="128"/>
      <c r="BH4075" s="128"/>
      <c r="BI4075" s="128"/>
      <c r="BJ4075" s="128"/>
      <c r="BK4075" s="128"/>
      <c r="BL4075" s="128"/>
      <c r="BM4075" s="151"/>
      <c r="BN4075" s="128"/>
      <c r="BO4075" s="128"/>
      <c r="BP4075" s="128"/>
      <c r="BQ4075" s="128"/>
      <c r="BR4075" s="128"/>
      <c r="BS4075" s="128"/>
      <c r="BT4075" s="128"/>
      <c r="BU4075" s="128"/>
      <c r="BV4075" s="128"/>
      <c r="BW4075" s="128"/>
      <c r="BX4075" s="128"/>
      <c r="BY4075" s="128"/>
      <c r="BZ4075" s="128"/>
      <c r="CA4075" s="128"/>
      <c r="CB4075" s="128"/>
      <c r="CC4075" s="128"/>
      <c r="CD4075" s="128"/>
      <c r="CE4075" s="128"/>
      <c r="CF4075" s="128"/>
      <c r="CG4075" s="128"/>
      <c r="CI4075" s="128"/>
      <c r="CJ4075" s="128"/>
      <c r="CK4075" s="128"/>
      <c r="CL4075" s="128"/>
      <c r="CM4075" s="128"/>
      <c r="CN4075" s="128"/>
      <c r="CO4075" s="128"/>
      <c r="CP4075" s="128"/>
      <c r="CQ4075" s="128"/>
      <c r="CR4075" s="128"/>
      <c r="CS4075" s="128"/>
      <c r="CT4075" s="128"/>
      <c r="CU4075" s="128"/>
      <c r="CV4075" s="128"/>
      <c r="CW4075" s="128"/>
      <c r="CX4075" s="128"/>
      <c r="CY4075" s="128"/>
      <c r="CZ4075" s="165"/>
    </row>
    <row r="4076" spans="1:104">
      <c r="A4076" s="149"/>
      <c r="B4076" s="149"/>
      <c r="C4076" s="150"/>
      <c r="D4076" s="102"/>
      <c r="E4076" s="149"/>
      <c r="F4076" s="149"/>
      <c r="G4076" s="149"/>
      <c r="H4076" s="149"/>
      <c r="I4076" s="149"/>
      <c r="J4076" s="149"/>
      <c r="K4076" s="149"/>
      <c r="L4076" s="149"/>
      <c r="M4076" s="149"/>
      <c r="N4076" s="149"/>
      <c r="O4076" s="149"/>
      <c r="P4076" s="149"/>
      <c r="Q4076" s="149"/>
      <c r="R4076" s="149"/>
      <c r="S4076" s="149"/>
      <c r="T4076" s="149"/>
      <c r="U4076" s="149"/>
      <c r="V4076" s="149"/>
      <c r="W4076" s="149"/>
      <c r="X4076" s="149"/>
      <c r="Y4076" s="149"/>
      <c r="Z4076" s="149"/>
      <c r="AA4076" s="149"/>
      <c r="AB4076" s="149"/>
      <c r="AC4076" s="149"/>
      <c r="AD4076" s="149"/>
      <c r="AE4076" s="149"/>
      <c r="AF4076" s="149"/>
      <c r="AG4076" s="149"/>
      <c r="AH4076" s="149"/>
      <c r="AI4076" s="149"/>
      <c r="AJ4076" s="149"/>
      <c r="AK4076" s="149"/>
      <c r="AL4076" s="149"/>
      <c r="AM4076" s="149"/>
      <c r="AN4076" s="149"/>
      <c r="AO4076" s="128"/>
      <c r="AP4076" s="128"/>
      <c r="AQ4076" s="128"/>
      <c r="AR4076" s="128"/>
      <c r="AS4076" s="128"/>
      <c r="AT4076" s="128"/>
      <c r="AU4076" s="128"/>
      <c r="AV4076" s="128"/>
      <c r="AW4076" s="128"/>
      <c r="AX4076" s="128"/>
      <c r="AY4076" s="128"/>
      <c r="AZ4076" s="128"/>
      <c r="BA4076" s="128"/>
      <c r="BB4076" s="128"/>
      <c r="BC4076" s="128"/>
      <c r="BD4076" s="128"/>
      <c r="BE4076" s="128"/>
      <c r="BF4076" s="128"/>
      <c r="BG4076" s="128"/>
      <c r="BH4076" s="128"/>
      <c r="BI4076" s="128"/>
      <c r="BJ4076" s="128"/>
      <c r="BK4076" s="128"/>
      <c r="BL4076" s="128"/>
      <c r="BM4076" s="151"/>
      <c r="BN4076" s="128"/>
      <c r="BO4076" s="128"/>
      <c r="BP4076" s="128"/>
      <c r="BQ4076" s="128"/>
      <c r="BR4076" s="128"/>
      <c r="BS4076" s="128"/>
      <c r="BT4076" s="128"/>
      <c r="BU4076" s="128"/>
      <c r="BV4076" s="128"/>
      <c r="BW4076" s="128"/>
      <c r="BX4076" s="128"/>
      <c r="BY4076" s="128"/>
      <c r="BZ4076" s="128"/>
      <c r="CA4076" s="128"/>
      <c r="CB4076" s="128"/>
      <c r="CC4076" s="128"/>
      <c r="CD4076" s="128"/>
      <c r="CE4076" s="128"/>
      <c r="CF4076" s="128"/>
      <c r="CG4076" s="128"/>
      <c r="CI4076" s="128"/>
      <c r="CJ4076" s="128"/>
      <c r="CK4076" s="128"/>
      <c r="CL4076" s="128"/>
      <c r="CM4076" s="128"/>
      <c r="CN4076" s="128"/>
      <c r="CO4076" s="128"/>
      <c r="CP4076" s="128"/>
      <c r="CQ4076" s="128"/>
      <c r="CR4076" s="128"/>
      <c r="CS4076" s="128"/>
      <c r="CT4076" s="128"/>
      <c r="CU4076" s="128"/>
      <c r="CV4076" s="128"/>
      <c r="CW4076" s="128"/>
      <c r="CX4076" s="128"/>
      <c r="CY4076" s="128"/>
      <c r="CZ4076" s="165"/>
    </row>
    <row r="4077" spans="1:104">
      <c r="A4077" s="149"/>
      <c r="B4077" s="149"/>
      <c r="C4077" s="150"/>
      <c r="D4077" s="102"/>
      <c r="E4077" s="149"/>
      <c r="F4077" s="149"/>
      <c r="G4077" s="149"/>
      <c r="H4077" s="149"/>
      <c r="I4077" s="149"/>
      <c r="J4077" s="149"/>
      <c r="K4077" s="149"/>
      <c r="L4077" s="149"/>
      <c r="M4077" s="149"/>
      <c r="N4077" s="149"/>
      <c r="O4077" s="149"/>
      <c r="P4077" s="149"/>
      <c r="Q4077" s="149"/>
      <c r="R4077" s="149"/>
      <c r="S4077" s="149"/>
      <c r="T4077" s="149"/>
      <c r="U4077" s="149"/>
      <c r="V4077" s="149"/>
      <c r="W4077" s="149"/>
      <c r="X4077" s="149"/>
      <c r="Y4077" s="149"/>
      <c r="Z4077" s="149"/>
      <c r="AA4077" s="149"/>
      <c r="AB4077" s="149"/>
      <c r="AC4077" s="149"/>
      <c r="AD4077" s="149"/>
      <c r="AE4077" s="149"/>
      <c r="AF4077" s="149"/>
      <c r="AG4077" s="149"/>
      <c r="AH4077" s="149"/>
      <c r="AI4077" s="149"/>
      <c r="AJ4077" s="149"/>
      <c r="AK4077" s="149"/>
      <c r="AL4077" s="149"/>
      <c r="AM4077" s="149"/>
      <c r="AN4077" s="149"/>
      <c r="AO4077" s="128"/>
      <c r="AP4077" s="128"/>
      <c r="AQ4077" s="128"/>
      <c r="AR4077" s="128"/>
      <c r="AS4077" s="128"/>
      <c r="AT4077" s="128"/>
      <c r="AU4077" s="128"/>
      <c r="AV4077" s="128"/>
      <c r="AW4077" s="128"/>
      <c r="AX4077" s="128"/>
      <c r="AY4077" s="128"/>
      <c r="AZ4077" s="128"/>
      <c r="BA4077" s="128"/>
      <c r="BB4077" s="128"/>
      <c r="BC4077" s="128"/>
      <c r="BD4077" s="128"/>
      <c r="BE4077" s="128"/>
      <c r="BF4077" s="128"/>
      <c r="BG4077" s="128"/>
      <c r="BH4077" s="128"/>
      <c r="BI4077" s="128"/>
      <c r="BJ4077" s="128"/>
      <c r="BK4077" s="128"/>
      <c r="BL4077" s="128"/>
      <c r="BM4077" s="151"/>
      <c r="BN4077" s="128"/>
      <c r="BO4077" s="128"/>
      <c r="BP4077" s="128"/>
      <c r="BQ4077" s="128"/>
      <c r="BR4077" s="128"/>
      <c r="BS4077" s="128"/>
      <c r="BT4077" s="128"/>
      <c r="BU4077" s="128"/>
      <c r="BV4077" s="128"/>
      <c r="BW4077" s="128"/>
      <c r="BX4077" s="128"/>
      <c r="BY4077" s="128"/>
      <c r="BZ4077" s="128"/>
      <c r="CA4077" s="128"/>
      <c r="CB4077" s="128"/>
      <c r="CC4077" s="128"/>
      <c r="CD4077" s="128"/>
      <c r="CE4077" s="128"/>
      <c r="CF4077" s="128"/>
      <c r="CG4077" s="128"/>
      <c r="CI4077" s="128"/>
      <c r="CJ4077" s="128"/>
      <c r="CK4077" s="128"/>
      <c r="CL4077" s="128"/>
      <c r="CM4077" s="128"/>
      <c r="CN4077" s="128"/>
      <c r="CO4077" s="128"/>
      <c r="CP4077" s="128"/>
      <c r="CQ4077" s="128"/>
      <c r="CR4077" s="128"/>
      <c r="CS4077" s="128"/>
      <c r="CT4077" s="128"/>
      <c r="CU4077" s="128"/>
      <c r="CV4077" s="128"/>
      <c r="CW4077" s="128"/>
      <c r="CX4077" s="128"/>
      <c r="CY4077" s="128"/>
      <c r="CZ4077" s="165"/>
    </row>
    <row r="4078" spans="1:104">
      <c r="A4078" s="149"/>
      <c r="B4078" s="149"/>
      <c r="C4078" s="150"/>
      <c r="D4078" s="102"/>
      <c r="E4078" s="149"/>
      <c r="F4078" s="149"/>
      <c r="G4078" s="149"/>
      <c r="H4078" s="149"/>
      <c r="I4078" s="149"/>
      <c r="J4078" s="149"/>
      <c r="K4078" s="149"/>
      <c r="L4078" s="149"/>
      <c r="M4078" s="149"/>
      <c r="N4078" s="149"/>
      <c r="O4078" s="149"/>
      <c r="P4078" s="149"/>
      <c r="Q4078" s="149"/>
      <c r="R4078" s="149"/>
      <c r="S4078" s="149"/>
      <c r="T4078" s="149"/>
      <c r="U4078" s="149"/>
      <c r="V4078" s="149"/>
      <c r="W4078" s="149"/>
      <c r="X4078" s="149"/>
      <c r="Y4078" s="149"/>
      <c r="Z4078" s="149"/>
      <c r="AA4078" s="149"/>
      <c r="AB4078" s="149"/>
      <c r="AC4078" s="149"/>
      <c r="AD4078" s="149"/>
      <c r="AE4078" s="149"/>
      <c r="AF4078" s="149"/>
      <c r="AG4078" s="149"/>
      <c r="AH4078" s="149"/>
      <c r="AI4078" s="149"/>
      <c r="AJ4078" s="149"/>
      <c r="AK4078" s="149"/>
      <c r="AL4078" s="149"/>
      <c r="AM4078" s="149"/>
      <c r="AN4078" s="149"/>
      <c r="AO4078" s="128"/>
      <c r="AP4078" s="128"/>
      <c r="AQ4078" s="128"/>
      <c r="AR4078" s="128"/>
      <c r="AS4078" s="128"/>
      <c r="AT4078" s="128"/>
      <c r="AU4078" s="128"/>
      <c r="AV4078" s="128"/>
      <c r="AW4078" s="128"/>
      <c r="AX4078" s="128"/>
      <c r="AY4078" s="128"/>
      <c r="AZ4078" s="128"/>
      <c r="BA4078" s="128"/>
      <c r="BB4078" s="128"/>
      <c r="BC4078" s="128"/>
      <c r="BD4078" s="128"/>
      <c r="BE4078" s="128"/>
      <c r="BF4078" s="128"/>
      <c r="BG4078" s="128"/>
      <c r="BH4078" s="128"/>
      <c r="BI4078" s="128"/>
      <c r="BJ4078" s="128"/>
      <c r="BK4078" s="128"/>
      <c r="BL4078" s="128"/>
      <c r="BM4078" s="151"/>
      <c r="BN4078" s="128"/>
      <c r="BO4078" s="128"/>
      <c r="BP4078" s="128"/>
      <c r="BQ4078" s="128"/>
      <c r="BR4078" s="128"/>
      <c r="BS4078" s="128"/>
      <c r="BT4078" s="128"/>
      <c r="BU4078" s="128"/>
      <c r="BV4078" s="128"/>
      <c r="BW4078" s="128"/>
      <c r="BX4078" s="128"/>
      <c r="BY4078" s="128"/>
      <c r="BZ4078" s="128"/>
      <c r="CA4078" s="128"/>
      <c r="CB4078" s="128"/>
      <c r="CC4078" s="128"/>
      <c r="CD4078" s="128"/>
      <c r="CE4078" s="128"/>
      <c r="CF4078" s="128"/>
      <c r="CG4078" s="128"/>
      <c r="CI4078" s="128"/>
      <c r="CJ4078" s="128"/>
      <c r="CK4078" s="128"/>
      <c r="CL4078" s="128"/>
      <c r="CM4078" s="128"/>
      <c r="CN4078" s="128"/>
      <c r="CO4078" s="128"/>
      <c r="CP4078" s="128"/>
      <c r="CQ4078" s="128"/>
      <c r="CR4078" s="128"/>
      <c r="CS4078" s="128"/>
      <c r="CT4078" s="128"/>
      <c r="CU4078" s="128"/>
      <c r="CV4078" s="128"/>
      <c r="CW4078" s="128"/>
      <c r="CX4078" s="128"/>
      <c r="CY4078" s="128"/>
      <c r="CZ4078" s="165"/>
    </row>
    <row r="4079" spans="1:104">
      <c r="A4079" s="149"/>
      <c r="B4079" s="149"/>
      <c r="C4079" s="150"/>
      <c r="D4079" s="102"/>
      <c r="E4079" s="149"/>
      <c r="F4079" s="149"/>
      <c r="G4079" s="149"/>
      <c r="H4079" s="149"/>
      <c r="I4079" s="149"/>
      <c r="J4079" s="149"/>
      <c r="K4079" s="149"/>
      <c r="L4079" s="149"/>
      <c r="M4079" s="149"/>
      <c r="N4079" s="149"/>
      <c r="O4079" s="149"/>
      <c r="P4079" s="149"/>
      <c r="Q4079" s="149"/>
      <c r="R4079" s="149"/>
      <c r="S4079" s="149"/>
      <c r="T4079" s="149"/>
      <c r="U4079" s="149"/>
      <c r="V4079" s="149"/>
      <c r="W4079" s="149"/>
      <c r="X4079" s="149"/>
      <c r="Y4079" s="149"/>
      <c r="Z4079" s="149"/>
      <c r="AA4079" s="149"/>
      <c r="AB4079" s="149"/>
      <c r="AC4079" s="149"/>
      <c r="AD4079" s="149"/>
      <c r="AE4079" s="149"/>
      <c r="AF4079" s="149"/>
      <c r="AG4079" s="149"/>
      <c r="AH4079" s="149"/>
      <c r="AI4079" s="149"/>
      <c r="AJ4079" s="149"/>
      <c r="AK4079" s="149"/>
      <c r="AL4079" s="149"/>
      <c r="AM4079" s="149"/>
      <c r="AN4079" s="149"/>
      <c r="AO4079" s="128"/>
      <c r="AP4079" s="128"/>
      <c r="AQ4079" s="128"/>
      <c r="AR4079" s="128"/>
      <c r="AS4079" s="128"/>
      <c r="AT4079" s="128"/>
      <c r="AU4079" s="128"/>
      <c r="AV4079" s="128"/>
      <c r="AW4079" s="128"/>
      <c r="AX4079" s="128"/>
      <c r="AY4079" s="128"/>
      <c r="AZ4079" s="128"/>
      <c r="BA4079" s="128"/>
      <c r="BB4079" s="128"/>
      <c r="BC4079" s="128"/>
      <c r="BD4079" s="128"/>
      <c r="BE4079" s="128"/>
      <c r="BF4079" s="128"/>
      <c r="BG4079" s="128"/>
      <c r="BH4079" s="128"/>
      <c r="BI4079" s="128"/>
      <c r="BJ4079" s="128"/>
      <c r="BK4079" s="128"/>
      <c r="BL4079" s="128"/>
      <c r="BM4079" s="151"/>
      <c r="BN4079" s="128"/>
      <c r="BO4079" s="128"/>
      <c r="BP4079" s="128"/>
      <c r="BQ4079" s="128"/>
      <c r="BR4079" s="128"/>
      <c r="BS4079" s="128"/>
      <c r="BT4079" s="128"/>
      <c r="BU4079" s="128"/>
      <c r="BV4079" s="128"/>
      <c r="BW4079" s="128"/>
      <c r="BX4079" s="128"/>
      <c r="BY4079" s="128"/>
      <c r="BZ4079" s="128"/>
      <c r="CA4079" s="128"/>
      <c r="CB4079" s="128"/>
      <c r="CC4079" s="128"/>
      <c r="CD4079" s="128"/>
      <c r="CE4079" s="128"/>
      <c r="CF4079" s="128"/>
      <c r="CG4079" s="128"/>
      <c r="CI4079" s="128"/>
      <c r="CJ4079" s="128"/>
      <c r="CK4079" s="128"/>
      <c r="CL4079" s="128"/>
      <c r="CM4079" s="128"/>
      <c r="CN4079" s="128"/>
      <c r="CO4079" s="128"/>
      <c r="CP4079" s="128"/>
      <c r="CQ4079" s="128"/>
      <c r="CR4079" s="128"/>
      <c r="CS4079" s="128"/>
      <c r="CT4079" s="128"/>
      <c r="CU4079" s="128"/>
      <c r="CV4079" s="128"/>
      <c r="CW4079" s="128"/>
      <c r="CX4079" s="128"/>
      <c r="CY4079" s="128"/>
      <c r="CZ4079" s="165"/>
    </row>
    <row r="4080" spans="1:104">
      <c r="A4080" s="149"/>
      <c r="B4080" s="149"/>
      <c r="C4080" s="150"/>
      <c r="D4080" s="102"/>
      <c r="E4080" s="149"/>
      <c r="F4080" s="149"/>
      <c r="G4080" s="149"/>
      <c r="H4080" s="149"/>
      <c r="I4080" s="149"/>
      <c r="J4080" s="149"/>
      <c r="K4080" s="149"/>
      <c r="L4080" s="149"/>
      <c r="M4080" s="149"/>
      <c r="N4080" s="149"/>
      <c r="O4080" s="149"/>
      <c r="P4080" s="149"/>
      <c r="Q4080" s="149"/>
      <c r="R4080" s="149"/>
      <c r="S4080" s="149"/>
      <c r="T4080" s="149"/>
      <c r="U4080" s="149"/>
      <c r="V4080" s="149"/>
      <c r="W4080" s="149"/>
      <c r="X4080" s="149"/>
      <c r="Y4080" s="149"/>
      <c r="Z4080" s="149"/>
      <c r="AA4080" s="149"/>
      <c r="AB4080" s="149"/>
      <c r="AC4080" s="149"/>
      <c r="AD4080" s="149"/>
      <c r="AE4080" s="149"/>
      <c r="AF4080" s="149"/>
      <c r="AG4080" s="149"/>
      <c r="AH4080" s="149"/>
      <c r="AI4080" s="149"/>
      <c r="AJ4080" s="149"/>
      <c r="AK4080" s="149"/>
      <c r="AL4080" s="149"/>
      <c r="AM4080" s="149"/>
      <c r="AN4080" s="149"/>
      <c r="AO4080" s="128"/>
      <c r="AP4080" s="128"/>
      <c r="AQ4080" s="128"/>
      <c r="AR4080" s="128"/>
      <c r="AS4080" s="128"/>
      <c r="AT4080" s="128"/>
      <c r="AU4080" s="128"/>
      <c r="AV4080" s="128"/>
      <c r="AW4080" s="128"/>
      <c r="AX4080" s="128"/>
      <c r="AY4080" s="128"/>
      <c r="AZ4080" s="128"/>
      <c r="BA4080" s="128"/>
      <c r="BB4080" s="128"/>
      <c r="BC4080" s="128"/>
      <c r="BD4080" s="128"/>
      <c r="BE4080" s="128"/>
      <c r="BF4080" s="128"/>
      <c r="BG4080" s="128"/>
      <c r="BH4080" s="128"/>
      <c r="BI4080" s="128"/>
      <c r="BJ4080" s="128"/>
      <c r="BK4080" s="128"/>
      <c r="BL4080" s="128"/>
      <c r="BM4080" s="151"/>
      <c r="BN4080" s="128"/>
      <c r="BO4080" s="128"/>
      <c r="BP4080" s="128"/>
      <c r="BQ4080" s="128"/>
      <c r="BR4080" s="128"/>
      <c r="BS4080" s="128"/>
      <c r="BT4080" s="128"/>
      <c r="BU4080" s="128"/>
      <c r="BV4080" s="128"/>
      <c r="BW4080" s="128"/>
      <c r="BX4080" s="128"/>
      <c r="BY4080" s="128"/>
      <c r="BZ4080" s="128"/>
      <c r="CA4080" s="128"/>
      <c r="CB4080" s="128"/>
      <c r="CC4080" s="128"/>
      <c r="CD4080" s="128"/>
      <c r="CE4080" s="128"/>
      <c r="CF4080" s="128"/>
      <c r="CG4080" s="128"/>
      <c r="CI4080" s="128"/>
      <c r="CJ4080" s="128"/>
      <c r="CK4080" s="128"/>
      <c r="CL4080" s="128"/>
      <c r="CM4080" s="128"/>
      <c r="CN4080" s="128"/>
      <c r="CO4080" s="128"/>
      <c r="CP4080" s="128"/>
      <c r="CQ4080" s="128"/>
      <c r="CR4080" s="128"/>
      <c r="CS4080" s="128"/>
      <c r="CT4080" s="128"/>
      <c r="CU4080" s="128"/>
      <c r="CV4080" s="128"/>
      <c r="CW4080" s="128"/>
      <c r="CX4080" s="128"/>
      <c r="CY4080" s="128"/>
      <c r="CZ4080" s="165"/>
    </row>
    <row r="4081" spans="1:104">
      <c r="A4081" s="149"/>
      <c r="B4081" s="149"/>
      <c r="C4081" s="150"/>
      <c r="D4081" s="102"/>
      <c r="E4081" s="149"/>
      <c r="F4081" s="149"/>
      <c r="G4081" s="149"/>
      <c r="H4081" s="149"/>
      <c r="I4081" s="149"/>
      <c r="J4081" s="149"/>
      <c r="K4081" s="149"/>
      <c r="L4081" s="149"/>
      <c r="M4081" s="149"/>
      <c r="N4081" s="149"/>
      <c r="O4081" s="149"/>
      <c r="P4081" s="149"/>
      <c r="Q4081" s="149"/>
      <c r="R4081" s="149"/>
      <c r="S4081" s="149"/>
      <c r="T4081" s="149"/>
      <c r="U4081" s="149"/>
      <c r="V4081" s="149"/>
      <c r="W4081" s="149"/>
      <c r="X4081" s="149"/>
      <c r="Y4081" s="149"/>
      <c r="Z4081" s="149"/>
      <c r="AA4081" s="149"/>
      <c r="AB4081" s="149"/>
      <c r="AC4081" s="149"/>
      <c r="AD4081" s="149"/>
      <c r="AE4081" s="149"/>
      <c r="AF4081" s="149"/>
      <c r="AG4081" s="149"/>
      <c r="AH4081" s="149"/>
      <c r="AI4081" s="149"/>
      <c r="AJ4081" s="149"/>
      <c r="AK4081" s="149"/>
      <c r="AL4081" s="149"/>
      <c r="AM4081" s="149"/>
      <c r="AN4081" s="149"/>
      <c r="AO4081" s="128"/>
      <c r="AP4081" s="128"/>
      <c r="AQ4081" s="128"/>
      <c r="AR4081" s="128"/>
      <c r="AS4081" s="128"/>
      <c r="AT4081" s="128"/>
      <c r="AU4081" s="128"/>
      <c r="AV4081" s="128"/>
      <c r="AW4081" s="128"/>
      <c r="AX4081" s="128"/>
      <c r="AY4081" s="128"/>
      <c r="AZ4081" s="128"/>
      <c r="BA4081" s="128"/>
      <c r="BB4081" s="128"/>
      <c r="BC4081" s="128"/>
      <c r="BD4081" s="128"/>
      <c r="BE4081" s="128"/>
      <c r="BF4081" s="128"/>
      <c r="BG4081" s="128"/>
      <c r="BH4081" s="128"/>
      <c r="BI4081" s="128"/>
      <c r="BJ4081" s="128"/>
      <c r="BK4081" s="128"/>
      <c r="BL4081" s="128"/>
      <c r="BM4081" s="151"/>
      <c r="BN4081" s="128"/>
      <c r="BO4081" s="128"/>
      <c r="BP4081" s="128"/>
      <c r="BQ4081" s="128"/>
      <c r="BR4081" s="128"/>
      <c r="BS4081" s="128"/>
      <c r="BT4081" s="128"/>
      <c r="BU4081" s="128"/>
      <c r="BV4081" s="128"/>
      <c r="BW4081" s="128"/>
      <c r="BX4081" s="128"/>
      <c r="BY4081" s="128"/>
      <c r="BZ4081" s="128"/>
      <c r="CA4081" s="128"/>
      <c r="CB4081" s="128"/>
      <c r="CC4081" s="128"/>
      <c r="CD4081" s="128"/>
      <c r="CE4081" s="128"/>
      <c r="CF4081" s="128"/>
      <c r="CG4081" s="128"/>
      <c r="CI4081" s="128"/>
      <c r="CJ4081" s="128"/>
      <c r="CK4081" s="128"/>
      <c r="CL4081" s="128"/>
      <c r="CM4081" s="128"/>
      <c r="CN4081" s="128"/>
      <c r="CO4081" s="128"/>
      <c r="CP4081" s="128"/>
      <c r="CQ4081" s="128"/>
      <c r="CR4081" s="128"/>
      <c r="CS4081" s="128"/>
      <c r="CT4081" s="128"/>
      <c r="CU4081" s="128"/>
      <c r="CV4081" s="128"/>
      <c r="CW4081" s="128"/>
      <c r="CX4081" s="128"/>
      <c r="CY4081" s="128"/>
      <c r="CZ4081" s="165"/>
    </row>
    <row r="4082" spans="1:104">
      <c r="A4082" s="149"/>
      <c r="B4082" s="149"/>
      <c r="C4082" s="150"/>
      <c r="D4082" s="102"/>
      <c r="E4082" s="149"/>
      <c r="F4082" s="149"/>
      <c r="G4082" s="149"/>
      <c r="H4082" s="149"/>
      <c r="I4082" s="149"/>
      <c r="J4082" s="149"/>
      <c r="K4082" s="149"/>
      <c r="L4082" s="149"/>
      <c r="M4082" s="149"/>
      <c r="N4082" s="149"/>
      <c r="O4082" s="149"/>
      <c r="P4082" s="149"/>
      <c r="Q4082" s="149"/>
      <c r="R4082" s="149"/>
      <c r="S4082" s="149"/>
      <c r="T4082" s="149"/>
      <c r="U4082" s="149"/>
      <c r="V4082" s="149"/>
      <c r="W4082" s="149"/>
      <c r="X4082" s="149"/>
      <c r="Y4082" s="149"/>
      <c r="Z4082" s="149"/>
      <c r="AA4082" s="149"/>
      <c r="AB4082" s="149"/>
      <c r="AC4082" s="149"/>
      <c r="AD4082" s="149"/>
      <c r="AE4082" s="149"/>
      <c r="AF4082" s="149"/>
      <c r="AG4082" s="149"/>
      <c r="AH4082" s="149"/>
      <c r="AI4082" s="149"/>
      <c r="AJ4082" s="149"/>
      <c r="AK4082" s="149"/>
      <c r="AL4082" s="149"/>
      <c r="AM4082" s="149"/>
      <c r="AN4082" s="149"/>
      <c r="AO4082" s="128"/>
      <c r="AP4082" s="128"/>
      <c r="AQ4082" s="128"/>
      <c r="AR4082" s="128"/>
      <c r="AS4082" s="128"/>
      <c r="AT4082" s="128"/>
      <c r="AU4082" s="128"/>
      <c r="AV4082" s="128"/>
      <c r="AW4082" s="128"/>
      <c r="AX4082" s="128"/>
      <c r="AY4082" s="128"/>
      <c r="AZ4082" s="128"/>
      <c r="BA4082" s="128"/>
      <c r="BB4082" s="128"/>
      <c r="BC4082" s="128"/>
      <c r="BD4082" s="128"/>
      <c r="BE4082" s="128"/>
      <c r="BF4082" s="128"/>
      <c r="BG4082" s="128"/>
      <c r="BH4082" s="128"/>
      <c r="BI4082" s="128"/>
      <c r="BJ4082" s="128"/>
      <c r="BK4082" s="128"/>
      <c r="BL4082" s="128"/>
      <c r="BM4082" s="151"/>
      <c r="BN4082" s="128"/>
      <c r="BO4082" s="128"/>
      <c r="BP4082" s="128"/>
      <c r="BQ4082" s="128"/>
      <c r="BR4082" s="128"/>
      <c r="BS4082" s="128"/>
      <c r="BT4082" s="128"/>
      <c r="BU4082" s="128"/>
      <c r="BV4082" s="128"/>
      <c r="BW4082" s="128"/>
      <c r="BX4082" s="128"/>
      <c r="BY4082" s="128"/>
      <c r="BZ4082" s="128"/>
      <c r="CA4082" s="128"/>
      <c r="CB4082" s="128"/>
      <c r="CC4082" s="128"/>
      <c r="CD4082" s="128"/>
      <c r="CE4082" s="128"/>
      <c r="CF4082" s="128"/>
      <c r="CG4082" s="128"/>
      <c r="CI4082" s="128"/>
      <c r="CJ4082" s="128"/>
      <c r="CK4082" s="128"/>
      <c r="CL4082" s="128"/>
      <c r="CM4082" s="128"/>
      <c r="CN4082" s="128"/>
      <c r="CO4082" s="128"/>
      <c r="CP4082" s="128"/>
      <c r="CQ4082" s="128"/>
      <c r="CR4082" s="128"/>
      <c r="CS4082" s="128"/>
      <c r="CT4082" s="128"/>
      <c r="CU4082" s="128"/>
      <c r="CV4082" s="128"/>
      <c r="CW4082" s="128"/>
      <c r="CX4082" s="128"/>
      <c r="CY4082" s="128"/>
      <c r="CZ4082" s="165"/>
    </row>
    <row r="4083" spans="1:104">
      <c r="A4083" s="149"/>
      <c r="B4083" s="149"/>
      <c r="C4083" s="150"/>
      <c r="D4083" s="102"/>
      <c r="E4083" s="149"/>
      <c r="F4083" s="149"/>
      <c r="G4083" s="149"/>
      <c r="H4083" s="149"/>
      <c r="I4083" s="149"/>
      <c r="J4083" s="149"/>
      <c r="K4083" s="149"/>
      <c r="L4083" s="149"/>
      <c r="M4083" s="149"/>
      <c r="N4083" s="149"/>
      <c r="O4083" s="149"/>
      <c r="P4083" s="149"/>
      <c r="Q4083" s="149"/>
      <c r="R4083" s="149"/>
      <c r="S4083" s="149"/>
      <c r="T4083" s="149"/>
      <c r="U4083" s="149"/>
      <c r="V4083" s="149"/>
      <c r="W4083" s="149"/>
      <c r="X4083" s="149"/>
      <c r="Y4083" s="149"/>
      <c r="Z4083" s="149"/>
      <c r="AA4083" s="149"/>
      <c r="AB4083" s="149"/>
      <c r="AC4083" s="149"/>
      <c r="AD4083" s="149"/>
      <c r="AE4083" s="149"/>
      <c r="AF4083" s="149"/>
      <c r="AG4083" s="149"/>
      <c r="AH4083" s="149"/>
      <c r="AI4083" s="149"/>
      <c r="AJ4083" s="149"/>
      <c r="AK4083" s="149"/>
      <c r="AL4083" s="149"/>
      <c r="AM4083" s="149"/>
      <c r="AN4083" s="149"/>
      <c r="AO4083" s="128"/>
      <c r="AP4083" s="128"/>
      <c r="AQ4083" s="128"/>
      <c r="AR4083" s="128"/>
      <c r="AS4083" s="128"/>
      <c r="AT4083" s="128"/>
      <c r="AU4083" s="128"/>
      <c r="AV4083" s="128"/>
      <c r="AW4083" s="128"/>
      <c r="AX4083" s="128"/>
      <c r="AY4083" s="128"/>
      <c r="AZ4083" s="128"/>
      <c r="BA4083" s="128"/>
      <c r="BB4083" s="128"/>
      <c r="BC4083" s="128"/>
      <c r="BD4083" s="128"/>
      <c r="BE4083" s="128"/>
      <c r="BF4083" s="128"/>
      <c r="BG4083" s="128"/>
      <c r="BH4083" s="128"/>
      <c r="BI4083" s="128"/>
      <c r="BJ4083" s="128"/>
      <c r="BK4083" s="128"/>
      <c r="BL4083" s="128"/>
      <c r="BM4083" s="151"/>
      <c r="BN4083" s="128"/>
      <c r="BO4083" s="128"/>
      <c r="BP4083" s="128"/>
      <c r="BQ4083" s="128"/>
      <c r="BR4083" s="128"/>
      <c r="BS4083" s="128"/>
      <c r="BT4083" s="128"/>
      <c r="BU4083" s="128"/>
      <c r="BV4083" s="128"/>
      <c r="BW4083" s="128"/>
      <c r="BX4083" s="128"/>
      <c r="BY4083" s="128"/>
      <c r="BZ4083" s="128"/>
      <c r="CA4083" s="128"/>
      <c r="CB4083" s="128"/>
      <c r="CC4083" s="128"/>
      <c r="CD4083" s="128"/>
      <c r="CE4083" s="128"/>
      <c r="CF4083" s="128"/>
      <c r="CG4083" s="128"/>
      <c r="CI4083" s="128"/>
      <c r="CJ4083" s="128"/>
      <c r="CK4083" s="128"/>
      <c r="CL4083" s="128"/>
      <c r="CM4083" s="128"/>
      <c r="CN4083" s="128"/>
      <c r="CO4083" s="128"/>
      <c r="CP4083" s="128"/>
      <c r="CQ4083" s="128"/>
      <c r="CR4083" s="128"/>
      <c r="CS4083" s="128"/>
      <c r="CT4083" s="128"/>
      <c r="CU4083" s="128"/>
      <c r="CV4083" s="128"/>
      <c r="CW4083" s="128"/>
      <c r="CX4083" s="128"/>
      <c r="CY4083" s="128"/>
      <c r="CZ4083" s="165"/>
    </row>
    <row r="4084" spans="1:104">
      <c r="A4084" s="149"/>
      <c r="B4084" s="149"/>
      <c r="C4084" s="150"/>
      <c r="D4084" s="102"/>
      <c r="E4084" s="149"/>
      <c r="F4084" s="149"/>
      <c r="G4084" s="149"/>
      <c r="H4084" s="149"/>
      <c r="I4084" s="149"/>
      <c r="J4084" s="149"/>
      <c r="K4084" s="149"/>
      <c r="L4084" s="149"/>
      <c r="M4084" s="149"/>
      <c r="N4084" s="149"/>
      <c r="O4084" s="149"/>
      <c r="P4084" s="149"/>
      <c r="Q4084" s="149"/>
      <c r="R4084" s="149"/>
      <c r="S4084" s="149"/>
      <c r="T4084" s="149"/>
      <c r="U4084" s="149"/>
      <c r="V4084" s="149"/>
      <c r="W4084" s="149"/>
      <c r="X4084" s="149"/>
      <c r="Y4084" s="149"/>
      <c r="Z4084" s="149"/>
      <c r="AA4084" s="149"/>
      <c r="AB4084" s="149"/>
      <c r="AC4084" s="149"/>
      <c r="AD4084" s="149"/>
      <c r="AE4084" s="149"/>
      <c r="AF4084" s="149"/>
      <c r="AG4084" s="149"/>
      <c r="AH4084" s="149"/>
      <c r="AI4084" s="149"/>
      <c r="AJ4084" s="149"/>
      <c r="AK4084" s="149"/>
      <c r="AL4084" s="149"/>
      <c r="AM4084" s="149"/>
      <c r="AN4084" s="149"/>
      <c r="AO4084" s="128"/>
      <c r="AP4084" s="128"/>
      <c r="AQ4084" s="128"/>
      <c r="AR4084" s="128"/>
      <c r="AS4084" s="128"/>
      <c r="AT4084" s="128"/>
      <c r="AU4084" s="128"/>
      <c r="AV4084" s="128"/>
      <c r="AW4084" s="128"/>
      <c r="AX4084" s="128"/>
      <c r="AY4084" s="128"/>
      <c r="AZ4084" s="128"/>
      <c r="BA4084" s="128"/>
      <c r="BB4084" s="128"/>
      <c r="BC4084" s="128"/>
      <c r="BD4084" s="128"/>
      <c r="BE4084" s="128"/>
      <c r="BF4084" s="128"/>
      <c r="BG4084" s="128"/>
      <c r="BH4084" s="128"/>
      <c r="BI4084" s="128"/>
      <c r="BJ4084" s="128"/>
      <c r="BK4084" s="128"/>
      <c r="BL4084" s="128"/>
      <c r="BM4084" s="151"/>
      <c r="BN4084" s="128"/>
      <c r="BO4084" s="128"/>
      <c r="BP4084" s="128"/>
      <c r="BQ4084" s="128"/>
      <c r="BR4084" s="128"/>
      <c r="BS4084" s="128"/>
      <c r="BT4084" s="128"/>
      <c r="BU4084" s="128"/>
      <c r="BV4084" s="128"/>
      <c r="BW4084" s="128"/>
      <c r="BX4084" s="128"/>
      <c r="BY4084" s="128"/>
      <c r="BZ4084" s="128"/>
      <c r="CA4084" s="128"/>
      <c r="CB4084" s="128"/>
      <c r="CC4084" s="128"/>
      <c r="CD4084" s="128"/>
      <c r="CE4084" s="128"/>
      <c r="CF4084" s="128"/>
      <c r="CG4084" s="128"/>
      <c r="CI4084" s="128"/>
      <c r="CJ4084" s="128"/>
      <c r="CK4084" s="128"/>
      <c r="CL4084" s="128"/>
      <c r="CM4084" s="128"/>
      <c r="CN4084" s="128"/>
      <c r="CO4084" s="128"/>
      <c r="CP4084" s="128"/>
      <c r="CQ4084" s="128"/>
      <c r="CR4084" s="128"/>
      <c r="CS4084" s="128"/>
      <c r="CT4084" s="128"/>
      <c r="CU4084" s="128"/>
      <c r="CV4084" s="128"/>
      <c r="CW4084" s="128"/>
      <c r="CX4084" s="128"/>
      <c r="CY4084" s="128"/>
      <c r="CZ4084" s="165"/>
    </row>
    <row r="4085" spans="1:104">
      <c r="A4085" s="149"/>
      <c r="B4085" s="149"/>
      <c r="C4085" s="150"/>
      <c r="D4085" s="102"/>
      <c r="E4085" s="149"/>
      <c r="F4085" s="149"/>
      <c r="G4085" s="149"/>
      <c r="H4085" s="149"/>
      <c r="I4085" s="149"/>
      <c r="J4085" s="149"/>
      <c r="K4085" s="149"/>
      <c r="L4085" s="149"/>
      <c r="M4085" s="149"/>
      <c r="N4085" s="149"/>
      <c r="O4085" s="149"/>
      <c r="P4085" s="149"/>
      <c r="Q4085" s="149"/>
      <c r="R4085" s="149"/>
      <c r="S4085" s="149"/>
      <c r="T4085" s="149"/>
      <c r="U4085" s="149"/>
      <c r="V4085" s="149"/>
      <c r="W4085" s="149"/>
      <c r="X4085" s="149"/>
      <c r="Y4085" s="149"/>
      <c r="Z4085" s="149"/>
      <c r="AA4085" s="149"/>
      <c r="AB4085" s="149"/>
      <c r="AC4085" s="149"/>
      <c r="AD4085" s="149"/>
      <c r="AE4085" s="149"/>
      <c r="AF4085" s="149"/>
      <c r="AG4085" s="149"/>
      <c r="AH4085" s="149"/>
      <c r="AI4085" s="149"/>
      <c r="AJ4085" s="149"/>
      <c r="AK4085" s="149"/>
      <c r="AL4085" s="149"/>
      <c r="AM4085" s="149"/>
      <c r="AN4085" s="149"/>
      <c r="AO4085" s="128"/>
      <c r="AP4085" s="128"/>
      <c r="AQ4085" s="128"/>
      <c r="AR4085" s="128"/>
      <c r="AS4085" s="128"/>
      <c r="AT4085" s="128"/>
      <c r="AU4085" s="128"/>
      <c r="AV4085" s="128"/>
      <c r="AW4085" s="128"/>
      <c r="AX4085" s="128"/>
      <c r="AY4085" s="128"/>
      <c r="AZ4085" s="128"/>
      <c r="BA4085" s="128"/>
      <c r="BB4085" s="128"/>
      <c r="BC4085" s="128"/>
      <c r="BD4085" s="128"/>
      <c r="BE4085" s="128"/>
      <c r="BF4085" s="128"/>
      <c r="BG4085" s="128"/>
      <c r="BH4085" s="128"/>
      <c r="BI4085" s="128"/>
      <c r="BJ4085" s="128"/>
      <c r="BK4085" s="128"/>
      <c r="BL4085" s="128"/>
      <c r="BM4085" s="151"/>
      <c r="BN4085" s="128"/>
      <c r="BO4085" s="128"/>
      <c r="BP4085" s="128"/>
      <c r="BQ4085" s="128"/>
      <c r="BR4085" s="128"/>
      <c r="BS4085" s="128"/>
      <c r="BT4085" s="128"/>
      <c r="BU4085" s="128"/>
      <c r="BV4085" s="128"/>
      <c r="BW4085" s="128"/>
      <c r="BX4085" s="128"/>
      <c r="BY4085" s="128"/>
      <c r="BZ4085" s="128"/>
      <c r="CA4085" s="128"/>
      <c r="CB4085" s="128"/>
      <c r="CC4085" s="128"/>
      <c r="CD4085" s="128"/>
      <c r="CE4085" s="128"/>
      <c r="CF4085" s="128"/>
      <c r="CG4085" s="128"/>
      <c r="CI4085" s="128"/>
      <c r="CJ4085" s="128"/>
      <c r="CK4085" s="128"/>
      <c r="CL4085" s="128"/>
      <c r="CM4085" s="128"/>
      <c r="CN4085" s="128"/>
      <c r="CO4085" s="128"/>
      <c r="CP4085" s="128"/>
      <c r="CQ4085" s="128"/>
      <c r="CR4085" s="128"/>
      <c r="CS4085" s="128"/>
      <c r="CT4085" s="128"/>
      <c r="CU4085" s="128"/>
      <c r="CV4085" s="128"/>
      <c r="CW4085" s="128"/>
      <c r="CX4085" s="128"/>
      <c r="CY4085" s="128"/>
      <c r="CZ4085" s="165"/>
    </row>
    <row r="4086" spans="1:104">
      <c r="A4086" s="149"/>
      <c r="B4086" s="149"/>
      <c r="C4086" s="150"/>
      <c r="D4086" s="102"/>
      <c r="E4086" s="149"/>
      <c r="F4086" s="149"/>
      <c r="G4086" s="149"/>
      <c r="H4086" s="149"/>
      <c r="I4086" s="149"/>
      <c r="J4086" s="149"/>
      <c r="K4086" s="149"/>
      <c r="L4086" s="149"/>
      <c r="M4086" s="149"/>
      <c r="N4086" s="149"/>
      <c r="O4086" s="149"/>
      <c r="P4086" s="149"/>
      <c r="Q4086" s="149"/>
      <c r="R4086" s="149"/>
      <c r="S4086" s="149"/>
      <c r="T4086" s="149"/>
      <c r="U4086" s="149"/>
      <c r="V4086" s="149"/>
      <c r="W4086" s="149"/>
      <c r="X4086" s="149"/>
      <c r="Y4086" s="149"/>
      <c r="Z4086" s="149"/>
      <c r="AA4086" s="149"/>
      <c r="AB4086" s="149"/>
      <c r="AC4086" s="149"/>
      <c r="AD4086" s="149"/>
      <c r="AE4086" s="149"/>
      <c r="AF4086" s="149"/>
      <c r="AG4086" s="149"/>
      <c r="AH4086" s="149"/>
      <c r="AI4086" s="149"/>
      <c r="AJ4086" s="149"/>
      <c r="AK4086" s="149"/>
      <c r="AL4086" s="149"/>
      <c r="AM4086" s="149"/>
      <c r="AN4086" s="149"/>
      <c r="AO4086" s="128"/>
      <c r="AP4086" s="128"/>
      <c r="AQ4086" s="128"/>
      <c r="AR4086" s="128"/>
      <c r="AS4086" s="128"/>
      <c r="AT4086" s="128"/>
      <c r="AU4086" s="128"/>
      <c r="AV4086" s="128"/>
      <c r="AW4086" s="128"/>
      <c r="AX4086" s="128"/>
      <c r="AY4086" s="128"/>
      <c r="AZ4086" s="128"/>
      <c r="BA4086" s="128"/>
      <c r="BB4086" s="128"/>
      <c r="BC4086" s="128"/>
      <c r="BD4086" s="128"/>
      <c r="BE4086" s="128"/>
      <c r="BF4086" s="128"/>
      <c r="BG4086" s="128"/>
      <c r="BH4086" s="128"/>
      <c r="BI4086" s="128"/>
      <c r="BJ4086" s="128"/>
      <c r="BK4086" s="128"/>
      <c r="BL4086" s="128"/>
      <c r="BM4086" s="151"/>
      <c r="BN4086" s="128"/>
      <c r="BO4086" s="128"/>
      <c r="BP4086" s="128"/>
      <c r="BQ4086" s="128"/>
      <c r="BR4086" s="128"/>
      <c r="BS4086" s="128"/>
      <c r="BT4086" s="128"/>
      <c r="BU4086" s="128"/>
      <c r="BV4086" s="128"/>
      <c r="BW4086" s="128"/>
      <c r="BX4086" s="128"/>
      <c r="BY4086" s="128"/>
      <c r="BZ4086" s="128"/>
      <c r="CA4086" s="128"/>
      <c r="CB4086" s="128"/>
      <c r="CC4086" s="128"/>
      <c r="CD4086" s="128"/>
      <c r="CE4086" s="128"/>
      <c r="CF4086" s="128"/>
      <c r="CG4086" s="128"/>
      <c r="CI4086" s="128"/>
      <c r="CJ4086" s="128"/>
      <c r="CK4086" s="128"/>
      <c r="CL4086" s="128"/>
      <c r="CM4086" s="128"/>
      <c r="CN4086" s="128"/>
      <c r="CO4086" s="128"/>
      <c r="CP4086" s="128"/>
      <c r="CQ4086" s="128"/>
      <c r="CR4086" s="128"/>
      <c r="CS4086" s="128"/>
      <c r="CT4086" s="128"/>
      <c r="CU4086" s="128"/>
      <c r="CV4086" s="128"/>
      <c r="CW4086" s="128"/>
      <c r="CX4086" s="128"/>
      <c r="CY4086" s="128"/>
      <c r="CZ4086" s="165"/>
    </row>
    <row r="4087" spans="1:104">
      <c r="A4087" s="149"/>
      <c r="B4087" s="149"/>
      <c r="C4087" s="150"/>
      <c r="D4087" s="102"/>
      <c r="E4087" s="149"/>
      <c r="F4087" s="149"/>
      <c r="G4087" s="149"/>
      <c r="H4087" s="149"/>
      <c r="I4087" s="149"/>
      <c r="J4087" s="149"/>
      <c r="K4087" s="149"/>
      <c r="L4087" s="149"/>
      <c r="M4087" s="149"/>
      <c r="N4087" s="149"/>
      <c r="O4087" s="149"/>
      <c r="P4087" s="149"/>
      <c r="Q4087" s="149"/>
      <c r="R4087" s="149"/>
      <c r="S4087" s="149"/>
      <c r="T4087" s="149"/>
      <c r="U4087" s="149"/>
      <c r="V4087" s="149"/>
      <c r="W4087" s="149"/>
      <c r="X4087" s="149"/>
      <c r="Y4087" s="149"/>
      <c r="Z4087" s="149"/>
      <c r="AA4087" s="149"/>
      <c r="AB4087" s="149"/>
      <c r="AC4087" s="149"/>
      <c r="AD4087" s="149"/>
      <c r="AE4087" s="149"/>
      <c r="AF4087" s="149"/>
      <c r="AG4087" s="149"/>
      <c r="AH4087" s="149"/>
      <c r="AI4087" s="149"/>
      <c r="AJ4087" s="149"/>
      <c r="AK4087" s="149"/>
      <c r="AL4087" s="149"/>
      <c r="AM4087" s="149"/>
      <c r="AN4087" s="149"/>
      <c r="AO4087" s="128"/>
      <c r="AP4087" s="128"/>
      <c r="AQ4087" s="128"/>
      <c r="AR4087" s="128"/>
      <c r="AS4087" s="128"/>
      <c r="AT4087" s="128"/>
      <c r="AU4087" s="128"/>
      <c r="AV4087" s="128"/>
      <c r="AW4087" s="128"/>
      <c r="AX4087" s="128"/>
      <c r="AY4087" s="128"/>
      <c r="AZ4087" s="128"/>
      <c r="BA4087" s="128"/>
      <c r="BB4087" s="128"/>
      <c r="BC4087" s="128"/>
      <c r="BD4087" s="128"/>
      <c r="BE4087" s="128"/>
      <c r="BF4087" s="128"/>
      <c r="BG4087" s="128"/>
      <c r="BH4087" s="128"/>
      <c r="BI4087" s="128"/>
      <c r="BJ4087" s="128"/>
      <c r="BK4087" s="128"/>
      <c r="BL4087" s="128"/>
      <c r="BM4087" s="151"/>
      <c r="BN4087" s="128"/>
      <c r="BO4087" s="128"/>
      <c r="BP4087" s="128"/>
      <c r="BQ4087" s="128"/>
      <c r="BR4087" s="128"/>
      <c r="BS4087" s="128"/>
      <c r="BT4087" s="128"/>
      <c r="BU4087" s="128"/>
      <c r="BV4087" s="128"/>
      <c r="BW4087" s="128"/>
      <c r="BX4087" s="128"/>
      <c r="BY4087" s="128"/>
      <c r="BZ4087" s="128"/>
      <c r="CA4087" s="128"/>
      <c r="CB4087" s="128"/>
      <c r="CC4087" s="128"/>
      <c r="CD4087" s="128"/>
      <c r="CE4087" s="128"/>
      <c r="CF4087" s="128"/>
      <c r="CG4087" s="128"/>
      <c r="CI4087" s="128"/>
      <c r="CJ4087" s="128"/>
      <c r="CK4087" s="128"/>
      <c r="CL4087" s="128"/>
      <c r="CM4087" s="128"/>
      <c r="CN4087" s="128"/>
      <c r="CO4087" s="128"/>
      <c r="CP4087" s="128"/>
      <c r="CQ4087" s="128"/>
      <c r="CR4087" s="128"/>
      <c r="CS4087" s="128"/>
      <c r="CT4087" s="128"/>
      <c r="CU4087" s="128"/>
      <c r="CV4087" s="128"/>
      <c r="CW4087" s="128"/>
      <c r="CX4087" s="128"/>
      <c r="CY4087" s="128"/>
      <c r="CZ4087" s="165"/>
    </row>
    <row r="4088" spans="1:104">
      <c r="A4088" s="149"/>
      <c r="B4088" s="149"/>
      <c r="C4088" s="150"/>
      <c r="D4088" s="102"/>
      <c r="E4088" s="149"/>
      <c r="F4088" s="149"/>
      <c r="G4088" s="149"/>
      <c r="H4088" s="149"/>
      <c r="I4088" s="149"/>
      <c r="J4088" s="149"/>
      <c r="K4088" s="149"/>
      <c r="L4088" s="149"/>
      <c r="M4088" s="149"/>
      <c r="N4088" s="149"/>
      <c r="O4088" s="149"/>
      <c r="P4088" s="149"/>
      <c r="Q4088" s="149"/>
      <c r="R4088" s="149"/>
      <c r="S4088" s="149"/>
      <c r="T4088" s="149"/>
      <c r="U4088" s="149"/>
      <c r="V4088" s="149"/>
      <c r="W4088" s="149"/>
      <c r="X4088" s="149"/>
      <c r="Y4088" s="149"/>
      <c r="Z4088" s="149"/>
      <c r="AA4088" s="149"/>
      <c r="AB4088" s="149"/>
      <c r="AC4088" s="149"/>
      <c r="AD4088" s="149"/>
      <c r="AE4088" s="149"/>
      <c r="AF4088" s="149"/>
      <c r="AG4088" s="149"/>
      <c r="AH4088" s="149"/>
      <c r="AI4088" s="149"/>
      <c r="AJ4088" s="149"/>
      <c r="AK4088" s="149"/>
      <c r="AL4088" s="149"/>
      <c r="AM4088" s="149"/>
      <c r="AN4088" s="149"/>
      <c r="AO4088" s="128"/>
      <c r="AP4088" s="128"/>
      <c r="AQ4088" s="128"/>
      <c r="AR4088" s="128"/>
      <c r="AS4088" s="128"/>
      <c r="AT4088" s="128"/>
      <c r="AU4088" s="128"/>
      <c r="AV4088" s="128"/>
      <c r="AW4088" s="128"/>
      <c r="AX4088" s="128"/>
      <c r="AY4088" s="128"/>
      <c r="AZ4088" s="128"/>
      <c r="BA4088" s="128"/>
      <c r="BB4088" s="128"/>
      <c r="BC4088" s="128"/>
      <c r="BD4088" s="128"/>
      <c r="BE4088" s="128"/>
      <c r="BF4088" s="128"/>
      <c r="BG4088" s="128"/>
      <c r="BH4088" s="128"/>
      <c r="BI4088" s="128"/>
      <c r="BJ4088" s="128"/>
      <c r="BK4088" s="128"/>
      <c r="BL4088" s="128"/>
      <c r="BM4088" s="151"/>
      <c r="BN4088" s="128"/>
      <c r="BO4088" s="128"/>
      <c r="BP4088" s="128"/>
      <c r="BQ4088" s="128"/>
      <c r="BR4088" s="128"/>
      <c r="BS4088" s="128"/>
      <c r="BT4088" s="128"/>
      <c r="BU4088" s="128"/>
      <c r="BV4088" s="128"/>
      <c r="BW4088" s="128"/>
      <c r="BX4088" s="128"/>
      <c r="BY4088" s="128"/>
      <c r="BZ4088" s="128"/>
      <c r="CA4088" s="128"/>
      <c r="CB4088" s="128"/>
      <c r="CC4088" s="128"/>
      <c r="CD4088" s="128"/>
      <c r="CE4088" s="128"/>
      <c r="CF4088" s="128"/>
      <c r="CG4088" s="128"/>
      <c r="CI4088" s="128"/>
      <c r="CJ4088" s="128"/>
      <c r="CK4088" s="128"/>
      <c r="CL4088" s="128"/>
      <c r="CM4088" s="128"/>
      <c r="CN4088" s="128"/>
      <c r="CO4088" s="128"/>
      <c r="CP4088" s="128"/>
      <c r="CQ4088" s="128"/>
      <c r="CR4088" s="128"/>
      <c r="CS4088" s="128"/>
      <c r="CT4088" s="128"/>
      <c r="CU4088" s="128"/>
      <c r="CV4088" s="128"/>
      <c r="CW4088" s="128"/>
      <c r="CX4088" s="128"/>
      <c r="CY4088" s="128"/>
      <c r="CZ4088" s="165"/>
    </row>
    <row r="4089" spans="1:104">
      <c r="A4089" s="149"/>
      <c r="B4089" s="149"/>
      <c r="C4089" s="150"/>
      <c r="D4089" s="102"/>
      <c r="E4089" s="149"/>
      <c r="F4089" s="149"/>
      <c r="G4089" s="149"/>
      <c r="H4089" s="149"/>
      <c r="I4089" s="149"/>
      <c r="J4089" s="149"/>
      <c r="K4089" s="149"/>
      <c r="L4089" s="149"/>
      <c r="M4089" s="149"/>
      <c r="N4089" s="149"/>
      <c r="O4089" s="149"/>
      <c r="P4089" s="149"/>
      <c r="Q4089" s="149"/>
      <c r="R4089" s="149"/>
      <c r="S4089" s="149"/>
      <c r="T4089" s="149"/>
      <c r="U4089" s="149"/>
      <c r="V4089" s="149"/>
      <c r="W4089" s="149"/>
      <c r="X4089" s="149"/>
      <c r="Y4089" s="149"/>
      <c r="Z4089" s="149"/>
      <c r="AA4089" s="149"/>
      <c r="AB4089" s="149"/>
      <c r="AC4089" s="149"/>
      <c r="AD4089" s="149"/>
      <c r="AE4089" s="149"/>
      <c r="AF4089" s="149"/>
      <c r="AG4089" s="149"/>
      <c r="AH4089" s="149"/>
      <c r="AI4089" s="149"/>
      <c r="AJ4089" s="149"/>
      <c r="AK4089" s="149"/>
      <c r="AL4089" s="149"/>
      <c r="AM4089" s="149"/>
      <c r="AN4089" s="149"/>
      <c r="AO4089" s="128"/>
      <c r="AP4089" s="128"/>
      <c r="AQ4089" s="128"/>
      <c r="AR4089" s="128"/>
      <c r="AS4089" s="128"/>
      <c r="AT4089" s="128"/>
      <c r="AU4089" s="128"/>
      <c r="AV4089" s="128"/>
      <c r="AW4089" s="128"/>
      <c r="AX4089" s="128"/>
      <c r="AY4089" s="128"/>
      <c r="AZ4089" s="128"/>
      <c r="BA4089" s="128"/>
      <c r="BB4089" s="128"/>
      <c r="BC4089" s="128"/>
      <c r="BD4089" s="128"/>
      <c r="BE4089" s="128"/>
      <c r="BF4089" s="128"/>
      <c r="BG4089" s="128"/>
      <c r="BH4089" s="128"/>
      <c r="BI4089" s="128"/>
      <c r="BJ4089" s="128"/>
      <c r="BK4089" s="128"/>
      <c r="BL4089" s="128"/>
      <c r="BM4089" s="151"/>
      <c r="BN4089" s="128"/>
      <c r="BO4089" s="128"/>
      <c r="BP4089" s="128"/>
      <c r="BQ4089" s="128"/>
      <c r="BR4089" s="128"/>
      <c r="BS4089" s="128"/>
      <c r="BT4089" s="128"/>
      <c r="BU4089" s="128"/>
      <c r="BV4089" s="128"/>
      <c r="BW4089" s="128"/>
      <c r="BX4089" s="128"/>
      <c r="BY4089" s="128"/>
      <c r="BZ4089" s="128"/>
      <c r="CA4089" s="128"/>
      <c r="CB4089" s="128"/>
      <c r="CC4089" s="128"/>
      <c r="CD4089" s="128"/>
      <c r="CE4089" s="128"/>
      <c r="CF4089" s="128"/>
      <c r="CG4089" s="128"/>
      <c r="CI4089" s="128"/>
      <c r="CJ4089" s="128"/>
      <c r="CK4089" s="128"/>
      <c r="CL4089" s="128"/>
      <c r="CM4089" s="128"/>
      <c r="CN4089" s="128"/>
      <c r="CO4089" s="128"/>
      <c r="CP4089" s="128"/>
      <c r="CQ4089" s="128"/>
      <c r="CR4089" s="128"/>
      <c r="CS4089" s="128"/>
      <c r="CT4089" s="128"/>
      <c r="CU4089" s="128"/>
      <c r="CV4089" s="128"/>
      <c r="CW4089" s="128"/>
      <c r="CX4089" s="128"/>
      <c r="CY4089" s="128"/>
      <c r="CZ4089" s="165"/>
    </row>
    <row r="4090" spans="1:104">
      <c r="A4090" s="149"/>
      <c r="B4090" s="149"/>
      <c r="C4090" s="150"/>
      <c r="D4090" s="102"/>
      <c r="E4090" s="149"/>
      <c r="F4090" s="149"/>
      <c r="G4090" s="149"/>
      <c r="H4090" s="149"/>
      <c r="I4090" s="149"/>
      <c r="J4090" s="149"/>
      <c r="K4090" s="149"/>
      <c r="L4090" s="149"/>
      <c r="M4090" s="149"/>
      <c r="N4090" s="149"/>
      <c r="O4090" s="149"/>
      <c r="P4090" s="149"/>
      <c r="Q4090" s="149"/>
      <c r="R4090" s="149"/>
      <c r="S4090" s="149"/>
      <c r="T4090" s="149"/>
      <c r="U4090" s="149"/>
      <c r="V4090" s="149"/>
      <c r="W4090" s="149"/>
      <c r="X4090" s="149"/>
      <c r="Y4090" s="149"/>
      <c r="Z4090" s="149"/>
      <c r="AA4090" s="149"/>
      <c r="AB4090" s="149"/>
      <c r="AC4090" s="149"/>
      <c r="AD4090" s="149"/>
      <c r="AE4090" s="149"/>
      <c r="AF4090" s="149"/>
      <c r="AG4090" s="149"/>
      <c r="AH4090" s="149"/>
      <c r="AI4090" s="149"/>
      <c r="AJ4090" s="149"/>
      <c r="AK4090" s="149"/>
      <c r="AL4090" s="149"/>
      <c r="AM4090" s="149"/>
      <c r="AN4090" s="149"/>
      <c r="AO4090" s="128"/>
      <c r="AP4090" s="128"/>
      <c r="AQ4090" s="128"/>
      <c r="AR4090" s="128"/>
      <c r="AS4090" s="128"/>
      <c r="AT4090" s="128"/>
      <c r="AU4090" s="128"/>
      <c r="AV4090" s="128"/>
      <c r="AW4090" s="128"/>
      <c r="AX4090" s="128"/>
      <c r="AY4090" s="128"/>
      <c r="AZ4090" s="128"/>
      <c r="BA4090" s="128"/>
      <c r="BB4090" s="128"/>
      <c r="BC4090" s="128"/>
      <c r="BD4090" s="128"/>
      <c r="BE4090" s="128"/>
      <c r="BF4090" s="128"/>
      <c r="BG4090" s="128"/>
      <c r="BH4090" s="128"/>
      <c r="BI4090" s="128"/>
      <c r="BJ4090" s="128"/>
      <c r="BK4090" s="128"/>
      <c r="BL4090" s="128"/>
      <c r="BM4090" s="151"/>
      <c r="BN4090" s="128"/>
      <c r="BO4090" s="128"/>
      <c r="BP4090" s="128"/>
      <c r="BQ4090" s="128"/>
      <c r="BR4090" s="128"/>
      <c r="BS4090" s="128"/>
      <c r="BT4090" s="128"/>
      <c r="BU4090" s="128"/>
      <c r="BV4090" s="128"/>
      <c r="BW4090" s="128"/>
      <c r="BX4090" s="128"/>
      <c r="BY4090" s="128"/>
      <c r="BZ4090" s="128"/>
      <c r="CA4090" s="128"/>
      <c r="CB4090" s="128"/>
      <c r="CC4090" s="128"/>
      <c r="CD4090" s="128"/>
      <c r="CE4090" s="128"/>
      <c r="CF4090" s="128"/>
      <c r="CG4090" s="128"/>
      <c r="CI4090" s="128"/>
      <c r="CJ4090" s="128"/>
      <c r="CK4090" s="128"/>
      <c r="CL4090" s="128"/>
      <c r="CM4090" s="128"/>
      <c r="CN4090" s="128"/>
      <c r="CO4090" s="128"/>
      <c r="CP4090" s="128"/>
      <c r="CQ4090" s="128"/>
      <c r="CR4090" s="128"/>
      <c r="CS4090" s="128"/>
      <c r="CT4090" s="128"/>
      <c r="CU4090" s="128"/>
      <c r="CV4090" s="128"/>
      <c r="CW4090" s="128"/>
      <c r="CX4090" s="128"/>
      <c r="CY4090" s="128"/>
      <c r="CZ4090" s="165"/>
    </row>
    <row r="4091" spans="1:104">
      <c r="A4091" s="149"/>
      <c r="B4091" s="149"/>
      <c r="C4091" s="150"/>
      <c r="D4091" s="102"/>
      <c r="E4091" s="149"/>
      <c r="F4091" s="149"/>
      <c r="G4091" s="149"/>
      <c r="H4091" s="149"/>
      <c r="I4091" s="149"/>
      <c r="J4091" s="149"/>
      <c r="K4091" s="149"/>
      <c r="L4091" s="149"/>
      <c r="M4091" s="149"/>
      <c r="N4091" s="149"/>
      <c r="O4091" s="149"/>
      <c r="P4091" s="149"/>
      <c r="Q4091" s="149"/>
      <c r="R4091" s="149"/>
      <c r="S4091" s="149"/>
      <c r="T4091" s="149"/>
      <c r="U4091" s="149"/>
      <c r="V4091" s="149"/>
      <c r="W4091" s="149"/>
      <c r="X4091" s="149"/>
      <c r="Y4091" s="149"/>
      <c r="Z4091" s="149"/>
      <c r="AA4091" s="149"/>
      <c r="AB4091" s="149"/>
      <c r="AC4091" s="149"/>
      <c r="AD4091" s="149"/>
      <c r="AE4091" s="149"/>
      <c r="AF4091" s="149"/>
      <c r="AG4091" s="149"/>
      <c r="AH4091" s="149"/>
      <c r="AI4091" s="149"/>
      <c r="AJ4091" s="149"/>
      <c r="AK4091" s="149"/>
      <c r="AL4091" s="149"/>
      <c r="AM4091" s="149"/>
      <c r="AN4091" s="149"/>
      <c r="AO4091" s="128"/>
      <c r="AP4091" s="128"/>
      <c r="AQ4091" s="128"/>
      <c r="AR4091" s="128"/>
      <c r="AS4091" s="128"/>
      <c r="AT4091" s="128"/>
      <c r="AU4091" s="128"/>
      <c r="AV4091" s="128"/>
      <c r="AW4091" s="128"/>
      <c r="AX4091" s="128"/>
      <c r="AY4091" s="128"/>
      <c r="AZ4091" s="128"/>
      <c r="BA4091" s="128"/>
      <c r="BB4091" s="128"/>
      <c r="BC4091" s="128"/>
      <c r="BD4091" s="128"/>
      <c r="BE4091" s="128"/>
      <c r="BF4091" s="128"/>
      <c r="BG4091" s="128"/>
      <c r="BH4091" s="128"/>
      <c r="BI4091" s="128"/>
      <c r="BJ4091" s="128"/>
      <c r="BK4091" s="128"/>
      <c r="BL4091" s="128"/>
      <c r="BM4091" s="151"/>
      <c r="BN4091" s="128"/>
      <c r="BO4091" s="128"/>
      <c r="BP4091" s="128"/>
      <c r="BQ4091" s="128"/>
      <c r="BR4091" s="128"/>
      <c r="BS4091" s="128"/>
      <c r="BT4091" s="128"/>
      <c r="BU4091" s="128"/>
      <c r="BV4091" s="128"/>
      <c r="BW4091" s="128"/>
      <c r="BX4091" s="128"/>
      <c r="BY4091" s="128"/>
      <c r="BZ4091" s="128"/>
      <c r="CA4091" s="128"/>
      <c r="CB4091" s="128"/>
      <c r="CC4091" s="128"/>
      <c r="CD4091" s="128"/>
      <c r="CE4091" s="128"/>
      <c r="CF4091" s="128"/>
      <c r="CG4091" s="128"/>
      <c r="CI4091" s="128"/>
      <c r="CJ4091" s="128"/>
      <c r="CK4091" s="128"/>
      <c r="CL4091" s="128"/>
      <c r="CM4091" s="128"/>
      <c r="CN4091" s="128"/>
      <c r="CO4091" s="128"/>
      <c r="CP4091" s="128"/>
      <c r="CQ4091" s="128"/>
      <c r="CR4091" s="128"/>
      <c r="CS4091" s="128"/>
      <c r="CT4091" s="128"/>
      <c r="CU4091" s="128"/>
      <c r="CV4091" s="128"/>
      <c r="CW4091" s="128"/>
      <c r="CX4091" s="128"/>
      <c r="CY4091" s="128"/>
      <c r="CZ4091" s="165"/>
    </row>
    <row r="4092" spans="1:104">
      <c r="A4092" s="149"/>
      <c r="B4092" s="149"/>
      <c r="C4092" s="150"/>
      <c r="D4092" s="102"/>
      <c r="E4092" s="149"/>
      <c r="F4092" s="149"/>
      <c r="G4092" s="149"/>
      <c r="H4092" s="149"/>
      <c r="I4092" s="149"/>
      <c r="J4092" s="149"/>
      <c r="K4092" s="149"/>
      <c r="L4092" s="149"/>
      <c r="M4092" s="149"/>
      <c r="N4092" s="149"/>
      <c r="O4092" s="149"/>
      <c r="P4092" s="149"/>
      <c r="Q4092" s="149"/>
      <c r="R4092" s="149"/>
      <c r="S4092" s="149"/>
      <c r="T4092" s="149"/>
      <c r="U4092" s="149"/>
      <c r="V4092" s="149"/>
      <c r="W4092" s="149"/>
      <c r="X4092" s="149"/>
      <c r="Y4092" s="149"/>
      <c r="Z4092" s="149"/>
      <c r="AA4092" s="149"/>
      <c r="AB4092" s="149"/>
      <c r="AC4092" s="149"/>
      <c r="AD4092" s="149"/>
      <c r="AE4092" s="149"/>
      <c r="AF4092" s="149"/>
      <c r="AG4092" s="149"/>
      <c r="AH4092" s="149"/>
      <c r="AI4092" s="149"/>
      <c r="AJ4092" s="149"/>
      <c r="AK4092" s="149"/>
      <c r="AL4092" s="149"/>
      <c r="AM4092" s="149"/>
      <c r="AN4092" s="149"/>
      <c r="AO4092" s="128"/>
      <c r="AP4092" s="128"/>
      <c r="AQ4092" s="128"/>
      <c r="AR4092" s="128"/>
      <c r="AS4092" s="128"/>
      <c r="AT4092" s="128"/>
      <c r="AU4092" s="128"/>
      <c r="AV4092" s="128"/>
      <c r="AW4092" s="128"/>
      <c r="AX4092" s="128"/>
      <c r="AY4092" s="128"/>
      <c r="AZ4092" s="128"/>
      <c r="BA4092" s="128"/>
      <c r="BB4092" s="128"/>
      <c r="BC4092" s="128"/>
      <c r="BD4092" s="128"/>
      <c r="BE4092" s="128"/>
      <c r="BF4092" s="128"/>
      <c r="BG4092" s="128"/>
      <c r="BH4092" s="128"/>
      <c r="BI4092" s="128"/>
      <c r="BJ4092" s="128"/>
      <c r="BK4092" s="128"/>
      <c r="BL4092" s="128"/>
      <c r="BM4092" s="151"/>
      <c r="BN4092" s="128"/>
      <c r="BO4092" s="128"/>
      <c r="BP4092" s="128"/>
      <c r="BQ4092" s="128"/>
      <c r="BR4092" s="128"/>
      <c r="BS4092" s="128"/>
      <c r="BT4092" s="128"/>
      <c r="BU4092" s="128"/>
      <c r="BV4092" s="128"/>
      <c r="BW4092" s="128"/>
      <c r="BX4092" s="128"/>
      <c r="BY4092" s="128"/>
      <c r="BZ4092" s="128"/>
      <c r="CA4092" s="128"/>
      <c r="CB4092" s="128"/>
      <c r="CC4092" s="128"/>
      <c r="CD4092" s="128"/>
      <c r="CE4092" s="128"/>
      <c r="CF4092" s="128"/>
      <c r="CG4092" s="128"/>
      <c r="CI4092" s="128"/>
      <c r="CJ4092" s="128"/>
      <c r="CK4092" s="128"/>
      <c r="CL4092" s="128"/>
      <c r="CM4092" s="128"/>
      <c r="CN4092" s="128"/>
      <c r="CO4092" s="128"/>
      <c r="CP4092" s="128"/>
      <c r="CQ4092" s="128"/>
      <c r="CR4092" s="128"/>
      <c r="CS4092" s="128"/>
      <c r="CT4092" s="128"/>
      <c r="CU4092" s="128"/>
      <c r="CV4092" s="128"/>
      <c r="CW4092" s="128"/>
      <c r="CX4092" s="128"/>
      <c r="CY4092" s="128"/>
      <c r="CZ4092" s="165"/>
    </row>
    <row r="4093" spans="1:104">
      <c r="A4093" s="149"/>
      <c r="B4093" s="149"/>
      <c r="C4093" s="150"/>
      <c r="D4093" s="102"/>
      <c r="E4093" s="149"/>
      <c r="F4093" s="149"/>
      <c r="G4093" s="149"/>
      <c r="H4093" s="149"/>
      <c r="I4093" s="149"/>
      <c r="J4093" s="149"/>
      <c r="K4093" s="149"/>
      <c r="L4093" s="149"/>
      <c r="M4093" s="149"/>
      <c r="N4093" s="149"/>
      <c r="O4093" s="149"/>
      <c r="P4093" s="149"/>
      <c r="Q4093" s="149"/>
      <c r="R4093" s="149"/>
      <c r="S4093" s="149"/>
      <c r="T4093" s="149"/>
      <c r="U4093" s="149"/>
      <c r="V4093" s="149"/>
      <c r="W4093" s="149"/>
      <c r="X4093" s="149"/>
      <c r="Y4093" s="149"/>
      <c r="Z4093" s="149"/>
      <c r="AA4093" s="149"/>
      <c r="AB4093" s="149"/>
      <c r="AC4093" s="149"/>
      <c r="AD4093" s="149"/>
      <c r="AE4093" s="149"/>
      <c r="AF4093" s="149"/>
      <c r="AG4093" s="149"/>
      <c r="AH4093" s="149"/>
      <c r="AI4093" s="149"/>
      <c r="AJ4093" s="149"/>
      <c r="AK4093" s="149"/>
      <c r="AL4093" s="149"/>
      <c r="AM4093" s="149"/>
      <c r="AN4093" s="149"/>
      <c r="AO4093" s="128"/>
      <c r="AP4093" s="128"/>
      <c r="AQ4093" s="128"/>
      <c r="AR4093" s="128"/>
      <c r="AS4093" s="128"/>
      <c r="AT4093" s="128"/>
      <c r="AU4093" s="128"/>
      <c r="AV4093" s="128"/>
      <c r="AW4093" s="128"/>
      <c r="AX4093" s="128"/>
      <c r="AY4093" s="128"/>
      <c r="AZ4093" s="128"/>
      <c r="BA4093" s="128"/>
      <c r="BB4093" s="128"/>
      <c r="BC4093" s="128"/>
      <c r="BD4093" s="128"/>
      <c r="BE4093" s="128"/>
      <c r="BF4093" s="128"/>
      <c r="BG4093" s="128"/>
      <c r="BH4093" s="128"/>
      <c r="BI4093" s="128"/>
      <c r="BJ4093" s="128"/>
      <c r="BK4093" s="128"/>
      <c r="BL4093" s="128"/>
      <c r="BM4093" s="151"/>
      <c r="BN4093" s="128"/>
      <c r="BO4093" s="128"/>
      <c r="BP4093" s="128"/>
      <c r="BQ4093" s="128"/>
      <c r="BR4093" s="128"/>
      <c r="BS4093" s="128"/>
      <c r="BT4093" s="128"/>
      <c r="BU4093" s="128"/>
      <c r="BV4093" s="128"/>
      <c r="BW4093" s="128"/>
      <c r="BX4093" s="128"/>
      <c r="BY4093" s="128"/>
      <c r="BZ4093" s="128"/>
      <c r="CA4093" s="128"/>
      <c r="CB4093" s="128"/>
      <c r="CC4093" s="128"/>
      <c r="CD4093" s="128"/>
      <c r="CE4093" s="128"/>
      <c r="CF4093" s="128"/>
      <c r="CG4093" s="128"/>
      <c r="CI4093" s="128"/>
      <c r="CJ4093" s="128"/>
      <c r="CK4093" s="128"/>
      <c r="CL4093" s="128"/>
      <c r="CM4093" s="128"/>
      <c r="CN4093" s="128"/>
      <c r="CO4093" s="128"/>
      <c r="CP4093" s="128"/>
      <c r="CQ4093" s="128"/>
      <c r="CR4093" s="128"/>
      <c r="CS4093" s="128"/>
      <c r="CT4093" s="128"/>
      <c r="CU4093" s="128"/>
      <c r="CV4093" s="128"/>
      <c r="CW4093" s="128"/>
      <c r="CX4093" s="128"/>
      <c r="CY4093" s="128"/>
      <c r="CZ4093" s="165"/>
    </row>
    <row r="4094" spans="1:104">
      <c r="A4094" s="149"/>
      <c r="B4094" s="149"/>
      <c r="C4094" s="150"/>
      <c r="D4094" s="102"/>
      <c r="E4094" s="149"/>
      <c r="F4094" s="149"/>
      <c r="G4094" s="149"/>
      <c r="H4094" s="149"/>
      <c r="I4094" s="149"/>
      <c r="J4094" s="149"/>
      <c r="K4094" s="149"/>
      <c r="L4094" s="149"/>
      <c r="M4094" s="149"/>
      <c r="N4094" s="149"/>
      <c r="O4094" s="149"/>
      <c r="P4094" s="149"/>
      <c r="Q4094" s="149"/>
      <c r="R4094" s="149"/>
      <c r="S4094" s="149"/>
      <c r="T4094" s="149"/>
      <c r="U4094" s="149"/>
      <c r="V4094" s="149"/>
      <c r="W4094" s="149"/>
      <c r="X4094" s="149"/>
      <c r="Y4094" s="149"/>
      <c r="Z4094" s="149"/>
      <c r="AA4094" s="149"/>
      <c r="AB4094" s="149"/>
      <c r="AC4094" s="149"/>
      <c r="AD4094" s="149"/>
      <c r="AE4094" s="149"/>
      <c r="AF4094" s="149"/>
      <c r="AG4094" s="149"/>
      <c r="AH4094" s="149"/>
      <c r="AI4094" s="149"/>
      <c r="AJ4094" s="149"/>
      <c r="AK4094" s="149"/>
      <c r="AL4094" s="149"/>
      <c r="AM4094" s="149"/>
      <c r="AN4094" s="149"/>
      <c r="AO4094" s="128"/>
      <c r="AP4094" s="128"/>
      <c r="AQ4094" s="128"/>
      <c r="AR4094" s="128"/>
      <c r="AS4094" s="128"/>
      <c r="AT4094" s="128"/>
      <c r="AU4094" s="128"/>
      <c r="AV4094" s="128"/>
      <c r="AW4094" s="128"/>
      <c r="AX4094" s="128"/>
      <c r="AY4094" s="128"/>
      <c r="AZ4094" s="128"/>
      <c r="BA4094" s="128"/>
      <c r="BB4094" s="128"/>
      <c r="BC4094" s="128"/>
      <c r="BD4094" s="128"/>
      <c r="BE4094" s="128"/>
      <c r="BF4094" s="128"/>
      <c r="BG4094" s="128"/>
      <c r="BH4094" s="128"/>
      <c r="BI4094" s="128"/>
      <c r="BJ4094" s="128"/>
      <c r="BK4094" s="128"/>
      <c r="BL4094" s="128"/>
      <c r="BM4094" s="151"/>
      <c r="BN4094" s="128"/>
      <c r="BO4094" s="128"/>
      <c r="BP4094" s="128"/>
      <c r="BQ4094" s="128"/>
      <c r="BR4094" s="128"/>
      <c r="BS4094" s="128"/>
      <c r="BT4094" s="128"/>
      <c r="BU4094" s="128"/>
      <c r="BV4094" s="128"/>
      <c r="BW4094" s="128"/>
      <c r="BX4094" s="128"/>
      <c r="BY4094" s="128"/>
      <c r="BZ4094" s="128"/>
      <c r="CA4094" s="128"/>
      <c r="CB4094" s="128"/>
      <c r="CC4094" s="128"/>
      <c r="CD4094" s="128"/>
      <c r="CE4094" s="128"/>
      <c r="CF4094" s="128"/>
      <c r="CG4094" s="128"/>
      <c r="CI4094" s="128"/>
      <c r="CJ4094" s="128"/>
      <c r="CK4094" s="128"/>
      <c r="CL4094" s="128"/>
      <c r="CM4094" s="128"/>
      <c r="CN4094" s="128"/>
      <c r="CO4094" s="128"/>
      <c r="CP4094" s="128"/>
      <c r="CQ4094" s="128"/>
      <c r="CR4094" s="128"/>
      <c r="CS4094" s="128"/>
      <c r="CT4094" s="128"/>
      <c r="CU4094" s="128"/>
      <c r="CV4094" s="128"/>
      <c r="CW4094" s="128"/>
      <c r="CX4094" s="128"/>
      <c r="CY4094" s="128"/>
      <c r="CZ4094" s="165"/>
    </row>
    <row r="4095" spans="1:104">
      <c r="A4095" s="149"/>
      <c r="B4095" s="149"/>
      <c r="C4095" s="150"/>
      <c r="D4095" s="102"/>
      <c r="E4095" s="149"/>
      <c r="F4095" s="149"/>
      <c r="G4095" s="149"/>
      <c r="H4095" s="149"/>
      <c r="I4095" s="149"/>
      <c r="J4095" s="149"/>
      <c r="K4095" s="149"/>
      <c r="L4095" s="149"/>
      <c r="M4095" s="149"/>
      <c r="N4095" s="149"/>
      <c r="O4095" s="149"/>
      <c r="P4095" s="149"/>
      <c r="Q4095" s="149"/>
      <c r="R4095" s="149"/>
      <c r="S4095" s="149"/>
      <c r="T4095" s="149"/>
      <c r="U4095" s="149"/>
      <c r="V4095" s="149"/>
      <c r="W4095" s="149"/>
      <c r="X4095" s="149"/>
      <c r="Y4095" s="149"/>
      <c r="Z4095" s="149"/>
      <c r="AA4095" s="149"/>
      <c r="AB4095" s="149"/>
      <c r="AC4095" s="149"/>
      <c r="AD4095" s="149"/>
      <c r="AE4095" s="149"/>
      <c r="AF4095" s="149"/>
      <c r="AG4095" s="149"/>
      <c r="AH4095" s="149"/>
      <c r="AI4095" s="149"/>
      <c r="AJ4095" s="149"/>
      <c r="AK4095" s="149"/>
      <c r="AL4095" s="149"/>
      <c r="AM4095" s="149"/>
      <c r="AN4095" s="149"/>
      <c r="AO4095" s="128"/>
      <c r="AP4095" s="128"/>
      <c r="AQ4095" s="128"/>
      <c r="AR4095" s="128"/>
      <c r="AS4095" s="128"/>
      <c r="AT4095" s="128"/>
      <c r="AU4095" s="128"/>
      <c r="AV4095" s="128"/>
      <c r="AW4095" s="128"/>
      <c r="AX4095" s="128"/>
      <c r="AY4095" s="128"/>
      <c r="AZ4095" s="128"/>
      <c r="BA4095" s="128"/>
      <c r="BB4095" s="128"/>
      <c r="BC4095" s="128"/>
      <c r="BD4095" s="128"/>
      <c r="BE4095" s="128"/>
      <c r="BF4095" s="128"/>
      <c r="BG4095" s="128"/>
      <c r="BH4095" s="128"/>
      <c r="BI4095" s="128"/>
      <c r="BJ4095" s="128"/>
      <c r="BK4095" s="128"/>
      <c r="BL4095" s="128"/>
      <c r="BM4095" s="151"/>
      <c r="BN4095" s="128"/>
      <c r="BO4095" s="128"/>
      <c r="BP4095" s="128"/>
      <c r="BQ4095" s="128"/>
      <c r="BR4095" s="128"/>
      <c r="BS4095" s="128"/>
      <c r="BT4095" s="128"/>
      <c r="BU4095" s="128"/>
      <c r="BV4095" s="128"/>
      <c r="BW4095" s="128"/>
      <c r="BX4095" s="128"/>
      <c r="BY4095" s="128"/>
      <c r="BZ4095" s="128"/>
      <c r="CA4095" s="128"/>
      <c r="CB4095" s="128"/>
      <c r="CC4095" s="128"/>
      <c r="CD4095" s="128"/>
      <c r="CE4095" s="128"/>
      <c r="CF4095" s="128"/>
      <c r="CG4095" s="128"/>
      <c r="CI4095" s="128"/>
      <c r="CJ4095" s="128"/>
      <c r="CK4095" s="128"/>
      <c r="CL4095" s="128"/>
      <c r="CM4095" s="128"/>
      <c r="CN4095" s="128"/>
      <c r="CO4095" s="128"/>
      <c r="CP4095" s="128"/>
      <c r="CQ4095" s="128"/>
      <c r="CR4095" s="128"/>
      <c r="CS4095" s="128"/>
      <c r="CT4095" s="128"/>
      <c r="CU4095" s="128"/>
      <c r="CV4095" s="128"/>
      <c r="CW4095" s="128"/>
      <c r="CX4095" s="128"/>
      <c r="CY4095" s="128"/>
      <c r="CZ4095" s="165"/>
    </row>
    <row r="4096" spans="1:104">
      <c r="A4096" s="149"/>
      <c r="B4096" s="149"/>
      <c r="C4096" s="150"/>
      <c r="D4096" s="102"/>
      <c r="E4096" s="149"/>
      <c r="F4096" s="149"/>
      <c r="G4096" s="149"/>
      <c r="H4096" s="149"/>
      <c r="I4096" s="149"/>
      <c r="J4096" s="149"/>
      <c r="K4096" s="149"/>
      <c r="L4096" s="149"/>
      <c r="M4096" s="149"/>
      <c r="N4096" s="149"/>
      <c r="O4096" s="149"/>
      <c r="P4096" s="149"/>
      <c r="Q4096" s="149"/>
      <c r="R4096" s="149"/>
      <c r="S4096" s="149"/>
      <c r="T4096" s="149"/>
      <c r="U4096" s="149"/>
      <c r="V4096" s="149"/>
      <c r="W4096" s="149"/>
      <c r="X4096" s="149"/>
      <c r="Y4096" s="149"/>
      <c r="Z4096" s="149"/>
      <c r="AA4096" s="149"/>
      <c r="AB4096" s="149"/>
      <c r="AC4096" s="149"/>
      <c r="AD4096" s="149"/>
      <c r="AE4096" s="149"/>
      <c r="AF4096" s="149"/>
      <c r="AG4096" s="149"/>
      <c r="AH4096" s="149"/>
      <c r="AI4096" s="149"/>
      <c r="AJ4096" s="149"/>
      <c r="AK4096" s="149"/>
      <c r="AL4096" s="149"/>
      <c r="AM4096" s="149"/>
      <c r="AN4096" s="149"/>
      <c r="AO4096" s="128"/>
      <c r="AP4096" s="128"/>
      <c r="AQ4096" s="128"/>
      <c r="AR4096" s="128"/>
      <c r="AS4096" s="128"/>
      <c r="AT4096" s="128"/>
      <c r="AU4096" s="128"/>
      <c r="AV4096" s="128"/>
      <c r="AW4096" s="128"/>
      <c r="AX4096" s="128"/>
      <c r="AY4096" s="128"/>
      <c r="AZ4096" s="128"/>
      <c r="BA4096" s="128"/>
      <c r="BB4096" s="128"/>
      <c r="BC4096" s="128"/>
      <c r="BD4096" s="128"/>
      <c r="BE4096" s="128"/>
      <c r="BF4096" s="128"/>
      <c r="BG4096" s="128"/>
      <c r="BH4096" s="128"/>
      <c r="BI4096" s="128"/>
      <c r="BJ4096" s="128"/>
      <c r="BK4096" s="128"/>
      <c r="BL4096" s="128"/>
      <c r="BM4096" s="151"/>
      <c r="BN4096" s="128"/>
      <c r="BO4096" s="128"/>
      <c r="BP4096" s="128"/>
      <c r="BQ4096" s="128"/>
      <c r="BR4096" s="128"/>
      <c r="BS4096" s="128"/>
      <c r="BT4096" s="128"/>
      <c r="BU4096" s="128"/>
      <c r="BV4096" s="128"/>
      <c r="BW4096" s="128"/>
      <c r="BX4096" s="128"/>
      <c r="BY4096" s="128"/>
      <c r="BZ4096" s="128"/>
      <c r="CA4096" s="128"/>
      <c r="CB4096" s="128"/>
      <c r="CC4096" s="128"/>
      <c r="CD4096" s="128"/>
      <c r="CE4096" s="128"/>
      <c r="CF4096" s="128"/>
      <c r="CG4096" s="128"/>
      <c r="CI4096" s="128"/>
      <c r="CJ4096" s="128"/>
      <c r="CK4096" s="128"/>
      <c r="CL4096" s="128"/>
      <c r="CM4096" s="128"/>
      <c r="CN4096" s="128"/>
      <c r="CO4096" s="128"/>
      <c r="CP4096" s="128"/>
      <c r="CQ4096" s="128"/>
      <c r="CR4096" s="128"/>
      <c r="CS4096" s="128"/>
      <c r="CT4096" s="128"/>
      <c r="CU4096" s="128"/>
      <c r="CV4096" s="128"/>
      <c r="CW4096" s="128"/>
      <c r="CX4096" s="128"/>
      <c r="CY4096" s="128"/>
      <c r="CZ4096" s="165"/>
    </row>
    <row r="4097" spans="1:104">
      <c r="A4097" s="149"/>
      <c r="B4097" s="149"/>
      <c r="C4097" s="150"/>
      <c r="D4097" s="102"/>
      <c r="E4097" s="149"/>
      <c r="F4097" s="149"/>
      <c r="G4097" s="149"/>
      <c r="H4097" s="149"/>
      <c r="I4097" s="149"/>
      <c r="J4097" s="149"/>
      <c r="K4097" s="149"/>
      <c r="L4097" s="149"/>
      <c r="M4097" s="149"/>
      <c r="N4097" s="149"/>
      <c r="O4097" s="149"/>
      <c r="P4097" s="149"/>
      <c r="Q4097" s="149"/>
      <c r="R4097" s="149"/>
      <c r="S4097" s="149"/>
      <c r="T4097" s="149"/>
      <c r="U4097" s="149"/>
      <c r="V4097" s="149"/>
      <c r="W4097" s="149"/>
      <c r="X4097" s="149"/>
      <c r="Y4097" s="149"/>
      <c r="Z4097" s="149"/>
      <c r="AA4097" s="149"/>
      <c r="AB4097" s="149"/>
      <c r="AC4097" s="149"/>
      <c r="AD4097" s="149"/>
      <c r="AE4097" s="149"/>
      <c r="AF4097" s="149"/>
      <c r="AG4097" s="149"/>
      <c r="AH4097" s="149"/>
      <c r="AI4097" s="149"/>
      <c r="AJ4097" s="149"/>
      <c r="AK4097" s="149"/>
      <c r="AL4097" s="149"/>
      <c r="AM4097" s="149"/>
      <c r="AN4097" s="149"/>
      <c r="AO4097" s="128"/>
      <c r="AP4097" s="128"/>
      <c r="AQ4097" s="128"/>
      <c r="AR4097" s="128"/>
      <c r="AS4097" s="128"/>
      <c r="AT4097" s="128"/>
      <c r="AU4097" s="128"/>
      <c r="AV4097" s="128"/>
      <c r="AW4097" s="128"/>
      <c r="AX4097" s="128"/>
      <c r="AY4097" s="128"/>
      <c r="AZ4097" s="128"/>
      <c r="BA4097" s="128"/>
      <c r="BB4097" s="128"/>
      <c r="BC4097" s="128"/>
      <c r="BD4097" s="128"/>
      <c r="BE4097" s="128"/>
      <c r="BF4097" s="128"/>
      <c r="BG4097" s="128"/>
      <c r="BH4097" s="128"/>
      <c r="BI4097" s="128"/>
      <c r="BJ4097" s="128"/>
      <c r="BK4097" s="128"/>
      <c r="BL4097" s="128"/>
      <c r="BM4097" s="151"/>
      <c r="BN4097" s="128"/>
      <c r="BO4097" s="128"/>
      <c r="BP4097" s="128"/>
      <c r="BQ4097" s="128"/>
      <c r="BR4097" s="128"/>
      <c r="BS4097" s="128"/>
      <c r="BT4097" s="128"/>
      <c r="BU4097" s="128"/>
      <c r="BV4097" s="128"/>
      <c r="BW4097" s="128"/>
      <c r="BX4097" s="128"/>
      <c r="BY4097" s="128"/>
      <c r="BZ4097" s="128"/>
      <c r="CA4097" s="128"/>
      <c r="CB4097" s="128"/>
      <c r="CC4097" s="128"/>
      <c r="CD4097" s="128"/>
      <c r="CE4097" s="128"/>
      <c r="CF4097" s="128"/>
      <c r="CG4097" s="128"/>
      <c r="CI4097" s="128"/>
      <c r="CJ4097" s="128"/>
      <c r="CK4097" s="128"/>
      <c r="CL4097" s="128"/>
      <c r="CM4097" s="128"/>
      <c r="CN4097" s="128"/>
      <c r="CO4097" s="128"/>
      <c r="CP4097" s="128"/>
      <c r="CQ4097" s="128"/>
      <c r="CR4097" s="128"/>
      <c r="CS4097" s="128"/>
      <c r="CT4097" s="128"/>
      <c r="CU4097" s="128"/>
      <c r="CV4097" s="128"/>
      <c r="CW4097" s="128"/>
      <c r="CX4097" s="128"/>
      <c r="CY4097" s="128"/>
      <c r="CZ4097" s="165"/>
    </row>
    <row r="4098" spans="1:104">
      <c r="A4098" s="149"/>
      <c r="B4098" s="149"/>
      <c r="C4098" s="150"/>
      <c r="D4098" s="102"/>
      <c r="E4098" s="149"/>
      <c r="F4098" s="149"/>
      <c r="G4098" s="149"/>
      <c r="H4098" s="149"/>
      <c r="I4098" s="149"/>
      <c r="J4098" s="149"/>
      <c r="K4098" s="149"/>
      <c r="L4098" s="149"/>
      <c r="M4098" s="149"/>
      <c r="N4098" s="149"/>
      <c r="O4098" s="149"/>
      <c r="P4098" s="149"/>
      <c r="Q4098" s="149"/>
      <c r="R4098" s="149"/>
      <c r="S4098" s="149"/>
      <c r="T4098" s="149"/>
      <c r="U4098" s="149"/>
      <c r="V4098" s="149"/>
      <c r="W4098" s="149"/>
      <c r="X4098" s="149"/>
      <c r="Y4098" s="149"/>
      <c r="Z4098" s="149"/>
      <c r="AA4098" s="149"/>
      <c r="AB4098" s="149"/>
      <c r="AC4098" s="149"/>
      <c r="AD4098" s="149"/>
      <c r="AE4098" s="149"/>
      <c r="AF4098" s="149"/>
      <c r="AG4098" s="149"/>
      <c r="AH4098" s="149"/>
      <c r="AI4098" s="149"/>
      <c r="AJ4098" s="149"/>
      <c r="AK4098" s="149"/>
      <c r="AL4098" s="149"/>
      <c r="AM4098" s="149"/>
      <c r="AN4098" s="149"/>
      <c r="AO4098" s="128"/>
      <c r="AP4098" s="128"/>
      <c r="AQ4098" s="128"/>
      <c r="AR4098" s="128"/>
      <c r="AS4098" s="128"/>
      <c r="AT4098" s="128"/>
      <c r="AU4098" s="128"/>
      <c r="AV4098" s="128"/>
      <c r="AW4098" s="128"/>
      <c r="AX4098" s="128"/>
      <c r="AY4098" s="128"/>
      <c r="AZ4098" s="128"/>
      <c r="BA4098" s="128"/>
      <c r="BB4098" s="128"/>
      <c r="BC4098" s="128"/>
      <c r="BD4098" s="128"/>
      <c r="BE4098" s="128"/>
      <c r="BF4098" s="128"/>
      <c r="BG4098" s="128"/>
      <c r="BH4098" s="128"/>
      <c r="BI4098" s="128"/>
      <c r="BJ4098" s="128"/>
      <c r="BK4098" s="128"/>
      <c r="BL4098" s="128"/>
      <c r="BM4098" s="151"/>
      <c r="BN4098" s="128"/>
      <c r="BO4098" s="128"/>
      <c r="BP4098" s="128"/>
      <c r="BQ4098" s="128"/>
      <c r="BR4098" s="128"/>
      <c r="BS4098" s="128"/>
      <c r="BT4098" s="128"/>
      <c r="BU4098" s="128"/>
      <c r="BV4098" s="128"/>
      <c r="BW4098" s="128"/>
      <c r="BX4098" s="128"/>
      <c r="BY4098" s="128"/>
      <c r="BZ4098" s="128"/>
      <c r="CA4098" s="128"/>
      <c r="CB4098" s="128"/>
      <c r="CC4098" s="128"/>
      <c r="CD4098" s="128"/>
      <c r="CE4098" s="128"/>
      <c r="CF4098" s="128"/>
      <c r="CG4098" s="128"/>
      <c r="CI4098" s="128"/>
      <c r="CJ4098" s="128"/>
      <c r="CK4098" s="128"/>
      <c r="CL4098" s="128"/>
      <c r="CM4098" s="128"/>
      <c r="CN4098" s="128"/>
      <c r="CO4098" s="128"/>
      <c r="CP4098" s="128"/>
      <c r="CQ4098" s="128"/>
      <c r="CR4098" s="128"/>
      <c r="CS4098" s="128"/>
      <c r="CT4098" s="128"/>
      <c r="CU4098" s="128"/>
      <c r="CV4098" s="128"/>
      <c r="CW4098" s="128"/>
      <c r="CX4098" s="128"/>
      <c r="CY4098" s="128"/>
      <c r="CZ4098" s="165"/>
    </row>
    <row r="4099" spans="1:104">
      <c r="A4099" s="149"/>
      <c r="B4099" s="149"/>
      <c r="C4099" s="150"/>
      <c r="D4099" s="102"/>
      <c r="E4099" s="149"/>
      <c r="F4099" s="149"/>
      <c r="G4099" s="149"/>
      <c r="H4099" s="149"/>
      <c r="I4099" s="149"/>
      <c r="J4099" s="149"/>
      <c r="K4099" s="149"/>
      <c r="L4099" s="149"/>
      <c r="M4099" s="149"/>
      <c r="N4099" s="149"/>
      <c r="O4099" s="149"/>
      <c r="P4099" s="149"/>
      <c r="Q4099" s="149"/>
      <c r="R4099" s="149"/>
      <c r="S4099" s="149"/>
      <c r="T4099" s="149"/>
      <c r="U4099" s="149"/>
      <c r="V4099" s="149"/>
      <c r="W4099" s="149"/>
      <c r="X4099" s="149"/>
      <c r="Y4099" s="149"/>
      <c r="Z4099" s="149"/>
      <c r="AA4099" s="149"/>
      <c r="AB4099" s="149"/>
      <c r="AC4099" s="149"/>
      <c r="AD4099" s="149"/>
      <c r="AE4099" s="149"/>
      <c r="AF4099" s="149"/>
      <c r="AG4099" s="149"/>
      <c r="AH4099" s="149"/>
      <c r="AI4099" s="149"/>
      <c r="AJ4099" s="149"/>
      <c r="AK4099" s="149"/>
      <c r="AL4099" s="149"/>
      <c r="AM4099" s="149"/>
      <c r="AN4099" s="149"/>
      <c r="AO4099" s="128"/>
      <c r="AP4099" s="128"/>
      <c r="AQ4099" s="128"/>
      <c r="AR4099" s="128"/>
      <c r="AS4099" s="128"/>
      <c r="AT4099" s="128"/>
      <c r="AU4099" s="128"/>
      <c r="AV4099" s="128"/>
      <c r="AW4099" s="128"/>
      <c r="AX4099" s="128"/>
      <c r="AY4099" s="128"/>
      <c r="AZ4099" s="128"/>
      <c r="BA4099" s="128"/>
      <c r="BB4099" s="128"/>
      <c r="BC4099" s="128"/>
      <c r="BD4099" s="128"/>
      <c r="BE4099" s="128"/>
      <c r="BF4099" s="128"/>
      <c r="BG4099" s="128"/>
      <c r="BH4099" s="128"/>
      <c r="BI4099" s="128"/>
      <c r="BJ4099" s="128"/>
      <c r="BK4099" s="128"/>
      <c r="BL4099" s="128"/>
      <c r="BM4099" s="151"/>
      <c r="BN4099" s="128"/>
      <c r="BO4099" s="128"/>
      <c r="BP4099" s="128"/>
      <c r="BQ4099" s="128"/>
      <c r="BR4099" s="128"/>
      <c r="BS4099" s="128"/>
      <c r="BT4099" s="128"/>
      <c r="BU4099" s="128"/>
      <c r="BV4099" s="128"/>
      <c r="BW4099" s="128"/>
      <c r="BX4099" s="128"/>
      <c r="BY4099" s="128"/>
      <c r="BZ4099" s="128"/>
      <c r="CA4099" s="128"/>
      <c r="CB4099" s="128"/>
      <c r="CC4099" s="128"/>
      <c r="CD4099" s="128"/>
      <c r="CE4099" s="128"/>
      <c r="CF4099" s="128"/>
      <c r="CG4099" s="128"/>
      <c r="CI4099" s="128"/>
      <c r="CJ4099" s="128"/>
      <c r="CK4099" s="128"/>
      <c r="CL4099" s="128"/>
      <c r="CM4099" s="128"/>
      <c r="CN4099" s="128"/>
      <c r="CO4099" s="128"/>
      <c r="CP4099" s="128"/>
      <c r="CQ4099" s="128"/>
      <c r="CR4099" s="128"/>
      <c r="CS4099" s="128"/>
      <c r="CT4099" s="128"/>
      <c r="CU4099" s="128"/>
      <c r="CV4099" s="128"/>
      <c r="CW4099" s="128"/>
      <c r="CX4099" s="128"/>
      <c r="CY4099" s="128"/>
      <c r="CZ4099" s="165"/>
    </row>
    <row r="4100" spans="1:104">
      <c r="A4100" s="149"/>
      <c r="B4100" s="149"/>
      <c r="C4100" s="150"/>
      <c r="D4100" s="102"/>
      <c r="E4100" s="149"/>
      <c r="F4100" s="149"/>
      <c r="G4100" s="149"/>
      <c r="H4100" s="149"/>
      <c r="I4100" s="149"/>
      <c r="J4100" s="149"/>
      <c r="K4100" s="149"/>
      <c r="L4100" s="149"/>
      <c r="M4100" s="149"/>
      <c r="N4100" s="149"/>
      <c r="O4100" s="149"/>
      <c r="P4100" s="149"/>
      <c r="Q4100" s="149"/>
      <c r="R4100" s="149"/>
      <c r="S4100" s="149"/>
      <c r="T4100" s="149"/>
      <c r="U4100" s="149"/>
      <c r="V4100" s="149"/>
      <c r="W4100" s="149"/>
      <c r="X4100" s="149"/>
      <c r="Y4100" s="149"/>
      <c r="Z4100" s="149"/>
      <c r="AA4100" s="149"/>
      <c r="AB4100" s="149"/>
      <c r="AC4100" s="149"/>
      <c r="AD4100" s="149"/>
      <c r="AE4100" s="149"/>
      <c r="AF4100" s="149"/>
      <c r="AG4100" s="149"/>
      <c r="AH4100" s="149"/>
      <c r="AI4100" s="149"/>
      <c r="AJ4100" s="149"/>
      <c r="AK4100" s="149"/>
      <c r="AL4100" s="149"/>
      <c r="AM4100" s="149"/>
      <c r="AN4100" s="149"/>
      <c r="AO4100" s="128"/>
      <c r="AP4100" s="128"/>
      <c r="AQ4100" s="128"/>
      <c r="AR4100" s="128"/>
      <c r="AS4100" s="128"/>
      <c r="AT4100" s="128"/>
      <c r="AU4100" s="128"/>
      <c r="AV4100" s="128"/>
      <c r="AW4100" s="128"/>
      <c r="AX4100" s="128"/>
      <c r="AY4100" s="128"/>
      <c r="AZ4100" s="128"/>
      <c r="BA4100" s="128"/>
      <c r="BB4100" s="128"/>
      <c r="BC4100" s="128"/>
      <c r="BD4100" s="128"/>
      <c r="BE4100" s="128"/>
      <c r="BF4100" s="128"/>
      <c r="BG4100" s="128"/>
      <c r="BH4100" s="128"/>
      <c r="BI4100" s="128"/>
      <c r="BJ4100" s="128"/>
      <c r="BK4100" s="128"/>
      <c r="BL4100" s="128"/>
      <c r="BM4100" s="151"/>
      <c r="BN4100" s="128"/>
      <c r="BO4100" s="128"/>
      <c r="BP4100" s="128"/>
      <c r="BQ4100" s="128"/>
      <c r="BR4100" s="128"/>
      <c r="BS4100" s="128"/>
      <c r="BT4100" s="128"/>
      <c r="BU4100" s="128"/>
      <c r="BV4100" s="128"/>
      <c r="BW4100" s="128"/>
      <c r="BX4100" s="128"/>
      <c r="BY4100" s="128"/>
      <c r="BZ4100" s="128"/>
      <c r="CA4100" s="128"/>
      <c r="CB4100" s="128"/>
      <c r="CC4100" s="128"/>
      <c r="CD4100" s="128"/>
      <c r="CE4100" s="128"/>
      <c r="CF4100" s="128"/>
      <c r="CG4100" s="128"/>
      <c r="CI4100" s="128"/>
      <c r="CJ4100" s="128"/>
      <c r="CK4100" s="128"/>
      <c r="CL4100" s="128"/>
      <c r="CM4100" s="128"/>
      <c r="CN4100" s="128"/>
      <c r="CO4100" s="128"/>
      <c r="CP4100" s="128"/>
      <c r="CQ4100" s="128"/>
      <c r="CR4100" s="128"/>
      <c r="CS4100" s="128"/>
      <c r="CT4100" s="128"/>
      <c r="CU4100" s="128"/>
      <c r="CV4100" s="128"/>
      <c r="CW4100" s="128"/>
      <c r="CX4100" s="128"/>
      <c r="CY4100" s="128"/>
      <c r="CZ4100" s="165"/>
    </row>
    <row r="4101" spans="1:104">
      <c r="A4101" s="149"/>
      <c r="B4101" s="149"/>
      <c r="C4101" s="150"/>
      <c r="D4101" s="102"/>
      <c r="E4101" s="149"/>
      <c r="F4101" s="149"/>
      <c r="G4101" s="149"/>
      <c r="H4101" s="149"/>
      <c r="I4101" s="149"/>
      <c r="J4101" s="149"/>
      <c r="K4101" s="149"/>
      <c r="L4101" s="149"/>
      <c r="M4101" s="149"/>
      <c r="N4101" s="149"/>
      <c r="O4101" s="149"/>
      <c r="P4101" s="149"/>
      <c r="Q4101" s="149"/>
      <c r="R4101" s="149"/>
      <c r="S4101" s="149"/>
      <c r="T4101" s="149"/>
      <c r="U4101" s="149"/>
      <c r="V4101" s="149"/>
      <c r="W4101" s="149"/>
      <c r="X4101" s="149"/>
      <c r="Y4101" s="149"/>
      <c r="Z4101" s="149"/>
      <c r="AA4101" s="149"/>
      <c r="AB4101" s="149"/>
      <c r="AC4101" s="149"/>
      <c r="AD4101" s="149"/>
      <c r="AE4101" s="149"/>
      <c r="AF4101" s="149"/>
      <c r="AG4101" s="149"/>
      <c r="AH4101" s="149"/>
      <c r="AI4101" s="149"/>
      <c r="AJ4101" s="149"/>
      <c r="AK4101" s="149"/>
      <c r="AL4101" s="149"/>
      <c r="AM4101" s="149"/>
      <c r="AN4101" s="149"/>
      <c r="AO4101" s="128"/>
      <c r="AP4101" s="128"/>
      <c r="AQ4101" s="128"/>
      <c r="AR4101" s="128"/>
      <c r="AS4101" s="128"/>
      <c r="AT4101" s="128"/>
      <c r="AU4101" s="128"/>
      <c r="AV4101" s="128"/>
      <c r="AW4101" s="128"/>
      <c r="AX4101" s="128"/>
      <c r="AY4101" s="128"/>
      <c r="AZ4101" s="128"/>
      <c r="BA4101" s="128"/>
      <c r="BB4101" s="128"/>
      <c r="BC4101" s="128"/>
      <c r="BD4101" s="128"/>
      <c r="BE4101" s="128"/>
      <c r="BF4101" s="128"/>
      <c r="BG4101" s="128"/>
      <c r="BH4101" s="128"/>
      <c r="BI4101" s="128"/>
      <c r="BJ4101" s="128"/>
      <c r="BK4101" s="128"/>
      <c r="BL4101" s="128"/>
      <c r="BM4101" s="151"/>
      <c r="BN4101" s="128"/>
      <c r="BO4101" s="128"/>
      <c r="BP4101" s="128"/>
      <c r="BQ4101" s="128"/>
      <c r="BR4101" s="128"/>
      <c r="BS4101" s="128"/>
      <c r="BT4101" s="128"/>
      <c r="BU4101" s="128"/>
      <c r="BV4101" s="128"/>
      <c r="BW4101" s="128"/>
      <c r="BX4101" s="128"/>
      <c r="BY4101" s="128"/>
      <c r="BZ4101" s="128"/>
      <c r="CA4101" s="128"/>
      <c r="CB4101" s="128"/>
      <c r="CC4101" s="128"/>
      <c r="CD4101" s="128"/>
      <c r="CE4101" s="128"/>
      <c r="CF4101" s="128"/>
      <c r="CG4101" s="128"/>
      <c r="CI4101" s="128"/>
      <c r="CJ4101" s="128"/>
      <c r="CK4101" s="128"/>
      <c r="CL4101" s="128"/>
      <c r="CM4101" s="128"/>
      <c r="CN4101" s="128"/>
      <c r="CO4101" s="128"/>
      <c r="CP4101" s="128"/>
      <c r="CQ4101" s="128"/>
      <c r="CR4101" s="128"/>
      <c r="CS4101" s="128"/>
      <c r="CT4101" s="128"/>
      <c r="CU4101" s="128"/>
      <c r="CV4101" s="128"/>
      <c r="CW4101" s="128"/>
      <c r="CX4101" s="128"/>
      <c r="CY4101" s="128"/>
      <c r="CZ4101" s="165"/>
    </row>
    <row r="4102" spans="1:104">
      <c r="A4102" s="149"/>
      <c r="B4102" s="149"/>
      <c r="C4102" s="150"/>
      <c r="D4102" s="102"/>
      <c r="E4102" s="149"/>
      <c r="F4102" s="149"/>
      <c r="G4102" s="149"/>
      <c r="H4102" s="149"/>
      <c r="I4102" s="149"/>
      <c r="J4102" s="149"/>
      <c r="K4102" s="149"/>
      <c r="L4102" s="149"/>
      <c r="M4102" s="149"/>
      <c r="N4102" s="149"/>
      <c r="O4102" s="149"/>
      <c r="P4102" s="149"/>
      <c r="Q4102" s="149"/>
      <c r="R4102" s="149"/>
      <c r="S4102" s="149"/>
      <c r="T4102" s="149"/>
      <c r="U4102" s="149"/>
      <c r="V4102" s="149"/>
      <c r="W4102" s="149"/>
      <c r="X4102" s="149"/>
      <c r="Y4102" s="149"/>
      <c r="Z4102" s="149"/>
      <c r="AA4102" s="149"/>
      <c r="AB4102" s="149"/>
      <c r="AC4102" s="149"/>
      <c r="AD4102" s="149"/>
      <c r="AE4102" s="149"/>
      <c r="AF4102" s="149"/>
      <c r="AG4102" s="149"/>
      <c r="AH4102" s="149"/>
      <c r="AI4102" s="149"/>
      <c r="AJ4102" s="149"/>
      <c r="AK4102" s="149"/>
      <c r="AL4102" s="149"/>
      <c r="AM4102" s="149"/>
      <c r="AN4102" s="149"/>
      <c r="AO4102" s="128"/>
      <c r="AP4102" s="128"/>
      <c r="AQ4102" s="128"/>
      <c r="AR4102" s="128"/>
      <c r="AS4102" s="128"/>
      <c r="AT4102" s="128"/>
      <c r="AU4102" s="128"/>
      <c r="AV4102" s="128"/>
      <c r="AW4102" s="128"/>
      <c r="AX4102" s="128"/>
      <c r="AY4102" s="128"/>
      <c r="AZ4102" s="128"/>
      <c r="BA4102" s="128"/>
      <c r="BB4102" s="128"/>
      <c r="BC4102" s="128"/>
      <c r="BD4102" s="128"/>
      <c r="BE4102" s="128"/>
      <c r="BF4102" s="128"/>
      <c r="BG4102" s="128"/>
      <c r="BH4102" s="128"/>
      <c r="BI4102" s="128"/>
      <c r="BJ4102" s="128"/>
      <c r="BK4102" s="128"/>
      <c r="BL4102" s="128"/>
      <c r="BM4102" s="151"/>
      <c r="BN4102" s="128"/>
      <c r="BO4102" s="128"/>
      <c r="BP4102" s="128"/>
      <c r="BQ4102" s="128"/>
      <c r="BR4102" s="128"/>
      <c r="BS4102" s="128"/>
      <c r="BT4102" s="128"/>
      <c r="BU4102" s="128"/>
      <c r="BV4102" s="128"/>
      <c r="BW4102" s="128"/>
      <c r="BX4102" s="128"/>
      <c r="BY4102" s="128"/>
      <c r="BZ4102" s="128"/>
      <c r="CA4102" s="128"/>
      <c r="CB4102" s="128"/>
      <c r="CC4102" s="128"/>
      <c r="CD4102" s="128"/>
      <c r="CE4102" s="128"/>
      <c r="CF4102" s="128"/>
      <c r="CG4102" s="128"/>
      <c r="CI4102" s="128"/>
      <c r="CJ4102" s="128"/>
      <c r="CK4102" s="128"/>
      <c r="CL4102" s="128"/>
      <c r="CM4102" s="128"/>
      <c r="CN4102" s="128"/>
      <c r="CO4102" s="128"/>
      <c r="CP4102" s="128"/>
      <c r="CQ4102" s="128"/>
      <c r="CR4102" s="128"/>
      <c r="CS4102" s="128"/>
      <c r="CT4102" s="128"/>
      <c r="CU4102" s="128"/>
      <c r="CV4102" s="128"/>
      <c r="CW4102" s="128"/>
      <c r="CX4102" s="128"/>
      <c r="CY4102" s="128"/>
      <c r="CZ4102" s="165"/>
    </row>
    <row r="4103" spans="1:104">
      <c r="A4103" s="149"/>
      <c r="B4103" s="149"/>
      <c r="C4103" s="150"/>
      <c r="D4103" s="102"/>
      <c r="E4103" s="149"/>
      <c r="F4103" s="149"/>
      <c r="G4103" s="149"/>
      <c r="H4103" s="149"/>
      <c r="I4103" s="149"/>
      <c r="J4103" s="149"/>
      <c r="K4103" s="149"/>
      <c r="L4103" s="149"/>
      <c r="M4103" s="149"/>
      <c r="N4103" s="149"/>
      <c r="O4103" s="149"/>
      <c r="P4103" s="149"/>
      <c r="Q4103" s="149"/>
      <c r="R4103" s="149"/>
      <c r="S4103" s="149"/>
      <c r="T4103" s="149"/>
      <c r="U4103" s="149"/>
      <c r="V4103" s="149"/>
      <c r="W4103" s="149"/>
      <c r="X4103" s="149"/>
      <c r="Y4103" s="149"/>
      <c r="Z4103" s="149"/>
      <c r="AA4103" s="149"/>
      <c r="AB4103" s="149"/>
      <c r="AC4103" s="149"/>
      <c r="AD4103" s="149"/>
      <c r="AE4103" s="149"/>
      <c r="AF4103" s="149"/>
      <c r="AG4103" s="149"/>
      <c r="AH4103" s="149"/>
      <c r="AI4103" s="149"/>
      <c r="AJ4103" s="149"/>
      <c r="AK4103" s="149"/>
      <c r="AL4103" s="149"/>
      <c r="AM4103" s="149"/>
      <c r="AN4103" s="149"/>
      <c r="AO4103" s="128"/>
      <c r="AP4103" s="128"/>
      <c r="AQ4103" s="128"/>
      <c r="AR4103" s="128"/>
      <c r="AS4103" s="128"/>
      <c r="AT4103" s="128"/>
      <c r="AU4103" s="128"/>
      <c r="AV4103" s="128"/>
      <c r="AW4103" s="128"/>
      <c r="AX4103" s="128"/>
      <c r="AY4103" s="128"/>
      <c r="AZ4103" s="128"/>
      <c r="BA4103" s="128"/>
      <c r="BB4103" s="128"/>
      <c r="BC4103" s="128"/>
      <c r="BD4103" s="128"/>
      <c r="BE4103" s="128"/>
      <c r="BF4103" s="128"/>
      <c r="BG4103" s="128"/>
      <c r="BH4103" s="128"/>
      <c r="BI4103" s="128"/>
      <c r="BJ4103" s="128"/>
      <c r="BK4103" s="128"/>
      <c r="BL4103" s="128"/>
      <c r="BM4103" s="151"/>
      <c r="BN4103" s="128"/>
      <c r="BO4103" s="128"/>
      <c r="BP4103" s="128"/>
      <c r="BQ4103" s="128"/>
      <c r="BR4103" s="128"/>
      <c r="BS4103" s="128"/>
      <c r="BT4103" s="128"/>
      <c r="BU4103" s="128"/>
      <c r="BV4103" s="128"/>
      <c r="BW4103" s="128"/>
      <c r="BX4103" s="128"/>
      <c r="BY4103" s="128"/>
      <c r="BZ4103" s="128"/>
      <c r="CA4103" s="128"/>
      <c r="CB4103" s="128"/>
      <c r="CC4103" s="128"/>
      <c r="CD4103" s="128"/>
      <c r="CE4103" s="128"/>
      <c r="CF4103" s="128"/>
      <c r="CG4103" s="128"/>
      <c r="CI4103" s="128"/>
      <c r="CJ4103" s="128"/>
      <c r="CK4103" s="128"/>
      <c r="CL4103" s="128"/>
      <c r="CM4103" s="128"/>
      <c r="CN4103" s="128"/>
      <c r="CO4103" s="128"/>
      <c r="CP4103" s="128"/>
      <c r="CQ4103" s="128"/>
      <c r="CR4103" s="128"/>
      <c r="CS4103" s="128"/>
      <c r="CT4103" s="128"/>
      <c r="CU4103" s="128"/>
      <c r="CV4103" s="128"/>
      <c r="CW4103" s="128"/>
      <c r="CX4103" s="128"/>
      <c r="CY4103" s="128"/>
      <c r="CZ4103" s="165"/>
    </row>
    <row r="4104" spans="1:104">
      <c r="A4104" s="149"/>
      <c r="B4104" s="149"/>
      <c r="C4104" s="150"/>
      <c r="D4104" s="102"/>
      <c r="E4104" s="149"/>
      <c r="F4104" s="149"/>
      <c r="G4104" s="149"/>
      <c r="H4104" s="149"/>
      <c r="I4104" s="149"/>
      <c r="J4104" s="149"/>
      <c r="K4104" s="149"/>
      <c r="L4104" s="149"/>
      <c r="M4104" s="149"/>
      <c r="N4104" s="149"/>
      <c r="O4104" s="149"/>
      <c r="P4104" s="149"/>
      <c r="Q4104" s="149"/>
      <c r="R4104" s="149"/>
      <c r="S4104" s="149"/>
      <c r="T4104" s="149"/>
      <c r="U4104" s="149"/>
      <c r="V4104" s="149"/>
      <c r="W4104" s="149"/>
      <c r="X4104" s="149"/>
      <c r="Y4104" s="149"/>
      <c r="Z4104" s="149"/>
      <c r="AA4104" s="149"/>
      <c r="AB4104" s="149"/>
      <c r="AC4104" s="149"/>
      <c r="AD4104" s="149"/>
      <c r="AE4104" s="149"/>
      <c r="AF4104" s="149"/>
      <c r="AG4104" s="149"/>
      <c r="AH4104" s="149"/>
      <c r="AI4104" s="149"/>
      <c r="AJ4104" s="149"/>
      <c r="AK4104" s="149"/>
      <c r="AL4104" s="149"/>
      <c r="AM4104" s="149"/>
      <c r="AN4104" s="149"/>
      <c r="AO4104" s="128"/>
      <c r="AP4104" s="128"/>
      <c r="AQ4104" s="128"/>
      <c r="AR4104" s="128"/>
      <c r="AS4104" s="128"/>
      <c r="AT4104" s="128"/>
      <c r="AU4104" s="128"/>
      <c r="AV4104" s="128"/>
      <c r="AW4104" s="128"/>
      <c r="AX4104" s="128"/>
      <c r="AY4104" s="128"/>
      <c r="AZ4104" s="128"/>
      <c r="BA4104" s="128"/>
      <c r="BB4104" s="128"/>
      <c r="BC4104" s="128"/>
      <c r="BD4104" s="128"/>
      <c r="BE4104" s="128"/>
      <c r="BF4104" s="128"/>
      <c r="BG4104" s="128"/>
      <c r="BH4104" s="128"/>
      <c r="BI4104" s="128"/>
      <c r="BJ4104" s="128"/>
      <c r="BK4104" s="128"/>
      <c r="BL4104" s="128"/>
      <c r="BM4104" s="151"/>
      <c r="BN4104" s="128"/>
      <c r="BO4104" s="128"/>
      <c r="BP4104" s="128"/>
      <c r="BQ4104" s="128"/>
      <c r="BR4104" s="128"/>
      <c r="BS4104" s="128"/>
      <c r="BT4104" s="128"/>
      <c r="BU4104" s="128"/>
      <c r="BV4104" s="128"/>
      <c r="BW4104" s="128"/>
      <c r="BX4104" s="128"/>
      <c r="BY4104" s="128"/>
      <c r="BZ4104" s="128"/>
      <c r="CA4104" s="128"/>
      <c r="CB4104" s="128"/>
      <c r="CC4104" s="128"/>
      <c r="CD4104" s="128"/>
      <c r="CE4104" s="128"/>
      <c r="CF4104" s="128"/>
      <c r="CG4104" s="128"/>
      <c r="CI4104" s="128"/>
      <c r="CJ4104" s="128"/>
      <c r="CK4104" s="128"/>
      <c r="CL4104" s="128"/>
      <c r="CM4104" s="128"/>
      <c r="CN4104" s="128"/>
      <c r="CO4104" s="128"/>
      <c r="CP4104" s="128"/>
      <c r="CQ4104" s="128"/>
      <c r="CR4104" s="128"/>
      <c r="CS4104" s="128"/>
      <c r="CT4104" s="128"/>
      <c r="CU4104" s="128"/>
      <c r="CV4104" s="128"/>
      <c r="CW4104" s="128"/>
      <c r="CX4104" s="128"/>
      <c r="CY4104" s="128"/>
      <c r="CZ4104" s="165"/>
    </row>
    <row r="4105" spans="1:104">
      <c r="A4105" s="149"/>
      <c r="B4105" s="149"/>
      <c r="C4105" s="150"/>
      <c r="D4105" s="102"/>
      <c r="E4105" s="149"/>
      <c r="F4105" s="149"/>
      <c r="G4105" s="149"/>
      <c r="H4105" s="149"/>
      <c r="I4105" s="149"/>
      <c r="J4105" s="149"/>
      <c r="K4105" s="149"/>
      <c r="L4105" s="149"/>
      <c r="M4105" s="149"/>
      <c r="N4105" s="149"/>
      <c r="O4105" s="149"/>
      <c r="P4105" s="149"/>
      <c r="Q4105" s="149"/>
      <c r="R4105" s="149"/>
      <c r="S4105" s="149"/>
      <c r="T4105" s="149"/>
      <c r="U4105" s="149"/>
      <c r="V4105" s="149"/>
      <c r="W4105" s="149"/>
      <c r="X4105" s="149"/>
      <c r="Y4105" s="149"/>
      <c r="Z4105" s="149"/>
      <c r="AA4105" s="149"/>
      <c r="AB4105" s="149"/>
      <c r="AC4105" s="149"/>
      <c r="AD4105" s="149"/>
      <c r="AE4105" s="149"/>
      <c r="AF4105" s="149"/>
      <c r="AG4105" s="149"/>
      <c r="AH4105" s="149"/>
      <c r="AI4105" s="149"/>
      <c r="AJ4105" s="149"/>
      <c r="AK4105" s="149"/>
      <c r="AL4105" s="149"/>
      <c r="AM4105" s="149"/>
      <c r="AN4105" s="149"/>
      <c r="AO4105" s="128"/>
      <c r="AP4105" s="128"/>
      <c r="AQ4105" s="128"/>
      <c r="AR4105" s="128"/>
      <c r="AS4105" s="128"/>
      <c r="AT4105" s="128"/>
      <c r="AU4105" s="128"/>
      <c r="AV4105" s="128"/>
      <c r="AW4105" s="128"/>
      <c r="AX4105" s="128"/>
      <c r="AY4105" s="128"/>
      <c r="AZ4105" s="128"/>
      <c r="BA4105" s="128"/>
      <c r="BB4105" s="128"/>
      <c r="BC4105" s="128"/>
      <c r="BD4105" s="128"/>
      <c r="BE4105" s="128"/>
      <c r="BF4105" s="128"/>
      <c r="BG4105" s="128"/>
      <c r="BH4105" s="128"/>
      <c r="BI4105" s="128"/>
      <c r="BJ4105" s="128"/>
      <c r="BK4105" s="128"/>
      <c r="BL4105" s="128"/>
      <c r="BM4105" s="151"/>
      <c r="BN4105" s="128"/>
      <c r="BO4105" s="128"/>
      <c r="BP4105" s="128"/>
      <c r="BQ4105" s="128"/>
      <c r="BR4105" s="128"/>
      <c r="BS4105" s="128"/>
      <c r="BT4105" s="128"/>
      <c r="BU4105" s="128"/>
      <c r="BV4105" s="128"/>
      <c r="BW4105" s="128"/>
      <c r="BX4105" s="128"/>
      <c r="BY4105" s="128"/>
      <c r="BZ4105" s="128"/>
      <c r="CA4105" s="128"/>
      <c r="CB4105" s="128"/>
      <c r="CC4105" s="128"/>
      <c r="CD4105" s="128"/>
      <c r="CE4105" s="128"/>
      <c r="CF4105" s="128"/>
      <c r="CG4105" s="128"/>
      <c r="CI4105" s="128"/>
      <c r="CJ4105" s="128"/>
      <c r="CK4105" s="128"/>
      <c r="CL4105" s="128"/>
      <c r="CM4105" s="128"/>
      <c r="CN4105" s="128"/>
      <c r="CO4105" s="128"/>
      <c r="CP4105" s="128"/>
      <c r="CQ4105" s="128"/>
      <c r="CR4105" s="128"/>
      <c r="CS4105" s="128"/>
      <c r="CT4105" s="128"/>
      <c r="CU4105" s="128"/>
      <c r="CV4105" s="128"/>
      <c r="CW4105" s="128"/>
      <c r="CX4105" s="128"/>
      <c r="CY4105" s="128"/>
      <c r="CZ4105" s="165"/>
    </row>
    <row r="4106" spans="1:104">
      <c r="A4106" s="149"/>
      <c r="B4106" s="149"/>
      <c r="C4106" s="150"/>
      <c r="D4106" s="102"/>
      <c r="E4106" s="149"/>
      <c r="F4106" s="149"/>
      <c r="G4106" s="149"/>
      <c r="H4106" s="149"/>
      <c r="I4106" s="149"/>
      <c r="J4106" s="149"/>
      <c r="K4106" s="149"/>
      <c r="L4106" s="149"/>
      <c r="M4106" s="149"/>
      <c r="N4106" s="149"/>
      <c r="O4106" s="149"/>
      <c r="P4106" s="149"/>
      <c r="Q4106" s="149"/>
      <c r="R4106" s="149"/>
      <c r="S4106" s="149"/>
      <c r="T4106" s="149"/>
      <c r="U4106" s="149"/>
      <c r="V4106" s="149"/>
      <c r="W4106" s="149"/>
      <c r="X4106" s="149"/>
      <c r="Y4106" s="149"/>
      <c r="Z4106" s="149"/>
      <c r="AA4106" s="149"/>
      <c r="AB4106" s="149"/>
      <c r="AC4106" s="149"/>
      <c r="AD4106" s="149"/>
      <c r="AE4106" s="149"/>
      <c r="AF4106" s="149"/>
      <c r="AG4106" s="149"/>
      <c r="AH4106" s="149"/>
      <c r="AI4106" s="149"/>
      <c r="AJ4106" s="149"/>
      <c r="AK4106" s="149"/>
      <c r="AL4106" s="149"/>
      <c r="AM4106" s="149"/>
      <c r="AN4106" s="149"/>
      <c r="AO4106" s="128"/>
      <c r="AP4106" s="128"/>
      <c r="AQ4106" s="128"/>
      <c r="AR4106" s="128"/>
      <c r="AS4106" s="128"/>
      <c r="AT4106" s="128"/>
      <c r="AU4106" s="128"/>
      <c r="AV4106" s="128"/>
      <c r="AW4106" s="128"/>
      <c r="AX4106" s="128"/>
      <c r="AY4106" s="128"/>
      <c r="AZ4106" s="128"/>
      <c r="BA4106" s="128"/>
      <c r="BB4106" s="128"/>
      <c r="BC4106" s="128"/>
      <c r="BD4106" s="128"/>
      <c r="BE4106" s="128"/>
      <c r="BF4106" s="128"/>
      <c r="BG4106" s="128"/>
      <c r="BH4106" s="128"/>
      <c r="BI4106" s="128"/>
      <c r="BJ4106" s="128"/>
      <c r="BK4106" s="128"/>
      <c r="BL4106" s="128"/>
      <c r="BM4106" s="151"/>
      <c r="BN4106" s="128"/>
      <c r="BO4106" s="128"/>
      <c r="BP4106" s="128"/>
      <c r="BQ4106" s="128"/>
      <c r="BR4106" s="128"/>
      <c r="BS4106" s="128"/>
      <c r="BT4106" s="128"/>
      <c r="BU4106" s="128"/>
      <c r="BV4106" s="128"/>
      <c r="BW4106" s="128"/>
      <c r="BX4106" s="128"/>
      <c r="BY4106" s="128"/>
      <c r="BZ4106" s="128"/>
      <c r="CA4106" s="128"/>
      <c r="CB4106" s="128"/>
      <c r="CC4106" s="128"/>
      <c r="CD4106" s="128"/>
      <c r="CE4106" s="128"/>
      <c r="CF4106" s="128"/>
      <c r="CG4106" s="128"/>
      <c r="CI4106" s="128"/>
      <c r="CJ4106" s="128"/>
      <c r="CK4106" s="128"/>
      <c r="CL4106" s="128"/>
      <c r="CM4106" s="128"/>
      <c r="CN4106" s="128"/>
      <c r="CO4106" s="128"/>
      <c r="CP4106" s="128"/>
      <c r="CQ4106" s="128"/>
      <c r="CR4106" s="128"/>
      <c r="CS4106" s="128"/>
      <c r="CT4106" s="128"/>
      <c r="CU4106" s="128"/>
      <c r="CV4106" s="128"/>
      <c r="CW4106" s="128"/>
      <c r="CX4106" s="128"/>
      <c r="CY4106" s="128"/>
      <c r="CZ4106" s="165"/>
    </row>
    <row r="4107" spans="1:104">
      <c r="A4107" s="149"/>
      <c r="B4107" s="149"/>
      <c r="C4107" s="150"/>
      <c r="D4107" s="102"/>
      <c r="E4107" s="149"/>
      <c r="F4107" s="149"/>
      <c r="G4107" s="149"/>
      <c r="H4107" s="149"/>
      <c r="I4107" s="149"/>
      <c r="J4107" s="149"/>
      <c r="K4107" s="149"/>
      <c r="L4107" s="149"/>
      <c r="M4107" s="149"/>
      <c r="N4107" s="149"/>
      <c r="O4107" s="149"/>
      <c r="P4107" s="149"/>
      <c r="Q4107" s="149"/>
      <c r="R4107" s="149"/>
      <c r="S4107" s="149"/>
      <c r="T4107" s="149"/>
      <c r="U4107" s="149"/>
      <c r="V4107" s="149"/>
      <c r="W4107" s="149"/>
      <c r="X4107" s="149"/>
      <c r="Y4107" s="149"/>
      <c r="Z4107" s="149"/>
      <c r="AA4107" s="149"/>
      <c r="AB4107" s="149"/>
      <c r="AC4107" s="149"/>
      <c r="AD4107" s="149"/>
      <c r="AE4107" s="149"/>
      <c r="AF4107" s="149"/>
      <c r="AG4107" s="149"/>
      <c r="AH4107" s="149"/>
      <c r="AI4107" s="149"/>
      <c r="AJ4107" s="149"/>
      <c r="AK4107" s="149"/>
      <c r="AL4107" s="149"/>
      <c r="AM4107" s="149"/>
      <c r="AN4107" s="149"/>
      <c r="AO4107" s="128"/>
      <c r="AP4107" s="128"/>
      <c r="AQ4107" s="128"/>
      <c r="AR4107" s="128"/>
      <c r="AS4107" s="128"/>
      <c r="AT4107" s="128"/>
      <c r="AU4107" s="128"/>
      <c r="AV4107" s="128"/>
      <c r="AW4107" s="128"/>
      <c r="AX4107" s="128"/>
      <c r="AY4107" s="128"/>
      <c r="AZ4107" s="128"/>
      <c r="BA4107" s="128"/>
      <c r="BB4107" s="128"/>
      <c r="BC4107" s="128"/>
      <c r="BD4107" s="128"/>
      <c r="BE4107" s="128"/>
      <c r="BF4107" s="128"/>
      <c r="BG4107" s="128"/>
      <c r="BH4107" s="128"/>
      <c r="BI4107" s="128"/>
      <c r="BJ4107" s="128"/>
      <c r="BK4107" s="128"/>
      <c r="BL4107" s="128"/>
      <c r="BM4107" s="151"/>
      <c r="BN4107" s="128"/>
      <c r="BO4107" s="128"/>
      <c r="BP4107" s="128"/>
      <c r="BQ4107" s="128"/>
      <c r="BR4107" s="128"/>
      <c r="BS4107" s="128"/>
      <c r="BT4107" s="128"/>
      <c r="BU4107" s="128"/>
      <c r="BV4107" s="128"/>
      <c r="BW4107" s="128"/>
      <c r="BX4107" s="128"/>
      <c r="BY4107" s="128"/>
      <c r="BZ4107" s="128"/>
      <c r="CA4107" s="128"/>
      <c r="CB4107" s="128"/>
      <c r="CC4107" s="128"/>
      <c r="CD4107" s="128"/>
      <c r="CE4107" s="128"/>
      <c r="CF4107" s="128"/>
      <c r="CG4107" s="128"/>
      <c r="CI4107" s="128"/>
      <c r="CJ4107" s="128"/>
      <c r="CK4107" s="128"/>
      <c r="CL4107" s="128"/>
      <c r="CM4107" s="128"/>
      <c r="CN4107" s="128"/>
      <c r="CO4107" s="128"/>
      <c r="CP4107" s="128"/>
      <c r="CQ4107" s="128"/>
      <c r="CR4107" s="128"/>
      <c r="CS4107" s="128"/>
      <c r="CT4107" s="128"/>
      <c r="CU4107" s="128"/>
      <c r="CV4107" s="128"/>
      <c r="CW4107" s="128"/>
      <c r="CX4107" s="128"/>
      <c r="CY4107" s="128"/>
      <c r="CZ4107" s="165"/>
    </row>
    <row r="4108" spans="1:104">
      <c r="A4108" s="149"/>
      <c r="B4108" s="149"/>
      <c r="C4108" s="150"/>
      <c r="D4108" s="102"/>
      <c r="E4108" s="149"/>
      <c r="F4108" s="149"/>
      <c r="G4108" s="149"/>
      <c r="H4108" s="149"/>
      <c r="I4108" s="149"/>
      <c r="J4108" s="149"/>
      <c r="K4108" s="149"/>
      <c r="L4108" s="149"/>
      <c r="M4108" s="149"/>
      <c r="N4108" s="149"/>
      <c r="O4108" s="149"/>
      <c r="P4108" s="149"/>
      <c r="Q4108" s="149"/>
      <c r="R4108" s="149"/>
      <c r="S4108" s="149"/>
      <c r="T4108" s="149"/>
      <c r="U4108" s="149"/>
      <c r="V4108" s="149"/>
      <c r="W4108" s="149"/>
      <c r="X4108" s="149"/>
      <c r="Y4108" s="149"/>
      <c r="Z4108" s="149"/>
      <c r="AA4108" s="149"/>
      <c r="AB4108" s="149"/>
      <c r="AC4108" s="149"/>
      <c r="AD4108" s="149"/>
      <c r="AE4108" s="149"/>
      <c r="AF4108" s="149"/>
      <c r="AG4108" s="149"/>
      <c r="AH4108" s="149"/>
      <c r="AI4108" s="149"/>
      <c r="AJ4108" s="149"/>
      <c r="AK4108" s="149"/>
      <c r="AL4108" s="149"/>
      <c r="AM4108" s="149"/>
      <c r="AN4108" s="149"/>
      <c r="AO4108" s="128"/>
      <c r="AP4108" s="128"/>
      <c r="AQ4108" s="128"/>
      <c r="AR4108" s="128"/>
      <c r="AS4108" s="128"/>
      <c r="AT4108" s="128"/>
      <c r="AU4108" s="128"/>
      <c r="AV4108" s="128"/>
      <c r="AW4108" s="128"/>
      <c r="AX4108" s="128"/>
      <c r="AY4108" s="128"/>
      <c r="AZ4108" s="128"/>
      <c r="BA4108" s="128"/>
      <c r="BB4108" s="128"/>
      <c r="BC4108" s="128"/>
      <c r="BD4108" s="128"/>
      <c r="BE4108" s="128"/>
      <c r="BF4108" s="128"/>
      <c r="BG4108" s="128"/>
      <c r="BH4108" s="128"/>
      <c r="BI4108" s="128"/>
      <c r="BJ4108" s="128"/>
      <c r="BK4108" s="128"/>
      <c r="BL4108" s="128"/>
      <c r="BM4108" s="151"/>
      <c r="BN4108" s="128"/>
      <c r="BO4108" s="128"/>
      <c r="BP4108" s="128"/>
      <c r="BQ4108" s="128"/>
      <c r="BR4108" s="128"/>
      <c r="BS4108" s="128"/>
      <c r="BT4108" s="128"/>
      <c r="BU4108" s="128"/>
      <c r="BV4108" s="128"/>
      <c r="BW4108" s="128"/>
      <c r="BX4108" s="128"/>
      <c r="BY4108" s="128"/>
      <c r="BZ4108" s="128"/>
      <c r="CA4108" s="128"/>
      <c r="CB4108" s="128"/>
      <c r="CC4108" s="128"/>
      <c r="CD4108" s="128"/>
      <c r="CE4108" s="128"/>
      <c r="CF4108" s="128"/>
      <c r="CG4108" s="128"/>
      <c r="CI4108" s="128"/>
      <c r="CJ4108" s="128"/>
      <c r="CK4108" s="128"/>
      <c r="CL4108" s="128"/>
      <c r="CM4108" s="128"/>
      <c r="CN4108" s="128"/>
      <c r="CO4108" s="128"/>
      <c r="CP4108" s="128"/>
      <c r="CQ4108" s="128"/>
      <c r="CR4108" s="128"/>
      <c r="CS4108" s="128"/>
      <c r="CT4108" s="128"/>
      <c r="CU4108" s="128"/>
      <c r="CV4108" s="128"/>
      <c r="CW4108" s="128"/>
      <c r="CX4108" s="128"/>
      <c r="CY4108" s="128"/>
      <c r="CZ4108" s="165"/>
    </row>
    <row r="4109" spans="1:104">
      <c r="A4109" s="149"/>
      <c r="B4109" s="149"/>
      <c r="C4109" s="150"/>
      <c r="D4109" s="102"/>
      <c r="E4109" s="149"/>
      <c r="F4109" s="149"/>
      <c r="G4109" s="149"/>
      <c r="H4109" s="149"/>
      <c r="I4109" s="149"/>
      <c r="J4109" s="149"/>
      <c r="K4109" s="149"/>
      <c r="L4109" s="149"/>
      <c r="M4109" s="149"/>
      <c r="N4109" s="149"/>
      <c r="O4109" s="149"/>
      <c r="P4109" s="149"/>
      <c r="Q4109" s="149"/>
      <c r="R4109" s="149"/>
      <c r="S4109" s="149"/>
      <c r="T4109" s="149"/>
      <c r="U4109" s="149"/>
      <c r="V4109" s="149"/>
      <c r="W4109" s="149"/>
      <c r="X4109" s="149"/>
      <c r="Y4109" s="149"/>
      <c r="Z4109" s="149"/>
      <c r="AA4109" s="149"/>
      <c r="AB4109" s="149"/>
      <c r="AC4109" s="149"/>
      <c r="AD4109" s="149"/>
      <c r="AE4109" s="149"/>
      <c r="AF4109" s="149"/>
      <c r="AG4109" s="149"/>
      <c r="AH4109" s="149"/>
      <c r="AI4109" s="149"/>
      <c r="AJ4109" s="149"/>
      <c r="AK4109" s="149"/>
      <c r="AL4109" s="149"/>
      <c r="AM4109" s="149"/>
      <c r="AN4109" s="149"/>
      <c r="AO4109" s="128"/>
      <c r="AP4109" s="128"/>
      <c r="AQ4109" s="128"/>
      <c r="AR4109" s="128"/>
      <c r="AS4109" s="128"/>
      <c r="AT4109" s="128"/>
      <c r="AU4109" s="128"/>
      <c r="AV4109" s="128"/>
      <c r="AW4109" s="128"/>
      <c r="AX4109" s="128"/>
      <c r="AY4109" s="128"/>
      <c r="AZ4109" s="128"/>
      <c r="BA4109" s="128"/>
      <c r="BB4109" s="128"/>
      <c r="BC4109" s="128"/>
      <c r="BD4109" s="128"/>
      <c r="BE4109" s="128"/>
      <c r="BF4109" s="128"/>
      <c r="BG4109" s="128"/>
      <c r="BH4109" s="128"/>
      <c r="BI4109" s="128"/>
      <c r="BJ4109" s="128"/>
      <c r="BK4109" s="128"/>
      <c r="BL4109" s="128"/>
      <c r="BM4109" s="151"/>
      <c r="BN4109" s="128"/>
      <c r="BO4109" s="128"/>
      <c r="BP4109" s="128"/>
      <c r="BQ4109" s="128"/>
      <c r="BR4109" s="128"/>
      <c r="BS4109" s="128"/>
      <c r="BT4109" s="128"/>
      <c r="BU4109" s="128"/>
      <c r="BV4109" s="128"/>
      <c r="BW4109" s="128"/>
      <c r="BX4109" s="128"/>
      <c r="BY4109" s="128"/>
      <c r="BZ4109" s="128"/>
      <c r="CA4109" s="128"/>
      <c r="CB4109" s="128"/>
      <c r="CC4109" s="128"/>
      <c r="CD4109" s="128"/>
      <c r="CE4109" s="128"/>
      <c r="CF4109" s="128"/>
      <c r="CG4109" s="128"/>
      <c r="CI4109" s="128"/>
      <c r="CJ4109" s="128"/>
      <c r="CK4109" s="128"/>
      <c r="CL4109" s="128"/>
      <c r="CM4109" s="128"/>
      <c r="CN4109" s="128"/>
      <c r="CO4109" s="128"/>
      <c r="CP4109" s="128"/>
      <c r="CQ4109" s="128"/>
      <c r="CR4109" s="128"/>
      <c r="CS4109" s="128"/>
      <c r="CT4109" s="128"/>
      <c r="CU4109" s="128"/>
      <c r="CV4109" s="128"/>
      <c r="CW4109" s="128"/>
      <c r="CX4109" s="128"/>
      <c r="CY4109" s="128"/>
      <c r="CZ4109" s="165"/>
    </row>
    <row r="4110" spans="1:104">
      <c r="A4110" s="149"/>
      <c r="B4110" s="149"/>
      <c r="C4110" s="150"/>
      <c r="D4110" s="102"/>
      <c r="E4110" s="149"/>
      <c r="F4110" s="149"/>
      <c r="G4110" s="149"/>
      <c r="H4110" s="149"/>
      <c r="I4110" s="149"/>
      <c r="J4110" s="149"/>
      <c r="K4110" s="149"/>
      <c r="L4110" s="149"/>
      <c r="M4110" s="149"/>
      <c r="N4110" s="149"/>
      <c r="O4110" s="149"/>
      <c r="P4110" s="149"/>
      <c r="Q4110" s="149"/>
      <c r="R4110" s="149"/>
      <c r="S4110" s="149"/>
      <c r="T4110" s="149"/>
      <c r="U4110" s="149"/>
      <c r="V4110" s="149"/>
      <c r="W4110" s="149"/>
      <c r="X4110" s="149"/>
      <c r="Y4110" s="149"/>
      <c r="Z4110" s="149"/>
      <c r="AA4110" s="149"/>
      <c r="AB4110" s="149"/>
      <c r="AC4110" s="149"/>
      <c r="AD4110" s="149"/>
      <c r="AE4110" s="149"/>
      <c r="AF4110" s="149"/>
      <c r="AG4110" s="149"/>
      <c r="AH4110" s="149"/>
      <c r="AI4110" s="149"/>
      <c r="AJ4110" s="149"/>
      <c r="AK4110" s="149"/>
      <c r="AL4110" s="149"/>
      <c r="AM4110" s="149"/>
      <c r="AN4110" s="149"/>
      <c r="AO4110" s="128"/>
      <c r="AP4110" s="128"/>
      <c r="AQ4110" s="128"/>
      <c r="AR4110" s="128"/>
      <c r="AS4110" s="128"/>
      <c r="AT4110" s="128"/>
      <c r="AU4110" s="128"/>
      <c r="AV4110" s="128"/>
      <c r="AW4110" s="128"/>
      <c r="AX4110" s="128"/>
      <c r="AY4110" s="128"/>
      <c r="AZ4110" s="128"/>
      <c r="BA4110" s="128"/>
      <c r="BB4110" s="128"/>
      <c r="BC4110" s="128"/>
      <c r="BD4110" s="128"/>
      <c r="BE4110" s="128"/>
      <c r="BF4110" s="128"/>
      <c r="BG4110" s="128"/>
      <c r="BH4110" s="128"/>
      <c r="BI4110" s="128"/>
      <c r="BJ4110" s="128"/>
      <c r="BK4110" s="128"/>
      <c r="BL4110" s="128"/>
      <c r="BM4110" s="151"/>
      <c r="BN4110" s="128"/>
      <c r="BO4110" s="128"/>
      <c r="BP4110" s="128"/>
      <c r="BQ4110" s="128"/>
      <c r="BR4110" s="128"/>
      <c r="BS4110" s="128"/>
      <c r="BT4110" s="128"/>
      <c r="BU4110" s="128"/>
      <c r="BV4110" s="128"/>
      <c r="BW4110" s="128"/>
      <c r="BX4110" s="128"/>
      <c r="BY4110" s="128"/>
      <c r="BZ4110" s="128"/>
      <c r="CA4110" s="128"/>
      <c r="CB4110" s="128"/>
      <c r="CC4110" s="128"/>
      <c r="CD4110" s="128"/>
      <c r="CE4110" s="128"/>
      <c r="CF4110" s="128"/>
      <c r="CG4110" s="128"/>
      <c r="CI4110" s="128"/>
      <c r="CJ4110" s="128"/>
      <c r="CK4110" s="128"/>
      <c r="CL4110" s="128"/>
      <c r="CM4110" s="128"/>
      <c r="CN4110" s="128"/>
      <c r="CO4110" s="128"/>
      <c r="CP4110" s="128"/>
      <c r="CQ4110" s="128"/>
      <c r="CR4110" s="128"/>
      <c r="CS4110" s="128"/>
      <c r="CT4110" s="128"/>
      <c r="CU4110" s="128"/>
      <c r="CV4110" s="128"/>
      <c r="CW4110" s="128"/>
      <c r="CX4110" s="128"/>
      <c r="CY4110" s="128"/>
      <c r="CZ4110" s="165"/>
    </row>
    <row r="4111" spans="1:104">
      <c r="A4111" s="149"/>
      <c r="B4111" s="149"/>
      <c r="C4111" s="150"/>
      <c r="D4111" s="102"/>
      <c r="E4111" s="149"/>
      <c r="F4111" s="149"/>
      <c r="G4111" s="149"/>
      <c r="H4111" s="149"/>
      <c r="I4111" s="149"/>
      <c r="J4111" s="149"/>
      <c r="K4111" s="149"/>
      <c r="L4111" s="149"/>
      <c r="M4111" s="149"/>
      <c r="N4111" s="149"/>
      <c r="O4111" s="149"/>
      <c r="P4111" s="149"/>
      <c r="Q4111" s="149"/>
      <c r="R4111" s="149"/>
      <c r="S4111" s="149"/>
      <c r="T4111" s="149"/>
      <c r="U4111" s="149"/>
      <c r="V4111" s="149"/>
      <c r="W4111" s="149"/>
      <c r="X4111" s="149"/>
      <c r="Y4111" s="149"/>
      <c r="Z4111" s="149"/>
      <c r="AA4111" s="149"/>
      <c r="AB4111" s="149"/>
      <c r="AC4111" s="149"/>
      <c r="AD4111" s="149"/>
      <c r="AE4111" s="149"/>
      <c r="AF4111" s="149"/>
      <c r="AG4111" s="149"/>
      <c r="AH4111" s="149"/>
      <c r="AI4111" s="149"/>
      <c r="AJ4111" s="149"/>
      <c r="AK4111" s="149"/>
      <c r="AL4111" s="149"/>
      <c r="AM4111" s="149"/>
      <c r="AN4111" s="149"/>
      <c r="AO4111" s="128"/>
      <c r="AP4111" s="128"/>
      <c r="AQ4111" s="128"/>
      <c r="AR4111" s="128"/>
      <c r="AS4111" s="128"/>
      <c r="AT4111" s="128"/>
      <c r="AU4111" s="128"/>
      <c r="AV4111" s="128"/>
      <c r="AW4111" s="128"/>
      <c r="AX4111" s="128"/>
      <c r="AY4111" s="128"/>
      <c r="AZ4111" s="128"/>
      <c r="BA4111" s="128"/>
      <c r="BB4111" s="128"/>
      <c r="BC4111" s="128"/>
      <c r="BD4111" s="128"/>
      <c r="BE4111" s="128"/>
      <c r="BF4111" s="128"/>
      <c r="BG4111" s="128"/>
      <c r="BH4111" s="128"/>
      <c r="BI4111" s="128"/>
      <c r="BJ4111" s="128"/>
      <c r="BK4111" s="128"/>
      <c r="BL4111" s="128"/>
      <c r="BM4111" s="151"/>
      <c r="BN4111" s="128"/>
      <c r="BO4111" s="128"/>
      <c r="BP4111" s="128"/>
      <c r="BQ4111" s="128"/>
      <c r="BR4111" s="128"/>
      <c r="BS4111" s="128"/>
      <c r="BT4111" s="128"/>
      <c r="BU4111" s="128"/>
      <c r="BV4111" s="128"/>
      <c r="BW4111" s="128"/>
      <c r="BX4111" s="128"/>
      <c r="BY4111" s="128"/>
      <c r="BZ4111" s="128"/>
      <c r="CA4111" s="128"/>
      <c r="CB4111" s="128"/>
      <c r="CC4111" s="128"/>
      <c r="CD4111" s="128"/>
      <c r="CE4111" s="128"/>
      <c r="CF4111" s="128"/>
      <c r="CG4111" s="128"/>
      <c r="CI4111" s="128"/>
      <c r="CJ4111" s="128"/>
      <c r="CK4111" s="128"/>
      <c r="CL4111" s="128"/>
      <c r="CM4111" s="128"/>
      <c r="CN4111" s="128"/>
      <c r="CO4111" s="128"/>
      <c r="CP4111" s="128"/>
      <c r="CQ4111" s="128"/>
      <c r="CR4111" s="128"/>
      <c r="CS4111" s="128"/>
      <c r="CT4111" s="128"/>
      <c r="CU4111" s="128"/>
      <c r="CV4111" s="128"/>
      <c r="CW4111" s="128"/>
      <c r="CX4111" s="128"/>
      <c r="CY4111" s="128"/>
      <c r="CZ4111" s="165"/>
    </row>
    <row r="4112" spans="1:104">
      <c r="A4112" s="149"/>
      <c r="B4112" s="149"/>
      <c r="C4112" s="150"/>
      <c r="D4112" s="102"/>
      <c r="E4112" s="149"/>
      <c r="F4112" s="149"/>
      <c r="G4112" s="149"/>
      <c r="H4112" s="149"/>
      <c r="I4112" s="149"/>
      <c r="J4112" s="149"/>
      <c r="K4112" s="149"/>
      <c r="L4112" s="149"/>
      <c r="M4112" s="149"/>
      <c r="N4112" s="149"/>
      <c r="O4112" s="149"/>
      <c r="P4112" s="149"/>
      <c r="Q4112" s="149"/>
      <c r="R4112" s="149"/>
      <c r="S4112" s="149"/>
      <c r="T4112" s="149"/>
      <c r="U4112" s="149"/>
      <c r="V4112" s="149"/>
      <c r="W4112" s="149"/>
      <c r="X4112" s="149"/>
      <c r="Y4112" s="149"/>
      <c r="Z4112" s="149"/>
      <c r="AA4112" s="149"/>
      <c r="AB4112" s="149"/>
      <c r="AC4112" s="149"/>
      <c r="AD4112" s="149"/>
      <c r="AE4112" s="149"/>
      <c r="AF4112" s="149"/>
      <c r="AG4112" s="149"/>
      <c r="AH4112" s="149"/>
      <c r="AI4112" s="149"/>
      <c r="AJ4112" s="149"/>
      <c r="AK4112" s="149"/>
      <c r="AL4112" s="149"/>
      <c r="AM4112" s="149"/>
      <c r="AN4112" s="149"/>
      <c r="AO4112" s="128"/>
      <c r="AP4112" s="128"/>
      <c r="AQ4112" s="128"/>
      <c r="AR4112" s="128"/>
      <c r="AS4112" s="128"/>
      <c r="AT4112" s="128"/>
      <c r="AU4112" s="128"/>
      <c r="AV4112" s="128"/>
      <c r="AW4112" s="128"/>
      <c r="AX4112" s="128"/>
      <c r="AY4112" s="128"/>
      <c r="AZ4112" s="128"/>
      <c r="BA4112" s="128"/>
      <c r="BB4112" s="128"/>
      <c r="BC4112" s="128"/>
      <c r="BD4112" s="128"/>
      <c r="BE4112" s="128"/>
      <c r="BF4112" s="128"/>
      <c r="BG4112" s="128"/>
      <c r="BH4112" s="128"/>
      <c r="BI4112" s="128"/>
      <c r="BJ4112" s="128"/>
      <c r="BK4112" s="128"/>
      <c r="BL4112" s="128"/>
      <c r="BM4112" s="151"/>
      <c r="BN4112" s="128"/>
      <c r="BO4112" s="128"/>
      <c r="BP4112" s="128"/>
      <c r="BQ4112" s="128"/>
      <c r="BR4112" s="128"/>
      <c r="BS4112" s="128"/>
      <c r="BT4112" s="128"/>
      <c r="BU4112" s="128"/>
      <c r="BV4112" s="128"/>
      <c r="BW4112" s="128"/>
      <c r="BX4112" s="128"/>
      <c r="BY4112" s="128"/>
      <c r="BZ4112" s="128"/>
      <c r="CA4112" s="128"/>
      <c r="CB4112" s="128"/>
      <c r="CC4112" s="128"/>
      <c r="CD4112" s="128"/>
      <c r="CE4112" s="128"/>
      <c r="CF4112" s="128"/>
      <c r="CG4112" s="128"/>
      <c r="CI4112" s="128"/>
      <c r="CJ4112" s="128"/>
      <c r="CK4112" s="128"/>
      <c r="CL4112" s="128"/>
      <c r="CM4112" s="128"/>
      <c r="CN4112" s="128"/>
      <c r="CO4112" s="128"/>
      <c r="CP4112" s="128"/>
      <c r="CQ4112" s="128"/>
      <c r="CR4112" s="128"/>
      <c r="CS4112" s="128"/>
      <c r="CT4112" s="128"/>
      <c r="CU4112" s="128"/>
      <c r="CV4112" s="128"/>
      <c r="CW4112" s="128"/>
      <c r="CX4112" s="128"/>
      <c r="CY4112" s="128"/>
      <c r="CZ4112" s="165"/>
    </row>
    <row r="4113" spans="1:104">
      <c r="A4113" s="149"/>
      <c r="B4113" s="149"/>
      <c r="C4113" s="150"/>
      <c r="D4113" s="102"/>
      <c r="E4113" s="149"/>
      <c r="F4113" s="149"/>
      <c r="G4113" s="149"/>
      <c r="H4113" s="149"/>
      <c r="I4113" s="149"/>
      <c r="J4113" s="149"/>
      <c r="K4113" s="149"/>
      <c r="L4113" s="149"/>
      <c r="M4113" s="149"/>
      <c r="N4113" s="149"/>
      <c r="O4113" s="149"/>
      <c r="P4113" s="149"/>
      <c r="Q4113" s="149"/>
      <c r="R4113" s="149"/>
      <c r="S4113" s="149"/>
      <c r="T4113" s="149"/>
      <c r="U4113" s="149"/>
      <c r="V4113" s="149"/>
      <c r="W4113" s="149"/>
      <c r="X4113" s="149"/>
      <c r="Y4113" s="149"/>
      <c r="Z4113" s="149"/>
      <c r="AA4113" s="149"/>
      <c r="AB4113" s="149"/>
      <c r="AC4113" s="149"/>
      <c r="AD4113" s="149"/>
      <c r="AE4113" s="149"/>
      <c r="AF4113" s="149"/>
      <c r="AG4113" s="149"/>
      <c r="AH4113" s="149"/>
      <c r="AI4113" s="149"/>
      <c r="AJ4113" s="149"/>
      <c r="AK4113" s="149"/>
      <c r="AL4113" s="149"/>
      <c r="AM4113" s="149"/>
      <c r="AN4113" s="149"/>
      <c r="AO4113" s="128"/>
      <c r="AP4113" s="128"/>
      <c r="AQ4113" s="128"/>
      <c r="AR4113" s="128"/>
      <c r="AS4113" s="128"/>
      <c r="AT4113" s="128"/>
      <c r="AU4113" s="128"/>
      <c r="AV4113" s="128"/>
      <c r="AW4113" s="128"/>
      <c r="AX4113" s="128"/>
      <c r="AY4113" s="128"/>
      <c r="AZ4113" s="128"/>
      <c r="BA4113" s="128"/>
      <c r="BB4113" s="128"/>
      <c r="BC4113" s="128"/>
      <c r="BD4113" s="128"/>
      <c r="BE4113" s="128"/>
      <c r="BF4113" s="128"/>
      <c r="BG4113" s="128"/>
      <c r="BH4113" s="128"/>
      <c r="BI4113" s="128"/>
      <c r="BJ4113" s="128"/>
      <c r="BK4113" s="128"/>
      <c r="BL4113" s="128"/>
      <c r="BM4113" s="151"/>
      <c r="BN4113" s="128"/>
      <c r="BO4113" s="128"/>
      <c r="BP4113" s="128"/>
      <c r="BQ4113" s="128"/>
      <c r="BR4113" s="128"/>
      <c r="BS4113" s="128"/>
      <c r="BT4113" s="128"/>
      <c r="BU4113" s="128"/>
      <c r="BV4113" s="128"/>
      <c r="BW4113" s="128"/>
      <c r="BX4113" s="128"/>
      <c r="BY4113" s="128"/>
      <c r="BZ4113" s="128"/>
      <c r="CA4113" s="128"/>
      <c r="CB4113" s="128"/>
      <c r="CC4113" s="128"/>
      <c r="CD4113" s="128"/>
      <c r="CE4113" s="128"/>
      <c r="CF4113" s="128"/>
      <c r="CG4113" s="128"/>
      <c r="CI4113" s="128"/>
      <c r="CJ4113" s="128"/>
      <c r="CK4113" s="128"/>
      <c r="CL4113" s="128"/>
      <c r="CM4113" s="128"/>
      <c r="CN4113" s="128"/>
      <c r="CO4113" s="128"/>
      <c r="CP4113" s="128"/>
      <c r="CQ4113" s="128"/>
      <c r="CR4113" s="128"/>
      <c r="CS4113" s="128"/>
      <c r="CT4113" s="128"/>
      <c r="CU4113" s="128"/>
      <c r="CV4113" s="128"/>
      <c r="CW4113" s="128"/>
      <c r="CX4113" s="128"/>
      <c r="CY4113" s="128"/>
      <c r="CZ4113" s="165"/>
    </row>
    <row r="4114" spans="1:104">
      <c r="A4114" s="149"/>
      <c r="B4114" s="149"/>
      <c r="C4114" s="150"/>
      <c r="D4114" s="102"/>
      <c r="E4114" s="149"/>
      <c r="F4114" s="149"/>
      <c r="G4114" s="149"/>
      <c r="H4114" s="149"/>
      <c r="I4114" s="149"/>
      <c r="J4114" s="149"/>
      <c r="K4114" s="149"/>
      <c r="L4114" s="149"/>
      <c r="M4114" s="149"/>
      <c r="N4114" s="149"/>
      <c r="O4114" s="149"/>
      <c r="P4114" s="149"/>
      <c r="Q4114" s="149"/>
      <c r="R4114" s="149"/>
      <c r="S4114" s="149"/>
      <c r="T4114" s="149"/>
      <c r="U4114" s="149"/>
      <c r="V4114" s="149"/>
      <c r="W4114" s="149"/>
      <c r="X4114" s="149"/>
      <c r="Y4114" s="149"/>
      <c r="Z4114" s="149"/>
      <c r="AA4114" s="149"/>
      <c r="AB4114" s="149"/>
      <c r="AC4114" s="149"/>
      <c r="AD4114" s="149"/>
      <c r="AE4114" s="149"/>
      <c r="AF4114" s="149"/>
      <c r="AG4114" s="149"/>
      <c r="AH4114" s="149"/>
      <c r="AI4114" s="149"/>
      <c r="AJ4114" s="149"/>
      <c r="AK4114" s="149"/>
      <c r="AL4114" s="149"/>
      <c r="AM4114" s="149"/>
      <c r="AN4114" s="149"/>
      <c r="AO4114" s="128"/>
      <c r="AP4114" s="128"/>
      <c r="AQ4114" s="128"/>
      <c r="AR4114" s="128"/>
      <c r="AS4114" s="128"/>
      <c r="AT4114" s="128"/>
      <c r="AU4114" s="128"/>
      <c r="AV4114" s="128"/>
      <c r="AW4114" s="128"/>
      <c r="AX4114" s="128"/>
      <c r="AY4114" s="128"/>
      <c r="AZ4114" s="128"/>
      <c r="BA4114" s="128"/>
      <c r="BB4114" s="128"/>
      <c r="BC4114" s="128"/>
      <c r="BD4114" s="128"/>
      <c r="BE4114" s="128"/>
      <c r="BF4114" s="128"/>
      <c r="BG4114" s="128"/>
      <c r="BH4114" s="128"/>
      <c r="BI4114" s="128"/>
      <c r="BJ4114" s="128"/>
      <c r="BK4114" s="128"/>
      <c r="BL4114" s="128"/>
      <c r="BM4114" s="151"/>
      <c r="BN4114" s="128"/>
      <c r="BO4114" s="128"/>
      <c r="BP4114" s="128"/>
      <c r="BQ4114" s="128"/>
      <c r="BR4114" s="128"/>
      <c r="BS4114" s="128"/>
      <c r="BT4114" s="128"/>
      <c r="BU4114" s="128"/>
      <c r="BV4114" s="128"/>
      <c r="BW4114" s="128"/>
      <c r="BX4114" s="128"/>
      <c r="BY4114" s="128"/>
      <c r="BZ4114" s="128"/>
      <c r="CA4114" s="128"/>
      <c r="CB4114" s="128"/>
      <c r="CC4114" s="128"/>
      <c r="CD4114" s="128"/>
      <c r="CE4114" s="128"/>
      <c r="CF4114" s="128"/>
      <c r="CG4114" s="128"/>
      <c r="CI4114" s="128"/>
      <c r="CJ4114" s="128"/>
      <c r="CK4114" s="128"/>
      <c r="CL4114" s="128"/>
      <c r="CM4114" s="128"/>
      <c r="CN4114" s="128"/>
      <c r="CO4114" s="128"/>
      <c r="CP4114" s="128"/>
      <c r="CQ4114" s="128"/>
      <c r="CR4114" s="128"/>
      <c r="CS4114" s="128"/>
      <c r="CT4114" s="128"/>
      <c r="CU4114" s="128"/>
      <c r="CV4114" s="128"/>
      <c r="CW4114" s="128"/>
      <c r="CX4114" s="128"/>
      <c r="CY4114" s="128"/>
      <c r="CZ4114" s="165"/>
    </row>
    <row r="4115" spans="1:104">
      <c r="A4115" s="149"/>
      <c r="B4115" s="149"/>
      <c r="C4115" s="150"/>
      <c r="D4115" s="102"/>
      <c r="E4115" s="149"/>
      <c r="F4115" s="149"/>
      <c r="G4115" s="149"/>
      <c r="H4115" s="149"/>
      <c r="I4115" s="149"/>
      <c r="J4115" s="149"/>
      <c r="K4115" s="149"/>
      <c r="L4115" s="149"/>
      <c r="M4115" s="149"/>
      <c r="N4115" s="149"/>
      <c r="O4115" s="149"/>
      <c r="P4115" s="149"/>
      <c r="Q4115" s="149"/>
      <c r="R4115" s="149"/>
      <c r="S4115" s="149"/>
      <c r="T4115" s="149"/>
      <c r="U4115" s="149"/>
      <c r="V4115" s="149"/>
      <c r="W4115" s="149"/>
      <c r="X4115" s="149"/>
      <c r="Y4115" s="149"/>
      <c r="Z4115" s="149"/>
      <c r="AA4115" s="149"/>
      <c r="AB4115" s="149"/>
      <c r="AC4115" s="149"/>
      <c r="AD4115" s="149"/>
      <c r="AE4115" s="149"/>
      <c r="AF4115" s="149"/>
      <c r="AG4115" s="149"/>
      <c r="AH4115" s="149"/>
      <c r="AI4115" s="149"/>
      <c r="AJ4115" s="149"/>
      <c r="AK4115" s="149"/>
      <c r="AL4115" s="149"/>
      <c r="AM4115" s="149"/>
      <c r="AN4115" s="149"/>
      <c r="AO4115" s="128"/>
      <c r="AP4115" s="128"/>
      <c r="AQ4115" s="128"/>
      <c r="AR4115" s="128"/>
      <c r="AS4115" s="128"/>
      <c r="AT4115" s="128"/>
      <c r="AU4115" s="128"/>
      <c r="AV4115" s="128"/>
      <c r="AW4115" s="128"/>
      <c r="AX4115" s="128"/>
      <c r="AY4115" s="128"/>
      <c r="AZ4115" s="128"/>
      <c r="BA4115" s="128"/>
      <c r="BB4115" s="128"/>
      <c r="BC4115" s="128"/>
      <c r="BD4115" s="128"/>
      <c r="BE4115" s="128"/>
      <c r="BF4115" s="128"/>
      <c r="BG4115" s="128"/>
      <c r="BH4115" s="128"/>
      <c r="BI4115" s="128"/>
      <c r="BJ4115" s="128"/>
      <c r="BK4115" s="128"/>
      <c r="BL4115" s="128"/>
      <c r="BM4115" s="151"/>
      <c r="BN4115" s="128"/>
      <c r="BO4115" s="128"/>
      <c r="BP4115" s="128"/>
      <c r="BQ4115" s="128"/>
      <c r="BR4115" s="128"/>
      <c r="BS4115" s="128"/>
      <c r="BT4115" s="128"/>
      <c r="BU4115" s="128"/>
      <c r="BV4115" s="128"/>
      <c r="BW4115" s="128"/>
      <c r="BX4115" s="128"/>
      <c r="BY4115" s="128"/>
      <c r="BZ4115" s="128"/>
      <c r="CA4115" s="128"/>
      <c r="CB4115" s="128"/>
      <c r="CC4115" s="128"/>
      <c r="CD4115" s="128"/>
      <c r="CE4115" s="128"/>
      <c r="CF4115" s="128"/>
      <c r="CG4115" s="128"/>
      <c r="CI4115" s="128"/>
      <c r="CJ4115" s="128"/>
      <c r="CK4115" s="128"/>
      <c r="CL4115" s="128"/>
      <c r="CM4115" s="128"/>
      <c r="CN4115" s="128"/>
      <c r="CO4115" s="128"/>
      <c r="CP4115" s="128"/>
      <c r="CQ4115" s="128"/>
      <c r="CR4115" s="128"/>
      <c r="CS4115" s="128"/>
      <c r="CT4115" s="128"/>
      <c r="CU4115" s="128"/>
      <c r="CV4115" s="128"/>
      <c r="CW4115" s="128"/>
      <c r="CX4115" s="128"/>
      <c r="CY4115" s="128"/>
      <c r="CZ4115" s="165"/>
    </row>
    <row r="4116" spans="1:104">
      <c r="A4116" s="149"/>
      <c r="B4116" s="149"/>
      <c r="C4116" s="150"/>
      <c r="D4116" s="102"/>
      <c r="E4116" s="149"/>
      <c r="F4116" s="149"/>
      <c r="G4116" s="149"/>
      <c r="H4116" s="149"/>
      <c r="I4116" s="149"/>
      <c r="J4116" s="149"/>
      <c r="K4116" s="149"/>
      <c r="L4116" s="149"/>
      <c r="M4116" s="149"/>
      <c r="N4116" s="149"/>
      <c r="O4116" s="149"/>
      <c r="P4116" s="149"/>
      <c r="Q4116" s="149"/>
      <c r="R4116" s="149"/>
      <c r="S4116" s="149"/>
      <c r="T4116" s="149"/>
      <c r="U4116" s="149"/>
      <c r="V4116" s="149"/>
      <c r="W4116" s="149"/>
      <c r="X4116" s="149"/>
      <c r="Y4116" s="149"/>
      <c r="Z4116" s="149"/>
      <c r="AA4116" s="149"/>
      <c r="AB4116" s="149"/>
      <c r="AC4116" s="149"/>
      <c r="AD4116" s="149"/>
      <c r="AE4116" s="149"/>
      <c r="AF4116" s="149"/>
      <c r="AG4116" s="149"/>
      <c r="AH4116" s="149"/>
      <c r="AI4116" s="149"/>
      <c r="AJ4116" s="149"/>
      <c r="AK4116" s="149"/>
      <c r="AL4116" s="149"/>
      <c r="AM4116" s="149"/>
      <c r="AN4116" s="149"/>
      <c r="AO4116" s="128"/>
      <c r="AP4116" s="128"/>
      <c r="AQ4116" s="128"/>
      <c r="AR4116" s="128"/>
      <c r="AS4116" s="128"/>
      <c r="AT4116" s="128"/>
      <c r="AU4116" s="128"/>
      <c r="AV4116" s="128"/>
      <c r="AW4116" s="128"/>
      <c r="AX4116" s="128"/>
      <c r="AY4116" s="128"/>
      <c r="AZ4116" s="128"/>
      <c r="BA4116" s="128"/>
      <c r="BB4116" s="128"/>
      <c r="BC4116" s="128"/>
      <c r="BD4116" s="128"/>
      <c r="BE4116" s="128"/>
      <c r="BF4116" s="128"/>
      <c r="BG4116" s="128"/>
      <c r="BH4116" s="128"/>
      <c r="BI4116" s="128"/>
      <c r="BJ4116" s="128"/>
      <c r="BK4116" s="128"/>
      <c r="BL4116" s="128"/>
      <c r="BM4116" s="151"/>
      <c r="BN4116" s="128"/>
      <c r="BO4116" s="128"/>
      <c r="BP4116" s="128"/>
      <c r="BQ4116" s="128"/>
      <c r="BR4116" s="128"/>
      <c r="BS4116" s="128"/>
      <c r="BT4116" s="128"/>
      <c r="BU4116" s="128"/>
      <c r="BV4116" s="128"/>
      <c r="BW4116" s="128"/>
      <c r="BX4116" s="128"/>
      <c r="BY4116" s="128"/>
      <c r="BZ4116" s="128"/>
      <c r="CA4116" s="128"/>
      <c r="CB4116" s="128"/>
      <c r="CC4116" s="128"/>
      <c r="CD4116" s="128"/>
      <c r="CE4116" s="128"/>
      <c r="CF4116" s="128"/>
      <c r="CG4116" s="128"/>
      <c r="CI4116" s="128"/>
      <c r="CJ4116" s="128"/>
      <c r="CK4116" s="128"/>
      <c r="CL4116" s="128"/>
      <c r="CM4116" s="128"/>
      <c r="CN4116" s="128"/>
      <c r="CO4116" s="128"/>
      <c r="CP4116" s="128"/>
      <c r="CQ4116" s="128"/>
      <c r="CR4116" s="128"/>
      <c r="CS4116" s="128"/>
      <c r="CT4116" s="128"/>
      <c r="CU4116" s="128"/>
      <c r="CV4116" s="128"/>
      <c r="CW4116" s="128"/>
      <c r="CX4116" s="128"/>
      <c r="CY4116" s="128"/>
      <c r="CZ4116" s="165"/>
    </row>
    <row r="4117" spans="1:104">
      <c r="A4117" s="149"/>
      <c r="B4117" s="149"/>
      <c r="C4117" s="150"/>
      <c r="D4117" s="102"/>
      <c r="E4117" s="149"/>
      <c r="F4117" s="149"/>
      <c r="G4117" s="149"/>
      <c r="H4117" s="149"/>
      <c r="I4117" s="149"/>
      <c r="J4117" s="149"/>
      <c r="K4117" s="149"/>
      <c r="L4117" s="149"/>
      <c r="M4117" s="149"/>
      <c r="N4117" s="149"/>
      <c r="O4117" s="149"/>
      <c r="P4117" s="149"/>
      <c r="Q4117" s="149"/>
      <c r="R4117" s="149"/>
      <c r="S4117" s="149"/>
      <c r="T4117" s="149"/>
      <c r="U4117" s="149"/>
      <c r="V4117" s="149"/>
      <c r="W4117" s="149"/>
      <c r="X4117" s="149"/>
      <c r="Y4117" s="149"/>
      <c r="Z4117" s="149"/>
      <c r="AA4117" s="149"/>
      <c r="AB4117" s="149"/>
      <c r="AC4117" s="149"/>
      <c r="AD4117" s="149"/>
      <c r="AE4117" s="149"/>
      <c r="AF4117" s="149"/>
      <c r="AG4117" s="149"/>
      <c r="AH4117" s="149"/>
      <c r="AI4117" s="149"/>
      <c r="AJ4117" s="149"/>
      <c r="AK4117" s="149"/>
      <c r="AL4117" s="149"/>
      <c r="AM4117" s="149"/>
      <c r="AN4117" s="149"/>
      <c r="AO4117" s="128"/>
      <c r="AP4117" s="128"/>
      <c r="AQ4117" s="128"/>
      <c r="AR4117" s="128"/>
      <c r="AS4117" s="128"/>
      <c r="AT4117" s="128"/>
      <c r="AU4117" s="128"/>
      <c r="AV4117" s="128"/>
      <c r="AW4117" s="128"/>
      <c r="AX4117" s="128"/>
      <c r="AY4117" s="128"/>
      <c r="AZ4117" s="128"/>
      <c r="BA4117" s="128"/>
      <c r="BB4117" s="128"/>
      <c r="BC4117" s="128"/>
      <c r="BD4117" s="128"/>
      <c r="BE4117" s="128"/>
      <c r="BF4117" s="128"/>
      <c r="BG4117" s="128"/>
      <c r="BH4117" s="128"/>
      <c r="BI4117" s="128"/>
      <c r="BJ4117" s="128"/>
      <c r="BK4117" s="128"/>
      <c r="BL4117" s="128"/>
      <c r="BM4117" s="151"/>
      <c r="BN4117" s="128"/>
      <c r="BO4117" s="128"/>
      <c r="BP4117" s="128"/>
      <c r="BQ4117" s="128"/>
      <c r="BR4117" s="128"/>
      <c r="BS4117" s="128"/>
      <c r="BT4117" s="128"/>
      <c r="BU4117" s="128"/>
      <c r="BV4117" s="128"/>
      <c r="BW4117" s="128"/>
      <c r="BX4117" s="128"/>
      <c r="BY4117" s="128"/>
      <c r="BZ4117" s="128"/>
      <c r="CA4117" s="128"/>
      <c r="CB4117" s="128"/>
      <c r="CC4117" s="128"/>
      <c r="CD4117" s="128"/>
      <c r="CE4117" s="128"/>
      <c r="CF4117" s="128"/>
      <c r="CG4117" s="128"/>
      <c r="CI4117" s="128"/>
      <c r="CJ4117" s="128"/>
      <c r="CK4117" s="128"/>
      <c r="CL4117" s="128"/>
      <c r="CM4117" s="128"/>
      <c r="CN4117" s="128"/>
      <c r="CO4117" s="128"/>
      <c r="CP4117" s="128"/>
      <c r="CQ4117" s="128"/>
      <c r="CR4117" s="128"/>
      <c r="CS4117" s="128"/>
      <c r="CT4117" s="128"/>
      <c r="CU4117" s="128"/>
      <c r="CV4117" s="128"/>
      <c r="CW4117" s="128"/>
      <c r="CX4117" s="128"/>
      <c r="CY4117" s="128"/>
      <c r="CZ4117" s="165"/>
    </row>
    <row r="4118" spans="1:104">
      <c r="A4118" s="149"/>
      <c r="B4118" s="149"/>
      <c r="C4118" s="150"/>
      <c r="D4118" s="102"/>
      <c r="E4118" s="149"/>
      <c r="F4118" s="149"/>
      <c r="G4118" s="149"/>
      <c r="H4118" s="149"/>
      <c r="I4118" s="149"/>
      <c r="J4118" s="149"/>
      <c r="K4118" s="149"/>
      <c r="L4118" s="149"/>
      <c r="M4118" s="149"/>
      <c r="N4118" s="149"/>
      <c r="O4118" s="149"/>
      <c r="P4118" s="149"/>
      <c r="Q4118" s="149"/>
      <c r="R4118" s="149"/>
      <c r="S4118" s="149"/>
      <c r="T4118" s="149"/>
      <c r="U4118" s="149"/>
      <c r="V4118" s="149"/>
      <c r="W4118" s="149"/>
      <c r="X4118" s="149"/>
      <c r="Y4118" s="149"/>
      <c r="Z4118" s="149"/>
      <c r="AA4118" s="149"/>
      <c r="AB4118" s="149"/>
      <c r="AC4118" s="149"/>
      <c r="AD4118" s="149"/>
      <c r="AE4118" s="149"/>
      <c r="AF4118" s="149"/>
      <c r="AG4118" s="149"/>
      <c r="AH4118" s="149"/>
      <c r="AI4118" s="149"/>
      <c r="AJ4118" s="149"/>
      <c r="AK4118" s="149"/>
      <c r="AL4118" s="149"/>
      <c r="AM4118" s="149"/>
      <c r="AN4118" s="149"/>
      <c r="AO4118" s="128"/>
      <c r="AP4118" s="128"/>
      <c r="AQ4118" s="128"/>
      <c r="AR4118" s="128"/>
      <c r="AS4118" s="128"/>
      <c r="AT4118" s="128"/>
      <c r="AU4118" s="128"/>
      <c r="AV4118" s="128"/>
      <c r="AW4118" s="128"/>
      <c r="AX4118" s="128"/>
      <c r="AY4118" s="128"/>
      <c r="AZ4118" s="128"/>
      <c r="BA4118" s="128"/>
      <c r="BB4118" s="128"/>
      <c r="BC4118" s="128"/>
      <c r="BD4118" s="128"/>
      <c r="BE4118" s="128"/>
      <c r="BF4118" s="128"/>
      <c r="BG4118" s="128"/>
      <c r="BH4118" s="128"/>
      <c r="BI4118" s="128"/>
      <c r="BJ4118" s="128"/>
      <c r="BK4118" s="128"/>
      <c r="BL4118" s="128"/>
      <c r="BM4118" s="151"/>
      <c r="BN4118" s="128"/>
      <c r="BO4118" s="128"/>
      <c r="BP4118" s="128"/>
      <c r="BQ4118" s="128"/>
      <c r="BR4118" s="128"/>
      <c r="BS4118" s="128"/>
      <c r="BT4118" s="128"/>
      <c r="BU4118" s="128"/>
      <c r="BV4118" s="128"/>
      <c r="BW4118" s="128"/>
      <c r="BX4118" s="128"/>
      <c r="BY4118" s="128"/>
      <c r="BZ4118" s="128"/>
      <c r="CA4118" s="128"/>
      <c r="CB4118" s="128"/>
      <c r="CC4118" s="128"/>
      <c r="CD4118" s="128"/>
      <c r="CE4118" s="128"/>
      <c r="CF4118" s="128"/>
      <c r="CG4118" s="128"/>
      <c r="CI4118" s="128"/>
      <c r="CJ4118" s="128"/>
      <c r="CK4118" s="128"/>
      <c r="CL4118" s="128"/>
      <c r="CM4118" s="128"/>
      <c r="CN4118" s="128"/>
      <c r="CO4118" s="128"/>
      <c r="CP4118" s="128"/>
      <c r="CQ4118" s="128"/>
      <c r="CR4118" s="128"/>
      <c r="CS4118" s="128"/>
      <c r="CT4118" s="128"/>
      <c r="CU4118" s="128"/>
      <c r="CV4118" s="128"/>
      <c r="CW4118" s="128"/>
      <c r="CX4118" s="128"/>
      <c r="CY4118" s="128"/>
      <c r="CZ4118" s="165"/>
    </row>
    <row r="4119" spans="1:104">
      <c r="A4119" s="149"/>
      <c r="B4119" s="149"/>
      <c r="C4119" s="150"/>
      <c r="D4119" s="102"/>
      <c r="E4119" s="149"/>
      <c r="F4119" s="149"/>
      <c r="G4119" s="149"/>
      <c r="H4119" s="149"/>
      <c r="I4119" s="149"/>
      <c r="J4119" s="149"/>
      <c r="K4119" s="149"/>
      <c r="L4119" s="149"/>
      <c r="M4119" s="149"/>
      <c r="N4119" s="149"/>
      <c r="O4119" s="149"/>
      <c r="P4119" s="149"/>
      <c r="Q4119" s="149"/>
      <c r="R4119" s="149"/>
      <c r="S4119" s="149"/>
      <c r="T4119" s="149"/>
      <c r="U4119" s="149"/>
      <c r="V4119" s="149"/>
      <c r="W4119" s="149"/>
      <c r="X4119" s="149"/>
      <c r="Y4119" s="149"/>
      <c r="Z4119" s="149"/>
      <c r="AA4119" s="149"/>
      <c r="AB4119" s="149"/>
      <c r="AC4119" s="149"/>
      <c r="AD4119" s="149"/>
      <c r="AE4119" s="149"/>
      <c r="AF4119" s="149"/>
      <c r="AG4119" s="149"/>
      <c r="AH4119" s="149"/>
      <c r="AI4119" s="149"/>
      <c r="AJ4119" s="149"/>
      <c r="AK4119" s="149"/>
      <c r="AL4119" s="149"/>
      <c r="AM4119" s="149"/>
      <c r="AN4119" s="149"/>
      <c r="AO4119" s="128"/>
      <c r="AP4119" s="128"/>
      <c r="AQ4119" s="128"/>
      <c r="AR4119" s="128"/>
      <c r="AS4119" s="128"/>
      <c r="AT4119" s="128"/>
      <c r="AU4119" s="128"/>
      <c r="AV4119" s="128"/>
      <c r="AW4119" s="128"/>
      <c r="AX4119" s="128"/>
      <c r="AY4119" s="128"/>
      <c r="AZ4119" s="128"/>
      <c r="BA4119" s="128"/>
      <c r="BB4119" s="128"/>
      <c r="BC4119" s="128"/>
      <c r="BD4119" s="128"/>
      <c r="BE4119" s="128"/>
      <c r="BF4119" s="128"/>
      <c r="BG4119" s="128"/>
      <c r="BH4119" s="128"/>
      <c r="BI4119" s="128"/>
      <c r="BJ4119" s="128"/>
      <c r="BK4119" s="128"/>
      <c r="BL4119" s="128"/>
      <c r="BM4119" s="151"/>
      <c r="BN4119" s="128"/>
      <c r="BO4119" s="128"/>
      <c r="BP4119" s="128"/>
      <c r="BQ4119" s="128"/>
      <c r="BR4119" s="128"/>
      <c r="BS4119" s="128"/>
      <c r="BT4119" s="128"/>
      <c r="BU4119" s="128"/>
      <c r="BV4119" s="128"/>
      <c r="BW4119" s="128"/>
      <c r="BX4119" s="128"/>
      <c r="BY4119" s="128"/>
      <c r="BZ4119" s="128"/>
      <c r="CA4119" s="128"/>
      <c r="CB4119" s="128"/>
      <c r="CC4119" s="128"/>
      <c r="CD4119" s="128"/>
      <c r="CE4119" s="128"/>
      <c r="CF4119" s="128"/>
      <c r="CG4119" s="128"/>
      <c r="CI4119" s="128"/>
      <c r="CJ4119" s="128"/>
      <c r="CK4119" s="128"/>
      <c r="CL4119" s="128"/>
      <c r="CM4119" s="128"/>
      <c r="CN4119" s="128"/>
      <c r="CO4119" s="128"/>
      <c r="CP4119" s="128"/>
      <c r="CQ4119" s="128"/>
      <c r="CR4119" s="128"/>
      <c r="CS4119" s="128"/>
      <c r="CT4119" s="128"/>
      <c r="CU4119" s="128"/>
      <c r="CV4119" s="128"/>
      <c r="CW4119" s="128"/>
      <c r="CX4119" s="128"/>
      <c r="CY4119" s="128"/>
      <c r="CZ4119" s="165"/>
    </row>
    <row r="4120" spans="1:104">
      <c r="A4120" s="149"/>
      <c r="B4120" s="149"/>
      <c r="C4120" s="150"/>
      <c r="D4120" s="102"/>
      <c r="E4120" s="149"/>
      <c r="F4120" s="149"/>
      <c r="G4120" s="149"/>
      <c r="H4120" s="149"/>
      <c r="I4120" s="149"/>
      <c r="J4120" s="149"/>
      <c r="K4120" s="149"/>
      <c r="L4120" s="149"/>
      <c r="M4120" s="149"/>
      <c r="N4120" s="149"/>
      <c r="O4120" s="149"/>
      <c r="P4120" s="149"/>
      <c r="Q4120" s="149"/>
      <c r="R4120" s="149"/>
      <c r="S4120" s="149"/>
      <c r="T4120" s="149"/>
      <c r="U4120" s="149"/>
      <c r="V4120" s="149"/>
      <c r="W4120" s="149"/>
      <c r="X4120" s="149"/>
      <c r="Y4120" s="149"/>
      <c r="Z4120" s="149"/>
      <c r="AA4120" s="149"/>
      <c r="AB4120" s="149"/>
      <c r="AC4120" s="149"/>
      <c r="AD4120" s="149"/>
      <c r="AE4120" s="149"/>
      <c r="AF4120" s="149"/>
      <c r="AG4120" s="149"/>
      <c r="AH4120" s="149"/>
      <c r="AI4120" s="149"/>
      <c r="AJ4120" s="149"/>
      <c r="AK4120" s="149"/>
      <c r="AL4120" s="149"/>
      <c r="AM4120" s="149"/>
      <c r="AN4120" s="149"/>
      <c r="AO4120" s="128"/>
      <c r="AP4120" s="128"/>
      <c r="AQ4120" s="128"/>
      <c r="AR4120" s="128"/>
      <c r="AS4120" s="128"/>
      <c r="AT4120" s="128"/>
      <c r="AU4120" s="128"/>
      <c r="AV4120" s="128"/>
      <c r="AW4120" s="128"/>
      <c r="AX4120" s="128"/>
      <c r="AY4120" s="128"/>
      <c r="AZ4120" s="128"/>
      <c r="BA4120" s="128"/>
      <c r="BB4120" s="128"/>
      <c r="BC4120" s="128"/>
      <c r="BD4120" s="128"/>
      <c r="BE4120" s="128"/>
      <c r="BF4120" s="128"/>
      <c r="BG4120" s="128"/>
      <c r="BH4120" s="128"/>
      <c r="BI4120" s="128"/>
      <c r="BJ4120" s="128"/>
      <c r="BK4120" s="128"/>
      <c r="BL4120" s="128"/>
      <c r="BM4120" s="151"/>
      <c r="BN4120" s="128"/>
      <c r="BO4120" s="128"/>
      <c r="BP4120" s="128"/>
      <c r="BQ4120" s="128"/>
      <c r="BR4120" s="128"/>
      <c r="BS4120" s="128"/>
      <c r="BT4120" s="128"/>
      <c r="BU4120" s="128"/>
      <c r="BV4120" s="128"/>
      <c r="BW4120" s="128"/>
      <c r="BX4120" s="128"/>
      <c r="BY4120" s="128"/>
      <c r="BZ4120" s="128"/>
      <c r="CA4120" s="128"/>
      <c r="CB4120" s="128"/>
      <c r="CC4120" s="128"/>
      <c r="CD4120" s="128"/>
      <c r="CE4120" s="128"/>
      <c r="CF4120" s="128"/>
      <c r="CG4120" s="128"/>
      <c r="CI4120" s="128"/>
      <c r="CJ4120" s="128"/>
      <c r="CK4120" s="128"/>
      <c r="CL4120" s="128"/>
      <c r="CM4120" s="128"/>
      <c r="CN4120" s="128"/>
      <c r="CO4120" s="128"/>
      <c r="CP4120" s="128"/>
      <c r="CQ4120" s="128"/>
      <c r="CR4120" s="128"/>
      <c r="CS4120" s="128"/>
      <c r="CT4120" s="128"/>
      <c r="CU4120" s="128"/>
      <c r="CV4120" s="128"/>
      <c r="CW4120" s="128"/>
      <c r="CX4120" s="128"/>
      <c r="CY4120" s="128"/>
      <c r="CZ4120" s="165"/>
    </row>
    <row r="4121" spans="1:104">
      <c r="A4121" s="149"/>
      <c r="B4121" s="149"/>
      <c r="C4121" s="150"/>
      <c r="D4121" s="102"/>
      <c r="E4121" s="149"/>
      <c r="F4121" s="149"/>
      <c r="G4121" s="149"/>
      <c r="H4121" s="149"/>
      <c r="I4121" s="149"/>
      <c r="J4121" s="149"/>
      <c r="K4121" s="149"/>
      <c r="L4121" s="149"/>
      <c r="M4121" s="149"/>
      <c r="N4121" s="149"/>
      <c r="O4121" s="149"/>
      <c r="P4121" s="149"/>
      <c r="Q4121" s="149"/>
      <c r="R4121" s="149"/>
      <c r="S4121" s="149"/>
      <c r="T4121" s="149"/>
      <c r="U4121" s="149"/>
      <c r="V4121" s="149"/>
      <c r="W4121" s="149"/>
      <c r="X4121" s="149"/>
      <c r="Y4121" s="149"/>
      <c r="Z4121" s="149"/>
      <c r="AA4121" s="149"/>
      <c r="AB4121" s="149"/>
      <c r="AC4121" s="149"/>
      <c r="AD4121" s="149"/>
      <c r="AE4121" s="149"/>
      <c r="AF4121" s="149"/>
      <c r="AG4121" s="149"/>
      <c r="AH4121" s="149"/>
      <c r="AI4121" s="149"/>
      <c r="AJ4121" s="149"/>
      <c r="AK4121" s="149"/>
      <c r="AL4121" s="149"/>
      <c r="AM4121" s="149"/>
      <c r="AN4121" s="149"/>
      <c r="AO4121" s="128"/>
      <c r="AP4121" s="128"/>
      <c r="AQ4121" s="128"/>
      <c r="AR4121" s="128"/>
      <c r="AS4121" s="128"/>
      <c r="AT4121" s="128"/>
      <c r="AU4121" s="128"/>
      <c r="AV4121" s="128"/>
      <c r="AW4121" s="128"/>
      <c r="AX4121" s="128"/>
      <c r="AY4121" s="128"/>
      <c r="AZ4121" s="128"/>
      <c r="BA4121" s="128"/>
      <c r="BB4121" s="128"/>
      <c r="BC4121" s="128"/>
      <c r="BD4121" s="128"/>
      <c r="BE4121" s="128"/>
      <c r="BF4121" s="128"/>
      <c r="BG4121" s="128"/>
      <c r="BH4121" s="128"/>
      <c r="BI4121" s="128"/>
      <c r="BJ4121" s="128"/>
      <c r="BK4121" s="128"/>
      <c r="BL4121" s="128"/>
      <c r="BM4121" s="151"/>
      <c r="BN4121" s="128"/>
      <c r="BO4121" s="128"/>
      <c r="BP4121" s="128"/>
      <c r="BQ4121" s="128"/>
      <c r="BR4121" s="128"/>
      <c r="BS4121" s="128"/>
      <c r="BT4121" s="128"/>
      <c r="BU4121" s="128"/>
      <c r="BV4121" s="128"/>
      <c r="BW4121" s="128"/>
      <c r="BX4121" s="128"/>
      <c r="BY4121" s="128"/>
      <c r="BZ4121" s="128"/>
      <c r="CA4121" s="128"/>
      <c r="CB4121" s="128"/>
      <c r="CC4121" s="128"/>
      <c r="CD4121" s="128"/>
      <c r="CE4121" s="128"/>
      <c r="CF4121" s="128"/>
      <c r="CG4121" s="128"/>
      <c r="CI4121" s="128"/>
      <c r="CJ4121" s="128"/>
      <c r="CK4121" s="128"/>
      <c r="CL4121" s="128"/>
      <c r="CM4121" s="128"/>
      <c r="CN4121" s="128"/>
      <c r="CO4121" s="128"/>
      <c r="CP4121" s="128"/>
      <c r="CQ4121" s="128"/>
      <c r="CR4121" s="128"/>
      <c r="CS4121" s="128"/>
      <c r="CT4121" s="128"/>
      <c r="CU4121" s="128"/>
      <c r="CV4121" s="128"/>
      <c r="CW4121" s="128"/>
      <c r="CX4121" s="128"/>
      <c r="CY4121" s="128"/>
      <c r="CZ4121" s="165"/>
    </row>
    <row r="4122" spans="1:104">
      <c r="A4122" s="149"/>
      <c r="B4122" s="149"/>
      <c r="C4122" s="150"/>
      <c r="D4122" s="102"/>
      <c r="E4122" s="149"/>
      <c r="F4122" s="149"/>
      <c r="G4122" s="149"/>
      <c r="H4122" s="149"/>
      <c r="I4122" s="149"/>
      <c r="J4122" s="149"/>
      <c r="K4122" s="149"/>
      <c r="L4122" s="149"/>
      <c r="M4122" s="149"/>
      <c r="N4122" s="149"/>
      <c r="O4122" s="149"/>
      <c r="P4122" s="149"/>
      <c r="Q4122" s="149"/>
      <c r="R4122" s="149"/>
      <c r="S4122" s="149"/>
      <c r="T4122" s="149"/>
      <c r="U4122" s="149"/>
      <c r="V4122" s="149"/>
      <c r="W4122" s="149"/>
      <c r="X4122" s="149"/>
      <c r="Y4122" s="149"/>
      <c r="Z4122" s="149"/>
      <c r="AA4122" s="149"/>
      <c r="AB4122" s="149"/>
      <c r="AC4122" s="149"/>
      <c r="AD4122" s="149"/>
      <c r="AE4122" s="149"/>
      <c r="AF4122" s="149"/>
      <c r="AG4122" s="149"/>
      <c r="AH4122" s="149"/>
      <c r="AI4122" s="149"/>
      <c r="AJ4122" s="149"/>
      <c r="AK4122" s="149"/>
      <c r="AL4122" s="149"/>
      <c r="AM4122" s="149"/>
      <c r="AN4122" s="149"/>
      <c r="AO4122" s="128"/>
      <c r="AP4122" s="128"/>
      <c r="AQ4122" s="128"/>
      <c r="AR4122" s="128"/>
      <c r="AS4122" s="128"/>
      <c r="AT4122" s="128"/>
      <c r="AU4122" s="128"/>
      <c r="AV4122" s="128"/>
      <c r="AW4122" s="128"/>
      <c r="AX4122" s="128"/>
      <c r="AY4122" s="128"/>
      <c r="AZ4122" s="128"/>
      <c r="BA4122" s="128"/>
      <c r="BB4122" s="128"/>
      <c r="BC4122" s="128"/>
      <c r="BD4122" s="128"/>
      <c r="BE4122" s="128"/>
      <c r="BF4122" s="128"/>
      <c r="BG4122" s="128"/>
      <c r="BH4122" s="128"/>
      <c r="BI4122" s="128"/>
      <c r="BJ4122" s="128"/>
      <c r="BK4122" s="128"/>
      <c r="BL4122" s="128"/>
      <c r="BM4122" s="151"/>
      <c r="BN4122" s="128"/>
      <c r="BO4122" s="128"/>
      <c r="BP4122" s="128"/>
      <c r="BQ4122" s="128"/>
      <c r="BR4122" s="128"/>
      <c r="BS4122" s="128"/>
      <c r="BT4122" s="128"/>
      <c r="BU4122" s="128"/>
      <c r="BV4122" s="128"/>
      <c r="BW4122" s="128"/>
      <c r="BX4122" s="128"/>
      <c r="BY4122" s="128"/>
      <c r="BZ4122" s="128"/>
      <c r="CA4122" s="128"/>
      <c r="CB4122" s="128"/>
      <c r="CC4122" s="128"/>
      <c r="CD4122" s="128"/>
      <c r="CE4122" s="128"/>
      <c r="CF4122" s="128"/>
      <c r="CG4122" s="128"/>
      <c r="CI4122" s="128"/>
      <c r="CJ4122" s="128"/>
      <c r="CK4122" s="128"/>
      <c r="CL4122" s="128"/>
      <c r="CM4122" s="128"/>
      <c r="CN4122" s="128"/>
      <c r="CO4122" s="128"/>
      <c r="CP4122" s="128"/>
      <c r="CQ4122" s="128"/>
      <c r="CR4122" s="128"/>
      <c r="CS4122" s="128"/>
      <c r="CT4122" s="128"/>
      <c r="CU4122" s="128"/>
      <c r="CV4122" s="128"/>
      <c r="CW4122" s="128"/>
      <c r="CX4122" s="128"/>
      <c r="CY4122" s="128"/>
      <c r="CZ4122" s="165"/>
    </row>
    <row r="4123" spans="1:104">
      <c r="A4123" s="149"/>
      <c r="B4123" s="149"/>
      <c r="C4123" s="150"/>
      <c r="D4123" s="102"/>
      <c r="E4123" s="149"/>
      <c r="F4123" s="149"/>
      <c r="G4123" s="149"/>
      <c r="H4123" s="149"/>
      <c r="I4123" s="149"/>
      <c r="J4123" s="149"/>
      <c r="K4123" s="149"/>
      <c r="L4123" s="149"/>
      <c r="M4123" s="149"/>
      <c r="N4123" s="149"/>
      <c r="O4123" s="149"/>
      <c r="P4123" s="149"/>
      <c r="Q4123" s="149"/>
      <c r="R4123" s="149"/>
      <c r="S4123" s="149"/>
      <c r="T4123" s="149"/>
      <c r="U4123" s="149"/>
      <c r="V4123" s="149"/>
      <c r="W4123" s="149"/>
      <c r="X4123" s="149"/>
      <c r="Y4123" s="149"/>
      <c r="Z4123" s="149"/>
      <c r="AA4123" s="149"/>
      <c r="AB4123" s="149"/>
      <c r="AC4123" s="149"/>
      <c r="AD4123" s="149"/>
      <c r="AE4123" s="149"/>
      <c r="AF4123" s="149"/>
      <c r="AG4123" s="149"/>
      <c r="AH4123" s="149"/>
      <c r="AI4123" s="149"/>
      <c r="AJ4123" s="149"/>
      <c r="AK4123" s="149"/>
      <c r="AL4123" s="149"/>
      <c r="AM4123" s="149"/>
      <c r="AN4123" s="149"/>
      <c r="AO4123" s="128"/>
      <c r="AP4123" s="128"/>
      <c r="AQ4123" s="128"/>
      <c r="AR4123" s="128"/>
      <c r="AS4123" s="128"/>
      <c r="AT4123" s="128"/>
      <c r="AU4123" s="128"/>
      <c r="AV4123" s="128"/>
      <c r="AW4123" s="128"/>
      <c r="AX4123" s="128"/>
      <c r="AY4123" s="128"/>
      <c r="AZ4123" s="128"/>
      <c r="BA4123" s="128"/>
      <c r="BB4123" s="128"/>
      <c r="BC4123" s="128"/>
      <c r="BD4123" s="128"/>
      <c r="BE4123" s="128"/>
      <c r="BF4123" s="128"/>
      <c r="BG4123" s="128"/>
      <c r="BH4123" s="128"/>
      <c r="BI4123" s="128"/>
      <c r="BJ4123" s="128"/>
      <c r="BK4123" s="128"/>
      <c r="BL4123" s="128"/>
      <c r="BM4123" s="151"/>
      <c r="BN4123" s="128"/>
      <c r="BO4123" s="128"/>
      <c r="BP4123" s="128"/>
      <c r="BQ4123" s="128"/>
      <c r="BR4123" s="128"/>
      <c r="BS4123" s="128"/>
      <c r="BT4123" s="128"/>
      <c r="BU4123" s="128"/>
      <c r="BV4123" s="128"/>
      <c r="BW4123" s="128"/>
      <c r="BX4123" s="128"/>
      <c r="BY4123" s="128"/>
      <c r="BZ4123" s="128"/>
      <c r="CA4123" s="128"/>
      <c r="CB4123" s="128"/>
      <c r="CC4123" s="128"/>
      <c r="CD4123" s="128"/>
      <c r="CE4123" s="128"/>
      <c r="CF4123" s="128"/>
      <c r="CG4123" s="128"/>
      <c r="CI4123" s="128"/>
      <c r="CJ4123" s="128"/>
      <c r="CK4123" s="128"/>
      <c r="CL4123" s="128"/>
      <c r="CM4123" s="128"/>
      <c r="CN4123" s="128"/>
      <c r="CO4123" s="128"/>
      <c r="CP4123" s="128"/>
      <c r="CQ4123" s="128"/>
      <c r="CR4123" s="128"/>
      <c r="CS4123" s="128"/>
      <c r="CT4123" s="128"/>
      <c r="CU4123" s="128"/>
      <c r="CV4123" s="128"/>
      <c r="CW4123" s="128"/>
      <c r="CX4123" s="128"/>
      <c r="CY4123" s="128"/>
      <c r="CZ4123" s="165"/>
    </row>
    <row r="4124" spans="1:104">
      <c r="A4124" s="149"/>
      <c r="B4124" s="149"/>
      <c r="C4124" s="150"/>
      <c r="D4124" s="102"/>
      <c r="E4124" s="149"/>
      <c r="F4124" s="149"/>
      <c r="G4124" s="149"/>
      <c r="H4124" s="149"/>
      <c r="I4124" s="149"/>
      <c r="J4124" s="149"/>
      <c r="K4124" s="149"/>
      <c r="L4124" s="149"/>
      <c r="M4124" s="149"/>
      <c r="N4124" s="149"/>
      <c r="O4124" s="149"/>
      <c r="P4124" s="149"/>
      <c r="Q4124" s="149"/>
      <c r="R4124" s="149"/>
      <c r="S4124" s="149"/>
      <c r="T4124" s="149"/>
      <c r="U4124" s="149"/>
      <c r="V4124" s="149"/>
      <c r="W4124" s="149"/>
      <c r="X4124" s="149"/>
      <c r="Y4124" s="149"/>
      <c r="Z4124" s="149"/>
      <c r="AA4124" s="149"/>
      <c r="AB4124" s="149"/>
      <c r="AC4124" s="149"/>
      <c r="AD4124" s="149"/>
      <c r="AE4124" s="149"/>
      <c r="AF4124" s="149"/>
      <c r="AG4124" s="149"/>
      <c r="AH4124" s="149"/>
      <c r="AI4124" s="149"/>
      <c r="AJ4124" s="149"/>
      <c r="AK4124" s="149"/>
      <c r="AL4124" s="149"/>
      <c r="AM4124" s="149"/>
      <c r="AN4124" s="149"/>
      <c r="AO4124" s="128"/>
      <c r="AP4124" s="128"/>
      <c r="AQ4124" s="128"/>
      <c r="AR4124" s="128"/>
      <c r="AS4124" s="128"/>
      <c r="AT4124" s="128"/>
      <c r="AU4124" s="128"/>
      <c r="AV4124" s="128"/>
      <c r="AW4124" s="128"/>
      <c r="AX4124" s="128"/>
      <c r="AY4124" s="128"/>
      <c r="AZ4124" s="128"/>
      <c r="BA4124" s="128"/>
      <c r="BB4124" s="128"/>
      <c r="BC4124" s="128"/>
      <c r="BD4124" s="128"/>
      <c r="BE4124" s="128"/>
      <c r="BF4124" s="128"/>
      <c r="BG4124" s="128"/>
      <c r="BH4124" s="128"/>
      <c r="BI4124" s="128"/>
      <c r="BJ4124" s="128"/>
      <c r="BK4124" s="128"/>
      <c r="BL4124" s="128"/>
      <c r="BM4124" s="151"/>
      <c r="BN4124" s="128"/>
      <c r="BO4124" s="128"/>
      <c r="BP4124" s="128"/>
      <c r="BQ4124" s="128"/>
      <c r="BR4124" s="128"/>
      <c r="BS4124" s="128"/>
      <c r="BT4124" s="128"/>
      <c r="BU4124" s="128"/>
      <c r="BV4124" s="128"/>
      <c r="BW4124" s="128"/>
      <c r="BX4124" s="128"/>
      <c r="BY4124" s="128"/>
      <c r="BZ4124" s="128"/>
      <c r="CA4124" s="128"/>
      <c r="CB4124" s="128"/>
      <c r="CC4124" s="128"/>
      <c r="CD4124" s="128"/>
      <c r="CE4124" s="128"/>
      <c r="CF4124" s="128"/>
      <c r="CG4124" s="128"/>
      <c r="CI4124" s="128"/>
      <c r="CJ4124" s="128"/>
      <c r="CK4124" s="128"/>
      <c r="CL4124" s="128"/>
      <c r="CM4124" s="128"/>
      <c r="CN4124" s="128"/>
      <c r="CO4124" s="128"/>
      <c r="CP4124" s="128"/>
      <c r="CQ4124" s="128"/>
      <c r="CR4124" s="128"/>
      <c r="CS4124" s="128"/>
      <c r="CT4124" s="128"/>
      <c r="CU4124" s="128"/>
      <c r="CV4124" s="128"/>
      <c r="CW4124" s="128"/>
      <c r="CX4124" s="128"/>
      <c r="CY4124" s="128"/>
      <c r="CZ4124" s="165"/>
    </row>
    <row r="4125" spans="1:104">
      <c r="A4125" s="149"/>
      <c r="B4125" s="149"/>
      <c r="C4125" s="150"/>
      <c r="D4125" s="102"/>
      <c r="E4125" s="149"/>
      <c r="F4125" s="149"/>
      <c r="G4125" s="149"/>
      <c r="H4125" s="149"/>
      <c r="I4125" s="149"/>
      <c r="J4125" s="149"/>
      <c r="K4125" s="149"/>
      <c r="L4125" s="149"/>
      <c r="M4125" s="149"/>
      <c r="N4125" s="149"/>
      <c r="O4125" s="149"/>
      <c r="P4125" s="149"/>
      <c r="Q4125" s="149"/>
      <c r="R4125" s="149"/>
      <c r="S4125" s="149"/>
      <c r="T4125" s="149"/>
      <c r="U4125" s="149"/>
      <c r="V4125" s="149"/>
      <c r="W4125" s="149"/>
      <c r="X4125" s="149"/>
      <c r="Y4125" s="149"/>
      <c r="Z4125" s="149"/>
      <c r="AA4125" s="149"/>
      <c r="AB4125" s="149"/>
      <c r="AC4125" s="149"/>
      <c r="AD4125" s="149"/>
      <c r="AE4125" s="149"/>
      <c r="AF4125" s="149"/>
      <c r="AG4125" s="149"/>
      <c r="AH4125" s="149"/>
      <c r="AI4125" s="149"/>
      <c r="AJ4125" s="149"/>
      <c r="AK4125" s="149"/>
      <c r="AL4125" s="149"/>
      <c r="AM4125" s="149"/>
      <c r="AN4125" s="149"/>
      <c r="AO4125" s="128"/>
      <c r="AP4125" s="128"/>
      <c r="AQ4125" s="128"/>
      <c r="AR4125" s="128"/>
      <c r="AS4125" s="128"/>
      <c r="AT4125" s="128"/>
      <c r="AU4125" s="128"/>
      <c r="AV4125" s="128"/>
      <c r="AW4125" s="128"/>
      <c r="AX4125" s="128"/>
      <c r="AY4125" s="128"/>
      <c r="AZ4125" s="128"/>
      <c r="BA4125" s="128"/>
      <c r="BB4125" s="128"/>
      <c r="BC4125" s="128"/>
      <c r="BD4125" s="128"/>
      <c r="BE4125" s="128"/>
      <c r="BF4125" s="128"/>
      <c r="BG4125" s="128"/>
      <c r="BH4125" s="128"/>
      <c r="BI4125" s="128"/>
      <c r="BJ4125" s="128"/>
      <c r="BK4125" s="128"/>
      <c r="BL4125" s="128"/>
      <c r="BM4125" s="151"/>
      <c r="BN4125" s="128"/>
      <c r="BO4125" s="128"/>
      <c r="BP4125" s="128"/>
      <c r="BQ4125" s="128"/>
      <c r="BR4125" s="128"/>
      <c r="BS4125" s="128"/>
      <c r="BT4125" s="128"/>
      <c r="BU4125" s="128"/>
      <c r="BV4125" s="128"/>
      <c r="BW4125" s="128"/>
      <c r="BX4125" s="128"/>
      <c r="BY4125" s="128"/>
      <c r="BZ4125" s="128"/>
      <c r="CA4125" s="128"/>
      <c r="CB4125" s="128"/>
      <c r="CC4125" s="128"/>
      <c r="CD4125" s="128"/>
      <c r="CE4125" s="128"/>
      <c r="CF4125" s="128"/>
      <c r="CG4125" s="128"/>
      <c r="CI4125" s="128"/>
      <c r="CJ4125" s="128"/>
      <c r="CK4125" s="128"/>
      <c r="CL4125" s="128"/>
      <c r="CM4125" s="128"/>
      <c r="CN4125" s="128"/>
      <c r="CO4125" s="128"/>
      <c r="CP4125" s="128"/>
      <c r="CQ4125" s="128"/>
      <c r="CR4125" s="128"/>
      <c r="CS4125" s="128"/>
      <c r="CT4125" s="128"/>
      <c r="CU4125" s="128"/>
      <c r="CV4125" s="128"/>
      <c r="CW4125" s="128"/>
      <c r="CX4125" s="128"/>
      <c r="CY4125" s="128"/>
      <c r="CZ4125" s="165"/>
    </row>
    <row r="4126" spans="1:104">
      <c r="A4126" s="149"/>
      <c r="B4126" s="149"/>
      <c r="C4126" s="150"/>
      <c r="D4126" s="102"/>
      <c r="E4126" s="149"/>
      <c r="F4126" s="149"/>
      <c r="G4126" s="149"/>
      <c r="H4126" s="149"/>
      <c r="I4126" s="149"/>
      <c r="J4126" s="149"/>
      <c r="K4126" s="149"/>
      <c r="L4126" s="149"/>
      <c r="M4126" s="149"/>
      <c r="N4126" s="149"/>
      <c r="O4126" s="149"/>
      <c r="P4126" s="149"/>
      <c r="Q4126" s="149"/>
      <c r="R4126" s="149"/>
      <c r="S4126" s="149"/>
      <c r="T4126" s="149"/>
      <c r="U4126" s="149"/>
      <c r="V4126" s="149"/>
      <c r="W4126" s="149"/>
      <c r="X4126" s="149"/>
      <c r="Y4126" s="149"/>
      <c r="Z4126" s="149"/>
      <c r="AA4126" s="149"/>
      <c r="AB4126" s="149"/>
      <c r="AC4126" s="149"/>
      <c r="AD4126" s="149"/>
      <c r="AE4126" s="149"/>
      <c r="AF4126" s="149"/>
      <c r="AG4126" s="149"/>
      <c r="AH4126" s="149"/>
      <c r="AI4126" s="149"/>
      <c r="AJ4126" s="149"/>
      <c r="AK4126" s="149"/>
      <c r="AL4126" s="149"/>
      <c r="AM4126" s="149"/>
      <c r="AN4126" s="149"/>
      <c r="AO4126" s="128"/>
      <c r="AP4126" s="128"/>
      <c r="AQ4126" s="128"/>
      <c r="AR4126" s="128"/>
      <c r="AS4126" s="128"/>
      <c r="AT4126" s="128"/>
      <c r="AU4126" s="128"/>
      <c r="AV4126" s="128"/>
      <c r="AW4126" s="128"/>
      <c r="AX4126" s="128"/>
      <c r="AY4126" s="128"/>
      <c r="AZ4126" s="128"/>
      <c r="BA4126" s="128"/>
      <c r="BB4126" s="128"/>
      <c r="BC4126" s="128"/>
      <c r="BD4126" s="128"/>
      <c r="BE4126" s="128"/>
      <c r="BF4126" s="128"/>
      <c r="BG4126" s="128"/>
      <c r="BH4126" s="128"/>
      <c r="BI4126" s="128"/>
      <c r="BJ4126" s="128"/>
      <c r="BK4126" s="128"/>
      <c r="BL4126" s="128"/>
      <c r="BM4126" s="151"/>
      <c r="BN4126" s="128"/>
      <c r="BO4126" s="128"/>
      <c r="BP4126" s="128"/>
      <c r="BQ4126" s="128"/>
      <c r="BR4126" s="128"/>
      <c r="BS4126" s="128"/>
      <c r="BT4126" s="128"/>
      <c r="BU4126" s="128"/>
      <c r="BV4126" s="128"/>
      <c r="BW4126" s="128"/>
      <c r="BX4126" s="128"/>
      <c r="BY4126" s="128"/>
      <c r="BZ4126" s="128"/>
      <c r="CA4126" s="128"/>
      <c r="CB4126" s="128"/>
      <c r="CC4126" s="128"/>
      <c r="CD4126" s="128"/>
      <c r="CE4126" s="128"/>
      <c r="CF4126" s="128"/>
      <c r="CG4126" s="128"/>
      <c r="CI4126" s="128"/>
      <c r="CJ4126" s="128"/>
      <c r="CK4126" s="128"/>
      <c r="CL4126" s="128"/>
      <c r="CM4126" s="128"/>
      <c r="CN4126" s="128"/>
      <c r="CO4126" s="128"/>
      <c r="CP4126" s="128"/>
      <c r="CQ4126" s="128"/>
      <c r="CR4126" s="128"/>
      <c r="CS4126" s="128"/>
      <c r="CT4126" s="128"/>
      <c r="CU4126" s="128"/>
      <c r="CV4126" s="128"/>
      <c r="CW4126" s="128"/>
      <c r="CX4126" s="128"/>
      <c r="CY4126" s="128"/>
      <c r="CZ4126" s="165"/>
    </row>
    <row r="4127" spans="1:104">
      <c r="A4127" s="149"/>
      <c r="B4127" s="149"/>
      <c r="C4127" s="150"/>
      <c r="D4127" s="102"/>
      <c r="E4127" s="149"/>
      <c r="F4127" s="149"/>
      <c r="G4127" s="149"/>
      <c r="H4127" s="149"/>
      <c r="I4127" s="149"/>
      <c r="J4127" s="149"/>
      <c r="K4127" s="149"/>
      <c r="L4127" s="149"/>
      <c r="M4127" s="149"/>
      <c r="N4127" s="149"/>
      <c r="O4127" s="149"/>
      <c r="P4127" s="149"/>
      <c r="Q4127" s="149"/>
      <c r="R4127" s="149"/>
      <c r="S4127" s="149"/>
      <c r="T4127" s="149"/>
      <c r="U4127" s="149"/>
      <c r="V4127" s="149"/>
      <c r="W4127" s="149"/>
      <c r="X4127" s="149"/>
      <c r="Y4127" s="149"/>
      <c r="Z4127" s="149"/>
      <c r="AA4127" s="149"/>
      <c r="AB4127" s="149"/>
      <c r="AC4127" s="149"/>
      <c r="AD4127" s="149"/>
      <c r="AE4127" s="149"/>
      <c r="AF4127" s="149"/>
      <c r="AG4127" s="149"/>
      <c r="AH4127" s="149"/>
      <c r="AI4127" s="149"/>
      <c r="AJ4127" s="149"/>
      <c r="AK4127" s="149"/>
      <c r="AL4127" s="149"/>
      <c r="AM4127" s="149"/>
      <c r="AN4127" s="149"/>
      <c r="AO4127" s="128"/>
      <c r="AP4127" s="128"/>
      <c r="AQ4127" s="128"/>
      <c r="AR4127" s="128"/>
      <c r="AS4127" s="128"/>
      <c r="AT4127" s="128"/>
      <c r="AU4127" s="128"/>
      <c r="AV4127" s="128"/>
      <c r="AW4127" s="128"/>
      <c r="AX4127" s="128"/>
      <c r="AY4127" s="128"/>
      <c r="AZ4127" s="128"/>
      <c r="BA4127" s="128"/>
      <c r="BB4127" s="128"/>
      <c r="BC4127" s="128"/>
      <c r="BD4127" s="128"/>
      <c r="BE4127" s="128"/>
      <c r="BF4127" s="128"/>
      <c r="BG4127" s="128"/>
      <c r="BH4127" s="128"/>
      <c r="BI4127" s="128"/>
      <c r="BJ4127" s="128"/>
      <c r="BK4127" s="128"/>
      <c r="BL4127" s="128"/>
      <c r="BM4127" s="151"/>
      <c r="BN4127" s="128"/>
      <c r="BO4127" s="128"/>
      <c r="BP4127" s="128"/>
      <c r="BQ4127" s="128"/>
      <c r="BR4127" s="128"/>
      <c r="BS4127" s="128"/>
      <c r="BT4127" s="128"/>
      <c r="BU4127" s="128"/>
      <c r="BV4127" s="128"/>
      <c r="BW4127" s="128"/>
      <c r="BX4127" s="128"/>
      <c r="BY4127" s="128"/>
      <c r="BZ4127" s="128"/>
      <c r="CA4127" s="128"/>
      <c r="CB4127" s="128"/>
      <c r="CC4127" s="128"/>
      <c r="CD4127" s="128"/>
      <c r="CE4127" s="128"/>
      <c r="CF4127" s="128"/>
      <c r="CG4127" s="128"/>
      <c r="CI4127" s="128"/>
      <c r="CJ4127" s="128"/>
      <c r="CK4127" s="128"/>
      <c r="CL4127" s="128"/>
      <c r="CM4127" s="128"/>
      <c r="CN4127" s="128"/>
      <c r="CO4127" s="128"/>
      <c r="CP4127" s="128"/>
      <c r="CQ4127" s="128"/>
      <c r="CR4127" s="128"/>
      <c r="CS4127" s="128"/>
      <c r="CT4127" s="128"/>
      <c r="CU4127" s="128"/>
      <c r="CV4127" s="128"/>
      <c r="CW4127" s="128"/>
      <c r="CX4127" s="128"/>
      <c r="CY4127" s="128"/>
      <c r="CZ4127" s="165"/>
    </row>
    <row r="4128" spans="1:104">
      <c r="A4128" s="149"/>
      <c r="B4128" s="149"/>
      <c r="C4128" s="150"/>
      <c r="D4128" s="102"/>
      <c r="E4128" s="149"/>
      <c r="F4128" s="149"/>
      <c r="G4128" s="149"/>
      <c r="H4128" s="149"/>
      <c r="I4128" s="149"/>
      <c r="J4128" s="149"/>
      <c r="K4128" s="149"/>
      <c r="L4128" s="149"/>
      <c r="M4128" s="149"/>
      <c r="N4128" s="149"/>
      <c r="O4128" s="149"/>
      <c r="P4128" s="149"/>
      <c r="Q4128" s="149"/>
      <c r="R4128" s="149"/>
      <c r="S4128" s="149"/>
      <c r="T4128" s="149"/>
      <c r="U4128" s="149"/>
      <c r="V4128" s="149"/>
      <c r="W4128" s="149"/>
      <c r="X4128" s="149"/>
      <c r="Y4128" s="149"/>
      <c r="Z4128" s="149"/>
      <c r="AA4128" s="149"/>
      <c r="AB4128" s="149"/>
      <c r="AC4128" s="149"/>
      <c r="AD4128" s="149"/>
      <c r="AE4128" s="149"/>
      <c r="AF4128" s="149"/>
      <c r="AG4128" s="149"/>
      <c r="AH4128" s="149"/>
      <c r="AI4128" s="149"/>
      <c r="AJ4128" s="149"/>
      <c r="AK4128" s="149"/>
      <c r="AL4128" s="149"/>
      <c r="AM4128" s="149"/>
      <c r="AN4128" s="149"/>
      <c r="AO4128" s="128"/>
      <c r="AP4128" s="128"/>
      <c r="AQ4128" s="128"/>
      <c r="AR4128" s="128"/>
      <c r="AS4128" s="128"/>
      <c r="AT4128" s="128"/>
      <c r="AU4128" s="128"/>
      <c r="AV4128" s="128"/>
      <c r="AW4128" s="128"/>
      <c r="AX4128" s="128"/>
      <c r="AY4128" s="128"/>
      <c r="AZ4128" s="128"/>
      <c r="BA4128" s="128"/>
      <c r="BB4128" s="128"/>
      <c r="BC4128" s="128"/>
      <c r="BD4128" s="128"/>
      <c r="BE4128" s="128"/>
      <c r="BF4128" s="128"/>
      <c r="BG4128" s="128"/>
      <c r="BH4128" s="128"/>
      <c r="BI4128" s="128"/>
      <c r="BJ4128" s="128"/>
      <c r="BK4128" s="128"/>
      <c r="BL4128" s="128"/>
      <c r="BM4128" s="151"/>
      <c r="BN4128" s="128"/>
      <c r="BO4128" s="128"/>
      <c r="BP4128" s="128"/>
      <c r="BQ4128" s="128"/>
      <c r="BR4128" s="128"/>
      <c r="BS4128" s="128"/>
      <c r="BT4128" s="128"/>
      <c r="BU4128" s="128"/>
      <c r="BV4128" s="128"/>
      <c r="BW4128" s="128"/>
      <c r="BX4128" s="128"/>
      <c r="BY4128" s="128"/>
      <c r="BZ4128" s="128"/>
      <c r="CA4128" s="128"/>
      <c r="CB4128" s="128"/>
      <c r="CC4128" s="128"/>
      <c r="CD4128" s="128"/>
      <c r="CE4128" s="128"/>
      <c r="CF4128" s="128"/>
      <c r="CG4128" s="128"/>
      <c r="CI4128" s="128"/>
      <c r="CJ4128" s="128"/>
      <c r="CK4128" s="128"/>
      <c r="CL4128" s="128"/>
      <c r="CM4128" s="128"/>
      <c r="CN4128" s="128"/>
      <c r="CO4128" s="128"/>
      <c r="CP4128" s="128"/>
      <c r="CQ4128" s="128"/>
      <c r="CR4128" s="128"/>
      <c r="CS4128" s="128"/>
      <c r="CT4128" s="128"/>
      <c r="CU4128" s="128"/>
      <c r="CV4128" s="128"/>
      <c r="CW4128" s="128"/>
      <c r="CX4128" s="128"/>
      <c r="CY4128" s="128"/>
      <c r="CZ4128" s="165"/>
    </row>
    <row r="4129" spans="1:104">
      <c r="A4129" s="149"/>
      <c r="B4129" s="149"/>
      <c r="C4129" s="150"/>
      <c r="D4129" s="102"/>
      <c r="E4129" s="149"/>
      <c r="F4129" s="149"/>
      <c r="G4129" s="149"/>
      <c r="H4129" s="149"/>
      <c r="I4129" s="149"/>
      <c r="J4129" s="149"/>
      <c r="K4129" s="149"/>
      <c r="L4129" s="149"/>
      <c r="M4129" s="149"/>
      <c r="N4129" s="149"/>
      <c r="O4129" s="149"/>
      <c r="P4129" s="149"/>
      <c r="Q4129" s="149"/>
      <c r="R4129" s="149"/>
      <c r="S4129" s="149"/>
      <c r="T4129" s="149"/>
      <c r="U4129" s="149"/>
      <c r="V4129" s="149"/>
      <c r="W4129" s="149"/>
      <c r="X4129" s="149"/>
      <c r="Y4129" s="149"/>
      <c r="Z4129" s="149"/>
      <c r="AA4129" s="149"/>
      <c r="AB4129" s="149"/>
      <c r="AC4129" s="149"/>
      <c r="AD4129" s="149"/>
      <c r="AE4129" s="149"/>
      <c r="AF4129" s="149"/>
      <c r="AG4129" s="149"/>
      <c r="AH4129" s="149"/>
      <c r="AI4129" s="149"/>
      <c r="AJ4129" s="149"/>
      <c r="AK4129" s="149"/>
      <c r="AL4129" s="149"/>
      <c r="AM4129" s="149"/>
      <c r="AN4129" s="149"/>
      <c r="AO4129" s="128"/>
      <c r="AP4129" s="128"/>
      <c r="AQ4129" s="128"/>
      <c r="AR4129" s="128"/>
      <c r="AS4129" s="128"/>
      <c r="AT4129" s="128"/>
      <c r="AU4129" s="128"/>
      <c r="AV4129" s="128"/>
      <c r="AW4129" s="128"/>
      <c r="AX4129" s="128"/>
      <c r="AY4129" s="128"/>
      <c r="AZ4129" s="128"/>
      <c r="BA4129" s="128"/>
      <c r="BB4129" s="128"/>
      <c r="BC4129" s="128"/>
      <c r="BD4129" s="128"/>
      <c r="BE4129" s="128"/>
      <c r="BF4129" s="128"/>
      <c r="BG4129" s="128"/>
      <c r="BH4129" s="128"/>
      <c r="BI4129" s="128"/>
      <c r="BJ4129" s="128"/>
      <c r="BK4129" s="128"/>
      <c r="BL4129" s="128"/>
      <c r="BM4129" s="151"/>
      <c r="BN4129" s="128"/>
      <c r="BO4129" s="128"/>
      <c r="BP4129" s="128"/>
      <c r="BQ4129" s="128"/>
      <c r="BR4129" s="128"/>
      <c r="BS4129" s="128"/>
      <c r="BT4129" s="128"/>
      <c r="BU4129" s="128"/>
      <c r="BV4129" s="128"/>
      <c r="BW4129" s="128"/>
      <c r="BX4129" s="128"/>
      <c r="BY4129" s="128"/>
      <c r="BZ4129" s="128"/>
      <c r="CA4129" s="128"/>
      <c r="CB4129" s="128"/>
      <c r="CC4129" s="128"/>
      <c r="CD4129" s="128"/>
      <c r="CE4129" s="128"/>
      <c r="CF4129" s="128"/>
      <c r="CG4129" s="128"/>
      <c r="CI4129" s="128"/>
      <c r="CJ4129" s="128"/>
      <c r="CK4129" s="128"/>
      <c r="CL4129" s="128"/>
      <c r="CM4129" s="128"/>
      <c r="CN4129" s="128"/>
      <c r="CO4129" s="128"/>
      <c r="CP4129" s="128"/>
      <c r="CQ4129" s="128"/>
      <c r="CR4129" s="128"/>
      <c r="CS4129" s="128"/>
      <c r="CT4129" s="128"/>
      <c r="CU4129" s="128"/>
      <c r="CV4129" s="128"/>
      <c r="CW4129" s="128"/>
      <c r="CX4129" s="128"/>
      <c r="CY4129" s="128"/>
      <c r="CZ4129" s="165"/>
    </row>
    <row r="4130" spans="1:104">
      <c r="A4130" s="149"/>
      <c r="B4130" s="149"/>
      <c r="C4130" s="150"/>
      <c r="D4130" s="102"/>
      <c r="E4130" s="149"/>
      <c r="F4130" s="149"/>
      <c r="G4130" s="149"/>
      <c r="H4130" s="149"/>
      <c r="I4130" s="149"/>
      <c r="J4130" s="149"/>
      <c r="K4130" s="149"/>
      <c r="L4130" s="149"/>
      <c r="M4130" s="149"/>
      <c r="N4130" s="149"/>
      <c r="O4130" s="149"/>
      <c r="P4130" s="149"/>
      <c r="Q4130" s="149"/>
      <c r="R4130" s="149"/>
      <c r="S4130" s="149"/>
      <c r="T4130" s="149"/>
      <c r="U4130" s="149"/>
      <c r="V4130" s="149"/>
      <c r="W4130" s="149"/>
      <c r="X4130" s="149"/>
      <c r="Y4130" s="149"/>
      <c r="Z4130" s="149"/>
      <c r="AA4130" s="149"/>
      <c r="AB4130" s="149"/>
      <c r="AC4130" s="149"/>
      <c r="AD4130" s="149"/>
      <c r="AE4130" s="149"/>
      <c r="AF4130" s="149"/>
      <c r="AG4130" s="149"/>
      <c r="AH4130" s="149"/>
      <c r="AI4130" s="149"/>
      <c r="AJ4130" s="149"/>
      <c r="AK4130" s="149"/>
      <c r="AL4130" s="149"/>
      <c r="AM4130" s="149"/>
      <c r="AN4130" s="149"/>
      <c r="AO4130" s="128"/>
      <c r="AP4130" s="128"/>
      <c r="AQ4130" s="128"/>
      <c r="AR4130" s="128"/>
      <c r="AS4130" s="128"/>
      <c r="AT4130" s="128"/>
      <c r="AU4130" s="128"/>
      <c r="AV4130" s="128"/>
      <c r="AW4130" s="128"/>
      <c r="AX4130" s="128"/>
      <c r="AY4130" s="128"/>
      <c r="AZ4130" s="128"/>
      <c r="BA4130" s="128"/>
      <c r="BB4130" s="128"/>
      <c r="BC4130" s="128"/>
      <c r="BD4130" s="128"/>
      <c r="BE4130" s="128"/>
      <c r="BF4130" s="128"/>
      <c r="BG4130" s="128"/>
      <c r="BH4130" s="128"/>
      <c r="BI4130" s="128"/>
      <c r="BJ4130" s="128"/>
      <c r="BK4130" s="128"/>
      <c r="BL4130" s="128"/>
      <c r="BM4130" s="151"/>
      <c r="BN4130" s="128"/>
      <c r="BO4130" s="128"/>
      <c r="BP4130" s="128"/>
      <c r="BQ4130" s="128"/>
      <c r="BR4130" s="128"/>
      <c r="BS4130" s="128"/>
      <c r="BT4130" s="128"/>
      <c r="BU4130" s="128"/>
      <c r="BV4130" s="128"/>
      <c r="BW4130" s="128"/>
      <c r="BX4130" s="128"/>
      <c r="BY4130" s="128"/>
      <c r="BZ4130" s="128"/>
      <c r="CA4130" s="128"/>
      <c r="CB4130" s="128"/>
      <c r="CC4130" s="128"/>
      <c r="CD4130" s="128"/>
      <c r="CE4130" s="128"/>
      <c r="CF4130" s="128"/>
      <c r="CG4130" s="128"/>
      <c r="CI4130" s="128"/>
      <c r="CJ4130" s="128"/>
      <c r="CK4130" s="128"/>
      <c r="CL4130" s="128"/>
      <c r="CM4130" s="128"/>
      <c r="CN4130" s="128"/>
      <c r="CO4130" s="128"/>
      <c r="CP4130" s="128"/>
      <c r="CQ4130" s="128"/>
      <c r="CR4130" s="128"/>
      <c r="CS4130" s="128"/>
      <c r="CT4130" s="128"/>
      <c r="CU4130" s="128"/>
      <c r="CV4130" s="128"/>
      <c r="CW4130" s="128"/>
      <c r="CX4130" s="128"/>
      <c r="CY4130" s="128"/>
      <c r="CZ4130" s="165"/>
    </row>
    <row r="4131" spans="1:104">
      <c r="A4131" s="149"/>
      <c r="B4131" s="149"/>
      <c r="C4131" s="150"/>
      <c r="D4131" s="102"/>
      <c r="E4131" s="149"/>
      <c r="F4131" s="149"/>
      <c r="G4131" s="149"/>
      <c r="H4131" s="149"/>
      <c r="I4131" s="149"/>
      <c r="J4131" s="149"/>
      <c r="K4131" s="149"/>
      <c r="L4131" s="149"/>
      <c r="M4131" s="149"/>
      <c r="N4131" s="149"/>
      <c r="O4131" s="149"/>
      <c r="P4131" s="149"/>
      <c r="Q4131" s="149"/>
      <c r="R4131" s="149"/>
      <c r="S4131" s="149"/>
      <c r="T4131" s="149"/>
      <c r="U4131" s="149"/>
      <c r="V4131" s="149"/>
      <c r="W4131" s="149"/>
      <c r="X4131" s="149"/>
      <c r="Y4131" s="149"/>
      <c r="Z4131" s="149"/>
      <c r="AA4131" s="149"/>
      <c r="AB4131" s="149"/>
      <c r="AC4131" s="149"/>
      <c r="AD4131" s="149"/>
      <c r="AE4131" s="149"/>
      <c r="AF4131" s="149"/>
      <c r="AG4131" s="149"/>
      <c r="AH4131" s="149"/>
      <c r="AI4131" s="149"/>
      <c r="AJ4131" s="149"/>
      <c r="AK4131" s="149"/>
      <c r="AL4131" s="149"/>
      <c r="AM4131" s="149"/>
      <c r="AN4131" s="149"/>
      <c r="AO4131" s="128"/>
      <c r="AP4131" s="128"/>
      <c r="AQ4131" s="128"/>
      <c r="AR4131" s="128"/>
      <c r="AS4131" s="128"/>
      <c r="AT4131" s="128"/>
      <c r="AU4131" s="128"/>
      <c r="AV4131" s="128"/>
      <c r="AW4131" s="128"/>
      <c r="AX4131" s="128"/>
      <c r="AY4131" s="128"/>
      <c r="AZ4131" s="128"/>
      <c r="BA4131" s="128"/>
      <c r="BB4131" s="128"/>
      <c r="BC4131" s="128"/>
      <c r="BD4131" s="128"/>
      <c r="BE4131" s="128"/>
      <c r="BF4131" s="128"/>
      <c r="BG4131" s="128"/>
      <c r="BH4131" s="128"/>
      <c r="BI4131" s="128"/>
      <c r="BJ4131" s="128"/>
      <c r="BK4131" s="128"/>
      <c r="BL4131" s="128"/>
      <c r="BM4131" s="151"/>
      <c r="BN4131" s="128"/>
      <c r="BO4131" s="128"/>
      <c r="BP4131" s="128"/>
      <c r="BQ4131" s="128"/>
      <c r="BR4131" s="128"/>
      <c r="BS4131" s="128"/>
      <c r="BT4131" s="128"/>
      <c r="BU4131" s="128"/>
      <c r="BV4131" s="128"/>
      <c r="BW4131" s="128"/>
      <c r="BX4131" s="128"/>
      <c r="BY4131" s="128"/>
      <c r="BZ4131" s="128"/>
      <c r="CA4131" s="128"/>
      <c r="CB4131" s="128"/>
      <c r="CC4131" s="128"/>
      <c r="CD4131" s="128"/>
      <c r="CE4131" s="128"/>
      <c r="CF4131" s="128"/>
      <c r="CG4131" s="128"/>
      <c r="CI4131" s="128"/>
      <c r="CJ4131" s="128"/>
      <c r="CK4131" s="128"/>
      <c r="CL4131" s="128"/>
      <c r="CM4131" s="128"/>
      <c r="CN4131" s="128"/>
      <c r="CO4131" s="128"/>
      <c r="CP4131" s="128"/>
      <c r="CQ4131" s="128"/>
      <c r="CR4131" s="128"/>
      <c r="CS4131" s="128"/>
      <c r="CT4131" s="128"/>
      <c r="CU4131" s="128"/>
      <c r="CV4131" s="128"/>
      <c r="CW4131" s="128"/>
      <c r="CX4131" s="128"/>
      <c r="CY4131" s="128"/>
      <c r="CZ4131" s="165"/>
    </row>
    <row r="4132" spans="1:104">
      <c r="A4132" s="149"/>
      <c r="B4132" s="149"/>
      <c r="C4132" s="150"/>
      <c r="D4132" s="102"/>
      <c r="E4132" s="149"/>
      <c r="F4132" s="149"/>
      <c r="G4132" s="149"/>
      <c r="H4132" s="149"/>
      <c r="I4132" s="149"/>
      <c r="J4132" s="149"/>
      <c r="K4132" s="149"/>
      <c r="L4132" s="149"/>
      <c r="M4132" s="149"/>
      <c r="N4132" s="149"/>
      <c r="O4132" s="149"/>
      <c r="P4132" s="149"/>
      <c r="Q4132" s="149"/>
      <c r="R4132" s="149"/>
      <c r="S4132" s="149"/>
      <c r="T4132" s="149"/>
      <c r="U4132" s="149"/>
      <c r="V4132" s="149"/>
      <c r="W4132" s="149"/>
      <c r="X4132" s="149"/>
      <c r="Y4132" s="149"/>
      <c r="Z4132" s="149"/>
      <c r="AA4132" s="149"/>
      <c r="AB4132" s="149"/>
      <c r="AC4132" s="149"/>
      <c r="AD4132" s="149"/>
      <c r="AE4132" s="149"/>
      <c r="AF4132" s="149"/>
      <c r="AG4132" s="149"/>
      <c r="AH4132" s="149"/>
      <c r="AI4132" s="149"/>
      <c r="AJ4132" s="149"/>
      <c r="AK4132" s="149"/>
      <c r="AL4132" s="149"/>
      <c r="AM4132" s="149"/>
      <c r="AN4132" s="149"/>
      <c r="AO4132" s="128"/>
      <c r="AP4132" s="128"/>
      <c r="AQ4132" s="128"/>
      <c r="AR4132" s="128"/>
      <c r="AS4132" s="128"/>
      <c r="AT4132" s="128"/>
      <c r="AU4132" s="128"/>
      <c r="AV4132" s="128"/>
      <c r="AW4132" s="128"/>
      <c r="AX4132" s="128"/>
      <c r="AY4132" s="128"/>
      <c r="AZ4132" s="128"/>
      <c r="BA4132" s="128"/>
      <c r="BB4132" s="128"/>
      <c r="BC4132" s="128"/>
      <c r="BD4132" s="128"/>
      <c r="BE4132" s="128"/>
      <c r="BF4132" s="128"/>
      <c r="BG4132" s="128"/>
      <c r="BH4132" s="128"/>
      <c r="BI4132" s="128"/>
      <c r="BJ4132" s="128"/>
      <c r="BK4132" s="128"/>
      <c r="BL4132" s="128"/>
      <c r="BM4132" s="151"/>
      <c r="BN4132" s="128"/>
      <c r="BO4132" s="128"/>
      <c r="BP4132" s="128"/>
      <c r="BQ4132" s="128"/>
      <c r="BR4132" s="128"/>
      <c r="BS4132" s="128"/>
      <c r="BT4132" s="128"/>
      <c r="BU4132" s="128"/>
      <c r="BV4132" s="128"/>
      <c r="BW4132" s="128"/>
      <c r="BX4132" s="128"/>
      <c r="BY4132" s="128"/>
      <c r="BZ4132" s="128"/>
      <c r="CA4132" s="128"/>
      <c r="CB4132" s="128"/>
      <c r="CC4132" s="128"/>
      <c r="CD4132" s="128"/>
      <c r="CE4132" s="128"/>
      <c r="CF4132" s="128"/>
      <c r="CG4132" s="128"/>
      <c r="CI4132" s="128"/>
      <c r="CJ4132" s="128"/>
      <c r="CK4132" s="128"/>
      <c r="CL4132" s="128"/>
      <c r="CM4132" s="128"/>
      <c r="CN4132" s="128"/>
      <c r="CO4132" s="128"/>
      <c r="CP4132" s="128"/>
      <c r="CQ4132" s="128"/>
      <c r="CR4132" s="128"/>
      <c r="CS4132" s="128"/>
      <c r="CT4132" s="128"/>
      <c r="CU4132" s="128"/>
      <c r="CV4132" s="128"/>
      <c r="CW4132" s="128"/>
      <c r="CX4132" s="128"/>
      <c r="CY4132" s="128"/>
      <c r="CZ4132" s="165"/>
    </row>
    <row r="4133" spans="1:104">
      <c r="A4133" s="149"/>
      <c r="B4133" s="149"/>
      <c r="C4133" s="150"/>
      <c r="D4133" s="102"/>
      <c r="E4133" s="149"/>
      <c r="F4133" s="149"/>
      <c r="G4133" s="149"/>
      <c r="H4133" s="149"/>
      <c r="I4133" s="149"/>
      <c r="J4133" s="149"/>
      <c r="K4133" s="149"/>
      <c r="L4133" s="149"/>
      <c r="M4133" s="149"/>
      <c r="N4133" s="149"/>
      <c r="O4133" s="149"/>
      <c r="P4133" s="149"/>
      <c r="Q4133" s="149"/>
      <c r="R4133" s="149"/>
      <c r="S4133" s="149"/>
      <c r="T4133" s="149"/>
      <c r="U4133" s="149"/>
      <c r="V4133" s="149"/>
      <c r="W4133" s="149"/>
      <c r="X4133" s="149"/>
      <c r="Y4133" s="149"/>
      <c r="Z4133" s="149"/>
      <c r="AA4133" s="149"/>
      <c r="AB4133" s="149"/>
      <c r="AC4133" s="149"/>
      <c r="AD4133" s="149"/>
      <c r="AE4133" s="149"/>
      <c r="AF4133" s="149"/>
      <c r="AG4133" s="149"/>
      <c r="AH4133" s="149"/>
      <c r="AI4133" s="149"/>
      <c r="AJ4133" s="149"/>
      <c r="AK4133" s="149"/>
      <c r="AL4133" s="149"/>
      <c r="AM4133" s="149"/>
      <c r="AN4133" s="149"/>
      <c r="AO4133" s="128"/>
      <c r="AP4133" s="128"/>
      <c r="AQ4133" s="128"/>
      <c r="AR4133" s="128"/>
      <c r="AS4133" s="128"/>
      <c r="AT4133" s="128"/>
      <c r="AU4133" s="128"/>
      <c r="AV4133" s="128"/>
      <c r="AW4133" s="128"/>
      <c r="AX4133" s="128"/>
      <c r="AY4133" s="128"/>
      <c r="AZ4133" s="128"/>
      <c r="BA4133" s="128"/>
      <c r="BB4133" s="128"/>
      <c r="BC4133" s="128"/>
      <c r="BD4133" s="128"/>
      <c r="BE4133" s="128"/>
      <c r="BF4133" s="128"/>
      <c r="BG4133" s="128"/>
      <c r="BH4133" s="128"/>
      <c r="BI4133" s="128"/>
      <c r="BJ4133" s="128"/>
      <c r="BK4133" s="128"/>
      <c r="BL4133" s="128"/>
      <c r="BM4133" s="151"/>
      <c r="BN4133" s="128"/>
      <c r="BO4133" s="128"/>
      <c r="BP4133" s="128"/>
      <c r="BQ4133" s="128"/>
      <c r="BR4133" s="128"/>
      <c r="BS4133" s="128"/>
      <c r="BT4133" s="128"/>
      <c r="BU4133" s="128"/>
      <c r="BV4133" s="128"/>
      <c r="BW4133" s="128"/>
      <c r="BX4133" s="128"/>
      <c r="BY4133" s="128"/>
      <c r="BZ4133" s="128"/>
      <c r="CA4133" s="128"/>
      <c r="CB4133" s="128"/>
      <c r="CC4133" s="128"/>
      <c r="CD4133" s="128"/>
      <c r="CE4133" s="128"/>
      <c r="CF4133" s="128"/>
      <c r="CG4133" s="128"/>
      <c r="CI4133" s="128"/>
      <c r="CJ4133" s="128"/>
      <c r="CK4133" s="128"/>
      <c r="CL4133" s="128"/>
      <c r="CM4133" s="128"/>
      <c r="CN4133" s="128"/>
      <c r="CO4133" s="128"/>
      <c r="CP4133" s="128"/>
      <c r="CQ4133" s="128"/>
      <c r="CR4133" s="128"/>
      <c r="CS4133" s="128"/>
      <c r="CT4133" s="128"/>
      <c r="CU4133" s="128"/>
      <c r="CV4133" s="128"/>
      <c r="CW4133" s="128"/>
      <c r="CX4133" s="128"/>
      <c r="CY4133" s="128"/>
      <c r="CZ4133" s="165"/>
    </row>
    <row r="4134" spans="1:104">
      <c r="A4134" s="149"/>
      <c r="B4134" s="149"/>
      <c r="C4134" s="150"/>
      <c r="D4134" s="102"/>
      <c r="E4134" s="149"/>
      <c r="F4134" s="149"/>
      <c r="G4134" s="149"/>
      <c r="H4134" s="149"/>
      <c r="I4134" s="149"/>
      <c r="J4134" s="149"/>
      <c r="K4134" s="149"/>
      <c r="L4134" s="149"/>
      <c r="M4134" s="149"/>
      <c r="N4134" s="149"/>
      <c r="O4134" s="149"/>
      <c r="P4134" s="149"/>
      <c r="Q4134" s="149"/>
      <c r="R4134" s="149"/>
      <c r="S4134" s="149"/>
      <c r="T4134" s="149"/>
      <c r="U4134" s="149"/>
      <c r="V4134" s="149"/>
      <c r="W4134" s="149"/>
      <c r="X4134" s="149"/>
      <c r="Y4134" s="149"/>
      <c r="Z4134" s="149"/>
      <c r="AA4134" s="149"/>
      <c r="AB4134" s="149"/>
      <c r="AC4134" s="149"/>
      <c r="AD4134" s="149"/>
      <c r="AE4134" s="149"/>
      <c r="AF4134" s="149"/>
      <c r="AG4134" s="149"/>
      <c r="AH4134" s="149"/>
      <c r="AI4134" s="149"/>
      <c r="AJ4134" s="149"/>
      <c r="AK4134" s="149"/>
      <c r="AL4134" s="149"/>
      <c r="AM4134" s="149"/>
      <c r="AN4134" s="149"/>
      <c r="AO4134" s="128"/>
      <c r="AP4134" s="128"/>
      <c r="AQ4134" s="128"/>
      <c r="AR4134" s="128"/>
      <c r="AS4134" s="128"/>
      <c r="AT4134" s="128"/>
      <c r="AU4134" s="128"/>
      <c r="AV4134" s="128"/>
      <c r="AW4134" s="128"/>
      <c r="AX4134" s="128"/>
      <c r="AY4134" s="128"/>
      <c r="AZ4134" s="128"/>
      <c r="BA4134" s="128"/>
      <c r="BB4134" s="128"/>
      <c r="BC4134" s="128"/>
      <c r="BD4134" s="128"/>
      <c r="BE4134" s="128"/>
      <c r="BF4134" s="128"/>
      <c r="BG4134" s="128"/>
      <c r="BH4134" s="128"/>
      <c r="BI4134" s="128"/>
      <c r="BJ4134" s="128"/>
      <c r="BK4134" s="128"/>
      <c r="BL4134" s="128"/>
      <c r="BM4134" s="151"/>
      <c r="BN4134" s="128"/>
      <c r="BO4134" s="128"/>
      <c r="BP4134" s="128"/>
      <c r="BQ4134" s="128"/>
      <c r="BR4134" s="128"/>
      <c r="BS4134" s="128"/>
      <c r="BT4134" s="128"/>
      <c r="BU4134" s="128"/>
      <c r="BV4134" s="128"/>
      <c r="BW4134" s="128"/>
      <c r="BX4134" s="128"/>
      <c r="BY4134" s="128"/>
      <c r="BZ4134" s="128"/>
      <c r="CA4134" s="128"/>
      <c r="CB4134" s="128"/>
      <c r="CC4134" s="128"/>
      <c r="CD4134" s="128"/>
      <c r="CE4134" s="128"/>
      <c r="CF4134" s="128"/>
      <c r="CG4134" s="128"/>
      <c r="CI4134" s="128"/>
      <c r="CJ4134" s="128"/>
      <c r="CK4134" s="128"/>
      <c r="CL4134" s="128"/>
      <c r="CM4134" s="128"/>
      <c r="CN4134" s="128"/>
      <c r="CO4134" s="128"/>
      <c r="CP4134" s="128"/>
      <c r="CQ4134" s="128"/>
      <c r="CR4134" s="128"/>
      <c r="CS4134" s="128"/>
      <c r="CT4134" s="128"/>
      <c r="CU4134" s="128"/>
      <c r="CV4134" s="128"/>
      <c r="CW4134" s="128"/>
      <c r="CX4134" s="128"/>
      <c r="CY4134" s="128"/>
      <c r="CZ4134" s="165"/>
    </row>
    <row r="4135" spans="1:104">
      <c r="A4135" s="149"/>
      <c r="B4135" s="149"/>
      <c r="C4135" s="150"/>
      <c r="D4135" s="102"/>
      <c r="E4135" s="149"/>
      <c r="F4135" s="149"/>
      <c r="G4135" s="149"/>
      <c r="H4135" s="149"/>
      <c r="I4135" s="149"/>
      <c r="J4135" s="149"/>
      <c r="K4135" s="149"/>
      <c r="L4135" s="149"/>
      <c r="M4135" s="149"/>
      <c r="N4135" s="149"/>
      <c r="O4135" s="149"/>
      <c r="P4135" s="149"/>
      <c r="Q4135" s="149"/>
      <c r="R4135" s="149"/>
      <c r="S4135" s="149"/>
      <c r="T4135" s="149"/>
      <c r="U4135" s="149"/>
      <c r="V4135" s="149"/>
      <c r="W4135" s="149"/>
      <c r="X4135" s="149"/>
      <c r="Y4135" s="149"/>
      <c r="Z4135" s="149"/>
      <c r="AA4135" s="149"/>
      <c r="AB4135" s="149"/>
      <c r="AC4135" s="149"/>
      <c r="AD4135" s="149"/>
      <c r="AE4135" s="149"/>
      <c r="AF4135" s="149"/>
      <c r="AG4135" s="149"/>
      <c r="AH4135" s="149"/>
      <c r="AI4135" s="149"/>
      <c r="AJ4135" s="149"/>
      <c r="AK4135" s="149"/>
      <c r="AL4135" s="149"/>
      <c r="AM4135" s="149"/>
      <c r="AN4135" s="149"/>
      <c r="AO4135" s="128"/>
      <c r="AP4135" s="128"/>
      <c r="AQ4135" s="128"/>
      <c r="AR4135" s="128"/>
      <c r="AS4135" s="128"/>
      <c r="AT4135" s="128"/>
      <c r="AU4135" s="128"/>
      <c r="AV4135" s="128"/>
      <c r="AW4135" s="128"/>
      <c r="AX4135" s="128"/>
      <c r="AY4135" s="128"/>
      <c r="AZ4135" s="128"/>
      <c r="BA4135" s="128"/>
      <c r="BB4135" s="128"/>
      <c r="BC4135" s="128"/>
      <c r="BD4135" s="128"/>
      <c r="BE4135" s="128"/>
      <c r="BF4135" s="128"/>
      <c r="BG4135" s="128"/>
      <c r="BH4135" s="128"/>
      <c r="BI4135" s="128"/>
      <c r="BJ4135" s="128"/>
      <c r="BK4135" s="128"/>
      <c r="BL4135" s="128"/>
      <c r="BM4135" s="151"/>
      <c r="BN4135" s="128"/>
      <c r="BO4135" s="128"/>
      <c r="BP4135" s="128"/>
      <c r="BQ4135" s="128"/>
      <c r="BR4135" s="128"/>
      <c r="BS4135" s="128"/>
      <c r="BT4135" s="128"/>
      <c r="BU4135" s="128"/>
      <c r="BV4135" s="128"/>
      <c r="BW4135" s="128"/>
      <c r="BX4135" s="128"/>
      <c r="BY4135" s="128"/>
      <c r="BZ4135" s="128"/>
      <c r="CA4135" s="128"/>
      <c r="CB4135" s="128"/>
      <c r="CC4135" s="128"/>
      <c r="CD4135" s="128"/>
      <c r="CE4135" s="128"/>
      <c r="CF4135" s="128"/>
      <c r="CG4135" s="128"/>
      <c r="CI4135" s="128"/>
      <c r="CJ4135" s="128"/>
      <c r="CK4135" s="128"/>
      <c r="CL4135" s="128"/>
      <c r="CM4135" s="128"/>
      <c r="CN4135" s="128"/>
      <c r="CO4135" s="128"/>
      <c r="CP4135" s="128"/>
      <c r="CQ4135" s="128"/>
      <c r="CR4135" s="128"/>
      <c r="CS4135" s="128"/>
      <c r="CT4135" s="128"/>
      <c r="CU4135" s="128"/>
      <c r="CV4135" s="128"/>
      <c r="CW4135" s="128"/>
      <c r="CX4135" s="128"/>
      <c r="CY4135" s="128"/>
      <c r="CZ4135" s="165"/>
    </row>
    <row r="4136" spans="1:104">
      <c r="A4136" s="149"/>
      <c r="B4136" s="149"/>
      <c r="C4136" s="150"/>
      <c r="D4136" s="102"/>
      <c r="E4136" s="149"/>
      <c r="F4136" s="149"/>
      <c r="G4136" s="149"/>
      <c r="H4136" s="149"/>
      <c r="I4136" s="149"/>
      <c r="J4136" s="149"/>
      <c r="K4136" s="149"/>
      <c r="L4136" s="149"/>
      <c r="M4136" s="149"/>
      <c r="N4136" s="149"/>
      <c r="O4136" s="149"/>
      <c r="P4136" s="149"/>
      <c r="Q4136" s="149"/>
      <c r="R4136" s="149"/>
      <c r="S4136" s="149"/>
      <c r="T4136" s="149"/>
      <c r="U4136" s="149"/>
      <c r="V4136" s="149"/>
      <c r="W4136" s="149"/>
      <c r="X4136" s="149"/>
      <c r="Y4136" s="149"/>
      <c r="Z4136" s="149"/>
      <c r="AA4136" s="149"/>
      <c r="AB4136" s="149"/>
      <c r="AC4136" s="149"/>
      <c r="AD4136" s="149"/>
      <c r="AE4136" s="149"/>
      <c r="AF4136" s="149"/>
      <c r="AG4136" s="149"/>
      <c r="AH4136" s="149"/>
      <c r="AI4136" s="149"/>
      <c r="AJ4136" s="149"/>
      <c r="AK4136" s="149"/>
      <c r="AL4136" s="149"/>
      <c r="AM4136" s="149"/>
      <c r="AN4136" s="149"/>
      <c r="AO4136" s="128"/>
      <c r="AP4136" s="128"/>
      <c r="AQ4136" s="128"/>
      <c r="AR4136" s="128"/>
      <c r="AS4136" s="128"/>
      <c r="AT4136" s="128"/>
      <c r="AU4136" s="128"/>
      <c r="AV4136" s="128"/>
      <c r="AW4136" s="128"/>
      <c r="AX4136" s="128"/>
      <c r="AY4136" s="128"/>
      <c r="AZ4136" s="128"/>
      <c r="BA4136" s="128"/>
      <c r="BB4136" s="128"/>
      <c r="BC4136" s="128"/>
      <c r="BD4136" s="128"/>
      <c r="BE4136" s="128"/>
      <c r="BF4136" s="128"/>
      <c r="BG4136" s="128"/>
      <c r="BH4136" s="128"/>
      <c r="BI4136" s="128"/>
      <c r="BJ4136" s="128"/>
      <c r="BK4136" s="128"/>
      <c r="BL4136" s="128"/>
      <c r="BM4136" s="151"/>
      <c r="BN4136" s="128"/>
      <c r="BO4136" s="128"/>
      <c r="BP4136" s="128"/>
      <c r="BQ4136" s="128"/>
      <c r="BR4136" s="128"/>
      <c r="BS4136" s="128"/>
      <c r="BT4136" s="128"/>
      <c r="BU4136" s="128"/>
      <c r="BV4136" s="128"/>
      <c r="BW4136" s="128"/>
      <c r="BX4136" s="128"/>
      <c r="BY4136" s="128"/>
      <c r="BZ4136" s="128"/>
      <c r="CA4136" s="128"/>
      <c r="CB4136" s="128"/>
      <c r="CC4136" s="128"/>
      <c r="CD4136" s="128"/>
      <c r="CE4136" s="128"/>
      <c r="CF4136" s="128"/>
      <c r="CG4136" s="128"/>
      <c r="CI4136" s="128"/>
      <c r="CJ4136" s="128"/>
      <c r="CK4136" s="128"/>
      <c r="CL4136" s="128"/>
      <c r="CM4136" s="128"/>
      <c r="CN4136" s="128"/>
      <c r="CO4136" s="128"/>
      <c r="CP4136" s="128"/>
      <c r="CQ4136" s="128"/>
      <c r="CR4136" s="128"/>
      <c r="CS4136" s="128"/>
      <c r="CT4136" s="128"/>
      <c r="CU4136" s="128"/>
      <c r="CV4136" s="128"/>
      <c r="CW4136" s="128"/>
      <c r="CX4136" s="128"/>
      <c r="CY4136" s="128"/>
      <c r="CZ4136" s="165"/>
    </row>
    <row r="4137" spans="1:104">
      <c r="A4137" s="149"/>
      <c r="B4137" s="149"/>
      <c r="C4137" s="150"/>
      <c r="D4137" s="102"/>
      <c r="E4137" s="149"/>
      <c r="F4137" s="149"/>
      <c r="G4137" s="149"/>
      <c r="H4137" s="149"/>
      <c r="I4137" s="149"/>
      <c r="J4137" s="149"/>
      <c r="K4137" s="149"/>
      <c r="L4137" s="149"/>
      <c r="M4137" s="149"/>
      <c r="N4137" s="149"/>
      <c r="O4137" s="149"/>
      <c r="P4137" s="149"/>
      <c r="Q4137" s="149"/>
      <c r="R4137" s="149"/>
      <c r="S4137" s="149"/>
      <c r="T4137" s="149"/>
      <c r="U4137" s="149"/>
      <c r="V4137" s="149"/>
      <c r="W4137" s="149"/>
      <c r="X4137" s="149"/>
      <c r="Y4137" s="149"/>
      <c r="Z4137" s="149"/>
      <c r="AA4137" s="149"/>
      <c r="AB4137" s="149"/>
      <c r="AC4137" s="149"/>
      <c r="AD4137" s="149"/>
      <c r="AE4137" s="149"/>
      <c r="AF4137" s="149"/>
      <c r="AG4137" s="149"/>
      <c r="AH4137" s="149"/>
      <c r="AI4137" s="149"/>
      <c r="AJ4137" s="149"/>
      <c r="AK4137" s="149"/>
      <c r="AL4137" s="149"/>
      <c r="AM4137" s="149"/>
      <c r="AN4137" s="149"/>
      <c r="AO4137" s="128"/>
      <c r="AP4137" s="128"/>
      <c r="AQ4137" s="128"/>
      <c r="AR4137" s="128"/>
      <c r="AS4137" s="128"/>
      <c r="AT4137" s="128"/>
      <c r="AU4137" s="128"/>
      <c r="AV4137" s="128"/>
      <c r="AW4137" s="128"/>
      <c r="AX4137" s="128"/>
      <c r="AY4137" s="128"/>
      <c r="AZ4137" s="128"/>
      <c r="BA4137" s="128"/>
      <c r="BB4137" s="128"/>
      <c r="BC4137" s="128"/>
      <c r="BD4137" s="128"/>
      <c r="BE4137" s="128"/>
      <c r="BF4137" s="128"/>
      <c r="BG4137" s="128"/>
      <c r="BH4137" s="128"/>
      <c r="BI4137" s="128"/>
      <c r="BJ4137" s="128"/>
      <c r="BK4137" s="128"/>
      <c r="BL4137" s="128"/>
      <c r="BM4137" s="151"/>
      <c r="BN4137" s="128"/>
      <c r="BO4137" s="128"/>
      <c r="BP4137" s="128"/>
      <c r="BQ4137" s="128"/>
      <c r="BR4137" s="128"/>
      <c r="BS4137" s="128"/>
      <c r="BT4137" s="128"/>
      <c r="BU4137" s="128"/>
      <c r="BV4137" s="128"/>
      <c r="BW4137" s="128"/>
      <c r="BX4137" s="128"/>
      <c r="BY4137" s="128"/>
      <c r="BZ4137" s="128"/>
      <c r="CA4137" s="128"/>
      <c r="CB4137" s="128"/>
      <c r="CC4137" s="128"/>
      <c r="CD4137" s="128"/>
      <c r="CE4137" s="128"/>
      <c r="CF4137" s="128"/>
      <c r="CG4137" s="128"/>
      <c r="CI4137" s="128"/>
      <c r="CJ4137" s="128"/>
      <c r="CK4137" s="128"/>
      <c r="CL4137" s="128"/>
      <c r="CM4137" s="128"/>
      <c r="CN4137" s="128"/>
      <c r="CO4137" s="128"/>
      <c r="CP4137" s="128"/>
      <c r="CQ4137" s="128"/>
      <c r="CR4137" s="128"/>
      <c r="CS4137" s="128"/>
      <c r="CT4137" s="128"/>
      <c r="CU4137" s="128"/>
      <c r="CV4137" s="128"/>
      <c r="CW4137" s="128"/>
      <c r="CX4137" s="128"/>
      <c r="CY4137" s="128"/>
      <c r="CZ4137" s="165"/>
    </row>
    <row r="4138" spans="1:104">
      <c r="A4138" s="149"/>
      <c r="B4138" s="149"/>
      <c r="C4138" s="150"/>
      <c r="D4138" s="102"/>
      <c r="E4138" s="149"/>
      <c r="F4138" s="149"/>
      <c r="G4138" s="149"/>
      <c r="H4138" s="149"/>
      <c r="I4138" s="149"/>
      <c r="J4138" s="149"/>
      <c r="K4138" s="149"/>
      <c r="L4138" s="149"/>
      <c r="M4138" s="149"/>
      <c r="N4138" s="149"/>
      <c r="O4138" s="149"/>
      <c r="P4138" s="149"/>
      <c r="Q4138" s="149"/>
      <c r="R4138" s="149"/>
      <c r="S4138" s="149"/>
      <c r="T4138" s="149"/>
      <c r="U4138" s="149"/>
      <c r="V4138" s="149"/>
      <c r="W4138" s="149"/>
      <c r="X4138" s="149"/>
      <c r="Y4138" s="149"/>
      <c r="Z4138" s="149"/>
      <c r="AA4138" s="149"/>
      <c r="AB4138" s="149"/>
      <c r="AC4138" s="149"/>
      <c r="AD4138" s="149"/>
      <c r="AE4138" s="149"/>
      <c r="AF4138" s="149"/>
      <c r="AG4138" s="149"/>
      <c r="AH4138" s="149"/>
      <c r="AI4138" s="149"/>
      <c r="AJ4138" s="149"/>
      <c r="AK4138" s="149"/>
      <c r="AL4138" s="149"/>
      <c r="AM4138" s="149"/>
      <c r="AN4138" s="149"/>
      <c r="AO4138" s="128"/>
      <c r="AP4138" s="128"/>
      <c r="AQ4138" s="128"/>
      <c r="AR4138" s="128"/>
      <c r="AS4138" s="128"/>
      <c r="AT4138" s="128"/>
      <c r="AU4138" s="128"/>
      <c r="AV4138" s="128"/>
      <c r="AW4138" s="128"/>
      <c r="AX4138" s="128"/>
      <c r="AY4138" s="128"/>
      <c r="AZ4138" s="128"/>
      <c r="BA4138" s="128"/>
      <c r="BB4138" s="128"/>
      <c r="BC4138" s="128"/>
      <c r="BD4138" s="128"/>
      <c r="BE4138" s="128"/>
      <c r="BF4138" s="128"/>
      <c r="BG4138" s="128"/>
      <c r="BH4138" s="128"/>
      <c r="BI4138" s="128"/>
      <c r="BJ4138" s="128"/>
      <c r="BK4138" s="128"/>
      <c r="BL4138" s="128"/>
      <c r="BM4138" s="151"/>
      <c r="BN4138" s="128"/>
      <c r="BO4138" s="128"/>
      <c r="BP4138" s="128"/>
      <c r="BQ4138" s="128"/>
      <c r="BR4138" s="128"/>
      <c r="BS4138" s="128"/>
      <c r="BT4138" s="128"/>
      <c r="BU4138" s="128"/>
      <c r="BV4138" s="128"/>
      <c r="BW4138" s="128"/>
      <c r="BX4138" s="128"/>
      <c r="BY4138" s="128"/>
      <c r="BZ4138" s="128"/>
      <c r="CA4138" s="128"/>
      <c r="CB4138" s="128"/>
      <c r="CC4138" s="128"/>
      <c r="CD4138" s="128"/>
      <c r="CE4138" s="128"/>
      <c r="CF4138" s="128"/>
      <c r="CG4138" s="128"/>
      <c r="CI4138" s="128"/>
      <c r="CJ4138" s="128"/>
      <c r="CK4138" s="128"/>
      <c r="CL4138" s="128"/>
      <c r="CM4138" s="128"/>
      <c r="CN4138" s="128"/>
      <c r="CO4138" s="128"/>
      <c r="CP4138" s="128"/>
      <c r="CQ4138" s="128"/>
      <c r="CR4138" s="128"/>
      <c r="CS4138" s="128"/>
      <c r="CT4138" s="128"/>
      <c r="CU4138" s="128"/>
      <c r="CV4138" s="128"/>
      <c r="CW4138" s="128"/>
      <c r="CX4138" s="128"/>
      <c r="CY4138" s="128"/>
      <c r="CZ4138" s="165"/>
    </row>
    <row r="4139" spans="1:104">
      <c r="A4139" s="149"/>
      <c r="B4139" s="149"/>
      <c r="C4139" s="150"/>
      <c r="D4139" s="102"/>
      <c r="E4139" s="149"/>
      <c r="F4139" s="149"/>
      <c r="G4139" s="149"/>
      <c r="H4139" s="149"/>
      <c r="I4139" s="149"/>
      <c r="J4139" s="149"/>
      <c r="K4139" s="149"/>
      <c r="L4139" s="149"/>
      <c r="M4139" s="149"/>
      <c r="N4139" s="149"/>
      <c r="O4139" s="149"/>
      <c r="P4139" s="149"/>
      <c r="Q4139" s="149"/>
      <c r="R4139" s="149"/>
      <c r="S4139" s="149"/>
      <c r="T4139" s="149"/>
      <c r="U4139" s="149"/>
      <c r="V4139" s="149"/>
      <c r="W4139" s="149"/>
      <c r="X4139" s="149"/>
      <c r="Y4139" s="149"/>
      <c r="Z4139" s="149"/>
      <c r="AA4139" s="149"/>
      <c r="AB4139" s="149"/>
      <c r="AC4139" s="149"/>
      <c r="AD4139" s="149"/>
      <c r="AE4139" s="149"/>
      <c r="AF4139" s="149"/>
      <c r="AG4139" s="149"/>
      <c r="AH4139" s="149"/>
      <c r="AI4139" s="149"/>
      <c r="AJ4139" s="149"/>
      <c r="AK4139" s="149"/>
      <c r="AL4139" s="149"/>
      <c r="AM4139" s="149"/>
      <c r="AN4139" s="149"/>
      <c r="AO4139" s="128"/>
      <c r="AP4139" s="128"/>
      <c r="AQ4139" s="128"/>
      <c r="AR4139" s="128"/>
      <c r="AS4139" s="128"/>
      <c r="AT4139" s="128"/>
      <c r="AU4139" s="128"/>
      <c r="AV4139" s="128"/>
      <c r="AW4139" s="128"/>
      <c r="AX4139" s="128"/>
      <c r="AY4139" s="128"/>
      <c r="AZ4139" s="128"/>
      <c r="BA4139" s="128"/>
      <c r="BB4139" s="128"/>
      <c r="BC4139" s="128"/>
      <c r="BD4139" s="128"/>
      <c r="BE4139" s="128"/>
      <c r="BF4139" s="128"/>
      <c r="BG4139" s="128"/>
      <c r="BH4139" s="128"/>
      <c r="BI4139" s="128"/>
      <c r="BJ4139" s="128"/>
      <c r="BK4139" s="128"/>
      <c r="BL4139" s="128"/>
      <c r="BM4139" s="151"/>
      <c r="BN4139" s="128"/>
      <c r="BO4139" s="128"/>
      <c r="BP4139" s="128"/>
      <c r="BQ4139" s="128"/>
      <c r="BR4139" s="128"/>
      <c r="BS4139" s="128"/>
      <c r="BT4139" s="128"/>
      <c r="BU4139" s="128"/>
      <c r="BV4139" s="128"/>
      <c r="BW4139" s="128"/>
      <c r="BX4139" s="128"/>
      <c r="BY4139" s="128"/>
      <c r="BZ4139" s="128"/>
      <c r="CA4139" s="128"/>
      <c r="CB4139" s="128"/>
      <c r="CC4139" s="128"/>
      <c r="CD4139" s="128"/>
      <c r="CE4139" s="128"/>
      <c r="CF4139" s="128"/>
      <c r="CG4139" s="128"/>
      <c r="CI4139" s="128"/>
      <c r="CJ4139" s="128"/>
      <c r="CK4139" s="128"/>
      <c r="CL4139" s="128"/>
      <c r="CM4139" s="128"/>
      <c r="CN4139" s="128"/>
      <c r="CO4139" s="128"/>
      <c r="CP4139" s="128"/>
      <c r="CQ4139" s="128"/>
      <c r="CR4139" s="128"/>
      <c r="CS4139" s="128"/>
      <c r="CT4139" s="128"/>
      <c r="CU4139" s="128"/>
      <c r="CV4139" s="128"/>
      <c r="CW4139" s="128"/>
      <c r="CX4139" s="128"/>
      <c r="CY4139" s="128"/>
      <c r="CZ4139" s="165"/>
    </row>
    <row r="4140" spans="1:104">
      <c r="A4140" s="149"/>
      <c r="B4140" s="149"/>
      <c r="C4140" s="150"/>
      <c r="D4140" s="102"/>
      <c r="E4140" s="149"/>
      <c r="F4140" s="149"/>
      <c r="G4140" s="149"/>
      <c r="H4140" s="149"/>
      <c r="I4140" s="149"/>
      <c r="J4140" s="149"/>
      <c r="K4140" s="149"/>
      <c r="L4140" s="149"/>
      <c r="M4140" s="149"/>
      <c r="N4140" s="149"/>
      <c r="O4140" s="149"/>
      <c r="P4140" s="149"/>
      <c r="Q4140" s="149"/>
      <c r="R4140" s="149"/>
      <c r="S4140" s="149"/>
      <c r="T4140" s="149"/>
      <c r="U4140" s="149"/>
      <c r="V4140" s="149"/>
      <c r="W4140" s="149"/>
      <c r="X4140" s="149"/>
      <c r="Y4140" s="149"/>
      <c r="Z4140" s="149"/>
      <c r="AA4140" s="149"/>
      <c r="AB4140" s="149"/>
      <c r="AC4140" s="149"/>
      <c r="AD4140" s="149"/>
      <c r="AE4140" s="149"/>
      <c r="AF4140" s="149"/>
      <c r="AG4140" s="149"/>
      <c r="AH4140" s="149"/>
      <c r="AI4140" s="149"/>
      <c r="AJ4140" s="149"/>
      <c r="AK4140" s="149"/>
      <c r="AL4140" s="149"/>
      <c r="AM4140" s="149"/>
      <c r="AN4140" s="149"/>
      <c r="AO4140" s="128"/>
      <c r="AP4140" s="128"/>
      <c r="AQ4140" s="128"/>
      <c r="AR4140" s="128"/>
      <c r="AS4140" s="128"/>
      <c r="AT4140" s="128"/>
      <c r="AU4140" s="128"/>
      <c r="AV4140" s="128"/>
      <c r="AW4140" s="128"/>
      <c r="AX4140" s="128"/>
      <c r="AY4140" s="128"/>
      <c r="AZ4140" s="128"/>
      <c r="BA4140" s="128"/>
      <c r="BB4140" s="128"/>
      <c r="BC4140" s="128"/>
      <c r="BD4140" s="128"/>
      <c r="BE4140" s="128"/>
      <c r="BF4140" s="128"/>
      <c r="BG4140" s="128"/>
      <c r="BH4140" s="128"/>
      <c r="BI4140" s="128"/>
      <c r="BJ4140" s="128"/>
      <c r="BK4140" s="128"/>
      <c r="BL4140" s="128"/>
      <c r="BM4140" s="151"/>
      <c r="BN4140" s="128"/>
      <c r="BO4140" s="128"/>
      <c r="BP4140" s="128"/>
      <c r="BQ4140" s="128"/>
      <c r="BR4140" s="128"/>
      <c r="BS4140" s="128"/>
      <c r="BT4140" s="128"/>
      <c r="BU4140" s="128"/>
      <c r="BV4140" s="128"/>
      <c r="BW4140" s="128"/>
      <c r="BX4140" s="128"/>
      <c r="BY4140" s="128"/>
      <c r="BZ4140" s="128"/>
      <c r="CA4140" s="128"/>
      <c r="CB4140" s="128"/>
      <c r="CC4140" s="128"/>
      <c r="CD4140" s="128"/>
      <c r="CE4140" s="128"/>
      <c r="CF4140" s="128"/>
      <c r="CG4140" s="128"/>
      <c r="CI4140" s="128"/>
      <c r="CJ4140" s="128"/>
      <c r="CK4140" s="128"/>
      <c r="CL4140" s="128"/>
      <c r="CM4140" s="128"/>
      <c r="CN4140" s="128"/>
      <c r="CO4140" s="128"/>
      <c r="CP4140" s="128"/>
      <c r="CQ4140" s="128"/>
      <c r="CR4140" s="128"/>
      <c r="CS4140" s="128"/>
      <c r="CT4140" s="128"/>
      <c r="CU4140" s="128"/>
      <c r="CV4140" s="128"/>
      <c r="CW4140" s="128"/>
      <c r="CX4140" s="128"/>
      <c r="CY4140" s="128"/>
      <c r="CZ4140" s="165"/>
    </row>
    <row r="4141" spans="1:104">
      <c r="A4141" s="149"/>
      <c r="B4141" s="149"/>
      <c r="C4141" s="150"/>
      <c r="D4141" s="102"/>
      <c r="E4141" s="149"/>
      <c r="F4141" s="149"/>
      <c r="G4141" s="149"/>
      <c r="H4141" s="149"/>
      <c r="I4141" s="149"/>
      <c r="J4141" s="149"/>
      <c r="K4141" s="149"/>
      <c r="L4141" s="149"/>
      <c r="M4141" s="149"/>
      <c r="N4141" s="149"/>
      <c r="O4141" s="149"/>
      <c r="P4141" s="149"/>
      <c r="Q4141" s="149"/>
      <c r="R4141" s="149"/>
      <c r="S4141" s="149"/>
      <c r="T4141" s="149"/>
      <c r="U4141" s="149"/>
      <c r="V4141" s="149"/>
      <c r="W4141" s="149"/>
      <c r="X4141" s="149"/>
      <c r="Y4141" s="149"/>
      <c r="Z4141" s="149"/>
      <c r="AA4141" s="149"/>
      <c r="AB4141" s="149"/>
      <c r="AC4141" s="149"/>
      <c r="AD4141" s="149"/>
      <c r="AE4141" s="149"/>
      <c r="AF4141" s="149"/>
      <c r="AG4141" s="149"/>
      <c r="AH4141" s="149"/>
      <c r="AI4141" s="149"/>
      <c r="AJ4141" s="149"/>
      <c r="AK4141" s="149"/>
      <c r="AL4141" s="149"/>
      <c r="AM4141" s="149"/>
      <c r="AN4141" s="149"/>
      <c r="AO4141" s="128"/>
      <c r="AP4141" s="128"/>
      <c r="AQ4141" s="128"/>
      <c r="AR4141" s="128"/>
      <c r="AS4141" s="128"/>
      <c r="AT4141" s="128"/>
      <c r="AU4141" s="128"/>
      <c r="AV4141" s="128"/>
      <c r="AW4141" s="128"/>
      <c r="AX4141" s="128"/>
      <c r="AY4141" s="128"/>
      <c r="AZ4141" s="128"/>
      <c r="BA4141" s="128"/>
      <c r="BB4141" s="128"/>
      <c r="BC4141" s="128"/>
      <c r="BD4141" s="128"/>
      <c r="BE4141" s="128"/>
      <c r="BF4141" s="128"/>
      <c r="BG4141" s="128"/>
      <c r="BH4141" s="128"/>
      <c r="BI4141" s="128"/>
      <c r="BJ4141" s="128"/>
      <c r="BK4141" s="128"/>
      <c r="BL4141" s="128"/>
      <c r="BM4141" s="151"/>
      <c r="BN4141" s="128"/>
      <c r="BO4141" s="128"/>
      <c r="BP4141" s="128"/>
      <c r="BQ4141" s="128"/>
      <c r="BR4141" s="128"/>
      <c r="BS4141" s="128"/>
      <c r="BT4141" s="128"/>
      <c r="BU4141" s="128"/>
      <c r="BV4141" s="128"/>
      <c r="BW4141" s="128"/>
      <c r="BX4141" s="128"/>
      <c r="BY4141" s="128"/>
      <c r="BZ4141" s="128"/>
      <c r="CA4141" s="128"/>
      <c r="CB4141" s="128"/>
      <c r="CC4141" s="128"/>
      <c r="CD4141" s="128"/>
      <c r="CE4141" s="128"/>
      <c r="CF4141" s="128"/>
      <c r="CG4141" s="128"/>
      <c r="CI4141" s="128"/>
      <c r="CJ4141" s="128"/>
      <c r="CK4141" s="128"/>
      <c r="CL4141" s="128"/>
      <c r="CM4141" s="128"/>
      <c r="CN4141" s="128"/>
      <c r="CO4141" s="128"/>
      <c r="CP4141" s="128"/>
      <c r="CQ4141" s="128"/>
      <c r="CR4141" s="128"/>
      <c r="CS4141" s="128"/>
      <c r="CT4141" s="128"/>
      <c r="CU4141" s="128"/>
      <c r="CV4141" s="128"/>
      <c r="CW4141" s="128"/>
      <c r="CX4141" s="128"/>
      <c r="CY4141" s="128"/>
      <c r="CZ4141" s="165"/>
    </row>
    <row r="4142" spans="1:104">
      <c r="A4142" s="149"/>
      <c r="B4142" s="149"/>
      <c r="C4142" s="150"/>
      <c r="D4142" s="102"/>
      <c r="E4142" s="149"/>
      <c r="F4142" s="149"/>
      <c r="G4142" s="149"/>
      <c r="H4142" s="149"/>
      <c r="I4142" s="149"/>
      <c r="J4142" s="149"/>
      <c r="K4142" s="149"/>
      <c r="L4142" s="149"/>
      <c r="M4142" s="149"/>
      <c r="N4142" s="149"/>
      <c r="O4142" s="149"/>
      <c r="P4142" s="149"/>
      <c r="Q4142" s="149"/>
      <c r="R4142" s="149"/>
      <c r="S4142" s="149"/>
      <c r="T4142" s="149"/>
      <c r="U4142" s="149"/>
      <c r="V4142" s="149"/>
      <c r="W4142" s="149"/>
      <c r="X4142" s="149"/>
      <c r="Y4142" s="149"/>
      <c r="Z4142" s="149"/>
      <c r="AA4142" s="149"/>
      <c r="AB4142" s="149"/>
      <c r="AC4142" s="149"/>
      <c r="AD4142" s="149"/>
      <c r="AE4142" s="149"/>
      <c r="AF4142" s="149"/>
      <c r="AG4142" s="149"/>
      <c r="AH4142" s="149"/>
      <c r="AI4142" s="149"/>
      <c r="AJ4142" s="149"/>
      <c r="AK4142" s="149"/>
      <c r="AL4142" s="149"/>
      <c r="AM4142" s="149"/>
      <c r="AN4142" s="149"/>
      <c r="AO4142" s="128"/>
      <c r="AP4142" s="128"/>
      <c r="AQ4142" s="128"/>
      <c r="AR4142" s="128"/>
      <c r="AS4142" s="128"/>
      <c r="AT4142" s="128"/>
      <c r="AU4142" s="128"/>
      <c r="AV4142" s="128"/>
      <c r="AW4142" s="128"/>
      <c r="AX4142" s="128"/>
      <c r="AY4142" s="128"/>
      <c r="AZ4142" s="128"/>
      <c r="BA4142" s="128"/>
      <c r="BB4142" s="128"/>
      <c r="BC4142" s="128"/>
      <c r="BD4142" s="128"/>
      <c r="BE4142" s="128"/>
      <c r="BF4142" s="128"/>
      <c r="BG4142" s="128"/>
      <c r="BH4142" s="128"/>
      <c r="BI4142" s="128"/>
      <c r="BJ4142" s="128"/>
      <c r="BK4142" s="128"/>
      <c r="BL4142" s="128"/>
      <c r="BM4142" s="151"/>
      <c r="BN4142" s="128"/>
      <c r="BO4142" s="128"/>
      <c r="BP4142" s="128"/>
      <c r="BQ4142" s="128"/>
      <c r="BR4142" s="128"/>
      <c r="BS4142" s="128"/>
      <c r="BT4142" s="128"/>
      <c r="BU4142" s="128"/>
      <c r="BV4142" s="128"/>
      <c r="BW4142" s="128"/>
      <c r="BX4142" s="128"/>
      <c r="BY4142" s="128"/>
      <c r="BZ4142" s="128"/>
      <c r="CA4142" s="128"/>
      <c r="CB4142" s="128"/>
      <c r="CC4142" s="128"/>
      <c r="CD4142" s="128"/>
      <c r="CE4142" s="128"/>
      <c r="CF4142" s="128"/>
      <c r="CG4142" s="128"/>
      <c r="CI4142" s="128"/>
      <c r="CJ4142" s="128"/>
      <c r="CK4142" s="128"/>
      <c r="CL4142" s="128"/>
      <c r="CM4142" s="128"/>
      <c r="CN4142" s="128"/>
      <c r="CO4142" s="128"/>
      <c r="CP4142" s="128"/>
      <c r="CQ4142" s="128"/>
      <c r="CR4142" s="128"/>
      <c r="CS4142" s="128"/>
      <c r="CT4142" s="128"/>
      <c r="CU4142" s="128"/>
      <c r="CV4142" s="128"/>
      <c r="CW4142" s="128"/>
      <c r="CX4142" s="128"/>
      <c r="CY4142" s="128"/>
      <c r="CZ4142" s="165"/>
    </row>
    <row r="4143" spans="1:104">
      <c r="A4143" s="149"/>
      <c r="B4143" s="149"/>
      <c r="C4143" s="150"/>
      <c r="D4143" s="102"/>
      <c r="E4143" s="149"/>
      <c r="F4143" s="149"/>
      <c r="G4143" s="149"/>
      <c r="H4143" s="149"/>
      <c r="I4143" s="149"/>
      <c r="J4143" s="149"/>
      <c r="K4143" s="149"/>
      <c r="L4143" s="149"/>
      <c r="M4143" s="149"/>
      <c r="N4143" s="149"/>
      <c r="O4143" s="149"/>
      <c r="P4143" s="149"/>
      <c r="Q4143" s="149"/>
      <c r="R4143" s="149"/>
      <c r="S4143" s="149"/>
      <c r="T4143" s="149"/>
      <c r="U4143" s="149"/>
      <c r="V4143" s="149"/>
      <c r="W4143" s="149"/>
      <c r="X4143" s="149"/>
      <c r="Y4143" s="149"/>
      <c r="Z4143" s="149"/>
      <c r="AA4143" s="149"/>
      <c r="AB4143" s="149"/>
      <c r="AC4143" s="149"/>
      <c r="AD4143" s="149"/>
      <c r="AE4143" s="149"/>
      <c r="AF4143" s="149"/>
      <c r="AG4143" s="149"/>
      <c r="AH4143" s="149"/>
      <c r="AI4143" s="149"/>
      <c r="AJ4143" s="149"/>
      <c r="AK4143" s="149"/>
      <c r="AL4143" s="149"/>
      <c r="AM4143" s="149"/>
      <c r="AN4143" s="149"/>
      <c r="AO4143" s="128"/>
      <c r="AP4143" s="128"/>
      <c r="AQ4143" s="128"/>
      <c r="AR4143" s="128"/>
      <c r="AS4143" s="128"/>
      <c r="AT4143" s="128"/>
      <c r="AU4143" s="128"/>
      <c r="AV4143" s="128"/>
      <c r="AW4143" s="128"/>
      <c r="AX4143" s="128"/>
      <c r="AY4143" s="128"/>
      <c r="AZ4143" s="128"/>
      <c r="BA4143" s="128"/>
      <c r="BB4143" s="128"/>
      <c r="BC4143" s="128"/>
      <c r="BD4143" s="128"/>
      <c r="BE4143" s="128"/>
      <c r="BF4143" s="128"/>
      <c r="BG4143" s="128"/>
      <c r="BH4143" s="128"/>
      <c r="BI4143" s="128"/>
      <c r="BJ4143" s="128"/>
      <c r="BK4143" s="128"/>
      <c r="BL4143" s="128"/>
      <c r="BM4143" s="151"/>
      <c r="BN4143" s="128"/>
      <c r="BO4143" s="128"/>
      <c r="BP4143" s="128"/>
      <c r="BQ4143" s="128"/>
      <c r="BR4143" s="128"/>
      <c r="BS4143" s="128"/>
      <c r="BT4143" s="128"/>
      <c r="BU4143" s="128"/>
      <c r="BV4143" s="128"/>
      <c r="BW4143" s="128"/>
      <c r="BX4143" s="128"/>
      <c r="BY4143" s="128"/>
      <c r="BZ4143" s="128"/>
      <c r="CA4143" s="128"/>
      <c r="CB4143" s="128"/>
      <c r="CC4143" s="128"/>
      <c r="CD4143" s="128"/>
      <c r="CE4143" s="128"/>
      <c r="CF4143" s="128"/>
      <c r="CG4143" s="128"/>
      <c r="CI4143" s="128"/>
      <c r="CJ4143" s="128"/>
      <c r="CK4143" s="128"/>
      <c r="CL4143" s="128"/>
      <c r="CM4143" s="128"/>
      <c r="CN4143" s="128"/>
      <c r="CO4143" s="128"/>
      <c r="CP4143" s="128"/>
      <c r="CQ4143" s="128"/>
      <c r="CR4143" s="128"/>
      <c r="CS4143" s="128"/>
      <c r="CT4143" s="128"/>
      <c r="CU4143" s="128"/>
      <c r="CV4143" s="128"/>
      <c r="CW4143" s="128"/>
      <c r="CX4143" s="128"/>
      <c r="CY4143" s="128"/>
      <c r="CZ4143" s="165"/>
    </row>
    <row r="4144" spans="1:104">
      <c r="A4144" s="149"/>
      <c r="B4144" s="149"/>
      <c r="C4144" s="150"/>
      <c r="D4144" s="102"/>
      <c r="E4144" s="149"/>
      <c r="F4144" s="149"/>
      <c r="G4144" s="149"/>
      <c r="H4144" s="149"/>
      <c r="I4144" s="149"/>
      <c r="J4144" s="149"/>
      <c r="K4144" s="149"/>
      <c r="L4144" s="149"/>
      <c r="M4144" s="149"/>
      <c r="N4144" s="149"/>
      <c r="O4144" s="149"/>
      <c r="P4144" s="149"/>
      <c r="Q4144" s="149"/>
      <c r="R4144" s="149"/>
      <c r="S4144" s="149"/>
      <c r="T4144" s="149"/>
      <c r="U4144" s="149"/>
      <c r="V4144" s="149"/>
      <c r="W4144" s="149"/>
      <c r="X4144" s="149"/>
      <c r="Y4144" s="149"/>
      <c r="Z4144" s="149"/>
      <c r="AA4144" s="149"/>
      <c r="AB4144" s="149"/>
      <c r="AC4144" s="149"/>
      <c r="AD4144" s="149"/>
      <c r="AE4144" s="149"/>
      <c r="AF4144" s="149"/>
      <c r="AG4144" s="149"/>
      <c r="AH4144" s="149"/>
      <c r="AI4144" s="149"/>
      <c r="AJ4144" s="149"/>
      <c r="AK4144" s="149"/>
      <c r="AL4144" s="149"/>
      <c r="AM4144" s="149"/>
      <c r="AN4144" s="149"/>
      <c r="AO4144" s="128"/>
      <c r="AP4144" s="128"/>
      <c r="AQ4144" s="128"/>
      <c r="AR4144" s="128"/>
      <c r="AS4144" s="128"/>
      <c r="AT4144" s="128"/>
      <c r="AU4144" s="128"/>
      <c r="AV4144" s="128"/>
      <c r="AW4144" s="128"/>
      <c r="AX4144" s="128"/>
      <c r="AY4144" s="128"/>
      <c r="AZ4144" s="128"/>
      <c r="BA4144" s="128"/>
      <c r="BB4144" s="128"/>
      <c r="BC4144" s="128"/>
      <c r="BD4144" s="128"/>
      <c r="BE4144" s="128"/>
      <c r="BF4144" s="128"/>
      <c r="BG4144" s="128"/>
      <c r="BH4144" s="128"/>
      <c r="BI4144" s="128"/>
      <c r="BJ4144" s="128"/>
      <c r="BK4144" s="128"/>
      <c r="BL4144" s="128"/>
      <c r="BM4144" s="151"/>
      <c r="BN4144" s="128"/>
      <c r="BO4144" s="128"/>
      <c r="BP4144" s="128"/>
      <c r="BQ4144" s="128"/>
      <c r="BR4144" s="128"/>
      <c r="BS4144" s="128"/>
      <c r="BT4144" s="128"/>
      <c r="BU4144" s="128"/>
      <c r="BV4144" s="128"/>
      <c r="BW4144" s="128"/>
      <c r="BX4144" s="128"/>
      <c r="BY4144" s="128"/>
      <c r="BZ4144" s="128"/>
      <c r="CA4144" s="128"/>
      <c r="CB4144" s="128"/>
      <c r="CC4144" s="128"/>
      <c r="CD4144" s="128"/>
      <c r="CE4144" s="128"/>
      <c r="CF4144" s="128"/>
      <c r="CG4144" s="128"/>
      <c r="CI4144" s="128"/>
      <c r="CJ4144" s="128"/>
      <c r="CK4144" s="128"/>
      <c r="CL4144" s="128"/>
      <c r="CM4144" s="128"/>
      <c r="CN4144" s="128"/>
      <c r="CO4144" s="128"/>
      <c r="CP4144" s="128"/>
      <c r="CQ4144" s="128"/>
      <c r="CR4144" s="128"/>
      <c r="CS4144" s="128"/>
      <c r="CT4144" s="128"/>
      <c r="CU4144" s="128"/>
      <c r="CV4144" s="128"/>
      <c r="CW4144" s="128"/>
      <c r="CX4144" s="128"/>
      <c r="CY4144" s="128"/>
      <c r="CZ4144" s="165"/>
    </row>
    <row r="4145" spans="1:104">
      <c r="A4145" s="149"/>
      <c r="B4145" s="149"/>
      <c r="C4145" s="150"/>
      <c r="D4145" s="102"/>
      <c r="E4145" s="149"/>
      <c r="F4145" s="149"/>
      <c r="G4145" s="149"/>
      <c r="H4145" s="149"/>
      <c r="I4145" s="149"/>
      <c r="J4145" s="149"/>
      <c r="K4145" s="149"/>
      <c r="L4145" s="149"/>
      <c r="M4145" s="149"/>
      <c r="N4145" s="149"/>
      <c r="O4145" s="149"/>
      <c r="P4145" s="149"/>
      <c r="Q4145" s="149"/>
      <c r="R4145" s="149"/>
      <c r="S4145" s="149"/>
      <c r="T4145" s="149"/>
      <c r="U4145" s="149"/>
      <c r="V4145" s="149"/>
      <c r="W4145" s="149"/>
      <c r="X4145" s="149"/>
      <c r="Y4145" s="149"/>
      <c r="Z4145" s="149"/>
      <c r="AA4145" s="149"/>
      <c r="AB4145" s="149"/>
      <c r="AC4145" s="149"/>
      <c r="AD4145" s="149"/>
      <c r="AE4145" s="149"/>
      <c r="AF4145" s="149"/>
      <c r="AG4145" s="149"/>
      <c r="AH4145" s="149"/>
      <c r="AI4145" s="149"/>
      <c r="AJ4145" s="149"/>
      <c r="AK4145" s="149"/>
      <c r="AL4145" s="149"/>
      <c r="AM4145" s="149"/>
      <c r="AN4145" s="149"/>
      <c r="AO4145" s="128"/>
      <c r="AP4145" s="128"/>
      <c r="AQ4145" s="128"/>
      <c r="AR4145" s="128"/>
      <c r="AS4145" s="128"/>
      <c r="AT4145" s="128"/>
      <c r="AU4145" s="128"/>
      <c r="AV4145" s="128"/>
      <c r="AW4145" s="128"/>
      <c r="AX4145" s="128"/>
      <c r="AY4145" s="128"/>
      <c r="AZ4145" s="128"/>
      <c r="BA4145" s="128"/>
      <c r="BB4145" s="128"/>
      <c r="BC4145" s="128"/>
      <c r="BD4145" s="128"/>
      <c r="BE4145" s="128"/>
      <c r="BF4145" s="128"/>
      <c r="BG4145" s="128"/>
      <c r="BH4145" s="128"/>
      <c r="BI4145" s="128"/>
      <c r="BJ4145" s="128"/>
      <c r="BK4145" s="128"/>
      <c r="BL4145" s="128"/>
      <c r="BM4145" s="151"/>
      <c r="BN4145" s="128"/>
      <c r="BO4145" s="128"/>
      <c r="BP4145" s="128"/>
      <c r="BQ4145" s="128"/>
      <c r="BR4145" s="128"/>
      <c r="BS4145" s="128"/>
      <c r="BT4145" s="128"/>
      <c r="BU4145" s="128"/>
      <c r="BV4145" s="128"/>
      <c r="BW4145" s="128"/>
      <c r="BX4145" s="128"/>
      <c r="BY4145" s="128"/>
      <c r="BZ4145" s="128"/>
      <c r="CA4145" s="128"/>
      <c r="CB4145" s="128"/>
      <c r="CC4145" s="128"/>
      <c r="CD4145" s="128"/>
      <c r="CE4145" s="128"/>
      <c r="CF4145" s="128"/>
      <c r="CG4145" s="128"/>
      <c r="CI4145" s="128"/>
      <c r="CJ4145" s="128"/>
      <c r="CK4145" s="128"/>
      <c r="CL4145" s="128"/>
      <c r="CM4145" s="128"/>
      <c r="CN4145" s="128"/>
      <c r="CO4145" s="128"/>
      <c r="CP4145" s="128"/>
      <c r="CQ4145" s="128"/>
      <c r="CR4145" s="128"/>
      <c r="CS4145" s="128"/>
      <c r="CT4145" s="128"/>
      <c r="CU4145" s="128"/>
      <c r="CV4145" s="128"/>
      <c r="CW4145" s="128"/>
      <c r="CX4145" s="128"/>
      <c r="CY4145" s="128"/>
      <c r="CZ4145" s="165"/>
    </row>
    <row r="4146" spans="1:104">
      <c r="A4146" s="149"/>
      <c r="B4146" s="149"/>
      <c r="C4146" s="150"/>
      <c r="D4146" s="102"/>
      <c r="E4146" s="149"/>
      <c r="F4146" s="149"/>
      <c r="G4146" s="149"/>
      <c r="H4146" s="149"/>
      <c r="I4146" s="149"/>
      <c r="J4146" s="149"/>
      <c r="K4146" s="149"/>
      <c r="L4146" s="149"/>
      <c r="M4146" s="149"/>
      <c r="N4146" s="149"/>
      <c r="O4146" s="149"/>
      <c r="P4146" s="149"/>
      <c r="Q4146" s="149"/>
      <c r="R4146" s="149"/>
      <c r="S4146" s="149"/>
      <c r="T4146" s="149"/>
      <c r="U4146" s="149"/>
      <c r="V4146" s="149"/>
      <c r="W4146" s="149"/>
      <c r="X4146" s="149"/>
      <c r="Y4146" s="149"/>
      <c r="Z4146" s="149"/>
      <c r="AA4146" s="149"/>
      <c r="AB4146" s="149"/>
      <c r="AC4146" s="149"/>
      <c r="AD4146" s="149"/>
      <c r="AE4146" s="149"/>
      <c r="AF4146" s="149"/>
      <c r="AG4146" s="149"/>
      <c r="AH4146" s="149"/>
      <c r="AI4146" s="149"/>
      <c r="AJ4146" s="149"/>
      <c r="AK4146" s="149"/>
      <c r="AL4146" s="149"/>
      <c r="AM4146" s="149"/>
      <c r="AN4146" s="149"/>
      <c r="AO4146" s="128"/>
      <c r="AP4146" s="128"/>
      <c r="AQ4146" s="128"/>
      <c r="AR4146" s="128"/>
      <c r="AS4146" s="128"/>
      <c r="AT4146" s="128"/>
      <c r="AU4146" s="128"/>
      <c r="AV4146" s="128"/>
      <c r="AW4146" s="128"/>
      <c r="AX4146" s="128"/>
      <c r="AY4146" s="128"/>
      <c r="AZ4146" s="128"/>
      <c r="BA4146" s="128"/>
      <c r="BB4146" s="128"/>
      <c r="BC4146" s="128"/>
      <c r="BD4146" s="128"/>
      <c r="BE4146" s="128"/>
      <c r="BF4146" s="128"/>
      <c r="BG4146" s="128"/>
      <c r="BH4146" s="128"/>
      <c r="BI4146" s="128"/>
      <c r="BJ4146" s="128"/>
      <c r="BK4146" s="128"/>
      <c r="BL4146" s="128"/>
      <c r="BM4146" s="151"/>
      <c r="BN4146" s="128"/>
      <c r="BO4146" s="128"/>
      <c r="BP4146" s="128"/>
      <c r="BQ4146" s="128"/>
      <c r="BR4146" s="128"/>
      <c r="BS4146" s="128"/>
      <c r="BT4146" s="128"/>
      <c r="BU4146" s="128"/>
      <c r="BV4146" s="128"/>
      <c r="BW4146" s="128"/>
      <c r="BX4146" s="128"/>
      <c r="BY4146" s="128"/>
      <c r="BZ4146" s="128"/>
      <c r="CA4146" s="128"/>
      <c r="CB4146" s="128"/>
      <c r="CC4146" s="128"/>
      <c r="CD4146" s="128"/>
      <c r="CE4146" s="128"/>
      <c r="CF4146" s="128"/>
      <c r="CG4146" s="128"/>
      <c r="CI4146" s="128"/>
      <c r="CJ4146" s="128"/>
      <c r="CK4146" s="128"/>
      <c r="CL4146" s="128"/>
      <c r="CM4146" s="128"/>
      <c r="CN4146" s="128"/>
      <c r="CO4146" s="128"/>
      <c r="CP4146" s="128"/>
      <c r="CQ4146" s="128"/>
      <c r="CR4146" s="128"/>
      <c r="CS4146" s="128"/>
      <c r="CT4146" s="128"/>
      <c r="CU4146" s="128"/>
      <c r="CV4146" s="128"/>
      <c r="CW4146" s="128"/>
      <c r="CX4146" s="128"/>
      <c r="CY4146" s="128"/>
      <c r="CZ4146" s="165"/>
    </row>
    <row r="4147" spans="1:104">
      <c r="A4147" s="149"/>
      <c r="B4147" s="149"/>
      <c r="C4147" s="150"/>
      <c r="D4147" s="102"/>
      <c r="E4147" s="149"/>
      <c r="F4147" s="149"/>
      <c r="G4147" s="149"/>
      <c r="H4147" s="149"/>
      <c r="I4147" s="149"/>
      <c r="J4147" s="149"/>
      <c r="K4147" s="149"/>
      <c r="L4147" s="149"/>
      <c r="M4147" s="149"/>
      <c r="N4147" s="149"/>
      <c r="O4147" s="149"/>
      <c r="P4147" s="149"/>
      <c r="Q4147" s="149"/>
      <c r="R4147" s="149"/>
      <c r="S4147" s="149"/>
      <c r="T4147" s="149"/>
      <c r="U4147" s="149"/>
      <c r="V4147" s="149"/>
      <c r="W4147" s="149"/>
      <c r="X4147" s="149"/>
      <c r="Y4147" s="149"/>
      <c r="Z4147" s="149"/>
      <c r="AA4147" s="149"/>
      <c r="AB4147" s="149"/>
      <c r="AC4147" s="149"/>
      <c r="AD4147" s="149"/>
      <c r="AE4147" s="149"/>
      <c r="AF4147" s="149"/>
      <c r="AG4147" s="149"/>
      <c r="AH4147" s="149"/>
      <c r="AI4147" s="149"/>
      <c r="AJ4147" s="149"/>
      <c r="AK4147" s="149"/>
      <c r="AL4147" s="149"/>
      <c r="AM4147" s="149"/>
      <c r="AN4147" s="149"/>
      <c r="AO4147" s="128"/>
      <c r="AP4147" s="128"/>
      <c r="AQ4147" s="128"/>
      <c r="AR4147" s="128"/>
      <c r="AS4147" s="128"/>
      <c r="AT4147" s="128"/>
      <c r="AU4147" s="128"/>
      <c r="AV4147" s="128"/>
      <c r="AW4147" s="128"/>
      <c r="AX4147" s="128"/>
      <c r="AY4147" s="128"/>
      <c r="AZ4147" s="128"/>
      <c r="BA4147" s="128"/>
      <c r="BB4147" s="128"/>
      <c r="BC4147" s="128"/>
      <c r="BD4147" s="128"/>
      <c r="BE4147" s="128"/>
      <c r="BF4147" s="128"/>
      <c r="BG4147" s="128"/>
      <c r="BH4147" s="128"/>
      <c r="BI4147" s="128"/>
      <c r="BJ4147" s="128"/>
      <c r="BK4147" s="128"/>
      <c r="BL4147" s="128"/>
      <c r="BM4147" s="151"/>
      <c r="BN4147" s="128"/>
      <c r="BO4147" s="128"/>
      <c r="BP4147" s="128"/>
      <c r="BQ4147" s="128"/>
      <c r="BR4147" s="128"/>
      <c r="BS4147" s="128"/>
      <c r="BT4147" s="128"/>
      <c r="BU4147" s="128"/>
      <c r="BV4147" s="128"/>
      <c r="BW4147" s="128"/>
      <c r="BX4147" s="128"/>
      <c r="BY4147" s="128"/>
      <c r="BZ4147" s="128"/>
      <c r="CA4147" s="128"/>
      <c r="CB4147" s="128"/>
      <c r="CC4147" s="128"/>
      <c r="CD4147" s="128"/>
      <c r="CE4147" s="128"/>
      <c r="CF4147" s="128"/>
      <c r="CG4147" s="128"/>
      <c r="CI4147" s="128"/>
      <c r="CJ4147" s="128"/>
      <c r="CK4147" s="128"/>
      <c r="CL4147" s="128"/>
      <c r="CM4147" s="128"/>
      <c r="CN4147" s="128"/>
      <c r="CO4147" s="128"/>
      <c r="CP4147" s="128"/>
      <c r="CQ4147" s="128"/>
      <c r="CR4147" s="128"/>
      <c r="CS4147" s="128"/>
      <c r="CT4147" s="128"/>
      <c r="CU4147" s="128"/>
      <c r="CV4147" s="128"/>
      <c r="CW4147" s="128"/>
      <c r="CX4147" s="128"/>
      <c r="CY4147" s="128"/>
      <c r="CZ4147" s="165"/>
    </row>
    <row r="4148" spans="1:104">
      <c r="A4148" s="149"/>
      <c r="B4148" s="149"/>
      <c r="C4148" s="150"/>
      <c r="D4148" s="102"/>
      <c r="E4148" s="149"/>
      <c r="F4148" s="149"/>
      <c r="G4148" s="149"/>
      <c r="H4148" s="149"/>
      <c r="I4148" s="149"/>
      <c r="J4148" s="149"/>
      <c r="K4148" s="149"/>
      <c r="L4148" s="149"/>
      <c r="M4148" s="149"/>
      <c r="N4148" s="149"/>
      <c r="O4148" s="149"/>
      <c r="P4148" s="149"/>
      <c r="Q4148" s="149"/>
      <c r="R4148" s="149"/>
      <c r="S4148" s="149"/>
      <c r="T4148" s="149"/>
      <c r="U4148" s="149"/>
      <c r="V4148" s="149"/>
      <c r="W4148" s="149"/>
      <c r="X4148" s="149"/>
      <c r="Y4148" s="149"/>
      <c r="Z4148" s="149"/>
      <c r="AA4148" s="149"/>
      <c r="AB4148" s="149"/>
      <c r="AC4148" s="149"/>
      <c r="AD4148" s="149"/>
      <c r="AE4148" s="149"/>
      <c r="AF4148" s="149"/>
      <c r="AG4148" s="149"/>
      <c r="AH4148" s="149"/>
      <c r="AI4148" s="149"/>
      <c r="AJ4148" s="149"/>
      <c r="AK4148" s="149"/>
      <c r="AL4148" s="149"/>
      <c r="AM4148" s="149"/>
      <c r="AN4148" s="149"/>
      <c r="AO4148" s="128"/>
      <c r="AP4148" s="128"/>
      <c r="AQ4148" s="128"/>
      <c r="AR4148" s="128"/>
      <c r="AS4148" s="128"/>
      <c r="AT4148" s="128"/>
      <c r="AU4148" s="128"/>
      <c r="AV4148" s="128"/>
      <c r="AW4148" s="128"/>
      <c r="AX4148" s="128"/>
      <c r="AY4148" s="128"/>
      <c r="AZ4148" s="128"/>
      <c r="BA4148" s="128"/>
      <c r="BB4148" s="128"/>
      <c r="BC4148" s="128"/>
      <c r="BD4148" s="128"/>
      <c r="BE4148" s="128"/>
      <c r="BF4148" s="128"/>
      <c r="BG4148" s="128"/>
      <c r="BH4148" s="128"/>
      <c r="BI4148" s="128"/>
      <c r="BJ4148" s="128"/>
      <c r="BK4148" s="128"/>
      <c r="BL4148" s="128"/>
      <c r="BM4148" s="151"/>
      <c r="BN4148" s="128"/>
      <c r="BO4148" s="128"/>
      <c r="BP4148" s="128"/>
      <c r="BQ4148" s="128"/>
      <c r="BR4148" s="128"/>
      <c r="BS4148" s="128"/>
      <c r="BT4148" s="128"/>
      <c r="BU4148" s="128"/>
      <c r="BV4148" s="128"/>
      <c r="BW4148" s="128"/>
      <c r="BX4148" s="128"/>
      <c r="BY4148" s="128"/>
      <c r="BZ4148" s="128"/>
      <c r="CA4148" s="128"/>
      <c r="CB4148" s="128"/>
      <c r="CC4148" s="128"/>
      <c r="CD4148" s="128"/>
      <c r="CE4148" s="128"/>
      <c r="CF4148" s="128"/>
      <c r="CG4148" s="128"/>
      <c r="CI4148" s="128"/>
      <c r="CJ4148" s="128"/>
      <c r="CK4148" s="128"/>
      <c r="CL4148" s="128"/>
      <c r="CM4148" s="128"/>
      <c r="CN4148" s="128"/>
      <c r="CO4148" s="128"/>
      <c r="CP4148" s="128"/>
      <c r="CQ4148" s="128"/>
      <c r="CR4148" s="128"/>
      <c r="CS4148" s="128"/>
      <c r="CT4148" s="128"/>
      <c r="CU4148" s="128"/>
      <c r="CV4148" s="128"/>
      <c r="CW4148" s="128"/>
      <c r="CX4148" s="128"/>
      <c r="CY4148" s="128"/>
      <c r="CZ4148" s="165"/>
    </row>
    <row r="4149" spans="1:104">
      <c r="A4149" s="149"/>
      <c r="B4149" s="149"/>
      <c r="C4149" s="150"/>
      <c r="D4149" s="102"/>
      <c r="E4149" s="149"/>
      <c r="F4149" s="149"/>
      <c r="G4149" s="149"/>
      <c r="H4149" s="149"/>
      <c r="I4149" s="149"/>
      <c r="J4149" s="149"/>
      <c r="K4149" s="149"/>
      <c r="L4149" s="149"/>
      <c r="M4149" s="149"/>
      <c r="N4149" s="149"/>
      <c r="O4149" s="149"/>
      <c r="P4149" s="149"/>
      <c r="Q4149" s="149"/>
      <c r="R4149" s="149"/>
      <c r="S4149" s="149"/>
      <c r="T4149" s="149"/>
      <c r="U4149" s="149"/>
      <c r="V4149" s="149"/>
      <c r="W4149" s="149"/>
      <c r="X4149" s="149"/>
      <c r="Y4149" s="149"/>
      <c r="Z4149" s="149"/>
      <c r="AA4149" s="149"/>
      <c r="AB4149" s="149"/>
      <c r="AC4149" s="149"/>
      <c r="AD4149" s="149"/>
      <c r="AE4149" s="149"/>
      <c r="AF4149" s="149"/>
      <c r="AG4149" s="149"/>
      <c r="AH4149" s="149"/>
      <c r="AI4149" s="149"/>
      <c r="AJ4149" s="149"/>
      <c r="AK4149" s="149"/>
      <c r="AL4149" s="149"/>
      <c r="AM4149" s="149"/>
      <c r="AN4149" s="149"/>
      <c r="AO4149" s="128"/>
      <c r="AP4149" s="128"/>
      <c r="AQ4149" s="128"/>
      <c r="AR4149" s="128"/>
      <c r="AS4149" s="128"/>
      <c r="AT4149" s="128"/>
      <c r="AU4149" s="128"/>
      <c r="AV4149" s="128"/>
      <c r="AW4149" s="128"/>
      <c r="AX4149" s="128"/>
      <c r="AY4149" s="128"/>
      <c r="AZ4149" s="128"/>
      <c r="BA4149" s="128"/>
      <c r="BB4149" s="128"/>
      <c r="BC4149" s="128"/>
      <c r="BD4149" s="128"/>
      <c r="BE4149" s="128"/>
      <c r="BF4149" s="128"/>
      <c r="BG4149" s="128"/>
      <c r="BH4149" s="128"/>
      <c r="BI4149" s="128"/>
      <c r="BJ4149" s="128"/>
      <c r="BK4149" s="128"/>
      <c r="BL4149" s="128"/>
      <c r="BM4149" s="151"/>
      <c r="BN4149" s="128"/>
      <c r="BO4149" s="128"/>
      <c r="BP4149" s="128"/>
      <c r="BQ4149" s="128"/>
      <c r="BR4149" s="128"/>
      <c r="BS4149" s="128"/>
      <c r="BT4149" s="128"/>
      <c r="BU4149" s="128"/>
      <c r="BV4149" s="128"/>
      <c r="BW4149" s="128"/>
      <c r="BX4149" s="128"/>
      <c r="BY4149" s="128"/>
      <c r="BZ4149" s="128"/>
      <c r="CA4149" s="128"/>
      <c r="CB4149" s="128"/>
      <c r="CC4149" s="128"/>
      <c r="CD4149" s="128"/>
      <c r="CE4149" s="128"/>
      <c r="CF4149" s="128"/>
      <c r="CG4149" s="128"/>
      <c r="CI4149" s="128"/>
      <c r="CJ4149" s="128"/>
      <c r="CK4149" s="128"/>
      <c r="CL4149" s="128"/>
      <c r="CM4149" s="128"/>
      <c r="CN4149" s="128"/>
      <c r="CO4149" s="128"/>
      <c r="CP4149" s="128"/>
      <c r="CQ4149" s="128"/>
      <c r="CR4149" s="128"/>
      <c r="CS4149" s="128"/>
      <c r="CT4149" s="128"/>
      <c r="CU4149" s="128"/>
      <c r="CV4149" s="128"/>
      <c r="CW4149" s="128"/>
      <c r="CX4149" s="128"/>
      <c r="CY4149" s="128"/>
      <c r="CZ4149" s="165"/>
    </row>
    <row r="4150" spans="1:104">
      <c r="A4150" s="149"/>
      <c r="B4150" s="149"/>
      <c r="C4150" s="150"/>
      <c r="D4150" s="102"/>
      <c r="E4150" s="149"/>
      <c r="F4150" s="149"/>
      <c r="G4150" s="149"/>
      <c r="H4150" s="149"/>
      <c r="I4150" s="149"/>
      <c r="J4150" s="149"/>
      <c r="K4150" s="149"/>
      <c r="L4150" s="149"/>
      <c r="M4150" s="149"/>
      <c r="N4150" s="149"/>
      <c r="O4150" s="149"/>
      <c r="P4150" s="149"/>
      <c r="Q4150" s="149"/>
      <c r="R4150" s="149"/>
      <c r="S4150" s="149"/>
      <c r="T4150" s="149"/>
      <c r="U4150" s="149"/>
      <c r="V4150" s="149"/>
      <c r="W4150" s="149"/>
      <c r="X4150" s="149"/>
      <c r="Y4150" s="149"/>
      <c r="Z4150" s="149"/>
      <c r="AA4150" s="149"/>
      <c r="AB4150" s="149"/>
      <c r="AC4150" s="149"/>
      <c r="AD4150" s="149"/>
      <c r="AE4150" s="149"/>
      <c r="AF4150" s="149"/>
      <c r="AG4150" s="149"/>
      <c r="AH4150" s="149"/>
      <c r="AI4150" s="149"/>
      <c r="AJ4150" s="149"/>
      <c r="AK4150" s="149"/>
      <c r="AL4150" s="149"/>
      <c r="AM4150" s="149"/>
      <c r="AN4150" s="149"/>
      <c r="AO4150" s="128"/>
      <c r="AP4150" s="128"/>
      <c r="AQ4150" s="128"/>
      <c r="AR4150" s="128"/>
      <c r="AS4150" s="128"/>
      <c r="AT4150" s="128"/>
      <c r="AU4150" s="128"/>
      <c r="AV4150" s="128"/>
      <c r="AW4150" s="128"/>
      <c r="AX4150" s="128"/>
      <c r="AY4150" s="128"/>
      <c r="AZ4150" s="128"/>
      <c r="BA4150" s="128"/>
      <c r="BB4150" s="128"/>
      <c r="BC4150" s="128"/>
      <c r="BD4150" s="128"/>
      <c r="BE4150" s="128"/>
      <c r="BF4150" s="128"/>
      <c r="BG4150" s="128"/>
      <c r="BH4150" s="128"/>
      <c r="BI4150" s="128"/>
      <c r="BJ4150" s="128"/>
      <c r="BK4150" s="128"/>
      <c r="BL4150" s="128"/>
      <c r="BM4150" s="151"/>
      <c r="BN4150" s="128"/>
      <c r="BO4150" s="128"/>
      <c r="BP4150" s="128"/>
      <c r="BQ4150" s="128"/>
      <c r="BR4150" s="128"/>
      <c r="BS4150" s="128"/>
      <c r="BT4150" s="128"/>
      <c r="BU4150" s="128"/>
      <c r="BV4150" s="128"/>
      <c r="BW4150" s="128"/>
      <c r="BX4150" s="128"/>
      <c r="BY4150" s="128"/>
      <c r="BZ4150" s="128"/>
      <c r="CA4150" s="128"/>
      <c r="CB4150" s="128"/>
      <c r="CC4150" s="128"/>
      <c r="CD4150" s="128"/>
      <c r="CE4150" s="128"/>
      <c r="CF4150" s="128"/>
      <c r="CG4150" s="128"/>
      <c r="CI4150" s="128"/>
      <c r="CJ4150" s="128"/>
      <c r="CK4150" s="128"/>
      <c r="CL4150" s="128"/>
      <c r="CM4150" s="128"/>
      <c r="CN4150" s="128"/>
      <c r="CO4150" s="128"/>
      <c r="CP4150" s="128"/>
      <c r="CQ4150" s="128"/>
      <c r="CR4150" s="128"/>
      <c r="CS4150" s="128"/>
      <c r="CT4150" s="128"/>
      <c r="CU4150" s="128"/>
      <c r="CV4150" s="128"/>
      <c r="CW4150" s="128"/>
      <c r="CX4150" s="128"/>
      <c r="CY4150" s="128"/>
      <c r="CZ4150" s="165"/>
    </row>
    <row r="4151" spans="1:104">
      <c r="A4151" s="149"/>
      <c r="B4151" s="149"/>
      <c r="C4151" s="150"/>
      <c r="D4151" s="102"/>
      <c r="E4151" s="149"/>
      <c r="F4151" s="149"/>
      <c r="G4151" s="149"/>
      <c r="H4151" s="149"/>
      <c r="I4151" s="149"/>
      <c r="J4151" s="149"/>
      <c r="K4151" s="149"/>
      <c r="L4151" s="149"/>
      <c r="M4151" s="149"/>
      <c r="N4151" s="149"/>
      <c r="O4151" s="149"/>
      <c r="P4151" s="149"/>
      <c r="Q4151" s="149"/>
      <c r="R4151" s="149"/>
      <c r="S4151" s="149"/>
      <c r="T4151" s="149"/>
      <c r="U4151" s="149"/>
      <c r="V4151" s="149"/>
      <c r="W4151" s="149"/>
      <c r="X4151" s="149"/>
      <c r="Y4151" s="149"/>
      <c r="Z4151" s="149"/>
      <c r="AA4151" s="149"/>
      <c r="AB4151" s="149"/>
      <c r="AC4151" s="149"/>
      <c r="AD4151" s="149"/>
      <c r="AE4151" s="149"/>
      <c r="AF4151" s="149"/>
      <c r="AG4151" s="149"/>
      <c r="AH4151" s="149"/>
      <c r="AI4151" s="149"/>
      <c r="AJ4151" s="149"/>
      <c r="AK4151" s="149"/>
      <c r="AL4151" s="149"/>
      <c r="AM4151" s="149"/>
      <c r="AN4151" s="149"/>
      <c r="AO4151" s="128"/>
      <c r="AP4151" s="128"/>
      <c r="AQ4151" s="128"/>
      <c r="AR4151" s="128"/>
      <c r="AS4151" s="128"/>
      <c r="AT4151" s="128"/>
      <c r="AU4151" s="128"/>
      <c r="AV4151" s="128"/>
      <c r="AW4151" s="128"/>
      <c r="AX4151" s="128"/>
      <c r="AY4151" s="128"/>
      <c r="AZ4151" s="128"/>
      <c r="BA4151" s="128"/>
      <c r="BB4151" s="128"/>
      <c r="BC4151" s="128"/>
      <c r="BD4151" s="128"/>
      <c r="BE4151" s="128"/>
      <c r="BF4151" s="128"/>
      <c r="BG4151" s="128"/>
      <c r="BH4151" s="128"/>
      <c r="BI4151" s="128"/>
      <c r="BJ4151" s="128"/>
      <c r="BK4151" s="128"/>
      <c r="BL4151" s="128"/>
      <c r="BM4151" s="151"/>
      <c r="BN4151" s="128"/>
      <c r="BO4151" s="128"/>
      <c r="BP4151" s="128"/>
      <c r="BQ4151" s="128"/>
      <c r="BR4151" s="128"/>
      <c r="BS4151" s="128"/>
      <c r="BT4151" s="128"/>
      <c r="BU4151" s="128"/>
      <c r="BV4151" s="128"/>
      <c r="BW4151" s="128"/>
      <c r="BX4151" s="128"/>
      <c r="BY4151" s="128"/>
      <c r="BZ4151" s="128"/>
      <c r="CA4151" s="128"/>
      <c r="CB4151" s="128"/>
      <c r="CC4151" s="128"/>
      <c r="CD4151" s="128"/>
      <c r="CE4151" s="128"/>
      <c r="CF4151" s="128"/>
      <c r="CG4151" s="128"/>
      <c r="CI4151" s="128"/>
      <c r="CJ4151" s="128"/>
      <c r="CK4151" s="128"/>
      <c r="CL4151" s="128"/>
      <c r="CM4151" s="128"/>
      <c r="CN4151" s="128"/>
      <c r="CO4151" s="128"/>
      <c r="CP4151" s="128"/>
      <c r="CQ4151" s="128"/>
      <c r="CR4151" s="128"/>
      <c r="CS4151" s="128"/>
      <c r="CT4151" s="128"/>
      <c r="CU4151" s="128"/>
      <c r="CV4151" s="128"/>
      <c r="CW4151" s="128"/>
      <c r="CX4151" s="128"/>
      <c r="CY4151" s="128"/>
      <c r="CZ4151" s="165"/>
    </row>
    <row r="4152" spans="1:104">
      <c r="A4152" s="149"/>
      <c r="B4152" s="149"/>
      <c r="C4152" s="150"/>
      <c r="D4152" s="102"/>
      <c r="E4152" s="149"/>
      <c r="F4152" s="149"/>
      <c r="G4152" s="149"/>
      <c r="H4152" s="149"/>
      <c r="I4152" s="149"/>
      <c r="J4152" s="149"/>
      <c r="K4152" s="149"/>
      <c r="L4152" s="149"/>
      <c r="M4152" s="149"/>
      <c r="N4152" s="149"/>
      <c r="O4152" s="149"/>
      <c r="P4152" s="149"/>
      <c r="Q4152" s="149"/>
      <c r="R4152" s="149"/>
      <c r="S4152" s="149"/>
      <c r="T4152" s="149"/>
      <c r="U4152" s="149"/>
      <c r="V4152" s="149"/>
      <c r="W4152" s="149"/>
      <c r="X4152" s="149"/>
      <c r="Y4152" s="149"/>
      <c r="Z4152" s="149"/>
      <c r="AA4152" s="149"/>
      <c r="AB4152" s="149"/>
      <c r="AC4152" s="149"/>
      <c r="AD4152" s="149"/>
      <c r="AE4152" s="149"/>
      <c r="AF4152" s="149"/>
      <c r="AG4152" s="149"/>
      <c r="AH4152" s="149"/>
      <c r="AI4152" s="149"/>
      <c r="AJ4152" s="149"/>
      <c r="AK4152" s="149"/>
      <c r="AL4152" s="149"/>
      <c r="AM4152" s="149"/>
      <c r="AN4152" s="149"/>
      <c r="AO4152" s="128"/>
      <c r="AP4152" s="128"/>
      <c r="AQ4152" s="128"/>
      <c r="AR4152" s="128"/>
      <c r="AS4152" s="128"/>
      <c r="AT4152" s="128"/>
      <c r="AU4152" s="128"/>
      <c r="AV4152" s="128"/>
      <c r="AW4152" s="128"/>
      <c r="AX4152" s="128"/>
      <c r="AY4152" s="128"/>
      <c r="AZ4152" s="128"/>
      <c r="BA4152" s="128"/>
      <c r="BB4152" s="128"/>
      <c r="BC4152" s="128"/>
      <c r="BD4152" s="128"/>
      <c r="BE4152" s="128"/>
      <c r="BF4152" s="128"/>
      <c r="BG4152" s="128"/>
      <c r="BH4152" s="128"/>
      <c r="BI4152" s="128"/>
      <c r="BJ4152" s="128"/>
      <c r="BK4152" s="128"/>
      <c r="BL4152" s="128"/>
      <c r="BM4152" s="151"/>
      <c r="BN4152" s="128"/>
      <c r="BO4152" s="128"/>
      <c r="BP4152" s="128"/>
      <c r="BQ4152" s="128"/>
      <c r="BR4152" s="128"/>
      <c r="BS4152" s="128"/>
      <c r="BT4152" s="128"/>
      <c r="BU4152" s="128"/>
      <c r="BV4152" s="128"/>
      <c r="BW4152" s="128"/>
      <c r="BX4152" s="128"/>
      <c r="BY4152" s="128"/>
      <c r="BZ4152" s="128"/>
      <c r="CA4152" s="128"/>
      <c r="CB4152" s="128"/>
      <c r="CC4152" s="128"/>
      <c r="CD4152" s="128"/>
      <c r="CE4152" s="128"/>
      <c r="CF4152" s="128"/>
      <c r="CG4152" s="128"/>
      <c r="CI4152" s="128"/>
      <c r="CJ4152" s="128"/>
      <c r="CK4152" s="128"/>
      <c r="CL4152" s="128"/>
      <c r="CM4152" s="128"/>
      <c r="CN4152" s="128"/>
      <c r="CO4152" s="128"/>
      <c r="CP4152" s="128"/>
      <c r="CQ4152" s="128"/>
      <c r="CR4152" s="128"/>
      <c r="CS4152" s="128"/>
      <c r="CT4152" s="128"/>
      <c r="CU4152" s="128"/>
      <c r="CV4152" s="128"/>
      <c r="CW4152" s="128"/>
      <c r="CX4152" s="128"/>
      <c r="CY4152" s="128"/>
      <c r="CZ4152" s="165"/>
    </row>
    <row r="4153" spans="1:104">
      <c r="A4153" s="149"/>
      <c r="B4153" s="149"/>
      <c r="C4153" s="150"/>
      <c r="D4153" s="102"/>
      <c r="E4153" s="149"/>
      <c r="F4153" s="149"/>
      <c r="G4153" s="149"/>
      <c r="H4153" s="149"/>
      <c r="I4153" s="149"/>
      <c r="J4153" s="149"/>
      <c r="K4153" s="149"/>
      <c r="L4153" s="149"/>
      <c r="M4153" s="149"/>
      <c r="N4153" s="149"/>
      <c r="O4153" s="149"/>
      <c r="P4153" s="149"/>
      <c r="Q4153" s="149"/>
      <c r="R4153" s="149"/>
      <c r="S4153" s="149"/>
      <c r="T4153" s="149"/>
      <c r="U4153" s="149"/>
      <c r="V4153" s="149"/>
      <c r="W4153" s="149"/>
      <c r="X4153" s="149"/>
      <c r="Y4153" s="149"/>
      <c r="Z4153" s="149"/>
      <c r="AA4153" s="149"/>
      <c r="AB4153" s="149"/>
      <c r="AC4153" s="149"/>
      <c r="AD4153" s="149"/>
      <c r="AE4153" s="149"/>
      <c r="AF4153" s="149"/>
      <c r="AG4153" s="149"/>
      <c r="AH4153" s="149"/>
      <c r="AI4153" s="149"/>
      <c r="AJ4153" s="149"/>
      <c r="AK4153" s="149"/>
      <c r="AL4153" s="149"/>
      <c r="AM4153" s="149"/>
      <c r="AN4153" s="149"/>
      <c r="AO4153" s="128"/>
      <c r="AP4153" s="128"/>
      <c r="AQ4153" s="128"/>
      <c r="AR4153" s="128"/>
      <c r="AS4153" s="128"/>
      <c r="AT4153" s="128"/>
      <c r="AU4153" s="128"/>
      <c r="AV4153" s="128"/>
      <c r="AW4153" s="128"/>
      <c r="AX4153" s="128"/>
      <c r="AY4153" s="128"/>
      <c r="AZ4153" s="128"/>
      <c r="BA4153" s="128"/>
      <c r="BB4153" s="128"/>
      <c r="BC4153" s="128"/>
      <c r="BD4153" s="128"/>
      <c r="BE4153" s="128"/>
      <c r="BF4153" s="128"/>
      <c r="BG4153" s="128"/>
      <c r="BH4153" s="128"/>
      <c r="BI4153" s="128"/>
      <c r="BJ4153" s="128"/>
      <c r="BK4153" s="128"/>
      <c r="BL4153" s="128"/>
      <c r="BM4153" s="151"/>
      <c r="BN4153" s="128"/>
      <c r="BO4153" s="128"/>
      <c r="BP4153" s="128"/>
      <c r="BQ4153" s="128"/>
      <c r="BR4153" s="128"/>
      <c r="BS4153" s="128"/>
      <c r="BT4153" s="128"/>
      <c r="BU4153" s="128"/>
      <c r="BV4153" s="128"/>
      <c r="BW4153" s="128"/>
      <c r="BX4153" s="128"/>
      <c r="BY4153" s="128"/>
      <c r="BZ4153" s="128"/>
      <c r="CA4153" s="128"/>
      <c r="CB4153" s="128"/>
      <c r="CC4153" s="128"/>
      <c r="CD4153" s="128"/>
      <c r="CE4153" s="128"/>
      <c r="CF4153" s="128"/>
      <c r="CG4153" s="128"/>
      <c r="CI4153" s="128"/>
      <c r="CJ4153" s="128"/>
      <c r="CK4153" s="128"/>
      <c r="CL4153" s="128"/>
      <c r="CM4153" s="128"/>
      <c r="CN4153" s="128"/>
      <c r="CO4153" s="128"/>
      <c r="CP4153" s="128"/>
      <c r="CQ4153" s="128"/>
      <c r="CR4153" s="128"/>
      <c r="CS4153" s="128"/>
      <c r="CT4153" s="128"/>
      <c r="CU4153" s="128"/>
      <c r="CV4153" s="128"/>
      <c r="CW4153" s="128"/>
      <c r="CX4153" s="128"/>
      <c r="CY4153" s="128"/>
      <c r="CZ4153" s="165"/>
    </row>
    <row r="4154" spans="1:104">
      <c r="A4154" s="149"/>
      <c r="B4154" s="149"/>
      <c r="C4154" s="150"/>
      <c r="D4154" s="102"/>
      <c r="E4154" s="149"/>
      <c r="F4154" s="149"/>
      <c r="G4154" s="149"/>
      <c r="H4154" s="149"/>
      <c r="I4154" s="149"/>
      <c r="J4154" s="149"/>
      <c r="K4154" s="149"/>
      <c r="L4154" s="149"/>
      <c r="M4154" s="149"/>
      <c r="N4154" s="149"/>
      <c r="O4154" s="149"/>
      <c r="P4154" s="149"/>
      <c r="Q4154" s="149"/>
      <c r="R4154" s="149"/>
      <c r="S4154" s="149"/>
      <c r="T4154" s="149"/>
      <c r="U4154" s="149"/>
      <c r="V4154" s="149"/>
      <c r="W4154" s="149"/>
      <c r="X4154" s="149"/>
      <c r="Y4154" s="149"/>
      <c r="Z4154" s="149"/>
      <c r="AA4154" s="149"/>
      <c r="AB4154" s="149"/>
      <c r="AC4154" s="149"/>
      <c r="AD4154" s="149"/>
      <c r="AE4154" s="149"/>
      <c r="AF4154" s="149"/>
      <c r="AG4154" s="149"/>
      <c r="AH4154" s="149"/>
      <c r="AI4154" s="149"/>
      <c r="AJ4154" s="149"/>
      <c r="AK4154" s="149"/>
      <c r="AL4154" s="149"/>
      <c r="AM4154" s="149"/>
      <c r="AN4154" s="149"/>
      <c r="AO4154" s="128"/>
      <c r="AP4154" s="128"/>
      <c r="AQ4154" s="128"/>
      <c r="AR4154" s="128"/>
      <c r="AS4154" s="128"/>
      <c r="AT4154" s="128"/>
      <c r="AU4154" s="128"/>
      <c r="AV4154" s="128"/>
      <c r="AW4154" s="128"/>
      <c r="AX4154" s="128"/>
      <c r="AY4154" s="128"/>
      <c r="AZ4154" s="128"/>
      <c r="BA4154" s="128"/>
      <c r="BB4154" s="128"/>
      <c r="BC4154" s="128"/>
      <c r="BD4154" s="128"/>
      <c r="BE4154" s="128"/>
      <c r="BF4154" s="128"/>
      <c r="BG4154" s="128"/>
      <c r="BH4154" s="128"/>
      <c r="BI4154" s="128"/>
      <c r="BJ4154" s="128"/>
      <c r="BK4154" s="128"/>
      <c r="BL4154" s="128"/>
      <c r="BM4154" s="151"/>
      <c r="BN4154" s="128"/>
      <c r="BO4154" s="128"/>
      <c r="BP4154" s="128"/>
      <c r="BQ4154" s="128"/>
      <c r="BR4154" s="128"/>
      <c r="BS4154" s="128"/>
      <c r="BT4154" s="128"/>
      <c r="BU4154" s="128"/>
      <c r="BV4154" s="128"/>
      <c r="BW4154" s="128"/>
      <c r="BX4154" s="128"/>
      <c r="BY4154" s="128"/>
      <c r="BZ4154" s="128"/>
      <c r="CA4154" s="128"/>
      <c r="CB4154" s="128"/>
      <c r="CC4154" s="128"/>
      <c r="CD4154" s="128"/>
      <c r="CE4154" s="128"/>
      <c r="CF4154" s="128"/>
      <c r="CG4154" s="128"/>
      <c r="CI4154" s="128"/>
      <c r="CJ4154" s="128"/>
      <c r="CK4154" s="128"/>
      <c r="CL4154" s="128"/>
      <c r="CM4154" s="128"/>
      <c r="CN4154" s="128"/>
      <c r="CO4154" s="128"/>
      <c r="CP4154" s="128"/>
      <c r="CQ4154" s="128"/>
      <c r="CR4154" s="128"/>
      <c r="CS4154" s="128"/>
      <c r="CT4154" s="128"/>
      <c r="CU4154" s="128"/>
      <c r="CV4154" s="128"/>
      <c r="CW4154" s="128"/>
      <c r="CX4154" s="128"/>
      <c r="CY4154" s="128"/>
      <c r="CZ4154" s="165"/>
    </row>
    <row r="4155" spans="1:104">
      <c r="A4155" s="149"/>
      <c r="B4155" s="149"/>
      <c r="C4155" s="150"/>
      <c r="D4155" s="102"/>
      <c r="E4155" s="149"/>
      <c r="F4155" s="149"/>
      <c r="G4155" s="149"/>
      <c r="H4155" s="149"/>
      <c r="I4155" s="149"/>
      <c r="J4155" s="149"/>
      <c r="K4155" s="149"/>
      <c r="L4155" s="149"/>
      <c r="M4155" s="149"/>
      <c r="N4155" s="149"/>
      <c r="O4155" s="149"/>
      <c r="P4155" s="149"/>
      <c r="Q4155" s="149"/>
      <c r="R4155" s="149"/>
      <c r="S4155" s="149"/>
      <c r="T4155" s="149"/>
      <c r="U4155" s="149"/>
      <c r="V4155" s="149"/>
      <c r="W4155" s="149"/>
      <c r="X4155" s="149"/>
      <c r="Y4155" s="149"/>
      <c r="Z4155" s="149"/>
      <c r="AA4155" s="149"/>
      <c r="AB4155" s="149"/>
      <c r="AC4155" s="149"/>
      <c r="AD4155" s="149"/>
      <c r="AE4155" s="149"/>
      <c r="AF4155" s="149"/>
      <c r="AG4155" s="149"/>
      <c r="AH4155" s="149"/>
      <c r="AI4155" s="149"/>
      <c r="AJ4155" s="149"/>
      <c r="AK4155" s="149"/>
      <c r="AL4155" s="149"/>
      <c r="AM4155" s="149"/>
      <c r="AN4155" s="149"/>
      <c r="AO4155" s="128"/>
      <c r="AP4155" s="128"/>
      <c r="AQ4155" s="128"/>
      <c r="AR4155" s="128"/>
      <c r="AS4155" s="128"/>
      <c r="AT4155" s="128"/>
      <c r="AU4155" s="128"/>
      <c r="AV4155" s="128"/>
      <c r="AW4155" s="128"/>
      <c r="AX4155" s="128"/>
      <c r="AY4155" s="128"/>
      <c r="AZ4155" s="128"/>
      <c r="BA4155" s="128"/>
      <c r="BB4155" s="128"/>
      <c r="BC4155" s="128"/>
      <c r="BD4155" s="128"/>
      <c r="BE4155" s="128"/>
      <c r="BF4155" s="128"/>
      <c r="BG4155" s="128"/>
      <c r="BH4155" s="128"/>
      <c r="BI4155" s="128"/>
      <c r="BJ4155" s="128"/>
      <c r="BK4155" s="128"/>
      <c r="BL4155" s="128"/>
      <c r="BM4155" s="151"/>
      <c r="BN4155" s="128"/>
      <c r="BO4155" s="128"/>
      <c r="BP4155" s="128"/>
      <c r="BQ4155" s="128"/>
      <c r="BR4155" s="128"/>
      <c r="BS4155" s="128"/>
      <c r="BT4155" s="128"/>
      <c r="BU4155" s="128"/>
      <c r="BV4155" s="128"/>
      <c r="BW4155" s="128"/>
      <c r="BX4155" s="128"/>
      <c r="BY4155" s="128"/>
      <c r="BZ4155" s="128"/>
      <c r="CA4155" s="128"/>
      <c r="CB4155" s="128"/>
      <c r="CC4155" s="128"/>
      <c r="CD4155" s="128"/>
      <c r="CE4155" s="128"/>
      <c r="CF4155" s="128"/>
      <c r="CG4155" s="128"/>
      <c r="CI4155" s="128"/>
      <c r="CJ4155" s="128"/>
      <c r="CK4155" s="128"/>
      <c r="CL4155" s="128"/>
      <c r="CM4155" s="128"/>
      <c r="CN4155" s="128"/>
      <c r="CO4155" s="128"/>
      <c r="CP4155" s="128"/>
      <c r="CQ4155" s="128"/>
      <c r="CR4155" s="128"/>
      <c r="CS4155" s="128"/>
      <c r="CT4155" s="128"/>
      <c r="CU4155" s="128"/>
      <c r="CV4155" s="128"/>
      <c r="CW4155" s="128"/>
      <c r="CX4155" s="128"/>
      <c r="CY4155" s="128"/>
      <c r="CZ4155" s="165"/>
    </row>
    <row r="4156" spans="1:104">
      <c r="A4156" s="149"/>
      <c r="B4156" s="149"/>
      <c r="C4156" s="150"/>
      <c r="D4156" s="102"/>
      <c r="E4156" s="149"/>
      <c r="F4156" s="149"/>
      <c r="G4156" s="149"/>
      <c r="H4156" s="149"/>
      <c r="I4156" s="149"/>
      <c r="J4156" s="149"/>
      <c r="K4156" s="149"/>
      <c r="L4156" s="149"/>
      <c r="M4156" s="149"/>
      <c r="N4156" s="149"/>
      <c r="O4156" s="149"/>
      <c r="P4156" s="149"/>
      <c r="Q4156" s="149"/>
      <c r="R4156" s="149"/>
      <c r="S4156" s="149"/>
      <c r="T4156" s="149"/>
      <c r="U4156" s="149"/>
      <c r="V4156" s="149"/>
      <c r="W4156" s="149"/>
      <c r="X4156" s="149"/>
      <c r="Y4156" s="149"/>
      <c r="Z4156" s="149"/>
      <c r="AA4156" s="149"/>
      <c r="AB4156" s="149"/>
      <c r="AC4156" s="149"/>
      <c r="AD4156" s="149"/>
      <c r="AE4156" s="149"/>
      <c r="AF4156" s="149"/>
      <c r="AG4156" s="149"/>
      <c r="AH4156" s="149"/>
      <c r="AI4156" s="149"/>
      <c r="AJ4156" s="149"/>
      <c r="AK4156" s="149"/>
      <c r="AL4156" s="149"/>
      <c r="AM4156" s="149"/>
      <c r="AN4156" s="149"/>
      <c r="AO4156" s="128"/>
      <c r="AP4156" s="128"/>
      <c r="AQ4156" s="128"/>
      <c r="AR4156" s="128"/>
      <c r="AS4156" s="128"/>
      <c r="AT4156" s="128"/>
      <c r="AU4156" s="128"/>
      <c r="AV4156" s="128"/>
      <c r="AW4156" s="128"/>
      <c r="AX4156" s="128"/>
      <c r="AY4156" s="128"/>
      <c r="AZ4156" s="128"/>
      <c r="BA4156" s="128"/>
      <c r="BB4156" s="128"/>
      <c r="BC4156" s="128"/>
      <c r="BD4156" s="128"/>
      <c r="BE4156" s="128"/>
      <c r="BF4156" s="128"/>
      <c r="BG4156" s="128"/>
      <c r="BH4156" s="128"/>
      <c r="BI4156" s="128"/>
      <c r="BJ4156" s="128"/>
      <c r="BK4156" s="128"/>
      <c r="BL4156" s="128"/>
      <c r="BM4156" s="151"/>
      <c r="BN4156" s="128"/>
      <c r="BO4156" s="128"/>
      <c r="BP4156" s="128"/>
      <c r="BQ4156" s="128"/>
      <c r="BR4156" s="128"/>
      <c r="BS4156" s="128"/>
      <c r="BT4156" s="128"/>
      <c r="BU4156" s="128"/>
      <c r="BV4156" s="128"/>
      <c r="BW4156" s="128"/>
      <c r="BX4156" s="128"/>
      <c r="BY4156" s="128"/>
      <c r="BZ4156" s="128"/>
      <c r="CA4156" s="128"/>
      <c r="CB4156" s="128"/>
      <c r="CC4156" s="128"/>
      <c r="CD4156" s="128"/>
      <c r="CE4156" s="128"/>
      <c r="CF4156" s="128"/>
      <c r="CG4156" s="128"/>
      <c r="CI4156" s="128"/>
      <c r="CJ4156" s="128"/>
      <c r="CK4156" s="128"/>
      <c r="CL4156" s="128"/>
      <c r="CM4156" s="128"/>
      <c r="CN4156" s="128"/>
      <c r="CO4156" s="128"/>
      <c r="CP4156" s="128"/>
      <c r="CQ4156" s="128"/>
      <c r="CR4156" s="128"/>
      <c r="CS4156" s="128"/>
      <c r="CT4156" s="128"/>
      <c r="CU4156" s="128"/>
      <c r="CV4156" s="128"/>
      <c r="CW4156" s="128"/>
      <c r="CX4156" s="128"/>
      <c r="CY4156" s="128"/>
      <c r="CZ4156" s="165"/>
    </row>
    <row r="4157" spans="1:104">
      <c r="A4157" s="149"/>
      <c r="B4157" s="149"/>
      <c r="C4157" s="150"/>
      <c r="D4157" s="102"/>
      <c r="E4157" s="149"/>
      <c r="F4157" s="149"/>
      <c r="G4157" s="149"/>
      <c r="H4157" s="149"/>
      <c r="I4157" s="149"/>
      <c r="J4157" s="149"/>
      <c r="K4157" s="149"/>
      <c r="L4157" s="149"/>
      <c r="M4157" s="149"/>
      <c r="N4157" s="149"/>
      <c r="O4157" s="149"/>
      <c r="P4157" s="149"/>
      <c r="Q4157" s="149"/>
      <c r="R4157" s="149"/>
      <c r="S4157" s="149"/>
      <c r="T4157" s="149"/>
      <c r="U4157" s="149"/>
      <c r="V4157" s="149"/>
      <c r="W4157" s="149"/>
      <c r="X4157" s="149"/>
      <c r="Y4157" s="149"/>
      <c r="Z4157" s="149"/>
      <c r="AA4157" s="149"/>
      <c r="AB4157" s="149"/>
      <c r="AC4157" s="149"/>
      <c r="AD4157" s="149"/>
      <c r="AE4157" s="149"/>
      <c r="AF4157" s="149"/>
      <c r="AG4157" s="149"/>
      <c r="AH4157" s="149"/>
      <c r="AI4157" s="149"/>
      <c r="AJ4157" s="149"/>
      <c r="AK4157" s="149"/>
      <c r="AL4157" s="149"/>
      <c r="AM4157" s="149"/>
      <c r="AN4157" s="149"/>
      <c r="AO4157" s="128"/>
      <c r="AP4157" s="128"/>
      <c r="AQ4157" s="128"/>
      <c r="AR4157" s="128"/>
      <c r="AS4157" s="128"/>
      <c r="AT4157" s="128"/>
      <c r="AU4157" s="128"/>
      <c r="AV4157" s="128"/>
      <c r="AW4157" s="128"/>
      <c r="AX4157" s="128"/>
      <c r="AY4157" s="128"/>
      <c r="AZ4157" s="128"/>
      <c r="BA4157" s="128"/>
      <c r="BB4157" s="128"/>
      <c r="BC4157" s="128"/>
      <c r="BD4157" s="128"/>
      <c r="BE4157" s="128"/>
      <c r="BF4157" s="128"/>
      <c r="BG4157" s="128"/>
      <c r="BH4157" s="128"/>
      <c r="BI4157" s="128"/>
      <c r="BJ4157" s="128"/>
      <c r="BK4157" s="128"/>
      <c r="BL4157" s="128"/>
      <c r="BM4157" s="151"/>
      <c r="BN4157" s="128"/>
      <c r="BO4157" s="128"/>
      <c r="BP4157" s="128"/>
      <c r="BQ4157" s="128"/>
      <c r="BR4157" s="128"/>
      <c r="BS4157" s="128"/>
      <c r="BT4157" s="128"/>
      <c r="BU4157" s="128"/>
      <c r="BV4157" s="128"/>
      <c r="BW4157" s="128"/>
      <c r="BX4157" s="128"/>
      <c r="BY4157" s="128"/>
      <c r="BZ4157" s="128"/>
      <c r="CA4157" s="128"/>
      <c r="CB4157" s="128"/>
      <c r="CC4157" s="128"/>
      <c r="CD4157" s="128"/>
      <c r="CE4157" s="128"/>
      <c r="CF4157" s="128"/>
      <c r="CG4157" s="128"/>
      <c r="CI4157" s="128"/>
      <c r="CJ4157" s="128"/>
      <c r="CK4157" s="128"/>
      <c r="CL4157" s="128"/>
      <c r="CM4157" s="128"/>
      <c r="CN4157" s="128"/>
      <c r="CO4157" s="128"/>
      <c r="CP4157" s="128"/>
      <c r="CQ4157" s="128"/>
      <c r="CR4157" s="128"/>
      <c r="CS4157" s="128"/>
      <c r="CT4157" s="128"/>
      <c r="CU4157" s="128"/>
      <c r="CV4157" s="128"/>
      <c r="CW4157" s="128"/>
      <c r="CX4157" s="128"/>
      <c r="CY4157" s="128"/>
      <c r="CZ4157" s="165"/>
    </row>
    <row r="4158" spans="1:104">
      <c r="A4158" s="149"/>
      <c r="B4158" s="149"/>
      <c r="C4158" s="150"/>
      <c r="D4158" s="102"/>
      <c r="E4158" s="149"/>
      <c r="F4158" s="149"/>
      <c r="G4158" s="149"/>
      <c r="H4158" s="149"/>
      <c r="I4158" s="149"/>
      <c r="J4158" s="149"/>
      <c r="K4158" s="149"/>
      <c r="L4158" s="149"/>
      <c r="M4158" s="149"/>
      <c r="N4158" s="149"/>
      <c r="O4158" s="149"/>
      <c r="P4158" s="149"/>
      <c r="Q4158" s="149"/>
      <c r="R4158" s="149"/>
      <c r="S4158" s="149"/>
      <c r="T4158" s="149"/>
      <c r="U4158" s="149"/>
      <c r="V4158" s="149"/>
      <c r="W4158" s="149"/>
      <c r="X4158" s="149"/>
      <c r="Y4158" s="149"/>
      <c r="Z4158" s="149"/>
      <c r="AA4158" s="149"/>
      <c r="AB4158" s="149"/>
      <c r="AC4158" s="149"/>
      <c r="AD4158" s="149"/>
      <c r="AE4158" s="149"/>
      <c r="AF4158" s="149"/>
      <c r="AG4158" s="149"/>
      <c r="AH4158" s="149"/>
      <c r="AI4158" s="149"/>
      <c r="AJ4158" s="149"/>
      <c r="AK4158" s="149"/>
      <c r="AL4158" s="149"/>
      <c r="AM4158" s="149"/>
      <c r="AN4158" s="149"/>
      <c r="AO4158" s="128"/>
      <c r="AP4158" s="128"/>
      <c r="AQ4158" s="128"/>
      <c r="AR4158" s="128"/>
      <c r="AS4158" s="128"/>
      <c r="AT4158" s="128"/>
      <c r="AU4158" s="128"/>
      <c r="AV4158" s="128"/>
      <c r="AW4158" s="128"/>
      <c r="AX4158" s="128"/>
      <c r="AY4158" s="128"/>
      <c r="AZ4158" s="128"/>
      <c r="BA4158" s="128"/>
      <c r="BB4158" s="128"/>
      <c r="BC4158" s="128"/>
      <c r="BD4158" s="128"/>
      <c r="BE4158" s="128"/>
      <c r="BF4158" s="128"/>
      <c r="BG4158" s="128"/>
      <c r="BH4158" s="128"/>
      <c r="BI4158" s="128"/>
      <c r="BJ4158" s="128"/>
      <c r="BK4158" s="128"/>
      <c r="BL4158" s="128"/>
      <c r="BM4158" s="151"/>
      <c r="BN4158" s="128"/>
      <c r="BO4158" s="128"/>
      <c r="BP4158" s="128"/>
      <c r="BQ4158" s="128"/>
      <c r="BR4158" s="128"/>
      <c r="BS4158" s="128"/>
      <c r="BT4158" s="128"/>
      <c r="BU4158" s="128"/>
      <c r="BV4158" s="128"/>
      <c r="BW4158" s="128"/>
      <c r="BX4158" s="128"/>
      <c r="BY4158" s="128"/>
      <c r="BZ4158" s="128"/>
      <c r="CA4158" s="128"/>
      <c r="CB4158" s="128"/>
      <c r="CC4158" s="128"/>
      <c r="CD4158" s="128"/>
      <c r="CE4158" s="128"/>
      <c r="CF4158" s="128"/>
      <c r="CG4158" s="128"/>
      <c r="CI4158" s="128"/>
      <c r="CJ4158" s="128"/>
      <c r="CK4158" s="128"/>
      <c r="CL4158" s="128"/>
      <c r="CM4158" s="128"/>
      <c r="CN4158" s="128"/>
      <c r="CO4158" s="128"/>
      <c r="CP4158" s="128"/>
      <c r="CQ4158" s="128"/>
      <c r="CR4158" s="128"/>
      <c r="CS4158" s="128"/>
      <c r="CT4158" s="128"/>
      <c r="CU4158" s="128"/>
      <c r="CV4158" s="128"/>
      <c r="CW4158" s="128"/>
      <c r="CX4158" s="128"/>
      <c r="CY4158" s="128"/>
      <c r="CZ4158" s="165"/>
    </row>
    <row r="4159" spans="1:104">
      <c r="A4159" s="149"/>
      <c r="B4159" s="149"/>
      <c r="C4159" s="150"/>
      <c r="D4159" s="102"/>
      <c r="E4159" s="149"/>
      <c r="F4159" s="149"/>
      <c r="G4159" s="149"/>
      <c r="H4159" s="149"/>
      <c r="I4159" s="149"/>
      <c r="J4159" s="149"/>
      <c r="K4159" s="149"/>
      <c r="L4159" s="149"/>
      <c r="M4159" s="149"/>
      <c r="N4159" s="149"/>
      <c r="O4159" s="149"/>
      <c r="P4159" s="149"/>
      <c r="Q4159" s="149"/>
      <c r="R4159" s="149"/>
      <c r="S4159" s="149"/>
      <c r="T4159" s="149"/>
      <c r="U4159" s="149"/>
      <c r="V4159" s="149"/>
      <c r="W4159" s="149"/>
      <c r="X4159" s="149"/>
      <c r="Y4159" s="149"/>
      <c r="Z4159" s="149"/>
      <c r="AA4159" s="149"/>
      <c r="AB4159" s="149"/>
      <c r="AC4159" s="149"/>
      <c r="AD4159" s="149"/>
      <c r="AE4159" s="149"/>
      <c r="AF4159" s="149"/>
      <c r="AG4159" s="149"/>
      <c r="AH4159" s="149"/>
      <c r="AI4159" s="149"/>
      <c r="AJ4159" s="149"/>
      <c r="AK4159" s="149"/>
      <c r="AL4159" s="149"/>
      <c r="AM4159" s="149"/>
      <c r="AN4159" s="149"/>
      <c r="AO4159" s="128"/>
      <c r="AP4159" s="128"/>
      <c r="AQ4159" s="128"/>
      <c r="AR4159" s="128"/>
      <c r="AS4159" s="128"/>
      <c r="AT4159" s="128"/>
      <c r="AU4159" s="128"/>
      <c r="AV4159" s="128"/>
      <c r="AW4159" s="128"/>
      <c r="AX4159" s="128"/>
      <c r="AY4159" s="128"/>
      <c r="AZ4159" s="128"/>
      <c r="BA4159" s="128"/>
      <c r="BB4159" s="128"/>
      <c r="BC4159" s="128"/>
      <c r="BD4159" s="128"/>
      <c r="BE4159" s="128"/>
      <c r="BF4159" s="128"/>
      <c r="BG4159" s="128"/>
      <c r="BH4159" s="128"/>
      <c r="BI4159" s="128"/>
      <c r="BJ4159" s="128"/>
      <c r="BK4159" s="128"/>
      <c r="BL4159" s="128"/>
      <c r="BM4159" s="151"/>
      <c r="BN4159" s="128"/>
      <c r="BO4159" s="128"/>
      <c r="BP4159" s="128"/>
      <c r="BQ4159" s="128"/>
      <c r="BR4159" s="128"/>
      <c r="BS4159" s="128"/>
      <c r="BT4159" s="128"/>
      <c r="BU4159" s="128"/>
      <c r="BV4159" s="128"/>
      <c r="BW4159" s="128"/>
      <c r="BX4159" s="128"/>
      <c r="BY4159" s="128"/>
      <c r="BZ4159" s="128"/>
      <c r="CA4159" s="128"/>
      <c r="CB4159" s="128"/>
      <c r="CC4159" s="128"/>
      <c r="CD4159" s="128"/>
      <c r="CE4159" s="128"/>
      <c r="CF4159" s="128"/>
      <c r="CG4159" s="128"/>
      <c r="CI4159" s="128"/>
      <c r="CJ4159" s="128"/>
      <c r="CK4159" s="128"/>
      <c r="CL4159" s="128"/>
      <c r="CM4159" s="128"/>
      <c r="CN4159" s="128"/>
      <c r="CO4159" s="128"/>
      <c r="CP4159" s="128"/>
      <c r="CQ4159" s="128"/>
      <c r="CR4159" s="128"/>
      <c r="CS4159" s="128"/>
      <c r="CT4159" s="128"/>
      <c r="CU4159" s="128"/>
      <c r="CV4159" s="128"/>
      <c r="CW4159" s="128"/>
      <c r="CX4159" s="128"/>
      <c r="CY4159" s="128"/>
      <c r="CZ4159" s="165"/>
    </row>
    <row r="4160" spans="1:104">
      <c r="A4160" s="149"/>
      <c r="B4160" s="149"/>
      <c r="C4160" s="150"/>
      <c r="D4160" s="102"/>
      <c r="E4160" s="149"/>
      <c r="F4160" s="149"/>
      <c r="G4160" s="149"/>
      <c r="H4160" s="149"/>
      <c r="I4160" s="149"/>
      <c r="J4160" s="149"/>
      <c r="K4160" s="149"/>
      <c r="L4160" s="149"/>
      <c r="M4160" s="149"/>
      <c r="N4160" s="149"/>
      <c r="O4160" s="149"/>
      <c r="P4160" s="149"/>
      <c r="Q4160" s="149"/>
      <c r="R4160" s="149"/>
      <c r="S4160" s="149"/>
      <c r="T4160" s="149"/>
      <c r="U4160" s="149"/>
      <c r="V4160" s="149"/>
      <c r="W4160" s="149"/>
      <c r="X4160" s="149"/>
      <c r="Y4160" s="149"/>
      <c r="Z4160" s="149"/>
      <c r="AA4160" s="149"/>
      <c r="AB4160" s="149"/>
      <c r="AC4160" s="149"/>
      <c r="AD4160" s="149"/>
      <c r="AE4160" s="149"/>
      <c r="AF4160" s="149"/>
      <c r="AG4160" s="149"/>
      <c r="AH4160" s="149"/>
      <c r="AI4160" s="149"/>
      <c r="AJ4160" s="149"/>
      <c r="AK4160" s="149"/>
      <c r="AL4160" s="149"/>
      <c r="AM4160" s="149"/>
      <c r="AN4160" s="149"/>
      <c r="AO4160" s="128"/>
      <c r="AP4160" s="128"/>
      <c r="AQ4160" s="128"/>
      <c r="AR4160" s="128"/>
      <c r="AS4160" s="128"/>
      <c r="AT4160" s="128"/>
      <c r="AU4160" s="128"/>
      <c r="AV4160" s="128"/>
      <c r="AW4160" s="128"/>
      <c r="AX4160" s="128"/>
      <c r="AY4160" s="128"/>
      <c r="AZ4160" s="128"/>
      <c r="BA4160" s="128"/>
      <c r="BB4160" s="128"/>
      <c r="BC4160" s="128"/>
      <c r="BD4160" s="128"/>
      <c r="BE4160" s="128"/>
      <c r="BF4160" s="128"/>
      <c r="BG4160" s="128"/>
      <c r="BH4160" s="128"/>
      <c r="BI4160" s="128"/>
      <c r="BJ4160" s="128"/>
      <c r="BK4160" s="128"/>
      <c r="BL4160" s="128"/>
      <c r="BM4160" s="151"/>
      <c r="BN4160" s="128"/>
      <c r="BO4160" s="128"/>
      <c r="BP4160" s="128"/>
      <c r="BQ4160" s="128"/>
      <c r="BR4160" s="128"/>
      <c r="BS4160" s="128"/>
      <c r="BT4160" s="128"/>
      <c r="BU4160" s="128"/>
      <c r="BV4160" s="128"/>
      <c r="BW4160" s="128"/>
      <c r="BX4160" s="128"/>
      <c r="BY4160" s="128"/>
      <c r="BZ4160" s="128"/>
      <c r="CA4160" s="128"/>
      <c r="CB4160" s="128"/>
      <c r="CC4160" s="128"/>
      <c r="CD4160" s="128"/>
      <c r="CE4160" s="128"/>
      <c r="CF4160" s="128"/>
      <c r="CG4160" s="128"/>
      <c r="CI4160" s="128"/>
      <c r="CJ4160" s="128"/>
      <c r="CK4160" s="128"/>
      <c r="CL4160" s="128"/>
      <c r="CM4160" s="128"/>
      <c r="CN4160" s="128"/>
      <c r="CO4160" s="128"/>
      <c r="CP4160" s="128"/>
      <c r="CQ4160" s="128"/>
      <c r="CR4160" s="128"/>
      <c r="CS4160" s="128"/>
      <c r="CT4160" s="128"/>
      <c r="CU4160" s="128"/>
      <c r="CV4160" s="128"/>
      <c r="CW4160" s="128"/>
      <c r="CX4160" s="128"/>
      <c r="CY4160" s="128"/>
      <c r="CZ4160" s="165"/>
    </row>
    <row r="4161" spans="1:104">
      <c r="A4161" s="149"/>
      <c r="B4161" s="149"/>
      <c r="C4161" s="150"/>
      <c r="D4161" s="102"/>
      <c r="E4161" s="149"/>
      <c r="F4161" s="149"/>
      <c r="G4161" s="149"/>
      <c r="H4161" s="149"/>
      <c r="I4161" s="149"/>
      <c r="J4161" s="149"/>
      <c r="K4161" s="149"/>
      <c r="L4161" s="149"/>
      <c r="M4161" s="149"/>
      <c r="N4161" s="149"/>
      <c r="O4161" s="149"/>
      <c r="P4161" s="149"/>
      <c r="Q4161" s="149"/>
      <c r="R4161" s="149"/>
      <c r="S4161" s="149"/>
      <c r="T4161" s="149"/>
      <c r="U4161" s="149"/>
      <c r="V4161" s="149"/>
      <c r="W4161" s="149"/>
      <c r="X4161" s="149"/>
      <c r="Y4161" s="149"/>
      <c r="Z4161" s="149"/>
      <c r="AA4161" s="149"/>
      <c r="AB4161" s="149"/>
      <c r="AC4161" s="149"/>
      <c r="AD4161" s="149"/>
      <c r="AE4161" s="149"/>
      <c r="AF4161" s="149"/>
      <c r="AG4161" s="149"/>
      <c r="AH4161" s="149"/>
      <c r="AI4161" s="149"/>
      <c r="AJ4161" s="149"/>
      <c r="AK4161" s="149"/>
      <c r="AL4161" s="149"/>
      <c r="AM4161" s="149"/>
      <c r="AN4161" s="149"/>
      <c r="AO4161" s="128"/>
      <c r="AP4161" s="128"/>
      <c r="AQ4161" s="128"/>
      <c r="AR4161" s="128"/>
      <c r="AS4161" s="128"/>
      <c r="AT4161" s="128"/>
      <c r="AU4161" s="128"/>
      <c r="AV4161" s="128"/>
      <c r="AW4161" s="128"/>
      <c r="AX4161" s="128"/>
      <c r="AY4161" s="128"/>
      <c r="AZ4161" s="128"/>
      <c r="BA4161" s="128"/>
      <c r="BB4161" s="128"/>
      <c r="BC4161" s="128"/>
      <c r="BD4161" s="128"/>
      <c r="BE4161" s="128"/>
      <c r="BF4161" s="128"/>
      <c r="BG4161" s="128"/>
      <c r="BH4161" s="128"/>
      <c r="BI4161" s="128"/>
      <c r="BJ4161" s="128"/>
      <c r="BK4161" s="128"/>
      <c r="BL4161" s="128"/>
      <c r="BM4161" s="151"/>
      <c r="BN4161" s="128"/>
      <c r="BO4161" s="128"/>
      <c r="BP4161" s="128"/>
      <c r="BQ4161" s="128"/>
      <c r="BR4161" s="128"/>
      <c r="BS4161" s="128"/>
      <c r="BT4161" s="128"/>
      <c r="BU4161" s="128"/>
      <c r="BV4161" s="128"/>
      <c r="BW4161" s="128"/>
      <c r="BX4161" s="128"/>
      <c r="BY4161" s="128"/>
      <c r="BZ4161" s="128"/>
      <c r="CA4161" s="128"/>
      <c r="CB4161" s="128"/>
      <c r="CC4161" s="128"/>
      <c r="CD4161" s="128"/>
      <c r="CE4161" s="128"/>
      <c r="CF4161" s="128"/>
      <c r="CG4161" s="128"/>
      <c r="CI4161" s="128"/>
      <c r="CJ4161" s="128"/>
      <c r="CK4161" s="128"/>
      <c r="CL4161" s="128"/>
      <c r="CM4161" s="128"/>
      <c r="CN4161" s="128"/>
      <c r="CO4161" s="128"/>
      <c r="CP4161" s="128"/>
      <c r="CQ4161" s="128"/>
      <c r="CR4161" s="128"/>
      <c r="CS4161" s="128"/>
      <c r="CT4161" s="128"/>
      <c r="CU4161" s="128"/>
      <c r="CV4161" s="128"/>
      <c r="CW4161" s="128"/>
      <c r="CX4161" s="128"/>
      <c r="CY4161" s="128"/>
      <c r="CZ4161" s="165"/>
    </row>
    <row r="4162" spans="1:104">
      <c r="A4162" s="149"/>
      <c r="B4162" s="149"/>
      <c r="C4162" s="150"/>
      <c r="D4162" s="102"/>
      <c r="E4162" s="149"/>
      <c r="F4162" s="149"/>
      <c r="G4162" s="149"/>
      <c r="H4162" s="149"/>
      <c r="I4162" s="149"/>
      <c r="J4162" s="149"/>
      <c r="K4162" s="149"/>
      <c r="L4162" s="149"/>
      <c r="M4162" s="149"/>
      <c r="N4162" s="149"/>
      <c r="O4162" s="149"/>
      <c r="P4162" s="149"/>
      <c r="Q4162" s="149"/>
      <c r="R4162" s="149"/>
      <c r="S4162" s="149"/>
      <c r="T4162" s="149"/>
      <c r="U4162" s="149"/>
      <c r="V4162" s="149"/>
      <c r="W4162" s="149"/>
      <c r="X4162" s="149"/>
      <c r="Y4162" s="149"/>
      <c r="Z4162" s="149"/>
      <c r="AA4162" s="149"/>
      <c r="AB4162" s="149"/>
      <c r="AC4162" s="149"/>
      <c r="AD4162" s="149"/>
      <c r="AE4162" s="149"/>
      <c r="AF4162" s="149"/>
      <c r="AG4162" s="149"/>
      <c r="AH4162" s="149"/>
      <c r="AI4162" s="149"/>
      <c r="AJ4162" s="149"/>
      <c r="AK4162" s="149"/>
      <c r="AL4162" s="149"/>
      <c r="AM4162" s="149"/>
      <c r="AN4162" s="149"/>
      <c r="AO4162" s="128"/>
      <c r="AP4162" s="128"/>
      <c r="AQ4162" s="128"/>
      <c r="AR4162" s="128"/>
      <c r="AS4162" s="128"/>
      <c r="AT4162" s="128"/>
      <c r="AU4162" s="128"/>
      <c r="AV4162" s="128"/>
      <c r="AW4162" s="128"/>
      <c r="AX4162" s="128"/>
      <c r="AY4162" s="128"/>
      <c r="AZ4162" s="128"/>
      <c r="BA4162" s="128"/>
      <c r="BB4162" s="128"/>
      <c r="BC4162" s="128"/>
      <c r="BD4162" s="128"/>
      <c r="BE4162" s="128"/>
      <c r="BF4162" s="128"/>
      <c r="BG4162" s="128"/>
      <c r="BH4162" s="128"/>
      <c r="BI4162" s="128"/>
      <c r="BJ4162" s="128"/>
      <c r="BK4162" s="128"/>
      <c r="BL4162" s="128"/>
      <c r="BM4162" s="151"/>
      <c r="BN4162" s="128"/>
      <c r="BO4162" s="128"/>
      <c r="BP4162" s="128"/>
      <c r="BQ4162" s="128"/>
      <c r="BR4162" s="128"/>
      <c r="BS4162" s="128"/>
      <c r="BT4162" s="128"/>
      <c r="BU4162" s="128"/>
      <c r="BV4162" s="128"/>
      <c r="BW4162" s="128"/>
      <c r="BX4162" s="128"/>
      <c r="BY4162" s="128"/>
      <c r="BZ4162" s="128"/>
      <c r="CA4162" s="128"/>
      <c r="CB4162" s="128"/>
      <c r="CC4162" s="128"/>
      <c r="CD4162" s="128"/>
      <c r="CE4162" s="128"/>
      <c r="CF4162" s="128"/>
      <c r="CG4162" s="128"/>
      <c r="CI4162" s="128"/>
      <c r="CJ4162" s="128"/>
      <c r="CK4162" s="128"/>
      <c r="CL4162" s="128"/>
      <c r="CM4162" s="128"/>
      <c r="CN4162" s="128"/>
      <c r="CO4162" s="128"/>
      <c r="CP4162" s="128"/>
      <c r="CQ4162" s="128"/>
      <c r="CR4162" s="128"/>
      <c r="CS4162" s="128"/>
      <c r="CT4162" s="128"/>
      <c r="CU4162" s="128"/>
      <c r="CV4162" s="128"/>
      <c r="CW4162" s="128"/>
      <c r="CX4162" s="128"/>
      <c r="CY4162" s="128"/>
      <c r="CZ4162" s="165"/>
    </row>
    <row r="4163" spans="1:104">
      <c r="A4163" s="149"/>
      <c r="B4163" s="149"/>
      <c r="C4163" s="150"/>
      <c r="D4163" s="102"/>
      <c r="E4163" s="149"/>
      <c r="F4163" s="149"/>
      <c r="G4163" s="149"/>
      <c r="H4163" s="149"/>
      <c r="I4163" s="149"/>
      <c r="J4163" s="149"/>
      <c r="K4163" s="149"/>
      <c r="L4163" s="149"/>
      <c r="M4163" s="149"/>
      <c r="N4163" s="149"/>
      <c r="O4163" s="149"/>
      <c r="P4163" s="149"/>
      <c r="Q4163" s="149"/>
      <c r="R4163" s="149"/>
      <c r="S4163" s="149"/>
      <c r="T4163" s="149"/>
      <c r="U4163" s="149"/>
      <c r="V4163" s="149"/>
      <c r="W4163" s="149"/>
      <c r="X4163" s="149"/>
      <c r="Y4163" s="149"/>
      <c r="Z4163" s="149"/>
      <c r="AA4163" s="149"/>
      <c r="AB4163" s="149"/>
      <c r="AC4163" s="149"/>
      <c r="AD4163" s="149"/>
      <c r="AE4163" s="149"/>
      <c r="AF4163" s="149"/>
      <c r="AG4163" s="149"/>
      <c r="AH4163" s="149"/>
      <c r="AI4163" s="149"/>
      <c r="AJ4163" s="149"/>
      <c r="AK4163" s="149"/>
      <c r="AL4163" s="149"/>
      <c r="AM4163" s="149"/>
      <c r="AN4163" s="149"/>
      <c r="AO4163" s="128"/>
      <c r="AP4163" s="128"/>
      <c r="AQ4163" s="128"/>
      <c r="AR4163" s="128"/>
      <c r="AS4163" s="128"/>
      <c r="AT4163" s="128"/>
      <c r="AU4163" s="128"/>
      <c r="AV4163" s="128"/>
      <c r="AW4163" s="128"/>
      <c r="AX4163" s="128"/>
      <c r="AY4163" s="128"/>
      <c r="AZ4163" s="128"/>
      <c r="BA4163" s="128"/>
      <c r="BB4163" s="128"/>
      <c r="BC4163" s="128"/>
      <c r="BD4163" s="128"/>
      <c r="BE4163" s="128"/>
      <c r="BF4163" s="128"/>
      <c r="BG4163" s="128"/>
      <c r="BH4163" s="128"/>
      <c r="BI4163" s="128"/>
      <c r="BJ4163" s="128"/>
      <c r="BK4163" s="128"/>
      <c r="BL4163" s="128"/>
      <c r="BM4163" s="151"/>
      <c r="BN4163" s="128"/>
      <c r="BO4163" s="128"/>
      <c r="BP4163" s="128"/>
      <c r="BQ4163" s="128"/>
      <c r="BR4163" s="128"/>
      <c r="BS4163" s="128"/>
      <c r="BT4163" s="128"/>
      <c r="BU4163" s="128"/>
      <c r="BV4163" s="128"/>
      <c r="BW4163" s="128"/>
      <c r="BX4163" s="128"/>
      <c r="BY4163" s="128"/>
      <c r="BZ4163" s="128"/>
      <c r="CA4163" s="128"/>
      <c r="CB4163" s="128"/>
      <c r="CC4163" s="128"/>
      <c r="CD4163" s="128"/>
      <c r="CE4163" s="128"/>
      <c r="CF4163" s="128"/>
      <c r="CG4163" s="128"/>
      <c r="CI4163" s="128"/>
      <c r="CJ4163" s="128"/>
      <c r="CK4163" s="128"/>
      <c r="CL4163" s="128"/>
      <c r="CM4163" s="128"/>
      <c r="CN4163" s="128"/>
      <c r="CO4163" s="128"/>
      <c r="CP4163" s="128"/>
      <c r="CQ4163" s="128"/>
      <c r="CR4163" s="128"/>
      <c r="CS4163" s="128"/>
      <c r="CT4163" s="128"/>
      <c r="CU4163" s="128"/>
      <c r="CV4163" s="128"/>
      <c r="CW4163" s="128"/>
      <c r="CX4163" s="128"/>
      <c r="CY4163" s="128"/>
      <c r="CZ4163" s="165"/>
    </row>
    <row r="4164" spans="1:104">
      <c r="A4164" s="149"/>
      <c r="B4164" s="149"/>
      <c r="C4164" s="150"/>
      <c r="D4164" s="102"/>
      <c r="E4164" s="149"/>
      <c r="F4164" s="149"/>
      <c r="G4164" s="149"/>
      <c r="H4164" s="149"/>
      <c r="I4164" s="149"/>
      <c r="J4164" s="149"/>
      <c r="K4164" s="149"/>
      <c r="L4164" s="149"/>
      <c r="M4164" s="149"/>
      <c r="N4164" s="149"/>
      <c r="O4164" s="149"/>
      <c r="P4164" s="149"/>
      <c r="Q4164" s="149"/>
      <c r="R4164" s="149"/>
      <c r="S4164" s="149"/>
      <c r="T4164" s="149"/>
      <c r="U4164" s="149"/>
      <c r="V4164" s="149"/>
      <c r="W4164" s="149"/>
      <c r="X4164" s="149"/>
      <c r="Y4164" s="149"/>
      <c r="Z4164" s="149"/>
      <c r="AA4164" s="149"/>
      <c r="AB4164" s="149"/>
      <c r="AC4164" s="149"/>
      <c r="AD4164" s="149"/>
      <c r="AE4164" s="149"/>
      <c r="AF4164" s="149"/>
      <c r="AG4164" s="149"/>
      <c r="AH4164" s="149"/>
      <c r="AI4164" s="149"/>
      <c r="AJ4164" s="149"/>
      <c r="AK4164" s="149"/>
      <c r="AL4164" s="149"/>
      <c r="AM4164" s="149"/>
      <c r="AN4164" s="149"/>
      <c r="AO4164" s="128"/>
      <c r="AP4164" s="128"/>
      <c r="AQ4164" s="128"/>
      <c r="AR4164" s="128"/>
      <c r="AS4164" s="128"/>
      <c r="AT4164" s="128"/>
      <c r="AU4164" s="128"/>
      <c r="AV4164" s="128"/>
      <c r="AW4164" s="128"/>
      <c r="AX4164" s="128"/>
      <c r="AY4164" s="128"/>
      <c r="AZ4164" s="128"/>
      <c r="BA4164" s="128"/>
      <c r="BB4164" s="128"/>
      <c r="BC4164" s="128"/>
      <c r="BD4164" s="128"/>
      <c r="BE4164" s="128"/>
      <c r="BF4164" s="128"/>
      <c r="BG4164" s="128"/>
      <c r="BH4164" s="128"/>
      <c r="BI4164" s="128"/>
      <c r="BJ4164" s="128"/>
      <c r="BK4164" s="128"/>
      <c r="BL4164" s="128"/>
      <c r="BM4164" s="151"/>
      <c r="BN4164" s="128"/>
      <c r="BO4164" s="128"/>
      <c r="BP4164" s="128"/>
      <c r="BQ4164" s="128"/>
      <c r="BR4164" s="128"/>
      <c r="BS4164" s="128"/>
      <c r="BT4164" s="128"/>
      <c r="BU4164" s="128"/>
      <c r="BV4164" s="128"/>
      <c r="BW4164" s="128"/>
      <c r="BX4164" s="128"/>
      <c r="BY4164" s="128"/>
      <c r="BZ4164" s="128"/>
      <c r="CA4164" s="128"/>
      <c r="CB4164" s="128"/>
      <c r="CC4164" s="128"/>
      <c r="CD4164" s="128"/>
      <c r="CE4164" s="128"/>
      <c r="CF4164" s="128"/>
      <c r="CG4164" s="128"/>
      <c r="CI4164" s="128"/>
      <c r="CJ4164" s="128"/>
      <c r="CK4164" s="128"/>
      <c r="CL4164" s="128"/>
      <c r="CM4164" s="128"/>
      <c r="CN4164" s="128"/>
      <c r="CO4164" s="128"/>
      <c r="CP4164" s="128"/>
      <c r="CQ4164" s="128"/>
      <c r="CR4164" s="128"/>
      <c r="CS4164" s="128"/>
      <c r="CT4164" s="128"/>
      <c r="CU4164" s="128"/>
      <c r="CV4164" s="128"/>
      <c r="CW4164" s="128"/>
      <c r="CX4164" s="128"/>
      <c r="CY4164" s="128"/>
      <c r="CZ4164" s="165"/>
    </row>
    <row r="4165" spans="1:104">
      <c r="A4165" s="149"/>
      <c r="B4165" s="149"/>
      <c r="C4165" s="150"/>
      <c r="D4165" s="102"/>
      <c r="E4165" s="149"/>
      <c r="F4165" s="149"/>
      <c r="G4165" s="149"/>
      <c r="H4165" s="149"/>
      <c r="I4165" s="149"/>
      <c r="J4165" s="149"/>
      <c r="K4165" s="149"/>
      <c r="L4165" s="149"/>
      <c r="M4165" s="149"/>
      <c r="N4165" s="149"/>
      <c r="O4165" s="149"/>
      <c r="P4165" s="149"/>
      <c r="Q4165" s="149"/>
      <c r="R4165" s="149"/>
      <c r="S4165" s="149"/>
      <c r="T4165" s="149"/>
      <c r="U4165" s="149"/>
      <c r="V4165" s="149"/>
      <c r="W4165" s="149"/>
      <c r="X4165" s="149"/>
      <c r="Y4165" s="149"/>
      <c r="Z4165" s="149"/>
      <c r="AA4165" s="149"/>
      <c r="AB4165" s="149"/>
      <c r="AC4165" s="149"/>
      <c r="AD4165" s="149"/>
      <c r="AE4165" s="149"/>
      <c r="AF4165" s="149"/>
      <c r="AG4165" s="149"/>
      <c r="AH4165" s="149"/>
      <c r="AI4165" s="149"/>
      <c r="AJ4165" s="149"/>
      <c r="AK4165" s="149"/>
      <c r="AL4165" s="149"/>
      <c r="AM4165" s="149"/>
      <c r="AN4165" s="149"/>
      <c r="AO4165" s="128"/>
      <c r="AP4165" s="128"/>
      <c r="AQ4165" s="128"/>
      <c r="AR4165" s="128"/>
      <c r="AS4165" s="128"/>
      <c r="AT4165" s="128"/>
      <c r="AU4165" s="128"/>
      <c r="AV4165" s="128"/>
      <c r="AW4165" s="128"/>
      <c r="AX4165" s="128"/>
      <c r="AY4165" s="128"/>
      <c r="AZ4165" s="128"/>
      <c r="BA4165" s="128"/>
      <c r="BB4165" s="128"/>
      <c r="BC4165" s="128"/>
      <c r="BD4165" s="128"/>
      <c r="BE4165" s="128"/>
      <c r="BF4165" s="128"/>
      <c r="BG4165" s="128"/>
      <c r="BH4165" s="128"/>
      <c r="BI4165" s="128"/>
      <c r="BJ4165" s="128"/>
      <c r="BK4165" s="128"/>
      <c r="BL4165" s="128"/>
      <c r="BM4165" s="151"/>
      <c r="BN4165" s="128"/>
      <c r="BO4165" s="128"/>
      <c r="BP4165" s="128"/>
      <c r="BQ4165" s="128"/>
      <c r="BR4165" s="128"/>
      <c r="BS4165" s="128"/>
      <c r="BT4165" s="128"/>
      <c r="BU4165" s="128"/>
      <c r="BV4165" s="128"/>
      <c r="BW4165" s="128"/>
      <c r="BX4165" s="128"/>
      <c r="BY4165" s="128"/>
      <c r="BZ4165" s="128"/>
      <c r="CA4165" s="128"/>
      <c r="CB4165" s="128"/>
      <c r="CC4165" s="128"/>
      <c r="CD4165" s="128"/>
      <c r="CE4165" s="128"/>
      <c r="CF4165" s="128"/>
      <c r="CG4165" s="128"/>
      <c r="CI4165" s="128"/>
      <c r="CJ4165" s="128"/>
      <c r="CK4165" s="128"/>
      <c r="CL4165" s="128"/>
      <c r="CM4165" s="128"/>
      <c r="CN4165" s="128"/>
      <c r="CO4165" s="128"/>
      <c r="CP4165" s="128"/>
      <c r="CQ4165" s="128"/>
      <c r="CR4165" s="128"/>
      <c r="CS4165" s="128"/>
      <c r="CT4165" s="128"/>
      <c r="CU4165" s="128"/>
      <c r="CV4165" s="128"/>
      <c r="CW4165" s="128"/>
      <c r="CX4165" s="128"/>
      <c r="CY4165" s="128"/>
      <c r="CZ4165" s="165"/>
    </row>
    <row r="4166" spans="1:104">
      <c r="A4166" s="149"/>
      <c r="B4166" s="149"/>
      <c r="C4166" s="150"/>
      <c r="D4166" s="102"/>
      <c r="E4166" s="149"/>
      <c r="F4166" s="149"/>
      <c r="G4166" s="149"/>
      <c r="H4166" s="149"/>
      <c r="I4166" s="149"/>
      <c r="J4166" s="149"/>
      <c r="K4166" s="149"/>
      <c r="L4166" s="149"/>
      <c r="M4166" s="149"/>
      <c r="N4166" s="149"/>
      <c r="O4166" s="149"/>
      <c r="P4166" s="149"/>
      <c r="Q4166" s="149"/>
      <c r="R4166" s="149"/>
      <c r="S4166" s="149"/>
      <c r="T4166" s="149"/>
      <c r="U4166" s="149"/>
      <c r="V4166" s="149"/>
      <c r="W4166" s="149"/>
      <c r="X4166" s="149"/>
      <c r="Y4166" s="149"/>
      <c r="Z4166" s="149"/>
      <c r="AA4166" s="149"/>
      <c r="AB4166" s="149"/>
      <c r="AC4166" s="149"/>
      <c r="AD4166" s="149"/>
      <c r="AE4166" s="149"/>
      <c r="AF4166" s="149"/>
      <c r="AG4166" s="149"/>
      <c r="AH4166" s="149"/>
      <c r="AI4166" s="149"/>
      <c r="AJ4166" s="149"/>
      <c r="AK4166" s="149"/>
      <c r="AL4166" s="149"/>
      <c r="AM4166" s="149"/>
      <c r="AN4166" s="149"/>
      <c r="AO4166" s="128"/>
      <c r="AP4166" s="128"/>
      <c r="AQ4166" s="128"/>
      <c r="AR4166" s="128"/>
      <c r="AS4166" s="128"/>
      <c r="AT4166" s="128"/>
      <c r="AU4166" s="128"/>
      <c r="AV4166" s="128"/>
      <c r="AW4166" s="128"/>
      <c r="AX4166" s="128"/>
      <c r="AY4166" s="128"/>
      <c r="AZ4166" s="128"/>
      <c r="BA4166" s="128"/>
      <c r="BB4166" s="128"/>
      <c r="BC4166" s="128"/>
      <c r="BD4166" s="128"/>
      <c r="BE4166" s="128"/>
      <c r="BF4166" s="128"/>
      <c r="BG4166" s="128"/>
      <c r="BH4166" s="128"/>
      <c r="BI4166" s="128"/>
      <c r="BJ4166" s="128"/>
      <c r="BK4166" s="128"/>
      <c r="BL4166" s="128"/>
      <c r="BM4166" s="151"/>
      <c r="BN4166" s="128"/>
      <c r="BO4166" s="128"/>
      <c r="BP4166" s="128"/>
      <c r="BQ4166" s="128"/>
      <c r="BR4166" s="128"/>
      <c r="BS4166" s="128"/>
      <c r="BT4166" s="128"/>
      <c r="BU4166" s="128"/>
      <c r="BV4166" s="128"/>
      <c r="BW4166" s="128"/>
      <c r="BX4166" s="128"/>
      <c r="BY4166" s="128"/>
      <c r="BZ4166" s="128"/>
      <c r="CA4166" s="128"/>
      <c r="CB4166" s="128"/>
      <c r="CC4166" s="128"/>
      <c r="CD4166" s="128"/>
      <c r="CE4166" s="128"/>
      <c r="CF4166" s="128"/>
      <c r="CG4166" s="128"/>
      <c r="CI4166" s="128"/>
      <c r="CJ4166" s="128"/>
      <c r="CK4166" s="128"/>
      <c r="CL4166" s="128"/>
      <c r="CM4166" s="128"/>
      <c r="CN4166" s="128"/>
      <c r="CO4166" s="128"/>
      <c r="CP4166" s="128"/>
      <c r="CQ4166" s="128"/>
      <c r="CR4166" s="128"/>
      <c r="CS4166" s="128"/>
      <c r="CT4166" s="128"/>
      <c r="CU4166" s="128"/>
      <c r="CV4166" s="128"/>
      <c r="CW4166" s="128"/>
      <c r="CX4166" s="128"/>
      <c r="CY4166" s="128"/>
      <c r="CZ4166" s="165"/>
    </row>
    <row r="4167" spans="1:104">
      <c r="A4167" s="149"/>
      <c r="B4167" s="149"/>
      <c r="C4167" s="150"/>
      <c r="D4167" s="102"/>
      <c r="E4167" s="149"/>
      <c r="F4167" s="149"/>
      <c r="G4167" s="149"/>
      <c r="H4167" s="149"/>
      <c r="I4167" s="149"/>
      <c r="J4167" s="149"/>
      <c r="K4167" s="149"/>
      <c r="L4167" s="149"/>
      <c r="M4167" s="149"/>
      <c r="N4167" s="149"/>
      <c r="O4167" s="149"/>
      <c r="P4167" s="149"/>
      <c r="Q4167" s="149"/>
      <c r="R4167" s="149"/>
      <c r="S4167" s="149"/>
      <c r="T4167" s="149"/>
      <c r="U4167" s="149"/>
      <c r="V4167" s="149"/>
      <c r="W4167" s="149"/>
      <c r="X4167" s="149"/>
      <c r="Y4167" s="149"/>
      <c r="Z4167" s="149"/>
      <c r="AA4167" s="149"/>
      <c r="AB4167" s="149"/>
      <c r="AC4167" s="149"/>
      <c r="AD4167" s="149"/>
      <c r="AE4167" s="149"/>
      <c r="AF4167" s="149"/>
      <c r="AG4167" s="149"/>
      <c r="AH4167" s="149"/>
      <c r="AI4167" s="149"/>
      <c r="AJ4167" s="149"/>
      <c r="AK4167" s="149"/>
      <c r="AL4167" s="149"/>
      <c r="AM4167" s="149"/>
      <c r="AN4167" s="149"/>
      <c r="AO4167" s="128"/>
      <c r="AP4167" s="128"/>
      <c r="AQ4167" s="128"/>
      <c r="AR4167" s="128"/>
      <c r="AS4167" s="128"/>
      <c r="AT4167" s="128"/>
      <c r="AU4167" s="128"/>
      <c r="AV4167" s="128"/>
      <c r="AW4167" s="128"/>
      <c r="AX4167" s="128"/>
      <c r="AY4167" s="128"/>
      <c r="AZ4167" s="128"/>
      <c r="BA4167" s="128"/>
      <c r="BB4167" s="128"/>
      <c r="BC4167" s="128"/>
      <c r="BD4167" s="128"/>
      <c r="BE4167" s="128"/>
      <c r="BF4167" s="128"/>
      <c r="BG4167" s="128"/>
      <c r="BH4167" s="128"/>
      <c r="BI4167" s="128"/>
      <c r="BJ4167" s="128"/>
      <c r="BK4167" s="128"/>
      <c r="BL4167" s="128"/>
      <c r="BM4167" s="151"/>
      <c r="BN4167" s="128"/>
      <c r="BO4167" s="128"/>
      <c r="BP4167" s="128"/>
      <c r="BQ4167" s="128"/>
      <c r="BR4167" s="128"/>
      <c r="BS4167" s="128"/>
      <c r="BT4167" s="128"/>
      <c r="BU4167" s="128"/>
      <c r="BV4167" s="128"/>
      <c r="BW4167" s="128"/>
      <c r="BX4167" s="128"/>
      <c r="BY4167" s="128"/>
      <c r="BZ4167" s="128"/>
      <c r="CA4167" s="128"/>
      <c r="CB4167" s="128"/>
      <c r="CC4167" s="128"/>
      <c r="CD4167" s="128"/>
      <c r="CE4167" s="128"/>
      <c r="CF4167" s="128"/>
      <c r="CG4167" s="128"/>
      <c r="CI4167" s="128"/>
      <c r="CJ4167" s="128"/>
      <c r="CK4167" s="128"/>
      <c r="CL4167" s="128"/>
      <c r="CM4167" s="128"/>
      <c r="CN4167" s="128"/>
      <c r="CO4167" s="128"/>
      <c r="CP4167" s="128"/>
      <c r="CQ4167" s="128"/>
      <c r="CR4167" s="128"/>
      <c r="CS4167" s="128"/>
      <c r="CT4167" s="128"/>
      <c r="CU4167" s="128"/>
      <c r="CV4167" s="128"/>
      <c r="CW4167" s="128"/>
      <c r="CX4167" s="128"/>
      <c r="CY4167" s="128"/>
      <c r="CZ4167" s="165"/>
    </row>
    <row r="4168" spans="1:104">
      <c r="A4168" s="149"/>
      <c r="B4168" s="149"/>
      <c r="C4168" s="150"/>
      <c r="D4168" s="102"/>
      <c r="E4168" s="149"/>
      <c r="F4168" s="149"/>
      <c r="G4168" s="149"/>
      <c r="H4168" s="149"/>
      <c r="I4168" s="149"/>
      <c r="J4168" s="149"/>
      <c r="K4168" s="149"/>
      <c r="L4168" s="149"/>
      <c r="M4168" s="149"/>
      <c r="N4168" s="149"/>
      <c r="O4168" s="149"/>
      <c r="P4168" s="149"/>
      <c r="Q4168" s="149"/>
      <c r="R4168" s="149"/>
      <c r="S4168" s="149"/>
      <c r="T4168" s="149"/>
      <c r="U4168" s="149"/>
      <c r="V4168" s="149"/>
      <c r="W4168" s="149"/>
      <c r="X4168" s="149"/>
      <c r="Y4168" s="149"/>
      <c r="Z4168" s="149"/>
      <c r="AA4168" s="149"/>
      <c r="AB4168" s="149"/>
      <c r="AC4168" s="149"/>
      <c r="AD4168" s="149"/>
      <c r="AE4168" s="149"/>
      <c r="AF4168" s="149"/>
      <c r="AG4168" s="149"/>
      <c r="AH4168" s="149"/>
      <c r="AI4168" s="149"/>
      <c r="AJ4168" s="149"/>
      <c r="AK4168" s="149"/>
      <c r="AL4168" s="149"/>
      <c r="AM4168" s="149"/>
      <c r="AN4168" s="149"/>
      <c r="AO4168" s="128"/>
      <c r="AP4168" s="128"/>
      <c r="AQ4168" s="128"/>
      <c r="AR4168" s="128"/>
      <c r="AS4168" s="128"/>
      <c r="AT4168" s="128"/>
      <c r="AU4168" s="128"/>
      <c r="AV4168" s="128"/>
      <c r="AW4168" s="128"/>
      <c r="AX4168" s="128"/>
      <c r="AY4168" s="128"/>
      <c r="AZ4168" s="128"/>
      <c r="BA4168" s="128"/>
      <c r="BB4168" s="128"/>
      <c r="BC4168" s="128"/>
      <c r="BD4168" s="128"/>
      <c r="BE4168" s="128"/>
      <c r="BF4168" s="128"/>
      <c r="BG4168" s="128"/>
      <c r="BH4168" s="128"/>
      <c r="BI4168" s="128"/>
      <c r="BJ4168" s="128"/>
      <c r="BK4168" s="128"/>
      <c r="BL4168" s="128"/>
      <c r="BM4168" s="151"/>
      <c r="BN4168" s="128"/>
      <c r="BO4168" s="128"/>
      <c r="BP4168" s="128"/>
      <c r="BQ4168" s="128"/>
      <c r="BR4168" s="128"/>
      <c r="BS4168" s="128"/>
      <c r="BT4168" s="128"/>
      <c r="BU4168" s="128"/>
      <c r="BV4168" s="128"/>
      <c r="BW4168" s="128"/>
      <c r="BX4168" s="128"/>
      <c r="BY4168" s="128"/>
      <c r="BZ4168" s="128"/>
      <c r="CA4168" s="128"/>
      <c r="CB4168" s="128"/>
      <c r="CC4168" s="128"/>
      <c r="CD4168" s="128"/>
      <c r="CE4168" s="128"/>
      <c r="CF4168" s="128"/>
      <c r="CG4168" s="128"/>
      <c r="CI4168" s="128"/>
      <c r="CJ4168" s="128"/>
      <c r="CK4168" s="128"/>
      <c r="CL4168" s="128"/>
      <c r="CM4168" s="128"/>
      <c r="CN4168" s="128"/>
      <c r="CO4168" s="128"/>
      <c r="CP4168" s="128"/>
      <c r="CQ4168" s="128"/>
      <c r="CR4168" s="128"/>
      <c r="CS4168" s="128"/>
      <c r="CT4168" s="128"/>
      <c r="CU4168" s="128"/>
      <c r="CV4168" s="128"/>
      <c r="CW4168" s="128"/>
      <c r="CX4168" s="128"/>
      <c r="CY4168" s="128"/>
      <c r="CZ4168" s="165"/>
    </row>
    <row r="4169" spans="1:104">
      <c r="A4169" s="149"/>
      <c r="B4169" s="149"/>
      <c r="C4169" s="150"/>
      <c r="D4169" s="102"/>
      <c r="E4169" s="149"/>
      <c r="F4169" s="149"/>
      <c r="G4169" s="149"/>
      <c r="H4169" s="149"/>
      <c r="I4169" s="149"/>
      <c r="J4169" s="149"/>
      <c r="K4169" s="149"/>
      <c r="L4169" s="149"/>
      <c r="M4169" s="149"/>
      <c r="N4169" s="149"/>
      <c r="O4169" s="149"/>
      <c r="P4169" s="149"/>
      <c r="Q4169" s="149"/>
      <c r="R4169" s="149"/>
      <c r="S4169" s="149"/>
      <c r="T4169" s="149"/>
      <c r="U4169" s="149"/>
      <c r="V4169" s="149"/>
      <c r="W4169" s="149"/>
      <c r="X4169" s="149"/>
      <c r="Y4169" s="149"/>
      <c r="Z4169" s="149"/>
      <c r="AA4169" s="149"/>
      <c r="AB4169" s="149"/>
      <c r="AC4169" s="149"/>
      <c r="AD4169" s="149"/>
      <c r="AE4169" s="149"/>
      <c r="AF4169" s="149"/>
      <c r="AG4169" s="149"/>
      <c r="AH4169" s="149"/>
      <c r="AI4169" s="149"/>
      <c r="AJ4169" s="149"/>
      <c r="AK4169" s="149"/>
      <c r="AL4169" s="149"/>
      <c r="AM4169" s="149"/>
      <c r="AN4169" s="149"/>
      <c r="AO4169" s="128"/>
      <c r="AP4169" s="128"/>
      <c r="AQ4169" s="128"/>
      <c r="AR4169" s="128"/>
      <c r="AS4169" s="128"/>
      <c r="AT4169" s="128"/>
      <c r="AU4169" s="128"/>
      <c r="AV4169" s="128"/>
      <c r="AW4169" s="128"/>
      <c r="AX4169" s="128"/>
      <c r="AY4169" s="128"/>
      <c r="AZ4169" s="128"/>
      <c r="BA4169" s="128"/>
      <c r="BB4169" s="128"/>
      <c r="BC4169" s="128"/>
      <c r="BD4169" s="128"/>
      <c r="BE4169" s="128"/>
      <c r="BF4169" s="128"/>
      <c r="BG4169" s="128"/>
      <c r="BH4169" s="128"/>
      <c r="BI4169" s="128"/>
      <c r="BJ4169" s="128"/>
      <c r="BK4169" s="128"/>
      <c r="BL4169" s="128"/>
      <c r="BM4169" s="151"/>
      <c r="BN4169" s="128"/>
      <c r="BO4169" s="128"/>
      <c r="BP4169" s="128"/>
      <c r="BQ4169" s="128"/>
      <c r="BR4169" s="128"/>
      <c r="BS4169" s="128"/>
      <c r="BT4169" s="128"/>
      <c r="BU4169" s="128"/>
      <c r="BV4169" s="128"/>
      <c r="BW4169" s="128"/>
      <c r="BX4169" s="128"/>
      <c r="BY4169" s="128"/>
      <c r="BZ4169" s="128"/>
      <c r="CA4169" s="128"/>
      <c r="CB4169" s="128"/>
      <c r="CC4169" s="128"/>
      <c r="CD4169" s="128"/>
      <c r="CE4169" s="128"/>
      <c r="CF4169" s="128"/>
      <c r="CG4169" s="128"/>
      <c r="CI4169" s="128"/>
      <c r="CJ4169" s="128"/>
      <c r="CK4169" s="128"/>
      <c r="CL4169" s="128"/>
      <c r="CM4169" s="128"/>
      <c r="CN4169" s="128"/>
      <c r="CO4169" s="128"/>
      <c r="CP4169" s="128"/>
      <c r="CQ4169" s="128"/>
      <c r="CR4169" s="128"/>
      <c r="CS4169" s="128"/>
      <c r="CT4169" s="128"/>
      <c r="CU4169" s="128"/>
      <c r="CV4169" s="128"/>
      <c r="CW4169" s="128"/>
      <c r="CX4169" s="128"/>
      <c r="CY4169" s="128"/>
      <c r="CZ4169" s="165"/>
    </row>
    <row r="4170" spans="1:104">
      <c r="A4170" s="149"/>
      <c r="B4170" s="149"/>
      <c r="C4170" s="150"/>
      <c r="D4170" s="102"/>
      <c r="E4170" s="149"/>
      <c r="F4170" s="149"/>
      <c r="G4170" s="149"/>
      <c r="H4170" s="149"/>
      <c r="I4170" s="149"/>
      <c r="J4170" s="149"/>
      <c r="K4170" s="149"/>
      <c r="L4170" s="149"/>
      <c r="M4170" s="149"/>
      <c r="N4170" s="149"/>
      <c r="O4170" s="149"/>
      <c r="P4170" s="149"/>
      <c r="Q4170" s="149"/>
      <c r="R4170" s="149"/>
      <c r="S4170" s="149"/>
      <c r="T4170" s="149"/>
      <c r="U4170" s="149"/>
      <c r="V4170" s="149"/>
      <c r="W4170" s="149"/>
      <c r="X4170" s="149"/>
      <c r="Y4170" s="149"/>
      <c r="Z4170" s="149"/>
      <c r="AA4170" s="149"/>
      <c r="AB4170" s="149"/>
      <c r="AC4170" s="149"/>
      <c r="AD4170" s="149"/>
      <c r="AE4170" s="149"/>
      <c r="AF4170" s="149"/>
      <c r="AG4170" s="149"/>
      <c r="AH4170" s="149"/>
      <c r="AI4170" s="149"/>
      <c r="AJ4170" s="149"/>
      <c r="AK4170" s="149"/>
      <c r="AL4170" s="149"/>
      <c r="AM4170" s="149"/>
      <c r="AN4170" s="149"/>
      <c r="AO4170" s="128"/>
      <c r="AP4170" s="128"/>
      <c r="AQ4170" s="128"/>
      <c r="AR4170" s="128"/>
      <c r="AS4170" s="128"/>
      <c r="AT4170" s="128"/>
      <c r="AU4170" s="128"/>
      <c r="AV4170" s="128"/>
      <c r="AW4170" s="128"/>
      <c r="AX4170" s="128"/>
      <c r="AY4170" s="128"/>
      <c r="AZ4170" s="128"/>
      <c r="BA4170" s="128"/>
      <c r="BB4170" s="128"/>
      <c r="BC4170" s="128"/>
      <c r="BD4170" s="128"/>
      <c r="BE4170" s="128"/>
      <c r="BF4170" s="128"/>
      <c r="BG4170" s="128"/>
      <c r="BH4170" s="128"/>
      <c r="BI4170" s="128"/>
      <c r="BJ4170" s="128"/>
      <c r="BK4170" s="128"/>
      <c r="BL4170" s="128"/>
      <c r="BM4170" s="151"/>
      <c r="BN4170" s="128"/>
      <c r="BO4170" s="128"/>
      <c r="BP4170" s="128"/>
      <c r="BQ4170" s="128"/>
      <c r="BR4170" s="128"/>
      <c r="BS4170" s="128"/>
      <c r="BT4170" s="128"/>
      <c r="BU4170" s="128"/>
      <c r="BV4170" s="128"/>
      <c r="BW4170" s="128"/>
      <c r="BX4170" s="128"/>
      <c r="BY4170" s="128"/>
      <c r="BZ4170" s="128"/>
      <c r="CA4170" s="128"/>
      <c r="CB4170" s="128"/>
      <c r="CC4170" s="128"/>
      <c r="CD4170" s="128"/>
      <c r="CE4170" s="128"/>
      <c r="CF4170" s="128"/>
      <c r="CG4170" s="128"/>
      <c r="CI4170" s="128"/>
      <c r="CJ4170" s="128"/>
      <c r="CK4170" s="128"/>
      <c r="CL4170" s="128"/>
      <c r="CM4170" s="128"/>
      <c r="CN4170" s="128"/>
      <c r="CO4170" s="128"/>
      <c r="CP4170" s="128"/>
      <c r="CQ4170" s="128"/>
      <c r="CR4170" s="128"/>
      <c r="CS4170" s="128"/>
      <c r="CT4170" s="128"/>
      <c r="CU4170" s="128"/>
      <c r="CV4170" s="128"/>
      <c r="CW4170" s="128"/>
      <c r="CX4170" s="128"/>
      <c r="CY4170" s="128"/>
      <c r="CZ4170" s="165"/>
    </row>
    <row r="4171" spans="1:104">
      <c r="A4171" s="149"/>
      <c r="B4171" s="149"/>
      <c r="C4171" s="150"/>
      <c r="D4171" s="102"/>
      <c r="E4171" s="149"/>
      <c r="F4171" s="149"/>
      <c r="G4171" s="149"/>
      <c r="H4171" s="149"/>
      <c r="I4171" s="149"/>
      <c r="J4171" s="149"/>
      <c r="K4171" s="149"/>
      <c r="L4171" s="149"/>
      <c r="M4171" s="149"/>
      <c r="N4171" s="149"/>
      <c r="O4171" s="149"/>
      <c r="P4171" s="149"/>
      <c r="Q4171" s="149"/>
      <c r="R4171" s="149"/>
      <c r="S4171" s="149"/>
      <c r="T4171" s="149"/>
      <c r="U4171" s="149"/>
      <c r="V4171" s="149"/>
      <c r="W4171" s="149"/>
      <c r="X4171" s="149"/>
      <c r="Y4171" s="149"/>
      <c r="Z4171" s="149"/>
      <c r="AA4171" s="149"/>
      <c r="AB4171" s="149"/>
      <c r="AC4171" s="149"/>
      <c r="AD4171" s="149"/>
      <c r="AE4171" s="149"/>
      <c r="AF4171" s="149"/>
      <c r="AG4171" s="149"/>
      <c r="AH4171" s="149"/>
      <c r="AI4171" s="149"/>
      <c r="AJ4171" s="149"/>
      <c r="AK4171" s="149"/>
      <c r="AL4171" s="149"/>
      <c r="AM4171" s="149"/>
      <c r="AN4171" s="149"/>
      <c r="AO4171" s="128"/>
      <c r="AP4171" s="128"/>
      <c r="AQ4171" s="128"/>
      <c r="AR4171" s="128"/>
      <c r="AS4171" s="128"/>
      <c r="AT4171" s="128"/>
      <c r="AU4171" s="128"/>
      <c r="AV4171" s="128"/>
      <c r="AW4171" s="128"/>
      <c r="AX4171" s="128"/>
      <c r="AY4171" s="128"/>
      <c r="AZ4171" s="128"/>
      <c r="BA4171" s="128"/>
      <c r="BB4171" s="128"/>
      <c r="BC4171" s="128"/>
      <c r="BD4171" s="128"/>
      <c r="BE4171" s="128"/>
      <c r="BF4171" s="128"/>
      <c r="BG4171" s="128"/>
      <c r="BH4171" s="128"/>
      <c r="BI4171" s="128"/>
      <c r="BJ4171" s="128"/>
      <c r="BK4171" s="128"/>
      <c r="BL4171" s="128"/>
      <c r="BM4171" s="151"/>
      <c r="BN4171" s="128"/>
      <c r="BO4171" s="128"/>
      <c r="BP4171" s="128"/>
      <c r="BQ4171" s="128"/>
      <c r="BR4171" s="128"/>
      <c r="BS4171" s="128"/>
      <c r="BT4171" s="128"/>
      <c r="BU4171" s="128"/>
      <c r="BV4171" s="128"/>
      <c r="BW4171" s="128"/>
      <c r="BX4171" s="128"/>
      <c r="BY4171" s="128"/>
      <c r="BZ4171" s="128"/>
      <c r="CA4171" s="128"/>
      <c r="CB4171" s="128"/>
      <c r="CC4171" s="128"/>
      <c r="CD4171" s="128"/>
      <c r="CE4171" s="128"/>
      <c r="CF4171" s="128"/>
      <c r="CG4171" s="128"/>
      <c r="CI4171" s="128"/>
      <c r="CJ4171" s="128"/>
      <c r="CK4171" s="128"/>
      <c r="CL4171" s="128"/>
      <c r="CM4171" s="128"/>
      <c r="CN4171" s="128"/>
      <c r="CO4171" s="128"/>
      <c r="CP4171" s="128"/>
      <c r="CQ4171" s="128"/>
      <c r="CR4171" s="128"/>
      <c r="CS4171" s="128"/>
      <c r="CT4171" s="128"/>
      <c r="CU4171" s="128"/>
      <c r="CV4171" s="128"/>
      <c r="CW4171" s="128"/>
      <c r="CX4171" s="128"/>
      <c r="CY4171" s="128"/>
      <c r="CZ4171" s="165"/>
    </row>
    <row r="4172" spans="1:104">
      <c r="A4172" s="149"/>
      <c r="B4172" s="149"/>
      <c r="C4172" s="150"/>
      <c r="D4172" s="102"/>
      <c r="E4172" s="149"/>
      <c r="F4172" s="149"/>
      <c r="G4172" s="149"/>
      <c r="H4172" s="149"/>
      <c r="I4172" s="149"/>
      <c r="J4172" s="149"/>
      <c r="K4172" s="149"/>
      <c r="L4172" s="149"/>
      <c r="M4172" s="149"/>
      <c r="N4172" s="149"/>
      <c r="O4172" s="149"/>
      <c r="P4172" s="149"/>
      <c r="Q4172" s="149"/>
      <c r="R4172" s="149"/>
      <c r="S4172" s="149"/>
      <c r="T4172" s="149"/>
      <c r="U4172" s="149"/>
      <c r="V4172" s="149"/>
      <c r="W4172" s="149"/>
      <c r="X4172" s="149"/>
      <c r="Y4172" s="149"/>
      <c r="Z4172" s="149"/>
      <c r="AA4172" s="149"/>
      <c r="AB4172" s="149"/>
      <c r="AC4172" s="149"/>
      <c r="AD4172" s="149"/>
      <c r="AE4172" s="149"/>
      <c r="AF4172" s="149"/>
      <c r="AG4172" s="149"/>
      <c r="AH4172" s="149"/>
      <c r="AI4172" s="149"/>
      <c r="AJ4172" s="149"/>
      <c r="AK4172" s="149"/>
      <c r="AL4172" s="149"/>
      <c r="AM4172" s="149"/>
      <c r="AN4172" s="149"/>
      <c r="AO4172" s="128"/>
      <c r="AP4172" s="128"/>
      <c r="AQ4172" s="128"/>
      <c r="AR4172" s="128"/>
      <c r="AS4172" s="128"/>
      <c r="AT4172" s="128"/>
      <c r="AU4172" s="128"/>
      <c r="AV4172" s="128"/>
      <c r="AW4172" s="128"/>
      <c r="AX4172" s="128"/>
      <c r="AY4172" s="128"/>
      <c r="AZ4172" s="128"/>
      <c r="BA4172" s="128"/>
      <c r="BB4172" s="128"/>
      <c r="BC4172" s="128"/>
      <c r="BD4172" s="128"/>
      <c r="BE4172" s="128"/>
      <c r="BF4172" s="128"/>
      <c r="BG4172" s="128"/>
      <c r="BH4172" s="128"/>
      <c r="BI4172" s="128"/>
      <c r="BJ4172" s="128"/>
      <c r="BK4172" s="128"/>
      <c r="BL4172" s="128"/>
      <c r="BM4172" s="151"/>
      <c r="BN4172" s="128"/>
      <c r="BO4172" s="128"/>
      <c r="BP4172" s="128"/>
      <c r="BQ4172" s="128"/>
      <c r="BR4172" s="128"/>
      <c r="BS4172" s="128"/>
      <c r="BT4172" s="128"/>
      <c r="BU4172" s="128"/>
      <c r="BV4172" s="128"/>
      <c r="BW4172" s="128"/>
      <c r="BX4172" s="128"/>
      <c r="BY4172" s="128"/>
      <c r="BZ4172" s="128"/>
      <c r="CA4172" s="128"/>
      <c r="CB4172" s="128"/>
      <c r="CC4172" s="128"/>
      <c r="CD4172" s="128"/>
      <c r="CE4172" s="128"/>
      <c r="CF4172" s="128"/>
      <c r="CG4172" s="128"/>
      <c r="CI4172" s="128"/>
      <c r="CJ4172" s="128"/>
      <c r="CK4172" s="128"/>
      <c r="CL4172" s="128"/>
      <c r="CM4172" s="128"/>
      <c r="CN4172" s="128"/>
      <c r="CO4172" s="128"/>
      <c r="CP4172" s="128"/>
      <c r="CQ4172" s="128"/>
      <c r="CR4172" s="128"/>
      <c r="CS4172" s="128"/>
      <c r="CT4172" s="128"/>
      <c r="CU4172" s="128"/>
      <c r="CV4172" s="128"/>
      <c r="CW4172" s="128"/>
      <c r="CX4172" s="128"/>
      <c r="CY4172" s="128"/>
      <c r="CZ4172" s="165"/>
    </row>
    <row r="4173" spans="1:104">
      <c r="A4173" s="149"/>
      <c r="B4173" s="149"/>
      <c r="C4173" s="150"/>
      <c r="D4173" s="102"/>
      <c r="E4173" s="149"/>
      <c r="F4173" s="149"/>
      <c r="G4173" s="149"/>
      <c r="H4173" s="149"/>
      <c r="I4173" s="149"/>
      <c r="J4173" s="149"/>
      <c r="K4173" s="149"/>
      <c r="L4173" s="149"/>
      <c r="M4173" s="149"/>
      <c r="N4173" s="149"/>
      <c r="O4173" s="149"/>
      <c r="P4173" s="149"/>
      <c r="Q4173" s="149"/>
      <c r="R4173" s="149"/>
      <c r="S4173" s="149"/>
      <c r="T4173" s="149"/>
      <c r="U4173" s="149"/>
      <c r="V4173" s="149"/>
      <c r="W4173" s="149"/>
      <c r="X4173" s="149"/>
      <c r="Y4173" s="149"/>
      <c r="Z4173" s="149"/>
      <c r="AA4173" s="149"/>
      <c r="AB4173" s="149"/>
      <c r="AC4173" s="149"/>
      <c r="AD4173" s="149"/>
      <c r="AE4173" s="149"/>
      <c r="AF4173" s="149"/>
      <c r="AG4173" s="149"/>
      <c r="AH4173" s="149"/>
      <c r="AI4173" s="149"/>
      <c r="AJ4173" s="149"/>
      <c r="AK4173" s="149"/>
      <c r="AL4173" s="149"/>
      <c r="AM4173" s="149"/>
      <c r="AN4173" s="149"/>
      <c r="AO4173" s="128"/>
      <c r="AP4173" s="128"/>
      <c r="AQ4173" s="128"/>
      <c r="AR4173" s="128"/>
      <c r="AS4173" s="128"/>
      <c r="AT4173" s="128"/>
      <c r="AU4173" s="128"/>
      <c r="AV4173" s="128"/>
      <c r="AW4173" s="128"/>
      <c r="AX4173" s="128"/>
      <c r="AY4173" s="128"/>
      <c r="AZ4173" s="128"/>
      <c r="BA4173" s="128"/>
      <c r="BB4173" s="128"/>
      <c r="BC4173" s="128"/>
      <c r="BD4173" s="128"/>
      <c r="BE4173" s="128"/>
      <c r="BF4173" s="128"/>
      <c r="BG4173" s="128"/>
      <c r="BH4173" s="128"/>
      <c r="BI4173" s="128"/>
      <c r="BJ4173" s="128"/>
      <c r="BK4173" s="128"/>
      <c r="BL4173" s="128"/>
      <c r="BM4173" s="151"/>
      <c r="BN4173" s="128"/>
      <c r="BO4173" s="128"/>
      <c r="BP4173" s="128"/>
      <c r="BQ4173" s="128"/>
      <c r="BR4173" s="128"/>
      <c r="BS4173" s="128"/>
      <c r="BT4173" s="128"/>
      <c r="BU4173" s="128"/>
      <c r="BV4173" s="128"/>
      <c r="BW4173" s="128"/>
      <c r="BX4173" s="128"/>
      <c r="BY4173" s="128"/>
      <c r="BZ4173" s="128"/>
      <c r="CA4173" s="128"/>
      <c r="CB4173" s="128"/>
      <c r="CC4173" s="128"/>
      <c r="CD4173" s="128"/>
      <c r="CE4173" s="128"/>
      <c r="CF4173" s="128"/>
      <c r="CG4173" s="128"/>
      <c r="CI4173" s="128"/>
      <c r="CJ4173" s="128"/>
      <c r="CK4173" s="128"/>
      <c r="CL4173" s="128"/>
      <c r="CM4173" s="128"/>
      <c r="CN4173" s="128"/>
      <c r="CO4173" s="128"/>
      <c r="CP4173" s="128"/>
      <c r="CQ4173" s="128"/>
      <c r="CR4173" s="128"/>
      <c r="CS4173" s="128"/>
      <c r="CT4173" s="128"/>
      <c r="CU4173" s="128"/>
      <c r="CV4173" s="128"/>
      <c r="CW4173" s="128"/>
      <c r="CX4173" s="128"/>
      <c r="CY4173" s="128"/>
      <c r="CZ4173" s="165"/>
    </row>
    <row r="4174" spans="1:104">
      <c r="A4174" s="149"/>
      <c r="B4174" s="149"/>
      <c r="C4174" s="150"/>
      <c r="D4174" s="102"/>
      <c r="E4174" s="149"/>
      <c r="F4174" s="149"/>
      <c r="G4174" s="149"/>
      <c r="H4174" s="149"/>
      <c r="I4174" s="149"/>
      <c r="J4174" s="149"/>
      <c r="K4174" s="149"/>
      <c r="L4174" s="149"/>
      <c r="M4174" s="149"/>
      <c r="N4174" s="149"/>
      <c r="O4174" s="149"/>
      <c r="P4174" s="149"/>
      <c r="Q4174" s="149"/>
      <c r="R4174" s="149"/>
      <c r="S4174" s="149"/>
      <c r="T4174" s="149"/>
      <c r="U4174" s="149"/>
      <c r="V4174" s="149"/>
      <c r="W4174" s="149"/>
      <c r="X4174" s="149"/>
      <c r="Y4174" s="149"/>
      <c r="Z4174" s="149"/>
      <c r="AA4174" s="149"/>
      <c r="AB4174" s="149"/>
      <c r="AC4174" s="149"/>
      <c r="AD4174" s="149"/>
      <c r="AE4174" s="149"/>
      <c r="AF4174" s="149"/>
      <c r="AG4174" s="149"/>
      <c r="AH4174" s="149"/>
      <c r="AI4174" s="149"/>
      <c r="AJ4174" s="149"/>
      <c r="AK4174" s="149"/>
      <c r="AL4174" s="149"/>
      <c r="AM4174" s="149"/>
      <c r="AN4174" s="149"/>
      <c r="AO4174" s="128"/>
      <c r="AP4174" s="128"/>
      <c r="AQ4174" s="128"/>
      <c r="AR4174" s="128"/>
      <c r="AS4174" s="128"/>
      <c r="AT4174" s="128"/>
      <c r="AU4174" s="128"/>
      <c r="AV4174" s="128"/>
      <c r="AW4174" s="128"/>
      <c r="AX4174" s="128"/>
      <c r="AY4174" s="128"/>
      <c r="AZ4174" s="128"/>
      <c r="BA4174" s="128"/>
      <c r="BB4174" s="128"/>
      <c r="BC4174" s="128"/>
      <c r="BD4174" s="128"/>
      <c r="BE4174" s="128"/>
      <c r="BF4174" s="128"/>
      <c r="BG4174" s="128"/>
      <c r="BH4174" s="128"/>
      <c r="BI4174" s="128"/>
      <c r="BJ4174" s="128"/>
      <c r="BK4174" s="128"/>
      <c r="BL4174" s="128"/>
      <c r="BM4174" s="151"/>
      <c r="BN4174" s="128"/>
      <c r="BO4174" s="128"/>
      <c r="BP4174" s="128"/>
      <c r="BQ4174" s="128"/>
      <c r="BR4174" s="128"/>
      <c r="BS4174" s="128"/>
      <c r="BT4174" s="128"/>
      <c r="BU4174" s="128"/>
      <c r="BV4174" s="128"/>
      <c r="BW4174" s="128"/>
      <c r="BX4174" s="128"/>
      <c r="BY4174" s="128"/>
      <c r="BZ4174" s="128"/>
      <c r="CA4174" s="128"/>
      <c r="CB4174" s="128"/>
      <c r="CC4174" s="128"/>
      <c r="CD4174" s="128"/>
      <c r="CE4174" s="128"/>
      <c r="CF4174" s="128"/>
      <c r="CG4174" s="128"/>
      <c r="CI4174" s="128"/>
      <c r="CJ4174" s="128"/>
      <c r="CK4174" s="128"/>
      <c r="CL4174" s="128"/>
      <c r="CM4174" s="128"/>
      <c r="CN4174" s="128"/>
      <c r="CO4174" s="128"/>
      <c r="CP4174" s="128"/>
      <c r="CQ4174" s="128"/>
      <c r="CR4174" s="128"/>
      <c r="CS4174" s="128"/>
      <c r="CT4174" s="128"/>
      <c r="CU4174" s="128"/>
      <c r="CV4174" s="128"/>
      <c r="CW4174" s="128"/>
      <c r="CX4174" s="128"/>
      <c r="CY4174" s="128"/>
      <c r="CZ4174" s="165"/>
    </row>
    <row r="4175" spans="1:104">
      <c r="A4175" s="149"/>
      <c r="B4175" s="149"/>
      <c r="C4175" s="150"/>
      <c r="D4175" s="102"/>
      <c r="E4175" s="149"/>
      <c r="F4175" s="149"/>
      <c r="G4175" s="149"/>
      <c r="H4175" s="149"/>
      <c r="I4175" s="149"/>
      <c r="J4175" s="149"/>
      <c r="K4175" s="149"/>
      <c r="L4175" s="149"/>
      <c r="M4175" s="149"/>
      <c r="N4175" s="149"/>
      <c r="O4175" s="149"/>
      <c r="P4175" s="149"/>
      <c r="Q4175" s="149"/>
      <c r="R4175" s="149"/>
      <c r="S4175" s="149"/>
      <c r="T4175" s="149"/>
      <c r="U4175" s="149"/>
      <c r="V4175" s="149"/>
      <c r="W4175" s="149"/>
      <c r="X4175" s="149"/>
      <c r="Y4175" s="149"/>
      <c r="Z4175" s="149"/>
      <c r="AA4175" s="149"/>
      <c r="AB4175" s="149"/>
      <c r="AC4175" s="149"/>
      <c r="AD4175" s="149"/>
      <c r="AE4175" s="149"/>
      <c r="AF4175" s="149"/>
      <c r="AG4175" s="149"/>
      <c r="AH4175" s="149"/>
      <c r="AI4175" s="149"/>
      <c r="AJ4175" s="149"/>
      <c r="AK4175" s="149"/>
      <c r="AL4175" s="149"/>
      <c r="AM4175" s="149"/>
      <c r="AN4175" s="149"/>
      <c r="AO4175" s="128"/>
      <c r="AP4175" s="128"/>
      <c r="AQ4175" s="128"/>
      <c r="AR4175" s="128"/>
      <c r="AS4175" s="128"/>
      <c r="AT4175" s="128"/>
      <c r="AU4175" s="128"/>
      <c r="AV4175" s="128"/>
      <c r="AW4175" s="128"/>
      <c r="AX4175" s="128"/>
      <c r="AY4175" s="128"/>
      <c r="AZ4175" s="128"/>
      <c r="BA4175" s="128"/>
      <c r="BB4175" s="128"/>
      <c r="BC4175" s="128"/>
      <c r="BD4175" s="128"/>
      <c r="BE4175" s="128"/>
      <c r="BF4175" s="128"/>
      <c r="BG4175" s="128"/>
      <c r="BH4175" s="128"/>
      <c r="BI4175" s="128"/>
      <c r="BJ4175" s="128"/>
      <c r="BK4175" s="128"/>
      <c r="BL4175" s="128"/>
      <c r="BM4175" s="151"/>
      <c r="BN4175" s="128"/>
      <c r="BO4175" s="128"/>
      <c r="BP4175" s="128"/>
      <c r="BQ4175" s="128"/>
      <c r="BR4175" s="128"/>
      <c r="BS4175" s="128"/>
      <c r="BT4175" s="128"/>
      <c r="BU4175" s="128"/>
      <c r="BV4175" s="128"/>
      <c r="BW4175" s="128"/>
      <c r="BX4175" s="128"/>
      <c r="BY4175" s="128"/>
      <c r="BZ4175" s="128"/>
      <c r="CA4175" s="128"/>
      <c r="CB4175" s="128"/>
      <c r="CC4175" s="128"/>
      <c r="CD4175" s="128"/>
      <c r="CE4175" s="128"/>
      <c r="CF4175" s="128"/>
      <c r="CG4175" s="128"/>
      <c r="CI4175" s="128"/>
      <c r="CJ4175" s="128"/>
      <c r="CK4175" s="128"/>
      <c r="CL4175" s="128"/>
      <c r="CM4175" s="128"/>
      <c r="CN4175" s="128"/>
      <c r="CO4175" s="128"/>
      <c r="CP4175" s="128"/>
      <c r="CQ4175" s="128"/>
      <c r="CR4175" s="128"/>
      <c r="CS4175" s="128"/>
      <c r="CT4175" s="128"/>
      <c r="CU4175" s="128"/>
      <c r="CV4175" s="128"/>
      <c r="CW4175" s="128"/>
      <c r="CX4175" s="128"/>
      <c r="CY4175" s="128"/>
      <c r="CZ4175" s="165"/>
    </row>
    <row r="4176" spans="1:104">
      <c r="A4176" s="149"/>
      <c r="B4176" s="149"/>
      <c r="C4176" s="150"/>
      <c r="D4176" s="102"/>
      <c r="E4176" s="149"/>
      <c r="F4176" s="149"/>
      <c r="G4176" s="149"/>
      <c r="H4176" s="149"/>
      <c r="I4176" s="149"/>
      <c r="J4176" s="149"/>
      <c r="K4176" s="149"/>
      <c r="L4176" s="149"/>
      <c r="M4176" s="149"/>
      <c r="N4176" s="149"/>
      <c r="O4176" s="149"/>
      <c r="P4176" s="149"/>
      <c r="Q4176" s="149"/>
      <c r="R4176" s="149"/>
      <c r="S4176" s="149"/>
      <c r="T4176" s="149"/>
      <c r="U4176" s="149"/>
      <c r="V4176" s="149"/>
      <c r="W4176" s="149"/>
      <c r="X4176" s="149"/>
      <c r="Y4176" s="149"/>
      <c r="Z4176" s="149"/>
      <c r="AA4176" s="149"/>
      <c r="AB4176" s="149"/>
      <c r="AC4176" s="149"/>
      <c r="AD4176" s="149"/>
      <c r="AE4176" s="149"/>
      <c r="AF4176" s="149"/>
      <c r="AG4176" s="149"/>
      <c r="AH4176" s="149"/>
      <c r="AI4176" s="149"/>
      <c r="AJ4176" s="149"/>
      <c r="AK4176" s="149"/>
      <c r="AL4176" s="149"/>
      <c r="AM4176" s="149"/>
      <c r="AN4176" s="149"/>
      <c r="AO4176" s="128"/>
      <c r="AP4176" s="128"/>
      <c r="AQ4176" s="128"/>
      <c r="AR4176" s="128"/>
      <c r="AS4176" s="128"/>
      <c r="AT4176" s="128"/>
      <c r="AU4176" s="128"/>
      <c r="AV4176" s="128"/>
      <c r="AW4176" s="128"/>
      <c r="AX4176" s="128"/>
      <c r="AY4176" s="128"/>
      <c r="AZ4176" s="128"/>
      <c r="BA4176" s="128"/>
      <c r="BB4176" s="128"/>
      <c r="BC4176" s="128"/>
      <c r="BD4176" s="128"/>
      <c r="BE4176" s="128"/>
      <c r="BF4176" s="128"/>
      <c r="BG4176" s="128"/>
      <c r="BH4176" s="128"/>
      <c r="BI4176" s="128"/>
      <c r="BJ4176" s="128"/>
      <c r="BK4176" s="128"/>
      <c r="BL4176" s="128"/>
      <c r="BM4176" s="151"/>
      <c r="BN4176" s="128"/>
      <c r="BO4176" s="128"/>
      <c r="BP4176" s="128"/>
      <c r="BQ4176" s="128"/>
      <c r="BR4176" s="128"/>
      <c r="BS4176" s="128"/>
      <c r="BT4176" s="128"/>
      <c r="BU4176" s="128"/>
      <c r="BV4176" s="128"/>
      <c r="BW4176" s="128"/>
      <c r="BX4176" s="128"/>
      <c r="BY4176" s="128"/>
      <c r="BZ4176" s="128"/>
      <c r="CA4176" s="128"/>
      <c r="CB4176" s="128"/>
      <c r="CC4176" s="128"/>
      <c r="CD4176" s="128"/>
      <c r="CE4176" s="128"/>
      <c r="CF4176" s="128"/>
      <c r="CG4176" s="128"/>
      <c r="CI4176" s="128"/>
      <c r="CJ4176" s="128"/>
      <c r="CK4176" s="128"/>
      <c r="CL4176" s="128"/>
      <c r="CM4176" s="128"/>
      <c r="CN4176" s="128"/>
      <c r="CO4176" s="128"/>
      <c r="CP4176" s="128"/>
      <c r="CQ4176" s="128"/>
      <c r="CR4176" s="128"/>
      <c r="CS4176" s="128"/>
      <c r="CT4176" s="128"/>
      <c r="CU4176" s="128"/>
      <c r="CV4176" s="128"/>
      <c r="CW4176" s="128"/>
      <c r="CX4176" s="128"/>
      <c r="CY4176" s="128"/>
      <c r="CZ4176" s="165"/>
    </row>
    <row r="4177" spans="1:104">
      <c r="A4177" s="149"/>
      <c r="B4177" s="149"/>
      <c r="C4177" s="150"/>
      <c r="D4177" s="102"/>
      <c r="E4177" s="149"/>
      <c r="F4177" s="149"/>
      <c r="G4177" s="149"/>
      <c r="H4177" s="149"/>
      <c r="I4177" s="149"/>
      <c r="J4177" s="149"/>
      <c r="K4177" s="149"/>
      <c r="L4177" s="149"/>
      <c r="M4177" s="149"/>
      <c r="N4177" s="149"/>
      <c r="O4177" s="149"/>
      <c r="P4177" s="149"/>
      <c r="Q4177" s="149"/>
      <c r="R4177" s="149"/>
      <c r="S4177" s="149"/>
      <c r="T4177" s="149"/>
      <c r="U4177" s="149"/>
      <c r="V4177" s="149"/>
      <c r="W4177" s="149"/>
      <c r="X4177" s="149"/>
      <c r="Y4177" s="149"/>
      <c r="Z4177" s="149"/>
      <c r="AA4177" s="149"/>
      <c r="AB4177" s="149"/>
      <c r="AC4177" s="149"/>
      <c r="AD4177" s="149"/>
      <c r="AE4177" s="149"/>
      <c r="AF4177" s="149"/>
      <c r="AG4177" s="149"/>
      <c r="AH4177" s="149"/>
      <c r="AI4177" s="149"/>
      <c r="AJ4177" s="149"/>
      <c r="AK4177" s="149"/>
      <c r="AL4177" s="149"/>
      <c r="AM4177" s="149"/>
      <c r="AN4177" s="149"/>
      <c r="AO4177" s="128"/>
      <c r="AP4177" s="128"/>
      <c r="AQ4177" s="128"/>
      <c r="AR4177" s="128"/>
      <c r="AS4177" s="128"/>
      <c r="AT4177" s="128"/>
      <c r="AU4177" s="128"/>
      <c r="AV4177" s="128"/>
      <c r="AW4177" s="128"/>
      <c r="AX4177" s="128"/>
      <c r="AY4177" s="128"/>
      <c r="AZ4177" s="128"/>
      <c r="BA4177" s="128"/>
      <c r="BB4177" s="128"/>
      <c r="BC4177" s="128"/>
      <c r="BD4177" s="128"/>
      <c r="BE4177" s="128"/>
      <c r="BF4177" s="128"/>
      <c r="BG4177" s="128"/>
      <c r="BH4177" s="128"/>
      <c r="BI4177" s="128"/>
      <c r="BJ4177" s="128"/>
      <c r="BK4177" s="128"/>
      <c r="BL4177" s="128"/>
      <c r="BM4177" s="151"/>
      <c r="BN4177" s="128"/>
      <c r="BO4177" s="128"/>
      <c r="BP4177" s="128"/>
      <c r="BQ4177" s="128"/>
      <c r="BR4177" s="128"/>
      <c r="BS4177" s="128"/>
      <c r="BT4177" s="128"/>
      <c r="BU4177" s="128"/>
      <c r="BV4177" s="128"/>
      <c r="BW4177" s="128"/>
      <c r="BX4177" s="128"/>
      <c r="BY4177" s="128"/>
      <c r="BZ4177" s="128"/>
      <c r="CA4177" s="128"/>
      <c r="CB4177" s="128"/>
      <c r="CC4177" s="128"/>
      <c r="CD4177" s="128"/>
      <c r="CE4177" s="128"/>
      <c r="CF4177" s="128"/>
      <c r="CG4177" s="128"/>
      <c r="CI4177" s="128"/>
      <c r="CJ4177" s="128"/>
      <c r="CK4177" s="128"/>
      <c r="CL4177" s="128"/>
      <c r="CM4177" s="128"/>
      <c r="CN4177" s="128"/>
      <c r="CO4177" s="128"/>
      <c r="CP4177" s="128"/>
      <c r="CQ4177" s="128"/>
      <c r="CR4177" s="128"/>
      <c r="CS4177" s="128"/>
      <c r="CT4177" s="128"/>
      <c r="CU4177" s="128"/>
      <c r="CV4177" s="128"/>
      <c r="CW4177" s="128"/>
      <c r="CX4177" s="128"/>
      <c r="CY4177" s="128"/>
      <c r="CZ4177" s="165"/>
    </row>
    <row r="4178" spans="1:104">
      <c r="A4178" s="149"/>
      <c r="B4178" s="149"/>
      <c r="C4178" s="150"/>
      <c r="D4178" s="102"/>
      <c r="E4178" s="149"/>
      <c r="F4178" s="149"/>
      <c r="G4178" s="149"/>
      <c r="H4178" s="149"/>
      <c r="I4178" s="149"/>
      <c r="J4178" s="149"/>
      <c r="K4178" s="149"/>
      <c r="L4178" s="149"/>
      <c r="M4178" s="149"/>
      <c r="N4178" s="149"/>
      <c r="O4178" s="149"/>
      <c r="P4178" s="149"/>
      <c r="Q4178" s="149"/>
      <c r="R4178" s="149"/>
      <c r="S4178" s="149"/>
      <c r="T4178" s="149"/>
      <c r="U4178" s="149"/>
      <c r="V4178" s="149"/>
      <c r="W4178" s="149"/>
      <c r="X4178" s="149"/>
      <c r="Y4178" s="149"/>
      <c r="Z4178" s="149"/>
      <c r="AA4178" s="149"/>
      <c r="AB4178" s="149"/>
      <c r="AC4178" s="149"/>
      <c r="AD4178" s="149"/>
      <c r="AE4178" s="149"/>
      <c r="AF4178" s="149"/>
      <c r="AG4178" s="149"/>
      <c r="AH4178" s="149"/>
      <c r="AI4178" s="149"/>
      <c r="AJ4178" s="149"/>
      <c r="AK4178" s="149"/>
      <c r="AL4178" s="149"/>
      <c r="AM4178" s="149"/>
      <c r="AN4178" s="149"/>
      <c r="AO4178" s="128"/>
      <c r="AP4178" s="128"/>
      <c r="AQ4178" s="128"/>
      <c r="AR4178" s="128"/>
      <c r="AS4178" s="128"/>
      <c r="AT4178" s="128"/>
      <c r="AU4178" s="128"/>
      <c r="AV4178" s="128"/>
      <c r="AW4178" s="128"/>
      <c r="AX4178" s="128"/>
      <c r="AY4178" s="128"/>
      <c r="AZ4178" s="128"/>
      <c r="BA4178" s="128"/>
      <c r="BB4178" s="128"/>
      <c r="BC4178" s="128"/>
      <c r="BD4178" s="128"/>
      <c r="BE4178" s="128"/>
      <c r="BF4178" s="128"/>
      <c r="BG4178" s="128"/>
      <c r="BH4178" s="128"/>
      <c r="BI4178" s="128"/>
      <c r="BJ4178" s="128"/>
      <c r="BK4178" s="128"/>
      <c r="BL4178" s="128"/>
      <c r="BM4178" s="151"/>
      <c r="BN4178" s="128"/>
      <c r="BO4178" s="128"/>
      <c r="BP4178" s="128"/>
      <c r="BQ4178" s="128"/>
      <c r="BR4178" s="128"/>
      <c r="BS4178" s="128"/>
      <c r="BT4178" s="128"/>
      <c r="BU4178" s="128"/>
      <c r="BV4178" s="128"/>
      <c r="BW4178" s="128"/>
      <c r="BX4178" s="128"/>
      <c r="BY4178" s="128"/>
      <c r="BZ4178" s="128"/>
      <c r="CA4178" s="128"/>
      <c r="CB4178" s="128"/>
      <c r="CC4178" s="128"/>
      <c r="CD4178" s="128"/>
      <c r="CE4178" s="128"/>
      <c r="CF4178" s="128"/>
      <c r="CG4178" s="128"/>
      <c r="CI4178" s="128"/>
      <c r="CJ4178" s="128"/>
      <c r="CK4178" s="128"/>
      <c r="CL4178" s="128"/>
      <c r="CM4178" s="128"/>
      <c r="CN4178" s="128"/>
      <c r="CO4178" s="128"/>
      <c r="CP4178" s="128"/>
      <c r="CQ4178" s="128"/>
      <c r="CR4178" s="128"/>
      <c r="CS4178" s="128"/>
      <c r="CT4178" s="128"/>
      <c r="CU4178" s="128"/>
      <c r="CV4178" s="128"/>
      <c r="CW4178" s="128"/>
      <c r="CX4178" s="128"/>
      <c r="CY4178" s="128"/>
      <c r="CZ4178" s="165"/>
    </row>
    <row r="4179" spans="1:104">
      <c r="A4179" s="149"/>
      <c r="B4179" s="149"/>
      <c r="C4179" s="150"/>
      <c r="D4179" s="102"/>
      <c r="E4179" s="149"/>
      <c r="F4179" s="149"/>
      <c r="G4179" s="149"/>
      <c r="H4179" s="149"/>
      <c r="I4179" s="149"/>
      <c r="J4179" s="149"/>
      <c r="K4179" s="149"/>
      <c r="L4179" s="149"/>
      <c r="M4179" s="149"/>
      <c r="N4179" s="149"/>
      <c r="O4179" s="149"/>
      <c r="P4179" s="149"/>
      <c r="Q4179" s="149"/>
      <c r="R4179" s="149"/>
      <c r="S4179" s="149"/>
      <c r="T4179" s="149"/>
      <c r="U4179" s="149"/>
      <c r="V4179" s="149"/>
      <c r="W4179" s="149"/>
      <c r="X4179" s="149"/>
      <c r="Y4179" s="149"/>
      <c r="Z4179" s="149"/>
      <c r="AA4179" s="149"/>
      <c r="AB4179" s="149"/>
      <c r="AC4179" s="149"/>
      <c r="AD4179" s="149"/>
      <c r="AE4179" s="149"/>
      <c r="AF4179" s="149"/>
      <c r="AG4179" s="149"/>
      <c r="AH4179" s="149"/>
      <c r="AI4179" s="149"/>
      <c r="AJ4179" s="149"/>
      <c r="AK4179" s="149"/>
      <c r="AL4179" s="149"/>
      <c r="AM4179" s="149"/>
      <c r="AN4179" s="149"/>
      <c r="AO4179" s="128"/>
      <c r="AP4179" s="128"/>
      <c r="AQ4179" s="128"/>
      <c r="AR4179" s="128"/>
      <c r="AS4179" s="128"/>
      <c r="AT4179" s="128"/>
      <c r="AU4179" s="128"/>
      <c r="AV4179" s="128"/>
      <c r="AW4179" s="128"/>
      <c r="AX4179" s="128"/>
      <c r="AY4179" s="128"/>
      <c r="AZ4179" s="128"/>
      <c r="BA4179" s="128"/>
      <c r="BB4179" s="128"/>
      <c r="BC4179" s="128"/>
      <c r="BD4179" s="128"/>
      <c r="BE4179" s="128"/>
      <c r="BF4179" s="128"/>
      <c r="BG4179" s="128"/>
      <c r="BH4179" s="128"/>
      <c r="BI4179" s="128"/>
      <c r="BJ4179" s="128"/>
      <c r="BK4179" s="128"/>
      <c r="BL4179" s="128"/>
      <c r="BM4179" s="151"/>
      <c r="BN4179" s="128"/>
      <c r="BO4179" s="128"/>
      <c r="BP4179" s="128"/>
      <c r="BQ4179" s="128"/>
      <c r="BR4179" s="128"/>
      <c r="BS4179" s="128"/>
      <c r="BT4179" s="128"/>
      <c r="BU4179" s="128"/>
      <c r="BV4179" s="128"/>
      <c r="BW4179" s="128"/>
      <c r="BX4179" s="128"/>
      <c r="BY4179" s="128"/>
      <c r="BZ4179" s="128"/>
      <c r="CA4179" s="128"/>
      <c r="CB4179" s="128"/>
      <c r="CC4179" s="128"/>
      <c r="CD4179" s="128"/>
      <c r="CE4179" s="128"/>
      <c r="CF4179" s="128"/>
      <c r="CG4179" s="128"/>
      <c r="CI4179" s="128"/>
      <c r="CJ4179" s="128"/>
      <c r="CK4179" s="128"/>
      <c r="CL4179" s="128"/>
      <c r="CM4179" s="128"/>
      <c r="CN4179" s="128"/>
      <c r="CO4179" s="128"/>
      <c r="CP4179" s="128"/>
      <c r="CQ4179" s="128"/>
      <c r="CR4179" s="128"/>
      <c r="CS4179" s="128"/>
      <c r="CT4179" s="128"/>
      <c r="CU4179" s="128"/>
      <c r="CV4179" s="128"/>
      <c r="CW4179" s="128"/>
      <c r="CX4179" s="128"/>
      <c r="CY4179" s="128"/>
      <c r="CZ4179" s="165"/>
    </row>
    <row r="4180" spans="1:104">
      <c r="A4180" s="149"/>
      <c r="B4180" s="149"/>
      <c r="C4180" s="150"/>
      <c r="D4180" s="102"/>
      <c r="E4180" s="149"/>
      <c r="F4180" s="149"/>
      <c r="G4180" s="149"/>
      <c r="H4180" s="149"/>
      <c r="I4180" s="149"/>
      <c r="J4180" s="149"/>
      <c r="K4180" s="149"/>
      <c r="L4180" s="149"/>
      <c r="M4180" s="149"/>
      <c r="N4180" s="149"/>
      <c r="O4180" s="149"/>
      <c r="P4180" s="149"/>
      <c r="Q4180" s="149"/>
      <c r="R4180" s="149"/>
      <c r="S4180" s="149"/>
      <c r="T4180" s="149"/>
      <c r="U4180" s="149"/>
      <c r="V4180" s="149"/>
      <c r="W4180" s="149"/>
      <c r="X4180" s="149"/>
      <c r="Y4180" s="149"/>
      <c r="Z4180" s="149"/>
      <c r="AA4180" s="149"/>
      <c r="AB4180" s="149"/>
      <c r="AC4180" s="149"/>
      <c r="AD4180" s="149"/>
      <c r="AE4180" s="149"/>
      <c r="AF4180" s="149"/>
      <c r="AG4180" s="149"/>
      <c r="AH4180" s="149"/>
      <c r="AI4180" s="149"/>
      <c r="AJ4180" s="149"/>
      <c r="AK4180" s="149"/>
      <c r="AL4180" s="149"/>
      <c r="AM4180" s="149"/>
      <c r="AN4180" s="149"/>
      <c r="AO4180" s="128"/>
      <c r="AP4180" s="128"/>
      <c r="AQ4180" s="128"/>
      <c r="AR4180" s="128"/>
      <c r="AS4180" s="128"/>
      <c r="AT4180" s="128"/>
      <c r="AU4180" s="128"/>
      <c r="AV4180" s="128"/>
      <c r="AW4180" s="128"/>
      <c r="AX4180" s="128"/>
      <c r="AY4180" s="128"/>
      <c r="AZ4180" s="128"/>
      <c r="BA4180" s="128"/>
      <c r="BB4180" s="128"/>
      <c r="BC4180" s="128"/>
      <c r="BD4180" s="128"/>
      <c r="BE4180" s="128"/>
      <c r="BF4180" s="128"/>
      <c r="BG4180" s="128"/>
      <c r="BH4180" s="128"/>
      <c r="BI4180" s="128"/>
      <c r="BJ4180" s="128"/>
      <c r="BK4180" s="128"/>
      <c r="BL4180" s="128"/>
      <c r="BM4180" s="151"/>
      <c r="BN4180" s="128"/>
      <c r="BO4180" s="128"/>
      <c r="BP4180" s="128"/>
      <c r="BQ4180" s="128"/>
      <c r="BR4180" s="128"/>
      <c r="BS4180" s="128"/>
      <c r="BT4180" s="128"/>
      <c r="BU4180" s="128"/>
      <c r="BV4180" s="128"/>
      <c r="BW4180" s="128"/>
      <c r="BX4180" s="128"/>
      <c r="BY4180" s="128"/>
      <c r="BZ4180" s="128"/>
      <c r="CA4180" s="128"/>
      <c r="CB4180" s="128"/>
      <c r="CC4180" s="128"/>
      <c r="CD4180" s="128"/>
      <c r="CE4180" s="128"/>
      <c r="CF4180" s="128"/>
      <c r="CG4180" s="128"/>
      <c r="CI4180" s="128"/>
      <c r="CJ4180" s="128"/>
      <c r="CK4180" s="128"/>
      <c r="CL4180" s="128"/>
      <c r="CM4180" s="128"/>
      <c r="CN4180" s="128"/>
      <c r="CO4180" s="128"/>
      <c r="CP4180" s="128"/>
      <c r="CQ4180" s="128"/>
      <c r="CR4180" s="128"/>
      <c r="CS4180" s="128"/>
      <c r="CT4180" s="128"/>
      <c r="CU4180" s="128"/>
      <c r="CV4180" s="128"/>
      <c r="CW4180" s="128"/>
      <c r="CX4180" s="128"/>
      <c r="CY4180" s="128"/>
      <c r="CZ4180" s="165"/>
    </row>
    <row r="4181" spans="1:104">
      <c r="A4181" s="149"/>
      <c r="B4181" s="149"/>
      <c r="C4181" s="150"/>
      <c r="D4181" s="102"/>
      <c r="E4181" s="149"/>
      <c r="F4181" s="149"/>
      <c r="G4181" s="149"/>
      <c r="H4181" s="149"/>
      <c r="I4181" s="149"/>
      <c r="J4181" s="149"/>
      <c r="K4181" s="149"/>
      <c r="L4181" s="149"/>
      <c r="M4181" s="149"/>
      <c r="N4181" s="149"/>
      <c r="O4181" s="149"/>
      <c r="P4181" s="149"/>
      <c r="Q4181" s="149"/>
      <c r="R4181" s="149"/>
      <c r="S4181" s="149"/>
      <c r="T4181" s="149"/>
      <c r="U4181" s="149"/>
      <c r="V4181" s="149"/>
      <c r="W4181" s="149"/>
      <c r="X4181" s="149"/>
      <c r="Y4181" s="149"/>
      <c r="Z4181" s="149"/>
      <c r="AA4181" s="149"/>
      <c r="AB4181" s="149"/>
      <c r="AC4181" s="149"/>
      <c r="AD4181" s="149"/>
      <c r="AE4181" s="149"/>
      <c r="AF4181" s="149"/>
      <c r="AG4181" s="149"/>
      <c r="AH4181" s="149"/>
      <c r="AI4181" s="149"/>
      <c r="AJ4181" s="149"/>
      <c r="AK4181" s="149"/>
      <c r="AL4181" s="149"/>
      <c r="AM4181" s="149"/>
      <c r="AN4181" s="149"/>
      <c r="AO4181" s="128"/>
      <c r="AP4181" s="128"/>
      <c r="AQ4181" s="128"/>
      <c r="AR4181" s="128"/>
      <c r="AS4181" s="128"/>
      <c r="AT4181" s="128"/>
      <c r="AU4181" s="128"/>
      <c r="AV4181" s="128"/>
      <c r="AW4181" s="128"/>
      <c r="AX4181" s="128"/>
      <c r="AY4181" s="128"/>
      <c r="AZ4181" s="128"/>
      <c r="BA4181" s="128"/>
      <c r="BB4181" s="128"/>
      <c r="BC4181" s="128"/>
      <c r="BD4181" s="128"/>
      <c r="BE4181" s="128"/>
      <c r="BF4181" s="128"/>
      <c r="BG4181" s="128"/>
      <c r="BH4181" s="128"/>
      <c r="BI4181" s="128"/>
      <c r="BJ4181" s="128"/>
      <c r="BK4181" s="128"/>
      <c r="BL4181" s="128"/>
      <c r="BM4181" s="151"/>
      <c r="BN4181" s="128"/>
      <c r="BO4181" s="128"/>
      <c r="BP4181" s="128"/>
      <c r="BQ4181" s="128"/>
      <c r="BR4181" s="128"/>
      <c r="BS4181" s="128"/>
      <c r="BT4181" s="128"/>
      <c r="BU4181" s="128"/>
      <c r="BV4181" s="128"/>
      <c r="BW4181" s="128"/>
      <c r="BX4181" s="128"/>
      <c r="BY4181" s="128"/>
      <c r="BZ4181" s="128"/>
      <c r="CA4181" s="128"/>
      <c r="CB4181" s="128"/>
      <c r="CC4181" s="128"/>
      <c r="CD4181" s="128"/>
      <c r="CE4181" s="128"/>
      <c r="CF4181" s="128"/>
      <c r="CG4181" s="128"/>
      <c r="CI4181" s="128"/>
      <c r="CJ4181" s="128"/>
      <c r="CK4181" s="128"/>
      <c r="CL4181" s="128"/>
      <c r="CM4181" s="128"/>
      <c r="CN4181" s="128"/>
      <c r="CO4181" s="128"/>
      <c r="CP4181" s="128"/>
      <c r="CQ4181" s="128"/>
      <c r="CR4181" s="128"/>
      <c r="CS4181" s="128"/>
      <c r="CT4181" s="128"/>
      <c r="CU4181" s="128"/>
      <c r="CV4181" s="128"/>
      <c r="CW4181" s="128"/>
      <c r="CX4181" s="128"/>
      <c r="CY4181" s="128"/>
      <c r="CZ4181" s="165"/>
    </row>
    <row r="4182" spans="1:104">
      <c r="A4182" s="149"/>
      <c r="B4182" s="149"/>
      <c r="C4182" s="150"/>
      <c r="D4182" s="102"/>
      <c r="E4182" s="149"/>
      <c r="F4182" s="149"/>
      <c r="G4182" s="149"/>
      <c r="H4182" s="149"/>
      <c r="I4182" s="149"/>
      <c r="J4182" s="149"/>
      <c r="K4182" s="149"/>
      <c r="L4182" s="149"/>
      <c r="M4182" s="149"/>
      <c r="N4182" s="149"/>
      <c r="O4182" s="149"/>
      <c r="P4182" s="149"/>
      <c r="Q4182" s="149"/>
      <c r="R4182" s="149"/>
      <c r="S4182" s="149"/>
      <c r="T4182" s="149"/>
      <c r="U4182" s="149"/>
      <c r="V4182" s="149"/>
      <c r="W4182" s="149"/>
      <c r="X4182" s="149"/>
      <c r="Y4182" s="149"/>
      <c r="Z4182" s="149"/>
      <c r="AA4182" s="149"/>
      <c r="AB4182" s="149"/>
      <c r="AC4182" s="149"/>
      <c r="AD4182" s="149"/>
      <c r="AE4182" s="149"/>
      <c r="AF4182" s="149"/>
      <c r="AG4182" s="149"/>
      <c r="AH4182" s="149"/>
      <c r="AI4182" s="149"/>
      <c r="AJ4182" s="149"/>
      <c r="AK4182" s="149"/>
      <c r="AL4182" s="149"/>
      <c r="AM4182" s="149"/>
      <c r="AN4182" s="149"/>
      <c r="AO4182" s="128"/>
      <c r="AP4182" s="128"/>
      <c r="AQ4182" s="128"/>
      <c r="AR4182" s="128"/>
      <c r="AS4182" s="128"/>
      <c r="AT4182" s="128"/>
      <c r="AU4182" s="128"/>
      <c r="AV4182" s="128"/>
      <c r="AW4182" s="128"/>
      <c r="AX4182" s="128"/>
      <c r="AY4182" s="128"/>
      <c r="AZ4182" s="128"/>
      <c r="BA4182" s="128"/>
      <c r="BB4182" s="128"/>
      <c r="BC4182" s="128"/>
      <c r="BD4182" s="128"/>
      <c r="BE4182" s="128"/>
      <c r="BF4182" s="128"/>
      <c r="BG4182" s="128"/>
      <c r="BH4182" s="128"/>
      <c r="BI4182" s="128"/>
      <c r="BJ4182" s="128"/>
      <c r="BK4182" s="128"/>
      <c r="BL4182" s="128"/>
      <c r="BM4182" s="151"/>
      <c r="BN4182" s="128"/>
      <c r="BO4182" s="128"/>
      <c r="BP4182" s="128"/>
      <c r="BQ4182" s="128"/>
      <c r="BR4182" s="128"/>
      <c r="BS4182" s="128"/>
      <c r="BT4182" s="128"/>
      <c r="BU4182" s="128"/>
      <c r="BV4182" s="128"/>
      <c r="BW4182" s="128"/>
      <c r="BX4182" s="128"/>
      <c r="BY4182" s="128"/>
      <c r="BZ4182" s="128"/>
      <c r="CA4182" s="128"/>
      <c r="CB4182" s="128"/>
      <c r="CC4182" s="128"/>
      <c r="CD4182" s="128"/>
      <c r="CE4182" s="128"/>
      <c r="CF4182" s="128"/>
      <c r="CG4182" s="128"/>
      <c r="CI4182" s="128"/>
      <c r="CJ4182" s="128"/>
      <c r="CK4182" s="128"/>
      <c r="CL4182" s="128"/>
      <c r="CM4182" s="128"/>
      <c r="CN4182" s="128"/>
      <c r="CO4182" s="128"/>
      <c r="CP4182" s="128"/>
      <c r="CQ4182" s="128"/>
      <c r="CR4182" s="128"/>
      <c r="CS4182" s="128"/>
      <c r="CT4182" s="128"/>
      <c r="CU4182" s="128"/>
      <c r="CV4182" s="128"/>
      <c r="CW4182" s="128"/>
      <c r="CX4182" s="128"/>
      <c r="CY4182" s="128"/>
      <c r="CZ4182" s="165"/>
    </row>
    <row r="4183" spans="1:104">
      <c r="A4183" s="149"/>
      <c r="B4183" s="149"/>
      <c r="C4183" s="150"/>
      <c r="D4183" s="102"/>
      <c r="E4183" s="149"/>
      <c r="F4183" s="149"/>
      <c r="G4183" s="149"/>
      <c r="H4183" s="149"/>
      <c r="I4183" s="149"/>
      <c r="J4183" s="149"/>
      <c r="K4183" s="149"/>
      <c r="L4183" s="149"/>
      <c r="M4183" s="149"/>
      <c r="N4183" s="149"/>
      <c r="O4183" s="149"/>
      <c r="P4183" s="149"/>
      <c r="Q4183" s="149"/>
      <c r="R4183" s="149"/>
      <c r="S4183" s="149"/>
      <c r="T4183" s="149"/>
      <c r="U4183" s="149"/>
      <c r="V4183" s="149"/>
      <c r="W4183" s="149"/>
      <c r="X4183" s="149"/>
      <c r="Y4183" s="149"/>
      <c r="Z4183" s="149"/>
      <c r="AA4183" s="149"/>
      <c r="AB4183" s="149"/>
      <c r="AC4183" s="149"/>
      <c r="AD4183" s="149"/>
      <c r="AE4183" s="149"/>
      <c r="AF4183" s="149"/>
      <c r="AG4183" s="149"/>
      <c r="AH4183" s="149"/>
      <c r="AI4183" s="149"/>
      <c r="AJ4183" s="149"/>
      <c r="AK4183" s="149"/>
      <c r="AL4183" s="149"/>
      <c r="AM4183" s="149"/>
      <c r="AN4183" s="149"/>
      <c r="AO4183" s="128"/>
      <c r="AP4183" s="128"/>
      <c r="AQ4183" s="128"/>
      <c r="AR4183" s="128"/>
      <c r="AS4183" s="128"/>
      <c r="AT4183" s="128"/>
      <c r="AU4183" s="128"/>
      <c r="AV4183" s="128"/>
      <c r="AW4183" s="128"/>
      <c r="AX4183" s="128"/>
      <c r="AY4183" s="128"/>
      <c r="AZ4183" s="128"/>
      <c r="BA4183" s="128"/>
      <c r="BB4183" s="128"/>
      <c r="BC4183" s="128"/>
      <c r="BD4183" s="128"/>
      <c r="BE4183" s="128"/>
      <c r="BF4183" s="128"/>
      <c r="BG4183" s="128"/>
      <c r="BH4183" s="128"/>
      <c r="BI4183" s="128"/>
      <c r="BJ4183" s="128"/>
      <c r="BK4183" s="128"/>
      <c r="BL4183" s="128"/>
      <c r="BM4183" s="151"/>
      <c r="BN4183" s="128"/>
      <c r="BO4183" s="128"/>
      <c r="BP4183" s="128"/>
      <c r="BQ4183" s="128"/>
      <c r="BR4183" s="128"/>
      <c r="BS4183" s="128"/>
      <c r="BT4183" s="128"/>
      <c r="BU4183" s="128"/>
      <c r="BV4183" s="128"/>
      <c r="BW4183" s="128"/>
      <c r="BX4183" s="128"/>
      <c r="BY4183" s="128"/>
      <c r="BZ4183" s="128"/>
      <c r="CA4183" s="128"/>
      <c r="CB4183" s="128"/>
      <c r="CC4183" s="128"/>
      <c r="CD4183" s="128"/>
      <c r="CE4183" s="128"/>
      <c r="CF4183" s="128"/>
      <c r="CG4183" s="128"/>
      <c r="CI4183" s="128"/>
      <c r="CJ4183" s="128"/>
      <c r="CK4183" s="128"/>
      <c r="CL4183" s="128"/>
      <c r="CM4183" s="128"/>
      <c r="CN4183" s="128"/>
      <c r="CO4183" s="128"/>
      <c r="CP4183" s="128"/>
      <c r="CQ4183" s="128"/>
      <c r="CR4183" s="128"/>
      <c r="CS4183" s="128"/>
      <c r="CT4183" s="128"/>
      <c r="CU4183" s="128"/>
      <c r="CV4183" s="128"/>
      <c r="CW4183" s="128"/>
      <c r="CX4183" s="128"/>
      <c r="CY4183" s="128"/>
      <c r="CZ4183" s="165"/>
    </row>
    <row r="4184" spans="1:104">
      <c r="A4184" s="149"/>
      <c r="B4184" s="149"/>
      <c r="C4184" s="150"/>
      <c r="D4184" s="102"/>
      <c r="E4184" s="149"/>
      <c r="F4184" s="149"/>
      <c r="G4184" s="149"/>
      <c r="H4184" s="149"/>
      <c r="I4184" s="149"/>
      <c r="J4184" s="149"/>
      <c r="K4184" s="149"/>
      <c r="L4184" s="149"/>
      <c r="M4184" s="149"/>
      <c r="N4184" s="149"/>
      <c r="O4184" s="149"/>
      <c r="P4184" s="149"/>
      <c r="Q4184" s="149"/>
      <c r="R4184" s="149"/>
      <c r="S4184" s="149"/>
      <c r="T4184" s="149"/>
      <c r="U4184" s="149"/>
      <c r="V4184" s="149"/>
      <c r="W4184" s="149"/>
      <c r="X4184" s="149"/>
      <c r="Y4184" s="149"/>
      <c r="Z4184" s="149"/>
      <c r="AA4184" s="149"/>
      <c r="AB4184" s="149"/>
      <c r="AC4184" s="149"/>
      <c r="AD4184" s="149"/>
      <c r="AE4184" s="149"/>
      <c r="AF4184" s="149"/>
      <c r="AG4184" s="149"/>
      <c r="AH4184" s="149"/>
      <c r="AI4184" s="149"/>
      <c r="AJ4184" s="149"/>
      <c r="AK4184" s="149"/>
      <c r="AL4184" s="149"/>
      <c r="AM4184" s="149"/>
      <c r="AN4184" s="149"/>
      <c r="AO4184" s="128"/>
      <c r="AP4184" s="128"/>
      <c r="AQ4184" s="128"/>
      <c r="AR4184" s="128"/>
      <c r="AS4184" s="128"/>
      <c r="AT4184" s="128"/>
      <c r="AU4184" s="128"/>
      <c r="AV4184" s="128"/>
      <c r="AW4184" s="128"/>
      <c r="AX4184" s="128"/>
      <c r="AY4184" s="128"/>
      <c r="AZ4184" s="128"/>
      <c r="BA4184" s="128"/>
      <c r="BB4184" s="128"/>
      <c r="BC4184" s="128"/>
      <c r="BD4184" s="128"/>
      <c r="BE4184" s="128"/>
      <c r="BF4184" s="128"/>
      <c r="BG4184" s="128"/>
      <c r="BH4184" s="128"/>
      <c r="BI4184" s="128"/>
      <c r="BJ4184" s="128"/>
      <c r="BK4184" s="128"/>
      <c r="BL4184" s="128"/>
      <c r="BM4184" s="151"/>
      <c r="BN4184" s="128"/>
      <c r="BO4184" s="128"/>
      <c r="BP4184" s="128"/>
      <c r="BQ4184" s="128"/>
      <c r="BR4184" s="128"/>
      <c r="BS4184" s="128"/>
      <c r="BT4184" s="128"/>
      <c r="BU4184" s="128"/>
      <c r="BV4184" s="128"/>
      <c r="BW4184" s="128"/>
      <c r="BX4184" s="128"/>
      <c r="BY4184" s="128"/>
      <c r="BZ4184" s="128"/>
      <c r="CA4184" s="128"/>
      <c r="CB4184" s="128"/>
      <c r="CC4184" s="128"/>
      <c r="CD4184" s="128"/>
      <c r="CE4184" s="128"/>
      <c r="CF4184" s="128"/>
      <c r="CG4184" s="128"/>
      <c r="CI4184" s="128"/>
      <c r="CJ4184" s="128"/>
      <c r="CK4184" s="128"/>
      <c r="CL4184" s="128"/>
      <c r="CM4184" s="128"/>
      <c r="CN4184" s="128"/>
      <c r="CO4184" s="128"/>
      <c r="CP4184" s="128"/>
      <c r="CQ4184" s="128"/>
      <c r="CR4184" s="128"/>
      <c r="CS4184" s="128"/>
      <c r="CT4184" s="128"/>
      <c r="CU4184" s="128"/>
      <c r="CV4184" s="128"/>
      <c r="CW4184" s="128"/>
      <c r="CX4184" s="128"/>
      <c r="CY4184" s="128"/>
      <c r="CZ4184" s="165"/>
    </row>
    <row r="4185" spans="1:104">
      <c r="A4185" s="149"/>
      <c r="B4185" s="149"/>
      <c r="C4185" s="150"/>
      <c r="D4185" s="102"/>
      <c r="E4185" s="149"/>
      <c r="F4185" s="149"/>
      <c r="G4185" s="149"/>
      <c r="H4185" s="149"/>
      <c r="I4185" s="149"/>
      <c r="J4185" s="149"/>
      <c r="K4185" s="149"/>
      <c r="L4185" s="149"/>
      <c r="M4185" s="149"/>
      <c r="N4185" s="149"/>
      <c r="O4185" s="149"/>
      <c r="P4185" s="149"/>
      <c r="Q4185" s="149"/>
      <c r="R4185" s="149"/>
      <c r="S4185" s="149"/>
      <c r="T4185" s="149"/>
      <c r="U4185" s="149"/>
      <c r="V4185" s="149"/>
      <c r="W4185" s="149"/>
      <c r="X4185" s="149"/>
      <c r="Y4185" s="149"/>
      <c r="Z4185" s="149"/>
      <c r="AA4185" s="149"/>
      <c r="AB4185" s="149"/>
      <c r="AC4185" s="149"/>
      <c r="AD4185" s="149"/>
      <c r="AE4185" s="149"/>
      <c r="AF4185" s="149"/>
      <c r="AG4185" s="149"/>
      <c r="AH4185" s="149"/>
      <c r="AI4185" s="149"/>
      <c r="AJ4185" s="149"/>
      <c r="AK4185" s="149"/>
      <c r="AL4185" s="149"/>
      <c r="AM4185" s="149"/>
      <c r="AN4185" s="149"/>
      <c r="AO4185" s="128"/>
      <c r="AP4185" s="128"/>
      <c r="AQ4185" s="128"/>
      <c r="AR4185" s="128"/>
      <c r="AS4185" s="128"/>
      <c r="AT4185" s="128"/>
      <c r="AU4185" s="128"/>
      <c r="AV4185" s="128"/>
      <c r="AW4185" s="128"/>
      <c r="AX4185" s="128"/>
      <c r="AY4185" s="128"/>
      <c r="AZ4185" s="128"/>
      <c r="BA4185" s="128"/>
      <c r="BB4185" s="128"/>
      <c r="BC4185" s="128"/>
      <c r="BD4185" s="128"/>
      <c r="BE4185" s="128"/>
      <c r="BF4185" s="128"/>
      <c r="BG4185" s="128"/>
      <c r="BH4185" s="128"/>
      <c r="BI4185" s="128"/>
      <c r="BJ4185" s="128"/>
      <c r="BK4185" s="128"/>
      <c r="BL4185" s="128"/>
      <c r="BM4185" s="151"/>
      <c r="BN4185" s="128"/>
      <c r="BO4185" s="128"/>
      <c r="BP4185" s="128"/>
      <c r="BQ4185" s="128"/>
      <c r="BR4185" s="128"/>
      <c r="BS4185" s="128"/>
      <c r="BT4185" s="128"/>
      <c r="BU4185" s="128"/>
      <c r="BV4185" s="128"/>
      <c r="BW4185" s="128"/>
      <c r="BX4185" s="128"/>
      <c r="BY4185" s="128"/>
      <c r="BZ4185" s="128"/>
      <c r="CA4185" s="128"/>
      <c r="CB4185" s="128"/>
      <c r="CC4185" s="128"/>
      <c r="CD4185" s="128"/>
      <c r="CE4185" s="128"/>
      <c r="CF4185" s="128"/>
      <c r="CG4185" s="128"/>
      <c r="CI4185" s="128"/>
      <c r="CJ4185" s="128"/>
      <c r="CK4185" s="128"/>
      <c r="CL4185" s="128"/>
      <c r="CM4185" s="128"/>
      <c r="CN4185" s="128"/>
      <c r="CO4185" s="128"/>
      <c r="CP4185" s="128"/>
      <c r="CQ4185" s="128"/>
      <c r="CR4185" s="128"/>
      <c r="CS4185" s="128"/>
      <c r="CT4185" s="128"/>
      <c r="CU4185" s="128"/>
      <c r="CV4185" s="128"/>
      <c r="CW4185" s="128"/>
      <c r="CX4185" s="128"/>
      <c r="CY4185" s="128"/>
      <c r="CZ4185" s="165"/>
    </row>
    <row r="4186" spans="1:104">
      <c r="A4186" s="149"/>
      <c r="B4186" s="149"/>
      <c r="C4186" s="150"/>
      <c r="D4186" s="102"/>
      <c r="E4186" s="149"/>
      <c r="F4186" s="149"/>
      <c r="G4186" s="149"/>
      <c r="H4186" s="149"/>
      <c r="I4186" s="149"/>
      <c r="J4186" s="149"/>
      <c r="K4186" s="149"/>
      <c r="L4186" s="149"/>
      <c r="M4186" s="149"/>
      <c r="N4186" s="149"/>
      <c r="O4186" s="149"/>
      <c r="P4186" s="149"/>
      <c r="Q4186" s="149"/>
      <c r="R4186" s="149"/>
      <c r="S4186" s="149"/>
      <c r="T4186" s="149"/>
      <c r="U4186" s="149"/>
      <c r="V4186" s="149"/>
      <c r="W4186" s="149"/>
      <c r="X4186" s="149"/>
      <c r="Y4186" s="149"/>
      <c r="Z4186" s="149"/>
      <c r="AA4186" s="149"/>
      <c r="AB4186" s="149"/>
      <c r="AC4186" s="149"/>
      <c r="AD4186" s="149"/>
      <c r="AE4186" s="149"/>
      <c r="AF4186" s="149"/>
      <c r="AG4186" s="149"/>
      <c r="AH4186" s="149"/>
      <c r="AI4186" s="149"/>
      <c r="AJ4186" s="149"/>
      <c r="AK4186" s="149"/>
      <c r="AL4186" s="149"/>
      <c r="AM4186" s="149"/>
      <c r="AN4186" s="149"/>
      <c r="AO4186" s="128"/>
      <c r="AP4186" s="128"/>
      <c r="AQ4186" s="128"/>
      <c r="AR4186" s="128"/>
      <c r="AS4186" s="128"/>
      <c r="AT4186" s="128"/>
      <c r="AU4186" s="128"/>
      <c r="AV4186" s="128"/>
      <c r="AW4186" s="128"/>
      <c r="AX4186" s="128"/>
      <c r="AY4186" s="128"/>
      <c r="AZ4186" s="128"/>
      <c r="BA4186" s="128"/>
      <c r="BB4186" s="128"/>
      <c r="BC4186" s="128"/>
      <c r="BD4186" s="128"/>
      <c r="BE4186" s="128"/>
      <c r="BF4186" s="128"/>
      <c r="BG4186" s="128"/>
      <c r="BH4186" s="128"/>
      <c r="BI4186" s="128"/>
      <c r="BJ4186" s="128"/>
      <c r="BK4186" s="128"/>
      <c r="BL4186" s="128"/>
      <c r="BM4186" s="151"/>
      <c r="BN4186" s="128"/>
      <c r="BO4186" s="128"/>
      <c r="BP4186" s="128"/>
      <c r="BQ4186" s="128"/>
      <c r="BR4186" s="128"/>
      <c r="BS4186" s="128"/>
      <c r="BT4186" s="128"/>
      <c r="BU4186" s="128"/>
      <c r="BV4186" s="128"/>
      <c r="BW4186" s="128"/>
      <c r="BX4186" s="128"/>
      <c r="BY4186" s="128"/>
      <c r="BZ4186" s="128"/>
      <c r="CA4186" s="128"/>
      <c r="CB4186" s="128"/>
      <c r="CC4186" s="128"/>
      <c r="CD4186" s="128"/>
      <c r="CE4186" s="128"/>
      <c r="CF4186" s="128"/>
      <c r="CG4186" s="128"/>
      <c r="CI4186" s="128"/>
      <c r="CJ4186" s="128"/>
      <c r="CK4186" s="128"/>
      <c r="CL4186" s="128"/>
      <c r="CM4186" s="128"/>
      <c r="CN4186" s="128"/>
      <c r="CO4186" s="128"/>
      <c r="CP4186" s="128"/>
      <c r="CQ4186" s="128"/>
      <c r="CR4186" s="128"/>
      <c r="CS4186" s="128"/>
      <c r="CT4186" s="128"/>
      <c r="CU4186" s="128"/>
      <c r="CV4186" s="128"/>
      <c r="CW4186" s="128"/>
      <c r="CX4186" s="128"/>
      <c r="CY4186" s="128"/>
      <c r="CZ4186" s="165"/>
    </row>
    <row r="4187" spans="1:104">
      <c r="A4187" s="149"/>
      <c r="B4187" s="149"/>
      <c r="C4187" s="150"/>
      <c r="D4187" s="102"/>
      <c r="E4187" s="149"/>
      <c r="F4187" s="149"/>
      <c r="G4187" s="149"/>
      <c r="H4187" s="149"/>
      <c r="I4187" s="149"/>
      <c r="J4187" s="149"/>
      <c r="K4187" s="149"/>
      <c r="L4187" s="149"/>
      <c r="M4187" s="149"/>
      <c r="N4187" s="149"/>
      <c r="O4187" s="149"/>
      <c r="P4187" s="149"/>
      <c r="Q4187" s="149"/>
      <c r="R4187" s="149"/>
      <c r="S4187" s="149"/>
      <c r="T4187" s="149"/>
      <c r="U4187" s="149"/>
      <c r="V4187" s="149"/>
      <c r="W4187" s="149"/>
      <c r="X4187" s="149"/>
      <c r="Y4187" s="149"/>
      <c r="Z4187" s="149"/>
      <c r="AA4187" s="149"/>
      <c r="AB4187" s="149"/>
      <c r="AC4187" s="149"/>
      <c r="AD4187" s="149"/>
      <c r="AE4187" s="149"/>
      <c r="AF4187" s="149"/>
      <c r="AG4187" s="149"/>
      <c r="AH4187" s="149"/>
      <c r="AI4187" s="149"/>
      <c r="AJ4187" s="149"/>
      <c r="AK4187" s="149"/>
      <c r="AL4187" s="149"/>
      <c r="AM4187" s="149"/>
      <c r="AN4187" s="149"/>
      <c r="AO4187" s="128"/>
      <c r="AP4187" s="128"/>
      <c r="AQ4187" s="128"/>
      <c r="AR4187" s="128"/>
      <c r="AS4187" s="128"/>
      <c r="AT4187" s="128"/>
      <c r="AU4187" s="128"/>
      <c r="AV4187" s="128"/>
      <c r="AW4187" s="128"/>
      <c r="AX4187" s="128"/>
      <c r="AY4187" s="128"/>
      <c r="AZ4187" s="128"/>
      <c r="BA4187" s="128"/>
      <c r="BB4187" s="128"/>
      <c r="BC4187" s="128"/>
      <c r="BD4187" s="128"/>
      <c r="BE4187" s="128"/>
      <c r="BF4187" s="128"/>
      <c r="BG4187" s="128"/>
      <c r="BH4187" s="128"/>
      <c r="BI4187" s="128"/>
      <c r="BJ4187" s="128"/>
      <c r="BK4187" s="128"/>
      <c r="BL4187" s="128"/>
      <c r="BM4187" s="151"/>
      <c r="BN4187" s="128"/>
      <c r="BO4187" s="128"/>
      <c r="BP4187" s="128"/>
      <c r="BQ4187" s="128"/>
      <c r="BR4187" s="128"/>
      <c r="BS4187" s="128"/>
      <c r="BT4187" s="128"/>
      <c r="BU4187" s="128"/>
      <c r="BV4187" s="128"/>
      <c r="BW4187" s="128"/>
      <c r="BX4187" s="128"/>
      <c r="BY4187" s="128"/>
      <c r="BZ4187" s="128"/>
      <c r="CA4187" s="128"/>
      <c r="CB4187" s="128"/>
      <c r="CC4187" s="128"/>
      <c r="CD4187" s="128"/>
      <c r="CE4187" s="128"/>
      <c r="CF4187" s="128"/>
      <c r="CG4187" s="128"/>
      <c r="CI4187" s="128"/>
      <c r="CJ4187" s="128"/>
      <c r="CK4187" s="128"/>
      <c r="CL4187" s="128"/>
      <c r="CM4187" s="128"/>
      <c r="CN4187" s="128"/>
      <c r="CO4187" s="128"/>
      <c r="CP4187" s="128"/>
      <c r="CQ4187" s="128"/>
      <c r="CR4187" s="128"/>
      <c r="CS4187" s="128"/>
      <c r="CT4187" s="128"/>
      <c r="CU4187" s="128"/>
      <c r="CV4187" s="128"/>
      <c r="CW4187" s="128"/>
      <c r="CX4187" s="128"/>
      <c r="CY4187" s="128"/>
      <c r="CZ4187" s="165"/>
    </row>
    <row r="4188" spans="1:104">
      <c r="A4188" s="149"/>
      <c r="B4188" s="149"/>
      <c r="C4188" s="150"/>
      <c r="D4188" s="102"/>
      <c r="E4188" s="149"/>
      <c r="F4188" s="149"/>
      <c r="G4188" s="149"/>
      <c r="H4188" s="149"/>
      <c r="I4188" s="149"/>
      <c r="J4188" s="149"/>
      <c r="K4188" s="149"/>
      <c r="L4188" s="149"/>
      <c r="M4188" s="149"/>
      <c r="N4188" s="149"/>
      <c r="O4188" s="149"/>
      <c r="P4188" s="149"/>
      <c r="Q4188" s="149"/>
      <c r="R4188" s="149"/>
      <c r="S4188" s="149"/>
      <c r="T4188" s="149"/>
      <c r="U4188" s="149"/>
      <c r="V4188" s="149"/>
      <c r="W4188" s="149"/>
      <c r="X4188" s="149"/>
      <c r="Y4188" s="149"/>
      <c r="Z4188" s="149"/>
      <c r="AA4188" s="149"/>
      <c r="AB4188" s="149"/>
      <c r="AC4188" s="149"/>
      <c r="AD4188" s="149"/>
      <c r="AE4188" s="149"/>
      <c r="AF4188" s="149"/>
      <c r="AG4188" s="149"/>
      <c r="AH4188" s="149"/>
      <c r="AI4188" s="149"/>
      <c r="AJ4188" s="149"/>
      <c r="AK4188" s="149"/>
      <c r="AL4188" s="149"/>
      <c r="AM4188" s="149"/>
      <c r="AN4188" s="149"/>
      <c r="AO4188" s="128"/>
      <c r="AP4188" s="128"/>
      <c r="AQ4188" s="128"/>
      <c r="AR4188" s="128"/>
      <c r="AS4188" s="128"/>
      <c r="AT4188" s="128"/>
      <c r="AU4188" s="128"/>
      <c r="AV4188" s="128"/>
      <c r="AW4188" s="128"/>
      <c r="AX4188" s="128"/>
      <c r="AY4188" s="128"/>
      <c r="AZ4188" s="128"/>
      <c r="BA4188" s="128"/>
      <c r="BB4188" s="128"/>
      <c r="BC4188" s="128"/>
      <c r="BD4188" s="128"/>
      <c r="BE4188" s="128"/>
      <c r="BF4188" s="128"/>
      <c r="BG4188" s="128"/>
      <c r="BH4188" s="128"/>
      <c r="BI4188" s="128"/>
      <c r="BJ4188" s="128"/>
      <c r="BK4188" s="128"/>
      <c r="BL4188" s="128"/>
      <c r="BM4188" s="151"/>
      <c r="BN4188" s="128"/>
      <c r="BO4188" s="128"/>
      <c r="BP4188" s="128"/>
      <c r="BQ4188" s="128"/>
      <c r="BR4188" s="128"/>
      <c r="BS4188" s="128"/>
      <c r="BT4188" s="128"/>
      <c r="BU4188" s="128"/>
      <c r="BV4188" s="128"/>
      <c r="BW4188" s="128"/>
      <c r="BX4188" s="128"/>
      <c r="BY4188" s="128"/>
      <c r="BZ4188" s="128"/>
      <c r="CA4188" s="128"/>
      <c r="CB4188" s="128"/>
      <c r="CC4188" s="128"/>
      <c r="CD4188" s="128"/>
      <c r="CE4188" s="128"/>
      <c r="CF4188" s="128"/>
      <c r="CG4188" s="128"/>
      <c r="CI4188" s="128"/>
      <c r="CJ4188" s="128"/>
      <c r="CK4188" s="128"/>
      <c r="CL4188" s="128"/>
      <c r="CM4188" s="128"/>
      <c r="CN4188" s="128"/>
      <c r="CO4188" s="128"/>
      <c r="CP4188" s="128"/>
      <c r="CQ4188" s="128"/>
      <c r="CR4188" s="128"/>
      <c r="CS4188" s="128"/>
      <c r="CT4188" s="128"/>
      <c r="CU4188" s="128"/>
      <c r="CV4188" s="128"/>
      <c r="CW4188" s="128"/>
      <c r="CX4188" s="128"/>
      <c r="CY4188" s="128"/>
      <c r="CZ4188" s="165"/>
    </row>
    <row r="4189" spans="1:104">
      <c r="A4189" s="149"/>
      <c r="B4189" s="149"/>
      <c r="C4189" s="150"/>
      <c r="D4189" s="102"/>
      <c r="E4189" s="149"/>
      <c r="F4189" s="149"/>
      <c r="G4189" s="149"/>
      <c r="H4189" s="149"/>
      <c r="I4189" s="149"/>
      <c r="J4189" s="149"/>
      <c r="K4189" s="149"/>
      <c r="L4189" s="149"/>
      <c r="M4189" s="149"/>
      <c r="N4189" s="149"/>
      <c r="O4189" s="149"/>
      <c r="P4189" s="149"/>
      <c r="Q4189" s="149"/>
      <c r="R4189" s="149"/>
      <c r="S4189" s="149"/>
      <c r="T4189" s="149"/>
      <c r="U4189" s="149"/>
      <c r="V4189" s="149"/>
      <c r="W4189" s="149"/>
      <c r="X4189" s="149"/>
      <c r="Y4189" s="149"/>
      <c r="Z4189" s="149"/>
      <c r="AA4189" s="149"/>
      <c r="AB4189" s="149"/>
      <c r="AC4189" s="149"/>
      <c r="AD4189" s="149"/>
      <c r="AE4189" s="149"/>
      <c r="AF4189" s="149"/>
      <c r="AG4189" s="149"/>
      <c r="AH4189" s="149"/>
      <c r="AI4189" s="149"/>
      <c r="AJ4189" s="149"/>
      <c r="AK4189" s="149"/>
      <c r="AL4189" s="149"/>
      <c r="AM4189" s="149"/>
      <c r="AN4189" s="149"/>
      <c r="AO4189" s="128"/>
      <c r="AP4189" s="128"/>
      <c r="AQ4189" s="128"/>
      <c r="AR4189" s="128"/>
      <c r="AS4189" s="128"/>
      <c r="AT4189" s="128"/>
      <c r="AU4189" s="128"/>
      <c r="AV4189" s="128"/>
      <c r="AW4189" s="128"/>
      <c r="AX4189" s="128"/>
      <c r="AY4189" s="128"/>
      <c r="AZ4189" s="128"/>
      <c r="BA4189" s="128"/>
      <c r="BB4189" s="128"/>
      <c r="BC4189" s="128"/>
      <c r="BD4189" s="128"/>
      <c r="BE4189" s="128"/>
      <c r="BF4189" s="128"/>
      <c r="BG4189" s="128"/>
      <c r="BH4189" s="128"/>
      <c r="BI4189" s="128"/>
      <c r="BJ4189" s="128"/>
      <c r="BK4189" s="128"/>
      <c r="BL4189" s="128"/>
      <c r="BM4189" s="151"/>
      <c r="BN4189" s="128"/>
      <c r="BO4189" s="128"/>
      <c r="BP4189" s="128"/>
      <c r="BQ4189" s="128"/>
      <c r="BR4189" s="128"/>
      <c r="BS4189" s="128"/>
      <c r="BT4189" s="128"/>
      <c r="BU4189" s="128"/>
      <c r="BV4189" s="128"/>
      <c r="BW4189" s="128"/>
      <c r="BX4189" s="128"/>
      <c r="BY4189" s="128"/>
      <c r="BZ4189" s="128"/>
      <c r="CA4189" s="128"/>
      <c r="CB4189" s="128"/>
      <c r="CC4189" s="128"/>
      <c r="CD4189" s="128"/>
      <c r="CE4189" s="128"/>
      <c r="CF4189" s="128"/>
      <c r="CG4189" s="128"/>
      <c r="CI4189" s="128"/>
      <c r="CJ4189" s="128"/>
      <c r="CK4189" s="128"/>
      <c r="CL4189" s="128"/>
      <c r="CM4189" s="128"/>
      <c r="CN4189" s="128"/>
      <c r="CO4189" s="128"/>
      <c r="CP4189" s="128"/>
      <c r="CQ4189" s="128"/>
      <c r="CR4189" s="128"/>
      <c r="CS4189" s="128"/>
      <c r="CT4189" s="128"/>
      <c r="CU4189" s="128"/>
      <c r="CV4189" s="128"/>
      <c r="CW4189" s="128"/>
      <c r="CX4189" s="128"/>
      <c r="CY4189" s="128"/>
      <c r="CZ4189" s="165"/>
    </row>
    <row r="4190" spans="1:104">
      <c r="A4190" s="149"/>
      <c r="B4190" s="149"/>
      <c r="C4190" s="150"/>
      <c r="D4190" s="102"/>
      <c r="E4190" s="149"/>
      <c r="F4190" s="149"/>
      <c r="G4190" s="149"/>
      <c r="H4190" s="149"/>
      <c r="I4190" s="149"/>
      <c r="J4190" s="149"/>
      <c r="K4190" s="149"/>
      <c r="L4190" s="149"/>
      <c r="M4190" s="149"/>
      <c r="N4190" s="149"/>
      <c r="O4190" s="149"/>
      <c r="P4190" s="149"/>
      <c r="Q4190" s="149"/>
      <c r="R4190" s="149"/>
      <c r="S4190" s="149"/>
      <c r="T4190" s="149"/>
      <c r="U4190" s="149"/>
      <c r="V4190" s="149"/>
      <c r="W4190" s="149"/>
      <c r="X4190" s="149"/>
      <c r="Y4190" s="149"/>
      <c r="Z4190" s="149"/>
      <c r="AA4190" s="149"/>
      <c r="AB4190" s="149"/>
      <c r="AC4190" s="149"/>
      <c r="AD4190" s="149"/>
      <c r="AE4190" s="149"/>
      <c r="AF4190" s="149"/>
      <c r="AG4190" s="149"/>
      <c r="AH4190" s="149"/>
      <c r="AI4190" s="149"/>
      <c r="AJ4190" s="149"/>
      <c r="AK4190" s="149"/>
      <c r="AL4190" s="149"/>
      <c r="AM4190" s="149"/>
      <c r="AN4190" s="149"/>
      <c r="AO4190" s="128"/>
      <c r="AP4190" s="128"/>
      <c r="AQ4190" s="128"/>
      <c r="AR4190" s="128"/>
      <c r="AS4190" s="128"/>
      <c r="AT4190" s="128"/>
      <c r="AU4190" s="128"/>
      <c r="AV4190" s="128"/>
      <c r="AW4190" s="128"/>
      <c r="AX4190" s="128"/>
      <c r="AY4190" s="128"/>
      <c r="AZ4190" s="128"/>
      <c r="BA4190" s="128"/>
      <c r="BB4190" s="128"/>
      <c r="BC4190" s="128"/>
      <c r="BD4190" s="128"/>
      <c r="BE4190" s="128"/>
      <c r="BF4190" s="128"/>
      <c r="BG4190" s="128"/>
      <c r="BH4190" s="128"/>
      <c r="BI4190" s="128"/>
      <c r="BJ4190" s="128"/>
      <c r="BK4190" s="128"/>
      <c r="BL4190" s="128"/>
      <c r="BM4190" s="151"/>
      <c r="BN4190" s="128"/>
      <c r="BO4190" s="128"/>
      <c r="BP4190" s="128"/>
      <c r="BQ4190" s="128"/>
      <c r="BR4190" s="128"/>
      <c r="BS4190" s="128"/>
      <c r="BT4190" s="128"/>
      <c r="BU4190" s="128"/>
      <c r="BV4190" s="128"/>
      <c r="BW4190" s="128"/>
      <c r="BX4190" s="128"/>
      <c r="BY4190" s="128"/>
      <c r="BZ4190" s="128"/>
      <c r="CA4190" s="128"/>
      <c r="CB4190" s="128"/>
      <c r="CC4190" s="128"/>
      <c r="CD4190" s="128"/>
      <c r="CE4190" s="128"/>
      <c r="CF4190" s="128"/>
      <c r="CG4190" s="128"/>
      <c r="CI4190" s="128"/>
      <c r="CJ4190" s="128"/>
      <c r="CK4190" s="128"/>
      <c r="CL4190" s="128"/>
      <c r="CM4190" s="128"/>
      <c r="CN4190" s="128"/>
      <c r="CO4190" s="128"/>
      <c r="CP4190" s="128"/>
      <c r="CQ4190" s="128"/>
      <c r="CR4190" s="128"/>
      <c r="CS4190" s="128"/>
      <c r="CT4190" s="128"/>
      <c r="CU4190" s="128"/>
      <c r="CV4190" s="128"/>
      <c r="CW4190" s="128"/>
      <c r="CX4190" s="128"/>
      <c r="CY4190" s="128"/>
      <c r="CZ4190" s="165"/>
    </row>
    <row r="4191" spans="1:104">
      <c r="A4191" s="149"/>
      <c r="B4191" s="149"/>
      <c r="C4191" s="150"/>
      <c r="D4191" s="102"/>
      <c r="E4191" s="149"/>
      <c r="F4191" s="149"/>
      <c r="G4191" s="149"/>
      <c r="H4191" s="149"/>
      <c r="I4191" s="149"/>
      <c r="J4191" s="149"/>
      <c r="K4191" s="149"/>
      <c r="L4191" s="149"/>
      <c r="M4191" s="149"/>
      <c r="N4191" s="149"/>
      <c r="O4191" s="149"/>
      <c r="P4191" s="149"/>
      <c r="Q4191" s="149"/>
      <c r="R4191" s="149"/>
      <c r="S4191" s="149"/>
      <c r="T4191" s="149"/>
      <c r="U4191" s="149"/>
      <c r="V4191" s="149"/>
      <c r="W4191" s="149"/>
      <c r="X4191" s="149"/>
      <c r="Y4191" s="149"/>
      <c r="Z4191" s="149"/>
      <c r="AA4191" s="149"/>
      <c r="AB4191" s="149"/>
      <c r="AC4191" s="149"/>
      <c r="AD4191" s="149"/>
      <c r="AE4191" s="149"/>
      <c r="AF4191" s="149"/>
      <c r="AG4191" s="149"/>
      <c r="AH4191" s="149"/>
      <c r="AI4191" s="149"/>
      <c r="AJ4191" s="149"/>
      <c r="AK4191" s="149"/>
      <c r="AL4191" s="149"/>
      <c r="AM4191" s="149"/>
      <c r="AN4191" s="149"/>
      <c r="AO4191" s="128"/>
      <c r="AP4191" s="128"/>
      <c r="AQ4191" s="128"/>
      <c r="AR4191" s="128"/>
      <c r="AS4191" s="128"/>
      <c r="AT4191" s="128"/>
      <c r="AU4191" s="128"/>
      <c r="AV4191" s="128"/>
      <c r="AW4191" s="128"/>
      <c r="AX4191" s="128"/>
      <c r="AY4191" s="128"/>
      <c r="AZ4191" s="128"/>
      <c r="BA4191" s="128"/>
      <c r="BB4191" s="128"/>
      <c r="BC4191" s="128"/>
      <c r="BD4191" s="128"/>
      <c r="BE4191" s="128"/>
      <c r="BF4191" s="128"/>
      <c r="BG4191" s="128"/>
      <c r="BH4191" s="128"/>
      <c r="BI4191" s="128"/>
      <c r="BJ4191" s="128"/>
      <c r="BK4191" s="128"/>
      <c r="BL4191" s="128"/>
      <c r="BM4191" s="151"/>
      <c r="BN4191" s="128"/>
      <c r="BO4191" s="128"/>
      <c r="BP4191" s="128"/>
      <c r="BQ4191" s="128"/>
      <c r="BR4191" s="128"/>
      <c r="BS4191" s="128"/>
      <c r="BT4191" s="128"/>
      <c r="BU4191" s="128"/>
      <c r="BV4191" s="128"/>
      <c r="BW4191" s="128"/>
      <c r="BX4191" s="128"/>
      <c r="BY4191" s="128"/>
      <c r="BZ4191" s="128"/>
      <c r="CA4191" s="128"/>
      <c r="CB4191" s="128"/>
      <c r="CC4191" s="128"/>
      <c r="CD4191" s="128"/>
      <c r="CE4191" s="128"/>
      <c r="CF4191" s="128"/>
      <c r="CG4191" s="128"/>
      <c r="CI4191" s="128"/>
      <c r="CJ4191" s="128"/>
      <c r="CK4191" s="128"/>
      <c r="CL4191" s="128"/>
      <c r="CM4191" s="128"/>
      <c r="CN4191" s="128"/>
      <c r="CO4191" s="128"/>
      <c r="CP4191" s="128"/>
      <c r="CQ4191" s="128"/>
      <c r="CR4191" s="128"/>
      <c r="CS4191" s="128"/>
      <c r="CT4191" s="128"/>
      <c r="CU4191" s="128"/>
      <c r="CV4191" s="128"/>
      <c r="CW4191" s="128"/>
      <c r="CX4191" s="128"/>
      <c r="CY4191" s="128"/>
      <c r="CZ4191" s="165"/>
    </row>
    <row r="4192" spans="1:104">
      <c r="A4192" s="149"/>
      <c r="B4192" s="149"/>
      <c r="C4192" s="150"/>
      <c r="D4192" s="102"/>
      <c r="E4192" s="149"/>
      <c r="F4192" s="149"/>
      <c r="G4192" s="149"/>
      <c r="H4192" s="149"/>
      <c r="I4192" s="149"/>
      <c r="J4192" s="149"/>
      <c r="K4192" s="149"/>
      <c r="L4192" s="149"/>
      <c r="M4192" s="149"/>
      <c r="N4192" s="149"/>
      <c r="O4192" s="149"/>
      <c r="P4192" s="149"/>
      <c r="Q4192" s="149"/>
      <c r="R4192" s="149"/>
      <c r="S4192" s="149"/>
      <c r="T4192" s="149"/>
      <c r="U4192" s="149"/>
      <c r="V4192" s="149"/>
      <c r="W4192" s="149"/>
      <c r="X4192" s="149"/>
      <c r="Y4192" s="149"/>
      <c r="Z4192" s="149"/>
      <c r="AA4192" s="149"/>
      <c r="AB4192" s="149"/>
      <c r="AC4192" s="149"/>
      <c r="AD4192" s="149"/>
      <c r="AE4192" s="149"/>
      <c r="AF4192" s="149"/>
      <c r="AG4192" s="149"/>
      <c r="AH4192" s="149"/>
      <c r="AI4192" s="149"/>
      <c r="AJ4192" s="149"/>
      <c r="AK4192" s="149"/>
      <c r="AL4192" s="149"/>
      <c r="AM4192" s="149"/>
      <c r="AN4192" s="149"/>
      <c r="AO4192" s="128"/>
      <c r="AP4192" s="128"/>
      <c r="AQ4192" s="128"/>
      <c r="AR4192" s="128"/>
      <c r="AS4192" s="128"/>
      <c r="AT4192" s="128"/>
      <c r="AU4192" s="128"/>
      <c r="AV4192" s="128"/>
      <c r="AW4192" s="128"/>
      <c r="AX4192" s="128"/>
      <c r="AY4192" s="128"/>
      <c r="AZ4192" s="128"/>
      <c r="BA4192" s="128"/>
      <c r="BB4192" s="128"/>
      <c r="BC4192" s="128"/>
      <c r="BD4192" s="128"/>
      <c r="BE4192" s="128"/>
      <c r="BF4192" s="128"/>
      <c r="BG4192" s="128"/>
      <c r="BH4192" s="128"/>
      <c r="BI4192" s="128"/>
      <c r="BJ4192" s="128"/>
      <c r="BK4192" s="128"/>
      <c r="BL4192" s="128"/>
      <c r="BM4192" s="151"/>
      <c r="BN4192" s="128"/>
      <c r="BO4192" s="128"/>
      <c r="BP4192" s="128"/>
      <c r="BQ4192" s="128"/>
      <c r="BR4192" s="128"/>
      <c r="BS4192" s="128"/>
      <c r="BT4192" s="128"/>
      <c r="BU4192" s="128"/>
      <c r="BV4192" s="128"/>
      <c r="BW4192" s="128"/>
      <c r="BX4192" s="128"/>
      <c r="BY4192" s="128"/>
      <c r="BZ4192" s="128"/>
      <c r="CA4192" s="128"/>
      <c r="CB4192" s="128"/>
      <c r="CC4192" s="128"/>
      <c r="CD4192" s="128"/>
      <c r="CE4192" s="128"/>
      <c r="CF4192" s="128"/>
      <c r="CG4192" s="128"/>
      <c r="CI4192" s="128"/>
      <c r="CJ4192" s="128"/>
      <c r="CK4192" s="128"/>
      <c r="CL4192" s="128"/>
      <c r="CM4192" s="128"/>
      <c r="CN4192" s="128"/>
      <c r="CO4192" s="128"/>
      <c r="CP4192" s="128"/>
      <c r="CQ4192" s="128"/>
      <c r="CR4192" s="128"/>
      <c r="CS4192" s="128"/>
      <c r="CT4192" s="128"/>
      <c r="CU4192" s="128"/>
      <c r="CV4192" s="128"/>
      <c r="CW4192" s="128"/>
      <c r="CX4192" s="128"/>
      <c r="CY4192" s="128"/>
      <c r="CZ4192" s="165"/>
    </row>
    <row r="4193" spans="1:104">
      <c r="A4193" s="149"/>
      <c r="B4193" s="149"/>
      <c r="C4193" s="150"/>
      <c r="D4193" s="102"/>
      <c r="E4193" s="149"/>
      <c r="F4193" s="149"/>
      <c r="G4193" s="149"/>
      <c r="H4193" s="149"/>
      <c r="I4193" s="149"/>
      <c r="J4193" s="149"/>
      <c r="K4193" s="149"/>
      <c r="L4193" s="149"/>
      <c r="M4193" s="149"/>
      <c r="N4193" s="149"/>
      <c r="O4193" s="149"/>
      <c r="P4193" s="149"/>
      <c r="Q4193" s="149"/>
      <c r="R4193" s="149"/>
      <c r="S4193" s="149"/>
      <c r="T4193" s="149"/>
      <c r="U4193" s="149"/>
      <c r="V4193" s="149"/>
      <c r="W4193" s="149"/>
      <c r="X4193" s="149"/>
      <c r="Y4193" s="149"/>
      <c r="Z4193" s="149"/>
      <c r="AA4193" s="149"/>
      <c r="AB4193" s="149"/>
      <c r="AC4193" s="149"/>
      <c r="AD4193" s="149"/>
      <c r="AE4193" s="149"/>
      <c r="AF4193" s="149"/>
      <c r="AG4193" s="149"/>
      <c r="AH4193" s="149"/>
      <c r="AI4193" s="149"/>
      <c r="AJ4193" s="149"/>
      <c r="AK4193" s="149"/>
      <c r="AL4193" s="149"/>
      <c r="AM4193" s="149"/>
      <c r="AN4193" s="149"/>
      <c r="AO4193" s="128"/>
      <c r="AP4193" s="128"/>
      <c r="AQ4193" s="128"/>
      <c r="AR4193" s="128"/>
      <c r="AS4193" s="128"/>
      <c r="AT4193" s="128"/>
      <c r="AU4193" s="128"/>
      <c r="AV4193" s="128"/>
      <c r="AW4193" s="128"/>
      <c r="AX4193" s="128"/>
      <c r="AY4193" s="128"/>
      <c r="AZ4193" s="128"/>
      <c r="BA4193" s="128"/>
      <c r="BB4193" s="128"/>
      <c r="BC4193" s="128"/>
      <c r="BD4193" s="128"/>
      <c r="BE4193" s="128"/>
      <c r="BF4193" s="128"/>
      <c r="BG4193" s="128"/>
      <c r="BH4193" s="128"/>
      <c r="BI4193" s="128"/>
      <c r="BJ4193" s="128"/>
      <c r="BK4193" s="128"/>
      <c r="BL4193" s="128"/>
      <c r="BM4193" s="151"/>
      <c r="BN4193" s="128"/>
      <c r="BO4193" s="128"/>
      <c r="BP4193" s="128"/>
      <c r="BQ4193" s="128"/>
      <c r="BR4193" s="128"/>
      <c r="BS4193" s="128"/>
      <c r="BT4193" s="128"/>
      <c r="BU4193" s="128"/>
      <c r="BV4193" s="128"/>
      <c r="BW4193" s="128"/>
      <c r="BX4193" s="128"/>
      <c r="BY4193" s="128"/>
      <c r="BZ4193" s="128"/>
      <c r="CA4193" s="128"/>
      <c r="CB4193" s="128"/>
      <c r="CC4193" s="128"/>
      <c r="CD4193" s="128"/>
      <c r="CE4193" s="128"/>
      <c r="CF4193" s="128"/>
      <c r="CG4193" s="128"/>
      <c r="CI4193" s="128"/>
      <c r="CJ4193" s="128"/>
      <c r="CK4193" s="128"/>
      <c r="CL4193" s="128"/>
      <c r="CM4193" s="128"/>
      <c r="CN4193" s="128"/>
      <c r="CO4193" s="128"/>
      <c r="CP4193" s="128"/>
      <c r="CQ4193" s="128"/>
      <c r="CR4193" s="128"/>
      <c r="CS4193" s="128"/>
      <c r="CT4193" s="128"/>
      <c r="CU4193" s="128"/>
      <c r="CV4193" s="128"/>
      <c r="CW4193" s="128"/>
      <c r="CX4193" s="128"/>
      <c r="CY4193" s="128"/>
      <c r="CZ4193" s="165"/>
    </row>
    <row r="4194" spans="1:104">
      <c r="A4194" s="149"/>
      <c r="B4194" s="149"/>
      <c r="C4194" s="150"/>
      <c r="D4194" s="102"/>
      <c r="E4194" s="149"/>
      <c r="F4194" s="149"/>
      <c r="G4194" s="149"/>
      <c r="H4194" s="149"/>
      <c r="I4194" s="149"/>
      <c r="J4194" s="149"/>
      <c r="K4194" s="149"/>
      <c r="L4194" s="149"/>
      <c r="M4194" s="149"/>
      <c r="N4194" s="149"/>
      <c r="O4194" s="149"/>
      <c r="P4194" s="149"/>
      <c r="Q4194" s="149"/>
      <c r="R4194" s="149"/>
      <c r="S4194" s="149"/>
      <c r="T4194" s="149"/>
      <c r="U4194" s="149"/>
      <c r="V4194" s="149"/>
      <c r="W4194" s="149"/>
      <c r="X4194" s="149"/>
      <c r="Y4194" s="149"/>
      <c r="Z4194" s="149"/>
      <c r="AA4194" s="149"/>
      <c r="AB4194" s="149"/>
      <c r="AC4194" s="149"/>
      <c r="AD4194" s="149"/>
      <c r="AE4194" s="149"/>
      <c r="AF4194" s="149"/>
      <c r="AG4194" s="149"/>
      <c r="AH4194" s="149"/>
      <c r="AI4194" s="149"/>
      <c r="AJ4194" s="149"/>
      <c r="AK4194" s="149"/>
      <c r="AL4194" s="149"/>
      <c r="AM4194" s="149"/>
      <c r="AN4194" s="149"/>
      <c r="AO4194" s="128"/>
      <c r="AP4194" s="128"/>
      <c r="AQ4194" s="128"/>
      <c r="AR4194" s="128"/>
      <c r="AS4194" s="128"/>
      <c r="AT4194" s="128"/>
      <c r="AU4194" s="128"/>
      <c r="AV4194" s="128"/>
      <c r="AW4194" s="128"/>
      <c r="AX4194" s="128"/>
      <c r="AY4194" s="128"/>
      <c r="AZ4194" s="128"/>
      <c r="BA4194" s="128"/>
      <c r="BB4194" s="128"/>
      <c r="BC4194" s="128"/>
      <c r="BD4194" s="128"/>
      <c r="BE4194" s="128"/>
      <c r="BF4194" s="128"/>
      <c r="BG4194" s="128"/>
      <c r="BH4194" s="128"/>
      <c r="BI4194" s="128"/>
      <c r="BJ4194" s="128"/>
      <c r="BK4194" s="128"/>
      <c r="BL4194" s="128"/>
      <c r="BM4194" s="151"/>
      <c r="BN4194" s="128"/>
      <c r="BO4194" s="128"/>
      <c r="BP4194" s="128"/>
      <c r="BQ4194" s="128"/>
      <c r="BR4194" s="128"/>
      <c r="BS4194" s="128"/>
      <c r="BT4194" s="128"/>
      <c r="BU4194" s="128"/>
      <c r="BV4194" s="128"/>
      <c r="BW4194" s="128"/>
      <c r="BX4194" s="128"/>
      <c r="BY4194" s="128"/>
      <c r="BZ4194" s="128"/>
      <c r="CA4194" s="128"/>
      <c r="CB4194" s="128"/>
      <c r="CC4194" s="128"/>
      <c r="CD4194" s="128"/>
      <c r="CE4194" s="128"/>
      <c r="CF4194" s="128"/>
      <c r="CG4194" s="128"/>
      <c r="CI4194" s="128"/>
      <c r="CJ4194" s="128"/>
      <c r="CK4194" s="128"/>
      <c r="CL4194" s="128"/>
      <c r="CM4194" s="128"/>
      <c r="CN4194" s="128"/>
      <c r="CO4194" s="128"/>
      <c r="CP4194" s="128"/>
      <c r="CQ4194" s="128"/>
      <c r="CR4194" s="128"/>
      <c r="CS4194" s="128"/>
      <c r="CT4194" s="128"/>
      <c r="CU4194" s="128"/>
      <c r="CV4194" s="128"/>
      <c r="CW4194" s="128"/>
      <c r="CX4194" s="128"/>
      <c r="CY4194" s="128"/>
      <c r="CZ4194" s="165"/>
    </row>
    <row r="4195" spans="1:104">
      <c r="A4195" s="149"/>
      <c r="B4195" s="149"/>
      <c r="C4195" s="150"/>
      <c r="D4195" s="102"/>
      <c r="E4195" s="149"/>
      <c r="F4195" s="149"/>
      <c r="G4195" s="149"/>
      <c r="H4195" s="149"/>
      <c r="I4195" s="149"/>
      <c r="J4195" s="149"/>
      <c r="K4195" s="149"/>
      <c r="L4195" s="149"/>
      <c r="M4195" s="149"/>
      <c r="N4195" s="149"/>
      <c r="O4195" s="149"/>
      <c r="P4195" s="149"/>
      <c r="Q4195" s="149"/>
      <c r="R4195" s="149"/>
      <c r="S4195" s="149"/>
      <c r="T4195" s="149"/>
      <c r="U4195" s="149"/>
      <c r="V4195" s="149"/>
      <c r="W4195" s="149"/>
      <c r="X4195" s="149"/>
      <c r="Y4195" s="149"/>
      <c r="Z4195" s="149"/>
      <c r="AA4195" s="149"/>
      <c r="AB4195" s="149"/>
      <c r="AC4195" s="149"/>
      <c r="AD4195" s="149"/>
      <c r="AE4195" s="149"/>
      <c r="AF4195" s="149"/>
      <c r="AG4195" s="149"/>
      <c r="AH4195" s="149"/>
      <c r="AI4195" s="149"/>
      <c r="AJ4195" s="149"/>
      <c r="AK4195" s="149"/>
      <c r="AL4195" s="149"/>
      <c r="AM4195" s="149"/>
      <c r="AN4195" s="149"/>
      <c r="AO4195" s="128"/>
      <c r="AP4195" s="128"/>
      <c r="AQ4195" s="128"/>
      <c r="AR4195" s="128"/>
      <c r="AS4195" s="128"/>
      <c r="AT4195" s="128"/>
      <c r="AU4195" s="128"/>
      <c r="AV4195" s="128"/>
      <c r="AW4195" s="128"/>
      <c r="AX4195" s="128"/>
      <c r="AY4195" s="128"/>
      <c r="AZ4195" s="128"/>
      <c r="BA4195" s="128"/>
      <c r="BB4195" s="128"/>
      <c r="BC4195" s="128"/>
      <c r="BD4195" s="128"/>
      <c r="BE4195" s="128"/>
      <c r="BF4195" s="128"/>
      <c r="BG4195" s="128"/>
      <c r="BH4195" s="128"/>
      <c r="BI4195" s="128"/>
      <c r="BJ4195" s="128"/>
      <c r="BK4195" s="128"/>
      <c r="BL4195" s="128"/>
      <c r="BM4195" s="151"/>
      <c r="BN4195" s="128"/>
      <c r="BO4195" s="128"/>
      <c r="BP4195" s="128"/>
      <c r="BQ4195" s="128"/>
      <c r="BR4195" s="128"/>
      <c r="BS4195" s="128"/>
      <c r="BT4195" s="128"/>
      <c r="BU4195" s="128"/>
      <c r="BV4195" s="128"/>
      <c r="BW4195" s="128"/>
      <c r="BX4195" s="128"/>
      <c r="BY4195" s="128"/>
      <c r="BZ4195" s="128"/>
      <c r="CA4195" s="128"/>
      <c r="CB4195" s="128"/>
      <c r="CC4195" s="128"/>
      <c r="CD4195" s="128"/>
      <c r="CE4195" s="128"/>
      <c r="CF4195" s="128"/>
      <c r="CG4195" s="128"/>
      <c r="CI4195" s="128"/>
      <c r="CJ4195" s="128"/>
      <c r="CK4195" s="128"/>
      <c r="CL4195" s="128"/>
      <c r="CM4195" s="128"/>
      <c r="CN4195" s="128"/>
      <c r="CO4195" s="128"/>
      <c r="CP4195" s="128"/>
      <c r="CQ4195" s="128"/>
      <c r="CR4195" s="128"/>
      <c r="CS4195" s="128"/>
      <c r="CT4195" s="128"/>
      <c r="CU4195" s="128"/>
      <c r="CV4195" s="128"/>
      <c r="CW4195" s="128"/>
      <c r="CX4195" s="128"/>
      <c r="CY4195" s="128"/>
      <c r="CZ4195" s="165"/>
    </row>
    <row r="4196" spans="1:104">
      <c r="A4196" s="149"/>
      <c r="B4196" s="149"/>
      <c r="C4196" s="150"/>
      <c r="D4196" s="102"/>
      <c r="E4196" s="149"/>
      <c r="F4196" s="149"/>
      <c r="G4196" s="149"/>
      <c r="H4196" s="149"/>
      <c r="I4196" s="149"/>
      <c r="J4196" s="149"/>
      <c r="K4196" s="149"/>
      <c r="L4196" s="149"/>
      <c r="M4196" s="149"/>
      <c r="N4196" s="149"/>
      <c r="O4196" s="149"/>
      <c r="P4196" s="149"/>
      <c r="Q4196" s="149"/>
      <c r="R4196" s="149"/>
      <c r="S4196" s="149"/>
      <c r="T4196" s="149"/>
      <c r="U4196" s="149"/>
      <c r="V4196" s="149"/>
      <c r="W4196" s="149"/>
      <c r="X4196" s="149"/>
      <c r="Y4196" s="149"/>
      <c r="Z4196" s="149"/>
      <c r="AA4196" s="149"/>
      <c r="AB4196" s="149"/>
      <c r="AC4196" s="149"/>
      <c r="AD4196" s="149"/>
      <c r="AE4196" s="149"/>
      <c r="AF4196" s="149"/>
      <c r="AG4196" s="149"/>
      <c r="AH4196" s="149"/>
      <c r="AI4196" s="149"/>
      <c r="AJ4196" s="149"/>
      <c r="AK4196" s="149"/>
      <c r="AL4196" s="149"/>
      <c r="AM4196" s="149"/>
      <c r="AN4196" s="149"/>
      <c r="AO4196" s="128"/>
      <c r="AP4196" s="128"/>
      <c r="AQ4196" s="128"/>
      <c r="AR4196" s="128"/>
      <c r="AS4196" s="128"/>
      <c r="AT4196" s="128"/>
      <c r="AU4196" s="128"/>
      <c r="AV4196" s="128"/>
      <c r="AW4196" s="128"/>
      <c r="AX4196" s="128"/>
      <c r="AY4196" s="128"/>
      <c r="AZ4196" s="128"/>
      <c r="BA4196" s="128"/>
      <c r="BB4196" s="128"/>
      <c r="BC4196" s="128"/>
      <c r="BD4196" s="128"/>
      <c r="BE4196" s="128"/>
      <c r="BF4196" s="128"/>
      <c r="BG4196" s="128"/>
      <c r="BH4196" s="128"/>
      <c r="BI4196" s="128"/>
      <c r="BJ4196" s="128"/>
      <c r="BK4196" s="128"/>
      <c r="BL4196" s="128"/>
      <c r="BM4196" s="151"/>
      <c r="BN4196" s="128"/>
      <c r="BO4196" s="128"/>
      <c r="BP4196" s="128"/>
      <c r="BQ4196" s="128"/>
      <c r="BR4196" s="128"/>
      <c r="BS4196" s="128"/>
      <c r="BT4196" s="128"/>
      <c r="BU4196" s="128"/>
      <c r="BV4196" s="128"/>
      <c r="BW4196" s="128"/>
      <c r="BX4196" s="128"/>
      <c r="BY4196" s="128"/>
      <c r="BZ4196" s="128"/>
      <c r="CA4196" s="128"/>
      <c r="CB4196" s="128"/>
      <c r="CC4196" s="128"/>
      <c r="CD4196" s="128"/>
      <c r="CE4196" s="128"/>
      <c r="CF4196" s="128"/>
      <c r="CG4196" s="128"/>
      <c r="CI4196" s="128"/>
      <c r="CJ4196" s="128"/>
      <c r="CK4196" s="128"/>
      <c r="CL4196" s="128"/>
      <c r="CM4196" s="128"/>
      <c r="CN4196" s="128"/>
      <c r="CO4196" s="128"/>
      <c r="CP4196" s="128"/>
      <c r="CQ4196" s="128"/>
      <c r="CR4196" s="128"/>
      <c r="CS4196" s="128"/>
      <c r="CT4196" s="128"/>
      <c r="CU4196" s="128"/>
      <c r="CV4196" s="128"/>
      <c r="CW4196" s="128"/>
      <c r="CX4196" s="128"/>
      <c r="CY4196" s="128"/>
      <c r="CZ4196" s="165"/>
    </row>
    <row r="4197" spans="1:104">
      <c r="A4197" s="149"/>
      <c r="B4197" s="149"/>
      <c r="C4197" s="150"/>
      <c r="D4197" s="102"/>
      <c r="E4197" s="149"/>
      <c r="F4197" s="149"/>
      <c r="G4197" s="149"/>
      <c r="H4197" s="149"/>
      <c r="I4197" s="149"/>
      <c r="J4197" s="149"/>
      <c r="K4197" s="149"/>
      <c r="L4197" s="149"/>
      <c r="M4197" s="149"/>
      <c r="N4197" s="149"/>
      <c r="O4197" s="149"/>
      <c r="P4197" s="149"/>
      <c r="Q4197" s="149"/>
      <c r="R4197" s="149"/>
      <c r="S4197" s="149"/>
      <c r="T4197" s="149"/>
      <c r="U4197" s="149"/>
      <c r="V4197" s="149"/>
      <c r="W4197" s="149"/>
      <c r="X4197" s="149"/>
      <c r="Y4197" s="149"/>
      <c r="Z4197" s="149"/>
      <c r="AA4197" s="149"/>
      <c r="AB4197" s="149"/>
      <c r="AC4197" s="149"/>
      <c r="AD4197" s="149"/>
      <c r="AE4197" s="149"/>
      <c r="AF4197" s="149"/>
      <c r="AG4197" s="149"/>
      <c r="AH4197" s="149"/>
      <c r="AI4197" s="149"/>
      <c r="AJ4197" s="149"/>
      <c r="AK4197" s="149"/>
      <c r="AL4197" s="149"/>
      <c r="AM4197" s="149"/>
      <c r="AN4197" s="149"/>
      <c r="AO4197" s="128"/>
      <c r="AP4197" s="128"/>
      <c r="AQ4197" s="128"/>
      <c r="AR4197" s="128"/>
      <c r="AS4197" s="128"/>
      <c r="AT4197" s="128"/>
      <c r="AU4197" s="128"/>
      <c r="AV4197" s="128"/>
      <c r="AW4197" s="128"/>
      <c r="AX4197" s="128"/>
      <c r="AY4197" s="128"/>
      <c r="AZ4197" s="128"/>
      <c r="BA4197" s="128"/>
      <c r="BB4197" s="128"/>
      <c r="BC4197" s="128"/>
      <c r="BD4197" s="128"/>
      <c r="BE4197" s="128"/>
      <c r="BF4197" s="128"/>
      <c r="BG4197" s="128"/>
      <c r="BH4197" s="128"/>
      <c r="BI4197" s="128"/>
      <c r="BJ4197" s="128"/>
      <c r="BK4197" s="128"/>
      <c r="BL4197" s="128"/>
      <c r="BM4197" s="151"/>
      <c r="BN4197" s="128"/>
      <c r="BO4197" s="128"/>
      <c r="BP4197" s="128"/>
      <c r="BQ4197" s="128"/>
      <c r="BR4197" s="128"/>
      <c r="BS4197" s="128"/>
      <c r="BT4197" s="128"/>
      <c r="BU4197" s="128"/>
      <c r="BV4197" s="128"/>
      <c r="BW4197" s="128"/>
      <c r="BX4197" s="128"/>
      <c r="BY4197" s="128"/>
      <c r="BZ4197" s="128"/>
      <c r="CA4197" s="128"/>
      <c r="CB4197" s="128"/>
      <c r="CC4197" s="128"/>
      <c r="CD4197" s="128"/>
      <c r="CE4197" s="128"/>
      <c r="CF4197" s="128"/>
      <c r="CG4197" s="128"/>
      <c r="CI4197" s="128"/>
      <c r="CJ4197" s="128"/>
      <c r="CK4197" s="128"/>
      <c r="CL4197" s="128"/>
      <c r="CM4197" s="128"/>
      <c r="CN4197" s="128"/>
      <c r="CO4197" s="128"/>
      <c r="CP4197" s="128"/>
      <c r="CQ4197" s="128"/>
      <c r="CR4197" s="128"/>
      <c r="CS4197" s="128"/>
      <c r="CT4197" s="128"/>
      <c r="CU4197" s="128"/>
      <c r="CV4197" s="128"/>
      <c r="CW4197" s="128"/>
      <c r="CX4197" s="128"/>
      <c r="CY4197" s="128"/>
      <c r="CZ4197" s="165"/>
    </row>
    <row r="4198" spans="1:104">
      <c r="A4198" s="149"/>
      <c r="B4198" s="149"/>
      <c r="C4198" s="150"/>
      <c r="D4198" s="102"/>
      <c r="E4198" s="149"/>
      <c r="F4198" s="149"/>
      <c r="G4198" s="149"/>
      <c r="H4198" s="149"/>
      <c r="I4198" s="149"/>
      <c r="J4198" s="149"/>
      <c r="K4198" s="149"/>
      <c r="L4198" s="149"/>
      <c r="M4198" s="149"/>
      <c r="N4198" s="149"/>
      <c r="O4198" s="149"/>
      <c r="P4198" s="149"/>
      <c r="Q4198" s="149"/>
      <c r="R4198" s="149"/>
      <c r="S4198" s="149"/>
      <c r="T4198" s="149"/>
      <c r="U4198" s="149"/>
      <c r="V4198" s="149"/>
      <c r="W4198" s="149"/>
      <c r="X4198" s="149"/>
      <c r="Y4198" s="149"/>
      <c r="Z4198" s="149"/>
      <c r="AA4198" s="149"/>
      <c r="AB4198" s="149"/>
      <c r="AC4198" s="149"/>
      <c r="AD4198" s="149"/>
      <c r="AE4198" s="149"/>
      <c r="AF4198" s="149"/>
      <c r="AG4198" s="149"/>
      <c r="AH4198" s="149"/>
      <c r="AI4198" s="149"/>
      <c r="AJ4198" s="149"/>
      <c r="AK4198" s="149"/>
      <c r="AL4198" s="149"/>
      <c r="AM4198" s="149"/>
      <c r="AN4198" s="149"/>
      <c r="AO4198" s="128"/>
      <c r="AP4198" s="128"/>
      <c r="AQ4198" s="128"/>
      <c r="AR4198" s="128"/>
      <c r="AS4198" s="128"/>
      <c r="AT4198" s="128"/>
      <c r="AU4198" s="128"/>
      <c r="AV4198" s="128"/>
      <c r="AW4198" s="128"/>
      <c r="AX4198" s="128"/>
      <c r="AY4198" s="128"/>
      <c r="AZ4198" s="128"/>
      <c r="BA4198" s="128"/>
      <c r="BB4198" s="128"/>
      <c r="BC4198" s="128"/>
      <c r="BD4198" s="128"/>
      <c r="BE4198" s="128"/>
      <c r="BF4198" s="128"/>
      <c r="BG4198" s="128"/>
      <c r="BH4198" s="128"/>
      <c r="BI4198" s="128"/>
      <c r="BJ4198" s="128"/>
      <c r="BK4198" s="128"/>
      <c r="BL4198" s="128"/>
      <c r="BM4198" s="151"/>
      <c r="BN4198" s="128"/>
      <c r="BO4198" s="128"/>
      <c r="BP4198" s="128"/>
      <c r="BQ4198" s="128"/>
      <c r="BR4198" s="128"/>
      <c r="BS4198" s="128"/>
      <c r="BT4198" s="128"/>
      <c r="BU4198" s="128"/>
      <c r="BV4198" s="128"/>
      <c r="BW4198" s="128"/>
      <c r="BX4198" s="128"/>
      <c r="BY4198" s="128"/>
      <c r="BZ4198" s="128"/>
      <c r="CA4198" s="128"/>
      <c r="CB4198" s="128"/>
      <c r="CC4198" s="128"/>
      <c r="CD4198" s="128"/>
      <c r="CE4198" s="128"/>
      <c r="CF4198" s="128"/>
      <c r="CG4198" s="128"/>
      <c r="CI4198" s="128"/>
      <c r="CJ4198" s="128"/>
      <c r="CK4198" s="128"/>
      <c r="CL4198" s="128"/>
      <c r="CM4198" s="128"/>
      <c r="CN4198" s="128"/>
      <c r="CO4198" s="128"/>
      <c r="CP4198" s="128"/>
      <c r="CQ4198" s="128"/>
      <c r="CR4198" s="128"/>
      <c r="CS4198" s="128"/>
      <c r="CT4198" s="128"/>
      <c r="CU4198" s="128"/>
      <c r="CV4198" s="128"/>
      <c r="CW4198" s="128"/>
      <c r="CX4198" s="128"/>
      <c r="CY4198" s="128"/>
      <c r="CZ4198" s="165"/>
    </row>
    <row r="4199" spans="1:104">
      <c r="A4199" s="149"/>
      <c r="B4199" s="149"/>
      <c r="C4199" s="150"/>
      <c r="D4199" s="102"/>
      <c r="E4199" s="149"/>
      <c r="F4199" s="149"/>
      <c r="G4199" s="149"/>
      <c r="H4199" s="149"/>
      <c r="I4199" s="149"/>
      <c r="J4199" s="149"/>
      <c r="K4199" s="149"/>
      <c r="L4199" s="149"/>
      <c r="M4199" s="149"/>
      <c r="N4199" s="149"/>
      <c r="O4199" s="149"/>
      <c r="P4199" s="149"/>
      <c r="Q4199" s="149"/>
      <c r="R4199" s="149"/>
      <c r="S4199" s="149"/>
      <c r="T4199" s="149"/>
      <c r="U4199" s="149"/>
      <c r="V4199" s="149"/>
      <c r="W4199" s="149"/>
      <c r="X4199" s="149"/>
      <c r="Y4199" s="149"/>
      <c r="Z4199" s="149"/>
      <c r="AA4199" s="149"/>
      <c r="AB4199" s="149"/>
      <c r="AC4199" s="149"/>
      <c r="AD4199" s="149"/>
      <c r="AE4199" s="149"/>
      <c r="AF4199" s="149"/>
      <c r="AG4199" s="149"/>
      <c r="AH4199" s="149"/>
      <c r="AI4199" s="149"/>
      <c r="AJ4199" s="149"/>
      <c r="AK4199" s="149"/>
      <c r="AL4199" s="149"/>
      <c r="AM4199" s="149"/>
      <c r="AN4199" s="149"/>
      <c r="AO4199" s="128"/>
      <c r="AP4199" s="128"/>
      <c r="AQ4199" s="128"/>
      <c r="AR4199" s="128"/>
      <c r="AS4199" s="128"/>
      <c r="AT4199" s="128"/>
      <c r="AU4199" s="128"/>
      <c r="AV4199" s="128"/>
      <c r="AW4199" s="128"/>
      <c r="AX4199" s="128"/>
      <c r="AY4199" s="128"/>
      <c r="AZ4199" s="128"/>
      <c r="BA4199" s="128"/>
      <c r="BB4199" s="128"/>
      <c r="BC4199" s="128"/>
      <c r="BD4199" s="128"/>
      <c r="BE4199" s="128"/>
      <c r="BF4199" s="128"/>
      <c r="BG4199" s="128"/>
      <c r="BH4199" s="128"/>
      <c r="BI4199" s="128"/>
      <c r="BJ4199" s="128"/>
      <c r="BK4199" s="128"/>
      <c r="BL4199" s="128"/>
      <c r="BM4199" s="151"/>
      <c r="BN4199" s="128"/>
      <c r="BO4199" s="128"/>
      <c r="BP4199" s="128"/>
      <c r="BQ4199" s="128"/>
      <c r="BR4199" s="128"/>
      <c r="BS4199" s="128"/>
      <c r="BT4199" s="128"/>
      <c r="BU4199" s="128"/>
      <c r="BV4199" s="128"/>
      <c r="BW4199" s="128"/>
      <c r="BX4199" s="128"/>
      <c r="BY4199" s="128"/>
      <c r="BZ4199" s="128"/>
      <c r="CA4199" s="128"/>
      <c r="CB4199" s="128"/>
      <c r="CC4199" s="128"/>
      <c r="CD4199" s="128"/>
      <c r="CE4199" s="128"/>
      <c r="CF4199" s="128"/>
      <c r="CG4199" s="128"/>
      <c r="CI4199" s="128"/>
      <c r="CJ4199" s="128"/>
      <c r="CK4199" s="128"/>
      <c r="CL4199" s="128"/>
      <c r="CM4199" s="128"/>
      <c r="CN4199" s="128"/>
      <c r="CO4199" s="128"/>
      <c r="CP4199" s="128"/>
      <c r="CQ4199" s="128"/>
      <c r="CR4199" s="128"/>
      <c r="CS4199" s="128"/>
      <c r="CT4199" s="128"/>
      <c r="CU4199" s="128"/>
      <c r="CV4199" s="128"/>
      <c r="CW4199" s="128"/>
      <c r="CX4199" s="128"/>
      <c r="CY4199" s="128"/>
      <c r="CZ4199" s="165"/>
    </row>
    <row r="4200" spans="1:104">
      <c r="A4200" s="149"/>
      <c r="B4200" s="149"/>
      <c r="C4200" s="150"/>
      <c r="D4200" s="102"/>
      <c r="E4200" s="149"/>
      <c r="F4200" s="149"/>
      <c r="G4200" s="149"/>
      <c r="H4200" s="149"/>
      <c r="I4200" s="149"/>
      <c r="J4200" s="149"/>
      <c r="K4200" s="149"/>
      <c r="L4200" s="149"/>
      <c r="M4200" s="149"/>
      <c r="N4200" s="149"/>
      <c r="O4200" s="149"/>
      <c r="P4200" s="149"/>
      <c r="Q4200" s="149"/>
      <c r="R4200" s="149"/>
      <c r="S4200" s="149"/>
      <c r="T4200" s="149"/>
      <c r="U4200" s="149"/>
      <c r="V4200" s="149"/>
      <c r="W4200" s="149"/>
      <c r="X4200" s="149"/>
      <c r="Y4200" s="149"/>
      <c r="Z4200" s="149"/>
      <c r="AA4200" s="149"/>
      <c r="AB4200" s="149"/>
      <c r="AC4200" s="149"/>
      <c r="AD4200" s="149"/>
      <c r="AE4200" s="149"/>
      <c r="AF4200" s="149"/>
      <c r="AG4200" s="149"/>
      <c r="AH4200" s="149"/>
      <c r="AI4200" s="149"/>
      <c r="AJ4200" s="149"/>
      <c r="AK4200" s="149"/>
      <c r="AL4200" s="149"/>
      <c r="AM4200" s="149"/>
      <c r="AN4200" s="149"/>
      <c r="AO4200" s="128"/>
      <c r="AP4200" s="128"/>
      <c r="AQ4200" s="128"/>
      <c r="AR4200" s="128"/>
      <c r="AS4200" s="128"/>
      <c r="AT4200" s="128"/>
      <c r="AU4200" s="128"/>
      <c r="AV4200" s="128"/>
      <c r="AW4200" s="128"/>
      <c r="AX4200" s="128"/>
      <c r="AY4200" s="128"/>
      <c r="AZ4200" s="128"/>
      <c r="BA4200" s="128"/>
      <c r="BB4200" s="128"/>
      <c r="BC4200" s="128"/>
      <c r="BD4200" s="128"/>
      <c r="BE4200" s="128"/>
      <c r="BF4200" s="128"/>
      <c r="BG4200" s="128"/>
      <c r="BH4200" s="128"/>
      <c r="BI4200" s="128"/>
      <c r="BJ4200" s="128"/>
      <c r="BK4200" s="128"/>
      <c r="BL4200" s="128"/>
      <c r="BM4200" s="151"/>
      <c r="BN4200" s="128"/>
      <c r="BO4200" s="128"/>
      <c r="BP4200" s="128"/>
      <c r="BQ4200" s="128"/>
      <c r="BR4200" s="128"/>
      <c r="BS4200" s="128"/>
      <c r="BT4200" s="128"/>
      <c r="BU4200" s="128"/>
      <c r="BV4200" s="128"/>
      <c r="BW4200" s="128"/>
      <c r="BX4200" s="128"/>
      <c r="BY4200" s="128"/>
      <c r="BZ4200" s="128"/>
      <c r="CA4200" s="128"/>
      <c r="CB4200" s="128"/>
      <c r="CC4200" s="128"/>
      <c r="CD4200" s="128"/>
      <c r="CE4200" s="128"/>
      <c r="CF4200" s="128"/>
      <c r="CG4200" s="128"/>
      <c r="CI4200" s="128"/>
      <c r="CJ4200" s="128"/>
      <c r="CK4200" s="128"/>
      <c r="CL4200" s="128"/>
      <c r="CM4200" s="128"/>
      <c r="CN4200" s="128"/>
      <c r="CO4200" s="128"/>
      <c r="CP4200" s="128"/>
      <c r="CQ4200" s="128"/>
      <c r="CR4200" s="128"/>
      <c r="CS4200" s="128"/>
      <c r="CT4200" s="128"/>
      <c r="CU4200" s="128"/>
      <c r="CV4200" s="128"/>
      <c r="CW4200" s="128"/>
      <c r="CX4200" s="128"/>
      <c r="CY4200" s="128"/>
      <c r="CZ4200" s="165"/>
    </row>
  </sheetData>
  <phoneticPr fontId="15" type="noConversion"/>
  <hyperlinks>
    <hyperlink ref="A2" location="Model!BQ5" display="Real Sector" xr:uid="{00000000-0004-0000-0A00-000000000000}"/>
    <hyperlink ref="B2" location="Model!BQ82" display="Fiscal Sector" xr:uid="{00000000-0004-0000-0A00-000001000000}"/>
    <hyperlink ref="C2" location="Model!BQ188" display="Household" xr:uid="{00000000-0004-0000-0A00-000002000000}"/>
    <hyperlink ref="B3" location="Model!BQ162" display="Monetary Sector " xr:uid="{00000000-0004-0000-0A00-000003000000}"/>
    <hyperlink ref="A3" location="Model!BQ121" display="External Sector" xr:uid="{00000000-0004-0000-0A00-000004000000}"/>
    <hyperlink ref="C3" location="Model!BQ277" display="Output" xr:uid="{00000000-0004-0000-0A00-000005000000}"/>
    <hyperlink ref="BT3" r:id="rId1" xr:uid="{00000000-0004-0000-0A00-000006000000}"/>
  </hyperlinks>
  <pageMargins left="0.74803149606299213" right="0.74803149606299213" top="0.98425196850393704" bottom="0.98425196850393704" header="0.51181102362204722" footer="0.51181102362204722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H50"/>
  <sheetViews>
    <sheetView zoomScale="136" zoomScaleNormal="136" workbookViewId="0">
      <pane xSplit="2" ySplit="2" topLeftCell="G3" activePane="bottomRight" state="frozen"/>
      <selection pane="topRight" activeCell="C1" sqref="C1"/>
      <selection pane="bottomLeft" activeCell="A3" sqref="A3"/>
      <selection pane="bottomRight" activeCell="I10" sqref="I10:M10"/>
    </sheetView>
  </sheetViews>
  <sheetFormatPr defaultRowHeight="15.75"/>
  <cols>
    <col min="1" max="1" width="34.33203125" style="224" customWidth="1"/>
    <col min="2" max="21" width="9.6640625" style="224" customWidth="1"/>
    <col min="22" max="22" width="10.1640625" style="224" customWidth="1"/>
    <col min="23" max="23" width="11.5" style="224" customWidth="1"/>
    <col min="24" max="59" width="9.6640625" style="224" customWidth="1"/>
    <col min="60" max="60" width="10.83203125" style="224" customWidth="1"/>
    <col min="61" max="16384" width="9.33203125" style="224"/>
  </cols>
  <sheetData>
    <row r="1" spans="1:60">
      <c r="A1" s="222" t="s">
        <v>2634</v>
      </c>
      <c r="C1" s="245">
        <v>2015</v>
      </c>
      <c r="D1" s="245">
        <v>2016</v>
      </c>
      <c r="E1" s="245">
        <f>+D1+1</f>
        <v>2017</v>
      </c>
      <c r="F1" s="245">
        <f>+E1+1</f>
        <v>2018</v>
      </c>
      <c r="G1" s="245">
        <f>+F1+1</f>
        <v>2019</v>
      </c>
      <c r="H1" s="245">
        <f>+G1+1</f>
        <v>2020</v>
      </c>
      <c r="I1" s="245">
        <f>+Model!BU2</f>
        <v>2021</v>
      </c>
      <c r="J1" s="245">
        <f>+Model!BV2</f>
        <v>2022</v>
      </c>
      <c r="K1" s="245">
        <f>+Model!BW2</f>
        <v>2023</v>
      </c>
      <c r="L1" s="245">
        <f>+Model!BX2</f>
        <v>2024</v>
      </c>
      <c r="M1" s="245">
        <f>+Model!BY2</f>
        <v>2025</v>
      </c>
      <c r="N1" s="245">
        <f>+Model!BZ2</f>
        <v>2026</v>
      </c>
      <c r="O1" s="245">
        <f>+Model!CA2</f>
        <v>2027</v>
      </c>
      <c r="P1" s="245">
        <f>+Model!CB2</f>
        <v>2028</v>
      </c>
      <c r="Q1" s="245">
        <f>+Model!CC2</f>
        <v>2029</v>
      </c>
      <c r="R1" s="245">
        <f>+Model!CD2</f>
        <v>2030</v>
      </c>
      <c r="S1" s="245">
        <f>+Model!CE2</f>
        <v>2031</v>
      </c>
      <c r="T1" s="245">
        <f>+Model!CF2</f>
        <v>2032</v>
      </c>
      <c r="U1" s="245">
        <f>+Model!CG2</f>
        <v>2033</v>
      </c>
      <c r="V1" s="245" t="s">
        <v>3154</v>
      </c>
      <c r="W1" s="245"/>
      <c r="X1" s="224">
        <f>+Model!CI2</f>
        <v>2017</v>
      </c>
      <c r="Y1" s="224">
        <f>+Model!CJ2</f>
        <v>2018</v>
      </c>
      <c r="Z1" s="224">
        <f>+Model!CK2</f>
        <v>2019</v>
      </c>
      <c r="AA1" s="224">
        <f>+Model!CL2</f>
        <v>2020</v>
      </c>
      <c r="AB1" s="224">
        <f>+Model!CM2</f>
        <v>2021</v>
      </c>
      <c r="AC1" s="224">
        <f>+Model!CN2</f>
        <v>2022</v>
      </c>
      <c r="AD1" s="224">
        <f>+Model!CO2</f>
        <v>2023</v>
      </c>
      <c r="AE1" s="224">
        <f>+Model!CP2</f>
        <v>2024</v>
      </c>
      <c r="AF1" s="224">
        <f>+Model!CQ2</f>
        <v>2025</v>
      </c>
      <c r="AG1" s="224">
        <f>+Model!CR2</f>
        <v>2026</v>
      </c>
      <c r="AH1" s="224">
        <f>+Model!CS2</f>
        <v>2027</v>
      </c>
      <c r="AI1" s="224">
        <f>+Model!CT2</f>
        <v>2028</v>
      </c>
      <c r="AJ1" s="224">
        <f>+Model!CU2</f>
        <v>2029</v>
      </c>
      <c r="AK1" s="224">
        <f>+Model!CV2</f>
        <v>2030</v>
      </c>
      <c r="AL1" s="224">
        <f>+Model!CW2</f>
        <v>2031</v>
      </c>
      <c r="AM1" s="224">
        <f>+Model!CX2</f>
        <v>2032</v>
      </c>
      <c r="AN1" s="224">
        <f>+Model!CY2</f>
        <v>2033</v>
      </c>
      <c r="AO1" s="565" t="s">
        <v>3154</v>
      </c>
      <c r="AQ1" s="246">
        <v>2017</v>
      </c>
      <c r="AR1" s="246">
        <v>2018</v>
      </c>
      <c r="AS1" s="246">
        <v>2019</v>
      </c>
      <c r="AT1" s="246">
        <v>2020</v>
      </c>
      <c r="AU1" s="246">
        <v>2021</v>
      </c>
      <c r="AV1" s="246">
        <v>2022</v>
      </c>
      <c r="AW1" s="246">
        <v>2023</v>
      </c>
      <c r="AX1" s="246">
        <v>2024</v>
      </c>
      <c r="AY1" s="246">
        <v>2025</v>
      </c>
      <c r="AZ1" s="246">
        <v>2026</v>
      </c>
      <c r="BA1" s="246">
        <v>2027</v>
      </c>
      <c r="BB1" s="246">
        <v>2028</v>
      </c>
      <c r="BC1" s="246">
        <v>2029</v>
      </c>
      <c r="BD1" s="246">
        <v>2030</v>
      </c>
      <c r="BE1" s="246">
        <v>2031</v>
      </c>
      <c r="BF1" s="246">
        <v>2032</v>
      </c>
      <c r="BG1" s="246">
        <v>2033</v>
      </c>
      <c r="BH1" s="563" t="s">
        <v>3154</v>
      </c>
    </row>
    <row r="2" spans="1:60" ht="18.75">
      <c r="A2" s="350" t="s">
        <v>2879</v>
      </c>
      <c r="H2" s="420" t="s">
        <v>447</v>
      </c>
      <c r="I2" s="566" t="s">
        <v>2601</v>
      </c>
      <c r="J2" s="246"/>
      <c r="K2" s="246"/>
      <c r="L2" s="574" t="s">
        <v>564</v>
      </c>
      <c r="M2" s="246"/>
      <c r="N2" s="568" t="s">
        <v>2662</v>
      </c>
      <c r="V2" s="11" t="s">
        <v>2655</v>
      </c>
      <c r="W2" s="224" t="s">
        <v>1672</v>
      </c>
      <c r="AO2" s="739" t="s">
        <v>2655</v>
      </c>
      <c r="AP2" s="224" t="s">
        <v>2703</v>
      </c>
      <c r="AQ2" s="246"/>
      <c r="AR2" s="246"/>
      <c r="AS2" s="246"/>
      <c r="AT2" s="246" t="s">
        <v>447</v>
      </c>
      <c r="AU2" s="246" t="s">
        <v>2601</v>
      </c>
      <c r="AV2" s="246"/>
      <c r="AW2" s="246"/>
      <c r="AX2" s="246" t="s">
        <v>564</v>
      </c>
      <c r="AY2" s="246"/>
      <c r="AZ2" s="246" t="s">
        <v>2662</v>
      </c>
      <c r="BA2" s="246"/>
      <c r="BB2" s="246"/>
      <c r="BC2" s="246"/>
      <c r="BD2" s="246"/>
      <c r="BE2" s="246"/>
      <c r="BF2" s="246"/>
      <c r="BG2" s="246"/>
      <c r="BH2" s="563" t="s">
        <v>2655</v>
      </c>
    </row>
    <row r="3" spans="1:60" s="259" customFormat="1">
      <c r="A3" s="257" t="s">
        <v>291</v>
      </c>
      <c r="B3" s="258" t="s">
        <v>918</v>
      </c>
      <c r="C3" s="259">
        <f>+Model!BO196</f>
        <v>2.7638250000000002</v>
      </c>
      <c r="D3" s="259">
        <f>+Model!BP196</f>
        <v>6.5</v>
      </c>
      <c r="E3" s="272">
        <f>+Model!BQ196</f>
        <v>7.51</v>
      </c>
      <c r="F3" s="259">
        <f>+Model!BR196</f>
        <v>7.53</v>
      </c>
      <c r="G3" s="259">
        <f>+Model!BS196</f>
        <v>8.1999999999999993</v>
      </c>
      <c r="H3" s="259">
        <f>+Model!BT196</f>
        <v>13.1</v>
      </c>
      <c r="I3" s="259">
        <f>+Model!BU196</f>
        <v>20.96</v>
      </c>
      <c r="J3" s="259">
        <f>+Model!BV196</f>
        <v>20.96</v>
      </c>
      <c r="K3" s="259">
        <f>+Model!BW196</f>
        <v>20.96</v>
      </c>
      <c r="L3" s="259">
        <f>+Model!BX196</f>
        <v>20.96</v>
      </c>
      <c r="M3" s="259">
        <f>+Model!BY196</f>
        <v>20.96</v>
      </c>
      <c r="N3" s="259">
        <f>+Model!BZ196</f>
        <v>20.96</v>
      </c>
      <c r="O3" s="259">
        <f>+Model!CA196</f>
        <v>20.96</v>
      </c>
      <c r="P3" s="259">
        <f>+Model!CB196</f>
        <v>20.96</v>
      </c>
      <c r="Q3" s="259">
        <f>+Model!CC196</f>
        <v>20.96</v>
      </c>
      <c r="R3" s="259">
        <f>+Model!CD196</f>
        <v>20.96</v>
      </c>
      <c r="S3" s="259">
        <f>+Model!CE196</f>
        <v>20.96</v>
      </c>
      <c r="T3" s="259">
        <f>+Model!CF196</f>
        <v>20.96</v>
      </c>
      <c r="U3" s="259">
        <f>+Model!CG196</f>
        <v>20.96</v>
      </c>
      <c r="V3" s="259">
        <f t="shared" ref="V3:V15" si="0">+SUM(I3:U3)/13</f>
        <v>20.960000000000004</v>
      </c>
      <c r="X3" s="272">
        <f>+Model!CI196</f>
        <v>0</v>
      </c>
      <c r="Y3" s="272">
        <f>+Model!CJ196</f>
        <v>0</v>
      </c>
      <c r="Z3" s="272">
        <f>+Model!CK196</f>
        <v>0</v>
      </c>
      <c r="AA3" s="272">
        <f>+Model!CL196</f>
        <v>0</v>
      </c>
      <c r="AB3" s="272">
        <f>+Model!CM196</f>
        <v>2.620000000000001</v>
      </c>
      <c r="AC3" s="272">
        <f>+Model!CN196</f>
        <v>2.620000000000001</v>
      </c>
      <c r="AD3" s="272">
        <f>+Model!CO196</f>
        <v>2.620000000000001</v>
      </c>
      <c r="AE3" s="272">
        <f>+Model!CP196</f>
        <v>2.620000000000001</v>
      </c>
      <c r="AF3" s="272">
        <f>+Model!CQ196</f>
        <v>2.620000000000001</v>
      </c>
      <c r="AG3" s="272">
        <f>+Model!CR196</f>
        <v>2.620000000000001</v>
      </c>
      <c r="AH3" s="272">
        <f>+Model!CS196</f>
        <v>2.620000000000001</v>
      </c>
      <c r="AI3" s="272">
        <f>+Model!CT196</f>
        <v>2.620000000000001</v>
      </c>
      <c r="AJ3" s="272">
        <f>+Model!CU196</f>
        <v>2.620000000000001</v>
      </c>
      <c r="AK3" s="272">
        <f>+Model!CV196</f>
        <v>2.620000000000001</v>
      </c>
      <c r="AL3" s="272">
        <f>+Model!CW196</f>
        <v>2.620000000000001</v>
      </c>
      <c r="AM3" s="272">
        <f>+Model!CX196</f>
        <v>2.620000000000001</v>
      </c>
      <c r="AN3" s="272">
        <f>+Model!CY196</f>
        <v>2.620000000000001</v>
      </c>
      <c r="AO3" s="259">
        <f t="shared" ref="AO3:AO15" si="1">+SUM(AB3:AN3)/13</f>
        <v>2.6200000000000014</v>
      </c>
      <c r="AQ3" s="260">
        <v>7.51</v>
      </c>
      <c r="AR3" s="260">
        <v>7.53</v>
      </c>
      <c r="AS3" s="260">
        <v>8.1999999999999993</v>
      </c>
      <c r="AT3" s="260">
        <v>13.1</v>
      </c>
      <c r="AU3" s="260">
        <v>18.34</v>
      </c>
      <c r="AV3" s="260">
        <v>18.34</v>
      </c>
      <c r="AW3" s="260">
        <v>18.34</v>
      </c>
      <c r="AX3" s="260">
        <v>18.34</v>
      </c>
      <c r="AY3" s="260">
        <v>18.34</v>
      </c>
      <c r="AZ3" s="260">
        <v>18.34</v>
      </c>
      <c r="BA3" s="260">
        <v>18.34</v>
      </c>
      <c r="BB3" s="260">
        <v>18.34</v>
      </c>
      <c r="BC3" s="260">
        <v>18.34</v>
      </c>
      <c r="BD3" s="260">
        <v>18.34</v>
      </c>
      <c r="BE3" s="260">
        <v>18.34</v>
      </c>
      <c r="BF3" s="260">
        <v>18.34</v>
      </c>
      <c r="BG3" s="260">
        <v>18.34</v>
      </c>
      <c r="BH3" s="247">
        <v>18.34</v>
      </c>
    </row>
    <row r="4" spans="1:60" s="259" customFormat="1">
      <c r="A4" s="257" t="s">
        <v>292</v>
      </c>
      <c r="B4" s="258"/>
      <c r="E4" s="272"/>
      <c r="G4" s="259">
        <f t="shared" ref="G4:V4" si="2">2*G3-G5</f>
        <v>8.8999999999999986</v>
      </c>
      <c r="H4" s="259">
        <f t="shared" si="2"/>
        <v>17</v>
      </c>
      <c r="I4" s="259">
        <f t="shared" si="2"/>
        <v>27.62</v>
      </c>
      <c r="J4" s="259">
        <f t="shared" si="2"/>
        <v>27.62</v>
      </c>
      <c r="K4" s="259">
        <f t="shared" si="2"/>
        <v>27.62</v>
      </c>
      <c r="L4" s="259">
        <f t="shared" si="2"/>
        <v>27.62</v>
      </c>
      <c r="M4" s="259">
        <f t="shared" si="2"/>
        <v>27.62</v>
      </c>
      <c r="N4" s="259">
        <f t="shared" si="2"/>
        <v>27.62</v>
      </c>
      <c r="O4" s="259">
        <f t="shared" si="2"/>
        <v>27.62</v>
      </c>
      <c r="P4" s="259">
        <f t="shared" si="2"/>
        <v>27.62</v>
      </c>
      <c r="Q4" s="259">
        <f t="shared" si="2"/>
        <v>27.62</v>
      </c>
      <c r="R4" s="259">
        <f t="shared" si="2"/>
        <v>27.62</v>
      </c>
      <c r="S4" s="259">
        <f t="shared" si="2"/>
        <v>27.62</v>
      </c>
      <c r="T4" s="259">
        <f t="shared" si="2"/>
        <v>27.62</v>
      </c>
      <c r="U4" s="259">
        <f t="shared" si="2"/>
        <v>27.62</v>
      </c>
      <c r="V4" s="259">
        <f t="shared" si="2"/>
        <v>27.620000000000008</v>
      </c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Q4" s="260"/>
      <c r="AR4" s="260"/>
      <c r="AS4" s="260">
        <v>8.8999999999999986</v>
      </c>
      <c r="AT4" s="260">
        <v>17</v>
      </c>
      <c r="AU4" s="260">
        <v>22.38</v>
      </c>
      <c r="AV4" s="260">
        <v>22.38</v>
      </c>
      <c r="AW4" s="260">
        <v>22.38</v>
      </c>
      <c r="AX4" s="260">
        <v>22.38</v>
      </c>
      <c r="AY4" s="260">
        <v>22.38</v>
      </c>
      <c r="AZ4" s="260">
        <v>22.38</v>
      </c>
      <c r="BA4" s="260">
        <v>22.38</v>
      </c>
      <c r="BB4" s="260">
        <v>22.38</v>
      </c>
      <c r="BC4" s="260">
        <v>22.38</v>
      </c>
      <c r="BD4" s="260">
        <v>22.38</v>
      </c>
      <c r="BE4" s="260">
        <v>22.38</v>
      </c>
      <c r="BF4" s="260">
        <v>22.38</v>
      </c>
      <c r="BG4" s="260">
        <v>22.38</v>
      </c>
      <c r="BH4" s="247">
        <v>22.38</v>
      </c>
    </row>
    <row r="5" spans="1:60" s="259" customFormat="1">
      <c r="A5" s="257" t="s">
        <v>293</v>
      </c>
      <c r="B5" s="258"/>
      <c r="E5" s="272"/>
      <c r="G5" s="259">
        <v>7.5</v>
      </c>
      <c r="H5" s="259">
        <f>0.75*7.5+0.25*14.3</f>
        <v>9.1999999999999993</v>
      </c>
      <c r="I5" s="259">
        <v>14.3</v>
      </c>
      <c r="J5" s="259">
        <f t="shared" ref="J5" si="3">I5</f>
        <v>14.3</v>
      </c>
      <c r="K5" s="259">
        <f t="shared" ref="K5:N5" si="4">J5</f>
        <v>14.3</v>
      </c>
      <c r="L5" s="259">
        <f t="shared" si="4"/>
        <v>14.3</v>
      </c>
      <c r="M5" s="259">
        <f t="shared" si="4"/>
        <v>14.3</v>
      </c>
      <c r="N5" s="259">
        <f t="shared" si="4"/>
        <v>14.3</v>
      </c>
      <c r="O5" s="259">
        <f t="shared" ref="O5" si="5">N5</f>
        <v>14.3</v>
      </c>
      <c r="P5" s="259">
        <f t="shared" ref="P5" si="6">O5</f>
        <v>14.3</v>
      </c>
      <c r="Q5" s="259">
        <f t="shared" ref="Q5" si="7">P5</f>
        <v>14.3</v>
      </c>
      <c r="R5" s="259">
        <f t="shared" ref="R5" si="8">Q5</f>
        <v>14.3</v>
      </c>
      <c r="S5" s="259">
        <f t="shared" ref="S5" si="9">R5</f>
        <v>14.3</v>
      </c>
      <c r="T5" s="259">
        <f t="shared" ref="T5" si="10">S5</f>
        <v>14.3</v>
      </c>
      <c r="U5" s="259">
        <f t="shared" ref="U5" si="11">T5</f>
        <v>14.3</v>
      </c>
      <c r="V5" s="259">
        <f t="shared" ref="V5" si="12">U5</f>
        <v>14.3</v>
      </c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Q5" s="260"/>
      <c r="AR5" s="260"/>
      <c r="AS5" s="260">
        <v>7.5</v>
      </c>
      <c r="AT5" s="260">
        <v>9.1999999999999993</v>
      </c>
      <c r="AU5" s="260">
        <v>14.3</v>
      </c>
      <c r="AV5" s="260">
        <v>14.3</v>
      </c>
      <c r="AW5" s="260">
        <v>14.3</v>
      </c>
      <c r="AX5" s="260">
        <v>14.3</v>
      </c>
      <c r="AY5" s="260">
        <v>14.3</v>
      </c>
      <c r="AZ5" s="260">
        <v>14.3</v>
      </c>
      <c r="BA5" s="260">
        <v>14.3</v>
      </c>
      <c r="BB5" s="260">
        <v>14.3</v>
      </c>
      <c r="BC5" s="260">
        <v>14.3</v>
      </c>
      <c r="BD5" s="260">
        <v>14.3</v>
      </c>
      <c r="BE5" s="260">
        <v>14.3</v>
      </c>
      <c r="BF5" s="260">
        <v>14.3</v>
      </c>
      <c r="BG5" s="260">
        <v>14.3</v>
      </c>
      <c r="BH5" s="247">
        <v>14.3</v>
      </c>
    </row>
    <row r="6" spans="1:60" s="244" customFormat="1">
      <c r="A6" s="244" t="s">
        <v>819</v>
      </c>
      <c r="B6" s="262" t="s">
        <v>2682</v>
      </c>
      <c r="C6" s="244">
        <f>+Model!BO164/C3</f>
        <v>1084.2582290846922</v>
      </c>
      <c r="D6" s="244">
        <f>+Model!BP164/D3</f>
        <v>992.12307692307695</v>
      </c>
      <c r="E6" s="244">
        <f>+Model!BQ164/E3</f>
        <v>847.47003994673776</v>
      </c>
      <c r="F6" s="244">
        <f>+Model!BR164/F3</f>
        <v>1119.0172642762284</v>
      </c>
      <c r="G6" s="244">
        <f>+Model!BS164/G3</f>
        <v>715.00000000000011</v>
      </c>
      <c r="H6" s="244">
        <f>+Model!BT164/H3</f>
        <v>816.41221374045801</v>
      </c>
      <c r="I6" s="244">
        <f ca="1">+Model!BU164/I3</f>
        <v>907.74689901633496</v>
      </c>
      <c r="J6" s="244">
        <f ca="1">+Model!BV164/J3</f>
        <v>992.32866153016187</v>
      </c>
      <c r="K6" s="244">
        <f ca="1">+Model!BW164/K3</f>
        <v>1023.5141978554071</v>
      </c>
      <c r="L6" s="244">
        <f ca="1">+Model!BX164/L3</f>
        <v>999.90939733460368</v>
      </c>
      <c r="M6" s="244">
        <f ca="1">+Model!BY164/M3</f>
        <v>959.34166420904978</v>
      </c>
      <c r="N6" s="244">
        <f ca="1">+Model!BZ164/N3</f>
        <v>887.62477300247065</v>
      </c>
      <c r="O6" s="244">
        <f ca="1">+Model!CA164/O3</f>
        <v>769.49630770716783</v>
      </c>
      <c r="P6" s="244">
        <f ca="1">+Model!CB164/P3</f>
        <v>585.30972199187408</v>
      </c>
      <c r="Q6" s="244">
        <f ca="1">+Model!CC164/Q3</f>
        <v>309.38786596419243</v>
      </c>
      <c r="R6" s="244">
        <f ca="1">+Model!CD164/R3</f>
        <v>-92.025652270374323</v>
      </c>
      <c r="S6" s="244">
        <f ca="1">+Model!CE164/S3</f>
        <v>-663.49523865109632</v>
      </c>
      <c r="T6" s="244">
        <f ca="1">+Model!CF164/T3</f>
        <v>-1463.9468028294841</v>
      </c>
      <c r="U6" s="244">
        <f ca="1">+Model!CG164/U3</f>
        <v>-2571.1398205567316</v>
      </c>
      <c r="V6" s="244">
        <f t="shared" ca="1" si="0"/>
        <v>203.38861340796731</v>
      </c>
      <c r="X6" s="244">
        <f>Model!CI159</f>
        <v>0</v>
      </c>
      <c r="Y6" s="244">
        <f>Model!CJ159</f>
        <v>0</v>
      </c>
      <c r="Z6" s="244">
        <f>Model!CK159</f>
        <v>0</v>
      </c>
      <c r="AA6" s="244">
        <f>Model!CL159</f>
        <v>0</v>
      </c>
      <c r="AB6" s="244">
        <f ca="1">Model!CM159</f>
        <v>-10.158890262173941</v>
      </c>
      <c r="AC6" s="244">
        <f ca="1">Model!CN159</f>
        <v>-38.626712407727155</v>
      </c>
      <c r="AD6" s="244">
        <f ca="1">Model!CO159</f>
        <v>-84.833379403583308</v>
      </c>
      <c r="AE6" s="244">
        <f ca="1">Model!CP159</f>
        <v>-145.89847525241919</v>
      </c>
      <c r="AF6" s="244">
        <f ca="1">Model!CQ159</f>
        <v>-224.08728416153372</v>
      </c>
      <c r="AG6" s="244">
        <f ca="1">Model!CR159</f>
        <v>-380.80435657359806</v>
      </c>
      <c r="AH6" s="244">
        <f ca="1">Model!CS159</f>
        <v>-562.70814303393172</v>
      </c>
      <c r="AI6" s="244">
        <f ca="1">Model!CT159</f>
        <v>-768.16889602581773</v>
      </c>
      <c r="AJ6" s="244">
        <f ca="1">Model!CU159</f>
        <v>-995.6343161782064</v>
      </c>
      <c r="AK6" s="244">
        <f ca="1">Model!CV159</f>
        <v>-1242.6611902553357</v>
      </c>
      <c r="AL6" s="244">
        <f ca="1">Model!CW159</f>
        <v>-1505.5551649326976</v>
      </c>
      <c r="AM6" s="244">
        <f ca="1">Model!CX159</f>
        <v>-1778.4535588594758</v>
      </c>
      <c r="AN6" s="244">
        <f ca="1">Model!CY159</f>
        <v>-2052.5064964800827</v>
      </c>
      <c r="AO6" s="259">
        <f t="shared" ca="1" si="1"/>
        <v>-753.08437414050627</v>
      </c>
      <c r="AQ6" s="247">
        <v>847.47003994673776</v>
      </c>
      <c r="AR6" s="247">
        <v>1119.0172642762284</v>
      </c>
      <c r="AS6" s="247">
        <v>715.00000000000011</v>
      </c>
      <c r="AT6" s="247">
        <v>816.41221374045801</v>
      </c>
      <c r="AU6" s="247">
        <v>921.34166019675888</v>
      </c>
      <c r="AV6" s="247">
        <v>1044.0194384571685</v>
      </c>
      <c r="AW6" s="247">
        <v>1137.0393470948097</v>
      </c>
      <c r="AX6" s="247">
        <v>1195.1526647050473</v>
      </c>
      <c r="AY6" s="247">
        <v>1259.2182287870719</v>
      </c>
      <c r="AZ6" s="247">
        <v>1397.2221946184093</v>
      </c>
      <c r="BA6" s="247">
        <v>1522.5197798978352</v>
      </c>
      <c r="BB6" s="247">
        <v>1613.2834886330143</v>
      </c>
      <c r="BC6" s="247">
        <v>1641.75886340236</v>
      </c>
      <c r="BD6" s="247">
        <v>1570.9199720765632</v>
      </c>
      <c r="BE6" s="247">
        <v>1351.2585762832202</v>
      </c>
      <c r="BF6" s="247">
        <v>916.00324872233182</v>
      </c>
      <c r="BG6" s="247">
        <v>175.55149323889162</v>
      </c>
      <c r="BH6" s="247">
        <v>1211.176073547191</v>
      </c>
    </row>
    <row r="7" spans="1:60" s="259" customFormat="1">
      <c r="A7" s="259" t="str">
        <f>+Model!A308</f>
        <v>Net Foreign Assets CBvS +ODI's in months imports</v>
      </c>
      <c r="B7" s="258" t="s">
        <v>2702</v>
      </c>
      <c r="C7" s="259">
        <f>+Model!BO308</f>
        <v>4.7979693495738136</v>
      </c>
      <c r="D7" s="259">
        <f>+Model!BP308</f>
        <v>6.6414336911422875</v>
      </c>
      <c r="E7" s="259">
        <f>+Model!BQ308</f>
        <v>5.5166625353155228</v>
      </c>
      <c r="F7" s="259">
        <f>+Model!BR308</f>
        <v>6.2806417291141905</v>
      </c>
      <c r="G7" s="259">
        <f>+Model!BS308</f>
        <v>3.4820942615849004</v>
      </c>
      <c r="H7" s="259">
        <f>+Model!BT308</f>
        <v>5.0680314361176011</v>
      </c>
      <c r="I7" s="259">
        <f ca="1">+Model!BU308</f>
        <v>5.2520870358813223</v>
      </c>
      <c r="J7" s="259">
        <f ca="1">+Model!BV308</f>
        <v>5.3764908063731891</v>
      </c>
      <c r="K7" s="259">
        <f ca="1">+Model!BW308</f>
        <v>5.1918266951098575</v>
      </c>
      <c r="L7" s="259">
        <f ca="1">+Model!BX308</f>
        <v>4.758824084258837</v>
      </c>
      <c r="M7" s="259">
        <f ca="1">+Model!BY308</f>
        <v>4.2814642163187049</v>
      </c>
      <c r="N7" s="259">
        <f ca="1">+Model!BZ308</f>
        <v>3.7001647725177294</v>
      </c>
      <c r="O7" s="259">
        <f ca="1">+Model!CA308</f>
        <v>2.9859767132825619</v>
      </c>
      <c r="P7" s="259">
        <f ca="1">+Model!CB308</f>
        <v>2.1059637297691913</v>
      </c>
      <c r="Q7" s="259">
        <f ca="1">+Model!CC308</f>
        <v>1.0274411646678741</v>
      </c>
      <c r="R7" s="259">
        <f ca="1">+Model!CD308</f>
        <v>-0.28054349572960774</v>
      </c>
      <c r="S7" s="259">
        <f ca="1">+Model!CE308</f>
        <v>-1.8450304338905532</v>
      </c>
      <c r="T7" s="259">
        <f ca="1">+Model!CF308</f>
        <v>-3.6859255571830216</v>
      </c>
      <c r="U7" s="259">
        <f ca="1">+Model!CG308</f>
        <v>-5.8118999189040723</v>
      </c>
      <c r="V7" s="244">
        <f t="shared" ca="1" si="0"/>
        <v>1.7736030624978472</v>
      </c>
      <c r="X7" s="272">
        <f>+Model!CI307</f>
        <v>0</v>
      </c>
      <c r="Y7" s="272">
        <f>+Model!CJ307</f>
        <v>0</v>
      </c>
      <c r="Z7" s="272">
        <f>+Model!CK307</f>
        <v>0</v>
      </c>
      <c r="AA7" s="272">
        <f>+Model!CL307</f>
        <v>0</v>
      </c>
      <c r="AB7" s="272">
        <f ca="1">+Model!CM307</f>
        <v>0.17543800067495985</v>
      </c>
      <c r="AC7" s="272">
        <f ca="1">+Model!CN307</f>
        <v>5.9215803703188463E-2</v>
      </c>
      <c r="AD7" s="272">
        <f ca="1">+Model!CO307</f>
        <v>-0.1238362490236482</v>
      </c>
      <c r="AE7" s="272">
        <f ca="1">+Model!CP307</f>
        <v>-0.35096655325357684</v>
      </c>
      <c r="AF7" s="272">
        <f ca="1">+Model!CQ307</f>
        <v>-0.61836582706162835</v>
      </c>
      <c r="AG7" s="272">
        <f ca="1">+Model!CR307</f>
        <v>-1.2489774774772009</v>
      </c>
      <c r="AH7" s="272">
        <f ca="1">+Model!CS307</f>
        <v>-1.7962548553934332</v>
      </c>
      <c r="AI7" s="272">
        <f ca="1">+Model!CT307</f>
        <v>-2.3365441362029333</v>
      </c>
      <c r="AJ7" s="272">
        <f ca="1">+Model!CU307</f>
        <v>-2.8592943291761856</v>
      </c>
      <c r="AK7" s="272">
        <f ca="1">+Model!CV307</f>
        <v>-3.3548794757175679</v>
      </c>
      <c r="AL7" s="272">
        <f ca="1">+Model!CW307</f>
        <v>-3.8148563629995347</v>
      </c>
      <c r="AM7" s="272">
        <f ca="1">+Model!CX307</f>
        <v>-4.2305764821748362</v>
      </c>
      <c r="AN7" s="272">
        <f ca="1">+Model!CY307</f>
        <v>-4.5938639597205295</v>
      </c>
      <c r="AO7" s="259">
        <f t="shared" ca="1" si="1"/>
        <v>-1.9302893772171481</v>
      </c>
      <c r="AQ7" s="260">
        <v>5.5166625353155228</v>
      </c>
      <c r="AR7" s="260">
        <v>6.2806417291141905</v>
      </c>
      <c r="AS7" s="260">
        <v>3.4820942615849004</v>
      </c>
      <c r="AT7" s="260">
        <v>5.0680314361176011</v>
      </c>
      <c r="AU7" s="260">
        <v>5.0173135852783819</v>
      </c>
      <c r="AV7" s="260">
        <v>5.2972474354265406</v>
      </c>
      <c r="AW7" s="260">
        <v>5.3575459998280657</v>
      </c>
      <c r="AX7" s="260">
        <v>5.2284921632186725</v>
      </c>
      <c r="AY7" s="260">
        <v>5.1089695366920953</v>
      </c>
      <c r="AZ7" s="260">
        <v>5.3715629358834329</v>
      </c>
      <c r="BA7" s="260">
        <v>5.3897486950684508</v>
      </c>
      <c r="BB7" s="260">
        <v>5.2327579660918202</v>
      </c>
      <c r="BC7" s="260">
        <v>4.8537866164370627</v>
      </c>
      <c r="BD7" s="260">
        <v>4.2090005474134697</v>
      </c>
      <c r="BE7" s="260">
        <v>3.2600607575859031</v>
      </c>
      <c r="BF7" s="260">
        <v>1.9754877907723831</v>
      </c>
      <c r="BG7" s="260">
        <v>0.33566953169786917</v>
      </c>
      <c r="BH7" s="247">
        <v>4.3567418124149331</v>
      </c>
    </row>
    <row r="8" spans="1:60" s="259" customFormat="1">
      <c r="A8" s="259" t="s">
        <v>344</v>
      </c>
      <c r="B8" s="258" t="s">
        <v>2702</v>
      </c>
      <c r="C8" s="259">
        <f>+Model!BO307</f>
        <v>2.0940581680874266</v>
      </c>
      <c r="D8" s="259">
        <f>+Model!BP307</f>
        <v>2.8847723471434468</v>
      </c>
      <c r="E8" s="259">
        <f>+Model!BQ307</f>
        <v>2.720496037919915</v>
      </c>
      <c r="F8" s="259">
        <f>+Model!BR307</f>
        <v>3.2020375500346119</v>
      </c>
      <c r="G8" s="259">
        <f>+Model!BS307</f>
        <v>2.8448288441056921</v>
      </c>
      <c r="H8" s="259">
        <f>+Model!BT307</f>
        <v>3.7871629020525357</v>
      </c>
      <c r="I8" s="259">
        <f ca="1">+Model!BU307</f>
        <v>3.9247012240078099</v>
      </c>
      <c r="J8" s="259">
        <f ca="1">+Model!BV307</f>
        <v>4.0176638171607779</v>
      </c>
      <c r="K8" s="259">
        <f ca="1">+Model!BW307</f>
        <v>3.8796707758128073</v>
      </c>
      <c r="L8" s="259">
        <f ca="1">+Model!BX307</f>
        <v>3.5561030464138956</v>
      </c>
      <c r="M8" s="259">
        <f ca="1">+Model!BY307</f>
        <v>3.1993886878746229</v>
      </c>
      <c r="N8" s="259">
        <f ca="1">+Model!BZ307</f>
        <v>2.765003914161916</v>
      </c>
      <c r="O8" s="259">
        <f ca="1">+Model!CA307</f>
        <v>2.2313161189859039</v>
      </c>
      <c r="P8" s="259">
        <f ca="1">+Model!CB307</f>
        <v>1.573713148977596</v>
      </c>
      <c r="Q8" s="259">
        <f ca="1">+Model!CC307</f>
        <v>0.76777090117116709</v>
      </c>
      <c r="R8" s="259">
        <f ca="1">+Model!CD307</f>
        <v>-0.20964035697718492</v>
      </c>
      <c r="S8" s="259">
        <f ca="1">+Model!CE307</f>
        <v>-1.378726809504768</v>
      </c>
      <c r="T8" s="259">
        <f ca="1">+Model!CF307</f>
        <v>-2.7543634458164465</v>
      </c>
      <c r="U8" s="259">
        <f ca="1">+Model!CG307</f>
        <v>-4.3430298412231494</v>
      </c>
      <c r="V8" s="244">
        <f t="shared" ca="1" si="0"/>
        <v>1.3253516293111498</v>
      </c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Q8" s="260">
        <v>2.720496037919915</v>
      </c>
      <c r="AR8" s="260">
        <v>3.2020375500346119</v>
      </c>
      <c r="AS8" s="260">
        <v>2.8448288441056921</v>
      </c>
      <c r="AT8" s="260">
        <v>3.7871629020525357</v>
      </c>
      <c r="AU8" s="260">
        <v>3.74926322333285</v>
      </c>
      <c r="AV8" s="260">
        <v>3.9584480134575895</v>
      </c>
      <c r="AW8" s="260">
        <v>4.0035070248364555</v>
      </c>
      <c r="AX8" s="260">
        <v>3.9070695996674725</v>
      </c>
      <c r="AY8" s="260">
        <v>3.8177545149362513</v>
      </c>
      <c r="AZ8" s="260">
        <v>4.0139813916391169</v>
      </c>
      <c r="BA8" s="260">
        <v>4.0275709743793371</v>
      </c>
      <c r="BB8" s="260">
        <v>3.9102572851805291</v>
      </c>
      <c r="BC8" s="260">
        <v>3.6270652303473527</v>
      </c>
      <c r="BD8" s="260">
        <v>3.145239118740383</v>
      </c>
      <c r="BE8" s="260">
        <v>2.4361295534947667</v>
      </c>
      <c r="BF8" s="260">
        <v>1.4762130363583901</v>
      </c>
      <c r="BG8" s="260">
        <v>0.25083411849738102</v>
      </c>
      <c r="BH8" s="247">
        <v>3.2556410065282981</v>
      </c>
    </row>
    <row r="9" spans="1:60" s="244" customFormat="1">
      <c r="A9" s="261" t="s">
        <v>1181</v>
      </c>
      <c r="B9" s="262" t="s">
        <v>1349</v>
      </c>
      <c r="C9" s="244">
        <f>+Model!BO310</f>
        <v>-10.252491288133527</v>
      </c>
      <c r="D9" s="244">
        <f>+Model!BP310</f>
        <v>-10.739391451588075</v>
      </c>
      <c r="E9" s="244">
        <f>+Model!BQ310</f>
        <v>-9.8622898984856047</v>
      </c>
      <c r="F9" s="244">
        <f>+Model!BR310</f>
        <v>-7.9555142214988761</v>
      </c>
      <c r="G9" s="244">
        <f>+Model!BS310</f>
        <v>-14.558247497461194</v>
      </c>
      <c r="H9" s="244">
        <f>+Model!BT310</f>
        <v>-15.674078681387032</v>
      </c>
      <c r="I9" s="244">
        <f ca="1">+Model!BU310</f>
        <v>-3.0200500680185516</v>
      </c>
      <c r="J9" s="244">
        <f ca="1">+Model!BV310</f>
        <v>0.16820911013604201</v>
      </c>
      <c r="K9" s="244">
        <f ca="1">+Model!BW310</f>
        <v>-3.2275072320192049</v>
      </c>
      <c r="L9" s="244">
        <f ca="1">+Model!BX310</f>
        <v>-3.1641247382338693</v>
      </c>
      <c r="M9" s="244">
        <f ca="1">+Model!BY310</f>
        <v>-3.1760195598301779</v>
      </c>
      <c r="N9" s="244">
        <f ca="1">+Model!BZ310</f>
        <v>-3.2359270244259415</v>
      </c>
      <c r="O9" s="244">
        <f ca="1">+Model!CA310</f>
        <v>-3.3415417256002207</v>
      </c>
      <c r="P9" s="244">
        <f ca="1">+Model!CB310</f>
        <v>-3.4993107516825104</v>
      </c>
      <c r="Q9" s="244">
        <f ca="1">+Model!CC310</f>
        <v>-3.6984552839665943</v>
      </c>
      <c r="R9" s="244">
        <f ca="1">+Model!CD310</f>
        <v>-3.9236517311937296</v>
      </c>
      <c r="S9" s="244">
        <f ca="1">+Model!CE310</f>
        <v>-4.151679873281112</v>
      </c>
      <c r="T9" s="244">
        <f ca="1">+Model!CF310</f>
        <v>-4.3499293374361789</v>
      </c>
      <c r="U9" s="244">
        <f ca="1">+Model!CG310</f>
        <v>-4.4768442424762007</v>
      </c>
      <c r="V9" s="244">
        <f t="shared" ca="1" si="0"/>
        <v>-3.3151409583098652</v>
      </c>
      <c r="X9" s="259">
        <f>+Model!CI310</f>
        <v>0</v>
      </c>
      <c r="Y9" s="259">
        <f>+Model!CJ310</f>
        <v>0</v>
      </c>
      <c r="Z9" s="259">
        <f>+Model!CK310</f>
        <v>0</v>
      </c>
      <c r="AA9" s="259">
        <f>+Model!CL310</f>
        <v>0</v>
      </c>
      <c r="AB9" s="259">
        <f ca="1">+Model!CM310</f>
        <v>6.4059278756318445</v>
      </c>
      <c r="AC9" s="259">
        <f ca="1">+Model!CN310</f>
        <v>5.880134117474781</v>
      </c>
      <c r="AD9" s="259">
        <f ca="1">+Model!CO310</f>
        <v>5.2805811460281937</v>
      </c>
      <c r="AE9" s="259">
        <f ca="1">+Model!CP310</f>
        <v>5.0254009504868691</v>
      </c>
      <c r="AF9" s="259">
        <f ca="1">+Model!CQ310</f>
        <v>4.6948584676687428</v>
      </c>
      <c r="AG9" s="259">
        <f ca="1">+Model!CR310</f>
        <v>1.2990061243222515</v>
      </c>
      <c r="AH9" s="259">
        <f ca="1">+Model!CS310</f>
        <v>1.3103119517186248</v>
      </c>
      <c r="AI9" s="259">
        <f ca="1">+Model!CT310</f>
        <v>1.2057535595834672</v>
      </c>
      <c r="AJ9" s="259">
        <f ca="1">+Model!CU310</f>
        <v>1.1784964740796022</v>
      </c>
      <c r="AK9" s="259">
        <f ca="1">+Model!CV310</f>
        <v>1.1674156400349216</v>
      </c>
      <c r="AL9" s="259">
        <f ca="1">+Model!CW310</f>
        <v>1.1651716135171597</v>
      </c>
      <c r="AM9" s="259">
        <f ca="1">+Model!CX310</f>
        <v>1.1666888526215287</v>
      </c>
      <c r="AN9" s="259">
        <f ca="1">+Model!CY310</f>
        <v>1.1659713092417379</v>
      </c>
      <c r="AO9" s="259">
        <f t="shared" ca="1" si="1"/>
        <v>2.8419783140315173</v>
      </c>
      <c r="AQ9" s="247">
        <v>-9.8622898984856047</v>
      </c>
      <c r="AR9" s="247">
        <v>-7.9555142214988761</v>
      </c>
      <c r="AS9" s="247">
        <v>-14.558247497461194</v>
      </c>
      <c r="AT9" s="247">
        <v>-15.674078681387032</v>
      </c>
      <c r="AU9" s="247">
        <v>-9.4259779436503965</v>
      </c>
      <c r="AV9" s="247">
        <v>-5.7119250073387393</v>
      </c>
      <c r="AW9" s="247">
        <v>-8.5080883780473986</v>
      </c>
      <c r="AX9" s="247">
        <v>-8.1895256887207388</v>
      </c>
      <c r="AY9" s="247">
        <v>-7.8708780274989207</v>
      </c>
      <c r="AZ9" s="247">
        <v>-4.534933148748193</v>
      </c>
      <c r="BA9" s="247">
        <v>-4.6518536773188455</v>
      </c>
      <c r="BB9" s="247">
        <v>-4.7050643112659776</v>
      </c>
      <c r="BC9" s="247">
        <v>-4.8769517580461965</v>
      </c>
      <c r="BD9" s="247">
        <v>-5.0910673712286512</v>
      </c>
      <c r="BE9" s="247">
        <v>-5.3168514867982717</v>
      </c>
      <c r="BF9" s="247">
        <v>-5.5166181900577076</v>
      </c>
      <c r="BG9" s="247">
        <v>-5.6428155517179412</v>
      </c>
      <c r="BH9" s="247">
        <v>-6.1571192723413848</v>
      </c>
    </row>
    <row r="10" spans="1:60" s="244" customFormat="1">
      <c r="A10" s="244" t="str">
        <f>+Model!A327</f>
        <v>Binnenlandse (=Mon) fin overheid in % BBP</v>
      </c>
      <c r="B10" s="262" t="s">
        <v>1349</v>
      </c>
      <c r="C10" s="244">
        <f>+Model!BO327</f>
        <v>7.8914226325120742</v>
      </c>
      <c r="D10" s="244">
        <f>+Model!BP327</f>
        <v>0.16419518702858021</v>
      </c>
      <c r="E10" s="244">
        <f>+Model!BQ327</f>
        <v>5.6714927608587118</v>
      </c>
      <c r="F10" s="244">
        <f>+Model!BR327</f>
        <v>-0.38363171355498721</v>
      </c>
      <c r="G10" s="244">
        <f>+Model!BS327</f>
        <v>10.262585231394169</v>
      </c>
      <c r="H10" s="244">
        <f>+Model!BT327</f>
        <v>15.674078681387032</v>
      </c>
      <c r="I10" s="244">
        <f ca="1">+Model!BU327</f>
        <v>3.0200500680185516</v>
      </c>
      <c r="J10" s="244">
        <f ca="1">+Model!BV327</f>
        <v>-0.16820911013604201</v>
      </c>
      <c r="K10" s="244">
        <f ca="1">+Model!BW327</f>
        <v>3.2275072320192053</v>
      </c>
      <c r="L10" s="244">
        <f ca="1">+Model!BX327</f>
        <v>3.1641247382338697</v>
      </c>
      <c r="M10" s="244">
        <f ca="1">+Model!BY327</f>
        <v>3.1760195598301779</v>
      </c>
      <c r="N10" s="244">
        <f ca="1">+Model!BZ327</f>
        <v>3.235927024425941</v>
      </c>
      <c r="O10" s="244">
        <f ca="1">+Model!CA327</f>
        <v>3.3415417256002207</v>
      </c>
      <c r="P10" s="244">
        <f ca="1">+Model!CB327</f>
        <v>3.4993107516825108</v>
      </c>
      <c r="Q10" s="244">
        <f ca="1">+Model!CC327</f>
        <v>3.6984552839665952</v>
      </c>
      <c r="R10" s="244">
        <f ca="1">+Model!CD327</f>
        <v>3.9236517311937291</v>
      </c>
      <c r="S10" s="244">
        <f ca="1">+Model!CE327</f>
        <v>4.151679873281112</v>
      </c>
      <c r="T10" s="244">
        <f ca="1">+Model!CF327</f>
        <v>4.3499293374361789</v>
      </c>
      <c r="U10" s="244">
        <f ca="1">+Model!CG327</f>
        <v>4.4768442424762007</v>
      </c>
      <c r="V10" s="244">
        <f t="shared" ca="1" si="0"/>
        <v>3.3151409583098652</v>
      </c>
      <c r="X10" s="259">
        <f>+Model!CI327</f>
        <v>0</v>
      </c>
      <c r="Y10" s="259">
        <f>+Model!CJ327</f>
        <v>0</v>
      </c>
      <c r="Z10" s="259">
        <f>+Model!CK327</f>
        <v>0</v>
      </c>
      <c r="AA10" s="259">
        <f>+Model!CL327</f>
        <v>0</v>
      </c>
      <c r="AB10" s="259">
        <f ca="1">+Model!CM327</f>
        <v>-2.0289326267892398</v>
      </c>
      <c r="AC10" s="259">
        <f ca="1">+Model!CN327</f>
        <v>-2.0559792147783713</v>
      </c>
      <c r="AD10" s="259">
        <f ca="1">+Model!CO327</f>
        <v>-1.8827981905027831</v>
      </c>
      <c r="AE10" s="259">
        <f ca="1">+Model!CP327</f>
        <v>-1.9452901579315238</v>
      </c>
      <c r="AF10" s="259">
        <f ca="1">+Model!CQ327</f>
        <v>-1.9630466958163968</v>
      </c>
      <c r="AG10" s="259">
        <f ca="1">+Model!CR327</f>
        <v>1.1602260522000947</v>
      </c>
      <c r="AH10" s="259">
        <f ca="1">+Model!CS327</f>
        <v>0.83362650043339181</v>
      </c>
      <c r="AI10" s="259">
        <f ca="1">+Model!CT327</f>
        <v>0.64364637345622322</v>
      </c>
      <c r="AJ10" s="259">
        <f ca="1">+Model!CU327</f>
        <v>0.38837703015276626</v>
      </c>
      <c r="AK10" s="259">
        <f ca="1">+Model!CV327</f>
        <v>0.13368333899850304</v>
      </c>
      <c r="AL10" s="259">
        <f ca="1">+Model!CW327</f>
        <v>-0.11033341737942504</v>
      </c>
      <c r="AM10" s="259">
        <f ca="1">+Model!CX327</f>
        <v>-0.33619272436272585</v>
      </c>
      <c r="AN10" s="259">
        <f ca="1">+Model!CY327</f>
        <v>-0.53510603236896337</v>
      </c>
      <c r="AO10" s="259">
        <f t="shared" ca="1" si="1"/>
        <v>-0.59216305882218856</v>
      </c>
      <c r="AQ10" s="247">
        <v>5.6714927608587118</v>
      </c>
      <c r="AR10" s="247">
        <v>-0.38363171355498721</v>
      </c>
      <c r="AS10" s="247">
        <v>10.262585231394169</v>
      </c>
      <c r="AT10" s="247">
        <v>15.674078681387032</v>
      </c>
      <c r="AU10" s="247">
        <v>5.0489826948077914</v>
      </c>
      <c r="AV10" s="247">
        <v>1.8877701046423294</v>
      </c>
      <c r="AW10" s="247">
        <v>5.1103054225219884</v>
      </c>
      <c r="AX10" s="247">
        <v>5.1094148961653936</v>
      </c>
      <c r="AY10" s="247">
        <v>5.1390662556465747</v>
      </c>
      <c r="AZ10" s="247">
        <v>2.0757009722258464</v>
      </c>
      <c r="BA10" s="247">
        <v>2.5079152251668289</v>
      </c>
      <c r="BB10" s="247">
        <v>2.8556643782262876</v>
      </c>
      <c r="BC10" s="247">
        <v>3.3100782538138289</v>
      </c>
      <c r="BD10" s="247">
        <v>3.7899683921952261</v>
      </c>
      <c r="BE10" s="247">
        <v>4.262013290660537</v>
      </c>
      <c r="BF10" s="247">
        <v>4.6861220617989048</v>
      </c>
      <c r="BG10" s="247">
        <v>5.0119502748451676</v>
      </c>
      <c r="BH10" s="247">
        <v>3.9073040171320539</v>
      </c>
    </row>
    <row r="11" spans="1:60" s="244" customFormat="1">
      <c r="A11" s="261" t="s">
        <v>2701</v>
      </c>
      <c r="B11" s="262" t="s">
        <v>1349</v>
      </c>
      <c r="C11" s="244">
        <f>+Model!BO288</f>
        <v>-3.5151277783217472</v>
      </c>
      <c r="D11" s="244">
        <f>+Model!BP288</f>
        <v>-5.5611934239902627</v>
      </c>
      <c r="E11" s="244">
        <f>+Model!BQ288</f>
        <v>1.7623038899634791</v>
      </c>
      <c r="F11" s="244">
        <f>+Model!BR288</f>
        <v>2.6187961985216557</v>
      </c>
      <c r="G11" s="244">
        <f>+Model!BS288</f>
        <v>0.30000000000001137</v>
      </c>
      <c r="H11" s="244">
        <f ca="1">+Model!BT288</f>
        <v>-15.90796272008912</v>
      </c>
      <c r="I11" s="244">
        <f ca="1">+Model!BU288</f>
        <v>7.6329919606266117</v>
      </c>
      <c r="J11" s="244">
        <f ca="1">+Model!BV288</f>
        <v>2.3734402833680779</v>
      </c>
      <c r="K11" s="244">
        <f ca="1">+Model!BW288</f>
        <v>3.6390672165122595</v>
      </c>
      <c r="L11" s="244">
        <f ca="1">+Model!BX288</f>
        <v>4.0267683949501532</v>
      </c>
      <c r="M11" s="244">
        <f ca="1">+Model!BY288</f>
        <v>3.9100292732803243</v>
      </c>
      <c r="N11" s="244">
        <f ca="1">+Model!BZ288</f>
        <v>4.2229428211749465</v>
      </c>
      <c r="O11" s="244">
        <f ca="1">+Model!CA288</f>
        <v>4.4870252104325825</v>
      </c>
      <c r="P11" s="244">
        <f ca="1">+Model!CB288</f>
        <v>4.7851228627236564</v>
      </c>
      <c r="Q11" s="244">
        <f ca="1">+Model!CC288</f>
        <v>5.1330647761232528</v>
      </c>
      <c r="R11" s="244">
        <f ca="1">+Model!CD288</f>
        <v>5.5387070474887112</v>
      </c>
      <c r="S11" s="244">
        <f ca="1">+Model!CE288</f>
        <v>6.0076251585253315</v>
      </c>
      <c r="T11" s="244">
        <f ca="1">+Model!CF288</f>
        <v>6.5389750736249974</v>
      </c>
      <c r="U11" s="244">
        <f ca="1">+Model!CG288</f>
        <v>7.1194630405678527</v>
      </c>
      <c r="V11" s="244">
        <f t="shared" ca="1" si="0"/>
        <v>5.0319402399537507</v>
      </c>
      <c r="X11" s="259">
        <f>+Model!CI288</f>
        <v>0</v>
      </c>
      <c r="Y11" s="259">
        <f>+Model!CJ288</f>
        <v>0</v>
      </c>
      <c r="Z11" s="259">
        <f>+Model!CK288</f>
        <v>0</v>
      </c>
      <c r="AA11" s="259">
        <f ca="1">+Model!CL288</f>
        <v>0</v>
      </c>
      <c r="AB11" s="259">
        <f ca="1">+Model!CM288</f>
        <v>-4.9360448872141092</v>
      </c>
      <c r="AC11" s="259">
        <f ca="1">+Model!CN288</f>
        <v>-1.0817545631193415</v>
      </c>
      <c r="AD11" s="259">
        <f ca="1">+Model!CO288</f>
        <v>-0.83196507313292312</v>
      </c>
      <c r="AE11" s="259">
        <f ca="1">+Model!CP288</f>
        <v>-1.0054885364320976</v>
      </c>
      <c r="AF11" s="259">
        <f ca="1">+Model!CQ288</f>
        <v>-1.0380343891462029</v>
      </c>
      <c r="AG11" s="259">
        <f ca="1">+Model!CR288</f>
        <v>1.6921936725654119</v>
      </c>
      <c r="AH11" s="259">
        <f ca="1">+Model!CS288</f>
        <v>-1.0456586469864249</v>
      </c>
      <c r="AI11" s="259">
        <f ca="1">+Model!CT288</f>
        <v>-1.2002459770326546</v>
      </c>
      <c r="AJ11" s="259">
        <f ca="1">+Model!CU288</f>
        <v>-1.2107341653062376</v>
      </c>
      <c r="AK11" s="259">
        <f ca="1">+Model!CV288</f>
        <v>-1.2127648554057568</v>
      </c>
      <c r="AL11" s="259">
        <f ca="1">+Model!CW288</f>
        <v>-1.1903158605902631</v>
      </c>
      <c r="AM11" s="259">
        <f ca="1">+Model!CX288</f>
        <v>-1.1461292469532092</v>
      </c>
      <c r="AN11" s="259">
        <f ca="1">+Model!CY288</f>
        <v>-1.0756513320527628</v>
      </c>
      <c r="AO11" s="259">
        <f t="shared" ca="1" si="1"/>
        <v>-1.1755841431389669</v>
      </c>
      <c r="AQ11" s="247">
        <v>1.7623038899634791</v>
      </c>
      <c r="AR11" s="247">
        <v>2.6187961985216557</v>
      </c>
      <c r="AS11" s="247">
        <v>0.30000000000001137</v>
      </c>
      <c r="AT11" s="247">
        <v>-15.90796272008912</v>
      </c>
      <c r="AU11" s="247">
        <v>12.569036847840721</v>
      </c>
      <c r="AV11" s="247">
        <v>3.4551948464874194</v>
      </c>
      <c r="AW11" s="247">
        <v>4.4710322896451826</v>
      </c>
      <c r="AX11" s="247">
        <v>5.0322569313822507</v>
      </c>
      <c r="AY11" s="247">
        <v>4.9480636624265273</v>
      </c>
      <c r="AZ11" s="247">
        <v>2.5307491486095346</v>
      </c>
      <c r="BA11" s="247">
        <v>5.5326838574190074</v>
      </c>
      <c r="BB11" s="247">
        <v>5.985368839756311</v>
      </c>
      <c r="BC11" s="247">
        <v>6.3437989414294904</v>
      </c>
      <c r="BD11" s="247">
        <v>6.7514719028944681</v>
      </c>
      <c r="BE11" s="247">
        <v>7.1979410191155946</v>
      </c>
      <c r="BF11" s="247">
        <v>7.6851043205782066</v>
      </c>
      <c r="BG11" s="247">
        <v>8.1951143726206368</v>
      </c>
      <c r="BH11" s="247">
        <v>6.2075243830927187</v>
      </c>
    </row>
    <row r="12" spans="1:60" s="244" customFormat="1">
      <c r="A12" s="263" t="s">
        <v>1776</v>
      </c>
      <c r="B12" s="264" t="s">
        <v>1349</v>
      </c>
      <c r="C12" s="244">
        <f>+Model!BO293</f>
        <v>6.9</v>
      </c>
      <c r="D12" s="244">
        <f>+Model!BP293</f>
        <v>55.5</v>
      </c>
      <c r="E12" s="244">
        <f>+Model!BQ293</f>
        <v>22</v>
      </c>
      <c r="F12" s="244">
        <f>+Model!BR293</f>
        <v>6.9</v>
      </c>
      <c r="G12" s="244">
        <f>+Model!BS293</f>
        <v>4.4000000000000004</v>
      </c>
      <c r="H12" s="244">
        <f ca="1">+Model!BT293</f>
        <v>34.244892642942418</v>
      </c>
      <c r="I12" s="244">
        <f ca="1">+Model!BU293</f>
        <v>50.991102337104202</v>
      </c>
      <c r="J12" s="244">
        <f ca="1">+Model!BV293</f>
        <v>16.413728147581516</v>
      </c>
      <c r="K12" s="244">
        <f ca="1">+Model!BW293</f>
        <v>8.6555130940087377</v>
      </c>
      <c r="L12" s="244">
        <f ca="1">+Model!BX293</f>
        <v>5.0998086070868656</v>
      </c>
      <c r="M12" s="244">
        <f ca="1">+Model!BY293</f>
        <v>6.0916649920156765</v>
      </c>
      <c r="N12" s="244">
        <f ca="1">+Model!BZ293</f>
        <v>6.8335838327820433</v>
      </c>
      <c r="O12" s="244">
        <f ca="1">+Model!CA293</f>
        <v>7.5774286217090374</v>
      </c>
      <c r="P12" s="244">
        <f ca="1">+Model!CB293</f>
        <v>8.5001783380133134</v>
      </c>
      <c r="Q12" s="244">
        <f ca="1">+Model!CC293</f>
        <v>9.640093570705929</v>
      </c>
      <c r="R12" s="244">
        <f ca="1">+Model!CD293</f>
        <v>11.072158493452488</v>
      </c>
      <c r="S12" s="244">
        <f ca="1">+Model!CE293</f>
        <v>12.893441429610899</v>
      </c>
      <c r="T12" s="244">
        <f ca="1">+Model!CF293</f>
        <v>15.232063947577505</v>
      </c>
      <c r="U12" s="244">
        <f ca="1">+Model!CG293</f>
        <v>18.257179167767333</v>
      </c>
      <c r="V12" s="244">
        <f t="shared" ca="1" si="0"/>
        <v>13.635226506108889</v>
      </c>
      <c r="X12" s="259">
        <f>+Model!CI293</f>
        <v>0</v>
      </c>
      <c r="Y12" s="259">
        <f>+Model!CJ293</f>
        <v>0</v>
      </c>
      <c r="Z12" s="259">
        <f>+Model!CK293</f>
        <v>0</v>
      </c>
      <c r="AA12" s="259">
        <f ca="1">+Model!CL293</f>
        <v>0</v>
      </c>
      <c r="AB12" s="259">
        <f ca="1">+Model!CM293</f>
        <v>12.104076297908506</v>
      </c>
      <c r="AC12" s="259">
        <f ca="1">+Model!CN293</f>
        <v>4.1068083139547706</v>
      </c>
      <c r="AD12" s="259">
        <f ca="1">+Model!CO293</f>
        <v>0.37176370662928804</v>
      </c>
      <c r="AE12" s="259">
        <f ca="1">+Model!CP293</f>
        <v>-0.38004004039784078</v>
      </c>
      <c r="AF12" s="259">
        <f ca="1">+Model!CQ293</f>
        <v>-0.60419967851833256</v>
      </c>
      <c r="AG12" s="259">
        <f ca="1">+Model!CR293</f>
        <v>-0.784309170367818</v>
      </c>
      <c r="AH12" s="259">
        <f ca="1">+Model!CS293</f>
        <v>-0.48064219168872135</v>
      </c>
      <c r="AI12" s="259">
        <f ca="1">+Model!CT293</f>
        <v>-0.2316517907494724</v>
      </c>
      <c r="AJ12" s="259">
        <f ca="1">+Model!CU293</f>
        <v>-0.64877974496604907</v>
      </c>
      <c r="AK12" s="259">
        <f ca="1">+Model!CV293</f>
        <v>-0.95894111913511182</v>
      </c>
      <c r="AL12" s="259">
        <f ca="1">+Model!CW293</f>
        <v>-1.2641858942874258</v>
      </c>
      <c r="AM12" s="259">
        <f ca="1">+Model!CX293</f>
        <v>-1.6259542356841195</v>
      </c>
      <c r="AN12" s="259">
        <f ca="1">+Model!CY293</f>
        <v>-2.076399067399521</v>
      </c>
      <c r="AO12" s="259">
        <f t="shared" ca="1" si="1"/>
        <v>0.57904195271524261</v>
      </c>
      <c r="AQ12" s="247">
        <v>22</v>
      </c>
      <c r="AR12" s="247">
        <v>6.9</v>
      </c>
      <c r="AS12" s="247">
        <v>4.4000000000000004</v>
      </c>
      <c r="AT12" s="247">
        <v>34.244892642942418</v>
      </c>
      <c r="AU12" s="247">
        <v>38.887026039195696</v>
      </c>
      <c r="AV12" s="247">
        <v>12.306919833626745</v>
      </c>
      <c r="AW12" s="247">
        <v>8.2837493873794497</v>
      </c>
      <c r="AX12" s="247">
        <v>5.4798486474847063</v>
      </c>
      <c r="AY12" s="247">
        <v>6.695864670534009</v>
      </c>
      <c r="AZ12" s="247">
        <v>7.6178930031498613</v>
      </c>
      <c r="BA12" s="247">
        <v>8.0580708133977588</v>
      </c>
      <c r="BB12" s="247">
        <v>8.7318301287627857</v>
      </c>
      <c r="BC12" s="247">
        <v>10.288873315671978</v>
      </c>
      <c r="BD12" s="247">
        <v>12.0310996125876</v>
      </c>
      <c r="BE12" s="247">
        <v>14.157627323898325</v>
      </c>
      <c r="BF12" s="247">
        <v>16.858018183261624</v>
      </c>
      <c r="BG12" s="247">
        <v>20.333578235166854</v>
      </c>
      <c r="BH12" s="247">
        <v>13.056184553393647</v>
      </c>
    </row>
    <row r="13" spans="1:60" s="244" customFormat="1">
      <c r="A13" s="516" t="s">
        <v>2656</v>
      </c>
      <c r="B13" s="264" t="s">
        <v>1349</v>
      </c>
      <c r="C13" s="244">
        <f>+(Model!BO272/Model!BN272-1)*100</f>
        <v>18.777777777777761</v>
      </c>
      <c r="D13" s="244">
        <f ca="1">+(Model!BP272/Model!BO272-1)*100</f>
        <v>73.200469293011409</v>
      </c>
      <c r="E13" s="244">
        <f ca="1">+(Model!BQ272/Model!BP272-1)*100</f>
        <v>-3.0620428751576223</v>
      </c>
      <c r="F13" s="244">
        <f ca="1">+(Model!BR272/Model!BQ272-1)*100</f>
        <v>-3.896656656108044</v>
      </c>
      <c r="G13" s="244">
        <f ca="1">+(Model!BS272/Model!BR272-1)*100</f>
        <v>-8.6129047030269685</v>
      </c>
      <c r="H13" s="244">
        <f ca="1">+(Model!BT272/Model!BS272-1)*100</f>
        <v>19.245197097400137</v>
      </c>
      <c r="I13" s="244">
        <f ca="1">+(Model!BU272/Model!BT272-1)*100</f>
        <v>7.2772552332748042</v>
      </c>
      <c r="J13" s="244">
        <f ca="1">+(Model!BV272/Model!BU272-1)*100</f>
        <v>-11.143320928935353</v>
      </c>
      <c r="K13" s="244">
        <f ca="1">+(Model!BW272/Model!BV272-1)*100</f>
        <v>-5.5128006062843404</v>
      </c>
      <c r="L13" s="244">
        <f ca="1">+(Model!BX272/Model!BW272-1)*100</f>
        <v>-2.6544555916442225</v>
      </c>
      <c r="M13" s="244">
        <f ca="1">+(Model!BY272/Model!BX272-1)*100</f>
        <v>-3.4710535394945952</v>
      </c>
      <c r="N13" s="244">
        <f ca="1">+(Model!BZ272/Model!BY272-1)*100</f>
        <v>-4.0719643518773001</v>
      </c>
      <c r="O13" s="244">
        <f ca="1">+(Model!CA272/Model!BZ272-1)*100</f>
        <v>-4.6661142805240585</v>
      </c>
      <c r="P13" s="244">
        <f ca="1">+(Model!CB272/Model!CA272-1)*100</f>
        <v>-5.391844136870283</v>
      </c>
      <c r="Q13" s="244">
        <f ca="1">+(Model!CC272/Model!CB272-1)*100</f>
        <v>-6.2715052401893567</v>
      </c>
      <c r="R13" s="244">
        <f ca="1">+(Model!CD272/Model!CC272-1)*100</f>
        <v>-7.3510254548519782</v>
      </c>
      <c r="S13" s="244">
        <f ca="1">+(Model!CE272/Model!CD272-1)*100</f>
        <v>-8.6843816279289161</v>
      </c>
      <c r="T13" s="244">
        <f ca="1">+(Model!CF272/Model!CE272-1)*100</f>
        <v>-10.334673479629275</v>
      </c>
      <c r="U13" s="244">
        <f ca="1">+(Model!CG272/Model!CF272-1)*100</f>
        <v>-12.372577592294398</v>
      </c>
      <c r="V13" s="244">
        <f t="shared" ca="1" si="0"/>
        <v>-5.7421893536345596</v>
      </c>
      <c r="X13" s="259" t="s">
        <v>1344</v>
      </c>
      <c r="Y13" s="268">
        <f t="shared" ref="Y13:AN13" ca="1" si="13">+F13-AR13</f>
        <v>0</v>
      </c>
      <c r="Z13" s="268">
        <f t="shared" ca="1" si="13"/>
        <v>0</v>
      </c>
      <c r="AA13" s="268">
        <f t="shared" ca="1" si="13"/>
        <v>0</v>
      </c>
      <c r="AB13" s="268">
        <f t="shared" ca="1" si="13"/>
        <v>4.7416140973417509</v>
      </c>
      <c r="AC13" s="268">
        <f t="shared" ca="1" si="13"/>
        <v>-2.8836091818711278</v>
      </c>
      <c r="AD13" s="268">
        <f t="shared" ca="1" si="13"/>
        <v>-0.2900645257209451</v>
      </c>
      <c r="AE13" s="268">
        <f t="shared" ca="1" si="13"/>
        <v>0.31470280485951241</v>
      </c>
      <c r="AF13" s="268">
        <f t="shared" ca="1" si="13"/>
        <v>0.4899980125322223</v>
      </c>
      <c r="AG13" s="268">
        <f t="shared" ca="1" si="13"/>
        <v>0.62623551223532914</v>
      </c>
      <c r="AH13" s="268">
        <f t="shared" ca="1" si="13"/>
        <v>0.3795650389534444</v>
      </c>
      <c r="AI13" s="268">
        <f t="shared" ca="1" si="13"/>
        <v>0.18025660742116933</v>
      </c>
      <c r="AJ13" s="268">
        <f t="shared" ca="1" si="13"/>
        <v>0.49253700616905771</v>
      </c>
      <c r="AK13" s="268">
        <f t="shared" ca="1" si="13"/>
        <v>0.70744195513359287</v>
      </c>
      <c r="AL13" s="268">
        <f t="shared" ca="1" si="13"/>
        <v>0.9004922416577692</v>
      </c>
      <c r="AM13" s="268">
        <f t="shared" ca="1" si="13"/>
        <v>1.108457743052071</v>
      </c>
      <c r="AN13" s="268">
        <f t="shared" ca="1" si="13"/>
        <v>1.3394890258892289</v>
      </c>
      <c r="AO13" s="259">
        <f t="shared" ca="1" si="1"/>
        <v>0.62362433366562109</v>
      </c>
      <c r="AQ13" s="247">
        <v>-3.0620428751576223</v>
      </c>
      <c r="AR13" s="247">
        <v>-3.896656656108044</v>
      </c>
      <c r="AS13" s="247">
        <v>-8.6129047030269685</v>
      </c>
      <c r="AT13" s="247">
        <v>19.245197097400137</v>
      </c>
      <c r="AU13" s="247">
        <v>2.5356411359330533</v>
      </c>
      <c r="AV13" s="247">
        <v>-8.259711747064225</v>
      </c>
      <c r="AW13" s="247">
        <v>-5.2227360805633953</v>
      </c>
      <c r="AX13" s="247">
        <v>-2.9691583965037349</v>
      </c>
      <c r="AY13" s="247">
        <v>-3.9610515520268175</v>
      </c>
      <c r="AZ13" s="247">
        <v>-4.6981998641126292</v>
      </c>
      <c r="BA13" s="247">
        <v>-5.0456793194775029</v>
      </c>
      <c r="BB13" s="247">
        <v>-5.5721007442914523</v>
      </c>
      <c r="BC13" s="247">
        <v>-6.7640422463584144</v>
      </c>
      <c r="BD13" s="247">
        <v>-8.0584674099855711</v>
      </c>
      <c r="BE13" s="247">
        <v>-9.5848738695866853</v>
      </c>
      <c r="BF13" s="247">
        <v>-11.443131222681346</v>
      </c>
      <c r="BG13" s="247">
        <v>-13.712066618183627</v>
      </c>
      <c r="BH13" s="247">
        <v>-6.3658136873001805</v>
      </c>
    </row>
    <row r="14" spans="1:60" s="244" customFormat="1">
      <c r="A14" s="744" t="s">
        <v>917</v>
      </c>
      <c r="B14" s="264" t="s">
        <v>1349</v>
      </c>
      <c r="C14" s="244">
        <f>+Model!BO215</f>
        <v>-2.075763574695455</v>
      </c>
      <c r="D14" s="244">
        <f>+Model!BP215</f>
        <v>-5.0381606011560054</v>
      </c>
      <c r="E14" s="244">
        <f>+Model!BQ215</f>
        <v>-2.3994447670133923</v>
      </c>
      <c r="F14" s="244">
        <f>+Model!BR215</f>
        <v>1.6905500442425669</v>
      </c>
      <c r="G14" s="244">
        <f>+Model!BS215</f>
        <v>0.95939809926084418</v>
      </c>
      <c r="H14" s="244">
        <f ca="1">+Model!BT215</f>
        <v>-8.3039813600445544</v>
      </c>
      <c r="I14" s="244">
        <f ca="1">+Model!BU215</f>
        <v>-4.637485379731265</v>
      </c>
      <c r="J14" s="244">
        <f ca="1">+Model!BV215</f>
        <v>4.5032161219973554</v>
      </c>
      <c r="K14" s="244">
        <f ca="1">+Model!BW215</f>
        <v>2.5062537499401794</v>
      </c>
      <c r="L14" s="244">
        <f ca="1">+Model!BX215</f>
        <v>3.332917805731217</v>
      </c>
      <c r="M14" s="244">
        <f ca="1">+Model!BY215</f>
        <v>3.4683988341152494</v>
      </c>
      <c r="N14" s="244">
        <f ca="1">+Model!BZ215</f>
        <v>3.5664860472276461</v>
      </c>
      <c r="O14" s="244">
        <f ca="1">+Model!CA215</f>
        <v>3.8549840158037751</v>
      </c>
      <c r="P14" s="244">
        <f ca="1">+Model!CB215</f>
        <v>4.1360740365781412</v>
      </c>
      <c r="Q14" s="244">
        <f ca="1">+Model!CC215</f>
        <v>4.4590938194234653</v>
      </c>
      <c r="R14" s="244">
        <f ca="1">+Model!CD215</f>
        <v>4.8358859118059705</v>
      </c>
      <c r="S14" s="244">
        <f ca="1">+Model!CE215</f>
        <v>5.273166103007032</v>
      </c>
      <c r="T14" s="244">
        <f ca="1">+Model!CF215</f>
        <v>5.7733001160751751</v>
      </c>
      <c r="U14" s="244">
        <f ca="1">+Model!CG215</f>
        <v>6.3292190570964468</v>
      </c>
      <c r="V14" s="244">
        <f t="shared" ca="1" si="0"/>
        <v>3.6462700183900294</v>
      </c>
      <c r="X14" s="259">
        <f>+Model!CI215</f>
        <v>0</v>
      </c>
      <c r="Y14" s="259">
        <f>+Model!CJ215</f>
        <v>0</v>
      </c>
      <c r="Z14" s="259">
        <f>+Model!CK215</f>
        <v>0</v>
      </c>
      <c r="AA14" s="259">
        <f ca="1">+Model!CL215</f>
        <v>0</v>
      </c>
      <c r="AB14" s="259">
        <f ca="1">+Model!CM215</f>
        <v>-1.4680224436070861</v>
      </c>
      <c r="AC14" s="259">
        <f ca="1">+Model!CN215</f>
        <v>-2.0088997251667351</v>
      </c>
      <c r="AD14" s="259">
        <f ca="1">+Model!CO215</f>
        <v>4.3140181873857486E-2</v>
      </c>
      <c r="AE14" s="259">
        <f ca="1">+Model!CP215</f>
        <v>8.1273195217490546E-2</v>
      </c>
      <c r="AF14" s="259">
        <f ca="1">+Model!CQ215</f>
        <v>-2.1761462789138264E-2</v>
      </c>
      <c r="AG14" s="259">
        <f ca="1">+Model!CR215</f>
        <v>1.3270796417096165</v>
      </c>
      <c r="AH14" s="259">
        <f ca="1">+Model!CS215</f>
        <v>1.3232675127894833</v>
      </c>
      <c r="AI14" s="259">
        <f ca="1">+Model!CT215</f>
        <v>-0.12295231200953882</v>
      </c>
      <c r="AJ14" s="259">
        <f ca="1">+Model!CU215</f>
        <v>-0.20549007116945628</v>
      </c>
      <c r="AK14" s="259">
        <f ca="1">+Model!CV215</f>
        <v>-0.21174951035602962</v>
      </c>
      <c r="AL14" s="259">
        <f ca="1">+Model!CW215</f>
        <v>-0.20154035799799797</v>
      </c>
      <c r="AM14" s="259">
        <f ca="1">+Model!CX215</f>
        <v>-0.16822255377173523</v>
      </c>
      <c r="AN14" s="259">
        <f ca="1">+Model!CY215</f>
        <v>-0.11089028950297397</v>
      </c>
      <c r="AO14" s="259">
        <f t="shared" ca="1" si="1"/>
        <v>-0.13421293806001874</v>
      </c>
      <c r="AQ14" s="247">
        <v>-2.3994447670133923</v>
      </c>
      <c r="AR14" s="247">
        <v>1.6905500442425669</v>
      </c>
      <c r="AS14" s="247">
        <v>0.95939809926084418</v>
      </c>
      <c r="AT14" s="247">
        <v>-8.3039813600445544</v>
      </c>
      <c r="AU14" s="247">
        <v>-3.1694629361241788</v>
      </c>
      <c r="AV14" s="247">
        <v>6.5121158471640905</v>
      </c>
      <c r="AW14" s="247">
        <v>2.4631135680663219</v>
      </c>
      <c r="AX14" s="247">
        <v>3.2516446105137264</v>
      </c>
      <c r="AY14" s="247">
        <v>3.4901602969043877</v>
      </c>
      <c r="AZ14" s="247">
        <v>2.2394064055180296</v>
      </c>
      <c r="BA14" s="247">
        <v>2.5317165030142919</v>
      </c>
      <c r="BB14" s="247">
        <v>4.25902634858768</v>
      </c>
      <c r="BC14" s="247">
        <v>4.6645838905929216</v>
      </c>
      <c r="BD14" s="247">
        <v>5.0476354221620001</v>
      </c>
      <c r="BE14" s="247">
        <v>5.47470646100503</v>
      </c>
      <c r="BF14" s="247">
        <v>5.9415226698469104</v>
      </c>
      <c r="BG14" s="247">
        <v>6.4401093465994208</v>
      </c>
      <c r="BH14" s="247">
        <v>3.7804829564500486</v>
      </c>
    </row>
    <row r="15" spans="1:60" s="244" customFormat="1">
      <c r="A15" s="263" t="s">
        <v>3132</v>
      </c>
      <c r="B15" s="264" t="s">
        <v>918</v>
      </c>
      <c r="C15" s="244">
        <f>+Model!BO209</f>
        <v>10.741885927144814</v>
      </c>
      <c r="D15" s="244">
        <f>+Model!BP209</f>
        <v>14.403323042487514</v>
      </c>
      <c r="E15" s="244">
        <f>+Model!BQ209</f>
        <v>11.742319544699264</v>
      </c>
      <c r="F15" s="244">
        <f>+Model!BR209</f>
        <v>14.382631735692335</v>
      </c>
      <c r="G15" s="244">
        <f>+Model!BS209</f>
        <v>14.576463205624549</v>
      </c>
      <c r="H15" s="244">
        <f ca="1">+Model!BT209</f>
        <v>16.478706271796501</v>
      </c>
      <c r="I15" s="244">
        <f ca="1">+Model!BU209</f>
        <v>17.685887346693484</v>
      </c>
      <c r="J15" s="244">
        <f ca="1">+Model!BV209</f>
        <v>18.090855818214735</v>
      </c>
      <c r="K15" s="244">
        <f ca="1">+Model!BW209</f>
        <v>19.334590040777666</v>
      </c>
      <c r="L15" s="244">
        <f ca="1">+Model!BX209</f>
        <v>19.070509721043948</v>
      </c>
      <c r="M15" s="244">
        <f ca="1">+Model!BY209</f>
        <v>18.773927595596867</v>
      </c>
      <c r="N15" s="244">
        <f ca="1">+Model!BZ209</f>
        <v>18.451648757504429</v>
      </c>
      <c r="O15" s="244">
        <f ca="1">+Model!CA209</f>
        <v>18.066209342942361</v>
      </c>
      <c r="P15" s="244">
        <f ca="1">+Model!CB209</f>
        <v>17.618124876782453</v>
      </c>
      <c r="Q15" s="244">
        <f ca="1">+Model!CC209</f>
        <v>17.098330278837601</v>
      </c>
      <c r="R15" s="244">
        <f ca="1">+Model!CD209</f>
        <v>16.495414535127498</v>
      </c>
      <c r="S15" s="244">
        <f ca="1">+Model!CE209</f>
        <v>15.796704208761033</v>
      </c>
      <c r="T15" s="244">
        <f ca="1">+Model!CF209</f>
        <v>14.989284057863403</v>
      </c>
      <c r="U15" s="244">
        <f ca="1">+Model!CG209</f>
        <v>14.062119076469246</v>
      </c>
      <c r="V15" s="244">
        <f t="shared" ca="1" si="0"/>
        <v>17.348738896662674</v>
      </c>
      <c r="X15" s="259">
        <f>+Model!CI209</f>
        <v>0</v>
      </c>
      <c r="Y15" s="259">
        <f>+Model!CJ209</f>
        <v>0</v>
      </c>
      <c r="Z15" s="259">
        <f>+Model!CK209</f>
        <v>0</v>
      </c>
      <c r="AA15" s="259">
        <f ca="1">+Model!CL209</f>
        <v>0</v>
      </c>
      <c r="AB15" s="259">
        <f ca="1">+Model!CM209</f>
        <v>0.26764136682115591</v>
      </c>
      <c r="AC15" s="259">
        <f ca="1">+Model!CN209</f>
        <v>0.63238517756487411</v>
      </c>
      <c r="AD15" s="259">
        <f ca="1">+Model!CO209</f>
        <v>0.66669837707098267</v>
      </c>
      <c r="AE15" s="259">
        <f ca="1">+Model!CP209</f>
        <v>0.65663882418310138</v>
      </c>
      <c r="AF15" s="259">
        <f ca="1">+Model!CQ209</f>
        <v>0.66623881858828327</v>
      </c>
      <c r="AG15" s="259">
        <f ca="1">+Model!CR209</f>
        <v>0.41130914187861123</v>
      </c>
      <c r="AH15" s="259">
        <f ca="1">+Model!CS209</f>
        <v>0.1541700964598185</v>
      </c>
      <c r="AI15" s="259">
        <f ca="1">+Model!CT209</f>
        <v>0.17950134423959341</v>
      </c>
      <c r="AJ15" s="259">
        <f ca="1">+Model!CU209</f>
        <v>0.22132880827674484</v>
      </c>
      <c r="AK15" s="259">
        <f ca="1">+Model!CV209</f>
        <v>0.2647325776038798</v>
      </c>
      <c r="AL15" s="259">
        <f ca="1">+Model!CW209</f>
        <v>0.3063230836033739</v>
      </c>
      <c r="AM15" s="259">
        <f ca="1">+Model!CX209</f>
        <v>0.34130346692329461</v>
      </c>
      <c r="AN15" s="259">
        <f ca="1">+Model!CY209</f>
        <v>0.3646376191165146</v>
      </c>
      <c r="AO15" s="259">
        <f t="shared" ca="1" si="1"/>
        <v>0.39483913094847911</v>
      </c>
      <c r="AQ15" s="247">
        <v>11.742319544699264</v>
      </c>
      <c r="AR15" s="247">
        <v>14.382631735692335</v>
      </c>
      <c r="AS15" s="247">
        <v>14.576463205624549</v>
      </c>
      <c r="AT15" s="247">
        <v>16.478706271796501</v>
      </c>
      <c r="AU15" s="247">
        <v>17.418245979872328</v>
      </c>
      <c r="AV15" s="247">
        <v>17.45847064064986</v>
      </c>
      <c r="AW15" s="247">
        <v>18.667891663706683</v>
      </c>
      <c r="AX15" s="247">
        <v>18.413870896860846</v>
      </c>
      <c r="AY15" s="247">
        <v>18.107688777008583</v>
      </c>
      <c r="AZ15" s="247">
        <v>18.040339615625818</v>
      </c>
      <c r="BA15" s="247">
        <v>17.912039246482543</v>
      </c>
      <c r="BB15" s="247">
        <v>17.438623532542859</v>
      </c>
      <c r="BC15" s="247">
        <v>16.877001470560856</v>
      </c>
      <c r="BD15" s="247">
        <v>16.230681957523618</v>
      </c>
      <c r="BE15" s="247">
        <v>15.49038112515766</v>
      </c>
      <c r="BF15" s="247">
        <v>14.647980590940108</v>
      </c>
      <c r="BG15" s="247">
        <v>13.697481457352731</v>
      </c>
      <c r="BH15" s="247">
        <v>16.953899765714191</v>
      </c>
    </row>
    <row r="16" spans="1:60" s="243" customFormat="1">
      <c r="A16" s="265" t="s">
        <v>1745</v>
      </c>
      <c r="B16" s="266" t="s">
        <v>1344</v>
      </c>
      <c r="V16" s="244" t="s">
        <v>1344</v>
      </c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59" t="s">
        <v>1344</v>
      </c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7" t="s">
        <v>1344</v>
      </c>
    </row>
    <row r="17" spans="1:60" s="243" customFormat="1">
      <c r="A17" s="664" t="s">
        <v>1666</v>
      </c>
      <c r="B17" s="266" t="s">
        <v>1349</v>
      </c>
      <c r="C17" s="243">
        <f>+Model!BO237</f>
        <v>-0.74165636588380268</v>
      </c>
      <c r="D17" s="243">
        <f>+Model!BP237</f>
        <v>3.4869240348692321</v>
      </c>
      <c r="E17" s="243">
        <f>+Model!BQ237</f>
        <v>19.133574007220222</v>
      </c>
      <c r="F17" s="243">
        <f>+Model!BR237</f>
        <v>21.496811678909534</v>
      </c>
      <c r="G17" s="243">
        <f>+Model!BS237</f>
        <v>2.4543365745476997</v>
      </c>
      <c r="H17" s="243">
        <f ca="1">+Model!BT237</f>
        <v>14.581826678138231</v>
      </c>
      <c r="I17" s="243">
        <f ca="1">+Model!BU237</f>
        <v>25.292957432737097</v>
      </c>
      <c r="J17" s="243">
        <f ca="1">+Model!BV237</f>
        <v>18.400615738888803</v>
      </c>
      <c r="K17" s="243">
        <f ca="1">+Model!BW237</f>
        <v>18.264889891523993</v>
      </c>
      <c r="L17" s="243">
        <f ca="1">+Model!BX237</f>
        <v>9.3128861563408272</v>
      </c>
      <c r="M17" s="243">
        <f ca="1">+Model!BY237</f>
        <v>13.22638114636263</v>
      </c>
      <c r="N17" s="243">
        <f ca="1">+Model!BZ237</f>
        <v>14.468449285429251</v>
      </c>
      <c r="O17" s="243">
        <f ca="1">+Model!CA237</f>
        <v>15.629037201616413</v>
      </c>
      <c r="P17" s="243">
        <f ca="1">+Model!CB237</f>
        <v>17.070487248227483</v>
      </c>
      <c r="Q17" s="243">
        <f ca="1">+Model!CC237</f>
        <v>18.764040721027175</v>
      </c>
      <c r="R17" s="243">
        <f ca="1">+Model!CD237</f>
        <v>20.797773147248002</v>
      </c>
      <c r="S17" s="243">
        <f ca="1">+Model!CE237</f>
        <v>23.265124724653429</v>
      </c>
      <c r="T17" s="243">
        <f ca="1">+Model!CF237</f>
        <v>26.27953320091645</v>
      </c>
      <c r="U17" s="243">
        <f ca="1">+Model!CG237</f>
        <v>29.98070177009604</v>
      </c>
      <c r="V17" s="244">
        <f ca="1">+SUM(I17:U17)/13</f>
        <v>19.288682897312892</v>
      </c>
      <c r="X17" s="268">
        <f>+Model!CI237</f>
        <v>0</v>
      </c>
      <c r="Y17" s="268">
        <f>+Model!CJ237</f>
        <v>0</v>
      </c>
      <c r="Z17" s="268">
        <f>+Model!CK237</f>
        <v>0</v>
      </c>
      <c r="AA17" s="268">
        <f ca="1">+Model!CL237</f>
        <v>0</v>
      </c>
      <c r="AB17" s="268">
        <f ca="1">+Model!CM237</f>
        <v>3.6675588830927595</v>
      </c>
      <c r="AC17" s="268">
        <f ca="1">+Model!CN237</f>
        <v>4.1810516299693994</v>
      </c>
      <c r="AD17" s="268">
        <f ca="1">+Model!CO237</f>
        <v>-1.4319161697475167</v>
      </c>
      <c r="AE17" s="268">
        <f ca="1">+Model!CP237</f>
        <v>-2.2105825726125516</v>
      </c>
      <c r="AF17" s="268">
        <f ca="1">+Model!CQ237</f>
        <v>-2.4953332553281147</v>
      </c>
      <c r="AG17" s="268">
        <f ca="1">+Model!CR237</f>
        <v>-2.746304722040918</v>
      </c>
      <c r="AH17" s="268">
        <f ca="1">+Model!CS237</f>
        <v>-1.5140652395218908</v>
      </c>
      <c r="AI17" s="268">
        <f ca="1">+Model!CT237</f>
        <v>-0.90580740556134387</v>
      </c>
      <c r="AJ17" s="268">
        <f ca="1">+Model!CU237</f>
        <v>-1.8896113980633835</v>
      </c>
      <c r="AK17" s="268">
        <f ca="1">+Model!CV237</f>
        <v>-2.3190403014312828</v>
      </c>
      <c r="AL17" s="268">
        <f ca="1">+Model!CW237</f>
        <v>-2.6643280484285121</v>
      </c>
      <c r="AM17" s="268">
        <f ca="1">+Model!CX237</f>
        <v>-3.022929646492976</v>
      </c>
      <c r="AN17" s="268">
        <f ca="1">+Model!CY237</f>
        <v>-3.422645552771499</v>
      </c>
      <c r="AO17" s="259">
        <f ca="1">+SUM(AB17:AN17)/13</f>
        <v>-1.2903041383798333</v>
      </c>
      <c r="AQ17" s="248">
        <v>19.133574007220222</v>
      </c>
      <c r="AR17" s="248">
        <v>21.496811678909534</v>
      </c>
      <c r="AS17" s="248">
        <v>2.4543365745476997</v>
      </c>
      <c r="AT17" s="248">
        <v>14.581826678138231</v>
      </c>
      <c r="AU17" s="248">
        <v>21.625398549644338</v>
      </c>
      <c r="AV17" s="248">
        <v>14.219564108919403</v>
      </c>
      <c r="AW17" s="248">
        <v>19.696806061271509</v>
      </c>
      <c r="AX17" s="248">
        <v>11.523468728953379</v>
      </c>
      <c r="AY17" s="248">
        <v>15.721714401690745</v>
      </c>
      <c r="AZ17" s="248">
        <v>17.214754007470169</v>
      </c>
      <c r="BA17" s="248">
        <v>17.143102441138304</v>
      </c>
      <c r="BB17" s="248">
        <v>17.976294653788827</v>
      </c>
      <c r="BC17" s="248">
        <v>20.653652119090559</v>
      </c>
      <c r="BD17" s="248">
        <v>23.116813448679284</v>
      </c>
      <c r="BE17" s="248">
        <v>25.929452773081941</v>
      </c>
      <c r="BF17" s="248">
        <v>29.302462847409426</v>
      </c>
      <c r="BG17" s="248">
        <v>33.403347322867539</v>
      </c>
      <c r="BH17" s="247">
        <v>20.578987035692727</v>
      </c>
    </row>
    <row r="18" spans="1:60" s="243" customFormat="1">
      <c r="A18" s="243" t="s">
        <v>1667</v>
      </c>
      <c r="B18" s="266" t="s">
        <v>1349</v>
      </c>
      <c r="C18" s="243">
        <f>+Model!BO238</f>
        <v>3.0062861810888908</v>
      </c>
      <c r="D18" s="243">
        <f>+Model!BP238</f>
        <v>26.659621489394492</v>
      </c>
      <c r="E18" s="243">
        <f>+Model!BQ238</f>
        <v>18.912870056334707</v>
      </c>
      <c r="F18" s="243">
        <f>+Model!BR238</f>
        <v>26.559178832197428</v>
      </c>
      <c r="G18" s="243">
        <f>+Model!BS238</f>
        <v>4.5452414025996868</v>
      </c>
      <c r="H18" s="243">
        <f ca="1">+Model!BT238</f>
        <v>14.581826678138231</v>
      </c>
      <c r="I18" s="243">
        <f ca="1">+Model!BU238</f>
        <v>25.292957432737097</v>
      </c>
      <c r="J18" s="243">
        <f ca="1">+Model!BV238</f>
        <v>18.400615738888803</v>
      </c>
      <c r="K18" s="243">
        <f ca="1">+Model!BW238</f>
        <v>18.264889891523993</v>
      </c>
      <c r="L18" s="243">
        <f ca="1">+Model!BX238</f>
        <v>9.3128861563408272</v>
      </c>
      <c r="M18" s="243">
        <f ca="1">+Model!BY238</f>
        <v>13.22638114636263</v>
      </c>
      <c r="N18" s="243">
        <f ca="1">+Model!BZ238</f>
        <v>14.468449285429363</v>
      </c>
      <c r="O18" s="243">
        <f ca="1">+Model!CA238</f>
        <v>15.629037201616169</v>
      </c>
      <c r="P18" s="243">
        <f ca="1">+Model!CB238</f>
        <v>17.070487248227394</v>
      </c>
      <c r="Q18" s="243">
        <f ca="1">+Model!CC238</f>
        <v>18.764040721027708</v>
      </c>
      <c r="R18" s="243">
        <f ca="1">+Model!CD238</f>
        <v>20.797773147247732</v>
      </c>
      <c r="S18" s="243">
        <f ca="1">+Model!CE238</f>
        <v>23.265124724652743</v>
      </c>
      <c r="T18" s="243">
        <f ca="1">+Model!CF238</f>
        <v>26.279533200917381</v>
      </c>
      <c r="U18" s="243">
        <f ca="1">+Model!CG238</f>
        <v>29.980701770095909</v>
      </c>
      <c r="V18" s="244">
        <f ca="1">+SUM(I18:U18)/13</f>
        <v>19.288682897312903</v>
      </c>
      <c r="X18" s="268">
        <f>+Model!CI238</f>
        <v>0</v>
      </c>
      <c r="Y18" s="268">
        <f>+Model!CJ238</f>
        <v>0</v>
      </c>
      <c r="Z18" s="268">
        <f>+Model!CK238</f>
        <v>0</v>
      </c>
      <c r="AA18" s="268">
        <f ca="1">+Model!CL238</f>
        <v>0</v>
      </c>
      <c r="AB18" s="268">
        <f ca="1">+Model!CM238</f>
        <v>3.6675588830927595</v>
      </c>
      <c r="AC18" s="268">
        <f ca="1">+Model!CN238</f>
        <v>4.1810516299693994</v>
      </c>
      <c r="AD18" s="268">
        <f ca="1">+Model!CO238</f>
        <v>-1.4319161697475167</v>
      </c>
      <c r="AE18" s="268">
        <f ca="1">+Model!CP238</f>
        <v>-2.2105825726125516</v>
      </c>
      <c r="AF18" s="268">
        <f ca="1">+Model!CQ238</f>
        <v>-2.4953332553278482</v>
      </c>
      <c r="AG18" s="268">
        <f ca="1">+Model!CR238</f>
        <v>-2.7463047220408701</v>
      </c>
      <c r="AH18" s="268">
        <f ca="1">+Model!CS238</f>
        <v>-1.5140652395223544</v>
      </c>
      <c r="AI18" s="268">
        <f ca="1">+Model!CT238</f>
        <v>-0.90580740556139006</v>
      </c>
      <c r="AJ18" s="268">
        <f ca="1">+Model!CU238</f>
        <v>-1.8896113980626303</v>
      </c>
      <c r="AK18" s="268">
        <f ca="1">+Model!CV238</f>
        <v>-2.3190403014319756</v>
      </c>
      <c r="AL18" s="268">
        <f ca="1">+Model!CW238</f>
        <v>-2.6643280484292191</v>
      </c>
      <c r="AM18" s="268">
        <f ca="1">+Model!CX238</f>
        <v>-3.0229296464913809</v>
      </c>
      <c r="AN18" s="268">
        <f ca="1">+Model!CY238</f>
        <v>-3.4226455527721633</v>
      </c>
      <c r="AO18" s="259">
        <f ca="1">+SUM(AB18:AN18)/13</f>
        <v>-1.2903041383798262</v>
      </c>
      <c r="AQ18" s="248">
        <v>18.912870056334707</v>
      </c>
      <c r="AR18" s="248">
        <v>26.559178832197428</v>
      </c>
      <c r="AS18" s="248">
        <v>4.5452414025996868</v>
      </c>
      <c r="AT18" s="248">
        <v>14.581826678138231</v>
      </c>
      <c r="AU18" s="248">
        <v>21.625398549644338</v>
      </c>
      <c r="AV18" s="248">
        <v>14.219564108919403</v>
      </c>
      <c r="AW18" s="248">
        <v>19.696806061271509</v>
      </c>
      <c r="AX18" s="248">
        <v>11.523468728953379</v>
      </c>
      <c r="AY18" s="248">
        <v>15.721714401690479</v>
      </c>
      <c r="AZ18" s="248">
        <v>17.214754007470233</v>
      </c>
      <c r="BA18" s="248">
        <v>17.143102441138524</v>
      </c>
      <c r="BB18" s="248">
        <v>17.976294653788784</v>
      </c>
      <c r="BC18" s="248">
        <v>20.653652119090339</v>
      </c>
      <c r="BD18" s="248">
        <v>23.116813448679707</v>
      </c>
      <c r="BE18" s="248">
        <v>25.929452773081962</v>
      </c>
      <c r="BF18" s="248">
        <v>29.302462847408762</v>
      </c>
      <c r="BG18" s="248">
        <v>33.403347322868072</v>
      </c>
      <c r="BH18" s="247">
        <v>20.578987035692727</v>
      </c>
    </row>
    <row r="19" spans="1:60" s="243" customFormat="1">
      <c r="A19" s="745" t="s">
        <v>1242</v>
      </c>
      <c r="B19" s="266" t="s">
        <v>1349</v>
      </c>
      <c r="C19" s="243">
        <f>Model!BO242</f>
        <v>2.9033779543737648</v>
      </c>
      <c r="D19" s="243">
        <f>Model!BP242</f>
        <v>6.9822656108410319</v>
      </c>
      <c r="E19" s="243">
        <f>Model!BQ242</f>
        <v>-9.2030597385050257</v>
      </c>
      <c r="F19" s="243">
        <f>Model!BR242</f>
        <v>-19.642877861421216</v>
      </c>
      <c r="G19" s="243">
        <f>Model!BS242</f>
        <v>4.3341396796650056</v>
      </c>
      <c r="H19" s="243">
        <f ca="1">Model!BT242</f>
        <v>-28.148638629588152</v>
      </c>
      <c r="I19" s="243">
        <f ca="1">Model!BU242</f>
        <v>370.62268274530021</v>
      </c>
      <c r="J19" s="243">
        <f ca="1">Model!BV242</f>
        <v>7.8428160987725537</v>
      </c>
      <c r="K19" s="243">
        <f ca="1">Model!BW242</f>
        <v>16.216210397614141</v>
      </c>
      <c r="L19" s="243">
        <f ca="1">Model!BX242</f>
        <v>7.4153159316354023</v>
      </c>
      <c r="M19" s="243">
        <f ca="1">Model!BY242</f>
        <v>7.0302688540721192</v>
      </c>
      <c r="N19" s="243">
        <f ca="1">Model!BZ242</f>
        <v>7.5840849868258342</v>
      </c>
      <c r="O19" s="243">
        <f ca="1">Model!CA242</f>
        <v>8.074831377169577</v>
      </c>
      <c r="P19" s="243">
        <f ca="1">Model!CB242</f>
        <v>8.6722676719771528</v>
      </c>
      <c r="Q19" s="243">
        <f ca="1">Model!CC242</f>
        <v>9.636691199965842</v>
      </c>
      <c r="R19" s="243">
        <f ca="1">Model!CD242</f>
        <v>11.136313095018323</v>
      </c>
      <c r="S19" s="243">
        <f ca="1">Model!CE242</f>
        <v>13.452172842898147</v>
      </c>
      <c r="T19" s="243">
        <f ca="1">Model!CF242</f>
        <v>16.987803849796144</v>
      </c>
      <c r="U19" s="243">
        <f ca="1">Model!CG242</f>
        <v>22.263143056544578</v>
      </c>
      <c r="V19" s="244">
        <f ca="1">+SUM(I19:U19)/13</f>
        <v>38.994969392891548</v>
      </c>
      <c r="X19" s="268">
        <f>Model!CI242</f>
        <v>0</v>
      </c>
      <c r="Y19" s="268">
        <f>Model!CJ242</f>
        <v>0</v>
      </c>
      <c r="Z19" s="268">
        <f>Model!CK242</f>
        <v>0</v>
      </c>
      <c r="AA19" s="268">
        <f ca="1">Model!CL242</f>
        <v>0</v>
      </c>
      <c r="AB19" s="268">
        <f ca="1">Model!CM242</f>
        <v>8.8203670800134546</v>
      </c>
      <c r="AC19" s="268">
        <f ca="1">Model!CN242</f>
        <v>-3.5389023149755339</v>
      </c>
      <c r="AD19" s="268">
        <f ca="1">Model!CO242</f>
        <v>0.42435298872763028</v>
      </c>
      <c r="AE19" s="268">
        <f ca="1">Model!CP242</f>
        <v>-1.3468881513228679</v>
      </c>
      <c r="AF19" s="268">
        <f ca="1">Model!CQ242</f>
        <v>-1.462014110789255</v>
      </c>
      <c r="AG19" s="268">
        <f ca="1">Model!CR242</f>
        <v>9.1332650664981649</v>
      </c>
      <c r="AH19" s="268">
        <f ca="1">Model!CS242</f>
        <v>-1.303112706517684</v>
      </c>
      <c r="AI19" s="268">
        <f ca="1">Model!CT242</f>
        <v>-2.3517431594215701</v>
      </c>
      <c r="AJ19" s="268">
        <f ca="1">Model!CU242</f>
        <v>-1.5215340907208201</v>
      </c>
      <c r="AK19" s="268">
        <f ca="1">Model!CV242</f>
        <v>-1.4266698979263488</v>
      </c>
      <c r="AL19" s="268">
        <f ca="1">Model!CW242</f>
        <v>-1.3552340289718412</v>
      </c>
      <c r="AM19" s="268">
        <f ca="1">Model!CX242</f>
        <v>-1.3527479807492035</v>
      </c>
      <c r="AN19" s="268">
        <f ca="1">Model!CY242</f>
        <v>-1.5356896988932824</v>
      </c>
      <c r="AO19" s="259">
        <f ca="1">+SUM(AB19:AN19)/13</f>
        <v>9.1034538073141685E-2</v>
      </c>
      <c r="AQ19" s="248">
        <v>-9.2030597385050257</v>
      </c>
      <c r="AR19" s="248">
        <v>-19.642877861421216</v>
      </c>
      <c r="AS19" s="248">
        <v>4.3341396796650056</v>
      </c>
      <c r="AT19" s="248">
        <v>-28.148638629588152</v>
      </c>
      <c r="AU19" s="248">
        <v>361.80231566528676</v>
      </c>
      <c r="AV19" s="248">
        <v>11.381718413748088</v>
      </c>
      <c r="AW19" s="248">
        <v>15.791857408886511</v>
      </c>
      <c r="AX19" s="248">
        <v>8.7622040829582701</v>
      </c>
      <c r="AY19" s="248">
        <v>8.4922829648613742</v>
      </c>
      <c r="AZ19" s="248">
        <v>-1.5491800796723298</v>
      </c>
      <c r="BA19" s="248">
        <v>9.377944083687261</v>
      </c>
      <c r="BB19" s="248">
        <v>11.024010831398723</v>
      </c>
      <c r="BC19" s="248">
        <v>11.158225290686662</v>
      </c>
      <c r="BD19" s="248">
        <v>12.562982992944672</v>
      </c>
      <c r="BE19" s="248">
        <v>14.807406871869988</v>
      </c>
      <c r="BF19" s="248">
        <v>18.340551830545348</v>
      </c>
      <c r="BG19" s="248">
        <v>23.798832755438106</v>
      </c>
      <c r="BH19" s="247">
        <v>38.903934854818424</v>
      </c>
    </row>
    <row r="20" spans="1:60" s="243" customFormat="1">
      <c r="A20" s="265" t="s">
        <v>1746</v>
      </c>
      <c r="B20" s="266" t="s">
        <v>1344</v>
      </c>
      <c r="V20" s="244" t="s">
        <v>1344</v>
      </c>
      <c r="AO20" s="259" t="s">
        <v>1344</v>
      </c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7" t="s">
        <v>1344</v>
      </c>
    </row>
    <row r="21" spans="1:60" s="243" customFormat="1">
      <c r="A21" s="664" t="s">
        <v>1666</v>
      </c>
      <c r="B21" s="266" t="s">
        <v>1349</v>
      </c>
      <c r="C21" s="243">
        <f>+((1+C17/100)/(1+C$12/100)-1)*100</f>
        <v>-7.1484156837079542</v>
      </c>
      <c r="D21" s="243">
        <f>+((1+D17/100)/(1+D$12/100)-1)*100</f>
        <v>-33.44892345024487</v>
      </c>
      <c r="E21" s="243">
        <f t="shared" ref="E21:S21" si="14">+((1+E17/100)/(1+E$12/100)-1)*100</f>
        <v>-2.3495295022785023</v>
      </c>
      <c r="F21" s="243">
        <f t="shared" si="14"/>
        <v>13.65464142086954</v>
      </c>
      <c r="G21" s="243">
        <f t="shared" si="14"/>
        <v>-1.8636622849160012</v>
      </c>
      <c r="H21" s="243">
        <f t="shared" ca="1" si="14"/>
        <v>-14.647161301773304</v>
      </c>
      <c r="I21" s="243">
        <f t="shared" ca="1" si="14"/>
        <v>-17.019641890548741</v>
      </c>
      <c r="J21" s="243">
        <f t="shared" ca="1" si="14"/>
        <v>1.7067468097821337</v>
      </c>
      <c r="K21" s="243">
        <f t="shared" ca="1" si="14"/>
        <v>8.8438925222332987</v>
      </c>
      <c r="L21" s="243">
        <f t="shared" ca="1" si="14"/>
        <v>4.0086443591961674</v>
      </c>
      <c r="M21" s="243">
        <f t="shared" ca="1" si="14"/>
        <v>6.7250487160173344</v>
      </c>
      <c r="N21" s="243">
        <f t="shared" ca="1" si="14"/>
        <v>7.1465031675782997</v>
      </c>
      <c r="O21" s="243">
        <f t="shared" ca="1" si="14"/>
        <v>7.4844776298013782</v>
      </c>
      <c r="P21" s="243">
        <f t="shared" ca="1" si="14"/>
        <v>7.8988892382415132</v>
      </c>
      <c r="Q21" s="243">
        <f t="shared" ca="1" si="14"/>
        <v>8.321725067151009</v>
      </c>
      <c r="R21" s="243">
        <f t="shared" ca="1" si="14"/>
        <v>8.7561228535671489</v>
      </c>
      <c r="S21" s="243">
        <f t="shared" ca="1" si="14"/>
        <v>9.1871442341575396</v>
      </c>
      <c r="T21" s="243">
        <f ca="1">+((1+T17/100)/(1+T$12/100)-1)*100</f>
        <v>9.5871486415141973</v>
      </c>
      <c r="U21" s="243">
        <f ca="1">+((1+U17/100)/(1+U$12/100)-1)*100</f>
        <v>9.9135821476824972</v>
      </c>
      <c r="V21" s="244">
        <f t="shared" ref="V21:V32" ca="1" si="15">+SUM(I21:U21)/13</f>
        <v>5.5815602689518284</v>
      </c>
      <c r="X21" s="268">
        <f t="shared" ref="X21:AG24" si="16">+E21-AQ21</f>
        <v>0</v>
      </c>
      <c r="Y21" s="268">
        <f t="shared" si="16"/>
        <v>0</v>
      </c>
      <c r="Z21" s="268">
        <f t="shared" si="16"/>
        <v>0</v>
      </c>
      <c r="AA21" s="268">
        <f t="shared" ca="1" si="16"/>
        <v>0</v>
      </c>
      <c r="AB21" s="268">
        <f t="shared" ca="1" si="16"/>
        <v>-4.5911034000781434</v>
      </c>
      <c r="AC21" s="268">
        <f t="shared" ca="1" si="16"/>
        <v>3.6956726606973689E-3</v>
      </c>
      <c r="AD21" s="268">
        <f t="shared" ca="1" si="16"/>
        <v>-1.6960608303814517</v>
      </c>
      <c r="AE21" s="268">
        <f t="shared" ca="1" si="16"/>
        <v>-1.7209998894096135</v>
      </c>
      <c r="AF21" s="268">
        <f t="shared" ca="1" si="16"/>
        <v>-1.7343697994308895</v>
      </c>
      <c r="AG21" s="268">
        <f t="shared" ca="1" si="16"/>
        <v>-1.7710297226441574</v>
      </c>
      <c r="AH21" s="268">
        <f t="shared" ref="AH21:AN24" ca="1" si="17">+O21-BA21</f>
        <v>-0.92306801612191958</v>
      </c>
      <c r="AI21" s="268">
        <f t="shared" ca="1" si="17"/>
        <v>-0.60318831722547817</v>
      </c>
      <c r="AJ21" s="268">
        <f t="shared" ca="1" si="17"/>
        <v>-1.0761212357595316</v>
      </c>
      <c r="AK21" s="268">
        <f t="shared" ca="1" si="17"/>
        <v>-1.1390882747953874</v>
      </c>
      <c r="AL21" s="268">
        <f t="shared" ca="1" si="17"/>
        <v>-1.1247602133512835</v>
      </c>
      <c r="AM21" s="268">
        <f t="shared" ca="1" si="17"/>
        <v>-1.0620518648916999</v>
      </c>
      <c r="AN21" s="268">
        <f t="shared" ca="1" si="17"/>
        <v>-0.94769969848560542</v>
      </c>
      <c r="AO21" s="259">
        <f t="shared" ref="AO21:AO30" ca="1" si="18">+SUM(AB21:AN21)/13</f>
        <v>-1.4142958146088052</v>
      </c>
      <c r="AQ21" s="248">
        <v>-2.3495295022785023</v>
      </c>
      <c r="AR21" s="248">
        <v>13.65464142086954</v>
      </c>
      <c r="AS21" s="248">
        <v>-1.8636622849160012</v>
      </c>
      <c r="AT21" s="248">
        <v>-14.647161301773304</v>
      </c>
      <c r="AU21" s="248">
        <v>-12.428538490470597</v>
      </c>
      <c r="AV21" s="248">
        <v>1.7030511371214363</v>
      </c>
      <c r="AW21" s="248">
        <v>10.53995335261475</v>
      </c>
      <c r="AX21" s="248">
        <v>5.7296442486057808</v>
      </c>
      <c r="AY21" s="248">
        <v>8.459418515448224</v>
      </c>
      <c r="AZ21" s="248">
        <v>8.9175328902224571</v>
      </c>
      <c r="BA21" s="248">
        <v>8.4075456459232978</v>
      </c>
      <c r="BB21" s="248">
        <v>8.5020775554669914</v>
      </c>
      <c r="BC21" s="248">
        <v>9.3978463029105406</v>
      </c>
      <c r="BD21" s="248">
        <v>9.8952111283625364</v>
      </c>
      <c r="BE21" s="248">
        <v>10.311904447508823</v>
      </c>
      <c r="BF21" s="248">
        <v>10.649200506405897</v>
      </c>
      <c r="BG21" s="248">
        <v>10.861281846168103</v>
      </c>
      <c r="BH21" s="247">
        <v>6.9958560835606329</v>
      </c>
    </row>
    <row r="22" spans="1:60" s="243" customFormat="1">
      <c r="A22" s="790" t="s">
        <v>3415</v>
      </c>
      <c r="B22" s="353" t="s">
        <v>1349</v>
      </c>
      <c r="C22" s="243">
        <f>+Model!BO235</f>
        <v>-6.4546304957904592</v>
      </c>
      <c r="D22" s="243">
        <f>+Model!BP235</f>
        <v>-35.691318327974287</v>
      </c>
      <c r="E22" s="243">
        <f>+Model!BQ235</f>
        <v>-18.032786885245898</v>
      </c>
      <c r="F22" s="243">
        <f>+Model!BR235</f>
        <v>-6.4546304957904592</v>
      </c>
      <c r="G22" s="243">
        <f>+Model!BS235</f>
        <v>-4.2145593869731819</v>
      </c>
      <c r="H22" s="243">
        <f ca="1">+Model!BT235</f>
        <v>11.73609442182817</v>
      </c>
      <c r="I22" s="243">
        <f ca="1">+Model!BU235</f>
        <v>2.3794195060724332</v>
      </c>
      <c r="J22" s="243">
        <f ca="1">+Model!BV235</f>
        <v>4.885082647587824</v>
      </c>
      <c r="K22" s="243">
        <f ca="1">+Model!BW235</f>
        <v>12.142192295634292</v>
      </c>
      <c r="L22" s="243">
        <f ca="1">+Model!BX235</f>
        <v>7.1604214609899852</v>
      </c>
      <c r="M22" s="243">
        <f ca="1">+Model!BY235</f>
        <v>6.7250487160173344</v>
      </c>
      <c r="N22" s="243">
        <f ca="1">+Model!BZ235</f>
        <v>7.1465031675782997</v>
      </c>
      <c r="O22" s="243">
        <f ca="1">+Model!CA235</f>
        <v>7.4844776298013782</v>
      </c>
      <c r="P22" s="243">
        <f ca="1">+Model!CB235</f>
        <v>7.8988892382415132</v>
      </c>
      <c r="Q22" s="243">
        <f ca="1">+Model!CC235</f>
        <v>8.321725067151009</v>
      </c>
      <c r="R22" s="243">
        <f ca="1">+Model!CD235</f>
        <v>8.7561228535671489</v>
      </c>
      <c r="S22" s="243">
        <f ca="1">+Model!CE235</f>
        <v>9.1871442341575396</v>
      </c>
      <c r="T22" s="243">
        <f ca="1">+Model!CF235</f>
        <v>9.5871486415141973</v>
      </c>
      <c r="U22" s="243">
        <f ca="1">+Model!CG235</f>
        <v>9.9135821476824972</v>
      </c>
      <c r="V22" s="244">
        <f t="shared" ca="1" si="15"/>
        <v>7.8144428927688807</v>
      </c>
      <c r="X22" s="268">
        <f t="shared" si="16"/>
        <v>0</v>
      </c>
      <c r="Y22" s="268">
        <f t="shared" ref="Y22:AG22" si="19">+F22-AR22</f>
        <v>0</v>
      </c>
      <c r="Z22" s="268">
        <f t="shared" si="19"/>
        <v>0</v>
      </c>
      <c r="AA22" s="268">
        <f t="shared" ca="1" si="19"/>
        <v>0</v>
      </c>
      <c r="AB22" s="268">
        <f t="shared" ca="1" si="19"/>
        <v>-5.6644067548175636</v>
      </c>
      <c r="AC22" s="268">
        <f t="shared" ca="1" si="19"/>
        <v>3.8111624313330594E-3</v>
      </c>
      <c r="AD22" s="268">
        <f t="shared" ca="1" si="19"/>
        <v>-1.7474566131202778</v>
      </c>
      <c r="AE22" s="268">
        <f t="shared" ca="1" si="19"/>
        <v>-1.7731514012099048</v>
      </c>
      <c r="AF22" s="268">
        <f t="shared" ca="1" si="19"/>
        <v>-1.7343697994308895</v>
      </c>
      <c r="AG22" s="268">
        <f t="shared" ca="1" si="19"/>
        <v>-1.7710297226441574</v>
      </c>
      <c r="AH22" s="268">
        <f t="shared" ca="1" si="17"/>
        <v>-0.92306801612191958</v>
      </c>
      <c r="AI22" s="268">
        <f t="shared" ca="1" si="17"/>
        <v>-0.60318831722547817</v>
      </c>
      <c r="AJ22" s="268">
        <f t="shared" ca="1" si="17"/>
        <v>-1.0761212357595316</v>
      </c>
      <c r="AK22" s="268">
        <f t="shared" ca="1" si="17"/>
        <v>-1.1390882747953874</v>
      </c>
      <c r="AL22" s="268">
        <f t="shared" ca="1" si="17"/>
        <v>-1.1247602133512835</v>
      </c>
      <c r="AM22" s="268">
        <f t="shared" ca="1" si="17"/>
        <v>-1.0620518648916999</v>
      </c>
      <c r="AN22" s="268">
        <f t="shared" ca="1" si="17"/>
        <v>-0.94769969848560542</v>
      </c>
      <c r="AO22" s="268">
        <f ca="1">+V22-BH22</f>
        <v>-1.5048139038017201</v>
      </c>
      <c r="AQ22" s="248">
        <v>-18.032786885245898</v>
      </c>
      <c r="AR22" s="248">
        <v>-6.4546304957904592</v>
      </c>
      <c r="AS22" s="248">
        <v>-4.2145593869731819</v>
      </c>
      <c r="AT22" s="248">
        <v>11.73609442182817</v>
      </c>
      <c r="AU22" s="248">
        <v>8.0438262608899969</v>
      </c>
      <c r="AV22" s="248">
        <v>4.8812714851564909</v>
      </c>
      <c r="AW22" s="248">
        <v>13.88964890875457</v>
      </c>
      <c r="AX22" s="248">
        <v>8.93357286219989</v>
      </c>
      <c r="AY22" s="248">
        <v>8.459418515448224</v>
      </c>
      <c r="AZ22" s="248">
        <v>8.9175328902224571</v>
      </c>
      <c r="BA22" s="248">
        <v>8.4075456459232978</v>
      </c>
      <c r="BB22" s="248">
        <v>8.5020775554669914</v>
      </c>
      <c r="BC22" s="248">
        <v>9.3978463029105406</v>
      </c>
      <c r="BD22" s="248">
        <v>9.8952111283625364</v>
      </c>
      <c r="BE22" s="248">
        <v>10.311904447508823</v>
      </c>
      <c r="BF22" s="248">
        <v>10.649200506405897</v>
      </c>
      <c r="BG22" s="248">
        <v>10.861281846168103</v>
      </c>
      <c r="BH22" s="247">
        <v>9.3192567965706008</v>
      </c>
    </row>
    <row r="23" spans="1:60" s="243" customFormat="1">
      <c r="A23" s="243" t="s">
        <v>1667</v>
      </c>
      <c r="B23" s="266" t="s">
        <v>1349</v>
      </c>
      <c r="C23" s="243">
        <f>+((1+C18/100)/(1+C$12/100)-1)*100</f>
        <v>-3.6423889793368636</v>
      </c>
      <c r="D23" s="243">
        <f>+((1+D18/100)/(1+D$12/100)-1)*100</f>
        <v>-18.546867209392616</v>
      </c>
      <c r="E23" s="243">
        <f t="shared" ref="E23:S23" si="20">+((1+E18/100)/(1+E$12/100)-1)*100</f>
        <v>-2.5304343800535145</v>
      </c>
      <c r="F23" s="243">
        <f t="shared" si="20"/>
        <v>18.390251480072429</v>
      </c>
      <c r="G23" s="243">
        <f t="shared" si="20"/>
        <v>0.13912011743264507</v>
      </c>
      <c r="H23" s="243">
        <f t="shared" ca="1" si="20"/>
        <v>-14.647161301773304</v>
      </c>
      <c r="I23" s="243">
        <f t="shared" ca="1" si="20"/>
        <v>-17.019641890548741</v>
      </c>
      <c r="J23" s="243">
        <f t="shared" ca="1" si="20"/>
        <v>1.7067468097821337</v>
      </c>
      <c r="K23" s="243">
        <f t="shared" ca="1" si="20"/>
        <v>8.8438925222332987</v>
      </c>
      <c r="L23" s="243">
        <f t="shared" ca="1" si="20"/>
        <v>4.0086443591961674</v>
      </c>
      <c r="M23" s="243">
        <f t="shared" ca="1" si="20"/>
        <v>6.7250487160173344</v>
      </c>
      <c r="N23" s="243">
        <f t="shared" ca="1" si="20"/>
        <v>7.1465031675784108</v>
      </c>
      <c r="O23" s="243">
        <f t="shared" ca="1" si="20"/>
        <v>7.4844776298011562</v>
      </c>
      <c r="P23" s="243">
        <f t="shared" ca="1" si="20"/>
        <v>7.8988892382414244</v>
      </c>
      <c r="Q23" s="243">
        <f t="shared" ca="1" si="20"/>
        <v>8.3217250671514975</v>
      </c>
      <c r="R23" s="243">
        <f t="shared" ca="1" si="20"/>
        <v>8.7561228535669056</v>
      </c>
      <c r="S23" s="243">
        <f t="shared" ca="1" si="20"/>
        <v>9.1871442341569409</v>
      </c>
      <c r="T23" s="243">
        <f ca="1">+((1+T18/100)/(1+T$12/100)-1)*100</f>
        <v>9.5871486415149967</v>
      </c>
      <c r="U23" s="243">
        <f ca="1">+((1+U18/100)/(1+U$12/100)-1)*100</f>
        <v>9.9135821476823871</v>
      </c>
      <c r="V23" s="244">
        <f t="shared" ca="1" si="15"/>
        <v>5.5815602689518391</v>
      </c>
      <c r="X23" s="268">
        <f t="shared" si="16"/>
        <v>0</v>
      </c>
      <c r="Y23" s="268">
        <f t="shared" si="16"/>
        <v>0</v>
      </c>
      <c r="Z23" s="268">
        <f t="shared" si="16"/>
        <v>0</v>
      </c>
      <c r="AA23" s="268">
        <f t="shared" ca="1" si="16"/>
        <v>0</v>
      </c>
      <c r="AB23" s="268">
        <f t="shared" ca="1" si="16"/>
        <v>-4.5911034000781434</v>
      </c>
      <c r="AC23" s="268">
        <f t="shared" ca="1" si="16"/>
        <v>3.6956726606973689E-3</v>
      </c>
      <c r="AD23" s="268">
        <f t="shared" ca="1" si="16"/>
        <v>-1.6960608303814517</v>
      </c>
      <c r="AE23" s="268">
        <f t="shared" ca="1" si="16"/>
        <v>-1.7209998894096135</v>
      </c>
      <c r="AF23" s="268">
        <f t="shared" ca="1" si="16"/>
        <v>-1.7343697994306462</v>
      </c>
      <c r="AG23" s="268">
        <f t="shared" ca="1" si="16"/>
        <v>-1.7710297226441138</v>
      </c>
      <c r="AH23" s="268">
        <f t="shared" ca="1" si="17"/>
        <v>-0.92306801612236367</v>
      </c>
      <c r="AI23" s="268">
        <f t="shared" ca="1" si="17"/>
        <v>-0.60318831722552257</v>
      </c>
      <c r="AJ23" s="268">
        <f t="shared" ca="1" si="17"/>
        <v>-1.0761212357588423</v>
      </c>
      <c r="AK23" s="268">
        <f t="shared" ca="1" si="17"/>
        <v>-1.1390882747960074</v>
      </c>
      <c r="AL23" s="268">
        <f t="shared" ca="1" si="17"/>
        <v>-1.1247602133519052</v>
      </c>
      <c r="AM23" s="268">
        <f t="shared" ca="1" si="17"/>
        <v>-1.0620518648903463</v>
      </c>
      <c r="AN23" s="268">
        <f t="shared" ca="1" si="17"/>
        <v>-0.94769969848615965</v>
      </c>
      <c r="AO23" s="259">
        <f t="shared" ca="1" si="18"/>
        <v>-1.4142958146088014</v>
      </c>
      <c r="AQ23" s="248">
        <v>-2.5304343800535145</v>
      </c>
      <c r="AR23" s="248">
        <v>18.390251480072429</v>
      </c>
      <c r="AS23" s="248">
        <v>0.13912011743264507</v>
      </c>
      <c r="AT23" s="248">
        <v>-14.647161301773304</v>
      </c>
      <c r="AU23" s="248">
        <v>-12.428538490470597</v>
      </c>
      <c r="AV23" s="248">
        <v>1.7030511371214363</v>
      </c>
      <c r="AW23" s="248">
        <v>10.53995335261475</v>
      </c>
      <c r="AX23" s="248">
        <v>5.7296442486057808</v>
      </c>
      <c r="AY23" s="248">
        <v>8.4594185154479806</v>
      </c>
      <c r="AZ23" s="248">
        <v>8.9175328902225246</v>
      </c>
      <c r="BA23" s="248">
        <v>8.4075456459235198</v>
      </c>
      <c r="BB23" s="248">
        <v>8.502077555466947</v>
      </c>
      <c r="BC23" s="248">
        <v>9.3978463029103398</v>
      </c>
      <c r="BD23" s="248">
        <v>9.8952111283629129</v>
      </c>
      <c r="BE23" s="248">
        <v>10.311904447508846</v>
      </c>
      <c r="BF23" s="248">
        <v>10.649200506405343</v>
      </c>
      <c r="BG23" s="248">
        <v>10.861281846168547</v>
      </c>
      <c r="BH23" s="247">
        <v>6.9958560835606409</v>
      </c>
    </row>
    <row r="24" spans="1:60" s="243" customFormat="1">
      <c r="A24" s="745" t="s">
        <v>1242</v>
      </c>
      <c r="B24" s="266" t="s">
        <v>1349</v>
      </c>
      <c r="C24" s="243">
        <f>+((1+C19/100)/(1+C$12/100)-1)*100</f>
        <v>-3.7386548602677538</v>
      </c>
      <c r="D24" s="243">
        <f>+((1+D19/100)/(1+D$12/100)-1)*100</f>
        <v>-31.201115362803201</v>
      </c>
      <c r="E24" s="243">
        <f t="shared" ref="E24:S24" si="21">+((1+E19/100)/(1+E$12/100)-1)*100</f>
        <v>-25.576278474184445</v>
      </c>
      <c r="F24" s="243">
        <f t="shared" si="21"/>
        <v>-24.829633172517507</v>
      </c>
      <c r="G24" s="243">
        <f t="shared" si="21"/>
        <v>-6.3084598022034033E-2</v>
      </c>
      <c r="H24" s="243">
        <f t="shared" ca="1" si="21"/>
        <v>-46.477396677191763</v>
      </c>
      <c r="I24" s="243">
        <f t="shared" ca="1" si="21"/>
        <v>211.68901707504818</v>
      </c>
      <c r="J24" s="243">
        <f t="shared" ca="1" si="21"/>
        <v>-7.3624581784231928</v>
      </c>
      <c r="K24" s="243">
        <f t="shared" ca="1" si="21"/>
        <v>6.95841111813984</v>
      </c>
      <c r="L24" s="243">
        <f t="shared" ca="1" si="21"/>
        <v>2.2031508479763318</v>
      </c>
      <c r="M24" s="243">
        <f t="shared" ca="1" si="21"/>
        <v>0.88471027589875906</v>
      </c>
      <c r="N24" s="243">
        <f t="shared" ca="1" si="21"/>
        <v>0.7024955328826854</v>
      </c>
      <c r="O24" s="243">
        <f t="shared" ca="1" si="21"/>
        <v>0.46236721014183413</v>
      </c>
      <c r="P24" s="243">
        <f t="shared" ca="1" si="21"/>
        <v>0.15860742037467901</v>
      </c>
      <c r="Q24" s="243">
        <f t="shared" ca="1" si="21"/>
        <v>-3.1032176544876222E-3</v>
      </c>
      <c r="R24" s="243">
        <f t="shared" ca="1" si="21"/>
        <v>5.7759390324285675E-2</v>
      </c>
      <c r="S24" s="243">
        <f t="shared" ca="1" si="21"/>
        <v>0.49491928513456518</v>
      </c>
      <c r="T24" s="243">
        <f ca="1">+((1+T19/100)/(1+T$12/100)-1)*100</f>
        <v>1.5236556927569866</v>
      </c>
      <c r="U24" s="243">
        <f ca="1">+((1+U19/100)/(1+U$12/100)-1)*100</f>
        <v>3.3875016442715067</v>
      </c>
      <c r="V24" s="244">
        <f t="shared" ca="1" si="15"/>
        <v>17.012079545913227</v>
      </c>
      <c r="X24" s="268">
        <f t="shared" si="16"/>
        <v>0</v>
      </c>
      <c r="Y24" s="268">
        <f t="shared" si="16"/>
        <v>0</v>
      </c>
      <c r="Z24" s="268">
        <f t="shared" si="16"/>
        <v>0</v>
      </c>
      <c r="AA24" s="268">
        <f t="shared" ca="1" si="16"/>
        <v>0</v>
      </c>
      <c r="AB24" s="268">
        <f t="shared" ca="1" si="16"/>
        <v>-20.813109894651802</v>
      </c>
      <c r="AC24" s="268">
        <f t="shared" ca="1" si="16"/>
        <v>-6.5386430286093926</v>
      </c>
      <c r="AD24" s="268">
        <f t="shared" ca="1" si="16"/>
        <v>2.4676311223248426E-2</v>
      </c>
      <c r="AE24" s="268">
        <f t="shared" ca="1" si="16"/>
        <v>-0.90868091663234285</v>
      </c>
      <c r="AF24" s="268">
        <f t="shared" ca="1" si="16"/>
        <v>-0.79897099879218114</v>
      </c>
      <c r="AG24" s="268">
        <f t="shared" ca="1" si="16"/>
        <v>9.2206636803987116</v>
      </c>
      <c r="AH24" s="268">
        <f t="shared" ca="1" si="17"/>
        <v>-0.75908090600005362</v>
      </c>
      <c r="AI24" s="268">
        <f t="shared" ca="1" si="17"/>
        <v>-1.9494971704534736</v>
      </c>
      <c r="AJ24" s="268">
        <f t="shared" ca="1" si="17"/>
        <v>-0.79135315518570337</v>
      </c>
      <c r="AK24" s="268">
        <f t="shared" ca="1" si="17"/>
        <v>-0.41700465483494042</v>
      </c>
      <c r="AL24" s="268">
        <f t="shared" ca="1" si="17"/>
        <v>-7.427575089054006E-2</v>
      </c>
      <c r="AM24" s="268">
        <f t="shared" ca="1" si="17"/>
        <v>0.2549933704516727</v>
      </c>
      <c r="AN24" s="268">
        <f t="shared" ca="1" si="17"/>
        <v>0.50779460730536741</v>
      </c>
      <c r="AO24" s="259">
        <f t="shared" ca="1" si="18"/>
        <v>-1.7724991158978023</v>
      </c>
      <c r="AQ24" s="248">
        <v>-25.576278474184445</v>
      </c>
      <c r="AR24" s="248">
        <v>-24.829633172517507</v>
      </c>
      <c r="AS24" s="248">
        <v>-6.3084598022034033E-2</v>
      </c>
      <c r="AT24" s="248">
        <v>-46.477396677191763</v>
      </c>
      <c r="AU24" s="248">
        <v>232.50212696969999</v>
      </c>
      <c r="AV24" s="248">
        <v>-0.82381514981380022</v>
      </c>
      <c r="AW24" s="248">
        <v>6.9337348069165916</v>
      </c>
      <c r="AX24" s="248">
        <v>3.1118317646086746</v>
      </c>
      <c r="AY24" s="248">
        <v>1.6836812746909402</v>
      </c>
      <c r="AZ24" s="248">
        <v>-8.5181681475160254</v>
      </c>
      <c r="BA24" s="248">
        <v>1.2214481161418878</v>
      </c>
      <c r="BB24" s="248">
        <v>2.1081045908281526</v>
      </c>
      <c r="BC24" s="248">
        <v>0.78824993753121575</v>
      </c>
      <c r="BD24" s="248">
        <v>0.4747640451592261</v>
      </c>
      <c r="BE24" s="248">
        <v>0.56919503602510524</v>
      </c>
      <c r="BF24" s="248">
        <v>1.2686623223053139</v>
      </c>
      <c r="BG24" s="248">
        <v>2.8797070369661393</v>
      </c>
      <c r="BH24" s="247">
        <v>18.784578661811029</v>
      </c>
    </row>
    <row r="25" spans="1:60" s="243" customFormat="1">
      <c r="A25" s="244" t="str">
        <f>+Model!A246</f>
        <v>GDP per capita</v>
      </c>
      <c r="B25" s="353" t="s">
        <v>1981</v>
      </c>
      <c r="C25" s="244">
        <f>+Model!BO246</f>
        <v>10432.471793967392</v>
      </c>
      <c r="D25" s="244">
        <f>+Model!BP246</f>
        <v>5207.537984044985</v>
      </c>
      <c r="E25" s="244">
        <f>+Model!BQ246</f>
        <v>5486.0003825318954</v>
      </c>
      <c r="F25" s="244">
        <f>+Model!BR246</f>
        <v>5807.6455405289535</v>
      </c>
      <c r="G25" s="244">
        <f>+Model!BS246</f>
        <v>5624.9589506726816</v>
      </c>
      <c r="H25" s="244">
        <f>+Model!BT246</f>
        <v>4053.5236656992743</v>
      </c>
      <c r="I25" s="244">
        <f ca="1">+Model!BU246</f>
        <v>4765.4415759785143</v>
      </c>
      <c r="J25" s="244">
        <f ca="1">+Model!BV246</f>
        <v>5458.3645626207399</v>
      </c>
      <c r="K25" s="244">
        <f ca="1">+Model!BW246</f>
        <v>6013.1030133004151</v>
      </c>
      <c r="L25" s="244">
        <f ca="1">+Model!BX246</f>
        <v>6451.4936319295521</v>
      </c>
      <c r="M25" s="244">
        <f ca="1">+Model!BY246</f>
        <v>7062.1383701192781</v>
      </c>
      <c r="N25" s="244">
        <f ca="1">+Model!BZ246</f>
        <v>7807.6969508008733</v>
      </c>
      <c r="O25" s="244">
        <f ca="1">+Model!CA246</f>
        <v>8715.5527602897328</v>
      </c>
      <c r="P25" s="244">
        <f ca="1">+Model!CB246</f>
        <v>9844.1443528539312</v>
      </c>
      <c r="Q25" s="244">
        <f ca="1">+Model!CC246</f>
        <v>11279.968830192329</v>
      </c>
      <c r="R25" s="244">
        <f ca="1">+Model!CD246</f>
        <v>13156.717457399482</v>
      </c>
      <c r="S25" s="244">
        <f ca="1">+Model!CE246</f>
        <v>15686.961280940575</v>
      </c>
      <c r="T25" s="244">
        <f ca="1">+Model!CF246</f>
        <v>19219.8449491352</v>
      </c>
      <c r="U25" s="244">
        <f ca="1">+Model!CG246</f>
        <v>24349.79302353779</v>
      </c>
      <c r="V25" s="244">
        <f t="shared" ca="1" si="15"/>
        <v>10754.709289161417</v>
      </c>
      <c r="X25" s="243">
        <f>Model!CI246</f>
        <v>0</v>
      </c>
      <c r="Y25" s="243">
        <f>Model!CJ246</f>
        <v>0</v>
      </c>
      <c r="Z25" s="243">
        <f>Model!CK246</f>
        <v>0</v>
      </c>
      <c r="AA25" s="243">
        <f>Model!CL246</f>
        <v>0</v>
      </c>
      <c r="AB25" s="243">
        <f ca="1">Model!CM246</f>
        <v>-448.88238250059021</v>
      </c>
      <c r="AC25" s="243">
        <f ca="1">Model!CN246</f>
        <v>-433.17995902853818</v>
      </c>
      <c r="AD25" s="243">
        <f ca="1">Model!CO246</f>
        <v>-532.64919318863576</v>
      </c>
      <c r="AE25" s="243">
        <f ca="1">Model!CP246</f>
        <v>-676.69871845616854</v>
      </c>
      <c r="AF25" s="243">
        <f ca="1">Model!CQ246</f>
        <v>-871.73987411447069</v>
      </c>
      <c r="AG25" s="243">
        <f ca="1">Model!CR246</f>
        <v>-892.46477398113166</v>
      </c>
      <c r="AH25" s="243">
        <f ca="1">Model!CS246</f>
        <v>-1136.0093388718869</v>
      </c>
      <c r="AI25" s="243">
        <f ca="1">Model!CT246</f>
        <v>-1429.8322677638971</v>
      </c>
      <c r="AJ25" s="243">
        <f ca="1">Model!CU246</f>
        <v>-1856.0748941149432</v>
      </c>
      <c r="AK25" s="243">
        <f ca="1">Model!CV246</f>
        <v>-2459.6040142763777</v>
      </c>
      <c r="AL25" s="243">
        <f ca="1">Model!CW246</f>
        <v>-3327.9272556030719</v>
      </c>
      <c r="AM25" s="243">
        <f ca="1">Model!CX246</f>
        <v>-4621.6000486216763</v>
      </c>
      <c r="AN25" s="243">
        <f ca="1">Model!CY246</f>
        <v>-6633.2533003242825</v>
      </c>
      <c r="AO25" s="259">
        <f t="shared" ca="1" si="18"/>
        <v>-1947.6858477573592</v>
      </c>
      <c r="AQ25" s="248">
        <v>5486.0003825318954</v>
      </c>
      <c r="AR25" s="248">
        <v>5807.6455405289535</v>
      </c>
      <c r="AS25" s="248">
        <v>5624.9589506726816</v>
      </c>
      <c r="AT25" s="248">
        <v>4053.5236656992743</v>
      </c>
      <c r="AU25" s="248">
        <v>5214.3239584791045</v>
      </c>
      <c r="AV25" s="248">
        <v>5891.5445216492781</v>
      </c>
      <c r="AW25" s="248">
        <v>6545.7522064890509</v>
      </c>
      <c r="AX25" s="248">
        <v>7128.1923503857206</v>
      </c>
      <c r="AY25" s="248">
        <v>7933.8782442337488</v>
      </c>
      <c r="AZ25" s="248">
        <v>8700.161724782005</v>
      </c>
      <c r="BA25" s="248">
        <v>9851.5620991616197</v>
      </c>
      <c r="BB25" s="248">
        <v>11273.976620617828</v>
      </c>
      <c r="BC25" s="248">
        <v>13136.043724307272</v>
      </c>
      <c r="BD25" s="248">
        <v>15616.321471675859</v>
      </c>
      <c r="BE25" s="248">
        <v>19014.888536543647</v>
      </c>
      <c r="BF25" s="248">
        <v>23841.444997756877</v>
      </c>
      <c r="BG25" s="248">
        <v>30983.04632386208</v>
      </c>
      <c r="BH25" s="247">
        <v>12702.395136918776</v>
      </c>
    </row>
    <row r="26" spans="1:60" s="664" customFormat="1">
      <c r="A26" s="745" t="str">
        <f>+Model!A354</f>
        <v>Loonsom bedrijven in prijzen 2015, 2012=100</v>
      </c>
      <c r="B26" s="746"/>
      <c r="C26" s="745">
        <f>+Model!BO354</f>
        <v>101.99896924402994</v>
      </c>
      <c r="D26" s="745">
        <f>+Model!BP354</f>
        <v>78.895583725374934</v>
      </c>
      <c r="E26" s="745">
        <f>+Model!BQ354</f>
        <v>75.054029334062534</v>
      </c>
      <c r="F26" s="745">
        <f>+Model!BR354</f>
        <v>90.358820279293312</v>
      </c>
      <c r="G26" s="745">
        <f>+Model!BS354</f>
        <v>91.352634413867619</v>
      </c>
      <c r="H26" s="745">
        <f ca="1">+Model!BT354</f>
        <v>71.497280813218254</v>
      </c>
      <c r="I26" s="745">
        <f ca="1">+Model!BU354</f>
        <v>56.57733988473521</v>
      </c>
      <c r="J26" s="745">
        <f ca="1">+Model!BV354</f>
        <v>60.134256212724921</v>
      </c>
      <c r="K26" s="745">
        <f ca="1">+Model!BW354</f>
        <v>67.092870064756653</v>
      </c>
      <c r="L26" s="745">
        <f ca="1">+Model!BX354</f>
        <v>72.108174138161843</v>
      </c>
      <c r="M26" s="745">
        <f ca="1">+Model!BY354</f>
        <v>79.626676454212912</v>
      </c>
      <c r="N26" s="745">
        <f ca="1">+Model!BZ354</f>
        <v>88.360025422066954</v>
      </c>
      <c r="O26" s="745">
        <f ca="1">+Model!CA354</f>
        <v>98.634517746036636</v>
      </c>
      <c r="P26" s="745">
        <f ca="1">+Model!CB354</f>
        <v>110.82738855615594</v>
      </c>
      <c r="Q26" s="745">
        <f ca="1">+Model!CC354</f>
        <v>125.40328746509812</v>
      </c>
      <c r="R26" s="745">
        <f ca="1">+Model!CD354</f>
        <v>142.97911609355054</v>
      </c>
      <c r="S26" s="745">
        <f ca="1">+Model!CE354</f>
        <v>164.347007152316</v>
      </c>
      <c r="T26" s="745">
        <f ca="1">+Model!CF354</f>
        <v>190.50109721372883</v>
      </c>
      <c r="U26" s="745">
        <f ca="1">+Model!CG354</f>
        <v>222.63911530123397</v>
      </c>
      <c r="V26" s="745">
        <f t="shared" ca="1" si="15"/>
        <v>113.78699013113679</v>
      </c>
      <c r="X26" s="662">
        <f>Model!CI354</f>
        <v>0</v>
      </c>
      <c r="Y26" s="662">
        <f>Model!CJ354</f>
        <v>0</v>
      </c>
      <c r="Z26" s="662">
        <f>Model!CK354</f>
        <v>0</v>
      </c>
      <c r="AA26" s="662">
        <f ca="1">Model!CL354</f>
        <v>0</v>
      </c>
      <c r="AB26" s="662">
        <f ca="1">Model!CM354</f>
        <v>-4.0494346493812756</v>
      </c>
      <c r="AC26" s="662">
        <f ca="1">Model!CN354</f>
        <v>-5.5403470065317606</v>
      </c>
      <c r="AD26" s="662">
        <f ca="1">Model!CO354</f>
        <v>-7.2919442690100595</v>
      </c>
      <c r="AE26" s="662">
        <f ca="1">Model!CP354</f>
        <v>-9.0959398514775813</v>
      </c>
      <c r="AF26" s="662">
        <f ca="1">Model!CQ354</f>
        <v>-11.520740062229521</v>
      </c>
      <c r="AG26" s="662">
        <f ca="1">Model!CR354</f>
        <v>-13.138674235752958</v>
      </c>
      <c r="AH26" s="662">
        <f ca="1">Model!CS354</f>
        <v>-14.183436026194528</v>
      </c>
      <c r="AI26" s="662">
        <f ca="1">Model!CT354</f>
        <v>-16.795901786857314</v>
      </c>
      <c r="AJ26" s="662">
        <f ca="1">Model!CU354</f>
        <v>-20.726401752956747</v>
      </c>
      <c r="AK26" s="662">
        <f ca="1">Model!CV354</f>
        <v>-25.716388419016965</v>
      </c>
      <c r="AL26" s="662">
        <f ca="1">Model!CW354</f>
        <v>-31.932164842569335</v>
      </c>
      <c r="AM26" s="662">
        <f ca="1">Model!CX354</f>
        <v>-39.584115587531358</v>
      </c>
      <c r="AN26" s="662">
        <f ca="1">Model!CY354</f>
        <v>-48.863436671518457</v>
      </c>
      <c r="AO26" s="738">
        <f t="shared" ca="1" si="18"/>
        <v>-19.110686550848296</v>
      </c>
      <c r="AQ26" s="664">
        <v>75.054029334062534</v>
      </c>
      <c r="AR26" s="664">
        <v>90.358820279293312</v>
      </c>
      <c r="AS26" s="664">
        <v>91.352634413867619</v>
      </c>
      <c r="AT26" s="664">
        <v>71.497280813218254</v>
      </c>
      <c r="AU26" s="664">
        <v>60.626774534116485</v>
      </c>
      <c r="AV26" s="664">
        <v>65.674603219256682</v>
      </c>
      <c r="AW26" s="664">
        <v>74.384814333766712</v>
      </c>
      <c r="AX26" s="664">
        <v>81.204113989639424</v>
      </c>
      <c r="AY26" s="664">
        <v>91.147416516442433</v>
      </c>
      <c r="AZ26" s="664">
        <v>101.49869965781991</v>
      </c>
      <c r="BA26" s="664">
        <v>112.81795377223116</v>
      </c>
      <c r="BB26" s="664">
        <v>127.62329034301325</v>
      </c>
      <c r="BC26" s="664">
        <v>146.12968921805486</v>
      </c>
      <c r="BD26" s="664">
        <v>168.69550451256751</v>
      </c>
      <c r="BE26" s="664">
        <v>196.27917199488533</v>
      </c>
      <c r="BF26" s="664">
        <v>230.08521280126018</v>
      </c>
      <c r="BG26" s="664">
        <v>271.50255197275243</v>
      </c>
      <c r="BH26" s="745">
        <v>132.8976766819851</v>
      </c>
    </row>
    <row r="27" spans="1:60" s="664" customFormat="1">
      <c r="A27" s="745" t="str">
        <f>Model!A352</f>
        <v>wagebill private +informal/gdp private</v>
      </c>
      <c r="B27" s="747" t="s">
        <v>918</v>
      </c>
      <c r="C27" s="663">
        <f>Model!BO352</f>
        <v>0.44156361990941295</v>
      </c>
      <c r="D27" s="663">
        <f>Model!BP352</f>
        <v>0.46619537884536155</v>
      </c>
      <c r="E27" s="663">
        <f>Model!BQ352</f>
        <v>0.4712246464325428</v>
      </c>
      <c r="F27" s="663">
        <f>Model!BR352</f>
        <v>0.55683646247124197</v>
      </c>
      <c r="G27" s="663">
        <f>Model!BS352</f>
        <v>0.5694794205762328</v>
      </c>
      <c r="H27" s="663">
        <f ca="1">Model!BT352</f>
        <v>0.55738627454797784</v>
      </c>
      <c r="I27" s="663">
        <f ca="1">Model!BU352</f>
        <v>0.35837147162936012</v>
      </c>
      <c r="J27" s="663">
        <f ca="1">Model!BV352</f>
        <v>0.37669983097922072</v>
      </c>
      <c r="K27" s="663">
        <f ca="1">Model!BW352</f>
        <v>0.41439021587944491</v>
      </c>
      <c r="L27" s="663">
        <f ca="1">Model!BX352</f>
        <v>0.42345055756203909</v>
      </c>
      <c r="M27" s="663">
        <f ca="1">Model!BY352</f>
        <v>0.43971426561997018</v>
      </c>
      <c r="N27" s="663">
        <f ca="1">Model!BZ352</f>
        <v>0.45708484980385916</v>
      </c>
      <c r="O27" s="663">
        <f ca="1">Model!CA352</f>
        <v>0.47538438354992851</v>
      </c>
      <c r="P27" s="663">
        <f ca="1">Model!CB352</f>
        <v>0.49476120430774218</v>
      </c>
      <c r="Q27" s="663">
        <f ca="1">Model!CC352</f>
        <v>0.51493819762372028</v>
      </c>
      <c r="R27" s="663">
        <f ca="1">Model!CD352</f>
        <v>0.53552204699656181</v>
      </c>
      <c r="S27" s="663">
        <f ca="1">Model!CE352</f>
        <v>0.55590266511196429</v>
      </c>
      <c r="T27" s="663">
        <f ca="1">Model!CF352</f>
        <v>0.57520467449489043</v>
      </c>
      <c r="U27" s="663">
        <f ca="1">Model!CG352</f>
        <v>0.59229306103357893</v>
      </c>
      <c r="V27" s="741">
        <f t="shared" ca="1" si="15"/>
        <v>0.47797826343017547</v>
      </c>
      <c r="W27" s="663"/>
      <c r="X27" s="662">
        <f>Model!CI352</f>
        <v>0</v>
      </c>
      <c r="Y27" s="662">
        <f>Model!CJ352</f>
        <v>0</v>
      </c>
      <c r="Z27" s="662">
        <f>Model!CK352</f>
        <v>0</v>
      </c>
      <c r="AA27" s="662">
        <f ca="1">Model!CL352</f>
        <v>0</v>
      </c>
      <c r="AB27" s="662">
        <f ca="1">Model!CM352</f>
        <v>-5.3941711871143272E-3</v>
      </c>
      <c r="AC27" s="662">
        <f ca="1">Model!CN352</f>
        <v>3.2814773435346223E-3</v>
      </c>
      <c r="AD27" s="662">
        <f ca="1">Model!CO352</f>
        <v>2.0538977095932998E-3</v>
      </c>
      <c r="AE27" s="662">
        <f ca="1">Model!CP352</f>
        <v>-2.1282085125595707E-4</v>
      </c>
      <c r="AF27" s="662">
        <f ca="1">Model!CQ352</f>
        <v>-2.6443603177456199E-3</v>
      </c>
      <c r="AG27" s="662">
        <f ca="1">Model!CR352</f>
        <v>-1.8612782733900879E-2</v>
      </c>
      <c r="AH27" s="662">
        <f ca="1">Model!CS352</f>
        <v>-1.8649678351343735E-2</v>
      </c>
      <c r="AI27" s="662">
        <f ca="1">Model!CT352</f>
        <v>-1.6485028562787551E-2</v>
      </c>
      <c r="AJ27" s="662">
        <f ca="1">Model!CU352</f>
        <v>-1.6669499658369169E-2</v>
      </c>
      <c r="AK27" s="662">
        <f ca="1">Model!CV352</f>
        <v>-1.7356315586733673E-2</v>
      </c>
      <c r="AL27" s="662">
        <f ca="1">Model!CW352</f>
        <v>-1.8292339823689385E-2</v>
      </c>
      <c r="AM27" s="662">
        <f ca="1">Model!CX352</f>
        <v>-1.9331072784186998E-2</v>
      </c>
      <c r="AN27" s="662">
        <f ca="1">Model!CY352</f>
        <v>-2.0306445545611784E-2</v>
      </c>
      <c r="AO27" s="738">
        <f t="shared" ca="1" si="18"/>
        <v>-1.1432241565354705E-2</v>
      </c>
      <c r="AQ27" s="663">
        <v>0.4712246464325428</v>
      </c>
      <c r="AR27" s="663">
        <v>0.55683646247124197</v>
      </c>
      <c r="AS27" s="663">
        <v>0.5694794205762328</v>
      </c>
      <c r="AT27" s="663">
        <v>0.55738627454797784</v>
      </c>
      <c r="AU27" s="663">
        <v>0.36376564281647444</v>
      </c>
      <c r="AV27" s="663">
        <v>0.3734183536356861</v>
      </c>
      <c r="AW27" s="663">
        <v>0.41233631816985161</v>
      </c>
      <c r="AX27" s="663">
        <v>0.42366337841329504</v>
      </c>
      <c r="AY27" s="663">
        <v>0.4423586259377158</v>
      </c>
      <c r="AZ27" s="663">
        <v>0.47569763253776004</v>
      </c>
      <c r="BA27" s="663">
        <v>0.49403406190127225</v>
      </c>
      <c r="BB27" s="663">
        <v>0.51124623287052973</v>
      </c>
      <c r="BC27" s="663">
        <v>0.53160769728208945</v>
      </c>
      <c r="BD27" s="663">
        <v>0.55287836258329548</v>
      </c>
      <c r="BE27" s="663">
        <v>0.57419500493565367</v>
      </c>
      <c r="BF27" s="663">
        <v>0.59453574727907743</v>
      </c>
      <c r="BG27" s="663">
        <v>0.6125995065791906</v>
      </c>
      <c r="BH27" s="741">
        <v>0.48941050499553018</v>
      </c>
    </row>
    <row r="28" spans="1:60" s="664" customFormat="1">
      <c r="A28" s="745" t="str">
        <f>Model!A353</f>
        <v>wagebill gov/gdp</v>
      </c>
      <c r="B28" s="747" t="s">
        <v>1349</v>
      </c>
      <c r="C28" s="662">
        <f>Model!BO353</f>
        <v>9.3709115363452948</v>
      </c>
      <c r="D28" s="662">
        <f>Model!BP353</f>
        <v>8.2200215506182968</v>
      </c>
      <c r="E28" s="662">
        <f>Model!BQ353</f>
        <v>7.9984190381095024</v>
      </c>
      <c r="F28" s="662">
        <f>Model!BR353</f>
        <v>9.3544137022397891</v>
      </c>
      <c r="G28" s="662">
        <f>Model!BS353</f>
        <v>11.856230958943856</v>
      </c>
      <c r="H28" s="662">
        <f>Model!BT353</f>
        <v>10.166381589177423</v>
      </c>
      <c r="I28" s="662">
        <f ca="1">Model!BU353</f>
        <v>6.6848736413279015</v>
      </c>
      <c r="J28" s="662">
        <f ca="1">Model!BV353</f>
        <v>6.3439722917853807</v>
      </c>
      <c r="K28" s="662">
        <f ca="1">Model!BW353</f>
        <v>5.9163550761479771</v>
      </c>
      <c r="L28" s="662">
        <f ca="1">Model!BX353</f>
        <v>5.9505144953342146</v>
      </c>
      <c r="M28" s="662">
        <f ca="1">Model!BY353</f>
        <v>6.0759857892191276</v>
      </c>
      <c r="N28" s="662">
        <f ca="1">Model!BZ353</f>
        <v>6.2102113103322685</v>
      </c>
      <c r="O28" s="662">
        <f ca="1">Model!CA353</f>
        <v>6.3502650712382556</v>
      </c>
      <c r="P28" s="662">
        <f ca="1">Model!CB353</f>
        <v>6.497507615461136</v>
      </c>
      <c r="Q28" s="662">
        <f ca="1">Model!CC353</f>
        <v>6.648021127654979</v>
      </c>
      <c r="R28" s="662">
        <f ca="1">Model!CD353</f>
        <v>6.7967645452936249</v>
      </c>
      <c r="S28" s="662">
        <f ca="1">Model!CE353</f>
        <v>6.9365212813454189</v>
      </c>
      <c r="T28" s="662">
        <f ca="1">Model!CF353</f>
        <v>7.0575536837721016</v>
      </c>
      <c r="U28" s="662">
        <f ca="1">Model!CG353</f>
        <v>7.1478960518265326</v>
      </c>
      <c r="V28" s="738">
        <f t="shared" ca="1" si="15"/>
        <v>6.5089570754414545</v>
      </c>
      <c r="W28" s="662"/>
      <c r="X28" s="662">
        <f>Model!CI353</f>
        <v>0</v>
      </c>
      <c r="Y28" s="662">
        <f>Model!CJ353</f>
        <v>0</v>
      </c>
      <c r="Z28" s="662">
        <f>Model!CK353</f>
        <v>0</v>
      </c>
      <c r="AA28" s="662">
        <f>Model!CL353</f>
        <v>0</v>
      </c>
      <c r="AB28" s="662">
        <f ca="1">Model!CM353</f>
        <v>-9.2913181810271084E-2</v>
      </c>
      <c r="AC28" s="662">
        <f ca="1">Model!CN353</f>
        <v>5.3681067347278955E-2</v>
      </c>
      <c r="AD28" s="662">
        <f ca="1">Model!CO353</f>
        <v>2.9326490782795922E-2</v>
      </c>
      <c r="AE28" s="662">
        <f ca="1">Model!CP353</f>
        <v>-1.0770551724776922E-3</v>
      </c>
      <c r="AF28" s="662">
        <f ca="1">Model!CQ353</f>
        <v>-3.2483731429759466E-2</v>
      </c>
      <c r="AG28" s="662">
        <f ca="1">Model!CR353</f>
        <v>-0.23539019447529252</v>
      </c>
      <c r="AH28" s="662">
        <f ca="1">Model!CS353</f>
        <v>-0.23226656233686782</v>
      </c>
      <c r="AI28" s="662">
        <f ca="1">Model!CT353</f>
        <v>-0.20143458760781741</v>
      </c>
      <c r="AJ28" s="662">
        <f ca="1">Model!CU353</f>
        <v>-0.19975892015102659</v>
      </c>
      <c r="AK28" s="662">
        <f ca="1">Model!CV353</f>
        <v>-0.20396931813955899</v>
      </c>
      <c r="AL28" s="662">
        <f ca="1">Model!CW353</f>
        <v>-0.21085086716560131</v>
      </c>
      <c r="AM28" s="662">
        <f ca="1">Model!CX353</f>
        <v>-0.21865183348512929</v>
      </c>
      <c r="AN28" s="662">
        <f ca="1">Model!CY353</f>
        <v>-0.22555321368297498</v>
      </c>
      <c r="AO28" s="738">
        <f t="shared" ca="1" si="18"/>
        <v>-0.13625706979436172</v>
      </c>
      <c r="AQ28" s="662">
        <v>7.9984190381095024</v>
      </c>
      <c r="AR28" s="662">
        <v>9.3544137022397891</v>
      </c>
      <c r="AS28" s="662">
        <v>11.856230958943856</v>
      </c>
      <c r="AT28" s="662">
        <v>10.166381589177423</v>
      </c>
      <c r="AU28" s="662">
        <v>6.7777868231381726</v>
      </c>
      <c r="AV28" s="662">
        <v>6.2902912244381017</v>
      </c>
      <c r="AW28" s="662">
        <v>5.8870285853651811</v>
      </c>
      <c r="AX28" s="662">
        <v>5.9515915505066923</v>
      </c>
      <c r="AY28" s="662">
        <v>6.108469520648887</v>
      </c>
      <c r="AZ28" s="662">
        <v>6.445601504807561</v>
      </c>
      <c r="BA28" s="662">
        <v>6.5825316335751234</v>
      </c>
      <c r="BB28" s="662">
        <v>6.6989422030689534</v>
      </c>
      <c r="BC28" s="662">
        <v>6.8477800478060056</v>
      </c>
      <c r="BD28" s="662">
        <v>7.0007338634331839</v>
      </c>
      <c r="BE28" s="662">
        <v>7.1473721485110202</v>
      </c>
      <c r="BF28" s="662">
        <v>7.2762055172572309</v>
      </c>
      <c r="BG28" s="662">
        <v>7.3734492655095067</v>
      </c>
      <c r="BH28" s="738">
        <v>6.6452141452358173</v>
      </c>
    </row>
    <row r="29" spans="1:60" s="664" customFormat="1">
      <c r="A29" s="745" t="s">
        <v>694</v>
      </c>
      <c r="B29" s="747" t="s">
        <v>1579</v>
      </c>
      <c r="C29" s="664">
        <f>+Model!BO363</f>
        <v>25010.638225976767</v>
      </c>
      <c r="D29" s="664">
        <f>+Model!BP363</f>
        <v>23619.748257655752</v>
      </c>
      <c r="E29" s="664">
        <f>+Model!BQ363</f>
        <v>24036</v>
      </c>
      <c r="F29" s="664">
        <f>+Model!BR363</f>
        <v>24665.453854276664</v>
      </c>
      <c r="G29" s="664">
        <f>+Model!BS363</f>
        <v>24739.450215839497</v>
      </c>
      <c r="H29" s="664">
        <f ca="1">+Model!BT363</f>
        <v>20803.907698348743</v>
      </c>
      <c r="I29" s="664">
        <f ca="1">+Model!BU363</f>
        <v>22391.868300459882</v>
      </c>
      <c r="J29" s="664">
        <f ca="1">+Model!BV363</f>
        <v>22923.325922901724</v>
      </c>
      <c r="K29" s="664">
        <f ca="1">+Model!BW363</f>
        <v>23757.521161496297</v>
      </c>
      <c r="L29" s="664">
        <f ca="1">+Model!BX363</f>
        <v>24714.181515051027</v>
      </c>
      <c r="M29" s="664">
        <f ca="1">+Model!BY363</f>
        <v>25680.513246941155</v>
      </c>
      <c r="N29" s="664">
        <f ca="1">+Model!BZ363</f>
        <v>26764.986637543738</v>
      </c>
      <c r="O29" s="664">
        <f ca="1">+Model!CA363</f>
        <v>27965.938335539238</v>
      </c>
      <c r="P29" s="664">
        <f ca="1">+Model!CB363</f>
        <v>29304.142844608326</v>
      </c>
      <c r="Q29" s="664">
        <f ca="1">+Model!CC363</f>
        <v>30808.343478909759</v>
      </c>
      <c r="R29" s="664">
        <f ca="1">+Model!CD363</f>
        <v>32514.727370390661</v>
      </c>
      <c r="S29" s="664">
        <f ca="1">+Model!CE363</f>
        <v>34468.09031212017</v>
      </c>
      <c r="T29" s="664">
        <f ca="1">+Model!CF363</f>
        <v>36721.950145984258</v>
      </c>
      <c r="U29" s="664">
        <f ca="1">+Model!CG363</f>
        <v>39336.35581440336</v>
      </c>
      <c r="V29" s="745">
        <f t="shared" ca="1" si="15"/>
        <v>29027.07269894996</v>
      </c>
      <c r="W29" s="662"/>
      <c r="X29" s="664">
        <f>+Model!CI363</f>
        <v>0</v>
      </c>
      <c r="Y29" s="664">
        <f>+Model!CJ363</f>
        <v>0</v>
      </c>
      <c r="Z29" s="664">
        <f>+Model!CK363</f>
        <v>0</v>
      </c>
      <c r="AA29" s="664">
        <f ca="1">+Model!CL363</f>
        <v>0</v>
      </c>
      <c r="AB29" s="664">
        <f ca="1">+Model!CM363</f>
        <v>-1026.8902222850847</v>
      </c>
      <c r="AC29" s="664">
        <f ca="1">+Model!CN363</f>
        <v>-1304.5963374324601</v>
      </c>
      <c r="AD29" s="664">
        <f ca="1">+Model!CO363</f>
        <v>-1553.6393262075617</v>
      </c>
      <c r="AE29" s="664">
        <f ca="1">+Model!CP363</f>
        <v>-1870.7016007085949</v>
      </c>
      <c r="AF29" s="664">
        <f ca="1">+Model!CQ363</f>
        <v>-2219.8068099679331</v>
      </c>
      <c r="AG29" s="664">
        <f ca="1">+Model!CR363</f>
        <v>-1841.4205316649131</v>
      </c>
      <c r="AH29" s="664">
        <f ca="1">+Model!CS363</f>
        <v>-2223.170905307772</v>
      </c>
      <c r="AI29" s="664">
        <f ca="1">+Model!CT363</f>
        <v>-2691.8959337403321</v>
      </c>
      <c r="AJ29" s="664">
        <f ca="1">+Model!CU363</f>
        <v>-3217.4596687591475</v>
      </c>
      <c r="AK29" s="664">
        <f ca="1">+Model!CV363</f>
        <v>-3808.3183165272931</v>
      </c>
      <c r="AL29" s="664">
        <f ca="1">+Model!CW363</f>
        <v>-4469.4667796885478</v>
      </c>
      <c r="AM29" s="664">
        <f ca="1">+Model!CX363</f>
        <v>-5207.9988282146587</v>
      </c>
      <c r="AN29" s="664">
        <f ca="1">+Model!CY363</f>
        <v>-6029.8004346126254</v>
      </c>
      <c r="AO29" s="745">
        <f t="shared" ca="1" si="18"/>
        <v>-2881.9358227013022</v>
      </c>
      <c r="AQ29" s="664">
        <v>24036</v>
      </c>
      <c r="AR29" s="664">
        <v>24665.453854276664</v>
      </c>
      <c r="AS29" s="664">
        <v>24739.450215839497</v>
      </c>
      <c r="AT29" s="664">
        <v>20803.907698348743</v>
      </c>
      <c r="AU29" s="664">
        <v>23418.758522744967</v>
      </c>
      <c r="AV29" s="664">
        <v>24227.922260334184</v>
      </c>
      <c r="AW29" s="664">
        <v>25311.160487703859</v>
      </c>
      <c r="AX29" s="664">
        <v>26584.883115759621</v>
      </c>
      <c r="AY29" s="664">
        <v>27900.320056909088</v>
      </c>
      <c r="AZ29" s="664">
        <v>28606.407169208651</v>
      </c>
      <c r="BA29" s="664">
        <v>30189.10924084701</v>
      </c>
      <c r="BB29" s="664">
        <v>31996.038778348659</v>
      </c>
      <c r="BC29" s="664">
        <v>34025.803147668907</v>
      </c>
      <c r="BD29" s="664">
        <v>36323.045686917954</v>
      </c>
      <c r="BE29" s="664">
        <v>38937.557091808718</v>
      </c>
      <c r="BF29" s="664">
        <v>41929.948974198916</v>
      </c>
      <c r="BG29" s="664">
        <v>45366.156249015992</v>
      </c>
      <c r="BH29" s="745">
        <v>31909.008521651267</v>
      </c>
    </row>
    <row r="30" spans="1:60" s="664" customFormat="1">
      <c r="A30" s="745" t="s">
        <v>1328</v>
      </c>
      <c r="B30" s="747" t="s">
        <v>3138</v>
      </c>
      <c r="C30" s="663">
        <f>+Model!BO197</f>
        <v>0.6504432353120988</v>
      </c>
      <c r="D30" s="663">
        <f>+Model!BP197</f>
        <v>0.83088408846015704</v>
      </c>
      <c r="E30" s="663">
        <f>+Model!BQ197</f>
        <v>0.73229738725245463</v>
      </c>
      <c r="F30" s="663">
        <f>+Model!BR197</f>
        <v>0.74388126792218856</v>
      </c>
      <c r="G30" s="663">
        <f>+Model!BS197</f>
        <v>0.73582620049325409</v>
      </c>
      <c r="H30" s="663">
        <f>+Model!BT197</f>
        <v>1.0090125952417974</v>
      </c>
      <c r="I30" s="663">
        <f ca="1">+Model!BU197</f>
        <v>0.83462163604375605</v>
      </c>
      <c r="J30" s="663">
        <f ca="1">+Model!BV197</f>
        <v>0.76681949693852691</v>
      </c>
      <c r="K30" s="663">
        <f ca="1">+Model!BW197</f>
        <v>0.74589381958640666</v>
      </c>
      <c r="L30" s="663">
        <f ca="1">+Model!BX197</f>
        <v>0.72621578540044374</v>
      </c>
      <c r="M30" s="663">
        <f ca="1">+Model!BY197</f>
        <v>0.69500824650061965</v>
      </c>
      <c r="N30" s="663">
        <f ca="1">+Model!BZ197</f>
        <v>0.65769221794016408</v>
      </c>
      <c r="O30" s="663">
        <f ca="1">+Model!CA197</f>
        <v>0.61488944026231418</v>
      </c>
      <c r="P30" s="663">
        <f ca="1">+Model!CB197</f>
        <v>0.56665178659806703</v>
      </c>
      <c r="Q30" s="663">
        <f ca="1">+Model!CC197</f>
        <v>0.51350447452418346</v>
      </c>
      <c r="R30" s="663">
        <f ca="1">+Model!CD197</f>
        <v>0.45652842911220343</v>
      </c>
      <c r="S30" s="663">
        <f ca="1">+Model!CE197</f>
        <v>0.39750059434365409</v>
      </c>
      <c r="T30" s="663">
        <f ca="1">+Model!CF197</f>
        <v>0.33896734490200886</v>
      </c>
      <c r="U30" s="663">
        <f ca="1">+Model!CG197</f>
        <v>0.28415905353493176</v>
      </c>
      <c r="V30" s="741">
        <f t="shared" ca="1" si="15"/>
        <v>0.58449633274517532</v>
      </c>
      <c r="W30" s="662"/>
      <c r="X30" s="663">
        <f>+Model!CI197</f>
        <v>0</v>
      </c>
      <c r="Y30" s="663">
        <f>+Model!CJ197</f>
        <v>0</v>
      </c>
      <c r="Z30" s="663">
        <f>+Model!CK197</f>
        <v>0</v>
      </c>
      <c r="AA30" s="663">
        <f>+Model!CL197</f>
        <v>0</v>
      </c>
      <c r="AB30" s="663">
        <f ca="1">+Model!CM197</f>
        <v>1.3300422573509718E-2</v>
      </c>
      <c r="AC30" s="663">
        <f ca="1">+Model!CN197</f>
        <v>-2.4274284731895746E-2</v>
      </c>
      <c r="AD30" s="663">
        <f ca="1">+Model!CO197</f>
        <v>-4.9321973088317095E-2</v>
      </c>
      <c r="AE30" s="663">
        <f ca="1">+Model!CP197</f>
        <v>-7.4167066245457325E-2</v>
      </c>
      <c r="AF30" s="663">
        <f ca="1">+Model!CQ197</f>
        <v>-9.7669877864301258E-2</v>
      </c>
      <c r="AG30" s="663">
        <f ca="1">+Model!CR197</f>
        <v>-0.11757795689512729</v>
      </c>
      <c r="AH30" s="663">
        <f ca="1">+Model!CS197</f>
        <v>-0.12669257305661441</v>
      </c>
      <c r="AI30" s="663">
        <f ca="1">+Model!CT197</f>
        <v>-0.13657171702400961</v>
      </c>
      <c r="AJ30" s="663">
        <f ca="1">+Model!CU197</f>
        <v>-0.14412553476215029</v>
      </c>
      <c r="AK30" s="663">
        <f ca="1">+Model!CV197</f>
        <v>-0.14923642218781247</v>
      </c>
      <c r="AL30" s="663">
        <f ca="1">+Model!CW197</f>
        <v>-0.1513325820523263</v>
      </c>
      <c r="AM30" s="663">
        <f ca="1">+Model!CX197</f>
        <v>-0.14974907231551537</v>
      </c>
      <c r="AN30" s="663">
        <f ca="1">+Model!CY197</f>
        <v>-0.14403435804828385</v>
      </c>
      <c r="AO30" s="741">
        <f t="shared" ca="1" si="18"/>
        <v>-0.10395792274602317</v>
      </c>
      <c r="AQ30" s="663">
        <v>0.73229738725245463</v>
      </c>
      <c r="AR30" s="663">
        <v>0.74388126792218856</v>
      </c>
      <c r="AS30" s="663">
        <v>0.73582620049325409</v>
      </c>
      <c r="AT30" s="663">
        <v>1.0090125952417974</v>
      </c>
      <c r="AU30" s="663">
        <v>0.82132121347024634</v>
      </c>
      <c r="AV30" s="663">
        <v>0.79109378167042266</v>
      </c>
      <c r="AW30" s="663">
        <v>0.79521579267472375</v>
      </c>
      <c r="AX30" s="663">
        <v>0.80038285164590106</v>
      </c>
      <c r="AY30" s="663">
        <v>0.79267812436492091</v>
      </c>
      <c r="AZ30" s="663">
        <v>0.77527017483529137</v>
      </c>
      <c r="BA30" s="663">
        <v>0.74158201331892859</v>
      </c>
      <c r="BB30" s="663">
        <v>0.70322350362207664</v>
      </c>
      <c r="BC30" s="663">
        <v>0.65763000928633375</v>
      </c>
      <c r="BD30" s="663">
        <v>0.60576485130001589</v>
      </c>
      <c r="BE30" s="663">
        <v>0.54883317639598039</v>
      </c>
      <c r="BF30" s="663">
        <v>0.48871641721752423</v>
      </c>
      <c r="BG30" s="663">
        <v>0.42819341158321572</v>
      </c>
      <c r="BH30" s="741">
        <v>0.68845425549119854</v>
      </c>
    </row>
    <row r="31" spans="1:60" s="243" customFormat="1">
      <c r="A31" s="244" t="str">
        <f>+Model!A190</f>
        <v>M2 - v v dep. Ingezetenen/ GDP</v>
      </c>
      <c r="B31" s="353" t="s">
        <v>3138</v>
      </c>
      <c r="C31" s="272">
        <f>+Model!BO190</f>
        <v>0.30988567585743104</v>
      </c>
      <c r="D31" s="272">
        <f>+Model!BP190</f>
        <v>0.29356560110831759</v>
      </c>
      <c r="E31" s="272">
        <f>+Model!BQ190</f>
        <v>0.26700782160093189</v>
      </c>
      <c r="F31" s="272">
        <f>+Model!BR190</f>
        <v>0.29952724172673018</v>
      </c>
      <c r="G31" s="272">
        <f>+Model!BS190</f>
        <v>0.34419701146090237</v>
      </c>
      <c r="H31" s="272">
        <f>+Model!BT190</f>
        <v>0.38481729124552944</v>
      </c>
      <c r="I31" s="272">
        <f ca="1">+Model!BU190</f>
        <v>0.31048970913639745</v>
      </c>
      <c r="J31" s="272">
        <f ca="1">+Model!BV190</f>
        <v>0.3150969371619875</v>
      </c>
      <c r="K31" s="272">
        <f ca="1">+Model!BW190</f>
        <v>0.34110712397383436</v>
      </c>
      <c r="L31" s="272">
        <f ca="1">+Model!BX190</f>
        <v>0.35377678226802434</v>
      </c>
      <c r="M31" s="272">
        <f ca="1">+Model!BY190</f>
        <v>0.35913937074276703</v>
      </c>
      <c r="N31" s="272">
        <f ca="1">+Model!BZ190</f>
        <v>0.35779420408729001</v>
      </c>
      <c r="O31" s="272">
        <f ca="1">+Model!CA190</f>
        <v>0.34967805978480909</v>
      </c>
      <c r="P31" s="272">
        <f ca="1">+Model!CB190</f>
        <v>0.33485912971231574</v>
      </c>
      <c r="Q31" s="272">
        <f ca="1">+Model!CC190</f>
        <v>0.31381264214060312</v>
      </c>
      <c r="R31" s="272">
        <f ca="1">+Model!CD190</f>
        <v>0.28751889364442096</v>
      </c>
      <c r="S31" s="272">
        <f ca="1">+Model!CE190</f>
        <v>0.25757070640046215</v>
      </c>
      <c r="T31" s="272">
        <f ca="1">+Model!CF190</f>
        <v>0.22622424133686683</v>
      </c>
      <c r="U31" s="272">
        <f ca="1">+Model!CG190</f>
        <v>0.19631039255132243</v>
      </c>
      <c r="V31" s="272">
        <f t="shared" ca="1" si="15"/>
        <v>0.30795216868777692</v>
      </c>
      <c r="W31" s="268"/>
      <c r="X31" s="272">
        <f>+Model!CI190</f>
        <v>0</v>
      </c>
      <c r="Y31" s="272">
        <f>+Model!CJ190</f>
        <v>0</v>
      </c>
      <c r="Z31" s="272">
        <f>+Model!CK190</f>
        <v>0</v>
      </c>
      <c r="AA31" s="272">
        <f>+Model!CL190</f>
        <v>0</v>
      </c>
      <c r="AB31" s="272">
        <f ca="1">+Model!CM190</f>
        <v>-3.1820208589465382E-2</v>
      </c>
      <c r="AC31" s="272">
        <f ca="1">+Model!CN190</f>
        <v>-5.7487503984882005E-2</v>
      </c>
      <c r="AD31" s="272">
        <f ca="1">+Model!CO190</f>
        <v>-8.2260785929076319E-2</v>
      </c>
      <c r="AE31" s="272">
        <f ca="1">+Model!CP190</f>
        <v>-0.10952371541180062</v>
      </c>
      <c r="AF31" s="272">
        <f ca="1">+Model!CQ190</f>
        <v>-0.13457368234162803</v>
      </c>
      <c r="AG31" s="272">
        <f ca="1">+Model!CR190</f>
        <v>-0.14834157044821938</v>
      </c>
      <c r="AH31" s="272">
        <f ca="1">+Model!CS190</f>
        <v>-0.15727478955842084</v>
      </c>
      <c r="AI31" s="272">
        <f ca="1">+Model!CT190</f>
        <v>-0.16596903009275094</v>
      </c>
      <c r="AJ31" s="272">
        <f ca="1">+Model!CU190</f>
        <v>-0.17234125971144587</v>
      </c>
      <c r="AK31" s="272">
        <f ca="1">+Model!CV190</f>
        <v>-0.17585578531001217</v>
      </c>
      <c r="AL31" s="272">
        <f ca="1">+Model!CW190</f>
        <v>-0.17582268027534115</v>
      </c>
      <c r="AM31" s="272">
        <f ca="1">+Model!CX190</f>
        <v>-0.17160401999034977</v>
      </c>
      <c r="AN31" s="272">
        <f ca="1">+Model!CY190</f>
        <v>-0.16284214132135094</v>
      </c>
      <c r="AO31" s="272">
        <f>+Model!CZ190</f>
        <v>0</v>
      </c>
      <c r="AQ31" s="355">
        <v>0.26700782160093189</v>
      </c>
      <c r="AR31" s="355">
        <v>0.29952724172673018</v>
      </c>
      <c r="AS31" s="355">
        <v>0.34419701146090237</v>
      </c>
      <c r="AT31" s="355">
        <v>0.38481729124552944</v>
      </c>
      <c r="AU31" s="355">
        <v>0.34230991772586283</v>
      </c>
      <c r="AV31" s="355">
        <v>0.3725844411468695</v>
      </c>
      <c r="AW31" s="355">
        <v>0.42336790990291068</v>
      </c>
      <c r="AX31" s="355">
        <v>0.46330049767982495</v>
      </c>
      <c r="AY31" s="355">
        <v>0.49371305308439506</v>
      </c>
      <c r="AZ31" s="355">
        <v>0.5061357745355094</v>
      </c>
      <c r="BA31" s="355">
        <v>0.50695284934322993</v>
      </c>
      <c r="BB31" s="355">
        <v>0.50082815980506667</v>
      </c>
      <c r="BC31" s="355">
        <v>0.48615390185204899</v>
      </c>
      <c r="BD31" s="355">
        <v>0.46337467895443313</v>
      </c>
      <c r="BE31" s="355">
        <v>0.43339338667580329</v>
      </c>
      <c r="BF31" s="355">
        <v>0.3978282613272166</v>
      </c>
      <c r="BG31" s="355">
        <v>0.35915253387267354</v>
      </c>
      <c r="BH31" s="564">
        <v>0.44223810506968037</v>
      </c>
    </row>
    <row r="32" spans="1:60" s="243" customFormat="1">
      <c r="A32" s="244" t="str">
        <f>+Model!A309</f>
        <v xml:space="preserve">Government Debt </v>
      </c>
      <c r="B32" s="353" t="s">
        <v>3251</v>
      </c>
      <c r="C32" s="244">
        <f>+Model!BO309</f>
        <v>53.333740906034109</v>
      </c>
      <c r="D32" s="244">
        <f>+Model!BP309</f>
        <v>49.031761506490838</v>
      </c>
      <c r="E32" s="244">
        <f>+Model!BQ309</f>
        <v>73.797200033283403</v>
      </c>
      <c r="F32" s="244">
        <f>+Model!BR309</f>
        <v>72.50454545454545</v>
      </c>
      <c r="G32" s="244">
        <f>+Model!BS309</f>
        <v>81.037512694037432</v>
      </c>
      <c r="H32" s="244">
        <f>+Model!BT309</f>
        <v>94.480732477336787</v>
      </c>
      <c r="I32" s="244">
        <f ca="1">+Model!BU309</f>
        <v>68.046120302841643</v>
      </c>
      <c r="J32" s="244">
        <f ca="1">+Model!BV309</f>
        <v>58.477269381188478</v>
      </c>
      <c r="K32" s="244">
        <f ca="1">+Model!BW309</f>
        <v>55.628743630234844</v>
      </c>
      <c r="L32" s="244">
        <f ca="1">+Model!BX309</f>
        <v>54.347412251673809</v>
      </c>
      <c r="M32" s="244">
        <f ca="1">+Model!BY309</f>
        <v>52.187009546902573</v>
      </c>
      <c r="N32" s="244">
        <f ca="1">+Model!BZ309</f>
        <v>49.833815788970512</v>
      </c>
      <c r="O32" s="244">
        <f ca="1">+Model!CA309</f>
        <v>47.411507078349771</v>
      </c>
      <c r="P32" s="244">
        <f ca="1">+Model!CB309</f>
        <v>44.936594373757032</v>
      </c>
      <c r="Q32" s="244">
        <f ca="1">+Model!CC309</f>
        <v>42.411807950682793</v>
      </c>
      <c r="R32" s="244">
        <f ca="1">+Model!CD309</f>
        <v>39.818960390212716</v>
      </c>
      <c r="S32" s="244">
        <f ca="1">+Model!CE309</f>
        <v>37.119421308668947</v>
      </c>
      <c r="T32" s="244">
        <f ca="1">+Model!CF309</f>
        <v>34.257469623471373</v>
      </c>
      <c r="U32" s="244">
        <f ca="1">+Model!CG309</f>
        <v>31.170032029077998</v>
      </c>
      <c r="V32" s="244">
        <f t="shared" ca="1" si="15"/>
        <v>47.357397204310196</v>
      </c>
      <c r="W32" s="268"/>
      <c r="X32" s="244">
        <f>+Model!CI309</f>
        <v>0</v>
      </c>
      <c r="Y32" s="244">
        <f>+Model!CJ309</f>
        <v>0</v>
      </c>
      <c r="Z32" s="244">
        <f>+Model!CK309</f>
        <v>0</v>
      </c>
      <c r="AA32" s="244">
        <f>+Model!CL309</f>
        <v>0</v>
      </c>
      <c r="AB32" s="244">
        <f ca="1">+Model!CM309</f>
        <v>-3.9216109426621841</v>
      </c>
      <c r="AC32" s="244">
        <f ca="1">+Model!CN309</f>
        <v>-10.112437444900365</v>
      </c>
      <c r="AD32" s="244">
        <f ca="1">+Model!CO309</f>
        <v>-13.821681736788612</v>
      </c>
      <c r="AE32" s="244">
        <f ca="1">+Model!CP309</f>
        <v>-16.79934393720702</v>
      </c>
      <c r="AF32" s="244">
        <f ca="1">+Model!CQ309</f>
        <v>-18.785347348065059</v>
      </c>
      <c r="AG32" s="244">
        <f ca="1">+Model!CR309</f>
        <v>-18.591867636977156</v>
      </c>
      <c r="AH32" s="244">
        <f ca="1">+Model!CS309</f>
        <v>-16.893296496169299</v>
      </c>
      <c r="AI32" s="244">
        <f ca="1">+Model!CT309</f>
        <v>-15.238951986782602</v>
      </c>
      <c r="AJ32" s="244">
        <f ca="1">+Model!CU309</f>
        <v>-13.44788015907524</v>
      </c>
      <c r="AK32" s="244">
        <f ca="1">+Model!CV309</f>
        <v>-11.656823406697129</v>
      </c>
      <c r="AL32" s="244">
        <f ca="1">+Model!CW309</f>
        <v>-9.9303219873646356</v>
      </c>
      <c r="AM32" s="244">
        <f ca="1">+Model!CX309</f>
        <v>-8.3023934794054739</v>
      </c>
      <c r="AN32" s="244">
        <f ca="1">+Model!CY309</f>
        <v>-6.8023018749480535</v>
      </c>
      <c r="AO32" s="244">
        <f>+Model!CZ309</f>
        <v>0</v>
      </c>
      <c r="AQ32" s="355">
        <v>73.797200033283403</v>
      </c>
      <c r="AR32" s="355">
        <v>72.50454545454545</v>
      </c>
      <c r="AS32" s="355">
        <v>81.037512694037432</v>
      </c>
      <c r="AT32" s="355">
        <v>94.480732477336787</v>
      </c>
      <c r="AU32" s="355">
        <v>71.967731245503828</v>
      </c>
      <c r="AV32" s="355">
        <v>68.589706826088843</v>
      </c>
      <c r="AW32" s="355">
        <v>69.450425367023456</v>
      </c>
      <c r="AX32" s="355">
        <v>71.146756188880829</v>
      </c>
      <c r="AY32" s="355">
        <v>70.972356894967632</v>
      </c>
      <c r="AZ32" s="355">
        <v>68.425683425947668</v>
      </c>
      <c r="BA32" s="355">
        <v>64.30480357451907</v>
      </c>
      <c r="BB32" s="355">
        <v>60.175546360539634</v>
      </c>
      <c r="BC32" s="355">
        <v>55.859688109758032</v>
      </c>
      <c r="BD32" s="355">
        <v>51.475783796909845</v>
      </c>
      <c r="BE32" s="355">
        <v>47.049743296033583</v>
      </c>
      <c r="BF32" s="355">
        <v>42.559863102876847</v>
      </c>
      <c r="BG32" s="355">
        <v>37.972333904026051</v>
      </c>
      <c r="BH32" s="564">
        <v>59.996186314851954</v>
      </c>
    </row>
    <row r="33" spans="12:60" s="243" customFormat="1"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72"/>
      <c r="W33" s="268"/>
      <c r="AO33" s="244"/>
      <c r="AQ33" s="355"/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5"/>
      <c r="BD33" s="355"/>
      <c r="BE33" s="355"/>
      <c r="BF33" s="355"/>
      <c r="BG33" s="355"/>
      <c r="BH33" s="564"/>
    </row>
    <row r="34" spans="12:60">
      <c r="L34" s="244"/>
      <c r="M34" s="244"/>
      <c r="N34" s="244"/>
      <c r="O34" s="1"/>
      <c r="P34" s="1"/>
      <c r="Q34" s="244"/>
      <c r="R34" s="243"/>
      <c r="W34" s="265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</row>
    <row r="35" spans="12:60">
      <c r="L35" s="244"/>
      <c r="M35" s="244"/>
      <c r="N35" s="244"/>
      <c r="O35" s="1"/>
      <c r="P35" s="1"/>
      <c r="Q35" s="244"/>
      <c r="R35" s="243"/>
      <c r="W35" s="265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</row>
    <row r="36" spans="12:60">
      <c r="L36" s="259"/>
      <c r="M36" s="259"/>
      <c r="N36" s="259"/>
      <c r="O36" s="259"/>
      <c r="P36" s="259"/>
      <c r="Q36" s="259"/>
      <c r="R36" s="268"/>
      <c r="S36" s="268"/>
      <c r="T36" s="268"/>
      <c r="U36" s="268"/>
      <c r="W36" s="265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</row>
    <row r="37" spans="12:60">
      <c r="L37" s="598"/>
      <c r="M37" s="598"/>
      <c r="N37" s="598"/>
      <c r="O37" s="598"/>
      <c r="P37" s="583"/>
      <c r="Q37" s="583"/>
      <c r="R37" s="598"/>
      <c r="S37" s="598"/>
      <c r="T37" s="598"/>
      <c r="U37" s="598"/>
      <c r="V37" s="243"/>
      <c r="W37" s="265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</row>
    <row r="38" spans="12:60"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571"/>
      <c r="X38" s="268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</row>
    <row r="39" spans="12:60"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571"/>
      <c r="X39" s="268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</row>
    <row r="40" spans="12:60"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43"/>
      <c r="W40" s="265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</row>
    <row r="41" spans="12:60"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43"/>
      <c r="W41" s="265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</row>
    <row r="42" spans="12:60"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43"/>
      <c r="W42" s="265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</row>
    <row r="43" spans="12:60"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43"/>
      <c r="W43" s="265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</row>
    <row r="44" spans="12:60"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43"/>
      <c r="W44" s="265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</row>
    <row r="45" spans="12:60"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43"/>
      <c r="W45" s="265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</row>
    <row r="46" spans="12:60"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43"/>
      <c r="W46" s="265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</row>
    <row r="47" spans="12:60"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43"/>
      <c r="W47" s="265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/>
    </row>
    <row r="48" spans="12:60">
      <c r="L48" s="268"/>
    </row>
    <row r="50" spans="12:12">
      <c r="L50" s="243"/>
    </row>
  </sheetData>
  <phoneticPr fontId="15" type="noConversion"/>
  <hyperlinks>
    <hyperlink ref="I2" r:id="rId1" xr:uid="{00000000-0004-0000-0800-000000000000}"/>
    <hyperlink ref="N2" r:id="rId2" xr:uid="{00000000-0004-0000-0800-000001000000}"/>
  </hyperlinks>
  <pageMargins left="0.75" right="0.75" top="1" bottom="1" header="0.5" footer="0.5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25</vt:i4>
      </vt:variant>
      <vt:variant>
        <vt:lpstr>Benoemde bereiken</vt:lpstr>
      </vt:variant>
      <vt:variant>
        <vt:i4>7</vt:i4>
      </vt:variant>
    </vt:vector>
  </HeadingPairs>
  <TitlesOfParts>
    <vt:vector size="32" baseType="lpstr">
      <vt:lpstr>ARTIKEL</vt:lpstr>
      <vt:lpstr>STAB</vt:lpstr>
      <vt:lpstr>Doorrekening CHP</vt:lpstr>
      <vt:lpstr>logbook</vt:lpstr>
      <vt:lpstr>Assumptions</vt:lpstr>
      <vt:lpstr>SOURCE</vt:lpstr>
      <vt:lpstr>varianten</vt:lpstr>
      <vt:lpstr>Model</vt:lpstr>
      <vt:lpstr>Key</vt:lpstr>
      <vt:lpstr>cambio koersen </vt:lpstr>
      <vt:lpstr>month</vt:lpstr>
      <vt:lpstr>grafieken</vt:lpstr>
      <vt:lpstr>variantenOUD</vt:lpstr>
      <vt:lpstr>tekortnorm</vt:lpstr>
      <vt:lpstr>scenarios 17</vt:lpstr>
      <vt:lpstr>RenR</vt:lpstr>
      <vt:lpstr>monetair</vt:lpstr>
      <vt:lpstr>Manual</vt:lpstr>
      <vt:lpstr>S1</vt:lpstr>
      <vt:lpstr>S2</vt:lpstr>
      <vt:lpstr>S3</vt:lpstr>
      <vt:lpstr>S4</vt:lpstr>
      <vt:lpstr>mamiabc</vt:lpstr>
      <vt:lpstr>beh.eq.</vt:lpstr>
      <vt:lpstr>decompositie</vt:lpstr>
      <vt:lpstr>beh.eq.!_ftn1</vt:lpstr>
      <vt:lpstr>beh.eq.!_ftnref1</vt:lpstr>
      <vt:lpstr>logbook!_GoBack</vt:lpstr>
      <vt:lpstr>STAB!_Hlk42597199</vt:lpstr>
      <vt:lpstr>mamiabc!Afdrukbereik</vt:lpstr>
      <vt:lpstr>varianten!Afdrukbereik</vt:lpstr>
      <vt:lpstr>mamiabc!Afdruktitels</vt:lpstr>
    </vt:vector>
  </TitlesOfParts>
  <Manager>Marein van Schaaijk</Manager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Micromacro Consultants</dc:creator>
  <cp:lastModifiedBy>MMC</cp:lastModifiedBy>
  <cp:lastPrinted>2021-01-01T14:20:19Z</cp:lastPrinted>
  <dcterms:created xsi:type="dcterms:W3CDTF">2011-04-27T14:43:09Z</dcterms:created>
  <dcterms:modified xsi:type="dcterms:W3CDTF">2021-01-23T11:55:54Z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Cogniview PDF2XL  Evaluation 4.10.6.222</vt:lpwstr>
  </property>
  <property fmtid="{D5CDD505-2E9C-101B-9397-08002B2CF9AE}" pid="3" name="Source">
    <vt:lpwstr>C:\Documents and Settings\Stephen\Mijn documenten\Kaap verdie\IMF CV report 2010.pdf</vt:lpwstr>
  </property>
</Properties>
</file>